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ml.chartshape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R:\Enze\LC GHG Tool\"/>
    </mc:Choice>
  </mc:AlternateContent>
  <xr:revisionPtr revIDLastSave="0" documentId="13_ncr:1_{475E444B-EFE6-4EC7-9AD9-04FFECF63785}" xr6:coauthVersionLast="47" xr6:coauthVersionMax="47" xr10:uidLastSave="{00000000-0000-0000-0000-000000000000}"/>
  <bookViews>
    <workbookView xWindow="-165" yWindow="-165" windowWidth="51930" windowHeight="21210" tabRatio="865" activeTab="3" xr2:uid="{00000000-000D-0000-FFFF-FFFF00000000}"/>
  </bookViews>
  <sheets>
    <sheet name="Disclaimer" sheetId="15" r:id="rId1"/>
    <sheet name="TCO Inputs" sheetId="8" r:id="rId2"/>
    <sheet name="US_Results" sheetId="11" r:id="rId3"/>
    <sheet name="Scenario analysis" sheetId="14" r:id="rId4"/>
    <sheet name="Sensitivity" sheetId="10" r:id="rId5"/>
    <sheet name="100%NG_methaneleaking" sheetId="17" r:id="rId6"/>
    <sheet name="Data" sheetId="2" r:id="rId7"/>
    <sheet name="Car insurance" sheetId="7" r:id="rId8"/>
    <sheet name="VKT US" sheetId="5" r:id="rId9"/>
    <sheet name="US_Fuel cycle emission" sheetId="4" r:id="rId10"/>
    <sheet name="Fuel economy adjusted factor" sheetId="12" r:id="rId11"/>
    <sheet name="China VKT" sheetId="3" state="hidden" r:id="rId12"/>
    <sheet name="US Grid mix, emissions&amp;prices" sheetId="6" r:id="rId13"/>
    <sheet name="US regular gasoline prices" sheetId="9" state="hidden" r:id="rId14"/>
    <sheet name="Year data" sheetId="16" state="hidden" r:id="rId15"/>
    <sheet name="Visualization" sheetId="13" state="hidden" r:id="rId16"/>
    <sheet name="Life-cycle CI" sheetId="18" r:id="rId17"/>
    <sheet name="Life-cycle CI (2)" sheetId="20" r:id="rId18"/>
    <sheet name="Comparison" sheetId="19" state="hidden" r:id="rId19"/>
  </sheets>
  <definedNames>
    <definedName name="m2k">'US_Fuel cycle emission'!$B$2</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55" i="11" l="1"/>
  <c r="BO54" i="11"/>
  <c r="B198" i="18"/>
  <c r="B199" i="18"/>
  <c r="B200" i="18"/>
  <c r="B201" i="18"/>
  <c r="B202" i="18"/>
  <c r="B203" i="18"/>
  <c r="B204" i="18"/>
  <c r="B205" i="18"/>
  <c r="B206" i="18"/>
  <c r="B207" i="18"/>
  <c r="B208" i="18"/>
  <c r="B209" i="18"/>
  <c r="B210" i="18"/>
  <c r="B211" i="18"/>
  <c r="B197" i="18"/>
  <c r="B168" i="18"/>
  <c r="B169" i="18"/>
  <c r="B170" i="18"/>
  <c r="B171" i="18"/>
  <c r="B172" i="18"/>
  <c r="B173" i="18"/>
  <c r="B174" i="18"/>
  <c r="B175" i="18"/>
  <c r="B176" i="18"/>
  <c r="B177" i="18"/>
  <c r="B178" i="18"/>
  <c r="B179" i="18"/>
  <c r="B180" i="18"/>
  <c r="B181" i="18"/>
  <c r="B167" i="18"/>
  <c r="L58" i="19"/>
  <c r="L57" i="19"/>
  <c r="L56" i="19"/>
  <c r="L55" i="19"/>
  <c r="L54" i="19"/>
  <c r="L53" i="19"/>
  <c r="L52" i="19"/>
  <c r="L51" i="19"/>
  <c r="L50" i="19"/>
  <c r="L49" i="19"/>
  <c r="L48" i="19"/>
  <c r="L47" i="19"/>
  <c r="L46" i="19"/>
  <c r="L45" i="19"/>
  <c r="L44" i="19"/>
  <c r="AD675" i="13"/>
  <c r="AD676" i="13"/>
  <c r="AD677" i="13"/>
  <c r="AD678" i="13"/>
  <c r="AD679" i="13"/>
  <c r="AD680" i="13"/>
  <c r="AD681" i="13"/>
  <c r="AD682" i="13"/>
  <c r="AD683" i="13"/>
  <c r="AD684" i="13"/>
  <c r="AD685" i="13"/>
  <c r="AD686" i="13"/>
  <c r="AD687" i="13"/>
  <c r="AD688" i="13"/>
  <c r="AD689" i="13"/>
  <c r="AD690" i="13"/>
  <c r="AD691" i="13"/>
  <c r="AD692" i="13"/>
  <c r="AD693" i="13"/>
  <c r="AD694" i="13"/>
  <c r="AD695" i="13"/>
  <c r="AD696" i="13"/>
  <c r="AD697" i="13"/>
  <c r="AD698" i="13"/>
  <c r="AD699" i="13"/>
  <c r="AD700" i="13"/>
  <c r="AD701" i="13"/>
  <c r="AD702" i="13"/>
  <c r="AD703" i="13"/>
  <c r="AD704" i="13"/>
  <c r="AD705" i="13"/>
  <c r="AD706" i="13"/>
  <c r="AD707" i="13"/>
  <c r="AD708" i="13"/>
  <c r="AD709" i="13"/>
  <c r="AD710" i="13"/>
  <c r="AD711" i="13"/>
  <c r="AD712" i="13"/>
  <c r="AD713" i="13"/>
  <c r="AD714" i="13"/>
  <c r="AD715" i="13"/>
  <c r="AD716" i="13"/>
  <c r="AD717" i="13"/>
  <c r="AD718" i="13"/>
  <c r="AD719" i="13"/>
  <c r="AD720" i="13"/>
  <c r="AD721" i="13"/>
  <c r="AD674" i="13"/>
  <c r="AD627" i="13"/>
  <c r="AD628" i="13"/>
  <c r="AD629" i="13"/>
  <c r="AD630" i="13"/>
  <c r="AD631" i="13"/>
  <c r="AD632" i="13"/>
  <c r="AD633" i="13"/>
  <c r="AD634" i="13"/>
  <c r="AD635" i="13"/>
  <c r="AD636" i="13"/>
  <c r="AD637" i="13"/>
  <c r="AD638" i="13"/>
  <c r="AD639" i="13"/>
  <c r="AD640" i="13"/>
  <c r="AD641" i="13"/>
  <c r="AD642" i="13"/>
  <c r="AD643" i="13"/>
  <c r="AD644" i="13"/>
  <c r="AD645" i="13"/>
  <c r="AD646" i="13"/>
  <c r="AD647" i="13"/>
  <c r="AD648" i="13"/>
  <c r="AD649" i="13"/>
  <c r="AD650" i="13"/>
  <c r="AD651" i="13"/>
  <c r="AD652" i="13"/>
  <c r="AD653" i="13"/>
  <c r="AD654" i="13"/>
  <c r="AD655" i="13"/>
  <c r="AD656" i="13"/>
  <c r="AD657" i="13"/>
  <c r="AD658" i="13"/>
  <c r="AD659" i="13"/>
  <c r="AD660" i="13"/>
  <c r="AD661" i="13"/>
  <c r="AD662" i="13"/>
  <c r="AD663" i="13"/>
  <c r="AD664" i="13"/>
  <c r="AD665" i="13"/>
  <c r="AD666" i="13"/>
  <c r="AD667" i="13"/>
  <c r="AD668" i="13"/>
  <c r="AD669" i="13"/>
  <c r="AD670" i="13"/>
  <c r="AD671" i="13"/>
  <c r="AD672" i="13"/>
  <c r="AD673" i="13"/>
  <c r="AD626" i="13"/>
  <c r="AD579" i="13"/>
  <c r="AD580" i="13"/>
  <c r="AD581" i="13"/>
  <c r="AD582" i="13"/>
  <c r="AD583" i="13"/>
  <c r="AD584" i="13"/>
  <c r="AD585" i="13"/>
  <c r="AD586" i="13"/>
  <c r="AD587" i="13"/>
  <c r="AD588" i="13"/>
  <c r="AD589" i="13"/>
  <c r="AD590" i="13"/>
  <c r="AD591" i="13"/>
  <c r="AD592" i="13"/>
  <c r="AD593" i="13"/>
  <c r="AD594" i="13"/>
  <c r="AD595" i="13"/>
  <c r="AD596" i="13"/>
  <c r="AD597" i="13"/>
  <c r="AD598" i="13"/>
  <c r="AD599" i="13"/>
  <c r="AD600" i="13"/>
  <c r="AD601" i="13"/>
  <c r="AD602" i="13"/>
  <c r="AD603" i="13"/>
  <c r="AD604" i="13"/>
  <c r="AD605" i="13"/>
  <c r="AD606" i="13"/>
  <c r="AD607" i="13"/>
  <c r="AD608" i="13"/>
  <c r="AD609" i="13"/>
  <c r="AD610" i="13"/>
  <c r="AD611" i="13"/>
  <c r="AD612" i="13"/>
  <c r="AD613" i="13"/>
  <c r="AD614" i="13"/>
  <c r="AD615" i="13"/>
  <c r="AD616" i="13"/>
  <c r="AD617" i="13"/>
  <c r="AD618" i="13"/>
  <c r="AD619" i="13"/>
  <c r="AD620" i="13"/>
  <c r="AD621" i="13"/>
  <c r="AD622" i="13"/>
  <c r="AD623" i="13"/>
  <c r="AD624" i="13"/>
  <c r="AD625" i="13"/>
  <c r="AD578" i="13"/>
  <c r="AD531" i="13"/>
  <c r="AD532" i="13"/>
  <c r="AD533" i="13"/>
  <c r="AD534" i="13"/>
  <c r="AD535" i="13"/>
  <c r="AD536" i="13"/>
  <c r="AD537" i="13"/>
  <c r="AD538" i="13"/>
  <c r="AD539" i="13"/>
  <c r="AD540" i="13"/>
  <c r="AD541" i="13"/>
  <c r="AD542" i="13"/>
  <c r="AD543" i="13"/>
  <c r="AD544" i="13"/>
  <c r="AD545" i="13"/>
  <c r="AD546" i="13"/>
  <c r="AD547" i="13"/>
  <c r="AD548" i="13"/>
  <c r="AD549" i="13"/>
  <c r="AD550" i="13"/>
  <c r="AD551" i="13"/>
  <c r="AD552" i="13"/>
  <c r="AD553" i="13"/>
  <c r="AD554" i="13"/>
  <c r="AD555" i="13"/>
  <c r="AD556" i="13"/>
  <c r="AD557" i="13"/>
  <c r="AD558" i="13"/>
  <c r="AD559" i="13"/>
  <c r="AD560" i="13"/>
  <c r="AD561" i="13"/>
  <c r="AD562" i="13"/>
  <c r="AD563" i="13"/>
  <c r="AD564" i="13"/>
  <c r="AD565" i="13"/>
  <c r="AD566" i="13"/>
  <c r="AD567" i="13"/>
  <c r="AD568" i="13"/>
  <c r="AD569" i="13"/>
  <c r="AD570" i="13"/>
  <c r="AD571" i="13"/>
  <c r="AD572" i="13"/>
  <c r="AD573" i="13"/>
  <c r="AD574" i="13"/>
  <c r="AD575" i="13"/>
  <c r="AD576" i="13"/>
  <c r="AD577" i="13"/>
  <c r="AD530" i="13"/>
  <c r="AD483" i="13"/>
  <c r="AD484" i="13"/>
  <c r="AD485" i="13"/>
  <c r="AD486" i="13"/>
  <c r="AD487" i="13"/>
  <c r="AD488" i="13"/>
  <c r="AD489" i="13"/>
  <c r="AD490" i="13"/>
  <c r="AD491" i="13"/>
  <c r="AD492" i="13"/>
  <c r="AD493" i="13"/>
  <c r="AD494" i="13"/>
  <c r="AD495" i="13"/>
  <c r="AD496" i="13"/>
  <c r="AD497" i="13"/>
  <c r="AD498" i="13"/>
  <c r="AD499" i="13"/>
  <c r="AD500" i="13"/>
  <c r="AD501" i="13"/>
  <c r="AD502" i="13"/>
  <c r="AD503" i="13"/>
  <c r="AD504" i="13"/>
  <c r="AD505" i="13"/>
  <c r="AD506" i="13"/>
  <c r="AD507" i="13"/>
  <c r="AD508" i="13"/>
  <c r="AD509" i="13"/>
  <c r="AD510" i="13"/>
  <c r="AD511" i="13"/>
  <c r="AD512" i="13"/>
  <c r="AD513" i="13"/>
  <c r="AD514" i="13"/>
  <c r="AD515" i="13"/>
  <c r="AD516" i="13"/>
  <c r="AD517" i="13"/>
  <c r="AD518" i="13"/>
  <c r="AD519" i="13"/>
  <c r="AD520" i="13"/>
  <c r="AD521" i="13"/>
  <c r="AD522" i="13"/>
  <c r="AD523" i="13"/>
  <c r="AD524" i="13"/>
  <c r="AD525" i="13"/>
  <c r="AD526" i="13"/>
  <c r="AD527" i="13"/>
  <c r="AD528" i="13"/>
  <c r="AD529" i="13"/>
  <c r="AD482" i="13"/>
  <c r="AD435" i="13"/>
  <c r="AD436" i="13"/>
  <c r="AD437" i="13"/>
  <c r="AD438" i="13"/>
  <c r="AD439" i="13"/>
  <c r="AD440" i="13"/>
  <c r="AD441" i="13"/>
  <c r="AD442" i="13"/>
  <c r="AD443" i="13"/>
  <c r="AD444" i="13"/>
  <c r="AD445" i="13"/>
  <c r="AD446" i="13"/>
  <c r="AD447" i="13"/>
  <c r="AD448" i="13"/>
  <c r="AD449" i="13"/>
  <c r="AD450" i="13"/>
  <c r="AD451" i="13"/>
  <c r="AD452" i="13"/>
  <c r="AD453" i="13"/>
  <c r="AD454" i="13"/>
  <c r="AD455" i="13"/>
  <c r="AD456" i="13"/>
  <c r="AD457" i="13"/>
  <c r="AD458" i="13"/>
  <c r="AD459" i="13"/>
  <c r="AD460" i="13"/>
  <c r="AD461" i="13"/>
  <c r="AD462" i="13"/>
  <c r="AD463" i="13"/>
  <c r="AD464" i="13"/>
  <c r="AD465" i="13"/>
  <c r="AD466" i="13"/>
  <c r="AD467" i="13"/>
  <c r="AD468" i="13"/>
  <c r="AD469" i="13"/>
  <c r="AD470" i="13"/>
  <c r="AD471" i="13"/>
  <c r="AD472" i="13"/>
  <c r="AD473" i="13"/>
  <c r="AD474" i="13"/>
  <c r="AD475" i="13"/>
  <c r="AD476" i="13"/>
  <c r="AD477" i="13"/>
  <c r="AD478" i="13"/>
  <c r="AD479" i="13"/>
  <c r="AD480" i="13"/>
  <c r="AD481" i="13"/>
  <c r="AD434" i="13"/>
  <c r="AD387" i="13"/>
  <c r="AD388" i="13"/>
  <c r="AD389" i="13"/>
  <c r="AD390" i="13"/>
  <c r="AD391" i="13"/>
  <c r="AD392" i="13"/>
  <c r="AD393" i="13"/>
  <c r="AD394" i="13"/>
  <c r="AD395" i="13"/>
  <c r="AD396" i="13"/>
  <c r="AD397" i="13"/>
  <c r="AD398" i="13"/>
  <c r="AD399" i="13"/>
  <c r="AD400" i="13"/>
  <c r="AD401" i="13"/>
  <c r="AD402" i="13"/>
  <c r="AD403" i="13"/>
  <c r="AD404" i="13"/>
  <c r="AD405" i="13"/>
  <c r="AD406" i="13"/>
  <c r="AD407" i="13"/>
  <c r="AD408" i="13"/>
  <c r="AD409" i="13"/>
  <c r="AD410" i="13"/>
  <c r="AD411" i="13"/>
  <c r="AD412" i="13"/>
  <c r="AD413" i="13"/>
  <c r="AD414" i="13"/>
  <c r="AD415" i="13"/>
  <c r="AD416" i="13"/>
  <c r="AD417" i="13"/>
  <c r="AD418" i="13"/>
  <c r="AD419" i="13"/>
  <c r="AD420" i="13"/>
  <c r="AD421" i="13"/>
  <c r="AD422" i="13"/>
  <c r="AD423" i="13"/>
  <c r="AD424" i="13"/>
  <c r="AD425" i="13"/>
  <c r="AD426" i="13"/>
  <c r="AD427" i="13"/>
  <c r="AD428" i="13"/>
  <c r="AD429" i="13"/>
  <c r="AD430" i="13"/>
  <c r="AD431" i="13"/>
  <c r="AD432" i="13"/>
  <c r="AD433" i="13"/>
  <c r="AD386" i="13"/>
  <c r="AD340" i="13"/>
  <c r="AD341" i="13"/>
  <c r="AD342" i="13"/>
  <c r="AD343" i="13"/>
  <c r="AD344" i="13"/>
  <c r="AD345" i="13"/>
  <c r="AD346" i="13"/>
  <c r="AD347" i="13"/>
  <c r="AD348" i="13"/>
  <c r="AD349" i="13"/>
  <c r="AD350" i="13"/>
  <c r="AD351" i="13"/>
  <c r="AD352" i="13"/>
  <c r="AD353" i="13"/>
  <c r="AD354" i="13"/>
  <c r="AD355" i="13"/>
  <c r="AD356" i="13"/>
  <c r="AD357" i="13"/>
  <c r="AD358" i="13"/>
  <c r="AD359" i="13"/>
  <c r="AD360" i="13"/>
  <c r="AD361" i="13"/>
  <c r="AD362" i="13"/>
  <c r="AD363" i="13"/>
  <c r="AD364" i="13"/>
  <c r="AD365" i="13"/>
  <c r="AD366" i="13"/>
  <c r="AD367" i="13"/>
  <c r="AD368" i="13"/>
  <c r="AD369" i="13"/>
  <c r="AD370" i="13"/>
  <c r="AD371" i="13"/>
  <c r="AD372" i="13"/>
  <c r="AD373" i="13"/>
  <c r="AD374" i="13"/>
  <c r="AD375" i="13"/>
  <c r="AD376" i="13"/>
  <c r="AD377" i="13"/>
  <c r="AD378" i="13"/>
  <c r="AD379" i="13"/>
  <c r="AD380" i="13"/>
  <c r="AD381" i="13"/>
  <c r="AD382" i="13"/>
  <c r="AD383" i="13"/>
  <c r="AD384" i="13"/>
  <c r="AD385" i="13"/>
  <c r="AD338" i="13"/>
  <c r="AD291" i="13"/>
  <c r="AD292" i="13"/>
  <c r="AD293" i="13"/>
  <c r="AD294" i="13"/>
  <c r="AD295" i="13"/>
  <c r="AD296" i="13"/>
  <c r="AD297" i="13"/>
  <c r="AD298" i="13"/>
  <c r="AD299" i="13"/>
  <c r="AD300" i="13"/>
  <c r="AD301" i="13"/>
  <c r="AD302" i="13"/>
  <c r="AD303" i="13"/>
  <c r="AD304" i="13"/>
  <c r="AD305" i="13"/>
  <c r="AD306" i="13"/>
  <c r="AD307" i="13"/>
  <c r="AD308" i="13"/>
  <c r="AD309" i="13"/>
  <c r="AD310" i="13"/>
  <c r="AD311" i="13"/>
  <c r="AD312" i="13"/>
  <c r="AD313" i="13"/>
  <c r="AD314" i="13"/>
  <c r="AD315" i="13"/>
  <c r="AD316" i="13"/>
  <c r="AD317" i="13"/>
  <c r="AD318" i="13"/>
  <c r="AD319" i="13"/>
  <c r="AD320" i="13"/>
  <c r="AD321" i="13"/>
  <c r="AD322" i="13"/>
  <c r="AD323" i="13"/>
  <c r="AD324" i="13"/>
  <c r="AD325" i="13"/>
  <c r="AD326" i="13"/>
  <c r="AD327" i="13"/>
  <c r="AD328" i="13"/>
  <c r="AD329" i="13"/>
  <c r="AD330" i="13"/>
  <c r="AD331" i="13"/>
  <c r="AD332" i="13"/>
  <c r="AD333" i="13"/>
  <c r="AD334" i="13"/>
  <c r="AD335" i="13"/>
  <c r="AD336" i="13"/>
  <c r="AD337" i="13"/>
  <c r="AD339" i="13"/>
  <c r="AD290" i="13"/>
  <c r="AD243" i="13"/>
  <c r="AD244" i="13"/>
  <c r="AD245" i="13"/>
  <c r="AD246" i="13"/>
  <c r="AD247" i="13"/>
  <c r="AD248" i="13"/>
  <c r="AD249" i="13"/>
  <c r="AD250" i="13"/>
  <c r="AD251" i="13"/>
  <c r="AD252" i="13"/>
  <c r="AD253" i="13"/>
  <c r="AD254" i="13"/>
  <c r="AD255" i="13"/>
  <c r="AD256" i="13"/>
  <c r="AD257" i="13"/>
  <c r="AD258" i="13"/>
  <c r="AD259" i="13"/>
  <c r="AD260" i="13"/>
  <c r="AD261" i="13"/>
  <c r="AD262" i="13"/>
  <c r="AD263" i="13"/>
  <c r="AD264" i="13"/>
  <c r="AD265" i="13"/>
  <c r="AD266" i="13"/>
  <c r="AD267" i="13"/>
  <c r="AD268" i="13"/>
  <c r="AD269" i="13"/>
  <c r="AD270" i="13"/>
  <c r="AD271" i="13"/>
  <c r="AD272" i="13"/>
  <c r="AD273" i="13"/>
  <c r="AD274" i="13"/>
  <c r="AD275" i="13"/>
  <c r="AD276" i="13"/>
  <c r="AD277" i="13"/>
  <c r="AD278" i="13"/>
  <c r="AD279" i="13"/>
  <c r="AD280" i="13"/>
  <c r="AD281" i="13"/>
  <c r="AD282" i="13"/>
  <c r="AD283" i="13"/>
  <c r="AD284" i="13"/>
  <c r="AD285" i="13"/>
  <c r="AD286" i="13"/>
  <c r="AD287" i="13"/>
  <c r="AD288" i="13"/>
  <c r="AD289" i="13"/>
  <c r="AD242" i="13"/>
  <c r="AD195" i="13"/>
  <c r="AD196" i="13"/>
  <c r="AD197" i="13"/>
  <c r="AD198" i="13"/>
  <c r="AD199" i="13"/>
  <c r="AD200" i="13"/>
  <c r="AD201" i="13"/>
  <c r="AD202" i="13"/>
  <c r="AD203" i="13"/>
  <c r="AD204" i="13"/>
  <c r="AD205" i="13"/>
  <c r="AD206" i="13"/>
  <c r="AD207" i="13"/>
  <c r="AD208" i="13"/>
  <c r="AD209" i="13"/>
  <c r="AD210" i="13"/>
  <c r="AD211" i="13"/>
  <c r="AD212" i="13"/>
  <c r="AD213" i="13"/>
  <c r="AD214" i="13"/>
  <c r="AD215" i="13"/>
  <c r="AD216" i="13"/>
  <c r="AD217" i="13"/>
  <c r="AD218" i="13"/>
  <c r="AD219" i="13"/>
  <c r="AD220" i="13"/>
  <c r="AD221" i="13"/>
  <c r="AD222" i="13"/>
  <c r="AD223" i="13"/>
  <c r="AD224" i="13"/>
  <c r="AD225" i="13"/>
  <c r="AD226" i="13"/>
  <c r="AD227" i="13"/>
  <c r="AD228" i="13"/>
  <c r="AD229" i="13"/>
  <c r="AD230" i="13"/>
  <c r="AD231" i="13"/>
  <c r="AD232" i="13"/>
  <c r="AD233" i="13"/>
  <c r="AD234" i="13"/>
  <c r="AD235" i="13"/>
  <c r="AD236" i="13"/>
  <c r="AD237" i="13"/>
  <c r="AD238" i="13"/>
  <c r="AD239" i="13"/>
  <c r="AD240" i="13"/>
  <c r="AD241" i="13"/>
  <c r="AD194" i="13"/>
  <c r="AD147" i="13"/>
  <c r="AD148" i="13"/>
  <c r="AD149" i="13"/>
  <c r="AD150" i="13"/>
  <c r="AD151" i="13"/>
  <c r="AD152" i="13"/>
  <c r="AD153" i="13"/>
  <c r="AD154" i="13"/>
  <c r="AD155" i="13"/>
  <c r="AD156" i="13"/>
  <c r="AD157" i="13"/>
  <c r="AD158" i="13"/>
  <c r="AD159" i="13"/>
  <c r="AD160" i="13"/>
  <c r="AD161" i="13"/>
  <c r="AD162" i="13"/>
  <c r="AD163" i="13"/>
  <c r="AD164" i="13"/>
  <c r="AD165" i="13"/>
  <c r="AD166" i="13"/>
  <c r="AD167" i="13"/>
  <c r="AD168" i="13"/>
  <c r="AD169" i="13"/>
  <c r="AD170" i="13"/>
  <c r="AD171" i="13"/>
  <c r="AD172" i="13"/>
  <c r="AD173" i="13"/>
  <c r="AD174" i="13"/>
  <c r="AD175" i="13"/>
  <c r="AD176" i="13"/>
  <c r="AD177" i="13"/>
  <c r="AD178" i="13"/>
  <c r="AD179" i="13"/>
  <c r="AD180" i="13"/>
  <c r="AD181" i="13"/>
  <c r="AD182" i="13"/>
  <c r="AD183" i="13"/>
  <c r="AD184" i="13"/>
  <c r="AD185" i="13"/>
  <c r="AD186" i="13"/>
  <c r="AD187" i="13"/>
  <c r="AD188" i="13"/>
  <c r="AD189" i="13"/>
  <c r="AD190" i="13"/>
  <c r="AD191" i="13"/>
  <c r="AD192" i="13"/>
  <c r="AD193" i="13"/>
  <c r="AD146" i="13"/>
  <c r="AD51" i="13"/>
  <c r="AD52" i="13"/>
  <c r="AD53" i="13"/>
  <c r="AD54" i="13"/>
  <c r="AD55" i="13"/>
  <c r="AD56" i="13"/>
  <c r="AD57" i="13"/>
  <c r="AD58" i="13"/>
  <c r="AD59" i="13"/>
  <c r="AD60" i="13"/>
  <c r="AD61" i="13"/>
  <c r="AD62" i="13"/>
  <c r="AD63" i="13"/>
  <c r="AD64" i="13"/>
  <c r="AD65" i="13"/>
  <c r="AD66" i="13"/>
  <c r="AD67" i="13"/>
  <c r="AD68" i="13"/>
  <c r="AD69" i="13"/>
  <c r="AD70" i="13"/>
  <c r="AD71" i="13"/>
  <c r="AD72" i="13"/>
  <c r="AD73" i="13"/>
  <c r="AD74" i="13"/>
  <c r="AD75" i="13"/>
  <c r="AD76" i="13"/>
  <c r="AD77" i="13"/>
  <c r="AD78" i="13"/>
  <c r="AD79" i="13"/>
  <c r="AD80" i="13"/>
  <c r="AD81" i="13"/>
  <c r="AD82" i="13"/>
  <c r="AD83" i="13"/>
  <c r="AD84" i="13"/>
  <c r="AD85" i="13"/>
  <c r="AD86" i="13"/>
  <c r="AD87" i="13"/>
  <c r="AD88" i="13"/>
  <c r="AD89" i="13"/>
  <c r="AD90" i="13"/>
  <c r="AD91" i="13"/>
  <c r="AD92" i="13"/>
  <c r="AD93" i="13"/>
  <c r="AD94" i="13"/>
  <c r="AD95" i="13"/>
  <c r="AD96" i="13"/>
  <c r="AD97" i="13"/>
  <c r="AD99" i="13"/>
  <c r="AD100" i="13"/>
  <c r="AD101" i="13"/>
  <c r="AD102" i="13"/>
  <c r="AD103" i="13"/>
  <c r="AD104" i="13"/>
  <c r="AD105" i="13"/>
  <c r="AD106" i="13"/>
  <c r="AD107" i="13"/>
  <c r="AD108" i="13"/>
  <c r="AD109" i="13"/>
  <c r="AD110" i="13"/>
  <c r="AD111" i="13"/>
  <c r="AD112" i="13"/>
  <c r="AD113" i="13"/>
  <c r="AD114" i="13"/>
  <c r="AD115" i="13"/>
  <c r="AD116" i="13"/>
  <c r="AD117" i="13"/>
  <c r="AD118" i="13"/>
  <c r="AD119" i="13"/>
  <c r="AD120" i="13"/>
  <c r="AD121" i="13"/>
  <c r="AD122" i="13"/>
  <c r="AD123" i="13"/>
  <c r="AD124" i="13"/>
  <c r="AD125" i="13"/>
  <c r="AD126" i="13"/>
  <c r="AD127" i="13"/>
  <c r="AD128" i="13"/>
  <c r="AD129" i="13"/>
  <c r="AD130" i="13"/>
  <c r="AD131" i="13"/>
  <c r="AD132" i="13"/>
  <c r="AD133" i="13"/>
  <c r="AD134" i="13"/>
  <c r="AD135" i="13"/>
  <c r="AD136" i="13"/>
  <c r="AD137" i="13"/>
  <c r="AD138" i="13"/>
  <c r="AD139" i="13"/>
  <c r="AD140" i="13"/>
  <c r="AD141" i="13"/>
  <c r="AD142" i="13"/>
  <c r="AD143" i="13"/>
  <c r="AD144" i="13"/>
  <c r="AD145" i="13"/>
  <c r="AD98" i="13"/>
  <c r="AD50" i="13"/>
  <c r="AC50" i="13" l="1"/>
  <c r="AC51" i="13"/>
  <c r="AC52" i="13"/>
  <c r="AC53" i="13"/>
  <c r="AC54" i="13"/>
  <c r="AC55" i="13"/>
  <c r="AC56" i="13"/>
  <c r="AC57" i="13"/>
  <c r="AC58" i="13"/>
  <c r="AC59" i="13"/>
  <c r="AC60" i="13"/>
  <c r="AC61" i="13"/>
  <c r="AC62" i="13"/>
  <c r="AC63" i="13"/>
  <c r="AC64" i="13"/>
  <c r="AC65" i="13"/>
  <c r="AC66" i="13"/>
  <c r="AC67" i="13"/>
  <c r="AC68" i="13"/>
  <c r="AC69" i="13"/>
  <c r="AC70" i="13"/>
  <c r="AC71" i="13"/>
  <c r="AC72" i="13"/>
  <c r="AC73" i="13"/>
  <c r="AC74" i="13"/>
  <c r="AC75" i="13"/>
  <c r="AC76" i="13"/>
  <c r="AC77" i="13"/>
  <c r="AC78" i="13"/>
  <c r="AC79" i="13"/>
  <c r="AC80" i="13"/>
  <c r="AC81" i="13"/>
  <c r="AC82" i="13"/>
  <c r="AC83" i="13"/>
  <c r="AC84" i="13"/>
  <c r="AC85" i="13"/>
  <c r="AC86" i="13"/>
  <c r="AC87" i="13"/>
  <c r="AC88" i="13"/>
  <c r="AC89" i="13"/>
  <c r="AC90" i="13"/>
  <c r="AC91" i="13"/>
  <c r="AC92" i="13"/>
  <c r="AC93" i="13"/>
  <c r="AC94" i="13"/>
  <c r="AC95" i="13"/>
  <c r="AC96" i="13"/>
  <c r="AC97" i="13"/>
  <c r="AC98" i="13"/>
  <c r="AC99" i="13"/>
  <c r="AC100" i="13"/>
  <c r="AC101" i="13"/>
  <c r="AC102" i="13"/>
  <c r="AC103" i="13"/>
  <c r="AC104" i="13"/>
  <c r="AC105" i="13"/>
  <c r="AC106" i="13"/>
  <c r="AC107" i="13"/>
  <c r="AC108" i="13"/>
  <c r="AC109" i="13"/>
  <c r="AC110" i="13"/>
  <c r="AC111" i="13"/>
  <c r="AC112" i="13"/>
  <c r="AC113" i="13"/>
  <c r="AC114" i="13"/>
  <c r="AC115" i="13"/>
  <c r="AC116" i="13"/>
  <c r="AC117" i="13"/>
  <c r="AC118" i="13"/>
  <c r="AC119" i="13"/>
  <c r="AC120" i="13"/>
  <c r="AC121" i="13"/>
  <c r="AC122" i="13"/>
  <c r="AC123" i="13"/>
  <c r="AC124" i="13"/>
  <c r="AC125" i="13"/>
  <c r="AC126" i="13"/>
  <c r="AC127" i="13"/>
  <c r="AC128" i="13"/>
  <c r="AC129" i="13"/>
  <c r="AC130" i="13"/>
  <c r="AC131" i="13"/>
  <c r="AC132" i="13"/>
  <c r="AC133" i="13"/>
  <c r="AC134" i="13"/>
  <c r="AC135" i="13"/>
  <c r="AC136" i="13"/>
  <c r="AC137" i="13"/>
  <c r="AC138" i="13"/>
  <c r="AC139" i="13"/>
  <c r="AC140" i="13"/>
  <c r="AC141" i="13"/>
  <c r="AC142" i="13"/>
  <c r="AC143" i="13"/>
  <c r="AC144" i="13"/>
  <c r="AC145" i="13"/>
  <c r="AC146" i="13"/>
  <c r="AC147" i="13"/>
  <c r="AC148" i="13"/>
  <c r="AC149" i="13"/>
  <c r="AC150" i="13"/>
  <c r="AC151" i="13"/>
  <c r="AC152" i="13"/>
  <c r="AC153" i="13"/>
  <c r="AC154" i="13"/>
  <c r="AC155" i="13"/>
  <c r="AC156" i="13"/>
  <c r="AC157" i="13"/>
  <c r="AC158" i="13"/>
  <c r="AC159" i="13"/>
  <c r="AC160" i="13"/>
  <c r="AC161" i="13"/>
  <c r="AC162" i="13"/>
  <c r="AC163" i="13"/>
  <c r="AC164" i="13"/>
  <c r="AC165" i="13"/>
  <c r="AC166" i="13"/>
  <c r="AC167" i="13"/>
  <c r="AC168" i="13"/>
  <c r="AC169" i="13"/>
  <c r="AC170" i="13"/>
  <c r="AC171" i="13"/>
  <c r="AC172" i="13"/>
  <c r="AC173" i="13"/>
  <c r="AC174" i="13"/>
  <c r="AC175" i="13"/>
  <c r="AC176" i="13"/>
  <c r="AC177" i="13"/>
  <c r="AC178" i="13"/>
  <c r="AC179" i="13"/>
  <c r="AC180" i="13"/>
  <c r="AC181" i="13"/>
  <c r="AC182" i="13"/>
  <c r="AC183" i="13"/>
  <c r="AC184" i="13"/>
  <c r="AC185" i="13"/>
  <c r="AC186" i="13"/>
  <c r="AC187" i="13"/>
  <c r="AC188" i="13"/>
  <c r="AC189" i="13"/>
  <c r="AC190" i="13"/>
  <c r="AC191" i="13"/>
  <c r="AC192" i="13"/>
  <c r="AC193" i="13"/>
  <c r="AC194" i="13"/>
  <c r="AC195" i="13"/>
  <c r="AC196" i="13"/>
  <c r="AC197" i="13"/>
  <c r="AC198" i="13"/>
  <c r="AC199" i="13"/>
  <c r="AC200" i="13"/>
  <c r="AC201" i="13"/>
  <c r="AC202" i="13"/>
  <c r="AC203" i="13"/>
  <c r="AC204" i="13"/>
  <c r="AC205" i="13"/>
  <c r="AC206" i="13"/>
  <c r="AC207" i="13"/>
  <c r="AC208" i="13"/>
  <c r="AC209" i="13"/>
  <c r="AC210" i="13"/>
  <c r="AC211" i="13"/>
  <c r="AC212" i="13"/>
  <c r="AC213" i="13"/>
  <c r="AC214" i="13"/>
  <c r="AC215" i="13"/>
  <c r="AC216" i="13"/>
  <c r="AC217" i="13"/>
  <c r="AC218" i="13"/>
  <c r="AC219" i="13"/>
  <c r="AC220" i="13"/>
  <c r="AC221" i="13"/>
  <c r="AC222" i="13"/>
  <c r="AC223" i="13"/>
  <c r="AC224" i="13"/>
  <c r="AC225" i="13"/>
  <c r="AC226" i="13"/>
  <c r="AC227" i="13"/>
  <c r="AC228" i="13"/>
  <c r="AC229" i="13"/>
  <c r="AC230" i="13"/>
  <c r="AC231" i="13"/>
  <c r="AC232" i="13"/>
  <c r="AC233" i="13"/>
  <c r="AC234" i="13"/>
  <c r="AC235" i="13"/>
  <c r="AC236" i="13"/>
  <c r="AC237" i="13"/>
  <c r="AC238" i="13"/>
  <c r="AC239" i="13"/>
  <c r="AC240" i="13"/>
  <c r="AC241" i="13"/>
  <c r="AC242" i="13"/>
  <c r="AC243" i="13"/>
  <c r="AC244" i="13"/>
  <c r="AC245" i="13"/>
  <c r="AC246" i="13"/>
  <c r="AC247" i="13"/>
  <c r="AC248" i="13"/>
  <c r="AC249" i="13"/>
  <c r="AC250" i="13"/>
  <c r="AC251" i="13"/>
  <c r="AC252" i="13"/>
  <c r="AC253" i="13"/>
  <c r="AC254" i="13"/>
  <c r="AC255" i="13"/>
  <c r="AC256" i="13"/>
  <c r="AC257" i="13"/>
  <c r="AC258" i="13"/>
  <c r="AC259" i="13"/>
  <c r="AC260" i="13"/>
  <c r="AC261" i="13"/>
  <c r="AC262" i="13"/>
  <c r="AC263" i="13"/>
  <c r="AC264" i="13"/>
  <c r="AC265" i="13"/>
  <c r="AC266" i="13"/>
  <c r="AC267" i="13"/>
  <c r="AC268" i="13"/>
  <c r="AC269" i="13"/>
  <c r="AC270" i="13"/>
  <c r="AC271" i="13"/>
  <c r="AC272" i="13"/>
  <c r="AC273" i="13"/>
  <c r="AC274" i="13"/>
  <c r="AC275" i="13"/>
  <c r="AC276" i="13"/>
  <c r="AC277" i="13"/>
  <c r="AC278" i="13"/>
  <c r="AC279" i="13"/>
  <c r="AC280" i="13"/>
  <c r="AC281" i="13"/>
  <c r="AC282" i="13"/>
  <c r="AC283" i="13"/>
  <c r="AC284" i="13"/>
  <c r="AC285" i="13"/>
  <c r="AC286" i="13"/>
  <c r="AC287" i="13"/>
  <c r="AC288" i="13"/>
  <c r="AC289" i="13"/>
  <c r="AC290" i="13"/>
  <c r="AC291" i="13"/>
  <c r="AC292" i="13"/>
  <c r="AC293" i="13"/>
  <c r="AC294" i="13"/>
  <c r="AC295" i="13"/>
  <c r="AC296" i="13"/>
  <c r="AC297" i="13"/>
  <c r="AC298" i="13"/>
  <c r="AC299" i="13"/>
  <c r="AC300" i="13"/>
  <c r="AC301" i="13"/>
  <c r="AC302" i="13"/>
  <c r="AC303" i="13"/>
  <c r="AC304" i="13"/>
  <c r="AC305" i="13"/>
  <c r="AC306" i="13"/>
  <c r="AC307" i="13"/>
  <c r="AC308" i="13"/>
  <c r="AC309" i="13"/>
  <c r="AC310" i="13"/>
  <c r="AC311" i="13"/>
  <c r="AC312" i="13"/>
  <c r="AC313" i="13"/>
  <c r="AC314" i="13"/>
  <c r="AC315" i="13"/>
  <c r="AC316" i="13"/>
  <c r="AC317" i="13"/>
  <c r="AC318" i="13"/>
  <c r="AC319" i="13"/>
  <c r="AC320" i="13"/>
  <c r="AC321" i="13"/>
  <c r="AC322" i="13"/>
  <c r="AC323" i="13"/>
  <c r="AC324" i="13"/>
  <c r="AC325" i="13"/>
  <c r="AC326" i="13"/>
  <c r="AC327" i="13"/>
  <c r="AC328" i="13"/>
  <c r="AC329" i="13"/>
  <c r="AC330" i="13"/>
  <c r="AC331" i="13"/>
  <c r="AC332" i="13"/>
  <c r="AC333" i="13"/>
  <c r="AC334" i="13"/>
  <c r="AC335" i="13"/>
  <c r="AC336" i="13"/>
  <c r="AC337" i="13"/>
  <c r="AC338" i="13"/>
  <c r="AC339" i="13"/>
  <c r="AC340" i="13"/>
  <c r="AC341" i="13"/>
  <c r="AC342" i="13"/>
  <c r="AC343" i="13"/>
  <c r="AC344" i="13"/>
  <c r="AC345" i="13"/>
  <c r="AC346" i="13"/>
  <c r="AC347" i="13"/>
  <c r="AC348" i="13"/>
  <c r="AC349" i="13"/>
  <c r="AC350" i="13"/>
  <c r="AC351" i="13"/>
  <c r="AC352" i="13"/>
  <c r="AC353" i="13"/>
  <c r="AC354" i="13"/>
  <c r="AC355" i="13"/>
  <c r="AC356" i="13"/>
  <c r="AC357" i="13"/>
  <c r="AC358" i="13"/>
  <c r="AC359" i="13"/>
  <c r="AC360" i="13"/>
  <c r="AC361" i="13"/>
  <c r="AC362" i="13"/>
  <c r="AC363" i="13"/>
  <c r="AC364" i="13"/>
  <c r="AC365" i="13"/>
  <c r="AC366" i="13"/>
  <c r="AC367" i="13"/>
  <c r="AC368" i="13"/>
  <c r="AC369" i="13"/>
  <c r="AC370" i="13"/>
  <c r="AC371" i="13"/>
  <c r="AC372" i="13"/>
  <c r="AC373" i="13"/>
  <c r="AC374" i="13"/>
  <c r="AC375" i="13"/>
  <c r="AC376" i="13"/>
  <c r="AC377" i="13"/>
  <c r="AC378" i="13"/>
  <c r="AC379" i="13"/>
  <c r="AC380" i="13"/>
  <c r="AC381" i="13"/>
  <c r="AC382" i="13"/>
  <c r="AC383" i="13"/>
  <c r="AC384" i="13"/>
  <c r="AC385" i="13"/>
  <c r="AC386" i="13"/>
  <c r="AC387" i="13"/>
  <c r="AC388" i="13"/>
  <c r="AC389" i="13"/>
  <c r="AC390" i="13"/>
  <c r="AC391" i="13"/>
  <c r="AC392" i="13"/>
  <c r="AC393" i="13"/>
  <c r="AC394" i="13"/>
  <c r="AC395" i="13"/>
  <c r="AC396" i="13"/>
  <c r="AC397" i="13"/>
  <c r="AC398" i="13"/>
  <c r="AC399" i="13"/>
  <c r="AC400" i="13"/>
  <c r="AC401" i="13"/>
  <c r="AC402" i="13"/>
  <c r="AC403" i="13"/>
  <c r="AC404" i="13"/>
  <c r="AC405" i="13"/>
  <c r="AC406" i="13"/>
  <c r="AC407" i="13"/>
  <c r="AC408" i="13"/>
  <c r="AC409" i="13"/>
  <c r="AC410" i="13"/>
  <c r="AC411" i="13"/>
  <c r="AC412" i="13"/>
  <c r="AC413" i="13"/>
  <c r="AC414" i="13"/>
  <c r="AC415" i="13"/>
  <c r="AC416" i="13"/>
  <c r="AC417" i="13"/>
  <c r="AC418" i="13"/>
  <c r="AC419" i="13"/>
  <c r="AC420" i="13"/>
  <c r="AC421" i="13"/>
  <c r="AC422" i="13"/>
  <c r="AC423" i="13"/>
  <c r="AC424" i="13"/>
  <c r="AC425" i="13"/>
  <c r="AC426" i="13"/>
  <c r="AC427" i="13"/>
  <c r="AC428" i="13"/>
  <c r="AC429" i="13"/>
  <c r="AC430" i="13"/>
  <c r="AC431" i="13"/>
  <c r="AC432" i="13"/>
  <c r="AC433" i="13"/>
  <c r="AC434" i="13"/>
  <c r="AC435" i="13"/>
  <c r="AC436" i="13"/>
  <c r="AC437" i="13"/>
  <c r="AC438" i="13"/>
  <c r="AC439" i="13"/>
  <c r="AC440" i="13"/>
  <c r="AC441" i="13"/>
  <c r="AC442" i="13"/>
  <c r="AC443" i="13"/>
  <c r="AC444" i="13"/>
  <c r="AC445" i="13"/>
  <c r="AC446" i="13"/>
  <c r="AC447" i="13"/>
  <c r="AC448" i="13"/>
  <c r="AC449" i="13"/>
  <c r="AC450" i="13"/>
  <c r="AC451" i="13"/>
  <c r="AC452" i="13"/>
  <c r="AC453" i="13"/>
  <c r="AC454" i="13"/>
  <c r="AC455" i="13"/>
  <c r="AC456" i="13"/>
  <c r="AC457" i="13"/>
  <c r="AC458" i="13"/>
  <c r="AC459" i="13"/>
  <c r="AC460" i="13"/>
  <c r="AC461" i="13"/>
  <c r="AC462" i="13"/>
  <c r="AC463" i="13"/>
  <c r="AC464" i="13"/>
  <c r="AC465" i="13"/>
  <c r="AC466" i="13"/>
  <c r="AC467" i="13"/>
  <c r="AC468" i="13"/>
  <c r="AC469" i="13"/>
  <c r="AC470" i="13"/>
  <c r="AC471" i="13"/>
  <c r="AC472" i="13"/>
  <c r="AC473" i="13"/>
  <c r="AC474" i="13"/>
  <c r="AC475" i="13"/>
  <c r="AC476" i="13"/>
  <c r="AC477" i="13"/>
  <c r="AC478" i="13"/>
  <c r="AC479" i="13"/>
  <c r="AC480" i="13"/>
  <c r="AC481" i="13"/>
  <c r="AC482" i="13"/>
  <c r="AC483" i="13"/>
  <c r="AC484" i="13"/>
  <c r="AC485" i="13"/>
  <c r="AC486" i="13"/>
  <c r="AC487" i="13"/>
  <c r="AC488" i="13"/>
  <c r="AC489" i="13"/>
  <c r="AC490" i="13"/>
  <c r="AC491" i="13"/>
  <c r="AC492" i="13"/>
  <c r="AC493" i="13"/>
  <c r="AC494" i="13"/>
  <c r="AC495" i="13"/>
  <c r="AC496" i="13"/>
  <c r="AC497" i="13"/>
  <c r="AC498" i="13"/>
  <c r="AC499" i="13"/>
  <c r="AC500" i="13"/>
  <c r="AC501" i="13"/>
  <c r="AC502" i="13"/>
  <c r="AC503" i="13"/>
  <c r="AC504" i="13"/>
  <c r="AC505" i="13"/>
  <c r="AC506" i="13"/>
  <c r="AC507" i="13"/>
  <c r="AC508" i="13"/>
  <c r="AC509" i="13"/>
  <c r="AC510" i="13"/>
  <c r="AC511" i="13"/>
  <c r="AC512" i="13"/>
  <c r="AC513" i="13"/>
  <c r="AC514" i="13"/>
  <c r="AC515" i="13"/>
  <c r="AC516" i="13"/>
  <c r="AC517" i="13"/>
  <c r="AC518" i="13"/>
  <c r="AC519" i="13"/>
  <c r="AC520" i="13"/>
  <c r="AC521" i="13"/>
  <c r="AC522" i="13"/>
  <c r="AC523" i="13"/>
  <c r="AC524" i="13"/>
  <c r="AC525" i="13"/>
  <c r="AC526" i="13"/>
  <c r="AC527" i="13"/>
  <c r="AC528" i="13"/>
  <c r="AC529" i="13"/>
  <c r="AC530" i="13"/>
  <c r="AC531" i="13"/>
  <c r="AC532" i="13"/>
  <c r="AC533" i="13"/>
  <c r="AC534" i="13"/>
  <c r="AC535" i="13"/>
  <c r="AC536" i="13"/>
  <c r="AC537" i="13"/>
  <c r="AC538" i="13"/>
  <c r="AC539" i="13"/>
  <c r="AC540" i="13"/>
  <c r="AC541" i="13"/>
  <c r="AC542" i="13"/>
  <c r="AC543" i="13"/>
  <c r="AC544" i="13"/>
  <c r="AC545" i="13"/>
  <c r="AC546" i="13"/>
  <c r="AC547" i="13"/>
  <c r="AC548" i="13"/>
  <c r="AC549" i="13"/>
  <c r="AC550" i="13"/>
  <c r="AC551" i="13"/>
  <c r="AC552" i="13"/>
  <c r="AC553" i="13"/>
  <c r="AC554" i="13"/>
  <c r="AC555" i="13"/>
  <c r="AC556" i="13"/>
  <c r="AC557" i="13"/>
  <c r="AC558" i="13"/>
  <c r="AC559" i="13"/>
  <c r="AC560" i="13"/>
  <c r="AC561" i="13"/>
  <c r="AC562" i="13"/>
  <c r="AC563" i="13"/>
  <c r="AC564" i="13"/>
  <c r="AC565" i="13"/>
  <c r="AC566" i="13"/>
  <c r="AC567" i="13"/>
  <c r="AC568" i="13"/>
  <c r="AC569" i="13"/>
  <c r="AC570" i="13"/>
  <c r="AC571" i="13"/>
  <c r="AC572" i="13"/>
  <c r="AC573" i="13"/>
  <c r="AC574" i="13"/>
  <c r="AC575" i="13"/>
  <c r="AC576" i="13"/>
  <c r="AC577" i="13"/>
  <c r="AC578" i="13"/>
  <c r="AC579" i="13"/>
  <c r="AC580" i="13"/>
  <c r="AC581" i="13"/>
  <c r="AC582" i="13"/>
  <c r="AC583" i="13"/>
  <c r="AC584" i="13"/>
  <c r="AC585" i="13"/>
  <c r="AC586" i="13"/>
  <c r="AC587" i="13"/>
  <c r="AC588" i="13"/>
  <c r="AC589" i="13"/>
  <c r="AC590" i="13"/>
  <c r="AC591" i="13"/>
  <c r="AC592" i="13"/>
  <c r="AC593" i="13"/>
  <c r="AC594" i="13"/>
  <c r="AC595" i="13"/>
  <c r="AC596" i="13"/>
  <c r="AC597" i="13"/>
  <c r="AC598" i="13"/>
  <c r="AC599" i="13"/>
  <c r="AC600" i="13"/>
  <c r="AC601" i="13"/>
  <c r="AC602" i="13"/>
  <c r="AC603" i="13"/>
  <c r="AC604" i="13"/>
  <c r="AC605" i="13"/>
  <c r="AC606" i="13"/>
  <c r="AC607" i="13"/>
  <c r="AC608" i="13"/>
  <c r="AC609" i="13"/>
  <c r="AC610" i="13"/>
  <c r="AC611" i="13"/>
  <c r="AC612" i="13"/>
  <c r="AC613" i="13"/>
  <c r="AC614" i="13"/>
  <c r="AC615" i="13"/>
  <c r="AC616" i="13"/>
  <c r="AC617" i="13"/>
  <c r="AC618" i="13"/>
  <c r="AC619" i="13"/>
  <c r="AC620" i="13"/>
  <c r="AC621" i="13"/>
  <c r="AC622" i="13"/>
  <c r="AC623" i="13"/>
  <c r="AC624" i="13"/>
  <c r="AC625" i="13"/>
  <c r="AC626" i="13"/>
  <c r="AC627" i="13"/>
  <c r="AC628" i="13"/>
  <c r="AC629" i="13"/>
  <c r="AC630" i="13"/>
  <c r="AC631" i="13"/>
  <c r="AC632" i="13"/>
  <c r="AC633" i="13"/>
  <c r="AC634" i="13"/>
  <c r="AC635" i="13"/>
  <c r="AC636" i="13"/>
  <c r="AC637" i="13"/>
  <c r="AC638" i="13"/>
  <c r="AC639" i="13"/>
  <c r="AC640" i="13"/>
  <c r="AC641" i="13"/>
  <c r="AC642" i="13"/>
  <c r="AC643" i="13"/>
  <c r="AC644" i="13"/>
  <c r="AC645" i="13"/>
  <c r="AC646" i="13"/>
  <c r="AC647" i="13"/>
  <c r="AC648" i="13"/>
  <c r="AC649" i="13"/>
  <c r="AC650" i="13"/>
  <c r="AC651" i="13"/>
  <c r="AC652" i="13"/>
  <c r="AC653" i="13"/>
  <c r="AC654" i="13"/>
  <c r="AC655" i="13"/>
  <c r="AC656" i="13"/>
  <c r="AC657" i="13"/>
  <c r="AC658" i="13"/>
  <c r="AC659" i="13"/>
  <c r="AC660" i="13"/>
  <c r="AC661" i="13"/>
  <c r="AC662" i="13"/>
  <c r="AC663" i="13"/>
  <c r="AC664" i="13"/>
  <c r="AC665" i="13"/>
  <c r="AC666" i="13"/>
  <c r="AC667" i="13"/>
  <c r="AC668" i="13"/>
  <c r="AC669" i="13"/>
  <c r="AC670" i="13"/>
  <c r="AC671" i="13"/>
  <c r="AC672" i="13"/>
  <c r="AC673" i="13"/>
  <c r="AC674" i="13"/>
  <c r="AC675" i="13"/>
  <c r="AC676" i="13"/>
  <c r="AC677" i="13"/>
  <c r="AC678" i="13"/>
  <c r="AC679" i="13"/>
  <c r="AC680" i="13"/>
  <c r="AC681" i="13"/>
  <c r="AC682" i="13"/>
  <c r="AC683" i="13"/>
  <c r="AC684" i="13"/>
  <c r="AC685" i="13"/>
  <c r="AC686" i="13"/>
  <c r="AC687" i="13"/>
  <c r="AC688" i="13"/>
  <c r="AC689" i="13"/>
  <c r="AC690" i="13"/>
  <c r="AC691" i="13"/>
  <c r="AC692" i="13"/>
  <c r="AC693" i="13"/>
  <c r="AC694" i="13"/>
  <c r="AC695" i="13"/>
  <c r="AC696" i="13"/>
  <c r="AC697" i="13"/>
  <c r="AC698" i="13"/>
  <c r="AC699" i="13"/>
  <c r="AC700" i="13"/>
  <c r="AC701" i="13"/>
  <c r="AC702" i="13"/>
  <c r="AC703" i="13"/>
  <c r="AC704" i="13"/>
  <c r="AC705" i="13"/>
  <c r="AC706" i="13"/>
  <c r="AC707" i="13"/>
  <c r="AC708" i="13"/>
  <c r="AC709" i="13"/>
  <c r="AC710" i="13"/>
  <c r="AC711" i="13"/>
  <c r="AC712" i="13"/>
  <c r="AC713" i="13"/>
  <c r="AC714" i="13"/>
  <c r="AC715" i="13"/>
  <c r="AC716" i="13"/>
  <c r="AC717" i="13"/>
  <c r="AC718" i="13"/>
  <c r="AC719" i="13"/>
  <c r="AC720" i="13"/>
  <c r="AC721" i="13"/>
  <c r="B77" i="18"/>
  <c r="B78" i="18"/>
  <c r="B79" i="18"/>
  <c r="B85" i="18"/>
  <c r="B86" i="18"/>
  <c r="B87" i="18"/>
  <c r="B88" i="18"/>
  <c r="B89" i="18"/>
  <c r="B90" i="18"/>
  <c r="B91" i="18"/>
  <c r="B92" i="18"/>
  <c r="B93" i="18"/>
  <c r="B94" i="18"/>
  <c r="B95" i="18"/>
  <c r="B96" i="18"/>
  <c r="B97" i="18"/>
  <c r="B98" i="18"/>
  <c r="B99" i="18"/>
  <c r="B105" i="18"/>
  <c r="B106" i="18"/>
  <c r="B107" i="18"/>
  <c r="B108" i="18"/>
  <c r="B109" i="18"/>
  <c r="B110" i="18"/>
  <c r="B111" i="18"/>
  <c r="B112" i="18"/>
  <c r="B113" i="18"/>
  <c r="B114" i="18"/>
  <c r="B115" i="18"/>
  <c r="B116" i="18"/>
  <c r="B117" i="18"/>
  <c r="B118" i="18"/>
  <c r="B119" i="18"/>
  <c r="B125" i="18"/>
  <c r="B126" i="18"/>
  <c r="B127" i="18"/>
  <c r="B128" i="18"/>
  <c r="B129" i="18"/>
  <c r="B130" i="18"/>
  <c r="B131" i="18"/>
  <c r="B132" i="18"/>
  <c r="B133" i="18"/>
  <c r="B134" i="18"/>
  <c r="B135" i="18"/>
  <c r="B136" i="18"/>
  <c r="T3" i="19"/>
  <c r="T4" i="19"/>
  <c r="T5" i="19"/>
  <c r="T6" i="19"/>
  <c r="T7" i="19"/>
  <c r="T8" i="19"/>
  <c r="T9" i="19"/>
  <c r="T10" i="19"/>
  <c r="T11" i="19"/>
  <c r="T12" i="19"/>
  <c r="T13" i="19"/>
  <c r="T14" i="19"/>
  <c r="T15" i="19"/>
  <c r="T16" i="19"/>
  <c r="T17" i="19"/>
  <c r="T18" i="19"/>
  <c r="T19" i="19"/>
  <c r="T2" i="19"/>
  <c r="U25" i="19" l="1"/>
  <c r="U3" i="19"/>
  <c r="U4" i="19"/>
  <c r="U5" i="19"/>
  <c r="U6" i="19"/>
  <c r="U7" i="19"/>
  <c r="U8" i="19"/>
  <c r="U9" i="19"/>
  <c r="U10" i="19"/>
  <c r="U11" i="19"/>
  <c r="U12" i="19"/>
  <c r="U13" i="19"/>
  <c r="U14" i="19"/>
  <c r="U15" i="19"/>
  <c r="U16" i="19"/>
  <c r="U17" i="19"/>
  <c r="U18" i="19"/>
  <c r="U19" i="19"/>
  <c r="U20" i="19"/>
  <c r="U21" i="19"/>
  <c r="U22" i="19"/>
  <c r="U23" i="19"/>
  <c r="U24" i="19"/>
  <c r="U2" i="19"/>
  <c r="Q20" i="19"/>
  <c r="Q21" i="19"/>
  <c r="Q22" i="19"/>
  <c r="R22" i="19"/>
  <c r="Q23" i="19"/>
  <c r="R23" i="19"/>
  <c r="Q24" i="19"/>
  <c r="R24" i="19"/>
  <c r="Q25" i="19"/>
  <c r="R25" i="19"/>
  <c r="O20" i="19"/>
  <c r="P20" i="19"/>
  <c r="O21" i="19"/>
  <c r="P21" i="19"/>
  <c r="O22" i="19"/>
  <c r="P22" i="19"/>
  <c r="O23" i="19"/>
  <c r="P23" i="19"/>
  <c r="O24" i="19"/>
  <c r="P24" i="19"/>
  <c r="O25" i="19"/>
  <c r="P25" i="19"/>
  <c r="N20" i="19"/>
  <c r="N21" i="19"/>
  <c r="N22" i="19"/>
  <c r="N23" i="19"/>
  <c r="N24" i="19"/>
  <c r="N25" i="19"/>
  <c r="M25" i="19"/>
  <c r="M24" i="19"/>
  <c r="M23" i="19"/>
  <c r="M22" i="19"/>
  <c r="M21" i="19"/>
  <c r="M20" i="19"/>
  <c r="N19" i="19"/>
  <c r="N18" i="19"/>
  <c r="N17" i="19"/>
  <c r="N16" i="19"/>
  <c r="R19" i="19" l="1"/>
  <c r="R18" i="19"/>
  <c r="R17" i="19"/>
  <c r="R16" i="19"/>
  <c r="R15" i="19"/>
  <c r="R14" i="19"/>
  <c r="R9" i="19"/>
  <c r="R8" i="19"/>
  <c r="R7" i="19"/>
  <c r="R6" i="19"/>
  <c r="R5" i="19"/>
  <c r="R21" i="19" s="1"/>
  <c r="R4" i="19"/>
  <c r="R3" i="19"/>
  <c r="R2" i="19"/>
  <c r="R20" i="19" s="1"/>
  <c r="P6" i="19"/>
  <c r="P7" i="19"/>
  <c r="P5" i="19"/>
  <c r="P4" i="19"/>
  <c r="P3" i="19"/>
  <c r="P2" i="19"/>
  <c r="M15" i="19"/>
  <c r="M14" i="19"/>
  <c r="M13" i="19"/>
  <c r="M12" i="19"/>
  <c r="M11" i="19"/>
  <c r="M10" i="19"/>
  <c r="M9" i="19"/>
  <c r="M8" i="19"/>
  <c r="M7" i="19"/>
  <c r="M6" i="19"/>
  <c r="M5" i="19"/>
  <c r="M4" i="19"/>
  <c r="M3" i="19"/>
  <c r="M2" i="19"/>
  <c r="B80" i="18" l="1"/>
  <c r="B81" i="18"/>
  <c r="B82" i="18"/>
  <c r="B83" i="18"/>
  <c r="B84" i="18"/>
  <c r="B100" i="18"/>
  <c r="B101" i="18"/>
  <c r="B102" i="18"/>
  <c r="B103" i="18"/>
  <c r="B104" i="18"/>
  <c r="B120" i="18"/>
  <c r="B121" i="18"/>
  <c r="B122" i="18"/>
  <c r="B123" i="18"/>
  <c r="B124" i="18"/>
  <c r="B137" i="18"/>
  <c r="B138" i="18"/>
  <c r="B139" i="18"/>
  <c r="B140" i="18"/>
  <c r="B141" i="18"/>
  <c r="B142" i="18"/>
  <c r="B143" i="18"/>
  <c r="B144" i="18"/>
  <c r="B145" i="18"/>
  <c r="B146" i="18"/>
  <c r="B147" i="18"/>
  <c r="B148" i="18"/>
  <c r="B149" i="18"/>
  <c r="B150" i="18"/>
  <c r="B151" i="18"/>
  <c r="M17" i="19" l="1"/>
  <c r="M18" i="19"/>
  <c r="M19" i="19"/>
  <c r="M16" i="19"/>
  <c r="Q10" i="19" l="1"/>
  <c r="R10" i="19" s="1"/>
  <c r="Q11" i="19"/>
  <c r="R11" i="19" s="1"/>
  <c r="Q12" i="19"/>
  <c r="R12" i="19" s="1"/>
  <c r="Q13" i="19"/>
  <c r="R13" i="19" s="1"/>
  <c r="GI62" i="14"/>
  <c r="GJ62" i="14"/>
  <c r="GK62" i="14"/>
  <c r="GL62" i="14"/>
  <c r="GM62" i="14"/>
  <c r="GN62" i="14"/>
  <c r="GO62" i="14"/>
  <c r="GP62" i="14"/>
  <c r="GQ62" i="14"/>
  <c r="GR62" i="14"/>
  <c r="GS62" i="14"/>
  <c r="GT62" i="14"/>
  <c r="GU62" i="14"/>
  <c r="GV62" i="14"/>
  <c r="GW62" i="14"/>
  <c r="GX62" i="14"/>
  <c r="GY62" i="14"/>
  <c r="GZ62" i="14"/>
  <c r="HA62" i="14"/>
  <c r="HB62" i="14"/>
  <c r="HC62" i="14"/>
  <c r="HD62" i="14"/>
  <c r="HE62" i="14"/>
  <c r="HF62" i="14"/>
  <c r="HG62" i="14"/>
  <c r="HH62" i="14"/>
  <c r="HI62" i="14"/>
  <c r="HJ62" i="14"/>
  <c r="GI63" i="14"/>
  <c r="GJ63" i="14"/>
  <c r="GK63" i="14"/>
  <c r="GL63" i="14"/>
  <c r="GM63" i="14"/>
  <c r="GN63" i="14"/>
  <c r="GO63" i="14"/>
  <c r="GP63" i="14"/>
  <c r="GQ63" i="14"/>
  <c r="GR63" i="14"/>
  <c r="GS63" i="14"/>
  <c r="GT63" i="14"/>
  <c r="GU63" i="14"/>
  <c r="GV63" i="14"/>
  <c r="GW63" i="14"/>
  <c r="GX63" i="14"/>
  <c r="GY63" i="14"/>
  <c r="GZ63" i="14"/>
  <c r="HA63" i="14"/>
  <c r="HB63" i="14"/>
  <c r="HC63" i="14"/>
  <c r="HD63" i="14"/>
  <c r="HE63" i="14"/>
  <c r="HF63" i="14"/>
  <c r="HG63" i="14"/>
  <c r="HH63" i="14"/>
  <c r="HI63" i="14"/>
  <c r="HJ63" i="14"/>
  <c r="GI64" i="14"/>
  <c r="GJ64" i="14"/>
  <c r="GK64" i="14"/>
  <c r="GL64" i="14"/>
  <c r="GM64" i="14"/>
  <c r="GN64" i="14"/>
  <c r="GO64" i="14"/>
  <c r="GP64" i="14"/>
  <c r="GQ64" i="14"/>
  <c r="GR64" i="14"/>
  <c r="GS64" i="14"/>
  <c r="GT64" i="14"/>
  <c r="GU64" i="14"/>
  <c r="GV64" i="14"/>
  <c r="GW64" i="14"/>
  <c r="GX64" i="14"/>
  <c r="GY64" i="14"/>
  <c r="GZ64" i="14"/>
  <c r="HA64" i="14"/>
  <c r="HB64" i="14"/>
  <c r="HC64" i="14"/>
  <c r="HD64" i="14"/>
  <c r="HE64" i="14"/>
  <c r="HF64" i="14"/>
  <c r="HG64" i="14"/>
  <c r="HH64" i="14"/>
  <c r="HI64" i="14"/>
  <c r="HJ64" i="14"/>
  <c r="GI65" i="14"/>
  <c r="GJ65" i="14"/>
  <c r="GK65" i="14"/>
  <c r="GL65" i="14"/>
  <c r="GM65" i="14"/>
  <c r="GN65" i="14"/>
  <c r="GO65" i="14"/>
  <c r="GP65" i="14"/>
  <c r="GQ65" i="14"/>
  <c r="GR65" i="14"/>
  <c r="GS65" i="14"/>
  <c r="GT65" i="14"/>
  <c r="GU65" i="14"/>
  <c r="GV65" i="14"/>
  <c r="GW65" i="14"/>
  <c r="GX65" i="14"/>
  <c r="GY65" i="14"/>
  <c r="GZ65" i="14"/>
  <c r="HA65" i="14"/>
  <c r="HB65" i="14"/>
  <c r="HC65" i="14"/>
  <c r="HD65" i="14"/>
  <c r="HE65" i="14"/>
  <c r="HF65" i="14"/>
  <c r="HG65" i="14"/>
  <c r="HH65" i="14"/>
  <c r="HI65" i="14"/>
  <c r="HJ65" i="14"/>
  <c r="GI66" i="14"/>
  <c r="GJ66" i="14"/>
  <c r="GK66" i="14"/>
  <c r="GL66" i="14"/>
  <c r="GM66" i="14"/>
  <c r="GN66" i="14"/>
  <c r="GO66" i="14"/>
  <c r="GP66" i="14"/>
  <c r="GQ66" i="14"/>
  <c r="GR66" i="14"/>
  <c r="GS66" i="14"/>
  <c r="GT66" i="14"/>
  <c r="GU66" i="14"/>
  <c r="GV66" i="14"/>
  <c r="GW66" i="14"/>
  <c r="GX66" i="14"/>
  <c r="GY66" i="14"/>
  <c r="GZ66" i="14"/>
  <c r="HA66" i="14"/>
  <c r="HB66" i="14"/>
  <c r="HC66" i="14"/>
  <c r="HD66" i="14"/>
  <c r="HE66" i="14"/>
  <c r="HF66" i="14"/>
  <c r="HG66" i="14"/>
  <c r="HH66" i="14"/>
  <c r="HI66" i="14"/>
  <c r="HJ66" i="14"/>
  <c r="GI67" i="14"/>
  <c r="GJ67" i="14"/>
  <c r="GK67" i="14"/>
  <c r="GL67" i="14"/>
  <c r="GM67" i="14"/>
  <c r="GN67" i="14"/>
  <c r="GO67" i="14"/>
  <c r="GP67" i="14"/>
  <c r="GQ67" i="14"/>
  <c r="GR67" i="14"/>
  <c r="GS67" i="14"/>
  <c r="GT67" i="14"/>
  <c r="GU67" i="14"/>
  <c r="GV67" i="14"/>
  <c r="GW67" i="14"/>
  <c r="GX67" i="14"/>
  <c r="GY67" i="14"/>
  <c r="GZ67" i="14"/>
  <c r="HA67" i="14"/>
  <c r="HB67" i="14"/>
  <c r="HC67" i="14"/>
  <c r="HD67" i="14"/>
  <c r="HE67" i="14"/>
  <c r="HF67" i="14"/>
  <c r="HG67" i="14"/>
  <c r="HH67" i="14"/>
  <c r="HI67" i="14"/>
  <c r="HJ67" i="14"/>
  <c r="GI68" i="14"/>
  <c r="GJ68" i="14"/>
  <c r="GK68" i="14"/>
  <c r="GL68" i="14"/>
  <c r="GM68" i="14"/>
  <c r="GN68" i="14"/>
  <c r="GO68" i="14"/>
  <c r="GP68" i="14"/>
  <c r="GQ68" i="14"/>
  <c r="GR68" i="14"/>
  <c r="GS68" i="14"/>
  <c r="GT68" i="14"/>
  <c r="GU68" i="14"/>
  <c r="GV68" i="14"/>
  <c r="GW68" i="14"/>
  <c r="GX68" i="14"/>
  <c r="GY68" i="14"/>
  <c r="GZ68" i="14"/>
  <c r="HA68" i="14"/>
  <c r="HB68" i="14"/>
  <c r="HC68" i="14"/>
  <c r="HD68" i="14"/>
  <c r="HE68" i="14"/>
  <c r="HF68" i="14"/>
  <c r="HG68" i="14"/>
  <c r="HH68" i="14"/>
  <c r="HI68" i="14"/>
  <c r="HJ68" i="14"/>
  <c r="GI69" i="14"/>
  <c r="GJ69" i="14"/>
  <c r="GK69" i="14"/>
  <c r="GL69" i="14"/>
  <c r="GM69" i="14"/>
  <c r="GN69" i="14"/>
  <c r="GO69" i="14"/>
  <c r="GP69" i="14"/>
  <c r="GQ69" i="14"/>
  <c r="GR69" i="14"/>
  <c r="GS69" i="14"/>
  <c r="GT69" i="14"/>
  <c r="GU69" i="14"/>
  <c r="GV69" i="14"/>
  <c r="GW69" i="14"/>
  <c r="GX69" i="14"/>
  <c r="GY69" i="14"/>
  <c r="GZ69" i="14"/>
  <c r="HA69" i="14"/>
  <c r="HB69" i="14"/>
  <c r="HC69" i="14"/>
  <c r="HD69" i="14"/>
  <c r="HE69" i="14"/>
  <c r="HF69" i="14"/>
  <c r="HG69" i="14"/>
  <c r="HH69" i="14"/>
  <c r="HI69" i="14"/>
  <c r="HJ69" i="14"/>
  <c r="GI70" i="14"/>
  <c r="GJ70" i="14"/>
  <c r="GK70" i="14"/>
  <c r="GL70" i="14"/>
  <c r="GM70" i="14"/>
  <c r="GN70" i="14"/>
  <c r="GO70" i="14"/>
  <c r="GP70" i="14"/>
  <c r="GQ70" i="14"/>
  <c r="GR70" i="14"/>
  <c r="GS70" i="14"/>
  <c r="GT70" i="14"/>
  <c r="GU70" i="14"/>
  <c r="GV70" i="14"/>
  <c r="GW70" i="14"/>
  <c r="GX70" i="14"/>
  <c r="GY70" i="14"/>
  <c r="GZ70" i="14"/>
  <c r="HA70" i="14"/>
  <c r="HB70" i="14"/>
  <c r="HC70" i="14"/>
  <c r="HD70" i="14"/>
  <c r="HE70" i="14"/>
  <c r="HF70" i="14"/>
  <c r="HG70" i="14"/>
  <c r="HH70" i="14"/>
  <c r="HI70" i="14"/>
  <c r="HJ70" i="14"/>
  <c r="GI71" i="14"/>
  <c r="GJ71" i="14"/>
  <c r="GK71" i="14"/>
  <c r="GL71" i="14"/>
  <c r="GM71" i="14"/>
  <c r="GN71" i="14"/>
  <c r="GO71" i="14"/>
  <c r="GP71" i="14"/>
  <c r="GQ71" i="14"/>
  <c r="GR71" i="14"/>
  <c r="GS71" i="14"/>
  <c r="GT71" i="14"/>
  <c r="GU71" i="14"/>
  <c r="GV71" i="14"/>
  <c r="GW71" i="14"/>
  <c r="GX71" i="14"/>
  <c r="GY71" i="14"/>
  <c r="GZ71" i="14"/>
  <c r="HA71" i="14"/>
  <c r="HB71" i="14"/>
  <c r="HC71" i="14"/>
  <c r="HD71" i="14"/>
  <c r="HE71" i="14"/>
  <c r="HF71" i="14"/>
  <c r="HG71" i="14"/>
  <c r="HH71" i="14"/>
  <c r="HI71" i="14"/>
  <c r="HJ71" i="14"/>
  <c r="GI72" i="14"/>
  <c r="GJ72" i="14"/>
  <c r="GK72" i="14"/>
  <c r="GL72" i="14"/>
  <c r="GM72" i="14"/>
  <c r="GN72" i="14"/>
  <c r="GO72" i="14"/>
  <c r="GP72" i="14"/>
  <c r="GQ72" i="14"/>
  <c r="GR72" i="14"/>
  <c r="GS72" i="14"/>
  <c r="GT72" i="14"/>
  <c r="GU72" i="14"/>
  <c r="GV72" i="14"/>
  <c r="GW72" i="14"/>
  <c r="GX72" i="14"/>
  <c r="GY72" i="14"/>
  <c r="GZ72" i="14"/>
  <c r="HA72" i="14"/>
  <c r="HB72" i="14"/>
  <c r="HC72" i="14"/>
  <c r="HD72" i="14"/>
  <c r="HE72" i="14"/>
  <c r="HF72" i="14"/>
  <c r="HG72" i="14"/>
  <c r="HH72" i="14"/>
  <c r="HI72" i="14"/>
  <c r="HJ72" i="14"/>
  <c r="GI73" i="14"/>
  <c r="GJ73" i="14"/>
  <c r="GK73" i="14"/>
  <c r="GL73" i="14"/>
  <c r="GM73" i="14"/>
  <c r="GN73" i="14"/>
  <c r="GO73" i="14"/>
  <c r="GP73" i="14"/>
  <c r="GQ73" i="14"/>
  <c r="GR73" i="14"/>
  <c r="GS73" i="14"/>
  <c r="GT73" i="14"/>
  <c r="GU73" i="14"/>
  <c r="GV73" i="14"/>
  <c r="GW73" i="14"/>
  <c r="GX73" i="14"/>
  <c r="GY73" i="14"/>
  <c r="GZ73" i="14"/>
  <c r="HA73" i="14"/>
  <c r="HB73" i="14"/>
  <c r="HC73" i="14"/>
  <c r="HD73" i="14"/>
  <c r="HE73" i="14"/>
  <c r="HF73" i="14"/>
  <c r="HG73" i="14"/>
  <c r="HH73" i="14"/>
  <c r="HI73" i="14"/>
  <c r="HJ73" i="14"/>
  <c r="GI74" i="14"/>
  <c r="GJ74" i="14"/>
  <c r="GK74" i="14"/>
  <c r="GL74" i="14"/>
  <c r="GM74" i="14"/>
  <c r="GN74" i="14"/>
  <c r="GO74" i="14"/>
  <c r="GP74" i="14"/>
  <c r="GQ74" i="14"/>
  <c r="GR74" i="14"/>
  <c r="GS74" i="14"/>
  <c r="GT74" i="14"/>
  <c r="GU74" i="14"/>
  <c r="GV74" i="14"/>
  <c r="GW74" i="14"/>
  <c r="GX74" i="14"/>
  <c r="GY74" i="14"/>
  <c r="GZ74" i="14"/>
  <c r="HA74" i="14"/>
  <c r="HB74" i="14"/>
  <c r="HC74" i="14"/>
  <c r="HD74" i="14"/>
  <c r="HE74" i="14"/>
  <c r="HF74" i="14"/>
  <c r="HG74" i="14"/>
  <c r="HH74" i="14"/>
  <c r="HI74" i="14"/>
  <c r="HJ74" i="14"/>
  <c r="GI75" i="14"/>
  <c r="GJ75" i="14"/>
  <c r="GK75" i="14"/>
  <c r="GL75" i="14"/>
  <c r="GM75" i="14"/>
  <c r="GN75" i="14"/>
  <c r="GO75" i="14"/>
  <c r="GP75" i="14"/>
  <c r="GQ75" i="14"/>
  <c r="GR75" i="14"/>
  <c r="GS75" i="14"/>
  <c r="GT75" i="14"/>
  <c r="GU75" i="14"/>
  <c r="GV75" i="14"/>
  <c r="GW75" i="14"/>
  <c r="GX75" i="14"/>
  <c r="GY75" i="14"/>
  <c r="GZ75" i="14"/>
  <c r="HA75" i="14"/>
  <c r="HB75" i="14"/>
  <c r="HC75" i="14"/>
  <c r="HD75" i="14"/>
  <c r="HE75" i="14"/>
  <c r="HF75" i="14"/>
  <c r="HG75" i="14"/>
  <c r="HH75" i="14"/>
  <c r="HI75" i="14"/>
  <c r="HJ75" i="14"/>
  <c r="GI76" i="14"/>
  <c r="GJ76" i="14"/>
  <c r="GK76" i="14"/>
  <c r="GL76" i="14"/>
  <c r="GM76" i="14"/>
  <c r="GN76" i="14"/>
  <c r="GO76" i="14"/>
  <c r="GP76" i="14"/>
  <c r="GQ76" i="14"/>
  <c r="GR76" i="14"/>
  <c r="GS76" i="14"/>
  <c r="GT76" i="14"/>
  <c r="GU76" i="14"/>
  <c r="GV76" i="14"/>
  <c r="GW76" i="14"/>
  <c r="GX76" i="14"/>
  <c r="GY76" i="14"/>
  <c r="GZ76" i="14"/>
  <c r="HA76" i="14"/>
  <c r="HB76" i="14"/>
  <c r="HC76" i="14"/>
  <c r="HD76" i="14"/>
  <c r="HE76" i="14"/>
  <c r="HF76" i="14"/>
  <c r="HG76" i="14"/>
  <c r="HH76" i="14"/>
  <c r="HI76" i="14"/>
  <c r="HJ76" i="14"/>
  <c r="GI77" i="14"/>
  <c r="GJ77" i="14"/>
  <c r="GK77" i="14"/>
  <c r="GL77" i="14"/>
  <c r="GM77" i="14"/>
  <c r="GN77" i="14"/>
  <c r="GO77" i="14"/>
  <c r="GP77" i="14"/>
  <c r="GQ77" i="14"/>
  <c r="GR77" i="14"/>
  <c r="GS77" i="14"/>
  <c r="GT77" i="14"/>
  <c r="GU77" i="14"/>
  <c r="GV77" i="14"/>
  <c r="GW77" i="14"/>
  <c r="GX77" i="14"/>
  <c r="GY77" i="14"/>
  <c r="GZ77" i="14"/>
  <c r="HA77" i="14"/>
  <c r="HB77" i="14"/>
  <c r="HC77" i="14"/>
  <c r="HD77" i="14"/>
  <c r="HE77" i="14"/>
  <c r="HF77" i="14"/>
  <c r="HG77" i="14"/>
  <c r="HH77" i="14"/>
  <c r="HI77" i="14"/>
  <c r="HJ77" i="14"/>
  <c r="GI78" i="14"/>
  <c r="GJ78" i="14"/>
  <c r="GK78" i="14"/>
  <c r="GL78" i="14"/>
  <c r="GM78" i="14"/>
  <c r="GN78" i="14"/>
  <c r="GO78" i="14"/>
  <c r="GP78" i="14"/>
  <c r="GQ78" i="14"/>
  <c r="GR78" i="14"/>
  <c r="GS78" i="14"/>
  <c r="GT78" i="14"/>
  <c r="GU78" i="14"/>
  <c r="GV78" i="14"/>
  <c r="GW78" i="14"/>
  <c r="GX78" i="14"/>
  <c r="GY78" i="14"/>
  <c r="GZ78" i="14"/>
  <c r="HA78" i="14"/>
  <c r="HB78" i="14"/>
  <c r="HC78" i="14"/>
  <c r="HD78" i="14"/>
  <c r="HE78" i="14"/>
  <c r="HF78" i="14"/>
  <c r="HG78" i="14"/>
  <c r="HH78" i="14"/>
  <c r="HI78" i="14"/>
  <c r="HJ78" i="14"/>
  <c r="GI79" i="14"/>
  <c r="GJ79" i="14"/>
  <c r="GK79" i="14"/>
  <c r="GL79" i="14"/>
  <c r="GM79" i="14"/>
  <c r="GN79" i="14"/>
  <c r="GO79" i="14"/>
  <c r="GP79" i="14"/>
  <c r="GQ79" i="14"/>
  <c r="GR79" i="14"/>
  <c r="GS79" i="14"/>
  <c r="GT79" i="14"/>
  <c r="GU79" i="14"/>
  <c r="GV79" i="14"/>
  <c r="GW79" i="14"/>
  <c r="GX79" i="14"/>
  <c r="GY79" i="14"/>
  <c r="GZ79" i="14"/>
  <c r="HA79" i="14"/>
  <c r="HB79" i="14"/>
  <c r="HC79" i="14"/>
  <c r="HD79" i="14"/>
  <c r="HE79" i="14"/>
  <c r="HF79" i="14"/>
  <c r="HG79" i="14"/>
  <c r="HH79" i="14"/>
  <c r="HI79" i="14"/>
  <c r="HJ79" i="14"/>
  <c r="GI80" i="14"/>
  <c r="GJ80" i="14"/>
  <c r="GK80" i="14"/>
  <c r="GL80" i="14"/>
  <c r="GM80" i="14"/>
  <c r="GN80" i="14"/>
  <c r="GO80" i="14"/>
  <c r="GP80" i="14"/>
  <c r="GQ80" i="14"/>
  <c r="GR80" i="14"/>
  <c r="GS80" i="14"/>
  <c r="GT80" i="14"/>
  <c r="GU80" i="14"/>
  <c r="GV80" i="14"/>
  <c r="GW80" i="14"/>
  <c r="GX80" i="14"/>
  <c r="GY80" i="14"/>
  <c r="GZ80" i="14"/>
  <c r="HA80" i="14"/>
  <c r="HB80" i="14"/>
  <c r="HC80" i="14"/>
  <c r="HD80" i="14"/>
  <c r="HE80" i="14"/>
  <c r="HF80" i="14"/>
  <c r="HG80" i="14"/>
  <c r="HH80" i="14"/>
  <c r="HI80" i="14"/>
  <c r="HJ80" i="14"/>
  <c r="GI81" i="14"/>
  <c r="GJ81" i="14"/>
  <c r="GK81" i="14"/>
  <c r="GL81" i="14"/>
  <c r="GM81" i="14"/>
  <c r="GN81" i="14"/>
  <c r="GO81" i="14"/>
  <c r="GP81" i="14"/>
  <c r="GQ81" i="14"/>
  <c r="GR81" i="14"/>
  <c r="GS81" i="14"/>
  <c r="GT81" i="14"/>
  <c r="GU81" i="14"/>
  <c r="GV81" i="14"/>
  <c r="GW81" i="14"/>
  <c r="GX81" i="14"/>
  <c r="GY81" i="14"/>
  <c r="GZ81" i="14"/>
  <c r="HA81" i="14"/>
  <c r="HB81" i="14"/>
  <c r="HC81" i="14"/>
  <c r="HD81" i="14"/>
  <c r="HE81" i="14"/>
  <c r="HF81" i="14"/>
  <c r="HG81" i="14"/>
  <c r="HH81" i="14"/>
  <c r="HI81" i="14"/>
  <c r="HJ81" i="14"/>
  <c r="GI82" i="14"/>
  <c r="GJ82" i="14"/>
  <c r="GK82" i="14"/>
  <c r="GL82" i="14"/>
  <c r="GM82" i="14"/>
  <c r="GN82" i="14"/>
  <c r="GO82" i="14"/>
  <c r="GP82" i="14"/>
  <c r="GQ82" i="14"/>
  <c r="GR82" i="14"/>
  <c r="GS82" i="14"/>
  <c r="GT82" i="14"/>
  <c r="GU82" i="14"/>
  <c r="GV82" i="14"/>
  <c r="GW82" i="14"/>
  <c r="GX82" i="14"/>
  <c r="GY82" i="14"/>
  <c r="GZ82" i="14"/>
  <c r="HA82" i="14"/>
  <c r="HB82" i="14"/>
  <c r="HC82" i="14"/>
  <c r="HD82" i="14"/>
  <c r="HE82" i="14"/>
  <c r="HF82" i="14"/>
  <c r="HG82" i="14"/>
  <c r="HH82" i="14"/>
  <c r="HI82" i="14"/>
  <c r="HJ82" i="14"/>
  <c r="GI83" i="14"/>
  <c r="GJ83" i="14"/>
  <c r="GK83" i="14"/>
  <c r="GL83" i="14"/>
  <c r="GM83" i="14"/>
  <c r="GN83" i="14"/>
  <c r="GO83" i="14"/>
  <c r="GP83" i="14"/>
  <c r="GQ83" i="14"/>
  <c r="GR83" i="14"/>
  <c r="GS83" i="14"/>
  <c r="GT83" i="14"/>
  <c r="GU83" i="14"/>
  <c r="GV83" i="14"/>
  <c r="GW83" i="14"/>
  <c r="GX83" i="14"/>
  <c r="GY83" i="14"/>
  <c r="GZ83" i="14"/>
  <c r="HA83" i="14"/>
  <c r="HB83" i="14"/>
  <c r="HC83" i="14"/>
  <c r="HD83" i="14"/>
  <c r="HE83" i="14"/>
  <c r="HF83" i="14"/>
  <c r="HG83" i="14"/>
  <c r="HH83" i="14"/>
  <c r="HI83" i="14"/>
  <c r="HJ83" i="14"/>
  <c r="GI84" i="14"/>
  <c r="GJ84" i="14"/>
  <c r="GK84" i="14"/>
  <c r="GL84" i="14"/>
  <c r="GM84" i="14"/>
  <c r="GN84" i="14"/>
  <c r="GO84" i="14"/>
  <c r="GP84" i="14"/>
  <c r="GQ84" i="14"/>
  <c r="GR84" i="14"/>
  <c r="GS84" i="14"/>
  <c r="GT84" i="14"/>
  <c r="GU84" i="14"/>
  <c r="GV84" i="14"/>
  <c r="GW84" i="14"/>
  <c r="GX84" i="14"/>
  <c r="GY84" i="14"/>
  <c r="GZ84" i="14"/>
  <c r="HA84" i="14"/>
  <c r="HB84" i="14"/>
  <c r="HC84" i="14"/>
  <c r="HD84" i="14"/>
  <c r="HE84" i="14"/>
  <c r="HF84" i="14"/>
  <c r="HG84" i="14"/>
  <c r="HH84" i="14"/>
  <c r="HI84" i="14"/>
  <c r="HJ84" i="14"/>
  <c r="GI85" i="14"/>
  <c r="GJ85" i="14"/>
  <c r="GK85" i="14"/>
  <c r="GL85" i="14"/>
  <c r="GM85" i="14"/>
  <c r="GN85" i="14"/>
  <c r="GO85" i="14"/>
  <c r="GP85" i="14"/>
  <c r="GQ85" i="14"/>
  <c r="GR85" i="14"/>
  <c r="GS85" i="14"/>
  <c r="GT85" i="14"/>
  <c r="GU85" i="14"/>
  <c r="GV85" i="14"/>
  <c r="GW85" i="14"/>
  <c r="GX85" i="14"/>
  <c r="GY85" i="14"/>
  <c r="GZ85" i="14"/>
  <c r="HA85" i="14"/>
  <c r="HB85" i="14"/>
  <c r="HC85" i="14"/>
  <c r="HD85" i="14"/>
  <c r="HE85" i="14"/>
  <c r="HF85" i="14"/>
  <c r="HG85" i="14"/>
  <c r="HH85" i="14"/>
  <c r="HI85" i="14"/>
  <c r="HJ85" i="14"/>
  <c r="GI86" i="14"/>
  <c r="GJ86" i="14"/>
  <c r="GK86" i="14"/>
  <c r="GL86" i="14"/>
  <c r="GM86" i="14"/>
  <c r="GN86" i="14"/>
  <c r="GO86" i="14"/>
  <c r="GP86" i="14"/>
  <c r="GQ86" i="14"/>
  <c r="GR86" i="14"/>
  <c r="GS86" i="14"/>
  <c r="GT86" i="14"/>
  <c r="GU86" i="14"/>
  <c r="GV86" i="14"/>
  <c r="GW86" i="14"/>
  <c r="GX86" i="14"/>
  <c r="GY86" i="14"/>
  <c r="GZ86" i="14"/>
  <c r="HA86" i="14"/>
  <c r="HB86" i="14"/>
  <c r="HC86" i="14"/>
  <c r="HD86" i="14"/>
  <c r="HE86" i="14"/>
  <c r="HF86" i="14"/>
  <c r="HG86" i="14"/>
  <c r="HH86" i="14"/>
  <c r="HI86" i="14"/>
  <c r="HJ86" i="14"/>
  <c r="GI87" i="14"/>
  <c r="GJ87" i="14"/>
  <c r="GK87" i="14"/>
  <c r="GL87" i="14"/>
  <c r="GM87" i="14"/>
  <c r="GN87" i="14"/>
  <c r="GO87" i="14"/>
  <c r="GP87" i="14"/>
  <c r="GQ87" i="14"/>
  <c r="GR87" i="14"/>
  <c r="GS87" i="14"/>
  <c r="GT87" i="14"/>
  <c r="GU87" i="14"/>
  <c r="GV87" i="14"/>
  <c r="GW87" i="14"/>
  <c r="GX87" i="14"/>
  <c r="GY87" i="14"/>
  <c r="GZ87" i="14"/>
  <c r="HA87" i="14"/>
  <c r="HB87" i="14"/>
  <c r="HC87" i="14"/>
  <c r="HD87" i="14"/>
  <c r="HE87" i="14"/>
  <c r="HF87" i="14"/>
  <c r="HG87" i="14"/>
  <c r="HH87" i="14"/>
  <c r="HI87" i="14"/>
  <c r="HJ87" i="14"/>
  <c r="GI88" i="14"/>
  <c r="GJ88" i="14"/>
  <c r="GK88" i="14"/>
  <c r="GL88" i="14"/>
  <c r="GM88" i="14"/>
  <c r="GN88" i="14"/>
  <c r="GO88" i="14"/>
  <c r="GP88" i="14"/>
  <c r="GQ88" i="14"/>
  <c r="GR88" i="14"/>
  <c r="GS88" i="14"/>
  <c r="GT88" i="14"/>
  <c r="GU88" i="14"/>
  <c r="GV88" i="14"/>
  <c r="GW88" i="14"/>
  <c r="GX88" i="14"/>
  <c r="GY88" i="14"/>
  <c r="GZ88" i="14"/>
  <c r="HA88" i="14"/>
  <c r="HB88" i="14"/>
  <c r="HC88" i="14"/>
  <c r="HD88" i="14"/>
  <c r="HE88" i="14"/>
  <c r="HF88" i="14"/>
  <c r="HG88" i="14"/>
  <c r="HH88" i="14"/>
  <c r="HI88" i="14"/>
  <c r="HJ88" i="14"/>
  <c r="GI89" i="14"/>
  <c r="GJ89" i="14"/>
  <c r="GK89" i="14"/>
  <c r="GL89" i="14"/>
  <c r="GM89" i="14"/>
  <c r="GN89" i="14"/>
  <c r="GO89" i="14"/>
  <c r="GP89" i="14"/>
  <c r="GQ89" i="14"/>
  <c r="GR89" i="14"/>
  <c r="GS89" i="14"/>
  <c r="GT89" i="14"/>
  <c r="GU89" i="14"/>
  <c r="GV89" i="14"/>
  <c r="GW89" i="14"/>
  <c r="GX89" i="14"/>
  <c r="GY89" i="14"/>
  <c r="GZ89" i="14"/>
  <c r="HA89" i="14"/>
  <c r="HB89" i="14"/>
  <c r="HC89" i="14"/>
  <c r="HD89" i="14"/>
  <c r="HE89" i="14"/>
  <c r="HF89" i="14"/>
  <c r="HG89" i="14"/>
  <c r="HH89" i="14"/>
  <c r="HI89" i="14"/>
  <c r="HJ89" i="14"/>
  <c r="GI90" i="14"/>
  <c r="GJ90" i="14"/>
  <c r="GK90" i="14"/>
  <c r="GL90" i="14"/>
  <c r="GM90" i="14"/>
  <c r="GN90" i="14"/>
  <c r="GO90" i="14"/>
  <c r="GP90" i="14"/>
  <c r="GQ90" i="14"/>
  <c r="GR90" i="14"/>
  <c r="GS90" i="14"/>
  <c r="GT90" i="14"/>
  <c r="GU90" i="14"/>
  <c r="GV90" i="14"/>
  <c r="GW90" i="14"/>
  <c r="GX90" i="14"/>
  <c r="GY90" i="14"/>
  <c r="GZ90" i="14"/>
  <c r="HA90" i="14"/>
  <c r="HB90" i="14"/>
  <c r="HC90" i="14"/>
  <c r="HD90" i="14"/>
  <c r="HE90" i="14"/>
  <c r="HF90" i="14"/>
  <c r="HG90" i="14"/>
  <c r="HH90" i="14"/>
  <c r="HI90" i="14"/>
  <c r="HJ90" i="14"/>
  <c r="GI91" i="14"/>
  <c r="GJ91" i="14"/>
  <c r="GK91" i="14"/>
  <c r="GL91" i="14"/>
  <c r="GM91" i="14"/>
  <c r="GN91" i="14"/>
  <c r="GO91" i="14"/>
  <c r="GP91" i="14"/>
  <c r="GQ91" i="14"/>
  <c r="GR91" i="14"/>
  <c r="GS91" i="14"/>
  <c r="GT91" i="14"/>
  <c r="GU91" i="14"/>
  <c r="GV91" i="14"/>
  <c r="GW91" i="14"/>
  <c r="GX91" i="14"/>
  <c r="GY91" i="14"/>
  <c r="GZ91" i="14"/>
  <c r="HA91" i="14"/>
  <c r="HB91" i="14"/>
  <c r="HC91" i="14"/>
  <c r="HD91" i="14"/>
  <c r="HE91" i="14"/>
  <c r="HF91" i="14"/>
  <c r="HG91" i="14"/>
  <c r="HH91" i="14"/>
  <c r="HI91" i="14"/>
  <c r="HJ91" i="14"/>
  <c r="GI92" i="14"/>
  <c r="GJ92" i="14"/>
  <c r="GK92" i="14"/>
  <c r="GL92" i="14"/>
  <c r="GM92" i="14"/>
  <c r="GN92" i="14"/>
  <c r="GO92" i="14"/>
  <c r="GP92" i="14"/>
  <c r="GQ92" i="14"/>
  <c r="GR92" i="14"/>
  <c r="GS92" i="14"/>
  <c r="GT92" i="14"/>
  <c r="GU92" i="14"/>
  <c r="GV92" i="14"/>
  <c r="GW92" i="14"/>
  <c r="GX92" i="14"/>
  <c r="GY92" i="14"/>
  <c r="GZ92" i="14"/>
  <c r="HA92" i="14"/>
  <c r="HB92" i="14"/>
  <c r="HC92" i="14"/>
  <c r="HD92" i="14"/>
  <c r="HE92" i="14"/>
  <c r="HF92" i="14"/>
  <c r="HG92" i="14"/>
  <c r="HH92" i="14"/>
  <c r="HI92" i="14"/>
  <c r="HJ92" i="14"/>
  <c r="GI93" i="14"/>
  <c r="GJ93" i="14"/>
  <c r="GK93" i="14"/>
  <c r="GL93" i="14"/>
  <c r="GM93" i="14"/>
  <c r="GN93" i="14"/>
  <c r="GO93" i="14"/>
  <c r="GP93" i="14"/>
  <c r="GQ93" i="14"/>
  <c r="GR93" i="14"/>
  <c r="GS93" i="14"/>
  <c r="GT93" i="14"/>
  <c r="GU93" i="14"/>
  <c r="GV93" i="14"/>
  <c r="GW93" i="14"/>
  <c r="GX93" i="14"/>
  <c r="GY93" i="14"/>
  <c r="GZ93" i="14"/>
  <c r="HA93" i="14"/>
  <c r="HB93" i="14"/>
  <c r="HC93" i="14"/>
  <c r="HD93" i="14"/>
  <c r="HE93" i="14"/>
  <c r="HF93" i="14"/>
  <c r="HG93" i="14"/>
  <c r="HH93" i="14"/>
  <c r="HI93" i="14"/>
  <c r="HJ93" i="14"/>
  <c r="GI94" i="14"/>
  <c r="GJ94" i="14"/>
  <c r="GK94" i="14"/>
  <c r="GL94" i="14"/>
  <c r="GM94" i="14"/>
  <c r="GN94" i="14"/>
  <c r="GO94" i="14"/>
  <c r="GP94" i="14"/>
  <c r="GQ94" i="14"/>
  <c r="GR94" i="14"/>
  <c r="GS94" i="14"/>
  <c r="GT94" i="14"/>
  <c r="GU94" i="14"/>
  <c r="GV94" i="14"/>
  <c r="GW94" i="14"/>
  <c r="GX94" i="14"/>
  <c r="GY94" i="14"/>
  <c r="GZ94" i="14"/>
  <c r="HA94" i="14"/>
  <c r="HB94" i="14"/>
  <c r="HC94" i="14"/>
  <c r="HD94" i="14"/>
  <c r="HE94" i="14"/>
  <c r="HF94" i="14"/>
  <c r="HG94" i="14"/>
  <c r="HH94" i="14"/>
  <c r="HI94" i="14"/>
  <c r="HJ94" i="14"/>
  <c r="GI95" i="14"/>
  <c r="GJ95" i="14"/>
  <c r="GK95" i="14"/>
  <c r="GL95" i="14"/>
  <c r="GM95" i="14"/>
  <c r="GN95" i="14"/>
  <c r="GO95" i="14"/>
  <c r="GP95" i="14"/>
  <c r="GQ95" i="14"/>
  <c r="GR95" i="14"/>
  <c r="GS95" i="14"/>
  <c r="GT95" i="14"/>
  <c r="GU95" i="14"/>
  <c r="GV95" i="14"/>
  <c r="GW95" i="14"/>
  <c r="GX95" i="14"/>
  <c r="GY95" i="14"/>
  <c r="GZ95" i="14"/>
  <c r="HA95" i="14"/>
  <c r="HB95" i="14"/>
  <c r="HC95" i="14"/>
  <c r="HD95" i="14"/>
  <c r="HE95" i="14"/>
  <c r="HF95" i="14"/>
  <c r="HG95" i="14"/>
  <c r="HH95" i="14"/>
  <c r="HI95" i="14"/>
  <c r="HJ95" i="14"/>
  <c r="GI96" i="14"/>
  <c r="GJ96" i="14"/>
  <c r="GK96" i="14"/>
  <c r="GL96" i="14"/>
  <c r="GM96" i="14"/>
  <c r="GN96" i="14"/>
  <c r="GO96" i="14"/>
  <c r="GP96" i="14"/>
  <c r="GQ96" i="14"/>
  <c r="GR96" i="14"/>
  <c r="GS96" i="14"/>
  <c r="GT96" i="14"/>
  <c r="GU96" i="14"/>
  <c r="GV96" i="14"/>
  <c r="GW96" i="14"/>
  <c r="GX96" i="14"/>
  <c r="GY96" i="14"/>
  <c r="GZ96" i="14"/>
  <c r="HA96" i="14"/>
  <c r="HB96" i="14"/>
  <c r="HC96" i="14"/>
  <c r="HD96" i="14"/>
  <c r="HE96" i="14"/>
  <c r="HF96" i="14"/>
  <c r="HG96" i="14"/>
  <c r="HH96" i="14"/>
  <c r="HI96" i="14"/>
  <c r="HJ96" i="14"/>
  <c r="GI97" i="14"/>
  <c r="GJ97" i="14"/>
  <c r="GK97" i="14"/>
  <c r="GL97" i="14"/>
  <c r="GM97" i="14"/>
  <c r="GN97" i="14"/>
  <c r="GO97" i="14"/>
  <c r="GP97" i="14"/>
  <c r="GQ97" i="14"/>
  <c r="GR97" i="14"/>
  <c r="GS97" i="14"/>
  <c r="GT97" i="14"/>
  <c r="GU97" i="14"/>
  <c r="GV97" i="14"/>
  <c r="GW97" i="14"/>
  <c r="GX97" i="14"/>
  <c r="GY97" i="14"/>
  <c r="GZ97" i="14"/>
  <c r="HA97" i="14"/>
  <c r="HB97" i="14"/>
  <c r="HC97" i="14"/>
  <c r="HD97" i="14"/>
  <c r="HE97" i="14"/>
  <c r="HF97" i="14"/>
  <c r="HG97" i="14"/>
  <c r="HH97" i="14"/>
  <c r="HI97" i="14"/>
  <c r="HJ97" i="14"/>
  <c r="GI98" i="14"/>
  <c r="GJ98" i="14"/>
  <c r="GK98" i="14"/>
  <c r="GL98" i="14"/>
  <c r="GM98" i="14"/>
  <c r="GN98" i="14"/>
  <c r="GO98" i="14"/>
  <c r="GP98" i="14"/>
  <c r="GQ98" i="14"/>
  <c r="GR98" i="14"/>
  <c r="GS98" i="14"/>
  <c r="GT98" i="14"/>
  <c r="GU98" i="14"/>
  <c r="GV98" i="14"/>
  <c r="GW98" i="14"/>
  <c r="GX98" i="14"/>
  <c r="GY98" i="14"/>
  <c r="GZ98" i="14"/>
  <c r="HA98" i="14"/>
  <c r="HB98" i="14"/>
  <c r="HC98" i="14"/>
  <c r="HD98" i="14"/>
  <c r="HE98" i="14"/>
  <c r="HF98" i="14"/>
  <c r="HG98" i="14"/>
  <c r="HH98" i="14"/>
  <c r="HI98" i="14"/>
  <c r="HJ98" i="14"/>
  <c r="GI99" i="14"/>
  <c r="GJ99" i="14"/>
  <c r="GK99" i="14"/>
  <c r="GL99" i="14"/>
  <c r="GM99" i="14"/>
  <c r="GN99" i="14"/>
  <c r="GO99" i="14"/>
  <c r="GP99" i="14"/>
  <c r="GQ99" i="14"/>
  <c r="GR99" i="14"/>
  <c r="GS99" i="14"/>
  <c r="GT99" i="14"/>
  <c r="GU99" i="14"/>
  <c r="GV99" i="14"/>
  <c r="GW99" i="14"/>
  <c r="GX99" i="14"/>
  <c r="GY99" i="14"/>
  <c r="GZ99" i="14"/>
  <c r="HA99" i="14"/>
  <c r="HB99" i="14"/>
  <c r="HC99" i="14"/>
  <c r="HD99" i="14"/>
  <c r="HE99" i="14"/>
  <c r="HF99" i="14"/>
  <c r="HG99" i="14"/>
  <c r="HH99" i="14"/>
  <c r="HI99" i="14"/>
  <c r="HJ99" i="14"/>
  <c r="GI100" i="14"/>
  <c r="GJ100" i="14"/>
  <c r="GK100" i="14"/>
  <c r="GL100" i="14"/>
  <c r="GM100" i="14"/>
  <c r="GN100" i="14"/>
  <c r="GO100" i="14"/>
  <c r="GP100" i="14"/>
  <c r="GQ100" i="14"/>
  <c r="GR100" i="14"/>
  <c r="GS100" i="14"/>
  <c r="GT100" i="14"/>
  <c r="GU100" i="14"/>
  <c r="GV100" i="14"/>
  <c r="GW100" i="14"/>
  <c r="GX100" i="14"/>
  <c r="GY100" i="14"/>
  <c r="GZ100" i="14"/>
  <c r="HA100" i="14"/>
  <c r="HB100" i="14"/>
  <c r="HC100" i="14"/>
  <c r="HD100" i="14"/>
  <c r="HE100" i="14"/>
  <c r="HF100" i="14"/>
  <c r="HG100" i="14"/>
  <c r="HH100" i="14"/>
  <c r="HI100" i="14"/>
  <c r="HJ100" i="14"/>
  <c r="GI101" i="14"/>
  <c r="GJ101" i="14"/>
  <c r="GK101" i="14"/>
  <c r="GL101" i="14"/>
  <c r="GM101" i="14"/>
  <c r="GN101" i="14"/>
  <c r="GO101" i="14"/>
  <c r="GP101" i="14"/>
  <c r="GQ101" i="14"/>
  <c r="GR101" i="14"/>
  <c r="GS101" i="14"/>
  <c r="GT101" i="14"/>
  <c r="GU101" i="14"/>
  <c r="GV101" i="14"/>
  <c r="GW101" i="14"/>
  <c r="GX101" i="14"/>
  <c r="GY101" i="14"/>
  <c r="GZ101" i="14"/>
  <c r="HA101" i="14"/>
  <c r="HB101" i="14"/>
  <c r="HC101" i="14"/>
  <c r="HD101" i="14"/>
  <c r="HE101" i="14"/>
  <c r="HF101" i="14"/>
  <c r="HG101" i="14"/>
  <c r="HH101" i="14"/>
  <c r="HI101" i="14"/>
  <c r="HJ101" i="14"/>
  <c r="GI102" i="14"/>
  <c r="GJ102" i="14"/>
  <c r="GK102" i="14"/>
  <c r="GL102" i="14"/>
  <c r="GM102" i="14"/>
  <c r="GN102" i="14"/>
  <c r="GO102" i="14"/>
  <c r="GP102" i="14"/>
  <c r="GQ102" i="14"/>
  <c r="GR102" i="14"/>
  <c r="GS102" i="14"/>
  <c r="GT102" i="14"/>
  <c r="GU102" i="14"/>
  <c r="GV102" i="14"/>
  <c r="GW102" i="14"/>
  <c r="GX102" i="14"/>
  <c r="GY102" i="14"/>
  <c r="GZ102" i="14"/>
  <c r="HA102" i="14"/>
  <c r="HB102" i="14"/>
  <c r="HC102" i="14"/>
  <c r="HD102" i="14"/>
  <c r="HE102" i="14"/>
  <c r="HF102" i="14"/>
  <c r="HG102" i="14"/>
  <c r="HH102" i="14"/>
  <c r="HI102" i="14"/>
  <c r="HJ102" i="14"/>
  <c r="GI103" i="14"/>
  <c r="GJ103" i="14"/>
  <c r="GK103" i="14"/>
  <c r="GL103" i="14"/>
  <c r="GM103" i="14"/>
  <c r="GN103" i="14"/>
  <c r="GO103" i="14"/>
  <c r="GP103" i="14"/>
  <c r="GQ103" i="14"/>
  <c r="GR103" i="14"/>
  <c r="GS103" i="14"/>
  <c r="GT103" i="14"/>
  <c r="GU103" i="14"/>
  <c r="GV103" i="14"/>
  <c r="GW103" i="14"/>
  <c r="GX103" i="14"/>
  <c r="GY103" i="14"/>
  <c r="GZ103" i="14"/>
  <c r="HA103" i="14"/>
  <c r="HB103" i="14"/>
  <c r="HC103" i="14"/>
  <c r="HD103" i="14"/>
  <c r="HE103" i="14"/>
  <c r="HF103" i="14"/>
  <c r="HG103" i="14"/>
  <c r="HH103" i="14"/>
  <c r="HI103" i="14"/>
  <c r="HJ103" i="14"/>
  <c r="GI104" i="14"/>
  <c r="GJ104" i="14"/>
  <c r="GK104" i="14"/>
  <c r="GL104" i="14"/>
  <c r="GM104" i="14"/>
  <c r="GN104" i="14"/>
  <c r="GO104" i="14"/>
  <c r="GP104" i="14"/>
  <c r="GQ104" i="14"/>
  <c r="GR104" i="14"/>
  <c r="GS104" i="14"/>
  <c r="GT104" i="14"/>
  <c r="GU104" i="14"/>
  <c r="GV104" i="14"/>
  <c r="GW104" i="14"/>
  <c r="GX104" i="14"/>
  <c r="GY104" i="14"/>
  <c r="GZ104" i="14"/>
  <c r="HA104" i="14"/>
  <c r="HB104" i="14"/>
  <c r="HC104" i="14"/>
  <c r="HD104" i="14"/>
  <c r="HE104" i="14"/>
  <c r="HF104" i="14"/>
  <c r="HG104" i="14"/>
  <c r="HH104" i="14"/>
  <c r="HI104" i="14"/>
  <c r="HJ104" i="14"/>
  <c r="GI105" i="14"/>
  <c r="GJ105" i="14"/>
  <c r="GK105" i="14"/>
  <c r="GL105" i="14"/>
  <c r="GM105" i="14"/>
  <c r="GN105" i="14"/>
  <c r="GO105" i="14"/>
  <c r="GP105" i="14"/>
  <c r="GQ105" i="14"/>
  <c r="GR105" i="14"/>
  <c r="GS105" i="14"/>
  <c r="GT105" i="14"/>
  <c r="GU105" i="14"/>
  <c r="GV105" i="14"/>
  <c r="GW105" i="14"/>
  <c r="GX105" i="14"/>
  <c r="GY105" i="14"/>
  <c r="GZ105" i="14"/>
  <c r="HA105" i="14"/>
  <c r="HB105" i="14"/>
  <c r="HC105" i="14"/>
  <c r="HD105" i="14"/>
  <c r="HE105" i="14"/>
  <c r="HF105" i="14"/>
  <c r="HG105" i="14"/>
  <c r="HH105" i="14"/>
  <c r="HI105" i="14"/>
  <c r="HJ105" i="14"/>
  <c r="GI106" i="14"/>
  <c r="GJ106" i="14"/>
  <c r="GK106" i="14"/>
  <c r="GL106" i="14"/>
  <c r="GM106" i="14"/>
  <c r="GN106" i="14"/>
  <c r="GO106" i="14"/>
  <c r="GP106" i="14"/>
  <c r="GQ106" i="14"/>
  <c r="GR106" i="14"/>
  <c r="GS106" i="14"/>
  <c r="GT106" i="14"/>
  <c r="GU106" i="14"/>
  <c r="GV106" i="14"/>
  <c r="GW106" i="14"/>
  <c r="GX106" i="14"/>
  <c r="GY106" i="14"/>
  <c r="GZ106" i="14"/>
  <c r="HA106" i="14"/>
  <c r="HB106" i="14"/>
  <c r="HC106" i="14"/>
  <c r="HD106" i="14"/>
  <c r="HE106" i="14"/>
  <c r="HF106" i="14"/>
  <c r="HG106" i="14"/>
  <c r="HH106" i="14"/>
  <c r="HI106" i="14"/>
  <c r="HJ106" i="14"/>
  <c r="GI107" i="14"/>
  <c r="GJ107" i="14"/>
  <c r="GK107" i="14"/>
  <c r="GL107" i="14"/>
  <c r="GM107" i="14"/>
  <c r="GN107" i="14"/>
  <c r="GO107" i="14"/>
  <c r="GP107" i="14"/>
  <c r="GQ107" i="14"/>
  <c r="GR107" i="14"/>
  <c r="GS107" i="14"/>
  <c r="GT107" i="14"/>
  <c r="GU107" i="14"/>
  <c r="GV107" i="14"/>
  <c r="GW107" i="14"/>
  <c r="GX107" i="14"/>
  <c r="GY107" i="14"/>
  <c r="GZ107" i="14"/>
  <c r="HA107" i="14"/>
  <c r="HB107" i="14"/>
  <c r="HC107" i="14"/>
  <c r="HD107" i="14"/>
  <c r="HE107" i="14"/>
  <c r="HF107" i="14"/>
  <c r="HG107" i="14"/>
  <c r="HH107" i="14"/>
  <c r="HI107" i="14"/>
  <c r="HJ107" i="14"/>
  <c r="GI108" i="14"/>
  <c r="GJ108" i="14"/>
  <c r="GK108" i="14"/>
  <c r="GL108" i="14"/>
  <c r="GM108" i="14"/>
  <c r="GN108" i="14"/>
  <c r="GO108" i="14"/>
  <c r="GP108" i="14"/>
  <c r="GQ108" i="14"/>
  <c r="GR108" i="14"/>
  <c r="GS108" i="14"/>
  <c r="GT108" i="14"/>
  <c r="GU108" i="14"/>
  <c r="GV108" i="14"/>
  <c r="GW108" i="14"/>
  <c r="GX108" i="14"/>
  <c r="GY108" i="14"/>
  <c r="GZ108" i="14"/>
  <c r="HA108" i="14"/>
  <c r="HB108" i="14"/>
  <c r="HC108" i="14"/>
  <c r="HD108" i="14"/>
  <c r="HE108" i="14"/>
  <c r="HF108" i="14"/>
  <c r="HG108" i="14"/>
  <c r="HH108" i="14"/>
  <c r="HI108" i="14"/>
  <c r="HJ108"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GI110" i="14"/>
  <c r="GJ110" i="14"/>
  <c r="GK110" i="14"/>
  <c r="GL110" i="14"/>
  <c r="GM110" i="14"/>
  <c r="GN110" i="14"/>
  <c r="GO110" i="14"/>
  <c r="GP110" i="14"/>
  <c r="GQ110" i="14"/>
  <c r="GR110" i="14"/>
  <c r="GS110" i="14"/>
  <c r="GT110" i="14"/>
  <c r="GU110" i="14"/>
  <c r="GV110" i="14"/>
  <c r="GW110" i="14"/>
  <c r="GX110" i="14"/>
  <c r="GY110" i="14"/>
  <c r="GZ110" i="14"/>
  <c r="HA110" i="14"/>
  <c r="HB110" i="14"/>
  <c r="HC110" i="14"/>
  <c r="HD110" i="14"/>
  <c r="HE110" i="14"/>
  <c r="HF110" i="14"/>
  <c r="HG110" i="14"/>
  <c r="HH110" i="14"/>
  <c r="HI110" i="14"/>
  <c r="HJ110" i="14"/>
  <c r="GJ61" i="14"/>
  <c r="GK61" i="14"/>
  <c r="GL61" i="14"/>
  <c r="GM61" i="14"/>
  <c r="GN61" i="14"/>
  <c r="GO61" i="14"/>
  <c r="GP61" i="14"/>
  <c r="GQ61" i="14"/>
  <c r="GR61" i="14"/>
  <c r="GS61" i="14"/>
  <c r="GT61" i="14"/>
  <c r="GU61" i="14"/>
  <c r="GV61" i="14"/>
  <c r="GW61" i="14"/>
  <c r="GX61" i="14"/>
  <c r="GY61" i="14"/>
  <c r="GZ61" i="14"/>
  <c r="HA61" i="14"/>
  <c r="HB61" i="14"/>
  <c r="HC61" i="14"/>
  <c r="HD61" i="14"/>
  <c r="HE61" i="14"/>
  <c r="HF61" i="14"/>
  <c r="HG61" i="14"/>
  <c r="HH61" i="14"/>
  <c r="HI61" i="14"/>
  <c r="HJ61" i="14"/>
  <c r="GI61" i="14"/>
  <c r="GJ112" i="14"/>
  <c r="GK112" i="14"/>
  <c r="GL112" i="14"/>
  <c r="GM112" i="14"/>
  <c r="GN112" i="14"/>
  <c r="GO112" i="14"/>
  <c r="GP112" i="14"/>
  <c r="GQ112" i="14"/>
  <c r="GR112" i="14"/>
  <c r="GS112" i="14"/>
  <c r="GT112" i="14"/>
  <c r="GU112" i="14"/>
  <c r="GV112" i="14"/>
  <c r="GW112" i="14"/>
  <c r="GX112" i="14"/>
  <c r="GY112" i="14"/>
  <c r="GZ112" i="14"/>
  <c r="HA112" i="14"/>
  <c r="HB112" i="14"/>
  <c r="HC112" i="14"/>
  <c r="HD112" i="14"/>
  <c r="HE112" i="14"/>
  <c r="HF112" i="14"/>
  <c r="HG112" i="14"/>
  <c r="HH112" i="14"/>
  <c r="HI112" i="14"/>
  <c r="HJ112" i="14"/>
  <c r="GJ113" i="14"/>
  <c r="GK113" i="14"/>
  <c r="GL113" i="14"/>
  <c r="GM113" i="14"/>
  <c r="GN113" i="14"/>
  <c r="GO113" i="14"/>
  <c r="GP113" i="14"/>
  <c r="GQ113" i="14"/>
  <c r="GR113" i="14"/>
  <c r="GS113" i="14"/>
  <c r="GT113" i="14"/>
  <c r="GU113" i="14"/>
  <c r="GV113" i="14"/>
  <c r="GW113" i="14"/>
  <c r="GX113" i="14"/>
  <c r="GY113" i="14"/>
  <c r="GZ113" i="14"/>
  <c r="HA113" i="14"/>
  <c r="HB113" i="14"/>
  <c r="HC113" i="14"/>
  <c r="HD113" i="14"/>
  <c r="HE113" i="14"/>
  <c r="HF113" i="14"/>
  <c r="HG113" i="14"/>
  <c r="HH113" i="14"/>
  <c r="HI113" i="14"/>
  <c r="HJ113" i="14"/>
  <c r="GI112" i="14"/>
  <c r="GI113" i="14"/>
  <c r="P18" i="19" l="1"/>
  <c r="P12" i="19"/>
  <c r="P17" i="19"/>
  <c r="P11" i="19"/>
  <c r="P16" i="19"/>
  <c r="P10" i="19"/>
  <c r="P14" i="19"/>
  <c r="P8" i="19"/>
  <c r="P19" i="19"/>
  <c r="P13" i="19"/>
  <c r="P15" i="19"/>
  <c r="P9" i="19"/>
  <c r="H8" i="19" l="1"/>
  <c r="H9" i="19"/>
  <c r="H10" i="19"/>
  <c r="H11" i="19"/>
  <c r="H7" i="19"/>
  <c r="H3" i="19"/>
  <c r="H4" i="19"/>
  <c r="H5" i="19"/>
  <c r="H6" i="19"/>
  <c r="H2" i="19"/>
  <c r="AZ22" i="8"/>
  <c r="V50" i="13" l="1"/>
  <c r="V51" i="13"/>
  <c r="V52" i="13"/>
  <c r="V53" i="13"/>
  <c r="V54" i="13"/>
  <c r="V55" i="13"/>
  <c r="V56" i="13"/>
  <c r="V57" i="13"/>
  <c r="AB57" i="13" s="1"/>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AB193" i="13" s="1"/>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AB233" i="13" s="1"/>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AB257" i="13" s="1"/>
  <c r="V258" i="13"/>
  <c r="V259" i="13"/>
  <c r="V260" i="13"/>
  <c r="V261" i="13"/>
  <c r="V262" i="13"/>
  <c r="V263" i="13"/>
  <c r="V264" i="13"/>
  <c r="V265" i="13"/>
  <c r="AB265" i="13" s="1"/>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AB289" i="13" s="1"/>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AB313" i="13" s="1"/>
  <c r="V314" i="13"/>
  <c r="V315" i="13"/>
  <c r="V316" i="13"/>
  <c r="V317" i="13"/>
  <c r="V318" i="13"/>
  <c r="V319" i="13"/>
  <c r="V320" i="13"/>
  <c r="V321" i="13"/>
  <c r="AB321" i="13" s="1"/>
  <c r="V322" i="13"/>
  <c r="V323" i="13"/>
  <c r="V324" i="13"/>
  <c r="V325" i="13"/>
  <c r="V326" i="13"/>
  <c r="V327" i="13"/>
  <c r="V328" i="13"/>
  <c r="V329" i="13"/>
  <c r="AB329" i="13" s="1"/>
  <c r="V330" i="13"/>
  <c r="V331" i="13"/>
  <c r="V332" i="13"/>
  <c r="V333" i="13"/>
  <c r="V334" i="13"/>
  <c r="V335" i="13"/>
  <c r="V336" i="13"/>
  <c r="V337" i="13"/>
  <c r="AB337" i="13" s="1"/>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AB361" i="13" s="1"/>
  <c r="V362" i="13"/>
  <c r="V363" i="13"/>
  <c r="V364" i="13"/>
  <c r="V365" i="13"/>
  <c r="V366" i="13"/>
  <c r="V367" i="13"/>
  <c r="V368" i="13"/>
  <c r="V369" i="13"/>
  <c r="AB369" i="13" s="1"/>
  <c r="V370" i="13"/>
  <c r="V371" i="13"/>
  <c r="V372" i="13"/>
  <c r="V373" i="13"/>
  <c r="V374" i="13"/>
  <c r="V375" i="13"/>
  <c r="V376" i="13"/>
  <c r="V377" i="13"/>
  <c r="AB377" i="13" s="1"/>
  <c r="V378" i="13"/>
  <c r="V379" i="13"/>
  <c r="V380" i="13"/>
  <c r="V381" i="13"/>
  <c r="V382" i="13"/>
  <c r="V383" i="13"/>
  <c r="V384" i="13"/>
  <c r="V385" i="13"/>
  <c r="AB385" i="13" s="1"/>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AB433" i="13" s="1"/>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AB465" i="13" s="1"/>
  <c r="V466" i="13"/>
  <c r="V467" i="13"/>
  <c r="V468" i="13"/>
  <c r="V469" i="13"/>
  <c r="V470" i="13"/>
  <c r="V471" i="13"/>
  <c r="V472" i="13"/>
  <c r="V473" i="13"/>
  <c r="AB473" i="13" s="1"/>
  <c r="V474" i="13"/>
  <c r="V475" i="13"/>
  <c r="V476" i="13"/>
  <c r="V477" i="13"/>
  <c r="V478" i="13"/>
  <c r="V479" i="13"/>
  <c r="V480" i="13"/>
  <c r="V481" i="13"/>
  <c r="AB481" i="13" s="1"/>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AB529" i="13" s="1"/>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AB569" i="13" s="1"/>
  <c r="V570" i="13"/>
  <c r="V571" i="13"/>
  <c r="V572" i="13"/>
  <c r="V573" i="13"/>
  <c r="V574" i="13"/>
  <c r="V575" i="13"/>
  <c r="V576" i="13"/>
  <c r="V577" i="13"/>
  <c r="AB577" i="13" s="1"/>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AB625" i="13" s="1"/>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AB673" i="13" s="1"/>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AB721" i="13" s="1"/>
  <c r="AB705" i="13" l="1"/>
  <c r="AB641" i="13"/>
  <c r="AB609" i="13"/>
  <c r="AB553" i="13"/>
  <c r="AB505" i="13"/>
  <c r="AB457" i="13"/>
  <c r="AB425" i="13"/>
  <c r="AB689" i="13"/>
  <c r="AB649" i="13"/>
  <c r="AB593" i="13"/>
  <c r="AB545" i="13"/>
  <c r="AB513" i="13"/>
  <c r="AB409" i="13"/>
  <c r="AB249" i="13"/>
  <c r="AB713" i="13"/>
  <c r="AB665" i="13"/>
  <c r="AB617" i="13"/>
  <c r="AB561" i="13"/>
  <c r="AB521" i="13"/>
  <c r="AB449" i="13"/>
  <c r="AB417" i="13"/>
  <c r="AB263" i="13"/>
  <c r="AB697" i="13"/>
  <c r="AB657" i="13"/>
  <c r="AB601" i="13"/>
  <c r="AB497" i="13"/>
  <c r="AB401" i="13"/>
  <c r="AB489" i="13"/>
  <c r="AB345" i="13"/>
  <c r="AB305" i="13"/>
  <c r="AB281" i="13"/>
  <c r="AB273" i="13"/>
  <c r="AB241" i="13"/>
  <c r="AB225" i="13"/>
  <c r="AB217" i="13"/>
  <c r="AB209" i="13"/>
  <c r="AB201" i="13"/>
  <c r="AB185" i="13"/>
  <c r="AB177" i="13"/>
  <c r="AB169" i="13"/>
  <c r="AB161" i="13"/>
  <c r="AB153" i="13"/>
  <c r="AB97" i="13"/>
  <c r="AB89" i="13"/>
  <c r="AB81" i="13"/>
  <c r="AB73" i="13"/>
  <c r="AB65" i="13"/>
  <c r="AB720" i="13"/>
  <c r="AB712" i="13"/>
  <c r="AB704" i="13"/>
  <c r="AB696" i="13"/>
  <c r="AB688" i="13"/>
  <c r="AB680" i="13"/>
  <c r="AB672" i="13"/>
  <c r="AB664" i="13"/>
  <c r="AB656" i="13"/>
  <c r="AB648" i="13"/>
  <c r="AB640" i="13"/>
  <c r="AB632" i="13"/>
  <c r="AB624" i="13"/>
  <c r="AB616" i="13"/>
  <c r="AB608" i="13"/>
  <c r="AB600" i="13"/>
  <c r="AB592" i="13"/>
  <c r="AB584" i="13"/>
  <c r="AB576" i="13"/>
  <c r="AB568" i="13"/>
  <c r="AB560" i="13"/>
  <c r="AB552" i="13"/>
  <c r="AB544" i="13"/>
  <c r="AB536" i="13"/>
  <c r="AB528" i="13"/>
  <c r="AB520" i="13"/>
  <c r="AB512" i="13"/>
  <c r="AB504" i="13"/>
  <c r="AB496" i="13"/>
  <c r="AB488" i="13"/>
  <c r="AB480" i="13"/>
  <c r="AB472" i="13"/>
  <c r="AB464" i="13"/>
  <c r="AB456" i="13"/>
  <c r="AB448" i="13"/>
  <c r="AB440" i="13"/>
  <c r="AB432" i="13"/>
  <c r="AB424" i="13"/>
  <c r="AB416" i="13"/>
  <c r="AB408" i="13"/>
  <c r="AB681" i="13"/>
  <c r="AB633" i="13"/>
  <c r="AB55" i="13"/>
  <c r="AB703" i="13"/>
  <c r="AB663" i="13"/>
  <c r="AB623" i="13"/>
  <c r="AB591" i="13"/>
  <c r="AB559" i="13"/>
  <c r="AB535" i="13"/>
  <c r="AB503" i="13"/>
  <c r="AB471" i="13"/>
  <c r="AB439" i="13"/>
  <c r="AB415" i="13"/>
  <c r="AB383" i="13"/>
  <c r="AB359" i="13"/>
  <c r="AB327" i="13"/>
  <c r="AB303" i="13"/>
  <c r="AB271" i="13"/>
  <c r="AB239" i="13"/>
  <c r="AB207" i="13"/>
  <c r="AB175" i="13"/>
  <c r="AB87" i="13"/>
  <c r="AB718" i="13"/>
  <c r="AB670" i="13"/>
  <c r="AB638" i="13"/>
  <c r="AB606" i="13"/>
  <c r="AB582" i="13"/>
  <c r="AB558" i="13"/>
  <c r="AB542" i="13"/>
  <c r="AB526" i="13"/>
  <c r="AB510" i="13"/>
  <c r="AB494" i="13"/>
  <c r="AB478" i="13"/>
  <c r="AB462" i="13"/>
  <c r="AB446" i="13"/>
  <c r="AB430" i="13"/>
  <c r="AB414" i="13"/>
  <c r="AB398" i="13"/>
  <c r="AB382" i="13"/>
  <c r="AB366" i="13"/>
  <c r="AB350" i="13"/>
  <c r="AB334" i="13"/>
  <c r="AB318" i="13"/>
  <c r="AB302" i="13"/>
  <c r="AB286" i="13"/>
  <c r="AB270" i="13"/>
  <c r="AB246" i="13"/>
  <c r="AB206" i="13"/>
  <c r="AB441" i="13"/>
  <c r="AB393" i="13"/>
  <c r="AB353" i="13"/>
  <c r="AB297" i="13"/>
  <c r="AB687" i="13"/>
  <c r="AB655" i="13"/>
  <c r="AB631" i="13"/>
  <c r="AB607" i="13"/>
  <c r="AB575" i="13"/>
  <c r="AB543" i="13"/>
  <c r="AB511" i="13"/>
  <c r="AB479" i="13"/>
  <c r="AB447" i="13"/>
  <c r="AB423" i="13"/>
  <c r="AB399" i="13"/>
  <c r="AB375" i="13"/>
  <c r="AB351" i="13"/>
  <c r="AB319" i="13"/>
  <c r="AB295" i="13"/>
  <c r="AB279" i="13"/>
  <c r="AB247" i="13"/>
  <c r="AB215" i="13"/>
  <c r="AB183" i="13"/>
  <c r="AB151" i="13"/>
  <c r="AB95" i="13"/>
  <c r="AB63" i="13"/>
  <c r="AB694" i="13"/>
  <c r="AB662" i="13"/>
  <c r="AB630" i="13"/>
  <c r="AB598" i="13"/>
  <c r="AB566" i="13"/>
  <c r="AB550" i="13"/>
  <c r="AB534" i="13"/>
  <c r="AB518" i="13"/>
  <c r="AB502" i="13"/>
  <c r="AB486" i="13"/>
  <c r="AB470" i="13"/>
  <c r="AB454" i="13"/>
  <c r="AB438" i="13"/>
  <c r="AB422" i="13"/>
  <c r="AB406" i="13"/>
  <c r="AB390" i="13"/>
  <c r="AB374" i="13"/>
  <c r="AB358" i="13"/>
  <c r="AB342" i="13"/>
  <c r="AB326" i="13"/>
  <c r="AB310" i="13"/>
  <c r="AB294" i="13"/>
  <c r="AB278" i="13"/>
  <c r="AB262" i="13"/>
  <c r="AB254" i="13"/>
  <c r="AB238" i="13"/>
  <c r="AB230" i="13"/>
  <c r="AB222" i="13"/>
  <c r="AB214" i="13"/>
  <c r="AB198" i="13"/>
  <c r="AB711" i="13"/>
  <c r="AB679" i="13"/>
  <c r="AB647" i="13"/>
  <c r="AB615" i="13"/>
  <c r="AB583" i="13"/>
  <c r="AB551" i="13"/>
  <c r="AB519" i="13"/>
  <c r="AB487" i="13"/>
  <c r="AB455" i="13"/>
  <c r="AB431" i="13"/>
  <c r="AB407" i="13"/>
  <c r="AB391" i="13"/>
  <c r="AB367" i="13"/>
  <c r="AB335" i="13"/>
  <c r="AB311" i="13"/>
  <c r="AB287" i="13"/>
  <c r="AB255" i="13"/>
  <c r="AB223" i="13"/>
  <c r="AB191" i="13"/>
  <c r="AB159" i="13"/>
  <c r="AB79" i="13"/>
  <c r="AB702" i="13"/>
  <c r="AB686" i="13"/>
  <c r="AB654" i="13"/>
  <c r="AB622" i="13"/>
  <c r="AB574" i="13"/>
  <c r="AB708" i="13"/>
  <c r="AB692" i="13"/>
  <c r="AB676" i="13"/>
  <c r="AB660" i="13"/>
  <c r="AB644" i="13"/>
  <c r="AB636" i="13"/>
  <c r="AB620" i="13"/>
  <c r="AB604" i="13"/>
  <c r="AB588" i="13"/>
  <c r="AB572" i="13"/>
  <c r="AB548" i="13"/>
  <c r="AB532" i="13"/>
  <c r="AB516" i="13"/>
  <c r="AB500" i="13"/>
  <c r="AB484" i="13"/>
  <c r="AB468" i="13"/>
  <c r="AB452" i="13"/>
  <c r="AB436" i="13"/>
  <c r="AB420" i="13"/>
  <c r="AB412" i="13"/>
  <c r="AB396" i="13"/>
  <c r="AB380" i="13"/>
  <c r="AB364" i="13"/>
  <c r="AB348" i="13"/>
  <c r="AB332" i="13"/>
  <c r="AB308" i="13"/>
  <c r="AB220" i="13"/>
  <c r="AB231" i="13"/>
  <c r="AB199" i="13"/>
  <c r="AB167" i="13"/>
  <c r="AB71" i="13"/>
  <c r="AB710" i="13"/>
  <c r="AB678" i="13"/>
  <c r="AB646" i="13"/>
  <c r="AB614" i="13"/>
  <c r="AB590" i="13"/>
  <c r="AB716" i="13"/>
  <c r="AB700" i="13"/>
  <c r="AB684" i="13"/>
  <c r="AB668" i="13"/>
  <c r="AB652" i="13"/>
  <c r="AB628" i="13"/>
  <c r="AB612" i="13"/>
  <c r="AB596" i="13"/>
  <c r="AB580" i="13"/>
  <c r="AB564" i="13"/>
  <c r="AB556" i="13"/>
  <c r="AB540" i="13"/>
  <c r="AB524" i="13"/>
  <c r="AB508" i="13"/>
  <c r="AB492" i="13"/>
  <c r="AB476" i="13"/>
  <c r="AB460" i="13"/>
  <c r="AB444" i="13"/>
  <c r="AB428" i="13"/>
  <c r="AB404" i="13"/>
  <c r="AB388" i="13"/>
  <c r="AB372" i="13"/>
  <c r="AB356" i="13"/>
  <c r="AB340" i="13"/>
  <c r="AB324" i="13"/>
  <c r="AB316" i="13"/>
  <c r="AB300" i="13"/>
  <c r="AB292" i="13"/>
  <c r="AB585" i="13"/>
  <c r="AB537" i="13"/>
  <c r="AB719" i="13"/>
  <c r="AB695" i="13"/>
  <c r="AB671" i="13"/>
  <c r="AB639" i="13"/>
  <c r="AB599" i="13"/>
  <c r="AB567" i="13"/>
  <c r="AB527" i="13"/>
  <c r="AB495" i="13"/>
  <c r="AB463" i="13"/>
  <c r="AB343" i="13"/>
  <c r="AB714" i="13"/>
  <c r="AB706" i="13"/>
  <c r="AB698" i="13"/>
  <c r="AB690" i="13"/>
  <c r="AB400" i="13"/>
  <c r="AB392" i="13"/>
  <c r="AB384" i="13"/>
  <c r="AB376" i="13"/>
  <c r="AB368" i="13"/>
  <c r="AB360" i="13"/>
  <c r="AB352" i="13"/>
  <c r="AB344" i="13"/>
  <c r="AB336" i="13"/>
  <c r="AB328" i="13"/>
  <c r="AB320" i="13"/>
  <c r="AB312" i="13"/>
  <c r="AB304" i="13"/>
  <c r="AB296" i="13"/>
  <c r="AB288" i="13"/>
  <c r="AB280" i="13"/>
  <c r="AB272" i="13"/>
  <c r="AB264" i="13"/>
  <c r="AB256" i="13"/>
  <c r="AB248" i="13"/>
  <c r="AB240" i="13"/>
  <c r="AB232" i="13"/>
  <c r="AB224" i="13"/>
  <c r="AB216" i="13"/>
  <c r="AB208" i="13"/>
  <c r="AB200" i="13"/>
  <c r="AB192" i="13"/>
  <c r="AB184" i="13"/>
  <c r="AB176" i="13"/>
  <c r="AB168" i="13"/>
  <c r="AB160" i="13"/>
  <c r="AB152" i="13"/>
  <c r="AB96" i="13"/>
  <c r="AB88" i="13"/>
  <c r="AB80" i="13"/>
  <c r="AB72" i="13"/>
  <c r="AB64" i="13"/>
  <c r="AB56" i="13"/>
  <c r="AB86" i="13"/>
  <c r="AB78" i="13"/>
  <c r="AB70" i="13"/>
  <c r="AB62" i="13"/>
  <c r="AB54" i="13"/>
  <c r="AB190" i="13"/>
  <c r="AB182" i="13"/>
  <c r="AB174" i="13"/>
  <c r="AB166" i="13"/>
  <c r="AB158" i="13"/>
  <c r="AB150" i="13"/>
  <c r="AB94" i="13"/>
  <c r="AB717" i="13"/>
  <c r="AB709" i="13"/>
  <c r="AB701" i="13"/>
  <c r="AB693" i="13"/>
  <c r="AB685" i="13"/>
  <c r="AB677" i="13"/>
  <c r="AB669" i="13"/>
  <c r="AB661" i="13"/>
  <c r="AB653" i="13"/>
  <c r="AB645" i="13"/>
  <c r="AB637" i="13"/>
  <c r="AB629" i="13"/>
  <c r="AB621" i="13"/>
  <c r="AB613" i="13"/>
  <c r="AB605" i="13"/>
  <c r="AB597" i="13"/>
  <c r="AB589" i="13"/>
  <c r="AB581" i="13"/>
  <c r="AB573" i="13"/>
  <c r="AB565" i="13"/>
  <c r="AB557" i="13"/>
  <c r="AB549" i="13"/>
  <c r="AB541" i="13"/>
  <c r="AB533" i="13"/>
  <c r="AB525" i="13"/>
  <c r="AB517" i="13"/>
  <c r="AB509" i="13"/>
  <c r="AB501" i="13"/>
  <c r="AB493" i="13"/>
  <c r="AB485" i="13"/>
  <c r="AB477" i="13"/>
  <c r="AB469" i="13"/>
  <c r="AB461" i="13"/>
  <c r="AB453" i="13"/>
  <c r="AB445" i="13"/>
  <c r="AB437" i="13"/>
  <c r="AB429" i="13"/>
  <c r="AB421" i="13"/>
  <c r="AB413" i="13"/>
  <c r="AB405" i="13"/>
  <c r="AB397" i="13"/>
  <c r="AB389" i="13"/>
  <c r="AB381" i="13"/>
  <c r="AB373" i="13"/>
  <c r="AB365" i="13"/>
  <c r="AB357" i="13"/>
  <c r="AB349" i="13"/>
  <c r="AB341" i="13"/>
  <c r="AB333" i="13"/>
  <c r="AB325" i="13"/>
  <c r="AB317" i="13"/>
  <c r="AB309" i="13"/>
  <c r="AB301" i="13"/>
  <c r="AB293" i="13"/>
  <c r="AB285" i="13"/>
  <c r="AB277" i="13"/>
  <c r="AB269" i="13"/>
  <c r="AB261" i="13"/>
  <c r="AB253" i="13"/>
  <c r="AB245" i="13"/>
  <c r="AB237" i="13"/>
  <c r="AB229" i="13"/>
  <c r="AB221" i="13"/>
  <c r="AB213" i="13"/>
  <c r="AB205" i="13"/>
  <c r="AB197" i="13"/>
  <c r="AB189" i="13"/>
  <c r="AB181" i="13"/>
  <c r="AB173" i="13"/>
  <c r="AB165" i="13"/>
  <c r="AB157" i="13"/>
  <c r="AB149" i="13"/>
  <c r="AB93" i="13"/>
  <c r="AB85" i="13"/>
  <c r="AB77" i="13"/>
  <c r="AB69" i="13"/>
  <c r="AB61" i="13"/>
  <c r="AB53" i="13"/>
  <c r="AB212" i="13"/>
  <c r="AB204" i="13"/>
  <c r="AB196" i="13"/>
  <c r="AB188" i="13"/>
  <c r="AB180" i="13"/>
  <c r="AB172" i="13"/>
  <c r="AB164" i="13"/>
  <c r="AB156" i="13"/>
  <c r="AB148" i="13"/>
  <c r="AB92" i="13"/>
  <c r="AB84" i="13"/>
  <c r="AB76" i="13"/>
  <c r="AB68" i="13"/>
  <c r="AB60" i="13"/>
  <c r="AB52" i="13"/>
  <c r="AB284" i="13"/>
  <c r="AB276" i="13"/>
  <c r="AB268" i="13"/>
  <c r="AB260" i="13"/>
  <c r="AB252" i="13"/>
  <c r="AB244" i="13"/>
  <c r="AB236" i="13"/>
  <c r="AB228" i="13"/>
  <c r="AB715" i="13"/>
  <c r="AB707" i="13"/>
  <c r="AB699" i="13"/>
  <c r="AB691" i="13"/>
  <c r="AB683" i="13"/>
  <c r="AB675" i="13"/>
  <c r="AB667" i="13"/>
  <c r="AB659" i="13"/>
  <c r="AB651" i="13"/>
  <c r="AB643" i="13"/>
  <c r="AB635" i="13"/>
  <c r="AB627" i="13"/>
  <c r="AB619" i="13"/>
  <c r="AB611" i="13"/>
  <c r="AB603" i="13"/>
  <c r="AB595" i="13"/>
  <c r="AB587" i="13"/>
  <c r="AB579" i="13"/>
  <c r="AB571" i="13"/>
  <c r="AB563" i="13"/>
  <c r="AB555" i="13"/>
  <c r="AB547" i="13"/>
  <c r="AB539" i="13"/>
  <c r="AB531" i="13"/>
  <c r="AB523" i="13"/>
  <c r="AB515" i="13"/>
  <c r="AB507" i="13"/>
  <c r="AB499" i="13"/>
  <c r="AB491" i="13"/>
  <c r="AB483" i="13"/>
  <c r="AB475" i="13"/>
  <c r="AB467" i="13"/>
  <c r="AB459" i="13"/>
  <c r="AB451" i="13"/>
  <c r="AB443" i="13"/>
  <c r="AB435" i="13"/>
  <c r="AB427" i="13"/>
  <c r="AB419" i="13"/>
  <c r="AB411" i="13"/>
  <c r="AB403" i="13"/>
  <c r="AB395" i="13"/>
  <c r="AB387" i="13"/>
  <c r="AB379" i="13"/>
  <c r="AB371" i="13"/>
  <c r="AB363" i="13"/>
  <c r="AB355" i="13"/>
  <c r="AB347" i="13"/>
  <c r="AB339" i="13"/>
  <c r="AB331" i="13"/>
  <c r="AB323" i="13"/>
  <c r="AB315" i="13"/>
  <c r="AB307" i="13"/>
  <c r="AB299" i="13"/>
  <c r="AB291" i="13"/>
  <c r="AB283" i="13"/>
  <c r="AB275" i="13"/>
  <c r="AB267" i="13"/>
  <c r="AB259" i="13"/>
  <c r="AB251" i="13"/>
  <c r="AB243" i="13"/>
  <c r="AB235" i="13"/>
  <c r="AB227" i="13"/>
  <c r="AB219" i="13"/>
  <c r="AB211" i="13"/>
  <c r="AB203" i="13"/>
  <c r="AB195" i="13"/>
  <c r="AB187" i="13"/>
  <c r="AB179" i="13"/>
  <c r="AB171" i="13"/>
  <c r="AB163" i="13"/>
  <c r="AB155" i="13"/>
  <c r="AB147" i="13"/>
  <c r="AB91" i="13"/>
  <c r="AB83" i="13"/>
  <c r="AB75" i="13"/>
  <c r="AB67" i="13"/>
  <c r="AB59" i="13"/>
  <c r="AB51" i="13"/>
  <c r="AB682" i="13"/>
  <c r="AB674" i="13"/>
  <c r="AB666" i="13"/>
  <c r="AB658" i="13"/>
  <c r="AB650" i="13"/>
  <c r="AB642" i="13"/>
  <c r="AB634" i="13"/>
  <c r="AB626" i="13"/>
  <c r="AB618" i="13"/>
  <c r="AB610" i="13"/>
  <c r="AB602" i="13"/>
  <c r="AB594" i="13"/>
  <c r="AB586" i="13"/>
  <c r="AB578" i="13"/>
  <c r="AB570" i="13"/>
  <c r="AB562" i="13"/>
  <c r="AB554" i="13"/>
  <c r="AB546" i="13"/>
  <c r="AB538" i="13"/>
  <c r="AB530" i="13"/>
  <c r="AB522" i="13"/>
  <c r="AB514" i="13"/>
  <c r="AB506" i="13"/>
  <c r="AB498" i="13"/>
  <c r="AB490" i="13"/>
  <c r="AB482" i="13"/>
  <c r="AB474" i="13"/>
  <c r="AB466" i="13"/>
  <c r="AB458" i="13"/>
  <c r="AB450" i="13"/>
  <c r="AB442" i="13"/>
  <c r="AB434" i="13"/>
  <c r="AB426" i="13"/>
  <c r="AB418" i="13"/>
  <c r="AB410" i="13"/>
  <c r="AB402" i="13"/>
  <c r="AB394" i="13"/>
  <c r="AB386" i="13"/>
  <c r="AB378" i="13"/>
  <c r="AB370" i="13"/>
  <c r="AB362" i="13"/>
  <c r="AB354" i="13"/>
  <c r="AB346" i="13"/>
  <c r="AB338" i="13"/>
  <c r="AB330" i="13"/>
  <c r="AB322" i="13"/>
  <c r="AB314" i="13"/>
  <c r="AB306" i="13"/>
  <c r="AB298" i="13"/>
  <c r="AB290" i="13"/>
  <c r="AB282" i="13"/>
  <c r="AB274" i="13"/>
  <c r="AB266" i="13"/>
  <c r="AB258" i="13"/>
  <c r="AB250" i="13"/>
  <c r="AB242" i="13"/>
  <c r="AB234" i="13"/>
  <c r="AB226" i="13"/>
  <c r="AB218" i="13"/>
  <c r="AB210" i="13"/>
  <c r="AB202" i="13"/>
  <c r="AB194" i="13"/>
  <c r="AB186" i="13"/>
  <c r="AB178" i="13"/>
  <c r="AB170" i="13"/>
  <c r="AB162" i="13"/>
  <c r="AB154" i="13"/>
  <c r="AB146" i="13"/>
  <c r="AB90" i="13"/>
  <c r="AB82" i="13"/>
  <c r="AB74" i="13"/>
  <c r="AB66" i="13"/>
  <c r="AB58" i="13"/>
  <c r="AB50" i="13"/>
  <c r="X627" i="13"/>
  <c r="Y627" i="13"/>
  <c r="Z627" i="13"/>
  <c r="X628" i="13"/>
  <c r="Y628" i="13"/>
  <c r="Z628" i="13"/>
  <c r="X629" i="13"/>
  <c r="Y629" i="13"/>
  <c r="Z629" i="13"/>
  <c r="X630" i="13"/>
  <c r="Y630" i="13"/>
  <c r="Z630" i="13"/>
  <c r="X631" i="13"/>
  <c r="Y631" i="13"/>
  <c r="Z631" i="13"/>
  <c r="X632" i="13"/>
  <c r="Y632" i="13"/>
  <c r="Z632" i="13"/>
  <c r="X633" i="13"/>
  <c r="Y633" i="13"/>
  <c r="Z633" i="13"/>
  <c r="X634" i="13"/>
  <c r="Y634" i="13"/>
  <c r="Z634" i="13"/>
  <c r="X635" i="13"/>
  <c r="Y635" i="13"/>
  <c r="Z635" i="13"/>
  <c r="X636" i="13"/>
  <c r="Y636" i="13"/>
  <c r="Z636" i="13"/>
  <c r="X637" i="13"/>
  <c r="Y637" i="13"/>
  <c r="Z637" i="13"/>
  <c r="X638" i="13"/>
  <c r="Y638" i="13"/>
  <c r="Z638" i="13"/>
  <c r="X639" i="13"/>
  <c r="Y639" i="13"/>
  <c r="Z639" i="13"/>
  <c r="X640" i="13"/>
  <c r="Y640" i="13"/>
  <c r="Z640" i="13"/>
  <c r="X641" i="13"/>
  <c r="Y641" i="13"/>
  <c r="Z641" i="13"/>
  <c r="X642" i="13"/>
  <c r="Y642" i="13"/>
  <c r="Z642" i="13"/>
  <c r="X643" i="13"/>
  <c r="Y643" i="13"/>
  <c r="Z643" i="13"/>
  <c r="X644" i="13"/>
  <c r="Y644" i="13"/>
  <c r="Z644" i="13"/>
  <c r="X645" i="13"/>
  <c r="Y645" i="13"/>
  <c r="Z645" i="13"/>
  <c r="X646" i="13"/>
  <c r="Y646" i="13"/>
  <c r="Z646" i="13"/>
  <c r="X647" i="13"/>
  <c r="Y647" i="13"/>
  <c r="Z647" i="13"/>
  <c r="X648" i="13"/>
  <c r="Y648" i="13"/>
  <c r="Z648" i="13"/>
  <c r="X649" i="13"/>
  <c r="Y649" i="13"/>
  <c r="Z649" i="13"/>
  <c r="X650" i="13"/>
  <c r="Y650" i="13"/>
  <c r="Z650" i="13"/>
  <c r="X651" i="13"/>
  <c r="Y651" i="13"/>
  <c r="Z651" i="13"/>
  <c r="X652" i="13"/>
  <c r="Y652" i="13"/>
  <c r="Z652" i="13"/>
  <c r="X653" i="13"/>
  <c r="Y653" i="13"/>
  <c r="Z653" i="13"/>
  <c r="X654" i="13"/>
  <c r="Y654" i="13"/>
  <c r="Z654" i="13"/>
  <c r="X655" i="13"/>
  <c r="Y655" i="13"/>
  <c r="Z655" i="13"/>
  <c r="X656" i="13"/>
  <c r="Y656" i="13"/>
  <c r="Z656" i="13"/>
  <c r="X657" i="13"/>
  <c r="Y657" i="13"/>
  <c r="Z657" i="13"/>
  <c r="X658" i="13"/>
  <c r="Y658" i="13"/>
  <c r="Z658" i="13"/>
  <c r="X659" i="13"/>
  <c r="Y659" i="13"/>
  <c r="Z659" i="13"/>
  <c r="X660" i="13"/>
  <c r="Y660" i="13"/>
  <c r="Z660" i="13"/>
  <c r="X661" i="13"/>
  <c r="Y661" i="13"/>
  <c r="Z661" i="13"/>
  <c r="X662" i="13"/>
  <c r="Y662" i="13"/>
  <c r="Z662" i="13"/>
  <c r="X663" i="13"/>
  <c r="Y663" i="13"/>
  <c r="Z663" i="13"/>
  <c r="X664" i="13"/>
  <c r="Y664" i="13"/>
  <c r="Z664" i="13"/>
  <c r="X665" i="13"/>
  <c r="Y665" i="13"/>
  <c r="Z665" i="13"/>
  <c r="X666" i="13"/>
  <c r="Y666" i="13"/>
  <c r="Z666" i="13"/>
  <c r="X667" i="13"/>
  <c r="Y667" i="13"/>
  <c r="Z667" i="13"/>
  <c r="X668" i="13"/>
  <c r="Y668" i="13"/>
  <c r="Z668" i="13"/>
  <c r="X669" i="13"/>
  <c r="Y669" i="13"/>
  <c r="Z669" i="13"/>
  <c r="X670" i="13"/>
  <c r="Y670" i="13"/>
  <c r="Z670" i="13"/>
  <c r="X671" i="13"/>
  <c r="Y671" i="13"/>
  <c r="Z671" i="13"/>
  <c r="X672" i="13"/>
  <c r="Y672" i="13"/>
  <c r="Z672" i="13"/>
  <c r="X673" i="13"/>
  <c r="Y673" i="13"/>
  <c r="Z673" i="13"/>
  <c r="Z626" i="13"/>
  <c r="Y626" i="13"/>
  <c r="X626" i="13"/>
  <c r="X579" i="13"/>
  <c r="Y579" i="13"/>
  <c r="Z579" i="13"/>
  <c r="X580" i="13"/>
  <c r="Y580" i="13"/>
  <c r="Z580" i="13"/>
  <c r="X581" i="13"/>
  <c r="Y581" i="13"/>
  <c r="Z581" i="13"/>
  <c r="X582" i="13"/>
  <c r="Y582" i="13"/>
  <c r="Z582" i="13"/>
  <c r="X583" i="13"/>
  <c r="Y583" i="13"/>
  <c r="Z583" i="13"/>
  <c r="X584" i="13"/>
  <c r="Y584" i="13"/>
  <c r="Z584" i="13"/>
  <c r="X585" i="13"/>
  <c r="Y585" i="13"/>
  <c r="Z585" i="13"/>
  <c r="X586" i="13"/>
  <c r="Y586" i="13"/>
  <c r="Z586" i="13"/>
  <c r="X587" i="13"/>
  <c r="Y587" i="13"/>
  <c r="Z587" i="13"/>
  <c r="X588" i="13"/>
  <c r="Y588" i="13"/>
  <c r="Z588" i="13"/>
  <c r="X589" i="13"/>
  <c r="Y589" i="13"/>
  <c r="Z589" i="13"/>
  <c r="X590" i="13"/>
  <c r="Y590" i="13"/>
  <c r="Z590" i="13"/>
  <c r="X591" i="13"/>
  <c r="Y591" i="13"/>
  <c r="Z591" i="13"/>
  <c r="X592" i="13"/>
  <c r="Y592" i="13"/>
  <c r="Z592" i="13"/>
  <c r="X593" i="13"/>
  <c r="Y593" i="13"/>
  <c r="Z593" i="13"/>
  <c r="X594" i="13"/>
  <c r="Y594" i="13"/>
  <c r="Z594" i="13"/>
  <c r="X595" i="13"/>
  <c r="Y595" i="13"/>
  <c r="Z595" i="13"/>
  <c r="X596" i="13"/>
  <c r="Y596" i="13"/>
  <c r="Z596" i="13"/>
  <c r="X597" i="13"/>
  <c r="Y597" i="13"/>
  <c r="Z597" i="13"/>
  <c r="X598" i="13"/>
  <c r="Y598" i="13"/>
  <c r="Z598" i="13"/>
  <c r="X599" i="13"/>
  <c r="Y599" i="13"/>
  <c r="Z599" i="13"/>
  <c r="X600" i="13"/>
  <c r="Y600" i="13"/>
  <c r="Z600" i="13"/>
  <c r="X601" i="13"/>
  <c r="Y601" i="13"/>
  <c r="Z601" i="13"/>
  <c r="X602" i="13"/>
  <c r="Y602" i="13"/>
  <c r="Z602" i="13"/>
  <c r="X603" i="13"/>
  <c r="Y603" i="13"/>
  <c r="Z603" i="13"/>
  <c r="X604" i="13"/>
  <c r="Y604" i="13"/>
  <c r="Z604" i="13"/>
  <c r="X605" i="13"/>
  <c r="Y605" i="13"/>
  <c r="Z605" i="13"/>
  <c r="X606" i="13"/>
  <c r="Y606" i="13"/>
  <c r="Z606" i="13"/>
  <c r="X607" i="13"/>
  <c r="Y607" i="13"/>
  <c r="Z607" i="13"/>
  <c r="X608" i="13"/>
  <c r="Y608" i="13"/>
  <c r="Z608" i="13"/>
  <c r="X609" i="13"/>
  <c r="Y609" i="13"/>
  <c r="Z609" i="13"/>
  <c r="X610" i="13"/>
  <c r="Y610" i="13"/>
  <c r="Z610" i="13"/>
  <c r="X611" i="13"/>
  <c r="Y611" i="13"/>
  <c r="Z611" i="13"/>
  <c r="X612" i="13"/>
  <c r="Y612" i="13"/>
  <c r="Z612" i="13"/>
  <c r="X613" i="13"/>
  <c r="Y613" i="13"/>
  <c r="Z613" i="13"/>
  <c r="X614" i="13"/>
  <c r="Y614" i="13"/>
  <c r="Z614" i="13"/>
  <c r="X615" i="13"/>
  <c r="Y615" i="13"/>
  <c r="Z615" i="13"/>
  <c r="X616" i="13"/>
  <c r="Y616" i="13"/>
  <c r="Z616" i="13"/>
  <c r="X617" i="13"/>
  <c r="Y617" i="13"/>
  <c r="Z617" i="13"/>
  <c r="X618" i="13"/>
  <c r="Y618" i="13"/>
  <c r="Z618" i="13"/>
  <c r="X619" i="13"/>
  <c r="Y619" i="13"/>
  <c r="Z619" i="13"/>
  <c r="X620" i="13"/>
  <c r="Y620" i="13"/>
  <c r="Z620" i="13"/>
  <c r="X621" i="13"/>
  <c r="Y621" i="13"/>
  <c r="Z621" i="13"/>
  <c r="X622" i="13"/>
  <c r="Y622" i="13"/>
  <c r="Z622" i="13"/>
  <c r="X623" i="13"/>
  <c r="Y623" i="13"/>
  <c r="Z623" i="13"/>
  <c r="X624" i="13"/>
  <c r="Y624" i="13"/>
  <c r="Z624" i="13"/>
  <c r="X625" i="13"/>
  <c r="Y625" i="13"/>
  <c r="Z625" i="13"/>
  <c r="Z578" i="13"/>
  <c r="Y578" i="13"/>
  <c r="X578" i="13"/>
  <c r="X483" i="13"/>
  <c r="Y483" i="13"/>
  <c r="Z483" i="13"/>
  <c r="X484" i="13"/>
  <c r="Y484" i="13"/>
  <c r="Z484" i="13"/>
  <c r="X485" i="13"/>
  <c r="Y485" i="13"/>
  <c r="Z485" i="13"/>
  <c r="X486" i="13"/>
  <c r="Y486" i="13"/>
  <c r="Z486" i="13"/>
  <c r="X487" i="13"/>
  <c r="Y487" i="13"/>
  <c r="Z487" i="13"/>
  <c r="X488" i="13"/>
  <c r="Y488" i="13"/>
  <c r="Z488" i="13"/>
  <c r="X489" i="13"/>
  <c r="Y489" i="13"/>
  <c r="Z489" i="13"/>
  <c r="X490" i="13"/>
  <c r="Y490" i="13"/>
  <c r="Z490" i="13"/>
  <c r="X491" i="13"/>
  <c r="Y491" i="13"/>
  <c r="Z491" i="13"/>
  <c r="X492" i="13"/>
  <c r="Y492" i="13"/>
  <c r="Z492" i="13"/>
  <c r="X493" i="13"/>
  <c r="Y493" i="13"/>
  <c r="Z493" i="13"/>
  <c r="X494" i="13"/>
  <c r="Y494" i="13"/>
  <c r="Z494" i="13"/>
  <c r="X495" i="13"/>
  <c r="Y495" i="13"/>
  <c r="Z495" i="13"/>
  <c r="X496" i="13"/>
  <c r="Y496" i="13"/>
  <c r="Z496" i="13"/>
  <c r="X497" i="13"/>
  <c r="Y497" i="13"/>
  <c r="Z497" i="13"/>
  <c r="X498" i="13"/>
  <c r="Y498" i="13"/>
  <c r="Z498" i="13"/>
  <c r="X499" i="13"/>
  <c r="Y499" i="13"/>
  <c r="Z499" i="13"/>
  <c r="X500" i="13"/>
  <c r="Y500" i="13"/>
  <c r="Z500" i="13"/>
  <c r="X501" i="13"/>
  <c r="Y501" i="13"/>
  <c r="Z501" i="13"/>
  <c r="X502" i="13"/>
  <c r="Y502" i="13"/>
  <c r="Z502" i="13"/>
  <c r="X503" i="13"/>
  <c r="Y503" i="13"/>
  <c r="Z503" i="13"/>
  <c r="X504" i="13"/>
  <c r="Y504" i="13"/>
  <c r="Z504" i="13"/>
  <c r="X505" i="13"/>
  <c r="Y505" i="13"/>
  <c r="Z505" i="13"/>
  <c r="X506" i="13"/>
  <c r="Y506" i="13"/>
  <c r="Z506" i="13"/>
  <c r="X507" i="13"/>
  <c r="Y507" i="13"/>
  <c r="Z507" i="13"/>
  <c r="X508" i="13"/>
  <c r="Y508" i="13"/>
  <c r="Z508" i="13"/>
  <c r="X509" i="13"/>
  <c r="Y509" i="13"/>
  <c r="Z509" i="13"/>
  <c r="X510" i="13"/>
  <c r="Y510" i="13"/>
  <c r="Z510" i="13"/>
  <c r="X511" i="13"/>
  <c r="Y511" i="13"/>
  <c r="Z511" i="13"/>
  <c r="X512" i="13"/>
  <c r="Y512" i="13"/>
  <c r="Z512" i="13"/>
  <c r="X513" i="13"/>
  <c r="Y513" i="13"/>
  <c r="Z513" i="13"/>
  <c r="X514" i="13"/>
  <c r="Y514" i="13"/>
  <c r="Z514" i="13"/>
  <c r="X515" i="13"/>
  <c r="Y515" i="13"/>
  <c r="Z515" i="13"/>
  <c r="X516" i="13"/>
  <c r="Y516" i="13"/>
  <c r="Z516" i="13"/>
  <c r="X517" i="13"/>
  <c r="Y517" i="13"/>
  <c r="Z517" i="13"/>
  <c r="X518" i="13"/>
  <c r="Y518" i="13"/>
  <c r="Z518" i="13"/>
  <c r="X519" i="13"/>
  <c r="Y519" i="13"/>
  <c r="Z519" i="13"/>
  <c r="X520" i="13"/>
  <c r="Y520" i="13"/>
  <c r="Z520" i="13"/>
  <c r="X521" i="13"/>
  <c r="Y521" i="13"/>
  <c r="Z521" i="13"/>
  <c r="X522" i="13"/>
  <c r="Y522" i="13"/>
  <c r="Z522" i="13"/>
  <c r="X523" i="13"/>
  <c r="Y523" i="13"/>
  <c r="Z523" i="13"/>
  <c r="X524" i="13"/>
  <c r="Y524" i="13"/>
  <c r="Z524" i="13"/>
  <c r="X525" i="13"/>
  <c r="Y525" i="13"/>
  <c r="Z525" i="13"/>
  <c r="X526" i="13"/>
  <c r="Y526" i="13"/>
  <c r="Z526" i="13"/>
  <c r="X527" i="13"/>
  <c r="Y527" i="13"/>
  <c r="Z527" i="13"/>
  <c r="X528" i="13"/>
  <c r="Y528" i="13"/>
  <c r="Z528" i="13"/>
  <c r="X529" i="13"/>
  <c r="Y529" i="13"/>
  <c r="Z529" i="13"/>
  <c r="Z482" i="13"/>
  <c r="Y482" i="13"/>
  <c r="X482" i="13"/>
  <c r="X435" i="13"/>
  <c r="Y435" i="13"/>
  <c r="Z435" i="13"/>
  <c r="X436" i="13"/>
  <c r="Y436" i="13"/>
  <c r="Z436" i="13"/>
  <c r="X437" i="13"/>
  <c r="Y437" i="13"/>
  <c r="Z437" i="13"/>
  <c r="X438" i="13"/>
  <c r="Y438" i="13"/>
  <c r="Z438" i="13"/>
  <c r="X439" i="13"/>
  <c r="Y439" i="13"/>
  <c r="Z439" i="13"/>
  <c r="X440" i="13"/>
  <c r="Y440" i="13"/>
  <c r="Z440" i="13"/>
  <c r="X441" i="13"/>
  <c r="Y441" i="13"/>
  <c r="Z441" i="13"/>
  <c r="X442" i="13"/>
  <c r="Y442" i="13"/>
  <c r="Z442" i="13"/>
  <c r="X443" i="13"/>
  <c r="Y443" i="13"/>
  <c r="Z443" i="13"/>
  <c r="X444" i="13"/>
  <c r="Y444" i="13"/>
  <c r="Z444" i="13"/>
  <c r="X445" i="13"/>
  <c r="Y445" i="13"/>
  <c r="Z445" i="13"/>
  <c r="X446" i="13"/>
  <c r="Y446" i="13"/>
  <c r="Z446" i="13"/>
  <c r="X447" i="13"/>
  <c r="Y447" i="13"/>
  <c r="Z447" i="13"/>
  <c r="X448" i="13"/>
  <c r="Y448" i="13"/>
  <c r="Z448" i="13"/>
  <c r="X449" i="13"/>
  <c r="Y449" i="13"/>
  <c r="Z449" i="13"/>
  <c r="X450" i="13"/>
  <c r="Y450" i="13"/>
  <c r="Z450" i="13"/>
  <c r="X451" i="13"/>
  <c r="Y451" i="13"/>
  <c r="Z451" i="13"/>
  <c r="X452" i="13"/>
  <c r="Y452" i="13"/>
  <c r="Z452" i="13"/>
  <c r="X453" i="13"/>
  <c r="Y453" i="13"/>
  <c r="Z453" i="13"/>
  <c r="X454" i="13"/>
  <c r="Y454" i="13"/>
  <c r="Z454" i="13"/>
  <c r="X455" i="13"/>
  <c r="Y455" i="13"/>
  <c r="Z455" i="13"/>
  <c r="X456" i="13"/>
  <c r="Y456" i="13"/>
  <c r="Z456" i="13"/>
  <c r="X457" i="13"/>
  <c r="Y457" i="13"/>
  <c r="Z457" i="13"/>
  <c r="X458" i="13"/>
  <c r="Y458" i="13"/>
  <c r="Z458" i="13"/>
  <c r="X459" i="13"/>
  <c r="Y459" i="13"/>
  <c r="Z459" i="13"/>
  <c r="X460" i="13"/>
  <c r="Y460" i="13"/>
  <c r="Z460" i="13"/>
  <c r="X461" i="13"/>
  <c r="Y461" i="13"/>
  <c r="Z461" i="13"/>
  <c r="X462" i="13"/>
  <c r="Y462" i="13"/>
  <c r="Z462" i="13"/>
  <c r="X463" i="13"/>
  <c r="Y463" i="13"/>
  <c r="Z463" i="13"/>
  <c r="X464" i="13"/>
  <c r="Y464" i="13"/>
  <c r="Z464" i="13"/>
  <c r="X465" i="13"/>
  <c r="Y465" i="13"/>
  <c r="Z465" i="13"/>
  <c r="X466" i="13"/>
  <c r="Y466" i="13"/>
  <c r="Z466" i="13"/>
  <c r="X467" i="13"/>
  <c r="Y467" i="13"/>
  <c r="Z467" i="13"/>
  <c r="X468" i="13"/>
  <c r="Y468" i="13"/>
  <c r="Z468" i="13"/>
  <c r="X469" i="13"/>
  <c r="Y469" i="13"/>
  <c r="Z469" i="13"/>
  <c r="X470" i="13"/>
  <c r="Y470" i="13"/>
  <c r="Z470" i="13"/>
  <c r="X471" i="13"/>
  <c r="Y471" i="13"/>
  <c r="Z471" i="13"/>
  <c r="X472" i="13"/>
  <c r="Y472" i="13"/>
  <c r="Z472" i="13"/>
  <c r="X473" i="13"/>
  <c r="Y473" i="13"/>
  <c r="Z473" i="13"/>
  <c r="X474" i="13"/>
  <c r="Y474" i="13"/>
  <c r="Z474" i="13"/>
  <c r="X475" i="13"/>
  <c r="Y475" i="13"/>
  <c r="Z475" i="13"/>
  <c r="X476" i="13"/>
  <c r="Y476" i="13"/>
  <c r="Z476" i="13"/>
  <c r="X477" i="13"/>
  <c r="Y477" i="13"/>
  <c r="Z477" i="13"/>
  <c r="X478" i="13"/>
  <c r="Y478" i="13"/>
  <c r="Z478" i="13"/>
  <c r="X479" i="13"/>
  <c r="Y479" i="13"/>
  <c r="Z479" i="13"/>
  <c r="X480" i="13"/>
  <c r="Y480" i="13"/>
  <c r="Z480" i="13"/>
  <c r="X481" i="13"/>
  <c r="Y481" i="13"/>
  <c r="Z481" i="13"/>
  <c r="Z434" i="13"/>
  <c r="Y434" i="13"/>
  <c r="X434" i="13"/>
  <c r="X339" i="13"/>
  <c r="Y339" i="13"/>
  <c r="Z339" i="13"/>
  <c r="X340" i="13"/>
  <c r="Y340" i="13"/>
  <c r="Z340" i="13"/>
  <c r="X341" i="13"/>
  <c r="Y341" i="13"/>
  <c r="Z341" i="13"/>
  <c r="X342" i="13"/>
  <c r="Y342" i="13"/>
  <c r="Z342" i="13"/>
  <c r="X343" i="13"/>
  <c r="Y343" i="13"/>
  <c r="Z343" i="13"/>
  <c r="X344" i="13"/>
  <c r="Y344" i="13"/>
  <c r="Z344" i="13"/>
  <c r="X345" i="13"/>
  <c r="Y345" i="13"/>
  <c r="Z345" i="13"/>
  <c r="X346" i="13"/>
  <c r="Y346" i="13"/>
  <c r="Z346" i="13"/>
  <c r="X347" i="13"/>
  <c r="Y347" i="13"/>
  <c r="Z347" i="13"/>
  <c r="X348" i="13"/>
  <c r="Y348" i="13"/>
  <c r="Z348" i="13"/>
  <c r="X349" i="13"/>
  <c r="Y349" i="13"/>
  <c r="Z349" i="13"/>
  <c r="X350" i="13"/>
  <c r="Y350" i="13"/>
  <c r="Z350" i="13"/>
  <c r="X351" i="13"/>
  <c r="Y351" i="13"/>
  <c r="Z351" i="13"/>
  <c r="X352" i="13"/>
  <c r="Y352" i="13"/>
  <c r="Z352" i="13"/>
  <c r="X353" i="13"/>
  <c r="Y353" i="13"/>
  <c r="Z353" i="13"/>
  <c r="X354" i="13"/>
  <c r="Y354" i="13"/>
  <c r="Z354" i="13"/>
  <c r="X355" i="13"/>
  <c r="Y355" i="13"/>
  <c r="Z355" i="13"/>
  <c r="X356" i="13"/>
  <c r="Y356" i="13"/>
  <c r="Z356" i="13"/>
  <c r="X357" i="13"/>
  <c r="Y357" i="13"/>
  <c r="Z357" i="13"/>
  <c r="X358" i="13"/>
  <c r="Y358" i="13"/>
  <c r="Z358" i="13"/>
  <c r="X359" i="13"/>
  <c r="Y359" i="13"/>
  <c r="Z359" i="13"/>
  <c r="X360" i="13"/>
  <c r="Y360" i="13"/>
  <c r="Z360" i="13"/>
  <c r="X361" i="13"/>
  <c r="Y361" i="13"/>
  <c r="Z361" i="13"/>
  <c r="X362" i="13"/>
  <c r="Y362" i="13"/>
  <c r="Z362" i="13"/>
  <c r="X363" i="13"/>
  <c r="Y363" i="13"/>
  <c r="Z363" i="13"/>
  <c r="X364" i="13"/>
  <c r="Y364" i="13"/>
  <c r="Z364" i="13"/>
  <c r="X365" i="13"/>
  <c r="Y365" i="13"/>
  <c r="Z365" i="13"/>
  <c r="X366" i="13"/>
  <c r="Y366" i="13"/>
  <c r="Z366" i="13"/>
  <c r="X367" i="13"/>
  <c r="Y367" i="13"/>
  <c r="Z367" i="13"/>
  <c r="X368" i="13"/>
  <c r="Y368" i="13"/>
  <c r="Z368" i="13"/>
  <c r="X369" i="13"/>
  <c r="Y369" i="13"/>
  <c r="Z369" i="13"/>
  <c r="X370" i="13"/>
  <c r="Y370" i="13"/>
  <c r="Z370" i="13"/>
  <c r="X371" i="13"/>
  <c r="Y371" i="13"/>
  <c r="Z371" i="13"/>
  <c r="X372" i="13"/>
  <c r="Y372" i="13"/>
  <c r="Z372" i="13"/>
  <c r="X373" i="13"/>
  <c r="Y373" i="13"/>
  <c r="Z373" i="13"/>
  <c r="X374" i="13"/>
  <c r="Y374" i="13"/>
  <c r="Z374" i="13"/>
  <c r="X375" i="13"/>
  <c r="Y375" i="13"/>
  <c r="Z375" i="13"/>
  <c r="X376" i="13"/>
  <c r="Y376" i="13"/>
  <c r="Z376" i="13"/>
  <c r="X377" i="13"/>
  <c r="Y377" i="13"/>
  <c r="Z377" i="13"/>
  <c r="X378" i="13"/>
  <c r="Y378" i="13"/>
  <c r="Z378" i="13"/>
  <c r="X379" i="13"/>
  <c r="Y379" i="13"/>
  <c r="Z379" i="13"/>
  <c r="X380" i="13"/>
  <c r="Y380" i="13"/>
  <c r="Z380" i="13"/>
  <c r="X381" i="13"/>
  <c r="Y381" i="13"/>
  <c r="Z381" i="13"/>
  <c r="X382" i="13"/>
  <c r="Y382" i="13"/>
  <c r="Z382" i="13"/>
  <c r="X383" i="13"/>
  <c r="Y383" i="13"/>
  <c r="Z383" i="13"/>
  <c r="X384" i="13"/>
  <c r="Y384" i="13"/>
  <c r="Z384" i="13"/>
  <c r="X385" i="13"/>
  <c r="Y385" i="13"/>
  <c r="Z385" i="13"/>
  <c r="Z338" i="13"/>
  <c r="Y338" i="13"/>
  <c r="X338" i="13"/>
  <c r="X291" i="13"/>
  <c r="Y291" i="13"/>
  <c r="Z291" i="13"/>
  <c r="X292" i="13"/>
  <c r="Y292" i="13"/>
  <c r="Z292" i="13"/>
  <c r="X293" i="13"/>
  <c r="Y293" i="13"/>
  <c r="Z293" i="13"/>
  <c r="X294" i="13"/>
  <c r="Y294" i="13"/>
  <c r="Z294" i="13"/>
  <c r="X295" i="13"/>
  <c r="Y295" i="13"/>
  <c r="Z295" i="13"/>
  <c r="X296" i="13"/>
  <c r="Y296" i="13"/>
  <c r="Z296" i="13"/>
  <c r="X297" i="13"/>
  <c r="Y297" i="13"/>
  <c r="Z297" i="13"/>
  <c r="X298" i="13"/>
  <c r="Y298" i="13"/>
  <c r="Z298" i="13"/>
  <c r="X299" i="13"/>
  <c r="Y299" i="13"/>
  <c r="Z299" i="13"/>
  <c r="X300" i="13"/>
  <c r="Y300" i="13"/>
  <c r="Z300" i="13"/>
  <c r="X301" i="13"/>
  <c r="Y301" i="13"/>
  <c r="Z301" i="13"/>
  <c r="X302" i="13"/>
  <c r="Y302" i="13"/>
  <c r="Z302" i="13"/>
  <c r="X303" i="13"/>
  <c r="Y303" i="13"/>
  <c r="Z303" i="13"/>
  <c r="X304" i="13"/>
  <c r="Y304" i="13"/>
  <c r="Z304" i="13"/>
  <c r="X305" i="13"/>
  <c r="Y305" i="13"/>
  <c r="Z305" i="13"/>
  <c r="X306" i="13"/>
  <c r="Y306" i="13"/>
  <c r="Z306" i="13"/>
  <c r="X307" i="13"/>
  <c r="Y307" i="13"/>
  <c r="Z307" i="13"/>
  <c r="X308" i="13"/>
  <c r="Y308" i="13"/>
  <c r="Z308" i="13"/>
  <c r="X309" i="13"/>
  <c r="Y309" i="13"/>
  <c r="Z309" i="13"/>
  <c r="X310" i="13"/>
  <c r="Y310" i="13"/>
  <c r="Z310" i="13"/>
  <c r="X311" i="13"/>
  <c r="Y311" i="13"/>
  <c r="Z311" i="13"/>
  <c r="X312" i="13"/>
  <c r="Y312" i="13"/>
  <c r="Z312" i="13"/>
  <c r="X313" i="13"/>
  <c r="Y313" i="13"/>
  <c r="Z313" i="13"/>
  <c r="X314" i="13"/>
  <c r="Y314" i="13"/>
  <c r="Z314" i="13"/>
  <c r="X315" i="13"/>
  <c r="Y315" i="13"/>
  <c r="Z315" i="13"/>
  <c r="X316" i="13"/>
  <c r="Y316" i="13"/>
  <c r="Z316" i="13"/>
  <c r="X317" i="13"/>
  <c r="Y317" i="13"/>
  <c r="Z317" i="13"/>
  <c r="X318" i="13"/>
  <c r="Y318" i="13"/>
  <c r="Z318" i="13"/>
  <c r="X319" i="13"/>
  <c r="Y319" i="13"/>
  <c r="Z319" i="13"/>
  <c r="X320" i="13"/>
  <c r="Y320" i="13"/>
  <c r="Z320" i="13"/>
  <c r="X321" i="13"/>
  <c r="Y321" i="13"/>
  <c r="Z321" i="13"/>
  <c r="X322" i="13"/>
  <c r="Y322" i="13"/>
  <c r="Z322" i="13"/>
  <c r="X323" i="13"/>
  <c r="Y323" i="13"/>
  <c r="Z323" i="13"/>
  <c r="X324" i="13"/>
  <c r="Y324" i="13"/>
  <c r="Z324" i="13"/>
  <c r="X325" i="13"/>
  <c r="Y325" i="13"/>
  <c r="Z325" i="13"/>
  <c r="X326" i="13"/>
  <c r="Y326" i="13"/>
  <c r="Z326" i="13"/>
  <c r="X327" i="13"/>
  <c r="Y327" i="13"/>
  <c r="Z327" i="13"/>
  <c r="X328" i="13"/>
  <c r="Y328" i="13"/>
  <c r="Z328" i="13"/>
  <c r="X329" i="13"/>
  <c r="Y329" i="13"/>
  <c r="Z329" i="13"/>
  <c r="X330" i="13"/>
  <c r="Y330" i="13"/>
  <c r="Z330" i="13"/>
  <c r="X331" i="13"/>
  <c r="Y331" i="13"/>
  <c r="Z331" i="13"/>
  <c r="X332" i="13"/>
  <c r="Y332" i="13"/>
  <c r="Z332" i="13"/>
  <c r="X333" i="13"/>
  <c r="Y333" i="13"/>
  <c r="Z333" i="13"/>
  <c r="X334" i="13"/>
  <c r="Y334" i="13"/>
  <c r="Z334" i="13"/>
  <c r="X335" i="13"/>
  <c r="Y335" i="13"/>
  <c r="Z335" i="13"/>
  <c r="X336" i="13"/>
  <c r="Y336" i="13"/>
  <c r="Z336" i="13"/>
  <c r="X337" i="13"/>
  <c r="Y337" i="13"/>
  <c r="Z337" i="13"/>
  <c r="Z290" i="13"/>
  <c r="Y290" i="13"/>
  <c r="X290" i="13"/>
  <c r="X195" i="13"/>
  <c r="Y195" i="13"/>
  <c r="Z195" i="13"/>
  <c r="X196" i="13"/>
  <c r="Y196" i="13"/>
  <c r="Z196" i="13"/>
  <c r="X197" i="13"/>
  <c r="Y197" i="13"/>
  <c r="Z197" i="13"/>
  <c r="X198" i="13"/>
  <c r="Y198" i="13"/>
  <c r="Z198" i="13"/>
  <c r="X199" i="13"/>
  <c r="Y199" i="13"/>
  <c r="Z199" i="13"/>
  <c r="X200" i="13"/>
  <c r="Y200" i="13"/>
  <c r="Z200" i="13"/>
  <c r="X201" i="13"/>
  <c r="Y201" i="13"/>
  <c r="Z201" i="13"/>
  <c r="X202" i="13"/>
  <c r="Y202" i="13"/>
  <c r="Z202" i="13"/>
  <c r="X203" i="13"/>
  <c r="Y203" i="13"/>
  <c r="Z203" i="13"/>
  <c r="X204" i="13"/>
  <c r="Y204" i="13"/>
  <c r="Z204" i="13"/>
  <c r="X205" i="13"/>
  <c r="Y205" i="13"/>
  <c r="Z205" i="13"/>
  <c r="X206" i="13"/>
  <c r="Y206" i="13"/>
  <c r="Z206" i="13"/>
  <c r="X207" i="13"/>
  <c r="Y207" i="13"/>
  <c r="Z207" i="13"/>
  <c r="X208" i="13"/>
  <c r="Y208" i="13"/>
  <c r="Z208" i="13"/>
  <c r="X209" i="13"/>
  <c r="Y209" i="13"/>
  <c r="Z209" i="13"/>
  <c r="X210" i="13"/>
  <c r="Y210" i="13"/>
  <c r="Z210" i="13"/>
  <c r="X211" i="13"/>
  <c r="Y211" i="13"/>
  <c r="Z211" i="13"/>
  <c r="X212" i="13"/>
  <c r="Y212" i="13"/>
  <c r="Z212" i="13"/>
  <c r="X213" i="13"/>
  <c r="Y213" i="13"/>
  <c r="Z213" i="13"/>
  <c r="X214" i="13"/>
  <c r="Y214" i="13"/>
  <c r="Z214" i="13"/>
  <c r="X215" i="13"/>
  <c r="Y215" i="13"/>
  <c r="Z215" i="13"/>
  <c r="X216" i="13"/>
  <c r="Y216" i="13"/>
  <c r="Z216" i="13"/>
  <c r="X217" i="13"/>
  <c r="Y217" i="13"/>
  <c r="Z217" i="13"/>
  <c r="X218" i="13"/>
  <c r="Y218" i="13"/>
  <c r="Z218" i="13"/>
  <c r="X219" i="13"/>
  <c r="Y219" i="13"/>
  <c r="Z219" i="13"/>
  <c r="X220" i="13"/>
  <c r="Y220" i="13"/>
  <c r="Z220" i="13"/>
  <c r="X221" i="13"/>
  <c r="Y221" i="13"/>
  <c r="Z221" i="13"/>
  <c r="X222" i="13"/>
  <c r="Y222" i="13"/>
  <c r="Z222" i="13"/>
  <c r="X223" i="13"/>
  <c r="Y223" i="13"/>
  <c r="Z223" i="13"/>
  <c r="X224" i="13"/>
  <c r="Y224" i="13"/>
  <c r="Z224" i="13"/>
  <c r="X225" i="13"/>
  <c r="Y225" i="13"/>
  <c r="Z225" i="13"/>
  <c r="X226" i="13"/>
  <c r="Y226" i="13"/>
  <c r="Z226" i="13"/>
  <c r="X227" i="13"/>
  <c r="Y227" i="13"/>
  <c r="Z227" i="13"/>
  <c r="X228" i="13"/>
  <c r="Y228" i="13"/>
  <c r="Z228" i="13"/>
  <c r="X229" i="13"/>
  <c r="Y229" i="13"/>
  <c r="Z229" i="13"/>
  <c r="X230" i="13"/>
  <c r="Y230" i="13"/>
  <c r="Z230" i="13"/>
  <c r="X231" i="13"/>
  <c r="Y231" i="13"/>
  <c r="Z231" i="13"/>
  <c r="X232" i="13"/>
  <c r="Y232" i="13"/>
  <c r="Z232" i="13"/>
  <c r="X233" i="13"/>
  <c r="Y233" i="13"/>
  <c r="Z233" i="13"/>
  <c r="X234" i="13"/>
  <c r="Y234" i="13"/>
  <c r="Z234" i="13"/>
  <c r="X235" i="13"/>
  <c r="Y235" i="13"/>
  <c r="Z235" i="13"/>
  <c r="X236" i="13"/>
  <c r="Y236" i="13"/>
  <c r="Z236" i="13"/>
  <c r="X237" i="13"/>
  <c r="Y237" i="13"/>
  <c r="Z237" i="13"/>
  <c r="X238" i="13"/>
  <c r="Y238" i="13"/>
  <c r="Z238" i="13"/>
  <c r="X239" i="13"/>
  <c r="Y239" i="13"/>
  <c r="Z239" i="13"/>
  <c r="X240" i="13"/>
  <c r="Y240" i="13"/>
  <c r="Z240" i="13"/>
  <c r="X241" i="13"/>
  <c r="Y241" i="13"/>
  <c r="Z241" i="13"/>
  <c r="Z194" i="13"/>
  <c r="Y194" i="13"/>
  <c r="X194" i="13"/>
  <c r="Z147" i="13"/>
  <c r="Z148" i="13"/>
  <c r="Z149" i="13"/>
  <c r="Z150" i="13"/>
  <c r="Z151" i="13"/>
  <c r="Z152" i="13"/>
  <c r="Z153" i="13"/>
  <c r="Z154" i="13"/>
  <c r="Z155" i="13"/>
  <c r="Z156" i="13"/>
  <c r="Z157" i="13"/>
  <c r="Z158" i="13"/>
  <c r="Z159" i="13"/>
  <c r="Z160" i="13"/>
  <c r="Z161" i="13"/>
  <c r="Z162" i="13"/>
  <c r="Z163" i="13"/>
  <c r="Z164" i="13"/>
  <c r="Z165" i="13"/>
  <c r="Z166" i="13"/>
  <c r="Z167" i="13"/>
  <c r="Z168" i="13"/>
  <c r="Z169" i="13"/>
  <c r="Z170" i="13"/>
  <c r="Z171" i="13"/>
  <c r="Z172" i="13"/>
  <c r="Z173" i="13"/>
  <c r="Z174" i="13"/>
  <c r="Z175" i="13"/>
  <c r="Z176" i="13"/>
  <c r="Z177" i="13"/>
  <c r="Z178" i="13"/>
  <c r="Z179" i="13"/>
  <c r="Z180" i="13"/>
  <c r="Z181" i="13"/>
  <c r="Z182" i="13"/>
  <c r="Z183" i="13"/>
  <c r="Z184" i="13"/>
  <c r="Z185" i="13"/>
  <c r="Z186" i="13"/>
  <c r="Z187" i="13"/>
  <c r="Z188" i="13"/>
  <c r="Z189" i="13"/>
  <c r="Z190" i="13"/>
  <c r="Z191" i="13"/>
  <c r="Z192" i="13"/>
  <c r="Z193" i="13"/>
  <c r="Z146" i="13"/>
  <c r="Y147" i="13"/>
  <c r="Y148" i="13"/>
  <c r="Y149" i="13"/>
  <c r="Y150" i="13"/>
  <c r="Y151" i="13"/>
  <c r="Y152" i="13"/>
  <c r="Y153" i="13"/>
  <c r="Y154" i="13"/>
  <c r="Y155" i="13"/>
  <c r="Y156" i="13"/>
  <c r="Y157" i="13"/>
  <c r="Y158" i="13"/>
  <c r="Y159" i="13"/>
  <c r="Y160" i="13"/>
  <c r="Y161" i="13"/>
  <c r="Y162" i="13"/>
  <c r="Y163" i="13"/>
  <c r="Y164" i="13"/>
  <c r="Y165" i="13"/>
  <c r="Y166" i="13"/>
  <c r="Y167" i="13"/>
  <c r="Y168" i="13"/>
  <c r="Y169" i="13"/>
  <c r="Y170" i="13"/>
  <c r="Y171" i="13"/>
  <c r="Y172" i="13"/>
  <c r="Y173" i="13"/>
  <c r="Y174" i="13"/>
  <c r="Y175" i="13"/>
  <c r="Y176" i="13"/>
  <c r="Y177" i="13"/>
  <c r="Y178" i="13"/>
  <c r="Y179" i="13"/>
  <c r="Y180" i="13"/>
  <c r="Y181" i="13"/>
  <c r="Y182" i="13"/>
  <c r="Y183" i="13"/>
  <c r="Y184" i="13"/>
  <c r="Y185" i="13"/>
  <c r="Y186" i="13"/>
  <c r="Y187" i="13"/>
  <c r="Y188" i="13"/>
  <c r="Y189" i="13"/>
  <c r="Y190" i="13"/>
  <c r="Y191" i="13"/>
  <c r="Y192" i="13"/>
  <c r="Y193" i="13"/>
  <c r="Y146" i="13"/>
  <c r="X147" i="13"/>
  <c r="X148" i="13"/>
  <c r="X149" i="13"/>
  <c r="X150" i="13"/>
  <c r="X151" i="13"/>
  <c r="X152" i="13"/>
  <c r="X153" i="13"/>
  <c r="X154" i="13"/>
  <c r="X155" i="13"/>
  <c r="X156" i="13"/>
  <c r="X157" i="13"/>
  <c r="X158" i="13"/>
  <c r="X159" i="13"/>
  <c r="X160" i="13"/>
  <c r="X161" i="13"/>
  <c r="X162" i="13"/>
  <c r="X163" i="13"/>
  <c r="X164"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192" i="13"/>
  <c r="X193" i="13"/>
  <c r="X146" i="13"/>
  <c r="Z51" i="13"/>
  <c r="Z52" i="13"/>
  <c r="Z53" i="13"/>
  <c r="Z54" i="13"/>
  <c r="Z55" i="13"/>
  <c r="Z56" i="13"/>
  <c r="Z57" i="13"/>
  <c r="Z58" i="13"/>
  <c r="Z59" i="13"/>
  <c r="Z60" i="13"/>
  <c r="Z61" i="13"/>
  <c r="Z62" i="13"/>
  <c r="Z63" i="13"/>
  <c r="Z64" i="13"/>
  <c r="Z65" i="13"/>
  <c r="Z66" i="13"/>
  <c r="Z67" i="13"/>
  <c r="Z68" i="13"/>
  <c r="Z69" i="13"/>
  <c r="Z70" i="13"/>
  <c r="Z71" i="13"/>
  <c r="Z72" i="13"/>
  <c r="Z73" i="13"/>
  <c r="Z74" i="13"/>
  <c r="Z75" i="13"/>
  <c r="Z76" i="13"/>
  <c r="Z77" i="13"/>
  <c r="Z78" i="13"/>
  <c r="Z79" i="13"/>
  <c r="Z80" i="13"/>
  <c r="Z81" i="13"/>
  <c r="Z82" i="13"/>
  <c r="Z83" i="13"/>
  <c r="Z84" i="13"/>
  <c r="Z85" i="13"/>
  <c r="Z86" i="13"/>
  <c r="Z87" i="13"/>
  <c r="Z88" i="13"/>
  <c r="Z89" i="13"/>
  <c r="Z90" i="13"/>
  <c r="Z91" i="13"/>
  <c r="Z92" i="13"/>
  <c r="Z93" i="13"/>
  <c r="Z94" i="13"/>
  <c r="Z95" i="13"/>
  <c r="Z96" i="13"/>
  <c r="Z97"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Z50" i="13"/>
  <c r="Y50" i="13"/>
  <c r="X51" i="13"/>
  <c r="X52" i="13"/>
  <c r="X53" i="13"/>
  <c r="X54" i="13"/>
  <c r="X55" i="13"/>
  <c r="X56" i="13"/>
  <c r="X57" i="13"/>
  <c r="X58" i="13"/>
  <c r="X59" i="13"/>
  <c r="X60" i="13"/>
  <c r="X61" i="13"/>
  <c r="X62" i="13"/>
  <c r="X63" i="13"/>
  <c r="X64" i="13"/>
  <c r="X65" i="13"/>
  <c r="X66" i="13"/>
  <c r="X67" i="13"/>
  <c r="X68" i="13"/>
  <c r="X69" i="13"/>
  <c r="X70" i="13"/>
  <c r="X71" i="13"/>
  <c r="X72" i="13"/>
  <c r="X73" i="13"/>
  <c r="X74" i="13"/>
  <c r="X75" i="13"/>
  <c r="X76" i="13"/>
  <c r="X77" i="13"/>
  <c r="X78" i="13"/>
  <c r="X79" i="13"/>
  <c r="X80" i="13"/>
  <c r="X81" i="13"/>
  <c r="X82" i="13"/>
  <c r="X83" i="13"/>
  <c r="X84" i="13"/>
  <c r="X85" i="13"/>
  <c r="X86" i="13"/>
  <c r="X87" i="13"/>
  <c r="X88" i="13"/>
  <c r="X89" i="13"/>
  <c r="X90" i="13"/>
  <c r="X91" i="13"/>
  <c r="X92" i="13"/>
  <c r="X93" i="13"/>
  <c r="X94" i="13"/>
  <c r="X95" i="13"/>
  <c r="X96" i="13"/>
  <c r="X97" i="13"/>
  <c r="X50" i="13"/>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2" i="10"/>
  <c r="CS7" i="14"/>
  <c r="CS8" i="14"/>
  <c r="CS9" i="14"/>
  <c r="CS10" i="14"/>
  <c r="CS11" i="14"/>
  <c r="CS12" i="14"/>
  <c r="CS13" i="14"/>
  <c r="CS14" i="14"/>
  <c r="CS15" i="14"/>
  <c r="CS16" i="14"/>
  <c r="CS17" i="14"/>
  <c r="CS18" i="14"/>
  <c r="CS19" i="14"/>
  <c r="CS20" i="14"/>
  <c r="CS21" i="14"/>
  <c r="CS22" i="14"/>
  <c r="CS23" i="14"/>
  <c r="CS24" i="14"/>
  <c r="CS25" i="14"/>
  <c r="CS26" i="14"/>
  <c r="CS27" i="14"/>
  <c r="CS28" i="14"/>
  <c r="CS29" i="14"/>
  <c r="CS30" i="14"/>
  <c r="CS31" i="14"/>
  <c r="CS32" i="14"/>
  <c r="CS33" i="14"/>
  <c r="CS34" i="14"/>
  <c r="CS35" i="14"/>
  <c r="CS36" i="14"/>
  <c r="CS37" i="14"/>
  <c r="CS38" i="14"/>
  <c r="CS39" i="14"/>
  <c r="CS40" i="14"/>
  <c r="CS41" i="14"/>
  <c r="CS42" i="14"/>
  <c r="CS43" i="14"/>
  <c r="CS44" i="14"/>
  <c r="CS45" i="14"/>
  <c r="CS46" i="14"/>
  <c r="CS47" i="14"/>
  <c r="CS48" i="14"/>
  <c r="CS49" i="14"/>
  <c r="CS50" i="14"/>
  <c r="CS51" i="14"/>
  <c r="CS52" i="14"/>
  <c r="CS53" i="14"/>
  <c r="CS54" i="14"/>
  <c r="CS55" i="14"/>
  <c r="CS6" i="14"/>
  <c r="BM6" i="17"/>
  <c r="BM8" i="17"/>
  <c r="BM10" i="17"/>
  <c r="BM12" i="17"/>
  <c r="BU12" i="17"/>
  <c r="BM14" i="17"/>
  <c r="BW14" i="17"/>
  <c r="BM16" i="17"/>
  <c r="BY16" i="17"/>
  <c r="BM18" i="17"/>
  <c r="CA18" i="17"/>
  <c r="BM19" i="17"/>
  <c r="BM20" i="17"/>
  <c r="BT20" i="17"/>
  <c r="BM21" i="17"/>
  <c r="BM22" i="17"/>
  <c r="BU22" i="17"/>
  <c r="BM23" i="17"/>
  <c r="BM24" i="17"/>
  <c r="BN24" i="17"/>
  <c r="BM25" i="17"/>
  <c r="BM26" i="17"/>
  <c r="BM27" i="17"/>
  <c r="BM28" i="17"/>
  <c r="BX28" i="17"/>
  <c r="BM29" i="17"/>
  <c r="CA29" i="17"/>
  <c r="BM30" i="17"/>
  <c r="BS30" i="17"/>
  <c r="BM31" i="17"/>
  <c r="CJ31" i="17"/>
  <c r="BM32" i="17"/>
  <c r="BT32" i="17"/>
  <c r="CD32" i="17"/>
  <c r="CL32" i="17"/>
  <c r="BM33" i="17"/>
  <c r="BS33" i="17"/>
  <c r="CA33" i="17"/>
  <c r="CI33" i="17"/>
  <c r="BM34" i="17"/>
  <c r="BO34" i="17"/>
  <c r="BW34" i="17"/>
  <c r="CE34" i="17"/>
  <c r="CM34" i="17"/>
  <c r="BM35" i="17"/>
  <c r="BT35" i="17"/>
  <c r="CB35" i="17"/>
  <c r="CJ35" i="17"/>
  <c r="BM36" i="17"/>
  <c r="BP36" i="17"/>
  <c r="BX36" i="17"/>
  <c r="CF36" i="17"/>
  <c r="CN36" i="17"/>
  <c r="BM37" i="17"/>
  <c r="BU37" i="17"/>
  <c r="CC37" i="17"/>
  <c r="CK37" i="17"/>
  <c r="BM38" i="17"/>
  <c r="BQ38" i="17"/>
  <c r="BY38" i="17"/>
  <c r="CG38" i="17"/>
  <c r="BM39" i="17"/>
  <c r="BV39" i="17"/>
  <c r="CD39" i="17"/>
  <c r="CL39" i="17"/>
  <c r="BM40" i="17"/>
  <c r="BM41" i="17"/>
  <c r="BO41" i="17"/>
  <c r="BW41" i="17"/>
  <c r="CE41" i="17"/>
  <c r="CM41" i="17"/>
  <c r="BM42" i="17"/>
  <c r="BS42" i="17"/>
  <c r="CA42" i="17"/>
  <c r="CI42" i="17"/>
  <c r="BM43" i="17"/>
  <c r="BP43" i="17"/>
  <c r="BX43" i="17"/>
  <c r="CF43" i="17"/>
  <c r="CN43" i="17"/>
  <c r="BM44" i="17"/>
  <c r="BT44" i="17"/>
  <c r="CB44" i="17"/>
  <c r="CJ44" i="17"/>
  <c r="BM45" i="17"/>
  <c r="BQ45" i="17"/>
  <c r="BY45" i="17"/>
  <c r="CG45" i="17"/>
  <c r="BM46" i="17"/>
  <c r="BU46" i="17"/>
  <c r="CC46" i="17"/>
  <c r="CK46" i="17"/>
  <c r="BM47" i="17"/>
  <c r="BM48" i="17"/>
  <c r="BN48" i="17"/>
  <c r="BV48" i="17"/>
  <c r="CD48" i="17"/>
  <c r="CL48" i="17"/>
  <c r="BM49" i="17"/>
  <c r="BS49" i="17"/>
  <c r="BU49" i="17"/>
  <c r="CA49" i="17"/>
  <c r="CC49" i="17"/>
  <c r="CI49" i="17"/>
  <c r="CK49" i="17"/>
  <c r="BM50" i="17"/>
  <c r="BO50" i="17"/>
  <c r="BQ50" i="17"/>
  <c r="BU50" i="17"/>
  <c r="BW50" i="17"/>
  <c r="BY50" i="17"/>
  <c r="CC50" i="17"/>
  <c r="CE50" i="17"/>
  <c r="CG50" i="17"/>
  <c r="CK50" i="17"/>
  <c r="CM50" i="17"/>
  <c r="BM51" i="17"/>
  <c r="BT51" i="17"/>
  <c r="BU51" i="17"/>
  <c r="BV51" i="17"/>
  <c r="CB51" i="17"/>
  <c r="CC51" i="17"/>
  <c r="CD51" i="17"/>
  <c r="CJ51" i="17"/>
  <c r="CK51" i="17"/>
  <c r="CL51" i="17"/>
  <c r="BM52" i="17"/>
  <c r="BN52" i="17"/>
  <c r="BP52" i="17"/>
  <c r="BQ52" i="17"/>
  <c r="BU52" i="17"/>
  <c r="BV52" i="17"/>
  <c r="BX52" i="17"/>
  <c r="BY52" i="17"/>
  <c r="CC52" i="17"/>
  <c r="CD52" i="17"/>
  <c r="CF52" i="17"/>
  <c r="CG52" i="17"/>
  <c r="CK52" i="17"/>
  <c r="CL52" i="17"/>
  <c r="CN52" i="17"/>
  <c r="BM53" i="17"/>
  <c r="BO53" i="17"/>
  <c r="BS53" i="17"/>
  <c r="BU53" i="17"/>
  <c r="BV53" i="17"/>
  <c r="BW53" i="17"/>
  <c r="BY53" i="17"/>
  <c r="CA53" i="17"/>
  <c r="CC53" i="17"/>
  <c r="CD53" i="17"/>
  <c r="CE53" i="17"/>
  <c r="CG53" i="17"/>
  <c r="CI53" i="17"/>
  <c r="CK53" i="17"/>
  <c r="CL53" i="17"/>
  <c r="CM53" i="17"/>
  <c r="BN55" i="17"/>
  <c r="BN28" i="17" s="1"/>
  <c r="BO55" i="17"/>
  <c r="BO30" i="17" s="1"/>
  <c r="BP55" i="17"/>
  <c r="BP35" i="17" s="1"/>
  <c r="BQ55" i="17"/>
  <c r="BR55" i="17"/>
  <c r="BR34" i="17" s="1"/>
  <c r="BS55" i="17"/>
  <c r="BS38" i="17" s="1"/>
  <c r="BT55" i="17"/>
  <c r="BT38" i="17" s="1"/>
  <c r="BU55" i="17"/>
  <c r="BU38" i="17" s="1"/>
  <c r="BV55" i="17"/>
  <c r="BV38" i="17" s="1"/>
  <c r="BW55" i="17"/>
  <c r="BW38" i="17" s="1"/>
  <c r="BX55" i="17"/>
  <c r="BX19" i="17" s="1"/>
  <c r="BY55" i="17"/>
  <c r="BZ55" i="17"/>
  <c r="BZ34" i="17" s="1"/>
  <c r="CA55" i="17"/>
  <c r="CA10" i="17" s="1"/>
  <c r="CB55" i="17"/>
  <c r="CB38" i="17" s="1"/>
  <c r="CC55" i="17"/>
  <c r="CC15" i="17" s="1"/>
  <c r="CD55" i="17"/>
  <c r="CD38" i="17" s="1"/>
  <c r="CE55" i="17"/>
  <c r="CE9" i="17" s="1"/>
  <c r="CF55" i="17"/>
  <c r="CF35" i="17" s="1"/>
  <c r="CG55" i="17"/>
  <c r="CH55" i="17"/>
  <c r="CH34" i="17" s="1"/>
  <c r="CI55" i="17"/>
  <c r="CI29" i="17" s="1"/>
  <c r="CJ55" i="17"/>
  <c r="CJ27" i="17" s="1"/>
  <c r="CK55" i="17"/>
  <c r="CK38" i="17" s="1"/>
  <c r="CL55" i="17"/>
  <c r="CL38" i="17" s="1"/>
  <c r="CM55" i="17"/>
  <c r="CM38" i="17" s="1"/>
  <c r="CN55" i="17"/>
  <c r="CN28" i="17" s="1"/>
  <c r="BP4" i="17"/>
  <c r="BQ4" i="17"/>
  <c r="BV4" i="17"/>
  <c r="BY4" i="17"/>
  <c r="CD4" i="17"/>
  <c r="CF4" i="17"/>
  <c r="CG4" i="17"/>
  <c r="CL4" i="17"/>
  <c r="BM55" i="17"/>
  <c r="BM4" i="17" s="1"/>
  <c r="AI110" i="17"/>
  <c r="AJ110" i="17"/>
  <c r="AJ64" i="17" s="1"/>
  <c r="AK110" i="17"/>
  <c r="AL110" i="17"/>
  <c r="AM110" i="17"/>
  <c r="AN110" i="17"/>
  <c r="AO110" i="17"/>
  <c r="AP110" i="17"/>
  <c r="AP62" i="17" s="1"/>
  <c r="AQ110" i="17"/>
  <c r="AR110" i="17"/>
  <c r="AR62" i="17" s="1"/>
  <c r="AS110" i="17"/>
  <c r="AT110" i="17"/>
  <c r="AU110" i="17"/>
  <c r="AV110" i="17"/>
  <c r="AW110" i="17"/>
  <c r="AX110" i="17"/>
  <c r="AX60" i="17" s="1"/>
  <c r="AY110" i="17"/>
  <c r="AZ110" i="17"/>
  <c r="AZ60" i="17" s="1"/>
  <c r="BA110" i="17"/>
  <c r="BB110" i="17"/>
  <c r="BC110" i="17"/>
  <c r="BD110" i="17"/>
  <c r="BE110" i="17"/>
  <c r="BF110" i="17"/>
  <c r="BG110" i="17"/>
  <c r="BH110" i="17"/>
  <c r="BH70" i="17" s="1"/>
  <c r="AG110" i="17"/>
  <c r="AG60" i="17" s="1"/>
  <c r="AI60" i="17"/>
  <c r="AK60" i="17"/>
  <c r="AL60" i="17"/>
  <c r="AM60" i="17"/>
  <c r="AN60" i="17"/>
  <c r="AP60" i="17"/>
  <c r="AQ60" i="17"/>
  <c r="AS60" i="17"/>
  <c r="AT60" i="17"/>
  <c r="AU60" i="17"/>
  <c r="AV60" i="17"/>
  <c r="AY60" i="17"/>
  <c r="BA60" i="17"/>
  <c r="BB60" i="17"/>
  <c r="BC60" i="17"/>
  <c r="BD60" i="17"/>
  <c r="BF60" i="17"/>
  <c r="BG60" i="17"/>
  <c r="AG61" i="17"/>
  <c r="AI61" i="17"/>
  <c r="AK61" i="17"/>
  <c r="AL61" i="17"/>
  <c r="AM61" i="17"/>
  <c r="AN61" i="17"/>
  <c r="AP61" i="17"/>
  <c r="AQ61" i="17"/>
  <c r="AS61" i="17"/>
  <c r="AT61" i="17"/>
  <c r="AU61" i="17"/>
  <c r="AV61" i="17"/>
  <c r="AY61" i="17"/>
  <c r="BA61" i="17"/>
  <c r="BB61" i="17"/>
  <c r="BC61" i="17"/>
  <c r="BD61" i="17"/>
  <c r="BF61" i="17"/>
  <c r="BG61" i="17"/>
  <c r="AI62" i="17"/>
  <c r="AK62" i="17"/>
  <c r="AL62" i="17"/>
  <c r="AM62" i="17"/>
  <c r="AN62" i="17"/>
  <c r="AQ62" i="17"/>
  <c r="AS62" i="17"/>
  <c r="AT62" i="17"/>
  <c r="AU62" i="17"/>
  <c r="AV62" i="17"/>
  <c r="AX62" i="17"/>
  <c r="AY62" i="17"/>
  <c r="AZ62" i="17"/>
  <c r="BA62" i="17"/>
  <c r="BB62" i="17"/>
  <c r="BC62" i="17"/>
  <c r="BD62" i="17"/>
  <c r="BF62" i="17"/>
  <c r="BG62" i="17"/>
  <c r="AG63" i="17"/>
  <c r="AI63" i="17"/>
  <c r="AK63" i="17"/>
  <c r="AL63" i="17"/>
  <c r="AM63" i="17"/>
  <c r="AN63" i="17"/>
  <c r="AQ63" i="17"/>
  <c r="AS63" i="17"/>
  <c r="AT63" i="17"/>
  <c r="AU63" i="17"/>
  <c r="AV63" i="17"/>
  <c r="AX63" i="17"/>
  <c r="AY63" i="17"/>
  <c r="AZ63" i="17"/>
  <c r="BA63" i="17"/>
  <c r="BB63" i="17"/>
  <c r="BC63" i="17"/>
  <c r="BD63" i="17"/>
  <c r="BF63" i="17"/>
  <c r="BG63" i="17"/>
  <c r="AI64" i="17"/>
  <c r="AK64" i="17"/>
  <c r="AL64" i="17"/>
  <c r="AM64" i="17"/>
  <c r="AN64" i="17"/>
  <c r="AP64" i="17"/>
  <c r="AQ64" i="17"/>
  <c r="AR64" i="17"/>
  <c r="AS64" i="17"/>
  <c r="AT64" i="17"/>
  <c r="AU64" i="17"/>
  <c r="AV64" i="17"/>
  <c r="AX64" i="17"/>
  <c r="AY64" i="17"/>
  <c r="BA64" i="17"/>
  <c r="BB64" i="17"/>
  <c r="BC64" i="17"/>
  <c r="BD64" i="17"/>
  <c r="BF64" i="17"/>
  <c r="BG64" i="17"/>
  <c r="AI65" i="17"/>
  <c r="AJ65" i="17"/>
  <c r="AK65" i="17"/>
  <c r="AL65" i="17"/>
  <c r="AM65" i="17"/>
  <c r="AN65" i="17"/>
  <c r="AP65" i="17"/>
  <c r="AQ65" i="17"/>
  <c r="AS65" i="17"/>
  <c r="AT65" i="17"/>
  <c r="AU65" i="17"/>
  <c r="AV65" i="17"/>
  <c r="AX65" i="17"/>
  <c r="AY65" i="17"/>
  <c r="BA65" i="17"/>
  <c r="BB65" i="17"/>
  <c r="BC65" i="17"/>
  <c r="BD65" i="17"/>
  <c r="BF65" i="17"/>
  <c r="BG65" i="17"/>
  <c r="AI66" i="17"/>
  <c r="AK66" i="17"/>
  <c r="AL66" i="17"/>
  <c r="AM66" i="17"/>
  <c r="AN66" i="17"/>
  <c r="AP66" i="17"/>
  <c r="AQ66" i="17"/>
  <c r="AS66" i="17"/>
  <c r="AT66" i="17"/>
  <c r="AU66" i="17"/>
  <c r="AV66" i="17"/>
  <c r="AX66" i="17"/>
  <c r="AY66" i="17"/>
  <c r="BA66" i="17"/>
  <c r="BB66" i="17"/>
  <c r="BC66" i="17"/>
  <c r="BD66" i="17"/>
  <c r="BF66" i="17"/>
  <c r="BG66" i="17"/>
  <c r="AI67" i="17"/>
  <c r="AK67" i="17"/>
  <c r="AL67" i="17"/>
  <c r="AM67" i="17"/>
  <c r="AN67" i="17"/>
  <c r="AP67" i="17"/>
  <c r="AQ67" i="17"/>
  <c r="AS67" i="17"/>
  <c r="AT67" i="17"/>
  <c r="AU67" i="17"/>
  <c r="AV67" i="17"/>
  <c r="AX67" i="17"/>
  <c r="AY67" i="17"/>
  <c r="BA67" i="17"/>
  <c r="BB67" i="17"/>
  <c r="BC67" i="17"/>
  <c r="BD67" i="17"/>
  <c r="BF67" i="17"/>
  <c r="BG67" i="17"/>
  <c r="AI68" i="17"/>
  <c r="AK68" i="17"/>
  <c r="AL68" i="17"/>
  <c r="AM68" i="17"/>
  <c r="AN68" i="17"/>
  <c r="AP68" i="17"/>
  <c r="AQ68" i="17"/>
  <c r="AS68" i="17"/>
  <c r="AT68" i="17"/>
  <c r="AU68" i="17"/>
  <c r="AV68" i="17"/>
  <c r="AX68" i="17"/>
  <c r="AY68" i="17"/>
  <c r="BA68" i="17"/>
  <c r="BB68" i="17"/>
  <c r="BC68" i="17"/>
  <c r="BD68" i="17"/>
  <c r="BF68" i="17"/>
  <c r="BG68" i="17"/>
  <c r="AG69" i="17"/>
  <c r="AI69" i="17"/>
  <c r="AK69" i="17"/>
  <c r="AL69" i="17"/>
  <c r="AM69" i="17"/>
  <c r="AN69" i="17"/>
  <c r="AP69" i="17"/>
  <c r="AQ69" i="17"/>
  <c r="AS69" i="17"/>
  <c r="AT69" i="17"/>
  <c r="AU69" i="17"/>
  <c r="AV69" i="17"/>
  <c r="AX69" i="17"/>
  <c r="AY69" i="17"/>
  <c r="BA69" i="17"/>
  <c r="BB69" i="17"/>
  <c r="BC69" i="17"/>
  <c r="BD69" i="17"/>
  <c r="BF69" i="17"/>
  <c r="BG69" i="17"/>
  <c r="AI70" i="17"/>
  <c r="AK70" i="17"/>
  <c r="AL70" i="17"/>
  <c r="AM70" i="17"/>
  <c r="AN70" i="17"/>
  <c r="AP70" i="17"/>
  <c r="AQ70" i="17"/>
  <c r="AS70" i="17"/>
  <c r="AT70" i="17"/>
  <c r="AU70" i="17"/>
  <c r="AV70" i="17"/>
  <c r="AX70" i="17"/>
  <c r="AY70" i="17"/>
  <c r="BA70" i="17"/>
  <c r="BB70" i="17"/>
  <c r="BC70" i="17"/>
  <c r="BD70" i="17"/>
  <c r="BF70" i="17"/>
  <c r="BG70" i="17"/>
  <c r="AG71" i="17"/>
  <c r="AI71" i="17"/>
  <c r="AK71" i="17"/>
  <c r="AL71" i="17"/>
  <c r="AM71" i="17"/>
  <c r="AN71" i="17"/>
  <c r="AP71" i="17"/>
  <c r="AQ71" i="17"/>
  <c r="AS71" i="17"/>
  <c r="AT71" i="17"/>
  <c r="AU71" i="17"/>
  <c r="AV71" i="17"/>
  <c r="AX71" i="17"/>
  <c r="AY71" i="17"/>
  <c r="BA71" i="17"/>
  <c r="BB71" i="17"/>
  <c r="BC71" i="17"/>
  <c r="BD71" i="17"/>
  <c r="BF71" i="17"/>
  <c r="BG71" i="17"/>
  <c r="AI72" i="17"/>
  <c r="AK72" i="17"/>
  <c r="AL72" i="17"/>
  <c r="AM72" i="17"/>
  <c r="AN72" i="17"/>
  <c r="AP72" i="17"/>
  <c r="AQ72" i="17"/>
  <c r="AS72" i="17"/>
  <c r="AT72" i="17"/>
  <c r="AU72" i="17"/>
  <c r="AV72" i="17"/>
  <c r="AX72" i="17"/>
  <c r="AY72" i="17"/>
  <c r="BA72" i="17"/>
  <c r="BB72" i="17"/>
  <c r="BC72" i="17"/>
  <c r="BD72" i="17"/>
  <c r="BF72" i="17"/>
  <c r="BG72" i="17"/>
  <c r="BH72" i="17"/>
  <c r="AI73" i="17"/>
  <c r="AK73" i="17"/>
  <c r="AL73" i="17"/>
  <c r="AM73" i="17"/>
  <c r="AN73" i="17"/>
  <c r="AP73" i="17"/>
  <c r="AQ73" i="17"/>
  <c r="AS73" i="17"/>
  <c r="AT73" i="17"/>
  <c r="AU73" i="17"/>
  <c r="AV73" i="17"/>
  <c r="AX73" i="17"/>
  <c r="AY73" i="17"/>
  <c r="AZ73" i="17"/>
  <c r="BA73" i="17"/>
  <c r="BB73" i="17"/>
  <c r="BC73" i="17"/>
  <c r="BD73" i="17"/>
  <c r="BF73" i="17"/>
  <c r="BG73" i="17"/>
  <c r="AI74" i="17"/>
  <c r="AK74" i="17"/>
  <c r="AL74" i="17"/>
  <c r="AM74" i="17"/>
  <c r="AN74" i="17"/>
  <c r="AP74" i="17"/>
  <c r="AQ74" i="17"/>
  <c r="AR74" i="17"/>
  <c r="AS74" i="17"/>
  <c r="AT74" i="17"/>
  <c r="AU74" i="17"/>
  <c r="AV74" i="17"/>
  <c r="AX74" i="17"/>
  <c r="AY74" i="17"/>
  <c r="BA74" i="17"/>
  <c r="BB74" i="17"/>
  <c r="BC74" i="17"/>
  <c r="BD74" i="17"/>
  <c r="BF74" i="17"/>
  <c r="BG74" i="17"/>
  <c r="AG75" i="17"/>
  <c r="AI75" i="17"/>
  <c r="AK75" i="17"/>
  <c r="AL75" i="17"/>
  <c r="AM75" i="17"/>
  <c r="AN75" i="17"/>
  <c r="AP75" i="17"/>
  <c r="AQ75" i="17"/>
  <c r="AR75" i="17"/>
  <c r="AS75" i="17"/>
  <c r="AT75" i="17"/>
  <c r="AU75" i="17"/>
  <c r="AV75" i="17"/>
  <c r="AX75" i="17"/>
  <c r="AY75" i="17"/>
  <c r="BA75" i="17"/>
  <c r="BB75" i="17"/>
  <c r="BC75" i="17"/>
  <c r="BD75" i="17"/>
  <c r="BF75" i="17"/>
  <c r="BG75" i="17"/>
  <c r="AI76" i="17"/>
  <c r="AJ76" i="17"/>
  <c r="AK76" i="17"/>
  <c r="AL76" i="17"/>
  <c r="AM76" i="17"/>
  <c r="AN76" i="17"/>
  <c r="AP76" i="17"/>
  <c r="AQ76" i="17"/>
  <c r="AS76" i="17"/>
  <c r="AT76" i="17"/>
  <c r="AU76" i="17"/>
  <c r="AV76" i="17"/>
  <c r="AX76" i="17"/>
  <c r="AY76" i="17"/>
  <c r="BA76" i="17"/>
  <c r="BB76" i="17"/>
  <c r="BC76" i="17"/>
  <c r="BD76" i="17"/>
  <c r="BF76" i="17"/>
  <c r="BG76" i="17"/>
  <c r="AG77" i="17"/>
  <c r="AI77" i="17"/>
  <c r="AJ77" i="17"/>
  <c r="AK77" i="17"/>
  <c r="AL77" i="17"/>
  <c r="AM77" i="17"/>
  <c r="AN77" i="17"/>
  <c r="AP77" i="17"/>
  <c r="AQ77" i="17"/>
  <c r="AS77" i="17"/>
  <c r="AT77" i="17"/>
  <c r="AU77" i="17"/>
  <c r="AV77" i="17"/>
  <c r="AX77" i="17"/>
  <c r="AY77" i="17"/>
  <c r="BA77" i="17"/>
  <c r="BB77" i="17"/>
  <c r="BC77" i="17"/>
  <c r="BD77" i="17"/>
  <c r="BF77" i="17"/>
  <c r="BG77" i="17"/>
  <c r="AI78" i="17"/>
  <c r="AK78" i="17"/>
  <c r="AL78" i="17"/>
  <c r="AM78" i="17"/>
  <c r="AN78" i="17"/>
  <c r="AP78" i="17"/>
  <c r="AQ78" i="17"/>
  <c r="AS78" i="17"/>
  <c r="AT78" i="17"/>
  <c r="AU78" i="17"/>
  <c r="AV78" i="17"/>
  <c r="AX78" i="17"/>
  <c r="AY78" i="17"/>
  <c r="BA78" i="17"/>
  <c r="BB78" i="17"/>
  <c r="BC78" i="17"/>
  <c r="BD78" i="17"/>
  <c r="BF78" i="17"/>
  <c r="BG78" i="17"/>
  <c r="AG79" i="17"/>
  <c r="AI79" i="17"/>
  <c r="AK79" i="17"/>
  <c r="AL79" i="17"/>
  <c r="AM79" i="17"/>
  <c r="AN79" i="17"/>
  <c r="AP79" i="17"/>
  <c r="AQ79" i="17"/>
  <c r="AS79" i="17"/>
  <c r="AT79" i="17"/>
  <c r="AU79" i="17"/>
  <c r="AV79" i="17"/>
  <c r="AX79" i="17"/>
  <c r="AY79" i="17"/>
  <c r="BA79" i="17"/>
  <c r="BB79" i="17"/>
  <c r="BC79" i="17"/>
  <c r="BD79" i="17"/>
  <c r="BF79" i="17"/>
  <c r="BG79" i="17"/>
  <c r="AI80" i="17"/>
  <c r="AK80" i="17"/>
  <c r="AL80" i="17"/>
  <c r="AM80" i="17"/>
  <c r="AN80" i="17"/>
  <c r="AP80" i="17"/>
  <c r="AQ80" i="17"/>
  <c r="AS80" i="17"/>
  <c r="AT80" i="17"/>
  <c r="AU80" i="17"/>
  <c r="AV80" i="17"/>
  <c r="AX80" i="17"/>
  <c r="AY80" i="17"/>
  <c r="BA80" i="17"/>
  <c r="BB80" i="17"/>
  <c r="BC80" i="17"/>
  <c r="BD80" i="17"/>
  <c r="BF80" i="17"/>
  <c r="BG80" i="17"/>
  <c r="AI81" i="17"/>
  <c r="AK81" i="17"/>
  <c r="AL81" i="17"/>
  <c r="AM81" i="17"/>
  <c r="AN81" i="17"/>
  <c r="AP81" i="17"/>
  <c r="AQ81" i="17"/>
  <c r="AS81" i="17"/>
  <c r="AT81" i="17"/>
  <c r="AU81" i="17"/>
  <c r="AV81" i="17"/>
  <c r="AX81" i="17"/>
  <c r="AY81" i="17"/>
  <c r="BA81" i="17"/>
  <c r="BB81" i="17"/>
  <c r="BC81" i="17"/>
  <c r="BD81" i="17"/>
  <c r="BF81" i="17"/>
  <c r="BG81" i="17"/>
  <c r="AI82" i="17"/>
  <c r="AK82" i="17"/>
  <c r="AL82" i="17"/>
  <c r="AM82" i="17"/>
  <c r="AN82" i="17"/>
  <c r="AP82" i="17"/>
  <c r="AQ82" i="17"/>
  <c r="AS82" i="17"/>
  <c r="AT82" i="17"/>
  <c r="AU82" i="17"/>
  <c r="AV82" i="17"/>
  <c r="AX82" i="17"/>
  <c r="AY82" i="17"/>
  <c r="BA82" i="17"/>
  <c r="BB82" i="17"/>
  <c r="BC82" i="17"/>
  <c r="BD82" i="17"/>
  <c r="BF82" i="17"/>
  <c r="BG82" i="17"/>
  <c r="AG83" i="17"/>
  <c r="AI83" i="17"/>
  <c r="AK83" i="17"/>
  <c r="AL83" i="17"/>
  <c r="AM83" i="17"/>
  <c r="AN83" i="17"/>
  <c r="AP83" i="17"/>
  <c r="AQ83" i="17"/>
  <c r="AS83" i="17"/>
  <c r="AT83" i="17"/>
  <c r="AU83" i="17"/>
  <c r="AV83" i="17"/>
  <c r="AX83" i="17"/>
  <c r="AY83" i="17"/>
  <c r="BA83" i="17"/>
  <c r="BB83" i="17"/>
  <c r="BC83" i="17"/>
  <c r="BD83" i="17"/>
  <c r="BF83" i="17"/>
  <c r="BG83" i="17"/>
  <c r="AI84" i="17"/>
  <c r="AK84" i="17"/>
  <c r="AL84" i="17"/>
  <c r="AM84" i="17"/>
  <c r="AN84" i="17"/>
  <c r="AP84" i="17"/>
  <c r="AQ84" i="17"/>
  <c r="AS84" i="17"/>
  <c r="AT84" i="17"/>
  <c r="AU84" i="17"/>
  <c r="AV84" i="17"/>
  <c r="AX84" i="17"/>
  <c r="AY84" i="17"/>
  <c r="BA84" i="17"/>
  <c r="BB84" i="17"/>
  <c r="BC84" i="17"/>
  <c r="BD84" i="17"/>
  <c r="BF84" i="17"/>
  <c r="BG84" i="17"/>
  <c r="AG85" i="17"/>
  <c r="AI85" i="17"/>
  <c r="AK85" i="17"/>
  <c r="AL85" i="17"/>
  <c r="AM85" i="17"/>
  <c r="AN85" i="17"/>
  <c r="AP85" i="17"/>
  <c r="AQ85" i="17"/>
  <c r="AS85" i="17"/>
  <c r="AT85" i="17"/>
  <c r="AU85" i="17"/>
  <c r="AV85" i="17"/>
  <c r="AX85" i="17"/>
  <c r="AY85" i="17"/>
  <c r="BA85" i="17"/>
  <c r="BB85" i="17"/>
  <c r="BC85" i="17"/>
  <c r="BD85" i="17"/>
  <c r="BF85" i="17"/>
  <c r="BG85" i="17"/>
  <c r="AI86" i="17"/>
  <c r="AK86" i="17"/>
  <c r="AL86" i="17"/>
  <c r="AM86" i="17"/>
  <c r="AN86" i="17"/>
  <c r="AP86" i="17"/>
  <c r="AQ86" i="17"/>
  <c r="AS86" i="17"/>
  <c r="AT86" i="17"/>
  <c r="AU86" i="17"/>
  <c r="AV86" i="17"/>
  <c r="AX86" i="17"/>
  <c r="AY86" i="17"/>
  <c r="BA86" i="17"/>
  <c r="BB86" i="17"/>
  <c r="BC86" i="17"/>
  <c r="BD86" i="17"/>
  <c r="BF86" i="17"/>
  <c r="BG86" i="17"/>
  <c r="AG87" i="17"/>
  <c r="AI87" i="17"/>
  <c r="AK87" i="17"/>
  <c r="AL87" i="17"/>
  <c r="AM87" i="17"/>
  <c r="AN87" i="17"/>
  <c r="AP87" i="17"/>
  <c r="AQ87" i="17"/>
  <c r="AS87" i="17"/>
  <c r="AT87" i="17"/>
  <c r="AU87" i="17"/>
  <c r="AV87" i="17"/>
  <c r="AX87" i="17"/>
  <c r="AY87" i="17"/>
  <c r="BA87" i="17"/>
  <c r="BB87" i="17"/>
  <c r="BC87" i="17"/>
  <c r="BD87" i="17"/>
  <c r="BF87" i="17"/>
  <c r="BG87" i="17"/>
  <c r="AI88" i="17"/>
  <c r="AK88" i="17"/>
  <c r="AL88" i="17"/>
  <c r="AM88" i="17"/>
  <c r="AN88" i="17"/>
  <c r="AP88" i="17"/>
  <c r="AQ88" i="17"/>
  <c r="AS88" i="17"/>
  <c r="AT88" i="17"/>
  <c r="AU88" i="17"/>
  <c r="AV88" i="17"/>
  <c r="AX88" i="17"/>
  <c r="AY88" i="17"/>
  <c r="BA88" i="17"/>
  <c r="BB88" i="17"/>
  <c r="BC88" i="17"/>
  <c r="BD88" i="17"/>
  <c r="BF88" i="17"/>
  <c r="BG88" i="17"/>
  <c r="BH88" i="17"/>
  <c r="AI89" i="17"/>
  <c r="AK89" i="17"/>
  <c r="AL89" i="17"/>
  <c r="AM89" i="17"/>
  <c r="AN89" i="17"/>
  <c r="AP89" i="17"/>
  <c r="AQ89" i="17"/>
  <c r="AS89" i="17"/>
  <c r="AT89" i="17"/>
  <c r="AU89" i="17"/>
  <c r="AV89" i="17"/>
  <c r="AX89" i="17"/>
  <c r="AY89" i="17"/>
  <c r="AZ89" i="17"/>
  <c r="BA89" i="17"/>
  <c r="BB89" i="17"/>
  <c r="BC89" i="17"/>
  <c r="BD89" i="17"/>
  <c r="BF89" i="17"/>
  <c r="BG89" i="17"/>
  <c r="AI90" i="17"/>
  <c r="AK90" i="17"/>
  <c r="AL90" i="17"/>
  <c r="AM90" i="17"/>
  <c r="AN90" i="17"/>
  <c r="AP90" i="17"/>
  <c r="AQ90" i="17"/>
  <c r="AR90" i="17"/>
  <c r="AS90" i="17"/>
  <c r="AT90" i="17"/>
  <c r="AU90" i="17"/>
  <c r="AV90" i="17"/>
  <c r="AX90" i="17"/>
  <c r="AY90" i="17"/>
  <c r="BA90" i="17"/>
  <c r="BB90" i="17"/>
  <c r="BC90" i="17"/>
  <c r="BD90" i="17"/>
  <c r="BF90" i="17"/>
  <c r="BG90" i="17"/>
  <c r="AG91" i="17"/>
  <c r="AI91" i="17"/>
  <c r="AK91" i="17"/>
  <c r="AL91" i="17"/>
  <c r="AM91" i="17"/>
  <c r="AN91" i="17"/>
  <c r="AP91" i="17"/>
  <c r="AQ91" i="17"/>
  <c r="AR91" i="17"/>
  <c r="AS91" i="17"/>
  <c r="AT91" i="17"/>
  <c r="AU91" i="17"/>
  <c r="AV91" i="17"/>
  <c r="AX91" i="17"/>
  <c r="AY91" i="17"/>
  <c r="BA91" i="17"/>
  <c r="BB91" i="17"/>
  <c r="BC91" i="17"/>
  <c r="BD91" i="17"/>
  <c r="BF91" i="17"/>
  <c r="BG91" i="17"/>
  <c r="AI92" i="17"/>
  <c r="AJ92" i="17"/>
  <c r="AK92" i="17"/>
  <c r="AL92" i="17"/>
  <c r="AM92" i="17"/>
  <c r="AN92" i="17"/>
  <c r="AP92" i="17"/>
  <c r="AQ92" i="17"/>
  <c r="AS92" i="17"/>
  <c r="AT92" i="17"/>
  <c r="AU92" i="17"/>
  <c r="AV92" i="17"/>
  <c r="AX92" i="17"/>
  <c r="AY92" i="17"/>
  <c r="BA92" i="17"/>
  <c r="BB92" i="17"/>
  <c r="BC92" i="17"/>
  <c r="BD92" i="17"/>
  <c r="BF92" i="17"/>
  <c r="BG92" i="17"/>
  <c r="AG93" i="17"/>
  <c r="AI93" i="17"/>
  <c r="AJ93" i="17"/>
  <c r="AK93" i="17"/>
  <c r="AL93" i="17"/>
  <c r="AM93" i="17"/>
  <c r="AN93" i="17"/>
  <c r="AP93" i="17"/>
  <c r="AQ93" i="17"/>
  <c r="AS93" i="17"/>
  <c r="AT93" i="17"/>
  <c r="AU93" i="17"/>
  <c r="AV93" i="17"/>
  <c r="AX93" i="17"/>
  <c r="AY93" i="17"/>
  <c r="BA93" i="17"/>
  <c r="BB93" i="17"/>
  <c r="BC93" i="17"/>
  <c r="BD93" i="17"/>
  <c r="BF93" i="17"/>
  <c r="BG93" i="17"/>
  <c r="AI94" i="17"/>
  <c r="AK94" i="17"/>
  <c r="AL94" i="17"/>
  <c r="AM94" i="17"/>
  <c r="AN94" i="17"/>
  <c r="AP94" i="17"/>
  <c r="AQ94" i="17"/>
  <c r="AS94" i="17"/>
  <c r="AT94" i="17"/>
  <c r="AU94" i="17"/>
  <c r="AV94" i="17"/>
  <c r="AX94" i="17"/>
  <c r="AY94" i="17"/>
  <c r="BA94" i="17"/>
  <c r="BB94" i="17"/>
  <c r="BC94" i="17"/>
  <c r="BD94" i="17"/>
  <c r="BF94" i="17"/>
  <c r="BG94" i="17"/>
  <c r="AG95" i="17"/>
  <c r="AI95" i="17"/>
  <c r="AK95" i="17"/>
  <c r="AL95" i="17"/>
  <c r="AM95" i="17"/>
  <c r="AN95" i="17"/>
  <c r="AP95" i="17"/>
  <c r="AQ95" i="17"/>
  <c r="AS95" i="17"/>
  <c r="AT95" i="17"/>
  <c r="AU95" i="17"/>
  <c r="AV95" i="17"/>
  <c r="AX95" i="17"/>
  <c r="AY95" i="17"/>
  <c r="BA95" i="17"/>
  <c r="BB95" i="17"/>
  <c r="BC95" i="17"/>
  <c r="BD95" i="17"/>
  <c r="BF95" i="17"/>
  <c r="BG95" i="17"/>
  <c r="AI96" i="17"/>
  <c r="AK96" i="17"/>
  <c r="AL96" i="17"/>
  <c r="AM96" i="17"/>
  <c r="AN96" i="17"/>
  <c r="AP96" i="17"/>
  <c r="AQ96" i="17"/>
  <c r="AS96" i="17"/>
  <c r="AT96" i="17"/>
  <c r="AU96" i="17"/>
  <c r="AV96" i="17"/>
  <c r="AX96" i="17"/>
  <c r="AY96" i="17"/>
  <c r="BA96" i="17"/>
  <c r="BB96" i="17"/>
  <c r="BC96" i="17"/>
  <c r="BD96" i="17"/>
  <c r="BF96" i="17"/>
  <c r="BG96" i="17"/>
  <c r="AI97" i="17"/>
  <c r="AK97" i="17"/>
  <c r="AL97" i="17"/>
  <c r="AM97" i="17"/>
  <c r="AN97" i="17"/>
  <c r="AP97" i="17"/>
  <c r="AQ97" i="17"/>
  <c r="AS97" i="17"/>
  <c r="AT97" i="17"/>
  <c r="AU97" i="17"/>
  <c r="AV97" i="17"/>
  <c r="AX97" i="17"/>
  <c r="AY97" i="17"/>
  <c r="BA97" i="17"/>
  <c r="BB97" i="17"/>
  <c r="BC97" i="17"/>
  <c r="BD97" i="17"/>
  <c r="BF97" i="17"/>
  <c r="BG97" i="17"/>
  <c r="AI98" i="17"/>
  <c r="AK98" i="17"/>
  <c r="AL98" i="17"/>
  <c r="AM98" i="17"/>
  <c r="AN98" i="17"/>
  <c r="AP98" i="17"/>
  <c r="AQ98" i="17"/>
  <c r="AS98" i="17"/>
  <c r="AT98" i="17"/>
  <c r="AU98" i="17"/>
  <c r="AV98" i="17"/>
  <c r="AX98" i="17"/>
  <c r="AY98" i="17"/>
  <c r="BA98" i="17"/>
  <c r="BB98" i="17"/>
  <c r="BC98" i="17"/>
  <c r="BD98" i="17"/>
  <c r="BF98" i="17"/>
  <c r="BG98" i="17"/>
  <c r="AG99" i="17"/>
  <c r="AI99" i="17"/>
  <c r="AK99" i="17"/>
  <c r="AL99" i="17"/>
  <c r="AM99" i="17"/>
  <c r="AN99" i="17"/>
  <c r="AP99" i="17"/>
  <c r="AQ99" i="17"/>
  <c r="AS99" i="17"/>
  <c r="AT99" i="17"/>
  <c r="AU99" i="17"/>
  <c r="AV99" i="17"/>
  <c r="AX99" i="17"/>
  <c r="AY99" i="17"/>
  <c r="BA99" i="17"/>
  <c r="BB99" i="17"/>
  <c r="BC99" i="17"/>
  <c r="BD99" i="17"/>
  <c r="BF99" i="17"/>
  <c r="BG99" i="17"/>
  <c r="AI100" i="17"/>
  <c r="AK100" i="17"/>
  <c r="AL100" i="17"/>
  <c r="AM100" i="17"/>
  <c r="AN100" i="17"/>
  <c r="AP100" i="17"/>
  <c r="AQ100" i="17"/>
  <c r="AS100" i="17"/>
  <c r="AT100" i="17"/>
  <c r="AU100" i="17"/>
  <c r="AV100" i="17"/>
  <c r="AX100" i="17"/>
  <c r="AY100" i="17"/>
  <c r="BA100" i="17"/>
  <c r="BB100" i="17"/>
  <c r="BC100" i="17"/>
  <c r="BD100" i="17"/>
  <c r="BF100" i="17"/>
  <c r="BG100" i="17"/>
  <c r="BH100" i="17"/>
  <c r="AG101" i="17"/>
  <c r="AI101" i="17"/>
  <c r="AK101" i="17"/>
  <c r="AL101" i="17"/>
  <c r="AM101" i="17"/>
  <c r="AN101" i="17"/>
  <c r="AP101" i="17"/>
  <c r="AQ101" i="17"/>
  <c r="AS101" i="17"/>
  <c r="AT101" i="17"/>
  <c r="AU101" i="17"/>
  <c r="AV101" i="17"/>
  <c r="AX101" i="17"/>
  <c r="AY101" i="17"/>
  <c r="BA101" i="17"/>
  <c r="BB101" i="17"/>
  <c r="BC101" i="17"/>
  <c r="BD101" i="17"/>
  <c r="BF101" i="17"/>
  <c r="BG101" i="17"/>
  <c r="BH101" i="17"/>
  <c r="AI102" i="17"/>
  <c r="AK102" i="17"/>
  <c r="AL102" i="17"/>
  <c r="AM102" i="17"/>
  <c r="AN102" i="17"/>
  <c r="AP102" i="17"/>
  <c r="AQ102" i="17"/>
  <c r="AS102" i="17"/>
  <c r="AT102" i="17"/>
  <c r="AU102" i="17"/>
  <c r="AV102" i="17"/>
  <c r="AX102" i="17"/>
  <c r="AY102" i="17"/>
  <c r="AZ102" i="17"/>
  <c r="BA102" i="17"/>
  <c r="BB102" i="17"/>
  <c r="BC102" i="17"/>
  <c r="BD102" i="17"/>
  <c r="BF102" i="17"/>
  <c r="BG102" i="17"/>
  <c r="AG103" i="17"/>
  <c r="AI103" i="17"/>
  <c r="AK103" i="17"/>
  <c r="AL103" i="17"/>
  <c r="AM103" i="17"/>
  <c r="AN103" i="17"/>
  <c r="AP103" i="17"/>
  <c r="AQ103" i="17"/>
  <c r="AS103" i="17"/>
  <c r="AT103" i="17"/>
  <c r="AU103" i="17"/>
  <c r="AV103" i="17"/>
  <c r="AX103" i="17"/>
  <c r="AY103" i="17"/>
  <c r="AZ103" i="17"/>
  <c r="BA103" i="17"/>
  <c r="BB103" i="17"/>
  <c r="BC103" i="17"/>
  <c r="BD103" i="17"/>
  <c r="BF103" i="17"/>
  <c r="BG103" i="17"/>
  <c r="AI104" i="17"/>
  <c r="AK104" i="17"/>
  <c r="AL104" i="17"/>
  <c r="AM104" i="17"/>
  <c r="AN104" i="17"/>
  <c r="AP104" i="17"/>
  <c r="AQ104" i="17"/>
  <c r="AR104" i="17"/>
  <c r="AS104" i="17"/>
  <c r="AT104" i="17"/>
  <c r="AU104" i="17"/>
  <c r="AV104" i="17"/>
  <c r="AX104" i="17"/>
  <c r="AY104" i="17"/>
  <c r="BA104" i="17"/>
  <c r="BB104" i="17"/>
  <c r="BC104" i="17"/>
  <c r="BD104" i="17"/>
  <c r="BF104" i="17"/>
  <c r="BG104" i="17"/>
  <c r="AI105" i="17"/>
  <c r="AJ105" i="17"/>
  <c r="AK105" i="17"/>
  <c r="AL105" i="17"/>
  <c r="AM105" i="17"/>
  <c r="AN105" i="17"/>
  <c r="AP105" i="17"/>
  <c r="AQ105" i="17"/>
  <c r="AS105" i="17"/>
  <c r="AT105" i="17"/>
  <c r="AU105" i="17"/>
  <c r="AV105" i="17"/>
  <c r="AX105" i="17"/>
  <c r="AY105" i="17"/>
  <c r="BA105" i="17"/>
  <c r="BB105" i="17"/>
  <c r="BC105" i="17"/>
  <c r="BD105" i="17"/>
  <c r="BF105" i="17"/>
  <c r="BG105" i="17"/>
  <c r="AI106" i="17"/>
  <c r="AK106" i="17"/>
  <c r="AL106" i="17"/>
  <c r="AM106" i="17"/>
  <c r="AN106" i="17"/>
  <c r="AP106" i="17"/>
  <c r="AQ106" i="17"/>
  <c r="AS106" i="17"/>
  <c r="AT106" i="17"/>
  <c r="AU106" i="17"/>
  <c r="AV106" i="17"/>
  <c r="AX106" i="17"/>
  <c r="AY106" i="17"/>
  <c r="BA106" i="17"/>
  <c r="BB106" i="17"/>
  <c r="BC106" i="17"/>
  <c r="BD106" i="17"/>
  <c r="BF106" i="17"/>
  <c r="BG106" i="17"/>
  <c r="AG107" i="17"/>
  <c r="AI107" i="17"/>
  <c r="AK107" i="17"/>
  <c r="AL107" i="17"/>
  <c r="AM107" i="17"/>
  <c r="AN107" i="17"/>
  <c r="AP107" i="17"/>
  <c r="AQ107" i="17"/>
  <c r="AS107" i="17"/>
  <c r="AT107" i="17"/>
  <c r="AU107" i="17"/>
  <c r="AV107" i="17"/>
  <c r="AX107" i="17"/>
  <c r="AY107" i="17"/>
  <c r="BA107" i="17"/>
  <c r="BB107" i="17"/>
  <c r="BC107" i="17"/>
  <c r="BD107" i="17"/>
  <c r="BF107" i="17"/>
  <c r="BG107" i="17"/>
  <c r="AI108" i="17"/>
  <c r="AK108" i="17"/>
  <c r="AL108" i="17"/>
  <c r="AM108" i="17"/>
  <c r="AN108" i="17"/>
  <c r="AP108" i="17"/>
  <c r="AQ108" i="17"/>
  <c r="AS108" i="17"/>
  <c r="AT108" i="17"/>
  <c r="AU108" i="17"/>
  <c r="AV108" i="17"/>
  <c r="AX108" i="17"/>
  <c r="AY108" i="17"/>
  <c r="BA108" i="17"/>
  <c r="BB108" i="17"/>
  <c r="BC108" i="17"/>
  <c r="BD108" i="17"/>
  <c r="BF108" i="17"/>
  <c r="BG108" i="17"/>
  <c r="AI59" i="17"/>
  <c r="AK59" i="17"/>
  <c r="AL59" i="17"/>
  <c r="AM59" i="17"/>
  <c r="AN59" i="17"/>
  <c r="AP59" i="17"/>
  <c r="AQ59" i="17"/>
  <c r="AS59" i="17"/>
  <c r="AT59" i="17"/>
  <c r="AU59" i="17"/>
  <c r="AV59" i="17"/>
  <c r="AX59" i="17"/>
  <c r="AY59" i="17"/>
  <c r="BA59" i="17"/>
  <c r="BB59" i="17"/>
  <c r="BC59" i="17"/>
  <c r="BD59" i="17"/>
  <c r="BF59" i="17"/>
  <c r="BG59" i="17"/>
  <c r="AG59" i="17"/>
  <c r="AH55" i="17"/>
  <c r="AH11" i="17" s="1"/>
  <c r="AI55" i="17"/>
  <c r="AJ55" i="17"/>
  <c r="AJ5" i="17" s="1"/>
  <c r="AK55" i="17"/>
  <c r="AK7" i="17" s="1"/>
  <c r="AL55" i="17"/>
  <c r="AL7" i="17" s="1"/>
  <c r="AM55" i="17"/>
  <c r="AN55" i="17"/>
  <c r="AO55" i="17"/>
  <c r="AO6" i="17" s="1"/>
  <c r="AP55" i="17"/>
  <c r="AQ55" i="17"/>
  <c r="AR55" i="17"/>
  <c r="AS55" i="17"/>
  <c r="AS6" i="17" s="1"/>
  <c r="AT55" i="17"/>
  <c r="AT6" i="17" s="1"/>
  <c r="AU55" i="17"/>
  <c r="AV55" i="17"/>
  <c r="AW55" i="17"/>
  <c r="AW6" i="17" s="1"/>
  <c r="AX55" i="17"/>
  <c r="AY55" i="17"/>
  <c r="AZ55" i="17"/>
  <c r="BA55" i="17"/>
  <c r="BA5" i="17" s="1"/>
  <c r="BB55" i="17"/>
  <c r="BB5" i="17" s="1"/>
  <c r="BC55" i="17"/>
  <c r="BD55" i="17"/>
  <c r="BE55" i="17"/>
  <c r="BE6" i="17" s="1"/>
  <c r="BF55" i="17"/>
  <c r="BG55" i="17"/>
  <c r="BH55" i="17"/>
  <c r="AG55" i="17"/>
  <c r="AG5" i="17" s="1"/>
  <c r="AI5" i="17"/>
  <c r="AL5" i="17"/>
  <c r="AM5" i="17"/>
  <c r="AN5" i="17"/>
  <c r="AP5" i="17"/>
  <c r="AQ5" i="17"/>
  <c r="AR5" i="17"/>
  <c r="AU5" i="17"/>
  <c r="AV5" i="17"/>
  <c r="AX5" i="17"/>
  <c r="AY5" i="17"/>
  <c r="AZ5" i="17"/>
  <c r="BC5" i="17"/>
  <c r="BD5" i="17"/>
  <c r="BF5" i="17"/>
  <c r="BG5" i="17"/>
  <c r="BH5" i="17"/>
  <c r="AI6" i="17"/>
  <c r="AJ6" i="17"/>
  <c r="AM6" i="17"/>
  <c r="AN6" i="17"/>
  <c r="AP6" i="17"/>
  <c r="AQ6" i="17"/>
  <c r="AR6" i="17"/>
  <c r="AU6" i="17"/>
  <c r="AV6" i="17"/>
  <c r="AX6" i="17"/>
  <c r="AY6" i="17"/>
  <c r="AZ6" i="17"/>
  <c r="BA6" i="17"/>
  <c r="BB6" i="17"/>
  <c r="BC6" i="17"/>
  <c r="BD6" i="17"/>
  <c r="BF6" i="17"/>
  <c r="BG6" i="17"/>
  <c r="BH6" i="17"/>
  <c r="AI7" i="17"/>
  <c r="AJ7" i="17"/>
  <c r="AM7" i="17"/>
  <c r="AN7" i="17"/>
  <c r="AP7" i="17"/>
  <c r="AQ7" i="17"/>
  <c r="AR7" i="17"/>
  <c r="AS7" i="17"/>
  <c r="AT7" i="17"/>
  <c r="AU7" i="17"/>
  <c r="AV7" i="17"/>
  <c r="AX7" i="17"/>
  <c r="AY7" i="17"/>
  <c r="AZ7" i="17"/>
  <c r="BB7" i="17"/>
  <c r="BC7" i="17"/>
  <c r="BD7" i="17"/>
  <c r="BF7" i="17"/>
  <c r="BG7" i="17"/>
  <c r="BH7" i="17"/>
  <c r="AI8" i="17"/>
  <c r="AJ8" i="17"/>
  <c r="AK8" i="17"/>
  <c r="AL8" i="17"/>
  <c r="AM8" i="17"/>
  <c r="AN8" i="17"/>
  <c r="AP8" i="17"/>
  <c r="AQ8" i="17"/>
  <c r="AR8" i="17"/>
  <c r="AT8" i="17"/>
  <c r="AU8" i="17"/>
  <c r="AV8" i="17"/>
  <c r="AX8" i="17"/>
  <c r="AY8" i="17"/>
  <c r="AZ8" i="17"/>
  <c r="BB8" i="17"/>
  <c r="BC8" i="17"/>
  <c r="BD8" i="17"/>
  <c r="BF8" i="17"/>
  <c r="BG8" i="17"/>
  <c r="BH8" i="17"/>
  <c r="AG9" i="17"/>
  <c r="AI9" i="17"/>
  <c r="AJ9" i="17"/>
  <c r="AK9" i="17"/>
  <c r="AL9" i="17"/>
  <c r="AM9" i="17"/>
  <c r="AN9" i="17"/>
  <c r="AP9" i="17"/>
  <c r="AQ9" i="17"/>
  <c r="AR9" i="17"/>
  <c r="AT9" i="17"/>
  <c r="AU9" i="17"/>
  <c r="AV9" i="17"/>
  <c r="AX9" i="17"/>
  <c r="AY9" i="17"/>
  <c r="AZ9" i="17"/>
  <c r="BB9" i="17"/>
  <c r="BC9" i="17"/>
  <c r="BD9" i="17"/>
  <c r="BF9" i="17"/>
  <c r="BG9" i="17"/>
  <c r="BH9" i="17"/>
  <c r="AH10" i="17"/>
  <c r="AI10" i="17"/>
  <c r="AJ10" i="17"/>
  <c r="AK10" i="17"/>
  <c r="AL10" i="17"/>
  <c r="AM10" i="17"/>
  <c r="AN10" i="17"/>
  <c r="AP10" i="17"/>
  <c r="AQ10" i="17"/>
  <c r="AR10" i="17"/>
  <c r="AT10" i="17"/>
  <c r="AU10" i="17"/>
  <c r="AV10" i="17"/>
  <c r="AX10" i="17"/>
  <c r="AY10" i="17"/>
  <c r="AZ10" i="17"/>
  <c r="BB10" i="17"/>
  <c r="BC10" i="17"/>
  <c r="BD10" i="17"/>
  <c r="BF10" i="17"/>
  <c r="BG10" i="17"/>
  <c r="BH10" i="17"/>
  <c r="AG11" i="17"/>
  <c r="AI11" i="17"/>
  <c r="AJ11" i="17"/>
  <c r="AK11" i="17"/>
  <c r="AL11" i="17"/>
  <c r="AM11" i="17"/>
  <c r="AN11" i="17"/>
  <c r="AP11" i="17"/>
  <c r="AQ11" i="17"/>
  <c r="AR11" i="17"/>
  <c r="AT11" i="17"/>
  <c r="AU11" i="17"/>
  <c r="AV11" i="17"/>
  <c r="AX11" i="17"/>
  <c r="AY11" i="17"/>
  <c r="AZ11" i="17"/>
  <c r="BB11" i="17"/>
  <c r="BC11" i="17"/>
  <c r="BD11" i="17"/>
  <c r="BF11" i="17"/>
  <c r="BG11" i="17"/>
  <c r="BH11" i="17"/>
  <c r="AG12" i="17"/>
  <c r="AI12" i="17"/>
  <c r="AJ12" i="17"/>
  <c r="AK12" i="17"/>
  <c r="AL12" i="17"/>
  <c r="AM12" i="17"/>
  <c r="AN12" i="17"/>
  <c r="AP12" i="17"/>
  <c r="AQ12" i="17"/>
  <c r="AR12" i="17"/>
  <c r="AT12" i="17"/>
  <c r="AU12" i="17"/>
  <c r="AV12" i="17"/>
  <c r="AX12" i="17"/>
  <c r="AY12" i="17"/>
  <c r="AZ12" i="17"/>
  <c r="BB12" i="17"/>
  <c r="BC12" i="17"/>
  <c r="BD12" i="17"/>
  <c r="BF12" i="17"/>
  <c r="BG12" i="17"/>
  <c r="BH12" i="17"/>
  <c r="AI13" i="17"/>
  <c r="AJ13" i="17"/>
  <c r="AL13" i="17"/>
  <c r="AM13" i="17"/>
  <c r="AN13" i="17"/>
  <c r="AP13" i="17"/>
  <c r="AQ13" i="17"/>
  <c r="AR13" i="17"/>
  <c r="AT13" i="17"/>
  <c r="AU13" i="17"/>
  <c r="AV13" i="17"/>
  <c r="AX13" i="17"/>
  <c r="AY13" i="17"/>
  <c r="AZ13" i="17"/>
  <c r="BB13" i="17"/>
  <c r="BC13" i="17"/>
  <c r="BD13" i="17"/>
  <c r="BF13" i="17"/>
  <c r="BG13" i="17"/>
  <c r="BH13" i="17"/>
  <c r="AI14" i="17"/>
  <c r="AJ14" i="17"/>
  <c r="AL14" i="17"/>
  <c r="AM14" i="17"/>
  <c r="AN14" i="17"/>
  <c r="AP14" i="17"/>
  <c r="AQ14" i="17"/>
  <c r="AR14" i="17"/>
  <c r="AT14" i="17"/>
  <c r="AU14" i="17"/>
  <c r="AV14" i="17"/>
  <c r="AX14" i="17"/>
  <c r="AY14" i="17"/>
  <c r="AZ14" i="17"/>
  <c r="BB14" i="17"/>
  <c r="BC14" i="17"/>
  <c r="BD14" i="17"/>
  <c r="BF14" i="17"/>
  <c r="BG14" i="17"/>
  <c r="BH14" i="17"/>
  <c r="AG15" i="17"/>
  <c r="AI15" i="17"/>
  <c r="AJ15" i="17"/>
  <c r="AL15" i="17"/>
  <c r="AM15" i="17"/>
  <c r="AN15" i="17"/>
  <c r="AP15" i="17"/>
  <c r="AQ15" i="17"/>
  <c r="AR15" i="17"/>
  <c r="AT15" i="17"/>
  <c r="AU15" i="17"/>
  <c r="AV15" i="17"/>
  <c r="AX15" i="17"/>
  <c r="AY15" i="17"/>
  <c r="AZ15" i="17"/>
  <c r="BB15" i="17"/>
  <c r="BC15" i="17"/>
  <c r="BD15" i="17"/>
  <c r="BF15" i="17"/>
  <c r="BG15" i="17"/>
  <c r="BH15" i="17"/>
  <c r="AH16" i="17"/>
  <c r="AI16" i="17"/>
  <c r="AJ16" i="17"/>
  <c r="AL16" i="17"/>
  <c r="AM16" i="17"/>
  <c r="AN16" i="17"/>
  <c r="AP16" i="17"/>
  <c r="AQ16" i="17"/>
  <c r="AR16" i="17"/>
  <c r="AT16" i="17"/>
  <c r="AU16" i="17"/>
  <c r="AV16" i="17"/>
  <c r="AX16" i="17"/>
  <c r="AY16" i="17"/>
  <c r="AZ16" i="17"/>
  <c r="BB16" i="17"/>
  <c r="BC16" i="17"/>
  <c r="BD16" i="17"/>
  <c r="BF16" i="17"/>
  <c r="BG16" i="17"/>
  <c r="BH16" i="17"/>
  <c r="AG17" i="17"/>
  <c r="AI17" i="17"/>
  <c r="AJ17" i="17"/>
  <c r="AL17" i="17"/>
  <c r="AM17" i="17"/>
  <c r="AN17" i="17"/>
  <c r="AP17" i="17"/>
  <c r="AQ17" i="17"/>
  <c r="AR17" i="17"/>
  <c r="AT17" i="17"/>
  <c r="AU17" i="17"/>
  <c r="AV17" i="17"/>
  <c r="AX17" i="17"/>
  <c r="AY17" i="17"/>
  <c r="AZ17" i="17"/>
  <c r="BB17" i="17"/>
  <c r="BC17" i="17"/>
  <c r="BD17" i="17"/>
  <c r="BF17" i="17"/>
  <c r="BG17" i="17"/>
  <c r="BH17" i="17"/>
  <c r="AG18" i="17"/>
  <c r="AH18" i="17"/>
  <c r="AI18" i="17"/>
  <c r="AJ18" i="17"/>
  <c r="AL18" i="17"/>
  <c r="AM18" i="17"/>
  <c r="AN18" i="17"/>
  <c r="AP18" i="17"/>
  <c r="AQ18" i="17"/>
  <c r="AR18" i="17"/>
  <c r="AT18" i="17"/>
  <c r="AU18" i="17"/>
  <c r="AV18" i="17"/>
  <c r="AX18" i="17"/>
  <c r="AY18" i="17"/>
  <c r="AZ18" i="17"/>
  <c r="BB18" i="17"/>
  <c r="BC18" i="17"/>
  <c r="BD18" i="17"/>
  <c r="BF18" i="17"/>
  <c r="BG18" i="17"/>
  <c r="BH18" i="17"/>
  <c r="AG19" i="17"/>
  <c r="AI19" i="17"/>
  <c r="AJ19" i="17"/>
  <c r="AL19" i="17"/>
  <c r="AM19" i="17"/>
  <c r="AN19" i="17"/>
  <c r="AP19" i="17"/>
  <c r="AQ19" i="17"/>
  <c r="AR19" i="17"/>
  <c r="AT19" i="17"/>
  <c r="AU19" i="17"/>
  <c r="AV19" i="17"/>
  <c r="AX19" i="17"/>
  <c r="AY19" i="17"/>
  <c r="AZ19" i="17"/>
  <c r="BB19" i="17"/>
  <c r="BC19" i="17"/>
  <c r="BD19" i="17"/>
  <c r="BF19" i="17"/>
  <c r="BG19" i="17"/>
  <c r="BH19" i="17"/>
  <c r="AG20" i="17"/>
  <c r="AI20" i="17"/>
  <c r="AJ20" i="17"/>
  <c r="AL20" i="17"/>
  <c r="AM20" i="17"/>
  <c r="AN20" i="17"/>
  <c r="AP20" i="17"/>
  <c r="AQ20" i="17"/>
  <c r="AR20" i="17"/>
  <c r="AT20" i="17"/>
  <c r="AU20" i="17"/>
  <c r="AV20" i="17"/>
  <c r="AX20" i="17"/>
  <c r="AY20" i="17"/>
  <c r="AZ20" i="17"/>
  <c r="BB20" i="17"/>
  <c r="BC20" i="17"/>
  <c r="BD20" i="17"/>
  <c r="BF20" i="17"/>
  <c r="BG20" i="17"/>
  <c r="BH20" i="17"/>
  <c r="AG21" i="17"/>
  <c r="AI21" i="17"/>
  <c r="AJ21" i="17"/>
  <c r="AL21" i="17"/>
  <c r="AM21" i="17"/>
  <c r="AN21" i="17"/>
  <c r="AP21" i="17"/>
  <c r="AQ21" i="17"/>
  <c r="AR21" i="17"/>
  <c r="AT21" i="17"/>
  <c r="AU21" i="17"/>
  <c r="AV21" i="17"/>
  <c r="AX21" i="17"/>
  <c r="AY21" i="17"/>
  <c r="AZ21" i="17"/>
  <c r="BB21" i="17"/>
  <c r="BC21" i="17"/>
  <c r="BD21" i="17"/>
  <c r="BF21" i="17"/>
  <c r="BG21" i="17"/>
  <c r="BH21" i="17"/>
  <c r="AG22" i="17"/>
  <c r="AI22" i="17"/>
  <c r="AJ22" i="17"/>
  <c r="AL22" i="17"/>
  <c r="AM22" i="17"/>
  <c r="AN22" i="17"/>
  <c r="AP22" i="17"/>
  <c r="AQ22" i="17"/>
  <c r="AR22" i="17"/>
  <c r="AT22" i="17"/>
  <c r="AU22" i="17"/>
  <c r="AV22" i="17"/>
  <c r="AX22" i="17"/>
  <c r="AY22" i="17"/>
  <c r="AZ22" i="17"/>
  <c r="BB22" i="17"/>
  <c r="BC22" i="17"/>
  <c r="BD22" i="17"/>
  <c r="BF22" i="17"/>
  <c r="BG22" i="17"/>
  <c r="BH22" i="17"/>
  <c r="AG23" i="17"/>
  <c r="AI23" i="17"/>
  <c r="AJ23" i="17"/>
  <c r="AL23" i="17"/>
  <c r="AM23" i="17"/>
  <c r="AN23" i="17"/>
  <c r="AP23" i="17"/>
  <c r="AQ23" i="17"/>
  <c r="AR23" i="17"/>
  <c r="AT23" i="17"/>
  <c r="AU23" i="17"/>
  <c r="AV23" i="17"/>
  <c r="AX23" i="17"/>
  <c r="AY23" i="17"/>
  <c r="AZ23" i="17"/>
  <c r="BB23" i="17"/>
  <c r="BC23" i="17"/>
  <c r="BD23" i="17"/>
  <c r="BF23" i="17"/>
  <c r="BG23" i="17"/>
  <c r="BH23" i="17"/>
  <c r="AG24" i="17"/>
  <c r="AH24" i="17"/>
  <c r="AI24" i="17"/>
  <c r="AJ24" i="17"/>
  <c r="AK24" i="17"/>
  <c r="AL24" i="17"/>
  <c r="AM24" i="17"/>
  <c r="AN24" i="17"/>
  <c r="AP24" i="17"/>
  <c r="AQ24" i="17"/>
  <c r="AR24" i="17"/>
  <c r="AT24" i="17"/>
  <c r="AU24" i="17"/>
  <c r="AV24" i="17"/>
  <c r="AX24" i="17"/>
  <c r="AY24" i="17"/>
  <c r="AZ24" i="17"/>
  <c r="BB24" i="17"/>
  <c r="BC24" i="17"/>
  <c r="BD24" i="17"/>
  <c r="BF24" i="17"/>
  <c r="BG24" i="17"/>
  <c r="BH24" i="17"/>
  <c r="AG25" i="17"/>
  <c r="AI25" i="17"/>
  <c r="AJ25" i="17"/>
  <c r="AK25" i="17"/>
  <c r="AL25" i="17"/>
  <c r="AM25" i="17"/>
  <c r="AN25" i="17"/>
  <c r="AP25" i="17"/>
  <c r="AQ25" i="17"/>
  <c r="AR25" i="17"/>
  <c r="AT25" i="17"/>
  <c r="AU25" i="17"/>
  <c r="AV25" i="17"/>
  <c r="AX25" i="17"/>
  <c r="AY25" i="17"/>
  <c r="AZ25" i="17"/>
  <c r="BB25" i="17"/>
  <c r="BC25" i="17"/>
  <c r="BD25" i="17"/>
  <c r="BF25" i="17"/>
  <c r="BG25" i="17"/>
  <c r="BH25" i="17"/>
  <c r="AG26" i="17"/>
  <c r="AH26" i="17"/>
  <c r="AI26" i="17"/>
  <c r="AJ26" i="17"/>
  <c r="AL26" i="17"/>
  <c r="AM26" i="17"/>
  <c r="AN26" i="17"/>
  <c r="AP26" i="17"/>
  <c r="AQ26" i="17"/>
  <c r="AR26" i="17"/>
  <c r="AS26" i="17"/>
  <c r="AT26" i="17"/>
  <c r="AU26" i="17"/>
  <c r="AV26" i="17"/>
  <c r="AX26" i="17"/>
  <c r="AY26" i="17"/>
  <c r="AZ26" i="17"/>
  <c r="BB26" i="17"/>
  <c r="BC26" i="17"/>
  <c r="BD26" i="17"/>
  <c r="BF26" i="17"/>
  <c r="BG26" i="17"/>
  <c r="BH26" i="17"/>
  <c r="AG27" i="17"/>
  <c r="AI27" i="17"/>
  <c r="AJ27" i="17"/>
  <c r="AL27" i="17"/>
  <c r="AM27" i="17"/>
  <c r="AN27" i="17"/>
  <c r="AP27" i="17"/>
  <c r="AQ27" i="17"/>
  <c r="AR27" i="17"/>
  <c r="AS27" i="17"/>
  <c r="AT27" i="17"/>
  <c r="AU27" i="17"/>
  <c r="AV27" i="17"/>
  <c r="AX27" i="17"/>
  <c r="AY27" i="17"/>
  <c r="AZ27" i="17"/>
  <c r="BB27" i="17"/>
  <c r="BC27" i="17"/>
  <c r="BD27" i="17"/>
  <c r="BF27" i="17"/>
  <c r="BG27" i="17"/>
  <c r="BH27" i="17"/>
  <c r="AG28" i="17"/>
  <c r="AI28" i="17"/>
  <c r="AJ28" i="17"/>
  <c r="AL28" i="17"/>
  <c r="AM28" i="17"/>
  <c r="AN28" i="17"/>
  <c r="AP28" i="17"/>
  <c r="AQ28" i="17"/>
  <c r="AR28" i="17"/>
  <c r="AS28" i="17"/>
  <c r="AT28" i="17"/>
  <c r="AU28" i="17"/>
  <c r="AV28" i="17"/>
  <c r="AX28" i="17"/>
  <c r="AY28" i="17"/>
  <c r="AZ28" i="17"/>
  <c r="BB28" i="17"/>
  <c r="BC28" i="17"/>
  <c r="BD28" i="17"/>
  <c r="BF28" i="17"/>
  <c r="BG28" i="17"/>
  <c r="BH28" i="17"/>
  <c r="AG29" i="17"/>
  <c r="AI29" i="17"/>
  <c r="AJ29" i="17"/>
  <c r="AL29" i="17"/>
  <c r="AM29" i="17"/>
  <c r="AN29" i="17"/>
  <c r="AP29" i="17"/>
  <c r="AQ29" i="17"/>
  <c r="AR29" i="17"/>
  <c r="AS29" i="17"/>
  <c r="AT29" i="17"/>
  <c r="AU29" i="17"/>
  <c r="AV29" i="17"/>
  <c r="AX29" i="17"/>
  <c r="AY29" i="17"/>
  <c r="AZ29" i="17"/>
  <c r="BB29" i="17"/>
  <c r="BC29" i="17"/>
  <c r="BD29" i="17"/>
  <c r="BF29" i="17"/>
  <c r="BG29" i="17"/>
  <c r="BH29" i="17"/>
  <c r="AG30" i="17"/>
  <c r="AI30" i="17"/>
  <c r="AJ30" i="17"/>
  <c r="AL30" i="17"/>
  <c r="AM30" i="17"/>
  <c r="AN30" i="17"/>
  <c r="AP30" i="17"/>
  <c r="AQ30" i="17"/>
  <c r="AR30" i="17"/>
  <c r="AS30" i="17"/>
  <c r="AT30" i="17"/>
  <c r="AU30" i="17"/>
  <c r="AV30" i="17"/>
  <c r="AX30" i="17"/>
  <c r="AY30" i="17"/>
  <c r="AZ30" i="17"/>
  <c r="BB30" i="17"/>
  <c r="BC30" i="17"/>
  <c r="BD30" i="17"/>
  <c r="BF30" i="17"/>
  <c r="BG30" i="17"/>
  <c r="BH30" i="17"/>
  <c r="AG31" i="17"/>
  <c r="AI31" i="17"/>
  <c r="AJ31" i="17"/>
  <c r="AL31" i="17"/>
  <c r="AM31" i="17"/>
  <c r="AN31" i="17"/>
  <c r="AP31" i="17"/>
  <c r="AQ31" i="17"/>
  <c r="AR31" i="17"/>
  <c r="AS31" i="17"/>
  <c r="AT31" i="17"/>
  <c r="AU31" i="17"/>
  <c r="AV31" i="17"/>
  <c r="AX31" i="17"/>
  <c r="AY31" i="17"/>
  <c r="AZ31" i="17"/>
  <c r="BB31" i="17"/>
  <c r="BC31" i="17"/>
  <c r="BD31" i="17"/>
  <c r="BF31" i="17"/>
  <c r="BG31" i="17"/>
  <c r="BH31" i="17"/>
  <c r="AG32" i="17"/>
  <c r="AH32" i="17"/>
  <c r="AI32" i="17"/>
  <c r="AJ32" i="17"/>
  <c r="AL32" i="17"/>
  <c r="AM32" i="17"/>
  <c r="AN32" i="17"/>
  <c r="AP32" i="17"/>
  <c r="AQ32" i="17"/>
  <c r="AR32" i="17"/>
  <c r="AT32" i="17"/>
  <c r="AU32" i="17"/>
  <c r="AV32" i="17"/>
  <c r="AX32" i="17"/>
  <c r="AY32" i="17"/>
  <c r="AZ32" i="17"/>
  <c r="BA32" i="17"/>
  <c r="BB32" i="17"/>
  <c r="BC32" i="17"/>
  <c r="BD32" i="17"/>
  <c r="BF32" i="17"/>
  <c r="BG32" i="17"/>
  <c r="BH32" i="17"/>
  <c r="AG33" i="17"/>
  <c r="AI33" i="17"/>
  <c r="AJ33" i="17"/>
  <c r="AL33" i="17"/>
  <c r="AM33" i="17"/>
  <c r="AN33" i="17"/>
  <c r="AP33" i="17"/>
  <c r="AQ33" i="17"/>
  <c r="AR33" i="17"/>
  <c r="AT33" i="17"/>
  <c r="AU33" i="17"/>
  <c r="AV33" i="17"/>
  <c r="AX33" i="17"/>
  <c r="AY33" i="17"/>
  <c r="AZ33" i="17"/>
  <c r="BA33" i="17"/>
  <c r="BB33" i="17"/>
  <c r="BC33" i="17"/>
  <c r="BD33" i="17"/>
  <c r="BF33" i="17"/>
  <c r="BG33" i="17"/>
  <c r="BH33" i="17"/>
  <c r="AG34" i="17"/>
  <c r="AH34" i="17"/>
  <c r="AI34" i="17"/>
  <c r="AJ34" i="17"/>
  <c r="AL34" i="17"/>
  <c r="AM34" i="17"/>
  <c r="AN34" i="17"/>
  <c r="AP34" i="17"/>
  <c r="AQ34" i="17"/>
  <c r="AR34" i="17"/>
  <c r="AT34" i="17"/>
  <c r="AU34" i="17"/>
  <c r="AV34" i="17"/>
  <c r="AX34" i="17"/>
  <c r="AY34" i="17"/>
  <c r="AZ34" i="17"/>
  <c r="BB34" i="17"/>
  <c r="BC34" i="17"/>
  <c r="BD34" i="17"/>
  <c r="BF34" i="17"/>
  <c r="BG34" i="17"/>
  <c r="BH34" i="17"/>
  <c r="AG35" i="17"/>
  <c r="AI35" i="17"/>
  <c r="AJ35" i="17"/>
  <c r="AL35" i="17"/>
  <c r="AM35" i="17"/>
  <c r="AN35" i="17"/>
  <c r="AP35" i="17"/>
  <c r="AQ35" i="17"/>
  <c r="AR35" i="17"/>
  <c r="AT35" i="17"/>
  <c r="AU35" i="17"/>
  <c r="AV35" i="17"/>
  <c r="AX35" i="17"/>
  <c r="AY35" i="17"/>
  <c r="AZ35" i="17"/>
  <c r="BB35" i="17"/>
  <c r="BC35" i="17"/>
  <c r="BD35" i="17"/>
  <c r="BF35" i="17"/>
  <c r="BG35" i="17"/>
  <c r="BH35" i="17"/>
  <c r="AG36" i="17"/>
  <c r="AI36" i="17"/>
  <c r="AJ36" i="17"/>
  <c r="AL36" i="17"/>
  <c r="AM36" i="17"/>
  <c r="AN36" i="17"/>
  <c r="AP36" i="17"/>
  <c r="AQ36" i="17"/>
  <c r="AR36" i="17"/>
  <c r="AT36" i="17"/>
  <c r="AU36" i="17"/>
  <c r="AV36" i="17"/>
  <c r="AX36" i="17"/>
  <c r="AY36" i="17"/>
  <c r="AZ36" i="17"/>
  <c r="BB36" i="17"/>
  <c r="BC36" i="17"/>
  <c r="BD36" i="17"/>
  <c r="BF36" i="17"/>
  <c r="BG36" i="17"/>
  <c r="BH36" i="17"/>
  <c r="AG37" i="17"/>
  <c r="AI37" i="17"/>
  <c r="AJ37" i="17"/>
  <c r="AL37" i="17"/>
  <c r="AM37" i="17"/>
  <c r="AN37" i="17"/>
  <c r="AP37" i="17"/>
  <c r="AQ37" i="17"/>
  <c r="AR37" i="17"/>
  <c r="AT37" i="17"/>
  <c r="AU37" i="17"/>
  <c r="AV37" i="17"/>
  <c r="AX37" i="17"/>
  <c r="AY37" i="17"/>
  <c r="AZ37" i="17"/>
  <c r="BB37" i="17"/>
  <c r="BC37" i="17"/>
  <c r="BD37" i="17"/>
  <c r="BF37" i="17"/>
  <c r="BG37" i="17"/>
  <c r="BH37" i="17"/>
  <c r="AG38" i="17"/>
  <c r="AI38" i="17"/>
  <c r="AJ38" i="17"/>
  <c r="AL38" i="17"/>
  <c r="AM38" i="17"/>
  <c r="AN38" i="17"/>
  <c r="AP38" i="17"/>
  <c r="AQ38" i="17"/>
  <c r="AR38" i="17"/>
  <c r="AT38" i="17"/>
  <c r="AU38" i="17"/>
  <c r="AV38" i="17"/>
  <c r="AX38" i="17"/>
  <c r="AY38" i="17"/>
  <c r="AZ38" i="17"/>
  <c r="BB38" i="17"/>
  <c r="BC38" i="17"/>
  <c r="BD38" i="17"/>
  <c r="BF38" i="17"/>
  <c r="BG38" i="17"/>
  <c r="BH38" i="17"/>
  <c r="AG39" i="17"/>
  <c r="AI39" i="17"/>
  <c r="AJ39" i="17"/>
  <c r="AL39" i="17"/>
  <c r="AM39" i="17"/>
  <c r="AN39" i="17"/>
  <c r="AP39" i="17"/>
  <c r="AQ39" i="17"/>
  <c r="AR39" i="17"/>
  <c r="AT39" i="17"/>
  <c r="AU39" i="17"/>
  <c r="AV39" i="17"/>
  <c r="AX39" i="17"/>
  <c r="AY39" i="17"/>
  <c r="AZ39" i="17"/>
  <c r="BB39" i="17"/>
  <c r="BC39" i="17"/>
  <c r="BD39" i="17"/>
  <c r="BF39" i="17"/>
  <c r="BG39" i="17"/>
  <c r="BH39" i="17"/>
  <c r="AG40" i="17"/>
  <c r="AH40" i="17"/>
  <c r="AI40" i="17"/>
  <c r="AJ40" i="17"/>
  <c r="AL40" i="17"/>
  <c r="AM40" i="17"/>
  <c r="AN40" i="17"/>
  <c r="AP40" i="17"/>
  <c r="AQ40" i="17"/>
  <c r="AR40" i="17"/>
  <c r="AT40" i="17"/>
  <c r="AU40" i="17"/>
  <c r="AV40" i="17"/>
  <c r="AX40" i="17"/>
  <c r="AY40" i="17"/>
  <c r="AZ40" i="17"/>
  <c r="BB40" i="17"/>
  <c r="BC40" i="17"/>
  <c r="BD40" i="17"/>
  <c r="BE40" i="17"/>
  <c r="BF40" i="17"/>
  <c r="BG40" i="17"/>
  <c r="BH40" i="17"/>
  <c r="AG41" i="17"/>
  <c r="AH41" i="17"/>
  <c r="AI41" i="17"/>
  <c r="AJ41" i="17"/>
  <c r="AL41" i="17"/>
  <c r="AM41" i="17"/>
  <c r="AN41" i="17"/>
  <c r="AP41" i="17"/>
  <c r="AQ41" i="17"/>
  <c r="AR41" i="17"/>
  <c r="AT41" i="17"/>
  <c r="AU41" i="17"/>
  <c r="AV41" i="17"/>
  <c r="AW41" i="17"/>
  <c r="AX41" i="17"/>
  <c r="AY41" i="17"/>
  <c r="AZ41" i="17"/>
  <c r="BB41" i="17"/>
  <c r="BC41" i="17"/>
  <c r="BD41" i="17"/>
  <c r="BE41" i="17"/>
  <c r="BF41" i="17"/>
  <c r="BG41" i="17"/>
  <c r="BH41" i="17"/>
  <c r="AG42" i="17"/>
  <c r="AI42" i="17"/>
  <c r="AJ42" i="17"/>
  <c r="AK42" i="17"/>
  <c r="AL42" i="17"/>
  <c r="AM42" i="17"/>
  <c r="AN42" i="17"/>
  <c r="AO42" i="17"/>
  <c r="AP42" i="17"/>
  <c r="AQ42" i="17"/>
  <c r="AR42" i="17"/>
  <c r="AS42" i="17"/>
  <c r="AT42" i="17"/>
  <c r="AU42" i="17"/>
  <c r="AV42" i="17"/>
  <c r="AW42" i="17"/>
  <c r="AX42" i="17"/>
  <c r="AY42" i="17"/>
  <c r="AZ42" i="17"/>
  <c r="BA42" i="17"/>
  <c r="BB42" i="17"/>
  <c r="BC42" i="17"/>
  <c r="BD42" i="17"/>
  <c r="BE42" i="17"/>
  <c r="BF42" i="17"/>
  <c r="BG42" i="17"/>
  <c r="BH42" i="17"/>
  <c r="AG43" i="17"/>
  <c r="AI43" i="17"/>
  <c r="AJ43" i="17"/>
  <c r="AL43" i="17"/>
  <c r="AM43" i="17"/>
  <c r="AN43" i="17"/>
  <c r="AO43" i="17"/>
  <c r="AP43" i="17"/>
  <c r="AQ43" i="17"/>
  <c r="AR43" i="17"/>
  <c r="AT43" i="17"/>
  <c r="AU43" i="17"/>
  <c r="AV43" i="17"/>
  <c r="AW43" i="17"/>
  <c r="AX43" i="17"/>
  <c r="AY43" i="17"/>
  <c r="AZ43" i="17"/>
  <c r="BB43" i="17"/>
  <c r="BC43" i="17"/>
  <c r="BD43" i="17"/>
  <c r="BE43" i="17"/>
  <c r="BF43" i="17"/>
  <c r="BG43" i="17"/>
  <c r="BH43" i="17"/>
  <c r="AG44" i="17"/>
  <c r="AI44" i="17"/>
  <c r="AJ44" i="17"/>
  <c r="AL44" i="17"/>
  <c r="AM44" i="17"/>
  <c r="AN44" i="17"/>
  <c r="AO44" i="17"/>
  <c r="AP44" i="17"/>
  <c r="AQ44" i="17"/>
  <c r="AR44" i="17"/>
  <c r="AT44" i="17"/>
  <c r="AU44" i="17"/>
  <c r="AV44" i="17"/>
  <c r="AW44" i="17"/>
  <c r="AX44" i="17"/>
  <c r="AY44" i="17"/>
  <c r="AZ44" i="17"/>
  <c r="BB44" i="17"/>
  <c r="BC44" i="17"/>
  <c r="BD44" i="17"/>
  <c r="BE44" i="17"/>
  <c r="BF44" i="17"/>
  <c r="BG44" i="17"/>
  <c r="BH44" i="17"/>
  <c r="AG45" i="17"/>
  <c r="AI45" i="17"/>
  <c r="AJ45" i="17"/>
  <c r="AL45" i="17"/>
  <c r="AM45" i="17"/>
  <c r="AN45" i="17"/>
  <c r="AO45" i="17"/>
  <c r="AP45" i="17"/>
  <c r="AQ45" i="17"/>
  <c r="AR45" i="17"/>
  <c r="AT45" i="17"/>
  <c r="AU45" i="17"/>
  <c r="AV45" i="17"/>
  <c r="AW45" i="17"/>
  <c r="AX45" i="17"/>
  <c r="AY45" i="17"/>
  <c r="AZ45" i="17"/>
  <c r="BB45" i="17"/>
  <c r="BC45" i="17"/>
  <c r="BD45" i="17"/>
  <c r="BE45" i="17"/>
  <c r="BF45" i="17"/>
  <c r="BG45" i="17"/>
  <c r="BH45" i="17"/>
  <c r="AG46" i="17"/>
  <c r="AI46" i="17"/>
  <c r="AJ46" i="17"/>
  <c r="AL46" i="17"/>
  <c r="AM46" i="17"/>
  <c r="AN46" i="17"/>
  <c r="AO46" i="17"/>
  <c r="AP46" i="17"/>
  <c r="AQ46" i="17"/>
  <c r="AR46" i="17"/>
  <c r="AT46" i="17"/>
  <c r="AU46" i="17"/>
  <c r="AV46" i="17"/>
  <c r="AW46" i="17"/>
  <c r="AX46" i="17"/>
  <c r="AY46" i="17"/>
  <c r="AZ46" i="17"/>
  <c r="BB46" i="17"/>
  <c r="BC46" i="17"/>
  <c r="BD46" i="17"/>
  <c r="BE46" i="17"/>
  <c r="BF46" i="17"/>
  <c r="BG46" i="17"/>
  <c r="BH46" i="17"/>
  <c r="AG47" i="17"/>
  <c r="AI47" i="17"/>
  <c r="AJ47" i="17"/>
  <c r="AL47" i="17"/>
  <c r="AM47" i="17"/>
  <c r="AN47" i="17"/>
  <c r="AO47" i="17"/>
  <c r="AP47" i="17"/>
  <c r="AQ47" i="17"/>
  <c r="AR47" i="17"/>
  <c r="AT47" i="17"/>
  <c r="AU47" i="17"/>
  <c r="AV47" i="17"/>
  <c r="AW47" i="17"/>
  <c r="AX47" i="17"/>
  <c r="AY47" i="17"/>
  <c r="AZ47" i="17"/>
  <c r="BB47" i="17"/>
  <c r="BC47" i="17"/>
  <c r="BD47" i="17"/>
  <c r="BE47" i="17"/>
  <c r="BF47" i="17"/>
  <c r="BG47" i="17"/>
  <c r="BH47" i="17"/>
  <c r="AG48" i="17"/>
  <c r="AI48" i="17"/>
  <c r="AJ48" i="17"/>
  <c r="AL48" i="17"/>
  <c r="AM48" i="17"/>
  <c r="AN48" i="17"/>
  <c r="AO48" i="17"/>
  <c r="AP48" i="17"/>
  <c r="AQ48" i="17"/>
  <c r="AR48" i="17"/>
  <c r="AT48" i="17"/>
  <c r="AU48" i="17"/>
  <c r="AV48" i="17"/>
  <c r="AW48" i="17"/>
  <c r="AX48" i="17"/>
  <c r="AY48" i="17"/>
  <c r="AZ48" i="17"/>
  <c r="BB48" i="17"/>
  <c r="BC48" i="17"/>
  <c r="BD48" i="17"/>
  <c r="BE48" i="17"/>
  <c r="BF48" i="17"/>
  <c r="BG48" i="17"/>
  <c r="BH48" i="17"/>
  <c r="AG49" i="17"/>
  <c r="AI49" i="17"/>
  <c r="AJ49" i="17"/>
  <c r="AL49" i="17"/>
  <c r="AM49" i="17"/>
  <c r="AN49" i="17"/>
  <c r="AO49" i="17"/>
  <c r="AP49" i="17"/>
  <c r="AQ49" i="17"/>
  <c r="AR49" i="17"/>
  <c r="AT49" i="17"/>
  <c r="AU49" i="17"/>
  <c r="AV49" i="17"/>
  <c r="AW49" i="17"/>
  <c r="AX49" i="17"/>
  <c r="AY49" i="17"/>
  <c r="AZ49" i="17"/>
  <c r="BB49" i="17"/>
  <c r="BC49" i="17"/>
  <c r="BD49" i="17"/>
  <c r="BE49" i="17"/>
  <c r="BF49" i="17"/>
  <c r="BG49" i="17"/>
  <c r="BH49" i="17"/>
  <c r="AG50" i="17"/>
  <c r="AI50" i="17"/>
  <c r="AJ50" i="17"/>
  <c r="AK50" i="17"/>
  <c r="AL50" i="17"/>
  <c r="AM50" i="17"/>
  <c r="AN50" i="17"/>
  <c r="AO50" i="17"/>
  <c r="AP50" i="17"/>
  <c r="AQ50" i="17"/>
  <c r="AR50" i="17"/>
  <c r="AS50" i="17"/>
  <c r="AT50" i="17"/>
  <c r="AU50" i="17"/>
  <c r="AV50" i="17"/>
  <c r="AW50" i="17"/>
  <c r="AX50" i="17"/>
  <c r="AY50" i="17"/>
  <c r="AZ50" i="17"/>
  <c r="BA50" i="17"/>
  <c r="BB50" i="17"/>
  <c r="BC50" i="17"/>
  <c r="BD50" i="17"/>
  <c r="BE50" i="17"/>
  <c r="BF50" i="17"/>
  <c r="BG50" i="17"/>
  <c r="BH50" i="17"/>
  <c r="AG51" i="17"/>
  <c r="AI51" i="17"/>
  <c r="AJ51" i="17"/>
  <c r="AL51" i="17"/>
  <c r="AM51" i="17"/>
  <c r="AN51" i="17"/>
  <c r="AO51" i="17"/>
  <c r="AP51" i="17"/>
  <c r="AQ51" i="17"/>
  <c r="AR51" i="17"/>
  <c r="AT51" i="17"/>
  <c r="AU51" i="17"/>
  <c r="AV51" i="17"/>
  <c r="AW51" i="17"/>
  <c r="AX51" i="17"/>
  <c r="AY51" i="17"/>
  <c r="AZ51" i="17"/>
  <c r="BB51" i="17"/>
  <c r="BC51" i="17"/>
  <c r="BD51" i="17"/>
  <c r="BE51" i="17"/>
  <c r="BF51" i="17"/>
  <c r="BG51" i="17"/>
  <c r="BH51" i="17"/>
  <c r="AG52" i="17"/>
  <c r="AI52" i="17"/>
  <c r="AJ52" i="17"/>
  <c r="AL52" i="17"/>
  <c r="AM52" i="17"/>
  <c r="AN52" i="17"/>
  <c r="AO52" i="17"/>
  <c r="AP52" i="17"/>
  <c r="AQ52" i="17"/>
  <c r="AR52" i="17"/>
  <c r="AT52" i="17"/>
  <c r="AU52" i="17"/>
  <c r="AV52" i="17"/>
  <c r="AW52" i="17"/>
  <c r="AX52" i="17"/>
  <c r="AY52" i="17"/>
  <c r="AZ52" i="17"/>
  <c r="BB52" i="17"/>
  <c r="BC52" i="17"/>
  <c r="BD52" i="17"/>
  <c r="BE52" i="17"/>
  <c r="BF52" i="17"/>
  <c r="BG52" i="17"/>
  <c r="BH52" i="17"/>
  <c r="AG53" i="17"/>
  <c r="AI53" i="17"/>
  <c r="AJ53" i="17"/>
  <c r="AL53" i="17"/>
  <c r="AM53" i="17"/>
  <c r="AN53" i="17"/>
  <c r="AO53" i="17"/>
  <c r="AP53" i="17"/>
  <c r="AQ53" i="17"/>
  <c r="AR53" i="17"/>
  <c r="AT53" i="17"/>
  <c r="AU53" i="17"/>
  <c r="AV53" i="17"/>
  <c r="AW53" i="17"/>
  <c r="AX53" i="17"/>
  <c r="AY53" i="17"/>
  <c r="AZ53" i="17"/>
  <c r="BB53" i="17"/>
  <c r="BC53" i="17"/>
  <c r="BD53" i="17"/>
  <c r="BE53" i="17"/>
  <c r="BF53" i="17"/>
  <c r="BG53" i="17"/>
  <c r="BH53" i="17"/>
  <c r="AI4" i="17"/>
  <c r="AJ4" i="17"/>
  <c r="AL4" i="17"/>
  <c r="AM4" i="17"/>
  <c r="AN4" i="17"/>
  <c r="AO4" i="17"/>
  <c r="AP4" i="17"/>
  <c r="AQ4" i="17"/>
  <c r="AR4" i="17"/>
  <c r="AT4" i="17"/>
  <c r="AU4" i="17"/>
  <c r="AV4" i="17"/>
  <c r="AW4" i="17"/>
  <c r="AX4" i="17"/>
  <c r="AY4" i="17"/>
  <c r="AZ4" i="17"/>
  <c r="BB4" i="17"/>
  <c r="BC4" i="17"/>
  <c r="BD4" i="17"/>
  <c r="BE4" i="17"/>
  <c r="BF4" i="17"/>
  <c r="BG4" i="17"/>
  <c r="BH4" i="17"/>
  <c r="AG4" i="17"/>
  <c r="BH111" i="17"/>
  <c r="BG111" i="17"/>
  <c r="BF111" i="17"/>
  <c r="BE111" i="17"/>
  <c r="BD111" i="17"/>
  <c r="BC111" i="17"/>
  <c r="BB111" i="17"/>
  <c r="BA111" i="17"/>
  <c r="AZ111" i="17"/>
  <c r="AY111" i="17"/>
  <c r="AX111" i="17"/>
  <c r="AW111" i="17"/>
  <c r="AV111" i="17"/>
  <c r="AU111" i="17"/>
  <c r="AT111" i="17"/>
  <c r="AS111" i="17"/>
  <c r="AR111" i="17"/>
  <c r="AQ111" i="17"/>
  <c r="AP111" i="17"/>
  <c r="AO111" i="17"/>
  <c r="AN111" i="17"/>
  <c r="AM111" i="17"/>
  <c r="AL111" i="17"/>
  <c r="AK111" i="17"/>
  <c r="AJ111" i="17"/>
  <c r="AI111" i="17"/>
  <c r="AG111" i="17"/>
  <c r="AH110" i="17"/>
  <c r="AH84" i="17" s="1"/>
  <c r="BZ47" i="17" l="1"/>
  <c r="BZ27" i="17"/>
  <c r="CE4" i="17"/>
  <c r="BO4" i="17"/>
  <c r="CG19" i="17"/>
  <c r="CG28" i="17"/>
  <c r="CG6" i="17"/>
  <c r="CG9" i="17"/>
  <c r="CG14" i="17"/>
  <c r="CG17" i="17"/>
  <c r="CG26" i="17"/>
  <c r="CG24" i="17"/>
  <c r="CG31" i="17"/>
  <c r="CG7" i="17"/>
  <c r="CG12" i="17"/>
  <c r="CG15" i="17"/>
  <c r="CG22" i="17"/>
  <c r="CG29" i="17"/>
  <c r="CG20" i="17"/>
  <c r="CG27" i="17"/>
  <c r="CG5" i="17"/>
  <c r="CG10" i="17"/>
  <c r="CG13" i="17"/>
  <c r="CG18" i="17"/>
  <c r="CG25" i="17"/>
  <c r="CG23" i="17"/>
  <c r="BY19" i="17"/>
  <c r="BY28" i="17"/>
  <c r="BY6" i="17"/>
  <c r="BY9" i="17"/>
  <c r="BY14" i="17"/>
  <c r="BY17" i="17"/>
  <c r="BY26" i="17"/>
  <c r="BY24" i="17"/>
  <c r="BY31" i="17"/>
  <c r="BY7" i="17"/>
  <c r="BY12" i="17"/>
  <c r="BY15" i="17"/>
  <c r="BY22" i="17"/>
  <c r="BY29" i="17"/>
  <c r="BY20" i="17"/>
  <c r="BY27" i="17"/>
  <c r="BY5" i="17"/>
  <c r="BY10" i="17"/>
  <c r="BY13" i="17"/>
  <c r="BY18" i="17"/>
  <c r="BY25" i="17"/>
  <c r="BY23" i="17"/>
  <c r="BQ19" i="17"/>
  <c r="BQ28" i="17"/>
  <c r="BQ6" i="17"/>
  <c r="BQ9" i="17"/>
  <c r="BQ14" i="17"/>
  <c r="BQ17" i="17"/>
  <c r="BQ26" i="17"/>
  <c r="BQ24" i="17"/>
  <c r="BQ31" i="17"/>
  <c r="BQ7" i="17"/>
  <c r="BQ12" i="17"/>
  <c r="BQ15" i="17"/>
  <c r="BQ22" i="17"/>
  <c r="BQ29" i="17"/>
  <c r="BQ20" i="17"/>
  <c r="BQ27" i="17"/>
  <c r="BQ5" i="17"/>
  <c r="BQ10" i="17"/>
  <c r="BQ13" i="17"/>
  <c r="BQ18" i="17"/>
  <c r="BQ25" i="17"/>
  <c r="BQ23" i="17"/>
  <c r="CJ53" i="17"/>
  <c r="CB53" i="17"/>
  <c r="BT53" i="17"/>
  <c r="CM52" i="17"/>
  <c r="CE52" i="17"/>
  <c r="BW52" i="17"/>
  <c r="BO52" i="17"/>
  <c r="CI51" i="17"/>
  <c r="CA51" i="17"/>
  <c r="BS51" i="17"/>
  <c r="CL50" i="17"/>
  <c r="CD50" i="17"/>
  <c r="BV50" i="17"/>
  <c r="BN50" i="17"/>
  <c r="CH49" i="17"/>
  <c r="BZ49" i="17"/>
  <c r="BR49" i="17"/>
  <c r="CK48" i="17"/>
  <c r="CC48" i="17"/>
  <c r="BU48" i="17"/>
  <c r="CG47" i="17"/>
  <c r="BY47" i="17"/>
  <c r="BQ47" i="17"/>
  <c r="CJ46" i="17"/>
  <c r="CB46" i="17"/>
  <c r="BT46" i="17"/>
  <c r="CN45" i="17"/>
  <c r="CF45" i="17"/>
  <c r="BX45" i="17"/>
  <c r="BP45" i="17"/>
  <c r="CI44" i="17"/>
  <c r="CA44" i="17"/>
  <c r="BS44" i="17"/>
  <c r="CM43" i="17"/>
  <c r="CE43" i="17"/>
  <c r="BW43" i="17"/>
  <c r="BO43" i="17"/>
  <c r="CH42" i="17"/>
  <c r="BZ42" i="17"/>
  <c r="BR42" i="17"/>
  <c r="CL41" i="17"/>
  <c r="CD41" i="17"/>
  <c r="BV41" i="17"/>
  <c r="CG40" i="17"/>
  <c r="BY40" i="17"/>
  <c r="BQ40" i="17"/>
  <c r="CK39" i="17"/>
  <c r="CC39" i="17"/>
  <c r="BU39" i="17"/>
  <c r="CN38" i="17"/>
  <c r="CF38" i="17"/>
  <c r="BX38" i="17"/>
  <c r="BP38" i="17"/>
  <c r="CJ37" i="17"/>
  <c r="CB37" i="17"/>
  <c r="BT37" i="17"/>
  <c r="CM36" i="17"/>
  <c r="CE36" i="17"/>
  <c r="BW36" i="17"/>
  <c r="BO36" i="17"/>
  <c r="CI35" i="17"/>
  <c r="CA35" i="17"/>
  <c r="BS35" i="17"/>
  <c r="CL34" i="17"/>
  <c r="CD34" i="17"/>
  <c r="BV34" i="17"/>
  <c r="BN34" i="17"/>
  <c r="CH33" i="17"/>
  <c r="BZ33" i="17"/>
  <c r="BR33" i="17"/>
  <c r="CK32" i="17"/>
  <c r="CC32" i="17"/>
  <c r="BR32" i="17"/>
  <c r="CF31" i="17"/>
  <c r="CM30" i="17"/>
  <c r="BQ30" i="17"/>
  <c r="BU29" i="17"/>
  <c r="BV28" i="17"/>
  <c r="BT27" i="17"/>
  <c r="CI25" i="17"/>
  <c r="BS18" i="17"/>
  <c r="BQ16" i="17"/>
  <c r="BO14" i="17"/>
  <c r="CM9" i="17"/>
  <c r="CK7" i="17"/>
  <c r="CI5" i="17"/>
  <c r="CH47" i="17"/>
  <c r="CH51" i="17"/>
  <c r="BZ51" i="17"/>
  <c r="BR51" i="17"/>
  <c r="CG49" i="17"/>
  <c r="BY49" i="17"/>
  <c r="BQ49" i="17"/>
  <c r="CJ48" i="17"/>
  <c r="CB48" i="17"/>
  <c r="BT48" i="17"/>
  <c r="CN47" i="17"/>
  <c r="CF47" i="17"/>
  <c r="BX47" i="17"/>
  <c r="BP47" i="17"/>
  <c r="CI46" i="17"/>
  <c r="CA46" i="17"/>
  <c r="BS46" i="17"/>
  <c r="CM45" i="17"/>
  <c r="CE45" i="17"/>
  <c r="BW45" i="17"/>
  <c r="BO45" i="17"/>
  <c r="CH44" i="17"/>
  <c r="BZ44" i="17"/>
  <c r="BR44" i="17"/>
  <c r="CL43" i="17"/>
  <c r="CD43" i="17"/>
  <c r="BV43" i="17"/>
  <c r="CG42" i="17"/>
  <c r="BY42" i="17"/>
  <c r="BQ42" i="17"/>
  <c r="CK41" i="17"/>
  <c r="CC41" i="17"/>
  <c r="BU41" i="17"/>
  <c r="CN40" i="17"/>
  <c r="CF40" i="17"/>
  <c r="BX40" i="17"/>
  <c r="BP40" i="17"/>
  <c r="CJ39" i="17"/>
  <c r="CB39" i="17"/>
  <c r="BT39" i="17"/>
  <c r="CE38" i="17"/>
  <c r="BO38" i="17"/>
  <c r="CI37" i="17"/>
  <c r="CA37" i="17"/>
  <c r="BS37" i="17"/>
  <c r="CL36" i="17"/>
  <c r="CD36" i="17"/>
  <c r="BV36" i="17"/>
  <c r="BN36" i="17"/>
  <c r="CH35" i="17"/>
  <c r="BZ35" i="17"/>
  <c r="BR35" i="17"/>
  <c r="CK34" i="17"/>
  <c r="CC34" i="17"/>
  <c r="BU34" i="17"/>
  <c r="CG33" i="17"/>
  <c r="BY33" i="17"/>
  <c r="BQ33" i="17"/>
  <c r="CJ32" i="17"/>
  <c r="CB32" i="17"/>
  <c r="BQ32" i="17"/>
  <c r="CD31" i="17"/>
  <c r="CI30" i="17"/>
  <c r="BS29" i="17"/>
  <c r="BP28" i="17"/>
  <c r="BR27" i="17"/>
  <c r="CA25" i="17"/>
  <c r="CH23" i="17"/>
  <c r="CG21" i="17"/>
  <c r="CN19" i="17"/>
  <c r="CG11" i="17"/>
  <c r="CC7" i="17"/>
  <c r="CA5" i="17"/>
  <c r="BR40" i="17"/>
  <c r="CM24" i="17"/>
  <c r="CM31" i="17"/>
  <c r="CM7" i="17"/>
  <c r="CM12" i="17"/>
  <c r="CM15" i="17"/>
  <c r="CM22" i="17"/>
  <c r="CM20" i="17"/>
  <c r="CM27" i="17"/>
  <c r="CM5" i="17"/>
  <c r="CM10" i="17"/>
  <c r="CM13" i="17"/>
  <c r="CM18" i="17"/>
  <c r="CM25" i="17"/>
  <c r="CM23" i="17"/>
  <c r="CM8" i="17"/>
  <c r="CM11" i="17"/>
  <c r="CM16" i="17"/>
  <c r="CM21" i="17"/>
  <c r="CM19" i="17"/>
  <c r="CM28" i="17"/>
  <c r="CE24" i="17"/>
  <c r="CE31" i="17"/>
  <c r="CE7" i="17"/>
  <c r="CE12" i="17"/>
  <c r="CE15" i="17"/>
  <c r="CE22" i="17"/>
  <c r="CE29" i="17"/>
  <c r="CE20" i="17"/>
  <c r="CE27" i="17"/>
  <c r="CE5" i="17"/>
  <c r="CE10" i="17"/>
  <c r="CE13" i="17"/>
  <c r="CE18" i="17"/>
  <c r="CE25" i="17"/>
  <c r="CE23" i="17"/>
  <c r="CE8" i="17"/>
  <c r="CE11" i="17"/>
  <c r="CE16" i="17"/>
  <c r="CE21" i="17"/>
  <c r="CE19" i="17"/>
  <c r="CE28" i="17"/>
  <c r="BW24" i="17"/>
  <c r="BW31" i="17"/>
  <c r="BW7" i="17"/>
  <c r="BW12" i="17"/>
  <c r="BW15" i="17"/>
  <c r="BW22" i="17"/>
  <c r="BW29" i="17"/>
  <c r="BW20" i="17"/>
  <c r="BW27" i="17"/>
  <c r="BW5" i="17"/>
  <c r="BW10" i="17"/>
  <c r="BW13" i="17"/>
  <c r="BW18" i="17"/>
  <c r="BW25" i="17"/>
  <c r="BW23" i="17"/>
  <c r="BW8" i="17"/>
  <c r="BW11" i="17"/>
  <c r="BW16" i="17"/>
  <c r="BW21" i="17"/>
  <c r="BW19" i="17"/>
  <c r="BW28" i="17"/>
  <c r="BO24" i="17"/>
  <c r="BO31" i="17"/>
  <c r="BO7" i="17"/>
  <c r="BO12" i="17"/>
  <c r="BO15" i="17"/>
  <c r="BO22" i="17"/>
  <c r="BO29" i="17"/>
  <c r="BO20" i="17"/>
  <c r="BO27" i="17"/>
  <c r="BO5" i="17"/>
  <c r="BO10" i="17"/>
  <c r="BO13" i="17"/>
  <c r="BO18" i="17"/>
  <c r="BO25" i="17"/>
  <c r="BO23" i="17"/>
  <c r="BO8" i="17"/>
  <c r="BO11" i="17"/>
  <c r="BO16" i="17"/>
  <c r="BO21" i="17"/>
  <c r="BO19" i="17"/>
  <c r="BO28" i="17"/>
  <c r="CH53" i="17"/>
  <c r="BZ53" i="17"/>
  <c r="BR53" i="17"/>
  <c r="CG51" i="17"/>
  <c r="BY51" i="17"/>
  <c r="BQ51" i="17"/>
  <c r="CJ50" i="17"/>
  <c r="CB50" i="17"/>
  <c r="BT50" i="17"/>
  <c r="CN49" i="17"/>
  <c r="CF49" i="17"/>
  <c r="BX49" i="17"/>
  <c r="BP49" i="17"/>
  <c r="CI48" i="17"/>
  <c r="CA48" i="17"/>
  <c r="BS48" i="17"/>
  <c r="CM47" i="17"/>
  <c r="CE47" i="17"/>
  <c r="BW47" i="17"/>
  <c r="BO47" i="17"/>
  <c r="CH46" i="17"/>
  <c r="BZ46" i="17"/>
  <c r="BR46" i="17"/>
  <c r="CL45" i="17"/>
  <c r="CD45" i="17"/>
  <c r="BV45" i="17"/>
  <c r="CG44" i="17"/>
  <c r="BY44" i="17"/>
  <c r="BQ44" i="17"/>
  <c r="CK43" i="17"/>
  <c r="CC43" i="17"/>
  <c r="BU43" i="17"/>
  <c r="CN42" i="17"/>
  <c r="CF42" i="17"/>
  <c r="BX42" i="17"/>
  <c r="BP42" i="17"/>
  <c r="CJ41" i="17"/>
  <c r="CB41" i="17"/>
  <c r="BT41" i="17"/>
  <c r="CM40" i="17"/>
  <c r="CE40" i="17"/>
  <c r="BW40" i="17"/>
  <c r="BO40" i="17"/>
  <c r="CI39" i="17"/>
  <c r="CA39" i="17"/>
  <c r="BS39" i="17"/>
  <c r="BN38" i="17"/>
  <c r="CH37" i="17"/>
  <c r="BZ37" i="17"/>
  <c r="BR37" i="17"/>
  <c r="CK36" i="17"/>
  <c r="CC36" i="17"/>
  <c r="BU36" i="17"/>
  <c r="CG35" i="17"/>
  <c r="BY35" i="17"/>
  <c r="BQ35" i="17"/>
  <c r="CJ34" i="17"/>
  <c r="CB34" i="17"/>
  <c r="BT34" i="17"/>
  <c r="CN33" i="17"/>
  <c r="CF33" i="17"/>
  <c r="BX33" i="17"/>
  <c r="BP33" i="17"/>
  <c r="CI32" i="17"/>
  <c r="CA32" i="17"/>
  <c r="BP32" i="17"/>
  <c r="CB31" i="17"/>
  <c r="CG30" i="17"/>
  <c r="BS25" i="17"/>
  <c r="BZ23" i="17"/>
  <c r="BY21" i="17"/>
  <c r="CF19" i="17"/>
  <c r="CM17" i="17"/>
  <c r="CK15" i="17"/>
  <c r="CI13" i="17"/>
  <c r="BY11" i="17"/>
  <c r="BW9" i="17"/>
  <c r="BU7" i="17"/>
  <c r="BS5" i="17"/>
  <c r="CN4" i="17"/>
  <c r="BX4" i="17"/>
  <c r="CL7" i="17"/>
  <c r="CL12" i="17"/>
  <c r="CL15" i="17"/>
  <c r="CL22" i="17"/>
  <c r="CL29" i="17"/>
  <c r="CL20" i="17"/>
  <c r="CL27" i="17"/>
  <c r="CL5" i="17"/>
  <c r="CL10" i="17"/>
  <c r="CL13" i="17"/>
  <c r="CL18" i="17"/>
  <c r="CL25" i="17"/>
  <c r="CL23" i="17"/>
  <c r="CL8" i="17"/>
  <c r="CL11" i="17"/>
  <c r="CL16" i="17"/>
  <c r="CL21" i="17"/>
  <c r="CL30" i="17"/>
  <c r="CL19" i="17"/>
  <c r="CL6" i="17"/>
  <c r="CL9" i="17"/>
  <c r="CL14" i="17"/>
  <c r="CL17" i="17"/>
  <c r="CL26" i="17"/>
  <c r="CD7" i="17"/>
  <c r="CD12" i="17"/>
  <c r="CD15" i="17"/>
  <c r="CD22" i="17"/>
  <c r="CD29" i="17"/>
  <c r="CD20" i="17"/>
  <c r="CD27" i="17"/>
  <c r="CD5" i="17"/>
  <c r="CD10" i="17"/>
  <c r="CD13" i="17"/>
  <c r="CD18" i="17"/>
  <c r="CD25" i="17"/>
  <c r="CD23" i="17"/>
  <c r="CD8" i="17"/>
  <c r="CD11" i="17"/>
  <c r="CD16" i="17"/>
  <c r="CD21" i="17"/>
  <c r="CD30" i="17"/>
  <c r="CD19" i="17"/>
  <c r="CD6" i="17"/>
  <c r="CD9" i="17"/>
  <c r="CD14" i="17"/>
  <c r="CD17" i="17"/>
  <c r="CD26" i="17"/>
  <c r="BV7" i="17"/>
  <c r="BV12" i="17"/>
  <c r="BV15" i="17"/>
  <c r="BV22" i="17"/>
  <c r="BV29" i="17"/>
  <c r="BV20" i="17"/>
  <c r="BV27" i="17"/>
  <c r="BV5" i="17"/>
  <c r="BV10" i="17"/>
  <c r="BV13" i="17"/>
  <c r="BV18" i="17"/>
  <c r="BV25" i="17"/>
  <c r="BV23" i="17"/>
  <c r="BV32" i="17"/>
  <c r="BV8" i="17"/>
  <c r="BV11" i="17"/>
  <c r="BV16" i="17"/>
  <c r="BV21" i="17"/>
  <c r="BV30" i="17"/>
  <c r="BV19" i="17"/>
  <c r="BV6" i="17"/>
  <c r="BV9" i="17"/>
  <c r="BV14" i="17"/>
  <c r="BV17" i="17"/>
  <c r="BV26" i="17"/>
  <c r="BN5" i="17"/>
  <c r="BN12" i="17"/>
  <c r="BN22" i="17"/>
  <c r="BN20" i="17"/>
  <c r="BN10" i="17"/>
  <c r="BN18" i="17"/>
  <c r="BN32" i="17"/>
  <c r="BN8" i="17"/>
  <c r="BN16" i="17"/>
  <c r="BN30" i="17"/>
  <c r="BN6" i="17"/>
  <c r="BN14" i="17"/>
  <c r="BN26" i="17"/>
  <c r="BQ53" i="17"/>
  <c r="CJ52" i="17"/>
  <c r="CB52" i="17"/>
  <c r="BT52" i="17"/>
  <c r="CN51" i="17"/>
  <c r="CF51" i="17"/>
  <c r="BX51" i="17"/>
  <c r="BP51" i="17"/>
  <c r="CI50" i="17"/>
  <c r="CA50" i="17"/>
  <c r="BS50" i="17"/>
  <c r="CM49" i="17"/>
  <c r="CE49" i="17"/>
  <c r="BW49" i="17"/>
  <c r="BO49" i="17"/>
  <c r="CH48" i="17"/>
  <c r="BZ48" i="17"/>
  <c r="BR48" i="17"/>
  <c r="CL47" i="17"/>
  <c r="CD47" i="17"/>
  <c r="BV47" i="17"/>
  <c r="CG46" i="17"/>
  <c r="BY46" i="17"/>
  <c r="BQ46" i="17"/>
  <c r="CK45" i="17"/>
  <c r="CC45" i="17"/>
  <c r="BU45" i="17"/>
  <c r="CN44" i="17"/>
  <c r="CF44" i="17"/>
  <c r="BX44" i="17"/>
  <c r="BP44" i="17"/>
  <c r="CJ43" i="17"/>
  <c r="CB43" i="17"/>
  <c r="BT43" i="17"/>
  <c r="CM42" i="17"/>
  <c r="CE42" i="17"/>
  <c r="BW42" i="17"/>
  <c r="BO42" i="17"/>
  <c r="CI41" i="17"/>
  <c r="CA41" i="17"/>
  <c r="BS41" i="17"/>
  <c r="CL40" i="17"/>
  <c r="CD40" i="17"/>
  <c r="BV40" i="17"/>
  <c r="BN40" i="17"/>
  <c r="CH39" i="17"/>
  <c r="BZ39" i="17"/>
  <c r="BR39" i="17"/>
  <c r="CC38" i="17"/>
  <c r="CG37" i="17"/>
  <c r="BY37" i="17"/>
  <c r="BQ37" i="17"/>
  <c r="CJ36" i="17"/>
  <c r="CB36" i="17"/>
  <c r="BT36" i="17"/>
  <c r="CN35" i="17"/>
  <c r="BX35" i="17"/>
  <c r="CI34" i="17"/>
  <c r="CA34" i="17"/>
  <c r="BS34" i="17"/>
  <c r="CM33" i="17"/>
  <c r="CE33" i="17"/>
  <c r="BW33" i="17"/>
  <c r="BO33" i="17"/>
  <c r="CH32" i="17"/>
  <c r="BZ32" i="17"/>
  <c r="BO32" i="17"/>
  <c r="BX31" i="17"/>
  <c r="CE30" i="17"/>
  <c r="CM29" i="17"/>
  <c r="CM26" i="17"/>
  <c r="BR23" i="17"/>
  <c r="BQ21" i="17"/>
  <c r="CE17" i="17"/>
  <c r="CA13" i="17"/>
  <c r="BQ11" i="17"/>
  <c r="BO9" i="17"/>
  <c r="CM6" i="17"/>
  <c r="BZ40" i="17"/>
  <c r="CN6" i="17"/>
  <c r="CN9" i="17"/>
  <c r="CN14" i="17"/>
  <c r="CN17" i="17"/>
  <c r="CN26" i="17"/>
  <c r="CN24" i="17"/>
  <c r="CN7" i="17"/>
  <c r="CN12" i="17"/>
  <c r="CN15" i="17"/>
  <c r="CN22" i="17"/>
  <c r="CN29" i="17"/>
  <c r="CN20" i="17"/>
  <c r="CN27" i="17"/>
  <c r="CN5" i="17"/>
  <c r="CN10" i="17"/>
  <c r="CN13" i="17"/>
  <c r="CN18" i="17"/>
  <c r="CN25" i="17"/>
  <c r="CN23" i="17"/>
  <c r="CN8" i="17"/>
  <c r="CN11" i="17"/>
  <c r="CN16" i="17"/>
  <c r="CN21" i="17"/>
  <c r="CN30" i="17"/>
  <c r="CF6" i="17"/>
  <c r="CF9" i="17"/>
  <c r="CF14" i="17"/>
  <c r="CF17" i="17"/>
  <c r="CF26" i="17"/>
  <c r="CF24" i="17"/>
  <c r="CF7" i="17"/>
  <c r="CF12" i="17"/>
  <c r="CF15" i="17"/>
  <c r="CF22" i="17"/>
  <c r="CF29" i="17"/>
  <c r="CF20" i="17"/>
  <c r="CF27" i="17"/>
  <c r="CF5" i="17"/>
  <c r="CF10" i="17"/>
  <c r="CF13" i="17"/>
  <c r="CF18" i="17"/>
  <c r="CF25" i="17"/>
  <c r="CF23" i="17"/>
  <c r="CF8" i="17"/>
  <c r="CF11" i="17"/>
  <c r="CF16" i="17"/>
  <c r="CF21" i="17"/>
  <c r="CF30" i="17"/>
  <c r="BX6" i="17"/>
  <c r="BX9" i="17"/>
  <c r="BX14" i="17"/>
  <c r="BX17" i="17"/>
  <c r="BX26" i="17"/>
  <c r="BX24" i="17"/>
  <c r="BX7" i="17"/>
  <c r="BX12" i="17"/>
  <c r="BX15" i="17"/>
  <c r="BX22" i="17"/>
  <c r="BX29" i="17"/>
  <c r="BX20" i="17"/>
  <c r="BX27" i="17"/>
  <c r="BX5" i="17"/>
  <c r="BX10" i="17"/>
  <c r="BX13" i="17"/>
  <c r="BX18" i="17"/>
  <c r="BX25" i="17"/>
  <c r="BX23" i="17"/>
  <c r="BX8" i="17"/>
  <c r="BX11" i="17"/>
  <c r="BX16" i="17"/>
  <c r="BX21" i="17"/>
  <c r="BX30" i="17"/>
  <c r="BP6" i="17"/>
  <c r="BP9" i="17"/>
  <c r="BP14" i="17"/>
  <c r="BP17" i="17"/>
  <c r="BP26" i="17"/>
  <c r="BP24" i="17"/>
  <c r="BP7" i="17"/>
  <c r="BP12" i="17"/>
  <c r="BP15" i="17"/>
  <c r="BP22" i="17"/>
  <c r="BP29" i="17"/>
  <c r="BP20" i="17"/>
  <c r="BP27" i="17"/>
  <c r="BP5" i="17"/>
  <c r="BP10" i="17"/>
  <c r="BP13" i="17"/>
  <c r="BP18" i="17"/>
  <c r="BP25" i="17"/>
  <c r="BP23" i="17"/>
  <c r="BP8" i="17"/>
  <c r="BP11" i="17"/>
  <c r="BP16" i="17"/>
  <c r="BP21" i="17"/>
  <c r="BP30" i="17"/>
  <c r="CM4" i="17"/>
  <c r="BW4" i="17"/>
  <c r="CK4" i="17"/>
  <c r="CK20" i="17"/>
  <c r="CK27" i="17"/>
  <c r="CK5" i="17"/>
  <c r="CK10" i="17"/>
  <c r="CK13" i="17"/>
  <c r="CK18" i="17"/>
  <c r="CK25" i="17"/>
  <c r="CK23" i="17"/>
  <c r="CK8" i="17"/>
  <c r="CK11" i="17"/>
  <c r="CK16" i="17"/>
  <c r="CK21" i="17"/>
  <c r="CK30" i="17"/>
  <c r="CK19" i="17"/>
  <c r="CK28" i="17"/>
  <c r="CK6" i="17"/>
  <c r="CK9" i="17"/>
  <c r="CK14" i="17"/>
  <c r="CK17" i="17"/>
  <c r="CK26" i="17"/>
  <c r="CK24" i="17"/>
  <c r="CK31" i="17"/>
  <c r="CC4" i="17"/>
  <c r="CC20" i="17"/>
  <c r="CC27" i="17"/>
  <c r="CC5" i="17"/>
  <c r="CC10" i="17"/>
  <c r="CC13" i="17"/>
  <c r="CC18" i="17"/>
  <c r="CC25" i="17"/>
  <c r="CC23" i="17"/>
  <c r="CC8" i="17"/>
  <c r="CC11" i="17"/>
  <c r="CC16" i="17"/>
  <c r="CC21" i="17"/>
  <c r="CC30" i="17"/>
  <c r="CC19" i="17"/>
  <c r="CC28" i="17"/>
  <c r="CC6" i="17"/>
  <c r="CC9" i="17"/>
  <c r="CC14" i="17"/>
  <c r="CC17" i="17"/>
  <c r="CC26" i="17"/>
  <c r="CC24" i="17"/>
  <c r="CC31" i="17"/>
  <c r="BU4" i="17"/>
  <c r="BU20" i="17"/>
  <c r="BU27" i="17"/>
  <c r="BU5" i="17"/>
  <c r="BU10" i="17"/>
  <c r="BU13" i="17"/>
  <c r="BU18" i="17"/>
  <c r="BU25" i="17"/>
  <c r="BU23" i="17"/>
  <c r="BU32" i="17"/>
  <c r="BU8" i="17"/>
  <c r="BU11" i="17"/>
  <c r="BU16" i="17"/>
  <c r="BU21" i="17"/>
  <c r="BU30" i="17"/>
  <c r="BU19" i="17"/>
  <c r="BU28" i="17"/>
  <c r="BU6" i="17"/>
  <c r="BU9" i="17"/>
  <c r="BU14" i="17"/>
  <c r="BU17" i="17"/>
  <c r="BU26" i="17"/>
  <c r="BU24" i="17"/>
  <c r="BU31" i="17"/>
  <c r="CN53" i="17"/>
  <c r="CF53" i="17"/>
  <c r="BX53" i="17"/>
  <c r="BP53" i="17"/>
  <c r="CI52" i="17"/>
  <c r="CA52" i="17"/>
  <c r="BS52" i="17"/>
  <c r="CM51" i="17"/>
  <c r="CE51" i="17"/>
  <c r="BW51" i="17"/>
  <c r="BO51" i="17"/>
  <c r="CH50" i="17"/>
  <c r="BZ50" i="17"/>
  <c r="BR50" i="17"/>
  <c r="CL49" i="17"/>
  <c r="CD49" i="17"/>
  <c r="BV49" i="17"/>
  <c r="CG48" i="17"/>
  <c r="BY48" i="17"/>
  <c r="BQ48" i="17"/>
  <c r="CK47" i="17"/>
  <c r="CC47" i="17"/>
  <c r="BU47" i="17"/>
  <c r="CN46" i="17"/>
  <c r="CF46" i="17"/>
  <c r="BX46" i="17"/>
  <c r="BP46" i="17"/>
  <c r="CJ45" i="17"/>
  <c r="CB45" i="17"/>
  <c r="BT45" i="17"/>
  <c r="CM44" i="17"/>
  <c r="CE44" i="17"/>
  <c r="BW44" i="17"/>
  <c r="BO44" i="17"/>
  <c r="CI43" i="17"/>
  <c r="CA43" i="17"/>
  <c r="BS43" i="17"/>
  <c r="CL42" i="17"/>
  <c r="CD42" i="17"/>
  <c r="BV42" i="17"/>
  <c r="BN42" i="17"/>
  <c r="CH41" i="17"/>
  <c r="BZ41" i="17"/>
  <c r="BR41" i="17"/>
  <c r="CK40" i="17"/>
  <c r="CC40" i="17"/>
  <c r="BU40" i="17"/>
  <c r="CG39" i="17"/>
  <c r="BY39" i="17"/>
  <c r="BQ39" i="17"/>
  <c r="CJ38" i="17"/>
  <c r="CN37" i="17"/>
  <c r="CF37" i="17"/>
  <c r="BX37" i="17"/>
  <c r="BP37" i="17"/>
  <c r="CI36" i="17"/>
  <c r="CA36" i="17"/>
  <c r="BS36" i="17"/>
  <c r="CM35" i="17"/>
  <c r="CE35" i="17"/>
  <c r="BW35" i="17"/>
  <c r="BO35" i="17"/>
  <c r="CL33" i="17"/>
  <c r="CD33" i="17"/>
  <c r="BV33" i="17"/>
  <c r="CG32" i="17"/>
  <c r="BY32" i="17"/>
  <c r="BV31" i="17"/>
  <c r="CA30" i="17"/>
  <c r="CK29" i="17"/>
  <c r="CL28" i="17"/>
  <c r="CE26" i="17"/>
  <c r="CL24" i="17"/>
  <c r="BP19" i="17"/>
  <c r="BW17" i="17"/>
  <c r="BU15" i="17"/>
  <c r="BS13" i="17"/>
  <c r="CI10" i="17"/>
  <c r="CG8" i="17"/>
  <c r="CE6" i="17"/>
  <c r="CH4" i="17"/>
  <c r="CH8" i="17"/>
  <c r="CH11" i="17"/>
  <c r="CH16" i="17"/>
  <c r="CH21" i="17"/>
  <c r="CH30" i="17"/>
  <c r="CH19" i="17"/>
  <c r="CH28" i="17"/>
  <c r="CH6" i="17"/>
  <c r="CH9" i="17"/>
  <c r="CH14" i="17"/>
  <c r="CH17" i="17"/>
  <c r="CH26" i="17"/>
  <c r="CH24" i="17"/>
  <c r="CH31" i="17"/>
  <c r="CH7" i="17"/>
  <c r="CH12" i="17"/>
  <c r="CH15" i="17"/>
  <c r="CH22" i="17"/>
  <c r="CH29" i="17"/>
  <c r="CH20" i="17"/>
  <c r="CH5" i="17"/>
  <c r="CH10" i="17"/>
  <c r="CH13" i="17"/>
  <c r="CH18" i="17"/>
  <c r="CH25" i="17"/>
  <c r="BZ4" i="17"/>
  <c r="BZ8" i="17"/>
  <c r="BZ11" i="17"/>
  <c r="BZ16" i="17"/>
  <c r="BZ21" i="17"/>
  <c r="BZ30" i="17"/>
  <c r="BZ19" i="17"/>
  <c r="BZ28" i="17"/>
  <c r="BZ6" i="17"/>
  <c r="BZ9" i="17"/>
  <c r="BZ14" i="17"/>
  <c r="BZ17" i="17"/>
  <c r="BZ26" i="17"/>
  <c r="BZ24" i="17"/>
  <c r="BZ31" i="17"/>
  <c r="BZ7" i="17"/>
  <c r="BZ12" i="17"/>
  <c r="BZ15" i="17"/>
  <c r="BZ22" i="17"/>
  <c r="BZ29" i="17"/>
  <c r="BZ20" i="17"/>
  <c r="BZ5" i="17"/>
  <c r="BZ10" i="17"/>
  <c r="BZ13" i="17"/>
  <c r="BZ18" i="17"/>
  <c r="BZ25" i="17"/>
  <c r="BR4" i="17"/>
  <c r="BR8" i="17"/>
  <c r="BR11" i="17"/>
  <c r="BR16" i="17"/>
  <c r="BR21" i="17"/>
  <c r="BR30" i="17"/>
  <c r="BR19" i="17"/>
  <c r="BR28" i="17"/>
  <c r="BR6" i="17"/>
  <c r="BR9" i="17"/>
  <c r="BR14" i="17"/>
  <c r="BR17" i="17"/>
  <c r="BR26" i="17"/>
  <c r="BR24" i="17"/>
  <c r="BR31" i="17"/>
  <c r="BR7" i="17"/>
  <c r="BR12" i="17"/>
  <c r="BR15" i="17"/>
  <c r="BR22" i="17"/>
  <c r="BR29" i="17"/>
  <c r="BR20" i="17"/>
  <c r="BR5" i="17"/>
  <c r="BR10" i="17"/>
  <c r="BR13" i="17"/>
  <c r="BR18" i="17"/>
  <c r="BR25" i="17"/>
  <c r="CH40" i="17"/>
  <c r="CJ4" i="17"/>
  <c r="CJ5" i="17"/>
  <c r="CJ10" i="17"/>
  <c r="CJ13" i="17"/>
  <c r="CJ18" i="17"/>
  <c r="CJ25" i="17"/>
  <c r="CJ23" i="17"/>
  <c r="CJ8" i="17"/>
  <c r="CJ11" i="17"/>
  <c r="CJ16" i="17"/>
  <c r="CJ21" i="17"/>
  <c r="CJ30" i="17"/>
  <c r="CJ19" i="17"/>
  <c r="CJ28" i="17"/>
  <c r="CJ6" i="17"/>
  <c r="CJ9" i="17"/>
  <c r="CJ14" i="17"/>
  <c r="CJ17" i="17"/>
  <c r="CJ26" i="17"/>
  <c r="CJ24" i="17"/>
  <c r="CJ7" i="17"/>
  <c r="CJ12" i="17"/>
  <c r="CJ15" i="17"/>
  <c r="CJ22" i="17"/>
  <c r="CJ29" i="17"/>
  <c r="CB4" i="17"/>
  <c r="CB5" i="17"/>
  <c r="CB10" i="17"/>
  <c r="CB13" i="17"/>
  <c r="CB18" i="17"/>
  <c r="CB25" i="17"/>
  <c r="CB23" i="17"/>
  <c r="CB8" i="17"/>
  <c r="CB11" i="17"/>
  <c r="CB16" i="17"/>
  <c r="CB21" i="17"/>
  <c r="CB30" i="17"/>
  <c r="CB19" i="17"/>
  <c r="CB28" i="17"/>
  <c r="CB6" i="17"/>
  <c r="CB9" i="17"/>
  <c r="CB14" i="17"/>
  <c r="CB17" i="17"/>
  <c r="CB26" i="17"/>
  <c r="CB24" i="17"/>
  <c r="CB7" i="17"/>
  <c r="CB12" i="17"/>
  <c r="CB15" i="17"/>
  <c r="CB22" i="17"/>
  <c r="CB29" i="17"/>
  <c r="BT4" i="17"/>
  <c r="BT5" i="17"/>
  <c r="BT10" i="17"/>
  <c r="BT13" i="17"/>
  <c r="BT18" i="17"/>
  <c r="BT25" i="17"/>
  <c r="BT23" i="17"/>
  <c r="BT8" i="17"/>
  <c r="BT11" i="17"/>
  <c r="BT16" i="17"/>
  <c r="BT21" i="17"/>
  <c r="BT30" i="17"/>
  <c r="BT19" i="17"/>
  <c r="BT28" i="17"/>
  <c r="BT6" i="17"/>
  <c r="BT9" i="17"/>
  <c r="BT14" i="17"/>
  <c r="BT17" i="17"/>
  <c r="BT26" i="17"/>
  <c r="BT24" i="17"/>
  <c r="BT7" i="17"/>
  <c r="BT12" i="17"/>
  <c r="BT15" i="17"/>
  <c r="BT22" i="17"/>
  <c r="BT29" i="17"/>
  <c r="CH52" i="17"/>
  <c r="BZ52" i="17"/>
  <c r="BR52" i="17"/>
  <c r="CN48" i="17"/>
  <c r="CF48" i="17"/>
  <c r="BX48" i="17"/>
  <c r="BP48" i="17"/>
  <c r="CJ47" i="17"/>
  <c r="CB47" i="17"/>
  <c r="BT47" i="17"/>
  <c r="CM46" i="17"/>
  <c r="CE46" i="17"/>
  <c r="BW46" i="17"/>
  <c r="BO46" i="17"/>
  <c r="CI45" i="17"/>
  <c r="CA45" i="17"/>
  <c r="BS45" i="17"/>
  <c r="CL44" i="17"/>
  <c r="CD44" i="17"/>
  <c r="BV44" i="17"/>
  <c r="BN44" i="17"/>
  <c r="CH43" i="17"/>
  <c r="BZ43" i="17"/>
  <c r="BR43" i="17"/>
  <c r="CK42" i="17"/>
  <c r="CC42" i="17"/>
  <c r="BU42" i="17"/>
  <c r="CG41" i="17"/>
  <c r="BY41" i="17"/>
  <c r="BQ41" i="17"/>
  <c r="CJ40" i="17"/>
  <c r="CB40" i="17"/>
  <c r="BT40" i="17"/>
  <c r="CN39" i="17"/>
  <c r="CF39" i="17"/>
  <c r="BX39" i="17"/>
  <c r="BP39" i="17"/>
  <c r="CI38" i="17"/>
  <c r="CA38" i="17"/>
  <c r="CM37" i="17"/>
  <c r="CE37" i="17"/>
  <c r="BW37" i="17"/>
  <c r="BO37" i="17"/>
  <c r="CH36" i="17"/>
  <c r="BZ36" i="17"/>
  <c r="BR36" i="17"/>
  <c r="CL35" i="17"/>
  <c r="CD35" i="17"/>
  <c r="BV35" i="17"/>
  <c r="CG34" i="17"/>
  <c r="BY34" i="17"/>
  <c r="BQ34" i="17"/>
  <c r="CK33" i="17"/>
  <c r="CC33" i="17"/>
  <c r="BU33" i="17"/>
  <c r="CN32" i="17"/>
  <c r="CF32" i="17"/>
  <c r="BX32" i="17"/>
  <c r="CN31" i="17"/>
  <c r="BT31" i="17"/>
  <c r="BY30" i="17"/>
  <c r="CF28" i="17"/>
  <c r="CH27" i="17"/>
  <c r="BW26" i="17"/>
  <c r="CD24" i="17"/>
  <c r="CK22" i="17"/>
  <c r="CJ20" i="17"/>
  <c r="BO17" i="17"/>
  <c r="CM14" i="17"/>
  <c r="CK12" i="17"/>
  <c r="BY8" i="17"/>
  <c r="BW6" i="17"/>
  <c r="BR47" i="17"/>
  <c r="CI4" i="17"/>
  <c r="CI23" i="17"/>
  <c r="CI8" i="17"/>
  <c r="CI11" i="17"/>
  <c r="CI16" i="17"/>
  <c r="CI21" i="17"/>
  <c r="CI19" i="17"/>
  <c r="CI28" i="17"/>
  <c r="CI6" i="17"/>
  <c r="CI9" i="17"/>
  <c r="CI14" i="17"/>
  <c r="CI17" i="17"/>
  <c r="CI26" i="17"/>
  <c r="CI24" i="17"/>
  <c r="CI31" i="17"/>
  <c r="CI7" i="17"/>
  <c r="CI12" i="17"/>
  <c r="CI15" i="17"/>
  <c r="CI22" i="17"/>
  <c r="CI20" i="17"/>
  <c r="CI27" i="17"/>
  <c r="CA4" i="17"/>
  <c r="CA23" i="17"/>
  <c r="CA8" i="17"/>
  <c r="CA11" i="17"/>
  <c r="CA16" i="17"/>
  <c r="CA21" i="17"/>
  <c r="CA19" i="17"/>
  <c r="CA28" i="17"/>
  <c r="CA6" i="17"/>
  <c r="CA9" i="17"/>
  <c r="CA14" i="17"/>
  <c r="CA17" i="17"/>
  <c r="CA26" i="17"/>
  <c r="CA24" i="17"/>
  <c r="CA31" i="17"/>
  <c r="CA7" i="17"/>
  <c r="CA12" i="17"/>
  <c r="CA15" i="17"/>
  <c r="CA22" i="17"/>
  <c r="CA20" i="17"/>
  <c r="CA27" i="17"/>
  <c r="BS4" i="17"/>
  <c r="BS23" i="17"/>
  <c r="BS32" i="17"/>
  <c r="BS8" i="17"/>
  <c r="BS11" i="17"/>
  <c r="BS16" i="17"/>
  <c r="BS21" i="17"/>
  <c r="BS19" i="17"/>
  <c r="BS28" i="17"/>
  <c r="BS6" i="17"/>
  <c r="BS9" i="17"/>
  <c r="BS14" i="17"/>
  <c r="BS17" i="17"/>
  <c r="BS26" i="17"/>
  <c r="BS24" i="17"/>
  <c r="BS31" i="17"/>
  <c r="BS7" i="17"/>
  <c r="BS12" i="17"/>
  <c r="BS15" i="17"/>
  <c r="BS22" i="17"/>
  <c r="BS20" i="17"/>
  <c r="BS27" i="17"/>
  <c r="CN50" i="17"/>
  <c r="CF50" i="17"/>
  <c r="BX50" i="17"/>
  <c r="BP50" i="17"/>
  <c r="CJ49" i="17"/>
  <c r="CB49" i="17"/>
  <c r="BT49" i="17"/>
  <c r="CM48" i="17"/>
  <c r="CE48" i="17"/>
  <c r="BW48" i="17"/>
  <c r="BO48" i="17"/>
  <c r="CI47" i="17"/>
  <c r="CA47" i="17"/>
  <c r="BS47" i="17"/>
  <c r="CL46" i="17"/>
  <c r="CD46" i="17"/>
  <c r="BV46" i="17"/>
  <c r="BN46" i="17"/>
  <c r="CH45" i="17"/>
  <c r="BZ45" i="17"/>
  <c r="BR45" i="17"/>
  <c r="CK44" i="17"/>
  <c r="CC44" i="17"/>
  <c r="BU44" i="17"/>
  <c r="CG43" i="17"/>
  <c r="BY43" i="17"/>
  <c r="BQ43" i="17"/>
  <c r="CJ42" i="17"/>
  <c r="CB42" i="17"/>
  <c r="BT42" i="17"/>
  <c r="CN41" i="17"/>
  <c r="CF41" i="17"/>
  <c r="BX41" i="17"/>
  <c r="BP41" i="17"/>
  <c r="CI40" i="17"/>
  <c r="CA40" i="17"/>
  <c r="BS40" i="17"/>
  <c r="CM39" i="17"/>
  <c r="CE39" i="17"/>
  <c r="BW39" i="17"/>
  <c r="BO39" i="17"/>
  <c r="CH38" i="17"/>
  <c r="BZ38" i="17"/>
  <c r="BR38" i="17"/>
  <c r="CL37" i="17"/>
  <c r="CD37" i="17"/>
  <c r="BV37" i="17"/>
  <c r="CG36" i="17"/>
  <c r="BY36" i="17"/>
  <c r="BQ36" i="17"/>
  <c r="CK35" i="17"/>
  <c r="CC35" i="17"/>
  <c r="BU35" i="17"/>
  <c r="CN34" i="17"/>
  <c r="CF34" i="17"/>
  <c r="BX34" i="17"/>
  <c r="BP34" i="17"/>
  <c r="CJ33" i="17"/>
  <c r="CB33" i="17"/>
  <c r="BT33" i="17"/>
  <c r="CM32" i="17"/>
  <c r="CE32" i="17"/>
  <c r="BW32" i="17"/>
  <c r="CL31" i="17"/>
  <c r="BP31" i="17"/>
  <c r="BW30" i="17"/>
  <c r="CC29" i="17"/>
  <c r="CD28" i="17"/>
  <c r="CB27" i="17"/>
  <c r="BO26" i="17"/>
  <c r="BV24" i="17"/>
  <c r="CC22" i="17"/>
  <c r="CB20" i="17"/>
  <c r="CI18" i="17"/>
  <c r="CG16" i="17"/>
  <c r="CE14" i="17"/>
  <c r="CC12" i="17"/>
  <c r="BS10" i="17"/>
  <c r="BQ8" i="17"/>
  <c r="BO6" i="17"/>
  <c r="BN4" i="17"/>
  <c r="BN53" i="17"/>
  <c r="BN51" i="17"/>
  <c r="BN49" i="17"/>
  <c r="BN47" i="17"/>
  <c r="BN45" i="17"/>
  <c r="BN43" i="17"/>
  <c r="BN41" i="17"/>
  <c r="BN39" i="17"/>
  <c r="BN37" i="17"/>
  <c r="BN35" i="17"/>
  <c r="BN33" i="17"/>
  <c r="BN31" i="17"/>
  <c r="BN29" i="17"/>
  <c r="BN27" i="17"/>
  <c r="BN25" i="17"/>
  <c r="BN23" i="17"/>
  <c r="BN21" i="17"/>
  <c r="BN19" i="17"/>
  <c r="BN17" i="17"/>
  <c r="BN15" i="17"/>
  <c r="BN13" i="17"/>
  <c r="BN11" i="17"/>
  <c r="BN9" i="17"/>
  <c r="BN7" i="17"/>
  <c r="BM17" i="17"/>
  <c r="BM15" i="17"/>
  <c r="BM13" i="17"/>
  <c r="BM11" i="17"/>
  <c r="BM9" i="17"/>
  <c r="BM7" i="17"/>
  <c r="BM5" i="17"/>
  <c r="BA47" i="17"/>
  <c r="AS47" i="17"/>
  <c r="AK47" i="17"/>
  <c r="BA31" i="17"/>
  <c r="BA30" i="17"/>
  <c r="BA29" i="17"/>
  <c r="BA28" i="17"/>
  <c r="BA27" i="17"/>
  <c r="BA26" i="17"/>
  <c r="AS25" i="17"/>
  <c r="AS24" i="17"/>
  <c r="AK23" i="17"/>
  <c r="AK22" i="17"/>
  <c r="AK21" i="17"/>
  <c r="AK20" i="17"/>
  <c r="AK19" i="17"/>
  <c r="AK18" i="17"/>
  <c r="AK13" i="17"/>
  <c r="AS12" i="17"/>
  <c r="AS11" i="17"/>
  <c r="AS10" i="17"/>
  <c r="AS9" i="17"/>
  <c r="AS8" i="17"/>
  <c r="BA7" i="17"/>
  <c r="BA52" i="17"/>
  <c r="AS52" i="17"/>
  <c r="AK52" i="17"/>
  <c r="BA44" i="17"/>
  <c r="AS44" i="17"/>
  <c r="AK44" i="17"/>
  <c r="AK41" i="17"/>
  <c r="BA25" i="17"/>
  <c r="BA24" i="17"/>
  <c r="AS23" i="17"/>
  <c r="AS22" i="17"/>
  <c r="AS21" i="17"/>
  <c r="AS20" i="17"/>
  <c r="AS19" i="17"/>
  <c r="AS18" i="17"/>
  <c r="AK17" i="17"/>
  <c r="AK16" i="17"/>
  <c r="AK15" i="17"/>
  <c r="AK14" i="17"/>
  <c r="AS13" i="17"/>
  <c r="BA12" i="17"/>
  <c r="BA11" i="17"/>
  <c r="BA10" i="17"/>
  <c r="BA9" i="17"/>
  <c r="BA8" i="17"/>
  <c r="BA49" i="17"/>
  <c r="AS49" i="17"/>
  <c r="AK49" i="17"/>
  <c r="BA41" i="17"/>
  <c r="AS41" i="17"/>
  <c r="BA23" i="17"/>
  <c r="BA22" i="17"/>
  <c r="BA21" i="17"/>
  <c r="BA20" i="17"/>
  <c r="BA19" i="17"/>
  <c r="BA18" i="17"/>
  <c r="AS17" i="17"/>
  <c r="AS16" i="17"/>
  <c r="AS15" i="17"/>
  <c r="AS14" i="17"/>
  <c r="BA13" i="17"/>
  <c r="BA46" i="17"/>
  <c r="AS46" i="17"/>
  <c r="AK46" i="17"/>
  <c r="AK40" i="17"/>
  <c r="BA17" i="17"/>
  <c r="BA16" i="17"/>
  <c r="BA15" i="17"/>
  <c r="BA14" i="17"/>
  <c r="BA4" i="17"/>
  <c r="AS4" i="17"/>
  <c r="AK4" i="17"/>
  <c r="BA51" i="17"/>
  <c r="AS51" i="17"/>
  <c r="AK51" i="17"/>
  <c r="BA43" i="17"/>
  <c r="AS43" i="17"/>
  <c r="AK43" i="17"/>
  <c r="AS40" i="17"/>
  <c r="AK39" i="17"/>
  <c r="AK38" i="17"/>
  <c r="AK37" i="17"/>
  <c r="AK36" i="17"/>
  <c r="AK35" i="17"/>
  <c r="AK34" i="17"/>
  <c r="AL6" i="17"/>
  <c r="AT5" i="17"/>
  <c r="AK5" i="17"/>
  <c r="BA48" i="17"/>
  <c r="AS48" i="17"/>
  <c r="AK48" i="17"/>
  <c r="BA40" i="17"/>
  <c r="AS39" i="17"/>
  <c r="AS38" i="17"/>
  <c r="AS37" i="17"/>
  <c r="AS36" i="17"/>
  <c r="AS35" i="17"/>
  <c r="AS34" i="17"/>
  <c r="AK33" i="17"/>
  <c r="AK32" i="17"/>
  <c r="AK6" i="17"/>
  <c r="AS5" i="17"/>
  <c r="BA53" i="17"/>
  <c r="AS53" i="17"/>
  <c r="AK53" i="17"/>
  <c r="BA45" i="17"/>
  <c r="AS45" i="17"/>
  <c r="AK45" i="17"/>
  <c r="BA39" i="17"/>
  <c r="BA38" i="17"/>
  <c r="BA37" i="17"/>
  <c r="BA36" i="17"/>
  <c r="BA35" i="17"/>
  <c r="BA34" i="17"/>
  <c r="AS33" i="17"/>
  <c r="AS32" i="17"/>
  <c r="AK31" i="17"/>
  <c r="AK30" i="17"/>
  <c r="AK29" i="17"/>
  <c r="AK28" i="17"/>
  <c r="AK27" i="17"/>
  <c r="AK26" i="17"/>
  <c r="AH53" i="17"/>
  <c r="AH51" i="17"/>
  <c r="AH49" i="17"/>
  <c r="AH47" i="17"/>
  <c r="AH45" i="17"/>
  <c r="AH43" i="17"/>
  <c r="AH33" i="17"/>
  <c r="AH25" i="17"/>
  <c r="AH17" i="17"/>
  <c r="AG10" i="17"/>
  <c r="AH9" i="17"/>
  <c r="AH39" i="17"/>
  <c r="AH31" i="17"/>
  <c r="AH23" i="17"/>
  <c r="AG16" i="17"/>
  <c r="AH15" i="17"/>
  <c r="AG8" i="17"/>
  <c r="AH7" i="17"/>
  <c r="AH38" i="17"/>
  <c r="AH30" i="17"/>
  <c r="AH22" i="17"/>
  <c r="AH14" i="17"/>
  <c r="AG7" i="17"/>
  <c r="AH6" i="17"/>
  <c r="AH8" i="17"/>
  <c r="AH52" i="17"/>
  <c r="AH50" i="17"/>
  <c r="AH48" i="17"/>
  <c r="AH46" i="17"/>
  <c r="AH44" i="17"/>
  <c r="AH42" i="17"/>
  <c r="AH37" i="17"/>
  <c r="AH29" i="17"/>
  <c r="AH21" i="17"/>
  <c r="AG14" i="17"/>
  <c r="AH13" i="17"/>
  <c r="AG6" i="17"/>
  <c r="AH5" i="17"/>
  <c r="AH4" i="17"/>
  <c r="AH36" i="17"/>
  <c r="AH28" i="17"/>
  <c r="AH20" i="17"/>
  <c r="AG13" i="17"/>
  <c r="AH12" i="17"/>
  <c r="AH35" i="17"/>
  <c r="AH27" i="17"/>
  <c r="AH19" i="17"/>
  <c r="AJ59" i="17"/>
  <c r="AJ108" i="17"/>
  <c r="AJ107" i="17"/>
  <c r="AJ106" i="17"/>
  <c r="AR105" i="17"/>
  <c r="AZ104" i="17"/>
  <c r="BH103" i="17"/>
  <c r="BH102" i="17"/>
  <c r="AJ95" i="17"/>
  <c r="AJ94" i="17"/>
  <c r="AR93" i="17"/>
  <c r="AR92" i="17"/>
  <c r="AZ91" i="17"/>
  <c r="AZ90" i="17"/>
  <c r="BH89" i="17"/>
  <c r="AJ79" i="17"/>
  <c r="AJ78" i="17"/>
  <c r="AR77" i="17"/>
  <c r="AR76" i="17"/>
  <c r="AZ75" i="17"/>
  <c r="AZ74" i="17"/>
  <c r="BH73" i="17"/>
  <c r="AJ66" i="17"/>
  <c r="AR65" i="17"/>
  <c r="AZ64" i="17"/>
  <c r="BH63" i="17"/>
  <c r="AP63" i="17"/>
  <c r="BH62" i="17"/>
  <c r="AX61" i="17"/>
  <c r="AR59" i="17"/>
  <c r="AR108" i="17"/>
  <c r="AR107" i="17"/>
  <c r="AR106" i="17"/>
  <c r="AZ105" i="17"/>
  <c r="BH104" i="17"/>
  <c r="AJ96" i="17"/>
  <c r="AR95" i="17"/>
  <c r="AR94" i="17"/>
  <c r="AZ93" i="17"/>
  <c r="AZ92" i="17"/>
  <c r="BH91" i="17"/>
  <c r="BH90" i="17"/>
  <c r="AJ80" i="17"/>
  <c r="AR79" i="17"/>
  <c r="AR78" i="17"/>
  <c r="AZ77" i="17"/>
  <c r="AZ76" i="17"/>
  <c r="BH75" i="17"/>
  <c r="BH74" i="17"/>
  <c r="AJ67" i="17"/>
  <c r="AR66" i="17"/>
  <c r="AZ65" i="17"/>
  <c r="BH64" i="17"/>
  <c r="AZ59" i="17"/>
  <c r="AH59" i="17"/>
  <c r="AZ108" i="17"/>
  <c r="AH108" i="17"/>
  <c r="AZ107" i="17"/>
  <c r="AZ106" i="17"/>
  <c r="BH105" i="17"/>
  <c r="AJ97" i="17"/>
  <c r="AR96" i="17"/>
  <c r="AZ95" i="17"/>
  <c r="AZ94" i="17"/>
  <c r="BH93" i="17"/>
  <c r="BH92" i="17"/>
  <c r="AJ81" i="17"/>
  <c r="AR80" i="17"/>
  <c r="AZ79" i="17"/>
  <c r="AZ78" i="17"/>
  <c r="BH77" i="17"/>
  <c r="BH76" i="17"/>
  <c r="AJ69" i="17"/>
  <c r="AJ68" i="17"/>
  <c r="AR67" i="17"/>
  <c r="AZ66" i="17"/>
  <c r="BH65" i="17"/>
  <c r="BH59" i="17"/>
  <c r="BH108" i="17"/>
  <c r="BH107" i="17"/>
  <c r="BH106" i="17"/>
  <c r="AJ99" i="17"/>
  <c r="AJ98" i="17"/>
  <c r="AR97" i="17"/>
  <c r="AZ96" i="17"/>
  <c r="BH95" i="17"/>
  <c r="BH94" i="17"/>
  <c r="AJ87" i="17"/>
  <c r="AJ86" i="17"/>
  <c r="AJ85" i="17"/>
  <c r="AJ84" i="17"/>
  <c r="AJ83" i="17"/>
  <c r="AJ82" i="17"/>
  <c r="AR81" i="17"/>
  <c r="AZ80" i="17"/>
  <c r="BH79" i="17"/>
  <c r="BH78" i="17"/>
  <c r="AJ71" i="17"/>
  <c r="AJ70" i="17"/>
  <c r="AR69" i="17"/>
  <c r="AR68" i="17"/>
  <c r="AZ67" i="17"/>
  <c r="BH66" i="17"/>
  <c r="BH60" i="17"/>
  <c r="AJ101" i="17"/>
  <c r="AJ100" i="17"/>
  <c r="AR99" i="17"/>
  <c r="AR98" i="17"/>
  <c r="AZ97" i="17"/>
  <c r="BH96" i="17"/>
  <c r="AJ88" i="17"/>
  <c r="AR87" i="17"/>
  <c r="AR86" i="17"/>
  <c r="AR85" i="17"/>
  <c r="AR84" i="17"/>
  <c r="AR83" i="17"/>
  <c r="AR82" i="17"/>
  <c r="AZ81" i="17"/>
  <c r="BH80" i="17"/>
  <c r="AJ72" i="17"/>
  <c r="AR71" i="17"/>
  <c r="AR70" i="17"/>
  <c r="AZ69" i="17"/>
  <c r="AZ68" i="17"/>
  <c r="BH67" i="17"/>
  <c r="AJ61" i="17"/>
  <c r="AJ60" i="17"/>
  <c r="BH61" i="17"/>
  <c r="AJ103" i="17"/>
  <c r="AJ102" i="17"/>
  <c r="AR101" i="17"/>
  <c r="AR100" i="17"/>
  <c r="AZ99" i="17"/>
  <c r="AZ98" i="17"/>
  <c r="BH97" i="17"/>
  <c r="AJ89" i="17"/>
  <c r="AR88" i="17"/>
  <c r="AZ87" i="17"/>
  <c r="AZ86" i="17"/>
  <c r="AH86" i="17"/>
  <c r="AZ85" i="17"/>
  <c r="AZ84" i="17"/>
  <c r="AZ83" i="17"/>
  <c r="AZ82" i="17"/>
  <c r="BH81" i="17"/>
  <c r="AJ73" i="17"/>
  <c r="AR72" i="17"/>
  <c r="AZ71" i="17"/>
  <c r="AZ70" i="17"/>
  <c r="BH69" i="17"/>
  <c r="BH68" i="17"/>
  <c r="AJ63" i="17"/>
  <c r="AJ62" i="17"/>
  <c r="AR61" i="17"/>
  <c r="AR60" i="17"/>
  <c r="AJ104" i="17"/>
  <c r="AR103" i="17"/>
  <c r="AR102" i="17"/>
  <c r="AZ101" i="17"/>
  <c r="AZ100" i="17"/>
  <c r="BH99" i="17"/>
  <c r="BH98" i="17"/>
  <c r="AJ91" i="17"/>
  <c r="AJ90" i="17"/>
  <c r="AR89" i="17"/>
  <c r="AZ88" i="17"/>
  <c r="BH87" i="17"/>
  <c r="BH86" i="17"/>
  <c r="BH85" i="17"/>
  <c r="BH84" i="17"/>
  <c r="BH83" i="17"/>
  <c r="BH82" i="17"/>
  <c r="AJ75" i="17"/>
  <c r="AJ74" i="17"/>
  <c r="AR73" i="17"/>
  <c r="AZ72" i="17"/>
  <c r="BH71" i="17"/>
  <c r="AR63" i="17"/>
  <c r="AZ61" i="17"/>
  <c r="AH67" i="17"/>
  <c r="AH75" i="17"/>
  <c r="AH83" i="17"/>
  <c r="AH91" i="17"/>
  <c r="AH99" i="17"/>
  <c r="AH107" i="17"/>
  <c r="AH60" i="17"/>
  <c r="AH68" i="17"/>
  <c r="AH61" i="17"/>
  <c r="AH69" i="17"/>
  <c r="AH77" i="17"/>
  <c r="AH85" i="17"/>
  <c r="AH93" i="17"/>
  <c r="AH101" i="17"/>
  <c r="AH63" i="17"/>
  <c r="AH71" i="17"/>
  <c r="AH79" i="17"/>
  <c r="AH87" i="17"/>
  <c r="AH95" i="17"/>
  <c r="AH103" i="17"/>
  <c r="AH64" i="17"/>
  <c r="AH72" i="17"/>
  <c r="AH80" i="17"/>
  <c r="AH88" i="17"/>
  <c r="AH96" i="17"/>
  <c r="AH104" i="17"/>
  <c r="AH66" i="17"/>
  <c r="AH74" i="17"/>
  <c r="AH82" i="17"/>
  <c r="AH90" i="17"/>
  <c r="AH106" i="17"/>
  <c r="AH65" i="17"/>
  <c r="AH73" i="17"/>
  <c r="AH81" i="17"/>
  <c r="AH89" i="17"/>
  <c r="AH97" i="17"/>
  <c r="AH105" i="17"/>
  <c r="AH98" i="17"/>
  <c r="AH102" i="17"/>
  <c r="AH100" i="17"/>
  <c r="AH70" i="17"/>
  <c r="AH94" i="17"/>
  <c r="AH92" i="17"/>
  <c r="AH78" i="17"/>
  <c r="AH76" i="17"/>
  <c r="AH62" i="17"/>
  <c r="AG106" i="17"/>
  <c r="AG98" i="17"/>
  <c r="AG90" i="17"/>
  <c r="AG82" i="17"/>
  <c r="AG74" i="17"/>
  <c r="AG66" i="17"/>
  <c r="AG105" i="17"/>
  <c r="AG97" i="17"/>
  <c r="AG89" i="17"/>
  <c r="AG81" i="17"/>
  <c r="AG73" i="17"/>
  <c r="AG65" i="17"/>
  <c r="AG67" i="17"/>
  <c r="AG104" i="17"/>
  <c r="AG96" i="17"/>
  <c r="AG88" i="17"/>
  <c r="AG80" i="17"/>
  <c r="AG72" i="17"/>
  <c r="AG64" i="17"/>
  <c r="AG102" i="17"/>
  <c r="AG94" i="17"/>
  <c r="AG86" i="17"/>
  <c r="AG78" i="17"/>
  <c r="AG70" i="17"/>
  <c r="AG62" i="17"/>
  <c r="AG108" i="17"/>
  <c r="AG100" i="17"/>
  <c r="AG92" i="17"/>
  <c r="AG84" i="17"/>
  <c r="AG76" i="17"/>
  <c r="AG68" i="17"/>
  <c r="AO61" i="17"/>
  <c r="AO63" i="17"/>
  <c r="AO65" i="17"/>
  <c r="AO67" i="17"/>
  <c r="AO69" i="17"/>
  <c r="AO71" i="17"/>
  <c r="AO73" i="17"/>
  <c r="AO75" i="17"/>
  <c r="AO77" i="17"/>
  <c r="AO79" i="17"/>
  <c r="AO81" i="17"/>
  <c r="AO83" i="17"/>
  <c r="AO85" i="17"/>
  <c r="AO87" i="17"/>
  <c r="AO89" i="17"/>
  <c r="AO91" i="17"/>
  <c r="AO93" i="17"/>
  <c r="AO95" i="17"/>
  <c r="AO97" i="17"/>
  <c r="AO99" i="17"/>
  <c r="AO101" i="17"/>
  <c r="AO103" i="17"/>
  <c r="AO105" i="17"/>
  <c r="AO107" i="17"/>
  <c r="AO60" i="17"/>
  <c r="AO62" i="17"/>
  <c r="AO64" i="17"/>
  <c r="AO66" i="17"/>
  <c r="AO68" i="17"/>
  <c r="AO70" i="17"/>
  <c r="AO72" i="17"/>
  <c r="AO74" i="17"/>
  <c r="AO76" i="17"/>
  <c r="AO78" i="17"/>
  <c r="AO80" i="17"/>
  <c r="AO82" i="17"/>
  <c r="AO84" i="17"/>
  <c r="AO86" i="17"/>
  <c r="AO88" i="17"/>
  <c r="AO90" i="17"/>
  <c r="AO92" i="17"/>
  <c r="AO94" i="17"/>
  <c r="AO96" i="17"/>
  <c r="AO98" i="17"/>
  <c r="AO100" i="17"/>
  <c r="AO102" i="17"/>
  <c r="AO104" i="17"/>
  <c r="AO106" i="17"/>
  <c r="AO108" i="17"/>
  <c r="BE61" i="17"/>
  <c r="BE63" i="17"/>
  <c r="BE65" i="17"/>
  <c r="BE67" i="17"/>
  <c r="BE69" i="17"/>
  <c r="BE71" i="17"/>
  <c r="BE73" i="17"/>
  <c r="BE75" i="17"/>
  <c r="BE77" i="17"/>
  <c r="BE79" i="17"/>
  <c r="BE81" i="17"/>
  <c r="BE83" i="17"/>
  <c r="BE85" i="17"/>
  <c r="BE87" i="17"/>
  <c r="BE89" i="17"/>
  <c r="BE91" i="17"/>
  <c r="BE93" i="17"/>
  <c r="BE95" i="17"/>
  <c r="BE97" i="17"/>
  <c r="BE99" i="17"/>
  <c r="BE101" i="17"/>
  <c r="BE103" i="17"/>
  <c r="BE105" i="17"/>
  <c r="BE107" i="17"/>
  <c r="BE60" i="17"/>
  <c r="BE62" i="17"/>
  <c r="BE64" i="17"/>
  <c r="BE66" i="17"/>
  <c r="BE68" i="17"/>
  <c r="BE70" i="17"/>
  <c r="BE72" i="17"/>
  <c r="BE74" i="17"/>
  <c r="BE76" i="17"/>
  <c r="BE78" i="17"/>
  <c r="BE80" i="17"/>
  <c r="BE82" i="17"/>
  <c r="BE84" i="17"/>
  <c r="BE86" i="17"/>
  <c r="BE88" i="17"/>
  <c r="BE90" i="17"/>
  <c r="BE92" i="17"/>
  <c r="BE94" i="17"/>
  <c r="BE96" i="17"/>
  <c r="BE98" i="17"/>
  <c r="BE100" i="17"/>
  <c r="BE102" i="17"/>
  <c r="BE104" i="17"/>
  <c r="BE106" i="17"/>
  <c r="BE108" i="17"/>
  <c r="AW61" i="17"/>
  <c r="AW63" i="17"/>
  <c r="AW65" i="17"/>
  <c r="AW67" i="17"/>
  <c r="AW69" i="17"/>
  <c r="AW71" i="17"/>
  <c r="AW73" i="17"/>
  <c r="AW75" i="17"/>
  <c r="AW77" i="17"/>
  <c r="AW79" i="17"/>
  <c r="AW81" i="17"/>
  <c r="AW83" i="17"/>
  <c r="AW85" i="17"/>
  <c r="AW87" i="17"/>
  <c r="AW89" i="17"/>
  <c r="AW91" i="17"/>
  <c r="AW93" i="17"/>
  <c r="AW95" i="17"/>
  <c r="AW97" i="17"/>
  <c r="AW99" i="17"/>
  <c r="AW101" i="17"/>
  <c r="AW103" i="17"/>
  <c r="AW105" i="17"/>
  <c r="AW107" i="17"/>
  <c r="AW60" i="17"/>
  <c r="AW62" i="17"/>
  <c r="AW64" i="17"/>
  <c r="AW66" i="17"/>
  <c r="AW68" i="17"/>
  <c r="AW70" i="17"/>
  <c r="AW72" i="17"/>
  <c r="AW74" i="17"/>
  <c r="AW76" i="17"/>
  <c r="AW78" i="17"/>
  <c r="AW80" i="17"/>
  <c r="AW82" i="17"/>
  <c r="AW84" i="17"/>
  <c r="AW86" i="17"/>
  <c r="AW88" i="17"/>
  <c r="AW90" i="17"/>
  <c r="AW92" i="17"/>
  <c r="AW94" i="17"/>
  <c r="AW96" i="17"/>
  <c r="AW98" i="17"/>
  <c r="AW100" i="17"/>
  <c r="AW102" i="17"/>
  <c r="AW104" i="17"/>
  <c r="AW106" i="17"/>
  <c r="AW108" i="17"/>
  <c r="BE59" i="17"/>
  <c r="AW59" i="17"/>
  <c r="AO59" i="17"/>
  <c r="AO41" i="17"/>
  <c r="BE39" i="17"/>
  <c r="AW39" i="17"/>
  <c r="AO39" i="17"/>
  <c r="BE37" i="17"/>
  <c r="AW37" i="17"/>
  <c r="AO37" i="17"/>
  <c r="BE35" i="17"/>
  <c r="AW35" i="17"/>
  <c r="AO35" i="17"/>
  <c r="BE33" i="17"/>
  <c r="AW33" i="17"/>
  <c r="AO33" i="17"/>
  <c r="BE31" i="17"/>
  <c r="AW31" i="17"/>
  <c r="AO31" i="17"/>
  <c r="BE29" i="17"/>
  <c r="AW29" i="17"/>
  <c r="AO29" i="17"/>
  <c r="BE27" i="17"/>
  <c r="AW27" i="17"/>
  <c r="AO27" i="17"/>
  <c r="BE25" i="17"/>
  <c r="AW25" i="17"/>
  <c r="AO25" i="17"/>
  <c r="BE23" i="17"/>
  <c r="AW23" i="17"/>
  <c r="AO23" i="17"/>
  <c r="BE21" i="17"/>
  <c r="AW21" i="17"/>
  <c r="AO21" i="17"/>
  <c r="BE19" i="17"/>
  <c r="AW19" i="17"/>
  <c r="AO19" i="17"/>
  <c r="BE17" i="17"/>
  <c r="AW17" i="17"/>
  <c r="AO17" i="17"/>
  <c r="BE15" i="17"/>
  <c r="AW15" i="17"/>
  <c r="AO15" i="17"/>
  <c r="BE13" i="17"/>
  <c r="AW13" i="17"/>
  <c r="AO13" i="17"/>
  <c r="BE11" i="17"/>
  <c r="AW11" i="17"/>
  <c r="AO11" i="17"/>
  <c r="BE9" i="17"/>
  <c r="AW9" i="17"/>
  <c r="AO9" i="17"/>
  <c r="BE7" i="17"/>
  <c r="AW7" i="17"/>
  <c r="AO7" i="17"/>
  <c r="BE5" i="17"/>
  <c r="AW5" i="17"/>
  <c r="AO5" i="17"/>
  <c r="AW40" i="17"/>
  <c r="AO40" i="17"/>
  <c r="BE38" i="17"/>
  <c r="AW38" i="17"/>
  <c r="AO38" i="17"/>
  <c r="BE36" i="17"/>
  <c r="AW36" i="17"/>
  <c r="AO36" i="17"/>
  <c r="BE34" i="17"/>
  <c r="AW34" i="17"/>
  <c r="AO34" i="17"/>
  <c r="BE32" i="17"/>
  <c r="AW32" i="17"/>
  <c r="AO32" i="17"/>
  <c r="BE30" i="17"/>
  <c r="AW30" i="17"/>
  <c r="AO30" i="17"/>
  <c r="BE28" i="17"/>
  <c r="AW28" i="17"/>
  <c r="AO28" i="17"/>
  <c r="BE26" i="17"/>
  <c r="AW26" i="17"/>
  <c r="AO26" i="17"/>
  <c r="BE24" i="17"/>
  <c r="AW24" i="17"/>
  <c r="AO24" i="17"/>
  <c r="BE22" i="17"/>
  <c r="AW22" i="17"/>
  <c r="AO22" i="17"/>
  <c r="BE20" i="17"/>
  <c r="AW20" i="17"/>
  <c r="AO20" i="17"/>
  <c r="BE18" i="17"/>
  <c r="AW18" i="17"/>
  <c r="AO18" i="17"/>
  <c r="BE16" i="17"/>
  <c r="AW16" i="17"/>
  <c r="AO16" i="17"/>
  <c r="BE14" i="17"/>
  <c r="AW14" i="17"/>
  <c r="AO14" i="17"/>
  <c r="BE12" i="17"/>
  <c r="AW12" i="17"/>
  <c r="AO12" i="17"/>
  <c r="BE10" i="17"/>
  <c r="AW10" i="17"/>
  <c r="AO10" i="17"/>
  <c r="BE8" i="17"/>
  <c r="AW8" i="17"/>
  <c r="AO8" i="17"/>
  <c r="AH111" i="17"/>
  <c r="CT58" i="14"/>
  <c r="CU58" i="14"/>
  <c r="CV58" i="14"/>
  <c r="CW58" i="14"/>
  <c r="CX58" i="14"/>
  <c r="CY58" i="14"/>
  <c r="CZ58" i="14"/>
  <c r="DA58" i="14"/>
  <c r="DB58" i="14"/>
  <c r="DC58" i="14"/>
  <c r="DD58" i="14"/>
  <c r="DE58" i="14"/>
  <c r="DF58" i="14"/>
  <c r="DG58" i="14"/>
  <c r="DH58" i="14"/>
  <c r="DI58" i="14"/>
  <c r="DJ58" i="14"/>
  <c r="DK58" i="14"/>
  <c r="DL58" i="14"/>
  <c r="DM58" i="14"/>
  <c r="DN58" i="14"/>
  <c r="DO58" i="14"/>
  <c r="DP58" i="14"/>
  <c r="DQ58" i="14"/>
  <c r="DR58" i="14"/>
  <c r="DS58" i="14"/>
  <c r="DT58" i="14"/>
  <c r="CS58" i="14"/>
  <c r="DY58" i="14"/>
  <c r="DZ58" i="14"/>
  <c r="EA58" i="14"/>
  <c r="EB58" i="14"/>
  <c r="EC58" i="14"/>
  <c r="ED58" i="14"/>
  <c r="EE58" i="14"/>
  <c r="EF58" i="14"/>
  <c r="EG58" i="14"/>
  <c r="EH58" i="14"/>
  <c r="EI58" i="14"/>
  <c r="EJ58" i="14"/>
  <c r="EK58" i="14"/>
  <c r="EL58" i="14"/>
  <c r="EM58" i="14"/>
  <c r="EN58" i="14"/>
  <c r="EO58" i="14"/>
  <c r="EP58" i="14"/>
  <c r="EQ58" i="14"/>
  <c r="ER58" i="14"/>
  <c r="ES58" i="14"/>
  <c r="ET58" i="14"/>
  <c r="EU58" i="14"/>
  <c r="EV58" i="14"/>
  <c r="EW58" i="14"/>
  <c r="EX58" i="14"/>
  <c r="EY58" i="14"/>
  <c r="DX58" i="14"/>
  <c r="J165" i="6"/>
  <c r="K165" i="6"/>
  <c r="L165" i="6"/>
  <c r="M165" i="6"/>
  <c r="N165" i="6"/>
  <c r="O165" i="6"/>
  <c r="P165" i="6"/>
  <c r="Q165" i="6"/>
  <c r="R165" i="6"/>
  <c r="S165" i="6"/>
  <c r="T165" i="6"/>
  <c r="U165" i="6"/>
  <c r="V165" i="6"/>
  <c r="W165" i="6"/>
  <c r="X165" i="6"/>
  <c r="Y165" i="6"/>
  <c r="Z165" i="6"/>
  <c r="AA165" i="6"/>
  <c r="AB165" i="6"/>
  <c r="AC165" i="6"/>
  <c r="AD165" i="6"/>
  <c r="AE165" i="6"/>
  <c r="AF165" i="6"/>
  <c r="AG165" i="6"/>
  <c r="AH165" i="6"/>
  <c r="AI165" i="6"/>
  <c r="AJ165" i="6"/>
  <c r="I165" i="6"/>
  <c r="FD113" i="14"/>
  <c r="FE113" i="14"/>
  <c r="FF113" i="14"/>
  <c r="FG113" i="14"/>
  <c r="FH113" i="14"/>
  <c r="FI113" i="14"/>
  <c r="FJ113" i="14"/>
  <c r="FK113" i="14"/>
  <c r="FL113" i="14"/>
  <c r="FM113" i="14"/>
  <c r="FN113" i="14"/>
  <c r="FO113" i="14"/>
  <c r="FP113" i="14"/>
  <c r="FQ113" i="14"/>
  <c r="FR113" i="14"/>
  <c r="FS113" i="14"/>
  <c r="FT113" i="14"/>
  <c r="FU113" i="14"/>
  <c r="FV113" i="14"/>
  <c r="FW113" i="14"/>
  <c r="FX113" i="14"/>
  <c r="FY113" i="14"/>
  <c r="FZ113" i="14"/>
  <c r="GA113" i="14"/>
  <c r="GB113" i="14"/>
  <c r="GC113" i="14"/>
  <c r="GD113" i="14"/>
  <c r="FC113" i="14"/>
  <c r="BN53" i="11"/>
  <c r="BN56" i="11" s="1"/>
  <c r="BM53" i="11"/>
  <c r="BG2" i="11"/>
  <c r="BN57" i="11" l="1"/>
  <c r="S50" i="13" l="1"/>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G30" i="7" l="1"/>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29" i="7"/>
  <c r="BE2" i="11" l="1"/>
  <c r="BF2" i="11"/>
  <c r="GI7" i="14"/>
  <c r="GI8" i="14"/>
  <c r="GI9" i="14"/>
  <c r="GY9" i="14" s="1"/>
  <c r="GI10" i="14"/>
  <c r="GI11" i="14"/>
  <c r="HI11" i="14" s="1"/>
  <c r="GI12" i="14"/>
  <c r="GI13" i="14"/>
  <c r="GI14" i="14"/>
  <c r="GI15" i="14"/>
  <c r="GI16" i="14"/>
  <c r="GI17" i="14"/>
  <c r="GI18" i="14"/>
  <c r="GI19" i="14"/>
  <c r="GI20" i="14"/>
  <c r="GI21" i="14"/>
  <c r="GI22" i="14"/>
  <c r="GI23" i="14"/>
  <c r="GI24" i="14"/>
  <c r="GU24" i="14" s="1"/>
  <c r="GI25" i="14"/>
  <c r="GI26" i="14"/>
  <c r="GI27" i="14"/>
  <c r="GI28" i="14"/>
  <c r="GI29" i="14"/>
  <c r="GI30" i="14"/>
  <c r="GI31" i="14"/>
  <c r="GV31" i="14" s="1"/>
  <c r="GI32" i="14"/>
  <c r="GI33" i="14"/>
  <c r="GI34" i="14"/>
  <c r="GI35" i="14"/>
  <c r="GI36" i="14"/>
  <c r="GI37" i="14"/>
  <c r="GI38" i="14"/>
  <c r="GI39" i="14"/>
  <c r="GI40" i="14"/>
  <c r="GI41" i="14"/>
  <c r="GI42" i="14"/>
  <c r="GI43" i="14"/>
  <c r="GI44" i="14"/>
  <c r="GI45" i="14"/>
  <c r="GI46" i="14"/>
  <c r="GI47" i="14"/>
  <c r="GI48" i="14"/>
  <c r="GI49" i="14"/>
  <c r="GI50" i="14"/>
  <c r="GI51" i="14"/>
  <c r="GI52" i="14"/>
  <c r="GI53" i="14"/>
  <c r="GI54" i="14"/>
  <c r="GI55" i="14"/>
  <c r="GI6" i="14"/>
  <c r="FC62" i="14"/>
  <c r="FC63" i="14"/>
  <c r="FC64" i="14"/>
  <c r="FC65" i="14"/>
  <c r="FC66" i="14"/>
  <c r="FF66" i="14" s="1"/>
  <c r="FC67" i="14"/>
  <c r="FL67" i="14" s="1"/>
  <c r="FC68" i="14"/>
  <c r="FC69" i="14"/>
  <c r="FC70" i="14"/>
  <c r="FC71" i="14"/>
  <c r="FC72" i="14"/>
  <c r="FC73" i="14"/>
  <c r="FC74" i="14"/>
  <c r="FC75" i="14"/>
  <c r="FT75" i="14" s="1"/>
  <c r="FC76" i="14"/>
  <c r="FC77" i="14"/>
  <c r="FC78" i="14"/>
  <c r="FC79" i="14"/>
  <c r="FC80" i="14"/>
  <c r="FC81" i="14"/>
  <c r="FC82" i="14"/>
  <c r="GA82" i="14" s="1"/>
  <c r="FC83" i="14"/>
  <c r="FC84" i="14"/>
  <c r="FC85" i="14"/>
  <c r="FC86" i="14"/>
  <c r="FC87" i="14"/>
  <c r="FC88" i="14"/>
  <c r="FC89" i="14"/>
  <c r="FC90" i="14"/>
  <c r="FC91" i="14"/>
  <c r="GC91" i="14" s="1"/>
  <c r="FC92" i="14"/>
  <c r="FC93" i="14"/>
  <c r="FC94" i="14"/>
  <c r="FC95" i="14"/>
  <c r="FC96" i="14"/>
  <c r="FC97" i="14"/>
  <c r="FC98" i="14"/>
  <c r="FC99" i="14"/>
  <c r="FC100" i="14"/>
  <c r="FC101" i="14"/>
  <c r="FC102" i="14"/>
  <c r="FC103" i="14"/>
  <c r="FC104" i="14"/>
  <c r="FC105" i="14"/>
  <c r="FC106" i="14"/>
  <c r="FU106" i="14" s="1"/>
  <c r="FC107" i="14"/>
  <c r="FK107" i="14" s="1"/>
  <c r="FC108" i="14"/>
  <c r="FC109" i="14"/>
  <c r="FC110" i="14"/>
  <c r="FN110" i="14" s="1"/>
  <c r="FC7" i="14"/>
  <c r="FC8" i="14"/>
  <c r="FC9" i="14"/>
  <c r="FC10" i="14"/>
  <c r="FC11" i="14"/>
  <c r="FC12" i="14"/>
  <c r="FC13" i="14"/>
  <c r="FC14" i="14"/>
  <c r="FC15" i="14"/>
  <c r="FC16" i="14"/>
  <c r="FC17" i="14"/>
  <c r="FC18" i="14"/>
  <c r="FC19" i="14"/>
  <c r="FC20" i="14"/>
  <c r="FC21" i="14"/>
  <c r="FC22" i="14"/>
  <c r="FC23" i="14"/>
  <c r="FC24" i="14"/>
  <c r="FC25" i="14"/>
  <c r="FC26" i="14"/>
  <c r="FC27" i="14"/>
  <c r="FC28" i="14"/>
  <c r="FC29" i="14"/>
  <c r="FC30" i="14"/>
  <c r="FC31" i="14"/>
  <c r="FC32" i="14"/>
  <c r="FC33" i="14"/>
  <c r="FC34" i="14"/>
  <c r="FC35" i="14"/>
  <c r="FC36" i="14"/>
  <c r="FC37" i="14"/>
  <c r="FC38" i="14"/>
  <c r="FC39" i="14"/>
  <c r="FC40" i="14"/>
  <c r="FC41" i="14"/>
  <c r="FC42" i="14"/>
  <c r="FC43" i="14"/>
  <c r="FC44" i="14"/>
  <c r="FC45" i="14"/>
  <c r="FC46" i="14"/>
  <c r="FC47" i="14"/>
  <c r="FC48" i="14"/>
  <c r="FC49" i="14"/>
  <c r="FC50" i="14"/>
  <c r="FC51" i="14"/>
  <c r="FC52" i="14"/>
  <c r="FC53" i="14"/>
  <c r="FC54" i="14"/>
  <c r="FC55" i="14"/>
  <c r="FC61" i="14"/>
  <c r="FC6" i="14"/>
  <c r="DX62" i="14"/>
  <c r="DX63" i="14"/>
  <c r="DX64" i="14"/>
  <c r="DX65" i="14"/>
  <c r="DX66" i="14"/>
  <c r="DX67" i="14"/>
  <c r="DX68" i="14"/>
  <c r="DX69" i="14"/>
  <c r="DX70" i="14"/>
  <c r="DX71" i="14"/>
  <c r="DX72" i="14"/>
  <c r="DX73" i="14"/>
  <c r="DX74" i="14"/>
  <c r="DX75" i="14"/>
  <c r="DX76" i="14"/>
  <c r="DX77" i="14"/>
  <c r="DX78" i="14"/>
  <c r="DX79" i="14"/>
  <c r="DX80" i="14"/>
  <c r="DX81" i="14"/>
  <c r="DX82" i="14"/>
  <c r="DX83" i="14"/>
  <c r="DX84" i="14"/>
  <c r="DX85" i="14"/>
  <c r="DX86" i="14"/>
  <c r="DX87" i="14"/>
  <c r="DX88" i="14"/>
  <c r="DX89" i="14"/>
  <c r="DX90" i="14"/>
  <c r="DX91" i="14"/>
  <c r="DX92" i="14"/>
  <c r="DX93" i="14"/>
  <c r="DX94" i="14"/>
  <c r="DX95" i="14"/>
  <c r="DX96" i="14"/>
  <c r="DX97" i="14"/>
  <c r="DX98" i="14"/>
  <c r="DX99" i="14"/>
  <c r="DX100" i="14"/>
  <c r="DX101" i="14"/>
  <c r="EI101" i="14" s="1"/>
  <c r="DX102" i="14"/>
  <c r="DX103" i="14"/>
  <c r="DX104" i="14"/>
  <c r="DX105" i="14"/>
  <c r="DX106" i="14"/>
  <c r="DX107" i="14"/>
  <c r="DX108" i="14"/>
  <c r="DX109" i="14"/>
  <c r="DX110" i="14"/>
  <c r="DX61" i="14"/>
  <c r="EH24" i="14"/>
  <c r="EL28" i="14"/>
  <c r="EA6" i="14"/>
  <c r="DX7" i="14"/>
  <c r="DX8" i="14"/>
  <c r="EB8" i="14" s="1"/>
  <c r="DX9" i="14"/>
  <c r="DX10" i="14"/>
  <c r="ET10" i="14" s="1"/>
  <c r="DX11" i="14"/>
  <c r="DX12" i="14"/>
  <c r="EE12" i="14" s="1"/>
  <c r="DX13" i="14"/>
  <c r="DX14" i="14"/>
  <c r="EO14" i="14" s="1"/>
  <c r="DX15" i="14"/>
  <c r="ET15" i="14" s="1"/>
  <c r="DX16" i="14"/>
  <c r="DX17" i="14"/>
  <c r="DX18" i="14"/>
  <c r="DX19" i="14"/>
  <c r="DX20" i="14"/>
  <c r="DX21" i="14"/>
  <c r="DX22" i="14"/>
  <c r="DX23" i="14"/>
  <c r="DX24" i="14"/>
  <c r="DX25" i="14"/>
  <c r="DX26" i="14"/>
  <c r="DX27" i="14"/>
  <c r="DX28" i="14"/>
  <c r="DX29" i="14"/>
  <c r="DX30" i="14"/>
  <c r="DX31" i="14"/>
  <c r="DX32" i="14"/>
  <c r="DX33" i="14"/>
  <c r="DX34" i="14"/>
  <c r="DX35" i="14"/>
  <c r="DX36" i="14"/>
  <c r="DX37" i="14"/>
  <c r="DX38" i="14"/>
  <c r="DX39" i="14"/>
  <c r="DX40" i="14"/>
  <c r="DX41" i="14"/>
  <c r="DX42" i="14"/>
  <c r="DX43" i="14"/>
  <c r="DX44" i="14"/>
  <c r="DX45" i="14"/>
  <c r="DX46" i="14"/>
  <c r="DX47" i="14"/>
  <c r="DX48" i="14"/>
  <c r="DX49" i="14"/>
  <c r="DX50" i="14"/>
  <c r="DX51" i="14"/>
  <c r="EW51" i="14" s="1"/>
  <c r="DX52" i="14"/>
  <c r="DX53" i="14"/>
  <c r="DX54" i="14"/>
  <c r="DX55" i="14"/>
  <c r="DX6" i="14"/>
  <c r="GK57" i="14"/>
  <c r="GL57" i="14"/>
  <c r="GL8" i="14" s="1"/>
  <c r="GM57" i="14"/>
  <c r="GM28" i="14" s="1"/>
  <c r="GN57" i="14"/>
  <c r="GN6" i="14" s="1"/>
  <c r="GO57" i="14"/>
  <c r="GP57" i="14"/>
  <c r="GP12" i="14" s="1"/>
  <c r="GQ57" i="14"/>
  <c r="GQ36" i="14" s="1"/>
  <c r="GR57" i="14"/>
  <c r="GR33" i="14" s="1"/>
  <c r="GS57" i="14"/>
  <c r="GT57" i="14"/>
  <c r="GT25" i="14" s="1"/>
  <c r="GU57" i="14"/>
  <c r="GV57" i="14"/>
  <c r="GW57" i="14"/>
  <c r="GX57" i="14"/>
  <c r="GY57" i="14"/>
  <c r="GY17" i="14" s="1"/>
  <c r="GZ57" i="14"/>
  <c r="GZ33" i="14" s="1"/>
  <c r="HA57" i="14"/>
  <c r="HB57" i="14"/>
  <c r="HB25" i="14" s="1"/>
  <c r="HC57" i="14"/>
  <c r="HD57" i="14"/>
  <c r="HD6" i="14" s="1"/>
  <c r="HE57" i="14"/>
  <c r="HF57" i="14"/>
  <c r="HF12" i="14" s="1"/>
  <c r="HG57" i="14"/>
  <c r="HG36" i="14" s="1"/>
  <c r="HH57" i="14"/>
  <c r="HH28" i="14" s="1"/>
  <c r="HI57" i="14"/>
  <c r="HJ57" i="14"/>
  <c r="GJ56" i="14"/>
  <c r="FE112" i="14"/>
  <c r="FF112" i="14"/>
  <c r="FF64" i="14" s="1"/>
  <c r="FG112" i="14"/>
  <c r="FH112" i="14"/>
  <c r="FI112" i="14"/>
  <c r="FJ112" i="14"/>
  <c r="FK112" i="14"/>
  <c r="FK69" i="14" s="1"/>
  <c r="FL112" i="14"/>
  <c r="FL75" i="14" s="1"/>
  <c r="FM112" i="14"/>
  <c r="FM67" i="14" s="1"/>
  <c r="FN112" i="14"/>
  <c r="FO112" i="14"/>
  <c r="FO88" i="14" s="1"/>
  <c r="FP112" i="14"/>
  <c r="FQ112" i="14"/>
  <c r="FR112" i="14"/>
  <c r="FS112" i="14"/>
  <c r="FS85" i="14" s="1"/>
  <c r="FT112" i="14"/>
  <c r="FT67" i="14" s="1"/>
  <c r="FU112" i="14"/>
  <c r="FU83" i="14" s="1"/>
  <c r="FV112" i="14"/>
  <c r="FV83" i="14" s="1"/>
  <c r="FW112" i="14"/>
  <c r="FW88" i="14" s="1"/>
  <c r="FX112" i="14"/>
  <c r="FY112" i="14"/>
  <c r="FZ112" i="14"/>
  <c r="FZ64" i="14" s="1"/>
  <c r="GA112" i="14"/>
  <c r="GB112" i="14"/>
  <c r="GC112" i="14"/>
  <c r="GD112" i="14"/>
  <c r="GD67" i="14" s="1"/>
  <c r="FD111" i="14"/>
  <c r="DZ112" i="14"/>
  <c r="DZ109" i="14" s="1"/>
  <c r="EA112" i="14"/>
  <c r="EA77" i="14" s="1"/>
  <c r="EB112" i="14"/>
  <c r="EB84" i="14" s="1"/>
  <c r="EC112" i="14"/>
  <c r="ED112" i="14"/>
  <c r="EE112" i="14"/>
  <c r="EF112" i="14"/>
  <c r="EG112" i="14"/>
  <c r="EG106" i="14" s="1"/>
  <c r="EH112" i="14"/>
  <c r="EI112" i="14"/>
  <c r="EI108" i="14" s="1"/>
  <c r="EJ112" i="14"/>
  <c r="EK112" i="14"/>
  <c r="EK100" i="14" s="1"/>
  <c r="EL112" i="14"/>
  <c r="EL76" i="14" s="1"/>
  <c r="EM112" i="14"/>
  <c r="EM76" i="14" s="1"/>
  <c r="EN112" i="14"/>
  <c r="EN92" i="14" s="1"/>
  <c r="EO112" i="14"/>
  <c r="EO92" i="14" s="1"/>
  <c r="EP112" i="14"/>
  <c r="EQ112" i="14"/>
  <c r="ER112" i="14"/>
  <c r="ER84" i="14" s="1"/>
  <c r="ES112" i="14"/>
  <c r="ES108" i="14" s="1"/>
  <c r="ET112" i="14"/>
  <c r="ET100" i="14" s="1"/>
  <c r="EU112" i="14"/>
  <c r="EV112" i="14"/>
  <c r="EV109" i="14" s="1"/>
  <c r="EW112" i="14"/>
  <c r="EW85" i="14" s="1"/>
  <c r="EX112" i="14"/>
  <c r="EX85" i="14" s="1"/>
  <c r="EY112" i="14"/>
  <c r="EY109" i="14" s="1"/>
  <c r="DZ57" i="14"/>
  <c r="DZ11" i="14" s="1"/>
  <c r="EA57" i="14"/>
  <c r="EA42" i="14" s="1"/>
  <c r="EB57" i="14"/>
  <c r="EC57" i="14"/>
  <c r="EC31" i="14" s="1"/>
  <c r="ED57" i="14"/>
  <c r="ED28" i="14" s="1"/>
  <c r="EE57" i="14"/>
  <c r="EE30" i="14" s="1"/>
  <c r="EF57" i="14"/>
  <c r="EF12" i="14" s="1"/>
  <c r="EG57" i="14"/>
  <c r="EG43" i="14" s="1"/>
  <c r="EH57" i="14"/>
  <c r="EI57" i="14"/>
  <c r="EI34" i="14" s="1"/>
  <c r="EJ57" i="14"/>
  <c r="EK57" i="14"/>
  <c r="EK47" i="14" s="1"/>
  <c r="EL57" i="14"/>
  <c r="EL44" i="14" s="1"/>
  <c r="EM57" i="14"/>
  <c r="EM30" i="14" s="1"/>
  <c r="EN57" i="14"/>
  <c r="EO57" i="14"/>
  <c r="EO40" i="14" s="1"/>
  <c r="EP57" i="14"/>
  <c r="EQ57" i="14"/>
  <c r="EQ42" i="14" s="1"/>
  <c r="ER57" i="14"/>
  <c r="ES57" i="14"/>
  <c r="ES39" i="14" s="1"/>
  <c r="ET57" i="14"/>
  <c r="ET28" i="14" s="1"/>
  <c r="EU57" i="14"/>
  <c r="EU15" i="14" s="1"/>
  <c r="EV57" i="14"/>
  <c r="EW57" i="14"/>
  <c r="EW48" i="14" s="1"/>
  <c r="EX57" i="14"/>
  <c r="EY57" i="14"/>
  <c r="EY50" i="14" s="1"/>
  <c r="DY57" i="14"/>
  <c r="DY111" i="14"/>
  <c r="DY56" i="14"/>
  <c r="W80" i="14"/>
  <c r="X80" i="14" s="1"/>
  <c r="X79" i="14"/>
  <c r="W79" i="14"/>
  <c r="W78" i="14"/>
  <c r="X78" i="14" s="1"/>
  <c r="W77" i="14"/>
  <c r="X77" i="14" s="1"/>
  <c r="X76" i="14"/>
  <c r="W76" i="14"/>
  <c r="X75" i="14"/>
  <c r="X74" i="14"/>
  <c r="X73" i="14"/>
  <c r="X69" i="14"/>
  <c r="X68" i="14"/>
  <c r="X67" i="14"/>
  <c r="X66" i="14"/>
  <c r="X65" i="14"/>
  <c r="X64" i="14"/>
  <c r="X63" i="14"/>
  <c r="X62" i="14"/>
  <c r="AO4" i="11"/>
  <c r="AO5" i="11"/>
  <c r="AO6" i="11"/>
  <c r="AO7" i="11"/>
  <c r="AO8" i="11"/>
  <c r="AO9" i="11"/>
  <c r="AO10" i="11"/>
  <c r="AO11" i="11"/>
  <c r="AO12" i="11"/>
  <c r="AO13" i="11"/>
  <c r="AO14" i="11"/>
  <c r="AO15" i="11"/>
  <c r="AO16" i="11"/>
  <c r="AO17" i="11"/>
  <c r="AO18" i="11"/>
  <c r="AO19" i="11"/>
  <c r="AO20" i="11"/>
  <c r="AO21" i="11"/>
  <c r="AO22" i="11"/>
  <c r="AO23" i="11"/>
  <c r="AO24" i="11"/>
  <c r="AO25" i="11"/>
  <c r="AO26" i="11"/>
  <c r="AO27" i="11"/>
  <c r="AO28" i="11"/>
  <c r="AO29" i="11"/>
  <c r="AO30" i="11"/>
  <c r="AO31" i="11"/>
  <c r="AO32" i="11"/>
  <c r="AO33" i="11"/>
  <c r="AO34" i="11"/>
  <c r="AO35" i="11"/>
  <c r="AO36" i="11"/>
  <c r="AO37" i="11"/>
  <c r="AO38" i="11"/>
  <c r="AO39" i="11"/>
  <c r="AO40" i="11"/>
  <c r="AO41" i="11"/>
  <c r="AO42" i="11"/>
  <c r="AO43" i="11"/>
  <c r="AO44" i="11"/>
  <c r="AO45" i="11"/>
  <c r="AO46" i="11"/>
  <c r="AO47" i="11"/>
  <c r="AO48" i="11"/>
  <c r="AO49" i="11"/>
  <c r="AO50" i="11"/>
  <c r="AO51" i="11"/>
  <c r="AO52" i="11"/>
  <c r="AO53" i="11"/>
  <c r="AO3" i="11"/>
  <c r="J3" i="12"/>
  <c r="L3" i="12" s="1"/>
  <c r="J4" i="12"/>
  <c r="L4" i="12" s="1"/>
  <c r="J5" i="12"/>
  <c r="L5" i="12" s="1"/>
  <c r="J6" i="12"/>
  <c r="L6" i="12" s="1"/>
  <c r="J7" i="12"/>
  <c r="L7" i="12" s="1"/>
  <c r="J8" i="12"/>
  <c r="L8" i="12" s="1"/>
  <c r="J9" i="12"/>
  <c r="L9" i="12" s="1"/>
  <c r="J10" i="12"/>
  <c r="L10" i="12" s="1"/>
  <c r="J11" i="12"/>
  <c r="L11" i="12" s="1"/>
  <c r="J12" i="12"/>
  <c r="L12" i="12" s="1"/>
  <c r="J13" i="12"/>
  <c r="L13" i="12" s="1"/>
  <c r="J14" i="12"/>
  <c r="L14" i="12" s="1"/>
  <c r="J15" i="12"/>
  <c r="L15" i="12" s="1"/>
  <c r="J16" i="12"/>
  <c r="L16" i="12" s="1"/>
  <c r="J17" i="12"/>
  <c r="L17" i="12" s="1"/>
  <c r="J18" i="12"/>
  <c r="L18" i="12" s="1"/>
  <c r="J19" i="12"/>
  <c r="L19" i="12" s="1"/>
  <c r="J20" i="12"/>
  <c r="L20" i="12" s="1"/>
  <c r="J21" i="12"/>
  <c r="L21" i="12" s="1"/>
  <c r="J22" i="12"/>
  <c r="L22" i="12" s="1"/>
  <c r="J23" i="12"/>
  <c r="L23" i="12" s="1"/>
  <c r="J24" i="12"/>
  <c r="L24" i="12" s="1"/>
  <c r="J25" i="12"/>
  <c r="L25" i="12" s="1"/>
  <c r="J26" i="12"/>
  <c r="L26" i="12" s="1"/>
  <c r="J27" i="12"/>
  <c r="L27" i="12" s="1"/>
  <c r="J28" i="12"/>
  <c r="L28" i="12" s="1"/>
  <c r="J29" i="12"/>
  <c r="L29" i="12" s="1"/>
  <c r="J30" i="12"/>
  <c r="L30" i="12" s="1"/>
  <c r="J31" i="12"/>
  <c r="L31" i="12" s="1"/>
  <c r="J32" i="12"/>
  <c r="L32" i="12" s="1"/>
  <c r="J33" i="12"/>
  <c r="L33" i="12" s="1"/>
  <c r="J34" i="12"/>
  <c r="L34" i="12" s="1"/>
  <c r="J35" i="12"/>
  <c r="L35" i="12" s="1"/>
  <c r="J36" i="12"/>
  <c r="L36" i="12" s="1"/>
  <c r="J37" i="12"/>
  <c r="L37" i="12" s="1"/>
  <c r="J38" i="12"/>
  <c r="L38" i="12" s="1"/>
  <c r="J39" i="12"/>
  <c r="L39" i="12" s="1"/>
  <c r="J40" i="12"/>
  <c r="L40" i="12" s="1"/>
  <c r="J41" i="12"/>
  <c r="L41" i="12" s="1"/>
  <c r="J42" i="12"/>
  <c r="L42" i="12" s="1"/>
  <c r="J43" i="12"/>
  <c r="L43" i="12" s="1"/>
  <c r="J44" i="12"/>
  <c r="L44" i="12" s="1"/>
  <c r="J45" i="12"/>
  <c r="L45" i="12" s="1"/>
  <c r="J46" i="12"/>
  <c r="L46" i="12" s="1"/>
  <c r="J47" i="12"/>
  <c r="L47" i="12" s="1"/>
  <c r="J48" i="12"/>
  <c r="L48" i="12" s="1"/>
  <c r="J49" i="12"/>
  <c r="L49" i="12" s="1"/>
  <c r="J50" i="12"/>
  <c r="L50" i="12" s="1"/>
  <c r="J51" i="12"/>
  <c r="L51" i="12" s="1"/>
  <c r="J52" i="12"/>
  <c r="L52" i="12" s="1"/>
  <c r="J2" i="12"/>
  <c r="L2" i="12" s="1"/>
  <c r="BD75" i="8"/>
  <c r="BD70" i="8"/>
  <c r="BB29" i="8"/>
  <c r="BA29" i="8"/>
  <c r="AZ29" i="8"/>
  <c r="BD51" i="8"/>
  <c r="BD52" i="8"/>
  <c r="AL4" i="8"/>
  <c r="AL5" i="8"/>
  <c r="AL6" i="8"/>
  <c r="AL7" i="8"/>
  <c r="AL8" i="8"/>
  <c r="AL9" i="8"/>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2" i="8"/>
  <c r="AL53" i="8"/>
  <c r="AL3" i="8"/>
  <c r="BD9" i="8" a="1"/>
  <c r="BD9" i="8" s="1"/>
  <c r="BD62" i="8"/>
  <c r="FX79" i="14" l="1"/>
  <c r="FP87" i="14"/>
  <c r="EG19" i="14"/>
  <c r="FG71" i="14"/>
  <c r="GX26" i="14"/>
  <c r="HI32" i="14"/>
  <c r="FN79" i="14"/>
  <c r="HE24" i="14"/>
  <c r="GO24" i="14"/>
  <c r="DY51" i="14"/>
  <c r="ET41" i="14"/>
  <c r="FQ87" i="14"/>
  <c r="HC32" i="14"/>
  <c r="GU32" i="14"/>
  <c r="EM33" i="14"/>
  <c r="EX48" i="14"/>
  <c r="EH48" i="14"/>
  <c r="FJ109" i="14"/>
  <c r="ED25" i="14"/>
  <c r="EC61" i="14"/>
  <c r="GW34" i="14"/>
  <c r="ET52" i="14"/>
  <c r="ET44" i="14"/>
  <c r="ET36" i="14"/>
  <c r="EW27" i="14"/>
  <c r="HH51" i="14"/>
  <c r="EU82" i="14"/>
  <c r="GC66" i="14"/>
  <c r="FE74" i="14"/>
  <c r="GV10" i="14"/>
  <c r="EL52" i="14"/>
  <c r="EF43" i="14"/>
  <c r="EL36" i="14"/>
  <c r="ET25" i="14"/>
  <c r="GV47" i="14"/>
  <c r="HG9" i="14"/>
  <c r="ER50" i="14"/>
  <c r="EJ42" i="14"/>
  <c r="EB42" i="14"/>
  <c r="ED106" i="14"/>
  <c r="GB70" i="14"/>
  <c r="EU41" i="14"/>
  <c r="ED36" i="14"/>
  <c r="FE87" i="14"/>
  <c r="GN47" i="14"/>
  <c r="GY54" i="14"/>
  <c r="EP14" i="14"/>
  <c r="EJ66" i="14"/>
  <c r="FR86" i="14"/>
  <c r="HI26" i="14"/>
  <c r="HA30" i="14"/>
  <c r="GS30" i="14"/>
  <c r="GK30" i="14"/>
  <c r="EM49" i="14"/>
  <c r="EM41" i="14"/>
  <c r="EE33" i="14"/>
  <c r="EC23" i="14"/>
  <c r="GU42" i="14"/>
  <c r="EE46" i="14"/>
  <c r="EU38" i="14"/>
  <c r="GA70" i="14"/>
  <c r="FY74" i="14"/>
  <c r="EO48" i="14"/>
  <c r="EE41" i="14"/>
  <c r="EH32" i="14"/>
  <c r="EV22" i="14"/>
  <c r="GY38" i="14"/>
  <c r="HJ22" i="14"/>
  <c r="HC42" i="14"/>
  <c r="EV38" i="14"/>
  <c r="EN30" i="14"/>
  <c r="EP82" i="14"/>
  <c r="FH62" i="14"/>
  <c r="EV46" i="14"/>
  <c r="DZ40" i="14"/>
  <c r="DZ32" i="14"/>
  <c r="ET20" i="14"/>
  <c r="GZ35" i="14"/>
  <c r="HJ6" i="14"/>
  <c r="HJ16" i="14"/>
  <c r="HF49" i="14"/>
  <c r="HF41" i="14"/>
  <c r="HI48" i="14"/>
  <c r="HI40" i="14"/>
  <c r="HG30" i="14"/>
  <c r="HG38" i="14"/>
  <c r="HF28" i="14"/>
  <c r="HF26" i="14"/>
  <c r="HG46" i="14"/>
  <c r="HH35" i="14"/>
  <c r="HH25" i="14"/>
  <c r="HG54" i="14"/>
  <c r="HH43" i="14"/>
  <c r="HH22" i="14"/>
  <c r="HF33" i="14"/>
  <c r="HB6" i="14"/>
  <c r="HA48" i="14"/>
  <c r="HC34" i="14"/>
  <c r="HA27" i="14"/>
  <c r="HD55" i="14"/>
  <c r="HD47" i="14"/>
  <c r="HA40" i="14"/>
  <c r="HD39" i="14"/>
  <c r="HA32" i="14"/>
  <c r="HC24" i="14"/>
  <c r="HD31" i="14"/>
  <c r="HB8" i="14"/>
  <c r="HC50" i="14"/>
  <c r="GZ51" i="14"/>
  <c r="GZ43" i="14"/>
  <c r="GZ14" i="14"/>
  <c r="GV55" i="14"/>
  <c r="GV39" i="14"/>
  <c r="GV26" i="14"/>
  <c r="GW15" i="14"/>
  <c r="GX41" i="14"/>
  <c r="GX23" i="14"/>
  <c r="GY30" i="14"/>
  <c r="GY46" i="14"/>
  <c r="GX49" i="14"/>
  <c r="GX33" i="14"/>
  <c r="GU50" i="14"/>
  <c r="GU34" i="14"/>
  <c r="GU28" i="14"/>
  <c r="GT26" i="14"/>
  <c r="GR25" i="14"/>
  <c r="GQ30" i="14"/>
  <c r="GQ38" i="14"/>
  <c r="GQ54" i="14"/>
  <c r="GQ46" i="14"/>
  <c r="GR14" i="14"/>
  <c r="GS32" i="14"/>
  <c r="GS19" i="14"/>
  <c r="GR29" i="14"/>
  <c r="GS48" i="14"/>
  <c r="GS40" i="14"/>
  <c r="GR35" i="14"/>
  <c r="GT6" i="14"/>
  <c r="GR51" i="14"/>
  <c r="GR43" i="14"/>
  <c r="GP36" i="14"/>
  <c r="GP27" i="14"/>
  <c r="GP41" i="14"/>
  <c r="GP33" i="14"/>
  <c r="GP49" i="14"/>
  <c r="GM21" i="14"/>
  <c r="GM42" i="14"/>
  <c r="GM24" i="14"/>
  <c r="GN39" i="14"/>
  <c r="GN27" i="14"/>
  <c r="GL6" i="14"/>
  <c r="GM34" i="14"/>
  <c r="GN31" i="14"/>
  <c r="GL16" i="14"/>
  <c r="GN55" i="14"/>
  <c r="GO31" i="14"/>
  <c r="GO23" i="14"/>
  <c r="GO7" i="14"/>
  <c r="GM50" i="14"/>
  <c r="GK25" i="14"/>
  <c r="GK19" i="14"/>
  <c r="GK32" i="14"/>
  <c r="GK22" i="14"/>
  <c r="GK40" i="14"/>
  <c r="GK48" i="14"/>
  <c r="HB53" i="14"/>
  <c r="GO52" i="14"/>
  <c r="GL28" i="14"/>
  <c r="GT28" i="14"/>
  <c r="HB28" i="14"/>
  <c r="HJ28" i="14"/>
  <c r="GO28" i="14"/>
  <c r="GW28" i="14"/>
  <c r="HE28" i="14"/>
  <c r="GQ20" i="14"/>
  <c r="GY20" i="14"/>
  <c r="HG20" i="14"/>
  <c r="GR20" i="14"/>
  <c r="GZ20" i="14"/>
  <c r="HH20" i="14"/>
  <c r="GK20" i="14"/>
  <c r="GS20" i="14"/>
  <c r="HA20" i="14"/>
  <c r="HI20" i="14"/>
  <c r="GL20" i="14"/>
  <c r="GT20" i="14"/>
  <c r="HB20" i="14"/>
  <c r="HJ20" i="14"/>
  <c r="GM20" i="14"/>
  <c r="GU20" i="14"/>
  <c r="HC20" i="14"/>
  <c r="GN20" i="14"/>
  <c r="GV20" i="14"/>
  <c r="HD20" i="14"/>
  <c r="GO20" i="14"/>
  <c r="GW20" i="14"/>
  <c r="HE20" i="14"/>
  <c r="GQ12" i="14"/>
  <c r="GY12" i="14"/>
  <c r="HG12" i="14"/>
  <c r="GJ12" i="14"/>
  <c r="GR12" i="14"/>
  <c r="GZ12" i="14"/>
  <c r="HH12" i="14"/>
  <c r="GK12" i="14"/>
  <c r="GS12" i="14"/>
  <c r="HA12" i="14"/>
  <c r="HI12" i="14"/>
  <c r="GL12" i="14"/>
  <c r="GT12" i="14"/>
  <c r="HB12" i="14"/>
  <c r="HJ12" i="14"/>
  <c r="GM12" i="14"/>
  <c r="GU12" i="14"/>
  <c r="HC12" i="14"/>
  <c r="GN12" i="14"/>
  <c r="GV12" i="14"/>
  <c r="HD12" i="14"/>
  <c r="GO12" i="14"/>
  <c r="GW12" i="14"/>
  <c r="HE12" i="14"/>
  <c r="HI6" i="14"/>
  <c r="HA6" i="14"/>
  <c r="GS6" i="14"/>
  <c r="GK6" i="14"/>
  <c r="HC55" i="14"/>
  <c r="GU55" i="14"/>
  <c r="GM55" i="14"/>
  <c r="HF54" i="14"/>
  <c r="GX54" i="14"/>
  <c r="GP54" i="14"/>
  <c r="HI53" i="14"/>
  <c r="HA53" i="14"/>
  <c r="GS53" i="14"/>
  <c r="GK53" i="14"/>
  <c r="HD52" i="14"/>
  <c r="GV52" i="14"/>
  <c r="GN52" i="14"/>
  <c r="HG51" i="14"/>
  <c r="GY51" i="14"/>
  <c r="GQ51" i="14"/>
  <c r="HJ50" i="14"/>
  <c r="HB50" i="14"/>
  <c r="GT50" i="14"/>
  <c r="GL50" i="14"/>
  <c r="HE49" i="14"/>
  <c r="GW49" i="14"/>
  <c r="GO49" i="14"/>
  <c r="HH48" i="14"/>
  <c r="GZ48" i="14"/>
  <c r="GR48" i="14"/>
  <c r="HC47" i="14"/>
  <c r="GU47" i="14"/>
  <c r="GM47" i="14"/>
  <c r="HF46" i="14"/>
  <c r="GX46" i="14"/>
  <c r="GP46" i="14"/>
  <c r="HI45" i="14"/>
  <c r="HA45" i="14"/>
  <c r="GS45" i="14"/>
  <c r="GK45" i="14"/>
  <c r="HD44" i="14"/>
  <c r="GV44" i="14"/>
  <c r="GN44" i="14"/>
  <c r="HG43" i="14"/>
  <c r="GY43" i="14"/>
  <c r="GQ43" i="14"/>
  <c r="HJ42" i="14"/>
  <c r="HB42" i="14"/>
  <c r="GT42" i="14"/>
  <c r="GL42" i="14"/>
  <c r="HE41" i="14"/>
  <c r="GW41" i="14"/>
  <c r="GO41" i="14"/>
  <c r="HH40" i="14"/>
  <c r="GZ40" i="14"/>
  <c r="GR40" i="14"/>
  <c r="GJ40" i="14"/>
  <c r="HC39" i="14"/>
  <c r="GU39" i="14"/>
  <c r="GM39" i="14"/>
  <c r="HF38" i="14"/>
  <c r="GX38" i="14"/>
  <c r="GP38" i="14"/>
  <c r="HI37" i="14"/>
  <c r="HA37" i="14"/>
  <c r="GS37" i="14"/>
  <c r="GK37" i="14"/>
  <c r="HD36" i="14"/>
  <c r="GV36" i="14"/>
  <c r="GN36" i="14"/>
  <c r="HG35" i="14"/>
  <c r="GY35" i="14"/>
  <c r="GQ35" i="14"/>
  <c r="HJ34" i="14"/>
  <c r="HB34" i="14"/>
  <c r="GT34" i="14"/>
  <c r="GL34" i="14"/>
  <c r="HE33" i="14"/>
  <c r="GW33" i="14"/>
  <c r="GO33" i="14"/>
  <c r="HH32" i="14"/>
  <c r="GZ32" i="14"/>
  <c r="GR32" i="14"/>
  <c r="HC31" i="14"/>
  <c r="GU31" i="14"/>
  <c r="GM31" i="14"/>
  <c r="HF30" i="14"/>
  <c r="GX30" i="14"/>
  <c r="GP30" i="14"/>
  <c r="HI29" i="14"/>
  <c r="GX29" i="14"/>
  <c r="GN29" i="14"/>
  <c r="HD28" i="14"/>
  <c r="GS28" i="14"/>
  <c r="HJ27" i="14"/>
  <c r="GY27" i="14"/>
  <c r="HE26" i="14"/>
  <c r="HG25" i="14"/>
  <c r="GQ25" i="14"/>
  <c r="HB24" i="14"/>
  <c r="GL24" i="14"/>
  <c r="GW23" i="14"/>
  <c r="HA22" i="14"/>
  <c r="GU21" i="14"/>
  <c r="HB16" i="14"/>
  <c r="GN13" i="14"/>
  <c r="GV13" i="14"/>
  <c r="HD13" i="14"/>
  <c r="GO13" i="14"/>
  <c r="GW13" i="14"/>
  <c r="HE13" i="14"/>
  <c r="GP13" i="14"/>
  <c r="GX13" i="14"/>
  <c r="HF13" i="14"/>
  <c r="GQ13" i="14"/>
  <c r="GY13" i="14"/>
  <c r="HG13" i="14"/>
  <c r="GJ13" i="14"/>
  <c r="GR13" i="14"/>
  <c r="GZ13" i="14"/>
  <c r="HH13" i="14"/>
  <c r="GK13" i="14"/>
  <c r="GS13" i="14"/>
  <c r="HA13" i="14"/>
  <c r="HI13" i="14"/>
  <c r="GL13" i="14"/>
  <c r="GT13" i="14"/>
  <c r="HB13" i="14"/>
  <c r="HJ13" i="14"/>
  <c r="HJ53" i="14"/>
  <c r="GT53" i="14"/>
  <c r="HE52" i="14"/>
  <c r="GW52" i="14"/>
  <c r="HB37" i="14"/>
  <c r="HE36" i="14"/>
  <c r="HJ29" i="14"/>
  <c r="GZ29" i="14"/>
  <c r="GO29" i="14"/>
  <c r="GJ57" i="14"/>
  <c r="GJ20" i="14" s="1"/>
  <c r="GO27" i="14"/>
  <c r="GW27" i="14"/>
  <c r="HE27" i="14"/>
  <c r="GJ27" i="14"/>
  <c r="GR27" i="14"/>
  <c r="GZ27" i="14"/>
  <c r="HH27" i="14"/>
  <c r="GL19" i="14"/>
  <c r="GT19" i="14"/>
  <c r="HB19" i="14"/>
  <c r="HJ19" i="14"/>
  <c r="GM19" i="14"/>
  <c r="GU19" i="14"/>
  <c r="HC19" i="14"/>
  <c r="GN19" i="14"/>
  <c r="GV19" i="14"/>
  <c r="HD19" i="14"/>
  <c r="GO19" i="14"/>
  <c r="GW19" i="14"/>
  <c r="HE19" i="14"/>
  <c r="GP19" i="14"/>
  <c r="GX19" i="14"/>
  <c r="HF19" i="14"/>
  <c r="GQ19" i="14"/>
  <c r="GY19" i="14"/>
  <c r="HG19" i="14"/>
  <c r="GJ19" i="14"/>
  <c r="GR19" i="14"/>
  <c r="GZ19" i="14"/>
  <c r="HH19" i="14"/>
  <c r="GL11" i="14"/>
  <c r="GT11" i="14"/>
  <c r="HB11" i="14"/>
  <c r="HJ11" i="14"/>
  <c r="GM11" i="14"/>
  <c r="GU11" i="14"/>
  <c r="HC11" i="14"/>
  <c r="GN11" i="14"/>
  <c r="GV11" i="14"/>
  <c r="HD11" i="14"/>
  <c r="GO11" i="14"/>
  <c r="GW11" i="14"/>
  <c r="HE11" i="14"/>
  <c r="GP11" i="14"/>
  <c r="GX11" i="14"/>
  <c r="HF11" i="14"/>
  <c r="GQ11" i="14"/>
  <c r="GY11" i="14"/>
  <c r="HG11" i="14"/>
  <c r="GJ11" i="14"/>
  <c r="GR11" i="14"/>
  <c r="GZ11" i="14"/>
  <c r="HH11" i="14"/>
  <c r="HH6" i="14"/>
  <c r="GZ6" i="14"/>
  <c r="GR6" i="14"/>
  <c r="HJ55" i="14"/>
  <c r="HB55" i="14"/>
  <c r="GT55" i="14"/>
  <c r="GL55" i="14"/>
  <c r="HE54" i="14"/>
  <c r="GW54" i="14"/>
  <c r="GO54" i="14"/>
  <c r="HH53" i="14"/>
  <c r="GZ53" i="14"/>
  <c r="GR53" i="14"/>
  <c r="GJ53" i="14"/>
  <c r="HC52" i="14"/>
  <c r="GU52" i="14"/>
  <c r="GM52" i="14"/>
  <c r="HF51" i="14"/>
  <c r="GX51" i="14"/>
  <c r="GP51" i="14"/>
  <c r="HI50" i="14"/>
  <c r="HA50" i="14"/>
  <c r="GS50" i="14"/>
  <c r="GK50" i="14"/>
  <c r="HD49" i="14"/>
  <c r="GV49" i="14"/>
  <c r="GN49" i="14"/>
  <c r="HG48" i="14"/>
  <c r="GY48" i="14"/>
  <c r="GQ48" i="14"/>
  <c r="HJ47" i="14"/>
  <c r="HB47" i="14"/>
  <c r="GT47" i="14"/>
  <c r="GL47" i="14"/>
  <c r="HE46" i="14"/>
  <c r="GW46" i="14"/>
  <c r="GO46" i="14"/>
  <c r="HH45" i="14"/>
  <c r="GZ45" i="14"/>
  <c r="GR45" i="14"/>
  <c r="GJ45" i="14"/>
  <c r="HC44" i="14"/>
  <c r="GU44" i="14"/>
  <c r="GM44" i="14"/>
  <c r="HF43" i="14"/>
  <c r="GX43" i="14"/>
  <c r="GP43" i="14"/>
  <c r="HI42" i="14"/>
  <c r="HA42" i="14"/>
  <c r="GS42" i="14"/>
  <c r="GK42" i="14"/>
  <c r="HD41" i="14"/>
  <c r="GV41" i="14"/>
  <c r="GN41" i="14"/>
  <c r="HG40" i="14"/>
  <c r="GY40" i="14"/>
  <c r="GQ40" i="14"/>
  <c r="HJ39" i="14"/>
  <c r="HB39" i="14"/>
  <c r="GT39" i="14"/>
  <c r="GL39" i="14"/>
  <c r="HE38" i="14"/>
  <c r="GW38" i="14"/>
  <c r="GO38" i="14"/>
  <c r="HH37" i="14"/>
  <c r="GZ37" i="14"/>
  <c r="GR37" i="14"/>
  <c r="GJ37" i="14"/>
  <c r="HC36" i="14"/>
  <c r="GU36" i="14"/>
  <c r="GM36" i="14"/>
  <c r="HF35" i="14"/>
  <c r="GX35" i="14"/>
  <c r="GP35" i="14"/>
  <c r="HI34" i="14"/>
  <c r="HA34" i="14"/>
  <c r="GS34" i="14"/>
  <c r="GK34" i="14"/>
  <c r="HD33" i="14"/>
  <c r="GV33" i="14"/>
  <c r="GN33" i="14"/>
  <c r="HG32" i="14"/>
  <c r="GY32" i="14"/>
  <c r="GQ32" i="14"/>
  <c r="HJ31" i="14"/>
  <c r="HB31" i="14"/>
  <c r="GT31" i="14"/>
  <c r="GL31" i="14"/>
  <c r="HE30" i="14"/>
  <c r="GW30" i="14"/>
  <c r="GO30" i="14"/>
  <c r="HH29" i="14"/>
  <c r="GW29" i="14"/>
  <c r="GM29" i="14"/>
  <c r="HC28" i="14"/>
  <c r="GR28" i="14"/>
  <c r="HI27" i="14"/>
  <c r="GX27" i="14"/>
  <c r="GM27" i="14"/>
  <c r="HD26" i="14"/>
  <c r="GQ26" i="14"/>
  <c r="GL25" i="14"/>
  <c r="GW24" i="14"/>
  <c r="HH23" i="14"/>
  <c r="GR23" i="14"/>
  <c r="GZ22" i="14"/>
  <c r="HD18" i="14"/>
  <c r="GT16" i="14"/>
  <c r="HA11" i="14"/>
  <c r="GQ9" i="14"/>
  <c r="GN21" i="14"/>
  <c r="GV21" i="14"/>
  <c r="GO21" i="14"/>
  <c r="GW21" i="14"/>
  <c r="HE21" i="14"/>
  <c r="GP21" i="14"/>
  <c r="GX21" i="14"/>
  <c r="HF21" i="14"/>
  <c r="GQ21" i="14"/>
  <c r="GY21" i="14"/>
  <c r="HG21" i="14"/>
  <c r="GJ21" i="14"/>
  <c r="GR21" i="14"/>
  <c r="GZ21" i="14"/>
  <c r="HH21" i="14"/>
  <c r="GK21" i="14"/>
  <c r="GS21" i="14"/>
  <c r="HA21" i="14"/>
  <c r="HI21" i="14"/>
  <c r="GL21" i="14"/>
  <c r="GT21" i="14"/>
  <c r="HB21" i="14"/>
  <c r="HJ21" i="14"/>
  <c r="GJ26" i="14"/>
  <c r="GR26" i="14"/>
  <c r="GZ26" i="14"/>
  <c r="HH26" i="14"/>
  <c r="GK26" i="14"/>
  <c r="GS26" i="14"/>
  <c r="GL26" i="14"/>
  <c r="GM26" i="14"/>
  <c r="GU26" i="14"/>
  <c r="HC26" i="14"/>
  <c r="GO18" i="14"/>
  <c r="GW18" i="14"/>
  <c r="HE18" i="14"/>
  <c r="GP18" i="14"/>
  <c r="GX18" i="14"/>
  <c r="HF18" i="14"/>
  <c r="GQ18" i="14"/>
  <c r="GY18" i="14"/>
  <c r="HG18" i="14"/>
  <c r="GJ18" i="14"/>
  <c r="GR18" i="14"/>
  <c r="GZ18" i="14"/>
  <c r="HH18" i="14"/>
  <c r="GK18" i="14"/>
  <c r="GS18" i="14"/>
  <c r="HA18" i="14"/>
  <c r="HI18" i="14"/>
  <c r="GL18" i="14"/>
  <c r="GT18" i="14"/>
  <c r="HB18" i="14"/>
  <c r="HJ18" i="14"/>
  <c r="GM18" i="14"/>
  <c r="GU18" i="14"/>
  <c r="HC18" i="14"/>
  <c r="GO10" i="14"/>
  <c r="GW10" i="14"/>
  <c r="HE10" i="14"/>
  <c r="GP10" i="14"/>
  <c r="GX10" i="14"/>
  <c r="HF10" i="14"/>
  <c r="GQ10" i="14"/>
  <c r="GY10" i="14"/>
  <c r="HG10" i="14"/>
  <c r="GJ10" i="14"/>
  <c r="GR10" i="14"/>
  <c r="GZ10" i="14"/>
  <c r="HH10" i="14"/>
  <c r="GK10" i="14"/>
  <c r="GS10" i="14"/>
  <c r="HA10" i="14"/>
  <c r="HI10" i="14"/>
  <c r="GL10" i="14"/>
  <c r="GT10" i="14"/>
  <c r="HB10" i="14"/>
  <c r="HJ10" i="14"/>
  <c r="GM10" i="14"/>
  <c r="GU10" i="14"/>
  <c r="HC10" i="14"/>
  <c r="HG6" i="14"/>
  <c r="GY6" i="14"/>
  <c r="GQ6" i="14"/>
  <c r="HI55" i="14"/>
  <c r="HA55" i="14"/>
  <c r="GS55" i="14"/>
  <c r="GK55" i="14"/>
  <c r="HD54" i="14"/>
  <c r="GV54" i="14"/>
  <c r="GN54" i="14"/>
  <c r="HG53" i="14"/>
  <c r="GY53" i="14"/>
  <c r="GQ53" i="14"/>
  <c r="HJ52" i="14"/>
  <c r="HB52" i="14"/>
  <c r="GT52" i="14"/>
  <c r="GL52" i="14"/>
  <c r="HE51" i="14"/>
  <c r="GW51" i="14"/>
  <c r="GO51" i="14"/>
  <c r="HH50" i="14"/>
  <c r="GZ50" i="14"/>
  <c r="GR50" i="14"/>
  <c r="GJ50" i="14"/>
  <c r="HC49" i="14"/>
  <c r="GU49" i="14"/>
  <c r="GM49" i="14"/>
  <c r="HF48" i="14"/>
  <c r="GX48" i="14"/>
  <c r="GP48" i="14"/>
  <c r="HI47" i="14"/>
  <c r="HA47" i="14"/>
  <c r="GS47" i="14"/>
  <c r="GK47" i="14"/>
  <c r="HD46" i="14"/>
  <c r="GV46" i="14"/>
  <c r="GN46" i="14"/>
  <c r="HG45" i="14"/>
  <c r="GY45" i="14"/>
  <c r="GQ45" i="14"/>
  <c r="HJ44" i="14"/>
  <c r="HB44" i="14"/>
  <c r="GT44" i="14"/>
  <c r="GL44" i="14"/>
  <c r="HE43" i="14"/>
  <c r="GW43" i="14"/>
  <c r="GO43" i="14"/>
  <c r="HH42" i="14"/>
  <c r="GZ42" i="14"/>
  <c r="GR42" i="14"/>
  <c r="GJ42" i="14"/>
  <c r="HC41" i="14"/>
  <c r="GU41" i="14"/>
  <c r="GM41" i="14"/>
  <c r="HF40" i="14"/>
  <c r="GX40" i="14"/>
  <c r="GP40" i="14"/>
  <c r="HI39" i="14"/>
  <c r="HA39" i="14"/>
  <c r="GS39" i="14"/>
  <c r="GK39" i="14"/>
  <c r="HD38" i="14"/>
  <c r="GV38" i="14"/>
  <c r="GN38" i="14"/>
  <c r="HG37" i="14"/>
  <c r="GY37" i="14"/>
  <c r="GQ37" i="14"/>
  <c r="HJ36" i="14"/>
  <c r="HB36" i="14"/>
  <c r="GT36" i="14"/>
  <c r="GL36" i="14"/>
  <c r="HE35" i="14"/>
  <c r="GW35" i="14"/>
  <c r="GO35" i="14"/>
  <c r="HH34" i="14"/>
  <c r="GZ34" i="14"/>
  <c r="GR34" i="14"/>
  <c r="GJ34" i="14"/>
  <c r="HC33" i="14"/>
  <c r="GU33" i="14"/>
  <c r="GM33" i="14"/>
  <c r="HF32" i="14"/>
  <c r="GX32" i="14"/>
  <c r="GP32" i="14"/>
  <c r="HI31" i="14"/>
  <c r="HA31" i="14"/>
  <c r="GS31" i="14"/>
  <c r="GK31" i="14"/>
  <c r="HD30" i="14"/>
  <c r="GV30" i="14"/>
  <c r="GN30" i="14"/>
  <c r="HF29" i="14"/>
  <c r="GV29" i="14"/>
  <c r="GK29" i="14"/>
  <c r="HA28" i="14"/>
  <c r="GQ28" i="14"/>
  <c r="HG27" i="14"/>
  <c r="GV27" i="14"/>
  <c r="GL27" i="14"/>
  <c r="HB26" i="14"/>
  <c r="GP26" i="14"/>
  <c r="HA25" i="14"/>
  <c r="GV24" i="14"/>
  <c r="HG23" i="14"/>
  <c r="GQ23" i="14"/>
  <c r="GS22" i="14"/>
  <c r="HF20" i="14"/>
  <c r="GV18" i="14"/>
  <c r="HC13" i="14"/>
  <c r="GS11" i="14"/>
  <c r="HJ8" i="14"/>
  <c r="HJ37" i="14"/>
  <c r="GT37" i="14"/>
  <c r="GL37" i="14"/>
  <c r="GW36" i="14"/>
  <c r="GO36" i="14"/>
  <c r="GM25" i="14"/>
  <c r="GU25" i="14"/>
  <c r="HC25" i="14"/>
  <c r="GN25" i="14"/>
  <c r="GV25" i="14"/>
  <c r="HD25" i="14"/>
  <c r="GO25" i="14"/>
  <c r="GW25" i="14"/>
  <c r="HE25" i="14"/>
  <c r="GP25" i="14"/>
  <c r="GX25" i="14"/>
  <c r="HF25" i="14"/>
  <c r="GJ17" i="14"/>
  <c r="GR17" i="14"/>
  <c r="GZ17" i="14"/>
  <c r="HH17" i="14"/>
  <c r="GK17" i="14"/>
  <c r="GS17" i="14"/>
  <c r="HA17" i="14"/>
  <c r="HI17" i="14"/>
  <c r="GL17" i="14"/>
  <c r="GT17" i="14"/>
  <c r="HB17" i="14"/>
  <c r="HJ17" i="14"/>
  <c r="GM17" i="14"/>
  <c r="GU17" i="14"/>
  <c r="HC17" i="14"/>
  <c r="GN17" i="14"/>
  <c r="GV17" i="14"/>
  <c r="HD17" i="14"/>
  <c r="GO17" i="14"/>
  <c r="GW17" i="14"/>
  <c r="HE17" i="14"/>
  <c r="GP17" i="14"/>
  <c r="GX17" i="14"/>
  <c r="HF17" i="14"/>
  <c r="GJ9" i="14"/>
  <c r="GR9" i="14"/>
  <c r="GZ9" i="14"/>
  <c r="HH9" i="14"/>
  <c r="GK9" i="14"/>
  <c r="GS9" i="14"/>
  <c r="HA9" i="14"/>
  <c r="HI9" i="14"/>
  <c r="GL9" i="14"/>
  <c r="GT9" i="14"/>
  <c r="HB9" i="14"/>
  <c r="HJ9" i="14"/>
  <c r="GM9" i="14"/>
  <c r="GU9" i="14"/>
  <c r="HC9" i="14"/>
  <c r="GN9" i="14"/>
  <c r="GV9" i="14"/>
  <c r="HD9" i="14"/>
  <c r="GO9" i="14"/>
  <c r="GW9" i="14"/>
  <c r="HE9" i="14"/>
  <c r="GP9" i="14"/>
  <c r="GX9" i="14"/>
  <c r="HF9" i="14"/>
  <c r="HF6" i="14"/>
  <c r="GX6" i="14"/>
  <c r="GP6" i="14"/>
  <c r="HH55" i="14"/>
  <c r="GZ55" i="14"/>
  <c r="GR55" i="14"/>
  <c r="GJ55" i="14"/>
  <c r="HC54" i="14"/>
  <c r="GU54" i="14"/>
  <c r="GM54" i="14"/>
  <c r="HF53" i="14"/>
  <c r="GX53" i="14"/>
  <c r="GP53" i="14"/>
  <c r="HI52" i="14"/>
  <c r="HA52" i="14"/>
  <c r="GS52" i="14"/>
  <c r="GK52" i="14"/>
  <c r="HD51" i="14"/>
  <c r="GV51" i="14"/>
  <c r="GN51" i="14"/>
  <c r="HG50" i="14"/>
  <c r="GY50" i="14"/>
  <c r="GQ50" i="14"/>
  <c r="HJ49" i="14"/>
  <c r="HB49" i="14"/>
  <c r="GT49" i="14"/>
  <c r="GL49" i="14"/>
  <c r="HE48" i="14"/>
  <c r="GW48" i="14"/>
  <c r="GO48" i="14"/>
  <c r="HH47" i="14"/>
  <c r="GZ47" i="14"/>
  <c r="GR47" i="14"/>
  <c r="GJ47" i="14"/>
  <c r="HC46" i="14"/>
  <c r="GU46" i="14"/>
  <c r="GM46" i="14"/>
  <c r="HF45" i="14"/>
  <c r="GX45" i="14"/>
  <c r="GP45" i="14"/>
  <c r="HI44" i="14"/>
  <c r="HA44" i="14"/>
  <c r="GS44" i="14"/>
  <c r="GK44" i="14"/>
  <c r="HD43" i="14"/>
  <c r="GV43" i="14"/>
  <c r="GN43" i="14"/>
  <c r="HG42" i="14"/>
  <c r="GY42" i="14"/>
  <c r="GQ42" i="14"/>
  <c r="HJ41" i="14"/>
  <c r="HB41" i="14"/>
  <c r="GT41" i="14"/>
  <c r="GL41" i="14"/>
  <c r="HE40" i="14"/>
  <c r="GW40" i="14"/>
  <c r="GO40" i="14"/>
  <c r="HH39" i="14"/>
  <c r="GZ39" i="14"/>
  <c r="GR39" i="14"/>
  <c r="GJ39" i="14"/>
  <c r="HC38" i="14"/>
  <c r="GU38" i="14"/>
  <c r="GM38" i="14"/>
  <c r="HF37" i="14"/>
  <c r="GX37" i="14"/>
  <c r="GP37" i="14"/>
  <c r="HI36" i="14"/>
  <c r="HA36" i="14"/>
  <c r="GS36" i="14"/>
  <c r="GK36" i="14"/>
  <c r="HD35" i="14"/>
  <c r="GV35" i="14"/>
  <c r="GN35" i="14"/>
  <c r="HG34" i="14"/>
  <c r="GY34" i="14"/>
  <c r="GQ34" i="14"/>
  <c r="HJ33" i="14"/>
  <c r="HB33" i="14"/>
  <c r="GT33" i="14"/>
  <c r="GL33" i="14"/>
  <c r="HE32" i="14"/>
  <c r="GW32" i="14"/>
  <c r="GO32" i="14"/>
  <c r="HH31" i="14"/>
  <c r="GZ31" i="14"/>
  <c r="GR31" i="14"/>
  <c r="GJ31" i="14"/>
  <c r="HC30" i="14"/>
  <c r="GU30" i="14"/>
  <c r="GM30" i="14"/>
  <c r="HE29" i="14"/>
  <c r="GU29" i="14"/>
  <c r="GJ29" i="14"/>
  <c r="GZ28" i="14"/>
  <c r="GP28" i="14"/>
  <c r="HF27" i="14"/>
  <c r="GU27" i="14"/>
  <c r="GK27" i="14"/>
  <c r="HA26" i="14"/>
  <c r="GO26" i="14"/>
  <c r="GZ25" i="14"/>
  <c r="GJ25" i="14"/>
  <c r="HF23" i="14"/>
  <c r="GP23" i="14"/>
  <c r="GR22" i="14"/>
  <c r="GX20" i="14"/>
  <c r="GN18" i="14"/>
  <c r="HE15" i="14"/>
  <c r="GU13" i="14"/>
  <c r="GK11" i="14"/>
  <c r="HJ45" i="14"/>
  <c r="GT45" i="14"/>
  <c r="GL45" i="14"/>
  <c r="HE44" i="14"/>
  <c r="GO44" i="14"/>
  <c r="GP24" i="14"/>
  <c r="GX24" i="14"/>
  <c r="HF24" i="14"/>
  <c r="GQ24" i="14"/>
  <c r="GY24" i="14"/>
  <c r="HG24" i="14"/>
  <c r="GJ24" i="14"/>
  <c r="GR24" i="14"/>
  <c r="GZ24" i="14"/>
  <c r="HH24" i="14"/>
  <c r="GK24" i="14"/>
  <c r="GS24" i="14"/>
  <c r="HA24" i="14"/>
  <c r="HI24" i="14"/>
  <c r="GM16" i="14"/>
  <c r="GU16" i="14"/>
  <c r="HC16" i="14"/>
  <c r="GN16" i="14"/>
  <c r="GV16" i="14"/>
  <c r="HD16" i="14"/>
  <c r="GO16" i="14"/>
  <c r="GW16" i="14"/>
  <c r="HE16" i="14"/>
  <c r="GP16" i="14"/>
  <c r="GX16" i="14"/>
  <c r="HF16" i="14"/>
  <c r="GQ16" i="14"/>
  <c r="GY16" i="14"/>
  <c r="HG16" i="14"/>
  <c r="GJ16" i="14"/>
  <c r="GR16" i="14"/>
  <c r="GZ16" i="14"/>
  <c r="HH16" i="14"/>
  <c r="GK16" i="14"/>
  <c r="GS16" i="14"/>
  <c r="HA16" i="14"/>
  <c r="HI16" i="14"/>
  <c r="GM8" i="14"/>
  <c r="GU8" i="14"/>
  <c r="HC8" i="14"/>
  <c r="GN8" i="14"/>
  <c r="GV8" i="14"/>
  <c r="HD8" i="14"/>
  <c r="GO8" i="14"/>
  <c r="GW8" i="14"/>
  <c r="HE8" i="14"/>
  <c r="GP8" i="14"/>
  <c r="GX8" i="14"/>
  <c r="HF8" i="14"/>
  <c r="GQ8" i="14"/>
  <c r="GY8" i="14"/>
  <c r="HG8" i="14"/>
  <c r="GJ8" i="14"/>
  <c r="GR8" i="14"/>
  <c r="GZ8" i="14"/>
  <c r="HH8" i="14"/>
  <c r="GK8" i="14"/>
  <c r="GS8" i="14"/>
  <c r="HA8" i="14"/>
  <c r="HI8" i="14"/>
  <c r="HE6" i="14"/>
  <c r="GW6" i="14"/>
  <c r="GO6" i="14"/>
  <c r="HG55" i="14"/>
  <c r="GY55" i="14"/>
  <c r="GQ55" i="14"/>
  <c r="HJ54" i="14"/>
  <c r="HB54" i="14"/>
  <c r="GT54" i="14"/>
  <c r="GL54" i="14"/>
  <c r="HE53" i="14"/>
  <c r="GW53" i="14"/>
  <c r="GO53" i="14"/>
  <c r="HH52" i="14"/>
  <c r="GZ52" i="14"/>
  <c r="GR52" i="14"/>
  <c r="GJ52" i="14"/>
  <c r="HC51" i="14"/>
  <c r="GU51" i="14"/>
  <c r="GM51" i="14"/>
  <c r="HF50" i="14"/>
  <c r="GX50" i="14"/>
  <c r="GP50" i="14"/>
  <c r="HI49" i="14"/>
  <c r="HA49" i="14"/>
  <c r="GS49" i="14"/>
  <c r="GK49" i="14"/>
  <c r="HD48" i="14"/>
  <c r="GV48" i="14"/>
  <c r="GN48" i="14"/>
  <c r="HG47" i="14"/>
  <c r="GY47" i="14"/>
  <c r="GQ47" i="14"/>
  <c r="HJ46" i="14"/>
  <c r="HB46" i="14"/>
  <c r="GT46" i="14"/>
  <c r="GL46" i="14"/>
  <c r="HE45" i="14"/>
  <c r="GW45" i="14"/>
  <c r="GO45" i="14"/>
  <c r="HH44" i="14"/>
  <c r="GZ44" i="14"/>
  <c r="GR44" i="14"/>
  <c r="GJ44" i="14"/>
  <c r="HC43" i="14"/>
  <c r="GU43" i="14"/>
  <c r="GM43" i="14"/>
  <c r="HF42" i="14"/>
  <c r="GX42" i="14"/>
  <c r="GP42" i="14"/>
  <c r="HI41" i="14"/>
  <c r="HA41" i="14"/>
  <c r="GS41" i="14"/>
  <c r="GK41" i="14"/>
  <c r="HD40" i="14"/>
  <c r="GV40" i="14"/>
  <c r="GN40" i="14"/>
  <c r="HG39" i="14"/>
  <c r="GY39" i="14"/>
  <c r="GQ39" i="14"/>
  <c r="HJ38" i="14"/>
  <c r="HB38" i="14"/>
  <c r="GT38" i="14"/>
  <c r="GL38" i="14"/>
  <c r="HE37" i="14"/>
  <c r="GW37" i="14"/>
  <c r="GO37" i="14"/>
  <c r="HH36" i="14"/>
  <c r="GZ36" i="14"/>
  <c r="GR36" i="14"/>
  <c r="GJ36" i="14"/>
  <c r="HC35" i="14"/>
  <c r="GU35" i="14"/>
  <c r="GM35" i="14"/>
  <c r="HF34" i="14"/>
  <c r="GX34" i="14"/>
  <c r="GP34" i="14"/>
  <c r="HI33" i="14"/>
  <c r="HA33" i="14"/>
  <c r="GS33" i="14"/>
  <c r="GK33" i="14"/>
  <c r="HD32" i="14"/>
  <c r="GV32" i="14"/>
  <c r="GN32" i="14"/>
  <c r="HG31" i="14"/>
  <c r="GY31" i="14"/>
  <c r="GQ31" i="14"/>
  <c r="HJ30" i="14"/>
  <c r="HB30" i="14"/>
  <c r="GT30" i="14"/>
  <c r="GL30" i="14"/>
  <c r="HD29" i="14"/>
  <c r="GS29" i="14"/>
  <c r="HI28" i="14"/>
  <c r="GY28" i="14"/>
  <c r="GN28" i="14"/>
  <c r="HD27" i="14"/>
  <c r="GT27" i="14"/>
  <c r="HJ26" i="14"/>
  <c r="GY26" i="14"/>
  <c r="GN26" i="14"/>
  <c r="GY25" i="14"/>
  <c r="HJ24" i="14"/>
  <c r="GT24" i="14"/>
  <c r="HE23" i="14"/>
  <c r="GP20" i="14"/>
  <c r="HG17" i="14"/>
  <c r="GM13" i="14"/>
  <c r="HD10" i="14"/>
  <c r="GT8" i="14"/>
  <c r="HB45" i="14"/>
  <c r="GW44" i="14"/>
  <c r="HC21" i="14"/>
  <c r="GW7" i="14"/>
  <c r="GJ23" i="14"/>
  <c r="GK23" i="14"/>
  <c r="GS23" i="14"/>
  <c r="HA23" i="14"/>
  <c r="HI23" i="14"/>
  <c r="GL23" i="14"/>
  <c r="GT23" i="14"/>
  <c r="HB23" i="14"/>
  <c r="HJ23" i="14"/>
  <c r="GM23" i="14"/>
  <c r="GU23" i="14"/>
  <c r="HC23" i="14"/>
  <c r="GN23" i="14"/>
  <c r="GV23" i="14"/>
  <c r="HD23" i="14"/>
  <c r="GP15" i="14"/>
  <c r="GX15" i="14"/>
  <c r="HF15" i="14"/>
  <c r="GQ15" i="14"/>
  <c r="GY15" i="14"/>
  <c r="HG15" i="14"/>
  <c r="GJ15" i="14"/>
  <c r="GR15" i="14"/>
  <c r="GZ15" i="14"/>
  <c r="HH15" i="14"/>
  <c r="GK15" i="14"/>
  <c r="GS15" i="14"/>
  <c r="HA15" i="14"/>
  <c r="HI15" i="14"/>
  <c r="GL15" i="14"/>
  <c r="GT15" i="14"/>
  <c r="HB15" i="14"/>
  <c r="HJ15" i="14"/>
  <c r="GM15" i="14"/>
  <c r="GU15" i="14"/>
  <c r="HC15" i="14"/>
  <c r="GN15" i="14"/>
  <c r="GV15" i="14"/>
  <c r="HD15" i="14"/>
  <c r="GP7" i="14"/>
  <c r="GX7" i="14"/>
  <c r="HF7" i="14"/>
  <c r="GQ7" i="14"/>
  <c r="GY7" i="14"/>
  <c r="HG7" i="14"/>
  <c r="GJ7" i="14"/>
  <c r="GR7" i="14"/>
  <c r="GZ7" i="14"/>
  <c r="HH7" i="14"/>
  <c r="GK7" i="14"/>
  <c r="GS7" i="14"/>
  <c r="HA7" i="14"/>
  <c r="HI7" i="14"/>
  <c r="GL7" i="14"/>
  <c r="GT7" i="14"/>
  <c r="HB7" i="14"/>
  <c r="HJ7" i="14"/>
  <c r="GM7" i="14"/>
  <c r="GU7" i="14"/>
  <c r="HC7" i="14"/>
  <c r="GN7" i="14"/>
  <c r="GV7" i="14"/>
  <c r="HD7" i="14"/>
  <c r="GV6" i="14"/>
  <c r="HF55" i="14"/>
  <c r="GX55" i="14"/>
  <c r="GP55" i="14"/>
  <c r="HI54" i="14"/>
  <c r="HA54" i="14"/>
  <c r="GS54" i="14"/>
  <c r="GK54" i="14"/>
  <c r="HD53" i="14"/>
  <c r="GV53" i="14"/>
  <c r="GN53" i="14"/>
  <c r="HG52" i="14"/>
  <c r="GY52" i="14"/>
  <c r="GQ52" i="14"/>
  <c r="HJ51" i="14"/>
  <c r="HB51" i="14"/>
  <c r="GT51" i="14"/>
  <c r="GL51" i="14"/>
  <c r="HE50" i="14"/>
  <c r="GW50" i="14"/>
  <c r="GO50" i="14"/>
  <c r="HH49" i="14"/>
  <c r="GZ49" i="14"/>
  <c r="GR49" i="14"/>
  <c r="HC48" i="14"/>
  <c r="GU48" i="14"/>
  <c r="GM48" i="14"/>
  <c r="HF47" i="14"/>
  <c r="GX47" i="14"/>
  <c r="GP47" i="14"/>
  <c r="HI46" i="14"/>
  <c r="HA46" i="14"/>
  <c r="GS46" i="14"/>
  <c r="GK46" i="14"/>
  <c r="HD45" i="14"/>
  <c r="GV45" i="14"/>
  <c r="GN45" i="14"/>
  <c r="HG44" i="14"/>
  <c r="GY44" i="14"/>
  <c r="GQ44" i="14"/>
  <c r="HJ43" i="14"/>
  <c r="HB43" i="14"/>
  <c r="GT43" i="14"/>
  <c r="GL43" i="14"/>
  <c r="HE42" i="14"/>
  <c r="GW42" i="14"/>
  <c r="GO42" i="14"/>
  <c r="HH41" i="14"/>
  <c r="GZ41" i="14"/>
  <c r="GR41" i="14"/>
  <c r="HC40" i="14"/>
  <c r="GU40" i="14"/>
  <c r="GM40" i="14"/>
  <c r="HF39" i="14"/>
  <c r="GX39" i="14"/>
  <c r="GP39" i="14"/>
  <c r="HI38" i="14"/>
  <c r="HA38" i="14"/>
  <c r="GS38" i="14"/>
  <c r="GK38" i="14"/>
  <c r="HD37" i="14"/>
  <c r="GV37" i="14"/>
  <c r="GN37" i="14"/>
  <c r="GY36" i="14"/>
  <c r="HJ35" i="14"/>
  <c r="HB35" i="14"/>
  <c r="GT35" i="14"/>
  <c r="GL35" i="14"/>
  <c r="HE34" i="14"/>
  <c r="GO34" i="14"/>
  <c r="HH33" i="14"/>
  <c r="GM32" i="14"/>
  <c r="HF31" i="14"/>
  <c r="GX31" i="14"/>
  <c r="GP31" i="14"/>
  <c r="HI30" i="14"/>
  <c r="HC29" i="14"/>
  <c r="GX28" i="14"/>
  <c r="HC27" i="14"/>
  <c r="GS27" i="14"/>
  <c r="HJ25" i="14"/>
  <c r="GZ23" i="14"/>
  <c r="HI19" i="14"/>
  <c r="GO15" i="14"/>
  <c r="GQ29" i="14"/>
  <c r="GY29" i="14"/>
  <c r="HG29" i="14"/>
  <c r="GL29" i="14"/>
  <c r="GT29" i="14"/>
  <c r="HB29" i="14"/>
  <c r="GL53" i="14"/>
  <c r="GL22" i="14"/>
  <c r="GT22" i="14"/>
  <c r="HB22" i="14"/>
  <c r="GM22" i="14"/>
  <c r="GU22" i="14"/>
  <c r="HC22" i="14"/>
  <c r="GN22" i="14"/>
  <c r="GV22" i="14"/>
  <c r="HD22" i="14"/>
  <c r="GO22" i="14"/>
  <c r="GW22" i="14"/>
  <c r="HE22" i="14"/>
  <c r="GP22" i="14"/>
  <c r="GX22" i="14"/>
  <c r="HF22" i="14"/>
  <c r="GQ22" i="14"/>
  <c r="GY22" i="14"/>
  <c r="HG22" i="14"/>
  <c r="GK14" i="14"/>
  <c r="GS14" i="14"/>
  <c r="HA14" i="14"/>
  <c r="HI14" i="14"/>
  <c r="GL14" i="14"/>
  <c r="GT14" i="14"/>
  <c r="HB14" i="14"/>
  <c r="HJ14" i="14"/>
  <c r="GM14" i="14"/>
  <c r="GU14" i="14"/>
  <c r="HC14" i="14"/>
  <c r="GN14" i="14"/>
  <c r="GV14" i="14"/>
  <c r="HD14" i="14"/>
  <c r="GO14" i="14"/>
  <c r="GW14" i="14"/>
  <c r="HE14" i="14"/>
  <c r="GP14" i="14"/>
  <c r="GX14" i="14"/>
  <c r="HF14" i="14"/>
  <c r="GQ14" i="14"/>
  <c r="GY14" i="14"/>
  <c r="HG14" i="14"/>
  <c r="GJ6" i="14"/>
  <c r="HC6" i="14"/>
  <c r="GU6" i="14"/>
  <c r="GM6" i="14"/>
  <c r="HE55" i="14"/>
  <c r="GW55" i="14"/>
  <c r="GO55" i="14"/>
  <c r="HH54" i="14"/>
  <c r="GZ54" i="14"/>
  <c r="GR54" i="14"/>
  <c r="GJ54" i="14"/>
  <c r="HC53" i="14"/>
  <c r="GU53" i="14"/>
  <c r="GM53" i="14"/>
  <c r="HF52" i="14"/>
  <c r="GX52" i="14"/>
  <c r="GP52" i="14"/>
  <c r="HI51" i="14"/>
  <c r="HA51" i="14"/>
  <c r="GS51" i="14"/>
  <c r="GK51" i="14"/>
  <c r="HD50" i="14"/>
  <c r="GV50" i="14"/>
  <c r="GN50" i="14"/>
  <c r="HG49" i="14"/>
  <c r="GY49" i="14"/>
  <c r="GQ49" i="14"/>
  <c r="HJ48" i="14"/>
  <c r="HB48" i="14"/>
  <c r="GT48" i="14"/>
  <c r="GL48" i="14"/>
  <c r="HE47" i="14"/>
  <c r="GW47" i="14"/>
  <c r="GO47" i="14"/>
  <c r="HH46" i="14"/>
  <c r="GZ46" i="14"/>
  <c r="GR46" i="14"/>
  <c r="GJ46" i="14"/>
  <c r="HC45" i="14"/>
  <c r="GU45" i="14"/>
  <c r="GM45" i="14"/>
  <c r="HF44" i="14"/>
  <c r="GX44" i="14"/>
  <c r="GP44" i="14"/>
  <c r="HI43" i="14"/>
  <c r="HA43" i="14"/>
  <c r="GS43" i="14"/>
  <c r="GK43" i="14"/>
  <c r="HD42" i="14"/>
  <c r="GV42" i="14"/>
  <c r="GN42" i="14"/>
  <c r="HG41" i="14"/>
  <c r="GY41" i="14"/>
  <c r="GQ41" i="14"/>
  <c r="HJ40" i="14"/>
  <c r="HB40" i="14"/>
  <c r="GT40" i="14"/>
  <c r="GL40" i="14"/>
  <c r="HE39" i="14"/>
  <c r="GW39" i="14"/>
  <c r="GO39" i="14"/>
  <c r="HH38" i="14"/>
  <c r="GZ38" i="14"/>
  <c r="GR38" i="14"/>
  <c r="GJ38" i="14"/>
  <c r="HC37" i="14"/>
  <c r="GU37" i="14"/>
  <c r="GM37" i="14"/>
  <c r="HF36" i="14"/>
  <c r="GX36" i="14"/>
  <c r="HI35" i="14"/>
  <c r="HA35" i="14"/>
  <c r="GS35" i="14"/>
  <c r="GK35" i="14"/>
  <c r="HD34" i="14"/>
  <c r="GV34" i="14"/>
  <c r="GN34" i="14"/>
  <c r="HG33" i="14"/>
  <c r="GY33" i="14"/>
  <c r="GQ33" i="14"/>
  <c r="HJ32" i="14"/>
  <c r="HB32" i="14"/>
  <c r="GT32" i="14"/>
  <c r="GL32" i="14"/>
  <c r="HE31" i="14"/>
  <c r="GW31" i="14"/>
  <c r="HH30" i="14"/>
  <c r="GZ30" i="14"/>
  <c r="GR30" i="14"/>
  <c r="GJ30" i="14"/>
  <c r="HA29" i="14"/>
  <c r="GP29" i="14"/>
  <c r="HG28" i="14"/>
  <c r="GV28" i="14"/>
  <c r="GK28" i="14"/>
  <c r="HB27" i="14"/>
  <c r="GQ27" i="14"/>
  <c r="HG26" i="14"/>
  <c r="GW26" i="14"/>
  <c r="HI25" i="14"/>
  <c r="GS25" i="14"/>
  <c r="HD24" i="14"/>
  <c r="GN24" i="14"/>
  <c r="GY23" i="14"/>
  <c r="HI22" i="14"/>
  <c r="HD21" i="14"/>
  <c r="HA19" i="14"/>
  <c r="GQ17" i="14"/>
  <c r="HH14" i="14"/>
  <c r="GX12" i="14"/>
  <c r="GN10" i="14"/>
  <c r="HE7" i="14"/>
  <c r="EE110" i="14"/>
  <c r="EG81" i="14"/>
  <c r="EQ73" i="14"/>
  <c r="ER65" i="14"/>
  <c r="ER88" i="14"/>
  <c r="ER80" i="14"/>
  <c r="EO61" i="14"/>
  <c r="EJ84" i="14"/>
  <c r="FU99" i="14"/>
  <c r="FU101" i="14"/>
  <c r="FW95" i="14"/>
  <c r="FU65" i="14"/>
  <c r="FU90" i="14"/>
  <c r="FX88" i="14"/>
  <c r="FW110" i="14"/>
  <c r="FT84" i="14"/>
  <c r="FR102" i="14"/>
  <c r="FP78" i="14"/>
  <c r="FP62" i="14"/>
  <c r="FR109" i="14"/>
  <c r="FS61" i="14"/>
  <c r="FQ81" i="14"/>
  <c r="FR97" i="14"/>
  <c r="FP81" i="14"/>
  <c r="FS78" i="14"/>
  <c r="FQ92" i="14"/>
  <c r="FO89" i="14"/>
  <c r="FO94" i="14"/>
  <c r="FO79" i="14"/>
  <c r="FO71" i="14"/>
  <c r="FO93" i="14"/>
  <c r="FL105" i="14"/>
  <c r="FM105" i="14"/>
  <c r="FM90" i="14"/>
  <c r="FM101" i="14"/>
  <c r="FL73" i="14"/>
  <c r="FL96" i="14"/>
  <c r="FL85" i="14"/>
  <c r="FL101" i="14"/>
  <c r="FM100" i="14"/>
  <c r="FN61" i="14"/>
  <c r="FN83" i="14"/>
  <c r="FM64" i="14"/>
  <c r="FJ86" i="14"/>
  <c r="FL107" i="14"/>
  <c r="FV99" i="14"/>
  <c r="FI65" i="14"/>
  <c r="FN106" i="14"/>
  <c r="FV106" i="14"/>
  <c r="FO106" i="14"/>
  <c r="FW106" i="14"/>
  <c r="FP106" i="14"/>
  <c r="FX106" i="14"/>
  <c r="FQ106" i="14"/>
  <c r="FJ106" i="14"/>
  <c r="FR106" i="14"/>
  <c r="FK106" i="14"/>
  <c r="FS106" i="14"/>
  <c r="FK98" i="14"/>
  <c r="FS98" i="14"/>
  <c r="FL98" i="14"/>
  <c r="FT98" i="14"/>
  <c r="FM98" i="14"/>
  <c r="FU98" i="14"/>
  <c r="FN98" i="14"/>
  <c r="FV98" i="14"/>
  <c r="FO98" i="14"/>
  <c r="FW98" i="14"/>
  <c r="FP98" i="14"/>
  <c r="FX98" i="14"/>
  <c r="FN90" i="14"/>
  <c r="FV90" i="14"/>
  <c r="FO90" i="14"/>
  <c r="FW90" i="14"/>
  <c r="FP90" i="14"/>
  <c r="FX90" i="14"/>
  <c r="FH90" i="14"/>
  <c r="FQ90" i="14"/>
  <c r="GD90" i="14"/>
  <c r="FJ90" i="14"/>
  <c r="FR90" i="14"/>
  <c r="FK90" i="14"/>
  <c r="FS90" i="14"/>
  <c r="FJ82" i="14"/>
  <c r="FR82" i="14"/>
  <c r="GB82" i="14"/>
  <c r="FK82" i="14"/>
  <c r="FS82" i="14"/>
  <c r="FL82" i="14"/>
  <c r="FT82" i="14"/>
  <c r="FM82" i="14"/>
  <c r="FU82" i="14"/>
  <c r="FN82" i="14"/>
  <c r="FV82" i="14"/>
  <c r="FO82" i="14"/>
  <c r="FW82" i="14"/>
  <c r="FN74" i="14"/>
  <c r="FV74" i="14"/>
  <c r="FO74" i="14"/>
  <c r="FW74" i="14"/>
  <c r="FP74" i="14"/>
  <c r="FX74" i="14"/>
  <c r="FQ74" i="14"/>
  <c r="FJ74" i="14"/>
  <c r="FR74" i="14"/>
  <c r="FK74" i="14"/>
  <c r="FS74" i="14"/>
  <c r="FL74" i="14"/>
  <c r="FM74" i="14"/>
  <c r="FT74" i="14"/>
  <c r="FK66" i="14"/>
  <c r="FS66" i="14"/>
  <c r="GD66" i="14"/>
  <c r="FL66" i="14"/>
  <c r="FT66" i="14"/>
  <c r="FM66" i="14"/>
  <c r="FU66" i="14"/>
  <c r="FN66" i="14"/>
  <c r="FV66" i="14"/>
  <c r="FO66" i="14"/>
  <c r="FW66" i="14"/>
  <c r="FE66" i="14"/>
  <c r="FP66" i="14"/>
  <c r="FX66" i="14"/>
  <c r="FJ66" i="14"/>
  <c r="FQ66" i="14"/>
  <c r="FR66" i="14"/>
  <c r="GA66" i="14"/>
  <c r="GB66" i="14"/>
  <c r="FO61" i="14"/>
  <c r="FK110" i="14"/>
  <c r="FQ103" i="14"/>
  <c r="FT101" i="14"/>
  <c r="FE98" i="14"/>
  <c r="FK96" i="14"/>
  <c r="FN94" i="14"/>
  <c r="FP92" i="14"/>
  <c r="FT90" i="14"/>
  <c r="FK85" i="14"/>
  <c r="FM83" i="14"/>
  <c r="FV72" i="14"/>
  <c r="FO99" i="14"/>
  <c r="FW99" i="14"/>
  <c r="FE99" i="14"/>
  <c r="FP99" i="14"/>
  <c r="FX99" i="14"/>
  <c r="FH99" i="14"/>
  <c r="FQ99" i="14"/>
  <c r="FY99" i="14"/>
  <c r="FJ99" i="14"/>
  <c r="FR99" i="14"/>
  <c r="FK99" i="14"/>
  <c r="FS99" i="14"/>
  <c r="FL99" i="14"/>
  <c r="FT99" i="14"/>
  <c r="FR103" i="14"/>
  <c r="FJ98" i="14"/>
  <c r="FJ81" i="14"/>
  <c r="FR81" i="14"/>
  <c r="FK81" i="14"/>
  <c r="FS81" i="14"/>
  <c r="FL81" i="14"/>
  <c r="FT81" i="14"/>
  <c r="FM81" i="14"/>
  <c r="FU81" i="14"/>
  <c r="FN81" i="14"/>
  <c r="FV81" i="14"/>
  <c r="FO81" i="14"/>
  <c r="FW81" i="14"/>
  <c r="FN65" i="14"/>
  <c r="FV65" i="14"/>
  <c r="FO65" i="14"/>
  <c r="FW65" i="14"/>
  <c r="FP65" i="14"/>
  <c r="FX65" i="14"/>
  <c r="FQ65" i="14"/>
  <c r="GD65" i="14"/>
  <c r="FJ65" i="14"/>
  <c r="FR65" i="14"/>
  <c r="FK65" i="14"/>
  <c r="FS65" i="14"/>
  <c r="FL65" i="14"/>
  <c r="FM65" i="14"/>
  <c r="FT65" i="14"/>
  <c r="FN99" i="14"/>
  <c r="FS97" i="14"/>
  <c r="FD112" i="14"/>
  <c r="FP61" i="14"/>
  <c r="FX61" i="14"/>
  <c r="FQ61" i="14"/>
  <c r="GB61" i="14"/>
  <c r="FJ61" i="14"/>
  <c r="FR61" i="14"/>
  <c r="GC61" i="14"/>
  <c r="FL61" i="14"/>
  <c r="FT61" i="14"/>
  <c r="FM61" i="14"/>
  <c r="FU61" i="14"/>
  <c r="FD104" i="14"/>
  <c r="FQ104" i="14"/>
  <c r="GC104" i="14"/>
  <c r="FJ104" i="14"/>
  <c r="FR104" i="14"/>
  <c r="GD104" i="14"/>
  <c r="FK104" i="14"/>
  <c r="FS104" i="14"/>
  <c r="FL104" i="14"/>
  <c r="FT104" i="14"/>
  <c r="FM104" i="14"/>
  <c r="FU104" i="14"/>
  <c r="FN104" i="14"/>
  <c r="FV104" i="14"/>
  <c r="FM96" i="14"/>
  <c r="FU96" i="14"/>
  <c r="FN96" i="14"/>
  <c r="FV96" i="14"/>
  <c r="FO96" i="14"/>
  <c r="FW96" i="14"/>
  <c r="FD96" i="14"/>
  <c r="FP96" i="14"/>
  <c r="FX96" i="14"/>
  <c r="FI96" i="14"/>
  <c r="FQ96" i="14"/>
  <c r="FY96" i="14"/>
  <c r="FJ96" i="14"/>
  <c r="FR96" i="14"/>
  <c r="FK61" i="14"/>
  <c r="FY109" i="14"/>
  <c r="FQ108" i="14"/>
  <c r="FT106" i="14"/>
  <c r="FW104" i="14"/>
  <c r="FM99" i="14"/>
  <c r="FV95" i="14"/>
  <c r="FW93" i="14"/>
  <c r="FL90" i="14"/>
  <c r="FQ86" i="14"/>
  <c r="FS84" i="14"/>
  <c r="FX82" i="14"/>
  <c r="FD81" i="14"/>
  <c r="GB63" i="14"/>
  <c r="FL91" i="14"/>
  <c r="FT91" i="14"/>
  <c r="FM91" i="14"/>
  <c r="FU91" i="14"/>
  <c r="FN91" i="14"/>
  <c r="FV91" i="14"/>
  <c r="FO91" i="14"/>
  <c r="FW91" i="14"/>
  <c r="FD91" i="14"/>
  <c r="FP91" i="14"/>
  <c r="FX91" i="14"/>
  <c r="FE91" i="14"/>
  <c r="FQ91" i="14"/>
  <c r="GB91" i="14"/>
  <c r="FL97" i="14"/>
  <c r="FT97" i="14"/>
  <c r="FM97" i="14"/>
  <c r="FU97" i="14"/>
  <c r="FN97" i="14"/>
  <c r="FV97" i="14"/>
  <c r="FO97" i="14"/>
  <c r="FW97" i="14"/>
  <c r="FP97" i="14"/>
  <c r="FX97" i="14"/>
  <c r="FD97" i="14"/>
  <c r="FQ97" i="14"/>
  <c r="FX104" i="14"/>
  <c r="FJ103" i="14"/>
  <c r="FK103" i="14"/>
  <c r="FS103" i="14"/>
  <c r="FL103" i="14"/>
  <c r="FT103" i="14"/>
  <c r="FM103" i="14"/>
  <c r="FU103" i="14"/>
  <c r="FN103" i="14"/>
  <c r="FV103" i="14"/>
  <c r="FO103" i="14"/>
  <c r="FW103" i="14"/>
  <c r="FP103" i="14"/>
  <c r="FX103" i="14"/>
  <c r="FP95" i="14"/>
  <c r="FX95" i="14"/>
  <c r="FD95" i="14"/>
  <c r="FQ95" i="14"/>
  <c r="GB95" i="14"/>
  <c r="FJ95" i="14"/>
  <c r="FR95" i="14"/>
  <c r="GC95" i="14"/>
  <c r="FK95" i="14"/>
  <c r="FS95" i="14"/>
  <c r="FL95" i="14"/>
  <c r="FT95" i="14"/>
  <c r="FM95" i="14"/>
  <c r="FU95" i="14"/>
  <c r="FL79" i="14"/>
  <c r="FX63" i="14"/>
  <c r="FV109" i="14"/>
  <c r="FJ108" i="14"/>
  <c r="FM106" i="14"/>
  <c r="FP104" i="14"/>
  <c r="FU100" i="14"/>
  <c r="GB98" i="14"/>
  <c r="FK97" i="14"/>
  <c r="FO95" i="14"/>
  <c r="FP93" i="14"/>
  <c r="FS91" i="14"/>
  <c r="FW89" i="14"/>
  <c r="FY87" i="14"/>
  <c r="FL84" i="14"/>
  <c r="FQ82" i="14"/>
  <c r="FQ80" i="14"/>
  <c r="FR69" i="14"/>
  <c r="FE110" i="14"/>
  <c r="FP110" i="14"/>
  <c r="FX110" i="14"/>
  <c r="FI110" i="14"/>
  <c r="FQ110" i="14"/>
  <c r="FJ110" i="14"/>
  <c r="FR110" i="14"/>
  <c r="FL110" i="14"/>
  <c r="FT110" i="14"/>
  <c r="FM110" i="14"/>
  <c r="FU110" i="14"/>
  <c r="FK102" i="14"/>
  <c r="FS102" i="14"/>
  <c r="FL102" i="14"/>
  <c r="FT102" i="14"/>
  <c r="FM102" i="14"/>
  <c r="FU102" i="14"/>
  <c r="FN102" i="14"/>
  <c r="FV102" i="14"/>
  <c r="FO102" i="14"/>
  <c r="FW102" i="14"/>
  <c r="FD102" i="14"/>
  <c r="FP102" i="14"/>
  <c r="FX102" i="14"/>
  <c r="FP94" i="14"/>
  <c r="FX94" i="14"/>
  <c r="FD94" i="14"/>
  <c r="FQ94" i="14"/>
  <c r="FJ94" i="14"/>
  <c r="FR94" i="14"/>
  <c r="FK94" i="14"/>
  <c r="FS94" i="14"/>
  <c r="FL94" i="14"/>
  <c r="FT94" i="14"/>
  <c r="FM94" i="14"/>
  <c r="FU94" i="14"/>
  <c r="FK86" i="14"/>
  <c r="FS86" i="14"/>
  <c r="FL86" i="14"/>
  <c r="FT86" i="14"/>
  <c r="FM86" i="14"/>
  <c r="FU86" i="14"/>
  <c r="FN86" i="14"/>
  <c r="FV86" i="14"/>
  <c r="FO86" i="14"/>
  <c r="FW86" i="14"/>
  <c r="FP86" i="14"/>
  <c r="FX86" i="14"/>
  <c r="FE78" i="14"/>
  <c r="FQ78" i="14"/>
  <c r="FJ78" i="14"/>
  <c r="FR78" i="14"/>
  <c r="FK78" i="14"/>
  <c r="FL78" i="14"/>
  <c r="FM78" i="14"/>
  <c r="FU78" i="14"/>
  <c r="FN78" i="14"/>
  <c r="FV78" i="14"/>
  <c r="FT78" i="14"/>
  <c r="FW78" i="14"/>
  <c r="FX78" i="14"/>
  <c r="FD78" i="14"/>
  <c r="FO78" i="14"/>
  <c r="FJ70" i="14"/>
  <c r="FR70" i="14"/>
  <c r="FK70" i="14"/>
  <c r="FS70" i="14"/>
  <c r="FL70" i="14"/>
  <c r="FT70" i="14"/>
  <c r="FM70" i="14"/>
  <c r="FU70" i="14"/>
  <c r="FN70" i="14"/>
  <c r="FV70" i="14"/>
  <c r="FO70" i="14"/>
  <c r="FW70" i="14"/>
  <c r="FD70" i="14"/>
  <c r="FP70" i="14"/>
  <c r="FQ70" i="14"/>
  <c r="FX70" i="14"/>
  <c r="FJ62" i="14"/>
  <c r="FR62" i="14"/>
  <c r="FK62" i="14"/>
  <c r="FS62" i="14"/>
  <c r="FL62" i="14"/>
  <c r="FT62" i="14"/>
  <c r="FM62" i="14"/>
  <c r="FU62" i="14"/>
  <c r="FN62" i="14"/>
  <c r="FV62" i="14"/>
  <c r="FO62" i="14"/>
  <c r="FW62" i="14"/>
  <c r="FQ62" i="14"/>
  <c r="FX62" i="14"/>
  <c r="FD62" i="14"/>
  <c r="FV110" i="14"/>
  <c r="FL106" i="14"/>
  <c r="FO104" i="14"/>
  <c r="FQ102" i="14"/>
  <c r="FT100" i="14"/>
  <c r="GA98" i="14"/>
  <c r="FJ97" i="14"/>
  <c r="FN95" i="14"/>
  <c r="FR91" i="14"/>
  <c r="FV89" i="14"/>
  <c r="FX87" i="14"/>
  <c r="FD86" i="14"/>
  <c r="FK84" i="14"/>
  <c r="FP82" i="14"/>
  <c r="FP80" i="14"/>
  <c r="FR76" i="14"/>
  <c r="FE62" i="14"/>
  <c r="FM107" i="14"/>
  <c r="FU107" i="14"/>
  <c r="FN107" i="14"/>
  <c r="FV107" i="14"/>
  <c r="FO107" i="14"/>
  <c r="FW107" i="14"/>
  <c r="FD107" i="14"/>
  <c r="FP107" i="14"/>
  <c r="FX107" i="14"/>
  <c r="FI107" i="14"/>
  <c r="FQ107" i="14"/>
  <c r="GB107" i="14"/>
  <c r="FJ107" i="14"/>
  <c r="FR107" i="14"/>
  <c r="GC107" i="14"/>
  <c r="FN105" i="14"/>
  <c r="FV105" i="14"/>
  <c r="FO105" i="14"/>
  <c r="FW105" i="14"/>
  <c r="FD105" i="14"/>
  <c r="FP105" i="14"/>
  <c r="FX105" i="14"/>
  <c r="FI105" i="14"/>
  <c r="FQ105" i="14"/>
  <c r="FJ105" i="14"/>
  <c r="FR105" i="14"/>
  <c r="FK105" i="14"/>
  <c r="FS105" i="14"/>
  <c r="FR108" i="14"/>
  <c r="FX93" i="14"/>
  <c r="FP88" i="14"/>
  <c r="FK109" i="14"/>
  <c r="FS109" i="14"/>
  <c r="FL109" i="14"/>
  <c r="FT109" i="14"/>
  <c r="FM109" i="14"/>
  <c r="FU109" i="14"/>
  <c r="FO109" i="14"/>
  <c r="FW109" i="14"/>
  <c r="FP109" i="14"/>
  <c r="FX109" i="14"/>
  <c r="FN101" i="14"/>
  <c r="FV101" i="14"/>
  <c r="FO101" i="14"/>
  <c r="FW101" i="14"/>
  <c r="FP101" i="14"/>
  <c r="FX101" i="14"/>
  <c r="FD101" i="14"/>
  <c r="FQ101" i="14"/>
  <c r="GB101" i="14"/>
  <c r="FJ101" i="14"/>
  <c r="FR101" i="14"/>
  <c r="GC101" i="14"/>
  <c r="FK101" i="14"/>
  <c r="FS101" i="14"/>
  <c r="FH93" i="14"/>
  <c r="FQ93" i="14"/>
  <c r="FY93" i="14"/>
  <c r="FJ93" i="14"/>
  <c r="FR93" i="14"/>
  <c r="FK93" i="14"/>
  <c r="FS93" i="14"/>
  <c r="FL93" i="14"/>
  <c r="FT93" i="14"/>
  <c r="FM93" i="14"/>
  <c r="FU93" i="14"/>
  <c r="FN93" i="14"/>
  <c r="FV93" i="14"/>
  <c r="FY77" i="14"/>
  <c r="FJ69" i="14"/>
  <c r="FW61" i="14"/>
  <c r="FS110" i="14"/>
  <c r="FQ109" i="14"/>
  <c r="FT107" i="14"/>
  <c r="FU105" i="14"/>
  <c r="GD103" i="14"/>
  <c r="FJ102" i="14"/>
  <c r="FR98" i="14"/>
  <c r="FT96" i="14"/>
  <c r="FW94" i="14"/>
  <c r="FD93" i="14"/>
  <c r="FK91" i="14"/>
  <c r="FT85" i="14"/>
  <c r="FD82" i="14"/>
  <c r="GC79" i="14"/>
  <c r="FP89" i="14"/>
  <c r="FX89" i="14"/>
  <c r="FD89" i="14"/>
  <c r="FQ89" i="14"/>
  <c r="GD89" i="14"/>
  <c r="FJ89" i="14"/>
  <c r="FR89" i="14"/>
  <c r="FK89" i="14"/>
  <c r="FS89" i="14"/>
  <c r="FL89" i="14"/>
  <c r="FT89" i="14"/>
  <c r="FM89" i="14"/>
  <c r="FU89" i="14"/>
  <c r="FN73" i="14"/>
  <c r="FV73" i="14"/>
  <c r="FO73" i="14"/>
  <c r="FW73" i="14"/>
  <c r="FP73" i="14"/>
  <c r="FX73" i="14"/>
  <c r="FD73" i="14"/>
  <c r="FQ73" i="14"/>
  <c r="FJ73" i="14"/>
  <c r="FR73" i="14"/>
  <c r="FK73" i="14"/>
  <c r="FS73" i="14"/>
  <c r="FM73" i="14"/>
  <c r="FT73" i="14"/>
  <c r="FU73" i="14"/>
  <c r="FF81" i="14"/>
  <c r="FK108" i="14"/>
  <c r="FS108" i="14"/>
  <c r="FL108" i="14"/>
  <c r="FT108" i="14"/>
  <c r="FM108" i="14"/>
  <c r="FU108" i="14"/>
  <c r="FN108" i="14"/>
  <c r="FV108" i="14"/>
  <c r="FO108" i="14"/>
  <c r="FW108" i="14"/>
  <c r="FP108" i="14"/>
  <c r="FX108" i="14"/>
  <c r="FN100" i="14"/>
  <c r="FV100" i="14"/>
  <c r="FO100" i="14"/>
  <c r="FW100" i="14"/>
  <c r="FP100" i="14"/>
  <c r="FX100" i="14"/>
  <c r="FD100" i="14"/>
  <c r="FQ100" i="14"/>
  <c r="FJ100" i="14"/>
  <c r="FR100" i="14"/>
  <c r="FK100" i="14"/>
  <c r="FS100" i="14"/>
  <c r="FJ92" i="14"/>
  <c r="FR92" i="14"/>
  <c r="FK92" i="14"/>
  <c r="FS92" i="14"/>
  <c r="FL92" i="14"/>
  <c r="FT92" i="14"/>
  <c r="FM92" i="14"/>
  <c r="FU92" i="14"/>
  <c r="FN92" i="14"/>
  <c r="FV92" i="14"/>
  <c r="FO92" i="14"/>
  <c r="FW92" i="14"/>
  <c r="FI76" i="14"/>
  <c r="FK68" i="14"/>
  <c r="FV61" i="14"/>
  <c r="FO110" i="14"/>
  <c r="FN109" i="14"/>
  <c r="FS107" i="14"/>
  <c r="FT105" i="14"/>
  <c r="FY103" i="14"/>
  <c r="FI102" i="14"/>
  <c r="FL100" i="14"/>
  <c r="FQ98" i="14"/>
  <c r="FS96" i="14"/>
  <c r="FV94" i="14"/>
  <c r="FX92" i="14"/>
  <c r="FJ91" i="14"/>
  <c r="FN89" i="14"/>
  <c r="FX81" i="14"/>
  <c r="FU74" i="14"/>
  <c r="FN80" i="14"/>
  <c r="FV80" i="14"/>
  <c r="FJ80" i="14"/>
  <c r="FR80" i="14"/>
  <c r="GD80" i="14"/>
  <c r="FO72" i="14"/>
  <c r="FW72" i="14"/>
  <c r="FP72" i="14"/>
  <c r="FX72" i="14"/>
  <c r="FD72" i="14"/>
  <c r="FQ72" i="14"/>
  <c r="GC72" i="14"/>
  <c r="FJ72" i="14"/>
  <c r="FR72" i="14"/>
  <c r="FK72" i="14"/>
  <c r="FS72" i="14"/>
  <c r="FL72" i="14"/>
  <c r="FT72" i="14"/>
  <c r="FO64" i="14"/>
  <c r="FW64" i="14"/>
  <c r="FD64" i="14"/>
  <c r="FP64" i="14"/>
  <c r="FX64" i="14"/>
  <c r="FI64" i="14"/>
  <c r="FQ64" i="14"/>
  <c r="FY64" i="14"/>
  <c r="FJ64" i="14"/>
  <c r="FR64" i="14"/>
  <c r="FK64" i="14"/>
  <c r="FS64" i="14"/>
  <c r="FL64" i="14"/>
  <c r="FT64" i="14"/>
  <c r="FV88" i="14"/>
  <c r="FN88" i="14"/>
  <c r="FW87" i="14"/>
  <c r="FO87" i="14"/>
  <c r="GC85" i="14"/>
  <c r="FR85" i="14"/>
  <c r="FJ85" i="14"/>
  <c r="FR84" i="14"/>
  <c r="FJ84" i="14"/>
  <c r="FT83" i="14"/>
  <c r="FL83" i="14"/>
  <c r="FY80" i="14"/>
  <c r="FO80" i="14"/>
  <c r="FW79" i="14"/>
  <c r="FQ76" i="14"/>
  <c r="FU72" i="14"/>
  <c r="FD79" i="14"/>
  <c r="FQ79" i="14"/>
  <c r="GB79" i="14"/>
  <c r="FM79" i="14"/>
  <c r="FU79" i="14"/>
  <c r="FE71" i="14"/>
  <c r="FQ71" i="14"/>
  <c r="FY71" i="14"/>
  <c r="FJ71" i="14"/>
  <c r="FR71" i="14"/>
  <c r="GD71" i="14"/>
  <c r="FK71" i="14"/>
  <c r="FS71" i="14"/>
  <c r="FL71" i="14"/>
  <c r="FT71" i="14"/>
  <c r="FM71" i="14"/>
  <c r="FU71" i="14"/>
  <c r="FN71" i="14"/>
  <c r="FV71" i="14"/>
  <c r="FJ63" i="14"/>
  <c r="FR63" i="14"/>
  <c r="GC63" i="14"/>
  <c r="FK63" i="14"/>
  <c r="FS63" i="14"/>
  <c r="FL63" i="14"/>
  <c r="FT63" i="14"/>
  <c r="FM63" i="14"/>
  <c r="FU63" i="14"/>
  <c r="FN63" i="14"/>
  <c r="FV63" i="14"/>
  <c r="FO63" i="14"/>
  <c r="FW63" i="14"/>
  <c r="FU88" i="14"/>
  <c r="FM88" i="14"/>
  <c r="FV87" i="14"/>
  <c r="FN87" i="14"/>
  <c r="GB85" i="14"/>
  <c r="FQ85" i="14"/>
  <c r="FD85" i="14"/>
  <c r="FQ84" i="14"/>
  <c r="FF84" i="14"/>
  <c r="FS83" i="14"/>
  <c r="FK83" i="14"/>
  <c r="FX80" i="14"/>
  <c r="FM80" i="14"/>
  <c r="FV79" i="14"/>
  <c r="FK79" i="14"/>
  <c r="FJ76" i="14"/>
  <c r="FN72" i="14"/>
  <c r="FS68" i="14"/>
  <c r="FQ63" i="14"/>
  <c r="FT88" i="14"/>
  <c r="FL88" i="14"/>
  <c r="FU87" i="14"/>
  <c r="FM87" i="14"/>
  <c r="FX85" i="14"/>
  <c r="FP85" i="14"/>
  <c r="FX84" i="14"/>
  <c r="FP84" i="14"/>
  <c r="FD84" i="14"/>
  <c r="FR83" i="14"/>
  <c r="FJ83" i="14"/>
  <c r="FW80" i="14"/>
  <c r="FL80" i="14"/>
  <c r="FT79" i="14"/>
  <c r="FJ79" i="14"/>
  <c r="FM72" i="14"/>
  <c r="FR68" i="14"/>
  <c r="FP63" i="14"/>
  <c r="FK77" i="14"/>
  <c r="FS77" i="14"/>
  <c r="FL77" i="14"/>
  <c r="FT77" i="14"/>
  <c r="FM77" i="14"/>
  <c r="FU77" i="14"/>
  <c r="FN77" i="14"/>
  <c r="FV77" i="14"/>
  <c r="FO77" i="14"/>
  <c r="FW77" i="14"/>
  <c r="FP77" i="14"/>
  <c r="FX77" i="14"/>
  <c r="FL69" i="14"/>
  <c r="FT69" i="14"/>
  <c r="FM69" i="14"/>
  <c r="FU69" i="14"/>
  <c r="FN69" i="14"/>
  <c r="FV69" i="14"/>
  <c r="FO69" i="14"/>
  <c r="FW69" i="14"/>
  <c r="FP69" i="14"/>
  <c r="FX69" i="14"/>
  <c r="FD69" i="14"/>
  <c r="FQ69" i="14"/>
  <c r="GB69" i="14"/>
  <c r="FS88" i="14"/>
  <c r="FK88" i="14"/>
  <c r="FT87" i="14"/>
  <c r="FL87" i="14"/>
  <c r="FW85" i="14"/>
  <c r="FO85" i="14"/>
  <c r="FW84" i="14"/>
  <c r="FO84" i="14"/>
  <c r="FY83" i="14"/>
  <c r="FQ83" i="14"/>
  <c r="FE83" i="14"/>
  <c r="FU80" i="14"/>
  <c r="FK80" i="14"/>
  <c r="FS79" i="14"/>
  <c r="FR77" i="14"/>
  <c r="FU75" i="14"/>
  <c r="FX71" i="14"/>
  <c r="FV64" i="14"/>
  <c r="FD63" i="14"/>
  <c r="FK76" i="14"/>
  <c r="FS76" i="14"/>
  <c r="FL76" i="14"/>
  <c r="FT76" i="14"/>
  <c r="FM76" i="14"/>
  <c r="FU76" i="14"/>
  <c r="FN76" i="14"/>
  <c r="FV76" i="14"/>
  <c r="FO76" i="14"/>
  <c r="FW76" i="14"/>
  <c r="FD76" i="14"/>
  <c r="FP76" i="14"/>
  <c r="FX76" i="14"/>
  <c r="FL68" i="14"/>
  <c r="FT68" i="14"/>
  <c r="FM68" i="14"/>
  <c r="FU68" i="14"/>
  <c r="FN68" i="14"/>
  <c r="FV68" i="14"/>
  <c r="FO68" i="14"/>
  <c r="FW68" i="14"/>
  <c r="FD68" i="14"/>
  <c r="FP68" i="14"/>
  <c r="FX68" i="14"/>
  <c r="FI68" i="14"/>
  <c r="FQ68" i="14"/>
  <c r="FR88" i="14"/>
  <c r="FJ88" i="14"/>
  <c r="FS87" i="14"/>
  <c r="FK87" i="14"/>
  <c r="FV85" i="14"/>
  <c r="FN85" i="14"/>
  <c r="FV84" i="14"/>
  <c r="FN84" i="14"/>
  <c r="FX83" i="14"/>
  <c r="FP83" i="14"/>
  <c r="FD83" i="14"/>
  <c r="FT80" i="14"/>
  <c r="FD80" i="14"/>
  <c r="FR79" i="14"/>
  <c r="FQ77" i="14"/>
  <c r="FW71" i="14"/>
  <c r="GC69" i="14"/>
  <c r="FJ68" i="14"/>
  <c r="FU64" i="14"/>
  <c r="FN75" i="14"/>
  <c r="FV75" i="14"/>
  <c r="FO75" i="14"/>
  <c r="FW75" i="14"/>
  <c r="FP75" i="14"/>
  <c r="FX75" i="14"/>
  <c r="FD75" i="14"/>
  <c r="FQ75" i="14"/>
  <c r="GB75" i="14"/>
  <c r="FJ75" i="14"/>
  <c r="FR75" i="14"/>
  <c r="GC75" i="14"/>
  <c r="FK75" i="14"/>
  <c r="FS75" i="14"/>
  <c r="FN67" i="14"/>
  <c r="FV67" i="14"/>
  <c r="FD67" i="14"/>
  <c r="FO67" i="14"/>
  <c r="FW67" i="14"/>
  <c r="FE67" i="14"/>
  <c r="FP67" i="14"/>
  <c r="FX67" i="14"/>
  <c r="FF67" i="14"/>
  <c r="FQ67" i="14"/>
  <c r="FY67" i="14"/>
  <c r="FJ67" i="14"/>
  <c r="FR67" i="14"/>
  <c r="FK67" i="14"/>
  <c r="FS67" i="14"/>
  <c r="GC88" i="14"/>
  <c r="FQ88" i="14"/>
  <c r="FD88" i="14"/>
  <c r="FR87" i="14"/>
  <c r="FJ87" i="14"/>
  <c r="FU85" i="14"/>
  <c r="FM85" i="14"/>
  <c r="FU84" i="14"/>
  <c r="FM84" i="14"/>
  <c r="FW83" i="14"/>
  <c r="FO83" i="14"/>
  <c r="FS80" i="14"/>
  <c r="GD79" i="14"/>
  <c r="FP79" i="14"/>
  <c r="FJ77" i="14"/>
  <c r="FM75" i="14"/>
  <c r="FP71" i="14"/>
  <c r="FS69" i="14"/>
  <c r="FU67" i="14"/>
  <c r="FN64" i="14"/>
  <c r="FG73" i="14"/>
  <c r="FI61" i="14"/>
  <c r="FG108" i="14"/>
  <c r="FI106" i="14"/>
  <c r="FI103" i="14"/>
  <c r="FG100" i="14"/>
  <c r="FH97" i="14"/>
  <c r="FG94" i="14"/>
  <c r="FH92" i="14"/>
  <c r="FF91" i="14"/>
  <c r="FI89" i="14"/>
  <c r="FF88" i="14"/>
  <c r="FH86" i="14"/>
  <c r="FF85" i="14"/>
  <c r="FG83" i="14"/>
  <c r="FF82" i="14"/>
  <c r="FH80" i="14"/>
  <c r="FG79" i="14"/>
  <c r="FI77" i="14"/>
  <c r="FG74" i="14"/>
  <c r="FH72" i="14"/>
  <c r="FF71" i="14"/>
  <c r="FI69" i="14"/>
  <c r="FH65" i="14"/>
  <c r="FG62" i="14"/>
  <c r="FG101" i="14"/>
  <c r="FG98" i="14"/>
  <c r="FG95" i="14"/>
  <c r="FG78" i="14"/>
  <c r="FH61" i="14"/>
  <c r="FF108" i="14"/>
  <c r="FH106" i="14"/>
  <c r="FH103" i="14"/>
  <c r="FF100" i="14"/>
  <c r="FG97" i="14"/>
  <c r="FF94" i="14"/>
  <c r="FG92" i="14"/>
  <c r="FH89" i="14"/>
  <c r="FG86" i="14"/>
  <c r="FI84" i="14"/>
  <c r="FF83" i="14"/>
  <c r="FI81" i="14"/>
  <c r="FG80" i="14"/>
  <c r="FF79" i="14"/>
  <c r="FH77" i="14"/>
  <c r="FF74" i="14"/>
  <c r="FG72" i="14"/>
  <c r="FH69" i="14"/>
  <c r="FI67" i="14"/>
  <c r="FI66" i="14"/>
  <c r="FG65" i="14"/>
  <c r="FF62" i="14"/>
  <c r="FG109" i="14"/>
  <c r="FG63" i="14"/>
  <c r="FG61" i="14"/>
  <c r="FI109" i="14"/>
  <c r="FG106" i="14"/>
  <c r="FI104" i="14"/>
  <c r="FG103" i="14"/>
  <c r="FI101" i="14"/>
  <c r="FI98" i="14"/>
  <c r="FF97" i="14"/>
  <c r="FI95" i="14"/>
  <c r="FF92" i="14"/>
  <c r="FG89" i="14"/>
  <c r="FI87" i="14"/>
  <c r="FF86" i="14"/>
  <c r="FH84" i="14"/>
  <c r="FH81" i="14"/>
  <c r="FF80" i="14"/>
  <c r="FI78" i="14"/>
  <c r="FG77" i="14"/>
  <c r="FI75" i="14"/>
  <c r="FI73" i="14"/>
  <c r="FF72" i="14"/>
  <c r="FI70" i="14"/>
  <c r="FG69" i="14"/>
  <c r="FH67" i="14"/>
  <c r="FH66" i="14"/>
  <c r="FF65" i="14"/>
  <c r="FI63" i="14"/>
  <c r="FG75" i="14"/>
  <c r="FF61" i="14"/>
  <c r="FH109" i="14"/>
  <c r="FF106" i="14"/>
  <c r="FH104" i="14"/>
  <c r="FF103" i="14"/>
  <c r="FH101" i="14"/>
  <c r="FI99" i="14"/>
  <c r="FH98" i="14"/>
  <c r="FH95" i="14"/>
  <c r="FI93" i="14"/>
  <c r="FI90" i="14"/>
  <c r="FF89" i="14"/>
  <c r="FH87" i="14"/>
  <c r="FG84" i="14"/>
  <c r="FG81" i="14"/>
  <c r="FH78" i="14"/>
  <c r="FF77" i="14"/>
  <c r="FH75" i="14"/>
  <c r="FH73" i="14"/>
  <c r="FH70" i="14"/>
  <c r="FF69" i="14"/>
  <c r="FG67" i="14"/>
  <c r="FG66" i="14"/>
  <c r="FH63" i="14"/>
  <c r="FH110" i="14"/>
  <c r="FF109" i="14"/>
  <c r="FH107" i="14"/>
  <c r="FH105" i="14"/>
  <c r="FF104" i="14"/>
  <c r="FH102" i="14"/>
  <c r="FF101" i="14"/>
  <c r="FG99" i="14"/>
  <c r="FF98" i="14"/>
  <c r="FH96" i="14"/>
  <c r="FF95" i="14"/>
  <c r="FG93" i="14"/>
  <c r="FI91" i="14"/>
  <c r="FG90" i="14"/>
  <c r="FI88" i="14"/>
  <c r="FF87" i="14"/>
  <c r="FI85" i="14"/>
  <c r="FI82" i="14"/>
  <c r="FF78" i="14"/>
  <c r="FH76" i="14"/>
  <c r="FF75" i="14"/>
  <c r="FF73" i="14"/>
  <c r="FI71" i="14"/>
  <c r="FF70" i="14"/>
  <c r="FH68" i="14"/>
  <c r="FH64" i="14"/>
  <c r="FF63" i="14"/>
  <c r="FG87" i="14"/>
  <c r="FG110" i="14"/>
  <c r="FI108" i="14"/>
  <c r="FG107" i="14"/>
  <c r="FG105" i="14"/>
  <c r="FG102" i="14"/>
  <c r="FI100" i="14"/>
  <c r="FF99" i="14"/>
  <c r="FG96" i="14"/>
  <c r="FI94" i="14"/>
  <c r="FF93" i="14"/>
  <c r="FH91" i="14"/>
  <c r="FF90" i="14"/>
  <c r="FH88" i="14"/>
  <c r="FH85" i="14"/>
  <c r="FI83" i="14"/>
  <c r="FH82" i="14"/>
  <c r="FI79" i="14"/>
  <c r="FG76" i="14"/>
  <c r="FI74" i="14"/>
  <c r="FH71" i="14"/>
  <c r="FG68" i="14"/>
  <c r="FG64" i="14"/>
  <c r="FI62" i="14"/>
  <c r="FG104" i="14"/>
  <c r="FG70" i="14"/>
  <c r="FF110" i="14"/>
  <c r="FH108" i="14"/>
  <c r="FF107" i="14"/>
  <c r="FF105" i="14"/>
  <c r="FF102" i="14"/>
  <c r="FH100" i="14"/>
  <c r="FI97" i="14"/>
  <c r="FF96" i="14"/>
  <c r="FH94" i="14"/>
  <c r="FI92" i="14"/>
  <c r="FG91" i="14"/>
  <c r="FG88" i="14"/>
  <c r="FI86" i="14"/>
  <c r="FG85" i="14"/>
  <c r="FH83" i="14"/>
  <c r="FG82" i="14"/>
  <c r="FI80" i="14"/>
  <c r="FH79" i="14"/>
  <c r="FF76" i="14"/>
  <c r="FH74" i="14"/>
  <c r="FI72" i="14"/>
  <c r="FF68" i="14"/>
  <c r="FE107" i="14"/>
  <c r="FE103" i="14"/>
  <c r="FE95" i="14"/>
  <c r="FE92" i="14"/>
  <c r="FE84" i="14"/>
  <c r="FE75" i="14"/>
  <c r="FE72" i="14"/>
  <c r="FE68" i="14"/>
  <c r="FE61" i="14"/>
  <c r="FE108" i="14"/>
  <c r="FE104" i="14"/>
  <c r="FE100" i="14"/>
  <c r="FE96" i="14"/>
  <c r="FE88" i="14"/>
  <c r="FE80" i="14"/>
  <c r="FE79" i="14"/>
  <c r="FE76" i="14"/>
  <c r="FE63" i="14"/>
  <c r="FE105" i="14"/>
  <c r="FE81" i="14"/>
  <c r="FE73" i="14"/>
  <c r="FE64" i="14"/>
  <c r="FE97" i="14"/>
  <c r="FE93" i="14"/>
  <c r="FE89" i="14"/>
  <c r="FE85" i="14"/>
  <c r="FE69" i="14"/>
  <c r="FE109" i="14"/>
  <c r="FE101" i="14"/>
  <c r="FE86" i="14"/>
  <c r="FE77" i="14"/>
  <c r="FE70" i="14"/>
  <c r="FE65" i="14"/>
  <c r="FE106" i="14"/>
  <c r="FE102" i="14"/>
  <c r="FE94" i="14"/>
  <c r="FE90" i="14"/>
  <c r="FE82" i="14"/>
  <c r="GD105" i="14"/>
  <c r="GD95" i="14"/>
  <c r="GD82" i="14"/>
  <c r="GD81" i="14"/>
  <c r="GD72" i="14"/>
  <c r="GD96" i="14"/>
  <c r="GD106" i="14"/>
  <c r="GD87" i="14"/>
  <c r="GD73" i="14"/>
  <c r="GD63" i="14"/>
  <c r="GD61" i="14"/>
  <c r="GD98" i="14"/>
  <c r="GD97" i="14"/>
  <c r="GD88" i="14"/>
  <c r="GD64" i="14"/>
  <c r="GD74" i="14"/>
  <c r="FZ108" i="14"/>
  <c r="FZ102" i="14"/>
  <c r="FZ73" i="14"/>
  <c r="GA61" i="14"/>
  <c r="GC110" i="14"/>
  <c r="FY108" i="14"/>
  <c r="GA107" i="14"/>
  <c r="FY105" i="14"/>
  <c r="GB104" i="14"/>
  <c r="FY102" i="14"/>
  <c r="GA101" i="14"/>
  <c r="GC100" i="14"/>
  <c r="FZ98" i="14"/>
  <c r="GC97" i="14"/>
  <c r="GA95" i="14"/>
  <c r="GC94" i="14"/>
  <c r="FY92" i="14"/>
  <c r="GA91" i="14"/>
  <c r="FY89" i="14"/>
  <c r="GB88" i="14"/>
  <c r="FY86" i="14"/>
  <c r="GA85" i="14"/>
  <c r="GC84" i="14"/>
  <c r="FZ82" i="14"/>
  <c r="GC81" i="14"/>
  <c r="GA79" i="14"/>
  <c r="GC78" i="14"/>
  <c r="FY76" i="14"/>
  <c r="GA75" i="14"/>
  <c r="FY73" i="14"/>
  <c r="GB72" i="14"/>
  <c r="FY70" i="14"/>
  <c r="GA69" i="14"/>
  <c r="GC68" i="14"/>
  <c r="FZ66" i="14"/>
  <c r="GC65" i="14"/>
  <c r="GA63" i="14"/>
  <c r="GC62" i="14"/>
  <c r="FZ86" i="14"/>
  <c r="FZ61" i="14"/>
  <c r="GB110" i="14"/>
  <c r="FZ107" i="14"/>
  <c r="GC106" i="14"/>
  <c r="GA104" i="14"/>
  <c r="FZ101" i="14"/>
  <c r="GB100" i="14"/>
  <c r="FY98" i="14"/>
  <c r="GB97" i="14"/>
  <c r="FZ95" i="14"/>
  <c r="GB94" i="14"/>
  <c r="FZ91" i="14"/>
  <c r="GC90" i="14"/>
  <c r="GA88" i="14"/>
  <c r="FZ85" i="14"/>
  <c r="GB84" i="14"/>
  <c r="FY82" i="14"/>
  <c r="GB81" i="14"/>
  <c r="FZ79" i="14"/>
  <c r="GB78" i="14"/>
  <c r="FZ75" i="14"/>
  <c r="GC74" i="14"/>
  <c r="GA72" i="14"/>
  <c r="FZ69" i="14"/>
  <c r="GB68" i="14"/>
  <c r="FY66" i="14"/>
  <c r="GB65" i="14"/>
  <c r="FZ63" i="14"/>
  <c r="GB62" i="14"/>
  <c r="FZ76" i="14"/>
  <c r="FY61" i="14"/>
  <c r="GA110" i="14"/>
  <c r="GC109" i="14"/>
  <c r="FY107" i="14"/>
  <c r="GB106" i="14"/>
  <c r="FZ104" i="14"/>
  <c r="GC103" i="14"/>
  <c r="FY101" i="14"/>
  <c r="GA100" i="14"/>
  <c r="GC99" i="14"/>
  <c r="GA97" i="14"/>
  <c r="FY95" i="14"/>
  <c r="GA94" i="14"/>
  <c r="GC93" i="14"/>
  <c r="FY91" i="14"/>
  <c r="GB90" i="14"/>
  <c r="FZ88" i="14"/>
  <c r="GC87" i="14"/>
  <c r="FY85" i="14"/>
  <c r="GA84" i="14"/>
  <c r="GC83" i="14"/>
  <c r="GA81" i="14"/>
  <c r="FY79" i="14"/>
  <c r="GA78" i="14"/>
  <c r="GC77" i="14"/>
  <c r="FY75" i="14"/>
  <c r="GB74" i="14"/>
  <c r="FZ72" i="14"/>
  <c r="GC71" i="14"/>
  <c r="FY69" i="14"/>
  <c r="GA68" i="14"/>
  <c r="GC67" i="14"/>
  <c r="GA65" i="14"/>
  <c r="FY63" i="14"/>
  <c r="GA62" i="14"/>
  <c r="FZ92" i="14"/>
  <c r="FZ89" i="14"/>
  <c r="FZ110" i="14"/>
  <c r="GB109" i="14"/>
  <c r="GA106" i="14"/>
  <c r="FY104" i="14"/>
  <c r="GB103" i="14"/>
  <c r="FZ100" i="14"/>
  <c r="GB99" i="14"/>
  <c r="FZ97" i="14"/>
  <c r="GC96" i="14"/>
  <c r="FZ94" i="14"/>
  <c r="GB93" i="14"/>
  <c r="GA90" i="14"/>
  <c r="FY88" i="14"/>
  <c r="GB87" i="14"/>
  <c r="FZ84" i="14"/>
  <c r="GB83" i="14"/>
  <c r="FZ81" i="14"/>
  <c r="GC80" i="14"/>
  <c r="FZ78" i="14"/>
  <c r="GB77" i="14"/>
  <c r="GA74" i="14"/>
  <c r="FY72" i="14"/>
  <c r="GB71" i="14"/>
  <c r="FZ68" i="14"/>
  <c r="GB67" i="14"/>
  <c r="FZ65" i="14"/>
  <c r="GC64" i="14"/>
  <c r="FZ62" i="14"/>
  <c r="FY110" i="14"/>
  <c r="GA109" i="14"/>
  <c r="GC108" i="14"/>
  <c r="FZ106" i="14"/>
  <c r="GC105" i="14"/>
  <c r="GA103" i="14"/>
  <c r="GC102" i="14"/>
  <c r="FY100" i="14"/>
  <c r="GA99" i="14"/>
  <c r="FY97" i="14"/>
  <c r="GB96" i="14"/>
  <c r="FY94" i="14"/>
  <c r="GA93" i="14"/>
  <c r="GC92" i="14"/>
  <c r="FZ90" i="14"/>
  <c r="GC89" i="14"/>
  <c r="GA87" i="14"/>
  <c r="GC86" i="14"/>
  <c r="FY84" i="14"/>
  <c r="GA83" i="14"/>
  <c r="FY81" i="14"/>
  <c r="GB80" i="14"/>
  <c r="FY78" i="14"/>
  <c r="GA77" i="14"/>
  <c r="GC76" i="14"/>
  <c r="FZ74" i="14"/>
  <c r="GC73" i="14"/>
  <c r="GA71" i="14"/>
  <c r="GC70" i="14"/>
  <c r="FY68" i="14"/>
  <c r="GA67" i="14"/>
  <c r="FY65" i="14"/>
  <c r="GB64" i="14"/>
  <c r="FY62" i="14"/>
  <c r="FZ105" i="14"/>
  <c r="FZ109" i="14"/>
  <c r="GB108" i="14"/>
  <c r="FY106" i="14"/>
  <c r="GB105" i="14"/>
  <c r="FZ103" i="14"/>
  <c r="GB102" i="14"/>
  <c r="FZ99" i="14"/>
  <c r="GC98" i="14"/>
  <c r="GA96" i="14"/>
  <c r="FZ93" i="14"/>
  <c r="GB92" i="14"/>
  <c r="FY90" i="14"/>
  <c r="GB89" i="14"/>
  <c r="FZ87" i="14"/>
  <c r="GB86" i="14"/>
  <c r="FZ83" i="14"/>
  <c r="GC82" i="14"/>
  <c r="GA80" i="14"/>
  <c r="FZ77" i="14"/>
  <c r="GB76" i="14"/>
  <c r="GB73" i="14"/>
  <c r="FZ71" i="14"/>
  <c r="FZ67" i="14"/>
  <c r="GA64" i="14"/>
  <c r="FZ70" i="14"/>
  <c r="GA108" i="14"/>
  <c r="GA105" i="14"/>
  <c r="GA102" i="14"/>
  <c r="FZ96" i="14"/>
  <c r="GA92" i="14"/>
  <c r="GA89" i="14"/>
  <c r="GA86" i="14"/>
  <c r="FZ80" i="14"/>
  <c r="GA76" i="14"/>
  <c r="GA73" i="14"/>
  <c r="GD109" i="14"/>
  <c r="GD101" i="14"/>
  <c r="GD93" i="14"/>
  <c r="GD85" i="14"/>
  <c r="GD77" i="14"/>
  <c r="GD69" i="14"/>
  <c r="GD108" i="14"/>
  <c r="GD100" i="14"/>
  <c r="GD92" i="14"/>
  <c r="GD84" i="14"/>
  <c r="GD76" i="14"/>
  <c r="GD68" i="14"/>
  <c r="GD110" i="14"/>
  <c r="GD102" i="14"/>
  <c r="GD94" i="14"/>
  <c r="GD86" i="14"/>
  <c r="GD78" i="14"/>
  <c r="GD70" i="14"/>
  <c r="GD62" i="14"/>
  <c r="GD107" i="14"/>
  <c r="GD99" i="14"/>
  <c r="GD91" i="14"/>
  <c r="GD83" i="14"/>
  <c r="GD75" i="14"/>
  <c r="EW106" i="14"/>
  <c r="EW98" i="14"/>
  <c r="EV100" i="14"/>
  <c r="EW77" i="14"/>
  <c r="EV108" i="14"/>
  <c r="EV68" i="14"/>
  <c r="EQ110" i="14"/>
  <c r="ER75" i="14"/>
  <c r="ER90" i="14"/>
  <c r="EO93" i="14"/>
  <c r="EO110" i="14"/>
  <c r="EO66" i="14"/>
  <c r="EN109" i="14"/>
  <c r="EM106" i="14"/>
  <c r="EM74" i="14"/>
  <c r="EN103" i="14"/>
  <c r="EN102" i="14"/>
  <c r="EJ62" i="14"/>
  <c r="EJ101" i="14"/>
  <c r="EG96" i="14"/>
  <c r="EG79" i="14"/>
  <c r="EG98" i="14"/>
  <c r="EI92" i="14"/>
  <c r="EG92" i="14"/>
  <c r="EE89" i="14"/>
  <c r="EB87" i="14"/>
  <c r="EC100" i="14"/>
  <c r="DZ98" i="14"/>
  <c r="DZ85" i="14"/>
  <c r="DZ108" i="14"/>
  <c r="EB107" i="14"/>
  <c r="EF99" i="14"/>
  <c r="EP91" i="14"/>
  <c r="ES83" i="14"/>
  <c r="EJ75" i="14"/>
  <c r="EF67" i="14"/>
  <c r="EG61" i="14"/>
  <c r="EJ109" i="14"/>
  <c r="EG93" i="14"/>
  <c r="EJ88" i="14"/>
  <c r="EV77" i="14"/>
  <c r="ED72" i="14"/>
  <c r="EO106" i="14"/>
  <c r="EO98" i="14"/>
  <c r="EH82" i="14"/>
  <c r="EG109" i="14"/>
  <c r="EU106" i="14"/>
  <c r="ER98" i="14"/>
  <c r="EE93" i="14"/>
  <c r="EK83" i="14"/>
  <c r="EO77" i="14"/>
  <c r="ED97" i="14"/>
  <c r="EX109" i="14"/>
  <c r="EP108" i="14"/>
  <c r="EE106" i="14"/>
  <c r="EO85" i="14"/>
  <c r="DZ82" i="14"/>
  <c r="EU74" i="14"/>
  <c r="EI110" i="14"/>
  <c r="EY102" i="14"/>
  <c r="ER94" i="14"/>
  <c r="EG86" i="14"/>
  <c r="ER78" i="14"/>
  <c r="EO70" i="14"/>
  <c r="EW109" i="14"/>
  <c r="EV103" i="14"/>
  <c r="EV99" i="14"/>
  <c r="EY94" i="14"/>
  <c r="DZ91" i="14"/>
  <c r="EH85" i="14"/>
  <c r="EO74" i="14"/>
  <c r="ER61" i="14"/>
  <c r="EO109" i="14"/>
  <c r="EU107" i="14"/>
  <c r="EP99" i="14"/>
  <c r="EW93" i="14"/>
  <c r="EU90" i="14"/>
  <c r="EG85" i="14"/>
  <c r="EJ107" i="14"/>
  <c r="EV102" i="14"/>
  <c r="EX98" i="14"/>
  <c r="EY72" i="14"/>
  <c r="EB105" i="14"/>
  <c r="EJ105" i="14"/>
  <c r="ER105" i="14"/>
  <c r="EC105" i="14"/>
  <c r="EK105" i="14"/>
  <c r="ES105" i="14"/>
  <c r="ED105" i="14"/>
  <c r="EL105" i="14"/>
  <c r="ET105" i="14"/>
  <c r="EE105" i="14"/>
  <c r="EM105" i="14"/>
  <c r="EU105" i="14"/>
  <c r="DZ105" i="14"/>
  <c r="EH105" i="14"/>
  <c r="EP105" i="14"/>
  <c r="EX105" i="14"/>
  <c r="EO105" i="14"/>
  <c r="EV105" i="14"/>
  <c r="EA105" i="14"/>
  <c r="EW105" i="14"/>
  <c r="EJ97" i="14"/>
  <c r="EX81" i="14"/>
  <c r="EE104" i="14"/>
  <c r="EM104" i="14"/>
  <c r="EU104" i="14"/>
  <c r="EF104" i="14"/>
  <c r="EN104" i="14"/>
  <c r="EV104" i="14"/>
  <c r="EG104" i="14"/>
  <c r="EO104" i="14"/>
  <c r="EW104" i="14"/>
  <c r="DZ104" i="14"/>
  <c r="EH104" i="14"/>
  <c r="EP104" i="14"/>
  <c r="EX104" i="14"/>
  <c r="EC104" i="14"/>
  <c r="EK104" i="14"/>
  <c r="ES104" i="14"/>
  <c r="EA104" i="14"/>
  <c r="ET104" i="14"/>
  <c r="ED104" i="14"/>
  <c r="EI104" i="14"/>
  <c r="EF80" i="14"/>
  <c r="EN80" i="14"/>
  <c r="EV80" i="14"/>
  <c r="EG80" i="14"/>
  <c r="EO80" i="14"/>
  <c r="EW80" i="14"/>
  <c r="DZ80" i="14"/>
  <c r="EH80" i="14"/>
  <c r="EP80" i="14"/>
  <c r="EX80" i="14"/>
  <c r="EA80" i="14"/>
  <c r="EI80" i="14"/>
  <c r="EQ80" i="14"/>
  <c r="EY80" i="14"/>
  <c r="ED80" i="14"/>
  <c r="EL80" i="14"/>
  <c r="ET80" i="14"/>
  <c r="EM80" i="14"/>
  <c r="ES80" i="14"/>
  <c r="EB80" i="14"/>
  <c r="EU80" i="14"/>
  <c r="ES107" i="14"/>
  <c r="EF105" i="14"/>
  <c r="ET103" i="14"/>
  <c r="EI97" i="14"/>
  <c r="ET94" i="14"/>
  <c r="EL93" i="14"/>
  <c r="EM89" i="14"/>
  <c r="EH88" i="14"/>
  <c r="EW86" i="14"/>
  <c r="EC83" i="14"/>
  <c r="EW81" i="14"/>
  <c r="EK80" i="14"/>
  <c r="EJ72" i="14"/>
  <c r="EF61" i="14"/>
  <c r="EN61" i="14"/>
  <c r="EV61" i="14"/>
  <c r="DZ61" i="14"/>
  <c r="EH61" i="14"/>
  <c r="EP61" i="14"/>
  <c r="EX61" i="14"/>
  <c r="EA61" i="14"/>
  <c r="EI61" i="14"/>
  <c r="EQ61" i="14"/>
  <c r="EG103" i="14"/>
  <c r="EO103" i="14"/>
  <c r="EW103" i="14"/>
  <c r="DZ103" i="14"/>
  <c r="EH103" i="14"/>
  <c r="EP103" i="14"/>
  <c r="EX103" i="14"/>
  <c r="EA103" i="14"/>
  <c r="EI103" i="14"/>
  <c r="EQ103" i="14"/>
  <c r="EB103" i="14"/>
  <c r="EJ103" i="14"/>
  <c r="ER103" i="14"/>
  <c r="EE103" i="14"/>
  <c r="EM103" i="14"/>
  <c r="EU103" i="14"/>
  <c r="ED103" i="14"/>
  <c r="EK103" i="14"/>
  <c r="EL103" i="14"/>
  <c r="EB95" i="14"/>
  <c r="EJ95" i="14"/>
  <c r="ER95" i="14"/>
  <c r="EC95" i="14"/>
  <c r="EK95" i="14"/>
  <c r="ES95" i="14"/>
  <c r="ED95" i="14"/>
  <c r="EL95" i="14"/>
  <c r="ET95" i="14"/>
  <c r="EE95" i="14"/>
  <c r="EM95" i="14"/>
  <c r="EU95" i="14"/>
  <c r="DZ95" i="14"/>
  <c r="EH95" i="14"/>
  <c r="EP95" i="14"/>
  <c r="EX95" i="14"/>
  <c r="EA95" i="14"/>
  <c r="EW95" i="14"/>
  <c r="EG95" i="14"/>
  <c r="EI95" i="14"/>
  <c r="EE87" i="14"/>
  <c r="EM87" i="14"/>
  <c r="EU87" i="14"/>
  <c r="EF87" i="14"/>
  <c r="EN87" i="14"/>
  <c r="EV87" i="14"/>
  <c r="EG87" i="14"/>
  <c r="EO87" i="14"/>
  <c r="EW87" i="14"/>
  <c r="DZ87" i="14"/>
  <c r="EH87" i="14"/>
  <c r="EP87" i="14"/>
  <c r="EX87" i="14"/>
  <c r="EC87" i="14"/>
  <c r="EK87" i="14"/>
  <c r="ES87" i="14"/>
  <c r="EA87" i="14"/>
  <c r="ET87" i="14"/>
  <c r="ED87" i="14"/>
  <c r="EI87" i="14"/>
  <c r="DZ79" i="14"/>
  <c r="EH79" i="14"/>
  <c r="EP79" i="14"/>
  <c r="EX79" i="14"/>
  <c r="EA79" i="14"/>
  <c r="EI79" i="14"/>
  <c r="EQ79" i="14"/>
  <c r="EB79" i="14"/>
  <c r="EJ79" i="14"/>
  <c r="ER79" i="14"/>
  <c r="EC79" i="14"/>
  <c r="EK79" i="14"/>
  <c r="ES79" i="14"/>
  <c r="EF79" i="14"/>
  <c r="EN79" i="14"/>
  <c r="EV79" i="14"/>
  <c r="ET79" i="14"/>
  <c r="ED79" i="14"/>
  <c r="EW79" i="14"/>
  <c r="EE79" i="14"/>
  <c r="EG71" i="14"/>
  <c r="EO71" i="14"/>
  <c r="EW71" i="14"/>
  <c r="DZ71" i="14"/>
  <c r="EH71" i="14"/>
  <c r="EP71" i="14"/>
  <c r="EX71" i="14"/>
  <c r="EA71" i="14"/>
  <c r="EI71" i="14"/>
  <c r="EQ71" i="14"/>
  <c r="EB71" i="14"/>
  <c r="EJ71" i="14"/>
  <c r="ER71" i="14"/>
  <c r="EE71" i="14"/>
  <c r="EM71" i="14"/>
  <c r="EU71" i="14"/>
  <c r="ES71" i="14"/>
  <c r="ET71" i="14"/>
  <c r="EC71" i="14"/>
  <c r="EV71" i="14"/>
  <c r="ED71" i="14"/>
  <c r="EL71" i="14"/>
  <c r="EF71" i="14"/>
  <c r="EN71" i="14"/>
  <c r="EB63" i="14"/>
  <c r="EJ63" i="14"/>
  <c r="ER63" i="14"/>
  <c r="EC63" i="14"/>
  <c r="EK63" i="14"/>
  <c r="ES63" i="14"/>
  <c r="ED63" i="14"/>
  <c r="EL63" i="14"/>
  <c r="ET63" i="14"/>
  <c r="EE63" i="14"/>
  <c r="EM63" i="14"/>
  <c r="EU63" i="14"/>
  <c r="DZ63" i="14"/>
  <c r="EH63" i="14"/>
  <c r="EP63" i="14"/>
  <c r="EX63" i="14"/>
  <c r="EO63" i="14"/>
  <c r="EQ63" i="14"/>
  <c r="EV63" i="14"/>
  <c r="EA63" i="14"/>
  <c r="EW63" i="14"/>
  <c r="EI63" i="14"/>
  <c r="EF63" i="14"/>
  <c r="EG63" i="14"/>
  <c r="EM61" i="14"/>
  <c r="EB61" i="14"/>
  <c r="EN110" i="14"/>
  <c r="DZ110" i="14"/>
  <c r="EL109" i="14"/>
  <c r="ER108" i="14"/>
  <c r="ER107" i="14"/>
  <c r="EY104" i="14"/>
  <c r="ES103" i="14"/>
  <c r="EG102" i="14"/>
  <c r="ED101" i="14"/>
  <c r="EU99" i="14"/>
  <c r="EJ98" i="14"/>
  <c r="EV95" i="14"/>
  <c r="ES90" i="14"/>
  <c r="EG89" i="14"/>
  <c r="EG88" i="14"/>
  <c r="EU86" i="14"/>
  <c r="EI84" i="14"/>
  <c r="EV82" i="14"/>
  <c r="ER81" i="14"/>
  <c r="EJ80" i="14"/>
  <c r="EK68" i="14"/>
  <c r="EW64" i="14"/>
  <c r="EE97" i="14"/>
  <c r="EM97" i="14"/>
  <c r="EU97" i="14"/>
  <c r="EF97" i="14"/>
  <c r="EN97" i="14"/>
  <c r="EV97" i="14"/>
  <c r="EG97" i="14"/>
  <c r="EO97" i="14"/>
  <c r="EW97" i="14"/>
  <c r="DZ97" i="14"/>
  <c r="EH97" i="14"/>
  <c r="EP97" i="14"/>
  <c r="EX97" i="14"/>
  <c r="EC97" i="14"/>
  <c r="EK97" i="14"/>
  <c r="ES97" i="14"/>
  <c r="EL97" i="14"/>
  <c r="ER97" i="14"/>
  <c r="EA97" i="14"/>
  <c r="ET97" i="14"/>
  <c r="DZ96" i="14"/>
  <c r="EH96" i="14"/>
  <c r="EP96" i="14"/>
  <c r="EX96" i="14"/>
  <c r="EA96" i="14"/>
  <c r="EI96" i="14"/>
  <c r="EQ96" i="14"/>
  <c r="EY96" i="14"/>
  <c r="EB96" i="14"/>
  <c r="EJ96" i="14"/>
  <c r="ER96" i="14"/>
  <c r="EC96" i="14"/>
  <c r="EK96" i="14"/>
  <c r="ES96" i="14"/>
  <c r="EF96" i="14"/>
  <c r="EN96" i="14"/>
  <c r="EV96" i="14"/>
  <c r="ET96" i="14"/>
  <c r="ED96" i="14"/>
  <c r="EW96" i="14"/>
  <c r="EE96" i="14"/>
  <c r="EE72" i="14"/>
  <c r="EM72" i="14"/>
  <c r="EU72" i="14"/>
  <c r="EF72" i="14"/>
  <c r="EN72" i="14"/>
  <c r="EV72" i="14"/>
  <c r="EG72" i="14"/>
  <c r="EO72" i="14"/>
  <c r="EW72" i="14"/>
  <c r="DZ72" i="14"/>
  <c r="EH72" i="14"/>
  <c r="EP72" i="14"/>
  <c r="EX72" i="14"/>
  <c r="EC72" i="14"/>
  <c r="EK72" i="14"/>
  <c r="ES72" i="14"/>
  <c r="EL72" i="14"/>
  <c r="EQ72" i="14"/>
  <c r="ER72" i="14"/>
  <c r="EA72" i="14"/>
  <c r="ET72" i="14"/>
  <c r="EI72" i="14"/>
  <c r="EB72" i="14"/>
  <c r="ED110" i="14"/>
  <c r="EQ84" i="14"/>
  <c r="EQ92" i="14"/>
  <c r="EE94" i="14"/>
  <c r="EM94" i="14"/>
  <c r="EU94" i="14"/>
  <c r="EF94" i="14"/>
  <c r="EN94" i="14"/>
  <c r="EV94" i="14"/>
  <c r="EG94" i="14"/>
  <c r="EO94" i="14"/>
  <c r="EW94" i="14"/>
  <c r="DZ94" i="14"/>
  <c r="EH94" i="14"/>
  <c r="EP94" i="14"/>
  <c r="EX94" i="14"/>
  <c r="EC94" i="14"/>
  <c r="EK94" i="14"/>
  <c r="ES94" i="14"/>
  <c r="EI94" i="14"/>
  <c r="EL94" i="14"/>
  <c r="EQ94" i="14"/>
  <c r="EE62" i="14"/>
  <c r="EM62" i="14"/>
  <c r="EU62" i="14"/>
  <c r="EF62" i="14"/>
  <c r="EN62" i="14"/>
  <c r="EV62" i="14"/>
  <c r="EG62" i="14"/>
  <c r="EO62" i="14"/>
  <c r="EW62" i="14"/>
  <c r="DZ62" i="14"/>
  <c r="EH62" i="14"/>
  <c r="EP62" i="14"/>
  <c r="EX62" i="14"/>
  <c r="EC62" i="14"/>
  <c r="EK62" i="14"/>
  <c r="ES62" i="14"/>
  <c r="EA62" i="14"/>
  <c r="ET62" i="14"/>
  <c r="EB62" i="14"/>
  <c r="EY62" i="14"/>
  <c r="ED62" i="14"/>
  <c r="EI62" i="14"/>
  <c r="EQ62" i="14"/>
  <c r="EL62" i="14"/>
  <c r="EY110" i="14"/>
  <c r="EQ108" i="14"/>
  <c r="ER104" i="14"/>
  <c r="EQ95" i="14"/>
  <c r="EJ94" i="14"/>
  <c r="ES91" i="14"/>
  <c r="EY101" i="14"/>
  <c r="EK77" i="14"/>
  <c r="EW61" i="14"/>
  <c r="EK61" i="14"/>
  <c r="EW110" i="14"/>
  <c r="EL110" i="14"/>
  <c r="EC107" i="14"/>
  <c r="EQ104" i="14"/>
  <c r="EF103" i="14"/>
  <c r="EA102" i="14"/>
  <c r="ES100" i="14"/>
  <c r="EN99" i="14"/>
  <c r="EB98" i="14"/>
  <c r="EU96" i="14"/>
  <c r="EO95" i="14"/>
  <c r="ED94" i="14"/>
  <c r="ED93" i="14"/>
  <c r="EQ91" i="14"/>
  <c r="EJ90" i="14"/>
  <c r="ED89" i="14"/>
  <c r="ER87" i="14"/>
  <c r="EO86" i="14"/>
  <c r="EV83" i="14"/>
  <c r="EC80" i="14"/>
  <c r="EV70" i="14"/>
  <c r="EC68" i="14"/>
  <c r="ED64" i="14"/>
  <c r="EC81" i="14"/>
  <c r="EK81" i="14"/>
  <c r="ES81" i="14"/>
  <c r="ED81" i="14"/>
  <c r="EL81" i="14"/>
  <c r="ET81" i="14"/>
  <c r="EE81" i="14"/>
  <c r="EM81" i="14"/>
  <c r="EU81" i="14"/>
  <c r="EF81" i="14"/>
  <c r="EN81" i="14"/>
  <c r="EV81" i="14"/>
  <c r="EA81" i="14"/>
  <c r="EI81" i="14"/>
  <c r="EQ81" i="14"/>
  <c r="EH81" i="14"/>
  <c r="EO81" i="14"/>
  <c r="EP81" i="14"/>
  <c r="EG105" i="14"/>
  <c r="ED69" i="14"/>
  <c r="EA108" i="14"/>
  <c r="EA76" i="14"/>
  <c r="EB78" i="14"/>
  <c r="EJ78" i="14"/>
  <c r="EE78" i="14"/>
  <c r="DZ78" i="14"/>
  <c r="EK78" i="14"/>
  <c r="ES78" i="14"/>
  <c r="EA78" i="14"/>
  <c r="EL78" i="14"/>
  <c r="ET78" i="14"/>
  <c r="EC78" i="14"/>
  <c r="EM78" i="14"/>
  <c r="EU78" i="14"/>
  <c r="ED78" i="14"/>
  <c r="EN78" i="14"/>
  <c r="EV78" i="14"/>
  <c r="EH78" i="14"/>
  <c r="EQ78" i="14"/>
  <c r="EY78" i="14"/>
  <c r="EX78" i="14"/>
  <c r="EG78" i="14"/>
  <c r="EI78" i="14"/>
  <c r="EJ81" i="14"/>
  <c r="EK71" i="14"/>
  <c r="EU61" i="14"/>
  <c r="EJ61" i="14"/>
  <c r="EV110" i="14"/>
  <c r="ED109" i="14"/>
  <c r="EK108" i="14"/>
  <c r="EQ105" i="14"/>
  <c r="EL104" i="14"/>
  <c r="EC103" i="14"/>
  <c r="EN100" i="14"/>
  <c r="EO96" i="14"/>
  <c r="EN95" i="14"/>
  <c r="EB94" i="14"/>
  <c r="EV92" i="14"/>
  <c r="EC90" i="14"/>
  <c r="EQ87" i="14"/>
  <c r="EB85" i="14"/>
  <c r="EN82" i="14"/>
  <c r="EB81" i="14"/>
  <c r="EU79" i="14"/>
  <c r="EP78" i="14"/>
  <c r="EQ76" i="14"/>
  <c r="EL84" i="14"/>
  <c r="EB110" i="14"/>
  <c r="EH110" i="14"/>
  <c r="EP110" i="14"/>
  <c r="EX110" i="14"/>
  <c r="EA110" i="14"/>
  <c r="EJ110" i="14"/>
  <c r="ER110" i="14"/>
  <c r="EC110" i="14"/>
  <c r="EK110" i="14"/>
  <c r="ES110" i="14"/>
  <c r="DZ86" i="14"/>
  <c r="EH86" i="14"/>
  <c r="EP86" i="14"/>
  <c r="EX86" i="14"/>
  <c r="EA86" i="14"/>
  <c r="EI86" i="14"/>
  <c r="EQ86" i="14"/>
  <c r="EY86" i="14"/>
  <c r="EB86" i="14"/>
  <c r="EJ86" i="14"/>
  <c r="ER86" i="14"/>
  <c r="EC86" i="14"/>
  <c r="EK86" i="14"/>
  <c r="ES86" i="14"/>
  <c r="EF86" i="14"/>
  <c r="EN86" i="14"/>
  <c r="EV86" i="14"/>
  <c r="EE86" i="14"/>
  <c r="EL86" i="14"/>
  <c r="EM86" i="14"/>
  <c r="EB70" i="14"/>
  <c r="EJ70" i="14"/>
  <c r="ER70" i="14"/>
  <c r="EC70" i="14"/>
  <c r="EK70" i="14"/>
  <c r="ES70" i="14"/>
  <c r="ED70" i="14"/>
  <c r="EL70" i="14"/>
  <c r="ET70" i="14"/>
  <c r="EE70" i="14"/>
  <c r="EM70" i="14"/>
  <c r="EU70" i="14"/>
  <c r="DZ70" i="14"/>
  <c r="EH70" i="14"/>
  <c r="EP70" i="14"/>
  <c r="EX70" i="14"/>
  <c r="EA70" i="14"/>
  <c r="EW70" i="14"/>
  <c r="EF70" i="14"/>
  <c r="EY70" i="14"/>
  <c r="EG70" i="14"/>
  <c r="EI70" i="14"/>
  <c r="EQ70" i="14"/>
  <c r="EL61" i="14"/>
  <c r="EM110" i="14"/>
  <c r="EF102" i="14"/>
  <c r="EB97" i="14"/>
  <c r="ET86" i="14"/>
  <c r="ED84" i="14"/>
  <c r="EE80" i="14"/>
  <c r="EL77" i="14"/>
  <c r="ED68" i="14"/>
  <c r="EF92" i="14"/>
  <c r="EF100" i="14"/>
  <c r="EF107" i="14"/>
  <c r="EN107" i="14"/>
  <c r="EV107" i="14"/>
  <c r="EG107" i="14"/>
  <c r="EO107" i="14"/>
  <c r="EW107" i="14"/>
  <c r="DZ107" i="14"/>
  <c r="EH107" i="14"/>
  <c r="EP107" i="14"/>
  <c r="EX107" i="14"/>
  <c r="EA107" i="14"/>
  <c r="EI107" i="14"/>
  <c r="EQ107" i="14"/>
  <c r="ED107" i="14"/>
  <c r="EL107" i="14"/>
  <c r="ET107" i="14"/>
  <c r="EE107" i="14"/>
  <c r="EK107" i="14"/>
  <c r="EM107" i="14"/>
  <c r="EA99" i="14"/>
  <c r="EI99" i="14"/>
  <c r="EQ99" i="14"/>
  <c r="EB99" i="14"/>
  <c r="EJ99" i="14"/>
  <c r="ER99" i="14"/>
  <c r="EC99" i="14"/>
  <c r="EK99" i="14"/>
  <c r="ES99" i="14"/>
  <c r="ED99" i="14"/>
  <c r="EL99" i="14"/>
  <c r="ET99" i="14"/>
  <c r="EG99" i="14"/>
  <c r="EO99" i="14"/>
  <c r="EW99" i="14"/>
  <c r="EE99" i="14"/>
  <c r="EX99" i="14"/>
  <c r="EH99" i="14"/>
  <c r="EM99" i="14"/>
  <c r="ED91" i="14"/>
  <c r="EL91" i="14"/>
  <c r="ET91" i="14"/>
  <c r="EE91" i="14"/>
  <c r="EM91" i="14"/>
  <c r="EU91" i="14"/>
  <c r="EF91" i="14"/>
  <c r="EN91" i="14"/>
  <c r="EV91" i="14"/>
  <c r="EG91" i="14"/>
  <c r="EO91" i="14"/>
  <c r="EW91" i="14"/>
  <c r="EB91" i="14"/>
  <c r="EJ91" i="14"/>
  <c r="ER91" i="14"/>
  <c r="EA91" i="14"/>
  <c r="EX91" i="14"/>
  <c r="EH91" i="14"/>
  <c r="EI91" i="14"/>
  <c r="EG83" i="14"/>
  <c r="EO83" i="14"/>
  <c r="EW83" i="14"/>
  <c r="DZ83" i="14"/>
  <c r="EH83" i="14"/>
  <c r="EP83" i="14"/>
  <c r="EX83" i="14"/>
  <c r="EA83" i="14"/>
  <c r="EI83" i="14"/>
  <c r="EQ83" i="14"/>
  <c r="EB83" i="14"/>
  <c r="EJ83" i="14"/>
  <c r="ER83" i="14"/>
  <c r="EE83" i="14"/>
  <c r="EM83" i="14"/>
  <c r="EU83" i="14"/>
  <c r="ET83" i="14"/>
  <c r="ED83" i="14"/>
  <c r="EF83" i="14"/>
  <c r="EF75" i="14"/>
  <c r="EN75" i="14"/>
  <c r="EG75" i="14"/>
  <c r="EO75" i="14"/>
  <c r="DZ75" i="14"/>
  <c r="EH75" i="14"/>
  <c r="EP75" i="14"/>
  <c r="EX75" i="14"/>
  <c r="EA75" i="14"/>
  <c r="EI75" i="14"/>
  <c r="EQ75" i="14"/>
  <c r="ED75" i="14"/>
  <c r="EL75" i="14"/>
  <c r="ET75" i="14"/>
  <c r="ES75" i="14"/>
  <c r="EB75" i="14"/>
  <c r="EU75" i="14"/>
  <c r="EC75" i="14"/>
  <c r="EV75" i="14"/>
  <c r="EE75" i="14"/>
  <c r="EW75" i="14"/>
  <c r="EM75" i="14"/>
  <c r="EK75" i="14"/>
  <c r="EA67" i="14"/>
  <c r="EI67" i="14"/>
  <c r="EQ67" i="14"/>
  <c r="EB67" i="14"/>
  <c r="EJ67" i="14"/>
  <c r="ER67" i="14"/>
  <c r="EC67" i="14"/>
  <c r="EK67" i="14"/>
  <c r="ES67" i="14"/>
  <c r="ED67" i="14"/>
  <c r="EL67" i="14"/>
  <c r="ET67" i="14"/>
  <c r="EG67" i="14"/>
  <c r="EO67" i="14"/>
  <c r="EW67" i="14"/>
  <c r="EP67" i="14"/>
  <c r="EU67" i="14"/>
  <c r="DZ67" i="14"/>
  <c r="EV67" i="14"/>
  <c r="EE67" i="14"/>
  <c r="EX67" i="14"/>
  <c r="EM67" i="14"/>
  <c r="EH67" i="14"/>
  <c r="EN67" i="14"/>
  <c r="ET61" i="14"/>
  <c r="EU110" i="14"/>
  <c r="EG110" i="14"/>
  <c r="EB109" i="14"/>
  <c r="EC108" i="14"/>
  <c r="EN105" i="14"/>
  <c r="EJ104" i="14"/>
  <c r="ER101" i="14"/>
  <c r="EL100" i="14"/>
  <c r="DZ99" i="14"/>
  <c r="EM96" i="14"/>
  <c r="EF95" i="14"/>
  <c r="EA94" i="14"/>
  <c r="EK91" i="14"/>
  <c r="EB90" i="14"/>
  <c r="EL87" i="14"/>
  <c r="ED86" i="14"/>
  <c r="EN83" i="14"/>
  <c r="EF82" i="14"/>
  <c r="DZ81" i="14"/>
  <c r="EO79" i="14"/>
  <c r="EO78" i="14"/>
  <c r="EN70" i="14"/>
  <c r="EN63" i="14"/>
  <c r="DZ89" i="14"/>
  <c r="EH89" i="14"/>
  <c r="EP89" i="14"/>
  <c r="EX89" i="14"/>
  <c r="EA89" i="14"/>
  <c r="EI89" i="14"/>
  <c r="EQ89" i="14"/>
  <c r="EB89" i="14"/>
  <c r="EJ89" i="14"/>
  <c r="ER89" i="14"/>
  <c r="EC89" i="14"/>
  <c r="EK89" i="14"/>
  <c r="ES89" i="14"/>
  <c r="EF89" i="14"/>
  <c r="EN89" i="14"/>
  <c r="EV89" i="14"/>
  <c r="EL89" i="14"/>
  <c r="EO89" i="14"/>
  <c r="ET89" i="14"/>
  <c r="EB73" i="14"/>
  <c r="EJ73" i="14"/>
  <c r="ER73" i="14"/>
  <c r="EC73" i="14"/>
  <c r="EK73" i="14"/>
  <c r="ES73" i="14"/>
  <c r="ED73" i="14"/>
  <c r="EL73" i="14"/>
  <c r="ET73" i="14"/>
  <c r="EE73" i="14"/>
  <c r="EM73" i="14"/>
  <c r="EU73" i="14"/>
  <c r="DZ73" i="14"/>
  <c r="EH73" i="14"/>
  <c r="EP73" i="14"/>
  <c r="EX73" i="14"/>
  <c r="EG73" i="14"/>
  <c r="EI73" i="14"/>
  <c r="EN73" i="14"/>
  <c r="EO73" i="14"/>
  <c r="EA73" i="14"/>
  <c r="EW73" i="14"/>
  <c r="EF73" i="14"/>
  <c r="EV73" i="14"/>
  <c r="EE65" i="14"/>
  <c r="EM65" i="14"/>
  <c r="EU65" i="14"/>
  <c r="EF65" i="14"/>
  <c r="EN65" i="14"/>
  <c r="EV65" i="14"/>
  <c r="EG65" i="14"/>
  <c r="EO65" i="14"/>
  <c r="EW65" i="14"/>
  <c r="DZ65" i="14"/>
  <c r="EH65" i="14"/>
  <c r="EP65" i="14"/>
  <c r="EX65" i="14"/>
  <c r="EC65" i="14"/>
  <c r="EK65" i="14"/>
  <c r="ES65" i="14"/>
  <c r="ED65" i="14"/>
  <c r="EI65" i="14"/>
  <c r="EJ65" i="14"/>
  <c r="EL65" i="14"/>
  <c r="EA65" i="14"/>
  <c r="ET65" i="14"/>
  <c r="EB65" i="14"/>
  <c r="EQ65" i="14"/>
  <c r="ED61" i="14"/>
  <c r="EU89" i="14"/>
  <c r="EL79" i="14"/>
  <c r="ED76" i="14"/>
  <c r="EC88" i="14"/>
  <c r="EK88" i="14"/>
  <c r="ES88" i="14"/>
  <c r="ED88" i="14"/>
  <c r="EL88" i="14"/>
  <c r="ET88" i="14"/>
  <c r="EE88" i="14"/>
  <c r="EM88" i="14"/>
  <c r="EU88" i="14"/>
  <c r="EF88" i="14"/>
  <c r="EN88" i="14"/>
  <c r="EV88" i="14"/>
  <c r="EA88" i="14"/>
  <c r="EI88" i="14"/>
  <c r="EQ88" i="14"/>
  <c r="EY88" i="14"/>
  <c r="EP88" i="14"/>
  <c r="DZ88" i="14"/>
  <c r="EW88" i="14"/>
  <c r="EB88" i="14"/>
  <c r="EX88" i="14"/>
  <c r="DZ64" i="14"/>
  <c r="EH64" i="14"/>
  <c r="EP64" i="14"/>
  <c r="EX64" i="14"/>
  <c r="EA64" i="14"/>
  <c r="EI64" i="14"/>
  <c r="EQ64" i="14"/>
  <c r="EY64" i="14"/>
  <c r="EB64" i="14"/>
  <c r="EJ64" i="14"/>
  <c r="ER64" i="14"/>
  <c r="EC64" i="14"/>
  <c r="EK64" i="14"/>
  <c r="ES64" i="14"/>
  <c r="EF64" i="14"/>
  <c r="EN64" i="14"/>
  <c r="EV64" i="14"/>
  <c r="EL64" i="14"/>
  <c r="EM64" i="14"/>
  <c r="EO64" i="14"/>
  <c r="ET64" i="14"/>
  <c r="EE64" i="14"/>
  <c r="EU64" i="14"/>
  <c r="EY65" i="14"/>
  <c r="EB102" i="14"/>
  <c r="EJ102" i="14"/>
  <c r="ER102" i="14"/>
  <c r="EC102" i="14"/>
  <c r="EK102" i="14"/>
  <c r="ES102" i="14"/>
  <c r="ED102" i="14"/>
  <c r="EL102" i="14"/>
  <c r="ET102" i="14"/>
  <c r="EE102" i="14"/>
  <c r="EM102" i="14"/>
  <c r="EU102" i="14"/>
  <c r="DZ102" i="14"/>
  <c r="EH102" i="14"/>
  <c r="EP102" i="14"/>
  <c r="EX102" i="14"/>
  <c r="EI102" i="14"/>
  <c r="EO102" i="14"/>
  <c r="EQ102" i="14"/>
  <c r="EW78" i="14"/>
  <c r="EG64" i="14"/>
  <c r="EK90" i="14"/>
  <c r="ES61" i="14"/>
  <c r="EE61" i="14"/>
  <c r="ET110" i="14"/>
  <c r="EF110" i="14"/>
  <c r="EQ109" i="14"/>
  <c r="EA109" i="14"/>
  <c r="EI105" i="14"/>
  <c r="EB104" i="14"/>
  <c r="EW102" i="14"/>
  <c r="EL101" i="14"/>
  <c r="EQ97" i="14"/>
  <c r="EL96" i="14"/>
  <c r="EC91" i="14"/>
  <c r="EW89" i="14"/>
  <c r="EO88" i="14"/>
  <c r="EJ87" i="14"/>
  <c r="EL83" i="14"/>
  <c r="EM79" i="14"/>
  <c r="EF78" i="14"/>
  <c r="ER62" i="14"/>
  <c r="DZ93" i="14"/>
  <c r="EH93" i="14"/>
  <c r="EP93" i="14"/>
  <c r="EX93" i="14"/>
  <c r="EA93" i="14"/>
  <c r="EI93" i="14"/>
  <c r="EQ93" i="14"/>
  <c r="EY93" i="14"/>
  <c r="EB93" i="14"/>
  <c r="EJ93" i="14"/>
  <c r="ER93" i="14"/>
  <c r="EC93" i="14"/>
  <c r="EK93" i="14"/>
  <c r="ES93" i="14"/>
  <c r="EF93" i="14"/>
  <c r="EN93" i="14"/>
  <c r="EV93" i="14"/>
  <c r="EE69" i="14"/>
  <c r="EM69" i="14"/>
  <c r="EU69" i="14"/>
  <c r="EF69" i="14"/>
  <c r="EN69" i="14"/>
  <c r="EV69" i="14"/>
  <c r="EG69" i="14"/>
  <c r="EO69" i="14"/>
  <c r="EW69" i="14"/>
  <c r="DZ69" i="14"/>
  <c r="EH69" i="14"/>
  <c r="EP69" i="14"/>
  <c r="EX69" i="14"/>
  <c r="EC69" i="14"/>
  <c r="EK69" i="14"/>
  <c r="ES69" i="14"/>
  <c r="EI69" i="14"/>
  <c r="EJ69" i="14"/>
  <c r="EL69" i="14"/>
  <c r="EQ69" i="14"/>
  <c r="EB69" i="14"/>
  <c r="EY69" i="14"/>
  <c r="ET109" i="14"/>
  <c r="EI109" i="14"/>
  <c r="ET106" i="14"/>
  <c r="EP98" i="14"/>
  <c r="EU93" i="14"/>
  <c r="EM90" i="14"/>
  <c r="ER85" i="14"/>
  <c r="EM82" i="14"/>
  <c r="ET69" i="14"/>
  <c r="EC109" i="14"/>
  <c r="EK109" i="14"/>
  <c r="ES109" i="14"/>
  <c r="EE109" i="14"/>
  <c r="EM109" i="14"/>
  <c r="EU109" i="14"/>
  <c r="EE101" i="14"/>
  <c r="EM101" i="14"/>
  <c r="EU101" i="14"/>
  <c r="EF101" i="14"/>
  <c r="EN101" i="14"/>
  <c r="EV101" i="14"/>
  <c r="EG101" i="14"/>
  <c r="EO101" i="14"/>
  <c r="EW101" i="14"/>
  <c r="DZ101" i="14"/>
  <c r="EH101" i="14"/>
  <c r="EP101" i="14"/>
  <c r="EX101" i="14"/>
  <c r="EC101" i="14"/>
  <c r="EK101" i="14"/>
  <c r="ES101" i="14"/>
  <c r="EC85" i="14"/>
  <c r="EK85" i="14"/>
  <c r="ES85" i="14"/>
  <c r="ED85" i="14"/>
  <c r="EL85" i="14"/>
  <c r="ET85" i="14"/>
  <c r="EE85" i="14"/>
  <c r="EM85" i="14"/>
  <c r="EU85" i="14"/>
  <c r="EF85" i="14"/>
  <c r="EN85" i="14"/>
  <c r="EV85" i="14"/>
  <c r="EA85" i="14"/>
  <c r="EI85" i="14"/>
  <c r="EQ85" i="14"/>
  <c r="EY85" i="14"/>
  <c r="ED77" i="14"/>
  <c r="EE77" i="14"/>
  <c r="EM77" i="14"/>
  <c r="EU77" i="14"/>
  <c r="DZ77" i="14"/>
  <c r="EH77" i="14"/>
  <c r="EP77" i="14"/>
  <c r="EX77" i="14"/>
  <c r="EF77" i="14"/>
  <c r="EQ77" i="14"/>
  <c r="EG77" i="14"/>
  <c r="ER77" i="14"/>
  <c r="EI77" i="14"/>
  <c r="ES77" i="14"/>
  <c r="EJ77" i="14"/>
  <c r="ET77" i="14"/>
  <c r="EB77" i="14"/>
  <c r="EN77" i="14"/>
  <c r="EY77" i="14"/>
  <c r="EB101" i="14"/>
  <c r="ED108" i="14"/>
  <c r="EL108" i="14"/>
  <c r="ET108" i="14"/>
  <c r="EE108" i="14"/>
  <c r="EM108" i="14"/>
  <c r="EU108" i="14"/>
  <c r="EF108" i="14"/>
  <c r="EN108" i="14"/>
  <c r="EG108" i="14"/>
  <c r="EO108" i="14"/>
  <c r="EW108" i="14"/>
  <c r="EB108" i="14"/>
  <c r="EJ108" i="14"/>
  <c r="EG100" i="14"/>
  <c r="EO100" i="14"/>
  <c r="EW100" i="14"/>
  <c r="DZ100" i="14"/>
  <c r="EH100" i="14"/>
  <c r="EP100" i="14"/>
  <c r="EX100" i="14"/>
  <c r="EA100" i="14"/>
  <c r="EI100" i="14"/>
  <c r="EQ100" i="14"/>
  <c r="EB100" i="14"/>
  <c r="EJ100" i="14"/>
  <c r="ER100" i="14"/>
  <c r="EE100" i="14"/>
  <c r="EM100" i="14"/>
  <c r="EU100" i="14"/>
  <c r="EB92" i="14"/>
  <c r="EJ92" i="14"/>
  <c r="ER92" i="14"/>
  <c r="EC92" i="14"/>
  <c r="EK92" i="14"/>
  <c r="ES92" i="14"/>
  <c r="ED92" i="14"/>
  <c r="EL92" i="14"/>
  <c r="ET92" i="14"/>
  <c r="EE92" i="14"/>
  <c r="EM92" i="14"/>
  <c r="EU92" i="14"/>
  <c r="DZ92" i="14"/>
  <c r="EH92" i="14"/>
  <c r="EP92" i="14"/>
  <c r="EX92" i="14"/>
  <c r="EE84" i="14"/>
  <c r="EM84" i="14"/>
  <c r="EU84" i="14"/>
  <c r="EF84" i="14"/>
  <c r="EN84" i="14"/>
  <c r="EV84" i="14"/>
  <c r="EG84" i="14"/>
  <c r="EO84" i="14"/>
  <c r="EW84" i="14"/>
  <c r="DZ84" i="14"/>
  <c r="EH84" i="14"/>
  <c r="EP84" i="14"/>
  <c r="EX84" i="14"/>
  <c r="EC84" i="14"/>
  <c r="EK84" i="14"/>
  <c r="ES84" i="14"/>
  <c r="EF76" i="14"/>
  <c r="EN76" i="14"/>
  <c r="EV76" i="14"/>
  <c r="EG76" i="14"/>
  <c r="EO76" i="14"/>
  <c r="EW76" i="14"/>
  <c r="EB76" i="14"/>
  <c r="EJ76" i="14"/>
  <c r="ER76" i="14"/>
  <c r="EE76" i="14"/>
  <c r="ES76" i="14"/>
  <c r="EH76" i="14"/>
  <c r="ET76" i="14"/>
  <c r="EI76" i="14"/>
  <c r="EU76" i="14"/>
  <c r="EK76" i="14"/>
  <c r="EX76" i="14"/>
  <c r="EC76" i="14"/>
  <c r="EP76" i="14"/>
  <c r="EG68" i="14"/>
  <c r="EO68" i="14"/>
  <c r="EW68" i="14"/>
  <c r="DZ68" i="14"/>
  <c r="EH68" i="14"/>
  <c r="EP68" i="14"/>
  <c r="EX68" i="14"/>
  <c r="EA68" i="14"/>
  <c r="EI68" i="14"/>
  <c r="EQ68" i="14"/>
  <c r="EB68" i="14"/>
  <c r="EJ68" i="14"/>
  <c r="ER68" i="14"/>
  <c r="EE68" i="14"/>
  <c r="EM68" i="14"/>
  <c r="EU68" i="14"/>
  <c r="EL68" i="14"/>
  <c r="EN68" i="14"/>
  <c r="ES68" i="14"/>
  <c r="ET68" i="14"/>
  <c r="EF68" i="14"/>
  <c r="ER109" i="14"/>
  <c r="EH109" i="14"/>
  <c r="EX108" i="14"/>
  <c r="EH108" i="14"/>
  <c r="ET101" i="14"/>
  <c r="EA101" i="14"/>
  <c r="ED100" i="14"/>
  <c r="ET93" i="14"/>
  <c r="EW92" i="14"/>
  <c r="EA92" i="14"/>
  <c r="EP85" i="14"/>
  <c r="ET84" i="14"/>
  <c r="EA84" i="14"/>
  <c r="EC77" i="14"/>
  <c r="DZ76" i="14"/>
  <c r="ER69" i="14"/>
  <c r="DY112" i="14"/>
  <c r="DY71" i="14" s="1"/>
  <c r="DZ106" i="14"/>
  <c r="EH106" i="14"/>
  <c r="EP106" i="14"/>
  <c r="EX106" i="14"/>
  <c r="EA106" i="14"/>
  <c r="EI106" i="14"/>
  <c r="EQ106" i="14"/>
  <c r="EB106" i="14"/>
  <c r="EJ106" i="14"/>
  <c r="ER106" i="14"/>
  <c r="EC106" i="14"/>
  <c r="EK106" i="14"/>
  <c r="ES106" i="14"/>
  <c r="EF106" i="14"/>
  <c r="EN106" i="14"/>
  <c r="EV106" i="14"/>
  <c r="EC98" i="14"/>
  <c r="EK98" i="14"/>
  <c r="ES98" i="14"/>
  <c r="ED98" i="14"/>
  <c r="EL98" i="14"/>
  <c r="ET98" i="14"/>
  <c r="EE98" i="14"/>
  <c r="EM98" i="14"/>
  <c r="EU98" i="14"/>
  <c r="EF98" i="14"/>
  <c r="EN98" i="14"/>
  <c r="EV98" i="14"/>
  <c r="EA98" i="14"/>
  <c r="EI98" i="14"/>
  <c r="EQ98" i="14"/>
  <c r="EF90" i="14"/>
  <c r="EN90" i="14"/>
  <c r="EV90" i="14"/>
  <c r="EG90" i="14"/>
  <c r="EO90" i="14"/>
  <c r="EW90" i="14"/>
  <c r="DZ90" i="14"/>
  <c r="EH90" i="14"/>
  <c r="EP90" i="14"/>
  <c r="EX90" i="14"/>
  <c r="EA90" i="14"/>
  <c r="EI90" i="14"/>
  <c r="EQ90" i="14"/>
  <c r="ED90" i="14"/>
  <c r="EL90" i="14"/>
  <c r="ET90" i="14"/>
  <c r="EA82" i="14"/>
  <c r="EI82" i="14"/>
  <c r="EQ82" i="14"/>
  <c r="EB82" i="14"/>
  <c r="EJ82" i="14"/>
  <c r="ER82" i="14"/>
  <c r="EC82" i="14"/>
  <c r="EK82" i="14"/>
  <c r="ES82" i="14"/>
  <c r="ED82" i="14"/>
  <c r="EL82" i="14"/>
  <c r="ET82" i="14"/>
  <c r="DY82" i="14"/>
  <c r="EG82" i="14"/>
  <c r="EO82" i="14"/>
  <c r="EW82" i="14"/>
  <c r="DZ74" i="14"/>
  <c r="EH74" i="14"/>
  <c r="EP74" i="14"/>
  <c r="EX74" i="14"/>
  <c r="EA74" i="14"/>
  <c r="EI74" i="14"/>
  <c r="EQ74" i="14"/>
  <c r="EB74" i="14"/>
  <c r="EJ74" i="14"/>
  <c r="ER74" i="14"/>
  <c r="EC74" i="14"/>
  <c r="EK74" i="14"/>
  <c r="ES74" i="14"/>
  <c r="EF74" i="14"/>
  <c r="EN74" i="14"/>
  <c r="EV74" i="14"/>
  <c r="ED74" i="14"/>
  <c r="EW74" i="14"/>
  <c r="EE74" i="14"/>
  <c r="EG74" i="14"/>
  <c r="EL74" i="14"/>
  <c r="ET74" i="14"/>
  <c r="EC66" i="14"/>
  <c r="EK66" i="14"/>
  <c r="ES66" i="14"/>
  <c r="ED66" i="14"/>
  <c r="EL66" i="14"/>
  <c r="ET66" i="14"/>
  <c r="EE66" i="14"/>
  <c r="EM66" i="14"/>
  <c r="EU66" i="14"/>
  <c r="EF66" i="14"/>
  <c r="EN66" i="14"/>
  <c r="EV66" i="14"/>
  <c r="EA66" i="14"/>
  <c r="EI66" i="14"/>
  <c r="EQ66" i="14"/>
  <c r="DZ66" i="14"/>
  <c r="EW66" i="14"/>
  <c r="EB66" i="14"/>
  <c r="EX66" i="14"/>
  <c r="EG66" i="14"/>
  <c r="EH66" i="14"/>
  <c r="EP66" i="14"/>
  <c r="EP109" i="14"/>
  <c r="EF109" i="14"/>
  <c r="EL106" i="14"/>
  <c r="EQ101" i="14"/>
  <c r="EH98" i="14"/>
  <c r="EM93" i="14"/>
  <c r="EE90" i="14"/>
  <c r="EJ85" i="14"/>
  <c r="EX82" i="14"/>
  <c r="EE82" i="14"/>
  <c r="EA69" i="14"/>
  <c r="ER66" i="14"/>
  <c r="EY107" i="14"/>
  <c r="EY99" i="14"/>
  <c r="EY91" i="14"/>
  <c r="EY83" i="14"/>
  <c r="EY75" i="14"/>
  <c r="EY67" i="14"/>
  <c r="EY106" i="14"/>
  <c r="EY98" i="14"/>
  <c r="EY90" i="14"/>
  <c r="EY82" i="14"/>
  <c r="EY74" i="14"/>
  <c r="EY66" i="14"/>
  <c r="EY103" i="14"/>
  <c r="EY95" i="14"/>
  <c r="EY87" i="14"/>
  <c r="EY79" i="14"/>
  <c r="EY71" i="14"/>
  <c r="EY63" i="14"/>
  <c r="EY61" i="14"/>
  <c r="EY108" i="14"/>
  <c r="EY100" i="14"/>
  <c r="EY92" i="14"/>
  <c r="EY84" i="14"/>
  <c r="EY76" i="14"/>
  <c r="EY68" i="14"/>
  <c r="EY105" i="14"/>
  <c r="EY97" i="14"/>
  <c r="EY89" i="14"/>
  <c r="EY81" i="14"/>
  <c r="EY73" i="14"/>
  <c r="EY45" i="14"/>
  <c r="EY6" i="14"/>
  <c r="EY37" i="14"/>
  <c r="EX14" i="14"/>
  <c r="EV51" i="14"/>
  <c r="EU46" i="14"/>
  <c r="EX32" i="14"/>
  <c r="EU25" i="14"/>
  <c r="EU22" i="14"/>
  <c r="EW9" i="14"/>
  <c r="EX6" i="14"/>
  <c r="EW32" i="14"/>
  <c r="EV9" i="14"/>
  <c r="EU49" i="14"/>
  <c r="EW19" i="14"/>
  <c r="EV54" i="14"/>
  <c r="EX40" i="14"/>
  <c r="EW35" i="14"/>
  <c r="EX24" i="14"/>
  <c r="EV19" i="14"/>
  <c r="EU54" i="14"/>
  <c r="EW43" i="14"/>
  <c r="EW40" i="14"/>
  <c r="EV35" i="14"/>
  <c r="EV30" i="14"/>
  <c r="EW24" i="14"/>
  <c r="EV17" i="14"/>
  <c r="EV43" i="14"/>
  <c r="EU33" i="14"/>
  <c r="EU30" i="14"/>
  <c r="ET49" i="14"/>
  <c r="ET33" i="14"/>
  <c r="EQ37" i="14"/>
  <c r="ES31" i="14"/>
  <c r="EQ6" i="14"/>
  <c r="EP48" i="14"/>
  <c r="EP6" i="14"/>
  <c r="EP24" i="14"/>
  <c r="ES47" i="14"/>
  <c r="EP40" i="14"/>
  <c r="ES55" i="14"/>
  <c r="ER42" i="14"/>
  <c r="EP32" i="14"/>
  <c r="ES23" i="14"/>
  <c r="EO35" i="14"/>
  <c r="EO32" i="14"/>
  <c r="EO24" i="14"/>
  <c r="EO27" i="14"/>
  <c r="EO19" i="14"/>
  <c r="EO43" i="14"/>
  <c r="EO51" i="14"/>
  <c r="EN9" i="14"/>
  <c r="EL49" i="14"/>
  <c r="EL41" i="14"/>
  <c r="EK39" i="14"/>
  <c r="EL33" i="14"/>
  <c r="EN19" i="14"/>
  <c r="EM7" i="14"/>
  <c r="EK55" i="14"/>
  <c r="EN46" i="14"/>
  <c r="EK31" i="14"/>
  <c r="EN22" i="14"/>
  <c r="EL7" i="14"/>
  <c r="EM46" i="14"/>
  <c r="EN43" i="14"/>
  <c r="EM22" i="14"/>
  <c r="EN51" i="14"/>
  <c r="EN38" i="14"/>
  <c r="EN54" i="14"/>
  <c r="EM38" i="14"/>
  <c r="EN35" i="14"/>
  <c r="EM25" i="14"/>
  <c r="EL20" i="14"/>
  <c r="EM54" i="14"/>
  <c r="EL25" i="14"/>
  <c r="EK23" i="14"/>
  <c r="EJ16" i="14"/>
  <c r="EJ50" i="14"/>
  <c r="EG32" i="14"/>
  <c r="EF30" i="14"/>
  <c r="EG24" i="14"/>
  <c r="EF22" i="14"/>
  <c r="EF19" i="14"/>
  <c r="EH18" i="14"/>
  <c r="EI6" i="14"/>
  <c r="EG51" i="14"/>
  <c r="EH6" i="14"/>
  <c r="EF54" i="14"/>
  <c r="EF51" i="14"/>
  <c r="EH40" i="14"/>
  <c r="EG40" i="14"/>
  <c r="EF38" i="14"/>
  <c r="EG35" i="14"/>
  <c r="EF46" i="14"/>
  <c r="EF35" i="14"/>
  <c r="EG27" i="14"/>
  <c r="EG48" i="14"/>
  <c r="EE38" i="14"/>
  <c r="EE25" i="14"/>
  <c r="EE22" i="14"/>
  <c r="EE49" i="14"/>
  <c r="EE54" i="14"/>
  <c r="ED55" i="14"/>
  <c r="ED15" i="14"/>
  <c r="ED7" i="14"/>
  <c r="ED20" i="14"/>
  <c r="ED49" i="14"/>
  <c r="EC55" i="14"/>
  <c r="EC47" i="14"/>
  <c r="ED41" i="14"/>
  <c r="ED33" i="14"/>
  <c r="ED52" i="14"/>
  <c r="ED44" i="14"/>
  <c r="EC39" i="14"/>
  <c r="EA11" i="14"/>
  <c r="DZ48" i="14"/>
  <c r="DZ51" i="14"/>
  <c r="DZ24" i="14"/>
  <c r="DZ6" i="14"/>
  <c r="DY27" i="14"/>
  <c r="DY35" i="14"/>
  <c r="DY40" i="14"/>
  <c r="DY48" i="14"/>
  <c r="DY24" i="14"/>
  <c r="DY32" i="14"/>
  <c r="DY17" i="14"/>
  <c r="DY19" i="14"/>
  <c r="ER39" i="14"/>
  <c r="ER55" i="14"/>
  <c r="ER34" i="14"/>
  <c r="ER26" i="14"/>
  <c r="ER47" i="14"/>
  <c r="ER23" i="14"/>
  <c r="ER31" i="14"/>
  <c r="ER8" i="14"/>
  <c r="ER18" i="14"/>
  <c r="EJ47" i="14"/>
  <c r="EJ26" i="14"/>
  <c r="EJ39" i="14"/>
  <c r="EJ55" i="14"/>
  <c r="EJ23" i="14"/>
  <c r="EJ31" i="14"/>
  <c r="EJ34" i="14"/>
  <c r="EJ18" i="14"/>
  <c r="EB39" i="14"/>
  <c r="EB55" i="14"/>
  <c r="EB47" i="14"/>
  <c r="EB34" i="14"/>
  <c r="EB26" i="14"/>
  <c r="EB23" i="14"/>
  <c r="EB31" i="14"/>
  <c r="EB18" i="14"/>
  <c r="EB53" i="14"/>
  <c r="EJ53" i="14"/>
  <c r="ER53" i="14"/>
  <c r="EX53" i="14"/>
  <c r="EC53" i="14"/>
  <c r="EK53" i="14"/>
  <c r="ES53" i="14"/>
  <c r="DZ53" i="14"/>
  <c r="ED53" i="14"/>
  <c r="EL53" i="14"/>
  <c r="ET53" i="14"/>
  <c r="EP53" i="14"/>
  <c r="EE53" i="14"/>
  <c r="EM53" i="14"/>
  <c r="EU53" i="14"/>
  <c r="EH53" i="14"/>
  <c r="EF53" i="14"/>
  <c r="EN53" i="14"/>
  <c r="EV53" i="14"/>
  <c r="DY53" i="14"/>
  <c r="EG53" i="14"/>
  <c r="EO53" i="14"/>
  <c r="EW53" i="14"/>
  <c r="EB45" i="14"/>
  <c r="EJ45" i="14"/>
  <c r="ER45" i="14"/>
  <c r="EC45" i="14"/>
  <c r="EK45" i="14"/>
  <c r="ES45" i="14"/>
  <c r="ED45" i="14"/>
  <c r="EL45" i="14"/>
  <c r="ET45" i="14"/>
  <c r="DZ45" i="14"/>
  <c r="EH45" i="14"/>
  <c r="EP45" i="14"/>
  <c r="EE45" i="14"/>
  <c r="EM45" i="14"/>
  <c r="EU45" i="14"/>
  <c r="EF45" i="14"/>
  <c r="EN45" i="14"/>
  <c r="EV45" i="14"/>
  <c r="DY45" i="14"/>
  <c r="EG45" i="14"/>
  <c r="EO45" i="14"/>
  <c r="EW45" i="14"/>
  <c r="EX45" i="14"/>
  <c r="EB37" i="14"/>
  <c r="EJ37" i="14"/>
  <c r="ER37" i="14"/>
  <c r="DZ37" i="14"/>
  <c r="EP37" i="14"/>
  <c r="EC37" i="14"/>
  <c r="EK37" i="14"/>
  <c r="ES37" i="14"/>
  <c r="ED37" i="14"/>
  <c r="EL37" i="14"/>
  <c r="ET37" i="14"/>
  <c r="EE37" i="14"/>
  <c r="EM37" i="14"/>
  <c r="EU37" i="14"/>
  <c r="EF37" i="14"/>
  <c r="EN37" i="14"/>
  <c r="EV37" i="14"/>
  <c r="DY37" i="14"/>
  <c r="EG37" i="14"/>
  <c r="EO37" i="14"/>
  <c r="EW37" i="14"/>
  <c r="EH37" i="14"/>
  <c r="EX37" i="14"/>
  <c r="EB29" i="14"/>
  <c r="EJ29" i="14"/>
  <c r="ER29" i="14"/>
  <c r="EC29" i="14"/>
  <c r="EK29" i="14"/>
  <c r="ES29" i="14"/>
  <c r="ED29" i="14"/>
  <c r="EL29" i="14"/>
  <c r="ET29" i="14"/>
  <c r="EE29" i="14"/>
  <c r="EM29" i="14"/>
  <c r="EU29" i="14"/>
  <c r="EF29" i="14"/>
  <c r="EN29" i="14"/>
  <c r="EV29" i="14"/>
  <c r="DY29" i="14"/>
  <c r="EG29" i="14"/>
  <c r="EO29" i="14"/>
  <c r="EW29" i="14"/>
  <c r="DZ29" i="14"/>
  <c r="EH29" i="14"/>
  <c r="EP29" i="14"/>
  <c r="EX29" i="14"/>
  <c r="EA29" i="14"/>
  <c r="EI29" i="14"/>
  <c r="EQ29" i="14"/>
  <c r="EY29" i="14"/>
  <c r="EB21" i="14"/>
  <c r="EJ21" i="14"/>
  <c r="ER21" i="14"/>
  <c r="EA21" i="14"/>
  <c r="EQ21" i="14"/>
  <c r="EC21" i="14"/>
  <c r="EK21" i="14"/>
  <c r="ES21" i="14"/>
  <c r="EY21" i="14"/>
  <c r="ED21" i="14"/>
  <c r="EL21" i="14"/>
  <c r="ET21" i="14"/>
  <c r="EE21" i="14"/>
  <c r="EM21" i="14"/>
  <c r="EU21" i="14"/>
  <c r="EF21" i="14"/>
  <c r="EN21" i="14"/>
  <c r="EV21" i="14"/>
  <c r="DY21" i="14"/>
  <c r="EG21" i="14"/>
  <c r="EO21" i="14"/>
  <c r="EW21" i="14"/>
  <c r="DZ21" i="14"/>
  <c r="EH21" i="14"/>
  <c r="EP21" i="14"/>
  <c r="EX21" i="14"/>
  <c r="EI21" i="14"/>
  <c r="ED13" i="14"/>
  <c r="EL13" i="14"/>
  <c r="ET13" i="14"/>
  <c r="EE13" i="14"/>
  <c r="EM13" i="14"/>
  <c r="EU13" i="14"/>
  <c r="EF13" i="14"/>
  <c r="EN13" i="14"/>
  <c r="EV13" i="14"/>
  <c r="DY13" i="14"/>
  <c r="EG13" i="14"/>
  <c r="EO13" i="14"/>
  <c r="EW13" i="14"/>
  <c r="DZ13" i="14"/>
  <c r="EH13" i="14"/>
  <c r="EP13" i="14"/>
  <c r="EX13" i="14"/>
  <c r="EA13" i="14"/>
  <c r="EI13" i="14"/>
  <c r="EQ13" i="14"/>
  <c r="EY13" i="14"/>
  <c r="ER13" i="14"/>
  <c r="EK13" i="14"/>
  <c r="ES13" i="14"/>
  <c r="EB13" i="14"/>
  <c r="EC13" i="14"/>
  <c r="EJ13" i="14"/>
  <c r="EY53" i="14"/>
  <c r="EB50" i="14"/>
  <c r="EQ45" i="14"/>
  <c r="EI37" i="14"/>
  <c r="EQ53" i="14"/>
  <c r="EI45" i="14"/>
  <c r="EA37" i="14"/>
  <c r="EI53" i="14"/>
  <c r="EA45" i="14"/>
  <c r="EA53" i="14"/>
  <c r="DY43" i="14"/>
  <c r="EK44" i="14"/>
  <c r="ES36" i="14"/>
  <c r="EK36" i="14"/>
  <c r="EY34" i="14"/>
  <c r="EQ34" i="14"/>
  <c r="ES28" i="14"/>
  <c r="EK28" i="14"/>
  <c r="EC28" i="14"/>
  <c r="EV27" i="14"/>
  <c r="EN27" i="14"/>
  <c r="EF27" i="14"/>
  <c r="EY26" i="14"/>
  <c r="EQ26" i="14"/>
  <c r="EI26" i="14"/>
  <c r="EA26" i="14"/>
  <c r="ES20" i="14"/>
  <c r="EK20" i="14"/>
  <c r="EC20" i="14"/>
  <c r="EY18" i="14"/>
  <c r="EQ18" i="14"/>
  <c r="EI18" i="14"/>
  <c r="EA18" i="14"/>
  <c r="EY16" i="14"/>
  <c r="EQ8" i="14"/>
  <c r="EB11" i="14"/>
  <c r="EJ11" i="14"/>
  <c r="ER11" i="14"/>
  <c r="EC11" i="14"/>
  <c r="EK11" i="14"/>
  <c r="ES11" i="14"/>
  <c r="ED11" i="14"/>
  <c r="EL11" i="14"/>
  <c r="ET11" i="14"/>
  <c r="EE11" i="14"/>
  <c r="EM11" i="14"/>
  <c r="EU11" i="14"/>
  <c r="EF11" i="14"/>
  <c r="EN11" i="14"/>
  <c r="EV11" i="14"/>
  <c r="DY11" i="14"/>
  <c r="EG11" i="14"/>
  <c r="EO11" i="14"/>
  <c r="EW11" i="14"/>
  <c r="EW6" i="14"/>
  <c r="EO6" i="14"/>
  <c r="EG6" i="14"/>
  <c r="EY55" i="14"/>
  <c r="EQ55" i="14"/>
  <c r="EI55" i="14"/>
  <c r="EA55" i="14"/>
  <c r="ET54" i="14"/>
  <c r="EL54" i="14"/>
  <c r="ED54" i="14"/>
  <c r="ER52" i="14"/>
  <c r="EJ52" i="14"/>
  <c r="EB52" i="14"/>
  <c r="EU51" i="14"/>
  <c r="EM51" i="14"/>
  <c r="EE51" i="14"/>
  <c r="EX50" i="14"/>
  <c r="EP50" i="14"/>
  <c r="EH50" i="14"/>
  <c r="DZ50" i="14"/>
  <c r="ES49" i="14"/>
  <c r="EK49" i="14"/>
  <c r="EC49" i="14"/>
  <c r="EV48" i="14"/>
  <c r="EN48" i="14"/>
  <c r="EF48" i="14"/>
  <c r="EY47" i="14"/>
  <c r="EQ47" i="14"/>
  <c r="EI47" i="14"/>
  <c r="EA47" i="14"/>
  <c r="ET46" i="14"/>
  <c r="EL46" i="14"/>
  <c r="ED46" i="14"/>
  <c r="ER44" i="14"/>
  <c r="EJ44" i="14"/>
  <c r="EB44" i="14"/>
  <c r="EU43" i="14"/>
  <c r="EM43" i="14"/>
  <c r="EE43" i="14"/>
  <c r="EX42" i="14"/>
  <c r="EP42" i="14"/>
  <c r="EH42" i="14"/>
  <c r="DZ42" i="14"/>
  <c r="ES41" i="14"/>
  <c r="EK41" i="14"/>
  <c r="EC41" i="14"/>
  <c r="EV40" i="14"/>
  <c r="EN40" i="14"/>
  <c r="EF40" i="14"/>
  <c r="EY39" i="14"/>
  <c r="EQ39" i="14"/>
  <c r="EI39" i="14"/>
  <c r="EA39" i="14"/>
  <c r="ET38" i="14"/>
  <c r="EL38" i="14"/>
  <c r="ED38" i="14"/>
  <c r="ER36" i="14"/>
  <c r="EJ36" i="14"/>
  <c r="EB36" i="14"/>
  <c r="EU35" i="14"/>
  <c r="EM35" i="14"/>
  <c r="EE35" i="14"/>
  <c r="EX34" i="14"/>
  <c r="EP34" i="14"/>
  <c r="EH34" i="14"/>
  <c r="DZ34" i="14"/>
  <c r="ES33" i="14"/>
  <c r="EK33" i="14"/>
  <c r="EC33" i="14"/>
  <c r="EV32" i="14"/>
  <c r="EN32" i="14"/>
  <c r="EF32" i="14"/>
  <c r="EY31" i="14"/>
  <c r="EQ31" i="14"/>
  <c r="EI31" i="14"/>
  <c r="EA31" i="14"/>
  <c r="ET30" i="14"/>
  <c r="EL30" i="14"/>
  <c r="ED30" i="14"/>
  <c r="ER28" i="14"/>
  <c r="EJ28" i="14"/>
  <c r="EB28" i="14"/>
  <c r="EU27" i="14"/>
  <c r="EM27" i="14"/>
  <c r="EE27" i="14"/>
  <c r="EX26" i="14"/>
  <c r="EP26" i="14"/>
  <c r="EH26" i="14"/>
  <c r="DZ26" i="14"/>
  <c r="ES25" i="14"/>
  <c r="EK25" i="14"/>
  <c r="EC25" i="14"/>
  <c r="EV24" i="14"/>
  <c r="EN24" i="14"/>
  <c r="EF24" i="14"/>
  <c r="EY23" i="14"/>
  <c r="EQ23" i="14"/>
  <c r="EI23" i="14"/>
  <c r="EA23" i="14"/>
  <c r="ET22" i="14"/>
  <c r="EL22" i="14"/>
  <c r="ED22" i="14"/>
  <c r="ER20" i="14"/>
  <c r="EJ20" i="14"/>
  <c r="EB20" i="14"/>
  <c r="EU19" i="14"/>
  <c r="EM19" i="14"/>
  <c r="EE19" i="14"/>
  <c r="EX18" i="14"/>
  <c r="EP18" i="14"/>
  <c r="EW17" i="14"/>
  <c r="ER16" i="14"/>
  <c r="EM15" i="14"/>
  <c r="EH14" i="14"/>
  <c r="EY11" i="14"/>
  <c r="EO9" i="14"/>
  <c r="EJ8" i="14"/>
  <c r="EE7" i="14"/>
  <c r="EY42" i="14"/>
  <c r="DY18" i="14"/>
  <c r="DZ18" i="14"/>
  <c r="EE10" i="14"/>
  <c r="EM10" i="14"/>
  <c r="EU10" i="14"/>
  <c r="EF10" i="14"/>
  <c r="EN10" i="14"/>
  <c r="EV10" i="14"/>
  <c r="DY10" i="14"/>
  <c r="EG10" i="14"/>
  <c r="EO10" i="14"/>
  <c r="EW10" i="14"/>
  <c r="DZ10" i="14"/>
  <c r="EH10" i="14"/>
  <c r="EP10" i="14"/>
  <c r="EX10" i="14"/>
  <c r="EA10" i="14"/>
  <c r="EI10" i="14"/>
  <c r="EQ10" i="14"/>
  <c r="EY10" i="14"/>
  <c r="EB10" i="14"/>
  <c r="EJ10" i="14"/>
  <c r="ER10" i="14"/>
  <c r="EV6" i="14"/>
  <c r="EN6" i="14"/>
  <c r="EF6" i="14"/>
  <c r="EX55" i="14"/>
  <c r="EP55" i="14"/>
  <c r="EH55" i="14"/>
  <c r="DZ55" i="14"/>
  <c r="ES54" i="14"/>
  <c r="EK54" i="14"/>
  <c r="EC54" i="14"/>
  <c r="EY52" i="14"/>
  <c r="EQ52" i="14"/>
  <c r="EI52" i="14"/>
  <c r="EA52" i="14"/>
  <c r="ET51" i="14"/>
  <c r="EL51" i="14"/>
  <c r="ED51" i="14"/>
  <c r="EW50" i="14"/>
  <c r="EO50" i="14"/>
  <c r="EG50" i="14"/>
  <c r="DY50" i="14"/>
  <c r="ER49" i="14"/>
  <c r="EJ49" i="14"/>
  <c r="EB49" i="14"/>
  <c r="EU48" i="14"/>
  <c r="EM48" i="14"/>
  <c r="EE48" i="14"/>
  <c r="EX47" i="14"/>
  <c r="EP47" i="14"/>
  <c r="EH47" i="14"/>
  <c r="DZ47" i="14"/>
  <c r="ES46" i="14"/>
  <c r="EK46" i="14"/>
  <c r="EC46" i="14"/>
  <c r="EY44" i="14"/>
  <c r="EQ44" i="14"/>
  <c r="EI44" i="14"/>
  <c r="EA44" i="14"/>
  <c r="ET43" i="14"/>
  <c r="EL43" i="14"/>
  <c r="ED43" i="14"/>
  <c r="EW42" i="14"/>
  <c r="EO42" i="14"/>
  <c r="EG42" i="14"/>
  <c r="DY42" i="14"/>
  <c r="ER41" i="14"/>
  <c r="EJ41" i="14"/>
  <c r="EB41" i="14"/>
  <c r="EU40" i="14"/>
  <c r="EM40" i="14"/>
  <c r="EE40" i="14"/>
  <c r="EX39" i="14"/>
  <c r="EP39" i="14"/>
  <c r="EH39" i="14"/>
  <c r="DZ39" i="14"/>
  <c r="ES38" i="14"/>
  <c r="EK38" i="14"/>
  <c r="EC38" i="14"/>
  <c r="EY36" i="14"/>
  <c r="EQ36" i="14"/>
  <c r="EI36" i="14"/>
  <c r="EA36" i="14"/>
  <c r="ET35" i="14"/>
  <c r="EL35" i="14"/>
  <c r="ED35" i="14"/>
  <c r="EW34" i="14"/>
  <c r="EO34" i="14"/>
  <c r="EG34" i="14"/>
  <c r="DY34" i="14"/>
  <c r="ER33" i="14"/>
  <c r="EJ33" i="14"/>
  <c r="EB33" i="14"/>
  <c r="EU32" i="14"/>
  <c r="EM32" i="14"/>
  <c r="EE32" i="14"/>
  <c r="EX31" i="14"/>
  <c r="EP31" i="14"/>
  <c r="EH31" i="14"/>
  <c r="DZ31" i="14"/>
  <c r="ES30" i="14"/>
  <c r="EK30" i="14"/>
  <c r="EC30" i="14"/>
  <c r="EY28" i="14"/>
  <c r="EQ28" i="14"/>
  <c r="EI28" i="14"/>
  <c r="EA28" i="14"/>
  <c r="ET27" i="14"/>
  <c r="EL27" i="14"/>
  <c r="ED27" i="14"/>
  <c r="EW26" i="14"/>
  <c r="EO26" i="14"/>
  <c r="EG26" i="14"/>
  <c r="DY26" i="14"/>
  <c r="ER25" i="14"/>
  <c r="EJ25" i="14"/>
  <c r="EB25" i="14"/>
  <c r="EU24" i="14"/>
  <c r="EM24" i="14"/>
  <c r="EE24" i="14"/>
  <c r="EX23" i="14"/>
  <c r="EP23" i="14"/>
  <c r="EH23" i="14"/>
  <c r="DZ23" i="14"/>
  <c r="ES22" i="14"/>
  <c r="EK22" i="14"/>
  <c r="EC22" i="14"/>
  <c r="EY20" i="14"/>
  <c r="EQ20" i="14"/>
  <c r="EI20" i="14"/>
  <c r="EA20" i="14"/>
  <c r="ET19" i="14"/>
  <c r="EL19" i="14"/>
  <c r="ED19" i="14"/>
  <c r="EW18" i="14"/>
  <c r="EO18" i="14"/>
  <c r="EG18" i="14"/>
  <c r="EQ16" i="14"/>
  <c r="EL15" i="14"/>
  <c r="EG14" i="14"/>
  <c r="EX11" i="14"/>
  <c r="ES10" i="14"/>
  <c r="EI8" i="14"/>
  <c r="DY12" i="14"/>
  <c r="EG12" i="14"/>
  <c r="EO12" i="14"/>
  <c r="EW12" i="14"/>
  <c r="DZ12" i="14"/>
  <c r="EH12" i="14"/>
  <c r="EP12" i="14"/>
  <c r="EX12" i="14"/>
  <c r="EA12" i="14"/>
  <c r="EI12" i="14"/>
  <c r="EQ12" i="14"/>
  <c r="EY12" i="14"/>
  <c r="EB12" i="14"/>
  <c r="EJ12" i="14"/>
  <c r="ER12" i="14"/>
  <c r="EC12" i="14"/>
  <c r="EK12" i="14"/>
  <c r="ES12" i="14"/>
  <c r="ED12" i="14"/>
  <c r="EL12" i="14"/>
  <c r="ET12" i="14"/>
  <c r="EI42" i="14"/>
  <c r="EA34" i="14"/>
  <c r="DZ17" i="14"/>
  <c r="EH17" i="14"/>
  <c r="EP17" i="14"/>
  <c r="EX17" i="14"/>
  <c r="EA17" i="14"/>
  <c r="EI17" i="14"/>
  <c r="EQ17" i="14"/>
  <c r="EY17" i="14"/>
  <c r="EB17" i="14"/>
  <c r="EJ17" i="14"/>
  <c r="ER17" i="14"/>
  <c r="EC17" i="14"/>
  <c r="EK17" i="14"/>
  <c r="ES17" i="14"/>
  <c r="ED17" i="14"/>
  <c r="EL17" i="14"/>
  <c r="ET17" i="14"/>
  <c r="EE17" i="14"/>
  <c r="EM17" i="14"/>
  <c r="EU17" i="14"/>
  <c r="DZ9" i="14"/>
  <c r="EH9" i="14"/>
  <c r="EP9" i="14"/>
  <c r="EX9" i="14"/>
  <c r="EA9" i="14"/>
  <c r="EI9" i="14"/>
  <c r="EQ9" i="14"/>
  <c r="EY9" i="14"/>
  <c r="EB9" i="14"/>
  <c r="EJ9" i="14"/>
  <c r="ER9" i="14"/>
  <c r="EC9" i="14"/>
  <c r="EK9" i="14"/>
  <c r="ES9" i="14"/>
  <c r="ED9" i="14"/>
  <c r="EL9" i="14"/>
  <c r="ET9" i="14"/>
  <c r="EE9" i="14"/>
  <c r="EM9" i="14"/>
  <c r="EU9" i="14"/>
  <c r="EU6" i="14"/>
  <c r="EM6" i="14"/>
  <c r="EE6" i="14"/>
  <c r="EW55" i="14"/>
  <c r="EO55" i="14"/>
  <c r="EG55" i="14"/>
  <c r="DY55" i="14"/>
  <c r="ER54" i="14"/>
  <c r="EJ54" i="14"/>
  <c r="EB54" i="14"/>
  <c r="EX52" i="14"/>
  <c r="EP52" i="14"/>
  <c r="EH52" i="14"/>
  <c r="DZ52" i="14"/>
  <c r="ES51" i="14"/>
  <c r="EK51" i="14"/>
  <c r="EC51" i="14"/>
  <c r="EV50" i="14"/>
  <c r="EN50" i="14"/>
  <c r="EF50" i="14"/>
  <c r="EY49" i="14"/>
  <c r="EQ49" i="14"/>
  <c r="EI49" i="14"/>
  <c r="EA49" i="14"/>
  <c r="ET48" i="14"/>
  <c r="EL48" i="14"/>
  <c r="ED48" i="14"/>
  <c r="EW47" i="14"/>
  <c r="EO47" i="14"/>
  <c r="EG47" i="14"/>
  <c r="DY47" i="14"/>
  <c r="ER46" i="14"/>
  <c r="EJ46" i="14"/>
  <c r="EB46" i="14"/>
  <c r="EX44" i="14"/>
  <c r="EP44" i="14"/>
  <c r="EH44" i="14"/>
  <c r="DZ44" i="14"/>
  <c r="ES43" i="14"/>
  <c r="EK43" i="14"/>
  <c r="EC43" i="14"/>
  <c r="EV42" i="14"/>
  <c r="EN42" i="14"/>
  <c r="EF42" i="14"/>
  <c r="EY41" i="14"/>
  <c r="EQ41" i="14"/>
  <c r="EI41" i="14"/>
  <c r="EA41" i="14"/>
  <c r="ET40" i="14"/>
  <c r="EL40" i="14"/>
  <c r="ED40" i="14"/>
  <c r="EW39" i="14"/>
  <c r="EO39" i="14"/>
  <c r="EG39" i="14"/>
  <c r="DY39" i="14"/>
  <c r="ER38" i="14"/>
  <c r="EJ38" i="14"/>
  <c r="EB38" i="14"/>
  <c r="EX36" i="14"/>
  <c r="EP36" i="14"/>
  <c r="EH36" i="14"/>
  <c r="DZ36" i="14"/>
  <c r="ES35" i="14"/>
  <c r="EK35" i="14"/>
  <c r="EC35" i="14"/>
  <c r="EV34" i="14"/>
  <c r="EN34" i="14"/>
  <c r="EF34" i="14"/>
  <c r="EY33" i="14"/>
  <c r="EQ33" i="14"/>
  <c r="EI33" i="14"/>
  <c r="EA33" i="14"/>
  <c r="ET32" i="14"/>
  <c r="EL32" i="14"/>
  <c r="ED32" i="14"/>
  <c r="EW31" i="14"/>
  <c r="EO31" i="14"/>
  <c r="EG31" i="14"/>
  <c r="DY31" i="14"/>
  <c r="ER30" i="14"/>
  <c r="EJ30" i="14"/>
  <c r="EB30" i="14"/>
  <c r="EX28" i="14"/>
  <c r="EP28" i="14"/>
  <c r="EH28" i="14"/>
  <c r="DZ28" i="14"/>
  <c r="ES27" i="14"/>
  <c r="EK27" i="14"/>
  <c r="EC27" i="14"/>
  <c r="EV26" i="14"/>
  <c r="EN26" i="14"/>
  <c r="EF26" i="14"/>
  <c r="EY25" i="14"/>
  <c r="EQ25" i="14"/>
  <c r="EI25" i="14"/>
  <c r="EA25" i="14"/>
  <c r="ET24" i="14"/>
  <c r="EL24" i="14"/>
  <c r="ED24" i="14"/>
  <c r="EW23" i="14"/>
  <c r="EO23" i="14"/>
  <c r="EG23" i="14"/>
  <c r="DY23" i="14"/>
  <c r="ER22" i="14"/>
  <c r="EJ22" i="14"/>
  <c r="EB22" i="14"/>
  <c r="EX20" i="14"/>
  <c r="EP20" i="14"/>
  <c r="EH20" i="14"/>
  <c r="DZ20" i="14"/>
  <c r="ES19" i="14"/>
  <c r="EK19" i="14"/>
  <c r="EC19" i="14"/>
  <c r="EV18" i="14"/>
  <c r="EN18" i="14"/>
  <c r="EF18" i="14"/>
  <c r="EO17" i="14"/>
  <c r="EE15" i="14"/>
  <c r="DZ14" i="14"/>
  <c r="EV12" i="14"/>
  <c r="EQ11" i="14"/>
  <c r="EL10" i="14"/>
  <c r="EG9" i="14"/>
  <c r="ES52" i="14"/>
  <c r="EI50" i="14"/>
  <c r="EA50" i="14"/>
  <c r="ES44" i="14"/>
  <c r="EC44" i="14"/>
  <c r="EC16" i="14"/>
  <c r="EK16" i="14"/>
  <c r="ES16" i="14"/>
  <c r="ED16" i="14"/>
  <c r="EL16" i="14"/>
  <c r="ET16" i="14"/>
  <c r="EE16" i="14"/>
  <c r="EM16" i="14"/>
  <c r="EU16" i="14"/>
  <c r="EF16" i="14"/>
  <c r="EN16" i="14"/>
  <c r="EV16" i="14"/>
  <c r="DY16" i="14"/>
  <c r="EG16" i="14"/>
  <c r="EO16" i="14"/>
  <c r="EW16" i="14"/>
  <c r="DZ16" i="14"/>
  <c r="EH16" i="14"/>
  <c r="EP16" i="14"/>
  <c r="EX16" i="14"/>
  <c r="EC8" i="14"/>
  <c r="EK8" i="14"/>
  <c r="ES8" i="14"/>
  <c r="ED8" i="14"/>
  <c r="EL8" i="14"/>
  <c r="ET8" i="14"/>
  <c r="EE8" i="14"/>
  <c r="EM8" i="14"/>
  <c r="EU8" i="14"/>
  <c r="EF8" i="14"/>
  <c r="EN8" i="14"/>
  <c r="EV8" i="14"/>
  <c r="DY8" i="14"/>
  <c r="EG8" i="14"/>
  <c r="EO8" i="14"/>
  <c r="EW8" i="14"/>
  <c r="DZ8" i="14"/>
  <c r="EH8" i="14"/>
  <c r="EP8" i="14"/>
  <c r="EX8" i="14"/>
  <c r="ET6" i="14"/>
  <c r="EL6" i="14"/>
  <c r="ED6" i="14"/>
  <c r="EV55" i="14"/>
  <c r="EN55" i="14"/>
  <c r="EF55" i="14"/>
  <c r="EY54" i="14"/>
  <c r="EQ54" i="14"/>
  <c r="EI54" i="14"/>
  <c r="EA54" i="14"/>
  <c r="EW52" i="14"/>
  <c r="EO52" i="14"/>
  <c r="EG52" i="14"/>
  <c r="DY52" i="14"/>
  <c r="ER51" i="14"/>
  <c r="EJ51" i="14"/>
  <c r="EB51" i="14"/>
  <c r="EU50" i="14"/>
  <c r="EM50" i="14"/>
  <c r="EE50" i="14"/>
  <c r="EX49" i="14"/>
  <c r="EP49" i="14"/>
  <c r="EH49" i="14"/>
  <c r="DZ49" i="14"/>
  <c r="ES48" i="14"/>
  <c r="EK48" i="14"/>
  <c r="EC48" i="14"/>
  <c r="EV47" i="14"/>
  <c r="EN47" i="14"/>
  <c r="EF47" i="14"/>
  <c r="EY46" i="14"/>
  <c r="EQ46" i="14"/>
  <c r="EI46" i="14"/>
  <c r="EA46" i="14"/>
  <c r="EW44" i="14"/>
  <c r="EO44" i="14"/>
  <c r="EG44" i="14"/>
  <c r="DY44" i="14"/>
  <c r="ER43" i="14"/>
  <c r="EJ43" i="14"/>
  <c r="EB43" i="14"/>
  <c r="EU42" i="14"/>
  <c r="EM42" i="14"/>
  <c r="EE42" i="14"/>
  <c r="EX41" i="14"/>
  <c r="EP41" i="14"/>
  <c r="EH41" i="14"/>
  <c r="DZ41" i="14"/>
  <c r="ES40" i="14"/>
  <c r="EK40" i="14"/>
  <c r="EC40" i="14"/>
  <c r="EV39" i="14"/>
  <c r="EN39" i="14"/>
  <c r="EF39" i="14"/>
  <c r="EY38" i="14"/>
  <c r="EQ38" i="14"/>
  <c r="EI38" i="14"/>
  <c r="EA38" i="14"/>
  <c r="EW36" i="14"/>
  <c r="EO36" i="14"/>
  <c r="EG36" i="14"/>
  <c r="DY36" i="14"/>
  <c r="ER35" i="14"/>
  <c r="EJ35" i="14"/>
  <c r="EB35" i="14"/>
  <c r="EU34" i="14"/>
  <c r="EM34" i="14"/>
  <c r="EE34" i="14"/>
  <c r="EX33" i="14"/>
  <c r="EP33" i="14"/>
  <c r="EH33" i="14"/>
  <c r="DZ33" i="14"/>
  <c r="ES32" i="14"/>
  <c r="EK32" i="14"/>
  <c r="EC32" i="14"/>
  <c r="EV31" i="14"/>
  <c r="EN31" i="14"/>
  <c r="EF31" i="14"/>
  <c r="EY30" i="14"/>
  <c r="EQ30" i="14"/>
  <c r="EI30" i="14"/>
  <c r="EA30" i="14"/>
  <c r="EW28" i="14"/>
  <c r="EO28" i="14"/>
  <c r="EG28" i="14"/>
  <c r="DY28" i="14"/>
  <c r="ER27" i="14"/>
  <c r="EJ27" i="14"/>
  <c r="EB27" i="14"/>
  <c r="EU26" i="14"/>
  <c r="EM26" i="14"/>
  <c r="EE26" i="14"/>
  <c r="EX25" i="14"/>
  <c r="EP25" i="14"/>
  <c r="EH25" i="14"/>
  <c r="DZ25" i="14"/>
  <c r="ES24" i="14"/>
  <c r="EK24" i="14"/>
  <c r="EC24" i="14"/>
  <c r="EV23" i="14"/>
  <c r="EN23" i="14"/>
  <c r="EF23" i="14"/>
  <c r="EY22" i="14"/>
  <c r="EQ22" i="14"/>
  <c r="EI22" i="14"/>
  <c r="EA22" i="14"/>
  <c r="EW20" i="14"/>
  <c r="EO20" i="14"/>
  <c r="EG20" i="14"/>
  <c r="DY20" i="14"/>
  <c r="ER19" i="14"/>
  <c r="EJ19" i="14"/>
  <c r="EB19" i="14"/>
  <c r="EU18" i="14"/>
  <c r="EM18" i="14"/>
  <c r="EE18" i="14"/>
  <c r="EN17" i="14"/>
  <c r="EI16" i="14"/>
  <c r="DY14" i="14"/>
  <c r="EU12" i="14"/>
  <c r="EP11" i="14"/>
  <c r="EK10" i="14"/>
  <c r="EF9" i="14"/>
  <c r="EA8" i="14"/>
  <c r="EK52" i="14"/>
  <c r="EQ50" i="14"/>
  <c r="EF15" i="14"/>
  <c r="EN15" i="14"/>
  <c r="EV15" i="14"/>
  <c r="DY15" i="14"/>
  <c r="EG15" i="14"/>
  <c r="EO15" i="14"/>
  <c r="EW15" i="14"/>
  <c r="DZ15" i="14"/>
  <c r="EH15" i="14"/>
  <c r="EP15" i="14"/>
  <c r="EX15" i="14"/>
  <c r="EA15" i="14"/>
  <c r="EI15" i="14"/>
  <c r="EQ15" i="14"/>
  <c r="EY15" i="14"/>
  <c r="EB15" i="14"/>
  <c r="EJ15" i="14"/>
  <c r="ER15" i="14"/>
  <c r="EC15" i="14"/>
  <c r="EK15" i="14"/>
  <c r="ES15" i="14"/>
  <c r="EF7" i="14"/>
  <c r="EN7" i="14"/>
  <c r="EV7" i="14"/>
  <c r="DY7" i="14"/>
  <c r="EG7" i="14"/>
  <c r="EO7" i="14"/>
  <c r="EW7" i="14"/>
  <c r="DZ7" i="14"/>
  <c r="EH7" i="14"/>
  <c r="EP7" i="14"/>
  <c r="EX7" i="14"/>
  <c r="EA7" i="14"/>
  <c r="EI7" i="14"/>
  <c r="EQ7" i="14"/>
  <c r="EY7" i="14"/>
  <c r="EB7" i="14"/>
  <c r="EJ7" i="14"/>
  <c r="ER7" i="14"/>
  <c r="EC7" i="14"/>
  <c r="EK7" i="14"/>
  <c r="ES7" i="14"/>
  <c r="ES6" i="14"/>
  <c r="EK6" i="14"/>
  <c r="EC6" i="14"/>
  <c r="EU55" i="14"/>
  <c r="EM55" i="14"/>
  <c r="EE55" i="14"/>
  <c r="EX54" i="14"/>
  <c r="EP54" i="14"/>
  <c r="EH54" i="14"/>
  <c r="DZ54" i="14"/>
  <c r="EV52" i="14"/>
  <c r="EN52" i="14"/>
  <c r="EF52" i="14"/>
  <c r="EY51" i="14"/>
  <c r="EQ51" i="14"/>
  <c r="EI51" i="14"/>
  <c r="EA51" i="14"/>
  <c r="ET50" i="14"/>
  <c r="EL50" i="14"/>
  <c r="ED50" i="14"/>
  <c r="EW49" i="14"/>
  <c r="EO49" i="14"/>
  <c r="EG49" i="14"/>
  <c r="DY49" i="14"/>
  <c r="ER48" i="14"/>
  <c r="EJ48" i="14"/>
  <c r="EB48" i="14"/>
  <c r="EU47" i="14"/>
  <c r="EM47" i="14"/>
  <c r="EE47" i="14"/>
  <c r="EX46" i="14"/>
  <c r="EP46" i="14"/>
  <c r="EH46" i="14"/>
  <c r="DZ46" i="14"/>
  <c r="EV44" i="14"/>
  <c r="EN44" i="14"/>
  <c r="EF44" i="14"/>
  <c r="EY43" i="14"/>
  <c r="EQ43" i="14"/>
  <c r="EI43" i="14"/>
  <c r="EA43" i="14"/>
  <c r="ET42" i="14"/>
  <c r="EL42" i="14"/>
  <c r="ED42" i="14"/>
  <c r="EW41" i="14"/>
  <c r="EO41" i="14"/>
  <c r="EG41" i="14"/>
  <c r="DY41" i="14"/>
  <c r="ER40" i="14"/>
  <c r="EJ40" i="14"/>
  <c r="EB40" i="14"/>
  <c r="EU39" i="14"/>
  <c r="EM39" i="14"/>
  <c r="EE39" i="14"/>
  <c r="EX38" i="14"/>
  <c r="EP38" i="14"/>
  <c r="EH38" i="14"/>
  <c r="DZ38" i="14"/>
  <c r="EV36" i="14"/>
  <c r="EN36" i="14"/>
  <c r="EF36" i="14"/>
  <c r="EY35" i="14"/>
  <c r="EQ35" i="14"/>
  <c r="EI35" i="14"/>
  <c r="EA35" i="14"/>
  <c r="ET34" i="14"/>
  <c r="EL34" i="14"/>
  <c r="ED34" i="14"/>
  <c r="EW33" i="14"/>
  <c r="EO33" i="14"/>
  <c r="EG33" i="14"/>
  <c r="DY33" i="14"/>
  <c r="ER32" i="14"/>
  <c r="EJ32" i="14"/>
  <c r="EB32" i="14"/>
  <c r="EU31" i="14"/>
  <c r="EM31" i="14"/>
  <c r="EE31" i="14"/>
  <c r="EX30" i="14"/>
  <c r="EP30" i="14"/>
  <c r="EH30" i="14"/>
  <c r="DZ30" i="14"/>
  <c r="EV28" i="14"/>
  <c r="EN28" i="14"/>
  <c r="EF28" i="14"/>
  <c r="EY27" i="14"/>
  <c r="EQ27" i="14"/>
  <c r="EI27" i="14"/>
  <c r="EA27" i="14"/>
  <c r="ET26" i="14"/>
  <c r="EL26" i="14"/>
  <c r="ED26" i="14"/>
  <c r="EW25" i="14"/>
  <c r="EO25" i="14"/>
  <c r="EG25" i="14"/>
  <c r="DY25" i="14"/>
  <c r="ER24" i="14"/>
  <c r="EJ24" i="14"/>
  <c r="EB24" i="14"/>
  <c r="EU23" i="14"/>
  <c r="EM23" i="14"/>
  <c r="EE23" i="14"/>
  <c r="EX22" i="14"/>
  <c r="EP22" i="14"/>
  <c r="EH22" i="14"/>
  <c r="DZ22" i="14"/>
  <c r="EV20" i="14"/>
  <c r="EN20" i="14"/>
  <c r="EF20" i="14"/>
  <c r="EY19" i="14"/>
  <c r="EQ19" i="14"/>
  <c r="EI19" i="14"/>
  <c r="EA19" i="14"/>
  <c r="ET18" i="14"/>
  <c r="EL18" i="14"/>
  <c r="ED18" i="14"/>
  <c r="EG17" i="14"/>
  <c r="EB16" i="14"/>
  <c r="EN12" i="14"/>
  <c r="EI11" i="14"/>
  <c r="ED10" i="14"/>
  <c r="DY9" i="14"/>
  <c r="EU7" i="14"/>
  <c r="EC52" i="14"/>
  <c r="EC36" i="14"/>
  <c r="EA14" i="14"/>
  <c r="EI14" i="14"/>
  <c r="EQ14" i="14"/>
  <c r="EY14" i="14"/>
  <c r="EB14" i="14"/>
  <c r="EJ14" i="14"/>
  <c r="ER14" i="14"/>
  <c r="EC14" i="14"/>
  <c r="EK14" i="14"/>
  <c r="ES14" i="14"/>
  <c r="ED14" i="14"/>
  <c r="EL14" i="14"/>
  <c r="ET14" i="14"/>
  <c r="EE14" i="14"/>
  <c r="EM14" i="14"/>
  <c r="EU14" i="14"/>
  <c r="EF14" i="14"/>
  <c r="EN14" i="14"/>
  <c r="EV14" i="14"/>
  <c r="DY6" i="14"/>
  <c r="ER6" i="14"/>
  <c r="EJ6" i="14"/>
  <c r="EB6" i="14"/>
  <c r="ET55" i="14"/>
  <c r="EL55" i="14"/>
  <c r="EW54" i="14"/>
  <c r="EO54" i="14"/>
  <c r="EG54" i="14"/>
  <c r="DY54" i="14"/>
  <c r="EU52" i="14"/>
  <c r="EM52" i="14"/>
  <c r="EE52" i="14"/>
  <c r="EX51" i="14"/>
  <c r="EP51" i="14"/>
  <c r="EH51" i="14"/>
  <c r="ES50" i="14"/>
  <c r="EK50" i="14"/>
  <c r="EC50" i="14"/>
  <c r="EV49" i="14"/>
  <c r="EN49" i="14"/>
  <c r="EF49" i="14"/>
  <c r="EY48" i="14"/>
  <c r="EQ48" i="14"/>
  <c r="EI48" i="14"/>
  <c r="EA48" i="14"/>
  <c r="ET47" i="14"/>
  <c r="EL47" i="14"/>
  <c r="ED47" i="14"/>
  <c r="EW46" i="14"/>
  <c r="EO46" i="14"/>
  <c r="EG46" i="14"/>
  <c r="DY46" i="14"/>
  <c r="EU44" i="14"/>
  <c r="EM44" i="14"/>
  <c r="EE44" i="14"/>
  <c r="EX43" i="14"/>
  <c r="EP43" i="14"/>
  <c r="EH43" i="14"/>
  <c r="DZ43" i="14"/>
  <c r="ES42" i="14"/>
  <c r="EK42" i="14"/>
  <c r="EC42" i="14"/>
  <c r="EV41" i="14"/>
  <c r="EN41" i="14"/>
  <c r="EF41" i="14"/>
  <c r="EY40" i="14"/>
  <c r="EQ40" i="14"/>
  <c r="EI40" i="14"/>
  <c r="EA40" i="14"/>
  <c r="ET39" i="14"/>
  <c r="EL39" i="14"/>
  <c r="ED39" i="14"/>
  <c r="EW38" i="14"/>
  <c r="EO38" i="14"/>
  <c r="EG38" i="14"/>
  <c r="DY38" i="14"/>
  <c r="EU36" i="14"/>
  <c r="EM36" i="14"/>
  <c r="EE36" i="14"/>
  <c r="EX35" i="14"/>
  <c r="EP35" i="14"/>
  <c r="EH35" i="14"/>
  <c r="DZ35" i="14"/>
  <c r="ES34" i="14"/>
  <c r="EK34" i="14"/>
  <c r="EC34" i="14"/>
  <c r="EV33" i="14"/>
  <c r="EN33" i="14"/>
  <c r="EF33" i="14"/>
  <c r="EY32" i="14"/>
  <c r="EQ32" i="14"/>
  <c r="EI32" i="14"/>
  <c r="EA32" i="14"/>
  <c r="ET31" i="14"/>
  <c r="EL31" i="14"/>
  <c r="ED31" i="14"/>
  <c r="EW30" i="14"/>
  <c r="EO30" i="14"/>
  <c r="EG30" i="14"/>
  <c r="DY30" i="14"/>
  <c r="EU28" i="14"/>
  <c r="EM28" i="14"/>
  <c r="EE28" i="14"/>
  <c r="EX27" i="14"/>
  <c r="EP27" i="14"/>
  <c r="EH27" i="14"/>
  <c r="DZ27" i="14"/>
  <c r="ES26" i="14"/>
  <c r="EK26" i="14"/>
  <c r="EC26" i="14"/>
  <c r="EV25" i="14"/>
  <c r="EN25" i="14"/>
  <c r="EF25" i="14"/>
  <c r="EY24" i="14"/>
  <c r="EQ24" i="14"/>
  <c r="EI24" i="14"/>
  <c r="EA24" i="14"/>
  <c r="ET23" i="14"/>
  <c r="EL23" i="14"/>
  <c r="ED23" i="14"/>
  <c r="EW22" i="14"/>
  <c r="EO22" i="14"/>
  <c r="EG22" i="14"/>
  <c r="DY22" i="14"/>
  <c r="EU20" i="14"/>
  <c r="EM20" i="14"/>
  <c r="EE20" i="14"/>
  <c r="EX19" i="14"/>
  <c r="EP19" i="14"/>
  <c r="EH19" i="14"/>
  <c r="DZ19" i="14"/>
  <c r="ES18" i="14"/>
  <c r="EK18" i="14"/>
  <c r="EC18" i="14"/>
  <c r="EF17" i="14"/>
  <c r="EA16" i="14"/>
  <c r="EW14" i="14"/>
  <c r="EM12" i="14"/>
  <c r="EH11" i="14"/>
  <c r="EC10" i="14"/>
  <c r="EY8" i="14"/>
  <c r="ET7" i="14"/>
  <c r="FD56" i="14"/>
  <c r="BD53" i="8"/>
  <c r="AN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2" i="6"/>
  <c r="AL3" i="6"/>
  <c r="AL4" i="6"/>
  <c r="AL5" i="6"/>
  <c r="AL6" i="6"/>
  <c r="AL7" i="6"/>
  <c r="AL8" i="6"/>
  <c r="AL9" i="6"/>
  <c r="AL10" i="6"/>
  <c r="AL11" i="6"/>
  <c r="AL12" i="6"/>
  <c r="AL13" i="6"/>
  <c r="AL14" i="6"/>
  <c r="AL15" i="6"/>
  <c r="AL16" i="6"/>
  <c r="AL17" i="6"/>
  <c r="AL18" i="6"/>
  <c r="AL19" i="6"/>
  <c r="AL20" i="6"/>
  <c r="AL21" i="6"/>
  <c r="AL22" i="6"/>
  <c r="AL23" i="6"/>
  <c r="AL24" i="6"/>
  <c r="AL25" i="6"/>
  <c r="AL26" i="6"/>
  <c r="AL27" i="6"/>
  <c r="AL28" i="6"/>
  <c r="AL29" i="6"/>
  <c r="AL30" i="6"/>
  <c r="AL31" i="6"/>
  <c r="AL32" i="6"/>
  <c r="AL33" i="6"/>
  <c r="AL34" i="6"/>
  <c r="AL35" i="6"/>
  <c r="AL36" i="6"/>
  <c r="AL37" i="6"/>
  <c r="AL38" i="6"/>
  <c r="AL39" i="6"/>
  <c r="AL40" i="6"/>
  <c r="AL41" i="6"/>
  <c r="AL42" i="6"/>
  <c r="AL43" i="6"/>
  <c r="AL44" i="6"/>
  <c r="AL45" i="6"/>
  <c r="AL46" i="6"/>
  <c r="AL47" i="6"/>
  <c r="AL48" i="6"/>
  <c r="AL49" i="6"/>
  <c r="AL50" i="6"/>
  <c r="AL51" i="6"/>
  <c r="AL52" i="6"/>
  <c r="AL2" i="6"/>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2" i="6"/>
  <c r="C112" i="16"/>
  <c r="D112" i="16"/>
  <c r="E112" i="16"/>
  <c r="F112" i="16"/>
  <c r="G112" i="16"/>
  <c r="H112" i="16"/>
  <c r="I112" i="16"/>
  <c r="J112" i="16"/>
  <c r="K112" i="16"/>
  <c r="L112" i="16"/>
  <c r="M112" i="16"/>
  <c r="N112" i="16"/>
  <c r="O112" i="16"/>
  <c r="P112" i="16"/>
  <c r="Q112" i="16"/>
  <c r="R112" i="16"/>
  <c r="S112" i="16"/>
  <c r="T112" i="16"/>
  <c r="U112" i="16"/>
  <c r="V112" i="16"/>
  <c r="W112" i="16"/>
  <c r="X112" i="16"/>
  <c r="Y112" i="16"/>
  <c r="Z112" i="16"/>
  <c r="AA112" i="16"/>
  <c r="AB112" i="16"/>
  <c r="AC112" i="16"/>
  <c r="C113" i="16"/>
  <c r="D113" i="16"/>
  <c r="E113" i="16"/>
  <c r="F113" i="16"/>
  <c r="G113" i="16"/>
  <c r="H113" i="16"/>
  <c r="I113" i="16"/>
  <c r="J113" i="16"/>
  <c r="K113" i="16"/>
  <c r="L113" i="16"/>
  <c r="M113" i="16"/>
  <c r="N113" i="16"/>
  <c r="O113" i="16"/>
  <c r="P113" i="16"/>
  <c r="Q113" i="16"/>
  <c r="R113" i="16"/>
  <c r="S113" i="16"/>
  <c r="T113" i="16"/>
  <c r="U113" i="16"/>
  <c r="V113" i="16"/>
  <c r="W113" i="16"/>
  <c r="X113" i="16"/>
  <c r="Y113" i="16"/>
  <c r="Z113" i="16"/>
  <c r="AA113" i="16"/>
  <c r="AB113" i="16"/>
  <c r="AC113" i="16"/>
  <c r="C114" i="16"/>
  <c r="D114" i="16"/>
  <c r="E114" i="16"/>
  <c r="F114" i="16"/>
  <c r="G114" i="16"/>
  <c r="H114" i="16"/>
  <c r="I114" i="16"/>
  <c r="J114" i="16"/>
  <c r="K114" i="16"/>
  <c r="L114" i="16"/>
  <c r="M114" i="16"/>
  <c r="N114" i="16"/>
  <c r="O114" i="16"/>
  <c r="P114" i="16"/>
  <c r="Q114" i="16"/>
  <c r="R114" i="16"/>
  <c r="S114" i="16"/>
  <c r="T114" i="16"/>
  <c r="U114" i="16"/>
  <c r="V114" i="16"/>
  <c r="W114" i="16"/>
  <c r="X114" i="16"/>
  <c r="Y114" i="16"/>
  <c r="Z114" i="16"/>
  <c r="AA114" i="16"/>
  <c r="AB114" i="16"/>
  <c r="AC114" i="16"/>
  <c r="C115" i="16"/>
  <c r="D115" i="16"/>
  <c r="E115" i="16"/>
  <c r="F115" i="16"/>
  <c r="G115" i="16"/>
  <c r="H115" i="16"/>
  <c r="I115" i="16"/>
  <c r="J115" i="16"/>
  <c r="K115" i="16"/>
  <c r="L115" i="16"/>
  <c r="M115" i="16"/>
  <c r="N115" i="16"/>
  <c r="O115" i="16"/>
  <c r="P115" i="16"/>
  <c r="Q115" i="16"/>
  <c r="R115" i="16"/>
  <c r="S115" i="16"/>
  <c r="T115" i="16"/>
  <c r="U115" i="16"/>
  <c r="V115" i="16"/>
  <c r="W115" i="16"/>
  <c r="X115" i="16"/>
  <c r="Y115" i="16"/>
  <c r="Z115" i="16"/>
  <c r="AA115" i="16"/>
  <c r="AB115" i="16"/>
  <c r="AC115" i="16"/>
  <c r="C116" i="16"/>
  <c r="D116" i="16"/>
  <c r="E116" i="16"/>
  <c r="F116" i="16"/>
  <c r="G116" i="16"/>
  <c r="H116" i="16"/>
  <c r="I116" i="16"/>
  <c r="J116" i="16"/>
  <c r="K116" i="16"/>
  <c r="L116" i="16"/>
  <c r="M116" i="16"/>
  <c r="N116" i="16"/>
  <c r="O116" i="16"/>
  <c r="P116" i="16"/>
  <c r="Q116" i="16"/>
  <c r="R116" i="16"/>
  <c r="S116" i="16"/>
  <c r="T116" i="16"/>
  <c r="U116" i="16"/>
  <c r="V116" i="16"/>
  <c r="W116" i="16"/>
  <c r="X116" i="16"/>
  <c r="Y116" i="16"/>
  <c r="Z116" i="16"/>
  <c r="AA116" i="16"/>
  <c r="AB116" i="16"/>
  <c r="AC116" i="16"/>
  <c r="C117" i="16"/>
  <c r="D117" i="16"/>
  <c r="E117" i="16"/>
  <c r="F117" i="16"/>
  <c r="G117" i="16"/>
  <c r="H117" i="16"/>
  <c r="I117" i="16"/>
  <c r="J117" i="16"/>
  <c r="K117" i="16"/>
  <c r="L117" i="16"/>
  <c r="M117" i="16"/>
  <c r="N117" i="16"/>
  <c r="O117" i="16"/>
  <c r="P117" i="16"/>
  <c r="Q117" i="16"/>
  <c r="R117" i="16"/>
  <c r="S117" i="16"/>
  <c r="T117" i="16"/>
  <c r="U117" i="16"/>
  <c r="V117" i="16"/>
  <c r="W117" i="16"/>
  <c r="X117" i="16"/>
  <c r="Y117" i="16"/>
  <c r="Z117" i="16"/>
  <c r="AA117" i="16"/>
  <c r="AB117" i="16"/>
  <c r="AC117" i="16"/>
  <c r="C118" i="16"/>
  <c r="D118" i="16"/>
  <c r="E118" i="16"/>
  <c r="F118" i="16"/>
  <c r="G118" i="16"/>
  <c r="H118" i="16"/>
  <c r="I118" i="16"/>
  <c r="J118" i="16"/>
  <c r="K118" i="16"/>
  <c r="L118" i="16"/>
  <c r="M118" i="16"/>
  <c r="N118" i="16"/>
  <c r="O118" i="16"/>
  <c r="P118" i="16"/>
  <c r="Q118" i="16"/>
  <c r="R118" i="16"/>
  <c r="S118" i="16"/>
  <c r="T118" i="16"/>
  <c r="U118" i="16"/>
  <c r="V118" i="16"/>
  <c r="W118" i="16"/>
  <c r="X118" i="16"/>
  <c r="Y118" i="16"/>
  <c r="Z118" i="16"/>
  <c r="AA118" i="16"/>
  <c r="AB118" i="16"/>
  <c r="AC118" i="16"/>
  <c r="C119" i="16"/>
  <c r="D119" i="16"/>
  <c r="E119" i="16"/>
  <c r="F119" i="16"/>
  <c r="G119" i="16"/>
  <c r="H119" i="16"/>
  <c r="I119" i="16"/>
  <c r="J119" i="16"/>
  <c r="K119" i="16"/>
  <c r="L119" i="16"/>
  <c r="M119" i="16"/>
  <c r="N119" i="16"/>
  <c r="O119" i="16"/>
  <c r="P119" i="16"/>
  <c r="Q119" i="16"/>
  <c r="R119" i="16"/>
  <c r="S119" i="16"/>
  <c r="T119" i="16"/>
  <c r="U119" i="16"/>
  <c r="V119" i="16"/>
  <c r="W119" i="16"/>
  <c r="X119" i="16"/>
  <c r="Y119" i="16"/>
  <c r="Z119" i="16"/>
  <c r="AA119" i="16"/>
  <c r="AB119" i="16"/>
  <c r="AC119" i="16"/>
  <c r="C120" i="16"/>
  <c r="D120" i="16"/>
  <c r="E120" i="16"/>
  <c r="F120" i="16"/>
  <c r="G120" i="16"/>
  <c r="H120" i="16"/>
  <c r="I120" i="16"/>
  <c r="J120" i="16"/>
  <c r="K120" i="16"/>
  <c r="L120" i="16"/>
  <c r="M120" i="16"/>
  <c r="N120" i="16"/>
  <c r="O120" i="16"/>
  <c r="P120" i="16"/>
  <c r="Q120" i="16"/>
  <c r="R120" i="16"/>
  <c r="S120" i="16"/>
  <c r="T120" i="16"/>
  <c r="U120" i="16"/>
  <c r="V120" i="16"/>
  <c r="W120" i="16"/>
  <c r="X120" i="16"/>
  <c r="Y120" i="16"/>
  <c r="Z120" i="16"/>
  <c r="AA120" i="16"/>
  <c r="AB120" i="16"/>
  <c r="AC120" i="16"/>
  <c r="C121" i="16"/>
  <c r="D121" i="16"/>
  <c r="E121" i="16"/>
  <c r="F121" i="16"/>
  <c r="G121" i="16"/>
  <c r="H121" i="16"/>
  <c r="I121" i="16"/>
  <c r="J121" i="16"/>
  <c r="K121" i="16"/>
  <c r="L121" i="16"/>
  <c r="M121" i="16"/>
  <c r="N121" i="16"/>
  <c r="O121" i="16"/>
  <c r="P121" i="16"/>
  <c r="Q121" i="16"/>
  <c r="R121" i="16"/>
  <c r="S121" i="16"/>
  <c r="T121" i="16"/>
  <c r="U121" i="16"/>
  <c r="V121" i="16"/>
  <c r="W121" i="16"/>
  <c r="X121" i="16"/>
  <c r="Y121" i="16"/>
  <c r="Z121" i="16"/>
  <c r="AA121" i="16"/>
  <c r="AB121" i="16"/>
  <c r="AC121" i="16"/>
  <c r="C122" i="16"/>
  <c r="D122" i="16"/>
  <c r="E122" i="16"/>
  <c r="F122" i="16"/>
  <c r="G122" i="16"/>
  <c r="H122" i="16"/>
  <c r="I122" i="16"/>
  <c r="J122" i="16"/>
  <c r="K122" i="16"/>
  <c r="L122" i="16"/>
  <c r="M122" i="16"/>
  <c r="N122" i="16"/>
  <c r="O122" i="16"/>
  <c r="P122" i="16"/>
  <c r="Q122" i="16"/>
  <c r="R122" i="16"/>
  <c r="S122" i="16"/>
  <c r="T122" i="16"/>
  <c r="U122" i="16"/>
  <c r="V122" i="16"/>
  <c r="W122" i="16"/>
  <c r="X122" i="16"/>
  <c r="Y122" i="16"/>
  <c r="Z122" i="16"/>
  <c r="AA122" i="16"/>
  <c r="AB122" i="16"/>
  <c r="AC122" i="16"/>
  <c r="C123" i="16"/>
  <c r="D123" i="16"/>
  <c r="E123" i="16"/>
  <c r="F123" i="16"/>
  <c r="G123" i="16"/>
  <c r="H123" i="16"/>
  <c r="I123" i="16"/>
  <c r="J123" i="16"/>
  <c r="K123" i="16"/>
  <c r="L123" i="16"/>
  <c r="M123" i="16"/>
  <c r="N123" i="16"/>
  <c r="O123" i="16"/>
  <c r="P123" i="16"/>
  <c r="Q123" i="16"/>
  <c r="R123" i="16"/>
  <c r="S123" i="16"/>
  <c r="T123" i="16"/>
  <c r="U123" i="16"/>
  <c r="V123" i="16"/>
  <c r="W123" i="16"/>
  <c r="X123" i="16"/>
  <c r="Y123" i="16"/>
  <c r="Z123" i="16"/>
  <c r="AA123" i="16"/>
  <c r="AB123" i="16"/>
  <c r="AC123" i="16"/>
  <c r="C124" i="16"/>
  <c r="D124" i="16"/>
  <c r="E124" i="16"/>
  <c r="F124" i="16"/>
  <c r="G124" i="16"/>
  <c r="H124" i="16"/>
  <c r="I124" i="16"/>
  <c r="J124" i="16"/>
  <c r="K124" i="16"/>
  <c r="L124" i="16"/>
  <c r="M124" i="16"/>
  <c r="N124" i="16"/>
  <c r="O124" i="16"/>
  <c r="P124" i="16"/>
  <c r="Q124" i="16"/>
  <c r="R124" i="16"/>
  <c r="S124" i="16"/>
  <c r="T124" i="16"/>
  <c r="U124" i="16"/>
  <c r="V124" i="16"/>
  <c r="W124" i="16"/>
  <c r="X124" i="16"/>
  <c r="Y124" i="16"/>
  <c r="Z124" i="16"/>
  <c r="AA124" i="16"/>
  <c r="AB124" i="16"/>
  <c r="AC124" i="16"/>
  <c r="C125" i="16"/>
  <c r="D125" i="16"/>
  <c r="E125" i="16"/>
  <c r="F125" i="16"/>
  <c r="G125" i="16"/>
  <c r="H125" i="16"/>
  <c r="I125" i="16"/>
  <c r="J125" i="16"/>
  <c r="K125" i="16"/>
  <c r="L125" i="16"/>
  <c r="M125" i="16"/>
  <c r="N125" i="16"/>
  <c r="O125" i="16"/>
  <c r="P125" i="16"/>
  <c r="Q125" i="16"/>
  <c r="R125" i="16"/>
  <c r="S125" i="16"/>
  <c r="T125" i="16"/>
  <c r="U125" i="16"/>
  <c r="V125" i="16"/>
  <c r="W125" i="16"/>
  <c r="X125" i="16"/>
  <c r="Y125" i="16"/>
  <c r="Z125" i="16"/>
  <c r="AA125" i="16"/>
  <c r="AB125" i="16"/>
  <c r="AC125" i="16"/>
  <c r="C126" i="16"/>
  <c r="D126" i="16"/>
  <c r="E126" i="16"/>
  <c r="F126" i="16"/>
  <c r="G126" i="16"/>
  <c r="H126" i="16"/>
  <c r="I126" i="16"/>
  <c r="J126" i="16"/>
  <c r="K126" i="16"/>
  <c r="L126" i="16"/>
  <c r="M126" i="16"/>
  <c r="N126" i="16"/>
  <c r="O126" i="16"/>
  <c r="P126" i="16"/>
  <c r="Q126" i="16"/>
  <c r="R126" i="16"/>
  <c r="S126" i="16"/>
  <c r="T126" i="16"/>
  <c r="U126" i="16"/>
  <c r="V126" i="16"/>
  <c r="W126" i="16"/>
  <c r="X126" i="16"/>
  <c r="Y126" i="16"/>
  <c r="Z126" i="16"/>
  <c r="AA126" i="16"/>
  <c r="AB126" i="16"/>
  <c r="AC126" i="16"/>
  <c r="C127" i="16"/>
  <c r="D127" i="16"/>
  <c r="E127" i="16"/>
  <c r="F127" i="16"/>
  <c r="G127" i="16"/>
  <c r="H127" i="16"/>
  <c r="I127" i="16"/>
  <c r="J127" i="16"/>
  <c r="K127" i="16"/>
  <c r="L127" i="16"/>
  <c r="M127" i="16"/>
  <c r="N127" i="16"/>
  <c r="O127" i="16"/>
  <c r="P127" i="16"/>
  <c r="Q127" i="16"/>
  <c r="R127" i="16"/>
  <c r="S127" i="16"/>
  <c r="T127" i="16"/>
  <c r="U127" i="16"/>
  <c r="V127" i="16"/>
  <c r="W127" i="16"/>
  <c r="X127" i="16"/>
  <c r="Y127" i="16"/>
  <c r="Z127" i="16"/>
  <c r="AA127" i="16"/>
  <c r="AB127" i="16"/>
  <c r="AC127" i="16"/>
  <c r="C128" i="16"/>
  <c r="D128" i="16"/>
  <c r="E128" i="16"/>
  <c r="F128" i="16"/>
  <c r="G128" i="16"/>
  <c r="H128" i="16"/>
  <c r="I128" i="16"/>
  <c r="J128" i="16"/>
  <c r="K128" i="16"/>
  <c r="L128" i="16"/>
  <c r="M128" i="16"/>
  <c r="N128" i="16"/>
  <c r="O128" i="16"/>
  <c r="P128" i="16"/>
  <c r="Q128" i="16"/>
  <c r="R128" i="16"/>
  <c r="S128" i="16"/>
  <c r="T128" i="16"/>
  <c r="U128" i="16"/>
  <c r="V128" i="16"/>
  <c r="W128" i="16"/>
  <c r="X128" i="16"/>
  <c r="Y128" i="16"/>
  <c r="Z128" i="16"/>
  <c r="AA128" i="16"/>
  <c r="AB128" i="16"/>
  <c r="AC128" i="16"/>
  <c r="C129" i="16"/>
  <c r="D129" i="16"/>
  <c r="E129" i="16"/>
  <c r="F129" i="16"/>
  <c r="G129" i="16"/>
  <c r="H129" i="16"/>
  <c r="I129" i="16"/>
  <c r="J129" i="16"/>
  <c r="K129" i="16"/>
  <c r="L129" i="16"/>
  <c r="M129" i="16"/>
  <c r="N129" i="16"/>
  <c r="O129" i="16"/>
  <c r="P129" i="16"/>
  <c r="Q129" i="16"/>
  <c r="R129" i="16"/>
  <c r="S129" i="16"/>
  <c r="T129" i="16"/>
  <c r="U129" i="16"/>
  <c r="V129" i="16"/>
  <c r="W129" i="16"/>
  <c r="X129" i="16"/>
  <c r="Y129" i="16"/>
  <c r="Z129" i="16"/>
  <c r="AA129" i="16"/>
  <c r="AB129" i="16"/>
  <c r="AC129" i="16"/>
  <c r="C130" i="16"/>
  <c r="D130" i="16"/>
  <c r="E130" i="16"/>
  <c r="F130" i="16"/>
  <c r="G130" i="16"/>
  <c r="H130" i="16"/>
  <c r="I130" i="16"/>
  <c r="J130" i="16"/>
  <c r="K130" i="16"/>
  <c r="L130" i="16"/>
  <c r="M130" i="16"/>
  <c r="N130" i="16"/>
  <c r="O130" i="16"/>
  <c r="P130" i="16"/>
  <c r="Q130" i="16"/>
  <c r="R130" i="16"/>
  <c r="S130" i="16"/>
  <c r="T130" i="16"/>
  <c r="U130" i="16"/>
  <c r="V130" i="16"/>
  <c r="W130" i="16"/>
  <c r="X130" i="16"/>
  <c r="Y130" i="16"/>
  <c r="Z130" i="16"/>
  <c r="AA130" i="16"/>
  <c r="AB130" i="16"/>
  <c r="AC130" i="16"/>
  <c r="C131" i="16"/>
  <c r="D131" i="16"/>
  <c r="E131" i="16"/>
  <c r="F131" i="16"/>
  <c r="G131" i="16"/>
  <c r="H131" i="16"/>
  <c r="I131" i="16"/>
  <c r="J131" i="16"/>
  <c r="K131" i="16"/>
  <c r="L131" i="16"/>
  <c r="M131" i="16"/>
  <c r="N131" i="16"/>
  <c r="O131" i="16"/>
  <c r="P131" i="16"/>
  <c r="Q131" i="16"/>
  <c r="R131" i="16"/>
  <c r="S131" i="16"/>
  <c r="T131" i="16"/>
  <c r="U131" i="16"/>
  <c r="V131" i="16"/>
  <c r="W131" i="16"/>
  <c r="X131" i="16"/>
  <c r="Y131" i="16"/>
  <c r="Z131" i="16"/>
  <c r="AA131" i="16"/>
  <c r="AB131" i="16"/>
  <c r="AC131" i="16"/>
  <c r="C132" i="16"/>
  <c r="D132" i="16"/>
  <c r="E132" i="16"/>
  <c r="F132" i="16"/>
  <c r="G132" i="16"/>
  <c r="H132" i="16"/>
  <c r="I132" i="16"/>
  <c r="J132" i="16"/>
  <c r="K132" i="16"/>
  <c r="L132" i="16"/>
  <c r="M132" i="16"/>
  <c r="N132" i="16"/>
  <c r="O132" i="16"/>
  <c r="P132" i="16"/>
  <c r="Q132" i="16"/>
  <c r="R132" i="16"/>
  <c r="S132" i="16"/>
  <c r="T132" i="16"/>
  <c r="U132" i="16"/>
  <c r="V132" i="16"/>
  <c r="W132" i="16"/>
  <c r="X132" i="16"/>
  <c r="Y132" i="16"/>
  <c r="Z132" i="16"/>
  <c r="AA132" i="16"/>
  <c r="AB132" i="16"/>
  <c r="AC132" i="16"/>
  <c r="C133" i="16"/>
  <c r="D133" i="16"/>
  <c r="E133" i="16"/>
  <c r="F133" i="16"/>
  <c r="G133" i="16"/>
  <c r="H133" i="16"/>
  <c r="I133" i="16"/>
  <c r="J133" i="16"/>
  <c r="K133" i="16"/>
  <c r="L133" i="16"/>
  <c r="M133" i="16"/>
  <c r="N133" i="16"/>
  <c r="O133" i="16"/>
  <c r="P133" i="16"/>
  <c r="Q133" i="16"/>
  <c r="R133" i="16"/>
  <c r="S133" i="16"/>
  <c r="T133" i="16"/>
  <c r="U133" i="16"/>
  <c r="V133" i="16"/>
  <c r="W133" i="16"/>
  <c r="X133" i="16"/>
  <c r="Y133" i="16"/>
  <c r="Z133" i="16"/>
  <c r="AA133" i="16"/>
  <c r="AB133" i="16"/>
  <c r="AC133" i="16"/>
  <c r="C134" i="16"/>
  <c r="D134" i="16"/>
  <c r="E134" i="16"/>
  <c r="F134" i="16"/>
  <c r="G134" i="16"/>
  <c r="H134" i="16"/>
  <c r="I134" i="16"/>
  <c r="J134" i="16"/>
  <c r="K134" i="16"/>
  <c r="L134" i="16"/>
  <c r="M134" i="16"/>
  <c r="N134" i="16"/>
  <c r="O134" i="16"/>
  <c r="P134" i="16"/>
  <c r="Q134" i="16"/>
  <c r="R134" i="16"/>
  <c r="S134" i="16"/>
  <c r="T134" i="16"/>
  <c r="U134" i="16"/>
  <c r="V134" i="16"/>
  <c r="W134" i="16"/>
  <c r="X134" i="16"/>
  <c r="Y134" i="16"/>
  <c r="Z134" i="16"/>
  <c r="AA134" i="16"/>
  <c r="AB134" i="16"/>
  <c r="AC134" i="16"/>
  <c r="C135" i="16"/>
  <c r="D135" i="16"/>
  <c r="E135" i="16"/>
  <c r="F135" i="16"/>
  <c r="G135" i="16"/>
  <c r="H135" i="16"/>
  <c r="I135" i="16"/>
  <c r="J135" i="16"/>
  <c r="K135" i="16"/>
  <c r="L135" i="16"/>
  <c r="M135" i="16"/>
  <c r="N135" i="16"/>
  <c r="O135" i="16"/>
  <c r="P135" i="16"/>
  <c r="Q135" i="16"/>
  <c r="R135" i="16"/>
  <c r="S135" i="16"/>
  <c r="T135" i="16"/>
  <c r="U135" i="16"/>
  <c r="V135" i="16"/>
  <c r="W135" i="16"/>
  <c r="X135" i="16"/>
  <c r="Y135" i="16"/>
  <c r="Z135" i="16"/>
  <c r="AA135" i="16"/>
  <c r="AB135" i="16"/>
  <c r="AC135" i="16"/>
  <c r="C136" i="16"/>
  <c r="D136" i="16"/>
  <c r="E136" i="16"/>
  <c r="F136" i="16"/>
  <c r="G136" i="16"/>
  <c r="H136" i="16"/>
  <c r="I136" i="16"/>
  <c r="J136" i="16"/>
  <c r="K136" i="16"/>
  <c r="L136" i="16"/>
  <c r="M136" i="16"/>
  <c r="N136" i="16"/>
  <c r="O136" i="16"/>
  <c r="P136" i="16"/>
  <c r="Q136" i="16"/>
  <c r="R136" i="16"/>
  <c r="S136" i="16"/>
  <c r="T136" i="16"/>
  <c r="U136" i="16"/>
  <c r="V136" i="16"/>
  <c r="W136" i="16"/>
  <c r="X136" i="16"/>
  <c r="Y136" i="16"/>
  <c r="Z136" i="16"/>
  <c r="AA136" i="16"/>
  <c r="AB136" i="16"/>
  <c r="AC136" i="16"/>
  <c r="C137" i="16"/>
  <c r="D137" i="16"/>
  <c r="E137" i="16"/>
  <c r="F137" i="16"/>
  <c r="G137" i="16"/>
  <c r="H137" i="16"/>
  <c r="I137" i="16"/>
  <c r="J137" i="16"/>
  <c r="K137" i="16"/>
  <c r="L137" i="16"/>
  <c r="M137" i="16"/>
  <c r="N137" i="16"/>
  <c r="O137" i="16"/>
  <c r="P137" i="16"/>
  <c r="Q137" i="16"/>
  <c r="R137" i="16"/>
  <c r="S137" i="16"/>
  <c r="T137" i="16"/>
  <c r="U137" i="16"/>
  <c r="V137" i="16"/>
  <c r="W137" i="16"/>
  <c r="X137" i="16"/>
  <c r="Y137" i="16"/>
  <c r="Z137" i="16"/>
  <c r="AA137" i="16"/>
  <c r="AB137" i="16"/>
  <c r="AC137" i="16"/>
  <c r="C138" i="16"/>
  <c r="D138" i="16"/>
  <c r="E138" i="16"/>
  <c r="F138" i="16"/>
  <c r="G138" i="16"/>
  <c r="H138" i="16"/>
  <c r="I138" i="16"/>
  <c r="J138" i="16"/>
  <c r="K138" i="16"/>
  <c r="L138" i="16"/>
  <c r="M138" i="16"/>
  <c r="N138" i="16"/>
  <c r="O138" i="16"/>
  <c r="P138" i="16"/>
  <c r="Q138" i="16"/>
  <c r="R138" i="16"/>
  <c r="S138" i="16"/>
  <c r="T138" i="16"/>
  <c r="U138" i="16"/>
  <c r="V138" i="16"/>
  <c r="W138" i="16"/>
  <c r="X138" i="16"/>
  <c r="Y138" i="16"/>
  <c r="Z138" i="16"/>
  <c r="AA138" i="16"/>
  <c r="AB138" i="16"/>
  <c r="AC138" i="16"/>
  <c r="C139" i="16"/>
  <c r="D139" i="16"/>
  <c r="E139" i="16"/>
  <c r="F139" i="16"/>
  <c r="G139" i="16"/>
  <c r="H139" i="16"/>
  <c r="I139" i="16"/>
  <c r="J139" i="16"/>
  <c r="K139" i="16"/>
  <c r="L139" i="16"/>
  <c r="M139" i="16"/>
  <c r="N139" i="16"/>
  <c r="O139" i="16"/>
  <c r="P139" i="16"/>
  <c r="Q139" i="16"/>
  <c r="R139" i="16"/>
  <c r="S139" i="16"/>
  <c r="T139" i="16"/>
  <c r="U139" i="16"/>
  <c r="V139" i="16"/>
  <c r="W139" i="16"/>
  <c r="X139" i="16"/>
  <c r="Y139" i="16"/>
  <c r="Z139" i="16"/>
  <c r="AA139" i="16"/>
  <c r="AB139" i="16"/>
  <c r="AC139" i="16"/>
  <c r="C140" i="16"/>
  <c r="D140" i="16"/>
  <c r="E140" i="16"/>
  <c r="F140" i="16"/>
  <c r="G140" i="16"/>
  <c r="H140" i="16"/>
  <c r="I140" i="16"/>
  <c r="J140" i="16"/>
  <c r="K140" i="16"/>
  <c r="L140" i="16"/>
  <c r="M140" i="16"/>
  <c r="N140" i="16"/>
  <c r="O140" i="16"/>
  <c r="P140" i="16"/>
  <c r="Q140" i="16"/>
  <c r="R140" i="16"/>
  <c r="S140" i="16"/>
  <c r="T140" i="16"/>
  <c r="U140" i="16"/>
  <c r="V140" i="16"/>
  <c r="W140" i="16"/>
  <c r="X140" i="16"/>
  <c r="Y140" i="16"/>
  <c r="Z140" i="16"/>
  <c r="AA140" i="16"/>
  <c r="AB140" i="16"/>
  <c r="AC140" i="16"/>
  <c r="C141" i="16"/>
  <c r="D141" i="16"/>
  <c r="E141" i="16"/>
  <c r="F141" i="16"/>
  <c r="G141" i="16"/>
  <c r="H141" i="16"/>
  <c r="I141" i="16"/>
  <c r="J141" i="16"/>
  <c r="K141" i="16"/>
  <c r="L141" i="16"/>
  <c r="M141" i="16"/>
  <c r="N141" i="16"/>
  <c r="O141" i="16"/>
  <c r="P141" i="16"/>
  <c r="Q141" i="16"/>
  <c r="R141" i="16"/>
  <c r="S141" i="16"/>
  <c r="T141" i="16"/>
  <c r="U141" i="16"/>
  <c r="V141" i="16"/>
  <c r="W141" i="16"/>
  <c r="X141" i="16"/>
  <c r="Y141" i="16"/>
  <c r="Z141" i="16"/>
  <c r="AA141" i="16"/>
  <c r="AB141" i="16"/>
  <c r="AC141" i="16"/>
  <c r="C142" i="16"/>
  <c r="D142" i="16"/>
  <c r="E142" i="16"/>
  <c r="F142" i="16"/>
  <c r="G142" i="16"/>
  <c r="H142" i="16"/>
  <c r="I142" i="16"/>
  <c r="J142" i="16"/>
  <c r="K142" i="16"/>
  <c r="L142" i="16"/>
  <c r="M142" i="16"/>
  <c r="N142" i="16"/>
  <c r="O142" i="16"/>
  <c r="P142" i="16"/>
  <c r="Q142" i="16"/>
  <c r="R142" i="16"/>
  <c r="S142" i="16"/>
  <c r="T142" i="16"/>
  <c r="U142" i="16"/>
  <c r="V142" i="16"/>
  <c r="W142" i="16"/>
  <c r="X142" i="16"/>
  <c r="Y142" i="16"/>
  <c r="Z142" i="16"/>
  <c r="AA142" i="16"/>
  <c r="AB142" i="16"/>
  <c r="AC142" i="16"/>
  <c r="C143" i="16"/>
  <c r="D143" i="16"/>
  <c r="E143" i="16"/>
  <c r="F143" i="16"/>
  <c r="G143" i="16"/>
  <c r="H143" i="16"/>
  <c r="I143" i="16"/>
  <c r="J143" i="16"/>
  <c r="K143" i="16"/>
  <c r="L143" i="16"/>
  <c r="M143" i="16"/>
  <c r="N143" i="16"/>
  <c r="O143" i="16"/>
  <c r="P143" i="16"/>
  <c r="Q143" i="16"/>
  <c r="R143" i="16"/>
  <c r="S143" i="16"/>
  <c r="T143" i="16"/>
  <c r="U143" i="16"/>
  <c r="V143" i="16"/>
  <c r="W143" i="16"/>
  <c r="X143" i="16"/>
  <c r="Y143" i="16"/>
  <c r="Z143" i="16"/>
  <c r="AA143" i="16"/>
  <c r="AB143" i="16"/>
  <c r="AC143" i="16"/>
  <c r="C144" i="16"/>
  <c r="D144" i="16"/>
  <c r="E144" i="16"/>
  <c r="F144" i="16"/>
  <c r="G144" i="16"/>
  <c r="H144" i="16"/>
  <c r="I144" i="16"/>
  <c r="J144" i="16"/>
  <c r="K144" i="16"/>
  <c r="L144" i="16"/>
  <c r="M144" i="16"/>
  <c r="N144" i="16"/>
  <c r="O144" i="16"/>
  <c r="P144" i="16"/>
  <c r="Q144" i="16"/>
  <c r="R144" i="16"/>
  <c r="S144" i="16"/>
  <c r="T144" i="16"/>
  <c r="U144" i="16"/>
  <c r="V144" i="16"/>
  <c r="W144" i="16"/>
  <c r="X144" i="16"/>
  <c r="Y144" i="16"/>
  <c r="Z144" i="16"/>
  <c r="AA144" i="16"/>
  <c r="AB144" i="16"/>
  <c r="AC144" i="16"/>
  <c r="C145" i="16"/>
  <c r="D145" i="16"/>
  <c r="E145" i="16"/>
  <c r="F145" i="16"/>
  <c r="G145" i="16"/>
  <c r="H145" i="16"/>
  <c r="I145" i="16"/>
  <c r="J145" i="16"/>
  <c r="K145" i="16"/>
  <c r="L145" i="16"/>
  <c r="M145" i="16"/>
  <c r="N145" i="16"/>
  <c r="O145" i="16"/>
  <c r="P145" i="16"/>
  <c r="Q145" i="16"/>
  <c r="R145" i="16"/>
  <c r="S145" i="16"/>
  <c r="T145" i="16"/>
  <c r="U145" i="16"/>
  <c r="V145" i="16"/>
  <c r="W145" i="16"/>
  <c r="X145" i="16"/>
  <c r="Y145" i="16"/>
  <c r="Z145" i="16"/>
  <c r="AA145" i="16"/>
  <c r="AB145" i="16"/>
  <c r="AC145" i="16"/>
  <c r="C146" i="16"/>
  <c r="D146" i="16"/>
  <c r="E146" i="16"/>
  <c r="F146" i="16"/>
  <c r="G146" i="16"/>
  <c r="H146" i="16"/>
  <c r="I146" i="16"/>
  <c r="J146" i="16"/>
  <c r="K146" i="16"/>
  <c r="L146" i="16"/>
  <c r="M146" i="16"/>
  <c r="N146" i="16"/>
  <c r="O146" i="16"/>
  <c r="P146" i="16"/>
  <c r="Q146" i="16"/>
  <c r="R146" i="16"/>
  <c r="S146" i="16"/>
  <c r="T146" i="16"/>
  <c r="U146" i="16"/>
  <c r="V146" i="16"/>
  <c r="W146" i="16"/>
  <c r="X146" i="16"/>
  <c r="Y146" i="16"/>
  <c r="Z146" i="16"/>
  <c r="AA146" i="16"/>
  <c r="AB146" i="16"/>
  <c r="AC146" i="16"/>
  <c r="C147" i="16"/>
  <c r="D147" i="16"/>
  <c r="E147" i="16"/>
  <c r="F147" i="16"/>
  <c r="G147" i="16"/>
  <c r="H147" i="16"/>
  <c r="I147" i="16"/>
  <c r="J147" i="16"/>
  <c r="K147" i="16"/>
  <c r="L147" i="16"/>
  <c r="M147" i="16"/>
  <c r="N147" i="16"/>
  <c r="O147" i="16"/>
  <c r="P147" i="16"/>
  <c r="Q147" i="16"/>
  <c r="R147" i="16"/>
  <c r="S147" i="16"/>
  <c r="T147" i="16"/>
  <c r="U147" i="16"/>
  <c r="V147" i="16"/>
  <c r="W147" i="16"/>
  <c r="X147" i="16"/>
  <c r="Y147" i="16"/>
  <c r="Z147" i="16"/>
  <c r="AA147" i="16"/>
  <c r="AB147" i="16"/>
  <c r="AC147" i="16"/>
  <c r="C148" i="16"/>
  <c r="D148" i="16"/>
  <c r="E148" i="16"/>
  <c r="F148" i="16"/>
  <c r="G148" i="16"/>
  <c r="H148" i="16"/>
  <c r="I148" i="16"/>
  <c r="J148" i="16"/>
  <c r="K148" i="16"/>
  <c r="L148" i="16"/>
  <c r="M148" i="16"/>
  <c r="N148" i="16"/>
  <c r="O148" i="16"/>
  <c r="P148" i="16"/>
  <c r="Q148" i="16"/>
  <c r="R148" i="16"/>
  <c r="S148" i="16"/>
  <c r="T148" i="16"/>
  <c r="U148" i="16"/>
  <c r="V148" i="16"/>
  <c r="W148" i="16"/>
  <c r="X148" i="16"/>
  <c r="Y148" i="16"/>
  <c r="Z148" i="16"/>
  <c r="AA148" i="16"/>
  <c r="AB148" i="16"/>
  <c r="AC148" i="16"/>
  <c r="C149" i="16"/>
  <c r="D149" i="16"/>
  <c r="E149" i="16"/>
  <c r="F149" i="16"/>
  <c r="G149" i="16"/>
  <c r="H149" i="16"/>
  <c r="I149" i="16"/>
  <c r="J149" i="16"/>
  <c r="K149" i="16"/>
  <c r="L149" i="16"/>
  <c r="M149" i="16"/>
  <c r="N149" i="16"/>
  <c r="O149" i="16"/>
  <c r="P149" i="16"/>
  <c r="Q149" i="16"/>
  <c r="R149" i="16"/>
  <c r="S149" i="16"/>
  <c r="T149" i="16"/>
  <c r="U149" i="16"/>
  <c r="V149" i="16"/>
  <c r="W149" i="16"/>
  <c r="X149" i="16"/>
  <c r="Y149" i="16"/>
  <c r="Z149" i="16"/>
  <c r="AA149" i="16"/>
  <c r="AB149" i="16"/>
  <c r="AC149" i="16"/>
  <c r="C150" i="16"/>
  <c r="D150" i="16"/>
  <c r="E150" i="16"/>
  <c r="F150" i="16"/>
  <c r="G150" i="16"/>
  <c r="H150" i="16"/>
  <c r="I150" i="16"/>
  <c r="J150" i="16"/>
  <c r="K150" i="16"/>
  <c r="L150" i="16"/>
  <c r="M150" i="16"/>
  <c r="N150" i="16"/>
  <c r="O150" i="16"/>
  <c r="P150" i="16"/>
  <c r="Q150" i="16"/>
  <c r="R150" i="16"/>
  <c r="S150" i="16"/>
  <c r="T150" i="16"/>
  <c r="U150" i="16"/>
  <c r="V150" i="16"/>
  <c r="W150" i="16"/>
  <c r="X150" i="16"/>
  <c r="Y150" i="16"/>
  <c r="Z150" i="16"/>
  <c r="AA150" i="16"/>
  <c r="AB150" i="16"/>
  <c r="AC150" i="16"/>
  <c r="C151" i="16"/>
  <c r="D151" i="16"/>
  <c r="E151" i="16"/>
  <c r="F151" i="16"/>
  <c r="G151" i="16"/>
  <c r="H151" i="16"/>
  <c r="I151" i="16"/>
  <c r="J151" i="16"/>
  <c r="K151" i="16"/>
  <c r="L151" i="16"/>
  <c r="M151" i="16"/>
  <c r="N151" i="16"/>
  <c r="O151" i="16"/>
  <c r="P151" i="16"/>
  <c r="Q151" i="16"/>
  <c r="R151" i="16"/>
  <c r="S151" i="16"/>
  <c r="T151" i="16"/>
  <c r="U151" i="16"/>
  <c r="V151" i="16"/>
  <c r="W151" i="16"/>
  <c r="X151" i="16"/>
  <c r="Y151" i="16"/>
  <c r="Z151" i="16"/>
  <c r="AA151" i="16"/>
  <c r="AB151" i="16"/>
  <c r="AC151" i="16"/>
  <c r="C152" i="16"/>
  <c r="D152" i="16"/>
  <c r="E152" i="16"/>
  <c r="F152" i="16"/>
  <c r="G152" i="16"/>
  <c r="H152" i="16"/>
  <c r="I152" i="16"/>
  <c r="J152" i="16"/>
  <c r="K152" i="16"/>
  <c r="L152" i="16"/>
  <c r="M152" i="16"/>
  <c r="N152" i="16"/>
  <c r="O152" i="16"/>
  <c r="P152" i="16"/>
  <c r="Q152" i="16"/>
  <c r="R152" i="16"/>
  <c r="S152" i="16"/>
  <c r="T152" i="16"/>
  <c r="U152" i="16"/>
  <c r="V152" i="16"/>
  <c r="W152" i="16"/>
  <c r="X152" i="16"/>
  <c r="Y152" i="16"/>
  <c r="Z152" i="16"/>
  <c r="AA152" i="16"/>
  <c r="AB152" i="16"/>
  <c r="AC152" i="16"/>
  <c r="C153" i="16"/>
  <c r="D153" i="16"/>
  <c r="E153" i="16"/>
  <c r="F153" i="16"/>
  <c r="G153" i="16"/>
  <c r="H153" i="16"/>
  <c r="I153" i="16"/>
  <c r="J153" i="16"/>
  <c r="K153" i="16"/>
  <c r="L153" i="16"/>
  <c r="M153" i="16"/>
  <c r="N153" i="16"/>
  <c r="O153" i="16"/>
  <c r="P153" i="16"/>
  <c r="Q153" i="16"/>
  <c r="R153" i="16"/>
  <c r="S153" i="16"/>
  <c r="T153" i="16"/>
  <c r="U153" i="16"/>
  <c r="V153" i="16"/>
  <c r="W153" i="16"/>
  <c r="X153" i="16"/>
  <c r="Y153" i="16"/>
  <c r="Z153" i="16"/>
  <c r="AA153" i="16"/>
  <c r="AB153" i="16"/>
  <c r="AC153" i="16"/>
  <c r="C154" i="16"/>
  <c r="D154" i="16"/>
  <c r="E154" i="16"/>
  <c r="F154" i="16"/>
  <c r="G154" i="16"/>
  <c r="H154" i="16"/>
  <c r="I154" i="16"/>
  <c r="J154" i="16"/>
  <c r="K154" i="16"/>
  <c r="L154" i="16"/>
  <c r="M154" i="16"/>
  <c r="N154" i="16"/>
  <c r="O154" i="16"/>
  <c r="P154" i="16"/>
  <c r="Q154" i="16"/>
  <c r="R154" i="16"/>
  <c r="S154" i="16"/>
  <c r="T154" i="16"/>
  <c r="U154" i="16"/>
  <c r="V154" i="16"/>
  <c r="W154" i="16"/>
  <c r="X154" i="16"/>
  <c r="Y154" i="16"/>
  <c r="Z154" i="16"/>
  <c r="AA154" i="16"/>
  <c r="AB154" i="16"/>
  <c r="AC154" i="16"/>
  <c r="C155" i="16"/>
  <c r="D155" i="16"/>
  <c r="E155" i="16"/>
  <c r="F155" i="16"/>
  <c r="G155" i="16"/>
  <c r="H155" i="16"/>
  <c r="I155" i="16"/>
  <c r="J155" i="16"/>
  <c r="K155" i="16"/>
  <c r="L155" i="16"/>
  <c r="M155" i="16"/>
  <c r="N155" i="16"/>
  <c r="O155" i="16"/>
  <c r="P155" i="16"/>
  <c r="Q155" i="16"/>
  <c r="R155" i="16"/>
  <c r="S155" i="16"/>
  <c r="T155" i="16"/>
  <c r="U155" i="16"/>
  <c r="V155" i="16"/>
  <c r="W155" i="16"/>
  <c r="X155" i="16"/>
  <c r="Y155" i="16"/>
  <c r="Z155" i="16"/>
  <c r="AA155" i="16"/>
  <c r="AB155" i="16"/>
  <c r="AC155" i="16"/>
  <c r="C156" i="16"/>
  <c r="D156" i="16"/>
  <c r="E156" i="16"/>
  <c r="F156" i="16"/>
  <c r="G156" i="16"/>
  <c r="H156" i="16"/>
  <c r="I156" i="16"/>
  <c r="J156" i="16"/>
  <c r="K156" i="16"/>
  <c r="L156" i="16"/>
  <c r="M156" i="16"/>
  <c r="N156" i="16"/>
  <c r="O156" i="16"/>
  <c r="P156" i="16"/>
  <c r="Q156" i="16"/>
  <c r="R156" i="16"/>
  <c r="S156" i="16"/>
  <c r="T156" i="16"/>
  <c r="U156" i="16"/>
  <c r="V156" i="16"/>
  <c r="W156" i="16"/>
  <c r="X156" i="16"/>
  <c r="Y156" i="16"/>
  <c r="Z156" i="16"/>
  <c r="AA156" i="16"/>
  <c r="AB156" i="16"/>
  <c r="AC156" i="16"/>
  <c r="C157" i="16"/>
  <c r="D157" i="16"/>
  <c r="E157" i="16"/>
  <c r="F157" i="16"/>
  <c r="G157" i="16"/>
  <c r="H157" i="16"/>
  <c r="I157" i="16"/>
  <c r="J157" i="16"/>
  <c r="K157" i="16"/>
  <c r="L157" i="16"/>
  <c r="M157" i="16"/>
  <c r="N157" i="16"/>
  <c r="O157" i="16"/>
  <c r="P157" i="16"/>
  <c r="Q157" i="16"/>
  <c r="R157" i="16"/>
  <c r="S157" i="16"/>
  <c r="T157" i="16"/>
  <c r="U157" i="16"/>
  <c r="V157" i="16"/>
  <c r="W157" i="16"/>
  <c r="X157" i="16"/>
  <c r="Y157" i="16"/>
  <c r="Z157" i="16"/>
  <c r="AA157" i="16"/>
  <c r="AB157" i="16"/>
  <c r="AC157" i="16"/>
  <c r="C158" i="16"/>
  <c r="D158" i="16"/>
  <c r="E158" i="16"/>
  <c r="F158" i="16"/>
  <c r="G158" i="16"/>
  <c r="H158" i="16"/>
  <c r="I158" i="16"/>
  <c r="J158" i="16"/>
  <c r="K158" i="16"/>
  <c r="L158" i="16"/>
  <c r="M158" i="16"/>
  <c r="N158" i="16"/>
  <c r="O158" i="16"/>
  <c r="P158" i="16"/>
  <c r="Q158" i="16"/>
  <c r="R158" i="16"/>
  <c r="S158" i="16"/>
  <c r="T158" i="16"/>
  <c r="U158" i="16"/>
  <c r="V158" i="16"/>
  <c r="W158" i="16"/>
  <c r="X158" i="16"/>
  <c r="Y158" i="16"/>
  <c r="Z158" i="16"/>
  <c r="AA158" i="16"/>
  <c r="AB158" i="16"/>
  <c r="AC158" i="16"/>
  <c r="C159" i="16"/>
  <c r="D159" i="16"/>
  <c r="E159" i="16"/>
  <c r="F159" i="16"/>
  <c r="G159" i="16"/>
  <c r="H159" i="16"/>
  <c r="I159" i="16"/>
  <c r="J159" i="16"/>
  <c r="K159" i="16"/>
  <c r="L159" i="16"/>
  <c r="M159" i="16"/>
  <c r="N159" i="16"/>
  <c r="O159" i="16"/>
  <c r="P159" i="16"/>
  <c r="Q159" i="16"/>
  <c r="R159" i="16"/>
  <c r="S159" i="16"/>
  <c r="T159" i="16"/>
  <c r="U159" i="16"/>
  <c r="V159" i="16"/>
  <c r="W159" i="16"/>
  <c r="X159" i="16"/>
  <c r="Y159" i="16"/>
  <c r="Z159" i="16"/>
  <c r="AA159" i="16"/>
  <c r="AB159" i="16"/>
  <c r="AC159" i="16"/>
  <c r="C160" i="16"/>
  <c r="D160" i="16"/>
  <c r="E160" i="16"/>
  <c r="F160" i="16"/>
  <c r="G160" i="16"/>
  <c r="H160" i="16"/>
  <c r="I160" i="16"/>
  <c r="J160" i="16"/>
  <c r="K160" i="16"/>
  <c r="L160" i="16"/>
  <c r="M160" i="16"/>
  <c r="N160" i="16"/>
  <c r="O160" i="16"/>
  <c r="P160" i="16"/>
  <c r="Q160" i="16"/>
  <c r="R160" i="16"/>
  <c r="S160" i="16"/>
  <c r="T160" i="16"/>
  <c r="U160" i="16"/>
  <c r="V160" i="16"/>
  <c r="W160" i="16"/>
  <c r="X160" i="16"/>
  <c r="Y160" i="16"/>
  <c r="Z160" i="16"/>
  <c r="AA160" i="16"/>
  <c r="AB160" i="16"/>
  <c r="AC160" i="16"/>
  <c r="C161" i="16"/>
  <c r="D161" i="16"/>
  <c r="E161" i="16"/>
  <c r="F161" i="16"/>
  <c r="G161" i="16"/>
  <c r="H161" i="16"/>
  <c r="I161" i="16"/>
  <c r="J161" i="16"/>
  <c r="K161" i="16"/>
  <c r="L161" i="16"/>
  <c r="M161" i="16"/>
  <c r="N161" i="16"/>
  <c r="O161" i="16"/>
  <c r="P161" i="16"/>
  <c r="Q161" i="16"/>
  <c r="R161" i="16"/>
  <c r="S161" i="16"/>
  <c r="T161" i="16"/>
  <c r="U161" i="16"/>
  <c r="V161" i="16"/>
  <c r="W161" i="16"/>
  <c r="X161" i="16"/>
  <c r="Y161" i="16"/>
  <c r="Z161" i="16"/>
  <c r="AA161" i="16"/>
  <c r="AB161" i="16"/>
  <c r="AC161" i="16"/>
  <c r="D111" i="16"/>
  <c r="E111" i="16"/>
  <c r="F111" i="16"/>
  <c r="G111" i="16"/>
  <c r="H111" i="16"/>
  <c r="I111" i="16"/>
  <c r="J111" i="16"/>
  <c r="K111" i="16"/>
  <c r="L111" i="16"/>
  <c r="M111" i="16"/>
  <c r="N111" i="16"/>
  <c r="O111" i="16"/>
  <c r="P111" i="16"/>
  <c r="Q111" i="16"/>
  <c r="R111" i="16"/>
  <c r="S111" i="16"/>
  <c r="T111" i="16"/>
  <c r="U111" i="16"/>
  <c r="V111" i="16"/>
  <c r="W111" i="16"/>
  <c r="X111" i="16"/>
  <c r="Y111" i="16"/>
  <c r="Z111" i="16"/>
  <c r="AA111" i="16"/>
  <c r="AB111" i="16"/>
  <c r="AC111" i="16"/>
  <c r="C111" i="16"/>
  <c r="AG9" i="16"/>
  <c r="D57" i="16"/>
  <c r="E57" i="16"/>
  <c r="F57" i="16"/>
  <c r="G57" i="16"/>
  <c r="H57" i="16"/>
  <c r="I57" i="16"/>
  <c r="J57" i="16"/>
  <c r="K57" i="16"/>
  <c r="L57" i="16"/>
  <c r="M57" i="16"/>
  <c r="N57" i="16"/>
  <c r="O57" i="16"/>
  <c r="P57" i="16"/>
  <c r="Q57" i="16"/>
  <c r="R57" i="16"/>
  <c r="S57" i="16"/>
  <c r="T57" i="16"/>
  <c r="U57" i="16"/>
  <c r="V57" i="16"/>
  <c r="W57" i="16"/>
  <c r="X57" i="16"/>
  <c r="Y57" i="16"/>
  <c r="Z57" i="16"/>
  <c r="AA57" i="16"/>
  <c r="AB57" i="16"/>
  <c r="AC57" i="16"/>
  <c r="D58" i="16"/>
  <c r="E58" i="16"/>
  <c r="F58" i="16"/>
  <c r="G58" i="16"/>
  <c r="H58" i="16"/>
  <c r="I58" i="16"/>
  <c r="J58" i="16"/>
  <c r="K58" i="16"/>
  <c r="L58" i="16"/>
  <c r="M58" i="16"/>
  <c r="N58" i="16"/>
  <c r="O58" i="16"/>
  <c r="P58" i="16"/>
  <c r="Q58" i="16"/>
  <c r="R58" i="16"/>
  <c r="S58" i="16"/>
  <c r="T58" i="16"/>
  <c r="U58" i="16"/>
  <c r="V58" i="16"/>
  <c r="W58" i="16"/>
  <c r="X58" i="16"/>
  <c r="Y58" i="16"/>
  <c r="Z58" i="16"/>
  <c r="AA58" i="16"/>
  <c r="AB58" i="16"/>
  <c r="AC58" i="16"/>
  <c r="D59" i="16"/>
  <c r="E59" i="16"/>
  <c r="F59" i="16"/>
  <c r="G59" i="16"/>
  <c r="H59" i="16"/>
  <c r="I59" i="16"/>
  <c r="J59" i="16"/>
  <c r="K59" i="16"/>
  <c r="L59" i="16"/>
  <c r="M59" i="16"/>
  <c r="N59" i="16"/>
  <c r="O59" i="16"/>
  <c r="P59" i="16"/>
  <c r="Q59" i="16"/>
  <c r="R59" i="16"/>
  <c r="S59" i="16"/>
  <c r="T59" i="16"/>
  <c r="U59" i="16"/>
  <c r="V59" i="16"/>
  <c r="W59" i="16"/>
  <c r="X59" i="16"/>
  <c r="Y59" i="16"/>
  <c r="Z59" i="16"/>
  <c r="AA59" i="16"/>
  <c r="AB59" i="16"/>
  <c r="AC59" i="16"/>
  <c r="D60" i="16"/>
  <c r="E60" i="16"/>
  <c r="F60" i="16"/>
  <c r="G60" i="16"/>
  <c r="H60" i="16"/>
  <c r="I60" i="16"/>
  <c r="J60" i="16"/>
  <c r="K60" i="16"/>
  <c r="L60" i="16"/>
  <c r="M60" i="16"/>
  <c r="N60" i="16"/>
  <c r="O60" i="16"/>
  <c r="P60" i="16"/>
  <c r="Q60" i="16"/>
  <c r="R60" i="16"/>
  <c r="S60" i="16"/>
  <c r="T60" i="16"/>
  <c r="U60" i="16"/>
  <c r="V60" i="16"/>
  <c r="W60" i="16"/>
  <c r="X60" i="16"/>
  <c r="Y60" i="16"/>
  <c r="Z60" i="16"/>
  <c r="AA60" i="16"/>
  <c r="AB60" i="16"/>
  <c r="AC60" i="16"/>
  <c r="D61" i="16"/>
  <c r="E61" i="16"/>
  <c r="F61" i="16"/>
  <c r="G61" i="16"/>
  <c r="H61" i="16"/>
  <c r="I61" i="16"/>
  <c r="J61" i="16"/>
  <c r="K61" i="16"/>
  <c r="L61" i="16"/>
  <c r="M61" i="16"/>
  <c r="N61" i="16"/>
  <c r="O61" i="16"/>
  <c r="P61" i="16"/>
  <c r="Q61" i="16"/>
  <c r="R61" i="16"/>
  <c r="S61" i="16"/>
  <c r="T61" i="16"/>
  <c r="U61" i="16"/>
  <c r="V61" i="16"/>
  <c r="W61" i="16"/>
  <c r="X61" i="16"/>
  <c r="Y61" i="16"/>
  <c r="Z61" i="16"/>
  <c r="AA61" i="16"/>
  <c r="AB61" i="16"/>
  <c r="AC61" i="16"/>
  <c r="D62" i="16"/>
  <c r="E62" i="16"/>
  <c r="F62" i="16"/>
  <c r="G62" i="16"/>
  <c r="H62" i="16"/>
  <c r="I62" i="16"/>
  <c r="J62" i="16"/>
  <c r="K62" i="16"/>
  <c r="L62" i="16"/>
  <c r="M62" i="16"/>
  <c r="N62" i="16"/>
  <c r="O62" i="16"/>
  <c r="P62" i="16"/>
  <c r="Q62" i="16"/>
  <c r="R62" i="16"/>
  <c r="S62" i="16"/>
  <c r="T62" i="16"/>
  <c r="U62" i="16"/>
  <c r="V62" i="16"/>
  <c r="W62" i="16"/>
  <c r="X62" i="16"/>
  <c r="Y62" i="16"/>
  <c r="Z62" i="16"/>
  <c r="AA62" i="16"/>
  <c r="AB62" i="16"/>
  <c r="AC62" i="16"/>
  <c r="D63" i="16"/>
  <c r="E63" i="16"/>
  <c r="F63" i="16"/>
  <c r="G63" i="16"/>
  <c r="H63" i="16"/>
  <c r="I63" i="16"/>
  <c r="J63" i="16"/>
  <c r="K63" i="16"/>
  <c r="L63" i="16"/>
  <c r="M63" i="16"/>
  <c r="N63" i="16"/>
  <c r="O63" i="16"/>
  <c r="P63" i="16"/>
  <c r="Q63" i="16"/>
  <c r="R63" i="16"/>
  <c r="S63" i="16"/>
  <c r="T63" i="16"/>
  <c r="U63" i="16"/>
  <c r="V63" i="16"/>
  <c r="W63" i="16"/>
  <c r="X63" i="16"/>
  <c r="Y63" i="16"/>
  <c r="Z63" i="16"/>
  <c r="AA63" i="16"/>
  <c r="AB63" i="16"/>
  <c r="AC63" i="16"/>
  <c r="D64" i="16"/>
  <c r="E64" i="16"/>
  <c r="F64" i="16"/>
  <c r="G64" i="16"/>
  <c r="H64" i="16"/>
  <c r="I64" i="16"/>
  <c r="J64" i="16"/>
  <c r="K64" i="16"/>
  <c r="L64" i="16"/>
  <c r="M64" i="16"/>
  <c r="N64" i="16"/>
  <c r="O64" i="16"/>
  <c r="P64" i="16"/>
  <c r="Q64" i="16"/>
  <c r="R64" i="16"/>
  <c r="S64" i="16"/>
  <c r="T64" i="16"/>
  <c r="U64" i="16"/>
  <c r="V64" i="16"/>
  <c r="W64" i="16"/>
  <c r="X64" i="16"/>
  <c r="Y64" i="16"/>
  <c r="Z64" i="16"/>
  <c r="AA64" i="16"/>
  <c r="AB64" i="16"/>
  <c r="AC64" i="16"/>
  <c r="D65" i="16"/>
  <c r="E65" i="16"/>
  <c r="F65" i="16"/>
  <c r="G65" i="16"/>
  <c r="H65" i="16"/>
  <c r="I65" i="16"/>
  <c r="J65" i="16"/>
  <c r="K65" i="16"/>
  <c r="L65" i="16"/>
  <c r="M65" i="16"/>
  <c r="N65" i="16"/>
  <c r="O65" i="16"/>
  <c r="P65" i="16"/>
  <c r="Q65" i="16"/>
  <c r="R65" i="16"/>
  <c r="S65" i="16"/>
  <c r="T65" i="16"/>
  <c r="U65" i="16"/>
  <c r="V65" i="16"/>
  <c r="W65" i="16"/>
  <c r="X65" i="16"/>
  <c r="Y65" i="16"/>
  <c r="Z65" i="16"/>
  <c r="AA65" i="16"/>
  <c r="AB65" i="16"/>
  <c r="AC65" i="16"/>
  <c r="D66" i="16"/>
  <c r="E66" i="16"/>
  <c r="F66" i="16"/>
  <c r="G66" i="16"/>
  <c r="H66" i="16"/>
  <c r="I66" i="16"/>
  <c r="J66" i="16"/>
  <c r="K66" i="16"/>
  <c r="L66" i="16"/>
  <c r="M66" i="16"/>
  <c r="N66" i="16"/>
  <c r="O66" i="16"/>
  <c r="P66" i="16"/>
  <c r="Q66" i="16"/>
  <c r="R66" i="16"/>
  <c r="S66" i="16"/>
  <c r="T66" i="16"/>
  <c r="U66" i="16"/>
  <c r="V66" i="16"/>
  <c r="W66" i="16"/>
  <c r="X66" i="16"/>
  <c r="Y66" i="16"/>
  <c r="Z66" i="16"/>
  <c r="AA66" i="16"/>
  <c r="AB66" i="16"/>
  <c r="AC66" i="16"/>
  <c r="D67" i="16"/>
  <c r="E67" i="16"/>
  <c r="F67" i="16"/>
  <c r="G67" i="16"/>
  <c r="H67" i="16"/>
  <c r="I67" i="16"/>
  <c r="J67" i="16"/>
  <c r="K67" i="16"/>
  <c r="L67" i="16"/>
  <c r="M67" i="16"/>
  <c r="N67" i="16"/>
  <c r="O67" i="16"/>
  <c r="P67" i="16"/>
  <c r="Q67" i="16"/>
  <c r="R67" i="16"/>
  <c r="S67" i="16"/>
  <c r="T67" i="16"/>
  <c r="U67" i="16"/>
  <c r="V67" i="16"/>
  <c r="W67" i="16"/>
  <c r="X67" i="16"/>
  <c r="Y67" i="16"/>
  <c r="Z67" i="16"/>
  <c r="AA67" i="16"/>
  <c r="AB67" i="16"/>
  <c r="AC67" i="16"/>
  <c r="D68" i="16"/>
  <c r="E68" i="16"/>
  <c r="F68" i="16"/>
  <c r="G68" i="16"/>
  <c r="H68" i="16"/>
  <c r="I68" i="16"/>
  <c r="J68" i="16"/>
  <c r="K68" i="16"/>
  <c r="L68" i="16"/>
  <c r="M68" i="16"/>
  <c r="N68" i="16"/>
  <c r="O68" i="16"/>
  <c r="P68" i="16"/>
  <c r="Q68" i="16"/>
  <c r="R68" i="16"/>
  <c r="S68" i="16"/>
  <c r="T68" i="16"/>
  <c r="U68" i="16"/>
  <c r="V68" i="16"/>
  <c r="W68" i="16"/>
  <c r="X68" i="16"/>
  <c r="Y68" i="16"/>
  <c r="Z68" i="16"/>
  <c r="AA68" i="16"/>
  <c r="AB68" i="16"/>
  <c r="AC68" i="16"/>
  <c r="D69" i="16"/>
  <c r="E69" i="16"/>
  <c r="F69" i="16"/>
  <c r="G69" i="16"/>
  <c r="H69" i="16"/>
  <c r="I69" i="16"/>
  <c r="J69" i="16"/>
  <c r="K69" i="16"/>
  <c r="L69" i="16"/>
  <c r="M69" i="16"/>
  <c r="N69" i="16"/>
  <c r="O69" i="16"/>
  <c r="P69" i="16"/>
  <c r="Q69" i="16"/>
  <c r="R69" i="16"/>
  <c r="S69" i="16"/>
  <c r="T69" i="16"/>
  <c r="U69" i="16"/>
  <c r="V69" i="16"/>
  <c r="W69" i="16"/>
  <c r="X69" i="16"/>
  <c r="Y69" i="16"/>
  <c r="Z69" i="16"/>
  <c r="AA69" i="16"/>
  <c r="AB69" i="16"/>
  <c r="AC69" i="16"/>
  <c r="D70" i="16"/>
  <c r="E70" i="16"/>
  <c r="F70" i="16"/>
  <c r="G70" i="16"/>
  <c r="H70" i="16"/>
  <c r="I70" i="16"/>
  <c r="J70" i="16"/>
  <c r="K70" i="16"/>
  <c r="L70" i="16"/>
  <c r="M70" i="16"/>
  <c r="N70" i="16"/>
  <c r="O70" i="16"/>
  <c r="P70" i="16"/>
  <c r="Q70" i="16"/>
  <c r="R70" i="16"/>
  <c r="S70" i="16"/>
  <c r="T70" i="16"/>
  <c r="U70" i="16"/>
  <c r="V70" i="16"/>
  <c r="W70" i="16"/>
  <c r="X70" i="16"/>
  <c r="Y70" i="16"/>
  <c r="Z70" i="16"/>
  <c r="AA70" i="16"/>
  <c r="AB70" i="16"/>
  <c r="AC70" i="16"/>
  <c r="D71" i="16"/>
  <c r="E71" i="16"/>
  <c r="F71" i="16"/>
  <c r="G71" i="16"/>
  <c r="H71" i="16"/>
  <c r="I71" i="16"/>
  <c r="J71" i="16"/>
  <c r="K71" i="16"/>
  <c r="L71" i="16"/>
  <c r="M71" i="16"/>
  <c r="N71" i="16"/>
  <c r="O71" i="16"/>
  <c r="P71" i="16"/>
  <c r="Q71" i="16"/>
  <c r="R71" i="16"/>
  <c r="S71" i="16"/>
  <c r="T71" i="16"/>
  <c r="U71" i="16"/>
  <c r="V71" i="16"/>
  <c r="W71" i="16"/>
  <c r="X71" i="16"/>
  <c r="Y71" i="16"/>
  <c r="Z71" i="16"/>
  <c r="AA71" i="16"/>
  <c r="AB71" i="16"/>
  <c r="AC71" i="16"/>
  <c r="D72" i="16"/>
  <c r="E72" i="16"/>
  <c r="F72" i="16"/>
  <c r="G72" i="16"/>
  <c r="H72" i="16"/>
  <c r="I72" i="16"/>
  <c r="J72" i="16"/>
  <c r="K72" i="16"/>
  <c r="L72" i="16"/>
  <c r="M72" i="16"/>
  <c r="N72" i="16"/>
  <c r="O72" i="16"/>
  <c r="P72" i="16"/>
  <c r="Q72" i="16"/>
  <c r="R72" i="16"/>
  <c r="S72" i="16"/>
  <c r="T72" i="16"/>
  <c r="U72" i="16"/>
  <c r="V72" i="16"/>
  <c r="W72" i="16"/>
  <c r="X72" i="16"/>
  <c r="Y72" i="16"/>
  <c r="Z72" i="16"/>
  <c r="AA72" i="16"/>
  <c r="AB72" i="16"/>
  <c r="AC72" i="16"/>
  <c r="D73" i="16"/>
  <c r="E73" i="16"/>
  <c r="F73" i="16"/>
  <c r="G73" i="16"/>
  <c r="H73" i="16"/>
  <c r="I73" i="16"/>
  <c r="J73" i="16"/>
  <c r="K73" i="16"/>
  <c r="L73" i="16"/>
  <c r="M73" i="16"/>
  <c r="N73" i="16"/>
  <c r="O73" i="16"/>
  <c r="P73" i="16"/>
  <c r="Q73" i="16"/>
  <c r="R73" i="16"/>
  <c r="S73" i="16"/>
  <c r="T73" i="16"/>
  <c r="U73" i="16"/>
  <c r="V73" i="16"/>
  <c r="W73" i="16"/>
  <c r="X73" i="16"/>
  <c r="Y73" i="16"/>
  <c r="Z73" i="16"/>
  <c r="AA73" i="16"/>
  <c r="AB73" i="16"/>
  <c r="AC73" i="16"/>
  <c r="D74" i="16"/>
  <c r="E74" i="16"/>
  <c r="F74" i="16"/>
  <c r="G74" i="16"/>
  <c r="H74" i="16"/>
  <c r="I74" i="16"/>
  <c r="J74" i="16"/>
  <c r="K74" i="16"/>
  <c r="L74" i="16"/>
  <c r="M74" i="16"/>
  <c r="N74" i="16"/>
  <c r="O74" i="16"/>
  <c r="P74" i="16"/>
  <c r="Q74" i="16"/>
  <c r="R74" i="16"/>
  <c r="S74" i="16"/>
  <c r="T74" i="16"/>
  <c r="U74" i="16"/>
  <c r="V74" i="16"/>
  <c r="W74" i="16"/>
  <c r="X74" i="16"/>
  <c r="Y74" i="16"/>
  <c r="Z74" i="16"/>
  <c r="AA74" i="16"/>
  <c r="AB74" i="16"/>
  <c r="AC74" i="16"/>
  <c r="D75" i="16"/>
  <c r="E75" i="16"/>
  <c r="F75" i="16"/>
  <c r="G75" i="16"/>
  <c r="H75" i="16"/>
  <c r="I75" i="16"/>
  <c r="J75" i="16"/>
  <c r="K75" i="16"/>
  <c r="L75" i="16"/>
  <c r="M75" i="16"/>
  <c r="N75" i="16"/>
  <c r="O75" i="16"/>
  <c r="P75" i="16"/>
  <c r="Q75" i="16"/>
  <c r="R75" i="16"/>
  <c r="S75" i="16"/>
  <c r="T75" i="16"/>
  <c r="U75" i="16"/>
  <c r="V75" i="16"/>
  <c r="W75" i="16"/>
  <c r="X75" i="16"/>
  <c r="Y75" i="16"/>
  <c r="Z75" i="16"/>
  <c r="AA75" i="16"/>
  <c r="AB75" i="16"/>
  <c r="AC75" i="16"/>
  <c r="D76" i="16"/>
  <c r="E76" i="16"/>
  <c r="F76" i="16"/>
  <c r="G76" i="16"/>
  <c r="H76" i="16"/>
  <c r="I76" i="16"/>
  <c r="J76" i="16"/>
  <c r="K76" i="16"/>
  <c r="L76" i="16"/>
  <c r="M76" i="16"/>
  <c r="N76" i="16"/>
  <c r="O76" i="16"/>
  <c r="P76" i="16"/>
  <c r="Q76" i="16"/>
  <c r="R76" i="16"/>
  <c r="S76" i="16"/>
  <c r="T76" i="16"/>
  <c r="U76" i="16"/>
  <c r="V76" i="16"/>
  <c r="W76" i="16"/>
  <c r="X76" i="16"/>
  <c r="Y76" i="16"/>
  <c r="Z76" i="16"/>
  <c r="AA76" i="16"/>
  <c r="AB76" i="16"/>
  <c r="AC76" i="16"/>
  <c r="D77" i="16"/>
  <c r="E77" i="16"/>
  <c r="F77" i="16"/>
  <c r="G77" i="16"/>
  <c r="H77" i="16"/>
  <c r="I77" i="16"/>
  <c r="J77" i="16"/>
  <c r="K77" i="16"/>
  <c r="L77" i="16"/>
  <c r="M77" i="16"/>
  <c r="N77" i="16"/>
  <c r="O77" i="16"/>
  <c r="P77" i="16"/>
  <c r="Q77" i="16"/>
  <c r="R77" i="16"/>
  <c r="S77" i="16"/>
  <c r="T77" i="16"/>
  <c r="U77" i="16"/>
  <c r="V77" i="16"/>
  <c r="W77" i="16"/>
  <c r="X77" i="16"/>
  <c r="Y77" i="16"/>
  <c r="Z77" i="16"/>
  <c r="AA77" i="16"/>
  <c r="AB77" i="16"/>
  <c r="AC77" i="16"/>
  <c r="D78" i="16"/>
  <c r="E78" i="16"/>
  <c r="F78" i="16"/>
  <c r="G78" i="16"/>
  <c r="H78" i="16"/>
  <c r="I78" i="16"/>
  <c r="J78" i="16"/>
  <c r="K78" i="16"/>
  <c r="L78" i="16"/>
  <c r="M78" i="16"/>
  <c r="N78" i="16"/>
  <c r="O78" i="16"/>
  <c r="P78" i="16"/>
  <c r="Q78" i="16"/>
  <c r="R78" i="16"/>
  <c r="S78" i="16"/>
  <c r="T78" i="16"/>
  <c r="U78" i="16"/>
  <c r="V78" i="16"/>
  <c r="W78" i="16"/>
  <c r="X78" i="16"/>
  <c r="Y78" i="16"/>
  <c r="Z78" i="16"/>
  <c r="AA78" i="16"/>
  <c r="AB78" i="16"/>
  <c r="AC78" i="16"/>
  <c r="D79" i="16"/>
  <c r="E79" i="16"/>
  <c r="F79" i="16"/>
  <c r="G79" i="16"/>
  <c r="H79" i="16"/>
  <c r="I79" i="16"/>
  <c r="J79" i="16"/>
  <c r="K79" i="16"/>
  <c r="L79" i="16"/>
  <c r="M79" i="16"/>
  <c r="N79" i="16"/>
  <c r="O79" i="16"/>
  <c r="P79" i="16"/>
  <c r="Q79" i="16"/>
  <c r="R79" i="16"/>
  <c r="S79" i="16"/>
  <c r="T79" i="16"/>
  <c r="U79" i="16"/>
  <c r="V79" i="16"/>
  <c r="W79" i="16"/>
  <c r="X79" i="16"/>
  <c r="Y79" i="16"/>
  <c r="Z79" i="16"/>
  <c r="AA79" i="16"/>
  <c r="AB79" i="16"/>
  <c r="AC79" i="16"/>
  <c r="D80" i="16"/>
  <c r="E80" i="16"/>
  <c r="F80" i="16"/>
  <c r="G80" i="16"/>
  <c r="H80" i="16"/>
  <c r="I80" i="16"/>
  <c r="J80" i="16"/>
  <c r="K80" i="16"/>
  <c r="L80" i="16"/>
  <c r="M80" i="16"/>
  <c r="N80" i="16"/>
  <c r="O80" i="16"/>
  <c r="P80" i="16"/>
  <c r="Q80" i="16"/>
  <c r="R80" i="16"/>
  <c r="S80" i="16"/>
  <c r="T80" i="16"/>
  <c r="U80" i="16"/>
  <c r="V80" i="16"/>
  <c r="W80" i="16"/>
  <c r="X80" i="16"/>
  <c r="Y80" i="16"/>
  <c r="Z80" i="16"/>
  <c r="AA80" i="16"/>
  <c r="AB80" i="16"/>
  <c r="AC80" i="16"/>
  <c r="D81" i="16"/>
  <c r="E81" i="16"/>
  <c r="F81" i="16"/>
  <c r="G81" i="16"/>
  <c r="H81" i="16"/>
  <c r="I81" i="16"/>
  <c r="J81" i="16"/>
  <c r="K81" i="16"/>
  <c r="L81" i="16"/>
  <c r="M81" i="16"/>
  <c r="N81" i="16"/>
  <c r="O81" i="16"/>
  <c r="P81" i="16"/>
  <c r="Q81" i="16"/>
  <c r="R81" i="16"/>
  <c r="S81" i="16"/>
  <c r="T81" i="16"/>
  <c r="U81" i="16"/>
  <c r="V81" i="16"/>
  <c r="W81" i="16"/>
  <c r="X81" i="16"/>
  <c r="Y81" i="16"/>
  <c r="Z81" i="16"/>
  <c r="AA81" i="16"/>
  <c r="AB81" i="16"/>
  <c r="AC81" i="16"/>
  <c r="D82" i="16"/>
  <c r="E82" i="16"/>
  <c r="F82" i="16"/>
  <c r="G82" i="16"/>
  <c r="H82" i="16"/>
  <c r="I82" i="16"/>
  <c r="J82" i="16"/>
  <c r="K82" i="16"/>
  <c r="L82" i="16"/>
  <c r="M82" i="16"/>
  <c r="N82" i="16"/>
  <c r="O82" i="16"/>
  <c r="P82" i="16"/>
  <c r="Q82" i="16"/>
  <c r="R82" i="16"/>
  <c r="S82" i="16"/>
  <c r="T82" i="16"/>
  <c r="U82" i="16"/>
  <c r="V82" i="16"/>
  <c r="W82" i="16"/>
  <c r="X82" i="16"/>
  <c r="Y82" i="16"/>
  <c r="Z82" i="16"/>
  <c r="AA82" i="16"/>
  <c r="AB82" i="16"/>
  <c r="AC82" i="16"/>
  <c r="D83" i="16"/>
  <c r="E83" i="16"/>
  <c r="F83" i="16"/>
  <c r="G83" i="16"/>
  <c r="H83" i="16"/>
  <c r="I83" i="16"/>
  <c r="J83" i="16"/>
  <c r="K83" i="16"/>
  <c r="L83" i="16"/>
  <c r="M83" i="16"/>
  <c r="N83" i="16"/>
  <c r="O83" i="16"/>
  <c r="P83" i="16"/>
  <c r="Q83" i="16"/>
  <c r="R83" i="16"/>
  <c r="S83" i="16"/>
  <c r="T83" i="16"/>
  <c r="U83" i="16"/>
  <c r="V83" i="16"/>
  <c r="W83" i="16"/>
  <c r="X83" i="16"/>
  <c r="Y83" i="16"/>
  <c r="Z83" i="16"/>
  <c r="AA83" i="16"/>
  <c r="AB83" i="16"/>
  <c r="AC83" i="16"/>
  <c r="D84" i="16"/>
  <c r="E84" i="16"/>
  <c r="F84" i="16"/>
  <c r="G84" i="16"/>
  <c r="H84" i="16"/>
  <c r="I84" i="16"/>
  <c r="J84" i="16"/>
  <c r="K84" i="16"/>
  <c r="L84" i="16"/>
  <c r="M84" i="16"/>
  <c r="N84" i="16"/>
  <c r="O84" i="16"/>
  <c r="P84" i="16"/>
  <c r="Q84" i="16"/>
  <c r="R84" i="16"/>
  <c r="S84" i="16"/>
  <c r="T84" i="16"/>
  <c r="U84" i="16"/>
  <c r="V84" i="16"/>
  <c r="W84" i="16"/>
  <c r="X84" i="16"/>
  <c r="Y84" i="16"/>
  <c r="Z84" i="16"/>
  <c r="AA84" i="16"/>
  <c r="AB84" i="16"/>
  <c r="AC84" i="16"/>
  <c r="D85" i="16"/>
  <c r="E85" i="16"/>
  <c r="F85" i="16"/>
  <c r="G85" i="16"/>
  <c r="H85" i="16"/>
  <c r="I85" i="16"/>
  <c r="J85" i="16"/>
  <c r="K85" i="16"/>
  <c r="L85" i="16"/>
  <c r="M85" i="16"/>
  <c r="N85" i="16"/>
  <c r="O85" i="16"/>
  <c r="P85" i="16"/>
  <c r="Q85" i="16"/>
  <c r="R85" i="16"/>
  <c r="S85" i="16"/>
  <c r="T85" i="16"/>
  <c r="U85" i="16"/>
  <c r="V85" i="16"/>
  <c r="W85" i="16"/>
  <c r="X85" i="16"/>
  <c r="Y85" i="16"/>
  <c r="Z85" i="16"/>
  <c r="AA85" i="16"/>
  <c r="AB85" i="16"/>
  <c r="AC85" i="16"/>
  <c r="D86" i="16"/>
  <c r="E86" i="16"/>
  <c r="F86" i="16"/>
  <c r="G86" i="16"/>
  <c r="H86" i="16"/>
  <c r="I86" i="16"/>
  <c r="J86" i="16"/>
  <c r="K86" i="16"/>
  <c r="L86" i="16"/>
  <c r="M86" i="16"/>
  <c r="N86" i="16"/>
  <c r="O86" i="16"/>
  <c r="P86" i="16"/>
  <c r="Q86" i="16"/>
  <c r="R86" i="16"/>
  <c r="S86" i="16"/>
  <c r="T86" i="16"/>
  <c r="U86" i="16"/>
  <c r="V86" i="16"/>
  <c r="W86" i="16"/>
  <c r="X86" i="16"/>
  <c r="Y86" i="16"/>
  <c r="Z86" i="16"/>
  <c r="AA86" i="16"/>
  <c r="AB86" i="16"/>
  <c r="AC86" i="16"/>
  <c r="D87" i="16"/>
  <c r="E87" i="16"/>
  <c r="F87" i="16"/>
  <c r="G87" i="16"/>
  <c r="H87" i="16"/>
  <c r="I87" i="16"/>
  <c r="J87" i="16"/>
  <c r="K87" i="16"/>
  <c r="L87" i="16"/>
  <c r="M87" i="16"/>
  <c r="N87" i="16"/>
  <c r="O87" i="16"/>
  <c r="P87" i="16"/>
  <c r="Q87" i="16"/>
  <c r="R87" i="16"/>
  <c r="S87" i="16"/>
  <c r="T87" i="16"/>
  <c r="U87" i="16"/>
  <c r="V87" i="16"/>
  <c r="W87" i="16"/>
  <c r="X87" i="16"/>
  <c r="Y87" i="16"/>
  <c r="Z87" i="16"/>
  <c r="AA87" i="16"/>
  <c r="AB87" i="16"/>
  <c r="AC87" i="16"/>
  <c r="D88" i="16"/>
  <c r="E88" i="16"/>
  <c r="F88" i="16"/>
  <c r="G88" i="16"/>
  <c r="H88" i="16"/>
  <c r="I88" i="16"/>
  <c r="J88" i="16"/>
  <c r="K88" i="16"/>
  <c r="L88" i="16"/>
  <c r="M88" i="16"/>
  <c r="N88" i="16"/>
  <c r="O88" i="16"/>
  <c r="P88" i="16"/>
  <c r="Q88" i="16"/>
  <c r="R88" i="16"/>
  <c r="S88" i="16"/>
  <c r="T88" i="16"/>
  <c r="U88" i="16"/>
  <c r="V88" i="16"/>
  <c r="W88" i="16"/>
  <c r="X88" i="16"/>
  <c r="Y88" i="16"/>
  <c r="Z88" i="16"/>
  <c r="AA88" i="16"/>
  <c r="AB88" i="16"/>
  <c r="AC88" i="16"/>
  <c r="D89" i="16"/>
  <c r="E89" i="16"/>
  <c r="F89" i="16"/>
  <c r="G89" i="16"/>
  <c r="H89" i="16"/>
  <c r="I89" i="16"/>
  <c r="J89" i="16"/>
  <c r="K89" i="16"/>
  <c r="L89" i="16"/>
  <c r="M89" i="16"/>
  <c r="N89" i="16"/>
  <c r="O89" i="16"/>
  <c r="P89" i="16"/>
  <c r="Q89" i="16"/>
  <c r="R89" i="16"/>
  <c r="S89" i="16"/>
  <c r="T89" i="16"/>
  <c r="U89" i="16"/>
  <c r="V89" i="16"/>
  <c r="W89" i="16"/>
  <c r="X89" i="16"/>
  <c r="Y89" i="16"/>
  <c r="Z89" i="16"/>
  <c r="AA89" i="16"/>
  <c r="AB89" i="16"/>
  <c r="AC89" i="16"/>
  <c r="D90" i="16"/>
  <c r="E90" i="16"/>
  <c r="F90" i="16"/>
  <c r="G90" i="16"/>
  <c r="H90" i="16"/>
  <c r="I90" i="16"/>
  <c r="J90" i="16"/>
  <c r="K90" i="16"/>
  <c r="L90" i="16"/>
  <c r="M90" i="16"/>
  <c r="N90" i="16"/>
  <c r="O90" i="16"/>
  <c r="P90" i="16"/>
  <c r="Q90" i="16"/>
  <c r="R90" i="16"/>
  <c r="S90" i="16"/>
  <c r="T90" i="16"/>
  <c r="U90" i="16"/>
  <c r="V90" i="16"/>
  <c r="W90" i="16"/>
  <c r="X90" i="16"/>
  <c r="Y90" i="16"/>
  <c r="Z90" i="16"/>
  <c r="AA90" i="16"/>
  <c r="AB90" i="16"/>
  <c r="AC90" i="16"/>
  <c r="D91" i="16"/>
  <c r="E91" i="16"/>
  <c r="F91" i="16"/>
  <c r="G91" i="16"/>
  <c r="H91" i="16"/>
  <c r="I91" i="16"/>
  <c r="J91" i="16"/>
  <c r="K91" i="16"/>
  <c r="L91" i="16"/>
  <c r="M91" i="16"/>
  <c r="N91" i="16"/>
  <c r="O91" i="16"/>
  <c r="P91" i="16"/>
  <c r="Q91" i="16"/>
  <c r="R91" i="16"/>
  <c r="S91" i="16"/>
  <c r="T91" i="16"/>
  <c r="U91" i="16"/>
  <c r="V91" i="16"/>
  <c r="W91" i="16"/>
  <c r="X91" i="16"/>
  <c r="Y91" i="16"/>
  <c r="Z91" i="16"/>
  <c r="AA91" i="16"/>
  <c r="AB91" i="16"/>
  <c r="AC91" i="16"/>
  <c r="D92" i="16"/>
  <c r="E92" i="16"/>
  <c r="F92" i="16"/>
  <c r="G92" i="16"/>
  <c r="H92" i="16"/>
  <c r="I92" i="16"/>
  <c r="J92" i="16"/>
  <c r="K92" i="16"/>
  <c r="L92" i="16"/>
  <c r="M92" i="16"/>
  <c r="N92" i="16"/>
  <c r="O92" i="16"/>
  <c r="P92" i="16"/>
  <c r="Q92" i="16"/>
  <c r="R92" i="16"/>
  <c r="S92" i="16"/>
  <c r="T92" i="16"/>
  <c r="U92" i="16"/>
  <c r="V92" i="16"/>
  <c r="W92" i="16"/>
  <c r="X92" i="16"/>
  <c r="Y92" i="16"/>
  <c r="Z92" i="16"/>
  <c r="AA92" i="16"/>
  <c r="AB92" i="16"/>
  <c r="AC92" i="16"/>
  <c r="D93" i="16"/>
  <c r="E93" i="16"/>
  <c r="F93" i="16"/>
  <c r="G93" i="16"/>
  <c r="H93" i="16"/>
  <c r="I93" i="16"/>
  <c r="J93" i="16"/>
  <c r="K93" i="16"/>
  <c r="L93" i="16"/>
  <c r="M93" i="16"/>
  <c r="N93" i="16"/>
  <c r="O93" i="16"/>
  <c r="P93" i="16"/>
  <c r="Q93" i="16"/>
  <c r="R93" i="16"/>
  <c r="S93" i="16"/>
  <c r="T93" i="16"/>
  <c r="U93" i="16"/>
  <c r="V93" i="16"/>
  <c r="W93" i="16"/>
  <c r="X93" i="16"/>
  <c r="Y93" i="16"/>
  <c r="Z93" i="16"/>
  <c r="AA93" i="16"/>
  <c r="AB93" i="16"/>
  <c r="AC93" i="16"/>
  <c r="D94" i="16"/>
  <c r="E94" i="16"/>
  <c r="F94" i="16"/>
  <c r="G94" i="16"/>
  <c r="H94" i="16"/>
  <c r="I94" i="16"/>
  <c r="J94" i="16"/>
  <c r="K94" i="16"/>
  <c r="L94" i="16"/>
  <c r="M94" i="16"/>
  <c r="N94" i="16"/>
  <c r="O94" i="16"/>
  <c r="P94" i="16"/>
  <c r="Q94" i="16"/>
  <c r="R94" i="16"/>
  <c r="S94" i="16"/>
  <c r="T94" i="16"/>
  <c r="U94" i="16"/>
  <c r="V94" i="16"/>
  <c r="W94" i="16"/>
  <c r="X94" i="16"/>
  <c r="Y94" i="16"/>
  <c r="Z94" i="16"/>
  <c r="AA94" i="16"/>
  <c r="AB94" i="16"/>
  <c r="AC94" i="16"/>
  <c r="D95" i="16"/>
  <c r="E95" i="16"/>
  <c r="F95" i="16"/>
  <c r="G95" i="16"/>
  <c r="H95" i="16"/>
  <c r="I95" i="16"/>
  <c r="J95" i="16"/>
  <c r="K95" i="16"/>
  <c r="L95" i="16"/>
  <c r="M95" i="16"/>
  <c r="N95" i="16"/>
  <c r="O95" i="16"/>
  <c r="P95" i="16"/>
  <c r="Q95" i="16"/>
  <c r="R95" i="16"/>
  <c r="S95" i="16"/>
  <c r="T95" i="16"/>
  <c r="U95" i="16"/>
  <c r="V95" i="16"/>
  <c r="W95" i="16"/>
  <c r="X95" i="16"/>
  <c r="Y95" i="16"/>
  <c r="Z95" i="16"/>
  <c r="AA95" i="16"/>
  <c r="AB95" i="16"/>
  <c r="AC95" i="16"/>
  <c r="D96" i="16"/>
  <c r="E96" i="16"/>
  <c r="F96" i="16"/>
  <c r="G96" i="16"/>
  <c r="H96" i="16"/>
  <c r="I96" i="16"/>
  <c r="J96" i="16"/>
  <c r="K96" i="16"/>
  <c r="L96" i="16"/>
  <c r="M96" i="16"/>
  <c r="N96" i="16"/>
  <c r="O96" i="16"/>
  <c r="P96" i="16"/>
  <c r="Q96" i="16"/>
  <c r="R96" i="16"/>
  <c r="S96" i="16"/>
  <c r="T96" i="16"/>
  <c r="U96" i="16"/>
  <c r="V96" i="16"/>
  <c r="W96" i="16"/>
  <c r="X96" i="16"/>
  <c r="Y96" i="16"/>
  <c r="Z96" i="16"/>
  <c r="AA96" i="16"/>
  <c r="AB96" i="16"/>
  <c r="AC96" i="16"/>
  <c r="D97" i="16"/>
  <c r="E97" i="16"/>
  <c r="F97" i="16"/>
  <c r="G97" i="16"/>
  <c r="H97" i="16"/>
  <c r="I97" i="16"/>
  <c r="J97" i="16"/>
  <c r="K97" i="16"/>
  <c r="L97" i="16"/>
  <c r="M97" i="16"/>
  <c r="N97" i="16"/>
  <c r="O97" i="16"/>
  <c r="P97" i="16"/>
  <c r="Q97" i="16"/>
  <c r="R97" i="16"/>
  <c r="S97" i="16"/>
  <c r="T97" i="16"/>
  <c r="U97" i="16"/>
  <c r="V97" i="16"/>
  <c r="W97" i="16"/>
  <c r="X97" i="16"/>
  <c r="Y97" i="16"/>
  <c r="Z97" i="16"/>
  <c r="AA97" i="16"/>
  <c r="AB97" i="16"/>
  <c r="AC97" i="16"/>
  <c r="D98" i="16"/>
  <c r="E98" i="16"/>
  <c r="F98" i="16"/>
  <c r="G98" i="16"/>
  <c r="H98" i="16"/>
  <c r="I98" i="16"/>
  <c r="J98" i="16"/>
  <c r="K98" i="16"/>
  <c r="L98" i="16"/>
  <c r="M98" i="16"/>
  <c r="N98" i="16"/>
  <c r="O98" i="16"/>
  <c r="P98" i="16"/>
  <c r="Q98" i="16"/>
  <c r="R98" i="16"/>
  <c r="S98" i="16"/>
  <c r="T98" i="16"/>
  <c r="U98" i="16"/>
  <c r="V98" i="16"/>
  <c r="W98" i="16"/>
  <c r="X98" i="16"/>
  <c r="Y98" i="16"/>
  <c r="Z98" i="16"/>
  <c r="AA98" i="16"/>
  <c r="AB98" i="16"/>
  <c r="AC98" i="16"/>
  <c r="D99" i="16"/>
  <c r="E99" i="16"/>
  <c r="F99" i="16"/>
  <c r="G99" i="16"/>
  <c r="H99" i="16"/>
  <c r="I99" i="16"/>
  <c r="J99" i="16"/>
  <c r="K99" i="16"/>
  <c r="L99" i="16"/>
  <c r="M99" i="16"/>
  <c r="N99" i="16"/>
  <c r="O99" i="16"/>
  <c r="P99" i="16"/>
  <c r="Q99" i="16"/>
  <c r="R99" i="16"/>
  <c r="S99" i="16"/>
  <c r="T99" i="16"/>
  <c r="U99" i="16"/>
  <c r="V99" i="16"/>
  <c r="W99" i="16"/>
  <c r="X99" i="16"/>
  <c r="Y99" i="16"/>
  <c r="Z99" i="16"/>
  <c r="AA99" i="16"/>
  <c r="AB99" i="16"/>
  <c r="AC99" i="16"/>
  <c r="D100" i="16"/>
  <c r="E100" i="16"/>
  <c r="F100" i="16"/>
  <c r="G100" i="16"/>
  <c r="H100" i="16"/>
  <c r="I100" i="16"/>
  <c r="J100" i="16"/>
  <c r="K100" i="16"/>
  <c r="L100" i="16"/>
  <c r="M100" i="16"/>
  <c r="N100" i="16"/>
  <c r="O100" i="16"/>
  <c r="P100" i="16"/>
  <c r="Q100" i="16"/>
  <c r="R100" i="16"/>
  <c r="S100" i="16"/>
  <c r="T100" i="16"/>
  <c r="U100" i="16"/>
  <c r="V100" i="16"/>
  <c r="W100" i="16"/>
  <c r="X100" i="16"/>
  <c r="Y100" i="16"/>
  <c r="Z100" i="16"/>
  <c r="AA100" i="16"/>
  <c r="AB100" i="16"/>
  <c r="AC100" i="16"/>
  <c r="D101" i="16"/>
  <c r="E101" i="16"/>
  <c r="F101" i="16"/>
  <c r="G101" i="16"/>
  <c r="H101" i="16"/>
  <c r="I101" i="16"/>
  <c r="J101" i="16"/>
  <c r="K101" i="16"/>
  <c r="L101" i="16"/>
  <c r="M101" i="16"/>
  <c r="N101" i="16"/>
  <c r="O101" i="16"/>
  <c r="P101" i="16"/>
  <c r="Q101" i="16"/>
  <c r="R101" i="16"/>
  <c r="S101" i="16"/>
  <c r="T101" i="16"/>
  <c r="U101" i="16"/>
  <c r="V101" i="16"/>
  <c r="W101" i="16"/>
  <c r="X101" i="16"/>
  <c r="Y101" i="16"/>
  <c r="Z101" i="16"/>
  <c r="AA101" i="16"/>
  <c r="AB101" i="16"/>
  <c r="AC101" i="16"/>
  <c r="D102" i="16"/>
  <c r="E102" i="16"/>
  <c r="F102" i="16"/>
  <c r="G102" i="16"/>
  <c r="H102" i="16"/>
  <c r="I102" i="16"/>
  <c r="J102" i="16"/>
  <c r="K102" i="16"/>
  <c r="L102" i="16"/>
  <c r="M102" i="16"/>
  <c r="N102" i="16"/>
  <c r="O102" i="16"/>
  <c r="P102" i="16"/>
  <c r="Q102" i="16"/>
  <c r="R102" i="16"/>
  <c r="S102" i="16"/>
  <c r="T102" i="16"/>
  <c r="U102" i="16"/>
  <c r="V102" i="16"/>
  <c r="W102" i="16"/>
  <c r="X102" i="16"/>
  <c r="Y102" i="16"/>
  <c r="Z102" i="16"/>
  <c r="AA102" i="16"/>
  <c r="AB102" i="16"/>
  <c r="AC102" i="16"/>
  <c r="D103" i="16"/>
  <c r="E103" i="16"/>
  <c r="F103" i="16"/>
  <c r="G103" i="16"/>
  <c r="H103" i="16"/>
  <c r="I103" i="16"/>
  <c r="J103" i="16"/>
  <c r="K103" i="16"/>
  <c r="L103" i="16"/>
  <c r="M103" i="16"/>
  <c r="N103" i="16"/>
  <c r="O103" i="16"/>
  <c r="P103" i="16"/>
  <c r="Q103" i="16"/>
  <c r="R103" i="16"/>
  <c r="S103" i="16"/>
  <c r="T103" i="16"/>
  <c r="U103" i="16"/>
  <c r="V103" i="16"/>
  <c r="W103" i="16"/>
  <c r="X103" i="16"/>
  <c r="Y103" i="16"/>
  <c r="Z103" i="16"/>
  <c r="AA103" i="16"/>
  <c r="AB103" i="16"/>
  <c r="AC103" i="16"/>
  <c r="D104" i="16"/>
  <c r="E104" i="16"/>
  <c r="F104" i="16"/>
  <c r="G104" i="16"/>
  <c r="H104" i="16"/>
  <c r="I104" i="16"/>
  <c r="J104" i="16"/>
  <c r="K104" i="16"/>
  <c r="L104" i="16"/>
  <c r="M104" i="16"/>
  <c r="N104" i="16"/>
  <c r="O104" i="16"/>
  <c r="P104" i="16"/>
  <c r="Q104" i="16"/>
  <c r="R104" i="16"/>
  <c r="S104" i="16"/>
  <c r="T104" i="16"/>
  <c r="U104" i="16"/>
  <c r="V104" i="16"/>
  <c r="W104" i="16"/>
  <c r="X104" i="16"/>
  <c r="Y104" i="16"/>
  <c r="Z104" i="16"/>
  <c r="AA104" i="16"/>
  <c r="AB104" i="16"/>
  <c r="AC104" i="16"/>
  <c r="D105" i="16"/>
  <c r="E105" i="16"/>
  <c r="F105" i="16"/>
  <c r="G105" i="16"/>
  <c r="H105" i="16"/>
  <c r="I105" i="16"/>
  <c r="J105" i="16"/>
  <c r="K105" i="16"/>
  <c r="L105" i="16"/>
  <c r="M105" i="16"/>
  <c r="N105" i="16"/>
  <c r="O105" i="16"/>
  <c r="P105" i="16"/>
  <c r="Q105" i="16"/>
  <c r="R105" i="16"/>
  <c r="S105" i="16"/>
  <c r="T105" i="16"/>
  <c r="U105" i="16"/>
  <c r="V105" i="16"/>
  <c r="W105" i="16"/>
  <c r="X105" i="16"/>
  <c r="Y105" i="16"/>
  <c r="Z105" i="16"/>
  <c r="AA105" i="16"/>
  <c r="AB105" i="16"/>
  <c r="AC105" i="16"/>
  <c r="D106" i="16"/>
  <c r="E106" i="16"/>
  <c r="F106" i="16"/>
  <c r="G106" i="16"/>
  <c r="H106" i="16"/>
  <c r="I106" i="16"/>
  <c r="J106" i="16"/>
  <c r="K106" i="16"/>
  <c r="L106" i="16"/>
  <c r="M106" i="16"/>
  <c r="N106" i="16"/>
  <c r="O106" i="16"/>
  <c r="P106" i="16"/>
  <c r="Q106" i="16"/>
  <c r="R106" i="16"/>
  <c r="S106" i="16"/>
  <c r="T106" i="16"/>
  <c r="U106" i="16"/>
  <c r="V106" i="16"/>
  <c r="W106" i="16"/>
  <c r="X106" i="16"/>
  <c r="Y106" i="16"/>
  <c r="Z106" i="16"/>
  <c r="AA106" i="16"/>
  <c r="AB106" i="16"/>
  <c r="AC106" i="16"/>
  <c r="D107" i="16"/>
  <c r="E107" i="16"/>
  <c r="F107" i="16"/>
  <c r="G107" i="16"/>
  <c r="H107" i="16"/>
  <c r="I107" i="16"/>
  <c r="J107" i="16"/>
  <c r="K107" i="16"/>
  <c r="L107" i="16"/>
  <c r="M107" i="16"/>
  <c r="N107" i="16"/>
  <c r="O107" i="16"/>
  <c r="P107" i="16"/>
  <c r="Q107" i="16"/>
  <c r="R107" i="16"/>
  <c r="S107" i="16"/>
  <c r="T107" i="16"/>
  <c r="U107" i="16"/>
  <c r="V107" i="16"/>
  <c r="W107" i="16"/>
  <c r="X107" i="16"/>
  <c r="Y107" i="16"/>
  <c r="Z107" i="16"/>
  <c r="AA107" i="16"/>
  <c r="AB107" i="16"/>
  <c r="AC10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57" i="16"/>
  <c r="C5" i="16"/>
  <c r="D5" i="16"/>
  <c r="E5" i="16"/>
  <c r="F5" i="16"/>
  <c r="G5" i="16"/>
  <c r="H5" i="16"/>
  <c r="I5" i="16"/>
  <c r="J5" i="16"/>
  <c r="K5" i="16"/>
  <c r="L5" i="16"/>
  <c r="M5" i="16"/>
  <c r="N5" i="16"/>
  <c r="O5" i="16"/>
  <c r="P5" i="16"/>
  <c r="Q5" i="16"/>
  <c r="R5" i="16"/>
  <c r="S5" i="16"/>
  <c r="T5" i="16"/>
  <c r="U5" i="16"/>
  <c r="V5" i="16"/>
  <c r="W5" i="16"/>
  <c r="X5" i="16"/>
  <c r="Y5" i="16"/>
  <c r="Z5" i="16"/>
  <c r="AA5" i="16"/>
  <c r="AB5" i="16"/>
  <c r="AC5"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C10" i="16"/>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C17"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C18"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C19"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C24" i="16"/>
  <c r="D24" i="16"/>
  <c r="E24" i="16"/>
  <c r="F24" i="16"/>
  <c r="G24" i="16"/>
  <c r="H24" i="16"/>
  <c r="I24" i="16"/>
  <c r="J24" i="16"/>
  <c r="K24" i="16"/>
  <c r="L24" i="16"/>
  <c r="M24" i="16"/>
  <c r="N24" i="16"/>
  <c r="O24" i="16"/>
  <c r="P24" i="16"/>
  <c r="Q24" i="16"/>
  <c r="R24" i="16"/>
  <c r="S24" i="16"/>
  <c r="T24" i="16"/>
  <c r="U24" i="16"/>
  <c r="V24" i="16"/>
  <c r="W24" i="16"/>
  <c r="X24" i="16"/>
  <c r="Y24" i="16"/>
  <c r="Z24" i="16"/>
  <c r="AA24" i="16"/>
  <c r="AB24" i="16"/>
  <c r="AC24" i="16"/>
  <c r="C25" i="16"/>
  <c r="D25" i="16"/>
  <c r="E25" i="16"/>
  <c r="F25" i="16"/>
  <c r="G25" i="16"/>
  <c r="H25" i="16"/>
  <c r="I25" i="16"/>
  <c r="J25" i="16"/>
  <c r="K25" i="16"/>
  <c r="L25" i="16"/>
  <c r="M25" i="16"/>
  <c r="N25" i="16"/>
  <c r="O25" i="16"/>
  <c r="P25" i="16"/>
  <c r="Q25" i="16"/>
  <c r="R25" i="16"/>
  <c r="S25" i="16"/>
  <c r="T25" i="16"/>
  <c r="U25" i="16"/>
  <c r="V25" i="16"/>
  <c r="W25" i="16"/>
  <c r="X25" i="16"/>
  <c r="Y25" i="16"/>
  <c r="Z25" i="16"/>
  <c r="AA25" i="16"/>
  <c r="AB25" i="16"/>
  <c r="AC25" i="16"/>
  <c r="C26" i="16"/>
  <c r="D26" i="16"/>
  <c r="E26" i="16"/>
  <c r="F26" i="16"/>
  <c r="G26" i="16"/>
  <c r="H26" i="16"/>
  <c r="I26" i="16"/>
  <c r="J26" i="16"/>
  <c r="K26" i="16"/>
  <c r="L26" i="16"/>
  <c r="M26" i="16"/>
  <c r="N26" i="16"/>
  <c r="O26" i="16"/>
  <c r="P26" i="16"/>
  <c r="Q26" i="16"/>
  <c r="R26" i="16"/>
  <c r="S26" i="16"/>
  <c r="T26" i="16"/>
  <c r="U26" i="16"/>
  <c r="V26" i="16"/>
  <c r="W26" i="16"/>
  <c r="X26" i="16"/>
  <c r="Y26" i="16"/>
  <c r="Z26" i="16"/>
  <c r="AA26" i="16"/>
  <c r="AB26" i="16"/>
  <c r="AC26" i="16"/>
  <c r="C27" i="16"/>
  <c r="D27" i="16"/>
  <c r="E27" i="16"/>
  <c r="F27" i="16"/>
  <c r="G27" i="16"/>
  <c r="H27" i="16"/>
  <c r="I27" i="16"/>
  <c r="J27" i="16"/>
  <c r="K27" i="16"/>
  <c r="L27" i="16"/>
  <c r="M27" i="16"/>
  <c r="N27" i="16"/>
  <c r="O27" i="16"/>
  <c r="P27" i="16"/>
  <c r="Q27" i="16"/>
  <c r="R27" i="16"/>
  <c r="S27" i="16"/>
  <c r="T27" i="16"/>
  <c r="U27" i="16"/>
  <c r="V27" i="16"/>
  <c r="W27" i="16"/>
  <c r="X27" i="16"/>
  <c r="Y27" i="16"/>
  <c r="Z27" i="16"/>
  <c r="AA27" i="16"/>
  <c r="AB27" i="16"/>
  <c r="AC27" i="16"/>
  <c r="C28" i="16"/>
  <c r="D28" i="16"/>
  <c r="E28" i="16"/>
  <c r="F28" i="16"/>
  <c r="G28" i="16"/>
  <c r="H28" i="16"/>
  <c r="I28" i="16"/>
  <c r="J28" i="16"/>
  <c r="K28" i="16"/>
  <c r="L28" i="16"/>
  <c r="M28" i="16"/>
  <c r="N28" i="16"/>
  <c r="O28" i="16"/>
  <c r="P28" i="16"/>
  <c r="Q28" i="16"/>
  <c r="R28" i="16"/>
  <c r="S28" i="16"/>
  <c r="T28" i="16"/>
  <c r="U28" i="16"/>
  <c r="V28" i="16"/>
  <c r="W28" i="16"/>
  <c r="X28" i="16"/>
  <c r="Y28" i="16"/>
  <c r="Z28" i="16"/>
  <c r="AA28" i="16"/>
  <c r="AB28" i="16"/>
  <c r="AC28" i="16"/>
  <c r="C29" i="16"/>
  <c r="D29" i="16"/>
  <c r="E29" i="16"/>
  <c r="F29" i="16"/>
  <c r="G29" i="16"/>
  <c r="H29" i="16"/>
  <c r="I29" i="16"/>
  <c r="J29" i="16"/>
  <c r="K29" i="16"/>
  <c r="L29" i="16"/>
  <c r="M29" i="16"/>
  <c r="N29" i="16"/>
  <c r="O29" i="16"/>
  <c r="P29" i="16"/>
  <c r="Q29" i="16"/>
  <c r="R29" i="16"/>
  <c r="S29" i="16"/>
  <c r="T29" i="16"/>
  <c r="U29" i="16"/>
  <c r="V29" i="16"/>
  <c r="W29" i="16"/>
  <c r="X29" i="16"/>
  <c r="Y29" i="16"/>
  <c r="Z29" i="16"/>
  <c r="AA29" i="16"/>
  <c r="AB29" i="16"/>
  <c r="AC29" i="16"/>
  <c r="C30" i="16"/>
  <c r="D30" i="16"/>
  <c r="E30" i="16"/>
  <c r="F30" i="16"/>
  <c r="G30" i="16"/>
  <c r="H30" i="16"/>
  <c r="I30" i="16"/>
  <c r="J30" i="16"/>
  <c r="K30" i="16"/>
  <c r="L30" i="16"/>
  <c r="M30" i="16"/>
  <c r="N30" i="16"/>
  <c r="O30" i="16"/>
  <c r="P30" i="16"/>
  <c r="Q30" i="16"/>
  <c r="R30" i="16"/>
  <c r="S30" i="16"/>
  <c r="T30" i="16"/>
  <c r="U30" i="16"/>
  <c r="V30" i="16"/>
  <c r="W30" i="16"/>
  <c r="X30" i="16"/>
  <c r="Y30" i="16"/>
  <c r="Z30" i="16"/>
  <c r="AA30" i="16"/>
  <c r="AB30" i="16"/>
  <c r="AC30" i="16"/>
  <c r="C31" i="16"/>
  <c r="D31" i="16"/>
  <c r="E31" i="16"/>
  <c r="F31" i="16"/>
  <c r="G31" i="16"/>
  <c r="H31" i="16"/>
  <c r="I31" i="16"/>
  <c r="J31" i="16"/>
  <c r="K31" i="16"/>
  <c r="L31" i="16"/>
  <c r="M31" i="16"/>
  <c r="N31" i="16"/>
  <c r="O31" i="16"/>
  <c r="P31" i="16"/>
  <c r="Q31" i="16"/>
  <c r="R31" i="16"/>
  <c r="S31" i="16"/>
  <c r="T31" i="16"/>
  <c r="U31" i="16"/>
  <c r="V31" i="16"/>
  <c r="W31" i="16"/>
  <c r="X31" i="16"/>
  <c r="Y31" i="16"/>
  <c r="Z31" i="16"/>
  <c r="AA31" i="16"/>
  <c r="AB31" i="16"/>
  <c r="AC31" i="16"/>
  <c r="C32" i="16"/>
  <c r="D32" i="16"/>
  <c r="E32" i="16"/>
  <c r="F32" i="16"/>
  <c r="G32" i="16"/>
  <c r="H32" i="16"/>
  <c r="I32" i="16"/>
  <c r="J32" i="16"/>
  <c r="K32" i="16"/>
  <c r="L32" i="16"/>
  <c r="M32" i="16"/>
  <c r="N32" i="16"/>
  <c r="O32" i="16"/>
  <c r="P32" i="16"/>
  <c r="Q32" i="16"/>
  <c r="R32" i="16"/>
  <c r="S32" i="16"/>
  <c r="T32" i="16"/>
  <c r="U32" i="16"/>
  <c r="V32" i="16"/>
  <c r="W32" i="16"/>
  <c r="X32" i="16"/>
  <c r="Y32" i="16"/>
  <c r="Z32" i="16"/>
  <c r="AA32" i="16"/>
  <c r="AB32" i="16"/>
  <c r="AC32" i="16"/>
  <c r="C33" i="16"/>
  <c r="D33" i="16"/>
  <c r="E33" i="16"/>
  <c r="F33" i="16"/>
  <c r="G33" i="16"/>
  <c r="H33" i="16"/>
  <c r="I33" i="16"/>
  <c r="J33" i="16"/>
  <c r="K33" i="16"/>
  <c r="L33" i="16"/>
  <c r="M33" i="16"/>
  <c r="N33" i="16"/>
  <c r="O33" i="16"/>
  <c r="P33" i="16"/>
  <c r="Q33" i="16"/>
  <c r="R33" i="16"/>
  <c r="S33" i="16"/>
  <c r="T33" i="16"/>
  <c r="U33" i="16"/>
  <c r="V33" i="16"/>
  <c r="W33" i="16"/>
  <c r="X33" i="16"/>
  <c r="Y33" i="16"/>
  <c r="Z33" i="16"/>
  <c r="AA33" i="16"/>
  <c r="AB33" i="16"/>
  <c r="AC33" i="16"/>
  <c r="C34" i="16"/>
  <c r="D34" i="16"/>
  <c r="E34" i="16"/>
  <c r="F34" i="16"/>
  <c r="G34" i="16"/>
  <c r="H34" i="16"/>
  <c r="I34" i="16"/>
  <c r="J34" i="16"/>
  <c r="K34" i="16"/>
  <c r="L34" i="16"/>
  <c r="M34" i="16"/>
  <c r="N34" i="16"/>
  <c r="O34" i="16"/>
  <c r="P34" i="16"/>
  <c r="Q34" i="16"/>
  <c r="R34" i="16"/>
  <c r="S34" i="16"/>
  <c r="T34" i="16"/>
  <c r="U34" i="16"/>
  <c r="V34" i="16"/>
  <c r="W34" i="16"/>
  <c r="X34" i="16"/>
  <c r="Y34" i="16"/>
  <c r="Z34" i="16"/>
  <c r="AA34" i="16"/>
  <c r="AB34" i="16"/>
  <c r="AC34" i="16"/>
  <c r="C35" i="16"/>
  <c r="D35" i="16"/>
  <c r="E35" i="16"/>
  <c r="F35" i="16"/>
  <c r="G35" i="16"/>
  <c r="H35" i="16"/>
  <c r="I35" i="16"/>
  <c r="J35" i="16"/>
  <c r="K35" i="16"/>
  <c r="L35" i="16"/>
  <c r="M35" i="16"/>
  <c r="N35" i="16"/>
  <c r="O35" i="16"/>
  <c r="P35" i="16"/>
  <c r="Q35" i="16"/>
  <c r="R35" i="16"/>
  <c r="S35" i="16"/>
  <c r="T35" i="16"/>
  <c r="U35" i="16"/>
  <c r="V35" i="16"/>
  <c r="W35" i="16"/>
  <c r="X35" i="16"/>
  <c r="Y35" i="16"/>
  <c r="Z35" i="16"/>
  <c r="AA35" i="16"/>
  <c r="AB35" i="16"/>
  <c r="AC35" i="16"/>
  <c r="C36" i="16"/>
  <c r="D36" i="16"/>
  <c r="E36" i="16"/>
  <c r="F36" i="16"/>
  <c r="G36" i="16"/>
  <c r="H36" i="16"/>
  <c r="I36" i="16"/>
  <c r="J36" i="16"/>
  <c r="K36" i="16"/>
  <c r="L36" i="16"/>
  <c r="M36" i="16"/>
  <c r="N36" i="16"/>
  <c r="O36" i="16"/>
  <c r="P36" i="16"/>
  <c r="Q36" i="16"/>
  <c r="R36" i="16"/>
  <c r="S36" i="16"/>
  <c r="T36" i="16"/>
  <c r="U36" i="16"/>
  <c r="V36" i="16"/>
  <c r="W36" i="16"/>
  <c r="X36" i="16"/>
  <c r="Y36" i="16"/>
  <c r="Z36" i="16"/>
  <c r="AA36" i="16"/>
  <c r="AB36" i="16"/>
  <c r="AC36" i="16"/>
  <c r="C37" i="16"/>
  <c r="D37" i="16"/>
  <c r="E37" i="16"/>
  <c r="F37" i="16"/>
  <c r="G37" i="16"/>
  <c r="H37" i="16"/>
  <c r="I37" i="16"/>
  <c r="J37" i="16"/>
  <c r="K37" i="16"/>
  <c r="L37" i="16"/>
  <c r="M37" i="16"/>
  <c r="N37" i="16"/>
  <c r="O37" i="16"/>
  <c r="P37" i="16"/>
  <c r="Q37" i="16"/>
  <c r="R37" i="16"/>
  <c r="S37" i="16"/>
  <c r="T37" i="16"/>
  <c r="U37" i="16"/>
  <c r="V37" i="16"/>
  <c r="W37" i="16"/>
  <c r="X37" i="16"/>
  <c r="Y37" i="16"/>
  <c r="Z37" i="16"/>
  <c r="AA37" i="16"/>
  <c r="AB37" i="16"/>
  <c r="AC37" i="16"/>
  <c r="C38" i="16"/>
  <c r="D38" i="16"/>
  <c r="E38" i="16"/>
  <c r="F38" i="16"/>
  <c r="G38" i="16"/>
  <c r="H38" i="16"/>
  <c r="I38" i="16"/>
  <c r="J38" i="16"/>
  <c r="K38" i="16"/>
  <c r="L38" i="16"/>
  <c r="M38" i="16"/>
  <c r="N38" i="16"/>
  <c r="O38" i="16"/>
  <c r="P38" i="16"/>
  <c r="Q38" i="16"/>
  <c r="R38" i="16"/>
  <c r="S38" i="16"/>
  <c r="T38" i="16"/>
  <c r="U38" i="16"/>
  <c r="V38" i="16"/>
  <c r="W38" i="16"/>
  <c r="X38" i="16"/>
  <c r="Y38" i="16"/>
  <c r="Z38" i="16"/>
  <c r="AA38" i="16"/>
  <c r="AB38" i="16"/>
  <c r="AC38" i="16"/>
  <c r="C39" i="16"/>
  <c r="D39" i="16"/>
  <c r="E39" i="16"/>
  <c r="F39" i="16"/>
  <c r="G39" i="16"/>
  <c r="H39" i="16"/>
  <c r="I39" i="16"/>
  <c r="J39" i="16"/>
  <c r="K39" i="16"/>
  <c r="L39" i="16"/>
  <c r="M39" i="16"/>
  <c r="N39" i="16"/>
  <c r="O39" i="16"/>
  <c r="P39" i="16"/>
  <c r="Q39" i="16"/>
  <c r="R39" i="16"/>
  <c r="S39" i="16"/>
  <c r="T39" i="16"/>
  <c r="U39" i="16"/>
  <c r="V39" i="16"/>
  <c r="W39" i="16"/>
  <c r="X39" i="16"/>
  <c r="Y39" i="16"/>
  <c r="Z39" i="16"/>
  <c r="AA39" i="16"/>
  <c r="AB39" i="16"/>
  <c r="AC39" i="16"/>
  <c r="C40" i="16"/>
  <c r="D40" i="16"/>
  <c r="E40" i="16"/>
  <c r="F40" i="16"/>
  <c r="G40" i="16"/>
  <c r="H40" i="16"/>
  <c r="I40" i="16"/>
  <c r="J40" i="16"/>
  <c r="K40" i="16"/>
  <c r="L40" i="16"/>
  <c r="M40" i="16"/>
  <c r="N40" i="16"/>
  <c r="O40" i="16"/>
  <c r="P40" i="16"/>
  <c r="Q40" i="16"/>
  <c r="R40" i="16"/>
  <c r="S40" i="16"/>
  <c r="T40" i="16"/>
  <c r="U40" i="16"/>
  <c r="V40" i="16"/>
  <c r="W40" i="16"/>
  <c r="X40" i="16"/>
  <c r="Y40" i="16"/>
  <c r="Z40" i="16"/>
  <c r="AA40" i="16"/>
  <c r="AB40" i="16"/>
  <c r="AC40" i="16"/>
  <c r="C41" i="16"/>
  <c r="D41" i="16"/>
  <c r="E41" i="16"/>
  <c r="F41" i="16"/>
  <c r="G41" i="16"/>
  <c r="H41" i="16"/>
  <c r="I41" i="16"/>
  <c r="J41" i="16"/>
  <c r="K41" i="16"/>
  <c r="L41" i="16"/>
  <c r="M41" i="16"/>
  <c r="N41" i="16"/>
  <c r="O41" i="16"/>
  <c r="P41" i="16"/>
  <c r="Q41" i="16"/>
  <c r="R41" i="16"/>
  <c r="S41" i="16"/>
  <c r="T41" i="16"/>
  <c r="U41" i="16"/>
  <c r="V41" i="16"/>
  <c r="W41" i="16"/>
  <c r="X41" i="16"/>
  <c r="Y41" i="16"/>
  <c r="Z41" i="16"/>
  <c r="AA41" i="16"/>
  <c r="AB41" i="16"/>
  <c r="AC41" i="16"/>
  <c r="C42" i="16"/>
  <c r="D42" i="16"/>
  <c r="E42" i="16"/>
  <c r="F42" i="16"/>
  <c r="G42" i="16"/>
  <c r="H42" i="16"/>
  <c r="I42" i="16"/>
  <c r="J42" i="16"/>
  <c r="K42" i="16"/>
  <c r="L42" i="16"/>
  <c r="M42" i="16"/>
  <c r="N42" i="16"/>
  <c r="O42" i="16"/>
  <c r="P42" i="16"/>
  <c r="Q42" i="16"/>
  <c r="R42" i="16"/>
  <c r="S42" i="16"/>
  <c r="T42" i="16"/>
  <c r="U42" i="16"/>
  <c r="V42" i="16"/>
  <c r="W42" i="16"/>
  <c r="X42" i="16"/>
  <c r="Y42" i="16"/>
  <c r="Z42" i="16"/>
  <c r="AA42" i="16"/>
  <c r="AB42" i="16"/>
  <c r="AC42" i="16"/>
  <c r="C43" i="16"/>
  <c r="D43" i="16"/>
  <c r="E43" i="16"/>
  <c r="F43" i="16"/>
  <c r="G43" i="16"/>
  <c r="H43" i="16"/>
  <c r="I43" i="16"/>
  <c r="J43" i="16"/>
  <c r="K43" i="16"/>
  <c r="L43" i="16"/>
  <c r="M43" i="16"/>
  <c r="N43" i="16"/>
  <c r="O43" i="16"/>
  <c r="P43" i="16"/>
  <c r="Q43" i="16"/>
  <c r="R43" i="16"/>
  <c r="S43" i="16"/>
  <c r="T43" i="16"/>
  <c r="U43" i="16"/>
  <c r="V43" i="16"/>
  <c r="W43" i="16"/>
  <c r="X43" i="16"/>
  <c r="Y43" i="16"/>
  <c r="Z43" i="16"/>
  <c r="AA43" i="16"/>
  <c r="AB43" i="16"/>
  <c r="AC43" i="16"/>
  <c r="C44" i="16"/>
  <c r="D44" i="16"/>
  <c r="E44" i="16"/>
  <c r="F44" i="16"/>
  <c r="G44" i="16"/>
  <c r="H44" i="16"/>
  <c r="I44" i="16"/>
  <c r="J44" i="16"/>
  <c r="K44" i="16"/>
  <c r="L44" i="16"/>
  <c r="M44" i="16"/>
  <c r="N44" i="16"/>
  <c r="O44" i="16"/>
  <c r="P44" i="16"/>
  <c r="Q44" i="16"/>
  <c r="R44" i="16"/>
  <c r="S44" i="16"/>
  <c r="T44" i="16"/>
  <c r="U44" i="16"/>
  <c r="V44" i="16"/>
  <c r="W44" i="16"/>
  <c r="X44" i="16"/>
  <c r="Y44" i="16"/>
  <c r="Z44" i="16"/>
  <c r="AA44" i="16"/>
  <c r="AB44" i="16"/>
  <c r="AC44" i="16"/>
  <c r="C45" i="16"/>
  <c r="D45" i="16"/>
  <c r="E45" i="16"/>
  <c r="F45" i="16"/>
  <c r="G45" i="16"/>
  <c r="H45" i="16"/>
  <c r="I45" i="16"/>
  <c r="J45" i="16"/>
  <c r="K45" i="16"/>
  <c r="L45" i="16"/>
  <c r="M45" i="16"/>
  <c r="N45" i="16"/>
  <c r="O45" i="16"/>
  <c r="P45" i="16"/>
  <c r="Q45" i="16"/>
  <c r="R45" i="16"/>
  <c r="S45" i="16"/>
  <c r="T45" i="16"/>
  <c r="U45" i="16"/>
  <c r="V45" i="16"/>
  <c r="W45" i="16"/>
  <c r="X45" i="16"/>
  <c r="Y45" i="16"/>
  <c r="Z45" i="16"/>
  <c r="AA45" i="16"/>
  <c r="AB45" i="16"/>
  <c r="AC45" i="16"/>
  <c r="C46" i="16"/>
  <c r="D46" i="16"/>
  <c r="E46" i="16"/>
  <c r="F46" i="16"/>
  <c r="G46" i="16"/>
  <c r="H46" i="16"/>
  <c r="I46" i="16"/>
  <c r="J46" i="16"/>
  <c r="K46" i="16"/>
  <c r="L46" i="16"/>
  <c r="M46" i="16"/>
  <c r="N46" i="16"/>
  <c r="O46" i="16"/>
  <c r="P46" i="16"/>
  <c r="Q46" i="16"/>
  <c r="R46" i="16"/>
  <c r="S46" i="16"/>
  <c r="T46" i="16"/>
  <c r="U46" i="16"/>
  <c r="V46" i="16"/>
  <c r="W46" i="16"/>
  <c r="X46" i="16"/>
  <c r="Y46" i="16"/>
  <c r="Z46" i="16"/>
  <c r="AA46" i="16"/>
  <c r="AB46" i="16"/>
  <c r="AC46" i="16"/>
  <c r="C47" i="16"/>
  <c r="D47" i="16"/>
  <c r="E47" i="16"/>
  <c r="F47" i="16"/>
  <c r="G47" i="16"/>
  <c r="H47" i="16"/>
  <c r="I47" i="16"/>
  <c r="J47" i="16"/>
  <c r="K47" i="16"/>
  <c r="L47" i="16"/>
  <c r="M47" i="16"/>
  <c r="N47" i="16"/>
  <c r="O47" i="16"/>
  <c r="P47" i="16"/>
  <c r="Q47" i="16"/>
  <c r="R47" i="16"/>
  <c r="S47" i="16"/>
  <c r="T47" i="16"/>
  <c r="U47" i="16"/>
  <c r="V47" i="16"/>
  <c r="W47" i="16"/>
  <c r="X47" i="16"/>
  <c r="Y47" i="16"/>
  <c r="Z47" i="16"/>
  <c r="AA47" i="16"/>
  <c r="AB47" i="16"/>
  <c r="AC47" i="16"/>
  <c r="C48" i="16"/>
  <c r="D48" i="16"/>
  <c r="E48" i="16"/>
  <c r="F48" i="16"/>
  <c r="G48" i="16"/>
  <c r="H48" i="16"/>
  <c r="I48" i="16"/>
  <c r="J48" i="16"/>
  <c r="K48" i="16"/>
  <c r="L48" i="16"/>
  <c r="M48" i="16"/>
  <c r="N48" i="16"/>
  <c r="O48" i="16"/>
  <c r="P48" i="16"/>
  <c r="Q48" i="16"/>
  <c r="R48" i="16"/>
  <c r="S48" i="16"/>
  <c r="T48" i="16"/>
  <c r="U48" i="16"/>
  <c r="V48" i="16"/>
  <c r="W48" i="16"/>
  <c r="X48" i="16"/>
  <c r="Y48" i="16"/>
  <c r="Z48" i="16"/>
  <c r="AA48" i="16"/>
  <c r="AB48" i="16"/>
  <c r="AC48" i="16"/>
  <c r="C49" i="16"/>
  <c r="D49" i="16"/>
  <c r="E49" i="16"/>
  <c r="F49" i="16"/>
  <c r="G49" i="16"/>
  <c r="H49" i="16"/>
  <c r="I49" i="16"/>
  <c r="J49" i="16"/>
  <c r="K49" i="16"/>
  <c r="L49" i="16"/>
  <c r="M49" i="16"/>
  <c r="N49" i="16"/>
  <c r="O49" i="16"/>
  <c r="P49" i="16"/>
  <c r="Q49" i="16"/>
  <c r="R49" i="16"/>
  <c r="S49" i="16"/>
  <c r="T49" i="16"/>
  <c r="U49" i="16"/>
  <c r="V49" i="16"/>
  <c r="W49" i="16"/>
  <c r="X49" i="16"/>
  <c r="Y49" i="16"/>
  <c r="Z49" i="16"/>
  <c r="AA49" i="16"/>
  <c r="AB49" i="16"/>
  <c r="AC49" i="16"/>
  <c r="C50" i="16"/>
  <c r="D50" i="16"/>
  <c r="E50" i="16"/>
  <c r="F50" i="16"/>
  <c r="G50" i="16"/>
  <c r="H50" i="16"/>
  <c r="I50" i="16"/>
  <c r="J50" i="16"/>
  <c r="K50" i="16"/>
  <c r="L50" i="16"/>
  <c r="M50" i="16"/>
  <c r="N50" i="16"/>
  <c r="O50" i="16"/>
  <c r="P50" i="16"/>
  <c r="Q50" i="16"/>
  <c r="R50" i="16"/>
  <c r="S50" i="16"/>
  <c r="T50" i="16"/>
  <c r="U50" i="16"/>
  <c r="V50" i="16"/>
  <c r="W50" i="16"/>
  <c r="X50" i="16"/>
  <c r="Y50" i="16"/>
  <c r="Z50" i="16"/>
  <c r="AA50" i="16"/>
  <c r="AB50" i="16"/>
  <c r="AC50" i="16"/>
  <c r="C51" i="16"/>
  <c r="D51" i="16"/>
  <c r="E51" i="16"/>
  <c r="F51" i="16"/>
  <c r="G51" i="16"/>
  <c r="H51" i="16"/>
  <c r="I51" i="16"/>
  <c r="J51" i="16"/>
  <c r="K51" i="16"/>
  <c r="L51" i="16"/>
  <c r="M51" i="16"/>
  <c r="N51" i="16"/>
  <c r="O51" i="16"/>
  <c r="P51" i="16"/>
  <c r="Q51" i="16"/>
  <c r="R51" i="16"/>
  <c r="S51" i="16"/>
  <c r="T51" i="16"/>
  <c r="U51" i="16"/>
  <c r="V51" i="16"/>
  <c r="W51" i="16"/>
  <c r="X51" i="16"/>
  <c r="Y51" i="16"/>
  <c r="Z51" i="16"/>
  <c r="AA51" i="16"/>
  <c r="AB51" i="16"/>
  <c r="AC51" i="16"/>
  <c r="C52" i="16"/>
  <c r="D52" i="16"/>
  <c r="E52" i="16"/>
  <c r="F52" i="16"/>
  <c r="G52" i="16"/>
  <c r="H52" i="16"/>
  <c r="I52" i="16"/>
  <c r="J52" i="16"/>
  <c r="K52" i="16"/>
  <c r="L52" i="16"/>
  <c r="M52" i="16"/>
  <c r="N52" i="16"/>
  <c r="O52" i="16"/>
  <c r="P52" i="16"/>
  <c r="Q52" i="16"/>
  <c r="R52" i="16"/>
  <c r="S52" i="16"/>
  <c r="T52" i="16"/>
  <c r="U52" i="16"/>
  <c r="V52" i="16"/>
  <c r="W52" i="16"/>
  <c r="X52" i="16"/>
  <c r="Y52" i="16"/>
  <c r="Z52" i="16"/>
  <c r="AA52" i="16"/>
  <c r="AB52" i="16"/>
  <c r="AC52" i="16"/>
  <c r="C53" i="16"/>
  <c r="D53" i="16"/>
  <c r="AG53" i="16" s="1"/>
  <c r="E53" i="16"/>
  <c r="F53" i="16"/>
  <c r="G53" i="16"/>
  <c r="H53" i="16"/>
  <c r="I53" i="16"/>
  <c r="J53" i="16"/>
  <c r="K53" i="16"/>
  <c r="L53" i="16"/>
  <c r="M53" i="16"/>
  <c r="N53" i="16"/>
  <c r="O53" i="16"/>
  <c r="P53" i="16"/>
  <c r="Q53" i="16"/>
  <c r="R53" i="16"/>
  <c r="S53" i="16"/>
  <c r="T53" i="16"/>
  <c r="U53" i="16"/>
  <c r="V53" i="16"/>
  <c r="W53" i="16"/>
  <c r="X53" i="16"/>
  <c r="Y53" i="16"/>
  <c r="Z53" i="16"/>
  <c r="AA53" i="16"/>
  <c r="AB53" i="16"/>
  <c r="AC53" i="16"/>
  <c r="D4" i="16"/>
  <c r="E4" i="16"/>
  <c r="F4" i="16"/>
  <c r="G4" i="16"/>
  <c r="H4" i="16"/>
  <c r="I4" i="16"/>
  <c r="J4" i="16"/>
  <c r="K4" i="16"/>
  <c r="L4" i="16"/>
  <c r="M4" i="16"/>
  <c r="N4" i="16"/>
  <c r="O4" i="16"/>
  <c r="P4" i="16"/>
  <c r="Q4" i="16"/>
  <c r="R4" i="16"/>
  <c r="S4" i="16"/>
  <c r="T4" i="16"/>
  <c r="U4" i="16"/>
  <c r="V4" i="16"/>
  <c r="W4" i="16"/>
  <c r="X4" i="16"/>
  <c r="Y4" i="16"/>
  <c r="Z4" i="16"/>
  <c r="AA4" i="16"/>
  <c r="AB4" i="16"/>
  <c r="AC4" i="16"/>
  <c r="C4" i="16"/>
  <c r="D3" i="16"/>
  <c r="E3" i="16"/>
  <c r="F3" i="16"/>
  <c r="G3" i="16"/>
  <c r="H3" i="16"/>
  <c r="I3" i="16"/>
  <c r="J3" i="16"/>
  <c r="K3" i="16"/>
  <c r="L3" i="16"/>
  <c r="M3" i="16"/>
  <c r="N3" i="16"/>
  <c r="O3" i="16"/>
  <c r="P3" i="16"/>
  <c r="Q3" i="16"/>
  <c r="R3" i="16"/>
  <c r="S3" i="16"/>
  <c r="T3" i="16"/>
  <c r="U3" i="16"/>
  <c r="V3" i="16"/>
  <c r="W3" i="16"/>
  <c r="X3" i="16"/>
  <c r="Y3" i="16"/>
  <c r="Z3" i="16"/>
  <c r="AA3" i="16"/>
  <c r="AB3" i="16"/>
  <c r="AC3" i="16"/>
  <c r="C3" i="16"/>
  <c r="Q5" i="12"/>
  <c r="BC61" i="8"/>
  <c r="BB59" i="8"/>
  <c r="AZ58" i="8"/>
  <c r="X14" i="14"/>
  <c r="X13" i="14"/>
  <c r="X12" i="14"/>
  <c r="X11" i="14"/>
  <c r="X10" i="14"/>
  <c r="X9" i="14"/>
  <c r="X8" i="14"/>
  <c r="X7" i="14"/>
  <c r="AA6" i="14"/>
  <c r="AA7" i="14"/>
  <c r="AA8" i="14"/>
  <c r="AA9" i="14"/>
  <c r="AA10" i="14"/>
  <c r="AA11" i="14"/>
  <c r="AA12" i="14"/>
  <c r="AA13" i="14"/>
  <c r="BN8" i="14"/>
  <c r="W58" i="14"/>
  <c r="X58" i="14" s="1"/>
  <c r="W57" i="14"/>
  <c r="X57" i="14" s="1"/>
  <c r="W56" i="14"/>
  <c r="X56" i="14" s="1"/>
  <c r="W55" i="14"/>
  <c r="X55" i="14" s="1"/>
  <c r="W54" i="14"/>
  <c r="X54" i="14" s="1"/>
  <c r="X53" i="14"/>
  <c r="X52" i="14"/>
  <c r="X51" i="14"/>
  <c r="S47" i="14"/>
  <c r="X47" i="14" s="1"/>
  <c r="S46" i="14"/>
  <c r="X46" i="14" s="1"/>
  <c r="S45" i="14"/>
  <c r="X45" i="14" s="1"/>
  <c r="S44" i="14"/>
  <c r="X44" i="14" s="1"/>
  <c r="S43" i="14"/>
  <c r="X43" i="14" s="1"/>
  <c r="X42" i="14"/>
  <c r="X41" i="14"/>
  <c r="X40" i="14"/>
  <c r="GJ22" i="14" l="1"/>
  <c r="GJ33" i="14"/>
  <c r="GJ41" i="14"/>
  <c r="GJ49" i="14"/>
  <c r="GJ28" i="14"/>
  <c r="GJ51" i="14"/>
  <c r="GJ35" i="14"/>
  <c r="GJ14" i="14"/>
  <c r="GJ43" i="14"/>
  <c r="GJ48" i="14"/>
  <c r="GJ32" i="14"/>
  <c r="FD110" i="14"/>
  <c r="FD77" i="14"/>
  <c r="FD71" i="14"/>
  <c r="FD103" i="14"/>
  <c r="FD92" i="14"/>
  <c r="FD87" i="14"/>
  <c r="FD109" i="14"/>
  <c r="FD99" i="14"/>
  <c r="FD66" i="14"/>
  <c r="FD90" i="14"/>
  <c r="FD98" i="14"/>
  <c r="FD106" i="14"/>
  <c r="FD65" i="14"/>
  <c r="FD74" i="14"/>
  <c r="FD61" i="14"/>
  <c r="FD108" i="14"/>
  <c r="DY68" i="14"/>
  <c r="DY73" i="14"/>
  <c r="DY75" i="14"/>
  <c r="DY79" i="14"/>
  <c r="DY61" i="14"/>
  <c r="DY84" i="14"/>
  <c r="DY108" i="14"/>
  <c r="DY110" i="14"/>
  <c r="DY78" i="14"/>
  <c r="DY109" i="14"/>
  <c r="DY98" i="14"/>
  <c r="DY66" i="14"/>
  <c r="DY106" i="14"/>
  <c r="DY92" i="14"/>
  <c r="DY100" i="14"/>
  <c r="DY102" i="14"/>
  <c r="DY72" i="14"/>
  <c r="DY80" i="14"/>
  <c r="DY95" i="14"/>
  <c r="DY101" i="14"/>
  <c r="DY77" i="14"/>
  <c r="DY65" i="14"/>
  <c r="DY91" i="14"/>
  <c r="DY89" i="14"/>
  <c r="DY76" i="14"/>
  <c r="DY81" i="14"/>
  <c r="DY69" i="14"/>
  <c r="DY86" i="14"/>
  <c r="DY67" i="14"/>
  <c r="DY99" i="14"/>
  <c r="DY63" i="14"/>
  <c r="DY104" i="14"/>
  <c r="DY62" i="14"/>
  <c r="DY105" i="14"/>
  <c r="DY93" i="14"/>
  <c r="DY88" i="14"/>
  <c r="DY94" i="14"/>
  <c r="DY97" i="14"/>
  <c r="DY87" i="14"/>
  <c r="DY103" i="14"/>
  <c r="DY64" i="14"/>
  <c r="DY90" i="14"/>
  <c r="DY107" i="14"/>
  <c r="DY70" i="14"/>
  <c r="DY74" i="14"/>
  <c r="DY83" i="14"/>
  <c r="DY85" i="14"/>
  <c r="DY96" i="14"/>
  <c r="AG40" i="16"/>
  <c r="AG24" i="16"/>
  <c r="AG8" i="16"/>
  <c r="AG45" i="16"/>
  <c r="AG37" i="16"/>
  <c r="AG29" i="16"/>
  <c r="AG21" i="16"/>
  <c r="AG13" i="16"/>
  <c r="AG42" i="16"/>
  <c r="AG34" i="16"/>
  <c r="AG26" i="16"/>
  <c r="AG18" i="16"/>
  <c r="AG10" i="16"/>
  <c r="AG23" i="16"/>
  <c r="AG7" i="16"/>
  <c r="AG31" i="16"/>
  <c r="AG3" i="16"/>
  <c r="AG52" i="16"/>
  <c r="AG44" i="16"/>
  <c r="AG36" i="16"/>
  <c r="AG28" i="16"/>
  <c r="AG20" i="16"/>
  <c r="AG12" i="16"/>
  <c r="AG49" i="16"/>
  <c r="AG48" i="16"/>
  <c r="AG39" i="16"/>
  <c r="AG41" i="16"/>
  <c r="AG32" i="16"/>
  <c r="AG47" i="16"/>
  <c r="AG46" i="16"/>
  <c r="AG38" i="16"/>
  <c r="AG30" i="16"/>
  <c r="AG22" i="16"/>
  <c r="AG33" i="16"/>
  <c r="AG50" i="16"/>
  <c r="AG4" i="16"/>
  <c r="AG51" i="16"/>
  <c r="AG43" i="16"/>
  <c r="AG35" i="16"/>
  <c r="AG27" i="16"/>
  <c r="AG19" i="16"/>
  <c r="AG11" i="16"/>
  <c r="AG25" i="16"/>
  <c r="AG16" i="16"/>
  <c r="AG15" i="16"/>
  <c r="AG14" i="16"/>
  <c r="AG17" i="16"/>
  <c r="AG5" i="16"/>
  <c r="AG6" i="16"/>
  <c r="FE57" i="14"/>
  <c r="FM57" i="14"/>
  <c r="FU57" i="14"/>
  <c r="GC57" i="14"/>
  <c r="FF57" i="14"/>
  <c r="FN57" i="14"/>
  <c r="FV57" i="14"/>
  <c r="GD57" i="14"/>
  <c r="FG57" i="14"/>
  <c r="FO57" i="14"/>
  <c r="FW57" i="14"/>
  <c r="FD57" i="14"/>
  <c r="FH57" i="14"/>
  <c r="FP57" i="14"/>
  <c r="FX57" i="14"/>
  <c r="FI57" i="14"/>
  <c r="FQ57" i="14"/>
  <c r="FY57" i="14"/>
  <c r="FK57" i="14"/>
  <c r="FS57" i="14"/>
  <c r="GA57" i="14"/>
  <c r="FJ57" i="14"/>
  <c r="FL57" i="14"/>
  <c r="FR57" i="14"/>
  <c r="FT57" i="14"/>
  <c r="FZ57" i="14"/>
  <c r="GB57" i="14"/>
  <c r="BN11" i="14"/>
  <c r="CS66" i="14"/>
  <c r="BN10" i="14"/>
  <c r="CS65" i="14"/>
  <c r="BN9" i="14"/>
  <c r="CS64" i="14"/>
  <c r="CS63" i="14"/>
  <c r="BN7" i="14"/>
  <c r="CS62" i="14"/>
  <c r="BN6" i="14"/>
  <c r="CS61" i="14"/>
  <c r="BN13" i="14"/>
  <c r="CS68" i="14"/>
  <c r="BN12" i="14"/>
  <c r="CS67" i="14"/>
  <c r="E4" i="14"/>
  <c r="S56" i="5"/>
  <c r="FW12" i="14" l="1"/>
  <c r="FW19" i="14"/>
  <c r="FW24" i="14"/>
  <c r="FW8" i="14"/>
  <c r="FW9" i="14"/>
  <c r="FW25" i="14"/>
  <c r="FW33" i="14"/>
  <c r="FW15" i="14"/>
  <c r="FW18" i="14"/>
  <c r="FW27" i="14"/>
  <c r="FW31" i="14"/>
  <c r="FW23" i="14"/>
  <c r="FW41" i="14"/>
  <c r="FW42" i="14"/>
  <c r="FW52" i="14"/>
  <c r="FW26" i="14"/>
  <c r="FW35" i="14"/>
  <c r="FW43" i="14"/>
  <c r="FW55" i="14"/>
  <c r="FW10" i="14"/>
  <c r="FW16" i="14"/>
  <c r="FW28" i="14"/>
  <c r="FW39" i="14"/>
  <c r="FW44" i="14"/>
  <c r="FW47" i="14"/>
  <c r="FW48" i="14"/>
  <c r="FW17" i="14"/>
  <c r="FW20" i="14"/>
  <c r="FW36" i="14"/>
  <c r="FW49" i="14"/>
  <c r="FW34" i="14"/>
  <c r="FW40" i="14"/>
  <c r="FW50" i="14"/>
  <c r="FW11" i="14"/>
  <c r="FW32" i="14"/>
  <c r="FW51" i="14"/>
  <c r="FW21" i="14"/>
  <c r="FW22" i="14"/>
  <c r="FW30" i="14"/>
  <c r="FW14" i="14"/>
  <c r="FW7" i="14"/>
  <c r="FW53" i="14"/>
  <c r="FW45" i="14"/>
  <c r="FW37" i="14"/>
  <c r="FW13" i="14"/>
  <c r="FW6" i="14"/>
  <c r="FW38" i="14"/>
  <c r="FW46" i="14"/>
  <c r="FW29" i="14"/>
  <c r="FW54" i="14"/>
  <c r="FY10" i="14"/>
  <c r="FY11" i="14"/>
  <c r="FY12" i="14"/>
  <c r="FY17" i="14"/>
  <c r="FY19" i="14"/>
  <c r="FY26" i="14"/>
  <c r="FY34" i="14"/>
  <c r="FY35" i="14"/>
  <c r="FY40" i="14"/>
  <c r="FY16" i="14"/>
  <c r="FY20" i="14"/>
  <c r="FY24" i="14"/>
  <c r="FY28" i="14"/>
  <c r="FY32" i="14"/>
  <c r="FY18" i="14"/>
  <c r="FY33" i="14"/>
  <c r="FY51" i="14"/>
  <c r="FY50" i="14"/>
  <c r="FY23" i="14"/>
  <c r="FY41" i="14"/>
  <c r="FY52" i="14"/>
  <c r="FY25" i="14"/>
  <c r="FY42" i="14"/>
  <c r="FY8" i="14"/>
  <c r="FY15" i="14"/>
  <c r="FY27" i="14"/>
  <c r="FY43" i="14"/>
  <c r="FY55" i="14"/>
  <c r="FY6" i="14"/>
  <c r="FY39" i="14"/>
  <c r="FY44" i="14"/>
  <c r="FY47" i="14"/>
  <c r="FY31" i="14"/>
  <c r="FY36" i="14"/>
  <c r="FY48" i="14"/>
  <c r="FY9" i="14"/>
  <c r="FY49" i="14"/>
  <c r="FY37" i="14"/>
  <c r="FY13" i="14"/>
  <c r="FY53" i="14"/>
  <c r="FY45" i="14"/>
  <c r="FY38" i="14"/>
  <c r="FY46" i="14"/>
  <c r="FY29" i="14"/>
  <c r="FY54" i="14"/>
  <c r="FY7" i="14"/>
  <c r="FY21" i="14"/>
  <c r="FY22" i="14"/>
  <c r="FY30" i="14"/>
  <c r="FY14" i="14"/>
  <c r="FG12" i="14"/>
  <c r="FG19" i="14"/>
  <c r="FG24" i="14"/>
  <c r="FG8" i="14"/>
  <c r="FG9" i="14"/>
  <c r="FG18" i="14"/>
  <c r="FG26" i="14"/>
  <c r="FG34" i="14"/>
  <c r="FG15" i="14"/>
  <c r="FG28" i="14"/>
  <c r="FG32" i="14"/>
  <c r="FG36" i="14"/>
  <c r="FG42" i="14"/>
  <c r="FG40" i="14"/>
  <c r="FG43" i="14"/>
  <c r="FG55" i="14"/>
  <c r="FG52" i="14"/>
  <c r="FG20" i="14"/>
  <c r="FG44" i="14"/>
  <c r="FG47" i="14"/>
  <c r="FG11" i="14"/>
  <c r="FG31" i="14"/>
  <c r="FG48" i="14"/>
  <c r="FG33" i="14"/>
  <c r="FG41" i="14"/>
  <c r="FG49" i="14"/>
  <c r="FG27" i="14"/>
  <c r="FG16" i="14"/>
  <c r="FG17" i="14"/>
  <c r="FG35" i="14"/>
  <c r="FG50" i="14"/>
  <c r="FG10" i="14"/>
  <c r="FG23" i="14"/>
  <c r="FG25" i="14"/>
  <c r="FG39" i="14"/>
  <c r="FG51" i="14"/>
  <c r="FG53" i="14"/>
  <c r="FG45" i="14"/>
  <c r="FG37" i="14"/>
  <c r="FG13" i="14"/>
  <c r="FG38" i="14"/>
  <c r="FG46" i="14"/>
  <c r="FG29" i="14"/>
  <c r="FG54" i="14"/>
  <c r="FG7" i="14"/>
  <c r="FG6" i="14"/>
  <c r="FG21" i="14"/>
  <c r="FG22" i="14"/>
  <c r="FG30" i="14"/>
  <c r="FG14" i="14"/>
  <c r="FR9" i="14"/>
  <c r="FR10" i="14"/>
  <c r="FR11" i="14"/>
  <c r="FR16" i="14"/>
  <c r="FR34" i="14"/>
  <c r="FR12" i="14"/>
  <c r="FR18" i="14"/>
  <c r="FR23" i="14"/>
  <c r="FR27" i="14"/>
  <c r="FR31" i="14"/>
  <c r="FR39" i="14"/>
  <c r="FR15" i="14"/>
  <c r="FR22" i="14"/>
  <c r="FR25" i="14"/>
  <c r="FR30" i="14"/>
  <c r="FR33" i="14"/>
  <c r="FR7" i="14"/>
  <c r="FR36" i="14"/>
  <c r="FR50" i="14"/>
  <c r="FR28" i="14"/>
  <c r="FR17" i="14"/>
  <c r="FR20" i="14"/>
  <c r="FR40" i="14"/>
  <c r="FR51" i="14"/>
  <c r="FR8" i="14"/>
  <c r="FR19" i="14"/>
  <c r="FR52" i="14"/>
  <c r="FR49" i="14"/>
  <c r="FR32" i="14"/>
  <c r="FR42" i="14"/>
  <c r="FR38" i="14"/>
  <c r="FR41" i="14"/>
  <c r="FR43" i="14"/>
  <c r="FR55" i="14"/>
  <c r="FR24" i="14"/>
  <c r="FR35" i="14"/>
  <c r="FR44" i="14"/>
  <c r="FR47" i="14"/>
  <c r="FR26" i="14"/>
  <c r="FR48" i="14"/>
  <c r="FR21" i="14"/>
  <c r="FR54" i="14"/>
  <c r="FR53" i="14"/>
  <c r="FR37" i="14"/>
  <c r="FR46" i="14"/>
  <c r="FR13" i="14"/>
  <c r="FR45" i="14"/>
  <c r="FR6" i="14"/>
  <c r="FR14" i="14"/>
  <c r="FR29" i="14"/>
  <c r="FI10" i="14"/>
  <c r="FI11" i="14"/>
  <c r="FI12" i="14"/>
  <c r="FI17" i="14"/>
  <c r="FI19" i="14"/>
  <c r="FI23" i="14"/>
  <c r="FI27" i="14"/>
  <c r="FI31" i="14"/>
  <c r="FI35" i="14"/>
  <c r="FI40" i="14"/>
  <c r="FI8" i="14"/>
  <c r="FI16" i="14"/>
  <c r="FI25" i="14"/>
  <c r="FI33" i="14"/>
  <c r="FI26" i="14"/>
  <c r="FI39" i="14"/>
  <c r="FI51" i="14"/>
  <c r="FI18" i="14"/>
  <c r="FI28" i="14"/>
  <c r="FI36" i="14"/>
  <c r="FI52" i="14"/>
  <c r="FI42" i="14"/>
  <c r="FI45" i="14"/>
  <c r="FI20" i="14"/>
  <c r="FI43" i="14"/>
  <c r="FI55" i="14"/>
  <c r="FI6" i="14"/>
  <c r="FI44" i="14"/>
  <c r="FI47" i="14"/>
  <c r="FI24" i="14"/>
  <c r="FI9" i="14"/>
  <c r="FI32" i="14"/>
  <c r="FI41" i="14"/>
  <c r="FI48" i="14"/>
  <c r="FI50" i="14"/>
  <c r="FI15" i="14"/>
  <c r="FI34" i="14"/>
  <c r="FI49" i="14"/>
  <c r="FI53" i="14"/>
  <c r="FI38" i="14"/>
  <c r="FI46" i="14"/>
  <c r="FI29" i="14"/>
  <c r="FI54" i="14"/>
  <c r="FI7" i="14"/>
  <c r="FI13" i="14"/>
  <c r="FI21" i="14"/>
  <c r="FI22" i="14"/>
  <c r="FI30" i="14"/>
  <c r="FI14" i="14"/>
  <c r="FI37" i="14"/>
  <c r="FU8" i="14"/>
  <c r="FU13" i="14"/>
  <c r="FU26" i="14"/>
  <c r="FU9" i="14"/>
  <c r="FU10" i="14"/>
  <c r="FU11" i="14"/>
  <c r="FU16" i="14"/>
  <c r="FU28" i="14"/>
  <c r="FU32" i="14"/>
  <c r="FU34" i="14"/>
  <c r="FU35" i="14"/>
  <c r="FU40" i="14"/>
  <c r="FU25" i="14"/>
  <c r="FU27" i="14"/>
  <c r="FU44" i="14"/>
  <c r="FU47" i="14"/>
  <c r="FU12" i="14"/>
  <c r="FU29" i="14"/>
  <c r="FU39" i="14"/>
  <c r="FU48" i="14"/>
  <c r="FU24" i="14"/>
  <c r="FU55" i="14"/>
  <c r="FU36" i="14"/>
  <c r="FU49" i="14"/>
  <c r="FU18" i="14"/>
  <c r="FU17" i="14"/>
  <c r="FU20" i="14"/>
  <c r="FU21" i="14"/>
  <c r="FU37" i="14"/>
  <c r="FU50" i="14"/>
  <c r="FU53" i="14"/>
  <c r="FU19" i="14"/>
  <c r="FU51" i="14"/>
  <c r="FU33" i="14"/>
  <c r="FU52" i="14"/>
  <c r="FU41" i="14"/>
  <c r="FU42" i="14"/>
  <c r="FU23" i="14"/>
  <c r="FU43" i="14"/>
  <c r="FU6" i="14"/>
  <c r="FU7" i="14"/>
  <c r="FU46" i="14"/>
  <c r="FU54" i="14"/>
  <c r="FU22" i="14"/>
  <c r="FU30" i="14"/>
  <c r="FU14" i="14"/>
  <c r="FU45" i="14"/>
  <c r="FU15" i="14"/>
  <c r="FU38" i="14"/>
  <c r="FU31" i="14"/>
  <c r="FM8" i="14"/>
  <c r="FM26" i="14"/>
  <c r="FM9" i="14"/>
  <c r="FM10" i="14"/>
  <c r="FM11" i="14"/>
  <c r="FM16" i="14"/>
  <c r="FM25" i="14"/>
  <c r="FM12" i="14"/>
  <c r="FM18" i="14"/>
  <c r="FM23" i="14"/>
  <c r="FM35" i="14"/>
  <c r="FM40" i="14"/>
  <c r="FM19" i="14"/>
  <c r="FM33" i="14"/>
  <c r="FM34" i="14"/>
  <c r="FM41" i="14"/>
  <c r="FM44" i="14"/>
  <c r="FM47" i="14"/>
  <c r="FM53" i="14"/>
  <c r="FM6" i="14"/>
  <c r="FM21" i="14"/>
  <c r="FM48" i="14"/>
  <c r="FM32" i="14"/>
  <c r="FM24" i="14"/>
  <c r="FM37" i="14"/>
  <c r="FM49" i="14"/>
  <c r="FM27" i="14"/>
  <c r="FM28" i="14"/>
  <c r="FM39" i="14"/>
  <c r="FM45" i="14"/>
  <c r="FM50" i="14"/>
  <c r="FM17" i="14"/>
  <c r="FM13" i="14"/>
  <c r="FM36" i="14"/>
  <c r="FM51" i="14"/>
  <c r="FM43" i="14"/>
  <c r="FM52" i="14"/>
  <c r="FM55" i="14"/>
  <c r="FM20" i="14"/>
  <c r="FM42" i="14"/>
  <c r="FM29" i="14"/>
  <c r="FM46" i="14"/>
  <c r="FM54" i="14"/>
  <c r="FM22" i="14"/>
  <c r="FM30" i="14"/>
  <c r="FM14" i="14"/>
  <c r="FM7" i="14"/>
  <c r="FM15" i="14"/>
  <c r="FM38" i="14"/>
  <c r="FM31" i="14"/>
  <c r="FT8" i="14"/>
  <c r="FT9" i="14"/>
  <c r="FT27" i="14"/>
  <c r="FT32" i="14"/>
  <c r="FT10" i="14"/>
  <c r="FT11" i="14"/>
  <c r="FT16" i="14"/>
  <c r="FT12" i="14"/>
  <c r="FT20" i="14"/>
  <c r="FT24" i="14"/>
  <c r="FT19" i="14"/>
  <c r="FT26" i="14"/>
  <c r="FT36" i="14"/>
  <c r="FT41" i="14"/>
  <c r="FT28" i="14"/>
  <c r="FT39" i="14"/>
  <c r="FT48" i="14"/>
  <c r="FT25" i="14"/>
  <c r="FT49" i="14"/>
  <c r="FT47" i="14"/>
  <c r="FT17" i="14"/>
  <c r="FT50" i="14"/>
  <c r="FT40" i="14"/>
  <c r="FT51" i="14"/>
  <c r="FT31" i="14"/>
  <c r="FT33" i="14"/>
  <c r="FT52" i="14"/>
  <c r="FT34" i="14"/>
  <c r="FT42" i="14"/>
  <c r="FT35" i="14"/>
  <c r="FT44" i="14"/>
  <c r="FT18" i="14"/>
  <c r="FT23" i="14"/>
  <c r="FT43" i="14"/>
  <c r="FT55" i="14"/>
  <c r="FT21" i="14"/>
  <c r="FT6" i="14"/>
  <c r="FT15" i="14"/>
  <c r="FT37" i="14"/>
  <c r="FT13" i="14"/>
  <c r="FT38" i="14"/>
  <c r="FT7" i="14"/>
  <c r="FT29" i="14"/>
  <c r="FT46" i="14"/>
  <c r="FT53" i="14"/>
  <c r="FT45" i="14"/>
  <c r="FT54" i="14"/>
  <c r="FT22" i="14"/>
  <c r="FT30" i="14"/>
  <c r="FT14" i="14"/>
  <c r="FL8" i="14"/>
  <c r="FL9" i="14"/>
  <c r="FL27" i="14"/>
  <c r="FL32" i="14"/>
  <c r="FL10" i="14"/>
  <c r="FL11" i="14"/>
  <c r="FL16" i="14"/>
  <c r="FL12" i="14"/>
  <c r="FL17" i="14"/>
  <c r="FL28" i="14"/>
  <c r="FL18" i="14"/>
  <c r="FL34" i="14"/>
  <c r="FL36" i="14"/>
  <c r="FL41" i="14"/>
  <c r="FL48" i="14"/>
  <c r="FL23" i="14"/>
  <c r="FL24" i="14"/>
  <c r="FL35" i="14"/>
  <c r="FL49" i="14"/>
  <c r="FL25" i="14"/>
  <c r="FL26" i="14"/>
  <c r="FL39" i="14"/>
  <c r="FL50" i="14"/>
  <c r="FL31" i="14"/>
  <c r="FL44" i="14"/>
  <c r="FL51" i="14"/>
  <c r="FL52" i="14"/>
  <c r="FL19" i="14"/>
  <c r="FL20" i="14"/>
  <c r="FL40" i="14"/>
  <c r="FL42" i="14"/>
  <c r="FL33" i="14"/>
  <c r="FL43" i="14"/>
  <c r="FL55" i="14"/>
  <c r="FL47" i="14"/>
  <c r="FL15" i="14"/>
  <c r="FL37" i="14"/>
  <c r="FL13" i="14"/>
  <c r="FL38" i="14"/>
  <c r="FL6" i="14"/>
  <c r="FL7" i="14"/>
  <c r="FL29" i="14"/>
  <c r="FL46" i="14"/>
  <c r="FL53" i="14"/>
  <c r="FL45" i="14"/>
  <c r="FL54" i="14"/>
  <c r="FL22" i="14"/>
  <c r="FL30" i="14"/>
  <c r="FL14" i="14"/>
  <c r="FL21" i="14"/>
  <c r="FX11" i="14"/>
  <c r="FX12" i="14"/>
  <c r="FX18" i="14"/>
  <c r="FX8" i="14"/>
  <c r="FX36" i="14"/>
  <c r="FX41" i="14"/>
  <c r="FX10" i="14"/>
  <c r="FX9" i="14"/>
  <c r="FX34" i="14"/>
  <c r="FX52" i="14"/>
  <c r="FX32" i="14"/>
  <c r="FX24" i="14"/>
  <c r="FX25" i="14"/>
  <c r="FX42" i="14"/>
  <c r="FX15" i="14"/>
  <c r="FX26" i="14"/>
  <c r="FX27" i="14"/>
  <c r="FX35" i="14"/>
  <c r="FX43" i="14"/>
  <c r="FX55" i="14"/>
  <c r="FX16" i="14"/>
  <c r="FX28" i="14"/>
  <c r="FX39" i="14"/>
  <c r="FX44" i="14"/>
  <c r="FX47" i="14"/>
  <c r="FX48" i="14"/>
  <c r="FX17" i="14"/>
  <c r="FX20" i="14"/>
  <c r="FX49" i="14"/>
  <c r="FX51" i="14"/>
  <c r="FX19" i="14"/>
  <c r="FX31" i="14"/>
  <c r="FX40" i="14"/>
  <c r="FX50" i="14"/>
  <c r="FX33" i="14"/>
  <c r="FX46" i="14"/>
  <c r="FX29" i="14"/>
  <c r="FX54" i="14"/>
  <c r="FX6" i="14"/>
  <c r="FX7" i="14"/>
  <c r="FX23" i="14"/>
  <c r="FX21" i="14"/>
  <c r="FX22" i="14"/>
  <c r="FX30" i="14"/>
  <c r="FX14" i="14"/>
  <c r="FX38" i="14"/>
  <c r="FX53" i="14"/>
  <c r="FX45" i="14"/>
  <c r="FX37" i="14"/>
  <c r="FX13" i="14"/>
  <c r="FV20" i="14"/>
  <c r="FV25" i="14"/>
  <c r="FV8" i="14"/>
  <c r="FV9" i="14"/>
  <c r="FV10" i="14"/>
  <c r="FV11" i="14"/>
  <c r="FV16" i="14"/>
  <c r="FV17" i="14"/>
  <c r="FV18" i="14"/>
  <c r="FV23" i="14"/>
  <c r="FV39" i="14"/>
  <c r="FV24" i="14"/>
  <c r="FV26" i="14"/>
  <c r="FV35" i="14"/>
  <c r="FV43" i="14"/>
  <c r="FV55" i="14"/>
  <c r="FV27" i="14"/>
  <c r="FV28" i="14"/>
  <c r="FV44" i="14"/>
  <c r="FV47" i="14"/>
  <c r="FV12" i="14"/>
  <c r="FV48" i="14"/>
  <c r="FV42" i="14"/>
  <c r="FV36" i="14"/>
  <c r="FV49" i="14"/>
  <c r="FV40" i="14"/>
  <c r="FV50" i="14"/>
  <c r="FV41" i="14"/>
  <c r="FV19" i="14"/>
  <c r="FV31" i="14"/>
  <c r="FV32" i="14"/>
  <c r="FV51" i="14"/>
  <c r="FV33" i="14"/>
  <c r="FV34" i="14"/>
  <c r="FV52" i="14"/>
  <c r="FV6" i="14"/>
  <c r="FV54" i="14"/>
  <c r="FV29" i="14"/>
  <c r="FV15" i="14"/>
  <c r="FV53" i="14"/>
  <c r="FV38" i="14"/>
  <c r="FV21" i="14"/>
  <c r="FV45" i="14"/>
  <c r="FV7" i="14"/>
  <c r="FV46" i="14"/>
  <c r="FV13" i="14"/>
  <c r="FV22" i="14"/>
  <c r="FV30" i="14"/>
  <c r="FV14" i="14"/>
  <c r="FV37" i="14"/>
  <c r="FK8" i="14"/>
  <c r="FK9" i="14"/>
  <c r="FK10" i="14"/>
  <c r="FK28" i="14"/>
  <c r="FK33" i="14"/>
  <c r="FK11" i="14"/>
  <c r="FK16" i="14"/>
  <c r="FK12" i="14"/>
  <c r="FK17" i="14"/>
  <c r="FK20" i="14"/>
  <c r="FK24" i="14"/>
  <c r="FK32" i="14"/>
  <c r="FK26" i="14"/>
  <c r="FK23" i="14"/>
  <c r="FK35" i="14"/>
  <c r="FK49" i="14"/>
  <c r="FK25" i="14"/>
  <c r="FK39" i="14"/>
  <c r="FK50" i="14"/>
  <c r="FK18" i="14"/>
  <c r="FK27" i="14"/>
  <c r="FK51" i="14"/>
  <c r="FK7" i="14"/>
  <c r="FK34" i="14"/>
  <c r="FK36" i="14"/>
  <c r="FK52" i="14"/>
  <c r="FK40" i="14"/>
  <c r="FK42" i="14"/>
  <c r="FK43" i="14"/>
  <c r="FK55" i="14"/>
  <c r="FK48" i="14"/>
  <c r="FK19" i="14"/>
  <c r="FK31" i="14"/>
  <c r="FK44" i="14"/>
  <c r="FK47" i="14"/>
  <c r="FK41" i="14"/>
  <c r="FK53" i="14"/>
  <c r="FK45" i="14"/>
  <c r="FK21" i="14"/>
  <c r="FK14" i="14"/>
  <c r="FK22" i="14"/>
  <c r="FK37" i="14"/>
  <c r="FK46" i="14"/>
  <c r="FK29" i="14"/>
  <c r="FK6" i="14"/>
  <c r="FK15" i="14"/>
  <c r="FK38" i="14"/>
  <c r="FK13" i="14"/>
  <c r="FK30" i="14"/>
  <c r="FK54" i="14"/>
  <c r="FO12" i="14"/>
  <c r="FO19" i="14"/>
  <c r="FO24" i="14"/>
  <c r="FO8" i="14"/>
  <c r="FO9" i="14"/>
  <c r="FO10" i="14"/>
  <c r="FO15" i="14"/>
  <c r="FO17" i="14"/>
  <c r="FO31" i="14"/>
  <c r="FO42" i="14"/>
  <c r="FO16" i="14"/>
  <c r="FO32" i="14"/>
  <c r="FO33" i="14"/>
  <c r="FO43" i="14"/>
  <c r="FO55" i="14"/>
  <c r="FO34" i="14"/>
  <c r="FO41" i="14"/>
  <c r="FO44" i="14"/>
  <c r="FO47" i="14"/>
  <c r="FO40" i="14"/>
  <c r="FO23" i="14"/>
  <c r="FO25" i="14"/>
  <c r="FO35" i="14"/>
  <c r="FO48" i="14"/>
  <c r="FO18" i="14"/>
  <c r="FO26" i="14"/>
  <c r="FO27" i="14"/>
  <c r="FO39" i="14"/>
  <c r="FO49" i="14"/>
  <c r="FO52" i="14"/>
  <c r="FO11" i="14"/>
  <c r="FO28" i="14"/>
  <c r="FO50" i="14"/>
  <c r="FO20" i="14"/>
  <c r="FO36" i="14"/>
  <c r="FO51" i="14"/>
  <c r="FO21" i="14"/>
  <c r="FO53" i="14"/>
  <c r="FO45" i="14"/>
  <c r="FO37" i="14"/>
  <c r="FO22" i="14"/>
  <c r="FO13" i="14"/>
  <c r="FO38" i="14"/>
  <c r="FO14" i="14"/>
  <c r="FO46" i="14"/>
  <c r="FO29" i="14"/>
  <c r="FO54" i="14"/>
  <c r="FO30" i="14"/>
  <c r="FO6" i="14"/>
  <c r="FO7" i="14"/>
  <c r="FQ10" i="14"/>
  <c r="FQ11" i="14"/>
  <c r="FQ12" i="14"/>
  <c r="FQ17" i="14"/>
  <c r="FQ19" i="14"/>
  <c r="FQ35" i="14"/>
  <c r="FQ40" i="14"/>
  <c r="FQ9" i="14"/>
  <c r="FQ8" i="14"/>
  <c r="FQ20" i="14"/>
  <c r="FQ51" i="14"/>
  <c r="FQ15" i="14"/>
  <c r="FQ16" i="14"/>
  <c r="FQ52" i="14"/>
  <c r="FQ31" i="14"/>
  <c r="FQ32" i="14"/>
  <c r="FQ42" i="14"/>
  <c r="FQ53" i="14"/>
  <c r="FQ33" i="14"/>
  <c r="FQ34" i="14"/>
  <c r="FQ41" i="14"/>
  <c r="FQ43" i="14"/>
  <c r="FQ55" i="14"/>
  <c r="FQ6" i="14"/>
  <c r="FQ23" i="14"/>
  <c r="FQ24" i="14"/>
  <c r="FQ44" i="14"/>
  <c r="FQ47" i="14"/>
  <c r="FQ50" i="14"/>
  <c r="FQ18" i="14"/>
  <c r="FQ25" i="14"/>
  <c r="FQ26" i="14"/>
  <c r="FQ45" i="14"/>
  <c r="FQ48" i="14"/>
  <c r="FQ27" i="14"/>
  <c r="FQ28" i="14"/>
  <c r="FQ39" i="14"/>
  <c r="FQ49" i="14"/>
  <c r="FQ36" i="14"/>
  <c r="FQ13" i="14"/>
  <c r="FQ37" i="14"/>
  <c r="FQ38" i="14"/>
  <c r="FQ46" i="14"/>
  <c r="FQ29" i="14"/>
  <c r="FQ54" i="14"/>
  <c r="FQ7" i="14"/>
  <c r="FQ21" i="14"/>
  <c r="FQ22" i="14"/>
  <c r="FQ30" i="14"/>
  <c r="FQ14" i="14"/>
  <c r="FJ9" i="14"/>
  <c r="FJ10" i="14"/>
  <c r="FJ11" i="14"/>
  <c r="FJ16" i="14"/>
  <c r="FJ34" i="14"/>
  <c r="FJ12" i="14"/>
  <c r="FJ17" i="14"/>
  <c r="FJ18" i="14"/>
  <c r="FJ39" i="14"/>
  <c r="FJ8" i="14"/>
  <c r="FJ7" i="14"/>
  <c r="FJ19" i="14"/>
  <c r="FJ24" i="14"/>
  <c r="FJ25" i="14"/>
  <c r="FJ50" i="14"/>
  <c r="FJ26" i="14"/>
  <c r="FJ27" i="14"/>
  <c r="FJ51" i="14"/>
  <c r="FJ15" i="14"/>
  <c r="FJ35" i="14"/>
  <c r="FJ28" i="14"/>
  <c r="FJ36" i="14"/>
  <c r="FJ52" i="14"/>
  <c r="FJ23" i="14"/>
  <c r="FJ40" i="14"/>
  <c r="FJ42" i="14"/>
  <c r="FJ20" i="14"/>
  <c r="FJ43" i="14"/>
  <c r="FJ55" i="14"/>
  <c r="FJ31" i="14"/>
  <c r="FJ44" i="14"/>
  <c r="FJ47" i="14"/>
  <c r="FJ32" i="14"/>
  <c r="FJ33" i="14"/>
  <c r="FJ41" i="14"/>
  <c r="FJ48" i="14"/>
  <c r="FJ49" i="14"/>
  <c r="FJ6" i="14"/>
  <c r="FJ38" i="14"/>
  <c r="FJ46" i="14"/>
  <c r="FJ37" i="14"/>
  <c r="FJ30" i="14"/>
  <c r="FJ13" i="14"/>
  <c r="FJ22" i="14"/>
  <c r="FJ21" i="14"/>
  <c r="FJ29" i="14"/>
  <c r="FJ54" i="14"/>
  <c r="FJ14" i="14"/>
  <c r="FJ53" i="14"/>
  <c r="FJ45" i="14"/>
  <c r="FP11" i="14"/>
  <c r="FP12" i="14"/>
  <c r="FP18" i="14"/>
  <c r="FP8" i="14"/>
  <c r="FP26" i="14"/>
  <c r="FP34" i="14"/>
  <c r="FP36" i="14"/>
  <c r="FP41" i="14"/>
  <c r="FP9" i="14"/>
  <c r="FP17" i="14"/>
  <c r="FP20" i="14"/>
  <c r="FP24" i="14"/>
  <c r="FP28" i="14"/>
  <c r="FP32" i="14"/>
  <c r="FP15" i="14"/>
  <c r="FP16" i="14"/>
  <c r="FP40" i="14"/>
  <c r="FP52" i="14"/>
  <c r="FP10" i="14"/>
  <c r="FP19" i="14"/>
  <c r="FP31" i="14"/>
  <c r="FP42" i="14"/>
  <c r="FP33" i="14"/>
  <c r="FP43" i="14"/>
  <c r="FP55" i="14"/>
  <c r="FP51" i="14"/>
  <c r="FP44" i="14"/>
  <c r="FP47" i="14"/>
  <c r="FP25" i="14"/>
  <c r="FP35" i="14"/>
  <c r="FP48" i="14"/>
  <c r="FP27" i="14"/>
  <c r="FP39" i="14"/>
  <c r="FP49" i="14"/>
  <c r="FP50" i="14"/>
  <c r="FP46" i="14"/>
  <c r="FP7" i="14"/>
  <c r="FP6" i="14"/>
  <c r="FP23" i="14"/>
  <c r="FP21" i="14"/>
  <c r="FP22" i="14"/>
  <c r="FP30" i="14"/>
  <c r="FP14" i="14"/>
  <c r="FP29" i="14"/>
  <c r="FP54" i="14"/>
  <c r="FP53" i="14"/>
  <c r="FP45" i="14"/>
  <c r="FP37" i="14"/>
  <c r="FP13" i="14"/>
  <c r="FP38" i="14"/>
  <c r="FN20" i="14"/>
  <c r="FN25" i="14"/>
  <c r="FN8" i="14"/>
  <c r="FN9" i="14"/>
  <c r="FN10" i="14"/>
  <c r="FN19" i="14"/>
  <c r="FN33" i="14"/>
  <c r="FN37" i="14"/>
  <c r="FN13" i="14"/>
  <c r="FN16" i="14"/>
  <c r="FN27" i="14"/>
  <c r="FN31" i="14"/>
  <c r="FN39" i="14"/>
  <c r="FN12" i="14"/>
  <c r="FN17" i="14"/>
  <c r="FN29" i="14"/>
  <c r="FN32" i="14"/>
  <c r="FN43" i="14"/>
  <c r="FN55" i="14"/>
  <c r="FN34" i="14"/>
  <c r="FN41" i="14"/>
  <c r="FN44" i="14"/>
  <c r="FN47" i="14"/>
  <c r="FN53" i="14"/>
  <c r="FN21" i="14"/>
  <c r="FN23" i="14"/>
  <c r="FN35" i="14"/>
  <c r="FN48" i="14"/>
  <c r="FN18" i="14"/>
  <c r="FN24" i="14"/>
  <c r="FN26" i="14"/>
  <c r="FN49" i="14"/>
  <c r="FN11" i="14"/>
  <c r="FN28" i="14"/>
  <c r="FN45" i="14"/>
  <c r="FN50" i="14"/>
  <c r="FN36" i="14"/>
  <c r="FN51" i="14"/>
  <c r="FN42" i="14"/>
  <c r="FN40" i="14"/>
  <c r="FN52" i="14"/>
  <c r="FN15" i="14"/>
  <c r="FN38" i="14"/>
  <c r="FN6" i="14"/>
  <c r="FN46" i="14"/>
  <c r="FN7" i="14"/>
  <c r="FN54" i="14"/>
  <c r="FN22" i="14"/>
  <c r="FN30" i="14"/>
  <c r="FN14" i="14"/>
  <c r="GB8" i="14"/>
  <c r="GB9" i="14"/>
  <c r="GB27" i="14"/>
  <c r="GB32" i="14"/>
  <c r="GB10" i="14"/>
  <c r="GB11" i="14"/>
  <c r="GB16" i="14"/>
  <c r="GB12" i="14"/>
  <c r="GB17" i="14"/>
  <c r="GB33" i="14"/>
  <c r="GB36" i="14"/>
  <c r="GB19" i="14"/>
  <c r="GB20" i="14"/>
  <c r="GB48" i="14"/>
  <c r="GB31" i="14"/>
  <c r="GB40" i="14"/>
  <c r="GB49" i="14"/>
  <c r="GB18" i="14"/>
  <c r="GB34" i="14"/>
  <c r="GB50" i="14"/>
  <c r="GB47" i="14"/>
  <c r="GB23" i="14"/>
  <c r="GB51" i="14"/>
  <c r="GB24" i="14"/>
  <c r="GB25" i="14"/>
  <c r="GB41" i="14"/>
  <c r="GB52" i="14"/>
  <c r="GB44" i="14"/>
  <c r="GB26" i="14"/>
  <c r="GB28" i="14"/>
  <c r="GB35" i="14"/>
  <c r="GB42" i="14"/>
  <c r="GB39" i="14"/>
  <c r="GB43" i="14"/>
  <c r="GB55" i="14"/>
  <c r="GB6" i="14"/>
  <c r="GB21" i="14"/>
  <c r="GB54" i="14"/>
  <c r="GB14" i="14"/>
  <c r="GB15" i="14"/>
  <c r="GB37" i="14"/>
  <c r="GB13" i="14"/>
  <c r="GB38" i="14"/>
  <c r="GB46" i="14"/>
  <c r="GB30" i="14"/>
  <c r="GB53" i="14"/>
  <c r="GB7" i="14"/>
  <c r="GB29" i="14"/>
  <c r="GB45" i="14"/>
  <c r="GB22" i="14"/>
  <c r="FZ9" i="14"/>
  <c r="FZ10" i="14"/>
  <c r="FZ11" i="14"/>
  <c r="FZ16" i="14"/>
  <c r="FZ34" i="14"/>
  <c r="FZ12" i="14"/>
  <c r="FZ18" i="14"/>
  <c r="FZ7" i="14"/>
  <c r="FZ19" i="14"/>
  <c r="FZ39" i="14"/>
  <c r="FZ17" i="14"/>
  <c r="FZ31" i="14"/>
  <c r="FZ32" i="14"/>
  <c r="FZ50" i="14"/>
  <c r="FZ40" i="14"/>
  <c r="FZ46" i="14"/>
  <c r="FZ33" i="14"/>
  <c r="FZ51" i="14"/>
  <c r="FZ49" i="14"/>
  <c r="FZ23" i="14"/>
  <c r="FZ24" i="14"/>
  <c r="FZ41" i="14"/>
  <c r="FZ52" i="14"/>
  <c r="FZ25" i="14"/>
  <c r="FZ26" i="14"/>
  <c r="FZ35" i="14"/>
  <c r="FZ42" i="14"/>
  <c r="FZ8" i="14"/>
  <c r="FZ15" i="14"/>
  <c r="FZ27" i="14"/>
  <c r="FZ28" i="14"/>
  <c r="FZ43" i="14"/>
  <c r="FZ55" i="14"/>
  <c r="FZ44" i="14"/>
  <c r="FZ47" i="14"/>
  <c r="FZ20" i="14"/>
  <c r="FZ36" i="14"/>
  <c r="FZ48" i="14"/>
  <c r="FZ53" i="14"/>
  <c r="FZ45" i="14"/>
  <c r="FZ38" i="14"/>
  <c r="FZ21" i="14"/>
  <c r="FZ30" i="14"/>
  <c r="FZ22" i="14"/>
  <c r="FZ37" i="14"/>
  <c r="FZ14" i="14"/>
  <c r="FZ13" i="14"/>
  <c r="FZ6" i="14"/>
  <c r="FZ54" i="14"/>
  <c r="FZ29" i="14"/>
  <c r="GA8" i="14"/>
  <c r="GA9" i="14"/>
  <c r="GA10" i="14"/>
  <c r="GA28" i="14"/>
  <c r="GA33" i="14"/>
  <c r="GA11" i="14"/>
  <c r="GA16" i="14"/>
  <c r="GA12" i="14"/>
  <c r="GA17" i="14"/>
  <c r="GA23" i="14"/>
  <c r="GA27" i="14"/>
  <c r="GA31" i="14"/>
  <c r="GA7" i="14"/>
  <c r="GA25" i="14"/>
  <c r="GA40" i="14"/>
  <c r="GA49" i="14"/>
  <c r="GA20" i="14"/>
  <c r="GA48" i="14"/>
  <c r="GA18" i="14"/>
  <c r="GA32" i="14"/>
  <c r="GA34" i="14"/>
  <c r="GA50" i="14"/>
  <c r="GA19" i="14"/>
  <c r="GA51" i="14"/>
  <c r="GA36" i="14"/>
  <c r="GA24" i="14"/>
  <c r="GA41" i="14"/>
  <c r="GA52" i="14"/>
  <c r="GA26" i="14"/>
  <c r="GA35" i="14"/>
  <c r="GA42" i="14"/>
  <c r="GA39" i="14"/>
  <c r="GA43" i="14"/>
  <c r="GA55" i="14"/>
  <c r="GA44" i="14"/>
  <c r="GA47" i="14"/>
  <c r="GA54" i="14"/>
  <c r="GA29" i="14"/>
  <c r="GA22" i="14"/>
  <c r="GA6" i="14"/>
  <c r="GA53" i="14"/>
  <c r="GA45" i="14"/>
  <c r="GA14" i="14"/>
  <c r="GA15" i="14"/>
  <c r="GA21" i="14"/>
  <c r="GA13" i="14"/>
  <c r="GA30" i="14"/>
  <c r="GA38" i="14"/>
  <c r="GA46" i="14"/>
  <c r="GA37" i="14"/>
  <c r="FH11" i="14"/>
  <c r="FH12" i="14"/>
  <c r="FH18" i="14"/>
  <c r="FH20" i="14"/>
  <c r="FH8" i="14"/>
  <c r="FH9" i="14"/>
  <c r="FH36" i="14"/>
  <c r="FH41" i="14"/>
  <c r="FH10" i="14"/>
  <c r="FH27" i="14"/>
  <c r="FH28" i="14"/>
  <c r="FH52" i="14"/>
  <c r="FH42" i="14"/>
  <c r="FH40" i="14"/>
  <c r="FH43" i="14"/>
  <c r="FH55" i="14"/>
  <c r="FH44" i="14"/>
  <c r="FH47" i="14"/>
  <c r="FH31" i="14"/>
  <c r="FH32" i="14"/>
  <c r="FH48" i="14"/>
  <c r="FH39" i="14"/>
  <c r="FH15" i="14"/>
  <c r="FH19" i="14"/>
  <c r="FH33" i="14"/>
  <c r="FH34" i="14"/>
  <c r="FH49" i="14"/>
  <c r="FH25" i="14"/>
  <c r="FH16" i="14"/>
  <c r="FH17" i="14"/>
  <c r="FH24" i="14"/>
  <c r="FH35" i="14"/>
  <c r="FH50" i="14"/>
  <c r="FH26" i="14"/>
  <c r="FH51" i="14"/>
  <c r="FH7" i="14"/>
  <c r="FH23" i="14"/>
  <c r="FH21" i="14"/>
  <c r="FH22" i="14"/>
  <c r="FH30" i="14"/>
  <c r="FH14" i="14"/>
  <c r="FH6" i="14"/>
  <c r="FH53" i="14"/>
  <c r="FH45" i="14"/>
  <c r="FH37" i="14"/>
  <c r="FH13" i="14"/>
  <c r="FH38" i="14"/>
  <c r="FH46" i="14"/>
  <c r="FH29" i="14"/>
  <c r="FH54" i="14"/>
  <c r="FF20" i="14"/>
  <c r="FF21" i="14"/>
  <c r="FF25" i="14"/>
  <c r="FF8" i="14"/>
  <c r="FF9" i="14"/>
  <c r="FF10" i="14"/>
  <c r="FF16" i="14"/>
  <c r="FF29" i="14"/>
  <c r="FF12" i="14"/>
  <c r="FF11" i="14"/>
  <c r="FF24" i="14"/>
  <c r="FF39" i="14"/>
  <c r="FF18" i="14"/>
  <c r="FF40" i="14"/>
  <c r="FF43" i="14"/>
  <c r="FF55" i="14"/>
  <c r="FF36" i="14"/>
  <c r="FF37" i="14"/>
  <c r="FF44" i="14"/>
  <c r="FF45" i="14"/>
  <c r="FF47" i="14"/>
  <c r="FF42" i="14"/>
  <c r="FF31" i="14"/>
  <c r="FF48" i="14"/>
  <c r="FF13" i="14"/>
  <c r="FF32" i="14"/>
  <c r="FF33" i="14"/>
  <c r="FF41" i="14"/>
  <c r="FF49" i="14"/>
  <c r="FF17" i="14"/>
  <c r="FF19" i="14"/>
  <c r="FF34" i="14"/>
  <c r="FF35" i="14"/>
  <c r="FF50" i="14"/>
  <c r="FF23" i="14"/>
  <c r="FF51" i="14"/>
  <c r="FF54" i="14"/>
  <c r="FF28" i="14"/>
  <c r="FF26" i="14"/>
  <c r="FF27" i="14"/>
  <c r="FF52" i="14"/>
  <c r="FF53" i="14"/>
  <c r="FF15" i="14"/>
  <c r="FF6" i="14"/>
  <c r="FF7" i="14"/>
  <c r="FF22" i="14"/>
  <c r="FF30" i="14"/>
  <c r="FF14" i="14"/>
  <c r="FF38" i="14"/>
  <c r="FF46" i="14"/>
  <c r="FS8" i="14"/>
  <c r="FS9" i="14"/>
  <c r="FS10" i="14"/>
  <c r="FS28" i="14"/>
  <c r="FS33" i="14"/>
  <c r="FS11" i="14"/>
  <c r="FS16" i="14"/>
  <c r="FS12" i="14"/>
  <c r="FS17" i="14"/>
  <c r="FS18" i="14"/>
  <c r="FS49" i="14"/>
  <c r="FS7" i="14"/>
  <c r="FS36" i="14"/>
  <c r="FS50" i="14"/>
  <c r="FS27" i="14"/>
  <c r="FS39" i="14"/>
  <c r="FS20" i="14"/>
  <c r="FS40" i="14"/>
  <c r="FS51" i="14"/>
  <c r="FS26" i="14"/>
  <c r="FS19" i="14"/>
  <c r="FS31" i="14"/>
  <c r="FS52" i="14"/>
  <c r="FS32" i="14"/>
  <c r="FS34" i="14"/>
  <c r="FS42" i="14"/>
  <c r="FS48" i="14"/>
  <c r="FS23" i="14"/>
  <c r="FS41" i="14"/>
  <c r="FS43" i="14"/>
  <c r="FS55" i="14"/>
  <c r="FS24" i="14"/>
  <c r="FS25" i="14"/>
  <c r="FS35" i="14"/>
  <c r="FS44" i="14"/>
  <c r="FS47" i="14"/>
  <c r="FS29" i="14"/>
  <c r="FS54" i="14"/>
  <c r="FS30" i="14"/>
  <c r="FS46" i="14"/>
  <c r="FS22" i="14"/>
  <c r="FS53" i="14"/>
  <c r="FS45" i="14"/>
  <c r="FS14" i="14"/>
  <c r="FS21" i="14"/>
  <c r="FS38" i="14"/>
  <c r="FS6" i="14"/>
  <c r="FS37" i="14"/>
  <c r="FS15" i="14"/>
  <c r="FS13" i="14"/>
  <c r="FD8" i="14"/>
  <c r="FD26" i="14"/>
  <c r="FD9" i="14"/>
  <c r="FD10" i="14"/>
  <c r="FD11" i="14"/>
  <c r="FD16" i="14"/>
  <c r="FD33" i="14"/>
  <c r="FD17" i="14"/>
  <c r="FD20" i="14"/>
  <c r="FD27" i="14"/>
  <c r="FD35" i="14"/>
  <c r="FD40" i="14"/>
  <c r="FD44" i="14"/>
  <c r="FD47" i="14"/>
  <c r="FD43" i="14"/>
  <c r="FD48" i="14"/>
  <c r="FD32" i="14"/>
  <c r="FD41" i="14"/>
  <c r="FD49" i="14"/>
  <c r="FD55" i="14"/>
  <c r="FD19" i="14"/>
  <c r="FD34" i="14"/>
  <c r="FD50" i="14"/>
  <c r="FD23" i="14"/>
  <c r="FD51" i="14"/>
  <c r="FD12" i="14"/>
  <c r="FD24" i="14"/>
  <c r="FD25" i="14"/>
  <c r="FD39" i="14"/>
  <c r="FD52" i="14"/>
  <c r="FD28" i="14"/>
  <c r="FD36" i="14"/>
  <c r="FD42" i="14"/>
  <c r="FD18" i="14"/>
  <c r="FD13" i="14"/>
  <c r="FD38" i="14"/>
  <c r="FD29" i="14"/>
  <c r="FD15" i="14"/>
  <c r="FD37" i="14"/>
  <c r="FD31" i="14"/>
  <c r="FD46" i="14"/>
  <c r="FD53" i="14"/>
  <c r="FD45" i="14"/>
  <c r="FD54" i="14"/>
  <c r="FD22" i="14"/>
  <c r="FD30" i="14"/>
  <c r="FD14" i="14"/>
  <c r="FD21" i="14"/>
  <c r="FD7" i="14"/>
  <c r="FD6" i="14"/>
  <c r="GC8" i="14"/>
  <c r="GC26" i="14"/>
  <c r="GC9" i="14"/>
  <c r="GC10" i="14"/>
  <c r="GC11" i="14"/>
  <c r="GC16" i="14"/>
  <c r="GC12" i="14"/>
  <c r="GC18" i="14"/>
  <c r="GC20" i="14"/>
  <c r="GC24" i="14"/>
  <c r="GC35" i="14"/>
  <c r="GC40" i="14"/>
  <c r="GC36" i="14"/>
  <c r="GC44" i="14"/>
  <c r="GC47" i="14"/>
  <c r="GC19" i="14"/>
  <c r="GC48" i="14"/>
  <c r="GC43" i="14"/>
  <c r="GC32" i="14"/>
  <c r="GC33" i="14"/>
  <c r="GC49" i="14"/>
  <c r="GC6" i="14"/>
  <c r="GC34" i="14"/>
  <c r="GC50" i="14"/>
  <c r="GC23" i="14"/>
  <c r="GC51" i="14"/>
  <c r="GC53" i="14"/>
  <c r="GC55" i="14"/>
  <c r="GC25" i="14"/>
  <c r="GC27" i="14"/>
  <c r="GC41" i="14"/>
  <c r="GC52" i="14"/>
  <c r="GC39" i="14"/>
  <c r="GC17" i="14"/>
  <c r="GC28" i="14"/>
  <c r="GC42" i="14"/>
  <c r="GC45" i="14"/>
  <c r="GC13" i="14"/>
  <c r="GC7" i="14"/>
  <c r="GC46" i="14"/>
  <c r="GC54" i="14"/>
  <c r="GC22" i="14"/>
  <c r="GC30" i="14"/>
  <c r="GC14" i="14"/>
  <c r="GC37" i="14"/>
  <c r="GC29" i="14"/>
  <c r="GC31" i="14"/>
  <c r="GC15" i="14"/>
  <c r="GC21" i="14"/>
  <c r="GC38" i="14"/>
  <c r="FE40" i="14"/>
  <c r="FE18" i="14"/>
  <c r="FE33" i="14"/>
  <c r="FE47" i="14"/>
  <c r="FE51" i="14"/>
  <c r="FE12" i="14"/>
  <c r="FE27" i="14"/>
  <c r="FE42" i="14"/>
  <c r="FE7" i="14"/>
  <c r="FE11" i="14"/>
  <c r="FE26" i="14"/>
  <c r="FE41" i="14"/>
  <c r="FE8" i="14"/>
  <c r="FE20" i="14"/>
  <c r="FE49" i="14"/>
  <c r="FE15" i="14"/>
  <c r="FE19" i="14"/>
  <c r="FE34" i="14"/>
  <c r="FE48" i="14"/>
  <c r="FE52" i="14"/>
  <c r="FE23" i="14"/>
  <c r="FE16" i="14"/>
  <c r="FE31" i="14"/>
  <c r="FE35" i="14"/>
  <c r="FE9" i="14"/>
  <c r="FE24" i="14"/>
  <c r="FE28" i="14"/>
  <c r="FE39" i="14"/>
  <c r="FE43" i="14"/>
  <c r="FE55" i="14"/>
  <c r="FE17" i="14"/>
  <c r="FE32" i="14"/>
  <c r="FE36" i="14"/>
  <c r="FE6" i="14"/>
  <c r="FE10" i="14"/>
  <c r="FE50" i="14"/>
  <c r="FE25" i="14"/>
  <c r="FE44" i="14"/>
  <c r="FE54" i="14"/>
  <c r="FE22" i="14"/>
  <c r="FE21" i="14"/>
  <c r="FE14" i="14"/>
  <c r="FE13" i="14"/>
  <c r="FE53" i="14"/>
  <c r="FE45" i="14"/>
  <c r="FE37" i="14"/>
  <c r="FE38" i="14"/>
  <c r="FE46" i="14"/>
  <c r="FE29" i="14"/>
  <c r="FE30" i="14"/>
  <c r="GD8" i="14"/>
  <c r="GD19" i="14"/>
  <c r="GD33" i="14"/>
  <c r="GD44" i="14"/>
  <c r="GD11" i="14"/>
  <c r="GD25" i="14"/>
  <c r="GD36" i="14"/>
  <c r="GD39" i="14"/>
  <c r="GD49" i="14"/>
  <c r="GD6" i="14"/>
  <c r="GD17" i="14"/>
  <c r="GD28" i="14"/>
  <c r="GD31" i="14"/>
  <c r="GD42" i="14"/>
  <c r="GD52" i="14"/>
  <c r="GD53" i="14"/>
  <c r="GD9" i="14"/>
  <c r="GD20" i="14"/>
  <c r="GD23" i="14"/>
  <c r="GD34" i="14"/>
  <c r="GD47" i="14"/>
  <c r="GD12" i="14"/>
  <c r="GD15" i="14"/>
  <c r="GD26" i="14"/>
  <c r="GD40" i="14"/>
  <c r="GD50" i="14"/>
  <c r="GD7" i="14"/>
  <c r="GD18" i="14"/>
  <c r="GD32" i="14"/>
  <c r="GD43" i="14"/>
  <c r="GD10" i="14"/>
  <c r="GD24" i="14"/>
  <c r="GD35" i="14"/>
  <c r="GD48" i="14"/>
  <c r="GD16" i="14"/>
  <c r="GD27" i="14"/>
  <c r="GD41" i="14"/>
  <c r="GD45" i="14"/>
  <c r="GD51" i="14"/>
  <c r="GD55" i="14"/>
  <c r="GD21" i="14"/>
  <c r="GD13" i="14"/>
  <c r="GD54" i="14"/>
  <c r="GD38" i="14"/>
  <c r="GD46" i="14"/>
  <c r="GD14" i="14"/>
  <c r="GD22" i="14"/>
  <c r="GD30" i="14"/>
  <c r="GD37" i="14"/>
  <c r="GD29" i="14"/>
  <c r="E5"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A109" i="14"/>
  <c r="AA110" i="14"/>
  <c r="AA111" i="14"/>
  <c r="AA61" i="14"/>
  <c r="S22" i="14"/>
  <c r="X22" i="14" s="1"/>
  <c r="S23" i="14"/>
  <c r="X23" i="14" s="1"/>
  <c r="S24" i="14"/>
  <c r="X24" i="14" s="1"/>
  <c r="S25" i="14"/>
  <c r="X25" i="14" s="1"/>
  <c r="S21" i="14"/>
  <c r="X21" i="14" s="1"/>
  <c r="W36" i="14"/>
  <c r="X36" i="14" s="1"/>
  <c r="W35" i="14"/>
  <c r="X35" i="14" s="1"/>
  <c r="W34" i="14"/>
  <c r="X34" i="14" s="1"/>
  <c r="W33" i="14"/>
  <c r="X33" i="14" s="1"/>
  <c r="W32" i="14"/>
  <c r="X32" i="14" s="1"/>
  <c r="X31" i="14"/>
  <c r="X30" i="14"/>
  <c r="X29" i="14"/>
  <c r="X20" i="14"/>
  <c r="X19" i="14"/>
  <c r="X18" i="14"/>
  <c r="AA14" i="14"/>
  <c r="AA15" i="14"/>
  <c r="AA16" i="14"/>
  <c r="AA17" i="14"/>
  <c r="AA18" i="14"/>
  <c r="AA19"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E98" i="6"/>
  <c r="AE99" i="6"/>
  <c r="AE100" i="6"/>
  <c r="AE101" i="6"/>
  <c r="AE102" i="6"/>
  <c r="AE103" i="6"/>
  <c r="AE104" i="6"/>
  <c r="AE97" i="6"/>
  <c r="J127" i="6"/>
  <c r="J131" i="6"/>
  <c r="J133" i="6"/>
  <c r="J134" i="6"/>
  <c r="J137" i="6"/>
  <c r="J147" i="6"/>
  <c r="J149" i="6"/>
  <c r="J158" i="6"/>
  <c r="I114" i="6"/>
  <c r="I115" i="6"/>
  <c r="J115" i="6" s="1"/>
  <c r="I116" i="6"/>
  <c r="I117" i="6"/>
  <c r="J117" i="6" s="1"/>
  <c r="I118" i="6"/>
  <c r="I119" i="6"/>
  <c r="J119" i="6" s="1"/>
  <c r="I120" i="6"/>
  <c r="I121" i="6"/>
  <c r="J121" i="6" s="1"/>
  <c r="I122" i="6"/>
  <c r="I123" i="6"/>
  <c r="I124" i="6"/>
  <c r="I125" i="6"/>
  <c r="J125" i="6" s="1"/>
  <c r="I126" i="6"/>
  <c r="J126" i="6" s="1"/>
  <c r="I127" i="6"/>
  <c r="I128" i="6"/>
  <c r="I129" i="6"/>
  <c r="J129" i="6" s="1"/>
  <c r="I130" i="6"/>
  <c r="I131" i="6"/>
  <c r="I132" i="6"/>
  <c r="I133" i="6"/>
  <c r="I134" i="6"/>
  <c r="I135" i="6"/>
  <c r="J135" i="6" s="1"/>
  <c r="I136" i="6"/>
  <c r="I137" i="6"/>
  <c r="I138" i="6"/>
  <c r="I139" i="6"/>
  <c r="J139" i="6" s="1"/>
  <c r="I140" i="6"/>
  <c r="I141" i="6"/>
  <c r="J141" i="6" s="1"/>
  <c r="I142" i="6"/>
  <c r="J142" i="6" s="1"/>
  <c r="I143" i="6"/>
  <c r="J143" i="6" s="1"/>
  <c r="I144" i="6"/>
  <c r="I145" i="6"/>
  <c r="J145" i="6" s="1"/>
  <c r="I146" i="6"/>
  <c r="I147" i="6"/>
  <c r="I148" i="6"/>
  <c r="I149" i="6"/>
  <c r="I150" i="6"/>
  <c r="J150" i="6" s="1"/>
  <c r="I151" i="6"/>
  <c r="J151" i="6" s="1"/>
  <c r="I152" i="6"/>
  <c r="I153" i="6"/>
  <c r="J153" i="6" s="1"/>
  <c r="I154" i="6"/>
  <c r="I155" i="6"/>
  <c r="I156" i="6"/>
  <c r="I157" i="6"/>
  <c r="J157" i="6" s="1"/>
  <c r="I158" i="6"/>
  <c r="I159" i="6"/>
  <c r="I160" i="6"/>
  <c r="I161" i="6"/>
  <c r="J161" i="6" s="1"/>
  <c r="I162" i="6"/>
  <c r="I113" i="6"/>
  <c r="J163" i="6"/>
  <c r="I163" i="6"/>
  <c r="R164" i="6" s="1"/>
  <c r="C118" i="5"/>
  <c r="C119" i="5" s="1"/>
  <c r="E118" i="5"/>
  <c r="E119" i="5" s="1"/>
  <c r="F118" i="5"/>
  <c r="F119" i="5" s="1"/>
  <c r="G118" i="5"/>
  <c r="G119" i="5" s="1"/>
  <c r="H118" i="5"/>
  <c r="H119" i="5" s="1"/>
  <c r="I118" i="5"/>
  <c r="I119" i="5" s="1"/>
  <c r="J118" i="5"/>
  <c r="J119" i="5" s="1"/>
  <c r="K118" i="5"/>
  <c r="K119" i="5" s="1"/>
  <c r="L118" i="5"/>
  <c r="L119" i="5" s="1"/>
  <c r="M118" i="5"/>
  <c r="M119" i="5" s="1"/>
  <c r="N118" i="5"/>
  <c r="N119" i="5" s="1"/>
  <c r="O118" i="5"/>
  <c r="O119" i="5" s="1"/>
  <c r="P118" i="5"/>
  <c r="P119" i="5" s="1"/>
  <c r="Q118" i="5"/>
  <c r="Q119" i="5" s="1"/>
  <c r="R118" i="5"/>
  <c r="R119" i="5" s="1"/>
  <c r="S118" i="5"/>
  <c r="S119" i="5" s="1"/>
  <c r="T118" i="5"/>
  <c r="T119" i="5" s="1"/>
  <c r="U118" i="5"/>
  <c r="U119" i="5" s="1"/>
  <c r="V118" i="5"/>
  <c r="V119" i="5" s="1"/>
  <c r="W118" i="5"/>
  <c r="W119" i="5" s="1"/>
  <c r="X118" i="5"/>
  <c r="X119" i="5" s="1"/>
  <c r="Y118" i="5"/>
  <c r="Y119" i="5" s="1"/>
  <c r="Z118" i="5"/>
  <c r="Z119" i="5" s="1"/>
  <c r="AA118" i="5"/>
  <c r="AA119" i="5" s="1"/>
  <c r="D118" i="5"/>
  <c r="D119" i="5" s="1"/>
  <c r="AI164" i="6" l="1"/>
  <c r="AA164" i="6"/>
  <c r="Y164" i="6"/>
  <c r="Y145" i="6" s="1"/>
  <c r="Q164" i="6"/>
  <c r="Q141" i="6" s="1"/>
  <c r="Y120" i="6"/>
  <c r="BN52" i="14"/>
  <c r="CS107" i="14"/>
  <c r="BN44" i="14"/>
  <c r="CS99" i="14"/>
  <c r="BN36" i="14"/>
  <c r="CS91" i="14"/>
  <c r="BN28" i="14"/>
  <c r="CS83" i="14"/>
  <c r="BN20" i="14"/>
  <c r="CS75" i="14"/>
  <c r="AI112" i="14"/>
  <c r="AI84" i="14" s="1"/>
  <c r="DT112" i="14"/>
  <c r="DT109" i="14" s="1"/>
  <c r="DL112" i="14"/>
  <c r="DL109" i="14" s="1"/>
  <c r="DD112" i="14"/>
  <c r="DD103" i="14" s="1"/>
  <c r="CV112" i="14"/>
  <c r="CV95" i="14" s="1"/>
  <c r="DQ112" i="14"/>
  <c r="DQ62" i="14" s="1"/>
  <c r="DI112" i="14"/>
  <c r="DI102" i="14" s="1"/>
  <c r="DA112" i="14"/>
  <c r="DA102" i="14" s="1"/>
  <c r="DP112" i="14"/>
  <c r="DP109" i="14" s="1"/>
  <c r="DH112" i="14"/>
  <c r="DH109" i="14" s="1"/>
  <c r="CZ112" i="14"/>
  <c r="CZ109" i="14" s="1"/>
  <c r="DN112" i="14"/>
  <c r="DN107" i="14" s="1"/>
  <c r="DF112" i="14"/>
  <c r="DF109" i="14" s="1"/>
  <c r="CX112" i="14"/>
  <c r="CX87" i="14" s="1"/>
  <c r="DR112" i="14"/>
  <c r="DR109" i="14" s="1"/>
  <c r="DB112" i="14"/>
  <c r="DB105" i="14" s="1"/>
  <c r="DO112" i="14"/>
  <c r="DO98" i="14" s="1"/>
  <c r="CY112" i="14"/>
  <c r="CY95" i="14" s="1"/>
  <c r="DM112" i="14"/>
  <c r="DM109" i="14" s="1"/>
  <c r="CW112" i="14"/>
  <c r="CW106" i="14" s="1"/>
  <c r="DJ112" i="14"/>
  <c r="DJ99" i="14" s="1"/>
  <c r="DG112" i="14"/>
  <c r="DG102" i="14" s="1"/>
  <c r="DE112" i="14"/>
  <c r="DE106" i="14" s="1"/>
  <c r="DC112" i="14"/>
  <c r="DC109" i="14" s="1"/>
  <c r="CU112" i="14"/>
  <c r="CU103" i="14" s="1"/>
  <c r="DS112" i="14"/>
  <c r="DS105" i="14" s="1"/>
  <c r="DK112" i="14"/>
  <c r="DK107" i="14" s="1"/>
  <c r="CV103" i="14"/>
  <c r="DF103" i="14"/>
  <c r="DK103" i="14"/>
  <c r="CY103" i="14"/>
  <c r="DM103" i="14"/>
  <c r="DB103" i="14"/>
  <c r="CZ103" i="14"/>
  <c r="DL103" i="14"/>
  <c r="DG103" i="14"/>
  <c r="DA95" i="14"/>
  <c r="DM95" i="14"/>
  <c r="DJ95" i="14"/>
  <c r="DL95" i="14"/>
  <c r="DF95" i="14"/>
  <c r="DD95" i="14"/>
  <c r="DN87" i="14"/>
  <c r="DE87" i="14"/>
  <c r="DT87" i="14"/>
  <c r="DA87" i="14"/>
  <c r="DK87" i="14"/>
  <c r="CV87" i="14"/>
  <c r="DJ87" i="14"/>
  <c r="DL87" i="14"/>
  <c r="DF87" i="14"/>
  <c r="CY87" i="14"/>
  <c r="DM87" i="14"/>
  <c r="CZ87" i="14"/>
  <c r="DA79" i="14"/>
  <c r="DK79" i="14"/>
  <c r="DF79" i="14"/>
  <c r="DL79" i="14"/>
  <c r="CV79" i="14"/>
  <c r="DE79" i="14"/>
  <c r="DB79" i="14"/>
  <c r="DJ79" i="14"/>
  <c r="CZ71" i="14"/>
  <c r="DG71" i="14"/>
  <c r="CY71" i="14"/>
  <c r="DF71" i="14"/>
  <c r="DA71" i="14"/>
  <c r="CV71" i="14"/>
  <c r="DC71" i="14"/>
  <c r="DH71" i="14"/>
  <c r="DJ71" i="14"/>
  <c r="DM71" i="14"/>
  <c r="DP71" i="14"/>
  <c r="CV63" i="14"/>
  <c r="DF63" i="14"/>
  <c r="DP63" i="14"/>
  <c r="DC63" i="14"/>
  <c r="DK63" i="14"/>
  <c r="DI63" i="14"/>
  <c r="DS63" i="14"/>
  <c r="DT63" i="14"/>
  <c r="DB63" i="14"/>
  <c r="DM63" i="14"/>
  <c r="DJ63" i="14"/>
  <c r="BN51" i="14"/>
  <c r="CS106" i="14"/>
  <c r="BN43" i="14"/>
  <c r="CS98" i="14"/>
  <c r="BN35" i="14"/>
  <c r="CS90" i="14"/>
  <c r="BN27" i="14"/>
  <c r="CS82" i="14"/>
  <c r="BN19" i="14"/>
  <c r="CS74" i="14"/>
  <c r="DF110" i="14"/>
  <c r="DG110" i="14"/>
  <c r="CY110" i="14"/>
  <c r="DC110" i="14"/>
  <c r="CV110" i="14"/>
  <c r="DM110" i="14"/>
  <c r="CZ110" i="14"/>
  <c r="DB110" i="14"/>
  <c r="DD110" i="14"/>
  <c r="DJ110" i="14"/>
  <c r="DQ102" i="14"/>
  <c r="DM102" i="14"/>
  <c r="DN102" i="14"/>
  <c r="DF102" i="14"/>
  <c r="DH102" i="14"/>
  <c r="CZ102" i="14"/>
  <c r="DJ102" i="14"/>
  <c r="DB102" i="14"/>
  <c r="DS102" i="14"/>
  <c r="DO102" i="14"/>
  <c r="DK102" i="14"/>
  <c r="CV102" i="14"/>
  <c r="DG94" i="14"/>
  <c r="DF94" i="14"/>
  <c r="CW94" i="14"/>
  <c r="DA94" i="14"/>
  <c r="CX94" i="14"/>
  <c r="DK94" i="14"/>
  <c r="DO94" i="14"/>
  <c r="CV94" i="14"/>
  <c r="DR94" i="14"/>
  <c r="CZ94" i="14"/>
  <c r="DJ94" i="14"/>
  <c r="DE94" i="14"/>
  <c r="DB94" i="14"/>
  <c r="DH86" i="14"/>
  <c r="DF86" i="14"/>
  <c r="DN86" i="14"/>
  <c r="DG86" i="14"/>
  <c r="DA86" i="14"/>
  <c r="DJ86" i="14"/>
  <c r="CZ86" i="14"/>
  <c r="DS86" i="14"/>
  <c r="DK86" i="14"/>
  <c r="CV86" i="14"/>
  <c r="CV78" i="14"/>
  <c r="DS78" i="14"/>
  <c r="DG78" i="14"/>
  <c r="DN78" i="14"/>
  <c r="DL78" i="14"/>
  <c r="DK78" i="14"/>
  <c r="DA78" i="14"/>
  <c r="DF78" i="14"/>
  <c r="CW78" i="14"/>
  <c r="DE78" i="14"/>
  <c r="DH78" i="14"/>
  <c r="CZ78" i="14"/>
  <c r="DJ78" i="14"/>
  <c r="DB78" i="14"/>
  <c r="DJ70" i="14"/>
  <c r="DQ70" i="14"/>
  <c r="DG70" i="14"/>
  <c r="DL70" i="14"/>
  <c r="CV70" i="14"/>
  <c r="DF70" i="14"/>
  <c r="DC70" i="14"/>
  <c r="DM70" i="14"/>
  <c r="DL62" i="14"/>
  <c r="CY62" i="14"/>
  <c r="DI62" i="14"/>
  <c r="DF62" i="14"/>
  <c r="DC62" i="14"/>
  <c r="DR62" i="14"/>
  <c r="CW62" i="14"/>
  <c r="CU62" i="14"/>
  <c r="DN62" i="14"/>
  <c r="CV62" i="14"/>
  <c r="DB62" i="14"/>
  <c r="DJ62" i="14"/>
  <c r="CZ62" i="14"/>
  <c r="DM62" i="14"/>
  <c r="DH62" i="14"/>
  <c r="BN50" i="14"/>
  <c r="CS105" i="14"/>
  <c r="BN42" i="14"/>
  <c r="CS97" i="14"/>
  <c r="BN34" i="14"/>
  <c r="CS89" i="14"/>
  <c r="BN26" i="14"/>
  <c r="CS81" i="14"/>
  <c r="BN18" i="14"/>
  <c r="CS73" i="14"/>
  <c r="CW109" i="14"/>
  <c r="CV109" i="14"/>
  <c r="DG109" i="14"/>
  <c r="DI109" i="14"/>
  <c r="DJ109" i="14"/>
  <c r="DQ109" i="14"/>
  <c r="DF101" i="14"/>
  <c r="DB101" i="14"/>
  <c r="CV101" i="14"/>
  <c r="DG101" i="14"/>
  <c r="DT101" i="14"/>
  <c r="DL101" i="14"/>
  <c r="DM101" i="14"/>
  <c r="DO101" i="14"/>
  <c r="DJ101" i="14"/>
  <c r="DA101" i="14"/>
  <c r="CZ101" i="14"/>
  <c r="DJ93" i="14"/>
  <c r="CX93" i="14"/>
  <c r="CW93" i="14"/>
  <c r="CV93" i="14"/>
  <c r="DG93" i="14"/>
  <c r="DF93" i="14"/>
  <c r="DL93" i="14"/>
  <c r="DM93" i="14"/>
  <c r="CZ93" i="14"/>
  <c r="DD93" i="14"/>
  <c r="DL85" i="14"/>
  <c r="DA85" i="14"/>
  <c r="DK85" i="14"/>
  <c r="CY85" i="14"/>
  <c r="CX85" i="14"/>
  <c r="CV85" i="14"/>
  <c r="DF85" i="14"/>
  <c r="DP85" i="14"/>
  <c r="DC85" i="14"/>
  <c r="DJ85" i="14"/>
  <c r="CZ85" i="14"/>
  <c r="DE85" i="14"/>
  <c r="DK77" i="14"/>
  <c r="DA77" i="14"/>
  <c r="DT77" i="14"/>
  <c r="DG77" i="14"/>
  <c r="DF77" i="14"/>
  <c r="DL77" i="14"/>
  <c r="CW77" i="14"/>
  <c r="DO77" i="14"/>
  <c r="DJ77" i="14"/>
  <c r="CV77" i="14"/>
  <c r="DM77" i="14"/>
  <c r="DP77" i="14"/>
  <c r="CZ77" i="14"/>
  <c r="DB77" i="14"/>
  <c r="DF69" i="14"/>
  <c r="CV69" i="14"/>
  <c r="DQ69" i="14"/>
  <c r="DB69" i="14"/>
  <c r="DA69" i="14"/>
  <c r="CY69" i="14"/>
  <c r="DL69" i="14"/>
  <c r="DK69" i="14"/>
  <c r="DJ69" i="14"/>
  <c r="CX69" i="14"/>
  <c r="CZ69" i="14"/>
  <c r="DM69" i="14"/>
  <c r="DH69" i="14"/>
  <c r="BN25" i="14"/>
  <c r="CS80" i="14"/>
  <c r="BN55" i="14"/>
  <c r="CS110" i="14"/>
  <c r="BN47" i="14"/>
  <c r="CS102" i="14"/>
  <c r="BN39" i="14"/>
  <c r="CS94" i="14"/>
  <c r="BN31" i="14"/>
  <c r="CS86" i="14"/>
  <c r="BN23" i="14"/>
  <c r="CS78" i="14"/>
  <c r="BN15" i="14"/>
  <c r="CS70" i="14"/>
  <c r="DN106" i="14"/>
  <c r="DF106" i="14"/>
  <c r="CY106" i="14"/>
  <c r="DP106" i="14"/>
  <c r="DK106" i="14"/>
  <c r="CV106" i="14"/>
  <c r="CZ106" i="14"/>
  <c r="DO106" i="14"/>
  <c r="DJ106" i="14"/>
  <c r="DL106" i="14"/>
  <c r="DF98" i="14"/>
  <c r="DA98" i="14"/>
  <c r="CW98" i="14"/>
  <c r="CU98" i="14"/>
  <c r="DR98" i="14"/>
  <c r="DP98" i="14"/>
  <c r="DJ98" i="14"/>
  <c r="DL98" i="14"/>
  <c r="DH98" i="14"/>
  <c r="DM98" i="14"/>
  <c r="DB98" i="14"/>
  <c r="DK98" i="14"/>
  <c r="CV98" i="14"/>
  <c r="DD98" i="14"/>
  <c r="DN90" i="14"/>
  <c r="DF90" i="14"/>
  <c r="CZ90" i="14"/>
  <c r="DM90" i="14"/>
  <c r="DS90" i="14"/>
  <c r="DK90" i="14"/>
  <c r="DE90" i="14"/>
  <c r="DC90" i="14"/>
  <c r="CV90" i="14"/>
  <c r="DT90" i="14"/>
  <c r="CU90" i="14"/>
  <c r="DJ90" i="14"/>
  <c r="DL90" i="14"/>
  <c r="DP90" i="14"/>
  <c r="CV82" i="14"/>
  <c r="DI82" i="14"/>
  <c r="DF82" i="14"/>
  <c r="DA82" i="14"/>
  <c r="DM82" i="14"/>
  <c r="DO82" i="14"/>
  <c r="DT82" i="14"/>
  <c r="DJ82" i="14"/>
  <c r="DL82" i="14"/>
  <c r="DB82" i="14"/>
  <c r="DK82" i="14"/>
  <c r="DF74" i="14"/>
  <c r="CZ74" i="14"/>
  <c r="CY74" i="14"/>
  <c r="DK74" i="14"/>
  <c r="DJ74" i="14"/>
  <c r="CV74" i="14"/>
  <c r="DC74" i="14"/>
  <c r="CX74" i="14"/>
  <c r="DH74" i="14"/>
  <c r="DM74" i="14"/>
  <c r="DA66" i="14"/>
  <c r="CY66" i="14"/>
  <c r="DL66" i="14"/>
  <c r="DF66" i="14"/>
  <c r="DC66" i="14"/>
  <c r="CV66" i="14"/>
  <c r="DK66" i="14"/>
  <c r="DI66" i="14"/>
  <c r="DH66" i="14"/>
  <c r="DP66" i="14"/>
  <c r="CZ66" i="14"/>
  <c r="DJ66" i="14"/>
  <c r="BN49" i="14"/>
  <c r="CS104" i="14"/>
  <c r="BN41" i="14"/>
  <c r="CS96" i="14"/>
  <c r="BN33" i="14"/>
  <c r="CS88" i="14"/>
  <c r="BN17" i="14"/>
  <c r="CS72" i="14"/>
  <c r="BN54" i="14"/>
  <c r="CS109" i="14"/>
  <c r="BN46" i="14"/>
  <c r="CS101" i="14"/>
  <c r="BN38" i="14"/>
  <c r="CS93" i="14"/>
  <c r="BN30" i="14"/>
  <c r="CS85" i="14"/>
  <c r="BN22" i="14"/>
  <c r="CS77" i="14"/>
  <c r="BN14" i="14"/>
  <c r="CS69" i="14"/>
  <c r="CV105" i="14"/>
  <c r="DL105" i="14"/>
  <c r="CY105" i="14"/>
  <c r="CX105" i="14"/>
  <c r="DF105" i="14"/>
  <c r="DJ105" i="14"/>
  <c r="DQ105" i="14"/>
  <c r="DT105" i="14"/>
  <c r="CZ105" i="14"/>
  <c r="DH105" i="14"/>
  <c r="DK105" i="14"/>
  <c r="DM105" i="14"/>
  <c r="DK97" i="14"/>
  <c r="CV97" i="14"/>
  <c r="DF97" i="14"/>
  <c r="CW97" i="14"/>
  <c r="DJ97" i="14"/>
  <c r="CU97" i="14"/>
  <c r="DA97" i="14"/>
  <c r="DC97" i="14"/>
  <c r="DS97" i="14"/>
  <c r="CZ97" i="14"/>
  <c r="DH97" i="14"/>
  <c r="DG97" i="14"/>
  <c r="DL97" i="14"/>
  <c r="DP97" i="14"/>
  <c r="DM97" i="14"/>
  <c r="DT89" i="14"/>
  <c r="DF89" i="14"/>
  <c r="CU89" i="14"/>
  <c r="DK89" i="14"/>
  <c r="DG89" i="14"/>
  <c r="DN89" i="14"/>
  <c r="CV89" i="14"/>
  <c r="DB89" i="14"/>
  <c r="CZ89" i="14"/>
  <c r="DJ89" i="14"/>
  <c r="DM89" i="14"/>
  <c r="DL89" i="14"/>
  <c r="DP89" i="14"/>
  <c r="DL81" i="14"/>
  <c r="DK81" i="14"/>
  <c r="DA81" i="14"/>
  <c r="DN81" i="14"/>
  <c r="DM81" i="14"/>
  <c r="CW81" i="14"/>
  <c r="CU81" i="14"/>
  <c r="DJ81" i="14"/>
  <c r="DF81" i="14"/>
  <c r="CV81" i="14"/>
  <c r="DT81" i="14"/>
  <c r="CZ81" i="14"/>
  <c r="DO81" i="14"/>
  <c r="DK73" i="14"/>
  <c r="CX73" i="14"/>
  <c r="DQ73" i="14"/>
  <c r="DO73" i="14"/>
  <c r="DL73" i="14"/>
  <c r="CV73" i="14"/>
  <c r="CU73" i="14"/>
  <c r="DF73" i="14"/>
  <c r="DC73" i="14"/>
  <c r="CZ73" i="14"/>
  <c r="DJ73" i="14"/>
  <c r="DM73" i="14"/>
  <c r="DG65" i="14"/>
  <c r="DQ65" i="14"/>
  <c r="DF65" i="14"/>
  <c r="DL65" i="14"/>
  <c r="CV65" i="14"/>
  <c r="DK65" i="14"/>
  <c r="DJ65" i="14"/>
  <c r="DT65" i="14"/>
  <c r="DN65" i="14"/>
  <c r="CZ65" i="14"/>
  <c r="DM65" i="14"/>
  <c r="DN108" i="14"/>
  <c r="DQ108" i="14"/>
  <c r="DA108" i="14"/>
  <c r="DF108" i="14"/>
  <c r="CZ108" i="14"/>
  <c r="DK108" i="14"/>
  <c r="DC108" i="14"/>
  <c r="CV108" i="14"/>
  <c r="DM108" i="14"/>
  <c r="DL108" i="14"/>
  <c r="DB108" i="14"/>
  <c r="DJ108" i="14"/>
  <c r="DT108" i="14"/>
  <c r="DA100" i="14"/>
  <c r="DP100" i="14"/>
  <c r="DF100" i="14"/>
  <c r="DJ100" i="14"/>
  <c r="DL100" i="14"/>
  <c r="DH100" i="14"/>
  <c r="DM100" i="14"/>
  <c r="DO100" i="14"/>
  <c r="DB100" i="14"/>
  <c r="CZ100" i="14"/>
  <c r="DS100" i="14"/>
  <c r="CV100" i="14"/>
  <c r="DK100" i="14"/>
  <c r="DP92" i="14"/>
  <c r="DO92" i="14"/>
  <c r="DF92" i="14"/>
  <c r="CW92" i="14"/>
  <c r="DQ92" i="14"/>
  <c r="DN92" i="14"/>
  <c r="CZ92" i="14"/>
  <c r="DK92" i="14"/>
  <c r="DC92" i="14"/>
  <c r="CV92" i="14"/>
  <c r="CU92" i="14"/>
  <c r="DM92" i="14"/>
  <c r="DJ92" i="14"/>
  <c r="DL92" i="14"/>
  <c r="DB92" i="14"/>
  <c r="DN84" i="14"/>
  <c r="DF84" i="14"/>
  <c r="CW84" i="14"/>
  <c r="DP84" i="14"/>
  <c r="DM84" i="14"/>
  <c r="DJ84" i="14"/>
  <c r="DL84" i="14"/>
  <c r="DS84" i="14"/>
  <c r="DK84" i="14"/>
  <c r="CV84" i="14"/>
  <c r="CZ84" i="14"/>
  <c r="DG76" i="14"/>
  <c r="CU76" i="14"/>
  <c r="DC76" i="14"/>
  <c r="DF76" i="14"/>
  <c r="DL76" i="14"/>
  <c r="DK76" i="14"/>
  <c r="CV76" i="14"/>
  <c r="DN76" i="14"/>
  <c r="DJ76" i="14"/>
  <c r="CX76" i="14"/>
  <c r="DO76" i="14"/>
  <c r="DB76" i="14"/>
  <c r="DH76" i="14"/>
  <c r="DM76" i="14"/>
  <c r="CZ76" i="14"/>
  <c r="DE76" i="14"/>
  <c r="DM68" i="14"/>
  <c r="DB68" i="14"/>
  <c r="DL68" i="14"/>
  <c r="DK68" i="14"/>
  <c r="DS68" i="14"/>
  <c r="DC68" i="14"/>
  <c r="CX68" i="14"/>
  <c r="CV68" i="14"/>
  <c r="DJ68" i="14"/>
  <c r="CU68" i="14"/>
  <c r="DT68" i="14"/>
  <c r="DF68" i="14"/>
  <c r="DO68" i="14"/>
  <c r="CZ68" i="14"/>
  <c r="BN48" i="14"/>
  <c r="CS103" i="14"/>
  <c r="BN40" i="14"/>
  <c r="CS95" i="14"/>
  <c r="BN32" i="14"/>
  <c r="CS87" i="14"/>
  <c r="BN24" i="14"/>
  <c r="CS79" i="14"/>
  <c r="BN16" i="14"/>
  <c r="CS71" i="14"/>
  <c r="DJ107" i="14"/>
  <c r="CY107" i="14"/>
  <c r="CX107" i="14"/>
  <c r="CV107" i="14"/>
  <c r="CW107" i="14"/>
  <c r="DF107" i="14"/>
  <c r="CU107" i="14"/>
  <c r="CZ107" i="14"/>
  <c r="DG107" i="14"/>
  <c r="DA107" i="14"/>
  <c r="DL107" i="14"/>
  <c r="DM107" i="14"/>
  <c r="CY99" i="14"/>
  <c r="DR99" i="14"/>
  <c r="DM99" i="14"/>
  <c r="CV99" i="14"/>
  <c r="DF99" i="14"/>
  <c r="CU99" i="14"/>
  <c r="DL99" i="14"/>
  <c r="DO99" i="14"/>
  <c r="DK99" i="14"/>
  <c r="CZ99" i="14"/>
  <c r="DP99" i="14"/>
  <c r="DA91" i="14"/>
  <c r="DK91" i="14"/>
  <c r="DH91" i="14"/>
  <c r="DG91" i="14"/>
  <c r="DF91" i="14"/>
  <c r="DC91" i="14"/>
  <c r="CV91" i="14"/>
  <c r="DP91" i="14"/>
  <c r="DI91" i="14"/>
  <c r="DB91" i="14"/>
  <c r="CU91" i="14"/>
  <c r="DL91" i="14"/>
  <c r="DM91" i="14"/>
  <c r="CZ91" i="14"/>
  <c r="DO91" i="14"/>
  <c r="DJ91" i="14"/>
  <c r="DD91" i="14"/>
  <c r="DJ83" i="14"/>
  <c r="CV83" i="14"/>
  <c r="DF83" i="14"/>
  <c r="DN83" i="14"/>
  <c r="DL83" i="14"/>
  <c r="DK83" i="14"/>
  <c r="DO83" i="14"/>
  <c r="CZ83" i="14"/>
  <c r="DB83" i="14"/>
  <c r="DM83" i="14"/>
  <c r="DJ75" i="14"/>
  <c r="CY75" i="14"/>
  <c r="CZ75" i="14"/>
  <c r="DL75" i="14"/>
  <c r="CX75" i="14"/>
  <c r="DG75" i="14"/>
  <c r="DF75" i="14"/>
  <c r="CV75" i="14"/>
  <c r="CU75" i="14"/>
  <c r="DR75" i="14"/>
  <c r="DK75" i="14"/>
  <c r="DM75" i="14"/>
  <c r="DB75" i="14"/>
  <c r="DO75" i="14"/>
  <c r="DQ67" i="14"/>
  <c r="DF67" i="14"/>
  <c r="CV67" i="14"/>
  <c r="DL67" i="14"/>
  <c r="DK67" i="14"/>
  <c r="DJ67" i="14"/>
  <c r="DC67" i="14"/>
  <c r="DA67" i="14"/>
  <c r="DT67" i="14"/>
  <c r="DM67" i="14"/>
  <c r="DP67" i="14"/>
  <c r="DE67" i="14"/>
  <c r="CZ67" i="14"/>
  <c r="BN53" i="14"/>
  <c r="CS108" i="14"/>
  <c r="BN45" i="14"/>
  <c r="CS100" i="14"/>
  <c r="BN37" i="14"/>
  <c r="CS92" i="14"/>
  <c r="BN29" i="14"/>
  <c r="CS84" i="14"/>
  <c r="BN21" i="14"/>
  <c r="CS76" i="14"/>
  <c r="DF61" i="14"/>
  <c r="CV61" i="14"/>
  <c r="DA61" i="14"/>
  <c r="DL61" i="14"/>
  <c r="DK61" i="14"/>
  <c r="DJ61" i="14"/>
  <c r="DD61" i="14"/>
  <c r="DI61" i="14"/>
  <c r="DC61" i="14"/>
  <c r="DM61" i="14"/>
  <c r="CZ61" i="14"/>
  <c r="DH61" i="14"/>
  <c r="DF104" i="14"/>
  <c r="DQ104" i="14"/>
  <c r="DA104" i="14"/>
  <c r="DM104" i="14"/>
  <c r="DJ104" i="14"/>
  <c r="DL104" i="14"/>
  <c r="DK104" i="14"/>
  <c r="DC104" i="14"/>
  <c r="CV104" i="14"/>
  <c r="CZ104" i="14"/>
  <c r="DH104" i="14"/>
  <c r="CU104" i="14"/>
  <c r="DF96" i="14"/>
  <c r="DA96" i="14"/>
  <c r="DG96" i="14"/>
  <c r="DC96" i="14"/>
  <c r="CV96" i="14"/>
  <c r="DP96" i="14"/>
  <c r="DJ96" i="14"/>
  <c r="DL96" i="14"/>
  <c r="DK96" i="14"/>
  <c r="DM96" i="14"/>
  <c r="CZ96" i="14"/>
  <c r="CY88" i="14"/>
  <c r="DF88" i="14"/>
  <c r="CZ88" i="14"/>
  <c r="DG88" i="14"/>
  <c r="CX88" i="14"/>
  <c r="DJ88" i="14"/>
  <c r="DL88" i="14"/>
  <c r="DM88" i="14"/>
  <c r="DO88" i="14"/>
  <c r="DK88" i="14"/>
  <c r="DC88" i="14"/>
  <c r="CV88" i="14"/>
  <c r="CX80" i="14"/>
  <c r="DG80" i="14"/>
  <c r="DL80" i="14"/>
  <c r="DK80" i="14"/>
  <c r="DF80" i="14"/>
  <c r="DA80" i="14"/>
  <c r="DS80" i="14"/>
  <c r="CZ80" i="14"/>
  <c r="CV80" i="14"/>
  <c r="DB80" i="14"/>
  <c r="DH80" i="14"/>
  <c r="DM80" i="14"/>
  <c r="DJ80" i="14"/>
  <c r="DQ72" i="14"/>
  <c r="DL72" i="14"/>
  <c r="DA72" i="14"/>
  <c r="DF72" i="14"/>
  <c r="DT72" i="14"/>
  <c r="CZ72" i="14"/>
  <c r="CX72" i="14"/>
  <c r="CV72" i="14"/>
  <c r="DK72" i="14"/>
  <c r="CW72" i="14"/>
  <c r="DM72" i="14"/>
  <c r="DP72" i="14"/>
  <c r="DJ72" i="14"/>
  <c r="DK64" i="14"/>
  <c r="CZ64" i="14"/>
  <c r="CY64" i="14"/>
  <c r="DG64" i="14"/>
  <c r="DC64" i="14"/>
  <c r="DA64" i="14"/>
  <c r="CW64" i="14"/>
  <c r="CV64" i="14"/>
  <c r="DL64" i="14"/>
  <c r="DF64" i="14"/>
  <c r="CU64" i="14"/>
  <c r="DE64" i="14"/>
  <c r="DJ64" i="14"/>
  <c r="DM64" i="14"/>
  <c r="DH64" i="14"/>
  <c r="Q159" i="6"/>
  <c r="S164" i="6"/>
  <c r="S145" i="6" s="1"/>
  <c r="R158" i="6"/>
  <c r="Q133" i="6"/>
  <c r="K164" i="6"/>
  <c r="K146" i="6" s="1"/>
  <c r="Q148" i="6"/>
  <c r="AI113" i="6"/>
  <c r="AI123" i="6"/>
  <c r="AA154" i="6"/>
  <c r="AA138" i="6"/>
  <c r="AI114" i="6"/>
  <c r="AG164" i="6"/>
  <c r="AG121" i="6" s="1"/>
  <c r="J159" i="6"/>
  <c r="AI158" i="6"/>
  <c r="J155" i="6"/>
  <c r="K147" i="6"/>
  <c r="AA139" i="6"/>
  <c r="J123" i="6"/>
  <c r="J118" i="6"/>
  <c r="R147" i="6"/>
  <c r="R159" i="6"/>
  <c r="R139" i="6"/>
  <c r="R124" i="6"/>
  <c r="R140" i="6"/>
  <c r="R116" i="6"/>
  <c r="Q130" i="6"/>
  <c r="Y130" i="6"/>
  <c r="R130" i="6"/>
  <c r="AA130" i="6"/>
  <c r="AI130" i="6"/>
  <c r="S151" i="6"/>
  <c r="Y149" i="6"/>
  <c r="Q125" i="6"/>
  <c r="AF164" i="6"/>
  <c r="AF126" i="6" s="1"/>
  <c r="X164" i="6"/>
  <c r="X117" i="6" s="1"/>
  <c r="P164" i="6"/>
  <c r="P130" i="6" s="1"/>
  <c r="R153" i="6"/>
  <c r="S153" i="6"/>
  <c r="AA153" i="6"/>
  <c r="AI153" i="6"/>
  <c r="R145" i="6"/>
  <c r="AA145" i="6"/>
  <c r="AI145" i="6"/>
  <c r="Q137" i="6"/>
  <c r="Y137" i="6"/>
  <c r="R137" i="6"/>
  <c r="AA137" i="6"/>
  <c r="S137" i="6"/>
  <c r="AI137" i="6"/>
  <c r="Q129" i="6"/>
  <c r="Y129" i="6"/>
  <c r="R129" i="6"/>
  <c r="AA129" i="6"/>
  <c r="AI129" i="6"/>
  <c r="Q121" i="6"/>
  <c r="Y121" i="6"/>
  <c r="R121" i="6"/>
  <c r="S121" i="6"/>
  <c r="AA121" i="6"/>
  <c r="AI121" i="6"/>
  <c r="J162" i="6"/>
  <c r="J154" i="6"/>
  <c r="J146" i="6"/>
  <c r="J138" i="6"/>
  <c r="J130" i="6"/>
  <c r="J122" i="6"/>
  <c r="J114" i="6"/>
  <c r="K138" i="6"/>
  <c r="AF158" i="6"/>
  <c r="Y157" i="6"/>
  <c r="R156" i="6"/>
  <c r="AI146" i="6"/>
  <c r="Q145" i="6"/>
  <c r="AI131" i="6"/>
  <c r="Q154" i="6"/>
  <c r="Y154" i="6"/>
  <c r="R154" i="6"/>
  <c r="Q146" i="6"/>
  <c r="Y146" i="6"/>
  <c r="R146" i="6"/>
  <c r="P122" i="6"/>
  <c r="Q122" i="6"/>
  <c r="Y122" i="6"/>
  <c r="R122" i="6"/>
  <c r="AI122" i="6"/>
  <c r="Q158" i="6"/>
  <c r="AA143" i="6"/>
  <c r="W164" i="6"/>
  <c r="W155" i="6" s="1"/>
  <c r="Q144" i="6"/>
  <c r="Y144" i="6"/>
  <c r="AA144" i="6"/>
  <c r="AI144" i="6"/>
  <c r="R120" i="6"/>
  <c r="S120" i="6"/>
  <c r="AA120" i="6"/>
  <c r="AI120" i="6"/>
  <c r="Q120" i="6"/>
  <c r="K153" i="6"/>
  <c r="AA162" i="6"/>
  <c r="Q156" i="6"/>
  <c r="AI151" i="6"/>
  <c r="Y148" i="6"/>
  <c r="AF146" i="6"/>
  <c r="R144" i="6"/>
  <c r="Y140" i="6"/>
  <c r="AA131" i="6"/>
  <c r="AA122" i="6"/>
  <c r="AD164" i="6"/>
  <c r="AD154" i="6" s="1"/>
  <c r="V164" i="6"/>
  <c r="V126" i="6" s="1"/>
  <c r="N164" i="6"/>
  <c r="N131" i="6" s="1"/>
  <c r="AF151" i="6"/>
  <c r="Q151" i="6"/>
  <c r="Y151" i="6"/>
  <c r="R151" i="6"/>
  <c r="AF143" i="6"/>
  <c r="Q143" i="6"/>
  <c r="Y143" i="6"/>
  <c r="R143" i="6"/>
  <c r="Q135" i="6"/>
  <c r="Y135" i="6"/>
  <c r="AA135" i="6"/>
  <c r="AI135" i="6"/>
  <c r="R135" i="6"/>
  <c r="P127" i="6"/>
  <c r="Q127" i="6"/>
  <c r="Y127" i="6"/>
  <c r="S127" i="6"/>
  <c r="AA127" i="6"/>
  <c r="AI127" i="6"/>
  <c r="R127" i="6"/>
  <c r="Q119" i="6"/>
  <c r="Y119" i="6"/>
  <c r="S119" i="6"/>
  <c r="AA119" i="6"/>
  <c r="AI119" i="6"/>
  <c r="J160" i="6"/>
  <c r="J152" i="6"/>
  <c r="J144" i="6"/>
  <c r="J136" i="6"/>
  <c r="J128" i="6"/>
  <c r="J120" i="6"/>
  <c r="K136" i="6"/>
  <c r="K120" i="6"/>
  <c r="R162" i="6"/>
  <c r="AI161" i="6"/>
  <c r="AA161" i="6"/>
  <c r="V158" i="6"/>
  <c r="R155" i="6"/>
  <c r="Y153" i="6"/>
  <c r="Q149" i="6"/>
  <c r="S143" i="6"/>
  <c r="Y141" i="6"/>
  <c r="R131" i="6"/>
  <c r="Y117" i="6"/>
  <c r="AF138" i="6"/>
  <c r="Q138" i="6"/>
  <c r="Y138" i="6"/>
  <c r="R138" i="6"/>
  <c r="AI138" i="6"/>
  <c r="Q113" i="6"/>
  <c r="Q157" i="6"/>
  <c r="AE164" i="6"/>
  <c r="AE145" i="6" s="1"/>
  <c r="AF152" i="6"/>
  <c r="Q152" i="6"/>
  <c r="Y152" i="6"/>
  <c r="AA152" i="6"/>
  <c r="AI152" i="6"/>
  <c r="AF128" i="6"/>
  <c r="R128" i="6"/>
  <c r="AA128" i="6"/>
  <c r="AI128" i="6"/>
  <c r="K161" i="6"/>
  <c r="K121" i="6"/>
  <c r="AA147" i="6"/>
  <c r="Y133" i="6"/>
  <c r="AI126" i="6"/>
  <c r="J164" i="6"/>
  <c r="AC164" i="6"/>
  <c r="AC141" i="6" s="1"/>
  <c r="U164" i="6"/>
  <c r="U154" i="6" s="1"/>
  <c r="M164" i="6"/>
  <c r="M142" i="6" s="1"/>
  <c r="Q150" i="6"/>
  <c r="Y150" i="6"/>
  <c r="R150" i="6"/>
  <c r="S150" i="6"/>
  <c r="AA150" i="6"/>
  <c r="AI150" i="6"/>
  <c r="AC150" i="6"/>
  <c r="Q142" i="6"/>
  <c r="Y142" i="6"/>
  <c r="R142" i="6"/>
  <c r="AA142" i="6"/>
  <c r="AI142" i="6"/>
  <c r="Q134" i="6"/>
  <c r="Y134" i="6"/>
  <c r="R134" i="6"/>
  <c r="AI134" i="6"/>
  <c r="AA134" i="6"/>
  <c r="Q126" i="6"/>
  <c r="Y126" i="6"/>
  <c r="R126" i="6"/>
  <c r="AA126" i="6"/>
  <c r="AE126" i="6"/>
  <c r="Q118" i="6"/>
  <c r="Y118" i="6"/>
  <c r="R118" i="6"/>
  <c r="AA118" i="6"/>
  <c r="AI118" i="6"/>
  <c r="P118" i="6"/>
  <c r="K151" i="6"/>
  <c r="AG162" i="6"/>
  <c r="Y162" i="6"/>
  <c r="Q162" i="6"/>
  <c r="R161" i="6"/>
  <c r="AI160" i="6"/>
  <c r="AA160" i="6"/>
  <c r="AI155" i="6"/>
  <c r="S154" i="6"/>
  <c r="AD151" i="6"/>
  <c r="AF150" i="6"/>
  <c r="R148" i="6"/>
  <c r="AA146" i="6"/>
  <c r="AI139" i="6"/>
  <c r="AF134" i="6"/>
  <c r="AF121" i="6"/>
  <c r="AC162" i="6"/>
  <c r="Y158" i="6"/>
  <c r="O164" i="6"/>
  <c r="O161" i="6" s="1"/>
  <c r="AF136" i="6"/>
  <c r="R136" i="6"/>
  <c r="S136" i="6"/>
  <c r="AA136" i="6"/>
  <c r="AI136" i="6"/>
  <c r="Q136" i="6"/>
  <c r="Y136" i="6"/>
  <c r="AI162" i="6"/>
  <c r="AJ164" i="6"/>
  <c r="AJ151" i="6" s="1"/>
  <c r="AB164" i="6"/>
  <c r="AB137" i="6" s="1"/>
  <c r="T164" i="6"/>
  <c r="T133" i="6" s="1"/>
  <c r="L164" i="6"/>
  <c r="L136" i="6" s="1"/>
  <c r="R149" i="6"/>
  <c r="S149" i="6"/>
  <c r="AA149" i="6"/>
  <c r="AI149" i="6"/>
  <c r="AE149" i="6"/>
  <c r="M141" i="6"/>
  <c r="R141" i="6"/>
  <c r="AA141" i="6"/>
  <c r="AI141" i="6"/>
  <c r="AB141" i="6"/>
  <c r="AE141" i="6"/>
  <c r="R133" i="6"/>
  <c r="S133" i="6"/>
  <c r="AA133" i="6"/>
  <c r="AI133" i="6"/>
  <c r="AC133" i="6"/>
  <c r="AB133" i="6"/>
  <c r="AE133" i="6"/>
  <c r="AF133" i="6"/>
  <c r="R125" i="6"/>
  <c r="AA125" i="6"/>
  <c r="AI125" i="6"/>
  <c r="AE125" i="6"/>
  <c r="Y125" i="6"/>
  <c r="AF125" i="6"/>
  <c r="R117" i="6"/>
  <c r="AA117" i="6"/>
  <c r="AI117" i="6"/>
  <c r="V117" i="6"/>
  <c r="AE117" i="6"/>
  <c r="AB117" i="6"/>
  <c r="AF117" i="6"/>
  <c r="Q117" i="6"/>
  <c r="AA113" i="6"/>
  <c r="K126" i="6"/>
  <c r="K118" i="6"/>
  <c r="AF162" i="6"/>
  <c r="AG161" i="6"/>
  <c r="Y161" i="6"/>
  <c r="Q161" i="6"/>
  <c r="R160" i="6"/>
  <c r="AI159" i="6"/>
  <c r="AA159" i="6"/>
  <c r="S159" i="6"/>
  <c r="AB158" i="6"/>
  <c r="AC157" i="6"/>
  <c r="V152" i="6"/>
  <c r="AA151" i="6"/>
  <c r="AE150" i="6"/>
  <c r="AB145" i="6"/>
  <c r="AI143" i="6"/>
  <c r="L138" i="6"/>
  <c r="AE134" i="6"/>
  <c r="AE130" i="6"/>
  <c r="Y128" i="6"/>
  <c r="R119" i="6"/>
  <c r="P117" i="6"/>
  <c r="M114" i="6"/>
  <c r="AC114" i="6"/>
  <c r="AF114" i="6"/>
  <c r="Q114" i="6"/>
  <c r="Y114" i="6"/>
  <c r="R114" i="6"/>
  <c r="S114" i="6"/>
  <c r="AB114" i="6"/>
  <c r="AE114" i="6"/>
  <c r="AA156" i="6"/>
  <c r="AI156" i="6"/>
  <c r="AB156" i="6"/>
  <c r="AF156" i="6"/>
  <c r="AA148" i="6"/>
  <c r="AI148" i="6"/>
  <c r="AB148" i="6"/>
  <c r="AF148" i="6"/>
  <c r="AA140" i="6"/>
  <c r="AI140" i="6"/>
  <c r="AB140" i="6"/>
  <c r="V140" i="6"/>
  <c r="AE140" i="6"/>
  <c r="AF140" i="6"/>
  <c r="Q140" i="6"/>
  <c r="S132" i="6"/>
  <c r="AA132" i="6"/>
  <c r="AI132" i="6"/>
  <c r="AB132" i="6"/>
  <c r="V132" i="6"/>
  <c r="P132" i="6"/>
  <c r="AF132" i="6"/>
  <c r="Q132" i="6"/>
  <c r="R132" i="6"/>
  <c r="AA124" i="6"/>
  <c r="AI124" i="6"/>
  <c r="AB124" i="6"/>
  <c r="AE124" i="6"/>
  <c r="AF124" i="6"/>
  <c r="Y124" i="6"/>
  <c r="Q124" i="6"/>
  <c r="S116" i="6"/>
  <c r="AA116" i="6"/>
  <c r="AI116" i="6"/>
  <c r="AB116" i="6"/>
  <c r="V116" i="6"/>
  <c r="AE116" i="6"/>
  <c r="AF116" i="6"/>
  <c r="Q116" i="6"/>
  <c r="Y116" i="6"/>
  <c r="Y113" i="6"/>
  <c r="K157" i="6"/>
  <c r="K149" i="6"/>
  <c r="K141" i="6"/>
  <c r="K133" i="6"/>
  <c r="K125" i="6"/>
  <c r="AE162" i="6"/>
  <c r="O162" i="6"/>
  <c r="Y160" i="6"/>
  <c r="Q160" i="6"/>
  <c r="AA158" i="6"/>
  <c r="S158" i="6"/>
  <c r="AI154" i="6"/>
  <c r="Q153" i="6"/>
  <c r="Q128" i="6"/>
  <c r="AA114" i="6"/>
  <c r="AH164" i="6"/>
  <c r="AH153" i="6" s="1"/>
  <c r="Z164" i="6"/>
  <c r="Z130" i="6" s="1"/>
  <c r="AB155" i="6"/>
  <c r="M155" i="6"/>
  <c r="P155" i="6"/>
  <c r="AF155" i="6"/>
  <c r="Q155" i="6"/>
  <c r="Y155" i="6"/>
  <c r="AB147" i="6"/>
  <c r="AC147" i="6"/>
  <c r="V147" i="6"/>
  <c r="P147" i="6"/>
  <c r="AF147" i="6"/>
  <c r="Q147" i="6"/>
  <c r="Y147" i="6"/>
  <c r="AB139" i="6"/>
  <c r="AC139" i="6"/>
  <c r="P139" i="6"/>
  <c r="AF139" i="6"/>
  <c r="V139" i="6"/>
  <c r="Y139" i="6"/>
  <c r="Z139" i="6"/>
  <c r="Q139" i="6"/>
  <c r="AB131" i="6"/>
  <c r="O131" i="6"/>
  <c r="AF131" i="6"/>
  <c r="Q131" i="6"/>
  <c r="Y131" i="6"/>
  <c r="S131" i="6"/>
  <c r="AB123" i="6"/>
  <c r="O123" i="6"/>
  <c r="AE123" i="6"/>
  <c r="AF123" i="6"/>
  <c r="Q123" i="6"/>
  <c r="Y123" i="6"/>
  <c r="AA123" i="6"/>
  <c r="R123" i="6"/>
  <c r="S123" i="6"/>
  <c r="AB115" i="6"/>
  <c r="AE115" i="6"/>
  <c r="P115" i="6"/>
  <c r="AF115" i="6"/>
  <c r="Q115" i="6"/>
  <c r="Y115" i="6"/>
  <c r="AI115" i="6"/>
  <c r="R115" i="6"/>
  <c r="AA115" i="6"/>
  <c r="J156" i="6"/>
  <c r="J148" i="6"/>
  <c r="J140" i="6"/>
  <c r="J132" i="6"/>
  <c r="J124" i="6"/>
  <c r="J116" i="6"/>
  <c r="K156" i="6"/>
  <c r="K148" i="6"/>
  <c r="K140" i="6"/>
  <c r="K132" i="6"/>
  <c r="K124" i="6"/>
  <c r="K116" i="6"/>
  <c r="AD162" i="6"/>
  <c r="AE161" i="6"/>
  <c r="AF160" i="6"/>
  <c r="Y159" i="6"/>
  <c r="AH158" i="6"/>
  <c r="Z158" i="6"/>
  <c r="AI157" i="6"/>
  <c r="AA157" i="6"/>
  <c r="R157" i="6"/>
  <c r="Y156" i="6"/>
  <c r="AA155" i="6"/>
  <c r="AF154" i="6"/>
  <c r="M153" i="6"/>
  <c r="R152" i="6"/>
  <c r="AI147" i="6"/>
  <c r="AF142" i="6"/>
  <c r="S139" i="6"/>
  <c r="AC137" i="6"/>
  <c r="Y132" i="6"/>
  <c r="AE127" i="6"/>
  <c r="AB125" i="6"/>
  <c r="AF118" i="6"/>
  <c r="Z116" i="6"/>
  <c r="R113" i="6"/>
  <c r="J113" i="6"/>
  <c r="AF113" i="6"/>
  <c r="AE113" i="6"/>
  <c r="K113" i="6"/>
  <c r="AC113" i="6"/>
  <c r="AB113" i="6"/>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63" i="5"/>
  <c r="C72" i="5"/>
  <c r="C80" i="5"/>
  <c r="C88" i="5"/>
  <c r="C96" i="5"/>
  <c r="C104" i="5"/>
  <c r="C112" i="5"/>
  <c r="C65" i="5"/>
  <c r="C73" i="5"/>
  <c r="C81" i="5"/>
  <c r="AB81" i="5" s="1" a="1"/>
  <c r="AB81" i="5" s="1"/>
  <c r="C89" i="5"/>
  <c r="C97" i="5"/>
  <c r="C105" i="5"/>
  <c r="C66" i="5"/>
  <c r="C74" i="5"/>
  <c r="C82" i="5"/>
  <c r="C90" i="5"/>
  <c r="AB90" i="5" s="1" a="1"/>
  <c r="AB90" i="5" s="1"/>
  <c r="C98" i="5"/>
  <c r="C106" i="5"/>
  <c r="C64" i="5"/>
  <c r="C67" i="5"/>
  <c r="C75" i="5"/>
  <c r="C83" i="5"/>
  <c r="C91" i="5"/>
  <c r="C99" i="5"/>
  <c r="C107" i="5"/>
  <c r="C63" i="5"/>
  <c r="C68" i="5"/>
  <c r="C76" i="5"/>
  <c r="C84" i="5"/>
  <c r="C92" i="5"/>
  <c r="C100" i="5"/>
  <c r="C108" i="5"/>
  <c r="C69" i="5"/>
  <c r="C77" i="5"/>
  <c r="C85" i="5"/>
  <c r="C93" i="5"/>
  <c r="C101" i="5"/>
  <c r="C109" i="5"/>
  <c r="C79" i="5"/>
  <c r="C111" i="5"/>
  <c r="AB111" i="5" s="1" a="1"/>
  <c r="AB111" i="5" s="1"/>
  <c r="C110" i="5"/>
  <c r="C86" i="5"/>
  <c r="C87" i="5"/>
  <c r="C94" i="5"/>
  <c r="C95" i="5"/>
  <c r="C71" i="5"/>
  <c r="C103" i="5"/>
  <c r="C78" i="5"/>
  <c r="C70" i="5"/>
  <c r="C102"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63" i="5"/>
  <c r="Z68" i="5"/>
  <c r="Z72" i="5"/>
  <c r="Z76" i="5"/>
  <c r="Z80" i="5"/>
  <c r="Z84" i="5"/>
  <c r="Z88" i="5"/>
  <c r="Z92" i="5"/>
  <c r="Z96" i="5"/>
  <c r="Z100" i="5"/>
  <c r="Z104" i="5"/>
  <c r="Z108" i="5"/>
  <c r="Z112" i="5"/>
  <c r="Z66" i="5"/>
  <c r="Z75" i="5"/>
  <c r="Z79" i="5"/>
  <c r="Z83" i="5"/>
  <c r="Z87" i="5"/>
  <c r="Z91" i="5"/>
  <c r="Z95" i="5"/>
  <c r="Z99" i="5"/>
  <c r="Z103" i="5"/>
  <c r="Z107" i="5"/>
  <c r="Z111" i="5"/>
  <c r="Z64" i="5"/>
  <c r="Z71" i="5"/>
  <c r="Z69" i="5"/>
  <c r="Z74" i="5"/>
  <c r="Z78" i="5"/>
  <c r="Z82" i="5"/>
  <c r="Z86" i="5"/>
  <c r="Z90" i="5"/>
  <c r="Z94" i="5"/>
  <c r="Z98" i="5"/>
  <c r="Z102" i="5"/>
  <c r="Z106" i="5"/>
  <c r="Z110" i="5"/>
  <c r="Z63" i="5"/>
  <c r="Z77" i="5"/>
  <c r="Z85" i="5"/>
  <c r="Z97" i="5"/>
  <c r="Z101" i="5"/>
  <c r="Z105" i="5"/>
  <c r="Z109" i="5"/>
  <c r="Z67" i="5"/>
  <c r="Z65" i="5"/>
  <c r="Z73" i="5"/>
  <c r="Z81" i="5"/>
  <c r="Z89" i="5"/>
  <c r="Z93" i="5"/>
  <c r="Z70" i="5"/>
  <c r="R66" i="5"/>
  <c r="R75" i="5"/>
  <c r="R79" i="5"/>
  <c r="R83" i="5"/>
  <c r="R87" i="5"/>
  <c r="R91" i="5"/>
  <c r="R95" i="5"/>
  <c r="R99" i="5"/>
  <c r="R103" i="5"/>
  <c r="R107" i="5"/>
  <c r="R111" i="5"/>
  <c r="R70" i="5"/>
  <c r="R72" i="5"/>
  <c r="R68" i="5"/>
  <c r="R64" i="5"/>
  <c r="R71" i="5"/>
  <c r="R74" i="5"/>
  <c r="R78" i="5"/>
  <c r="R82" i="5"/>
  <c r="R86" i="5"/>
  <c r="R90" i="5"/>
  <c r="R94" i="5"/>
  <c r="R98" i="5"/>
  <c r="R102" i="5"/>
  <c r="R106" i="5"/>
  <c r="R110" i="5"/>
  <c r="R63" i="5"/>
  <c r="R69" i="5"/>
  <c r="R92" i="5"/>
  <c r="R67" i="5"/>
  <c r="R73" i="5"/>
  <c r="R77" i="5"/>
  <c r="R81" i="5"/>
  <c r="R85" i="5"/>
  <c r="R89" i="5"/>
  <c r="R93" i="5"/>
  <c r="R97" i="5"/>
  <c r="R101" i="5"/>
  <c r="R105" i="5"/>
  <c r="R109" i="5"/>
  <c r="R80" i="5"/>
  <c r="R88" i="5"/>
  <c r="R112" i="5"/>
  <c r="R65" i="5"/>
  <c r="R76" i="5"/>
  <c r="R84" i="5"/>
  <c r="R96" i="5"/>
  <c r="R100" i="5"/>
  <c r="R104" i="5"/>
  <c r="R108" i="5"/>
  <c r="J74" i="5"/>
  <c r="J78" i="5"/>
  <c r="J82" i="5"/>
  <c r="J86" i="5"/>
  <c r="J90" i="5"/>
  <c r="J94" i="5"/>
  <c r="J98" i="5"/>
  <c r="J102" i="5"/>
  <c r="J106" i="5"/>
  <c r="J110" i="5"/>
  <c r="J63" i="5"/>
  <c r="J66" i="5"/>
  <c r="J64" i="5"/>
  <c r="J71" i="5"/>
  <c r="J69" i="5"/>
  <c r="J73" i="5"/>
  <c r="J77" i="5"/>
  <c r="J81" i="5"/>
  <c r="J85" i="5"/>
  <c r="J89" i="5"/>
  <c r="J93" i="5"/>
  <c r="J97" i="5"/>
  <c r="J101" i="5"/>
  <c r="J105" i="5"/>
  <c r="J109" i="5"/>
  <c r="J83" i="5"/>
  <c r="J103" i="5"/>
  <c r="J67" i="5"/>
  <c r="J65" i="5"/>
  <c r="J72" i="5"/>
  <c r="J76" i="5"/>
  <c r="J80" i="5"/>
  <c r="J84" i="5"/>
  <c r="J88" i="5"/>
  <c r="J92" i="5"/>
  <c r="J96" i="5"/>
  <c r="J100" i="5"/>
  <c r="J104" i="5"/>
  <c r="J108" i="5"/>
  <c r="J112" i="5"/>
  <c r="J68" i="5"/>
  <c r="J75" i="5"/>
  <c r="J91" i="5"/>
  <c r="J95" i="5"/>
  <c r="J70" i="5"/>
  <c r="J79" i="5"/>
  <c r="J87" i="5"/>
  <c r="J99" i="5"/>
  <c r="J107" i="5"/>
  <c r="J111" i="5"/>
  <c r="Y65" i="5"/>
  <c r="Y70" i="5"/>
  <c r="Y67" i="5"/>
  <c r="Y68" i="5"/>
  <c r="Y69" i="5"/>
  <c r="Y64" i="5"/>
  <c r="Y71" i="5"/>
  <c r="Y88" i="5"/>
  <c r="Y100" i="5"/>
  <c r="Y108" i="5"/>
  <c r="Y66" i="5"/>
  <c r="Y75" i="5"/>
  <c r="Y79" i="5"/>
  <c r="Y83" i="5"/>
  <c r="Y87" i="5"/>
  <c r="Y91" i="5"/>
  <c r="Y95" i="5"/>
  <c r="Y99" i="5"/>
  <c r="Y103" i="5"/>
  <c r="Y107" i="5"/>
  <c r="Y111" i="5"/>
  <c r="Y92" i="5"/>
  <c r="Y96" i="5"/>
  <c r="Y112" i="5"/>
  <c r="Y74" i="5"/>
  <c r="Y78" i="5"/>
  <c r="Y82" i="5"/>
  <c r="Y86" i="5"/>
  <c r="Y90" i="5"/>
  <c r="Y94" i="5"/>
  <c r="Y98" i="5"/>
  <c r="Y102" i="5"/>
  <c r="Y106" i="5"/>
  <c r="Y110" i="5"/>
  <c r="Y63" i="5"/>
  <c r="Y72" i="5"/>
  <c r="Y104" i="5"/>
  <c r="Y73" i="5"/>
  <c r="Y77" i="5"/>
  <c r="Y81" i="5"/>
  <c r="Y85" i="5"/>
  <c r="Y89" i="5"/>
  <c r="Y93" i="5"/>
  <c r="Y97" i="5"/>
  <c r="Y101" i="5"/>
  <c r="Y105" i="5"/>
  <c r="Y109" i="5"/>
  <c r="Y76" i="5"/>
  <c r="Y80" i="5"/>
  <c r="Y84" i="5"/>
  <c r="Q68" i="5"/>
  <c r="Q71" i="5"/>
  <c r="Q65" i="5"/>
  <c r="Q67" i="5"/>
  <c r="Q66" i="5"/>
  <c r="Q69" i="5"/>
  <c r="Q70" i="5"/>
  <c r="Q64" i="5"/>
  <c r="Q75" i="5"/>
  <c r="Q95" i="5"/>
  <c r="Q74" i="5"/>
  <c r="Q78" i="5"/>
  <c r="Q82" i="5"/>
  <c r="Q86" i="5"/>
  <c r="Q90" i="5"/>
  <c r="Q94" i="5"/>
  <c r="Q98" i="5"/>
  <c r="Q102" i="5"/>
  <c r="Q106" i="5"/>
  <c r="Q110" i="5"/>
  <c r="Q63" i="5"/>
  <c r="Q79" i="5"/>
  <c r="Q103" i="5"/>
  <c r="Q107" i="5"/>
  <c r="Q73" i="5"/>
  <c r="Q77" i="5"/>
  <c r="Q81" i="5"/>
  <c r="Q85" i="5"/>
  <c r="Q89" i="5"/>
  <c r="Q93" i="5"/>
  <c r="Q97" i="5"/>
  <c r="Q101" i="5"/>
  <c r="Q105" i="5"/>
  <c r="Q109" i="5"/>
  <c r="Q83" i="5"/>
  <c r="Q87" i="5"/>
  <c r="Q91" i="5"/>
  <c r="Q72" i="5"/>
  <c r="Q76" i="5"/>
  <c r="Q80" i="5"/>
  <c r="Q84" i="5"/>
  <c r="Q88" i="5"/>
  <c r="Q92" i="5"/>
  <c r="Q96" i="5"/>
  <c r="Q100" i="5"/>
  <c r="Q104" i="5"/>
  <c r="Q108" i="5"/>
  <c r="Q112" i="5"/>
  <c r="Q99" i="5"/>
  <c r="Q111" i="5"/>
  <c r="I65" i="5"/>
  <c r="I67" i="5"/>
  <c r="I70" i="5"/>
  <c r="I72" i="5"/>
  <c r="I64" i="5"/>
  <c r="I66" i="5"/>
  <c r="I68" i="5"/>
  <c r="I71" i="5"/>
  <c r="I82" i="5"/>
  <c r="I63" i="5"/>
  <c r="I69" i="5"/>
  <c r="I73" i="5"/>
  <c r="I77" i="5"/>
  <c r="I81" i="5"/>
  <c r="I85" i="5"/>
  <c r="I89" i="5"/>
  <c r="I93" i="5"/>
  <c r="I97" i="5"/>
  <c r="I101" i="5"/>
  <c r="I105" i="5"/>
  <c r="I109" i="5"/>
  <c r="I74" i="5"/>
  <c r="I86" i="5"/>
  <c r="I102" i="5"/>
  <c r="I76" i="5"/>
  <c r="I80" i="5"/>
  <c r="I84" i="5"/>
  <c r="I88" i="5"/>
  <c r="I92" i="5"/>
  <c r="I96" i="5"/>
  <c r="I100" i="5"/>
  <c r="I104" i="5"/>
  <c r="I108" i="5"/>
  <c r="I112" i="5"/>
  <c r="I78" i="5"/>
  <c r="I98" i="5"/>
  <c r="I110" i="5"/>
  <c r="I75" i="5"/>
  <c r="I79" i="5"/>
  <c r="I83" i="5"/>
  <c r="I87" i="5"/>
  <c r="I91" i="5"/>
  <c r="I95" i="5"/>
  <c r="I99" i="5"/>
  <c r="I103" i="5"/>
  <c r="I107" i="5"/>
  <c r="I111" i="5"/>
  <c r="I90" i="5"/>
  <c r="I94" i="5"/>
  <c r="I106"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63" i="5"/>
  <c r="AX112" i="14"/>
  <c r="AX100" i="14" s="1"/>
  <c r="AI68" i="14"/>
  <c r="AP112" i="14"/>
  <c r="AP100" i="14" s="1"/>
  <c r="AH112" i="14"/>
  <c r="AH108" i="14" s="1"/>
  <c r="BN72" i="14"/>
  <c r="AX72" i="14"/>
  <c r="BN106" i="14"/>
  <c r="BN98" i="14"/>
  <c r="BN90" i="14"/>
  <c r="BN82" i="14"/>
  <c r="BN74" i="14"/>
  <c r="AI74" i="14"/>
  <c r="BN66" i="14"/>
  <c r="AI66" i="14"/>
  <c r="AZ112" i="14"/>
  <c r="AZ72" i="14" s="1"/>
  <c r="AR112" i="14"/>
  <c r="AR82" i="14" s="1"/>
  <c r="AJ112" i="14"/>
  <c r="AJ81" i="14" s="1"/>
  <c r="AI72" i="14"/>
  <c r="BN88" i="14"/>
  <c r="BN105" i="14"/>
  <c r="BN97" i="14"/>
  <c r="BN89" i="14"/>
  <c r="BN81" i="14"/>
  <c r="AI81" i="14"/>
  <c r="BN73" i="14"/>
  <c r="AI73" i="14"/>
  <c r="BN65" i="14"/>
  <c r="AY112" i="14"/>
  <c r="AY74" i="14" s="1"/>
  <c r="AQ112" i="14"/>
  <c r="AQ73" i="14" s="1"/>
  <c r="AI108" i="14"/>
  <c r="AI104" i="14"/>
  <c r="AI96" i="14"/>
  <c r="BN64" i="14"/>
  <c r="AB111" i="14"/>
  <c r="AB112" i="14" s="1"/>
  <c r="AB68" i="14" s="1"/>
  <c r="CM112" i="14"/>
  <c r="CM98" i="14" s="1"/>
  <c r="CE112" i="14"/>
  <c r="CE95" i="14" s="1"/>
  <c r="BW112" i="14"/>
  <c r="BW72" i="14" s="1"/>
  <c r="BN111" i="14"/>
  <c r="BO111" i="14" s="1"/>
  <c r="BO112" i="14" s="1"/>
  <c r="BO106" i="14" s="1"/>
  <c r="CL112" i="14"/>
  <c r="CL73" i="14" s="1"/>
  <c r="CD112" i="14"/>
  <c r="BV112" i="14"/>
  <c r="BV79" i="14" s="1"/>
  <c r="CK112" i="14"/>
  <c r="CK103" i="14" s="1"/>
  <c r="CC112" i="14"/>
  <c r="CC98" i="14" s="1"/>
  <c r="BU112" i="14"/>
  <c r="BU106" i="14" s="1"/>
  <c r="CF112" i="14"/>
  <c r="CF64" i="14" s="1"/>
  <c r="CJ112" i="14"/>
  <c r="CJ97" i="14" s="1"/>
  <c r="CB112" i="14"/>
  <c r="CB98" i="14" s="1"/>
  <c r="BT112" i="14"/>
  <c r="BT94" i="14" s="1"/>
  <c r="CN112" i="14"/>
  <c r="BX112" i="14"/>
  <c r="BX87" i="14" s="1"/>
  <c r="CI112" i="14"/>
  <c r="CI72" i="14" s="1"/>
  <c r="CA112" i="14"/>
  <c r="CA98" i="14" s="1"/>
  <c r="BS112" i="14"/>
  <c r="BS97" i="14" s="1"/>
  <c r="CH112" i="14"/>
  <c r="CH74" i="14" s="1"/>
  <c r="BZ112" i="14"/>
  <c r="BZ73" i="14" s="1"/>
  <c r="BR112" i="14"/>
  <c r="BP112" i="14"/>
  <c r="BP91" i="14" s="1"/>
  <c r="CO112" i="14"/>
  <c r="CO70" i="14" s="1"/>
  <c r="CG112" i="14"/>
  <c r="CG88" i="14" s="1"/>
  <c r="BY112" i="14"/>
  <c r="BY105" i="14" s="1"/>
  <c r="BQ112" i="14"/>
  <c r="BQ90" i="14" s="1"/>
  <c r="BN103" i="14"/>
  <c r="BN95" i="14"/>
  <c r="BN87" i="14"/>
  <c r="BN79" i="14"/>
  <c r="BN71" i="14"/>
  <c r="AI71" i="14"/>
  <c r="BN63" i="14"/>
  <c r="AI63" i="14"/>
  <c r="AW112" i="14"/>
  <c r="AW89" i="14" s="1"/>
  <c r="AO112" i="14"/>
  <c r="AO102" i="14" s="1"/>
  <c r="AG112" i="14"/>
  <c r="AG72" i="14" s="1"/>
  <c r="AI103" i="14"/>
  <c r="AI95" i="14"/>
  <c r="BN96" i="14"/>
  <c r="BN110" i="14"/>
  <c r="BN102" i="14"/>
  <c r="BN94" i="14"/>
  <c r="BN86" i="14"/>
  <c r="BN78" i="14"/>
  <c r="BN70" i="14"/>
  <c r="AI70" i="14"/>
  <c r="AQ70" i="14"/>
  <c r="BN62" i="14"/>
  <c r="AV112" i="14"/>
  <c r="AV104" i="14" s="1"/>
  <c r="AN112" i="14"/>
  <c r="AN78" i="14" s="1"/>
  <c r="AF112" i="14"/>
  <c r="AF64" i="14" s="1"/>
  <c r="AX95" i="14"/>
  <c r="BN104" i="14"/>
  <c r="BN109" i="14"/>
  <c r="BN101" i="14"/>
  <c r="BN93" i="14"/>
  <c r="BN85" i="14"/>
  <c r="AX85" i="14"/>
  <c r="BN77" i="14"/>
  <c r="BN69" i="14"/>
  <c r="AX69" i="14"/>
  <c r="AU112" i="14"/>
  <c r="AU91" i="14" s="1"/>
  <c r="AM112" i="14"/>
  <c r="AM67" i="14" s="1"/>
  <c r="AE112" i="14"/>
  <c r="AE89" i="14" s="1"/>
  <c r="AQ110" i="14"/>
  <c r="AI106" i="14"/>
  <c r="AI102" i="14"/>
  <c r="AB56" i="14"/>
  <c r="BN56" i="14"/>
  <c r="BN108" i="14"/>
  <c r="BN100" i="14"/>
  <c r="BN92" i="14"/>
  <c r="BN84" i="14"/>
  <c r="BN76" i="14"/>
  <c r="AP76" i="14"/>
  <c r="AX76" i="14"/>
  <c r="BN68" i="14"/>
  <c r="AZ68" i="14"/>
  <c r="BB112" i="14"/>
  <c r="BB87" i="14" s="1"/>
  <c r="AT112" i="14"/>
  <c r="AT77" i="14" s="1"/>
  <c r="AL112" i="14"/>
  <c r="AL70" i="14" s="1"/>
  <c r="AD112" i="14"/>
  <c r="AD75" i="14" s="1"/>
  <c r="AX110" i="14"/>
  <c r="AP98" i="14"/>
  <c r="AF95" i="14"/>
  <c r="AI87" i="14"/>
  <c r="BN61" i="14"/>
  <c r="AI61" i="14"/>
  <c r="CI80" i="14"/>
  <c r="BN80" i="14"/>
  <c r="BN107" i="14"/>
  <c r="BN99" i="14"/>
  <c r="BN91" i="14"/>
  <c r="AX91" i="14"/>
  <c r="BN83" i="14"/>
  <c r="BN75" i="14"/>
  <c r="AI75" i="14"/>
  <c r="BN67" i="14"/>
  <c r="AI67" i="14"/>
  <c r="BA112" i="14"/>
  <c r="AS112" i="14"/>
  <c r="AK112" i="14"/>
  <c r="AK71" i="14" s="1"/>
  <c r="AC112" i="14"/>
  <c r="AC90" i="14" s="1"/>
  <c r="AI109" i="14"/>
  <c r="AI105" i="14"/>
  <c r="AI97" i="14"/>
  <c r="AQ93" i="14"/>
  <c r="AB79" i="5" a="1"/>
  <c r="AB79" i="5" s="1"/>
  <c r="AB85" i="5" a="1"/>
  <c r="AB85" i="5" s="1"/>
  <c r="AB77" i="5" a="1"/>
  <c r="AB77" i="5" s="1"/>
  <c r="AB93" i="5" a="1"/>
  <c r="AB93" i="5" s="1"/>
  <c r="AB83" i="5" a="1"/>
  <c r="AB83" i="5" s="1"/>
  <c r="AB71" i="5" a="1"/>
  <c r="AB71" i="5" s="1"/>
  <c r="E9" i="10" s="1"/>
  <c r="AB87" i="5" a="1"/>
  <c r="AB87" i="5" s="1"/>
  <c r="E24" i="10" s="1"/>
  <c r="AB89" i="5" a="1"/>
  <c r="AB89" i="5" s="1"/>
  <c r="AB63" i="5" a="1"/>
  <c r="AB63" i="5" s="1"/>
  <c r="AB109" i="5" a="1"/>
  <c r="AB109" i="5" s="1"/>
  <c r="AB108" i="5" a="1"/>
  <c r="AB108" i="5" s="1"/>
  <c r="AB102" i="5" a="1"/>
  <c r="AB102" i="5" s="1"/>
  <c r="AB101" i="5" a="1"/>
  <c r="AB101" i="5" s="1"/>
  <c r="AB97" i="5" a="1"/>
  <c r="AB97" i="5" s="1"/>
  <c r="AB104" i="5" a="1"/>
  <c r="AB104" i="5" s="1"/>
  <c r="AB65" i="5" a="1"/>
  <c r="AB65" i="5" s="1"/>
  <c r="AB112" i="5" a="1"/>
  <c r="AB112" i="5" s="1"/>
  <c r="AB75" i="5" a="1"/>
  <c r="AB75" i="5" s="1"/>
  <c r="AB74" i="5" a="1"/>
  <c r="AB74" i="5" s="1"/>
  <c r="AB67" i="5" a="1"/>
  <c r="AB67" i="5" s="1"/>
  <c r="AB64" i="5" a="1"/>
  <c r="AB64" i="5" s="1"/>
  <c r="AB110" i="5" a="1"/>
  <c r="AB110" i="5" s="1"/>
  <c r="AB107" i="5" a="1"/>
  <c r="AB107" i="5" s="1"/>
  <c r="AB106" i="5" a="1"/>
  <c r="AB106" i="5" s="1"/>
  <c r="AB105" i="5" a="1"/>
  <c r="AB105" i="5" s="1"/>
  <c r="AB98" i="5" a="1"/>
  <c r="AB98" i="5" s="1"/>
  <c r="AB69" i="5" a="1"/>
  <c r="AB69" i="5" s="1"/>
  <c r="AB68" i="5" a="1"/>
  <c r="AB68" i="5" s="1"/>
  <c r="AB94" i="5" a="1"/>
  <c r="AB94" i="5" s="1"/>
  <c r="AB86" i="5" a="1"/>
  <c r="AB86" i="5" s="1"/>
  <c r="AB70" i="5" a="1"/>
  <c r="AB70" i="5" s="1"/>
  <c r="AB66" i="5" a="1"/>
  <c r="AB66" i="5" s="1"/>
  <c r="AB92" i="5" a="1"/>
  <c r="AB92" i="5" s="1"/>
  <c r="AB84" i="5" a="1"/>
  <c r="AB84" i="5" s="1"/>
  <c r="AB76" i="5" a="1"/>
  <c r="AB76" i="5" s="1"/>
  <c r="AB96" i="5" a="1"/>
  <c r="AB96" i="5" s="1"/>
  <c r="AB88" i="5" a="1"/>
  <c r="AB88" i="5" s="1"/>
  <c r="AB80" i="5" a="1"/>
  <c r="AB80" i="5" s="1"/>
  <c r="F3" i="12"/>
  <c r="I3" i="12" s="1"/>
  <c r="J113" i="2" s="1"/>
  <c r="D3" i="12"/>
  <c r="H3" i="12" s="1"/>
  <c r="K113" i="2" s="1"/>
  <c r="F12" i="12"/>
  <c r="I12" i="12" s="1"/>
  <c r="J114" i="2" s="1"/>
  <c r="D12" i="12"/>
  <c r="H12" i="12" s="1"/>
  <c r="K114" i="2" s="1"/>
  <c r="F4" i="12"/>
  <c r="I4" i="12" s="1"/>
  <c r="J72" i="2" s="1"/>
  <c r="F5" i="12"/>
  <c r="I5" i="12" s="1"/>
  <c r="J71" i="2" s="1"/>
  <c r="F6" i="12"/>
  <c r="I6" i="12" s="1"/>
  <c r="J65" i="2" s="1"/>
  <c r="F7" i="12"/>
  <c r="I7" i="12" s="1"/>
  <c r="J73" i="2" s="1"/>
  <c r="F8" i="12"/>
  <c r="I8" i="12" s="1"/>
  <c r="J74" i="2" s="1"/>
  <c r="F9" i="12"/>
  <c r="I9" i="12" s="1"/>
  <c r="J75" i="2" s="1"/>
  <c r="F10" i="12"/>
  <c r="I10" i="12" s="1"/>
  <c r="J76" i="2" s="1"/>
  <c r="F11" i="12"/>
  <c r="I11" i="12" s="1"/>
  <c r="J77" i="2" s="1"/>
  <c r="F13" i="12"/>
  <c r="I13" i="12" s="1"/>
  <c r="J79" i="2" s="1"/>
  <c r="F14" i="12"/>
  <c r="I14" i="12" s="1"/>
  <c r="J80" i="2" s="1"/>
  <c r="F15" i="12"/>
  <c r="I15" i="12" s="1"/>
  <c r="J81" i="2" s="1"/>
  <c r="F16" i="12"/>
  <c r="I16" i="12" s="1"/>
  <c r="J78" i="2" s="1"/>
  <c r="F17" i="12"/>
  <c r="I17" i="12" s="1"/>
  <c r="J82" i="2" s="1"/>
  <c r="F18" i="12"/>
  <c r="I18" i="12" s="1"/>
  <c r="J66" i="2" s="1"/>
  <c r="F19" i="12"/>
  <c r="I19" i="12" s="1"/>
  <c r="J83" i="2" s="1"/>
  <c r="F20" i="12"/>
  <c r="I20" i="12" s="1"/>
  <c r="J86" i="2" s="1"/>
  <c r="F21" i="12"/>
  <c r="I21" i="12" s="1"/>
  <c r="J85" i="2" s="1"/>
  <c r="F22" i="12"/>
  <c r="I22" i="12" s="1"/>
  <c r="J84" i="2" s="1"/>
  <c r="F23" i="12"/>
  <c r="I23" i="12" s="1"/>
  <c r="J87" i="2" s="1"/>
  <c r="F24" i="12"/>
  <c r="I24" i="12" s="1"/>
  <c r="J88" i="2" s="1"/>
  <c r="F25" i="12"/>
  <c r="I25" i="12" s="1"/>
  <c r="J90" i="2" s="1"/>
  <c r="F26" i="12"/>
  <c r="I26" i="12" s="1"/>
  <c r="J89" i="2" s="1"/>
  <c r="F27" i="12"/>
  <c r="I27" i="12" s="1"/>
  <c r="J91" i="2" s="1"/>
  <c r="F28" i="12"/>
  <c r="I28" i="12" s="1"/>
  <c r="J94" i="2" s="1"/>
  <c r="F29" i="12"/>
  <c r="I29" i="12" s="1"/>
  <c r="J98" i="2" s="1"/>
  <c r="F30" i="12"/>
  <c r="I30" i="12" s="1"/>
  <c r="J95" i="2" s="1"/>
  <c r="F31" i="12"/>
  <c r="I31" i="12" s="1"/>
  <c r="J96" i="2" s="1"/>
  <c r="F32" i="12"/>
  <c r="I32" i="12" s="1"/>
  <c r="J97" i="2" s="1"/>
  <c r="F33" i="12"/>
  <c r="I33" i="12" s="1"/>
  <c r="J99" i="2" s="1"/>
  <c r="F34" i="12"/>
  <c r="I34" i="12" s="1"/>
  <c r="J92" i="2" s="1"/>
  <c r="F35" i="12"/>
  <c r="I35" i="12" s="1"/>
  <c r="J93" i="2" s="1"/>
  <c r="F36" i="12"/>
  <c r="I36" i="12" s="1"/>
  <c r="J100" i="2" s="1"/>
  <c r="F37" i="12"/>
  <c r="I37" i="12" s="1"/>
  <c r="J101" i="2" s="1"/>
  <c r="F38" i="12"/>
  <c r="I38" i="12" s="1"/>
  <c r="J102" i="2" s="1"/>
  <c r="F39" i="12"/>
  <c r="I39" i="12" s="1"/>
  <c r="J103" i="2" s="1"/>
  <c r="F40" i="12"/>
  <c r="I40" i="12" s="1"/>
  <c r="J104" i="2" s="1"/>
  <c r="F41" i="12"/>
  <c r="I41" i="12" s="1"/>
  <c r="J105" i="2" s="1"/>
  <c r="F42" i="12"/>
  <c r="I42" i="12" s="1"/>
  <c r="J106" i="2" s="1"/>
  <c r="F43" i="12"/>
  <c r="I43" i="12" s="1"/>
  <c r="J107" i="2" s="1"/>
  <c r="F44" i="12"/>
  <c r="I44" i="12" s="1"/>
  <c r="J108" i="2" s="1"/>
  <c r="F45" i="12"/>
  <c r="I45" i="12" s="1"/>
  <c r="J109" i="2" s="1"/>
  <c r="F46" i="12"/>
  <c r="I46" i="12" s="1"/>
  <c r="J111" i="2" s="1"/>
  <c r="F47" i="12"/>
  <c r="I47" i="12" s="1"/>
  <c r="J110" i="2" s="1"/>
  <c r="F48" i="12"/>
  <c r="I48" i="12" s="1"/>
  <c r="J112" i="2" s="1"/>
  <c r="F49" i="12"/>
  <c r="I49" i="12" s="1"/>
  <c r="J69" i="2" s="1"/>
  <c r="F50" i="12"/>
  <c r="I50" i="12" s="1"/>
  <c r="J67" i="2" s="1"/>
  <c r="F51" i="12"/>
  <c r="I51" i="12" s="1"/>
  <c r="J68" i="2" s="1"/>
  <c r="F2" i="12"/>
  <c r="I2" i="12" s="1"/>
  <c r="J70" i="2" s="1"/>
  <c r="D4" i="12"/>
  <c r="H4" i="12" s="1"/>
  <c r="K72" i="2" s="1"/>
  <c r="D5" i="12"/>
  <c r="H5" i="12" s="1"/>
  <c r="K71" i="2" s="1"/>
  <c r="D6" i="12"/>
  <c r="H6" i="12" s="1"/>
  <c r="K65" i="2" s="1"/>
  <c r="D7" i="12"/>
  <c r="H7" i="12" s="1"/>
  <c r="K73" i="2" s="1"/>
  <c r="D8" i="12"/>
  <c r="H8" i="12" s="1"/>
  <c r="K74" i="2" s="1"/>
  <c r="D9" i="12"/>
  <c r="H9" i="12" s="1"/>
  <c r="K75" i="2" s="1"/>
  <c r="D10" i="12"/>
  <c r="H10" i="12" s="1"/>
  <c r="K76" i="2" s="1"/>
  <c r="D11" i="12"/>
  <c r="H11" i="12" s="1"/>
  <c r="K77" i="2" s="1"/>
  <c r="D13" i="12"/>
  <c r="H13" i="12" s="1"/>
  <c r="K79" i="2" s="1"/>
  <c r="D14" i="12"/>
  <c r="H14" i="12" s="1"/>
  <c r="K80" i="2" s="1"/>
  <c r="D15" i="12"/>
  <c r="H15" i="12" s="1"/>
  <c r="K81" i="2" s="1"/>
  <c r="D16" i="12"/>
  <c r="H16" i="12" s="1"/>
  <c r="K78" i="2" s="1"/>
  <c r="D17" i="12"/>
  <c r="H17" i="12" s="1"/>
  <c r="K82" i="2" s="1"/>
  <c r="D18" i="12"/>
  <c r="H18" i="12" s="1"/>
  <c r="K66" i="2" s="1"/>
  <c r="D19" i="12"/>
  <c r="H19" i="12" s="1"/>
  <c r="K83" i="2" s="1"/>
  <c r="D20" i="12"/>
  <c r="H20" i="12" s="1"/>
  <c r="K86" i="2" s="1"/>
  <c r="D21" i="12"/>
  <c r="H21" i="12" s="1"/>
  <c r="K85" i="2" s="1"/>
  <c r="D22" i="12"/>
  <c r="H22" i="12" s="1"/>
  <c r="K84" i="2" s="1"/>
  <c r="D23" i="12"/>
  <c r="H23" i="12" s="1"/>
  <c r="K87" i="2" s="1"/>
  <c r="D24" i="12"/>
  <c r="H24" i="12" s="1"/>
  <c r="K88" i="2" s="1"/>
  <c r="D25" i="12"/>
  <c r="H25" i="12" s="1"/>
  <c r="K90" i="2" s="1"/>
  <c r="D26" i="12"/>
  <c r="H26" i="12" s="1"/>
  <c r="K89" i="2" s="1"/>
  <c r="D27" i="12"/>
  <c r="H27" i="12" s="1"/>
  <c r="K91" i="2" s="1"/>
  <c r="D28" i="12"/>
  <c r="H28" i="12" s="1"/>
  <c r="K94" i="2" s="1"/>
  <c r="D29" i="12"/>
  <c r="H29" i="12" s="1"/>
  <c r="K98" i="2" s="1"/>
  <c r="D30" i="12"/>
  <c r="H30" i="12" s="1"/>
  <c r="K95" i="2" s="1"/>
  <c r="D31" i="12"/>
  <c r="H31" i="12" s="1"/>
  <c r="K96" i="2" s="1"/>
  <c r="D32" i="12"/>
  <c r="H32" i="12" s="1"/>
  <c r="K97" i="2" s="1"/>
  <c r="D33" i="12"/>
  <c r="H33" i="12" s="1"/>
  <c r="K99" i="2" s="1"/>
  <c r="D34" i="12"/>
  <c r="H34" i="12" s="1"/>
  <c r="K92" i="2" s="1"/>
  <c r="D35" i="12"/>
  <c r="H35" i="12" s="1"/>
  <c r="K93" i="2" s="1"/>
  <c r="D36" i="12"/>
  <c r="H36" i="12" s="1"/>
  <c r="K100" i="2" s="1"/>
  <c r="D37" i="12"/>
  <c r="H37" i="12" s="1"/>
  <c r="K101" i="2" s="1"/>
  <c r="D38" i="12"/>
  <c r="H38" i="12" s="1"/>
  <c r="K102" i="2" s="1"/>
  <c r="D39" i="12"/>
  <c r="H39" i="12" s="1"/>
  <c r="K103" i="2" s="1"/>
  <c r="D40" i="12"/>
  <c r="H40" i="12" s="1"/>
  <c r="K104" i="2" s="1"/>
  <c r="D41" i="12"/>
  <c r="H41" i="12" s="1"/>
  <c r="K105" i="2" s="1"/>
  <c r="D42" i="12"/>
  <c r="H42" i="12" s="1"/>
  <c r="K106" i="2" s="1"/>
  <c r="D43" i="12"/>
  <c r="H43" i="12" s="1"/>
  <c r="K107" i="2" s="1"/>
  <c r="D44" i="12"/>
  <c r="H44" i="12" s="1"/>
  <c r="K108" i="2" s="1"/>
  <c r="D45" i="12"/>
  <c r="H45" i="12" s="1"/>
  <c r="K109" i="2" s="1"/>
  <c r="D46" i="12"/>
  <c r="H46" i="12" s="1"/>
  <c r="K111" i="2" s="1"/>
  <c r="D47" i="12"/>
  <c r="H47" i="12" s="1"/>
  <c r="K110" i="2" s="1"/>
  <c r="D48" i="12"/>
  <c r="H48" i="12" s="1"/>
  <c r="K112" i="2" s="1"/>
  <c r="D49" i="12"/>
  <c r="H49" i="12" s="1"/>
  <c r="K69" i="2" s="1"/>
  <c r="D50" i="12"/>
  <c r="H50" i="12" s="1"/>
  <c r="K67" i="2" s="1"/>
  <c r="D51" i="12"/>
  <c r="H51" i="12" s="1"/>
  <c r="K68" i="2" s="1"/>
  <c r="D2" i="12"/>
  <c r="H2" i="12" s="1"/>
  <c r="K70" i="2" s="1"/>
  <c r="C52" i="12"/>
  <c r="B52" i="12"/>
  <c r="D52" i="12" s="1"/>
  <c r="H52" i="12" s="1"/>
  <c r="K64" i="2" s="1"/>
  <c r="P113" i="2"/>
  <c r="P114" i="2"/>
  <c r="F113" i="2"/>
  <c r="G113" i="2"/>
  <c r="N113" i="2" s="1"/>
  <c r="H113" i="2"/>
  <c r="F114" i="2"/>
  <c r="G114" i="2"/>
  <c r="N114" i="2" s="1"/>
  <c r="H114" i="2"/>
  <c r="L113" i="2"/>
  <c r="AW4" i="11" s="1"/>
  <c r="L114" i="2"/>
  <c r="BQ94" i="14" l="1"/>
  <c r="P134" i="6"/>
  <c r="AC149" i="6"/>
  <c r="AC123" i="6"/>
  <c r="AC131" i="6"/>
  <c r="O139" i="6"/>
  <c r="AC155" i="6"/>
  <c r="AC144" i="6"/>
  <c r="O124" i="6"/>
  <c r="P142" i="6"/>
  <c r="O157" i="6"/>
  <c r="K159" i="6"/>
  <c r="K137" i="6"/>
  <c r="K114" i="6"/>
  <c r="K154" i="6"/>
  <c r="S129" i="6"/>
  <c r="DN64" i="14"/>
  <c r="DH72" i="14"/>
  <c r="DT88" i="14"/>
  <c r="DH88" i="14"/>
  <c r="CY96" i="14"/>
  <c r="DT104" i="14"/>
  <c r="CW61" i="14"/>
  <c r="CY67" i="14"/>
  <c r="DT83" i="14"/>
  <c r="CW91" i="14"/>
  <c r="DH99" i="14"/>
  <c r="DT99" i="14"/>
  <c r="DS99" i="14"/>
  <c r="CY68" i="14"/>
  <c r="DH84" i="14"/>
  <c r="DD100" i="14"/>
  <c r="DN100" i="14"/>
  <c r="CY108" i="14"/>
  <c r="DS65" i="14"/>
  <c r="CW73" i="14"/>
  <c r="CW89" i="14"/>
  <c r="DD97" i="14"/>
  <c r="DD105" i="14"/>
  <c r="DN74" i="14"/>
  <c r="DH90" i="14"/>
  <c r="DS98" i="14"/>
  <c r="CY98" i="14"/>
  <c r="DS69" i="14"/>
  <c r="DH85" i="14"/>
  <c r="CW85" i="14"/>
  <c r="DH93" i="14"/>
  <c r="DS93" i="14"/>
  <c r="DN109" i="14"/>
  <c r="DD70" i="14"/>
  <c r="CY70" i="14"/>
  <c r="DT94" i="14"/>
  <c r="DN94" i="14"/>
  <c r="DD102" i="14"/>
  <c r="DN110" i="14"/>
  <c r="CY63" i="14"/>
  <c r="DD71" i="14"/>
  <c r="DS71" i="14"/>
  <c r="DT79" i="14"/>
  <c r="O114" i="6"/>
  <c r="P116" i="6"/>
  <c r="L124" i="6"/>
  <c r="O132" i="6"/>
  <c r="P140" i="6"/>
  <c r="P156" i="6"/>
  <c r="P126" i="6"/>
  <c r="P119" i="6"/>
  <c r="DD64" i="14"/>
  <c r="DN88" i="14"/>
  <c r="DN96" i="14"/>
  <c r="CY61" i="14"/>
  <c r="DH67" i="14"/>
  <c r="CW67" i="14"/>
  <c r="DH83" i="14"/>
  <c r="CY83" i="14"/>
  <c r="DT91" i="14"/>
  <c r="DD99" i="14"/>
  <c r="DD107" i="14"/>
  <c r="CW76" i="14"/>
  <c r="DS76" i="14"/>
  <c r="DT92" i="14"/>
  <c r="DT100" i="14"/>
  <c r="DH108" i="14"/>
  <c r="CW108" i="14"/>
  <c r="CW65" i="14"/>
  <c r="CY73" i="14"/>
  <c r="CY89" i="14"/>
  <c r="DN66" i="14"/>
  <c r="DT74" i="14"/>
  <c r="DD82" i="14"/>
  <c r="CW69" i="14"/>
  <c r="DT69" i="14"/>
  <c r="DS77" i="14"/>
  <c r="DT93" i="14"/>
  <c r="CW101" i="14"/>
  <c r="DS109" i="14"/>
  <c r="DS70" i="14"/>
  <c r="DT86" i="14"/>
  <c r="DH94" i="14"/>
  <c r="CY94" i="14"/>
  <c r="DT110" i="14"/>
  <c r="DH110" i="14"/>
  <c r="DH63" i="14"/>
  <c r="DH79" i="14"/>
  <c r="CW87" i="14"/>
  <c r="P141" i="6"/>
  <c r="O115" i="6"/>
  <c r="T139" i="6"/>
  <c r="T147" i="6"/>
  <c r="AC124" i="6"/>
  <c r="AC140" i="6"/>
  <c r="P148" i="6"/>
  <c r="O156" i="6"/>
  <c r="AC121" i="6"/>
  <c r="K134" i="6"/>
  <c r="P133" i="6"/>
  <c r="AC128" i="6"/>
  <c r="K119" i="6"/>
  <c r="AC142" i="6"/>
  <c r="K144" i="6"/>
  <c r="P143" i="6"/>
  <c r="DS64" i="14"/>
  <c r="DN72" i="14"/>
  <c r="DN80" i="14"/>
  <c r="DD96" i="14"/>
  <c r="CW96" i="14"/>
  <c r="CW104" i="14"/>
  <c r="DD67" i="14"/>
  <c r="DS67" i="14"/>
  <c r="DN75" i="14"/>
  <c r="DD83" i="14"/>
  <c r="DS91" i="14"/>
  <c r="CY91" i="14"/>
  <c r="DT107" i="14"/>
  <c r="DH68" i="14"/>
  <c r="DN68" i="14"/>
  <c r="DD76" i="14"/>
  <c r="DT84" i="14"/>
  <c r="CW100" i="14"/>
  <c r="DD108" i="14"/>
  <c r="CY65" i="14"/>
  <c r="DS73" i="14"/>
  <c r="CY81" i="14"/>
  <c r="DH89" i="14"/>
  <c r="DT97" i="14"/>
  <c r="DN105" i="14"/>
  <c r="DS66" i="14"/>
  <c r="CW74" i="14"/>
  <c r="CY90" i="14"/>
  <c r="DT98" i="14"/>
  <c r="DT106" i="14"/>
  <c r="DD106" i="14"/>
  <c r="CY77" i="14"/>
  <c r="DD85" i="14"/>
  <c r="DS85" i="14"/>
  <c r="CY93" i="14"/>
  <c r="CY101" i="14"/>
  <c r="CY78" i="14"/>
  <c r="DT78" i="14"/>
  <c r="CY86" i="14"/>
  <c r="DD94" i="14"/>
  <c r="CW102" i="14"/>
  <c r="CW110" i="14"/>
  <c r="DT71" i="14"/>
  <c r="DN79" i="14"/>
  <c r="DH87" i="14"/>
  <c r="DT95" i="14"/>
  <c r="DS103" i="14"/>
  <c r="DT103" i="14"/>
  <c r="BO107" i="14"/>
  <c r="AQ94" i="14"/>
  <c r="O113" i="6"/>
  <c r="AC115" i="6"/>
  <c r="O116" i="6"/>
  <c r="O148" i="6"/>
  <c r="AC156" i="6"/>
  <c r="K142" i="6"/>
  <c r="O117" i="6"/>
  <c r="K127" i="6"/>
  <c r="U118" i="6"/>
  <c r="P152" i="6"/>
  <c r="K152" i="6"/>
  <c r="AC119" i="6"/>
  <c r="AC151" i="6"/>
  <c r="AC136" i="6"/>
  <c r="CY72" i="14"/>
  <c r="CW80" i="14"/>
  <c r="DH96" i="14"/>
  <c r="DN104" i="14"/>
  <c r="DT75" i="14"/>
  <c r="CW75" i="14"/>
  <c r="DH107" i="14"/>
  <c r="CW68" i="14"/>
  <c r="CY76" i="14"/>
  <c r="DD92" i="14"/>
  <c r="CY92" i="14"/>
  <c r="CY100" i="14"/>
  <c r="DS108" i="14"/>
  <c r="DH65" i="14"/>
  <c r="DD73" i="14"/>
  <c r="DS81" i="14"/>
  <c r="CY97" i="14"/>
  <c r="CW66" i="14"/>
  <c r="CY82" i="14"/>
  <c r="DH82" i="14"/>
  <c r="CW90" i="14"/>
  <c r="DH106" i="14"/>
  <c r="DS106" i="14"/>
  <c r="DN69" i="14"/>
  <c r="DN77" i="14"/>
  <c r="DN101" i="14"/>
  <c r="CY109" i="14"/>
  <c r="DS62" i="14"/>
  <c r="CW70" i="14"/>
  <c r="DD78" i="14"/>
  <c r="CW86" i="14"/>
  <c r="DT102" i="14"/>
  <c r="CW71" i="14"/>
  <c r="CW79" i="14"/>
  <c r="DD87" i="14"/>
  <c r="DH95" i="14"/>
  <c r="CW95" i="14"/>
  <c r="CW103" i="14"/>
  <c r="DN95" i="14"/>
  <c r="AQ77" i="14"/>
  <c r="AQ99" i="14"/>
  <c r="U145" i="6"/>
  <c r="P123" i="6"/>
  <c r="AC132" i="6"/>
  <c r="O140" i="6"/>
  <c r="AC148" i="6"/>
  <c r="K150" i="6"/>
  <c r="O125" i="6"/>
  <c r="O133" i="6"/>
  <c r="O141" i="6"/>
  <c r="K135" i="6"/>
  <c r="P138" i="6"/>
  <c r="K160" i="6"/>
  <c r="Z151" i="6"/>
  <c r="K139" i="6"/>
  <c r="DD72" i="14"/>
  <c r="DS72" i="14"/>
  <c r="DD80" i="14"/>
  <c r="CY80" i="14"/>
  <c r="DD88" i="14"/>
  <c r="CW88" i="14"/>
  <c r="DS96" i="14"/>
  <c r="DT96" i="14"/>
  <c r="DD104" i="14"/>
  <c r="CY104" i="14"/>
  <c r="DN61" i="14"/>
  <c r="DN67" i="14"/>
  <c r="DH75" i="14"/>
  <c r="DS83" i="14"/>
  <c r="CW99" i="14"/>
  <c r="DS107" i="14"/>
  <c r="DD68" i="14"/>
  <c r="DT76" i="14"/>
  <c r="CY84" i="14"/>
  <c r="DS92" i="14"/>
  <c r="DT73" i="14"/>
  <c r="DD89" i="14"/>
  <c r="CW105" i="14"/>
  <c r="DT66" i="14"/>
  <c r="DS82" i="14"/>
  <c r="DN82" i="14"/>
  <c r="DD69" i="14"/>
  <c r="DD77" i="14"/>
  <c r="DN93" i="14"/>
  <c r="DD101" i="14"/>
  <c r="DS101" i="14"/>
  <c r="DD109" i="14"/>
  <c r="DD62" i="14"/>
  <c r="DH70" i="14"/>
  <c r="DN70" i="14"/>
  <c r="DS94" i="14"/>
  <c r="DS110" i="14"/>
  <c r="DD63" i="14"/>
  <c r="CW63" i="14"/>
  <c r="DN71" i="14"/>
  <c r="DD79" i="14"/>
  <c r="CY79" i="14"/>
  <c r="DH103" i="14"/>
  <c r="P113" i="6"/>
  <c r="O147" i="6"/>
  <c r="T115" i="6"/>
  <c r="P131" i="6"/>
  <c r="AC116" i="6"/>
  <c r="P124" i="6"/>
  <c r="P154" i="6"/>
  <c r="K158" i="6"/>
  <c r="AC117" i="6"/>
  <c r="AC125" i="6"/>
  <c r="K145" i="6"/>
  <c r="P136" i="6"/>
  <c r="AC145" i="6"/>
  <c r="K143" i="6"/>
  <c r="P128" i="6"/>
  <c r="K129" i="6"/>
  <c r="K122" i="6"/>
  <c r="DT64" i="14"/>
  <c r="DT80" i="14"/>
  <c r="DS88" i="14"/>
  <c r="DS104" i="14"/>
  <c r="DT61" i="14"/>
  <c r="DS61" i="14"/>
  <c r="DD75" i="14"/>
  <c r="DS75" i="14"/>
  <c r="CW83" i="14"/>
  <c r="DN91" i="14"/>
  <c r="DN99" i="14"/>
  <c r="DD84" i="14"/>
  <c r="DH92" i="14"/>
  <c r="DD65" i="14"/>
  <c r="DH73" i="14"/>
  <c r="DN73" i="14"/>
  <c r="DH81" i="14"/>
  <c r="DD81" i="14"/>
  <c r="DS89" i="14"/>
  <c r="DN97" i="14"/>
  <c r="DD66" i="14"/>
  <c r="DD74" i="14"/>
  <c r="DS74" i="14"/>
  <c r="CW82" i="14"/>
  <c r="DD90" i="14"/>
  <c r="DN98" i="14"/>
  <c r="DH77" i="14"/>
  <c r="DN85" i="14"/>
  <c r="DT85" i="14"/>
  <c r="DH101" i="14"/>
  <c r="DT62" i="14"/>
  <c r="DT70" i="14"/>
  <c r="DD86" i="14"/>
  <c r="CY102" i="14"/>
  <c r="DN63" i="14"/>
  <c r="DS79" i="14"/>
  <c r="DS87" i="14"/>
  <c r="DS95" i="14"/>
  <c r="DN103" i="14"/>
  <c r="AJ131" i="6"/>
  <c r="AG145" i="6"/>
  <c r="AF135" i="6"/>
  <c r="AF141" i="6"/>
  <c r="AH123" i="6"/>
  <c r="AH131" i="6"/>
  <c r="AG117" i="6"/>
  <c r="AH149" i="6"/>
  <c r="AF119" i="6"/>
  <c r="AF127" i="6"/>
  <c r="AF120" i="6"/>
  <c r="AG158" i="6"/>
  <c r="AH141" i="6"/>
  <c r="AG143" i="6"/>
  <c r="AG115" i="6"/>
  <c r="AG131" i="6"/>
  <c r="AG160" i="6"/>
  <c r="AG114" i="6"/>
  <c r="AG136" i="6"/>
  <c r="AH154" i="6"/>
  <c r="AH148" i="6"/>
  <c r="AH161" i="6"/>
  <c r="AG142" i="6"/>
  <c r="AG120" i="6"/>
  <c r="AG130" i="6"/>
  <c r="AH113" i="6"/>
  <c r="AG155" i="6"/>
  <c r="AH116" i="6"/>
  <c r="AG140" i="6"/>
  <c r="AF144" i="6"/>
  <c r="AF122" i="6"/>
  <c r="AF129" i="6"/>
  <c r="AE136" i="6"/>
  <c r="AE121" i="6"/>
  <c r="AD147" i="6"/>
  <c r="AD128" i="6"/>
  <c r="AD158" i="6"/>
  <c r="AC127" i="6"/>
  <c r="AC143" i="6"/>
  <c r="AC160" i="6"/>
  <c r="AC152" i="6"/>
  <c r="AD114" i="6"/>
  <c r="AD117" i="6"/>
  <c r="AB136" i="6"/>
  <c r="AD135" i="6"/>
  <c r="AB130" i="6"/>
  <c r="AD113" i="6"/>
  <c r="AD139" i="6"/>
  <c r="AD155" i="6"/>
  <c r="AC158" i="6"/>
  <c r="AC135" i="6"/>
  <c r="AC122" i="6"/>
  <c r="AD116" i="6"/>
  <c r="AD149" i="6"/>
  <c r="AD118" i="6"/>
  <c r="AC134" i="6"/>
  <c r="AD133" i="6"/>
  <c r="AB149" i="6"/>
  <c r="AC118" i="6"/>
  <c r="AC126" i="6"/>
  <c r="AB126" i="6"/>
  <c r="AC120" i="6"/>
  <c r="AD131" i="6"/>
  <c r="AD140" i="6"/>
  <c r="AD150" i="6"/>
  <c r="AB152" i="6"/>
  <c r="AC138" i="6"/>
  <c r="AC153" i="6"/>
  <c r="AB154" i="6"/>
  <c r="Z117" i="6"/>
  <c r="Z162" i="6"/>
  <c r="Z126" i="6"/>
  <c r="Z129" i="6"/>
  <c r="W130" i="6"/>
  <c r="X129" i="6"/>
  <c r="W123" i="6"/>
  <c r="U161" i="6"/>
  <c r="S141" i="6"/>
  <c r="S134" i="6"/>
  <c r="S142" i="6"/>
  <c r="S118" i="6"/>
  <c r="S152" i="6"/>
  <c r="S157" i="6"/>
  <c r="S147" i="6"/>
  <c r="S117" i="6"/>
  <c r="S155" i="6"/>
  <c r="S128" i="6"/>
  <c r="S138" i="6"/>
  <c r="S122" i="6"/>
  <c r="S135" i="6"/>
  <c r="S130" i="6"/>
  <c r="S146" i="6"/>
  <c r="S113" i="6"/>
  <c r="S115" i="6"/>
  <c r="S160" i="6"/>
  <c r="S162" i="6"/>
  <c r="S124" i="6"/>
  <c r="S140" i="6"/>
  <c r="S148" i="6"/>
  <c r="S156" i="6"/>
  <c r="S125" i="6"/>
  <c r="S126" i="6"/>
  <c r="S161" i="6"/>
  <c r="S144" i="6"/>
  <c r="P158" i="6"/>
  <c r="P125" i="6"/>
  <c r="P145" i="6"/>
  <c r="L155" i="6"/>
  <c r="L140" i="6"/>
  <c r="L158" i="6"/>
  <c r="L149" i="6"/>
  <c r="L154" i="6"/>
  <c r="L156" i="6"/>
  <c r="O135" i="6"/>
  <c r="L116" i="6"/>
  <c r="O128" i="6"/>
  <c r="O154" i="6"/>
  <c r="L137" i="6"/>
  <c r="O150" i="6"/>
  <c r="L162" i="6"/>
  <c r="L142" i="6"/>
  <c r="L113" i="6"/>
  <c r="L148" i="6"/>
  <c r="L114" i="6"/>
  <c r="L141" i="6"/>
  <c r="L122" i="6"/>
  <c r="L159" i="6"/>
  <c r="L123" i="6"/>
  <c r="L143" i="6"/>
  <c r="L151" i="6"/>
  <c r="K162" i="6"/>
  <c r="K155" i="6"/>
  <c r="K128" i="6"/>
  <c r="K130" i="6"/>
  <c r="AX83" i="14"/>
  <c r="AX102" i="14"/>
  <c r="AX68" i="14"/>
  <c r="AX62" i="14"/>
  <c r="DE80" i="14"/>
  <c r="DI88" i="14"/>
  <c r="DE104" i="14"/>
  <c r="DE61" i="14"/>
  <c r="DR37" i="14"/>
  <c r="DI67" i="14"/>
  <c r="DR91" i="14"/>
  <c r="DI16" i="14"/>
  <c r="DQ16" i="14"/>
  <c r="DP16" i="14"/>
  <c r="DI100" i="14"/>
  <c r="DR108" i="14"/>
  <c r="DE108" i="14"/>
  <c r="DR73" i="14"/>
  <c r="DR81" i="14"/>
  <c r="DR89" i="14"/>
  <c r="DR105" i="14"/>
  <c r="DN33" i="14"/>
  <c r="DK55" i="14"/>
  <c r="CZ55" i="14"/>
  <c r="DE93" i="14"/>
  <c r="DR102" i="14"/>
  <c r="DR63" i="14"/>
  <c r="DR71" i="14"/>
  <c r="DI79" i="14"/>
  <c r="DE95" i="14"/>
  <c r="DI95" i="14"/>
  <c r="AI101" i="14"/>
  <c r="AX67" i="14"/>
  <c r="BW107" i="14"/>
  <c r="AX61" i="14"/>
  <c r="AX106" i="14"/>
  <c r="CF100" i="14"/>
  <c r="AI98" i="14"/>
  <c r="AI69" i="14"/>
  <c r="AI85" i="14"/>
  <c r="AI88" i="14"/>
  <c r="AI99" i="14"/>
  <c r="AI100" i="14"/>
  <c r="AI76" i="14"/>
  <c r="DQ64" i="14"/>
  <c r="DG72" i="14"/>
  <c r="DO80" i="14"/>
  <c r="DQ80" i="14"/>
  <c r="DP88" i="14"/>
  <c r="DQ96" i="14"/>
  <c r="DO104" i="14"/>
  <c r="DO61" i="14"/>
  <c r="DI75" i="14"/>
  <c r="DE83" i="14"/>
  <c r="CU83" i="14"/>
  <c r="DQ83" i="14"/>
  <c r="DQ99" i="14"/>
  <c r="CX99" i="14"/>
  <c r="DO107" i="14"/>
  <c r="DM40" i="14"/>
  <c r="DB40" i="14"/>
  <c r="DP68" i="14"/>
  <c r="DR68" i="14"/>
  <c r="DQ76" i="14"/>
  <c r="DE84" i="14"/>
  <c r="DG84" i="14"/>
  <c r="DG108" i="14"/>
  <c r="CU65" i="14"/>
  <c r="DP81" i="14"/>
  <c r="DG81" i="14"/>
  <c r="DQ81" i="14"/>
  <c r="DO89" i="14"/>
  <c r="CX89" i="14"/>
  <c r="DP105" i="14"/>
  <c r="DI105" i="14"/>
  <c r="DA30" i="14"/>
  <c r="DE66" i="14"/>
  <c r="DG66" i="14"/>
  <c r="DQ66" i="14"/>
  <c r="DP74" i="14"/>
  <c r="DE82" i="14"/>
  <c r="DI90" i="14"/>
  <c r="DE98" i="14"/>
  <c r="DQ15" i="14"/>
  <c r="DG15" i="14"/>
  <c r="CU69" i="14"/>
  <c r="CU77" i="14"/>
  <c r="DR77" i="14"/>
  <c r="DI85" i="14"/>
  <c r="CU109" i="14"/>
  <c r="CX62" i="14"/>
  <c r="CX70" i="14"/>
  <c r="DO86" i="14"/>
  <c r="CX86" i="14"/>
  <c r="DP102" i="14"/>
  <c r="CX110" i="14"/>
  <c r="CZ19" i="14"/>
  <c r="DO63" i="14"/>
  <c r="DO71" i="14"/>
  <c r="CU79" i="14"/>
  <c r="CX79" i="14"/>
  <c r="DO87" i="14"/>
  <c r="CU87" i="14"/>
  <c r="DR87" i="14"/>
  <c r="DP103" i="14"/>
  <c r="DQ103" i="14"/>
  <c r="CX103" i="14"/>
  <c r="DA36" i="14"/>
  <c r="DG21" i="14"/>
  <c r="DP21" i="14"/>
  <c r="DK54" i="14"/>
  <c r="DB39" i="14"/>
  <c r="DQ39" i="14"/>
  <c r="DB26" i="14"/>
  <c r="DA26" i="14"/>
  <c r="DG43" i="14"/>
  <c r="AX97" i="14"/>
  <c r="DK45" i="14"/>
  <c r="DG45" i="14"/>
  <c r="DR84" i="14"/>
  <c r="DR65" i="14"/>
  <c r="DI74" i="14"/>
  <c r="DP78" i="14"/>
  <c r="CX20" i="14"/>
  <c r="DN20" i="14"/>
  <c r="AX75" i="14"/>
  <c r="BW91" i="14"/>
  <c r="AX94" i="14"/>
  <c r="AI110" i="14"/>
  <c r="BQ69" i="14"/>
  <c r="CE85" i="14"/>
  <c r="AI107" i="14"/>
  <c r="AI79" i="14"/>
  <c r="AI89" i="14"/>
  <c r="AX105" i="14"/>
  <c r="AI82" i="14"/>
  <c r="AI92" i="14"/>
  <c r="DB64" i="14"/>
  <c r="DE72" i="14"/>
  <c r="DB72" i="14"/>
  <c r="CU80" i="14"/>
  <c r="CU88" i="14"/>
  <c r="DA88" i="14"/>
  <c r="DO96" i="14"/>
  <c r="DE96" i="14"/>
  <c r="DI96" i="14"/>
  <c r="DG104" i="14"/>
  <c r="DQ61" i="14"/>
  <c r="DB67" i="14"/>
  <c r="CX83" i="14"/>
  <c r="DR83" i="14"/>
  <c r="DI99" i="14"/>
  <c r="DC99" i="14"/>
  <c r="DB99" i="14"/>
  <c r="DP107" i="14"/>
  <c r="DN48" i="14"/>
  <c r="DG48" i="14"/>
  <c r="DI76" i="14"/>
  <c r="DR76" i="14"/>
  <c r="DB84" i="14"/>
  <c r="CX84" i="14"/>
  <c r="DR92" i="14"/>
  <c r="DA92" i="14"/>
  <c r="CU100" i="14"/>
  <c r="DG100" i="14"/>
  <c r="DO108" i="14"/>
  <c r="DO65" i="14"/>
  <c r="CX65" i="14"/>
  <c r="DC65" i="14"/>
  <c r="DB73" i="14"/>
  <c r="DI89" i="14"/>
  <c r="DB97" i="14"/>
  <c r="CX97" i="14"/>
  <c r="DG105" i="14"/>
  <c r="DQ38" i="14"/>
  <c r="CU66" i="14"/>
  <c r="CX66" i="14"/>
  <c r="DG74" i="14"/>
  <c r="DO74" i="14"/>
  <c r="DR74" i="14"/>
  <c r="DP82" i="14"/>
  <c r="CU82" i="14"/>
  <c r="CX90" i="14"/>
  <c r="CZ98" i="14"/>
  <c r="DI98" i="14"/>
  <c r="DM106" i="14"/>
  <c r="DB106" i="14"/>
  <c r="DA106" i="14"/>
  <c r="CU23" i="14"/>
  <c r="DA23" i="14"/>
  <c r="DQ23" i="14"/>
  <c r="DP23" i="14"/>
  <c r="DG23" i="14"/>
  <c r="DE69" i="14"/>
  <c r="DG69" i="14"/>
  <c r="DK93" i="14"/>
  <c r="DI93" i="14"/>
  <c r="DA93" i="14"/>
  <c r="DI101" i="14"/>
  <c r="DQ101" i="14"/>
  <c r="DK101" i="14"/>
  <c r="DB109" i="14"/>
  <c r="DK62" i="14"/>
  <c r="DP70" i="14"/>
  <c r="DK70" i="14"/>
  <c r="DR78" i="14"/>
  <c r="DB86" i="14"/>
  <c r="DM86" i="14"/>
  <c r="DL94" i="14"/>
  <c r="DM94" i="14"/>
  <c r="DQ94" i="14"/>
  <c r="DK110" i="14"/>
  <c r="CU71" i="14"/>
  <c r="CX71" i="14"/>
  <c r="CZ79" i="14"/>
  <c r="DG79" i="14"/>
  <c r="DR79" i="14"/>
  <c r="DM79" i="14"/>
  <c r="DP87" i="14"/>
  <c r="CZ95" i="14"/>
  <c r="DB95" i="14"/>
  <c r="CX95" i="14"/>
  <c r="DI44" i="14"/>
  <c r="AX80" i="14"/>
  <c r="CF108" i="14"/>
  <c r="AX99" i="14"/>
  <c r="DR64" i="14"/>
  <c r="DI104" i="14"/>
  <c r="DG24" i="14"/>
  <c r="DK24" i="14"/>
  <c r="DN14" i="14"/>
  <c r="DO85" i="14"/>
  <c r="DO70" i="14"/>
  <c r="CU70" i="14"/>
  <c r="DO78" i="14"/>
  <c r="CU94" i="14"/>
  <c r="CU102" i="14"/>
  <c r="CX102" i="14"/>
  <c r="DI110" i="14"/>
  <c r="DP110" i="14"/>
  <c r="CU63" i="14"/>
  <c r="DE71" i="14"/>
  <c r="DQ71" i="14"/>
  <c r="DI71" i="14"/>
  <c r="DP95" i="14"/>
  <c r="DR95" i="14"/>
  <c r="AI91" i="14"/>
  <c r="CH91" i="14"/>
  <c r="AX84" i="14"/>
  <c r="BO56" i="14"/>
  <c r="DQ57" i="14"/>
  <c r="DQ33" i="14" s="1"/>
  <c r="DI57" i="14"/>
  <c r="DI54" i="14" s="1"/>
  <c r="DA57" i="14"/>
  <c r="DA39" i="14" s="1"/>
  <c r="DP57" i="14"/>
  <c r="DP20" i="14" s="1"/>
  <c r="DO57" i="14"/>
  <c r="DO40" i="14" s="1"/>
  <c r="DN57" i="14"/>
  <c r="DN16" i="14" s="1"/>
  <c r="DE57" i="14"/>
  <c r="DE21" i="14" s="1"/>
  <c r="CV57" i="14"/>
  <c r="CV37" i="14" s="1"/>
  <c r="DM57" i="14"/>
  <c r="DM37" i="14" s="1"/>
  <c r="DD57" i="14"/>
  <c r="DD40" i="14" s="1"/>
  <c r="CU57" i="14"/>
  <c r="CU19" i="14" s="1"/>
  <c r="DL57" i="14"/>
  <c r="DL33" i="14" s="1"/>
  <c r="DC57" i="14"/>
  <c r="DC40" i="14" s="1"/>
  <c r="DK57" i="14"/>
  <c r="DK39" i="14" s="1"/>
  <c r="DB57" i="14"/>
  <c r="DB15" i="14" s="1"/>
  <c r="DJ57" i="14"/>
  <c r="DJ16" i="14" s="1"/>
  <c r="CZ57" i="14"/>
  <c r="CZ16" i="14" s="1"/>
  <c r="DH57" i="14"/>
  <c r="DH55" i="14" s="1"/>
  <c r="DG57" i="14"/>
  <c r="DG14" i="14" s="1"/>
  <c r="DF57" i="14"/>
  <c r="DF37" i="14" s="1"/>
  <c r="CY57" i="14"/>
  <c r="CY42" i="14" s="1"/>
  <c r="CX57" i="14"/>
  <c r="CX33" i="14" s="1"/>
  <c r="DS57" i="14"/>
  <c r="DS37" i="14" s="1"/>
  <c r="DT57" i="14"/>
  <c r="DT45" i="14" s="1"/>
  <c r="CW57" i="14"/>
  <c r="CW33" i="14" s="1"/>
  <c r="DR57" i="14"/>
  <c r="DR30" i="14" s="1"/>
  <c r="AI78" i="14"/>
  <c r="AI64" i="14"/>
  <c r="AX89" i="14"/>
  <c r="AI80" i="14"/>
  <c r="DC80" i="14"/>
  <c r="DB88" i="14"/>
  <c r="DQ88" i="14"/>
  <c r="DR104" i="14"/>
  <c r="DB104" i="14"/>
  <c r="DP104" i="14"/>
  <c r="DP61" i="14"/>
  <c r="DB61" i="14"/>
  <c r="CX61" i="14"/>
  <c r="DA29" i="14"/>
  <c r="DR29" i="14"/>
  <c r="DL29" i="14"/>
  <c r="DC29" i="14"/>
  <c r="DN29" i="14"/>
  <c r="DG29" i="14"/>
  <c r="CX29" i="14"/>
  <c r="DK29" i="14"/>
  <c r="CZ29" i="14"/>
  <c r="DM29" i="14"/>
  <c r="DG67" i="14"/>
  <c r="DG83" i="14"/>
  <c r="DA83" i="14"/>
  <c r="DE99" i="14"/>
  <c r="DQ107" i="14"/>
  <c r="DB107" i="14"/>
  <c r="CT57" i="14"/>
  <c r="CT42" i="14" s="1"/>
  <c r="DA76" i="14"/>
  <c r="DC84" i="14"/>
  <c r="CU84" i="14"/>
  <c r="DC100" i="14"/>
  <c r="CX100" i="14"/>
  <c r="DP108" i="14"/>
  <c r="DP65" i="14"/>
  <c r="DE73" i="14"/>
  <c r="DA73" i="14"/>
  <c r="DE81" i="14"/>
  <c r="DC81" i="14"/>
  <c r="DE89" i="14"/>
  <c r="DO97" i="14"/>
  <c r="DA105" i="14"/>
  <c r="CU105" i="14"/>
  <c r="DR17" i="14"/>
  <c r="DE17" i="14"/>
  <c r="DB17" i="14"/>
  <c r="DA17" i="14"/>
  <c r="DL17" i="14"/>
  <c r="CZ17" i="14"/>
  <c r="DK17" i="14"/>
  <c r="DG17" i="14"/>
  <c r="DN17" i="14"/>
  <c r="CX17" i="14"/>
  <c r="DB66" i="14"/>
  <c r="DR66" i="14"/>
  <c r="DA74" i="14"/>
  <c r="DG82" i="14"/>
  <c r="DR90" i="14"/>
  <c r="DG98" i="14"/>
  <c r="DQ98" i="14"/>
  <c r="CU106" i="14"/>
  <c r="DG106" i="14"/>
  <c r="DA47" i="14"/>
  <c r="CV47" i="14"/>
  <c r="DO47" i="14"/>
  <c r="DN47" i="14"/>
  <c r="DK47" i="14"/>
  <c r="CX47" i="14"/>
  <c r="DM47" i="14"/>
  <c r="DS47" i="14"/>
  <c r="DG47" i="14"/>
  <c r="DE47" i="14"/>
  <c r="DI69" i="14"/>
  <c r="DC77" i="14"/>
  <c r="CX77" i="14"/>
  <c r="DG85" i="14"/>
  <c r="DP93" i="14"/>
  <c r="DQ93" i="14"/>
  <c r="DE101" i="14"/>
  <c r="DP101" i="14"/>
  <c r="CX109" i="14"/>
  <c r="DA34" i="14"/>
  <c r="DQ34" i="14"/>
  <c r="CU34" i="14"/>
  <c r="DI34" i="14"/>
  <c r="DN34" i="14"/>
  <c r="DF34" i="14"/>
  <c r="DG34" i="14"/>
  <c r="DK34" i="14"/>
  <c r="DO34" i="14"/>
  <c r="CW34" i="14"/>
  <c r="CX34" i="14"/>
  <c r="DO62" i="14"/>
  <c r="DG62" i="14"/>
  <c r="DA62" i="14"/>
  <c r="DI70" i="14"/>
  <c r="DC78" i="14"/>
  <c r="DC86" i="14"/>
  <c r="DP86" i="14"/>
  <c r="DC102" i="14"/>
  <c r="DL102" i="14"/>
  <c r="DE102" i="14"/>
  <c r="DL110" i="14"/>
  <c r="DR110" i="14"/>
  <c r="DO110" i="14"/>
  <c r="DQ110" i="14"/>
  <c r="CV51" i="14"/>
  <c r="DA51" i="14"/>
  <c r="CX51" i="14"/>
  <c r="DG51" i="14"/>
  <c r="DP51" i="14"/>
  <c r="DK51" i="14"/>
  <c r="CU51" i="14"/>
  <c r="DN51" i="14"/>
  <c r="CZ63" i="14"/>
  <c r="DL63" i="14"/>
  <c r="DQ63" i="14"/>
  <c r="DK71" i="14"/>
  <c r="DC79" i="14"/>
  <c r="DI87" i="14"/>
  <c r="DB87" i="14"/>
  <c r="DG87" i="14"/>
  <c r="DK95" i="14"/>
  <c r="DG95" i="14"/>
  <c r="DE103" i="14"/>
  <c r="DI103" i="14"/>
  <c r="DC103" i="14"/>
  <c r="DR103" i="14"/>
  <c r="DI64" i="14"/>
  <c r="DI80" i="14"/>
  <c r="DR100" i="14"/>
  <c r="DI81" i="14"/>
  <c r="DR85" i="14"/>
  <c r="DE109" i="14"/>
  <c r="DR86" i="14"/>
  <c r="AI93" i="14"/>
  <c r="BQ75" i="14"/>
  <c r="BS80" i="14"/>
  <c r="AI77" i="14"/>
  <c r="AX87" i="14"/>
  <c r="AI65" i="14"/>
  <c r="AI90" i="14"/>
  <c r="DP64" i="14"/>
  <c r="DI72" i="14"/>
  <c r="CU72" i="14"/>
  <c r="DR80" i="14"/>
  <c r="DR88" i="14"/>
  <c r="DE88" i="14"/>
  <c r="DR96" i="14"/>
  <c r="CX104" i="14"/>
  <c r="DG61" i="14"/>
  <c r="DJ53" i="14"/>
  <c r="DB53" i="14"/>
  <c r="DA53" i="14"/>
  <c r="DS53" i="14"/>
  <c r="DK53" i="14"/>
  <c r="DF53" i="14"/>
  <c r="DM53" i="14"/>
  <c r="DE53" i="14"/>
  <c r="CX53" i="14"/>
  <c r="DN53" i="14"/>
  <c r="DG53" i="14"/>
  <c r="DR67" i="14"/>
  <c r="DE75" i="14"/>
  <c r="DC75" i="14"/>
  <c r="DA75" i="14"/>
  <c r="DC83" i="14"/>
  <c r="DE91" i="14"/>
  <c r="DQ91" i="14"/>
  <c r="DC107" i="14"/>
  <c r="DR107" i="14"/>
  <c r="DL32" i="14"/>
  <c r="DT32" i="14"/>
  <c r="DQ32" i="14"/>
  <c r="DB32" i="14"/>
  <c r="DA32" i="14"/>
  <c r="CX32" i="14"/>
  <c r="DO32" i="14"/>
  <c r="CZ32" i="14"/>
  <c r="DK32" i="14"/>
  <c r="DG32" i="14"/>
  <c r="DN32" i="14"/>
  <c r="DG68" i="14"/>
  <c r="DA68" i="14"/>
  <c r="DO84" i="14"/>
  <c r="DA84" i="14"/>
  <c r="DI84" i="14"/>
  <c r="DE92" i="14"/>
  <c r="DI92" i="14"/>
  <c r="DE100" i="14"/>
  <c r="DQ100" i="14"/>
  <c r="DE65" i="14"/>
  <c r="DA65" i="14"/>
  <c r="DP73" i="14"/>
  <c r="DG73" i="14"/>
  <c r="CX81" i="14"/>
  <c r="DC89" i="14"/>
  <c r="DA89" i="14"/>
  <c r="DR97" i="14"/>
  <c r="DE105" i="14"/>
  <c r="DC105" i="14"/>
  <c r="DE22" i="14"/>
  <c r="DA22" i="14"/>
  <c r="CV22" i="14"/>
  <c r="DL22" i="14"/>
  <c r="CU22" i="14"/>
  <c r="DS22" i="14"/>
  <c r="DG22" i="14"/>
  <c r="DK22" i="14"/>
  <c r="DN22" i="14"/>
  <c r="CX22" i="14"/>
  <c r="DP22" i="14"/>
  <c r="CU49" i="14"/>
  <c r="DA49" i="14"/>
  <c r="CX49" i="14"/>
  <c r="DG49" i="14"/>
  <c r="DP49" i="14"/>
  <c r="DK49" i="14"/>
  <c r="CZ49" i="14"/>
  <c r="DM49" i="14"/>
  <c r="DN49" i="14"/>
  <c r="DE49" i="14"/>
  <c r="DO66" i="14"/>
  <c r="DB74" i="14"/>
  <c r="DQ74" i="14"/>
  <c r="DR82" i="14"/>
  <c r="DQ82" i="14"/>
  <c r="DA90" i="14"/>
  <c r="DG90" i="14"/>
  <c r="CX106" i="14"/>
  <c r="DI106" i="14"/>
  <c r="DP69" i="14"/>
  <c r="DR69" i="14"/>
  <c r="DI77" i="14"/>
  <c r="CU85" i="14"/>
  <c r="DQ85" i="14"/>
  <c r="DC93" i="14"/>
  <c r="DO93" i="14"/>
  <c r="DB93" i="14"/>
  <c r="CU101" i="14"/>
  <c r="DR101" i="14"/>
  <c r="DO109" i="14"/>
  <c r="DA70" i="14"/>
  <c r="DR70" i="14"/>
  <c r="CX78" i="14"/>
  <c r="DQ78" i="14"/>
  <c r="CU86" i="14"/>
  <c r="DE86" i="14"/>
  <c r="DQ86" i="14"/>
  <c r="DI94" i="14"/>
  <c r="DP94" i="14"/>
  <c r="DA110" i="14"/>
  <c r="DA63" i="14"/>
  <c r="CX63" i="14"/>
  <c r="DB71" i="14"/>
  <c r="DO79" i="14"/>
  <c r="DQ79" i="14"/>
  <c r="DQ87" i="14"/>
  <c r="CU95" i="14"/>
  <c r="DQ95" i="14"/>
  <c r="DC95" i="14"/>
  <c r="DA103" i="14"/>
  <c r="DO103" i="14"/>
  <c r="DA28" i="14"/>
  <c r="DM28" i="14"/>
  <c r="CZ28" i="14"/>
  <c r="DL28" i="14"/>
  <c r="DB28" i="14"/>
  <c r="DN28" i="14"/>
  <c r="DK28" i="14"/>
  <c r="CX28" i="14"/>
  <c r="DG28" i="14"/>
  <c r="DR72" i="14"/>
  <c r="DI83" i="14"/>
  <c r="DI97" i="14"/>
  <c r="DL41" i="14"/>
  <c r="DK41" i="14"/>
  <c r="DJ41" i="14"/>
  <c r="DT41" i="14"/>
  <c r="DG41" i="14"/>
  <c r="DS41" i="14"/>
  <c r="DA41" i="14"/>
  <c r="DF41" i="14"/>
  <c r="DM41" i="14"/>
  <c r="DD41" i="14"/>
  <c r="DN41" i="14"/>
  <c r="CX41" i="14"/>
  <c r="DP41" i="14"/>
  <c r="DQ25" i="14"/>
  <c r="DM25" i="14"/>
  <c r="DL25" i="14"/>
  <c r="DA25" i="14"/>
  <c r="DO25" i="14"/>
  <c r="DK25" i="14"/>
  <c r="DG25" i="14"/>
  <c r="DT25" i="14"/>
  <c r="DN25" i="14"/>
  <c r="CZ25" i="14"/>
  <c r="CX25" i="14"/>
  <c r="DI78" i="14"/>
  <c r="AI83" i="14"/>
  <c r="BQ99" i="14"/>
  <c r="BW80" i="14"/>
  <c r="AX98" i="14"/>
  <c r="AX92" i="14"/>
  <c r="AI94" i="14"/>
  <c r="AX77" i="14"/>
  <c r="AI62" i="14"/>
  <c r="AI86" i="14"/>
  <c r="AX90" i="14"/>
  <c r="DO64" i="14"/>
  <c r="CX64" i="14"/>
  <c r="DO72" i="14"/>
  <c r="DC72" i="14"/>
  <c r="DP80" i="14"/>
  <c r="DB96" i="14"/>
  <c r="CU96" i="14"/>
  <c r="CX96" i="14"/>
  <c r="CU61" i="14"/>
  <c r="DR61" i="14"/>
  <c r="DO67" i="14"/>
  <c r="CU67" i="14"/>
  <c r="CX67" i="14"/>
  <c r="DP75" i="14"/>
  <c r="DQ75" i="14"/>
  <c r="DP83" i="14"/>
  <c r="CX91" i="14"/>
  <c r="DA99" i="14"/>
  <c r="DG99" i="14"/>
  <c r="DE107" i="14"/>
  <c r="DI107" i="14"/>
  <c r="DE68" i="14"/>
  <c r="DI68" i="14"/>
  <c r="DQ68" i="14"/>
  <c r="DP76" i="14"/>
  <c r="DQ84" i="14"/>
  <c r="DG92" i="14"/>
  <c r="CX92" i="14"/>
  <c r="DI108" i="14"/>
  <c r="CU108" i="14"/>
  <c r="CX108" i="14"/>
  <c r="DB65" i="14"/>
  <c r="DI65" i="14"/>
  <c r="DI73" i="14"/>
  <c r="DB81" i="14"/>
  <c r="DQ89" i="14"/>
  <c r="DE97" i="14"/>
  <c r="DQ97" i="14"/>
  <c r="DO105" i="14"/>
  <c r="DA46" i="14"/>
  <c r="DQ46" i="14"/>
  <c r="DM46" i="14"/>
  <c r="DK46" i="14"/>
  <c r="DJ46" i="14"/>
  <c r="DB46" i="14"/>
  <c r="DI46" i="14"/>
  <c r="DP46" i="14"/>
  <c r="CX46" i="14"/>
  <c r="DN46" i="14"/>
  <c r="CZ46" i="14"/>
  <c r="DG46" i="14"/>
  <c r="DM66" i="14"/>
  <c r="DE74" i="14"/>
  <c r="DL74" i="14"/>
  <c r="CU74" i="14"/>
  <c r="DC82" i="14"/>
  <c r="CZ82" i="14"/>
  <c r="CX82" i="14"/>
  <c r="DO90" i="14"/>
  <c r="DB90" i="14"/>
  <c r="DQ90" i="14"/>
  <c r="DC98" i="14"/>
  <c r="CX98" i="14"/>
  <c r="DR106" i="14"/>
  <c r="DC106" i="14"/>
  <c r="DQ106" i="14"/>
  <c r="DB31" i="14"/>
  <c r="DA31" i="14"/>
  <c r="DQ31" i="14"/>
  <c r="DD31" i="14"/>
  <c r="DJ31" i="14"/>
  <c r="DN31" i="14"/>
  <c r="CX31" i="14"/>
  <c r="DP31" i="14"/>
  <c r="DG31" i="14"/>
  <c r="CZ31" i="14"/>
  <c r="DK31" i="14"/>
  <c r="DE31" i="14"/>
  <c r="DM31" i="14"/>
  <c r="DO69" i="14"/>
  <c r="DC69" i="14"/>
  <c r="DE77" i="14"/>
  <c r="DQ77" i="14"/>
  <c r="DB85" i="14"/>
  <c r="DM85" i="14"/>
  <c r="CU93" i="14"/>
  <c r="DR93" i="14"/>
  <c r="DC101" i="14"/>
  <c r="CX101" i="14"/>
  <c r="DA109" i="14"/>
  <c r="DK109" i="14"/>
  <c r="DM18" i="14"/>
  <c r="CU18" i="14"/>
  <c r="DL18" i="14"/>
  <c r="DE18" i="14"/>
  <c r="DQ18" i="14"/>
  <c r="DA18" i="14"/>
  <c r="CV18" i="14"/>
  <c r="DP18" i="14"/>
  <c r="DK18" i="14"/>
  <c r="DN18" i="14"/>
  <c r="CZ18" i="14"/>
  <c r="DH18" i="14"/>
  <c r="DG18" i="14"/>
  <c r="CX18" i="14"/>
  <c r="DP62" i="14"/>
  <c r="DE62" i="14"/>
  <c r="DE70" i="14"/>
  <c r="DB70" i="14"/>
  <c r="CZ70" i="14"/>
  <c r="DM78" i="14"/>
  <c r="CU78" i="14"/>
  <c r="DL86" i="14"/>
  <c r="DI86" i="14"/>
  <c r="DC94" i="14"/>
  <c r="CU110" i="14"/>
  <c r="DE110" i="14"/>
  <c r="DL35" i="14"/>
  <c r="DB35" i="14"/>
  <c r="DA35" i="14"/>
  <c r="DQ35" i="14"/>
  <c r="CV35" i="14"/>
  <c r="CX35" i="14"/>
  <c r="CZ35" i="14"/>
  <c r="DM35" i="14"/>
  <c r="DS35" i="14"/>
  <c r="DE35" i="14"/>
  <c r="DK35" i="14"/>
  <c r="DG35" i="14"/>
  <c r="DN35" i="14"/>
  <c r="DE63" i="14"/>
  <c r="DG63" i="14"/>
  <c r="DL71" i="14"/>
  <c r="DP79" i="14"/>
  <c r="DC87" i="14"/>
  <c r="DO95" i="14"/>
  <c r="DJ103" i="14"/>
  <c r="DA52" i="14"/>
  <c r="DQ52" i="14"/>
  <c r="DM52" i="14"/>
  <c r="DL52" i="14"/>
  <c r="DE52" i="14"/>
  <c r="CX52" i="14"/>
  <c r="DC52" i="14"/>
  <c r="CZ52" i="14"/>
  <c r="DN52" i="14"/>
  <c r="CW52" i="14"/>
  <c r="DG52" i="14"/>
  <c r="DO52" i="14"/>
  <c r="BW70" i="14"/>
  <c r="BU61" i="14"/>
  <c r="BU94" i="14"/>
  <c r="CA75" i="14"/>
  <c r="CA79" i="14"/>
  <c r="CA77" i="14"/>
  <c r="CA107" i="14"/>
  <c r="CA67" i="14"/>
  <c r="CC68" i="14"/>
  <c r="CA93" i="14"/>
  <c r="CF101" i="14"/>
  <c r="CE96" i="14"/>
  <c r="CE101" i="14"/>
  <c r="CE63" i="14"/>
  <c r="CE80" i="14"/>
  <c r="CE109" i="14"/>
  <c r="CM109" i="14"/>
  <c r="AQ103" i="14"/>
  <c r="AR97" i="14"/>
  <c r="AR75" i="14"/>
  <c r="AX109" i="14"/>
  <c r="AX78" i="14"/>
  <c r="AX71" i="14"/>
  <c r="M154" i="6"/>
  <c r="CB67" i="14"/>
  <c r="CL61" i="14"/>
  <c r="AH106" i="14"/>
  <c r="AR76" i="14"/>
  <c r="BO84" i="14"/>
  <c r="CB101" i="14"/>
  <c r="AR62" i="14"/>
  <c r="V151" i="6"/>
  <c r="V162" i="6"/>
  <c r="AJ123" i="6"/>
  <c r="U131" i="6"/>
  <c r="M139" i="6"/>
  <c r="V155" i="6"/>
  <c r="M148" i="6"/>
  <c r="AJ158" i="6"/>
  <c r="AJ133" i="6"/>
  <c r="M158" i="6"/>
  <c r="V118" i="6"/>
  <c r="Z119" i="6"/>
  <c r="T127" i="6"/>
  <c r="V145" i="6"/>
  <c r="BO75" i="14"/>
  <c r="BZ61" i="14"/>
  <c r="AP106" i="14"/>
  <c r="AP85" i="14"/>
  <c r="CB70" i="14"/>
  <c r="BZ86" i="14"/>
  <c r="AR65" i="14"/>
  <c r="T113" i="6"/>
  <c r="Z144" i="6"/>
  <c r="L115" i="6"/>
  <c r="M131" i="6"/>
  <c r="AJ139" i="6"/>
  <c r="L147" i="6"/>
  <c r="AE132" i="6"/>
  <c r="AJ148" i="6"/>
  <c r="AE156" i="6"/>
  <c r="U114" i="6"/>
  <c r="V136" i="6"/>
  <c r="P162" i="6"/>
  <c r="V125" i="6"/>
  <c r="M133" i="6"/>
  <c r="V141" i="6"/>
  <c r="AJ136" i="6"/>
  <c r="X136" i="6"/>
  <c r="L150" i="6"/>
  <c r="N118" i="6"/>
  <c r="M126" i="6"/>
  <c r="V134" i="6"/>
  <c r="AG134" i="6"/>
  <c r="AH142" i="6"/>
  <c r="U150" i="6"/>
  <c r="AB128" i="6"/>
  <c r="AE128" i="6"/>
  <c r="V138" i="6"/>
  <c r="N156" i="6"/>
  <c r="V119" i="6"/>
  <c r="AG135" i="6"/>
  <c r="Z143" i="6"/>
  <c r="M151" i="6"/>
  <c r="P151" i="6"/>
  <c r="Z120" i="6"/>
  <c r="AG144" i="6"/>
  <c r="O122" i="6"/>
  <c r="V154" i="6"/>
  <c r="AE147" i="6"/>
  <c r="P121" i="6"/>
  <c r="P137" i="6"/>
  <c r="AG153" i="6"/>
  <c r="P160" i="6"/>
  <c r="K117" i="6"/>
  <c r="K131" i="6"/>
  <c r="K115" i="6"/>
  <c r="K123" i="6"/>
  <c r="AR98" i="14"/>
  <c r="AZ67" i="14"/>
  <c r="AP83" i="14"/>
  <c r="BO80" i="14"/>
  <c r="AP110" i="14"/>
  <c r="AR84" i="14"/>
  <c r="AR77" i="14"/>
  <c r="CB85" i="14"/>
  <c r="BZ109" i="14"/>
  <c r="BZ62" i="14"/>
  <c r="M113" i="6"/>
  <c r="L121" i="6"/>
  <c r="U115" i="6"/>
  <c r="L131" i="6"/>
  <c r="L139" i="6"/>
  <c r="M116" i="6"/>
  <c r="N116" i="6"/>
  <c r="M124" i="6"/>
  <c r="V124" i="6"/>
  <c r="U132" i="6"/>
  <c r="AJ132" i="6"/>
  <c r="N140" i="6"/>
  <c r="M156" i="6"/>
  <c r="P114" i="6"/>
  <c r="AJ154" i="6"/>
  <c r="L117" i="6"/>
  <c r="AG125" i="6"/>
  <c r="T142" i="6"/>
  <c r="O118" i="6"/>
  <c r="AB118" i="6"/>
  <c r="W126" i="6"/>
  <c r="V142" i="6"/>
  <c r="AE152" i="6"/>
  <c r="AG138" i="6"/>
  <c r="Z147" i="6"/>
  <c r="U159" i="6"/>
  <c r="AG127" i="6"/>
  <c r="Z135" i="6"/>
  <c r="P120" i="6"/>
  <c r="AH122" i="6"/>
  <c r="M122" i="6"/>
  <c r="AG154" i="6"/>
  <c r="T129" i="6"/>
  <c r="AG129" i="6"/>
  <c r="Z137" i="6"/>
  <c r="AJ130" i="6"/>
  <c r="P149" i="6"/>
  <c r="M152" i="6"/>
  <c r="M121" i="6"/>
  <c r="CL96" i="14"/>
  <c r="M160" i="6"/>
  <c r="V121" i="6"/>
  <c r="V127" i="6"/>
  <c r="AP75" i="14"/>
  <c r="BO99" i="14"/>
  <c r="AP80" i="14"/>
  <c r="AP90" i="14"/>
  <c r="AR101" i="14"/>
  <c r="CL100" i="14"/>
  <c r="CL109" i="14"/>
  <c r="CL62" i="14"/>
  <c r="V123" i="6"/>
  <c r="AG159" i="6"/>
  <c r="M115" i="6"/>
  <c r="Z131" i="6"/>
  <c r="AE131" i="6"/>
  <c r="AG139" i="6"/>
  <c r="AE139" i="6"/>
  <c r="AG147" i="6"/>
  <c r="M147" i="6"/>
  <c r="T155" i="6"/>
  <c r="T130" i="6"/>
  <c r="AG116" i="6"/>
  <c r="AJ116" i="6"/>
  <c r="AJ124" i="6"/>
  <c r="AJ140" i="6"/>
  <c r="AE148" i="6"/>
  <c r="AJ156" i="6"/>
  <c r="Z160" i="6"/>
  <c r="U117" i="6"/>
  <c r="Z133" i="6"/>
  <c r="V149" i="6"/>
  <c r="M144" i="6"/>
  <c r="O155" i="6"/>
  <c r="AE118" i="6"/>
  <c r="AH118" i="6"/>
  <c r="AG126" i="6"/>
  <c r="AB134" i="6"/>
  <c r="Z150" i="6"/>
  <c r="AH128" i="6"/>
  <c r="O152" i="6"/>
  <c r="M120" i="6"/>
  <c r="V148" i="6"/>
  <c r="AC159" i="6"/>
  <c r="O127" i="6"/>
  <c r="L135" i="6"/>
  <c r="P135" i="6"/>
  <c r="AG151" i="6"/>
  <c r="AJ120" i="6"/>
  <c r="AJ144" i="6"/>
  <c r="P144" i="6"/>
  <c r="Z146" i="6"/>
  <c r="AG133" i="6"/>
  <c r="P157" i="6"/>
  <c r="P129" i="6"/>
  <c r="X145" i="6"/>
  <c r="AF153" i="6"/>
  <c r="AG141" i="6"/>
  <c r="X130" i="6"/>
  <c r="AH139" i="6"/>
  <c r="AR68" i="14"/>
  <c r="AJ113" i="6"/>
  <c r="M138" i="6"/>
  <c r="CL83" i="14"/>
  <c r="CB99" i="14"/>
  <c r="AR93" i="14"/>
  <c r="AP102" i="14"/>
  <c r="CH68" i="14"/>
  <c r="CJ100" i="14"/>
  <c r="V113" i="6"/>
  <c r="AG148" i="6"/>
  <c r="AJ115" i="6"/>
  <c r="AG123" i="6"/>
  <c r="V131" i="6"/>
  <c r="AJ147" i="6"/>
  <c r="AG132" i="6"/>
  <c r="Z124" i="6"/>
  <c r="T132" i="6"/>
  <c r="Z114" i="6"/>
  <c r="V114" i="6"/>
  <c r="M149" i="6"/>
  <c r="M117" i="6"/>
  <c r="L157" i="6"/>
  <c r="L134" i="6"/>
  <c r="V128" i="6"/>
  <c r="L160" i="6"/>
  <c r="AG124" i="6"/>
  <c r="AG122" i="6"/>
  <c r="AG137" i="6"/>
  <c r="P153" i="6"/>
  <c r="P146" i="6"/>
  <c r="AG113" i="6"/>
  <c r="AR109" i="14"/>
  <c r="M136" i="6"/>
  <c r="AJ153" i="6"/>
  <c r="AJ155" i="6"/>
  <c r="N117" i="6"/>
  <c r="M125" i="6"/>
  <c r="AJ141" i="6"/>
  <c r="AJ159" i="6"/>
  <c r="AJ119" i="6"/>
  <c r="AR91" i="14"/>
  <c r="CJ80" i="14"/>
  <c r="AR61" i="14"/>
  <c r="AZ93" i="14"/>
  <c r="CL84" i="14"/>
  <c r="AP86" i="14"/>
  <c r="CJ110" i="14"/>
  <c r="AP63" i="14"/>
  <c r="Z113" i="6"/>
  <c r="X115" i="6"/>
  <c r="M123" i="6"/>
  <c r="M140" i="6"/>
  <c r="N114" i="6"/>
  <c r="AG149" i="6"/>
  <c r="V133" i="6"/>
  <c r="AJ114" i="6"/>
  <c r="AG156" i="6"/>
  <c r="AG118" i="6"/>
  <c r="Z134" i="6"/>
  <c r="N150" i="6"/>
  <c r="AG150" i="6"/>
  <c r="AG128" i="6"/>
  <c r="AG152" i="6"/>
  <c r="N119" i="6"/>
  <c r="AG119" i="6"/>
  <c r="AJ127" i="6"/>
  <c r="M143" i="6"/>
  <c r="AG146" i="6"/>
  <c r="AE154" i="6"/>
  <c r="AG157" i="6"/>
  <c r="N139" i="6"/>
  <c r="W139" i="6"/>
  <c r="X116" i="6"/>
  <c r="AH124" i="6"/>
  <c r="T124" i="6"/>
  <c r="AD132" i="6"/>
  <c r="X148" i="6"/>
  <c r="X156" i="6"/>
  <c r="AD144" i="6"/>
  <c r="T153" i="6"/>
  <c r="W125" i="6"/>
  <c r="AH133" i="6"/>
  <c r="Z141" i="6"/>
  <c r="L161" i="6"/>
  <c r="L153" i="6"/>
  <c r="AD119" i="6"/>
  <c r="O143" i="6"/>
  <c r="AD157" i="6"/>
  <c r="Z118" i="6"/>
  <c r="AJ126" i="6"/>
  <c r="AH134" i="6"/>
  <c r="N142" i="6"/>
  <c r="Z142" i="6"/>
  <c r="AJ128" i="6"/>
  <c r="Z128" i="6"/>
  <c r="AJ152" i="6"/>
  <c r="AE143" i="6"/>
  <c r="AE155" i="6"/>
  <c r="AE158" i="6"/>
  <c r="AE160" i="6"/>
  <c r="AE135" i="6"/>
  <c r="AE142" i="6"/>
  <c r="AH138" i="6"/>
  <c r="X138" i="6"/>
  <c r="AD136" i="6"/>
  <c r="AH156" i="6"/>
  <c r="AE119" i="6"/>
  <c r="AB119" i="6"/>
  <c r="AH127" i="6"/>
  <c r="L127" i="6"/>
  <c r="X127" i="6"/>
  <c r="M135" i="6"/>
  <c r="U143" i="6"/>
  <c r="U151" i="6"/>
  <c r="V143" i="6"/>
  <c r="V159" i="6"/>
  <c r="V144" i="6"/>
  <c r="V161" i="6"/>
  <c r="V135" i="6"/>
  <c r="AB120" i="6"/>
  <c r="AB144" i="6"/>
  <c r="AE122" i="6"/>
  <c r="X122" i="6"/>
  <c r="AH146" i="6"/>
  <c r="O146" i="6"/>
  <c r="Z154" i="6"/>
  <c r="O159" i="6"/>
  <c r="AC161" i="6"/>
  <c r="AH129" i="6"/>
  <c r="O129" i="6"/>
  <c r="AE153" i="6"/>
  <c r="AF149" i="6"/>
  <c r="AF161" i="6"/>
  <c r="AF157" i="6"/>
  <c r="AF159" i="6"/>
  <c r="AJ146" i="6"/>
  <c r="M162" i="6"/>
  <c r="AH130" i="6"/>
  <c r="U144" i="6"/>
  <c r="W151" i="6"/>
  <c r="W158" i="6"/>
  <c r="W118" i="6"/>
  <c r="W150" i="6"/>
  <c r="W160" i="6"/>
  <c r="W146" i="6"/>
  <c r="W129" i="6"/>
  <c r="N137" i="6"/>
  <c r="X134" i="6"/>
  <c r="X161" i="6"/>
  <c r="X142" i="6"/>
  <c r="X157" i="6"/>
  <c r="X159" i="6"/>
  <c r="X131" i="6"/>
  <c r="N147" i="6"/>
  <c r="N155" i="6"/>
  <c r="N136" i="6"/>
  <c r="W162" i="6"/>
  <c r="W124" i="6"/>
  <c r="W114" i="6"/>
  <c r="N133" i="6"/>
  <c r="N149" i="6"/>
  <c r="T145" i="6"/>
  <c r="T161" i="6"/>
  <c r="W157" i="6"/>
  <c r="T119" i="6"/>
  <c r="N127" i="6"/>
  <c r="AD115" i="6"/>
  <c r="AD159" i="6"/>
  <c r="AD161" i="6"/>
  <c r="AD127" i="6"/>
  <c r="T120" i="6"/>
  <c r="T144" i="6"/>
  <c r="AD146" i="6"/>
  <c r="W159" i="6"/>
  <c r="AD129" i="6"/>
  <c r="W153" i="6"/>
  <c r="AD148" i="6"/>
  <c r="AD130" i="6"/>
  <c r="W142" i="6"/>
  <c r="AD156" i="6"/>
  <c r="CJ93" i="14"/>
  <c r="W113" i="6"/>
  <c r="X160" i="6"/>
  <c r="N115" i="6"/>
  <c r="W115" i="6"/>
  <c r="U123" i="6"/>
  <c r="Z123" i="6"/>
  <c r="Z159" i="6"/>
  <c r="Z155" i="6"/>
  <c r="Z157" i="6"/>
  <c r="Z156" i="6"/>
  <c r="U116" i="6"/>
  <c r="T116" i="6"/>
  <c r="N132" i="6"/>
  <c r="X140" i="6"/>
  <c r="T140" i="6"/>
  <c r="T148" i="6"/>
  <c r="T156" i="6"/>
  <c r="T114" i="6"/>
  <c r="X146" i="6"/>
  <c r="L125" i="6"/>
  <c r="AD125" i="6"/>
  <c r="N141" i="6"/>
  <c r="AJ149" i="6"/>
  <c r="Z149" i="6"/>
  <c r="AB150" i="6"/>
  <c r="AB157" i="6"/>
  <c r="AB153" i="6"/>
  <c r="AB161" i="6"/>
  <c r="W136" i="6"/>
  <c r="X126" i="6"/>
  <c r="AH144" i="6"/>
  <c r="Z152" i="6"/>
  <c r="U158" i="6"/>
  <c r="M118" i="6"/>
  <c r="AD126" i="6"/>
  <c r="T126" i="6"/>
  <c r="AD134" i="6"/>
  <c r="U134" i="6"/>
  <c r="U142" i="6"/>
  <c r="M150" i="6"/>
  <c r="AB138" i="6"/>
  <c r="T128" i="6"/>
  <c r="T152" i="6"/>
  <c r="U162" i="6"/>
  <c r="AE138" i="6"/>
  <c r="AD138" i="6"/>
  <c r="AJ150" i="6"/>
  <c r="AE157" i="6"/>
  <c r="T160" i="6"/>
  <c r="AH162" i="6"/>
  <c r="W119" i="6"/>
  <c r="L119" i="6"/>
  <c r="X119" i="6"/>
  <c r="U135" i="6"/>
  <c r="AJ135" i="6"/>
  <c r="AJ143" i="6"/>
  <c r="N120" i="6"/>
  <c r="AD120" i="6"/>
  <c r="L120" i="6"/>
  <c r="X120" i="6"/>
  <c r="L144" i="6"/>
  <c r="X144" i="6"/>
  <c r="W122" i="6"/>
  <c r="Z122" i="6"/>
  <c r="AD122" i="6"/>
  <c r="V146" i="6"/>
  <c r="N154" i="6"/>
  <c r="T137" i="6"/>
  <c r="Z148" i="6"/>
  <c r="AE159" i="6"/>
  <c r="T162" i="6"/>
  <c r="AB121" i="6"/>
  <c r="W121" i="6"/>
  <c r="L129" i="6"/>
  <c r="V129" i="6"/>
  <c r="AE137" i="6"/>
  <c r="W145" i="6"/>
  <c r="O153" i="6"/>
  <c r="O130" i="6"/>
  <c r="V130" i="6"/>
  <c r="W135" i="6"/>
  <c r="O151" i="6"/>
  <c r="X141" i="6"/>
  <c r="BO69" i="14"/>
  <c r="U113" i="6"/>
  <c r="AD143" i="6"/>
  <c r="X150" i="6"/>
  <c r="T131" i="6"/>
  <c r="U139" i="6"/>
  <c r="U147" i="6"/>
  <c r="U155" i="6"/>
  <c r="AH159" i="6"/>
  <c r="AH147" i="6"/>
  <c r="AH157" i="6"/>
  <c r="T146" i="6"/>
  <c r="W116" i="6"/>
  <c r="AD124" i="6"/>
  <c r="X132" i="6"/>
  <c r="U140" i="6"/>
  <c r="W140" i="6"/>
  <c r="W148" i="6"/>
  <c r="W156" i="6"/>
  <c r="X114" i="6"/>
  <c r="U157" i="6"/>
  <c r="X162" i="6"/>
  <c r="W117" i="6"/>
  <c r="AH125" i="6"/>
  <c r="U133" i="6"/>
  <c r="T141" i="6"/>
  <c r="AJ125" i="6"/>
  <c r="AJ137" i="6"/>
  <c r="AJ142" i="6"/>
  <c r="AJ157" i="6"/>
  <c r="AJ117" i="6"/>
  <c r="AJ145" i="6"/>
  <c r="AJ161" i="6"/>
  <c r="AJ129" i="6"/>
  <c r="U136" i="6"/>
  <c r="AH136" i="6"/>
  <c r="O136" i="6"/>
  <c r="U153" i="6"/>
  <c r="AJ118" i="6"/>
  <c r="L126" i="6"/>
  <c r="N134" i="6"/>
  <c r="M134" i="6"/>
  <c r="U128" i="6"/>
  <c r="L128" i="6"/>
  <c r="X128" i="6"/>
  <c r="L152" i="6"/>
  <c r="X152" i="6"/>
  <c r="O138" i="6"/>
  <c r="U124" i="6"/>
  <c r="N144" i="6"/>
  <c r="AE151" i="6"/>
  <c r="N158" i="6"/>
  <c r="AB160" i="6"/>
  <c r="U127" i="6"/>
  <c r="AH135" i="6"/>
  <c r="AB135" i="6"/>
  <c r="AB143" i="6"/>
  <c r="AB151" i="6"/>
  <c r="X154" i="6"/>
  <c r="T122" i="6"/>
  <c r="V122" i="6"/>
  <c r="N146" i="6"/>
  <c r="AC154" i="6"/>
  <c r="AJ138" i="6"/>
  <c r="X149" i="6"/>
  <c r="N160" i="6"/>
  <c r="AB162" i="6"/>
  <c r="X121" i="6"/>
  <c r="AH121" i="6"/>
  <c r="O121" i="6"/>
  <c r="AC129" i="6"/>
  <c r="N129" i="6"/>
  <c r="X137" i="6"/>
  <c r="W137" i="6"/>
  <c r="AH145" i="6"/>
  <c r="O145" i="6"/>
  <c r="Z153" i="6"/>
  <c r="AD153" i="6"/>
  <c r="N130" i="6"/>
  <c r="AB122" i="6"/>
  <c r="AH132" i="6"/>
  <c r="W161" i="6"/>
  <c r="X123" i="6"/>
  <c r="W131" i="6"/>
  <c r="N148" i="6"/>
  <c r="AH114" i="6"/>
  <c r="U141" i="6"/>
  <c r="T117" i="6"/>
  <c r="N125" i="6"/>
  <c r="Z125" i="6"/>
  <c r="W141" i="6"/>
  <c r="T149" i="6"/>
  <c r="AD152" i="6"/>
  <c r="Z136" i="6"/>
  <c r="O119" i="6"/>
  <c r="O142" i="6"/>
  <c r="O158" i="6"/>
  <c r="O160" i="6"/>
  <c r="O134" i="6"/>
  <c r="Z161" i="6"/>
  <c r="X118" i="6"/>
  <c r="N126" i="6"/>
  <c r="AH126" i="6"/>
  <c r="AJ134" i="6"/>
  <c r="M157" i="6"/>
  <c r="M137" i="6"/>
  <c r="M145" i="6"/>
  <c r="N128" i="6"/>
  <c r="Z138" i="6"/>
  <c r="N138" i="6"/>
  <c r="M129" i="6"/>
  <c r="L145" i="6"/>
  <c r="AJ160" i="6"/>
  <c r="Z127" i="6"/>
  <c r="M127" i="6"/>
  <c r="T135" i="6"/>
  <c r="T143" i="6"/>
  <c r="T151" i="6"/>
  <c r="V120" i="6"/>
  <c r="AE120" i="6"/>
  <c r="AE144" i="6"/>
  <c r="AJ122" i="6"/>
  <c r="N122" i="6"/>
  <c r="AC146" i="6"/>
  <c r="Z140" i="6"/>
  <c r="T150" i="6"/>
  <c r="V160" i="6"/>
  <c r="AJ162" i="6"/>
  <c r="T121" i="6"/>
  <c r="Z121" i="6"/>
  <c r="AD121" i="6"/>
  <c r="AB129" i="6"/>
  <c r="AH137" i="6"/>
  <c r="O137" i="6"/>
  <c r="Z145" i="6"/>
  <c r="AD145" i="6"/>
  <c r="V153" i="6"/>
  <c r="M132" i="6"/>
  <c r="L130" i="6"/>
  <c r="AC130" i="6"/>
  <c r="L146" i="6"/>
  <c r="V157" i="6"/>
  <c r="N151" i="6"/>
  <c r="N159" i="6"/>
  <c r="N123" i="6"/>
  <c r="N152" i="6"/>
  <c r="N161" i="6"/>
  <c r="N113" i="6"/>
  <c r="X113" i="6"/>
  <c r="X139" i="6"/>
  <c r="X147" i="6"/>
  <c r="X155" i="6"/>
  <c r="N124" i="6"/>
  <c r="X125" i="6"/>
  <c r="W149" i="6"/>
  <c r="N157" i="6"/>
  <c r="T136" i="6"/>
  <c r="T138" i="6"/>
  <c r="W147" i="6"/>
  <c r="T159" i="6"/>
  <c r="T118" i="6"/>
  <c r="W134" i="6"/>
  <c r="U121" i="6"/>
  <c r="U149" i="6"/>
  <c r="U129" i="6"/>
  <c r="U137" i="6"/>
  <c r="U160" i="6"/>
  <c r="W138" i="6"/>
  <c r="T154" i="6"/>
  <c r="U119" i="6"/>
  <c r="W127" i="6"/>
  <c r="X135" i="6"/>
  <c r="X143" i="6"/>
  <c r="X151" i="6"/>
  <c r="U120" i="6"/>
  <c r="W120" i="6"/>
  <c r="W144" i="6"/>
  <c r="U146" i="6"/>
  <c r="AD160" i="6"/>
  <c r="AD137" i="6"/>
  <c r="N153" i="6"/>
  <c r="AH140" i="6"/>
  <c r="U130" i="6"/>
  <c r="AH155" i="6"/>
  <c r="N162" i="6"/>
  <c r="CH101" i="14"/>
  <c r="Z115" i="6"/>
  <c r="AD123" i="6"/>
  <c r="T123" i="6"/>
  <c r="U152" i="6"/>
  <c r="X124" i="6"/>
  <c r="Z132" i="6"/>
  <c r="W132" i="6"/>
  <c r="L132" i="6"/>
  <c r="U148" i="6"/>
  <c r="U156" i="6"/>
  <c r="O126" i="6"/>
  <c r="N143" i="6"/>
  <c r="T158" i="6"/>
  <c r="AH160" i="6"/>
  <c r="AH117" i="6"/>
  <c r="T125" i="6"/>
  <c r="U125" i="6"/>
  <c r="W133" i="6"/>
  <c r="L133" i="6"/>
  <c r="AD141" i="6"/>
  <c r="O149" i="6"/>
  <c r="T157" i="6"/>
  <c r="AB159" i="6"/>
  <c r="L118" i="6"/>
  <c r="U126" i="6"/>
  <c r="T134" i="6"/>
  <c r="AD142" i="6"/>
  <c r="V150" i="6"/>
  <c r="AH150" i="6"/>
  <c r="M128" i="6"/>
  <c r="W128" i="6"/>
  <c r="W152" i="6"/>
  <c r="U138" i="6"/>
  <c r="X133" i="6"/>
  <c r="AB146" i="6"/>
  <c r="M159" i="6"/>
  <c r="AH119" i="6"/>
  <c r="M119" i="6"/>
  <c r="AB127" i="6"/>
  <c r="N135" i="6"/>
  <c r="AH143" i="6"/>
  <c r="AH151" i="6"/>
  <c r="AH120" i="6"/>
  <c r="O120" i="6"/>
  <c r="O144" i="6"/>
  <c r="U122" i="6"/>
  <c r="AE146" i="6"/>
  <c r="M146" i="6"/>
  <c r="W154" i="6"/>
  <c r="AH115" i="6"/>
  <c r="AB142" i="6"/>
  <c r="AH152" i="6"/>
  <c r="X158" i="6"/>
  <c r="M161" i="6"/>
  <c r="AJ121" i="6"/>
  <c r="N121" i="6"/>
  <c r="AE129" i="6"/>
  <c r="AF137" i="6"/>
  <c r="V137" i="6"/>
  <c r="AF145" i="6"/>
  <c r="N145" i="6"/>
  <c r="X153" i="6"/>
  <c r="P161" i="6"/>
  <c r="P159" i="6"/>
  <c r="P150" i="6"/>
  <c r="V156" i="6"/>
  <c r="AF130" i="6"/>
  <c r="M130" i="6"/>
  <c r="V115" i="6"/>
  <c r="W143" i="6"/>
  <c r="AG94" i="14"/>
  <c r="BY67" i="14"/>
  <c r="BY75" i="14"/>
  <c r="CE99" i="14"/>
  <c r="BY107" i="14"/>
  <c r="BU80" i="14"/>
  <c r="BY61" i="14"/>
  <c r="AF103" i="14"/>
  <c r="BY68" i="14"/>
  <c r="AF76" i="14"/>
  <c r="BY84" i="14"/>
  <c r="BU92" i="14"/>
  <c r="BU108" i="14"/>
  <c r="BY77" i="14"/>
  <c r="BU101" i="14"/>
  <c r="BU109" i="14"/>
  <c r="CA104" i="14"/>
  <c r="CA62" i="14"/>
  <c r="CA70" i="14"/>
  <c r="CA94" i="14"/>
  <c r="BY110" i="14"/>
  <c r="BY63" i="14"/>
  <c r="CE67" i="14"/>
  <c r="BY85" i="14"/>
  <c r="BY104" i="14"/>
  <c r="CE110" i="14"/>
  <c r="BY83" i="14"/>
  <c r="BU99" i="14"/>
  <c r="CE107" i="14"/>
  <c r="CE61" i="14"/>
  <c r="BY76" i="14"/>
  <c r="CA92" i="14"/>
  <c r="CA108" i="14"/>
  <c r="CA109" i="14"/>
  <c r="BU104" i="14"/>
  <c r="BY62" i="14"/>
  <c r="CA78" i="14"/>
  <c r="BU86" i="14"/>
  <c r="BU110" i="14"/>
  <c r="CE87" i="14"/>
  <c r="CA83" i="14"/>
  <c r="BU100" i="14"/>
  <c r="CE69" i="14"/>
  <c r="BY94" i="14"/>
  <c r="CE75" i="14"/>
  <c r="BU83" i="14"/>
  <c r="BU91" i="14"/>
  <c r="BU68" i="14"/>
  <c r="CE76" i="14"/>
  <c r="CE84" i="14"/>
  <c r="BY92" i="14"/>
  <c r="CA100" i="14"/>
  <c r="BU69" i="14"/>
  <c r="BY93" i="14"/>
  <c r="CA101" i="14"/>
  <c r="CE104" i="14"/>
  <c r="CE62" i="14"/>
  <c r="BY70" i="14"/>
  <c r="BY78" i="14"/>
  <c r="CA86" i="14"/>
  <c r="BU87" i="14"/>
  <c r="CE91" i="14"/>
  <c r="CE83" i="14"/>
  <c r="CA91" i="14"/>
  <c r="CA99" i="14"/>
  <c r="CA80" i="14"/>
  <c r="CA68" i="14"/>
  <c r="BU76" i="14"/>
  <c r="CE92" i="14"/>
  <c r="BY100" i="14"/>
  <c r="CE93" i="14"/>
  <c r="BY109" i="14"/>
  <c r="CE70" i="14"/>
  <c r="CE78" i="14"/>
  <c r="CE102" i="14"/>
  <c r="BU75" i="14"/>
  <c r="CA61" i="14"/>
  <c r="CE68" i="14"/>
  <c r="BY108" i="14"/>
  <c r="CE86" i="14"/>
  <c r="BU96" i="14"/>
  <c r="BU67" i="14"/>
  <c r="BY99" i="14"/>
  <c r="BU107" i="14"/>
  <c r="CA76" i="14"/>
  <c r="BU84" i="14"/>
  <c r="CA69" i="14"/>
  <c r="BU77" i="14"/>
  <c r="CA85" i="14"/>
  <c r="BU93" i="14"/>
  <c r="BY101" i="14"/>
  <c r="BU62" i="14"/>
  <c r="BU78" i="14"/>
  <c r="CA102" i="14"/>
  <c r="BY96" i="14"/>
  <c r="BY91" i="14"/>
  <c r="BY80" i="14"/>
  <c r="CA84" i="14"/>
  <c r="CE100" i="14"/>
  <c r="CE108" i="14"/>
  <c r="BY69" i="14"/>
  <c r="CE77" i="14"/>
  <c r="BU85" i="14"/>
  <c r="BU70" i="14"/>
  <c r="CE94" i="14"/>
  <c r="BU102" i="14"/>
  <c r="CE79" i="14"/>
  <c r="AB95" i="5" a="1"/>
  <c r="AB95" i="5" s="1"/>
  <c r="E32" i="10" s="1"/>
  <c r="AB73" i="5" a="1"/>
  <c r="AB73" i="5" s="1"/>
  <c r="AH13" i="11" s="1"/>
  <c r="BA13" i="11" s="1"/>
  <c r="AB100" i="5" a="1"/>
  <c r="AB100" i="5" s="1"/>
  <c r="E37" i="10" s="1"/>
  <c r="AB103" i="5" a="1"/>
  <c r="AB103" i="5" s="1"/>
  <c r="E40" i="10" s="1"/>
  <c r="AW13" i="11"/>
  <c r="AB72" i="5" a="1"/>
  <c r="AB72" i="5" s="1"/>
  <c r="E10" i="10" s="1"/>
  <c r="AB82" i="5" a="1"/>
  <c r="AB82" i="5" s="1"/>
  <c r="E19" i="10" s="1"/>
  <c r="AB78" i="5" a="1"/>
  <c r="AB78" i="5" s="1"/>
  <c r="E15" i="10" s="1"/>
  <c r="AB99" i="5" a="1"/>
  <c r="AB99" i="5" s="1"/>
  <c r="E36" i="10" s="1"/>
  <c r="AB91" i="5" a="1"/>
  <c r="AB91" i="5" s="1"/>
  <c r="E28" i="10" s="1"/>
  <c r="AT13" i="11"/>
  <c r="AT4" i="11"/>
  <c r="E16" i="10"/>
  <c r="E22" i="10"/>
  <c r="E18" i="10"/>
  <c r="AF84" i="14"/>
  <c r="AF100" i="14"/>
  <c r="AF85" i="14"/>
  <c r="AF75" i="14"/>
  <c r="AF92" i="14"/>
  <c r="AF61" i="14"/>
  <c r="AF69" i="14"/>
  <c r="AF83" i="14"/>
  <c r="AF96" i="14"/>
  <c r="CB79" i="14"/>
  <c r="AF87" i="14"/>
  <c r="AW106" i="14"/>
  <c r="AF80" i="14"/>
  <c r="AF68" i="14"/>
  <c r="AF67" i="14"/>
  <c r="AF77" i="14"/>
  <c r="AR78" i="14"/>
  <c r="AR86" i="14"/>
  <c r="BY86" i="14"/>
  <c r="BY102" i="14"/>
  <c r="CA110" i="14"/>
  <c r="CA96" i="14"/>
  <c r="BB91" i="14"/>
  <c r="BZ92" i="14"/>
  <c r="CB93" i="14"/>
  <c r="CL104" i="14"/>
  <c r="CL102" i="14"/>
  <c r="AR71" i="14"/>
  <c r="AR89" i="14"/>
  <c r="CB75" i="14"/>
  <c r="AZ83" i="14"/>
  <c r="AP91" i="14"/>
  <c r="AP94" i="14"/>
  <c r="AP68" i="14"/>
  <c r="BZ76" i="14"/>
  <c r="AR92" i="14"/>
  <c r="CB100" i="14"/>
  <c r="CL77" i="14"/>
  <c r="AR106" i="14"/>
  <c r="AR70" i="14"/>
  <c r="CJ78" i="14"/>
  <c r="AR87" i="14"/>
  <c r="AR67" i="14"/>
  <c r="BZ91" i="14"/>
  <c r="BZ85" i="14"/>
  <c r="AR102" i="14"/>
  <c r="AR83" i="14"/>
  <c r="AR80" i="14"/>
  <c r="AP61" i="14"/>
  <c r="CB61" i="14"/>
  <c r="AH68" i="14"/>
  <c r="CB68" i="14"/>
  <c r="BZ108" i="14"/>
  <c r="AZ69" i="14"/>
  <c r="AR85" i="14"/>
  <c r="CB104" i="14"/>
  <c r="AR94" i="14"/>
  <c r="AR110" i="14"/>
  <c r="CB62" i="14"/>
  <c r="CL70" i="14"/>
  <c r="CB102" i="14"/>
  <c r="AR63" i="14"/>
  <c r="AP67" i="14"/>
  <c r="BO67" i="14"/>
  <c r="BZ83" i="14"/>
  <c r="CL99" i="14"/>
  <c r="AR105" i="14"/>
  <c r="CL76" i="14"/>
  <c r="AP92" i="14"/>
  <c r="AR69" i="14"/>
  <c r="BZ93" i="14"/>
  <c r="AP87" i="14"/>
  <c r="AF108" i="14"/>
  <c r="AM91" i="14"/>
  <c r="AY72" i="14"/>
  <c r="AM68" i="14"/>
  <c r="BT84" i="14"/>
  <c r="AJ94" i="14"/>
  <c r="BT99" i="14"/>
  <c r="AJ83" i="14"/>
  <c r="BB108" i="14"/>
  <c r="AY93" i="14"/>
  <c r="AV77" i="14"/>
  <c r="CO77" i="14"/>
  <c r="AY84" i="14"/>
  <c r="AY99" i="14"/>
  <c r="CB71" i="14"/>
  <c r="AR79" i="14"/>
  <c r="AY67" i="14"/>
  <c r="AY61" i="14"/>
  <c r="BX61" i="14"/>
  <c r="AW77" i="14"/>
  <c r="AW107" i="14"/>
  <c r="AB83" i="14"/>
  <c r="AW88" i="14"/>
  <c r="AY109" i="14"/>
  <c r="AW83" i="14"/>
  <c r="CK99" i="14"/>
  <c r="AY94" i="14"/>
  <c r="AY70" i="14"/>
  <c r="AY63" i="14"/>
  <c r="AY97" i="14"/>
  <c r="AY88" i="14"/>
  <c r="AW95" i="14"/>
  <c r="AY103" i="14"/>
  <c r="BX84" i="14"/>
  <c r="AY110" i="14"/>
  <c r="AY77" i="14"/>
  <c r="CO62" i="14"/>
  <c r="AY92" i="14"/>
  <c r="AY101" i="14"/>
  <c r="AY98" i="14"/>
  <c r="AB76" i="14"/>
  <c r="AJ87" i="14"/>
  <c r="AY75" i="14"/>
  <c r="AY83" i="14"/>
  <c r="BX107" i="14"/>
  <c r="AY79" i="14"/>
  <c r="AY105" i="14"/>
  <c r="AY102" i="14"/>
  <c r="AY86" i="14"/>
  <c r="CO86" i="14"/>
  <c r="CH107" i="14"/>
  <c r="CH80" i="14"/>
  <c r="CH61" i="14"/>
  <c r="CH76" i="14"/>
  <c r="BO92" i="14"/>
  <c r="CJ69" i="14"/>
  <c r="CH77" i="14"/>
  <c r="CH102" i="14"/>
  <c r="BO87" i="14"/>
  <c r="CJ67" i="14"/>
  <c r="CJ83" i="14"/>
  <c r="BO83" i="14"/>
  <c r="BO61" i="14"/>
  <c r="CJ84" i="14"/>
  <c r="CH104" i="14"/>
  <c r="BO86" i="14"/>
  <c r="CH110" i="14"/>
  <c r="BO68" i="14"/>
  <c r="BO76" i="14"/>
  <c r="CJ92" i="14"/>
  <c r="CJ70" i="14"/>
  <c r="CJ75" i="14"/>
  <c r="BO91" i="14"/>
  <c r="BO100" i="14"/>
  <c r="CH100" i="14"/>
  <c r="BO101" i="14"/>
  <c r="CH70" i="14"/>
  <c r="BO102" i="14"/>
  <c r="BO71" i="14"/>
  <c r="CA95" i="14"/>
  <c r="CH67" i="14"/>
  <c r="CJ99" i="14"/>
  <c r="CH99" i="14"/>
  <c r="CJ107" i="14"/>
  <c r="CJ76" i="14"/>
  <c r="CH92" i="14"/>
  <c r="BO85" i="14"/>
  <c r="CJ101" i="14"/>
  <c r="CH94" i="14"/>
  <c r="BO110" i="14"/>
  <c r="BU63" i="14"/>
  <c r="BY71" i="14"/>
  <c r="BY79" i="14"/>
  <c r="BW95" i="14"/>
  <c r="AP104" i="14"/>
  <c r="AP66" i="14"/>
  <c r="CH75" i="14"/>
  <c r="CJ91" i="14"/>
  <c r="CJ61" i="14"/>
  <c r="CJ68" i="14"/>
  <c r="CH84" i="14"/>
  <c r="CJ85" i="14"/>
  <c r="BO93" i="14"/>
  <c r="BO109" i="14"/>
  <c r="CA63" i="14"/>
  <c r="BU79" i="14"/>
  <c r="BO95" i="14"/>
  <c r="CH83" i="14"/>
  <c r="BO108" i="14"/>
  <c r="CJ109" i="14"/>
  <c r="CJ104" i="14"/>
  <c r="CH62" i="14"/>
  <c r="CJ96" i="14"/>
  <c r="CH63" i="14"/>
  <c r="CA71" i="14"/>
  <c r="CJ79" i="14"/>
  <c r="CA87" i="14"/>
  <c r="BO103" i="14"/>
  <c r="AP65" i="14"/>
  <c r="AP109" i="14"/>
  <c r="AL75" i="14"/>
  <c r="CC107" i="14"/>
  <c r="AD96" i="14"/>
  <c r="AH92" i="14"/>
  <c r="AY106" i="14"/>
  <c r="CK93" i="14"/>
  <c r="CK109" i="14"/>
  <c r="AX107" i="14"/>
  <c r="CJ62" i="14"/>
  <c r="CC62" i="14"/>
  <c r="AP78" i="14"/>
  <c r="AH86" i="14"/>
  <c r="CH86" i="14"/>
  <c r="CJ94" i="14"/>
  <c r="CJ102" i="14"/>
  <c r="BO96" i="14"/>
  <c r="BO79" i="14"/>
  <c r="CH79" i="14"/>
  <c r="CM87" i="14"/>
  <c r="CH95" i="14"/>
  <c r="AY76" i="14"/>
  <c r="AH100" i="14"/>
  <c r="AP101" i="14"/>
  <c r="AH66" i="14"/>
  <c r="AG102" i="14"/>
  <c r="AB64" i="14"/>
  <c r="AG92" i="14"/>
  <c r="AT96" i="14"/>
  <c r="AB73" i="14"/>
  <c r="CG100" i="14"/>
  <c r="CH108" i="14"/>
  <c r="AY69" i="14"/>
  <c r="BX69" i="14"/>
  <c r="CJ77" i="14"/>
  <c r="AH85" i="14"/>
  <c r="CH93" i="14"/>
  <c r="CI101" i="14"/>
  <c r="AY80" i="14"/>
  <c r="AV96" i="14"/>
  <c r="AY62" i="14"/>
  <c r="CI62" i="14"/>
  <c r="BO70" i="14"/>
  <c r="AH78" i="14"/>
  <c r="BO78" i="14"/>
  <c r="BX102" i="14"/>
  <c r="AY95" i="14"/>
  <c r="AY107" i="14"/>
  <c r="AX63" i="14"/>
  <c r="CJ63" i="14"/>
  <c r="CM71" i="14"/>
  <c r="CH71" i="14"/>
  <c r="CC79" i="14"/>
  <c r="AX65" i="14"/>
  <c r="AX81" i="14"/>
  <c r="AX88" i="14"/>
  <c r="AX101" i="14"/>
  <c r="AX66" i="14"/>
  <c r="AX82" i="14"/>
  <c r="CG93" i="14"/>
  <c r="CI70" i="14"/>
  <c r="AH63" i="14"/>
  <c r="CC95" i="14"/>
  <c r="CG99" i="14"/>
  <c r="CI61" i="14"/>
  <c r="AH94" i="14"/>
  <c r="CI76" i="14"/>
  <c r="CI69" i="14"/>
  <c r="AB99" i="14"/>
  <c r="CG96" i="14"/>
  <c r="CK71" i="14"/>
  <c r="AH93" i="14"/>
  <c r="AC108" i="14"/>
  <c r="AG67" i="14"/>
  <c r="CM91" i="14"/>
  <c r="CO100" i="14"/>
  <c r="AG88" i="14"/>
  <c r="AB66" i="14"/>
  <c r="AY85" i="14"/>
  <c r="CO85" i="14"/>
  <c r="CH85" i="14"/>
  <c r="CM93" i="14"/>
  <c r="CH109" i="14"/>
  <c r="AX96" i="14"/>
  <c r="AZ94" i="14"/>
  <c r="AY78" i="14"/>
  <c r="CI78" i="14"/>
  <c r="CJ86" i="14"/>
  <c r="CM110" i="14"/>
  <c r="CH96" i="14"/>
  <c r="BO63" i="14"/>
  <c r="AY71" i="14"/>
  <c r="CJ71" i="14"/>
  <c r="AX79" i="14"/>
  <c r="CJ87" i="14"/>
  <c r="CJ95" i="14"/>
  <c r="BU103" i="14"/>
  <c r="AX64" i="14"/>
  <c r="AP93" i="14"/>
  <c r="AK100" i="14"/>
  <c r="AK108" i="14"/>
  <c r="CC83" i="14"/>
  <c r="CC99" i="14"/>
  <c r="CG84" i="14"/>
  <c r="CJ108" i="14"/>
  <c r="CH69" i="14"/>
  <c r="AH77" i="14"/>
  <c r="BO77" i="14"/>
  <c r="AX108" i="14"/>
  <c r="BO104" i="14"/>
  <c r="AP95" i="14"/>
  <c r="AX103" i="14"/>
  <c r="BO62" i="14"/>
  <c r="AX70" i="14"/>
  <c r="CH78" i="14"/>
  <c r="AX86" i="14"/>
  <c r="CI86" i="14"/>
  <c r="BO94" i="14"/>
  <c r="CK102" i="14"/>
  <c r="AY68" i="14"/>
  <c r="CI79" i="14"/>
  <c r="CI95" i="14"/>
  <c r="AP64" i="14"/>
  <c r="AX73" i="14"/>
  <c r="AX93" i="14"/>
  <c r="AX74" i="14"/>
  <c r="AH75" i="14"/>
  <c r="BX99" i="14"/>
  <c r="CI108" i="14"/>
  <c r="CC77" i="14"/>
  <c r="CI85" i="14"/>
  <c r="CO109" i="14"/>
  <c r="AH70" i="14"/>
  <c r="CI71" i="14"/>
  <c r="BX103" i="14"/>
  <c r="AO98" i="14"/>
  <c r="AO106" i="14"/>
  <c r="AO84" i="14"/>
  <c r="AO83" i="14"/>
  <c r="AO107" i="14"/>
  <c r="BP67" i="14"/>
  <c r="AP97" i="14"/>
  <c r="AP108" i="14"/>
  <c r="AY96" i="14"/>
  <c r="AH101" i="14"/>
  <c r="BW67" i="14"/>
  <c r="CC75" i="14"/>
  <c r="AG83" i="14"/>
  <c r="BW83" i="14"/>
  <c r="AJ91" i="14"/>
  <c r="BS91" i="14"/>
  <c r="CM99" i="14"/>
  <c r="BQ107" i="14"/>
  <c r="AG80" i="14"/>
  <c r="CC61" i="14"/>
  <c r="AJ97" i="14"/>
  <c r="AJ109" i="14"/>
  <c r="AU68" i="14"/>
  <c r="AJ76" i="14"/>
  <c r="AG84" i="14"/>
  <c r="CM84" i="14"/>
  <c r="CI84" i="14"/>
  <c r="CC92" i="14"/>
  <c r="CG92" i="14"/>
  <c r="CM100" i="14"/>
  <c r="CM108" i="14"/>
  <c r="AG73" i="14"/>
  <c r="AG107" i="14"/>
  <c r="CF69" i="14"/>
  <c r="CG77" i="14"/>
  <c r="BW85" i="14"/>
  <c r="CM101" i="14"/>
  <c r="CI109" i="14"/>
  <c r="CI104" i="14"/>
  <c r="CM104" i="14"/>
  <c r="AZ106" i="14"/>
  <c r="CC78" i="14"/>
  <c r="BQ86" i="14"/>
  <c r="CF94" i="14"/>
  <c r="CM102" i="14"/>
  <c r="CI102" i="14"/>
  <c r="CF110" i="14"/>
  <c r="BW96" i="14"/>
  <c r="BS96" i="14"/>
  <c r="CF63" i="14"/>
  <c r="BS63" i="14"/>
  <c r="CG71" i="14"/>
  <c r="BS95" i="14"/>
  <c r="AG98" i="14"/>
  <c r="AG110" i="14"/>
  <c r="CG67" i="14"/>
  <c r="AT75" i="14"/>
  <c r="CF75" i="14"/>
  <c r="CI107" i="14"/>
  <c r="CF107" i="14"/>
  <c r="CG80" i="14"/>
  <c r="AZ97" i="14"/>
  <c r="BW84" i="14"/>
  <c r="AZ92" i="14"/>
  <c r="BQ92" i="14"/>
  <c r="CI100" i="14"/>
  <c r="AG99" i="14"/>
  <c r="BQ77" i="14"/>
  <c r="AJ85" i="14"/>
  <c r="CI93" i="14"/>
  <c r="BS109" i="14"/>
  <c r="AJ102" i="14"/>
  <c r="CG62" i="14"/>
  <c r="CG70" i="14"/>
  <c r="CC70" i="14"/>
  <c r="CG78" i="14"/>
  <c r="AG86" i="14"/>
  <c r="CM94" i="14"/>
  <c r="CI94" i="14"/>
  <c r="AG100" i="14"/>
  <c r="BU95" i="14"/>
  <c r="CI103" i="14"/>
  <c r="CM64" i="14"/>
  <c r="AR81" i="14"/>
  <c r="AR104" i="14"/>
  <c r="BQ98" i="14"/>
  <c r="BW87" i="14"/>
  <c r="AG106" i="14"/>
  <c r="BS67" i="14"/>
  <c r="CM75" i="14"/>
  <c r="AG91" i="14"/>
  <c r="CC91" i="14"/>
  <c r="CG91" i="14"/>
  <c r="CI99" i="14"/>
  <c r="AZ80" i="14"/>
  <c r="AG85" i="14"/>
  <c r="AZ105" i="14"/>
  <c r="AG76" i="14"/>
  <c r="CM76" i="14"/>
  <c r="BS76" i="14"/>
  <c r="CM92" i="14"/>
  <c r="BQ108" i="14"/>
  <c r="CC69" i="14"/>
  <c r="BS69" i="14"/>
  <c r="CM77" i="14"/>
  <c r="CG85" i="14"/>
  <c r="BW93" i="14"/>
  <c r="CC104" i="14"/>
  <c r="AJ110" i="14"/>
  <c r="AG62" i="14"/>
  <c r="AG70" i="14"/>
  <c r="AZ86" i="14"/>
  <c r="CM86" i="14"/>
  <c r="CG102" i="14"/>
  <c r="BQ96" i="14"/>
  <c r="CC96" i="14"/>
  <c r="AG89" i="14"/>
  <c r="CC63" i="14"/>
  <c r="CM79" i="14"/>
  <c r="BS79" i="14"/>
  <c r="CC87" i="14"/>
  <c r="CG95" i="14"/>
  <c r="CM103" i="14"/>
  <c r="CA103" i="14"/>
  <c r="BW64" i="14"/>
  <c r="BW106" i="14"/>
  <c r="CF103" i="14"/>
  <c r="BQ64" i="14"/>
  <c r="CF67" i="14"/>
  <c r="AG75" i="14"/>
  <c r="CI75" i="14"/>
  <c r="CI83" i="14"/>
  <c r="BS107" i="14"/>
  <c r="CF80" i="14"/>
  <c r="CM61" i="14"/>
  <c r="CG68" i="14"/>
  <c r="AZ84" i="14"/>
  <c r="CC84" i="14"/>
  <c r="CI92" i="14"/>
  <c r="CG108" i="14"/>
  <c r="BW69" i="14"/>
  <c r="BW77" i="14"/>
  <c r="BS85" i="14"/>
  <c r="CC101" i="14"/>
  <c r="CG101" i="14"/>
  <c r="CC109" i="14"/>
  <c r="CG104" i="14"/>
  <c r="AZ102" i="14"/>
  <c r="CF62" i="14"/>
  <c r="AZ70" i="14"/>
  <c r="BQ70" i="14"/>
  <c r="AG78" i="14"/>
  <c r="CM78" i="14"/>
  <c r="BW94" i="14"/>
  <c r="CC110" i="14"/>
  <c r="AZ63" i="14"/>
  <c r="BQ63" i="14"/>
  <c r="CC71" i="14"/>
  <c r="BW79" i="14"/>
  <c r="BY95" i="14"/>
  <c r="CE103" i="14"/>
  <c r="AR64" i="14"/>
  <c r="CF81" i="14"/>
  <c r="AR88" i="14"/>
  <c r="AR108" i="14"/>
  <c r="AH82" i="14"/>
  <c r="CF78" i="14"/>
  <c r="AJ65" i="14"/>
  <c r="AG65" i="14"/>
  <c r="CI67" i="14"/>
  <c r="AZ75" i="14"/>
  <c r="BS75" i="14"/>
  <c r="BW75" i="14"/>
  <c r="BS83" i="14"/>
  <c r="CF83" i="14"/>
  <c r="CF91" i="14"/>
  <c r="CF99" i="14"/>
  <c r="BW99" i="14"/>
  <c r="BS99" i="14"/>
  <c r="CM107" i="14"/>
  <c r="AJ80" i="14"/>
  <c r="CM80" i="14"/>
  <c r="CG61" i="14"/>
  <c r="BQ61" i="14"/>
  <c r="CI68" i="14"/>
  <c r="BW92" i="14"/>
  <c r="CC100" i="14"/>
  <c r="CC108" i="14"/>
  <c r="AG103" i="14"/>
  <c r="AN69" i="14"/>
  <c r="CM69" i="14"/>
  <c r="CG69" i="14"/>
  <c r="CI77" i="14"/>
  <c r="CC85" i="14"/>
  <c r="AZ110" i="14"/>
  <c r="AJ62" i="14"/>
  <c r="BS62" i="14"/>
  <c r="CM62" i="14"/>
  <c r="CM70" i="14"/>
  <c r="AZ78" i="14"/>
  <c r="CG94" i="14"/>
  <c r="BQ102" i="14"/>
  <c r="CI110" i="14"/>
  <c r="CF96" i="14"/>
  <c r="CM63" i="14"/>
  <c r="AZ87" i="14"/>
  <c r="BS87" i="14"/>
  <c r="CM95" i="14"/>
  <c r="CG103" i="14"/>
  <c r="AJ64" i="14"/>
  <c r="AR73" i="14"/>
  <c r="AR100" i="14"/>
  <c r="AX104" i="14"/>
  <c r="CC67" i="14"/>
  <c r="CM67" i="14"/>
  <c r="CG75" i="14"/>
  <c r="CG83" i="14"/>
  <c r="CM83" i="14"/>
  <c r="AZ91" i="14"/>
  <c r="CI91" i="14"/>
  <c r="CG107" i="14"/>
  <c r="CC80" i="14"/>
  <c r="AZ61" i="14"/>
  <c r="AZ101" i="14"/>
  <c r="AG68" i="14"/>
  <c r="CM68" i="14"/>
  <c r="CG76" i="14"/>
  <c r="CC76" i="14"/>
  <c r="AG95" i="14"/>
  <c r="BS77" i="14"/>
  <c r="CM85" i="14"/>
  <c r="CC93" i="14"/>
  <c r="BQ101" i="14"/>
  <c r="CG109" i="14"/>
  <c r="BQ104" i="14"/>
  <c r="AJ98" i="14"/>
  <c r="AJ106" i="14"/>
  <c r="AJ70" i="14"/>
  <c r="BW78" i="14"/>
  <c r="CC86" i="14"/>
  <c r="CG86" i="14"/>
  <c r="CC94" i="14"/>
  <c r="CF102" i="14"/>
  <c r="CC102" i="14"/>
  <c r="CG110" i="14"/>
  <c r="CM96" i="14"/>
  <c r="CI96" i="14"/>
  <c r="CG63" i="14"/>
  <c r="CI63" i="14"/>
  <c r="CG79" i="14"/>
  <c r="CG87" i="14"/>
  <c r="CC103" i="14"/>
  <c r="BY103" i="14"/>
  <c r="AJ73" i="14"/>
  <c r="AZ100" i="14"/>
  <c r="BO82" i="14"/>
  <c r="AV108" i="14"/>
  <c r="AV67" i="14"/>
  <c r="AV61" i="14"/>
  <c r="AM109" i="14"/>
  <c r="AM70" i="14"/>
  <c r="AM75" i="14"/>
  <c r="AM99" i="14"/>
  <c r="AM100" i="14"/>
  <c r="AM92" i="14"/>
  <c r="AM84" i="14"/>
  <c r="AM82" i="14"/>
  <c r="AM108" i="14"/>
  <c r="AM80" i="14"/>
  <c r="AM83" i="14"/>
  <c r="AM95" i="14"/>
  <c r="AM103" i="14"/>
  <c r="AM77" i="14"/>
  <c r="AM76" i="14"/>
  <c r="AM61" i="14"/>
  <c r="AM107" i="14"/>
  <c r="AM90" i="14"/>
  <c r="AN104" i="14"/>
  <c r="AO104" i="14"/>
  <c r="AO100" i="14"/>
  <c r="AO86" i="14"/>
  <c r="AO78" i="14"/>
  <c r="AO95" i="14"/>
  <c r="AO85" i="14"/>
  <c r="AO80" i="14"/>
  <c r="AO75" i="14"/>
  <c r="AO65" i="14"/>
  <c r="AO67" i="14"/>
  <c r="AO70" i="14"/>
  <c r="AO76" i="14"/>
  <c r="AO91" i="14"/>
  <c r="AO77" i="14"/>
  <c r="AO99" i="14"/>
  <c r="AO62" i="14"/>
  <c r="AO73" i="14"/>
  <c r="AO68" i="14"/>
  <c r="AO110" i="14"/>
  <c r="AO94" i="14"/>
  <c r="AO103" i="14"/>
  <c r="AN67" i="14"/>
  <c r="AN61" i="14"/>
  <c r="AU94" i="14"/>
  <c r="AU76" i="14"/>
  <c r="AU92" i="14"/>
  <c r="AU84" i="14"/>
  <c r="AU99" i="14"/>
  <c r="AU80" i="14"/>
  <c r="AU83" i="14"/>
  <c r="AU62" i="14"/>
  <c r="AW79" i="14"/>
  <c r="AW84" i="14"/>
  <c r="AW91" i="14"/>
  <c r="AW86" i="14"/>
  <c r="AW78" i="14"/>
  <c r="AW80" i="14"/>
  <c r="AW68" i="14"/>
  <c r="AW73" i="14"/>
  <c r="AW99" i="14"/>
  <c r="AW65" i="14"/>
  <c r="AW67" i="14"/>
  <c r="AW110" i="14"/>
  <c r="AW70" i="14"/>
  <c r="AW76" i="14"/>
  <c r="AW94" i="14"/>
  <c r="AW104" i="14"/>
  <c r="AW103" i="14"/>
  <c r="AW75" i="14"/>
  <c r="AW102" i="14"/>
  <c r="AW98" i="14"/>
  <c r="AW96" i="14"/>
  <c r="AW62" i="14"/>
  <c r="BP87" i="14"/>
  <c r="BP96" i="14"/>
  <c r="BP104" i="14"/>
  <c r="BP77" i="14"/>
  <c r="BP78" i="14"/>
  <c r="CN88" i="14"/>
  <c r="CN85" i="14"/>
  <c r="CN92" i="14"/>
  <c r="CN107" i="14"/>
  <c r="CN61" i="14"/>
  <c r="AN99" i="14"/>
  <c r="AN100" i="14"/>
  <c r="BR86" i="14"/>
  <c r="BR79" i="14"/>
  <c r="BR102" i="14"/>
  <c r="BR94" i="14"/>
  <c r="BR69" i="14"/>
  <c r="BR76" i="14"/>
  <c r="BR85" i="14"/>
  <c r="BR61" i="14"/>
  <c r="BT96" i="14"/>
  <c r="BT107" i="14"/>
  <c r="BT109" i="14"/>
  <c r="BT76" i="14"/>
  <c r="BT110" i="14"/>
  <c r="BT70" i="14"/>
  <c r="BT92" i="14"/>
  <c r="BT62" i="14"/>
  <c r="BT68" i="14"/>
  <c r="CD71" i="14"/>
  <c r="CD69" i="14"/>
  <c r="CD91" i="14"/>
  <c r="CD70" i="14"/>
  <c r="AS91" i="14"/>
  <c r="AS108" i="14"/>
  <c r="AS96" i="14"/>
  <c r="AN86" i="14"/>
  <c r="AN96" i="14"/>
  <c r="AN75" i="14"/>
  <c r="AN62" i="14"/>
  <c r="AN68" i="14"/>
  <c r="AN95" i="14"/>
  <c r="AN87" i="14"/>
  <c r="AN83" i="14"/>
  <c r="AN85" i="14"/>
  <c r="AN107" i="14"/>
  <c r="AN92" i="14"/>
  <c r="AN84" i="14"/>
  <c r="AN103" i="14"/>
  <c r="AN77" i="14"/>
  <c r="AN91" i="14"/>
  <c r="AN80" i="14"/>
  <c r="BA70" i="14"/>
  <c r="BA108" i="14"/>
  <c r="BA104" i="14"/>
  <c r="AV78" i="14"/>
  <c r="AV69" i="14"/>
  <c r="AV76" i="14"/>
  <c r="AV95" i="14"/>
  <c r="AV75" i="14"/>
  <c r="AV84" i="14"/>
  <c r="AV62" i="14"/>
  <c r="AV68" i="14"/>
  <c r="AV107" i="14"/>
  <c r="AV92" i="14"/>
  <c r="AV103" i="14"/>
  <c r="AV85" i="14"/>
  <c r="AV83" i="14"/>
  <c r="AV80" i="14"/>
  <c r="AV99" i="14"/>
  <c r="AN76" i="14"/>
  <c r="AV100" i="14"/>
  <c r="AD86" i="14"/>
  <c r="AD80" i="14"/>
  <c r="AD83" i="14"/>
  <c r="AD67" i="14"/>
  <c r="AD85" i="14"/>
  <c r="AD108" i="14"/>
  <c r="AD91" i="14"/>
  <c r="AD92" i="14"/>
  <c r="AD100" i="14"/>
  <c r="AT67" i="14"/>
  <c r="CL75" i="14"/>
  <c r="BQ83" i="14"/>
  <c r="AH91" i="14"/>
  <c r="CB91" i="14"/>
  <c r="BQ91" i="14"/>
  <c r="BS61" i="14"/>
  <c r="AT100" i="14"/>
  <c r="AZ109" i="14"/>
  <c r="BQ68" i="14"/>
  <c r="BW68" i="14"/>
  <c r="AH76" i="14"/>
  <c r="AJ84" i="14"/>
  <c r="BS84" i="14"/>
  <c r="CB92" i="14"/>
  <c r="CL92" i="14"/>
  <c r="BS100" i="14"/>
  <c r="BW108" i="14"/>
  <c r="CF77" i="14"/>
  <c r="CL93" i="14"/>
  <c r="BS93" i="14"/>
  <c r="BS101" i="14"/>
  <c r="BW109" i="14"/>
  <c r="BS104" i="14"/>
  <c r="CF104" i="14"/>
  <c r="AH95" i="14"/>
  <c r="AZ98" i="14"/>
  <c r="BQ62" i="14"/>
  <c r="BZ70" i="14"/>
  <c r="CB78" i="14"/>
  <c r="CL78" i="14"/>
  <c r="AJ86" i="14"/>
  <c r="CB86" i="14"/>
  <c r="CL94" i="14"/>
  <c r="BS94" i="14"/>
  <c r="BZ110" i="14"/>
  <c r="BW110" i="14"/>
  <c r="CB110" i="14"/>
  <c r="BZ96" i="14"/>
  <c r="BW63" i="14"/>
  <c r="CL63" i="14"/>
  <c r="BZ63" i="14"/>
  <c r="AP71" i="14"/>
  <c r="CF71" i="14"/>
  <c r="BS71" i="14"/>
  <c r="AP79" i="14"/>
  <c r="BZ87" i="14"/>
  <c r="BQ103" i="14"/>
  <c r="AQ108" i="14"/>
  <c r="AJ96" i="14"/>
  <c r="AH105" i="14"/>
  <c r="AH67" i="14"/>
  <c r="AT91" i="14"/>
  <c r="AJ101" i="14"/>
  <c r="AH110" i="14"/>
  <c r="CB76" i="14"/>
  <c r="CB108" i="14"/>
  <c r="AJ69" i="14"/>
  <c r="CL69" i="14"/>
  <c r="BZ69" i="14"/>
  <c r="CB77" i="14"/>
  <c r="CB109" i="14"/>
  <c r="AH99" i="14"/>
  <c r="AJ78" i="14"/>
  <c r="BZ78" i="14"/>
  <c r="AJ63" i="14"/>
  <c r="AT71" i="14"/>
  <c r="AH71" i="14"/>
  <c r="AH79" i="14"/>
  <c r="BS65" i="14"/>
  <c r="AH89" i="14"/>
  <c r="AJ88" i="14"/>
  <c r="BZ67" i="14"/>
  <c r="AJ75" i="14"/>
  <c r="BZ75" i="14"/>
  <c r="CB83" i="14"/>
  <c r="CB107" i="14"/>
  <c r="AH80" i="14"/>
  <c r="CB80" i="14"/>
  <c r="BQ80" i="14"/>
  <c r="AH98" i="14"/>
  <c r="AT104" i="14"/>
  <c r="CL68" i="14"/>
  <c r="BS68" i="14"/>
  <c r="BQ76" i="14"/>
  <c r="AP84" i="14"/>
  <c r="BQ84" i="14"/>
  <c r="AQ106" i="14"/>
  <c r="AP69" i="14"/>
  <c r="AZ77" i="14"/>
  <c r="BQ85" i="14"/>
  <c r="BQ93" i="14"/>
  <c r="BZ101" i="14"/>
  <c r="BW101" i="14"/>
  <c r="BZ104" i="14"/>
  <c r="AP99" i="14"/>
  <c r="AH103" i="14"/>
  <c r="AH107" i="14"/>
  <c r="AP62" i="14"/>
  <c r="BS70" i="14"/>
  <c r="CF70" i="14"/>
  <c r="AQ86" i="14"/>
  <c r="BW86" i="14"/>
  <c r="CF86" i="14"/>
  <c r="BZ94" i="14"/>
  <c r="BZ102" i="14"/>
  <c r="BS110" i="14"/>
  <c r="AZ71" i="14"/>
  <c r="AZ79" i="14"/>
  <c r="CF79" i="14"/>
  <c r="AH87" i="14"/>
  <c r="BQ87" i="14"/>
  <c r="BQ95" i="14"/>
  <c r="AH64" i="14"/>
  <c r="AH90" i="14"/>
  <c r="AP81" i="14"/>
  <c r="AR66" i="14"/>
  <c r="AP74" i="14"/>
  <c r="AP72" i="14"/>
  <c r="CL67" i="14"/>
  <c r="AT83" i="14"/>
  <c r="CL91" i="14"/>
  <c r="BZ99" i="14"/>
  <c r="BZ107" i="14"/>
  <c r="AT80" i="14"/>
  <c r="BZ80" i="14"/>
  <c r="BW61" i="14"/>
  <c r="AJ105" i="14"/>
  <c r="AJ68" i="14"/>
  <c r="CF68" i="14"/>
  <c r="AZ76" i="14"/>
  <c r="AH84" i="14"/>
  <c r="CF84" i="14"/>
  <c r="AJ92" i="14"/>
  <c r="CF92" i="14"/>
  <c r="BQ100" i="14"/>
  <c r="CL108" i="14"/>
  <c r="AH69" i="14"/>
  <c r="BZ77" i="14"/>
  <c r="AQ85" i="14"/>
  <c r="CF93" i="14"/>
  <c r="CL101" i="14"/>
  <c r="BQ109" i="14"/>
  <c r="AP103" i="14"/>
  <c r="AP107" i="14"/>
  <c r="AH62" i="14"/>
  <c r="BQ78" i="14"/>
  <c r="BS86" i="14"/>
  <c r="BW102" i="14"/>
  <c r="BS102" i="14"/>
  <c r="CL110" i="14"/>
  <c r="AH96" i="14"/>
  <c r="CB96" i="14"/>
  <c r="BW71" i="14"/>
  <c r="BZ79" i="14"/>
  <c r="CF87" i="14"/>
  <c r="CF95" i="14"/>
  <c r="BQ89" i="14"/>
  <c r="AJ100" i="14"/>
  <c r="AH74" i="14"/>
  <c r="AH72" i="14"/>
  <c r="CL107" i="14"/>
  <c r="AT61" i="14"/>
  <c r="AJ67" i="14"/>
  <c r="BQ67" i="14"/>
  <c r="AH83" i="14"/>
  <c r="CL80" i="14"/>
  <c r="AH61" i="14"/>
  <c r="AJ61" i="14"/>
  <c r="CF61" i="14"/>
  <c r="AJ93" i="14"/>
  <c r="AH102" i="14"/>
  <c r="AT108" i="14"/>
  <c r="BZ68" i="14"/>
  <c r="CF76" i="14"/>
  <c r="BW76" i="14"/>
  <c r="BZ84" i="14"/>
  <c r="CB84" i="14"/>
  <c r="BS92" i="14"/>
  <c r="BW100" i="14"/>
  <c r="BZ100" i="14"/>
  <c r="BS108" i="14"/>
  <c r="CB69" i="14"/>
  <c r="AP77" i="14"/>
  <c r="AJ77" i="14"/>
  <c r="AZ85" i="14"/>
  <c r="CL85" i="14"/>
  <c r="CF85" i="14"/>
  <c r="CF109" i="14"/>
  <c r="BW104" i="14"/>
  <c r="AZ89" i="14"/>
  <c r="AZ62" i="14"/>
  <c r="BW62" i="14"/>
  <c r="AF70" i="14"/>
  <c r="AP70" i="14"/>
  <c r="BS78" i="14"/>
  <c r="CL86" i="14"/>
  <c r="CB94" i="14"/>
  <c r="BQ110" i="14"/>
  <c r="AH104" i="14"/>
  <c r="AJ71" i="14"/>
  <c r="BQ71" i="14"/>
  <c r="AJ79" i="14"/>
  <c r="BQ79" i="14"/>
  <c r="CB87" i="14"/>
  <c r="BW103" i="14"/>
  <c r="BS103" i="14"/>
  <c r="BS64" i="14"/>
  <c r="AP73" i="14"/>
  <c r="AH109" i="14"/>
  <c r="AU95" i="14"/>
  <c r="AQ105" i="14"/>
  <c r="AL67" i="14"/>
  <c r="BT75" i="14"/>
  <c r="BR75" i="14"/>
  <c r="CD75" i="14"/>
  <c r="BT83" i="14"/>
  <c r="CO83" i="14"/>
  <c r="BX83" i="14"/>
  <c r="BX91" i="14"/>
  <c r="CK91" i="14"/>
  <c r="CO107" i="14"/>
  <c r="CK107" i="14"/>
  <c r="BT80" i="14"/>
  <c r="BX80" i="14"/>
  <c r="BB61" i="14"/>
  <c r="AU89" i="14"/>
  <c r="AL100" i="14"/>
  <c r="AB65" i="14"/>
  <c r="CD76" i="14"/>
  <c r="CO108" i="14"/>
  <c r="AU70" i="14"/>
  <c r="AQ98" i="14"/>
  <c r="AQ102" i="14"/>
  <c r="CK69" i="14"/>
  <c r="CK77" i="14"/>
  <c r="BR77" i="14"/>
  <c r="BX93" i="14"/>
  <c r="CK101" i="14"/>
  <c r="AL101" i="14"/>
  <c r="AB91" i="14"/>
  <c r="AQ62" i="14"/>
  <c r="AQ78" i="14"/>
  <c r="BX78" i="14"/>
  <c r="BT86" i="14"/>
  <c r="CO94" i="14"/>
  <c r="CD110" i="14"/>
  <c r="CD96" i="14"/>
  <c r="AQ87" i="14"/>
  <c r="AB92" i="14"/>
  <c r="AN63" i="14"/>
  <c r="BR63" i="14"/>
  <c r="BR71" i="14"/>
  <c r="CD79" i="14"/>
  <c r="BR87" i="14"/>
  <c r="CO103" i="14"/>
  <c r="AB110" i="14"/>
  <c r="BO98" i="14"/>
  <c r="BX110" i="14"/>
  <c r="AB100" i="14"/>
  <c r="CO87" i="14"/>
  <c r="AC100" i="14"/>
  <c r="AB72" i="14"/>
  <c r="CD67" i="14"/>
  <c r="BX75" i="14"/>
  <c r="CK83" i="14"/>
  <c r="CO99" i="14"/>
  <c r="AL80" i="14"/>
  <c r="BR80" i="14"/>
  <c r="AL61" i="14"/>
  <c r="AB81" i="14"/>
  <c r="AK68" i="14"/>
  <c r="BB68" i="14"/>
  <c r="CO76" i="14"/>
  <c r="BR84" i="14"/>
  <c r="CD92" i="14"/>
  <c r="AE78" i="14"/>
  <c r="AB74" i="14"/>
  <c r="CO69" i="14"/>
  <c r="AK77" i="14"/>
  <c r="BR93" i="14"/>
  <c r="CK104" i="14"/>
  <c r="AB107" i="14"/>
  <c r="CD62" i="14"/>
  <c r="BB70" i="14"/>
  <c r="BR70" i="14"/>
  <c r="CK70" i="14"/>
  <c r="AF78" i="14"/>
  <c r="BT78" i="14"/>
  <c r="CO78" i="14"/>
  <c r="AL86" i="14"/>
  <c r="CD86" i="14"/>
  <c r="CO102" i="14"/>
  <c r="BR110" i="14"/>
  <c r="AB108" i="14"/>
  <c r="BT63" i="14"/>
  <c r="BT87" i="14"/>
  <c r="BR95" i="14"/>
  <c r="AQ100" i="14"/>
  <c r="BO89" i="14"/>
  <c r="CI82" i="14"/>
  <c r="AT72" i="14"/>
  <c r="CK96" i="14"/>
  <c r="AS67" i="14"/>
  <c r="AQ97" i="14"/>
  <c r="AB80" i="14"/>
  <c r="AU67" i="14"/>
  <c r="BT67" i="14"/>
  <c r="BX67" i="14"/>
  <c r="AU75" i="14"/>
  <c r="CO75" i="14"/>
  <c r="BB83" i="14"/>
  <c r="AQ83" i="14"/>
  <c r="AL91" i="14"/>
  <c r="BR91" i="14"/>
  <c r="CD99" i="14"/>
  <c r="CD80" i="14"/>
  <c r="CO80" i="14"/>
  <c r="CD61" i="14"/>
  <c r="AL104" i="14"/>
  <c r="AB89" i="14"/>
  <c r="AT68" i="14"/>
  <c r="BX68" i="14"/>
  <c r="CD68" i="14"/>
  <c r="AT76" i="14"/>
  <c r="AT84" i="14"/>
  <c r="CD100" i="14"/>
  <c r="BT100" i="14"/>
  <c r="BR100" i="14"/>
  <c r="AQ80" i="14"/>
  <c r="AB82" i="14"/>
  <c r="AQ69" i="14"/>
  <c r="AT69" i="14"/>
  <c r="BT69" i="14"/>
  <c r="CO93" i="14"/>
  <c r="BX101" i="14"/>
  <c r="AD62" i="14"/>
  <c r="CK62" i="14"/>
  <c r="BX70" i="14"/>
  <c r="AS78" i="14"/>
  <c r="CD78" i="14"/>
  <c r="CK86" i="14"/>
  <c r="CD94" i="14"/>
  <c r="CO96" i="14"/>
  <c r="AK94" i="14"/>
  <c r="AQ107" i="14"/>
  <c r="AQ63" i="14"/>
  <c r="CO63" i="14"/>
  <c r="AF71" i="14"/>
  <c r="BT71" i="14"/>
  <c r="BP79" i="14"/>
  <c r="BT79" i="14"/>
  <c r="CO95" i="14"/>
  <c r="BP103" i="14"/>
  <c r="AM102" i="14"/>
  <c r="BU81" i="14"/>
  <c r="AY82" i="14"/>
  <c r="AQ90" i="14"/>
  <c r="BQ106" i="14"/>
  <c r="AL108" i="14"/>
  <c r="AE68" i="14"/>
  <c r="BX96" i="14"/>
  <c r="AQ72" i="14"/>
  <c r="AS100" i="14"/>
  <c r="AU103" i="14"/>
  <c r="AQ109" i="14"/>
  <c r="AB88" i="14"/>
  <c r="CK67" i="14"/>
  <c r="CO91" i="14"/>
  <c r="CK61" i="14"/>
  <c r="CO61" i="14"/>
  <c r="AU82" i="14"/>
  <c r="AB97" i="14"/>
  <c r="CO68" i="14"/>
  <c r="CK68" i="14"/>
  <c r="BX76" i="14"/>
  <c r="CK76" i="14"/>
  <c r="CO84" i="14"/>
  <c r="CK84" i="14"/>
  <c r="CK92" i="14"/>
  <c r="BX92" i="14"/>
  <c r="BX100" i="14"/>
  <c r="CK100" i="14"/>
  <c r="CD108" i="14"/>
  <c r="BT108" i="14"/>
  <c r="BR108" i="14"/>
  <c r="AB90" i="14"/>
  <c r="BT93" i="14"/>
  <c r="BR101" i="14"/>
  <c r="CD101" i="14"/>
  <c r="BX109" i="14"/>
  <c r="BR104" i="14"/>
  <c r="BX104" i="14"/>
  <c r="AQ91" i="14"/>
  <c r="BR62" i="14"/>
  <c r="BX62" i="14"/>
  <c r="CK78" i="14"/>
  <c r="BX86" i="14"/>
  <c r="CK94" i="14"/>
  <c r="CO110" i="14"/>
  <c r="BR96" i="14"/>
  <c r="CK79" i="14"/>
  <c r="CD95" i="14"/>
  <c r="CD103" i="14"/>
  <c r="BW105" i="14"/>
  <c r="AP88" i="14"/>
  <c r="AR96" i="14"/>
  <c r="AP96" i="14"/>
  <c r="CF72" i="14"/>
  <c r="AL109" i="14"/>
  <c r="BX63" i="14"/>
  <c r="AC75" i="14"/>
  <c r="AS104" i="14"/>
  <c r="AB96" i="14"/>
  <c r="AE67" i="14"/>
  <c r="BR67" i="14"/>
  <c r="BB75" i="14"/>
  <c r="AQ75" i="14"/>
  <c r="CK75" i="14"/>
  <c r="AL83" i="14"/>
  <c r="BT91" i="14"/>
  <c r="BR99" i="14"/>
  <c r="CK80" i="14"/>
  <c r="BT61" i="14"/>
  <c r="BB104" i="14"/>
  <c r="AB105" i="14"/>
  <c r="BR68" i="14"/>
  <c r="AS92" i="14"/>
  <c r="BR92" i="14"/>
  <c r="BX108" i="14"/>
  <c r="AK105" i="14"/>
  <c r="AU108" i="14"/>
  <c r="AB98" i="14"/>
  <c r="BT77" i="14"/>
  <c r="CK85" i="14"/>
  <c r="BR109" i="14"/>
  <c r="CD104" i="14"/>
  <c r="AT93" i="14"/>
  <c r="AB67" i="14"/>
  <c r="BX94" i="14"/>
  <c r="AM66" i="14"/>
  <c r="AQ95" i="14"/>
  <c r="AK102" i="14"/>
  <c r="AU109" i="14"/>
  <c r="CD63" i="14"/>
  <c r="CO71" i="14"/>
  <c r="BX71" i="14"/>
  <c r="AQ79" i="14"/>
  <c r="CK95" i="14"/>
  <c r="BV103" i="14"/>
  <c r="AQ104" i="14"/>
  <c r="AH81" i="14"/>
  <c r="AH88" i="14"/>
  <c r="AN74" i="14"/>
  <c r="CK110" i="14"/>
  <c r="BX79" i="14"/>
  <c r="CK87" i="14"/>
  <c r="AE95" i="14"/>
  <c r="AQ101" i="14"/>
  <c r="AU107" i="14"/>
  <c r="AB104" i="14"/>
  <c r="BB67" i="14"/>
  <c r="AQ67" i="14"/>
  <c r="CO67" i="14"/>
  <c r="BR83" i="14"/>
  <c r="CD83" i="14"/>
  <c r="BR107" i="14"/>
  <c r="CD107" i="14"/>
  <c r="AQ61" i="14"/>
  <c r="AU61" i="14"/>
  <c r="BB96" i="14"/>
  <c r="CD84" i="14"/>
  <c r="CO92" i="14"/>
  <c r="CK108" i="14"/>
  <c r="AS97" i="14"/>
  <c r="AU100" i="14"/>
  <c r="AB106" i="14"/>
  <c r="CD77" i="14"/>
  <c r="BX77" i="14"/>
  <c r="CD85" i="14"/>
  <c r="BT85" i="14"/>
  <c r="BX85" i="14"/>
  <c r="CD93" i="14"/>
  <c r="BT101" i="14"/>
  <c r="CO101" i="14"/>
  <c r="CD109" i="14"/>
  <c r="BT104" i="14"/>
  <c r="CO104" i="14"/>
  <c r="AQ68" i="14"/>
  <c r="AB75" i="14"/>
  <c r="BR78" i="14"/>
  <c r="CD102" i="14"/>
  <c r="BT102" i="14"/>
  <c r="AT63" i="14"/>
  <c r="CK63" i="14"/>
  <c r="AQ71" i="14"/>
  <c r="CH87" i="14"/>
  <c r="AY91" i="14"/>
  <c r="AH65" i="14"/>
  <c r="AH73" i="14"/>
  <c r="AD81" i="14"/>
  <c r="AP89" i="14"/>
  <c r="BS105" i="14"/>
  <c r="AP105" i="14"/>
  <c r="AP82" i="14"/>
  <c r="AG77" i="14"/>
  <c r="AH97" i="14"/>
  <c r="BA96" i="14"/>
  <c r="AK104" i="14"/>
  <c r="AE91" i="14"/>
  <c r="BV99" i="14"/>
  <c r="AK61" i="14"/>
  <c r="AC63" i="14"/>
  <c r="AD88" i="14"/>
  <c r="AL96" i="14"/>
  <c r="AD104" i="14"/>
  <c r="BA68" i="14"/>
  <c r="AL76" i="14"/>
  <c r="AK84" i="14"/>
  <c r="AE84" i="14"/>
  <c r="CN84" i="14"/>
  <c r="AE92" i="14"/>
  <c r="BP100" i="14"/>
  <c r="BV100" i="14"/>
  <c r="AC97" i="14"/>
  <c r="AU104" i="14"/>
  <c r="BA109" i="14"/>
  <c r="AE69" i="14"/>
  <c r="AC69" i="14"/>
  <c r="BA77" i="14"/>
  <c r="AT85" i="14"/>
  <c r="BV93" i="14"/>
  <c r="BV101" i="14"/>
  <c r="BP101" i="14"/>
  <c r="AL92" i="14"/>
  <c r="BB97" i="14"/>
  <c r="BB105" i="14"/>
  <c r="AN108" i="14"/>
  <c r="AV97" i="14"/>
  <c r="AV101" i="14"/>
  <c r="AV91" i="14"/>
  <c r="AV93" i="14"/>
  <c r="AV105" i="14"/>
  <c r="AV109" i="14"/>
  <c r="AV90" i="14"/>
  <c r="AV94" i="14"/>
  <c r="AV88" i="14"/>
  <c r="AV87" i="14"/>
  <c r="AV66" i="14"/>
  <c r="AV73" i="14"/>
  <c r="AV82" i="14"/>
  <c r="AV106" i="14"/>
  <c r="AV89" i="14"/>
  <c r="AV72" i="14"/>
  <c r="AV98" i="14"/>
  <c r="AV65" i="14"/>
  <c r="AV74" i="14"/>
  <c r="AV110" i="14"/>
  <c r="AV81" i="14"/>
  <c r="AV102" i="14"/>
  <c r="AV64" i="14"/>
  <c r="AT62" i="14"/>
  <c r="BV62" i="14"/>
  <c r="AN70" i="14"/>
  <c r="AK70" i="14"/>
  <c r="AD78" i="14"/>
  <c r="BB86" i="14"/>
  <c r="BV86" i="14"/>
  <c r="BP94" i="14"/>
  <c r="AO61" i="14"/>
  <c r="AM93" i="14"/>
  <c r="AO96" i="14"/>
  <c r="BA98" i="14"/>
  <c r="AM101" i="14"/>
  <c r="AG104" i="14"/>
  <c r="AS106" i="14"/>
  <c r="AE109" i="14"/>
  <c r="AE63" i="14"/>
  <c r="AG63" i="14"/>
  <c r="CN63" i="14"/>
  <c r="AE71" i="14"/>
  <c r="AV71" i="14"/>
  <c r="AT79" i="14"/>
  <c r="AF79" i="14"/>
  <c r="AD87" i="14"/>
  <c r="AO87" i="14"/>
  <c r="BV87" i="14"/>
  <c r="CL95" i="14"/>
  <c r="CN103" i="14"/>
  <c r="BU105" i="14"/>
  <c r="AT66" i="14"/>
  <c r="CB66" i="14"/>
  <c r="BB90" i="14"/>
  <c r="AE100" i="14"/>
  <c r="BA79" i="14"/>
  <c r="AE107" i="14"/>
  <c r="BV67" i="14"/>
  <c r="CN75" i="14"/>
  <c r="BV91" i="14"/>
  <c r="BP80" i="14"/>
  <c r="AE61" i="14"/>
  <c r="AC61" i="14"/>
  <c r="AS68" i="14"/>
  <c r="BV68" i="14"/>
  <c r="AD76" i="14"/>
  <c r="AC84" i="14"/>
  <c r="BB84" i="14"/>
  <c r="BP84" i="14"/>
  <c r="BA92" i="14"/>
  <c r="CN108" i="14"/>
  <c r="AS75" i="14"/>
  <c r="AS90" i="14"/>
  <c r="AK97" i="14"/>
  <c r="AC105" i="14"/>
  <c r="BB69" i="14"/>
  <c r="BV69" i="14"/>
  <c r="AU77" i="14"/>
  <c r="AS77" i="14"/>
  <c r="BV77" i="14"/>
  <c r="AL85" i="14"/>
  <c r="BP93" i="14"/>
  <c r="CN109" i="14"/>
  <c r="AS63" i="14"/>
  <c r="AK83" i="14"/>
  <c r="AL93" i="14"/>
  <c r="AL62" i="14"/>
  <c r="BP62" i="14"/>
  <c r="AC70" i="14"/>
  <c r="CN70" i="14"/>
  <c r="BA78" i="14"/>
  <c r="CN78" i="14"/>
  <c r="AT86" i="14"/>
  <c r="CN86" i="14"/>
  <c r="CN102" i="14"/>
  <c r="BP110" i="14"/>
  <c r="BV110" i="14"/>
  <c r="BV96" i="14"/>
  <c r="BA63" i="14"/>
  <c r="AL88" i="14"/>
  <c r="AU93" i="14"/>
  <c r="AU101" i="14"/>
  <c r="BA106" i="14"/>
  <c r="BB63" i="14"/>
  <c r="AV63" i="14"/>
  <c r="BB71" i="14"/>
  <c r="AN71" i="14"/>
  <c r="BP71" i="14"/>
  <c r="BV71" i="14"/>
  <c r="AL79" i="14"/>
  <c r="AG87" i="14"/>
  <c r="CN95" i="14"/>
  <c r="CO106" i="14"/>
  <c r="CO98" i="14"/>
  <c r="CO89" i="14"/>
  <c r="CO72" i="14"/>
  <c r="CO74" i="14"/>
  <c r="CO88" i="14"/>
  <c r="CO73" i="14"/>
  <c r="CO81" i="14"/>
  <c r="CO90" i="14"/>
  <c r="CO97" i="14"/>
  <c r="CO65" i="14"/>
  <c r="CO82" i="14"/>
  <c r="CO105" i="14"/>
  <c r="BX95" i="14"/>
  <c r="BX106" i="14"/>
  <c r="BX82" i="14"/>
  <c r="BX105" i="14"/>
  <c r="BX98" i="14"/>
  <c r="BX89" i="14"/>
  <c r="BX66" i="14"/>
  <c r="BX88" i="14"/>
  <c r="BX73" i="14"/>
  <c r="BX72" i="14"/>
  <c r="BX74" i="14"/>
  <c r="BX81" i="14"/>
  <c r="BX90" i="14"/>
  <c r="BX97" i="14"/>
  <c r="BX65" i="14"/>
  <c r="BX64" i="14"/>
  <c r="CK82" i="14"/>
  <c r="CK97" i="14"/>
  <c r="CK98" i="14"/>
  <c r="CK66" i="14"/>
  <c r="CK72" i="14"/>
  <c r="CK88" i="14"/>
  <c r="CK73" i="14"/>
  <c r="CK64" i="14"/>
  <c r="CK74" i="14"/>
  <c r="CK89" i="14"/>
  <c r="CK106" i="14"/>
  <c r="CK105" i="14"/>
  <c r="CK81" i="14"/>
  <c r="AB109" i="14"/>
  <c r="AB69" i="14"/>
  <c r="AB77" i="14"/>
  <c r="AB101" i="14"/>
  <c r="AB93" i="14"/>
  <c r="AB85" i="14"/>
  <c r="AB61" i="14"/>
  <c r="AB86" i="14"/>
  <c r="AB103" i="14"/>
  <c r="AB78" i="14"/>
  <c r="AB95" i="14"/>
  <c r="AB62" i="14"/>
  <c r="AB63" i="14"/>
  <c r="AB70" i="14"/>
  <c r="AB87" i="14"/>
  <c r="AB84" i="14"/>
  <c r="AB79" i="14"/>
  <c r="AB102" i="14"/>
  <c r="AB94" i="14"/>
  <c r="CO64" i="14"/>
  <c r="AC91" i="14"/>
  <c r="AE110" i="14"/>
  <c r="AT65" i="14"/>
  <c r="AN81" i="14"/>
  <c r="AW61" i="14"/>
  <c r="AU88" i="14"/>
  <c r="CO66" i="14"/>
  <c r="CJ74" i="14"/>
  <c r="AF99" i="14"/>
  <c r="AE66" i="14"/>
  <c r="BP106" i="14"/>
  <c r="BP105" i="14"/>
  <c r="BP98" i="14"/>
  <c r="BP82" i="14"/>
  <c r="BP89" i="14"/>
  <c r="BP74" i="14"/>
  <c r="BP88" i="14"/>
  <c r="BP73" i="14"/>
  <c r="BP72" i="14"/>
  <c r="BP81" i="14"/>
  <c r="BP66" i="14"/>
  <c r="BP64" i="14"/>
  <c r="BV66" i="14"/>
  <c r="BV81" i="14"/>
  <c r="BV95" i="14"/>
  <c r="BV106" i="14"/>
  <c r="BV105" i="14"/>
  <c r="BV98" i="14"/>
  <c r="BV88" i="14"/>
  <c r="BV73" i="14"/>
  <c r="BV72" i="14"/>
  <c r="BV97" i="14"/>
  <c r="BV90" i="14"/>
  <c r="BV74" i="14"/>
  <c r="BV89" i="14"/>
  <c r="BV65" i="14"/>
  <c r="CN73" i="14"/>
  <c r="BV75" i="14"/>
  <c r="CN83" i="14"/>
  <c r="BA80" i="14"/>
  <c r="AC68" i="14"/>
  <c r="BP68" i="14"/>
  <c r="BA76" i="14"/>
  <c r="CN76" i="14"/>
  <c r="AL84" i="14"/>
  <c r="BV84" i="14"/>
  <c r="AK92" i="14"/>
  <c r="AC93" i="14"/>
  <c r="BA97" i="14"/>
  <c r="AS105" i="14"/>
  <c r="AM86" i="14"/>
  <c r="AM72" i="14"/>
  <c r="AM65" i="14"/>
  <c r="AM106" i="14"/>
  <c r="AM81" i="14"/>
  <c r="AM98" i="14"/>
  <c r="AM64" i="14"/>
  <c r="AM62" i="14"/>
  <c r="AM88" i="14"/>
  <c r="AM110" i="14"/>
  <c r="AM94" i="14"/>
  <c r="AM89" i="14"/>
  <c r="AL69" i="14"/>
  <c r="AE77" i="14"/>
  <c r="AC77" i="14"/>
  <c r="BA85" i="14"/>
  <c r="BV85" i="14"/>
  <c r="BV104" i="14"/>
  <c r="BB93" i="14"/>
  <c r="AT101" i="14"/>
  <c r="AT109" i="14"/>
  <c r="BA62" i="14"/>
  <c r="AT70" i="14"/>
  <c r="BV70" i="14"/>
  <c r="AK78" i="14"/>
  <c r="AS94" i="14"/>
  <c r="AM97" i="14"/>
  <c r="AS102" i="14"/>
  <c r="AE105" i="14"/>
  <c r="AK110" i="14"/>
  <c r="AG69" i="14"/>
  <c r="AG109" i="14"/>
  <c r="AG64" i="14"/>
  <c r="AG96" i="14"/>
  <c r="AG90" i="14"/>
  <c r="AG101" i="14"/>
  <c r="AG66" i="14"/>
  <c r="AG93" i="14"/>
  <c r="AG82" i="14"/>
  <c r="AG97" i="14"/>
  <c r="AG61" i="14"/>
  <c r="AG74" i="14"/>
  <c r="AL63" i="14"/>
  <c r="AF63" i="14"/>
  <c r="BP63" i="14"/>
  <c r="BV63" i="14"/>
  <c r="AL71" i="14"/>
  <c r="AU87" i="14"/>
  <c r="BP95" i="14"/>
  <c r="BR82" i="14"/>
  <c r="BR105" i="14"/>
  <c r="BR106" i="14"/>
  <c r="BR98" i="14"/>
  <c r="BR89" i="14"/>
  <c r="BR73" i="14"/>
  <c r="BR72" i="14"/>
  <c r="BR74" i="14"/>
  <c r="BR65" i="14"/>
  <c r="BR81" i="14"/>
  <c r="BR66" i="14"/>
  <c r="BR64" i="14"/>
  <c r="BR88" i="14"/>
  <c r="BT90" i="14"/>
  <c r="BT65" i="14"/>
  <c r="BT103" i="14"/>
  <c r="BT72" i="14"/>
  <c r="BT105" i="14"/>
  <c r="BT106" i="14"/>
  <c r="BT81" i="14"/>
  <c r="BT82" i="14"/>
  <c r="BT97" i="14"/>
  <c r="BT98" i="14"/>
  <c r="BT74" i="14"/>
  <c r="BT66" i="14"/>
  <c r="BT89" i="14"/>
  <c r="CD64" i="14"/>
  <c r="CD81" i="14"/>
  <c r="CD106" i="14"/>
  <c r="CD105" i="14"/>
  <c r="CD98" i="14"/>
  <c r="CD97" i="14"/>
  <c r="CD82" i="14"/>
  <c r="CD66" i="14"/>
  <c r="CD88" i="14"/>
  <c r="CD73" i="14"/>
  <c r="CD72" i="14"/>
  <c r="CD90" i="14"/>
  <c r="CD74" i="14"/>
  <c r="CD89" i="14"/>
  <c r="CD65" i="14"/>
  <c r="AE82" i="14"/>
  <c r="AL103" i="14"/>
  <c r="AK74" i="14"/>
  <c r="BA71" i="14"/>
  <c r="AE97" i="14"/>
  <c r="CN90" i="14"/>
  <c r="CN97" i="14"/>
  <c r="CN65" i="14"/>
  <c r="CN79" i="14"/>
  <c r="CN66" i="14"/>
  <c r="CN64" i="14"/>
  <c r="CN82" i="14"/>
  <c r="CN106" i="14"/>
  <c r="CN105" i="14"/>
  <c r="CN98" i="14"/>
  <c r="CN89" i="14"/>
  <c r="CN72" i="14"/>
  <c r="CN81" i="14"/>
  <c r="CN74" i="14"/>
  <c r="AE103" i="14"/>
  <c r="AC79" i="14"/>
  <c r="AC95" i="14"/>
  <c r="AC94" i="14"/>
  <c r="AC99" i="14"/>
  <c r="AC82" i="14"/>
  <c r="AC89" i="14"/>
  <c r="AC81" i="14"/>
  <c r="AC64" i="14"/>
  <c r="AC87" i="14"/>
  <c r="AC74" i="14"/>
  <c r="AC73" i="14"/>
  <c r="AC110" i="14"/>
  <c r="AC72" i="14"/>
  <c r="AC67" i="14"/>
  <c r="AC103" i="14"/>
  <c r="AC102" i="14"/>
  <c r="AC83" i="14"/>
  <c r="AC66" i="14"/>
  <c r="AC88" i="14"/>
  <c r="AC65" i="14"/>
  <c r="AC107" i="14"/>
  <c r="AE75" i="14"/>
  <c r="BP75" i="14"/>
  <c r="AS80" i="14"/>
  <c r="BP61" i="14"/>
  <c r="AD106" i="14"/>
  <c r="AD98" i="14"/>
  <c r="AD110" i="14"/>
  <c r="AD94" i="14"/>
  <c r="AD102" i="14"/>
  <c r="AD74" i="14"/>
  <c r="AD73" i="14"/>
  <c r="AD79" i="14"/>
  <c r="AD109" i="14"/>
  <c r="AD101" i="14"/>
  <c r="AD90" i="14"/>
  <c r="AD107" i="14"/>
  <c r="AD93" i="14"/>
  <c r="AD72" i="14"/>
  <c r="AD66" i="14"/>
  <c r="AD99" i="14"/>
  <c r="AD65" i="14"/>
  <c r="AD103" i="14"/>
  <c r="AD64" i="14"/>
  <c r="AD95" i="14"/>
  <c r="AS76" i="14"/>
  <c r="AD84" i="14"/>
  <c r="AC92" i="14"/>
  <c r="BV92" i="14"/>
  <c r="BP108" i="14"/>
  <c r="BV108" i="14"/>
  <c r="AK93" i="14"/>
  <c r="AC101" i="14"/>
  <c r="BA105" i="14"/>
  <c r="AU66" i="14"/>
  <c r="AU106" i="14"/>
  <c r="AU71" i="14"/>
  <c r="AU72" i="14"/>
  <c r="AU65" i="14"/>
  <c r="AU98" i="14"/>
  <c r="AU86" i="14"/>
  <c r="AU78" i="14"/>
  <c r="AU81" i="14"/>
  <c r="AU110" i="14"/>
  <c r="AU102" i="14"/>
  <c r="AU64" i="14"/>
  <c r="AU73" i="14"/>
  <c r="AU74" i="14"/>
  <c r="AD69" i="14"/>
  <c r="CN69" i="14"/>
  <c r="BB77" i="14"/>
  <c r="AU85" i="14"/>
  <c r="AS85" i="14"/>
  <c r="BP109" i="14"/>
  <c r="AC71" i="14"/>
  <c r="BB101" i="14"/>
  <c r="BB109" i="14"/>
  <c r="AS62" i="14"/>
  <c r="BP70" i="14"/>
  <c r="AC78" i="14"/>
  <c r="BA86" i="14"/>
  <c r="BP86" i="14"/>
  <c r="BV94" i="14"/>
  <c r="BP102" i="14"/>
  <c r="BV102" i="14"/>
  <c r="BA94" i="14"/>
  <c r="AU97" i="14"/>
  <c r="BA102" i="14"/>
  <c r="AM105" i="14"/>
  <c r="AS110" i="14"/>
  <c r="AO81" i="14"/>
  <c r="AO74" i="14"/>
  <c r="AO101" i="14"/>
  <c r="AO93" i="14"/>
  <c r="AO64" i="14"/>
  <c r="AO90" i="14"/>
  <c r="AO89" i="14"/>
  <c r="AO66" i="14"/>
  <c r="AO105" i="14"/>
  <c r="AO69" i="14"/>
  <c r="AO72" i="14"/>
  <c r="AO88" i="14"/>
  <c r="AO109" i="14"/>
  <c r="AD63" i="14"/>
  <c r="AD71" i="14"/>
  <c r="AU79" i="14"/>
  <c r="AO79" i="14"/>
  <c r="AM87" i="14"/>
  <c r="BZ88" i="14"/>
  <c r="BZ105" i="14"/>
  <c r="BZ103" i="14"/>
  <c r="BZ95" i="14"/>
  <c r="BZ71" i="14"/>
  <c r="BZ82" i="14"/>
  <c r="BZ106" i="14"/>
  <c r="BZ98" i="14"/>
  <c r="BZ89" i="14"/>
  <c r="BZ72" i="14"/>
  <c r="BZ74" i="14"/>
  <c r="BZ81" i="14"/>
  <c r="BZ90" i="14"/>
  <c r="BZ97" i="14"/>
  <c r="BZ66" i="14"/>
  <c r="BZ65" i="14"/>
  <c r="BZ64" i="14"/>
  <c r="CB89" i="14"/>
  <c r="CB63" i="14"/>
  <c r="CB90" i="14"/>
  <c r="CB65" i="14"/>
  <c r="CB105" i="14"/>
  <c r="CB106" i="14"/>
  <c r="CB82" i="14"/>
  <c r="CB81" i="14"/>
  <c r="CB97" i="14"/>
  <c r="CB74" i="14"/>
  <c r="CB88" i="14"/>
  <c r="CB73" i="14"/>
  <c r="CB64" i="14"/>
  <c r="CL90" i="14"/>
  <c r="CL89" i="14"/>
  <c r="CL65" i="14"/>
  <c r="CL103" i="14"/>
  <c r="CL79" i="14"/>
  <c r="CL97" i="14"/>
  <c r="CL72" i="14"/>
  <c r="CL81" i="14"/>
  <c r="CL106" i="14"/>
  <c r="CL105" i="14"/>
  <c r="CL64" i="14"/>
  <c r="CL98" i="14"/>
  <c r="CL82" i="14"/>
  <c r="CL74" i="14"/>
  <c r="AM73" i="14"/>
  <c r="BT73" i="14"/>
  <c r="BR97" i="14"/>
  <c r="CL88" i="14"/>
  <c r="AN98" i="14"/>
  <c r="AB71" i="14"/>
  <c r="AO82" i="14"/>
  <c r="BR90" i="14"/>
  <c r="CB72" i="14"/>
  <c r="AE90" i="14"/>
  <c r="AE74" i="14"/>
  <c r="AE86" i="14"/>
  <c r="AE81" i="14"/>
  <c r="AE106" i="14"/>
  <c r="AE64" i="14"/>
  <c r="AE88" i="14"/>
  <c r="AE98" i="14"/>
  <c r="AE62" i="14"/>
  <c r="AE108" i="14"/>
  <c r="AE73" i="14"/>
  <c r="AE102" i="14"/>
  <c r="AE72" i="14"/>
  <c r="AE65" i="14"/>
  <c r="AE94" i="14"/>
  <c r="AE70" i="14"/>
  <c r="BA87" i="14"/>
  <c r="AC96" i="14"/>
  <c r="BA100" i="14"/>
  <c r="AK75" i="14"/>
  <c r="AK66" i="14"/>
  <c r="AK88" i="14"/>
  <c r="AK65" i="14"/>
  <c r="AK90" i="14"/>
  <c r="AK79" i="14"/>
  <c r="AK82" i="14"/>
  <c r="AK67" i="14"/>
  <c r="AK89" i="14"/>
  <c r="AK81" i="14"/>
  <c r="AK64" i="14"/>
  <c r="AK103" i="14"/>
  <c r="AK95" i="14"/>
  <c r="AK91" i="14"/>
  <c r="AK107" i="14"/>
  <c r="AK72" i="14"/>
  <c r="AK99" i="14"/>
  <c r="BV83" i="14"/>
  <c r="BP99" i="14"/>
  <c r="BP107" i="14"/>
  <c r="BV107" i="14"/>
  <c r="AK80" i="14"/>
  <c r="AE80" i="14"/>
  <c r="AD61" i="14"/>
  <c r="BV61" i="14"/>
  <c r="BB92" i="14"/>
  <c r="AL94" i="14"/>
  <c r="AL110" i="14"/>
  <c r="AL102" i="14"/>
  <c r="AL106" i="14"/>
  <c r="AL98" i="14"/>
  <c r="AL74" i="14"/>
  <c r="AL107" i="14"/>
  <c r="AL73" i="14"/>
  <c r="AL99" i="14"/>
  <c r="AL90" i="14"/>
  <c r="AL72" i="14"/>
  <c r="AL66" i="14"/>
  <c r="AL65" i="14"/>
  <c r="AL82" i="14"/>
  <c r="AL95" i="14"/>
  <c r="AL89" i="14"/>
  <c r="AL81" i="14"/>
  <c r="AL64" i="14"/>
  <c r="AL68" i="14"/>
  <c r="AK76" i="14"/>
  <c r="AE76" i="14"/>
  <c r="BP92" i="14"/>
  <c r="CN100" i="14"/>
  <c r="BS57" i="14"/>
  <c r="CH57" i="14"/>
  <c r="BP57" i="14"/>
  <c r="CM57" i="14"/>
  <c r="BR57" i="14"/>
  <c r="CN57" i="14"/>
  <c r="BW57" i="14"/>
  <c r="CF57" i="14"/>
  <c r="BX57" i="14"/>
  <c r="BZ57" i="14"/>
  <c r="CE57" i="14"/>
  <c r="CJ57" i="14"/>
  <c r="CB57" i="14"/>
  <c r="CO57" i="14"/>
  <c r="CL57" i="14"/>
  <c r="BT57" i="14"/>
  <c r="BQ57" i="14"/>
  <c r="CC57" i="14"/>
  <c r="BU57" i="14"/>
  <c r="CA57" i="14"/>
  <c r="CG57" i="14"/>
  <c r="CD57" i="14"/>
  <c r="BY57" i="14"/>
  <c r="BV57" i="14"/>
  <c r="CI57" i="14"/>
  <c r="CK57" i="14"/>
  <c r="AK63" i="14"/>
  <c r="AK87" i="14"/>
  <c r="AS93" i="14"/>
  <c r="AE96" i="14"/>
  <c r="AK101" i="14"/>
  <c r="AC109" i="14"/>
  <c r="BA69" i="14"/>
  <c r="AM85" i="14"/>
  <c r="AK85" i="14"/>
  <c r="BP85" i="14"/>
  <c r="CN101" i="14"/>
  <c r="AD97" i="14"/>
  <c r="AD105" i="14"/>
  <c r="AK62" i="14"/>
  <c r="AD70" i="14"/>
  <c r="BB78" i="14"/>
  <c r="AV86" i="14"/>
  <c r="AS86" i="14"/>
  <c r="CN94" i="14"/>
  <c r="AC98" i="14"/>
  <c r="AU105" i="14"/>
  <c r="AG108" i="14"/>
  <c r="BA110" i="14"/>
  <c r="AW93" i="14"/>
  <c r="AW71" i="14"/>
  <c r="AW74" i="14"/>
  <c r="AW69" i="14"/>
  <c r="AW64" i="14"/>
  <c r="AW90" i="14"/>
  <c r="AW105" i="14"/>
  <c r="AW81" i="14"/>
  <c r="AW85" i="14"/>
  <c r="AW66" i="14"/>
  <c r="AW97" i="14"/>
  <c r="AW82" i="14"/>
  <c r="AW92" i="14"/>
  <c r="AW109" i="14"/>
  <c r="AW72" i="14"/>
  <c r="AW101" i="14"/>
  <c r="AM79" i="14"/>
  <c r="AG79" i="14"/>
  <c r="AE87" i="14"/>
  <c r="CH66" i="14"/>
  <c r="CH105" i="14"/>
  <c r="CH64" i="14"/>
  <c r="CH88" i="14"/>
  <c r="CH82" i="14"/>
  <c r="CH65" i="14"/>
  <c r="CH106" i="14"/>
  <c r="CH98" i="14"/>
  <c r="CH89" i="14"/>
  <c r="CH73" i="14"/>
  <c r="CH90" i="14"/>
  <c r="CH97" i="14"/>
  <c r="CJ72" i="14"/>
  <c r="CJ89" i="14"/>
  <c r="CJ64" i="14"/>
  <c r="CJ90" i="14"/>
  <c r="CJ65" i="14"/>
  <c r="CJ105" i="14"/>
  <c r="CJ106" i="14"/>
  <c r="CJ82" i="14"/>
  <c r="CJ81" i="14"/>
  <c r="CJ98" i="14"/>
  <c r="CJ66" i="14"/>
  <c r="CJ88" i="14"/>
  <c r="CJ73" i="14"/>
  <c r="BT64" i="14"/>
  <c r="AM74" i="14"/>
  <c r="AG105" i="14"/>
  <c r="AK73" i="14"/>
  <c r="AD89" i="14"/>
  <c r="BP97" i="14"/>
  <c r="BT88" i="14"/>
  <c r="AD82" i="14"/>
  <c r="BV82" i="14"/>
  <c r="BP90" i="14"/>
  <c r="CH72" i="14"/>
  <c r="AK96" i="14"/>
  <c r="AS87" i="14"/>
  <c r="AS71" i="14"/>
  <c r="AS72" i="14"/>
  <c r="AS66" i="14"/>
  <c r="AS88" i="14"/>
  <c r="AS65" i="14"/>
  <c r="AS103" i="14"/>
  <c r="AS82" i="14"/>
  <c r="AS89" i="14"/>
  <c r="AS81" i="14"/>
  <c r="AS95" i="14"/>
  <c r="AS64" i="14"/>
  <c r="AS74" i="14"/>
  <c r="AS79" i="14"/>
  <c r="AS73" i="14"/>
  <c r="AS99" i="14"/>
  <c r="AE83" i="14"/>
  <c r="BP83" i="14"/>
  <c r="CN91" i="14"/>
  <c r="AC80" i="14"/>
  <c r="BB80" i="14"/>
  <c r="BV80" i="14"/>
  <c r="CN80" i="14"/>
  <c r="BA61" i="14"/>
  <c r="BB100" i="14"/>
  <c r="AT98" i="14"/>
  <c r="AT110" i="14"/>
  <c r="AT102" i="14"/>
  <c r="AT94" i="14"/>
  <c r="AT106" i="14"/>
  <c r="AT107" i="14"/>
  <c r="AT64" i="14"/>
  <c r="AT87" i="14"/>
  <c r="AT99" i="14"/>
  <c r="AT88" i="14"/>
  <c r="AT74" i="14"/>
  <c r="AT73" i="14"/>
  <c r="AT92" i="14"/>
  <c r="AT90" i="14"/>
  <c r="AT103" i="14"/>
  <c r="AT82" i="14"/>
  <c r="AT89" i="14"/>
  <c r="AT81" i="14"/>
  <c r="AD68" i="14"/>
  <c r="AC76" i="14"/>
  <c r="BB76" i="14"/>
  <c r="BP76" i="14"/>
  <c r="BV76" i="14"/>
  <c r="BA84" i="14"/>
  <c r="BA93" i="14"/>
  <c r="AM96" i="14"/>
  <c r="AS101" i="14"/>
  <c r="AE104" i="14"/>
  <c r="AK109" i="14"/>
  <c r="AU69" i="14"/>
  <c r="AS69" i="14"/>
  <c r="AL77" i="14"/>
  <c r="AE85" i="14"/>
  <c r="AC85" i="14"/>
  <c r="CN93" i="14"/>
  <c r="BV109" i="14"/>
  <c r="BA75" i="14"/>
  <c r="AU90" i="14"/>
  <c r="AL97" i="14"/>
  <c r="AL105" i="14"/>
  <c r="AF105" i="14"/>
  <c r="AF93" i="14"/>
  <c r="AF101" i="14"/>
  <c r="AF97" i="14"/>
  <c r="AF109" i="14"/>
  <c r="AF104" i="14"/>
  <c r="AF110" i="14"/>
  <c r="AF91" i="14"/>
  <c r="AF82" i="14"/>
  <c r="AF102" i="14"/>
  <c r="AF89" i="14"/>
  <c r="AF72" i="14"/>
  <c r="AF94" i="14"/>
  <c r="AF65" i="14"/>
  <c r="AF107" i="14"/>
  <c r="AF74" i="14"/>
  <c r="AF81" i="14"/>
  <c r="AF90" i="14"/>
  <c r="AF98" i="14"/>
  <c r="AF88" i="14"/>
  <c r="AF66" i="14"/>
  <c r="AF73" i="14"/>
  <c r="AF62" i="14"/>
  <c r="AC62" i="14"/>
  <c r="CN62" i="14"/>
  <c r="AT78" i="14"/>
  <c r="BV78" i="14"/>
  <c r="AK86" i="14"/>
  <c r="CN110" i="14"/>
  <c r="AG81" i="14"/>
  <c r="AO92" i="14"/>
  <c r="AK98" i="14"/>
  <c r="AW100" i="14"/>
  <c r="AC106" i="14"/>
  <c r="AO108" i="14"/>
  <c r="AU63" i="14"/>
  <c r="AW63" i="14"/>
  <c r="AO71" i="14"/>
  <c r="CN71" i="14"/>
  <c r="AE79" i="14"/>
  <c r="AV79" i="14"/>
  <c r="CN87" i="14"/>
  <c r="CL87" i="14"/>
  <c r="BT95" i="14"/>
  <c r="CJ103" i="14"/>
  <c r="CH103" i="14"/>
  <c r="AO97" i="14"/>
  <c r="AS107" i="14"/>
  <c r="BP65" i="14"/>
  <c r="CH81" i="14"/>
  <c r="CK90" i="14"/>
  <c r="AE99" i="14"/>
  <c r="AC104" i="14"/>
  <c r="BA83" i="14"/>
  <c r="BA90" i="14"/>
  <c r="BA67" i="14"/>
  <c r="BA72" i="14"/>
  <c r="BA103" i="14"/>
  <c r="BA66" i="14"/>
  <c r="BA88" i="14"/>
  <c r="BA65" i="14"/>
  <c r="BA95" i="14"/>
  <c r="BA82" i="14"/>
  <c r="BA89" i="14"/>
  <c r="BA81" i="14"/>
  <c r="BA107" i="14"/>
  <c r="BA64" i="14"/>
  <c r="BA74" i="14"/>
  <c r="BA91" i="14"/>
  <c r="BA73" i="14"/>
  <c r="CN67" i="14"/>
  <c r="CN99" i="14"/>
  <c r="AS61" i="14"/>
  <c r="BB94" i="14"/>
  <c r="BB98" i="14"/>
  <c r="BB102" i="14"/>
  <c r="BB106" i="14"/>
  <c r="BB110" i="14"/>
  <c r="BB82" i="14"/>
  <c r="BB99" i="14"/>
  <c r="BB89" i="14"/>
  <c r="BB81" i="14"/>
  <c r="BB64" i="14"/>
  <c r="BB74" i="14"/>
  <c r="BB103" i="14"/>
  <c r="BB73" i="14"/>
  <c r="BB95" i="14"/>
  <c r="BB72" i="14"/>
  <c r="BB66" i="14"/>
  <c r="BB65" i="14"/>
  <c r="BB107" i="14"/>
  <c r="CN68" i="14"/>
  <c r="AS84" i="14"/>
  <c r="BB88" i="14"/>
  <c r="AU96" i="14"/>
  <c r="BA101" i="14"/>
  <c r="AM104" i="14"/>
  <c r="AS109" i="14"/>
  <c r="AM69" i="14"/>
  <c r="AK69" i="14"/>
  <c r="BP69" i="14"/>
  <c r="AD77" i="14"/>
  <c r="CN77" i="14"/>
  <c r="BB85" i="14"/>
  <c r="CN104" i="14"/>
  <c r="AM78" i="14"/>
  <c r="AT97" i="14"/>
  <c r="AT105" i="14"/>
  <c r="AN97" i="14"/>
  <c r="AN105" i="14"/>
  <c r="AN109" i="14"/>
  <c r="AN93" i="14"/>
  <c r="AN101" i="14"/>
  <c r="AN66" i="14"/>
  <c r="AN102" i="14"/>
  <c r="AN73" i="14"/>
  <c r="AN94" i="14"/>
  <c r="AN82" i="14"/>
  <c r="AN89" i="14"/>
  <c r="AN72" i="14"/>
  <c r="AN65" i="14"/>
  <c r="AN106" i="14"/>
  <c r="AN64" i="14"/>
  <c r="AN90" i="14"/>
  <c r="AN110" i="14"/>
  <c r="AN88" i="14"/>
  <c r="BB62" i="14"/>
  <c r="AV70" i="14"/>
  <c r="AS70" i="14"/>
  <c r="AL78" i="14"/>
  <c r="AF86" i="14"/>
  <c r="AC86" i="14"/>
  <c r="CN96" i="14"/>
  <c r="AS83" i="14"/>
  <c r="AE93" i="14"/>
  <c r="AS98" i="14"/>
  <c r="AE101" i="14"/>
  <c r="AK106" i="14"/>
  <c r="AW108" i="14"/>
  <c r="AM63" i="14"/>
  <c r="AO63" i="14"/>
  <c r="AM71" i="14"/>
  <c r="AG71" i="14"/>
  <c r="CL71" i="14"/>
  <c r="BB79" i="14"/>
  <c r="AN79" i="14"/>
  <c r="CO79" i="14"/>
  <c r="AL87" i="14"/>
  <c r="AW87" i="14"/>
  <c r="CD87" i="14"/>
  <c r="CB95" i="14"/>
  <c r="CB103" i="14"/>
  <c r="BR103" i="14"/>
  <c r="BY72" i="14"/>
  <c r="BY74" i="14"/>
  <c r="BY87" i="14"/>
  <c r="BY90" i="14"/>
  <c r="BY97" i="14"/>
  <c r="BY81" i="14"/>
  <c r="BY66" i="14"/>
  <c r="BY64" i="14"/>
  <c r="BY73" i="14"/>
  <c r="BY106" i="14"/>
  <c r="BY98" i="14"/>
  <c r="BY88" i="14"/>
  <c r="BY89" i="14"/>
  <c r="BY65" i="14"/>
  <c r="CA106" i="14"/>
  <c r="CA65" i="14"/>
  <c r="CA90" i="14"/>
  <c r="CA97" i="14"/>
  <c r="CA66" i="14"/>
  <c r="CA64" i="14"/>
  <c r="CA88" i="14"/>
  <c r="CA82" i="14"/>
  <c r="CA105" i="14"/>
  <c r="CA73" i="14"/>
  <c r="CA72" i="14"/>
  <c r="CA74" i="14"/>
  <c r="CA81" i="14"/>
  <c r="BU88" i="14"/>
  <c r="BU73" i="14"/>
  <c r="BU71" i="14"/>
  <c r="BU74" i="14"/>
  <c r="BU89" i="14"/>
  <c r="BU72" i="14"/>
  <c r="BU90" i="14"/>
  <c r="BU65" i="14"/>
  <c r="BU64" i="14"/>
  <c r="BU82" i="14"/>
  <c r="BU97" i="14"/>
  <c r="BU98" i="14"/>
  <c r="BU66" i="14"/>
  <c r="CE88" i="14"/>
  <c r="CE73" i="14"/>
  <c r="CE71" i="14"/>
  <c r="CE72" i="14"/>
  <c r="CE74" i="14"/>
  <c r="CE81" i="14"/>
  <c r="CE66" i="14"/>
  <c r="CE90" i="14"/>
  <c r="CE97" i="14"/>
  <c r="CE65" i="14"/>
  <c r="CE106" i="14"/>
  <c r="CE64" i="14"/>
  <c r="CE82" i="14"/>
  <c r="CE105" i="14"/>
  <c r="CE98" i="14"/>
  <c r="CE89" i="14"/>
  <c r="BV64" i="14"/>
  <c r="BA99" i="14"/>
  <c r="CK65" i="14"/>
  <c r="CA89" i="14"/>
  <c r="AT95" i="14"/>
  <c r="AF106" i="14"/>
  <c r="AZ107" i="14"/>
  <c r="AZ99" i="14"/>
  <c r="AZ95" i="14"/>
  <c r="AZ103" i="14"/>
  <c r="AZ82" i="14"/>
  <c r="AZ104" i="14"/>
  <c r="AZ81" i="14"/>
  <c r="AZ64" i="14"/>
  <c r="AZ90" i="14"/>
  <c r="AZ96" i="14"/>
  <c r="AZ74" i="14"/>
  <c r="AZ73" i="14"/>
  <c r="AZ108" i="14"/>
  <c r="AZ66" i="14"/>
  <c r="AZ88" i="14"/>
  <c r="AZ65" i="14"/>
  <c r="CL66" i="14"/>
  <c r="BY82" i="14"/>
  <c r="CC64" i="14"/>
  <c r="CF65" i="14"/>
  <c r="AY73" i="14"/>
  <c r="BQ73" i="14"/>
  <c r="BW73" i="14"/>
  <c r="CI81" i="14"/>
  <c r="CG89" i="14"/>
  <c r="CC97" i="14"/>
  <c r="CF97" i="14"/>
  <c r="CM105" i="14"/>
  <c r="CI105" i="14"/>
  <c r="BW88" i="14"/>
  <c r="AJ95" i="14"/>
  <c r="AJ89" i="14"/>
  <c r="AJ103" i="14"/>
  <c r="AJ107" i="14"/>
  <c r="AJ99" i="14"/>
  <c r="CM66" i="14"/>
  <c r="AQ74" i="14"/>
  <c r="BQ74" i="14"/>
  <c r="BW82" i="14"/>
  <c r="CC82" i="14"/>
  <c r="AJ90" i="14"/>
  <c r="CF90" i="14"/>
  <c r="CI98" i="14"/>
  <c r="CG98" i="14"/>
  <c r="BS106" i="14"/>
  <c r="CG106" i="14"/>
  <c r="BQ72" i="14"/>
  <c r="BO72" i="14"/>
  <c r="AY104" i="14"/>
  <c r="BO73" i="14"/>
  <c r="BS81" i="14"/>
  <c r="CC81" i="14"/>
  <c r="CI89" i="14"/>
  <c r="BW89" i="14"/>
  <c r="CG105" i="14"/>
  <c r="CC105" i="14"/>
  <c r="BO88" i="14"/>
  <c r="AJ108" i="14"/>
  <c r="AR99" i="14"/>
  <c r="AR103" i="14"/>
  <c r="AR95" i="14"/>
  <c r="AR107" i="14"/>
  <c r="BS74" i="14"/>
  <c r="AJ82" i="14"/>
  <c r="CG82" i="14"/>
  <c r="AY90" i="14"/>
  <c r="BW98" i="14"/>
  <c r="CC106" i="14"/>
  <c r="CM106" i="14"/>
  <c r="CC72" i="14"/>
  <c r="BS72" i="14"/>
  <c r="CG64" i="14"/>
  <c r="AQ76" i="14"/>
  <c r="AQ92" i="14"/>
  <c r="CM65" i="14"/>
  <c r="CC65" i="14"/>
  <c r="CF73" i="14"/>
  <c r="AY81" i="14"/>
  <c r="BS89" i="14"/>
  <c r="CM97" i="14"/>
  <c r="BQ105" i="14"/>
  <c r="BO105" i="14"/>
  <c r="CF88" i="14"/>
  <c r="CI88" i="14"/>
  <c r="AQ84" i="14"/>
  <c r="AJ66" i="14"/>
  <c r="BO66" i="14"/>
  <c r="CG66" i="14"/>
  <c r="AQ82" i="14"/>
  <c r="BQ82" i="14"/>
  <c r="CM90" i="14"/>
  <c r="CC90" i="14"/>
  <c r="BS98" i="14"/>
  <c r="AR72" i="14"/>
  <c r="AQ64" i="14"/>
  <c r="CI64" i="14"/>
  <c r="BS73" i="14"/>
  <c r="AQ81" i="14"/>
  <c r="CG81" i="14"/>
  <c r="CC89" i="14"/>
  <c r="CF89" i="14"/>
  <c r="CG97" i="14"/>
  <c r="AY64" i="14"/>
  <c r="AY66" i="14"/>
  <c r="CF66" i="14"/>
  <c r="CI66" i="14"/>
  <c r="CF74" i="14"/>
  <c r="BS82" i="14"/>
  <c r="BS90" i="14"/>
  <c r="CG90" i="14"/>
  <c r="CF98" i="14"/>
  <c r="AJ72" i="14"/>
  <c r="BO64" i="14"/>
  <c r="AY100" i="14"/>
  <c r="AY65" i="14"/>
  <c r="CI65" i="14"/>
  <c r="BW65" i="14"/>
  <c r="BQ81" i="14"/>
  <c r="CI97" i="14"/>
  <c r="BW97" i="14"/>
  <c r="CF105" i="14"/>
  <c r="BS88" i="14"/>
  <c r="AY87" i="14"/>
  <c r="AJ104" i="14"/>
  <c r="AQ66" i="14"/>
  <c r="BW66" i="14"/>
  <c r="BQ66" i="14"/>
  <c r="AR74" i="14"/>
  <c r="CM74" i="14"/>
  <c r="CC74" i="14"/>
  <c r="CF82" i="14"/>
  <c r="BW90" i="14"/>
  <c r="CF106" i="14"/>
  <c r="CM72" i="14"/>
  <c r="AY108" i="14"/>
  <c r="AQ65" i="14"/>
  <c r="CG65" i="14"/>
  <c r="BQ65" i="14"/>
  <c r="BO65" i="14"/>
  <c r="CM73" i="14"/>
  <c r="CC73" i="14"/>
  <c r="CM81" i="14"/>
  <c r="AY89" i="14"/>
  <c r="BQ97" i="14"/>
  <c r="BO97" i="14"/>
  <c r="BQ88" i="14"/>
  <c r="CM88" i="14"/>
  <c r="CC88" i="14"/>
  <c r="BS66" i="14"/>
  <c r="AJ74" i="14"/>
  <c r="BW74" i="14"/>
  <c r="CG74" i="14"/>
  <c r="BO90" i="14"/>
  <c r="CI106" i="14"/>
  <c r="CG72" i="14"/>
  <c r="CI87" i="14"/>
  <c r="AQ88" i="14"/>
  <c r="AQ96" i="14"/>
  <c r="CG73" i="14"/>
  <c r="CI73" i="14"/>
  <c r="BW81" i="14"/>
  <c r="BO81" i="14"/>
  <c r="AQ89" i="14"/>
  <c r="CM89" i="14"/>
  <c r="CC66" i="14"/>
  <c r="BO74" i="14"/>
  <c r="CI74" i="14"/>
  <c r="CM82" i="14"/>
  <c r="AR90" i="14"/>
  <c r="CI90" i="14"/>
  <c r="E30" i="10"/>
  <c r="E26" i="10"/>
  <c r="E2" i="10"/>
  <c r="AV13" i="11"/>
  <c r="E48" i="10"/>
  <c r="AV4" i="11"/>
  <c r="E14" i="10"/>
  <c r="E27" i="10"/>
  <c r="E20" i="10"/>
  <c r="E31" i="10"/>
  <c r="E43" i="10"/>
  <c r="E49" i="10"/>
  <c r="E3" i="10"/>
  <c r="E46" i="10"/>
  <c r="E12" i="10"/>
  <c r="E6" i="10"/>
  <c r="E33" i="10"/>
  <c r="E23" i="10"/>
  <c r="E13" i="10"/>
  <c r="E7" i="10"/>
  <c r="E42" i="10"/>
  <c r="AH4" i="11"/>
  <c r="BA4" i="11" s="1"/>
  <c r="Y4" i="11"/>
  <c r="BR4" i="11" s="1"/>
  <c r="H4" i="11"/>
  <c r="BS4" i="11" s="1"/>
  <c r="E39" i="10"/>
  <c r="E41" i="10"/>
  <c r="E21" i="10"/>
  <c r="E5" i="10"/>
  <c r="E45" i="10"/>
  <c r="E29" i="10"/>
  <c r="E44" i="10"/>
  <c r="E34" i="10"/>
  <c r="E17" i="10"/>
  <c r="E4" i="10"/>
  <c r="E35" i="10"/>
  <c r="E47" i="10"/>
  <c r="E38" i="10"/>
  <c r="E25" i="10"/>
  <c r="E8" i="10"/>
  <c r="E11" i="10"/>
  <c r="F52" i="12"/>
  <c r="I52" i="12" s="1"/>
  <c r="J64" i="2" s="1"/>
  <c r="AR4" i="6"/>
  <c r="AS4" i="6" s="1"/>
  <c r="AR3" i="6"/>
  <c r="AS3" i="6" s="1"/>
  <c r="AO3" i="6"/>
  <c r="AO4" i="6"/>
  <c r="AO5" i="6"/>
  <c r="AO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2" i="6"/>
  <c r="H13" i="11" l="1"/>
  <c r="BS13" i="11" s="1"/>
  <c r="Y13" i="11"/>
  <c r="BR13" i="11" s="1"/>
  <c r="CW31" i="14"/>
  <c r="CU33" i="14"/>
  <c r="CT25" i="14"/>
  <c r="CU15" i="14"/>
  <c r="CW35" i="14"/>
  <c r="CW18" i="14"/>
  <c r="CT28" i="14"/>
  <c r="CW14" i="14"/>
  <c r="CT52" i="14"/>
  <c r="CW29" i="14"/>
  <c r="CW28" i="14"/>
  <c r="CT34" i="14"/>
  <c r="CX45" i="14"/>
  <c r="CT22" i="14"/>
  <c r="CW51" i="14"/>
  <c r="CT47" i="14"/>
  <c r="CU31" i="14"/>
  <c r="CU17" i="14"/>
  <c r="CU29" i="14"/>
  <c r="CX24" i="14"/>
  <c r="CU20" i="14"/>
  <c r="CU42" i="14"/>
  <c r="CU32" i="14"/>
  <c r="CX43" i="14"/>
  <c r="CU44" i="14"/>
  <c r="CU35" i="14"/>
  <c r="CU28" i="14"/>
  <c r="CU53" i="14"/>
  <c r="CY34" i="14"/>
  <c r="CX23" i="14"/>
  <c r="CX15" i="14"/>
  <c r="CU25" i="14"/>
  <c r="CU41" i="14"/>
  <c r="CU47" i="14"/>
  <c r="CX27" i="14"/>
  <c r="CU38" i="14"/>
  <c r="CW26" i="14"/>
  <c r="CU46" i="14"/>
  <c r="CW27" i="14"/>
  <c r="CT50" i="14"/>
  <c r="DR44" i="14"/>
  <c r="CT27" i="14"/>
  <c r="DJ38" i="14"/>
  <c r="DI48" i="14"/>
  <c r="DI20" i="14"/>
  <c r="DT54" i="14"/>
  <c r="DR21" i="14"/>
  <c r="DJ19" i="14"/>
  <c r="DT40" i="14"/>
  <c r="DR42" i="14"/>
  <c r="DJ33" i="14"/>
  <c r="DH37" i="14"/>
  <c r="CV52" i="14"/>
  <c r="CT31" i="14"/>
  <c r="DD25" i="14"/>
  <c r="DI41" i="14"/>
  <c r="DI53" i="14"/>
  <c r="DR47" i="14"/>
  <c r="DH17" i="14"/>
  <c r="DI50" i="14"/>
  <c r="CT38" i="14"/>
  <c r="DH48" i="14"/>
  <c r="DJ20" i="14"/>
  <c r="CW43" i="14"/>
  <c r="DD26" i="14"/>
  <c r="CV39" i="14"/>
  <c r="CZ54" i="14"/>
  <c r="CT36" i="14"/>
  <c r="DR36" i="14"/>
  <c r="CV19" i="14"/>
  <c r="DD15" i="14"/>
  <c r="CW30" i="14"/>
  <c r="DI42" i="14"/>
  <c r="CT16" i="14"/>
  <c r="DQ37" i="14"/>
  <c r="DD39" i="14"/>
  <c r="DI52" i="14"/>
  <c r="DT18" i="14"/>
  <c r="DT31" i="14"/>
  <c r="CW46" i="14"/>
  <c r="CZ41" i="14"/>
  <c r="CT41" i="14"/>
  <c r="DD49" i="14"/>
  <c r="DQ49" i="14"/>
  <c r="DQ22" i="14"/>
  <c r="DJ32" i="14"/>
  <c r="CZ53" i="14"/>
  <c r="DQ53" i="14"/>
  <c r="DM51" i="14"/>
  <c r="CT51" i="14"/>
  <c r="DT34" i="14"/>
  <c r="DH47" i="14"/>
  <c r="DD17" i="14"/>
  <c r="DM17" i="14"/>
  <c r="DT17" i="14"/>
  <c r="CT29" i="14"/>
  <c r="DM50" i="14"/>
  <c r="DA14" i="14"/>
  <c r="CT24" i="14"/>
  <c r="DJ44" i="14"/>
  <c r="DH27" i="14"/>
  <c r="DN23" i="14"/>
  <c r="CW38" i="14"/>
  <c r="CU48" i="14"/>
  <c r="CW20" i="14"/>
  <c r="CW45" i="14"/>
  <c r="DI43" i="14"/>
  <c r="DG26" i="14"/>
  <c r="DN39" i="14"/>
  <c r="DG39" i="14"/>
  <c r="CV54" i="14"/>
  <c r="DT21" i="14"/>
  <c r="DH36" i="14"/>
  <c r="DM19" i="14"/>
  <c r="CW15" i="14"/>
  <c r="DE30" i="14"/>
  <c r="DG40" i="14"/>
  <c r="CZ42" i="14"/>
  <c r="CV42" i="14"/>
  <c r="DK33" i="14"/>
  <c r="CW16" i="14"/>
  <c r="CV33" i="14"/>
  <c r="CT112" i="14"/>
  <c r="DT52" i="14"/>
  <c r="DD18" i="14"/>
  <c r="DJ18" i="14"/>
  <c r="CV31" i="14"/>
  <c r="DR25" i="14"/>
  <c r="CV41" i="14"/>
  <c r="DQ28" i="14"/>
  <c r="DJ49" i="14"/>
  <c r="CZ22" i="14"/>
  <c r="CT32" i="14"/>
  <c r="CW53" i="14"/>
  <c r="DT51" i="14"/>
  <c r="DJ34" i="14"/>
  <c r="CZ47" i="14"/>
  <c r="DQ47" i="14"/>
  <c r="CW17" i="14"/>
  <c r="CV17" i="14"/>
  <c r="DI29" i="14"/>
  <c r="DT50" i="14"/>
  <c r="CV50" i="14"/>
  <c r="CV14" i="14"/>
  <c r="DM24" i="14"/>
  <c r="DJ27" i="14"/>
  <c r="CW23" i="14"/>
  <c r="DG38" i="14"/>
  <c r="DL48" i="14"/>
  <c r="DK20" i="14"/>
  <c r="CV45" i="14"/>
  <c r="DL43" i="14"/>
  <c r="DR26" i="14"/>
  <c r="DT39" i="14"/>
  <c r="DJ39" i="14"/>
  <c r="DQ54" i="14"/>
  <c r="DJ21" i="14"/>
  <c r="CX36" i="14"/>
  <c r="DP19" i="14"/>
  <c r="DR19" i="14"/>
  <c r="CV15" i="14"/>
  <c r="DT30" i="14"/>
  <c r="CV40" i="14"/>
  <c r="CX42" i="14"/>
  <c r="DT33" i="14"/>
  <c r="DG16" i="14"/>
  <c r="DJ14" i="14"/>
  <c r="DT26" i="14"/>
  <c r="DD21" i="14"/>
  <c r="DT42" i="14"/>
  <c r="DT35" i="14"/>
  <c r="DJ35" i="14"/>
  <c r="CT18" i="14"/>
  <c r="DH31" i="14"/>
  <c r="CT46" i="14"/>
  <c r="CV25" i="14"/>
  <c r="DQ41" i="14"/>
  <c r="DJ28" i="14"/>
  <c r="DT49" i="14"/>
  <c r="CV49" i="14"/>
  <c r="CW32" i="14"/>
  <c r="DD53" i="14"/>
  <c r="CT53" i="14"/>
  <c r="DJ51" i="14"/>
  <c r="DJ17" i="14"/>
  <c r="DJ29" i="14"/>
  <c r="DG50" i="14"/>
  <c r="DA50" i="14"/>
  <c r="DB14" i="14"/>
  <c r="CV24" i="14"/>
  <c r="CT44" i="14"/>
  <c r="DQ27" i="14"/>
  <c r="CZ23" i="14"/>
  <c r="DH38" i="14"/>
  <c r="DT48" i="14"/>
  <c r="DM48" i="14"/>
  <c r="CV20" i="14"/>
  <c r="DA45" i="14"/>
  <c r="DQ43" i="14"/>
  <c r="CV26" i="14"/>
  <c r="DM39" i="14"/>
  <c r="DP54" i="14"/>
  <c r="DD54" i="14"/>
  <c r="CU21" i="14"/>
  <c r="DT36" i="14"/>
  <c r="DD19" i="14"/>
  <c r="CZ15" i="14"/>
  <c r="CU30" i="14"/>
  <c r="DH40" i="14"/>
  <c r="DG42" i="14"/>
  <c r="DP55" i="14"/>
  <c r="CZ33" i="14"/>
  <c r="DJ50" i="14"/>
  <c r="DT38" i="14"/>
  <c r="DD36" i="14"/>
  <c r="DJ52" i="14"/>
  <c r="CT35" i="14"/>
  <c r="DT46" i="14"/>
  <c r="CV46" i="14"/>
  <c r="DH25" i="14"/>
  <c r="DI25" i="14"/>
  <c r="DD28" i="14"/>
  <c r="CV28" i="14"/>
  <c r="CW49" i="14"/>
  <c r="DI22" i="14"/>
  <c r="CV32" i="14"/>
  <c r="DT53" i="14"/>
  <c r="DI51" i="14"/>
  <c r="DM34" i="14"/>
  <c r="DT47" i="14"/>
  <c r="DI47" i="14"/>
  <c r="DT29" i="14"/>
  <c r="CV29" i="14"/>
  <c r="DD50" i="14"/>
  <c r="DT14" i="14"/>
  <c r="DQ24" i="14"/>
  <c r="DT44" i="14"/>
  <c r="DG27" i="14"/>
  <c r="CV27" i="14"/>
  <c r="DT23" i="14"/>
  <c r="CZ38" i="14"/>
  <c r="DK48" i="14"/>
  <c r="DQ48" i="14"/>
  <c r="DQ20" i="14"/>
  <c r="CT26" i="14"/>
  <c r="DI26" i="14"/>
  <c r="CZ39" i="14"/>
  <c r="CT54" i="14"/>
  <c r="DJ54" i="14"/>
  <c r="DA21" i="14"/>
  <c r="DG36" i="14"/>
  <c r="CT19" i="14"/>
  <c r="DA15" i="14"/>
  <c r="CV30" i="14"/>
  <c r="CW40" i="14"/>
  <c r="CZ40" i="14"/>
  <c r="DM42" i="14"/>
  <c r="DD55" i="14"/>
  <c r="DD33" i="14"/>
  <c r="DA16" i="14"/>
  <c r="CT37" i="14"/>
  <c r="DI31" i="14"/>
  <c r="DH46" i="14"/>
  <c r="CW25" i="14"/>
  <c r="DJ25" i="14"/>
  <c r="CW41" i="14"/>
  <c r="DT28" i="14"/>
  <c r="CT49" i="14"/>
  <c r="DT22" i="14"/>
  <c r="DM22" i="14"/>
  <c r="DJ22" i="14"/>
  <c r="DH32" i="14"/>
  <c r="DM32" i="14"/>
  <c r="CZ51" i="14"/>
  <c r="DQ51" i="14"/>
  <c r="CZ34" i="14"/>
  <c r="CV34" i="14"/>
  <c r="CW47" i="14"/>
  <c r="DJ47" i="14"/>
  <c r="CT17" i="14"/>
  <c r="DQ17" i="14"/>
  <c r="DQ29" i="14"/>
  <c r="DK50" i="14"/>
  <c r="DF14" i="14"/>
  <c r="CW24" i="14"/>
  <c r="DI24" i="14"/>
  <c r="DA44" i="14"/>
  <c r="DK27" i="14"/>
  <c r="DA27" i="14"/>
  <c r="DM23" i="14"/>
  <c r="DI38" i="14"/>
  <c r="DD48" i="14"/>
  <c r="DE48" i="14"/>
  <c r="DT20" i="14"/>
  <c r="CU45" i="14"/>
  <c r="DT43" i="14"/>
  <c r="DK26" i="14"/>
  <c r="DJ26" i="14"/>
  <c r="CW54" i="14"/>
  <c r="DM54" i="14"/>
  <c r="CV36" i="14"/>
  <c r="DH19" i="14"/>
  <c r="DQ30" i="14"/>
  <c r="CT40" i="14"/>
  <c r="DA40" i="14"/>
  <c r="DQ42" i="14"/>
  <c r="CU55" i="14"/>
  <c r="DM16" i="14"/>
  <c r="CW37" i="14"/>
  <c r="CY52" i="14"/>
  <c r="DO35" i="14"/>
  <c r="CY31" i="14"/>
  <c r="CY28" i="14"/>
  <c r="DO28" i="14"/>
  <c r="DC51" i="14"/>
  <c r="DS52" i="14"/>
  <c r="DS8" i="14"/>
  <c r="DS6" i="14"/>
  <c r="DS10" i="14"/>
  <c r="DS9" i="14"/>
  <c r="DS7" i="14"/>
  <c r="DS11" i="14"/>
  <c r="DS13" i="14"/>
  <c r="DS12" i="14"/>
  <c r="DB55" i="14"/>
  <c r="DB8" i="14"/>
  <c r="DB12" i="14"/>
  <c r="DB7" i="14"/>
  <c r="DB10" i="14"/>
  <c r="DB6" i="14"/>
  <c r="DB9" i="14"/>
  <c r="DB13" i="14"/>
  <c r="DB11" i="14"/>
  <c r="DE46" i="14"/>
  <c r="DE8" i="14"/>
  <c r="DE11" i="14"/>
  <c r="DE6" i="14"/>
  <c r="DE10" i="14"/>
  <c r="DE12" i="14"/>
  <c r="DE9" i="14"/>
  <c r="DE13" i="14"/>
  <c r="DE7" i="14"/>
  <c r="DC24" i="14"/>
  <c r="DS27" i="14"/>
  <c r="DS38" i="14"/>
  <c r="DE38" i="14"/>
  <c r="DB48" i="14"/>
  <c r="DE45" i="14"/>
  <c r="DS45" i="14"/>
  <c r="DS43" i="14"/>
  <c r="DB43" i="14"/>
  <c r="DF54" i="14"/>
  <c r="DF21" i="14"/>
  <c r="DB21" i="14"/>
  <c r="DC19" i="14"/>
  <c r="CY30" i="14"/>
  <c r="DF42" i="14"/>
  <c r="DL42" i="14"/>
  <c r="DS55" i="14"/>
  <c r="DF55" i="14"/>
  <c r="DF33" i="14"/>
  <c r="DB33" i="14"/>
  <c r="DL16" i="14"/>
  <c r="DE16" i="14"/>
  <c r="DO37" i="14"/>
  <c r="DL37" i="14"/>
  <c r="DD52" i="14"/>
  <c r="DF52" i="14"/>
  <c r="DH35" i="14"/>
  <c r="DP35" i="14"/>
  <c r="DI35" i="14"/>
  <c r="CY18" i="14"/>
  <c r="DO31" i="14"/>
  <c r="DR31" i="14"/>
  <c r="DF46" i="14"/>
  <c r="DS46" i="14"/>
  <c r="DE25" i="14"/>
  <c r="CY41" i="14"/>
  <c r="DF28" i="14"/>
  <c r="DS49" i="14"/>
  <c r="DF49" i="14"/>
  <c r="DD22" i="14"/>
  <c r="DB22" i="14"/>
  <c r="DC32" i="14"/>
  <c r="DP53" i="14"/>
  <c r="DH53" i="14"/>
  <c r="DF51" i="14"/>
  <c r="DB51" i="14"/>
  <c r="DP34" i="14"/>
  <c r="DL34" i="14"/>
  <c r="DB47" i="14"/>
  <c r="DC17" i="14"/>
  <c r="DE29" i="14"/>
  <c r="CY29" i="14"/>
  <c r="CX40" i="14"/>
  <c r="CX8" i="14"/>
  <c r="CX6" i="14"/>
  <c r="CX11" i="14"/>
  <c r="CX12" i="14"/>
  <c r="CX13" i="14"/>
  <c r="CX9" i="14"/>
  <c r="CX7" i="14"/>
  <c r="CX10" i="14"/>
  <c r="DK52" i="14"/>
  <c r="DK8" i="14"/>
  <c r="DK13" i="14"/>
  <c r="DK9" i="14"/>
  <c r="DK10" i="14"/>
  <c r="DK11" i="14"/>
  <c r="DK7" i="14"/>
  <c r="DK12" i="14"/>
  <c r="DK6" i="14"/>
  <c r="DN44" i="14"/>
  <c r="DN8" i="14"/>
  <c r="DN6" i="14"/>
  <c r="DN12" i="14"/>
  <c r="DN10" i="14"/>
  <c r="DN11" i="14"/>
  <c r="DN9" i="14"/>
  <c r="DN7" i="14"/>
  <c r="DN13" i="14"/>
  <c r="CW50" i="14"/>
  <c r="DF50" i="14"/>
  <c r="DB50" i="14"/>
  <c r="DR50" i="14"/>
  <c r="CZ14" i="14"/>
  <c r="DQ14" i="14"/>
  <c r="DO24" i="14"/>
  <c r="DT24" i="14"/>
  <c r="CU24" i="14"/>
  <c r="DJ24" i="14"/>
  <c r="DO44" i="14"/>
  <c r="CZ44" i="14"/>
  <c r="DH44" i="14"/>
  <c r="DF27" i="14"/>
  <c r="DE27" i="14"/>
  <c r="DT27" i="14"/>
  <c r="CT23" i="14"/>
  <c r="DK23" i="14"/>
  <c r="CV23" i="14"/>
  <c r="DK38" i="14"/>
  <c r="DD38" i="14"/>
  <c r="DR38" i="14"/>
  <c r="DP48" i="14"/>
  <c r="DJ48" i="14"/>
  <c r="DS48" i="14"/>
  <c r="CZ20" i="14"/>
  <c r="DD20" i="14"/>
  <c r="DE20" i="14"/>
  <c r="DH45" i="14"/>
  <c r="DN45" i="14"/>
  <c r="DR45" i="14"/>
  <c r="DO43" i="14"/>
  <c r="DN43" i="14"/>
  <c r="DJ43" i="14"/>
  <c r="DC26" i="14"/>
  <c r="CX26" i="14"/>
  <c r="DE26" i="14"/>
  <c r="DM26" i="14"/>
  <c r="DC39" i="14"/>
  <c r="DF39" i="14"/>
  <c r="DE54" i="14"/>
  <c r="DS54" i="14"/>
  <c r="DB54" i="14"/>
  <c r="DN21" i="14"/>
  <c r="CZ21" i="14"/>
  <c r="DK21" i="14"/>
  <c r="DQ21" i="14"/>
  <c r="DO36" i="14"/>
  <c r="DS36" i="14"/>
  <c r="DQ36" i="14"/>
  <c r="DN19" i="14"/>
  <c r="DK19" i="14"/>
  <c r="DB19" i="14"/>
  <c r="CY15" i="14"/>
  <c r="DN15" i="14"/>
  <c r="DP15" i="14"/>
  <c r="DJ15" i="14"/>
  <c r="CX30" i="14"/>
  <c r="DN30" i="14"/>
  <c r="DB30" i="14"/>
  <c r="DM30" i="14"/>
  <c r="DP40" i="14"/>
  <c r="DJ40" i="14"/>
  <c r="DE42" i="14"/>
  <c r="CW55" i="14"/>
  <c r="DJ55" i="14"/>
  <c r="DH33" i="14"/>
  <c r="DS33" i="14"/>
  <c r="DI33" i="14"/>
  <c r="DK16" i="14"/>
  <c r="DR16" i="14"/>
  <c r="DT16" i="14"/>
  <c r="DK37" i="14"/>
  <c r="DE37" i="14"/>
  <c r="DB37" i="14"/>
  <c r="DO53" i="14"/>
  <c r="DO8" i="14"/>
  <c r="DO12" i="14"/>
  <c r="DO9" i="14"/>
  <c r="DO7" i="14"/>
  <c r="DO11" i="14"/>
  <c r="DO13" i="14"/>
  <c r="DO6" i="14"/>
  <c r="DO10" i="14"/>
  <c r="DC20" i="14"/>
  <c r="DC37" i="14"/>
  <c r="DO17" i="14"/>
  <c r="DL51" i="14"/>
  <c r="DL8" i="14"/>
  <c r="DL10" i="14"/>
  <c r="DL11" i="14"/>
  <c r="DL7" i="14"/>
  <c r="DL6" i="14"/>
  <c r="DL9" i="14"/>
  <c r="DL12" i="14"/>
  <c r="DL13" i="14"/>
  <c r="DS24" i="14"/>
  <c r="DF19" i="14"/>
  <c r="DE19" i="14"/>
  <c r="DO30" i="14"/>
  <c r="DS30" i="14"/>
  <c r="DF40" i="14"/>
  <c r="DL40" i="14"/>
  <c r="DE55" i="14"/>
  <c r="DE33" i="14"/>
  <c r="DF16" i="14"/>
  <c r="CY49" i="14"/>
  <c r="CY8" i="14"/>
  <c r="CY11" i="14"/>
  <c r="CY6" i="14"/>
  <c r="CY12" i="14"/>
  <c r="CY13" i="14"/>
  <c r="CY9" i="14"/>
  <c r="CY7" i="14"/>
  <c r="CY10" i="14"/>
  <c r="DC50" i="14"/>
  <c r="DO14" i="14"/>
  <c r="CY44" i="14"/>
  <c r="CY43" i="14"/>
  <c r="DC30" i="14"/>
  <c r="DO55" i="14"/>
  <c r="DO33" i="14"/>
  <c r="CY37" i="14"/>
  <c r="DE28" i="14"/>
  <c r="DP50" i="14"/>
  <c r="DP8" i="14"/>
  <c r="DP12" i="14"/>
  <c r="DP13" i="14"/>
  <c r="DP7" i="14"/>
  <c r="DP9" i="14"/>
  <c r="DP6" i="14"/>
  <c r="DP10" i="14"/>
  <c r="DP11" i="14"/>
  <c r="CY14" i="14"/>
  <c r="DL14" i="14"/>
  <c r="DS14" i="14"/>
  <c r="DF44" i="14"/>
  <c r="DB44" i="14"/>
  <c r="DC27" i="14"/>
  <c r="DP27" i="14"/>
  <c r="DB27" i="14"/>
  <c r="DE23" i="14"/>
  <c r="DF45" i="14"/>
  <c r="DC45" i="14"/>
  <c r="DF43" i="14"/>
  <c r="DO26" i="14"/>
  <c r="DC54" i="14"/>
  <c r="DC21" i="14"/>
  <c r="DL21" i="14"/>
  <c r="CY36" i="14"/>
  <c r="DC35" i="14"/>
  <c r="DF35" i="14"/>
  <c r="DR35" i="14"/>
  <c r="DI18" i="14"/>
  <c r="DF31" i="14"/>
  <c r="DD46" i="14"/>
  <c r="DR46" i="14"/>
  <c r="DS25" i="14"/>
  <c r="DB25" i="14"/>
  <c r="DH28" i="14"/>
  <c r="DH49" i="14"/>
  <c r="DO49" i="14"/>
  <c r="DB49" i="14"/>
  <c r="DO22" i="14"/>
  <c r="DF32" i="14"/>
  <c r="DS32" i="14"/>
  <c r="DR32" i="14"/>
  <c r="DD51" i="14"/>
  <c r="DR51" i="14"/>
  <c r="DH34" i="14"/>
  <c r="DB34" i="14"/>
  <c r="DF47" i="14"/>
  <c r="DL47" i="14"/>
  <c r="DS17" i="14"/>
  <c r="CT39" i="14"/>
  <c r="CT8" i="14"/>
  <c r="CT12" i="14"/>
  <c r="CT7" i="14"/>
  <c r="CT10" i="14"/>
  <c r="CT13" i="14"/>
  <c r="CT9" i="14"/>
  <c r="CT6" i="14"/>
  <c r="CT11" i="14"/>
  <c r="DH29" i="14"/>
  <c r="DP29" i="14"/>
  <c r="DS29" i="14"/>
  <c r="DG44" i="14"/>
  <c r="DG8" i="14"/>
  <c r="DG13" i="14"/>
  <c r="DG11" i="14"/>
  <c r="DG6" i="14"/>
  <c r="DG12" i="14"/>
  <c r="DG10" i="14"/>
  <c r="DG9" i="14"/>
  <c r="DG7" i="14"/>
  <c r="CU52" i="14"/>
  <c r="CU8" i="14"/>
  <c r="CU13" i="14"/>
  <c r="CU10" i="14"/>
  <c r="CU11" i="14"/>
  <c r="CU9" i="14"/>
  <c r="CU12" i="14"/>
  <c r="CU7" i="14"/>
  <c r="CU6" i="14"/>
  <c r="DA55" i="14"/>
  <c r="DA8" i="14"/>
  <c r="DA9" i="14"/>
  <c r="DA10" i="14"/>
  <c r="DA12" i="14"/>
  <c r="DA11" i="14"/>
  <c r="DA13" i="14"/>
  <c r="DA7" i="14"/>
  <c r="DA6" i="14"/>
  <c r="DH50" i="14"/>
  <c r="DS50" i="14"/>
  <c r="DL50" i="14"/>
  <c r="CT14" i="14"/>
  <c r="DP14" i="14"/>
  <c r="DR14" i="14"/>
  <c r="DE14" i="14"/>
  <c r="DD24" i="14"/>
  <c r="DP24" i="14"/>
  <c r="DA24" i="14"/>
  <c r="CX44" i="14"/>
  <c r="DM44" i="14"/>
  <c r="CV44" i="14"/>
  <c r="DM27" i="14"/>
  <c r="DO27" i="14"/>
  <c r="DL27" i="14"/>
  <c r="DI27" i="14"/>
  <c r="DO23" i="14"/>
  <c r="DI23" i="14"/>
  <c r="DR23" i="14"/>
  <c r="DP38" i="14"/>
  <c r="CX38" i="14"/>
  <c r="DL38" i="14"/>
  <c r="DC48" i="14"/>
  <c r="CY48" i="14"/>
  <c r="CV48" i="14"/>
  <c r="DH20" i="14"/>
  <c r="CT20" i="14"/>
  <c r="DA20" i="14"/>
  <c r="DL20" i="14"/>
  <c r="DM45" i="14"/>
  <c r="DP45" i="14"/>
  <c r="DL45" i="14"/>
  <c r="DB45" i="14"/>
  <c r="DP43" i="14"/>
  <c r="DE43" i="14"/>
  <c r="CT43" i="14"/>
  <c r="DN26" i="14"/>
  <c r="DP26" i="14"/>
  <c r="CY26" i="14"/>
  <c r="DS39" i="14"/>
  <c r="CW39" i="14"/>
  <c r="DL39" i="14"/>
  <c r="DI39" i="14"/>
  <c r="CX54" i="14"/>
  <c r="DN54" i="14"/>
  <c r="CX21" i="14"/>
  <c r="CT21" i="14"/>
  <c r="DM21" i="14"/>
  <c r="DN36" i="14"/>
  <c r="CW36" i="14"/>
  <c r="CU36" i="14"/>
  <c r="DB36" i="14"/>
  <c r="DG19" i="14"/>
  <c r="DT19" i="14"/>
  <c r="DL19" i="14"/>
  <c r="DC15" i="14"/>
  <c r="DE15" i="14"/>
  <c r="DH15" i="14"/>
  <c r="CT30" i="14"/>
  <c r="DK30" i="14"/>
  <c r="DE40" i="14"/>
  <c r="DQ40" i="14"/>
  <c r="DO42" i="14"/>
  <c r="DP42" i="14"/>
  <c r="DJ42" i="14"/>
  <c r="CX55" i="14"/>
  <c r="CV55" i="14"/>
  <c r="DP33" i="14"/>
  <c r="CX16" i="14"/>
  <c r="CU16" i="14"/>
  <c r="DB16" i="14"/>
  <c r="DN37" i="14"/>
  <c r="CU37" i="14"/>
  <c r="DO18" i="14"/>
  <c r="DS31" i="14"/>
  <c r="DL31" i="14"/>
  <c r="DP25" i="14"/>
  <c r="DF25" i="14"/>
  <c r="DB41" i="14"/>
  <c r="DC28" i="14"/>
  <c r="DL49" i="14"/>
  <c r="DF22" i="14"/>
  <c r="DS51" i="14"/>
  <c r="DC47" i="14"/>
  <c r="DF29" i="14"/>
  <c r="DB29" i="14"/>
  <c r="DR55" i="14"/>
  <c r="DR8" i="14"/>
  <c r="DR13" i="14"/>
  <c r="DR9" i="14"/>
  <c r="DR7" i="14"/>
  <c r="DR6" i="14"/>
  <c r="DR12" i="14"/>
  <c r="DR11" i="14"/>
  <c r="DR10" i="14"/>
  <c r="DH52" i="14"/>
  <c r="DH8" i="14"/>
  <c r="DH10" i="14"/>
  <c r="DH6" i="14"/>
  <c r="DH13" i="14"/>
  <c r="DH7" i="14"/>
  <c r="DH11" i="14"/>
  <c r="DH12" i="14"/>
  <c r="DH9" i="14"/>
  <c r="DD45" i="14"/>
  <c r="DD8" i="14"/>
  <c r="DD10" i="14"/>
  <c r="DD7" i="14"/>
  <c r="DD13" i="14"/>
  <c r="DD9" i="14"/>
  <c r="DD6" i="14"/>
  <c r="DD11" i="14"/>
  <c r="DD12" i="14"/>
  <c r="DI49" i="14"/>
  <c r="DI8" i="14"/>
  <c r="DI12" i="14"/>
  <c r="DI13" i="14"/>
  <c r="DI7" i="14"/>
  <c r="DI6" i="14"/>
  <c r="DI9" i="14"/>
  <c r="DI11" i="14"/>
  <c r="DI10" i="14"/>
  <c r="DO50" i="14"/>
  <c r="CY50" i="14"/>
  <c r="DD14" i="14"/>
  <c r="DH24" i="14"/>
  <c r="DR24" i="14"/>
  <c r="DD44" i="14"/>
  <c r="DP44" i="14"/>
  <c r="DC23" i="14"/>
  <c r="DF38" i="14"/>
  <c r="DS20" i="14"/>
  <c r="DI45" i="14"/>
  <c r="DH43" i="14"/>
  <c r="DR43" i="14"/>
  <c r="DH26" i="14"/>
  <c r="DP39" i="14"/>
  <c r="DE39" i="14"/>
  <c r="DH21" i="14"/>
  <c r="DF36" i="14"/>
  <c r="DL36" i="14"/>
  <c r="DE36" i="14"/>
  <c r="DO19" i="14"/>
  <c r="DO15" i="14"/>
  <c r="DR15" i="14"/>
  <c r="DS15" i="14"/>
  <c r="DD30" i="14"/>
  <c r="DH30" i="14"/>
  <c r="DI30" i="14"/>
  <c r="DS40" i="14"/>
  <c r="CY40" i="14"/>
  <c r="DS42" i="14"/>
  <c r="CY55" i="14"/>
  <c r="DI55" i="14"/>
  <c r="DH16" i="14"/>
  <c r="DC16" i="14"/>
  <c r="DT37" i="14"/>
  <c r="CY45" i="14"/>
  <c r="DF48" i="14"/>
  <c r="DF8" i="14"/>
  <c r="DF11" i="14"/>
  <c r="DF12" i="14"/>
  <c r="DF6" i="14"/>
  <c r="DF13" i="14"/>
  <c r="DF7" i="14"/>
  <c r="DF10" i="14"/>
  <c r="DF9" i="14"/>
  <c r="DP52" i="14"/>
  <c r="DD35" i="14"/>
  <c r="DF18" i="14"/>
  <c r="DR18" i="14"/>
  <c r="DC31" i="14"/>
  <c r="CY46" i="14"/>
  <c r="DC46" i="14"/>
  <c r="DL46" i="14"/>
  <c r="DE41" i="14"/>
  <c r="DR28" i="14"/>
  <c r="DP28" i="14"/>
  <c r="DC49" i="14"/>
  <c r="DC22" i="14"/>
  <c r="DD32" i="14"/>
  <c r="DE32" i="14"/>
  <c r="CY53" i="14"/>
  <c r="DL53" i="14"/>
  <c r="DR53" i="14"/>
  <c r="DE51" i="14"/>
  <c r="CY51" i="14"/>
  <c r="DC34" i="14"/>
  <c r="DD34" i="14"/>
  <c r="DE34" i="14"/>
  <c r="DD47" i="14"/>
  <c r="DP47" i="14"/>
  <c r="CY47" i="14"/>
  <c r="DF17" i="14"/>
  <c r="DI17" i="14"/>
  <c r="DD29" i="14"/>
  <c r="CW22" i="14"/>
  <c r="CW8" i="14"/>
  <c r="CW7" i="14"/>
  <c r="CW10" i="14"/>
  <c r="CW6" i="14"/>
  <c r="CW11" i="14"/>
  <c r="CW12" i="14"/>
  <c r="CW9" i="14"/>
  <c r="CW13" i="14"/>
  <c r="CZ48" i="14"/>
  <c r="CZ8" i="14"/>
  <c r="CZ6" i="14"/>
  <c r="CZ10" i="14"/>
  <c r="CZ11" i="14"/>
  <c r="CZ12" i="14"/>
  <c r="CZ9" i="14"/>
  <c r="CZ13" i="14"/>
  <c r="CZ7" i="14"/>
  <c r="DM8" i="14"/>
  <c r="DM6" i="14"/>
  <c r="DM11" i="14"/>
  <c r="DM10" i="14"/>
  <c r="DM12" i="14"/>
  <c r="DM9" i="14"/>
  <c r="DM13" i="14"/>
  <c r="DM7" i="14"/>
  <c r="DQ55" i="14"/>
  <c r="DQ8" i="14"/>
  <c r="DQ11" i="14"/>
  <c r="DQ7" i="14"/>
  <c r="DQ10" i="14"/>
  <c r="DQ12" i="14"/>
  <c r="DQ13" i="14"/>
  <c r="DQ9" i="14"/>
  <c r="DQ6" i="14"/>
  <c r="DN50" i="14"/>
  <c r="CX50" i="14"/>
  <c r="CU50" i="14"/>
  <c r="CX14" i="14"/>
  <c r="DC14" i="14"/>
  <c r="CU14" i="14"/>
  <c r="DI14" i="14"/>
  <c r="CY24" i="14"/>
  <c r="DN24" i="14"/>
  <c r="DE24" i="14"/>
  <c r="DK44" i="14"/>
  <c r="DQ44" i="14"/>
  <c r="CW44" i="14"/>
  <c r="DD27" i="14"/>
  <c r="DN27" i="14"/>
  <c r="CU27" i="14"/>
  <c r="DD23" i="14"/>
  <c r="DH23" i="14"/>
  <c r="DJ23" i="14"/>
  <c r="DB23" i="14"/>
  <c r="DC38" i="14"/>
  <c r="DO38" i="14"/>
  <c r="DA38" i="14"/>
  <c r="DM38" i="14"/>
  <c r="DO48" i="14"/>
  <c r="CT48" i="14"/>
  <c r="DA48" i="14"/>
  <c r="DO20" i="14"/>
  <c r="DG20" i="14"/>
  <c r="DR20" i="14"/>
  <c r="DM20" i="14"/>
  <c r="CZ45" i="14"/>
  <c r="DJ45" i="14"/>
  <c r="DM43" i="14"/>
  <c r="CU43" i="14"/>
  <c r="DC43" i="14"/>
  <c r="CV43" i="14"/>
  <c r="DS26" i="14"/>
  <c r="DQ26" i="14"/>
  <c r="CZ26" i="14"/>
  <c r="CX39" i="14"/>
  <c r="DO39" i="14"/>
  <c r="DR39" i="14"/>
  <c r="DO54" i="14"/>
  <c r="DH54" i="14"/>
  <c r="DR54" i="14"/>
  <c r="DL54" i="14"/>
  <c r="CW21" i="14"/>
  <c r="DS21" i="14"/>
  <c r="DO21" i="14"/>
  <c r="DC36" i="14"/>
  <c r="CZ36" i="14"/>
  <c r="DM36" i="14"/>
  <c r="DI36" i="14"/>
  <c r="CX19" i="14"/>
  <c r="DS19" i="14"/>
  <c r="DA19" i="14"/>
  <c r="DK15" i="14"/>
  <c r="DL15" i="14"/>
  <c r="DI15" i="14"/>
  <c r="DG30" i="14"/>
  <c r="DF30" i="14"/>
  <c r="DJ30" i="14"/>
  <c r="DN40" i="14"/>
  <c r="DI40" i="14"/>
  <c r="CW42" i="14"/>
  <c r="DD42" i="14"/>
  <c r="DB42" i="14"/>
  <c r="DK42" i="14"/>
  <c r="DN55" i="14"/>
  <c r="CT55" i="14"/>
  <c r="DL55" i="14"/>
  <c r="DM33" i="14"/>
  <c r="CT33" i="14"/>
  <c r="DR33" i="14"/>
  <c r="CY16" i="14"/>
  <c r="DD16" i="14"/>
  <c r="CX37" i="14"/>
  <c r="DG37" i="14"/>
  <c r="CZ37" i="14"/>
  <c r="DO29" i="14"/>
  <c r="DC55" i="14"/>
  <c r="DC8" i="14"/>
  <c r="DC7" i="14"/>
  <c r="DC6" i="14"/>
  <c r="DC12" i="14"/>
  <c r="DC9" i="14"/>
  <c r="DC13" i="14"/>
  <c r="DC11" i="14"/>
  <c r="DC10" i="14"/>
  <c r="CY19" i="14"/>
  <c r="DO41" i="14"/>
  <c r="DB52" i="14"/>
  <c r="DR52" i="14"/>
  <c r="CY35" i="14"/>
  <c r="DS18" i="14"/>
  <c r="DC18" i="14"/>
  <c r="DB18" i="14"/>
  <c r="DO46" i="14"/>
  <c r="DC25" i="14"/>
  <c r="CY25" i="14"/>
  <c r="DC41" i="14"/>
  <c r="DH41" i="14"/>
  <c r="DR41" i="14"/>
  <c r="DS28" i="14"/>
  <c r="DI28" i="14"/>
  <c r="DR49" i="14"/>
  <c r="DH22" i="14"/>
  <c r="CY22" i="14"/>
  <c r="DR22" i="14"/>
  <c r="CY32" i="14"/>
  <c r="DP32" i="14"/>
  <c r="DI32" i="14"/>
  <c r="DC53" i="14"/>
  <c r="DH51" i="14"/>
  <c r="DO51" i="14"/>
  <c r="DS34" i="14"/>
  <c r="DR34" i="14"/>
  <c r="CY17" i="14"/>
  <c r="DP17" i="14"/>
  <c r="DT55" i="14"/>
  <c r="DT8" i="14"/>
  <c r="DT9" i="14"/>
  <c r="DT12" i="14"/>
  <c r="DT13" i="14"/>
  <c r="DT7" i="14"/>
  <c r="DT6" i="14"/>
  <c r="DT10" i="14"/>
  <c r="DT11" i="14"/>
  <c r="DJ37" i="14"/>
  <c r="DJ8" i="14"/>
  <c r="DJ12" i="14"/>
  <c r="DJ9" i="14"/>
  <c r="DJ6" i="14"/>
  <c r="DJ11" i="14"/>
  <c r="DJ13" i="14"/>
  <c r="DJ10" i="14"/>
  <c r="DJ7" i="14"/>
  <c r="CV53" i="14"/>
  <c r="CV8" i="14"/>
  <c r="CV13" i="14"/>
  <c r="CV7" i="14"/>
  <c r="CV11" i="14"/>
  <c r="CV6" i="14"/>
  <c r="CV10" i="14"/>
  <c r="CV12" i="14"/>
  <c r="CV9" i="14"/>
  <c r="CZ50" i="14"/>
  <c r="DE50" i="14"/>
  <c r="DQ50" i="14"/>
  <c r="DK14" i="14"/>
  <c r="DH14" i="14"/>
  <c r="DM14" i="14"/>
  <c r="CZ24" i="14"/>
  <c r="DF24" i="14"/>
  <c r="DL24" i="14"/>
  <c r="DB24" i="14"/>
  <c r="DS44" i="14"/>
  <c r="DC44" i="14"/>
  <c r="DE44" i="14"/>
  <c r="DL44" i="14"/>
  <c r="CZ27" i="14"/>
  <c r="CY27" i="14"/>
  <c r="DR27" i="14"/>
  <c r="CY23" i="14"/>
  <c r="DF23" i="14"/>
  <c r="DL23" i="14"/>
  <c r="DS23" i="14"/>
  <c r="CY38" i="14"/>
  <c r="DN38" i="14"/>
  <c r="DB38" i="14"/>
  <c r="CV38" i="14"/>
  <c r="CX48" i="14"/>
  <c r="CW48" i="14"/>
  <c r="DR48" i="14"/>
  <c r="DF20" i="14"/>
  <c r="CY20" i="14"/>
  <c r="DB20" i="14"/>
  <c r="DO45" i="14"/>
  <c r="CT45" i="14"/>
  <c r="DQ45" i="14"/>
  <c r="CZ43" i="14"/>
  <c r="DD43" i="14"/>
  <c r="DK43" i="14"/>
  <c r="DA43" i="14"/>
  <c r="DF26" i="14"/>
  <c r="CU26" i="14"/>
  <c r="DL26" i="14"/>
  <c r="CY39" i="14"/>
  <c r="DH39" i="14"/>
  <c r="CU39" i="14"/>
  <c r="DG54" i="14"/>
  <c r="CY54" i="14"/>
  <c r="DA54" i="14"/>
  <c r="CU54" i="14"/>
  <c r="CY21" i="14"/>
  <c r="DI21" i="14"/>
  <c r="CV21" i="14"/>
  <c r="DP36" i="14"/>
  <c r="DK36" i="14"/>
  <c r="DJ36" i="14"/>
  <c r="CW19" i="14"/>
  <c r="DI19" i="14"/>
  <c r="DQ19" i="14"/>
  <c r="DF15" i="14"/>
  <c r="CT15" i="14"/>
  <c r="DM15" i="14"/>
  <c r="DT15" i="14"/>
  <c r="DP30" i="14"/>
  <c r="CZ30" i="14"/>
  <c r="DL30" i="14"/>
  <c r="DK40" i="14"/>
  <c r="CU40" i="14"/>
  <c r="DR40" i="14"/>
  <c r="DC42" i="14"/>
  <c r="DN42" i="14"/>
  <c r="DH42" i="14"/>
  <c r="DA42" i="14"/>
  <c r="DG55" i="14"/>
  <c r="DM55" i="14"/>
  <c r="DG33" i="14"/>
  <c r="CY33" i="14"/>
  <c r="DC33" i="14"/>
  <c r="DA33" i="14"/>
  <c r="DO16" i="14"/>
  <c r="CV16" i="14"/>
  <c r="DS16" i="14"/>
  <c r="DD37" i="14"/>
  <c r="DP37" i="14"/>
  <c r="DI37" i="14"/>
  <c r="DA37" i="14"/>
  <c r="CG12" i="14"/>
  <c r="CG8" i="14"/>
  <c r="CG7" i="14"/>
  <c r="CG13" i="14"/>
  <c r="CG6" i="14"/>
  <c r="CG10" i="14"/>
  <c r="CG9" i="14"/>
  <c r="CG11" i="14"/>
  <c r="CG22" i="14"/>
  <c r="CG43" i="14"/>
  <c r="CG45" i="14"/>
  <c r="CG30" i="14"/>
  <c r="CG38" i="14"/>
  <c r="CG53" i="14"/>
  <c r="CG14" i="14"/>
  <c r="CG27" i="14"/>
  <c r="CG37" i="14"/>
  <c r="CG29" i="14"/>
  <c r="CG21" i="14"/>
  <c r="CG54" i="14"/>
  <c r="CG46" i="14"/>
  <c r="CG55" i="14"/>
  <c r="CG39" i="14"/>
  <c r="CG31" i="14"/>
  <c r="CG28" i="14"/>
  <c r="CG18" i="14"/>
  <c r="CG25" i="14"/>
  <c r="CG16" i="14"/>
  <c r="CG36" i="14"/>
  <c r="CG26" i="14"/>
  <c r="CG33" i="14"/>
  <c r="CG23" i="14"/>
  <c r="CG51" i="14"/>
  <c r="CG52" i="14"/>
  <c r="CG47" i="14"/>
  <c r="CG35" i="14"/>
  <c r="CG20" i="14"/>
  <c r="CG19" i="14"/>
  <c r="CG42" i="14"/>
  <c r="CG24" i="14"/>
  <c r="CG34" i="14"/>
  <c r="CG48" i="14"/>
  <c r="CG17" i="14"/>
  <c r="CG32" i="14"/>
  <c r="CG40" i="14"/>
  <c r="CG50" i="14"/>
  <c r="CG44" i="14"/>
  <c r="CG49" i="14"/>
  <c r="CG41" i="14"/>
  <c r="CG15" i="14"/>
  <c r="CB47" i="14"/>
  <c r="CB12" i="14"/>
  <c r="CB9" i="14"/>
  <c r="CB8" i="14"/>
  <c r="CB10" i="14"/>
  <c r="CB6" i="14"/>
  <c r="CB13" i="14"/>
  <c r="CB7" i="14"/>
  <c r="CB11" i="14"/>
  <c r="CB46" i="14"/>
  <c r="CB29" i="14"/>
  <c r="CB14" i="14"/>
  <c r="CB53" i="14"/>
  <c r="CB35" i="14"/>
  <c r="CB37" i="14"/>
  <c r="CB51" i="14"/>
  <c r="CB54" i="14"/>
  <c r="CB22" i="14"/>
  <c r="CB21" i="14"/>
  <c r="CB43" i="14"/>
  <c r="CB38" i="14"/>
  <c r="CB30" i="14"/>
  <c r="CB28" i="14"/>
  <c r="CB50" i="14"/>
  <c r="CB26" i="14"/>
  <c r="CB36" i="14"/>
  <c r="CB17" i="14"/>
  <c r="CB27" i="14"/>
  <c r="CB48" i="14"/>
  <c r="CB40" i="14"/>
  <c r="CB55" i="14"/>
  <c r="CB31" i="14"/>
  <c r="CB15" i="14"/>
  <c r="CB44" i="14"/>
  <c r="CB39" i="14"/>
  <c r="CB45" i="14"/>
  <c r="CB19" i="14"/>
  <c r="CB49" i="14"/>
  <c r="CB33" i="14"/>
  <c r="CB41" i="14"/>
  <c r="CB24" i="14"/>
  <c r="CB20" i="14"/>
  <c r="CB42" i="14"/>
  <c r="CB18" i="14"/>
  <c r="CB25" i="14"/>
  <c r="CB16" i="14"/>
  <c r="CB52" i="14"/>
  <c r="CB34" i="14"/>
  <c r="CB23" i="14"/>
  <c r="CB32" i="14"/>
  <c r="BR46" i="14"/>
  <c r="BR13" i="14"/>
  <c r="BR10" i="14"/>
  <c r="BR6" i="14"/>
  <c r="BR7" i="14"/>
  <c r="BR9" i="14"/>
  <c r="BR8" i="14"/>
  <c r="BR11" i="14"/>
  <c r="BR12" i="14"/>
  <c r="BR21" i="14"/>
  <c r="BR14" i="14"/>
  <c r="BR28" i="14"/>
  <c r="BR43" i="14"/>
  <c r="BR54" i="14"/>
  <c r="BR51" i="14"/>
  <c r="BR35" i="14"/>
  <c r="BR53" i="14"/>
  <c r="BR37" i="14"/>
  <c r="BR38" i="14"/>
  <c r="BR30" i="14"/>
  <c r="BR45" i="14"/>
  <c r="BR29" i="14"/>
  <c r="BR19" i="14"/>
  <c r="BR27" i="14"/>
  <c r="BR34" i="14"/>
  <c r="BR18" i="14"/>
  <c r="BR15" i="14"/>
  <c r="BR26" i="14"/>
  <c r="BR44" i="14"/>
  <c r="BR41" i="14"/>
  <c r="BR39" i="14"/>
  <c r="BR22" i="14"/>
  <c r="BR33" i="14"/>
  <c r="BR17" i="14"/>
  <c r="BR36" i="14"/>
  <c r="BR20" i="14"/>
  <c r="BR42" i="14"/>
  <c r="BR40" i="14"/>
  <c r="BR55" i="14"/>
  <c r="BR31" i="14"/>
  <c r="BR23" i="14"/>
  <c r="BR52" i="14"/>
  <c r="BR48" i="14"/>
  <c r="BR49" i="14"/>
  <c r="BR32" i="14"/>
  <c r="BR16" i="14"/>
  <c r="BR50" i="14"/>
  <c r="BR24" i="14"/>
  <c r="BR25" i="14"/>
  <c r="BR47" i="14"/>
  <c r="CA10" i="14"/>
  <c r="CA13" i="14"/>
  <c r="CA8" i="14"/>
  <c r="CA9" i="14"/>
  <c r="CA11" i="14"/>
  <c r="CA12" i="14"/>
  <c r="CA6" i="14"/>
  <c r="CA7" i="14"/>
  <c r="CA32" i="14"/>
  <c r="CA46" i="14"/>
  <c r="CA35" i="14"/>
  <c r="CA37" i="14"/>
  <c r="CA27" i="14"/>
  <c r="CA40" i="14"/>
  <c r="CA54" i="14"/>
  <c r="CA22" i="14"/>
  <c r="CA28" i="14"/>
  <c r="CA21" i="14"/>
  <c r="CA30" i="14"/>
  <c r="CA14" i="14"/>
  <c r="CA43" i="14"/>
  <c r="CA45" i="14"/>
  <c r="CA29" i="14"/>
  <c r="CA52" i="14"/>
  <c r="CA20" i="14"/>
  <c r="CA53" i="14"/>
  <c r="CA17" i="14"/>
  <c r="CA16" i="14"/>
  <c r="CA47" i="14"/>
  <c r="CA39" i="14"/>
  <c r="CA41" i="14"/>
  <c r="CA19" i="14"/>
  <c r="CA34" i="14"/>
  <c r="CA36" i="14"/>
  <c r="CA42" i="14"/>
  <c r="CA44" i="14"/>
  <c r="CA24" i="14"/>
  <c r="CA31" i="14"/>
  <c r="CA48" i="14"/>
  <c r="CA26" i="14"/>
  <c r="CA49" i="14"/>
  <c r="CA25" i="14"/>
  <c r="CA55" i="14"/>
  <c r="CA15" i="14"/>
  <c r="CA33" i="14"/>
  <c r="CA50" i="14"/>
  <c r="CA18" i="14"/>
  <c r="CA51" i="14"/>
  <c r="CA23" i="14"/>
  <c r="CA38" i="14"/>
  <c r="CJ12" i="14"/>
  <c r="CJ9" i="14"/>
  <c r="CJ7" i="14"/>
  <c r="CJ10" i="14"/>
  <c r="CJ8" i="14"/>
  <c r="CJ11" i="14"/>
  <c r="CJ13" i="14"/>
  <c r="CJ6" i="14"/>
  <c r="CJ17" i="14"/>
  <c r="CJ45" i="14"/>
  <c r="CJ27" i="14"/>
  <c r="CJ54" i="14"/>
  <c r="CJ46" i="14"/>
  <c r="CJ38" i="14"/>
  <c r="CJ30" i="14"/>
  <c r="CJ21" i="14"/>
  <c r="CJ51" i="14"/>
  <c r="CJ22" i="14"/>
  <c r="CJ28" i="14"/>
  <c r="CJ37" i="14"/>
  <c r="CJ29" i="14"/>
  <c r="CJ36" i="14"/>
  <c r="CJ14" i="14"/>
  <c r="CJ53" i="14"/>
  <c r="CJ55" i="14"/>
  <c r="CJ43" i="14"/>
  <c r="CJ31" i="14"/>
  <c r="CJ44" i="14"/>
  <c r="CJ49" i="14"/>
  <c r="CJ41" i="14"/>
  <c r="CJ19" i="14"/>
  <c r="CJ24" i="14"/>
  <c r="CJ39" i="14"/>
  <c r="CJ25" i="14"/>
  <c r="CJ35" i="14"/>
  <c r="CJ47" i="14"/>
  <c r="CJ40" i="14"/>
  <c r="CJ26" i="14"/>
  <c r="CJ52" i="14"/>
  <c r="CJ33" i="14"/>
  <c r="CJ23" i="14"/>
  <c r="CJ20" i="14"/>
  <c r="CJ50" i="14"/>
  <c r="CJ34" i="14"/>
  <c r="CJ48" i="14"/>
  <c r="CJ15" i="14"/>
  <c r="CJ18" i="14"/>
  <c r="CJ32" i="14"/>
  <c r="CJ16" i="14"/>
  <c r="CJ42" i="14"/>
  <c r="CM38" i="14"/>
  <c r="CM7" i="14"/>
  <c r="CM9" i="14"/>
  <c r="CM12" i="14"/>
  <c r="CM11" i="14"/>
  <c r="CM13" i="14"/>
  <c r="CM10" i="14"/>
  <c r="CM6" i="14"/>
  <c r="CM8" i="14"/>
  <c r="CM46" i="14"/>
  <c r="CM30" i="14"/>
  <c r="CM22" i="14"/>
  <c r="CM27" i="14"/>
  <c r="CM54" i="14"/>
  <c r="CM53" i="14"/>
  <c r="CM35" i="14"/>
  <c r="CM28" i="14"/>
  <c r="CM51" i="14"/>
  <c r="CM43" i="14"/>
  <c r="CM29" i="14"/>
  <c r="CM37" i="14"/>
  <c r="CM44" i="14"/>
  <c r="CM25" i="14"/>
  <c r="CM15" i="14"/>
  <c r="CM45" i="14"/>
  <c r="CM50" i="14"/>
  <c r="CM23" i="14"/>
  <c r="CM16" i="14"/>
  <c r="CM47" i="14"/>
  <c r="CM21" i="14"/>
  <c r="CM41" i="14"/>
  <c r="CM32" i="14"/>
  <c r="CM24" i="14"/>
  <c r="CM18" i="14"/>
  <c r="CM34" i="14"/>
  <c r="CM49" i="14"/>
  <c r="CM40" i="14"/>
  <c r="CM55" i="14"/>
  <c r="CM19" i="14"/>
  <c r="CM14" i="14"/>
  <c r="CM42" i="14"/>
  <c r="CM26" i="14"/>
  <c r="CM33" i="14"/>
  <c r="CM48" i="14"/>
  <c r="CM39" i="14"/>
  <c r="CM31" i="14"/>
  <c r="CM52" i="14"/>
  <c r="CM20" i="14"/>
  <c r="CM17" i="14"/>
  <c r="CM36" i="14"/>
  <c r="CE46" i="14"/>
  <c r="CE12" i="14"/>
  <c r="CE7" i="14"/>
  <c r="CE9" i="14"/>
  <c r="CE11" i="14"/>
  <c r="CE13" i="14"/>
  <c r="CE10" i="14"/>
  <c r="CE8" i="14"/>
  <c r="CE6" i="14"/>
  <c r="CE14" i="14"/>
  <c r="CE28" i="14"/>
  <c r="CE53" i="14"/>
  <c r="CE29" i="14"/>
  <c r="CE43" i="14"/>
  <c r="CE54" i="14"/>
  <c r="CE45" i="14"/>
  <c r="CE51" i="14"/>
  <c r="CE27" i="14"/>
  <c r="CE21" i="14"/>
  <c r="CE35" i="14"/>
  <c r="CE38" i="14"/>
  <c r="CE25" i="14"/>
  <c r="CE40" i="14"/>
  <c r="CE22" i="14"/>
  <c r="CE42" i="14"/>
  <c r="CE20" i="14"/>
  <c r="CE18" i="14"/>
  <c r="CE33" i="14"/>
  <c r="CE49" i="14"/>
  <c r="CE17" i="14"/>
  <c r="CE36" i="14"/>
  <c r="CE52" i="14"/>
  <c r="CE50" i="14"/>
  <c r="CE24" i="14"/>
  <c r="CE37" i="14"/>
  <c r="CE41" i="14"/>
  <c r="CE16" i="14"/>
  <c r="CE47" i="14"/>
  <c r="CE31" i="14"/>
  <c r="CE23" i="14"/>
  <c r="CE30" i="14"/>
  <c r="CE34" i="14"/>
  <c r="CE26" i="14"/>
  <c r="CE44" i="14"/>
  <c r="CE55" i="14"/>
  <c r="CE19" i="14"/>
  <c r="CE48" i="14"/>
  <c r="CE39" i="14"/>
  <c r="CE15" i="14"/>
  <c r="CE32" i="14"/>
  <c r="CK31" i="14"/>
  <c r="CK8" i="14"/>
  <c r="CK10" i="14"/>
  <c r="CK12" i="14"/>
  <c r="CK9" i="14"/>
  <c r="CK6" i="14"/>
  <c r="CK7" i="14"/>
  <c r="CK13" i="14"/>
  <c r="CK11" i="14"/>
  <c r="CK38" i="14"/>
  <c r="CK30" i="14"/>
  <c r="CK29" i="14"/>
  <c r="CK51" i="14"/>
  <c r="CK37" i="14"/>
  <c r="CK21" i="14"/>
  <c r="CK45" i="14"/>
  <c r="CK19" i="14"/>
  <c r="CK28" i="14"/>
  <c r="CK43" i="14"/>
  <c r="CK33" i="14"/>
  <c r="CK20" i="14"/>
  <c r="CK44" i="14"/>
  <c r="CK47" i="14"/>
  <c r="CK35" i="14"/>
  <c r="CK42" i="14"/>
  <c r="CK41" i="14"/>
  <c r="CK32" i="14"/>
  <c r="CK16" i="14"/>
  <c r="CK46" i="14"/>
  <c r="CK54" i="14"/>
  <c r="CK34" i="14"/>
  <c r="CK18" i="14"/>
  <c r="CK53" i="14"/>
  <c r="CK22" i="14"/>
  <c r="CK17" i="14"/>
  <c r="CK55" i="14"/>
  <c r="CK39" i="14"/>
  <c r="CK26" i="14"/>
  <c r="CK27" i="14"/>
  <c r="CK52" i="14"/>
  <c r="CK25" i="14"/>
  <c r="CK49" i="14"/>
  <c r="CK48" i="14"/>
  <c r="CK40" i="14"/>
  <c r="CK24" i="14"/>
  <c r="CK23" i="14"/>
  <c r="CK14" i="14"/>
  <c r="CK36" i="14"/>
  <c r="CK15" i="14"/>
  <c r="CK50" i="14"/>
  <c r="CC12" i="14"/>
  <c r="CC6" i="14"/>
  <c r="CC10" i="14"/>
  <c r="CC9" i="14"/>
  <c r="CC11" i="14"/>
  <c r="CC13" i="14"/>
  <c r="CC7" i="14"/>
  <c r="CC8" i="14"/>
  <c r="CC38" i="14"/>
  <c r="CC28" i="14"/>
  <c r="CC37" i="14"/>
  <c r="CC27" i="14"/>
  <c r="CC54" i="14"/>
  <c r="CC45" i="14"/>
  <c r="CC30" i="14"/>
  <c r="CC22" i="14"/>
  <c r="CC46" i="14"/>
  <c r="CC51" i="14"/>
  <c r="CC14" i="14"/>
  <c r="CC29" i="14"/>
  <c r="CC53" i="14"/>
  <c r="CC18" i="14"/>
  <c r="CC32" i="14"/>
  <c r="CC20" i="14"/>
  <c r="CC25" i="14"/>
  <c r="CC40" i="14"/>
  <c r="CC19" i="14"/>
  <c r="CC50" i="14"/>
  <c r="CC42" i="14"/>
  <c r="CC26" i="14"/>
  <c r="CC39" i="14"/>
  <c r="CC31" i="14"/>
  <c r="CC23" i="14"/>
  <c r="CC35" i="14"/>
  <c r="CC49" i="14"/>
  <c r="CC36" i="14"/>
  <c r="CC48" i="14"/>
  <c r="CC55" i="14"/>
  <c r="CC41" i="14"/>
  <c r="CC33" i="14"/>
  <c r="CC17" i="14"/>
  <c r="CC43" i="14"/>
  <c r="CC16" i="14"/>
  <c r="CC21" i="14"/>
  <c r="CC15" i="14"/>
  <c r="CC47" i="14"/>
  <c r="CC52" i="14"/>
  <c r="CC34" i="14"/>
  <c r="CC24" i="14"/>
  <c r="CC44" i="14"/>
  <c r="BZ7" i="14"/>
  <c r="BZ9" i="14"/>
  <c r="BZ11" i="14"/>
  <c r="BZ6" i="14"/>
  <c r="BZ12" i="14"/>
  <c r="BZ10" i="14"/>
  <c r="BZ8" i="14"/>
  <c r="BZ13" i="14"/>
  <c r="BZ45" i="14"/>
  <c r="BZ43" i="14"/>
  <c r="BZ37" i="14"/>
  <c r="BZ29" i="14"/>
  <c r="BZ51" i="14"/>
  <c r="BZ35" i="14"/>
  <c r="BZ30" i="14"/>
  <c r="BZ28" i="14"/>
  <c r="BZ38" i="14"/>
  <c r="BZ53" i="14"/>
  <c r="BZ46" i="14"/>
  <c r="BZ14" i="14"/>
  <c r="BZ21" i="14"/>
  <c r="BZ54" i="14"/>
  <c r="BZ22" i="14"/>
  <c r="BZ27" i="14"/>
  <c r="BZ19" i="14"/>
  <c r="BZ33" i="14"/>
  <c r="BZ24" i="14"/>
  <c r="BZ16" i="14"/>
  <c r="BZ31" i="14"/>
  <c r="BZ18" i="14"/>
  <c r="BZ25" i="14"/>
  <c r="BZ32" i="14"/>
  <c r="BZ47" i="14"/>
  <c r="BZ15" i="14"/>
  <c r="BZ26" i="14"/>
  <c r="BZ49" i="14"/>
  <c r="BZ40" i="14"/>
  <c r="BZ39" i="14"/>
  <c r="BZ42" i="14"/>
  <c r="BZ36" i="14"/>
  <c r="BZ48" i="14"/>
  <c r="BZ55" i="14"/>
  <c r="BZ50" i="14"/>
  <c r="BZ23" i="14"/>
  <c r="BZ52" i="14"/>
  <c r="BZ44" i="14"/>
  <c r="BZ17" i="14"/>
  <c r="BZ20" i="14"/>
  <c r="BZ34" i="14"/>
  <c r="BZ41" i="14"/>
  <c r="CH7" i="14"/>
  <c r="CH9" i="14"/>
  <c r="CH10" i="14"/>
  <c r="CH13" i="14"/>
  <c r="CH12" i="14"/>
  <c r="CH11" i="14"/>
  <c r="CH6" i="14"/>
  <c r="CH8" i="14"/>
  <c r="CH22" i="14"/>
  <c r="CH21" i="14"/>
  <c r="CH38" i="14"/>
  <c r="CH45" i="14"/>
  <c r="CH51" i="14"/>
  <c r="CH43" i="14"/>
  <c r="CH28" i="14"/>
  <c r="CH30" i="14"/>
  <c r="CH37" i="14"/>
  <c r="CH27" i="14"/>
  <c r="CH46" i="14"/>
  <c r="CH14" i="14"/>
  <c r="CH53" i="14"/>
  <c r="CH35" i="14"/>
  <c r="CH29" i="14"/>
  <c r="CH26" i="14"/>
  <c r="CH41" i="14"/>
  <c r="CH32" i="14"/>
  <c r="CH55" i="14"/>
  <c r="CH39" i="14"/>
  <c r="CH52" i="14"/>
  <c r="CH49" i="14"/>
  <c r="CH36" i="14"/>
  <c r="CH54" i="14"/>
  <c r="CH50" i="14"/>
  <c r="CH42" i="14"/>
  <c r="CH20" i="14"/>
  <c r="CH48" i="14"/>
  <c r="CH47" i="14"/>
  <c r="CH34" i="14"/>
  <c r="CH40" i="14"/>
  <c r="CH23" i="14"/>
  <c r="CH15" i="14"/>
  <c r="CH33" i="14"/>
  <c r="CH18" i="14"/>
  <c r="CH24" i="14"/>
  <c r="CH19" i="14"/>
  <c r="CH44" i="14"/>
  <c r="CH25" i="14"/>
  <c r="CH17" i="14"/>
  <c r="CH16" i="14"/>
  <c r="CH31" i="14"/>
  <c r="CI23" i="14"/>
  <c r="CI11" i="14"/>
  <c r="CI8" i="14"/>
  <c r="CI7" i="14"/>
  <c r="CI13" i="14"/>
  <c r="CI9" i="14"/>
  <c r="CI12" i="14"/>
  <c r="CI10" i="14"/>
  <c r="CI6" i="14"/>
  <c r="CI45" i="14"/>
  <c r="CI30" i="14"/>
  <c r="CI29" i="14"/>
  <c r="CI35" i="14"/>
  <c r="CI14" i="14"/>
  <c r="CI53" i="14"/>
  <c r="CI54" i="14"/>
  <c r="CI38" i="14"/>
  <c r="CI21" i="14"/>
  <c r="CI43" i="14"/>
  <c r="CI46" i="14"/>
  <c r="CI22" i="14"/>
  <c r="CI33" i="14"/>
  <c r="CI25" i="14"/>
  <c r="CI36" i="14"/>
  <c r="CI40" i="14"/>
  <c r="CI16" i="14"/>
  <c r="CI55" i="14"/>
  <c r="CI39" i="14"/>
  <c r="CI50" i="14"/>
  <c r="CI52" i="14"/>
  <c r="CI44" i="14"/>
  <c r="CI48" i="14"/>
  <c r="CI19" i="14"/>
  <c r="CI34" i="14"/>
  <c r="CI18" i="14"/>
  <c r="CI24" i="14"/>
  <c r="CI42" i="14"/>
  <c r="CI31" i="14"/>
  <c r="CI20" i="14"/>
  <c r="CI41" i="14"/>
  <c r="CI17" i="14"/>
  <c r="CI51" i="14"/>
  <c r="CI15" i="14"/>
  <c r="CI28" i="14"/>
  <c r="CI27" i="14"/>
  <c r="CI26" i="14"/>
  <c r="CI37" i="14"/>
  <c r="CI49" i="14"/>
  <c r="CI32" i="14"/>
  <c r="CI47" i="14"/>
  <c r="BQ52" i="14"/>
  <c r="BQ10" i="14"/>
  <c r="BQ8" i="14"/>
  <c r="BQ9" i="14"/>
  <c r="BQ7" i="14"/>
  <c r="BQ12" i="14"/>
  <c r="BQ11" i="14"/>
  <c r="BQ6" i="14"/>
  <c r="BQ13" i="14"/>
  <c r="BQ24" i="14"/>
  <c r="BQ19" i="14"/>
  <c r="BQ14" i="14"/>
  <c r="BQ37" i="14"/>
  <c r="BQ54" i="14"/>
  <c r="BQ21" i="14"/>
  <c r="BQ46" i="14"/>
  <c r="BQ22" i="14"/>
  <c r="BQ38" i="14"/>
  <c r="BQ28" i="14"/>
  <c r="BQ51" i="14"/>
  <c r="BQ43" i="14"/>
  <c r="BQ53" i="14"/>
  <c r="BQ30" i="14"/>
  <c r="BQ29" i="14"/>
  <c r="BQ20" i="14"/>
  <c r="BQ50" i="14"/>
  <c r="BQ48" i="14"/>
  <c r="BQ15" i="14"/>
  <c r="BQ35" i="14"/>
  <c r="BQ25" i="14"/>
  <c r="BQ55" i="14"/>
  <c r="BQ34" i="14"/>
  <c r="BQ41" i="14"/>
  <c r="BQ33" i="14"/>
  <c r="BQ23" i="14"/>
  <c r="BQ18" i="14"/>
  <c r="BQ44" i="14"/>
  <c r="BQ17" i="14"/>
  <c r="BQ32" i="14"/>
  <c r="BQ27" i="14"/>
  <c r="BQ26" i="14"/>
  <c r="BQ49" i="14"/>
  <c r="BQ36" i="14"/>
  <c r="BQ45" i="14"/>
  <c r="BQ39" i="14"/>
  <c r="BQ47" i="14"/>
  <c r="BQ31" i="14"/>
  <c r="BQ42" i="14"/>
  <c r="BQ40" i="14"/>
  <c r="BQ16" i="14"/>
  <c r="BX27" i="14"/>
  <c r="BX8" i="14"/>
  <c r="BX12" i="14"/>
  <c r="BX11" i="14"/>
  <c r="BX7" i="14"/>
  <c r="BX6" i="14"/>
  <c r="BX13" i="14"/>
  <c r="BX10" i="14"/>
  <c r="BX9" i="14"/>
  <c r="BX37" i="14"/>
  <c r="BX43" i="14"/>
  <c r="BX35" i="14"/>
  <c r="BX19" i="14"/>
  <c r="BX46" i="14"/>
  <c r="BX53" i="14"/>
  <c r="BX51" i="14"/>
  <c r="BX29" i="14"/>
  <c r="BX22" i="14"/>
  <c r="BX54" i="14"/>
  <c r="BX45" i="14"/>
  <c r="BX30" i="14"/>
  <c r="BX14" i="14"/>
  <c r="BX21" i="14"/>
  <c r="BX28" i="14"/>
  <c r="BX41" i="14"/>
  <c r="BX47" i="14"/>
  <c r="BX52" i="14"/>
  <c r="BX50" i="14"/>
  <c r="BX34" i="14"/>
  <c r="BX26" i="14"/>
  <c r="BX17" i="14"/>
  <c r="BX55" i="14"/>
  <c r="BX42" i="14"/>
  <c r="BX49" i="14"/>
  <c r="BX40" i="14"/>
  <c r="BX24" i="14"/>
  <c r="BX16" i="14"/>
  <c r="BX32" i="14"/>
  <c r="BX18" i="14"/>
  <c r="BX33" i="14"/>
  <c r="BX48" i="14"/>
  <c r="BX38" i="14"/>
  <c r="BX44" i="14"/>
  <c r="BX36" i="14"/>
  <c r="BX39" i="14"/>
  <c r="BX23" i="14"/>
  <c r="BX15" i="14"/>
  <c r="BX20" i="14"/>
  <c r="BX25" i="14"/>
  <c r="BX31" i="14"/>
  <c r="BS12" i="14"/>
  <c r="BS7" i="14"/>
  <c r="BS13" i="14"/>
  <c r="BS9" i="14"/>
  <c r="BS8" i="14"/>
  <c r="BS11" i="14"/>
  <c r="BS6" i="14"/>
  <c r="BS10" i="14"/>
  <c r="BS54" i="14"/>
  <c r="BS51" i="14"/>
  <c r="BS27" i="14"/>
  <c r="BS22" i="14"/>
  <c r="BS28" i="14"/>
  <c r="BS19" i="14"/>
  <c r="BS14" i="14"/>
  <c r="BS53" i="14"/>
  <c r="BS21" i="14"/>
  <c r="BS30" i="14"/>
  <c r="BS35" i="14"/>
  <c r="BS45" i="14"/>
  <c r="BS46" i="14"/>
  <c r="BS38" i="14"/>
  <c r="BS37" i="14"/>
  <c r="BS43" i="14"/>
  <c r="BS49" i="14"/>
  <c r="BS17" i="14"/>
  <c r="BS39" i="14"/>
  <c r="BS33" i="14"/>
  <c r="BS25" i="14"/>
  <c r="BS48" i="14"/>
  <c r="BS31" i="14"/>
  <c r="BS23" i="14"/>
  <c r="BS55" i="14"/>
  <c r="BS40" i="14"/>
  <c r="BS15" i="14"/>
  <c r="BS52" i="14"/>
  <c r="BS34" i="14"/>
  <c r="BS26" i="14"/>
  <c r="BS36" i="14"/>
  <c r="BS32" i="14"/>
  <c r="BS50" i="14"/>
  <c r="BS44" i="14"/>
  <c r="BS20" i="14"/>
  <c r="BS42" i="14"/>
  <c r="BS16" i="14"/>
  <c r="BS29" i="14"/>
  <c r="BS41" i="14"/>
  <c r="BS24" i="14"/>
  <c r="BS47" i="14"/>
  <c r="BS18" i="14"/>
  <c r="BV20" i="14"/>
  <c r="BV12" i="14"/>
  <c r="BV11" i="14"/>
  <c r="BV7" i="14"/>
  <c r="BV10" i="14"/>
  <c r="BV9" i="14"/>
  <c r="BV13" i="14"/>
  <c r="BV8" i="14"/>
  <c r="BV6" i="14"/>
  <c r="BV55" i="14"/>
  <c r="BV54" i="14"/>
  <c r="BV37" i="14"/>
  <c r="BV21" i="14"/>
  <c r="BV53" i="14"/>
  <c r="BV45" i="14"/>
  <c r="BV46" i="14"/>
  <c r="BV38" i="14"/>
  <c r="BV29" i="14"/>
  <c r="BV16" i="14"/>
  <c r="BV14" i="14"/>
  <c r="BV42" i="14"/>
  <c r="BV30" i="14"/>
  <c r="BV51" i="14"/>
  <c r="BV19" i="14"/>
  <c r="BV34" i="14"/>
  <c r="BV18" i="14"/>
  <c r="BV48" i="14"/>
  <c r="BV24" i="14"/>
  <c r="BV31" i="14"/>
  <c r="BV26" i="14"/>
  <c r="BV47" i="14"/>
  <c r="BV23" i="14"/>
  <c r="BV27" i="14"/>
  <c r="BV52" i="14"/>
  <c r="BV44" i="14"/>
  <c r="BV17" i="14"/>
  <c r="BV15" i="14"/>
  <c r="BV25" i="14"/>
  <c r="BV32" i="14"/>
  <c r="BV22" i="14"/>
  <c r="BV35" i="14"/>
  <c r="BV41" i="14"/>
  <c r="BV33" i="14"/>
  <c r="BV40" i="14"/>
  <c r="BV50" i="14"/>
  <c r="BV28" i="14"/>
  <c r="BV43" i="14"/>
  <c r="BV49" i="14"/>
  <c r="BV36" i="14"/>
  <c r="BV39" i="14"/>
  <c r="BT15" i="14"/>
  <c r="BT13" i="14"/>
  <c r="BT8" i="14"/>
  <c r="BT11" i="14"/>
  <c r="BT9" i="14"/>
  <c r="BT7" i="14"/>
  <c r="BT10" i="14"/>
  <c r="BT12" i="14"/>
  <c r="BT6" i="14"/>
  <c r="BT53" i="14"/>
  <c r="BT37" i="14"/>
  <c r="BT31" i="14"/>
  <c r="BT54" i="14"/>
  <c r="BT38" i="14"/>
  <c r="BT19" i="14"/>
  <c r="BT30" i="14"/>
  <c r="BT45" i="14"/>
  <c r="BT46" i="14"/>
  <c r="BT43" i="14"/>
  <c r="BT29" i="14"/>
  <c r="BT21" i="14"/>
  <c r="BT35" i="14"/>
  <c r="BT22" i="14"/>
  <c r="BT14" i="14"/>
  <c r="BT28" i="14"/>
  <c r="BT24" i="14"/>
  <c r="BT44" i="14"/>
  <c r="BT33" i="14"/>
  <c r="BT36" i="14"/>
  <c r="BT48" i="14"/>
  <c r="BT32" i="14"/>
  <c r="BT20" i="14"/>
  <c r="BT49" i="14"/>
  <c r="BT41" i="14"/>
  <c r="BT25" i="14"/>
  <c r="BT50" i="14"/>
  <c r="BT40" i="14"/>
  <c r="BT27" i="14"/>
  <c r="BT42" i="14"/>
  <c r="BT51" i="14"/>
  <c r="BT47" i="14"/>
  <c r="BT52" i="14"/>
  <c r="BT18" i="14"/>
  <c r="BT34" i="14"/>
  <c r="BT55" i="14"/>
  <c r="BT39" i="14"/>
  <c r="BT23" i="14"/>
  <c r="BT16" i="14"/>
  <c r="BT26" i="14"/>
  <c r="BT17" i="14"/>
  <c r="CF13" i="14"/>
  <c r="CF9" i="14"/>
  <c r="CF10" i="14"/>
  <c r="CF8" i="14"/>
  <c r="CF6" i="14"/>
  <c r="CF11" i="14"/>
  <c r="CF12" i="14"/>
  <c r="CF7" i="14"/>
  <c r="CF30" i="14"/>
  <c r="CF51" i="14"/>
  <c r="CF21" i="14"/>
  <c r="CF14" i="14"/>
  <c r="CF27" i="14"/>
  <c r="CF38" i="14"/>
  <c r="CF37" i="14"/>
  <c r="CF29" i="14"/>
  <c r="CF28" i="14"/>
  <c r="CF43" i="14"/>
  <c r="CF22" i="14"/>
  <c r="CF54" i="14"/>
  <c r="CF45" i="14"/>
  <c r="CF35" i="14"/>
  <c r="CF46" i="14"/>
  <c r="CF42" i="14"/>
  <c r="CF31" i="14"/>
  <c r="CF23" i="14"/>
  <c r="CF19" i="14"/>
  <c r="CF20" i="14"/>
  <c r="CF34" i="14"/>
  <c r="CF40" i="14"/>
  <c r="CF48" i="14"/>
  <c r="CF24" i="14"/>
  <c r="CF39" i="14"/>
  <c r="CF52" i="14"/>
  <c r="CF26" i="14"/>
  <c r="CF44" i="14"/>
  <c r="CF25" i="14"/>
  <c r="CF18" i="14"/>
  <c r="CF17" i="14"/>
  <c r="CF32" i="14"/>
  <c r="CF15" i="14"/>
  <c r="CF50" i="14"/>
  <c r="CF49" i="14"/>
  <c r="CF41" i="14"/>
  <c r="CF36" i="14"/>
  <c r="CF47" i="14"/>
  <c r="CF53" i="14"/>
  <c r="CF33" i="14"/>
  <c r="CF16" i="14"/>
  <c r="CF55" i="14"/>
  <c r="BU28" i="14"/>
  <c r="BU12" i="14"/>
  <c r="BU13" i="14"/>
  <c r="BU10" i="14"/>
  <c r="BU8" i="14"/>
  <c r="BU9" i="14"/>
  <c r="BU11" i="14"/>
  <c r="BU7" i="14"/>
  <c r="BU6" i="14"/>
  <c r="BU14" i="14"/>
  <c r="BU45" i="14"/>
  <c r="BU22" i="14"/>
  <c r="BU43" i="14"/>
  <c r="BU37" i="14"/>
  <c r="BU29" i="14"/>
  <c r="BU15" i="14"/>
  <c r="BU53" i="14"/>
  <c r="BU30" i="14"/>
  <c r="BU35" i="14"/>
  <c r="BU54" i="14"/>
  <c r="BU46" i="14"/>
  <c r="BU19" i="14"/>
  <c r="BU50" i="14"/>
  <c r="BU49" i="14"/>
  <c r="BU16" i="14"/>
  <c r="BU23" i="14"/>
  <c r="BU42" i="14"/>
  <c r="BU44" i="14"/>
  <c r="BU55" i="14"/>
  <c r="BU51" i="14"/>
  <c r="BU26" i="14"/>
  <c r="BU40" i="14"/>
  <c r="BU38" i="14"/>
  <c r="BU27" i="14"/>
  <c r="BU41" i="14"/>
  <c r="BU17" i="14"/>
  <c r="BU25" i="14"/>
  <c r="BU21" i="14"/>
  <c r="BU18" i="14"/>
  <c r="BU32" i="14"/>
  <c r="BU24" i="14"/>
  <c r="BU39" i="14"/>
  <c r="BU31" i="14"/>
  <c r="BU52" i="14"/>
  <c r="BU20" i="14"/>
  <c r="BU34" i="14"/>
  <c r="BU33" i="14"/>
  <c r="BU36" i="14"/>
  <c r="BU48" i="14"/>
  <c r="BU47" i="14"/>
  <c r="BY12" i="14"/>
  <c r="BY13" i="14"/>
  <c r="BY9" i="14"/>
  <c r="BY10" i="14"/>
  <c r="BY7" i="14"/>
  <c r="BY6" i="14"/>
  <c r="BY8" i="14"/>
  <c r="BY11" i="14"/>
  <c r="BY46" i="14"/>
  <c r="BY23" i="14"/>
  <c r="BY43" i="14"/>
  <c r="BY30" i="14"/>
  <c r="BY22" i="14"/>
  <c r="BY14" i="14"/>
  <c r="BY45" i="14"/>
  <c r="BY38" i="14"/>
  <c r="BY53" i="14"/>
  <c r="BY37" i="14"/>
  <c r="BY29" i="14"/>
  <c r="BY35" i="14"/>
  <c r="BY27" i="14"/>
  <c r="BY28" i="14"/>
  <c r="BY21" i="14"/>
  <c r="BY50" i="14"/>
  <c r="BY52" i="14"/>
  <c r="BY18" i="14"/>
  <c r="BY51" i="14"/>
  <c r="BY49" i="14"/>
  <c r="BY32" i="14"/>
  <c r="BY16" i="14"/>
  <c r="BY17" i="14"/>
  <c r="BY41" i="14"/>
  <c r="BY31" i="14"/>
  <c r="BY15" i="14"/>
  <c r="BY19" i="14"/>
  <c r="BY36" i="14"/>
  <c r="BY24" i="14"/>
  <c r="BY55" i="14"/>
  <c r="BY26" i="14"/>
  <c r="BY42" i="14"/>
  <c r="BY40" i="14"/>
  <c r="BY47" i="14"/>
  <c r="BY54" i="14"/>
  <c r="BY20" i="14"/>
  <c r="BY34" i="14"/>
  <c r="BY44" i="14"/>
  <c r="BY33" i="14"/>
  <c r="BY25" i="14"/>
  <c r="BY48" i="14"/>
  <c r="BY39" i="14"/>
  <c r="CL10" i="14"/>
  <c r="CL7" i="14"/>
  <c r="CL8" i="14"/>
  <c r="CL12" i="14"/>
  <c r="CL11" i="14"/>
  <c r="CL13" i="14"/>
  <c r="CL6" i="14"/>
  <c r="CL9" i="14"/>
  <c r="CL22" i="14"/>
  <c r="CL19" i="14"/>
  <c r="CL53" i="14"/>
  <c r="CL29" i="14"/>
  <c r="CL46" i="14"/>
  <c r="CL35" i="14"/>
  <c r="CL14" i="14"/>
  <c r="CL45" i="14"/>
  <c r="CL51" i="14"/>
  <c r="CL30" i="14"/>
  <c r="CL28" i="14"/>
  <c r="CL54" i="14"/>
  <c r="CL38" i="14"/>
  <c r="CL37" i="14"/>
  <c r="CL21" i="14"/>
  <c r="CL36" i="14"/>
  <c r="CL27" i="14"/>
  <c r="CL40" i="14"/>
  <c r="CL32" i="14"/>
  <c r="CL47" i="14"/>
  <c r="CL50" i="14"/>
  <c r="CL34" i="14"/>
  <c r="CL44" i="14"/>
  <c r="CL49" i="14"/>
  <c r="CL33" i="14"/>
  <c r="CL31" i="14"/>
  <c r="CL55" i="14"/>
  <c r="CL20" i="14"/>
  <c r="CL42" i="14"/>
  <c r="CL16" i="14"/>
  <c r="CL52" i="14"/>
  <c r="CL26" i="14"/>
  <c r="CL25" i="14"/>
  <c r="CL17" i="14"/>
  <c r="CL43" i="14"/>
  <c r="CL41" i="14"/>
  <c r="CL24" i="14"/>
  <c r="CL39" i="14"/>
  <c r="CL18" i="14"/>
  <c r="CL48" i="14"/>
  <c r="CL23" i="14"/>
  <c r="CL15" i="14"/>
  <c r="BW27" i="14"/>
  <c r="BW12" i="14"/>
  <c r="BW11" i="14"/>
  <c r="BW13" i="14"/>
  <c r="BW10" i="14"/>
  <c r="BW7" i="14"/>
  <c r="BW9" i="14"/>
  <c r="BW6" i="14"/>
  <c r="BW8" i="14"/>
  <c r="BW54" i="14"/>
  <c r="BW38" i="14"/>
  <c r="BW28" i="14"/>
  <c r="BW45" i="14"/>
  <c r="BW21" i="14"/>
  <c r="BW46" i="14"/>
  <c r="BW37" i="14"/>
  <c r="BW43" i="14"/>
  <c r="BW51" i="14"/>
  <c r="BW53" i="14"/>
  <c r="BW29" i="14"/>
  <c r="BW30" i="14"/>
  <c r="BW22" i="14"/>
  <c r="BW14" i="14"/>
  <c r="BW35" i="14"/>
  <c r="BW18" i="14"/>
  <c r="BW48" i="14"/>
  <c r="BW40" i="14"/>
  <c r="BW15" i="14"/>
  <c r="BW17" i="14"/>
  <c r="BW36" i="14"/>
  <c r="BW32" i="14"/>
  <c r="BW24" i="14"/>
  <c r="BW49" i="14"/>
  <c r="BW31" i="14"/>
  <c r="BW23" i="14"/>
  <c r="BW34" i="14"/>
  <c r="BW16" i="14"/>
  <c r="BW47" i="14"/>
  <c r="BW39" i="14"/>
  <c r="BW55" i="14"/>
  <c r="BW19" i="14"/>
  <c r="BW20" i="14"/>
  <c r="BW26" i="14"/>
  <c r="BW50" i="14"/>
  <c r="BW25" i="14"/>
  <c r="BW44" i="14"/>
  <c r="BW41" i="14"/>
  <c r="BW52" i="14"/>
  <c r="BW42" i="14"/>
  <c r="BW33" i="14"/>
  <c r="BP46" i="14"/>
  <c r="BP12" i="14"/>
  <c r="BP7" i="14"/>
  <c r="BP8" i="14"/>
  <c r="BP6" i="14"/>
  <c r="BP13" i="14"/>
  <c r="BP10" i="14"/>
  <c r="BP11" i="14"/>
  <c r="BP9" i="14"/>
  <c r="BP53" i="14"/>
  <c r="BP30" i="14"/>
  <c r="BP14" i="14"/>
  <c r="BP45" i="14"/>
  <c r="BP27" i="14"/>
  <c r="BP38" i="14"/>
  <c r="BP22" i="14"/>
  <c r="BP35" i="14"/>
  <c r="BP28" i="14"/>
  <c r="BP51" i="14"/>
  <c r="BP37" i="14"/>
  <c r="BP29" i="14"/>
  <c r="BP19" i="14"/>
  <c r="BP52" i="14"/>
  <c r="BP24" i="14"/>
  <c r="BP21" i="14"/>
  <c r="BP34" i="14"/>
  <c r="BP41" i="14"/>
  <c r="BP36" i="14"/>
  <c r="BP39" i="14"/>
  <c r="BP42" i="14"/>
  <c r="BP44" i="14"/>
  <c r="BP23" i="14"/>
  <c r="BP15" i="14"/>
  <c r="BP43" i="14"/>
  <c r="BP20" i="14"/>
  <c r="BP50" i="14"/>
  <c r="BP49" i="14"/>
  <c r="BP33" i="14"/>
  <c r="BP25" i="14"/>
  <c r="BP16" i="14"/>
  <c r="BP48" i="14"/>
  <c r="BP54" i="14"/>
  <c r="BP18" i="14"/>
  <c r="BP47" i="14"/>
  <c r="BP31" i="14"/>
  <c r="BP17" i="14"/>
  <c r="BP26" i="14"/>
  <c r="BP40" i="14"/>
  <c r="BP32" i="14"/>
  <c r="BP55" i="14"/>
  <c r="CD20" i="14"/>
  <c r="CD11" i="14"/>
  <c r="CD6" i="14"/>
  <c r="CD12" i="14"/>
  <c r="CD7" i="14"/>
  <c r="CD10" i="14"/>
  <c r="CD8" i="14"/>
  <c r="CD13" i="14"/>
  <c r="CD54" i="14"/>
  <c r="CD9" i="14"/>
  <c r="CD28" i="14"/>
  <c r="CD19" i="14"/>
  <c r="CD29" i="14"/>
  <c r="CD22" i="14"/>
  <c r="CD38" i="14"/>
  <c r="CD49" i="14"/>
  <c r="CD30" i="14"/>
  <c r="CD21" i="14"/>
  <c r="CD27" i="14"/>
  <c r="CD14" i="14"/>
  <c r="CD53" i="14"/>
  <c r="CD45" i="14"/>
  <c r="CD51" i="14"/>
  <c r="CD52" i="14"/>
  <c r="CD42" i="14"/>
  <c r="CD15" i="14"/>
  <c r="CD46" i="14"/>
  <c r="CD43" i="14"/>
  <c r="CD18" i="14"/>
  <c r="CD35" i="14"/>
  <c r="CD41" i="14"/>
  <c r="CD33" i="14"/>
  <c r="CD50" i="14"/>
  <c r="CD25" i="14"/>
  <c r="CD17" i="14"/>
  <c r="CD36" i="14"/>
  <c r="CD48" i="14"/>
  <c r="CD16" i="14"/>
  <c r="CD47" i="14"/>
  <c r="CD24" i="14"/>
  <c r="CD26" i="14"/>
  <c r="CD34" i="14"/>
  <c r="CD23" i="14"/>
  <c r="CD37" i="14"/>
  <c r="CD44" i="14"/>
  <c r="CD40" i="14"/>
  <c r="CD32" i="14"/>
  <c r="CD55" i="14"/>
  <c r="CD39" i="14"/>
  <c r="CD31" i="14"/>
  <c r="CO13" i="14"/>
  <c r="CO11" i="14"/>
  <c r="CO8" i="14"/>
  <c r="CO10" i="14"/>
  <c r="CO7" i="14"/>
  <c r="CO6" i="14"/>
  <c r="CO9" i="14"/>
  <c r="CO12" i="14"/>
  <c r="CO48" i="14"/>
  <c r="CO51" i="14"/>
  <c r="CO43" i="14"/>
  <c r="CO19" i="14"/>
  <c r="CO46" i="14"/>
  <c r="CO38" i="14"/>
  <c r="CO28" i="14"/>
  <c r="CO53" i="14"/>
  <c r="CO29" i="14"/>
  <c r="CO54" i="14"/>
  <c r="CO22" i="14"/>
  <c r="CO14" i="14"/>
  <c r="CO37" i="14"/>
  <c r="CO35" i="14"/>
  <c r="CO17" i="14"/>
  <c r="CO21" i="14"/>
  <c r="CO49" i="14"/>
  <c r="CO45" i="14"/>
  <c r="CO23" i="14"/>
  <c r="CO15" i="14"/>
  <c r="CO42" i="14"/>
  <c r="CO32" i="14"/>
  <c r="CO41" i="14"/>
  <c r="CO33" i="14"/>
  <c r="CO40" i="14"/>
  <c r="CO24" i="14"/>
  <c r="CO16" i="14"/>
  <c r="CO25" i="14"/>
  <c r="CO50" i="14"/>
  <c r="CO18" i="14"/>
  <c r="CO44" i="14"/>
  <c r="CO39" i="14"/>
  <c r="CO52" i="14"/>
  <c r="CO34" i="14"/>
  <c r="CO47" i="14"/>
  <c r="CO27" i="14"/>
  <c r="CO26" i="14"/>
  <c r="CO31" i="14"/>
  <c r="CO20" i="14"/>
  <c r="CO55" i="14"/>
  <c r="CO30" i="14"/>
  <c r="CO36" i="14"/>
  <c r="CN38" i="14"/>
  <c r="CN6" i="14"/>
  <c r="CN13" i="14"/>
  <c r="CN10" i="14"/>
  <c r="CN12" i="14"/>
  <c r="CN8" i="14"/>
  <c r="CN9" i="14"/>
  <c r="CN11" i="14"/>
  <c r="CN7" i="14"/>
  <c r="CN35" i="14"/>
  <c r="CN21" i="14"/>
  <c r="CN30" i="14"/>
  <c r="CN54" i="14"/>
  <c r="CN46" i="14"/>
  <c r="CN29" i="14"/>
  <c r="CN22" i="14"/>
  <c r="CN28" i="14"/>
  <c r="CN53" i="14"/>
  <c r="CN45" i="14"/>
  <c r="CN51" i="14"/>
  <c r="CN43" i="14"/>
  <c r="CN20" i="14"/>
  <c r="CN42" i="14"/>
  <c r="CN34" i="14"/>
  <c r="CN26" i="14"/>
  <c r="CN17" i="14"/>
  <c r="CN24" i="14"/>
  <c r="CN23" i="14"/>
  <c r="CN36" i="14"/>
  <c r="CN55" i="14"/>
  <c r="CN47" i="14"/>
  <c r="CN52" i="14"/>
  <c r="CN44" i="14"/>
  <c r="CN32" i="14"/>
  <c r="CN31" i="14"/>
  <c r="CN14" i="14"/>
  <c r="CN49" i="14"/>
  <c r="CN50" i="14"/>
  <c r="CN25" i="14"/>
  <c r="CN16" i="14"/>
  <c r="CN15" i="14"/>
  <c r="CN37" i="14"/>
  <c r="CN39" i="14"/>
  <c r="CN27" i="14"/>
  <c r="CN19" i="14"/>
  <c r="CN33" i="14"/>
  <c r="CN40" i="14"/>
  <c r="CN48" i="14"/>
  <c r="CN18" i="14"/>
  <c r="CN41" i="14"/>
  <c r="AI4" i="11"/>
  <c r="AX4" i="11"/>
  <c r="Z4" i="11"/>
  <c r="AZ4" i="11"/>
  <c r="P108" i="6"/>
  <c r="Q108" i="6" s="1"/>
  <c r="N89" i="6"/>
  <c r="N108" i="6"/>
  <c r="AZ13" i="11" l="1"/>
  <c r="AI13" i="11"/>
  <c r="Z13" i="11"/>
  <c r="AX13" i="11"/>
  <c r="CT103" i="14"/>
  <c r="CT101" i="14"/>
  <c r="CT76" i="14"/>
  <c r="CT80" i="14"/>
  <c r="CT72" i="14"/>
  <c r="CT95" i="14"/>
  <c r="CT98" i="14"/>
  <c r="CT74" i="14"/>
  <c r="CT100" i="14"/>
  <c r="CT99" i="14"/>
  <c r="CT104" i="14"/>
  <c r="CT70" i="14"/>
  <c r="CT66" i="14"/>
  <c r="CT71" i="14"/>
  <c r="CT73" i="14"/>
  <c r="CT90" i="14"/>
  <c r="CT75" i="14"/>
  <c r="CT63" i="14"/>
  <c r="CT77" i="14"/>
  <c r="CT96" i="14"/>
  <c r="CT88" i="14"/>
  <c r="CT67" i="14"/>
  <c r="CT105" i="14"/>
  <c r="CT87" i="14"/>
  <c r="CT109" i="14"/>
  <c r="CT93" i="14"/>
  <c r="CT81" i="14"/>
  <c r="CT91" i="14"/>
  <c r="CT85" i="14"/>
  <c r="CT84" i="14"/>
  <c r="CT89" i="14"/>
  <c r="CT64" i="14"/>
  <c r="CT68" i="14"/>
  <c r="CT62" i="14"/>
  <c r="CT61" i="14"/>
  <c r="CT108" i="14"/>
  <c r="CT69" i="14"/>
  <c r="CT82" i="14"/>
  <c r="CT92" i="14"/>
  <c r="CT97" i="14"/>
  <c r="CT83" i="14"/>
  <c r="CT94" i="14"/>
  <c r="CT107" i="14"/>
  <c r="CT102" i="14"/>
  <c r="CT106" i="14"/>
  <c r="CT86" i="14"/>
  <c r="CT65" i="14"/>
  <c r="CT110" i="14"/>
  <c r="CT79" i="14"/>
  <c r="CT78" i="14"/>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58" i="6"/>
  <c r="Q101" i="6" l="1"/>
  <c r="S101" i="6" s="1"/>
  <c r="Q77" i="6"/>
  <c r="S77" i="6" s="1"/>
  <c r="Q58" i="6"/>
  <c r="S58" i="6" s="1"/>
  <c r="Q92" i="6"/>
  <c r="S92" i="6" s="1"/>
  <c r="Q76" i="6"/>
  <c r="S76" i="6" s="1"/>
  <c r="Q60" i="6"/>
  <c r="S60" i="6" s="1"/>
  <c r="Q99" i="6"/>
  <c r="S99" i="6" s="1"/>
  <c r="Q83" i="6"/>
  <c r="S83" i="6" s="1"/>
  <c r="Q59" i="6"/>
  <c r="S59" i="6" s="1"/>
  <c r="Q98" i="6"/>
  <c r="S98" i="6" s="1"/>
  <c r="Q82" i="6"/>
  <c r="S82" i="6" s="1"/>
  <c r="Q66" i="6"/>
  <c r="S66" i="6" s="1"/>
  <c r="Q105" i="6"/>
  <c r="S105" i="6" s="1"/>
  <c r="Q97" i="6"/>
  <c r="S97" i="6" s="1"/>
  <c r="Q89" i="6"/>
  <c r="S89" i="6" s="1"/>
  <c r="Q81" i="6"/>
  <c r="S81" i="6" s="1"/>
  <c r="Q73" i="6"/>
  <c r="S73" i="6" s="1"/>
  <c r="Q65" i="6"/>
  <c r="S65" i="6" s="1"/>
  <c r="Q85" i="6"/>
  <c r="S85" i="6" s="1"/>
  <c r="Q104" i="6"/>
  <c r="S104" i="6" s="1"/>
  <c r="Q93" i="6"/>
  <c r="S93" i="6" s="1"/>
  <c r="Q69" i="6"/>
  <c r="S69" i="6" s="1"/>
  <c r="Q61" i="6"/>
  <c r="S61" i="6" s="1"/>
  <c r="Q100" i="6"/>
  <c r="S100" i="6" s="1"/>
  <c r="Q84" i="6"/>
  <c r="S84" i="6" s="1"/>
  <c r="Q68" i="6"/>
  <c r="S68" i="6" s="1"/>
  <c r="Q107" i="6"/>
  <c r="S107" i="6" s="1"/>
  <c r="Q91" i="6"/>
  <c r="S91" i="6" s="1"/>
  <c r="Q75" i="6"/>
  <c r="S75" i="6" s="1"/>
  <c r="Q67" i="6"/>
  <c r="S67" i="6" s="1"/>
  <c r="Q106" i="6"/>
  <c r="S106" i="6" s="1"/>
  <c r="Q90" i="6"/>
  <c r="S90" i="6" s="1"/>
  <c r="Q74" i="6"/>
  <c r="S74" i="6" s="1"/>
  <c r="Q96" i="6"/>
  <c r="S96" i="6" s="1"/>
  <c r="Q88" i="6"/>
  <c r="S88" i="6" s="1"/>
  <c r="Q80" i="6"/>
  <c r="S80" i="6" s="1"/>
  <c r="Q72" i="6"/>
  <c r="S72" i="6" s="1"/>
  <c r="Q64" i="6"/>
  <c r="S64" i="6" s="1"/>
  <c r="Q103" i="6"/>
  <c r="S103" i="6" s="1"/>
  <c r="Q95" i="6"/>
  <c r="S95" i="6" s="1"/>
  <c r="Q87" i="6"/>
  <c r="S87" i="6" s="1"/>
  <c r="Q79" i="6"/>
  <c r="S79" i="6" s="1"/>
  <c r="Q71" i="6"/>
  <c r="S71" i="6" s="1"/>
  <c r="Q63" i="6"/>
  <c r="S63" i="6" s="1"/>
  <c r="Q102" i="6"/>
  <c r="S102" i="6" s="1"/>
  <c r="Q94" i="6"/>
  <c r="S94" i="6" s="1"/>
  <c r="Q86" i="6"/>
  <c r="S86" i="6" s="1"/>
  <c r="Q78" i="6"/>
  <c r="S78" i="6" s="1"/>
  <c r="Q70" i="6"/>
  <c r="S70" i="6" s="1"/>
  <c r="Q62" i="6"/>
  <c r="S62" i="6" s="1"/>
  <c r="BC29" i="8"/>
  <c r="N65" i="6"/>
  <c r="N66" i="6"/>
  <c r="N67" i="6"/>
  <c r="N68" i="6"/>
  <c r="N69" i="6"/>
  <c r="N70" i="6"/>
  <c r="N71" i="6"/>
  <c r="N72" i="6"/>
  <c r="N73" i="6"/>
  <c r="N74" i="6"/>
  <c r="N75" i="6"/>
  <c r="N76" i="6"/>
  <c r="N77" i="6"/>
  <c r="N78" i="6"/>
  <c r="N79" i="6"/>
  <c r="N80" i="6"/>
  <c r="N81" i="6"/>
  <c r="N82" i="6"/>
  <c r="N83" i="6"/>
  <c r="N84" i="6"/>
  <c r="N85" i="6"/>
  <c r="N86" i="6"/>
  <c r="N87" i="6"/>
  <c r="N88" i="6"/>
  <c r="N90" i="6"/>
  <c r="N91" i="6"/>
  <c r="N92" i="6"/>
  <c r="N93" i="6"/>
  <c r="N94" i="6"/>
  <c r="N95" i="6"/>
  <c r="N96" i="6"/>
  <c r="N97" i="6"/>
  <c r="N98" i="6"/>
  <c r="N99" i="6"/>
  <c r="N100" i="6"/>
  <c r="N101" i="6"/>
  <c r="N102" i="6"/>
  <c r="N103" i="6"/>
  <c r="N104" i="6"/>
  <c r="N105" i="6"/>
  <c r="N106" i="6"/>
  <c r="N107" i="6"/>
  <c r="N58" i="6"/>
  <c r="N59" i="6"/>
  <c r="N60" i="6"/>
  <c r="N61" i="6"/>
  <c r="N62" i="6"/>
  <c r="N63" i="6"/>
  <c r="N64" i="6"/>
  <c r="R64" i="2"/>
  <c r="R86" i="2" s="1"/>
  <c r="P64" i="2"/>
  <c r="BC74" i="8"/>
  <c r="BC75" i="8" s="1"/>
  <c r="BC69" i="8"/>
  <c r="BC50" i="8"/>
  <c r="BC49" i="8"/>
  <c r="B6" i="8"/>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66" i="2"/>
  <c r="BC57" i="8"/>
  <c r="P116" i="2"/>
  <c r="Q116" i="2"/>
  <c r="S116" i="2"/>
  <c r="AZ23" i="8"/>
  <c r="AI3" i="6"/>
  <c r="AI4" i="6"/>
  <c r="AI5" i="6"/>
  <c r="AI6" i="6"/>
  <c r="AI7" i="6"/>
  <c r="AI8" i="6"/>
  <c r="AI9" i="6"/>
  <c r="AI10"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2" i="6"/>
  <c r="E80" i="7"/>
  <c r="F80" i="7"/>
  <c r="K80" i="7"/>
  <c r="B80" i="7"/>
  <c r="C80" i="7"/>
  <c r="AZ21" i="8"/>
  <c r="AZ80" i="8"/>
  <c r="BA32" i="8"/>
  <c r="BB32" i="8"/>
  <c r="BC32" i="8"/>
  <c r="AZ32" i="8"/>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29" i="7"/>
  <c r="D7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29" i="7"/>
  <c r="BA15" i="8"/>
  <c r="AS58" i="6"/>
  <c r="G7" i="10" s="1"/>
  <c r="C54" i="9"/>
  <c r="AR58" i="6" s="1"/>
  <c r="G45" i="10" s="1"/>
  <c r="D54" i="9"/>
  <c r="E54" i="9"/>
  <c r="AT58" i="6" s="1"/>
  <c r="G29" i="10" s="1"/>
  <c r="F54" i="9"/>
  <c r="AU58" i="6" s="1"/>
  <c r="G39" i="10" s="1"/>
  <c r="G54" i="9"/>
  <c r="AV58" i="6" s="1"/>
  <c r="H54" i="9"/>
  <c r="AW58" i="6" s="1"/>
  <c r="G30" i="10" s="1"/>
  <c r="I54" i="9"/>
  <c r="AX58" i="6" s="1"/>
  <c r="G49" i="10" s="1"/>
  <c r="J54" i="9"/>
  <c r="AY58" i="6" s="1"/>
  <c r="G27" i="10" s="1"/>
  <c r="B54" i="9"/>
  <c r="AQ58" i="6" s="1"/>
  <c r="BA52" i="8"/>
  <c r="BB52" i="8"/>
  <c r="BC52" i="8"/>
  <c r="AZ52" i="8"/>
  <c r="AZ79" i="8"/>
  <c r="BA51" i="8"/>
  <c r="BB51" i="8"/>
  <c r="BC51" i="8" s="1"/>
  <c r="AZ51" i="8"/>
  <c r="BB75" i="8"/>
  <c r="BA75" i="8"/>
  <c r="BA70" i="8"/>
  <c r="BB70" i="8"/>
  <c r="AZ70" i="8"/>
  <c r="BA43" i="8"/>
  <c r="AZ43" i="8"/>
  <c r="BA41" i="8"/>
  <c r="AZ41" i="8"/>
  <c r="D3" i="7"/>
  <c r="D4" i="7"/>
  <c r="D5" i="7"/>
  <c r="D6" i="7"/>
  <c r="D7" i="7"/>
  <c r="D8" i="7"/>
  <c r="D9" i="7"/>
  <c r="D10" i="7"/>
  <c r="D11" i="7"/>
  <c r="D12" i="7"/>
  <c r="D13" i="7"/>
  <c r="D14" i="7"/>
  <c r="D15" i="7"/>
  <c r="D16" i="7"/>
  <c r="D17" i="7"/>
  <c r="D18" i="7"/>
  <c r="D19" i="7"/>
  <c r="D20" i="7"/>
  <c r="D21" i="7"/>
  <c r="D22" i="7"/>
  <c r="D23" i="7"/>
  <c r="D24" i="7"/>
  <c r="D25" i="7"/>
  <c r="D2" i="7"/>
  <c r="H30" i="7"/>
  <c r="H80" i="7" s="1"/>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29" i="7"/>
  <c r="N212" i="8" l="1"/>
  <c r="G211" i="8"/>
  <c r="L191" i="8"/>
  <c r="I196" i="8"/>
  <c r="K181" i="8"/>
  <c r="C179" i="8"/>
  <c r="F200" i="8"/>
  <c r="M207" i="8"/>
  <c r="L206" i="8"/>
  <c r="P175" i="8"/>
  <c r="Q170" i="8"/>
  <c r="K212" i="8"/>
  <c r="S175" i="8"/>
  <c r="T173" i="8"/>
  <c r="F207" i="8"/>
  <c r="F175" i="8"/>
  <c r="N194" i="8"/>
  <c r="D211" i="8"/>
  <c r="D179" i="8"/>
  <c r="M198" i="8"/>
  <c r="G217" i="8"/>
  <c r="G185" i="8"/>
  <c r="O204" i="8"/>
  <c r="O172" i="8"/>
  <c r="R194" i="8"/>
  <c r="L213" i="8"/>
  <c r="L181" i="8"/>
  <c r="U200" i="8"/>
  <c r="H200" i="8"/>
  <c r="H203" i="8"/>
  <c r="P193" i="8"/>
  <c r="P172" i="8"/>
  <c r="I189" i="8"/>
  <c r="Q182" i="8"/>
  <c r="Q174" i="8"/>
  <c r="J197" i="8"/>
  <c r="B177" i="8"/>
  <c r="B180" i="8"/>
  <c r="K195" i="8"/>
  <c r="S214" i="8"/>
  <c r="S182" i="8"/>
  <c r="C201" i="8"/>
  <c r="T169" i="8"/>
  <c r="T188" i="8"/>
  <c r="E207" i="8"/>
  <c r="E175" i="8"/>
  <c r="M208" i="8"/>
  <c r="L215" i="8"/>
  <c r="P210" i="8"/>
  <c r="J199" i="8"/>
  <c r="S200" i="8"/>
  <c r="T65" i="8"/>
  <c r="D188" i="8"/>
  <c r="U209" i="8"/>
  <c r="I197" i="8"/>
  <c r="B185" i="8"/>
  <c r="S183" i="8"/>
  <c r="T197" i="8"/>
  <c r="F214" i="8"/>
  <c r="F182" i="8"/>
  <c r="N201" i="8"/>
  <c r="D218" i="8"/>
  <c r="D186" i="8"/>
  <c r="M205" i="8"/>
  <c r="M173" i="8"/>
  <c r="G192" i="8"/>
  <c r="O203" i="8"/>
  <c r="O62" i="8"/>
  <c r="R193" i="8"/>
  <c r="L212" i="8"/>
  <c r="L180" i="8"/>
  <c r="U199" i="8"/>
  <c r="H196" i="8"/>
  <c r="H199" i="8"/>
  <c r="P189" i="8"/>
  <c r="P173" i="8"/>
  <c r="I187" i="8"/>
  <c r="Q203" i="8"/>
  <c r="Q193" i="8"/>
  <c r="J196" i="8"/>
  <c r="B201" i="8"/>
  <c r="B72" i="8"/>
  <c r="K101" i="8"/>
  <c r="K69" i="8"/>
  <c r="S88" i="8"/>
  <c r="C107" i="8"/>
  <c r="C75" i="8"/>
  <c r="T86" i="8"/>
  <c r="E105" i="8"/>
  <c r="E73" i="8"/>
  <c r="D104" i="8"/>
  <c r="O65" i="8"/>
  <c r="H92" i="8"/>
  <c r="B87" i="8"/>
  <c r="M106" i="8"/>
  <c r="L73" i="8"/>
  <c r="Q92" i="8"/>
  <c r="K95" i="8"/>
  <c r="E83" i="8"/>
  <c r="F189" i="8"/>
  <c r="N208" i="8"/>
  <c r="N176" i="8"/>
  <c r="D193" i="8"/>
  <c r="M212" i="8"/>
  <c r="M180" i="8"/>
  <c r="G199" i="8"/>
  <c r="O218" i="8"/>
  <c r="O186" i="8"/>
  <c r="R208" i="8"/>
  <c r="R176" i="8"/>
  <c r="L187" i="8"/>
  <c r="U206" i="8"/>
  <c r="U174" i="8"/>
  <c r="H192" i="8"/>
  <c r="P194" i="8"/>
  <c r="P62" i="8"/>
  <c r="I215" i="8"/>
  <c r="Q218" i="8"/>
  <c r="Q176" i="8"/>
  <c r="J195" i="8"/>
  <c r="B200" i="8"/>
  <c r="B210" i="8"/>
  <c r="K193" i="8"/>
  <c r="S212" i="8"/>
  <c r="S180" i="8"/>
  <c r="C199" i="8"/>
  <c r="T218" i="8"/>
  <c r="T186" i="8"/>
  <c r="E205" i="8"/>
  <c r="E173" i="8"/>
  <c r="R169" i="8"/>
  <c r="P196" i="8"/>
  <c r="B178" i="8"/>
  <c r="D196" i="8"/>
  <c r="O181" i="8"/>
  <c r="H207" i="8"/>
  <c r="J198" i="8"/>
  <c r="S207" i="8"/>
  <c r="F196" i="8"/>
  <c r="N215" i="8"/>
  <c r="N183" i="8"/>
  <c r="D200" i="8"/>
  <c r="M211" i="8"/>
  <c r="M179" i="8"/>
  <c r="G198" i="8"/>
  <c r="O217" i="8"/>
  <c r="O76" i="8"/>
  <c r="R199" i="8"/>
  <c r="L218" i="8"/>
  <c r="L186" i="8"/>
  <c r="U205" i="8"/>
  <c r="U173" i="8"/>
  <c r="H180" i="8"/>
  <c r="P190" i="8"/>
  <c r="P201" i="8"/>
  <c r="I182" i="8"/>
  <c r="Q214" i="8"/>
  <c r="Q188" i="8"/>
  <c r="J210" i="8"/>
  <c r="J178" i="8"/>
  <c r="B174" i="8"/>
  <c r="K216" i="8"/>
  <c r="K75" i="8"/>
  <c r="S195" i="8"/>
  <c r="C214" i="8"/>
  <c r="C182" i="8"/>
  <c r="T201" i="8"/>
  <c r="E169" i="8"/>
  <c r="E188" i="8"/>
  <c r="N103" i="8"/>
  <c r="G102" i="8"/>
  <c r="L82" i="8"/>
  <c r="I87" i="8"/>
  <c r="K72" i="8"/>
  <c r="C70" i="8"/>
  <c r="F91" i="8"/>
  <c r="M98" i="8"/>
  <c r="L97" i="8"/>
  <c r="P66" i="8"/>
  <c r="Q61" i="8"/>
  <c r="K103" i="8"/>
  <c r="S66" i="8"/>
  <c r="T64" i="8"/>
  <c r="F98" i="8"/>
  <c r="F66" i="8"/>
  <c r="N85" i="8"/>
  <c r="D102" i="8"/>
  <c r="D70" i="8"/>
  <c r="M89" i="8"/>
  <c r="G108" i="8"/>
  <c r="G76" i="8"/>
  <c r="O95" i="8"/>
  <c r="O63" i="8"/>
  <c r="R85" i="8"/>
  <c r="L104" i="8"/>
  <c r="L72" i="8"/>
  <c r="U91" i="8"/>
  <c r="H91" i="8"/>
  <c r="H94" i="8"/>
  <c r="P84" i="8"/>
  <c r="P63" i="8"/>
  <c r="I80" i="8"/>
  <c r="Q73" i="8"/>
  <c r="Q65" i="8"/>
  <c r="J88" i="8"/>
  <c r="B68" i="8"/>
  <c r="B71" i="8"/>
  <c r="K86" i="8"/>
  <c r="S105" i="8"/>
  <c r="S73" i="8"/>
  <c r="C92" i="8"/>
  <c r="T60" i="8"/>
  <c r="T79" i="8"/>
  <c r="E98" i="8"/>
  <c r="E66" i="8"/>
  <c r="M99" i="8"/>
  <c r="L106" i="8"/>
  <c r="P101" i="8"/>
  <c r="J90" i="8"/>
  <c r="S91" i="8"/>
  <c r="T174" i="8"/>
  <c r="D79" i="8"/>
  <c r="U100" i="8"/>
  <c r="I88" i="8"/>
  <c r="B76" i="8"/>
  <c r="S74" i="8"/>
  <c r="T88" i="8"/>
  <c r="F105" i="8"/>
  <c r="F73" i="8"/>
  <c r="N92" i="8"/>
  <c r="D109" i="8"/>
  <c r="D77" i="8"/>
  <c r="M96" i="8"/>
  <c r="M64" i="8"/>
  <c r="G83" i="8"/>
  <c r="O94" i="8"/>
  <c r="O171" i="8"/>
  <c r="R84" i="8"/>
  <c r="L103" i="8"/>
  <c r="L71" i="8"/>
  <c r="U90" i="8"/>
  <c r="H87" i="8"/>
  <c r="H90" i="8"/>
  <c r="P80" i="8"/>
  <c r="P64" i="8"/>
  <c r="I78" i="8"/>
  <c r="Q94" i="8"/>
  <c r="Q84" i="8"/>
  <c r="J87" i="8"/>
  <c r="B92" i="8"/>
  <c r="B172" i="8"/>
  <c r="K202" i="8"/>
  <c r="K170" i="8"/>
  <c r="S189" i="8"/>
  <c r="C208" i="8"/>
  <c r="C67" i="8"/>
  <c r="T187" i="8"/>
  <c r="E206" i="8"/>
  <c r="E174" i="8"/>
  <c r="D173" i="8"/>
  <c r="R204" i="8"/>
  <c r="P209" i="8"/>
  <c r="E217" i="8"/>
  <c r="G210" i="8"/>
  <c r="H103" i="8"/>
  <c r="J214" i="8"/>
  <c r="K180" i="8"/>
  <c r="F80" i="8"/>
  <c r="N99" i="8"/>
  <c r="N67" i="8"/>
  <c r="D84" i="8"/>
  <c r="M103" i="8"/>
  <c r="M71" i="8"/>
  <c r="G90" i="8"/>
  <c r="O109" i="8"/>
  <c r="O77" i="8"/>
  <c r="R99" i="8"/>
  <c r="R67" i="8"/>
  <c r="L78" i="8"/>
  <c r="U97" i="8"/>
  <c r="U65" i="8"/>
  <c r="H83" i="8"/>
  <c r="P85" i="8"/>
  <c r="P171" i="8"/>
  <c r="I106" i="8"/>
  <c r="Q109" i="8"/>
  <c r="Q67" i="8"/>
  <c r="J86" i="8"/>
  <c r="B91" i="8"/>
  <c r="B101" i="8"/>
  <c r="K84" i="8"/>
  <c r="S103" i="8"/>
  <c r="S71" i="8"/>
  <c r="C90" i="8"/>
  <c r="T109" i="8"/>
  <c r="T77" i="8"/>
  <c r="E96" i="8"/>
  <c r="E64" i="8"/>
  <c r="R60" i="8"/>
  <c r="P87" i="8"/>
  <c r="N172" i="8"/>
  <c r="G171" i="8"/>
  <c r="U194" i="8"/>
  <c r="J215" i="8"/>
  <c r="S192" i="8"/>
  <c r="T198" i="8"/>
  <c r="F176" i="8"/>
  <c r="G202" i="8"/>
  <c r="L174" i="8"/>
  <c r="I209" i="8"/>
  <c r="J206" i="8"/>
  <c r="K188" i="8"/>
  <c r="C85" i="8"/>
  <c r="E208" i="8"/>
  <c r="F199" i="8"/>
  <c r="N218" i="8"/>
  <c r="N186" i="8"/>
  <c r="D203" i="8"/>
  <c r="D171" i="8"/>
  <c r="M190" i="8"/>
  <c r="G209" i="8"/>
  <c r="G177" i="8"/>
  <c r="O196" i="8"/>
  <c r="R218" i="8"/>
  <c r="R186" i="8"/>
  <c r="L205" i="8"/>
  <c r="L173" i="8"/>
  <c r="U83" i="8"/>
  <c r="H193" i="8"/>
  <c r="H169" i="8"/>
  <c r="P195" i="8"/>
  <c r="I217" i="8"/>
  <c r="I191" i="8"/>
  <c r="Q207" i="8"/>
  <c r="Q197" i="8"/>
  <c r="J189" i="8"/>
  <c r="B215" i="8"/>
  <c r="B171" i="8"/>
  <c r="K187" i="8"/>
  <c r="S206" i="8"/>
  <c r="S65" i="8"/>
  <c r="C193" i="8"/>
  <c r="T212" i="8"/>
  <c r="T180" i="8"/>
  <c r="E199" i="8"/>
  <c r="F185" i="8"/>
  <c r="M184" i="8"/>
  <c r="L183" i="8"/>
  <c r="I201" i="8"/>
  <c r="J175" i="8"/>
  <c r="C211" i="8"/>
  <c r="E177" i="8"/>
  <c r="G218" i="8"/>
  <c r="H197" i="8"/>
  <c r="I192" i="8"/>
  <c r="B179" i="8"/>
  <c r="C202" i="8"/>
  <c r="T181" i="8"/>
  <c r="F206" i="8"/>
  <c r="F174" i="8"/>
  <c r="N193" i="8"/>
  <c r="D101" i="8"/>
  <c r="D178" i="8"/>
  <c r="M197" i="8"/>
  <c r="G216" i="8"/>
  <c r="G184" i="8"/>
  <c r="O195" i="8"/>
  <c r="R217" i="8"/>
  <c r="R185" i="8"/>
  <c r="L204" i="8"/>
  <c r="L172" i="8"/>
  <c r="U191" i="8"/>
  <c r="H189" i="8"/>
  <c r="H188" i="8"/>
  <c r="P191" i="8"/>
  <c r="I213" i="8"/>
  <c r="I216" i="8"/>
  <c r="Q198" i="8"/>
  <c r="J169" i="8"/>
  <c r="J188" i="8"/>
  <c r="B63" i="8"/>
  <c r="K93" i="8"/>
  <c r="K61" i="8"/>
  <c r="S80" i="8"/>
  <c r="C99" i="8"/>
  <c r="C176" i="8"/>
  <c r="T78" i="8"/>
  <c r="E97" i="8"/>
  <c r="E65" i="8"/>
  <c r="D64" i="8"/>
  <c r="R95" i="8"/>
  <c r="P100" i="8"/>
  <c r="E108" i="8"/>
  <c r="G101" i="8"/>
  <c r="H212" i="8"/>
  <c r="J105" i="8"/>
  <c r="K71" i="8"/>
  <c r="F213" i="8"/>
  <c r="F181" i="8"/>
  <c r="N200" i="8"/>
  <c r="D217" i="8"/>
  <c r="D185" i="8"/>
  <c r="M204" i="8"/>
  <c r="M63" i="8"/>
  <c r="G191" i="8"/>
  <c r="O210" i="8"/>
  <c r="O178" i="8"/>
  <c r="R200" i="8"/>
  <c r="L211" i="8"/>
  <c r="L179" i="8"/>
  <c r="U198" i="8"/>
  <c r="H217" i="8"/>
  <c r="H195" i="8"/>
  <c r="P78" i="8"/>
  <c r="I205" i="8"/>
  <c r="I183" i="8"/>
  <c r="Q199" i="8"/>
  <c r="Q80" i="8"/>
  <c r="J187" i="8"/>
  <c r="B199" i="8"/>
  <c r="K217" i="8"/>
  <c r="K185" i="8"/>
  <c r="S204" i="8"/>
  <c r="S63" i="8"/>
  <c r="C191" i="8"/>
  <c r="T210" i="8"/>
  <c r="T178" i="8"/>
  <c r="E197" i="8"/>
  <c r="F201" i="8"/>
  <c r="R172" i="8"/>
  <c r="I173" i="8"/>
  <c r="S208" i="8"/>
  <c r="M199" i="8"/>
  <c r="R187" i="8"/>
  <c r="P185" i="8"/>
  <c r="J174" i="8"/>
  <c r="C210" i="8"/>
  <c r="F169" i="8"/>
  <c r="F188" i="8"/>
  <c r="N207" i="8"/>
  <c r="N175" i="8"/>
  <c r="D192" i="8"/>
  <c r="M203" i="8"/>
  <c r="M171" i="8"/>
  <c r="G190" i="8"/>
  <c r="O209" i="8"/>
  <c r="O177" i="8"/>
  <c r="R191" i="8"/>
  <c r="L210" i="8"/>
  <c r="L178" i="8"/>
  <c r="U197" i="8"/>
  <c r="H213" i="8"/>
  <c r="H191" i="8"/>
  <c r="P215" i="8"/>
  <c r="P177" i="8"/>
  <c r="I211" i="8"/>
  <c r="Q194" i="8"/>
  <c r="Q217" i="8"/>
  <c r="J202" i="8"/>
  <c r="J170" i="8"/>
  <c r="B170" i="8"/>
  <c r="K208" i="8"/>
  <c r="K176" i="8"/>
  <c r="S187" i="8"/>
  <c r="C206" i="8"/>
  <c r="C174" i="8"/>
  <c r="T193" i="8"/>
  <c r="E212" i="8"/>
  <c r="E71" i="8"/>
  <c r="D181" i="8"/>
  <c r="O190" i="8"/>
  <c r="H184" i="8"/>
  <c r="B214" i="8"/>
  <c r="S176" i="8"/>
  <c r="T182" i="8"/>
  <c r="N187" i="8"/>
  <c r="O213" i="8"/>
  <c r="H218" i="8"/>
  <c r="I172" i="8"/>
  <c r="J182" i="8"/>
  <c r="K172" i="8"/>
  <c r="T205" i="8"/>
  <c r="E176" i="8"/>
  <c r="F191" i="8"/>
  <c r="N210" i="8"/>
  <c r="N178" i="8"/>
  <c r="D195" i="8"/>
  <c r="M214" i="8"/>
  <c r="M182" i="8"/>
  <c r="G201" i="8"/>
  <c r="O169" i="8"/>
  <c r="O188" i="8"/>
  <c r="R210" i="8"/>
  <c r="R178" i="8"/>
  <c r="L197" i="8"/>
  <c r="U216" i="8"/>
  <c r="U184" i="8"/>
  <c r="H214" i="8"/>
  <c r="H173" i="8"/>
  <c r="P169" i="8"/>
  <c r="I181" i="8"/>
  <c r="I169" i="8"/>
  <c r="Q173" i="8"/>
  <c r="J213" i="8"/>
  <c r="J181" i="8"/>
  <c r="B198" i="8"/>
  <c r="K211" i="8"/>
  <c r="K179" i="8"/>
  <c r="S198" i="8"/>
  <c r="C217" i="8"/>
  <c r="C185" i="8"/>
  <c r="T204" i="8"/>
  <c r="T172" i="8"/>
  <c r="E191" i="8"/>
  <c r="N196" i="8"/>
  <c r="G195" i="8"/>
  <c r="U186" i="8"/>
  <c r="Q215" i="8"/>
  <c r="K213" i="8"/>
  <c r="T214" i="8"/>
  <c r="N211" i="8"/>
  <c r="O205" i="8"/>
  <c r="H176" i="8"/>
  <c r="Q179" i="8"/>
  <c r="K169" i="8"/>
  <c r="C186" i="8"/>
  <c r="E216" i="8"/>
  <c r="F198" i="8"/>
  <c r="N217" i="8"/>
  <c r="N185" i="8"/>
  <c r="D202" i="8"/>
  <c r="D170" i="8"/>
  <c r="M189" i="8"/>
  <c r="G208" i="8"/>
  <c r="G176" i="8"/>
  <c r="O78" i="8"/>
  <c r="R209" i="8"/>
  <c r="R177" i="8"/>
  <c r="L196" i="8"/>
  <c r="U215" i="8"/>
  <c r="U183" i="8"/>
  <c r="H210" i="8"/>
  <c r="H171" i="8"/>
  <c r="P216" i="8"/>
  <c r="I174" i="8"/>
  <c r="I184" i="8"/>
  <c r="Q196" i="8"/>
  <c r="J212" i="8"/>
  <c r="J180" i="8"/>
  <c r="B98" i="8"/>
  <c r="B109" i="8"/>
  <c r="K85" i="8"/>
  <c r="S104" i="8"/>
  <c r="S72" i="8"/>
  <c r="C91" i="8"/>
  <c r="T102" i="8"/>
  <c r="T70" i="8"/>
  <c r="E198" i="8"/>
  <c r="F68" i="8"/>
  <c r="M67" i="8"/>
  <c r="L98" i="8"/>
  <c r="Q93" i="8"/>
  <c r="F99" i="8"/>
  <c r="G61" i="8"/>
  <c r="P88" i="8"/>
  <c r="B100" i="8"/>
  <c r="C109" i="8"/>
  <c r="F205" i="8"/>
  <c r="F173" i="8"/>
  <c r="N192" i="8"/>
  <c r="D209" i="8"/>
  <c r="D177" i="8"/>
  <c r="M196" i="8"/>
  <c r="G215" i="8"/>
  <c r="G183" i="8"/>
  <c r="O202" i="8"/>
  <c r="O170" i="8"/>
  <c r="R192" i="8"/>
  <c r="L203" i="8"/>
  <c r="L171" i="8"/>
  <c r="U190" i="8"/>
  <c r="H185" i="8"/>
  <c r="H177" i="8"/>
  <c r="P212" i="8"/>
  <c r="I218" i="8"/>
  <c r="I212" i="8"/>
  <c r="Q66" i="8"/>
  <c r="J211" i="8"/>
  <c r="J179" i="8"/>
  <c r="B182" i="8"/>
  <c r="K209" i="8"/>
  <c r="K177" i="8"/>
  <c r="S196" i="8"/>
  <c r="C215" i="8"/>
  <c r="C183" i="8"/>
  <c r="T202" i="8"/>
  <c r="T170" i="8"/>
  <c r="E189" i="8"/>
  <c r="D197" i="8"/>
  <c r="U210" i="8"/>
  <c r="Q183" i="8"/>
  <c r="E209" i="8"/>
  <c r="M175" i="8"/>
  <c r="L190" i="8"/>
  <c r="I198" i="8"/>
  <c r="B197" i="8"/>
  <c r="T213" i="8"/>
  <c r="F212" i="8"/>
  <c r="F180" i="8"/>
  <c r="N199" i="8"/>
  <c r="D216" i="8"/>
  <c r="D184" i="8"/>
  <c r="M195" i="8"/>
  <c r="G214" i="8"/>
  <c r="G182" i="8"/>
  <c r="O201" i="8"/>
  <c r="R215" i="8"/>
  <c r="R183" i="8"/>
  <c r="L202" i="8"/>
  <c r="L170" i="8"/>
  <c r="U189" i="8"/>
  <c r="H72" i="8"/>
  <c r="H174" i="8"/>
  <c r="P183" i="8"/>
  <c r="I193" i="8"/>
  <c r="I179" i="8"/>
  <c r="Q195" i="8"/>
  <c r="Q185" i="8"/>
  <c r="J194" i="8"/>
  <c r="B193" i="8"/>
  <c r="B211" i="8"/>
  <c r="K200" i="8"/>
  <c r="S211" i="8"/>
  <c r="S179" i="8"/>
  <c r="C198" i="8"/>
  <c r="T217" i="8"/>
  <c r="T185" i="8"/>
  <c r="E204" i="8"/>
  <c r="E172" i="8"/>
  <c r="D72" i="8"/>
  <c r="O81" i="8"/>
  <c r="H75" i="8"/>
  <c r="B105" i="8"/>
  <c r="S67" i="8"/>
  <c r="T73" i="8"/>
  <c r="N78" i="8"/>
  <c r="O104" i="8"/>
  <c r="H109" i="8"/>
  <c r="I63" i="8"/>
  <c r="J73" i="8"/>
  <c r="K63" i="8"/>
  <c r="T96" i="8"/>
  <c r="E67" i="8"/>
  <c r="F82" i="8"/>
  <c r="N101" i="8"/>
  <c r="N69" i="8"/>
  <c r="D86" i="8"/>
  <c r="M105" i="8"/>
  <c r="M73" i="8"/>
  <c r="G92" i="8"/>
  <c r="O60" i="8"/>
  <c r="O79" i="8"/>
  <c r="R101" i="8"/>
  <c r="R69" i="8"/>
  <c r="L88" i="8"/>
  <c r="U107" i="8"/>
  <c r="U75" i="8"/>
  <c r="H105" i="8"/>
  <c r="H64" i="8"/>
  <c r="P60" i="8"/>
  <c r="I72" i="8"/>
  <c r="I60" i="8"/>
  <c r="Q64" i="8"/>
  <c r="J104" i="8"/>
  <c r="J72" i="8"/>
  <c r="B89" i="8"/>
  <c r="K102" i="8"/>
  <c r="K70" i="8"/>
  <c r="S89" i="8"/>
  <c r="C108" i="8"/>
  <c r="C76" i="8"/>
  <c r="T95" i="8"/>
  <c r="T63" i="8"/>
  <c r="E82" i="8"/>
  <c r="N87" i="8"/>
  <c r="G86" i="8"/>
  <c r="U77" i="8"/>
  <c r="Q106" i="8"/>
  <c r="K104" i="8"/>
  <c r="T105" i="8"/>
  <c r="N102" i="8"/>
  <c r="O96" i="8"/>
  <c r="H67" i="8"/>
  <c r="Q70" i="8"/>
  <c r="K60" i="8"/>
  <c r="C77" i="8"/>
  <c r="E107" i="8"/>
  <c r="F89" i="8"/>
  <c r="N108" i="8"/>
  <c r="N76" i="8"/>
  <c r="D93" i="8"/>
  <c r="D61" i="8"/>
  <c r="M80" i="8"/>
  <c r="G99" i="8"/>
  <c r="G67" i="8"/>
  <c r="O187" i="8"/>
  <c r="R100" i="8"/>
  <c r="R68" i="8"/>
  <c r="L87" i="8"/>
  <c r="U106" i="8"/>
  <c r="U74" i="8"/>
  <c r="H101" i="8"/>
  <c r="H62" i="8"/>
  <c r="P107" i="8"/>
  <c r="I65" i="8"/>
  <c r="I75" i="8"/>
  <c r="Q87" i="8"/>
  <c r="J103" i="8"/>
  <c r="J71" i="8"/>
  <c r="B190" i="8"/>
  <c r="K218" i="8"/>
  <c r="K186" i="8"/>
  <c r="S205" i="8"/>
  <c r="S173" i="8"/>
  <c r="C83" i="8"/>
  <c r="T203" i="8"/>
  <c r="T171" i="8"/>
  <c r="E190" i="8"/>
  <c r="N188" i="8"/>
  <c r="O214" i="8"/>
  <c r="L175" i="8"/>
  <c r="J207" i="8"/>
  <c r="N203" i="8"/>
  <c r="R179" i="8"/>
  <c r="Q211" i="8"/>
  <c r="B188" i="8"/>
  <c r="C178" i="8"/>
  <c r="F96" i="8"/>
  <c r="F64" i="8"/>
  <c r="N83" i="8"/>
  <c r="D100" i="8"/>
  <c r="D68" i="8"/>
  <c r="M87" i="8"/>
  <c r="G106" i="8"/>
  <c r="G74" i="8"/>
  <c r="O93" i="8"/>
  <c r="O61" i="8"/>
  <c r="R83" i="8"/>
  <c r="L94" i="8"/>
  <c r="L62" i="8"/>
  <c r="U81" i="8"/>
  <c r="H76" i="8"/>
  <c r="H68" i="8"/>
  <c r="P103" i="8"/>
  <c r="I109" i="8"/>
  <c r="I103" i="8"/>
  <c r="Q175" i="8"/>
  <c r="J102" i="8"/>
  <c r="J70" i="8"/>
  <c r="B73" i="8"/>
  <c r="K100" i="8"/>
  <c r="K68" i="8"/>
  <c r="S87" i="8"/>
  <c r="C106" i="8"/>
  <c r="C74" i="8"/>
  <c r="T93" i="8"/>
  <c r="T61" i="8"/>
  <c r="E80" i="8"/>
  <c r="D88" i="8"/>
  <c r="U101" i="8"/>
  <c r="Q74" i="8"/>
  <c r="E100" i="8"/>
  <c r="M66" i="8"/>
  <c r="L81" i="8"/>
  <c r="I89" i="8"/>
  <c r="B88" i="8"/>
  <c r="T104" i="8"/>
  <c r="F103" i="8"/>
  <c r="F71" i="8"/>
  <c r="N90" i="8"/>
  <c r="D107" i="8"/>
  <c r="D75" i="8"/>
  <c r="M86" i="8"/>
  <c r="G105" i="8"/>
  <c r="G73" i="8"/>
  <c r="O92" i="8"/>
  <c r="R106" i="8"/>
  <c r="R74" i="8"/>
  <c r="L93" i="8"/>
  <c r="L61" i="8"/>
  <c r="U80" i="8"/>
  <c r="H181" i="8"/>
  <c r="H65" i="8"/>
  <c r="P74" i="8"/>
  <c r="I84" i="8"/>
  <c r="I70" i="8"/>
  <c r="Q86" i="8"/>
  <c r="Q76" i="8"/>
  <c r="J85" i="8"/>
  <c r="B84" i="8"/>
  <c r="B102" i="8"/>
  <c r="K91" i="8"/>
  <c r="S102" i="8"/>
  <c r="S70" i="8"/>
  <c r="C89" i="8"/>
  <c r="T108" i="8"/>
  <c r="T76" i="8"/>
  <c r="N63" i="8"/>
  <c r="P94" i="8"/>
  <c r="E185" i="8"/>
  <c r="L65" i="8"/>
  <c r="B97" i="8"/>
  <c r="F215" i="8"/>
  <c r="N77" i="8"/>
  <c r="M97" i="8"/>
  <c r="O212" i="8"/>
  <c r="R77" i="8"/>
  <c r="U99" i="8"/>
  <c r="P202" i="8"/>
  <c r="I82" i="8"/>
  <c r="J96" i="8"/>
  <c r="K203" i="8"/>
  <c r="S174" i="8"/>
  <c r="T87" i="8"/>
  <c r="D205" i="8"/>
  <c r="I92" i="8"/>
  <c r="T81" i="8"/>
  <c r="P192" i="8"/>
  <c r="C93" i="8"/>
  <c r="F81" i="8"/>
  <c r="D194" i="8"/>
  <c r="G107" i="8"/>
  <c r="O70" i="8"/>
  <c r="L188" i="8"/>
  <c r="H80" i="8"/>
  <c r="P75" i="8"/>
  <c r="Q178" i="8"/>
  <c r="K77" i="8"/>
  <c r="C200" i="8"/>
  <c r="E214" i="8"/>
  <c r="O105" i="8"/>
  <c r="F208" i="8"/>
  <c r="Q201" i="8"/>
  <c r="F104" i="8"/>
  <c r="N75" i="8"/>
  <c r="M79" i="8"/>
  <c r="O101" i="8"/>
  <c r="R75" i="8"/>
  <c r="U182" i="8"/>
  <c r="P187" i="8"/>
  <c r="I71" i="8"/>
  <c r="J171" i="8"/>
  <c r="K76" i="8"/>
  <c r="C98" i="8"/>
  <c r="E213" i="8"/>
  <c r="R63" i="8"/>
  <c r="N171" i="8"/>
  <c r="U193" i="8"/>
  <c r="K196" i="8"/>
  <c r="F60" i="8"/>
  <c r="N98" i="8"/>
  <c r="D83" i="8"/>
  <c r="M62" i="8"/>
  <c r="O100" i="8"/>
  <c r="R82" i="8"/>
  <c r="L69" i="8"/>
  <c r="H104" i="8"/>
  <c r="P106" i="8"/>
  <c r="I102" i="8"/>
  <c r="Q108" i="8"/>
  <c r="J61" i="8"/>
  <c r="K99" i="8"/>
  <c r="S78" i="8"/>
  <c r="C65" i="8"/>
  <c r="E103" i="8"/>
  <c r="F84" i="8"/>
  <c r="G179" i="8"/>
  <c r="U109" i="8"/>
  <c r="P67" i="8"/>
  <c r="B96" i="8"/>
  <c r="C94" i="8"/>
  <c r="F75" i="8"/>
  <c r="M74" i="8"/>
  <c r="R62" i="8"/>
  <c r="P90" i="8"/>
  <c r="F211" i="8"/>
  <c r="F179" i="8"/>
  <c r="N198" i="8"/>
  <c r="D215" i="8"/>
  <c r="D183" i="8"/>
  <c r="M202" i="8"/>
  <c r="M170" i="8"/>
  <c r="G189" i="8"/>
  <c r="O208" i="8"/>
  <c r="O176" i="8"/>
  <c r="R190" i="8"/>
  <c r="L209" i="8"/>
  <c r="L177" i="8"/>
  <c r="U196" i="8"/>
  <c r="H209" i="8"/>
  <c r="H172" i="8"/>
  <c r="P179" i="8"/>
  <c r="I76" i="8"/>
  <c r="I175" i="8"/>
  <c r="Q191" i="8"/>
  <c r="Q181" i="8"/>
  <c r="J193" i="8"/>
  <c r="B192" i="8"/>
  <c r="B203" i="8"/>
  <c r="K199" i="8"/>
  <c r="S218" i="8"/>
  <c r="S186" i="8"/>
  <c r="C205" i="8"/>
  <c r="C173" i="8"/>
  <c r="T192" i="8"/>
  <c r="E203" i="8"/>
  <c r="E171" i="8"/>
  <c r="M192" i="8"/>
  <c r="L199" i="8"/>
  <c r="I202" i="8"/>
  <c r="B184" i="8"/>
  <c r="C171" i="8"/>
  <c r="D71" i="8"/>
  <c r="O173" i="8"/>
  <c r="U177" i="8"/>
  <c r="F109" i="8"/>
  <c r="F77" i="8"/>
  <c r="N96" i="8"/>
  <c r="N64" i="8"/>
  <c r="D81" i="8"/>
  <c r="M100" i="8"/>
  <c r="M68" i="8"/>
  <c r="G87" i="8"/>
  <c r="O106" i="8"/>
  <c r="O74" i="8"/>
  <c r="R88" i="8"/>
  <c r="L216" i="8"/>
  <c r="L184" i="8"/>
  <c r="U86" i="8"/>
  <c r="H96" i="8"/>
  <c r="H74" i="8"/>
  <c r="P98" i="8"/>
  <c r="I67" i="8"/>
  <c r="I68" i="8"/>
  <c r="Q103" i="8"/>
  <c r="J107" i="8"/>
  <c r="J75" i="8"/>
  <c r="B66" i="8"/>
  <c r="B77" i="8"/>
  <c r="K81" i="8"/>
  <c r="S100" i="8"/>
  <c r="S68" i="8"/>
  <c r="C87" i="8"/>
  <c r="T106" i="8"/>
  <c r="T74" i="8"/>
  <c r="E93" i="8"/>
  <c r="E61" i="8"/>
  <c r="M200" i="8"/>
  <c r="J106" i="8"/>
  <c r="E76" i="8"/>
  <c r="P206" i="8"/>
  <c r="K79" i="8"/>
  <c r="F106" i="8"/>
  <c r="N170" i="8"/>
  <c r="M81" i="8"/>
  <c r="O103" i="8"/>
  <c r="R170" i="8"/>
  <c r="U192" i="8"/>
  <c r="P93" i="8"/>
  <c r="I188" i="8"/>
  <c r="J80" i="8"/>
  <c r="K94" i="8"/>
  <c r="C209" i="8"/>
  <c r="T71" i="8"/>
  <c r="D96" i="8"/>
  <c r="Q177" i="8"/>
  <c r="E68" i="8"/>
  <c r="P83" i="8"/>
  <c r="C170" i="8"/>
  <c r="F65" i="8"/>
  <c r="D85" i="8"/>
  <c r="G200" i="8"/>
  <c r="R108" i="8"/>
  <c r="L79" i="8"/>
  <c r="H208" i="8"/>
  <c r="I104" i="8"/>
  <c r="Q69" i="8"/>
  <c r="B207" i="8"/>
  <c r="K178" i="8"/>
  <c r="C192" i="8"/>
  <c r="E89" i="8"/>
  <c r="O174" i="8"/>
  <c r="N94" i="8"/>
  <c r="B209" i="8"/>
  <c r="F197" i="8"/>
  <c r="D108" i="8"/>
  <c r="M188" i="8"/>
  <c r="O194" i="8"/>
  <c r="L102" i="8"/>
  <c r="U73" i="8"/>
  <c r="P180" i="8"/>
  <c r="Q90" i="8"/>
  <c r="J62" i="8"/>
  <c r="S169" i="8"/>
  <c r="C82" i="8"/>
  <c r="E104" i="8"/>
  <c r="H190" i="8"/>
  <c r="N62" i="8"/>
  <c r="U84" i="8"/>
  <c r="K87" i="8"/>
  <c r="F204" i="8"/>
  <c r="N191" i="8"/>
  <c r="D176" i="8"/>
  <c r="G206" i="8"/>
  <c r="O193" i="8"/>
  <c r="R175" i="8"/>
  <c r="U213" i="8"/>
  <c r="H202" i="8"/>
  <c r="P208" i="8"/>
  <c r="I208" i="8"/>
  <c r="J218" i="8"/>
  <c r="B191" i="8"/>
  <c r="K192" i="8"/>
  <c r="S171" i="8"/>
  <c r="T209" i="8"/>
  <c r="E95" i="8"/>
  <c r="N169" i="8"/>
  <c r="O182" i="8"/>
  <c r="U178" i="8"/>
  <c r="I199" i="8"/>
  <c r="K197" i="8"/>
  <c r="T206" i="8"/>
  <c r="N195" i="8"/>
  <c r="G186" i="8"/>
  <c r="U217" i="8"/>
  <c r="I195" i="8"/>
  <c r="F102" i="8"/>
  <c r="F70" i="8"/>
  <c r="N89" i="8"/>
  <c r="D106" i="8"/>
  <c r="D74" i="8"/>
  <c r="M93" i="8"/>
  <c r="M61" i="8"/>
  <c r="G80" i="8"/>
  <c r="O99" i="8"/>
  <c r="O67" i="8"/>
  <c r="R81" i="8"/>
  <c r="L100" i="8"/>
  <c r="L68" i="8"/>
  <c r="U87" i="8"/>
  <c r="H100" i="8"/>
  <c r="H63" i="8"/>
  <c r="P70" i="8"/>
  <c r="I185" i="8"/>
  <c r="I66" i="8"/>
  <c r="Q82" i="8"/>
  <c r="Q72" i="8"/>
  <c r="J84" i="8"/>
  <c r="B83" i="8"/>
  <c r="B94" i="8"/>
  <c r="K90" i="8"/>
  <c r="S109" i="8"/>
  <c r="S77" i="8"/>
  <c r="C96" i="8"/>
  <c r="C64" i="8"/>
  <c r="T83" i="8"/>
  <c r="E94" i="8"/>
  <c r="E62" i="8"/>
  <c r="M83" i="8"/>
  <c r="L90" i="8"/>
  <c r="I93" i="8"/>
  <c r="B75" i="8"/>
  <c r="C62" i="8"/>
  <c r="D180" i="8"/>
  <c r="O64" i="8"/>
  <c r="U68" i="8"/>
  <c r="F210" i="8"/>
  <c r="F178" i="8"/>
  <c r="N197" i="8"/>
  <c r="D214" i="8"/>
  <c r="D182" i="8"/>
  <c r="M201" i="8"/>
  <c r="G169" i="8"/>
  <c r="G188" i="8"/>
  <c r="O207" i="8"/>
  <c r="O175" i="8"/>
  <c r="R189" i="8"/>
  <c r="L208" i="8"/>
  <c r="L176" i="8"/>
  <c r="U187" i="8"/>
  <c r="H204" i="8"/>
  <c r="H170" i="8"/>
  <c r="P213" i="8"/>
  <c r="I206" i="8"/>
  <c r="I200" i="8"/>
  <c r="Q180" i="8"/>
  <c r="J208" i="8"/>
  <c r="J176" i="8"/>
  <c r="B213" i="8"/>
  <c r="K214" i="8"/>
  <c r="K182" i="8"/>
  <c r="S201" i="8"/>
  <c r="C169" i="8"/>
  <c r="C188" i="8"/>
  <c r="T207" i="8"/>
  <c r="T175" i="8"/>
  <c r="E194" i="8"/>
  <c r="R202" i="8"/>
  <c r="G65" i="8"/>
  <c r="M91" i="8"/>
  <c r="K205" i="8"/>
  <c r="F67" i="8"/>
  <c r="P97" i="8"/>
  <c r="S191" i="8"/>
  <c r="F90" i="8"/>
  <c r="N61" i="8"/>
  <c r="M174" i="8"/>
  <c r="O87" i="8"/>
  <c r="R61" i="8"/>
  <c r="U67" i="8"/>
  <c r="P86" i="8"/>
  <c r="I79" i="8"/>
  <c r="J173" i="8"/>
  <c r="K78" i="8"/>
  <c r="C100" i="8"/>
  <c r="E215" i="8"/>
  <c r="M75" i="8"/>
  <c r="Q68" i="8"/>
  <c r="N179" i="8"/>
  <c r="I83" i="8"/>
  <c r="C61" i="8"/>
  <c r="N209" i="8"/>
  <c r="D69" i="8"/>
  <c r="G91" i="8"/>
  <c r="R201" i="8"/>
  <c r="L63" i="8"/>
  <c r="H99" i="8"/>
  <c r="I190" i="8"/>
  <c r="J60" i="8"/>
  <c r="B81" i="8"/>
  <c r="S213" i="8"/>
  <c r="C184" i="8"/>
  <c r="E81" i="8"/>
  <c r="L207" i="8"/>
  <c r="M215" i="8"/>
  <c r="B79" i="8"/>
  <c r="F88" i="8"/>
  <c r="D201" i="8"/>
  <c r="M172" i="8"/>
  <c r="O85" i="8"/>
  <c r="L195" i="8"/>
  <c r="H108" i="8"/>
  <c r="P71" i="8"/>
  <c r="Q192" i="8"/>
  <c r="B90" i="8"/>
  <c r="S60" i="8"/>
  <c r="C175" i="8"/>
  <c r="E88" i="8"/>
  <c r="H81" i="8"/>
  <c r="D87" i="8"/>
  <c r="H98" i="8"/>
  <c r="S98" i="8"/>
  <c r="F95" i="8"/>
  <c r="N82" i="8"/>
  <c r="D67" i="8"/>
  <c r="G97" i="8"/>
  <c r="O84" i="8"/>
  <c r="R66" i="8"/>
  <c r="U104" i="8"/>
  <c r="H93" i="8"/>
  <c r="P99" i="8"/>
  <c r="I99" i="8"/>
  <c r="J109" i="8"/>
  <c r="B82" i="8"/>
  <c r="K83" i="8"/>
  <c r="S62" i="8"/>
  <c r="T100" i="8"/>
  <c r="E196" i="8"/>
  <c r="N60" i="8"/>
  <c r="O73" i="8"/>
  <c r="U69" i="8"/>
  <c r="I90" i="8"/>
  <c r="K88" i="8"/>
  <c r="T97" i="8"/>
  <c r="N86" i="8"/>
  <c r="G77" i="8"/>
  <c r="U108" i="8"/>
  <c r="I86" i="8"/>
  <c r="F203" i="8"/>
  <c r="F171" i="8"/>
  <c r="N190" i="8"/>
  <c r="D207" i="8"/>
  <c r="D175" i="8"/>
  <c r="M194" i="8"/>
  <c r="G213" i="8"/>
  <c r="G72" i="8"/>
  <c r="O200" i="8"/>
  <c r="R214" i="8"/>
  <c r="R182" i="8"/>
  <c r="L201" i="8"/>
  <c r="U169" i="8"/>
  <c r="U188" i="8"/>
  <c r="H216" i="8"/>
  <c r="P218" i="8"/>
  <c r="P204" i="8"/>
  <c r="I210" i="8"/>
  <c r="I204" i="8"/>
  <c r="Q216" i="8"/>
  <c r="J217" i="8"/>
  <c r="J185" i="8"/>
  <c r="B183" i="8"/>
  <c r="B194" i="8"/>
  <c r="K191" i="8"/>
  <c r="S210" i="8"/>
  <c r="S178" i="8"/>
  <c r="C197" i="8"/>
  <c r="T216" i="8"/>
  <c r="T184" i="8"/>
  <c r="E195" i="8"/>
  <c r="F209" i="8"/>
  <c r="G203" i="8"/>
  <c r="U202" i="8"/>
  <c r="I170" i="8"/>
  <c r="B187" i="8"/>
  <c r="E201" i="8"/>
  <c r="M191" i="8"/>
  <c r="R195" i="8"/>
  <c r="H175" i="8"/>
  <c r="F101" i="8"/>
  <c r="F69" i="8"/>
  <c r="N88" i="8"/>
  <c r="D105" i="8"/>
  <c r="D73" i="8"/>
  <c r="M92" i="8"/>
  <c r="G60" i="8"/>
  <c r="G79" i="8"/>
  <c r="O98" i="8"/>
  <c r="O66" i="8"/>
  <c r="R80" i="8"/>
  <c r="L99" i="8"/>
  <c r="L67" i="8"/>
  <c r="U78" i="8"/>
  <c r="H95" i="8"/>
  <c r="H61" i="8"/>
  <c r="P104" i="8"/>
  <c r="I97" i="8"/>
  <c r="I91" i="8"/>
  <c r="Q71" i="8"/>
  <c r="J99" i="8"/>
  <c r="J67" i="8"/>
  <c r="B104" i="8"/>
  <c r="K105" i="8"/>
  <c r="K73" i="8"/>
  <c r="S92" i="8"/>
  <c r="C60" i="8"/>
  <c r="C79" i="8"/>
  <c r="T98" i="8"/>
  <c r="T66" i="8"/>
  <c r="E85" i="8"/>
  <c r="C86" i="8"/>
  <c r="Q88" i="8"/>
  <c r="T103" i="8"/>
  <c r="Q62" i="8"/>
  <c r="S64" i="8"/>
  <c r="D213" i="8"/>
  <c r="P197" i="8"/>
  <c r="N91" i="8"/>
  <c r="R91" i="8"/>
  <c r="P217" i="8"/>
  <c r="K201" i="8"/>
  <c r="T85" i="8"/>
  <c r="O72" i="8"/>
  <c r="D99" i="8"/>
  <c r="L85" i="8"/>
  <c r="I105" i="8"/>
  <c r="B93" i="8"/>
  <c r="T68" i="8"/>
  <c r="R71" i="8"/>
  <c r="F107" i="8"/>
  <c r="G62" i="8"/>
  <c r="K96" i="8"/>
  <c r="D169" i="8"/>
  <c r="I100" i="8"/>
  <c r="S82" i="8"/>
  <c r="F183" i="8"/>
  <c r="D94" i="8"/>
  <c r="M65" i="8"/>
  <c r="O180" i="8"/>
  <c r="L96" i="8"/>
  <c r="U176" i="8"/>
  <c r="P188" i="8"/>
  <c r="Q98" i="8"/>
  <c r="J64" i="8"/>
  <c r="K171" i="8"/>
  <c r="C84" i="8"/>
  <c r="E106" i="8"/>
  <c r="O198" i="8"/>
  <c r="J66" i="8"/>
  <c r="N70" i="8"/>
  <c r="J190" i="8"/>
  <c r="T72" i="8"/>
  <c r="N100" i="8"/>
  <c r="M213" i="8"/>
  <c r="G75" i="8"/>
  <c r="R92" i="8"/>
  <c r="U98" i="8"/>
  <c r="H79" i="8"/>
  <c r="I81" i="8"/>
  <c r="J204" i="8"/>
  <c r="B181" i="8"/>
  <c r="S96" i="8"/>
  <c r="T211" i="8"/>
  <c r="E182" i="8"/>
  <c r="L66" i="8"/>
  <c r="G170" i="8"/>
  <c r="K204" i="8"/>
  <c r="F72" i="8"/>
  <c r="D92" i="8"/>
  <c r="G207" i="8"/>
  <c r="O69" i="8"/>
  <c r="L86" i="8"/>
  <c r="H206" i="8"/>
  <c r="I96" i="8"/>
  <c r="Q83" i="8"/>
  <c r="B173" i="8"/>
  <c r="S95" i="8"/>
  <c r="C66" i="8"/>
  <c r="E181" i="8"/>
  <c r="I64" i="8"/>
  <c r="M90" i="8"/>
  <c r="P76" i="8"/>
  <c r="C101" i="8"/>
  <c r="F87" i="8"/>
  <c r="N74" i="8"/>
  <c r="M102" i="8"/>
  <c r="G89" i="8"/>
  <c r="O185" i="8"/>
  <c r="L109" i="8"/>
  <c r="U96" i="8"/>
  <c r="H71" i="8"/>
  <c r="P92" i="8"/>
  <c r="Q105" i="8"/>
  <c r="J101" i="8"/>
  <c r="B65" i="8"/>
  <c r="K184" i="8"/>
  <c r="C105" i="8"/>
  <c r="T92" i="8"/>
  <c r="E87" i="8"/>
  <c r="N180" i="8"/>
  <c r="R212" i="8"/>
  <c r="H179" i="8"/>
  <c r="Q208" i="8"/>
  <c r="K173" i="8"/>
  <c r="E193" i="8"/>
  <c r="D204" i="8"/>
  <c r="O189" i="8"/>
  <c r="U185" i="8"/>
  <c r="S199" i="8"/>
  <c r="F94" i="8"/>
  <c r="F62" i="8"/>
  <c r="N81" i="8"/>
  <c r="D98" i="8"/>
  <c r="D66" i="8"/>
  <c r="M85" i="8"/>
  <c r="G104" i="8"/>
  <c r="G181" i="8"/>
  <c r="O91" i="8"/>
  <c r="R105" i="8"/>
  <c r="R73" i="8"/>
  <c r="L92" i="8"/>
  <c r="U60" i="8"/>
  <c r="U79" i="8"/>
  <c r="H107" i="8"/>
  <c r="P109" i="8"/>
  <c r="P95" i="8"/>
  <c r="I101" i="8"/>
  <c r="I95" i="8"/>
  <c r="Q107" i="8"/>
  <c r="J108" i="8"/>
  <c r="J76" i="8"/>
  <c r="B74" i="8"/>
  <c r="B85" i="8"/>
  <c r="K82" i="8"/>
  <c r="S101" i="8"/>
  <c r="S69" i="8"/>
  <c r="C88" i="8"/>
  <c r="T107" i="8"/>
  <c r="T75" i="8"/>
  <c r="E86" i="8"/>
  <c r="F100" i="8"/>
  <c r="G94" i="8"/>
  <c r="U93" i="8"/>
  <c r="I61" i="8"/>
  <c r="B78" i="8"/>
  <c r="E92" i="8"/>
  <c r="M82" i="8"/>
  <c r="R86" i="8"/>
  <c r="H66" i="8"/>
  <c r="F202" i="8"/>
  <c r="F170" i="8"/>
  <c r="N189" i="8"/>
  <c r="D206" i="8"/>
  <c r="D174" i="8"/>
  <c r="M193" i="8"/>
  <c r="G212" i="8"/>
  <c r="G180" i="8"/>
  <c r="O199" i="8"/>
  <c r="R213" i="8"/>
  <c r="R181" i="8"/>
  <c r="L200" i="8"/>
  <c r="U211" i="8"/>
  <c r="U179" i="8"/>
  <c r="H194" i="8"/>
  <c r="P214" i="8"/>
  <c r="P200" i="8"/>
  <c r="I171" i="8"/>
  <c r="Q206" i="8"/>
  <c r="Q209" i="8"/>
  <c r="J200" i="8"/>
  <c r="B176" i="8"/>
  <c r="B204" i="8"/>
  <c r="K206" i="8"/>
  <c r="K174" i="8"/>
  <c r="S193" i="8"/>
  <c r="C212" i="8"/>
  <c r="C180" i="8"/>
  <c r="T199" i="8"/>
  <c r="E218" i="8"/>
  <c r="E186" i="8"/>
  <c r="R211" i="8"/>
  <c r="T80" i="8"/>
  <c r="D62" i="8"/>
  <c r="H73" i="8"/>
  <c r="B80" i="8"/>
  <c r="S190" i="8"/>
  <c r="E74" i="8"/>
  <c r="U170" i="8"/>
  <c r="C102" i="8"/>
  <c r="L105" i="8"/>
  <c r="S215" i="8"/>
  <c r="F97" i="8"/>
  <c r="N68" i="8"/>
  <c r="M181" i="8"/>
  <c r="O86" i="8"/>
  <c r="L60" i="8"/>
  <c r="U175" i="8"/>
  <c r="P82" i="8"/>
  <c r="S94" i="8"/>
  <c r="S75" i="8"/>
  <c r="R188" i="8"/>
  <c r="S83" i="8"/>
  <c r="D60" i="8"/>
  <c r="Q204" i="8"/>
  <c r="C194" i="8"/>
  <c r="F74" i="8"/>
  <c r="D187" i="8"/>
  <c r="G100" i="8"/>
  <c r="O71" i="8"/>
  <c r="L189" i="8"/>
  <c r="H84" i="8"/>
  <c r="P79" i="8"/>
  <c r="Q200" i="8"/>
  <c r="B106" i="8"/>
  <c r="K62" i="8"/>
  <c r="C177" i="8"/>
  <c r="E90" i="8"/>
  <c r="O89" i="8"/>
  <c r="K189" i="8"/>
  <c r="G109" i="8"/>
  <c r="J81" i="8"/>
  <c r="E184" i="8"/>
  <c r="N84" i="8"/>
  <c r="M104" i="8"/>
  <c r="O211" i="8"/>
  <c r="R76" i="8"/>
  <c r="U207" i="8"/>
  <c r="P198" i="8"/>
  <c r="I107" i="8"/>
  <c r="J95" i="8"/>
  <c r="B218" i="8"/>
  <c r="S197" i="8"/>
  <c r="T94" i="8"/>
  <c r="F177" i="8"/>
  <c r="H201" i="8"/>
  <c r="R70" i="8"/>
  <c r="C218" i="8"/>
  <c r="N216" i="8"/>
  <c r="D76" i="8"/>
  <c r="G98" i="8"/>
  <c r="R216" i="8"/>
  <c r="L70" i="8"/>
  <c r="H97" i="8"/>
  <c r="I186" i="8"/>
  <c r="Q189" i="8"/>
  <c r="B64" i="8"/>
  <c r="S79" i="8"/>
  <c r="T101" i="8"/>
  <c r="E72" i="8"/>
  <c r="B217" i="8"/>
  <c r="G178" i="8"/>
  <c r="Q190" i="8"/>
  <c r="E200" i="8"/>
  <c r="F79" i="8"/>
  <c r="N66" i="8"/>
  <c r="M94" i="8"/>
  <c r="G81" i="8"/>
  <c r="O68" i="8"/>
  <c r="L101" i="8"/>
  <c r="U88" i="8"/>
  <c r="H82" i="8"/>
  <c r="P68" i="8"/>
  <c r="Q85" i="8"/>
  <c r="J93" i="8"/>
  <c r="B61" i="8"/>
  <c r="K67" i="8"/>
  <c r="C97" i="8"/>
  <c r="T84" i="8"/>
  <c r="E79" i="8"/>
  <c r="N71" i="8"/>
  <c r="R103" i="8"/>
  <c r="H70" i="8"/>
  <c r="Q99" i="8"/>
  <c r="K64" i="8"/>
  <c r="E84" i="8"/>
  <c r="D95" i="8"/>
  <c r="O80" i="8"/>
  <c r="U76" i="8"/>
  <c r="S90" i="8"/>
  <c r="F195" i="8"/>
  <c r="N214" i="8"/>
  <c r="N182" i="8"/>
  <c r="D199" i="8"/>
  <c r="M218" i="8"/>
  <c r="M186" i="8"/>
  <c r="G205" i="8"/>
  <c r="G173" i="8"/>
  <c r="O192" i="8"/>
  <c r="R206" i="8"/>
  <c r="R174" i="8"/>
  <c r="L193" i="8"/>
  <c r="U212" i="8"/>
  <c r="U180" i="8"/>
  <c r="H198" i="8"/>
  <c r="P186" i="8"/>
  <c r="P181" i="8"/>
  <c r="I178" i="8"/>
  <c r="Q210" i="8"/>
  <c r="Q184" i="8"/>
  <c r="J209" i="8"/>
  <c r="J177" i="8"/>
  <c r="B169" i="8"/>
  <c r="K215" i="8"/>
  <c r="K183" i="8"/>
  <c r="S202" i="8"/>
  <c r="S170" i="8"/>
  <c r="C189" i="8"/>
  <c r="T208" i="8"/>
  <c r="T67" i="8"/>
  <c r="E187" i="8"/>
  <c r="N204" i="8"/>
  <c r="O206" i="8"/>
  <c r="H211" i="8"/>
  <c r="Q205" i="8"/>
  <c r="S216" i="8"/>
  <c r="F192" i="8"/>
  <c r="G194" i="8"/>
  <c r="L198" i="8"/>
  <c r="F93" i="8"/>
  <c r="F61" i="8"/>
  <c r="N80" i="8"/>
  <c r="D97" i="8"/>
  <c r="D65" i="8"/>
  <c r="M84" i="8"/>
  <c r="G103" i="8"/>
  <c r="G71" i="8"/>
  <c r="O90" i="8"/>
  <c r="R104" i="8"/>
  <c r="R72" i="8"/>
  <c r="L91" i="8"/>
  <c r="U102" i="8"/>
  <c r="U70" i="8"/>
  <c r="H85" i="8"/>
  <c r="P105" i="8"/>
  <c r="P91" i="8"/>
  <c r="I62" i="8"/>
  <c r="Q97" i="8"/>
  <c r="Q100" i="8"/>
  <c r="J91" i="8"/>
  <c r="B67" i="8"/>
  <c r="B95" i="8"/>
  <c r="K97" i="8"/>
  <c r="K65" i="8"/>
  <c r="S84" i="8"/>
  <c r="C103" i="8"/>
  <c r="C71" i="8"/>
  <c r="T90" i="8"/>
  <c r="E109" i="8"/>
  <c r="E77" i="8"/>
  <c r="U85" i="8"/>
  <c r="I194" i="8"/>
  <c r="J172" i="8"/>
  <c r="T179" i="8"/>
  <c r="J98" i="8"/>
  <c r="E192" i="8"/>
  <c r="M60" i="8"/>
  <c r="U105" i="8"/>
  <c r="I74" i="8"/>
  <c r="S172" i="8"/>
  <c r="B69" i="8"/>
  <c r="J89" i="8"/>
  <c r="M78" i="8"/>
  <c r="U72" i="8"/>
  <c r="Q60" i="8"/>
  <c r="C81" i="8"/>
  <c r="M107" i="8"/>
  <c r="J74" i="8"/>
  <c r="D63" i="8"/>
  <c r="R79" i="8"/>
  <c r="C195" i="8"/>
  <c r="G93" i="8"/>
  <c r="Q95" i="8"/>
  <c r="T189" i="8"/>
  <c r="N109" i="8"/>
  <c r="D78" i="8"/>
  <c r="G193" i="8"/>
  <c r="R109" i="8"/>
  <c r="L80" i="8"/>
  <c r="H182" i="8"/>
  <c r="I108" i="8"/>
  <c r="Q91" i="8"/>
  <c r="B189" i="8"/>
  <c r="S97" i="8"/>
  <c r="C68" i="8"/>
  <c r="E183" i="8"/>
  <c r="L74" i="8"/>
  <c r="K80" i="8"/>
  <c r="L214" i="8"/>
  <c r="B70" i="8"/>
  <c r="E75" i="8"/>
  <c r="N177" i="8"/>
  <c r="M88" i="8"/>
  <c r="O102" i="8"/>
  <c r="L169" i="8"/>
  <c r="U82" i="8"/>
  <c r="P89" i="8"/>
  <c r="Q171" i="8"/>
  <c r="J79" i="8"/>
  <c r="K109" i="8"/>
  <c r="S181" i="8"/>
  <c r="T195" i="8"/>
  <c r="N79" i="8"/>
  <c r="Q202" i="8"/>
  <c r="L182" i="8"/>
  <c r="C69" i="8"/>
  <c r="N107" i="8"/>
  <c r="M169" i="8"/>
  <c r="G82" i="8"/>
  <c r="R107" i="8"/>
  <c r="U214" i="8"/>
  <c r="H86" i="8"/>
  <c r="I77" i="8"/>
  <c r="J203" i="8"/>
  <c r="K108" i="8"/>
  <c r="S188" i="8"/>
  <c r="T194" i="8"/>
  <c r="F92" i="8"/>
  <c r="B108" i="8"/>
  <c r="G69" i="8"/>
  <c r="Q81" i="8"/>
  <c r="E91" i="8"/>
  <c r="F172" i="8"/>
  <c r="D208" i="8"/>
  <c r="M187" i="8"/>
  <c r="G174" i="8"/>
  <c r="R207" i="8"/>
  <c r="L194" i="8"/>
  <c r="U181" i="8"/>
  <c r="P205" i="8"/>
  <c r="I214" i="8"/>
  <c r="Q169" i="8"/>
  <c r="J186" i="8"/>
  <c r="B202" i="8"/>
  <c r="S203" i="8"/>
  <c r="C190" i="8"/>
  <c r="T177" i="8"/>
  <c r="E180" i="8"/>
  <c r="M216" i="8"/>
  <c r="R180" i="8"/>
  <c r="P178" i="8"/>
  <c r="J183" i="8"/>
  <c r="S184" i="8"/>
  <c r="F216" i="8"/>
  <c r="D172" i="8"/>
  <c r="R203" i="8"/>
  <c r="H186" i="8"/>
  <c r="F86" i="8"/>
  <c r="N105" i="8"/>
  <c r="N73" i="8"/>
  <c r="D90" i="8"/>
  <c r="M109" i="8"/>
  <c r="M77" i="8"/>
  <c r="G96" i="8"/>
  <c r="G64" i="8"/>
  <c r="O83" i="8"/>
  <c r="R97" i="8"/>
  <c r="R65" i="8"/>
  <c r="L84" i="8"/>
  <c r="U103" i="8"/>
  <c r="U71" i="8"/>
  <c r="H89" i="8"/>
  <c r="P77" i="8"/>
  <c r="P72" i="8"/>
  <c r="I69" i="8"/>
  <c r="Q101" i="8"/>
  <c r="Q75" i="8"/>
  <c r="J100" i="8"/>
  <c r="J68" i="8"/>
  <c r="B60" i="8"/>
  <c r="K106" i="8"/>
  <c r="K74" i="8"/>
  <c r="S93" i="8"/>
  <c r="S61" i="8"/>
  <c r="C80" i="8"/>
  <c r="T99" i="8"/>
  <c r="T176" i="8"/>
  <c r="E78" i="8"/>
  <c r="N95" i="8"/>
  <c r="O97" i="8"/>
  <c r="H102" i="8"/>
  <c r="Q96" i="8"/>
  <c r="S107" i="8"/>
  <c r="F83" i="8"/>
  <c r="G85" i="8"/>
  <c r="L89" i="8"/>
  <c r="F194" i="8"/>
  <c r="N213" i="8"/>
  <c r="N181" i="8"/>
  <c r="D198" i="8"/>
  <c r="M217" i="8"/>
  <c r="M185" i="8"/>
  <c r="G204" i="8"/>
  <c r="G172" i="8"/>
  <c r="O191" i="8"/>
  <c r="R205" i="8"/>
  <c r="R173" i="8"/>
  <c r="L192" i="8"/>
  <c r="U203" i="8"/>
  <c r="U171" i="8"/>
  <c r="H106" i="8"/>
  <c r="P182" i="8"/>
  <c r="P170" i="8"/>
  <c r="I203" i="8"/>
  <c r="Q187" i="8"/>
  <c r="Q172" i="8"/>
  <c r="J192" i="8"/>
  <c r="B216" i="8"/>
  <c r="B195" i="8"/>
  <c r="K89" i="8"/>
  <c r="S217" i="8"/>
  <c r="S185" i="8"/>
  <c r="C204" i="8"/>
  <c r="C172" i="8"/>
  <c r="T191" i="8"/>
  <c r="E210" i="8"/>
  <c r="E178" i="8"/>
  <c r="F217" i="8"/>
  <c r="J97" i="8"/>
  <c r="N202" i="8"/>
  <c r="L64" i="8"/>
  <c r="K210" i="8"/>
  <c r="G175" i="8"/>
  <c r="J94" i="8"/>
  <c r="G187" i="8"/>
  <c r="F63" i="8"/>
  <c r="R98" i="8"/>
  <c r="P96" i="8"/>
  <c r="J77" i="8"/>
  <c r="E63" i="8"/>
  <c r="P69" i="8"/>
  <c r="R94" i="8"/>
  <c r="T89" i="8"/>
  <c r="R93" i="8"/>
  <c r="F76" i="8"/>
  <c r="O179" i="8"/>
  <c r="C216" i="8"/>
  <c r="G66" i="8"/>
  <c r="T69" i="8"/>
  <c r="D91" i="8"/>
  <c r="Q79" i="8"/>
  <c r="U218" i="8"/>
  <c r="P199" i="8"/>
  <c r="N174" i="8"/>
  <c r="G197" i="8"/>
  <c r="L217" i="8"/>
  <c r="H187" i="8"/>
  <c r="Q186" i="8"/>
  <c r="B212" i="8"/>
  <c r="C213" i="8"/>
  <c r="E179" i="8"/>
  <c r="J191" i="8"/>
  <c r="U201" i="8"/>
  <c r="N104" i="8"/>
  <c r="M76" i="8"/>
  <c r="R96" i="8"/>
  <c r="U62" i="8"/>
  <c r="I94" i="8"/>
  <c r="B107" i="8"/>
  <c r="S76" i="8"/>
  <c r="E101" i="8"/>
  <c r="E102" i="8"/>
  <c r="R102" i="8"/>
  <c r="U208" i="8"/>
  <c r="U61" i="8"/>
  <c r="L95" i="8"/>
  <c r="T62" i="8"/>
  <c r="R184" i="8"/>
  <c r="G78" i="8"/>
  <c r="M70" i="8"/>
  <c r="J69" i="8"/>
  <c r="P176" i="8"/>
  <c r="N65" i="8"/>
  <c r="G88" i="8"/>
  <c r="L108" i="8"/>
  <c r="H78" i="8"/>
  <c r="Q77" i="8"/>
  <c r="B103" i="8"/>
  <c r="C104" i="8"/>
  <c r="E70" i="8"/>
  <c r="J82" i="8"/>
  <c r="U92" i="8"/>
  <c r="N205" i="8"/>
  <c r="M177" i="8"/>
  <c r="R197" i="8"/>
  <c r="H205" i="8"/>
  <c r="I177" i="8"/>
  <c r="B175" i="8"/>
  <c r="S177" i="8"/>
  <c r="E202" i="8"/>
  <c r="M69" i="8"/>
  <c r="B206" i="8"/>
  <c r="H60" i="8"/>
  <c r="T190" i="8"/>
  <c r="U66" i="8"/>
  <c r="M176" i="8"/>
  <c r="U89" i="8"/>
  <c r="S99" i="8"/>
  <c r="O108" i="8"/>
  <c r="K107" i="8"/>
  <c r="B205" i="8"/>
  <c r="D191" i="8"/>
  <c r="O216" i="8"/>
  <c r="L185" i="8"/>
  <c r="P211" i="8"/>
  <c r="Q213" i="8"/>
  <c r="K207" i="8"/>
  <c r="C181" i="8"/>
  <c r="D189" i="8"/>
  <c r="C187" i="8"/>
  <c r="N72" i="8"/>
  <c r="G95" i="8"/>
  <c r="R64" i="8"/>
  <c r="H215" i="8"/>
  <c r="Q78" i="8"/>
  <c r="B86" i="8"/>
  <c r="C95" i="8"/>
  <c r="E69" i="8"/>
  <c r="J184" i="8"/>
  <c r="E99" i="8"/>
  <c r="I85" i="8"/>
  <c r="H88" i="8"/>
  <c r="P184" i="8"/>
  <c r="B196" i="8"/>
  <c r="P108" i="8"/>
  <c r="R78" i="8"/>
  <c r="R90" i="8"/>
  <c r="S86" i="8"/>
  <c r="C203" i="8"/>
  <c r="D82" i="8"/>
  <c r="O107" i="8"/>
  <c r="L76" i="8"/>
  <c r="P102" i="8"/>
  <c r="Q104" i="8"/>
  <c r="K98" i="8"/>
  <c r="C72" i="8"/>
  <c r="D80" i="8"/>
  <c r="C78" i="8"/>
  <c r="N173" i="8"/>
  <c r="G196" i="8"/>
  <c r="L107" i="8"/>
  <c r="H183" i="8"/>
  <c r="Q212" i="8"/>
  <c r="B186" i="8"/>
  <c r="C196" i="8"/>
  <c r="E170" i="8"/>
  <c r="B208" i="8"/>
  <c r="O183" i="8"/>
  <c r="N93" i="8"/>
  <c r="J205" i="8"/>
  <c r="S106" i="8"/>
  <c r="Q89" i="8"/>
  <c r="Q102" i="8"/>
  <c r="I180" i="8"/>
  <c r="J65" i="8"/>
  <c r="L77" i="8"/>
  <c r="C73" i="8"/>
  <c r="F184" i="8"/>
  <c r="F187" i="8"/>
  <c r="M210" i="8"/>
  <c r="O184" i="8"/>
  <c r="U204" i="8"/>
  <c r="P174" i="8"/>
  <c r="J201" i="8"/>
  <c r="K175" i="8"/>
  <c r="T200" i="8"/>
  <c r="R196" i="8"/>
  <c r="D103" i="8"/>
  <c r="D89" i="8"/>
  <c r="G63" i="8"/>
  <c r="L83" i="8"/>
  <c r="P73" i="8"/>
  <c r="Q63" i="8"/>
  <c r="K198" i="8"/>
  <c r="C63" i="8"/>
  <c r="F108" i="8"/>
  <c r="D210" i="8"/>
  <c r="K92" i="8"/>
  <c r="P81" i="8"/>
  <c r="R171" i="8"/>
  <c r="M178" i="8"/>
  <c r="U172" i="8"/>
  <c r="S194" i="8"/>
  <c r="H178" i="8"/>
  <c r="F85" i="8"/>
  <c r="O82" i="8"/>
  <c r="P61" i="8"/>
  <c r="S108" i="8"/>
  <c r="G68" i="8"/>
  <c r="T196" i="8"/>
  <c r="K194" i="8"/>
  <c r="C207" i="8"/>
  <c r="I73" i="8"/>
  <c r="H77" i="8"/>
  <c r="R89" i="8"/>
  <c r="I98" i="8"/>
  <c r="S85" i="8"/>
  <c r="O88" i="8"/>
  <c r="M209" i="8"/>
  <c r="I176" i="8"/>
  <c r="T183" i="8"/>
  <c r="M206" i="8"/>
  <c r="B62" i="8"/>
  <c r="F190" i="8"/>
  <c r="J63" i="8"/>
  <c r="J78" i="8"/>
  <c r="U64" i="8"/>
  <c r="E60" i="8"/>
  <c r="M183" i="8"/>
  <c r="F78" i="8"/>
  <c r="M101" i="8"/>
  <c r="O75" i="8"/>
  <c r="U95" i="8"/>
  <c r="P65" i="8"/>
  <c r="J92" i="8"/>
  <c r="K66" i="8"/>
  <c r="T91" i="8"/>
  <c r="R87" i="8"/>
  <c r="D212" i="8"/>
  <c r="F218" i="8"/>
  <c r="D190" i="8"/>
  <c r="O215" i="8"/>
  <c r="L75" i="8"/>
  <c r="P207" i="8"/>
  <c r="J216" i="8"/>
  <c r="K190" i="8"/>
  <c r="T215" i="8"/>
  <c r="G84" i="8"/>
  <c r="S81" i="8"/>
  <c r="N184" i="8"/>
  <c r="F193" i="8"/>
  <c r="N206" i="8"/>
  <c r="R198" i="8"/>
  <c r="I207" i="8"/>
  <c r="E211" i="8"/>
  <c r="O197" i="8"/>
  <c r="M108" i="8"/>
  <c r="U94" i="8"/>
  <c r="J83" i="8"/>
  <c r="T82" i="8"/>
  <c r="P203" i="8"/>
  <c r="M72" i="8"/>
  <c r="M95" i="8"/>
  <c r="N106" i="8"/>
  <c r="G70" i="8"/>
  <c r="N97" i="8"/>
  <c r="U63" i="8"/>
  <c r="B99" i="8"/>
  <c r="H69" i="8"/>
  <c r="F186" i="8"/>
  <c r="U195" i="8"/>
  <c r="S209" i="8"/>
  <c r="M504" i="8"/>
  <c r="M505" i="8"/>
  <c r="R506" i="8"/>
  <c r="E508" i="8"/>
  <c r="E509" i="8"/>
  <c r="J510" i="8"/>
  <c r="O511" i="8"/>
  <c r="O512" i="8"/>
  <c r="T513" i="8"/>
  <c r="G515" i="8"/>
  <c r="G516" i="8"/>
  <c r="L517" i="8"/>
  <c r="Q518" i="8"/>
  <c r="Q519" i="8"/>
  <c r="D521" i="8"/>
  <c r="I522" i="8"/>
  <c r="I523" i="8"/>
  <c r="N524" i="8"/>
  <c r="S525" i="8"/>
  <c r="S526" i="8"/>
  <c r="F528" i="8"/>
  <c r="K529" i="8"/>
  <c r="K530" i="8"/>
  <c r="P531" i="8"/>
  <c r="U532" i="8"/>
  <c r="U533" i="8"/>
  <c r="H535" i="8"/>
  <c r="M536" i="8"/>
  <c r="M537" i="8"/>
  <c r="R538" i="8"/>
  <c r="U539" i="8"/>
  <c r="K540" i="8"/>
  <c r="S540" i="8"/>
  <c r="I541" i="8"/>
  <c r="Q541" i="8"/>
  <c r="G542" i="8"/>
  <c r="O542" i="8"/>
  <c r="E543" i="8"/>
  <c r="M543" i="8"/>
  <c r="U543" i="8"/>
  <c r="K544" i="8"/>
  <c r="S544" i="8"/>
  <c r="I545" i="8"/>
  <c r="Q545" i="8"/>
  <c r="G546" i="8"/>
  <c r="O546" i="8"/>
  <c r="E547" i="8"/>
  <c r="M547" i="8"/>
  <c r="U547" i="8"/>
  <c r="K548" i="8"/>
  <c r="S548" i="8"/>
  <c r="I549" i="8"/>
  <c r="Q549" i="8"/>
  <c r="G550" i="8"/>
  <c r="O550" i="8"/>
  <c r="E551" i="8"/>
  <c r="M551" i="8"/>
  <c r="U551" i="8"/>
  <c r="K552" i="8"/>
  <c r="S552" i="8"/>
  <c r="I553" i="8"/>
  <c r="Q553" i="8"/>
  <c r="C506" i="8"/>
  <c r="C514" i="8"/>
  <c r="C522" i="8"/>
  <c r="C530" i="8"/>
  <c r="C538" i="8"/>
  <c r="C546" i="8"/>
  <c r="AM9" i="8"/>
  <c r="AN9" i="8" s="1"/>
  <c r="AM17" i="8"/>
  <c r="AN17" i="8" s="1"/>
  <c r="AM25" i="8"/>
  <c r="AN25" i="8" s="1"/>
  <c r="AM33" i="8"/>
  <c r="AN33" i="8" s="1"/>
  <c r="AM41" i="8"/>
  <c r="AN41" i="8" s="1"/>
  <c r="AM49" i="8"/>
  <c r="AN49" i="8" s="1"/>
  <c r="AM23" i="8"/>
  <c r="AN23" i="8" s="1"/>
  <c r="I510" i="8"/>
  <c r="M524" i="8"/>
  <c r="O532" i="8"/>
  <c r="Q538" i="8"/>
  <c r="H541" i="8"/>
  <c r="N542" i="8"/>
  <c r="R544" i="8"/>
  <c r="N546" i="8"/>
  <c r="J548" i="8"/>
  <c r="N550" i="8"/>
  <c r="H553" i="8"/>
  <c r="C521" i="8"/>
  <c r="C553" i="8"/>
  <c r="AM32" i="8"/>
  <c r="AN32" i="8" s="1"/>
  <c r="C547" i="8"/>
  <c r="C504" i="8"/>
  <c r="S546" i="8"/>
  <c r="AM21" i="8"/>
  <c r="AN21" i="8" s="1"/>
  <c r="P539" i="8"/>
  <c r="G549" i="8"/>
  <c r="C512" i="8"/>
  <c r="AM15" i="8"/>
  <c r="AN15" i="8" s="1"/>
  <c r="D509" i="8"/>
  <c r="T533" i="8"/>
  <c r="J544" i="8"/>
  <c r="H549" i="8"/>
  <c r="T551" i="8"/>
  <c r="C505" i="8"/>
  <c r="C545" i="8"/>
  <c r="AM24" i="8"/>
  <c r="AN24" i="8" s="1"/>
  <c r="G531" i="8"/>
  <c r="S542" i="8"/>
  <c r="O544" i="8"/>
  <c r="U545" i="8"/>
  <c r="Q547" i="8"/>
  <c r="E549" i="8"/>
  <c r="K550" i="8"/>
  <c r="I551" i="8"/>
  <c r="G552" i="8"/>
  <c r="M553" i="8"/>
  <c r="C526" i="8"/>
  <c r="C550" i="8"/>
  <c r="AM5" i="8"/>
  <c r="AN5" i="8" s="1"/>
  <c r="AM37" i="8"/>
  <c r="AN37" i="8" s="1"/>
  <c r="AM53" i="8"/>
  <c r="AN53" i="8" s="1"/>
  <c r="I531" i="8"/>
  <c r="M542" i="8"/>
  <c r="O545" i="8"/>
  <c r="Q548" i="8"/>
  <c r="K551" i="8"/>
  <c r="O553" i="8"/>
  <c r="C536" i="8"/>
  <c r="AM31" i="8"/>
  <c r="AN31" i="8" s="1"/>
  <c r="Q506" i="8"/>
  <c r="N512" i="8"/>
  <c r="S514" i="8"/>
  <c r="K518" i="8"/>
  <c r="U520" i="8"/>
  <c r="R526" i="8"/>
  <c r="O531" i="8"/>
  <c r="L537" i="8"/>
  <c r="R540" i="8"/>
  <c r="D543" i="8"/>
  <c r="H545" i="8"/>
  <c r="L547" i="8"/>
  <c r="P549" i="8"/>
  <c r="R552" i="8"/>
  <c r="C513" i="8"/>
  <c r="L533" i="8"/>
  <c r="U541" i="8"/>
  <c r="I543" i="8"/>
  <c r="G544" i="8"/>
  <c r="M545" i="8"/>
  <c r="I547" i="8"/>
  <c r="O548" i="8"/>
  <c r="M549" i="8"/>
  <c r="S550" i="8"/>
  <c r="O552" i="8"/>
  <c r="U553" i="8"/>
  <c r="C510" i="8"/>
  <c r="C534" i="8"/>
  <c r="AM13" i="8"/>
  <c r="AN13" i="8" s="1"/>
  <c r="AM45" i="8"/>
  <c r="AN45" i="8" s="1"/>
  <c r="G523" i="8"/>
  <c r="S534" i="8"/>
  <c r="K538" i="8"/>
  <c r="Q540" i="8"/>
  <c r="E542" i="8"/>
  <c r="S543" i="8"/>
  <c r="G545" i="8"/>
  <c r="M546" i="8"/>
  <c r="K547" i="8"/>
  <c r="E550" i="8"/>
  <c r="S551" i="8"/>
  <c r="G553" i="8"/>
  <c r="C544" i="8"/>
  <c r="AM47" i="8"/>
  <c r="AN47" i="8" s="1"/>
  <c r="Q507" i="8"/>
  <c r="K517" i="8"/>
  <c r="H523" i="8"/>
  <c r="E528" i="8"/>
  <c r="J530" i="8"/>
  <c r="G535" i="8"/>
  <c r="Q539" i="8"/>
  <c r="F542" i="8"/>
  <c r="L543" i="8"/>
  <c r="P545" i="8"/>
  <c r="D547" i="8"/>
  <c r="R548" i="8"/>
  <c r="D551" i="8"/>
  <c r="J552" i="8"/>
  <c r="C537" i="8"/>
  <c r="AM8" i="8"/>
  <c r="AN8" i="8" s="1"/>
  <c r="AM48" i="8"/>
  <c r="AN48" i="8" s="1"/>
  <c r="D505" i="8"/>
  <c r="I506" i="8"/>
  <c r="I507" i="8"/>
  <c r="N508" i="8"/>
  <c r="S509" i="8"/>
  <c r="S510" i="8"/>
  <c r="F512" i="8"/>
  <c r="K513" i="8"/>
  <c r="K514" i="8"/>
  <c r="P515" i="8"/>
  <c r="U516" i="8"/>
  <c r="U517" i="8"/>
  <c r="H519" i="8"/>
  <c r="M520" i="8"/>
  <c r="M521" i="8"/>
  <c r="R522" i="8"/>
  <c r="E524" i="8"/>
  <c r="E525" i="8"/>
  <c r="J526" i="8"/>
  <c r="O527" i="8"/>
  <c r="O528" i="8"/>
  <c r="T529" i="8"/>
  <c r="G532" i="8"/>
  <c r="Q534" i="8"/>
  <c r="Q535" i="8"/>
  <c r="D537" i="8"/>
  <c r="I538" i="8"/>
  <c r="I539" i="8"/>
  <c r="G540" i="8"/>
  <c r="O540" i="8"/>
  <c r="E541" i="8"/>
  <c r="M541" i="8"/>
  <c r="K542" i="8"/>
  <c r="Q543" i="8"/>
  <c r="E545" i="8"/>
  <c r="K546" i="8"/>
  <c r="G548" i="8"/>
  <c r="U549" i="8"/>
  <c r="Q551" i="8"/>
  <c r="E553" i="8"/>
  <c r="C518" i="8"/>
  <c r="C542" i="8"/>
  <c r="AM29" i="8"/>
  <c r="AN29" i="8" s="1"/>
  <c r="F504" i="8"/>
  <c r="E516" i="8"/>
  <c r="O520" i="8"/>
  <c r="G524" i="8"/>
  <c r="Q526" i="8"/>
  <c r="D529" i="8"/>
  <c r="N532" i="8"/>
  <c r="F536" i="8"/>
  <c r="G541" i="8"/>
  <c r="U542" i="8"/>
  <c r="I544" i="8"/>
  <c r="E546" i="8"/>
  <c r="I548" i="8"/>
  <c r="U550" i="8"/>
  <c r="Q552" i="8"/>
  <c r="C528" i="8"/>
  <c r="AM7" i="8"/>
  <c r="AN7" i="8" s="1"/>
  <c r="AM39" i="8"/>
  <c r="AN39" i="8" s="1"/>
  <c r="G504" i="8"/>
  <c r="P553" i="8"/>
  <c r="AM16" i="8"/>
  <c r="AN16" i="8" s="1"/>
  <c r="K505" i="8"/>
  <c r="K506" i="8"/>
  <c r="P507" i="8"/>
  <c r="U508" i="8"/>
  <c r="U509" i="8"/>
  <c r="H511" i="8"/>
  <c r="M512" i="8"/>
  <c r="M513" i="8"/>
  <c r="R514" i="8"/>
  <c r="E517" i="8"/>
  <c r="J518" i="8"/>
  <c r="O519" i="8"/>
  <c r="T521" i="8"/>
  <c r="L525" i="8"/>
  <c r="Q527" i="8"/>
  <c r="I530" i="8"/>
  <c r="S533" i="8"/>
  <c r="K537" i="8"/>
  <c r="I540" i="8"/>
  <c r="O541" i="8"/>
  <c r="K543" i="8"/>
  <c r="Q544" i="8"/>
  <c r="U546" i="8"/>
  <c r="S547" i="8"/>
  <c r="O549" i="8"/>
  <c r="M550" i="8"/>
  <c r="I552" i="8"/>
  <c r="C520" i="8"/>
  <c r="C552" i="8"/>
  <c r="L505" i="8"/>
  <c r="I511" i="8"/>
  <c r="S513" i="8"/>
  <c r="F516" i="8"/>
  <c r="P519" i="8"/>
  <c r="U521" i="8"/>
  <c r="M525" i="8"/>
  <c r="E529" i="8"/>
  <c r="G536" i="8"/>
  <c r="J540" i="8"/>
  <c r="P541" i="8"/>
  <c r="T543" i="8"/>
  <c r="F546" i="8"/>
  <c r="T547" i="8"/>
  <c r="F550" i="8"/>
  <c r="L551" i="8"/>
  <c r="C529" i="8"/>
  <c r="AM40" i="8"/>
  <c r="AN40" i="8" s="1"/>
  <c r="AM10" i="8"/>
  <c r="AN10" i="8" s="1"/>
  <c r="AM6" i="8"/>
  <c r="AN6" i="8" s="1"/>
  <c r="T550" i="8"/>
  <c r="J547" i="8"/>
  <c r="R543" i="8"/>
  <c r="H540" i="8"/>
  <c r="H531" i="8"/>
  <c r="S521" i="8"/>
  <c r="G512" i="8"/>
  <c r="C517" i="8"/>
  <c r="F552" i="8"/>
  <c r="N548" i="8"/>
  <c r="D545" i="8"/>
  <c r="L541" i="8"/>
  <c r="K534" i="8"/>
  <c r="D525" i="8"/>
  <c r="O515" i="8"/>
  <c r="U505" i="8"/>
  <c r="AM44" i="8"/>
  <c r="AN44" i="8" s="1"/>
  <c r="AM19" i="8"/>
  <c r="AN19" i="8" s="1"/>
  <c r="T506" i="8"/>
  <c r="L510" i="8"/>
  <c r="D514" i="8"/>
  <c r="N517" i="8"/>
  <c r="F521" i="8"/>
  <c r="P524" i="8"/>
  <c r="H528" i="8"/>
  <c r="R531" i="8"/>
  <c r="J535" i="8"/>
  <c r="T538" i="8"/>
  <c r="M506" i="8"/>
  <c r="E510" i="8"/>
  <c r="O513" i="8"/>
  <c r="G517" i="8"/>
  <c r="Q520" i="8"/>
  <c r="I524" i="8"/>
  <c r="S527" i="8"/>
  <c r="K531" i="8"/>
  <c r="U534" i="8"/>
  <c r="M538" i="8"/>
  <c r="F506" i="8"/>
  <c r="P509" i="8"/>
  <c r="H513" i="8"/>
  <c r="R516" i="8"/>
  <c r="J520" i="8"/>
  <c r="T523" i="8"/>
  <c r="L527" i="8"/>
  <c r="D531" i="8"/>
  <c r="N534" i="8"/>
  <c r="F538" i="8"/>
  <c r="Q505" i="8"/>
  <c r="I509" i="8"/>
  <c r="S512" i="8"/>
  <c r="K516" i="8"/>
  <c r="U519" i="8"/>
  <c r="M523" i="8"/>
  <c r="E527" i="8"/>
  <c r="O530" i="8"/>
  <c r="G534" i="8"/>
  <c r="Q537" i="8"/>
  <c r="J505" i="8"/>
  <c r="T508" i="8"/>
  <c r="L512" i="8"/>
  <c r="D516" i="8"/>
  <c r="N519" i="8"/>
  <c r="F523" i="8"/>
  <c r="P526" i="8"/>
  <c r="H530" i="8"/>
  <c r="R533" i="8"/>
  <c r="J537" i="8"/>
  <c r="C532" i="8"/>
  <c r="U552" i="8"/>
  <c r="K549" i="8"/>
  <c r="S545" i="8"/>
  <c r="I542" i="8"/>
  <c r="O536" i="8"/>
  <c r="H527" i="8"/>
  <c r="S517" i="8"/>
  <c r="G508" i="8"/>
  <c r="AM34" i="8"/>
  <c r="AN34" i="8" s="1"/>
  <c r="F551" i="8"/>
  <c r="N547" i="8"/>
  <c r="D544" i="8"/>
  <c r="L540" i="8"/>
  <c r="Q531" i="8"/>
  <c r="J522" i="8"/>
  <c r="U512" i="8"/>
  <c r="R551" i="8"/>
  <c r="P544" i="8"/>
  <c r="M533" i="8"/>
  <c r="Q514" i="8"/>
  <c r="Q512" i="8"/>
  <c r="L519" i="8"/>
  <c r="K508" i="8"/>
  <c r="G526" i="8"/>
  <c r="N511" i="8"/>
  <c r="R525" i="8"/>
  <c r="I550" i="8"/>
  <c r="F520" i="8"/>
  <c r="D552" i="8"/>
  <c r="J541" i="8"/>
  <c r="H515" i="8"/>
  <c r="O516" i="8"/>
  <c r="D510" i="8"/>
  <c r="P520" i="8"/>
  <c r="J531" i="8"/>
  <c r="L538" i="8"/>
  <c r="O509" i="8"/>
  <c r="Q516" i="8"/>
  <c r="K527" i="8"/>
  <c r="M534" i="8"/>
  <c r="P505" i="8"/>
  <c r="J516" i="8"/>
  <c r="L523" i="8"/>
  <c r="F534" i="8"/>
  <c r="S508" i="8"/>
  <c r="U515" i="8"/>
  <c r="O526" i="8"/>
  <c r="I537" i="8"/>
  <c r="D512" i="8"/>
  <c r="F519" i="8"/>
  <c r="R529" i="8"/>
  <c r="T536" i="8"/>
  <c r="I546" i="8"/>
  <c r="M528" i="8"/>
  <c r="U504" i="8"/>
  <c r="C551" i="8"/>
  <c r="L550" i="8"/>
  <c r="T546" i="8"/>
  <c r="J543" i="8"/>
  <c r="O539" i="8"/>
  <c r="U529" i="8"/>
  <c r="N520" i="8"/>
  <c r="G511" i="8"/>
  <c r="C509" i="8"/>
  <c r="P551" i="8"/>
  <c r="F548" i="8"/>
  <c r="N544" i="8"/>
  <c r="D541" i="8"/>
  <c r="K533" i="8"/>
  <c r="Q523" i="8"/>
  <c r="J514" i="8"/>
  <c r="AM28" i="8"/>
  <c r="AN28" i="8" s="1"/>
  <c r="AM11" i="8"/>
  <c r="AN11" i="8" s="1"/>
  <c r="J507" i="8"/>
  <c r="T510" i="8"/>
  <c r="L514" i="8"/>
  <c r="D518" i="8"/>
  <c r="N521" i="8"/>
  <c r="F525" i="8"/>
  <c r="P528" i="8"/>
  <c r="H532" i="8"/>
  <c r="R535" i="8"/>
  <c r="J539" i="8"/>
  <c r="U506" i="8"/>
  <c r="M510" i="8"/>
  <c r="E514" i="8"/>
  <c r="O517" i="8"/>
  <c r="G521" i="8"/>
  <c r="Q524" i="8"/>
  <c r="I528" i="8"/>
  <c r="S531" i="8"/>
  <c r="K535" i="8"/>
  <c r="U538" i="8"/>
  <c r="N506" i="8"/>
  <c r="F510" i="8"/>
  <c r="P513" i="8"/>
  <c r="H517" i="8"/>
  <c r="R520" i="8"/>
  <c r="J524" i="8"/>
  <c r="T527" i="8"/>
  <c r="L531" i="8"/>
  <c r="D535" i="8"/>
  <c r="N538" i="8"/>
  <c r="G506" i="8"/>
  <c r="Q509" i="8"/>
  <c r="I513" i="8"/>
  <c r="S516" i="8"/>
  <c r="K520" i="8"/>
  <c r="U523" i="8"/>
  <c r="M527" i="8"/>
  <c r="E531" i="8"/>
  <c r="O534" i="8"/>
  <c r="G538" i="8"/>
  <c r="R505" i="8"/>
  <c r="J509" i="8"/>
  <c r="T512" i="8"/>
  <c r="L516" i="8"/>
  <c r="D520" i="8"/>
  <c r="N523" i="8"/>
  <c r="F527" i="8"/>
  <c r="P530" i="8"/>
  <c r="H534" i="8"/>
  <c r="R537" i="8"/>
  <c r="C524" i="8"/>
  <c r="M552" i="8"/>
  <c r="U548" i="8"/>
  <c r="K545" i="8"/>
  <c r="S541" i="8"/>
  <c r="O535" i="8"/>
  <c r="U525" i="8"/>
  <c r="N516" i="8"/>
  <c r="G507" i="8"/>
  <c r="AM26" i="8"/>
  <c r="AN26" i="8" s="1"/>
  <c r="P550" i="8"/>
  <c r="F547" i="8"/>
  <c r="N543" i="8"/>
  <c r="D540" i="8"/>
  <c r="Q530" i="8"/>
  <c r="E521" i="8"/>
  <c r="P511" i="8"/>
  <c r="C511" i="8"/>
  <c r="D553" i="8"/>
  <c r="J542" i="8"/>
  <c r="I527" i="8"/>
  <c r="M508" i="8"/>
  <c r="N509" i="8"/>
  <c r="R523" i="8"/>
  <c r="O505" i="8"/>
  <c r="S519" i="8"/>
  <c r="E534" i="8"/>
  <c r="J512" i="8"/>
  <c r="F530" i="8"/>
  <c r="M515" i="8"/>
  <c r="D508" i="8"/>
  <c r="L536" i="8"/>
  <c r="G543" i="8"/>
  <c r="J551" i="8"/>
  <c r="R527" i="8"/>
  <c r="S523" i="8"/>
  <c r="R512" i="8"/>
  <c r="D527" i="8"/>
  <c r="I505" i="8"/>
  <c r="M519" i="8"/>
  <c r="Q533" i="8"/>
  <c r="L508" i="8"/>
  <c r="H526" i="8"/>
  <c r="K553" i="8"/>
  <c r="T537" i="8"/>
  <c r="AM3" i="8"/>
  <c r="AN3" i="8" s="1"/>
  <c r="C543" i="8"/>
  <c r="N553" i="8"/>
  <c r="D550" i="8"/>
  <c r="L546" i="8"/>
  <c r="T542" i="8"/>
  <c r="J538" i="8"/>
  <c r="U528" i="8"/>
  <c r="I519" i="8"/>
  <c r="T509" i="8"/>
  <c r="AM36" i="8"/>
  <c r="AN36" i="8" s="1"/>
  <c r="H551" i="8"/>
  <c r="P547" i="8"/>
  <c r="F544" i="8"/>
  <c r="N540" i="8"/>
  <c r="F532" i="8"/>
  <c r="Q522" i="8"/>
  <c r="E513" i="8"/>
  <c r="AM20" i="8"/>
  <c r="AN20" i="8" s="1"/>
  <c r="H504" i="8"/>
  <c r="R507" i="8"/>
  <c r="J511" i="8"/>
  <c r="T514" i="8"/>
  <c r="L518" i="8"/>
  <c r="D522" i="8"/>
  <c r="N525" i="8"/>
  <c r="F529" i="8"/>
  <c r="P532" i="8"/>
  <c r="H536" i="8"/>
  <c r="R539" i="8"/>
  <c r="K507" i="8"/>
  <c r="U510" i="8"/>
  <c r="M514" i="8"/>
  <c r="E518" i="8"/>
  <c r="O521" i="8"/>
  <c r="G525" i="8"/>
  <c r="Q528" i="8"/>
  <c r="I532" i="8"/>
  <c r="S535" i="8"/>
  <c r="K539" i="8"/>
  <c r="D507" i="8"/>
  <c r="N510" i="8"/>
  <c r="F514" i="8"/>
  <c r="P517" i="8"/>
  <c r="H521" i="8"/>
  <c r="R524" i="8"/>
  <c r="J528" i="8"/>
  <c r="T531" i="8"/>
  <c r="L535" i="8"/>
  <c r="D539" i="8"/>
  <c r="O506" i="8"/>
  <c r="G510" i="8"/>
  <c r="Q513" i="8"/>
  <c r="I517" i="8"/>
  <c r="S520" i="8"/>
  <c r="K524" i="8"/>
  <c r="U527" i="8"/>
  <c r="M531" i="8"/>
  <c r="E535" i="8"/>
  <c r="O538" i="8"/>
  <c r="H506" i="8"/>
  <c r="R509" i="8"/>
  <c r="J513" i="8"/>
  <c r="T516" i="8"/>
  <c r="L520" i="8"/>
  <c r="D524" i="8"/>
  <c r="N527" i="8"/>
  <c r="F531" i="8"/>
  <c r="P534" i="8"/>
  <c r="H538" i="8"/>
  <c r="C516" i="8"/>
  <c r="E552" i="8"/>
  <c r="M548" i="8"/>
  <c r="U544" i="8"/>
  <c r="K541" i="8"/>
  <c r="J534" i="8"/>
  <c r="U524" i="8"/>
  <c r="I515" i="8"/>
  <c r="T505" i="8"/>
  <c r="AM18" i="8"/>
  <c r="AN18" i="8" s="1"/>
  <c r="R553" i="8"/>
  <c r="H550" i="8"/>
  <c r="P546" i="8"/>
  <c r="F543" i="8"/>
  <c r="S538" i="8"/>
  <c r="L529" i="8"/>
  <c r="E520" i="8"/>
  <c r="K510" i="8"/>
  <c r="AM22" i="8"/>
  <c r="AN22" i="8" s="1"/>
  <c r="F541" i="8"/>
  <c r="F524" i="8"/>
  <c r="E505" i="8"/>
  <c r="AM35" i="8"/>
  <c r="AN35" i="8" s="1"/>
  <c r="F513" i="8"/>
  <c r="P516" i="8"/>
  <c r="J527" i="8"/>
  <c r="L534" i="8"/>
  <c r="G509" i="8"/>
  <c r="M530" i="8"/>
  <c r="R508" i="8"/>
  <c r="N526" i="8"/>
  <c r="U511" i="8"/>
  <c r="Q529" i="8"/>
  <c r="F515" i="8"/>
  <c r="T532" i="8"/>
  <c r="Q546" i="8"/>
  <c r="AM14" i="8"/>
  <c r="AN14" i="8" s="1"/>
  <c r="H544" i="8"/>
  <c r="P540" i="8"/>
  <c r="S522" i="8"/>
  <c r="E504" i="8"/>
  <c r="D549" i="8"/>
  <c r="H507" i="8"/>
  <c r="AM52" i="8"/>
  <c r="AN52" i="8" s="1"/>
  <c r="AM27" i="8"/>
  <c r="AN27" i="8" s="1"/>
  <c r="L506" i="8"/>
  <c r="N513" i="8"/>
  <c r="F517" i="8"/>
  <c r="H524" i="8"/>
  <c r="T534" i="8"/>
  <c r="E506" i="8"/>
  <c r="G513" i="8"/>
  <c r="I520" i="8"/>
  <c r="U530" i="8"/>
  <c r="E538" i="8"/>
  <c r="H509" i="8"/>
  <c r="T519" i="8"/>
  <c r="N530" i="8"/>
  <c r="P537" i="8"/>
  <c r="K512" i="8"/>
  <c r="E523" i="8"/>
  <c r="G530" i="8"/>
  <c r="T504" i="8"/>
  <c r="N515" i="8"/>
  <c r="P522" i="8"/>
  <c r="J533" i="8"/>
  <c r="C540" i="8"/>
  <c r="Q542" i="8"/>
  <c r="S518" i="8"/>
  <c r="AM42" i="8"/>
  <c r="AN42" i="8" s="1"/>
  <c r="C507" i="8"/>
  <c r="N551" i="8"/>
  <c r="D548" i="8"/>
  <c r="T540" i="8"/>
  <c r="D533" i="8"/>
  <c r="O523" i="8"/>
  <c r="N504" i="8"/>
  <c r="AM46" i="8"/>
  <c r="AN46" i="8" s="1"/>
  <c r="C535" i="8"/>
  <c r="F553" i="8"/>
  <c r="N549" i="8"/>
  <c r="D546" i="8"/>
  <c r="L542" i="8"/>
  <c r="E537" i="8"/>
  <c r="P527" i="8"/>
  <c r="I518" i="8"/>
  <c r="O508" i="8"/>
  <c r="AM4" i="8"/>
  <c r="AN4" i="8" s="1"/>
  <c r="R550" i="8"/>
  <c r="H547" i="8"/>
  <c r="P543" i="8"/>
  <c r="F540" i="8"/>
  <c r="S530" i="8"/>
  <c r="L521" i="8"/>
  <c r="E512" i="8"/>
  <c r="AM12" i="8"/>
  <c r="AN12" i="8" s="1"/>
  <c r="P504" i="8"/>
  <c r="H508" i="8"/>
  <c r="R511" i="8"/>
  <c r="J515" i="8"/>
  <c r="T518" i="8"/>
  <c r="L522" i="8"/>
  <c r="D526" i="8"/>
  <c r="N529" i="8"/>
  <c r="F533" i="8"/>
  <c r="P536" i="8"/>
  <c r="I504" i="8"/>
  <c r="S507" i="8"/>
  <c r="K511" i="8"/>
  <c r="U514" i="8"/>
  <c r="M518" i="8"/>
  <c r="E522" i="8"/>
  <c r="O525" i="8"/>
  <c r="G529" i="8"/>
  <c r="Q532" i="8"/>
  <c r="I536" i="8"/>
  <c r="S539" i="8"/>
  <c r="L507" i="8"/>
  <c r="D511" i="8"/>
  <c r="N514" i="8"/>
  <c r="F518" i="8"/>
  <c r="P521" i="8"/>
  <c r="H525" i="8"/>
  <c r="R528" i="8"/>
  <c r="J532" i="8"/>
  <c r="T535" i="8"/>
  <c r="L539" i="8"/>
  <c r="E507" i="8"/>
  <c r="O510" i="8"/>
  <c r="G514" i="8"/>
  <c r="Q517" i="8"/>
  <c r="I521" i="8"/>
  <c r="S524" i="8"/>
  <c r="K528" i="8"/>
  <c r="U531" i="8"/>
  <c r="M535" i="8"/>
  <c r="E539" i="8"/>
  <c r="P506" i="8"/>
  <c r="H510" i="8"/>
  <c r="R513" i="8"/>
  <c r="J517" i="8"/>
  <c r="T520" i="8"/>
  <c r="L524" i="8"/>
  <c r="D528" i="8"/>
  <c r="N531" i="8"/>
  <c r="F535" i="8"/>
  <c r="P538" i="8"/>
  <c r="C508" i="8"/>
  <c r="O551" i="8"/>
  <c r="E548" i="8"/>
  <c r="M544" i="8"/>
  <c r="U540" i="8"/>
  <c r="E533" i="8"/>
  <c r="P523" i="8"/>
  <c r="I514" i="8"/>
  <c r="O504" i="8"/>
  <c r="C539" i="8"/>
  <c r="J553" i="8"/>
  <c r="R549" i="8"/>
  <c r="H546" i="8"/>
  <c r="P542" i="8"/>
  <c r="S537" i="8"/>
  <c r="G528" i="8"/>
  <c r="R518" i="8"/>
  <c r="K509" i="8"/>
  <c r="D506" i="8"/>
  <c r="H520" i="8"/>
  <c r="D538" i="8"/>
  <c r="K523" i="8"/>
  <c r="O537" i="8"/>
  <c r="T515" i="8"/>
  <c r="H537" i="8"/>
  <c r="E519" i="8"/>
  <c r="S536" i="8"/>
  <c r="P518" i="8"/>
  <c r="C548" i="8"/>
  <c r="G539" i="8"/>
  <c r="AM50" i="8"/>
  <c r="AN50" i="8" s="1"/>
  <c r="T544" i="8"/>
  <c r="O524" i="8"/>
  <c r="M532" i="8"/>
  <c r="L513" i="8"/>
  <c r="C525" i="8"/>
  <c r="L545" i="8"/>
  <c r="T541" i="8"/>
  <c r="I526" i="8"/>
  <c r="L509" i="8"/>
  <c r="AM38" i="8"/>
  <c r="AN38" i="8" s="1"/>
  <c r="C527" i="8"/>
  <c r="P552" i="8"/>
  <c r="F549" i="8"/>
  <c r="N545" i="8"/>
  <c r="D542" i="8"/>
  <c r="E536" i="8"/>
  <c r="K526" i="8"/>
  <c r="D517" i="8"/>
  <c r="O507" i="8"/>
  <c r="C549" i="8"/>
  <c r="T553" i="8"/>
  <c r="J550" i="8"/>
  <c r="R546" i="8"/>
  <c r="H543" i="8"/>
  <c r="H539" i="8"/>
  <c r="S529" i="8"/>
  <c r="G520" i="8"/>
  <c r="R510" i="8"/>
  <c r="AM51" i="8"/>
  <c r="AN51" i="8" s="1"/>
  <c r="F505" i="8"/>
  <c r="P508" i="8"/>
  <c r="H512" i="8"/>
  <c r="R515" i="8"/>
  <c r="J519" i="8"/>
  <c r="T522" i="8"/>
  <c r="L526" i="8"/>
  <c r="D530" i="8"/>
  <c r="N533" i="8"/>
  <c r="F537" i="8"/>
  <c r="Q504" i="8"/>
  <c r="I508" i="8"/>
  <c r="S511" i="8"/>
  <c r="K515" i="8"/>
  <c r="U518" i="8"/>
  <c r="M522" i="8"/>
  <c r="E526" i="8"/>
  <c r="O529" i="8"/>
  <c r="G533" i="8"/>
  <c r="Q536" i="8"/>
  <c r="J504" i="8"/>
  <c r="T507" i="8"/>
  <c r="L511" i="8"/>
  <c r="D515" i="8"/>
  <c r="N518" i="8"/>
  <c r="F522" i="8"/>
  <c r="P525" i="8"/>
  <c r="H529" i="8"/>
  <c r="R532" i="8"/>
  <c r="J536" i="8"/>
  <c r="T539" i="8"/>
  <c r="M507" i="8"/>
  <c r="E511" i="8"/>
  <c r="O514" i="8"/>
  <c r="G518" i="8"/>
  <c r="Q521" i="8"/>
  <c r="I525" i="8"/>
  <c r="S528" i="8"/>
  <c r="K532" i="8"/>
  <c r="U535" i="8"/>
  <c r="M539" i="8"/>
  <c r="F507" i="8"/>
  <c r="P510" i="8"/>
  <c r="H514" i="8"/>
  <c r="R517" i="8"/>
  <c r="J521" i="8"/>
  <c r="T524" i="8"/>
  <c r="L528" i="8"/>
  <c r="D532" i="8"/>
  <c r="N535" i="8"/>
  <c r="F539" i="8"/>
  <c r="G551" i="8"/>
  <c r="O547" i="8"/>
  <c r="E544" i="8"/>
  <c r="M540" i="8"/>
  <c r="E532" i="8"/>
  <c r="K522" i="8"/>
  <c r="D513" i="8"/>
  <c r="C531" i="8"/>
  <c r="T552" i="8"/>
  <c r="J549" i="8"/>
  <c r="R545" i="8"/>
  <c r="H542" i="8"/>
  <c r="N536" i="8"/>
  <c r="G527" i="8"/>
  <c r="M517" i="8"/>
  <c r="F508" i="8"/>
  <c r="H548" i="8"/>
  <c r="I516" i="8"/>
  <c r="P533" i="8"/>
  <c r="I533" i="8"/>
  <c r="J529" i="8"/>
  <c r="Q510" i="8"/>
  <c r="L548" i="8"/>
  <c r="S505" i="8"/>
  <c r="R547" i="8"/>
  <c r="S549" i="8"/>
  <c r="U513" i="8"/>
  <c r="AM30" i="8"/>
  <c r="AN30" i="8" s="1"/>
  <c r="C519" i="8"/>
  <c r="H552" i="8"/>
  <c r="P548" i="8"/>
  <c r="F545" i="8"/>
  <c r="N541" i="8"/>
  <c r="R534" i="8"/>
  <c r="K525" i="8"/>
  <c r="Q515" i="8"/>
  <c r="J506" i="8"/>
  <c r="C541" i="8"/>
  <c r="L553" i="8"/>
  <c r="T549" i="8"/>
  <c r="J546" i="8"/>
  <c r="R542" i="8"/>
  <c r="U537" i="8"/>
  <c r="N528" i="8"/>
  <c r="G519" i="8"/>
  <c r="M509" i="8"/>
  <c r="AM43" i="8"/>
  <c r="AN43" i="8" s="1"/>
  <c r="N505" i="8"/>
  <c r="F509" i="8"/>
  <c r="P512" i="8"/>
  <c r="H516" i="8"/>
  <c r="R519" i="8"/>
  <c r="J523" i="8"/>
  <c r="T526" i="8"/>
  <c r="L530" i="8"/>
  <c r="D534" i="8"/>
  <c r="N537" i="8"/>
  <c r="G505" i="8"/>
  <c r="Q508" i="8"/>
  <c r="I512" i="8"/>
  <c r="S515" i="8"/>
  <c r="K519" i="8"/>
  <c r="U522" i="8"/>
  <c r="M526" i="8"/>
  <c r="E530" i="8"/>
  <c r="O533" i="8"/>
  <c r="G537" i="8"/>
  <c r="R504" i="8"/>
  <c r="J508" i="8"/>
  <c r="T511" i="8"/>
  <c r="L515" i="8"/>
  <c r="D519" i="8"/>
  <c r="N522" i="8"/>
  <c r="F526" i="8"/>
  <c r="P529" i="8"/>
  <c r="H533" i="8"/>
  <c r="R536" i="8"/>
  <c r="K504" i="8"/>
  <c r="U507" i="8"/>
  <c r="M511" i="8"/>
  <c r="E515" i="8"/>
  <c r="O518" i="8"/>
  <c r="G522" i="8"/>
  <c r="Q525" i="8"/>
  <c r="I529" i="8"/>
  <c r="S532" i="8"/>
  <c r="K536" i="8"/>
  <c r="D504" i="8"/>
  <c r="N507" i="8"/>
  <c r="F511" i="8"/>
  <c r="P514" i="8"/>
  <c r="H518" i="8"/>
  <c r="R521" i="8"/>
  <c r="J525" i="8"/>
  <c r="T528" i="8"/>
  <c r="L532" i="8"/>
  <c r="D536" i="8"/>
  <c r="N539" i="8"/>
  <c r="Q550" i="8"/>
  <c r="G547" i="8"/>
  <c r="O543" i="8"/>
  <c r="E540" i="8"/>
  <c r="R530" i="8"/>
  <c r="K521" i="8"/>
  <c r="Q511" i="8"/>
  <c r="C523" i="8"/>
  <c r="L552" i="8"/>
  <c r="T548" i="8"/>
  <c r="J545" i="8"/>
  <c r="R541" i="8"/>
  <c r="I535" i="8"/>
  <c r="T525" i="8"/>
  <c r="M516" i="8"/>
  <c r="S506" i="8"/>
  <c r="C533" i="8"/>
  <c r="L549" i="8"/>
  <c r="T545" i="8"/>
  <c r="U536" i="8"/>
  <c r="T517" i="8"/>
  <c r="T530" i="8"/>
  <c r="U526" i="8"/>
  <c r="H505" i="8"/>
  <c r="D523" i="8"/>
  <c r="S504" i="8"/>
  <c r="O522" i="8"/>
  <c r="L504" i="8"/>
  <c r="H522" i="8"/>
  <c r="S553" i="8"/>
  <c r="M529" i="8"/>
  <c r="C515" i="8"/>
  <c r="I534" i="8"/>
  <c r="N552" i="8"/>
  <c r="P535" i="8"/>
  <c r="L544" i="8"/>
  <c r="B551" i="8"/>
  <c r="B543" i="8"/>
  <c r="B535" i="8"/>
  <c r="B527" i="8"/>
  <c r="B519" i="8"/>
  <c r="B511" i="8"/>
  <c r="B528" i="8"/>
  <c r="B550" i="8"/>
  <c r="B542" i="8"/>
  <c r="B534" i="8"/>
  <c r="B526" i="8"/>
  <c r="B518" i="8"/>
  <c r="B510" i="8"/>
  <c r="B547" i="8"/>
  <c r="B529" i="8"/>
  <c r="B520" i="8"/>
  <c r="B549" i="8"/>
  <c r="B541" i="8"/>
  <c r="B533" i="8"/>
  <c r="B525" i="8"/>
  <c r="B517" i="8"/>
  <c r="B509" i="8"/>
  <c r="B548" i="8"/>
  <c r="B540" i="8"/>
  <c r="B532" i="8"/>
  <c r="B524" i="8"/>
  <c r="B508" i="8"/>
  <c r="B531" i="8"/>
  <c r="B507" i="8"/>
  <c r="B513" i="8"/>
  <c r="B516" i="8"/>
  <c r="B523" i="8"/>
  <c r="B545" i="8"/>
  <c r="B505" i="8"/>
  <c r="B536" i="8"/>
  <c r="B504" i="8"/>
  <c r="B539" i="8"/>
  <c r="B515" i="8"/>
  <c r="B552" i="8"/>
  <c r="B521" i="8"/>
  <c r="B553" i="8"/>
  <c r="B546" i="8"/>
  <c r="B538" i="8"/>
  <c r="B530" i="8"/>
  <c r="B522" i="8"/>
  <c r="B514" i="8"/>
  <c r="B506" i="8"/>
  <c r="B537" i="8"/>
  <c r="B544" i="8"/>
  <c r="B512" i="8"/>
  <c r="BA60" i="8"/>
  <c r="BD63" i="8"/>
  <c r="S64" i="2"/>
  <c r="S114" i="2" s="1"/>
  <c r="BC4" i="8"/>
  <c r="AZ78" i="8"/>
  <c r="V16" i="8" s="1"/>
  <c r="B282" i="8"/>
  <c r="B287" i="8"/>
  <c r="B294" i="8"/>
  <c r="B302" i="8"/>
  <c r="R309" i="8"/>
  <c r="B317" i="8"/>
  <c r="B325" i="8"/>
  <c r="B281" i="8"/>
  <c r="T282" i="8"/>
  <c r="D284" i="8"/>
  <c r="Q284" i="8"/>
  <c r="R285" i="8"/>
  <c r="N286" i="8"/>
  <c r="C288" i="8"/>
  <c r="D289" i="8"/>
  <c r="K290" i="8"/>
  <c r="I291" i="8"/>
  <c r="L292" i="8"/>
  <c r="N294" i="8"/>
  <c r="E296" i="8"/>
  <c r="N298" i="8"/>
  <c r="N300" i="8"/>
  <c r="M302" i="8"/>
  <c r="F304" i="8"/>
  <c r="M308" i="8"/>
  <c r="S310" i="8"/>
  <c r="B283" i="8"/>
  <c r="B288" i="8"/>
  <c r="B295" i="8"/>
  <c r="B303" i="8"/>
  <c r="B310" i="8"/>
  <c r="B318" i="8"/>
  <c r="B326" i="8"/>
  <c r="C282" i="8"/>
  <c r="U282" i="8"/>
  <c r="E284" i="8"/>
  <c r="D285" i="8"/>
  <c r="C286" i="8"/>
  <c r="S286" i="8"/>
  <c r="D288" i="8"/>
  <c r="E289" i="8"/>
  <c r="K291" i="8"/>
  <c r="M292" i="8"/>
  <c r="C294" i="8"/>
  <c r="S294" i="8"/>
  <c r="F296" i="8"/>
  <c r="R297" i="8"/>
  <c r="S298" i="8"/>
  <c r="S300" i="8"/>
  <c r="N302" i="8"/>
  <c r="K306" i="8"/>
  <c r="S308" i="8"/>
  <c r="U310" i="8"/>
  <c r="R313" i="8"/>
  <c r="R317" i="8"/>
  <c r="F292" i="8"/>
  <c r="B315" i="8"/>
  <c r="N284" i="8"/>
  <c r="E290" i="8"/>
  <c r="C296" i="8"/>
  <c r="C304" i="8"/>
  <c r="N320" i="8"/>
  <c r="B316" i="8"/>
  <c r="P284" i="8"/>
  <c r="G283" i="8"/>
  <c r="B289" i="8"/>
  <c r="B296" i="8"/>
  <c r="B304" i="8"/>
  <c r="B311" i="8"/>
  <c r="B319" i="8"/>
  <c r="B327" i="8"/>
  <c r="K282" i="8"/>
  <c r="E283" i="8"/>
  <c r="F284" i="8"/>
  <c r="E285" i="8"/>
  <c r="D286" i="8"/>
  <c r="D287" i="8"/>
  <c r="E288" i="8"/>
  <c r="T289" i="8"/>
  <c r="S290" i="8"/>
  <c r="L291" i="8"/>
  <c r="N292" i="8"/>
  <c r="D294" i="8"/>
  <c r="T294" i="8"/>
  <c r="K296" i="8"/>
  <c r="C298" i="8"/>
  <c r="U298" i="8"/>
  <c r="U300" i="8"/>
  <c r="S302" i="8"/>
  <c r="M304" i="8"/>
  <c r="U308" i="8"/>
  <c r="R311" i="8"/>
  <c r="C314" i="8"/>
  <c r="F318" i="8"/>
  <c r="J325" i="8"/>
  <c r="P282" i="8"/>
  <c r="Q283" i="8"/>
  <c r="B290" i="8"/>
  <c r="B297" i="8"/>
  <c r="B305" i="8"/>
  <c r="B312" i="8"/>
  <c r="B320" i="8"/>
  <c r="B328" i="8"/>
  <c r="L282" i="8"/>
  <c r="L283" i="8"/>
  <c r="K284" i="8"/>
  <c r="G285" i="8"/>
  <c r="E286" i="8"/>
  <c r="E287" i="8"/>
  <c r="F288" i="8"/>
  <c r="U289" i="8"/>
  <c r="T290" i="8"/>
  <c r="M291" i="8"/>
  <c r="S292" i="8"/>
  <c r="E294" i="8"/>
  <c r="U294" i="8"/>
  <c r="L296" i="8"/>
  <c r="J299" i="8"/>
  <c r="R301" i="8"/>
  <c r="U302" i="8"/>
  <c r="N304" i="8"/>
  <c r="S306" i="8"/>
  <c r="C310" i="8"/>
  <c r="K314" i="8"/>
  <c r="J319" i="8"/>
  <c r="R325" i="8"/>
  <c r="B286" i="8"/>
  <c r="B284" i="8"/>
  <c r="B291" i="8"/>
  <c r="B298" i="8"/>
  <c r="B306" i="8"/>
  <c r="B313" i="8"/>
  <c r="B321" i="8"/>
  <c r="F328" i="8"/>
  <c r="M282" i="8"/>
  <c r="M283" i="8"/>
  <c r="L284" i="8"/>
  <c r="H285" i="8"/>
  <c r="F286" i="8"/>
  <c r="G287" i="8"/>
  <c r="H288" i="8"/>
  <c r="C290" i="8"/>
  <c r="D291" i="8"/>
  <c r="R291" i="8"/>
  <c r="T292" i="8"/>
  <c r="F294" i="8"/>
  <c r="J295" i="8"/>
  <c r="M296" i="8"/>
  <c r="E298" i="8"/>
  <c r="E300" i="8"/>
  <c r="C302" i="8"/>
  <c r="U306" i="8"/>
  <c r="E310" i="8"/>
  <c r="F312" i="8"/>
  <c r="S314" i="8"/>
  <c r="R319" i="8"/>
  <c r="F326" i="8"/>
  <c r="B308" i="8"/>
  <c r="B330" i="8"/>
  <c r="L285" i="8"/>
  <c r="I287" i="8"/>
  <c r="G291" i="8"/>
  <c r="J293" i="8"/>
  <c r="S296" i="8"/>
  <c r="K300" i="8"/>
  <c r="R305" i="8"/>
  <c r="K310" i="8"/>
  <c r="G281" i="8"/>
  <c r="H286" i="8"/>
  <c r="B301" i="8"/>
  <c r="B324" i="8"/>
  <c r="S282" i="8"/>
  <c r="M285" i="8"/>
  <c r="B285" i="8"/>
  <c r="B292" i="8"/>
  <c r="B299" i="8"/>
  <c r="B307" i="8"/>
  <c r="B314" i="8"/>
  <c r="B322" i="8"/>
  <c r="B329" i="8"/>
  <c r="N282" i="8"/>
  <c r="O283" i="8"/>
  <c r="M284" i="8"/>
  <c r="K286" i="8"/>
  <c r="H287" i="8"/>
  <c r="I288" i="8"/>
  <c r="D290" i="8"/>
  <c r="E291" i="8"/>
  <c r="D292" i="8"/>
  <c r="U292" i="8"/>
  <c r="K294" i="8"/>
  <c r="N296" i="8"/>
  <c r="F298" i="8"/>
  <c r="F300" i="8"/>
  <c r="E302" i="8"/>
  <c r="R303" i="8"/>
  <c r="U304" i="8"/>
  <c r="R307" i="8"/>
  <c r="F310" i="8"/>
  <c r="R315" i="8"/>
  <c r="F320" i="8"/>
  <c r="J327" i="8"/>
  <c r="F281" i="8"/>
  <c r="N281" i="8"/>
  <c r="B300" i="8"/>
  <c r="B323" i="8"/>
  <c r="P283" i="8"/>
  <c r="L286" i="8"/>
  <c r="S288" i="8"/>
  <c r="E292" i="8"/>
  <c r="L294" i="8"/>
  <c r="K298" i="8"/>
  <c r="F302" i="8"/>
  <c r="E308" i="8"/>
  <c r="N312" i="8"/>
  <c r="N328" i="8"/>
  <c r="O281" i="8"/>
  <c r="B293" i="8"/>
  <c r="B309" i="8"/>
  <c r="C284" i="8"/>
  <c r="T288" i="8"/>
  <c r="M298" i="8"/>
  <c r="M300" i="8"/>
  <c r="K302" i="8"/>
  <c r="J317" i="8"/>
  <c r="C306" i="8"/>
  <c r="F290" i="8"/>
  <c r="R293" i="8"/>
  <c r="J323" i="8"/>
  <c r="H291" i="8"/>
  <c r="K292" i="8"/>
  <c r="E304" i="8"/>
  <c r="R321" i="8"/>
  <c r="M294" i="8"/>
  <c r="K308" i="8"/>
  <c r="M310" i="8"/>
  <c r="T287" i="8"/>
  <c r="U296" i="8"/>
  <c r="S312" i="8"/>
  <c r="M286" i="8"/>
  <c r="D296" i="8"/>
  <c r="R288" i="8"/>
  <c r="P281" i="8"/>
  <c r="K324" i="8"/>
  <c r="K321" i="8"/>
  <c r="O329" i="8"/>
  <c r="S329" i="8"/>
  <c r="K325" i="8"/>
  <c r="S317" i="8"/>
  <c r="J306" i="8"/>
  <c r="Q330" i="8"/>
  <c r="P330" i="8"/>
  <c r="P329" i="8"/>
  <c r="P328" i="8"/>
  <c r="P327" i="8"/>
  <c r="P326" i="8"/>
  <c r="P325" i="8"/>
  <c r="P324" i="8"/>
  <c r="P323" i="8"/>
  <c r="P322" i="8"/>
  <c r="P321" i="8"/>
  <c r="P320" i="8"/>
  <c r="P319" i="8"/>
  <c r="P318" i="8"/>
  <c r="P317" i="8"/>
  <c r="P316" i="8"/>
  <c r="P315" i="8"/>
  <c r="P314" i="8"/>
  <c r="F323" i="8"/>
  <c r="C319" i="8"/>
  <c r="Q326" i="8"/>
  <c r="C322" i="8"/>
  <c r="R330" i="8"/>
  <c r="J326" i="8"/>
  <c r="J308" i="8"/>
  <c r="J302" i="8"/>
  <c r="R300" i="8"/>
  <c r="G329" i="8"/>
  <c r="N327" i="8"/>
  <c r="S330" i="8"/>
  <c r="K328" i="8"/>
  <c r="K317" i="8"/>
  <c r="K316" i="8"/>
  <c r="C315" i="8"/>
  <c r="R296" i="8"/>
  <c r="Q329" i="8"/>
  <c r="Q328" i="8"/>
  <c r="Q327" i="8"/>
  <c r="Q325" i="8"/>
  <c r="I324" i="8"/>
  <c r="I323" i="8"/>
  <c r="I322" i="8"/>
  <c r="I321" i="8"/>
  <c r="I320" i="8"/>
  <c r="I319" i="8"/>
  <c r="C326" i="8"/>
  <c r="C320" i="8"/>
  <c r="R298" i="8"/>
  <c r="G328" i="8"/>
  <c r="I329" i="8"/>
  <c r="I326" i="8"/>
  <c r="R299" i="8"/>
  <c r="S327" i="8"/>
  <c r="P311" i="8"/>
  <c r="H310" i="8"/>
  <c r="P307" i="8"/>
  <c r="H306" i="8"/>
  <c r="P303" i="8"/>
  <c r="H302" i="8"/>
  <c r="F329" i="8"/>
  <c r="F319" i="8"/>
  <c r="N314" i="8"/>
  <c r="S315" i="8"/>
  <c r="H330" i="8"/>
  <c r="H326" i="8"/>
  <c r="H322" i="8"/>
  <c r="K329" i="8"/>
  <c r="S322" i="8"/>
  <c r="J304" i="8"/>
  <c r="R294" i="8"/>
  <c r="Q322" i="8"/>
  <c r="Q320" i="8"/>
  <c r="K320" i="8"/>
  <c r="J316" i="8"/>
  <c r="J312" i="8"/>
  <c r="P312" i="8"/>
  <c r="H311" i="8"/>
  <c r="P308" i="8"/>
  <c r="H307" i="8"/>
  <c r="P304" i="8"/>
  <c r="H303" i="8"/>
  <c r="P300" i="8"/>
  <c r="N306" i="8"/>
  <c r="F330" i="8"/>
  <c r="K318" i="8"/>
  <c r="C327" i="8"/>
  <c r="Q319" i="8"/>
  <c r="S323" i="8"/>
  <c r="H328" i="8"/>
  <c r="H314" i="8"/>
  <c r="H312" i="8"/>
  <c r="P310" i="8"/>
  <c r="H305" i="8"/>
  <c r="P301" i="8"/>
  <c r="J307" i="8"/>
  <c r="N329" i="8"/>
  <c r="N325" i="8"/>
  <c r="N315" i="8"/>
  <c r="F311" i="8"/>
  <c r="N330" i="8"/>
  <c r="U327" i="8"/>
  <c r="I327" i="8"/>
  <c r="R323" i="8"/>
  <c r="J314" i="8"/>
  <c r="H319" i="8"/>
  <c r="F325" i="8"/>
  <c r="N321" i="8"/>
  <c r="F317" i="8"/>
  <c r="N322" i="8"/>
  <c r="U325" i="8"/>
  <c r="U319" i="8"/>
  <c r="E314" i="8"/>
  <c r="R295" i="8"/>
  <c r="M330" i="8"/>
  <c r="I325" i="8"/>
  <c r="H323" i="8"/>
  <c r="P313" i="8"/>
  <c r="H308" i="8"/>
  <c r="P306" i="8"/>
  <c r="H301" i="8"/>
  <c r="F327" i="8"/>
  <c r="N319" i="8"/>
  <c r="N307" i="8"/>
  <c r="J309" i="8"/>
  <c r="E329" i="8"/>
  <c r="M323" i="8"/>
  <c r="M317" i="8"/>
  <c r="T325" i="8"/>
  <c r="D325" i="8"/>
  <c r="I330" i="8"/>
  <c r="Q321" i="8"/>
  <c r="R328" i="8"/>
  <c r="H327" i="8"/>
  <c r="H321" i="8"/>
  <c r="H317" i="8"/>
  <c r="H315" i="8"/>
  <c r="I328" i="8"/>
  <c r="J310" i="8"/>
  <c r="H320" i="8"/>
  <c r="H318" i="8"/>
  <c r="H309" i="8"/>
  <c r="P305" i="8"/>
  <c r="H300" i="8"/>
  <c r="O328" i="8"/>
  <c r="M326" i="8"/>
  <c r="M320" i="8"/>
  <c r="E315" i="8"/>
  <c r="F322" i="8"/>
  <c r="S316" i="8"/>
  <c r="H325" i="8"/>
  <c r="F313" i="8"/>
  <c r="F307" i="8"/>
  <c r="M328" i="8"/>
  <c r="U324" i="8"/>
  <c r="U321" i="8"/>
  <c r="M315" i="8"/>
  <c r="F314" i="8"/>
  <c r="E328" i="8"/>
  <c r="E320" i="8"/>
  <c r="E317" i="8"/>
  <c r="U314" i="8"/>
  <c r="U312" i="8"/>
  <c r="L328" i="8"/>
  <c r="T309" i="8"/>
  <c r="D309" i="8"/>
  <c r="J315" i="8"/>
  <c r="N309" i="8"/>
  <c r="N303" i="8"/>
  <c r="E321" i="8"/>
  <c r="E318" i="8"/>
  <c r="F306" i="8"/>
  <c r="E330" i="8"/>
  <c r="U323" i="8"/>
  <c r="E322" i="8"/>
  <c r="T330" i="8"/>
  <c r="H324" i="8"/>
  <c r="H313" i="8"/>
  <c r="O330" i="8"/>
  <c r="F321" i="8"/>
  <c r="F315" i="8"/>
  <c r="F309" i="8"/>
  <c r="J301" i="8"/>
  <c r="E327" i="8"/>
  <c r="E324" i="8"/>
  <c r="M327" i="8"/>
  <c r="M325" i="8"/>
  <c r="M321" i="8"/>
  <c r="M318" i="8"/>
  <c r="M316" i="8"/>
  <c r="M313" i="8"/>
  <c r="M312" i="8"/>
  <c r="T329" i="8"/>
  <c r="T326" i="8"/>
  <c r="L324" i="8"/>
  <c r="T323" i="8"/>
  <c r="D323" i="8"/>
  <c r="L322" i="8"/>
  <c r="T321" i="8"/>
  <c r="D321" i="8"/>
  <c r="L320" i="8"/>
  <c r="T319" i="8"/>
  <c r="D319" i="8"/>
  <c r="L318" i="8"/>
  <c r="T317" i="8"/>
  <c r="N317" i="8"/>
  <c r="N311" i="8"/>
  <c r="N305" i="8"/>
  <c r="E325" i="8"/>
  <c r="E323" i="8"/>
  <c r="M319" i="8"/>
  <c r="U317" i="8"/>
  <c r="M314" i="8"/>
  <c r="E313" i="8"/>
  <c r="D328" i="8"/>
  <c r="L309" i="8"/>
  <c r="H316" i="8"/>
  <c r="N313" i="8"/>
  <c r="G330" i="8"/>
  <c r="M322" i="8"/>
  <c r="E312" i="8"/>
  <c r="U322" i="8"/>
  <c r="U320" i="8"/>
  <c r="U318" i="8"/>
  <c r="U315" i="8"/>
  <c r="U313" i="8"/>
  <c r="U311" i="8"/>
  <c r="L329" i="8"/>
  <c r="D327" i="8"/>
  <c r="D324" i="8"/>
  <c r="L323" i="8"/>
  <c r="T322" i="8"/>
  <c r="D322" i="8"/>
  <c r="L321" i="8"/>
  <c r="T320" i="8"/>
  <c r="D320" i="8"/>
  <c r="L319" i="8"/>
  <c r="T318" i="8"/>
  <c r="D318" i="8"/>
  <c r="L317" i="8"/>
  <c r="D317" i="8"/>
  <c r="T315" i="8"/>
  <c r="L314" i="8"/>
  <c r="D313" i="8"/>
  <c r="T311" i="8"/>
  <c r="L308" i="8"/>
  <c r="T305" i="8"/>
  <c r="T301" i="8"/>
  <c r="T298" i="8"/>
  <c r="H329" i="8"/>
  <c r="U316" i="8"/>
  <c r="M329" i="8"/>
  <c r="M324" i="8"/>
  <c r="L310" i="8"/>
  <c r="L307" i="8"/>
  <c r="D304" i="8"/>
  <c r="L302" i="8"/>
  <c r="L299" i="8"/>
  <c r="N324" i="8"/>
  <c r="C330" i="8"/>
  <c r="K327" i="8"/>
  <c r="S325" i="8"/>
  <c r="K323" i="8"/>
  <c r="C321" i="8"/>
  <c r="S318" i="8"/>
  <c r="C316" i="8"/>
  <c r="J328" i="8"/>
  <c r="J320" i="8"/>
  <c r="R306" i="8"/>
  <c r="J292" i="8"/>
  <c r="H304" i="8"/>
  <c r="E316" i="8"/>
  <c r="U328" i="8"/>
  <c r="L326" i="8"/>
  <c r="T316" i="8"/>
  <c r="L315" i="8"/>
  <c r="D314" i="8"/>
  <c r="T312" i="8"/>
  <c r="L311" i="8"/>
  <c r="L306" i="8"/>
  <c r="T304" i="8"/>
  <c r="D303" i="8"/>
  <c r="D300" i="8"/>
  <c r="N316" i="8"/>
  <c r="K315" i="8"/>
  <c r="P302" i="8"/>
  <c r="T327" i="8"/>
  <c r="T324" i="8"/>
  <c r="D308" i="8"/>
  <c r="L305" i="8"/>
  <c r="T300" i="8"/>
  <c r="T297" i="8"/>
  <c r="D297" i="8"/>
  <c r="J311" i="8"/>
  <c r="C329" i="8"/>
  <c r="K326" i="8"/>
  <c r="S320" i="8"/>
  <c r="C318" i="8"/>
  <c r="J322" i="8"/>
  <c r="R318" i="8"/>
  <c r="R310" i="8"/>
  <c r="J294" i="8"/>
  <c r="J288" i="8"/>
  <c r="J287" i="8"/>
  <c r="J286" i="8"/>
  <c r="J297" i="8"/>
  <c r="I315" i="8"/>
  <c r="I307" i="8"/>
  <c r="I301" i="8"/>
  <c r="I293" i="8"/>
  <c r="U330" i="8"/>
  <c r="D329" i="8"/>
  <c r="D326" i="8"/>
  <c r="L316" i="8"/>
  <c r="D315" i="8"/>
  <c r="T313" i="8"/>
  <c r="L312" i="8"/>
  <c r="D311" i="8"/>
  <c r="D310" i="8"/>
  <c r="D307" i="8"/>
  <c r="T303" i="8"/>
  <c r="L301" i="8"/>
  <c r="D299" i="8"/>
  <c r="L298" i="8"/>
  <c r="N308" i="8"/>
  <c r="R329" i="8"/>
  <c r="R312" i="8"/>
  <c r="J296" i="8"/>
  <c r="R290" i="8"/>
  <c r="R289" i="8"/>
  <c r="J329" i="8"/>
  <c r="J289" i="8"/>
  <c r="Q323" i="8"/>
  <c r="E326" i="8"/>
  <c r="T328" i="8"/>
  <c r="D316" i="8"/>
  <c r="T314" i="8"/>
  <c r="L313" i="8"/>
  <c r="D312" i="8"/>
  <c r="T308" i="8"/>
  <c r="T307" i="8"/>
  <c r="D305" i="8"/>
  <c r="T302" i="8"/>
  <c r="D301" i="8"/>
  <c r="L300" i="8"/>
  <c r="F316" i="8"/>
  <c r="C324" i="8"/>
  <c r="J324" i="8"/>
  <c r="R316" i="8"/>
  <c r="J300" i="8"/>
  <c r="R284" i="8"/>
  <c r="R283" i="8"/>
  <c r="R282" i="8"/>
  <c r="J321" i="8"/>
  <c r="Q311" i="8"/>
  <c r="Q305" i="8"/>
  <c r="Q297" i="8"/>
  <c r="I289" i="8"/>
  <c r="F305" i="8"/>
  <c r="E319" i="8"/>
  <c r="D330" i="8"/>
  <c r="L325" i="8"/>
  <c r="T310" i="8"/>
  <c r="T306" i="8"/>
  <c r="L303" i="8"/>
  <c r="D298" i="8"/>
  <c r="L297" i="8"/>
  <c r="T296" i="8"/>
  <c r="F308" i="8"/>
  <c r="K330" i="8"/>
  <c r="C328" i="8"/>
  <c r="S321" i="8"/>
  <c r="K319" i="8"/>
  <c r="R322" i="8"/>
  <c r="J318" i="8"/>
  <c r="R302" i="8"/>
  <c r="L327" i="8"/>
  <c r="J303" i="8"/>
  <c r="R327" i="8"/>
  <c r="D306" i="8"/>
  <c r="T299" i="8"/>
  <c r="S324" i="8"/>
  <c r="J330" i="8"/>
  <c r="J284" i="8"/>
  <c r="J305" i="8"/>
  <c r="Q315" i="8"/>
  <c r="E306" i="8"/>
  <c r="Q295" i="8"/>
  <c r="H299" i="8"/>
  <c r="Q290" i="8"/>
  <c r="O288" i="8"/>
  <c r="G284" i="8"/>
  <c r="G323" i="8"/>
  <c r="G315" i="8"/>
  <c r="G309" i="8"/>
  <c r="O303" i="8"/>
  <c r="G297" i="8"/>
  <c r="Q289" i="8"/>
  <c r="F282" i="8"/>
  <c r="N295" i="8"/>
  <c r="P309" i="8"/>
  <c r="U326" i="8"/>
  <c r="C323" i="8"/>
  <c r="R324" i="8"/>
  <c r="J291" i="8"/>
  <c r="Q313" i="8"/>
  <c r="I305" i="8"/>
  <c r="I295" i="8"/>
  <c r="P297" i="8"/>
  <c r="H290" i="8"/>
  <c r="O321" i="8"/>
  <c r="O313" i="8"/>
  <c r="C308" i="8"/>
  <c r="G303" i="8"/>
  <c r="O295" i="8"/>
  <c r="G289" i="8"/>
  <c r="F291" i="8"/>
  <c r="N287" i="8"/>
  <c r="F283" i="8"/>
  <c r="F303" i="8"/>
  <c r="F295" i="8"/>
  <c r="I318" i="8"/>
  <c r="E311" i="8"/>
  <c r="U307" i="8"/>
  <c r="Q304" i="8"/>
  <c r="M301" i="8"/>
  <c r="I298" i="8"/>
  <c r="E295" i="8"/>
  <c r="U291" i="8"/>
  <c r="I282" i="8"/>
  <c r="L304" i="8"/>
  <c r="K322" i="8"/>
  <c r="F324" i="8"/>
  <c r="J282" i="8"/>
  <c r="I313" i="8"/>
  <c r="Q303" i="8"/>
  <c r="Q293" i="8"/>
  <c r="H297" i="8"/>
  <c r="H289" i="8"/>
  <c r="G286" i="8"/>
  <c r="O282" i="8"/>
  <c r="G321" i="8"/>
  <c r="G313" i="8"/>
  <c r="O307" i="8"/>
  <c r="O301" i="8"/>
  <c r="G295" i="8"/>
  <c r="P288" i="8"/>
  <c r="N301" i="8"/>
  <c r="N293" i="8"/>
  <c r="Q324" i="8"/>
  <c r="N323" i="8"/>
  <c r="R320" i="8"/>
  <c r="R286" i="8"/>
  <c r="J285" i="8"/>
  <c r="L330" i="8"/>
  <c r="D302" i="8"/>
  <c r="R326" i="8"/>
  <c r="R292" i="8"/>
  <c r="J290" i="8"/>
  <c r="J283" i="8"/>
  <c r="N318" i="8"/>
  <c r="I309" i="8"/>
  <c r="Q299" i="8"/>
  <c r="Q286" i="8"/>
  <c r="P293" i="8"/>
  <c r="P286" i="8"/>
  <c r="O325" i="8"/>
  <c r="O317" i="8"/>
  <c r="O311" i="8"/>
  <c r="G305" i="8"/>
  <c r="O299" i="8"/>
  <c r="C292" i="8"/>
  <c r="N291" i="8"/>
  <c r="F287" i="8"/>
  <c r="N283" i="8"/>
  <c r="F299" i="8"/>
  <c r="P289" i="8"/>
  <c r="I314" i="8"/>
  <c r="M309" i="8"/>
  <c r="I306" i="8"/>
  <c r="E303" i="8"/>
  <c r="U299" i="8"/>
  <c r="Q296" i="8"/>
  <c r="M293" i="8"/>
  <c r="M288" i="8"/>
  <c r="U329" i="8"/>
  <c r="S319" i="8"/>
  <c r="R287" i="8"/>
  <c r="I311" i="8"/>
  <c r="Q291" i="8"/>
  <c r="P295" i="8"/>
  <c r="O284" i="8"/>
  <c r="G327" i="8"/>
  <c r="C312" i="8"/>
  <c r="C300" i="8"/>
  <c r="O285" i="8"/>
  <c r="N299" i="8"/>
  <c r="Q318" i="8"/>
  <c r="I310" i="8"/>
  <c r="U305" i="8"/>
  <c r="U301" i="8"/>
  <c r="M297" i="8"/>
  <c r="E293" i="8"/>
  <c r="U283" i="8"/>
  <c r="C317" i="8"/>
  <c r="Q309" i="8"/>
  <c r="I290" i="8"/>
  <c r="H295" i="8"/>
  <c r="R308" i="8"/>
  <c r="Q307" i="8"/>
  <c r="Q285" i="8"/>
  <c r="H293" i="8"/>
  <c r="O286" i="8"/>
  <c r="G282" i="8"/>
  <c r="O323" i="8"/>
  <c r="O309" i="8"/>
  <c r="O297" i="8"/>
  <c r="N285" i="8"/>
  <c r="F297" i="8"/>
  <c r="I316" i="8"/>
  <c r="E309" i="8"/>
  <c r="E305" i="8"/>
  <c r="Q300" i="8"/>
  <c r="I296" i="8"/>
  <c r="I292" i="8"/>
  <c r="N326" i="8"/>
  <c r="I303" i="8"/>
  <c r="Q288" i="8"/>
  <c r="G319" i="8"/>
  <c r="O305" i="8"/>
  <c r="G293" i="8"/>
  <c r="O290" i="8"/>
  <c r="Q312" i="8"/>
  <c r="I308" i="8"/>
  <c r="U303" i="8"/>
  <c r="M299" i="8"/>
  <c r="M295" i="8"/>
  <c r="N290" i="8"/>
  <c r="D282" i="8"/>
  <c r="D295" i="8"/>
  <c r="T291" i="8"/>
  <c r="I284" i="8"/>
  <c r="S287" i="8"/>
  <c r="C287" i="8"/>
  <c r="K285" i="8"/>
  <c r="G326" i="8"/>
  <c r="J313" i="8"/>
  <c r="Q301" i="8"/>
  <c r="Q287" i="8"/>
  <c r="G288" i="8"/>
  <c r="G317" i="8"/>
  <c r="S304" i="8"/>
  <c r="O291" i="8"/>
  <c r="N288" i="8"/>
  <c r="I312" i="8"/>
  <c r="M307" i="8"/>
  <c r="M303" i="8"/>
  <c r="E299" i="8"/>
  <c r="Q294" i="8"/>
  <c r="O289" i="8"/>
  <c r="R314" i="8"/>
  <c r="O327" i="8"/>
  <c r="G301" i="8"/>
  <c r="F301" i="8"/>
  <c r="Q310" i="8"/>
  <c r="I302" i="8"/>
  <c r="U293" i="8"/>
  <c r="H294" i="8"/>
  <c r="L288" i="8"/>
  <c r="S285" i="8"/>
  <c r="C283" i="8"/>
  <c r="O322" i="8"/>
  <c r="O314" i="8"/>
  <c r="K311" i="8"/>
  <c r="G308" i="8"/>
  <c r="C305" i="8"/>
  <c r="S301" i="8"/>
  <c r="O298" i="8"/>
  <c r="K295" i="8"/>
  <c r="G292" i="8"/>
  <c r="T286" i="8"/>
  <c r="E282" i="8"/>
  <c r="H281" i="8"/>
  <c r="L281" i="8"/>
  <c r="S328" i="8"/>
  <c r="O324" i="8"/>
  <c r="O302" i="8"/>
  <c r="H282" i="8"/>
  <c r="K305" i="8"/>
  <c r="R304" i="8"/>
  <c r="G325" i="8"/>
  <c r="G299" i="8"/>
  <c r="N297" i="8"/>
  <c r="U309" i="8"/>
  <c r="E301" i="8"/>
  <c r="Q292" i="8"/>
  <c r="P298" i="8"/>
  <c r="T293" i="8"/>
  <c r="L287" i="8"/>
  <c r="K287" i="8"/>
  <c r="S283" i="8"/>
  <c r="G322" i="8"/>
  <c r="G314" i="8"/>
  <c r="C311" i="8"/>
  <c r="S307" i="8"/>
  <c r="O304" i="8"/>
  <c r="K301" i="8"/>
  <c r="G298" i="8"/>
  <c r="C295" i="8"/>
  <c r="S291" i="8"/>
  <c r="I286" i="8"/>
  <c r="I281" i="8"/>
  <c r="S281" i="8"/>
  <c r="S299" i="8"/>
  <c r="Q314" i="8"/>
  <c r="I283" i="8"/>
  <c r="C309" i="8"/>
  <c r="K288" i="8"/>
  <c r="S326" i="8"/>
  <c r="M311" i="8"/>
  <c r="S311" i="8"/>
  <c r="C299" i="8"/>
  <c r="J298" i="8"/>
  <c r="O319" i="8"/>
  <c r="O293" i="8"/>
  <c r="N289" i="8"/>
  <c r="F285" i="8"/>
  <c r="F293" i="8"/>
  <c r="Q308" i="8"/>
  <c r="I300" i="8"/>
  <c r="C291" i="8"/>
  <c r="H298" i="8"/>
  <c r="L293" i="8"/>
  <c r="U286" i="8"/>
  <c r="C289" i="8"/>
  <c r="O320" i="8"/>
  <c r="S313" i="8"/>
  <c r="O310" i="8"/>
  <c r="K307" i="8"/>
  <c r="G304" i="8"/>
  <c r="C301" i="8"/>
  <c r="S297" i="8"/>
  <c r="O294" i="8"/>
  <c r="U290" i="8"/>
  <c r="T285" i="8"/>
  <c r="E281" i="8"/>
  <c r="K281" i="8"/>
  <c r="K309" i="8"/>
  <c r="I299" i="8"/>
  <c r="S305" i="8"/>
  <c r="P294" i="8"/>
  <c r="K289" i="8"/>
  <c r="G324" i="8"/>
  <c r="O292" i="8"/>
  <c r="C325" i="8"/>
  <c r="N310" i="8"/>
  <c r="Q317" i="8"/>
  <c r="O315" i="8"/>
  <c r="P290" i="8"/>
  <c r="F289" i="8"/>
  <c r="O287" i="8"/>
  <c r="E307" i="8"/>
  <c r="Q298" i="8"/>
  <c r="M287" i="8"/>
  <c r="P296" i="8"/>
  <c r="D293" i="8"/>
  <c r="U285" i="8"/>
  <c r="S289" i="8"/>
  <c r="G320" i="8"/>
  <c r="K313" i="8"/>
  <c r="G310" i="8"/>
  <c r="C307" i="8"/>
  <c r="S303" i="8"/>
  <c r="O300" i="8"/>
  <c r="K297" i="8"/>
  <c r="G294" i="8"/>
  <c r="L290" i="8"/>
  <c r="I285" i="8"/>
  <c r="C281" i="8"/>
  <c r="C303" i="8"/>
  <c r="U295" i="8"/>
  <c r="G312" i="8"/>
  <c r="C293" i="8"/>
  <c r="Q281" i="8"/>
  <c r="J281" i="8"/>
  <c r="D283" i="8"/>
  <c r="K304" i="8"/>
  <c r="I294" i="8"/>
  <c r="M289" i="8"/>
  <c r="G316" i="8"/>
  <c r="G302" i="8"/>
  <c r="Q282" i="8"/>
  <c r="T281" i="8"/>
  <c r="I317" i="8"/>
  <c r="P299" i="8"/>
  <c r="K312" i="8"/>
  <c r="P287" i="8"/>
  <c r="Q306" i="8"/>
  <c r="U297" i="8"/>
  <c r="U284" i="8"/>
  <c r="H296" i="8"/>
  <c r="P292" i="8"/>
  <c r="T284" i="8"/>
  <c r="O318" i="8"/>
  <c r="C313" i="8"/>
  <c r="S309" i="8"/>
  <c r="O306" i="8"/>
  <c r="K303" i="8"/>
  <c r="G300" i="8"/>
  <c r="C297" i="8"/>
  <c r="S293" i="8"/>
  <c r="L289" i="8"/>
  <c r="S284" i="8"/>
  <c r="U281" i="8"/>
  <c r="D281" i="8"/>
  <c r="O296" i="8"/>
  <c r="M290" i="8"/>
  <c r="K299" i="8"/>
  <c r="S295" i="8"/>
  <c r="M306" i="8"/>
  <c r="P291" i="8"/>
  <c r="G290" i="8"/>
  <c r="G311" i="8"/>
  <c r="Q316" i="8"/>
  <c r="M305" i="8"/>
  <c r="E297" i="8"/>
  <c r="T295" i="8"/>
  <c r="H292" i="8"/>
  <c r="T283" i="8"/>
  <c r="C285" i="8"/>
  <c r="K283" i="8"/>
  <c r="O326" i="8"/>
  <c r="G318" i="8"/>
  <c r="O312" i="8"/>
  <c r="G306" i="8"/>
  <c r="K293" i="8"/>
  <c r="U288" i="8"/>
  <c r="H284" i="8"/>
  <c r="M281" i="8"/>
  <c r="R281" i="8"/>
  <c r="P285" i="8"/>
  <c r="G307" i="8"/>
  <c r="I304" i="8"/>
  <c r="L295" i="8"/>
  <c r="O316" i="8"/>
  <c r="G296" i="8"/>
  <c r="H283" i="8"/>
  <c r="I297" i="8"/>
  <c r="Q302" i="8"/>
  <c r="O308" i="8"/>
  <c r="U287" i="8"/>
  <c r="B401" i="8"/>
  <c r="B409" i="8"/>
  <c r="B417" i="8"/>
  <c r="B425" i="8"/>
  <c r="B433" i="8"/>
  <c r="B441" i="8"/>
  <c r="B394" i="8"/>
  <c r="B402" i="8"/>
  <c r="B410" i="8"/>
  <c r="B418" i="8"/>
  <c r="B426" i="8"/>
  <c r="B434" i="8"/>
  <c r="B442" i="8"/>
  <c r="B399" i="8"/>
  <c r="B431" i="8"/>
  <c r="B416" i="8"/>
  <c r="B395" i="8"/>
  <c r="B403" i="8"/>
  <c r="B411" i="8"/>
  <c r="B419" i="8"/>
  <c r="B427" i="8"/>
  <c r="B435" i="8"/>
  <c r="B396" i="8"/>
  <c r="B404" i="8"/>
  <c r="B412" i="8"/>
  <c r="B420" i="8"/>
  <c r="B428" i="8"/>
  <c r="B436" i="8"/>
  <c r="B393" i="8"/>
  <c r="B397" i="8"/>
  <c r="B405" i="8"/>
  <c r="B413" i="8"/>
  <c r="B421" i="8"/>
  <c r="B429" i="8"/>
  <c r="B437" i="8"/>
  <c r="E393" i="8"/>
  <c r="M393" i="8"/>
  <c r="U393" i="8"/>
  <c r="B407" i="8"/>
  <c r="B423" i="8"/>
  <c r="B408" i="8"/>
  <c r="B440" i="8"/>
  <c r="B398" i="8"/>
  <c r="B406" i="8"/>
  <c r="B414" i="8"/>
  <c r="B422" i="8"/>
  <c r="B430" i="8"/>
  <c r="B438" i="8"/>
  <c r="B415" i="8"/>
  <c r="B439" i="8"/>
  <c r="B400" i="8"/>
  <c r="B432" i="8"/>
  <c r="P393" i="8"/>
  <c r="B424" i="8"/>
  <c r="H393" i="8"/>
  <c r="R429" i="8"/>
  <c r="R442" i="8"/>
  <c r="J438" i="8"/>
  <c r="J427" i="8"/>
  <c r="J420" i="8"/>
  <c r="R412" i="8"/>
  <c r="S442" i="8"/>
  <c r="K440" i="8"/>
  <c r="K429" i="8"/>
  <c r="K428" i="8"/>
  <c r="C427" i="8"/>
  <c r="R408" i="8"/>
  <c r="Q441" i="8"/>
  <c r="Q440" i="8"/>
  <c r="Q439" i="8"/>
  <c r="Q438" i="8"/>
  <c r="Q437" i="8"/>
  <c r="I436" i="8"/>
  <c r="I435" i="8"/>
  <c r="I434" i="8"/>
  <c r="I433" i="8"/>
  <c r="I432" i="8"/>
  <c r="I431" i="8"/>
  <c r="J422" i="8"/>
  <c r="F437" i="8"/>
  <c r="R393" i="8"/>
  <c r="C438" i="8"/>
  <c r="R441" i="8"/>
  <c r="R410" i="8"/>
  <c r="J424" i="8"/>
  <c r="H425" i="8"/>
  <c r="H424" i="8"/>
  <c r="H423" i="8"/>
  <c r="H422" i="8"/>
  <c r="H421" i="8"/>
  <c r="H420" i="8"/>
  <c r="H419" i="8"/>
  <c r="H418" i="8"/>
  <c r="H417" i="8"/>
  <c r="H416" i="8"/>
  <c r="H415" i="8"/>
  <c r="H414" i="8"/>
  <c r="H413" i="8"/>
  <c r="H412" i="8"/>
  <c r="N441" i="8"/>
  <c r="F438" i="8"/>
  <c r="J393" i="8"/>
  <c r="S434" i="8"/>
  <c r="C432" i="8"/>
  <c r="J416" i="8"/>
  <c r="S439" i="8"/>
  <c r="S435" i="8"/>
  <c r="F393" i="8"/>
  <c r="S427" i="8"/>
  <c r="R406" i="8"/>
  <c r="Q434" i="8"/>
  <c r="Q432" i="8"/>
  <c r="J428" i="8"/>
  <c r="J425" i="8"/>
  <c r="J421" i="8"/>
  <c r="J417" i="8"/>
  <c r="P424" i="8"/>
  <c r="P420" i="8"/>
  <c r="P416" i="8"/>
  <c r="P412" i="8"/>
  <c r="F439" i="8"/>
  <c r="F436" i="8"/>
  <c r="F432" i="8"/>
  <c r="F424" i="8"/>
  <c r="F416" i="8"/>
  <c r="K441" i="8"/>
  <c r="K436" i="8"/>
  <c r="K430" i="8"/>
  <c r="I440" i="8"/>
  <c r="K432" i="8"/>
  <c r="P440" i="8"/>
  <c r="H439" i="8"/>
  <c r="P436" i="8"/>
  <c r="H435" i="8"/>
  <c r="P432" i="8"/>
  <c r="H431" i="8"/>
  <c r="O441" i="8"/>
  <c r="K437" i="8"/>
  <c r="R407" i="8"/>
  <c r="P417" i="8"/>
  <c r="P413" i="8"/>
  <c r="O442" i="8"/>
  <c r="N438" i="8"/>
  <c r="F434" i="8"/>
  <c r="N430" i="8"/>
  <c r="F426" i="8"/>
  <c r="F418" i="8"/>
  <c r="U441" i="8"/>
  <c r="C439" i="8"/>
  <c r="G440" i="8"/>
  <c r="H442" i="8"/>
  <c r="P437" i="8"/>
  <c r="P431" i="8"/>
  <c r="P418" i="8"/>
  <c r="N439" i="8"/>
  <c r="C431" i="8"/>
  <c r="I442" i="8"/>
  <c r="Q433" i="8"/>
  <c r="R440" i="8"/>
  <c r="J419" i="8"/>
  <c r="J413" i="8"/>
  <c r="I437" i="8"/>
  <c r="P441" i="8"/>
  <c r="P435" i="8"/>
  <c r="H433" i="8"/>
  <c r="H429" i="8"/>
  <c r="P427" i="8"/>
  <c r="P425" i="8"/>
  <c r="F435" i="8"/>
  <c r="N431" i="8"/>
  <c r="F427" i="8"/>
  <c r="N425" i="8"/>
  <c r="N422" i="8"/>
  <c r="F421" i="8"/>
  <c r="N419" i="8"/>
  <c r="N416" i="8"/>
  <c r="G442" i="8"/>
  <c r="E441" i="8"/>
  <c r="E439" i="8"/>
  <c r="M435" i="8"/>
  <c r="E433" i="8"/>
  <c r="M429" i="8"/>
  <c r="M427" i="8"/>
  <c r="L442" i="8"/>
  <c r="I438" i="8"/>
  <c r="C434" i="8"/>
  <c r="P439" i="8"/>
  <c r="H437" i="8"/>
  <c r="H427" i="8"/>
  <c r="P423" i="8"/>
  <c r="P421" i="8"/>
  <c r="P414" i="8"/>
  <c r="F441" i="8"/>
  <c r="F433" i="8"/>
  <c r="F430" i="8"/>
  <c r="N428" i="8"/>
  <c r="U440" i="8"/>
  <c r="M439" i="8"/>
  <c r="E438" i="8"/>
  <c r="E437" i="8"/>
  <c r="U435" i="8"/>
  <c r="U434" i="8"/>
  <c r="U430" i="8"/>
  <c r="U429" i="8"/>
  <c r="M428" i="8"/>
  <c r="U426" i="8"/>
  <c r="U425" i="8"/>
  <c r="E425" i="8"/>
  <c r="M424" i="8"/>
  <c r="S428" i="8"/>
  <c r="R439" i="8"/>
  <c r="Q436" i="8"/>
  <c r="H441" i="8"/>
  <c r="P430" i="8"/>
  <c r="Q431" i="8"/>
  <c r="P442" i="8"/>
  <c r="H440" i="8"/>
  <c r="H434" i="8"/>
  <c r="P422" i="8"/>
  <c r="P415" i="8"/>
  <c r="G441" i="8"/>
  <c r="F442" i="8"/>
  <c r="F440" i="8"/>
  <c r="N435" i="8"/>
  <c r="N421" i="8"/>
  <c r="F420" i="8"/>
  <c r="F417" i="8"/>
  <c r="M441" i="8"/>
  <c r="E440" i="8"/>
  <c r="U438" i="8"/>
  <c r="M437" i="8"/>
  <c r="M436" i="8"/>
  <c r="E435" i="8"/>
  <c r="E434" i="8"/>
  <c r="U432" i="8"/>
  <c r="K433" i="8"/>
  <c r="R411" i="8"/>
  <c r="S429" i="8"/>
  <c r="P426" i="8"/>
  <c r="F431" i="8"/>
  <c r="N415" i="8"/>
  <c r="O440" i="8"/>
  <c r="E430" i="8"/>
  <c r="M430" i="8"/>
  <c r="M425" i="8"/>
  <c r="D441" i="8"/>
  <c r="T438" i="8"/>
  <c r="T435" i="8"/>
  <c r="D435" i="8"/>
  <c r="L434" i="8"/>
  <c r="T433" i="8"/>
  <c r="D433" i="8"/>
  <c r="L432" i="8"/>
  <c r="T431" i="8"/>
  <c r="D431" i="8"/>
  <c r="L430" i="8"/>
  <c r="T429" i="8"/>
  <c r="D429" i="8"/>
  <c r="L424" i="8"/>
  <c r="J409" i="8"/>
  <c r="J418" i="8"/>
  <c r="H436" i="8"/>
  <c r="H426" i="8"/>
  <c r="N437" i="8"/>
  <c r="N433" i="8"/>
  <c r="N427" i="8"/>
  <c r="N424" i="8"/>
  <c r="N418" i="8"/>
  <c r="U439" i="8"/>
  <c r="E436" i="8"/>
  <c r="I441" i="8"/>
  <c r="J415" i="8"/>
  <c r="H430" i="8"/>
  <c r="N436" i="8"/>
  <c r="N423" i="8"/>
  <c r="N417" i="8"/>
  <c r="U442" i="8"/>
  <c r="E427" i="8"/>
  <c r="M431" i="8"/>
  <c r="M426" i="8"/>
  <c r="D440" i="8"/>
  <c r="D437" i="8"/>
  <c r="I439" i="8"/>
  <c r="P428" i="8"/>
  <c r="N432" i="8"/>
  <c r="N426" i="8"/>
  <c r="S441" i="8"/>
  <c r="M438" i="8"/>
  <c r="M434" i="8"/>
  <c r="U431" i="8"/>
  <c r="U427" i="8"/>
  <c r="U423" i="8"/>
  <c r="L441" i="8"/>
  <c r="L438" i="8"/>
  <c r="D436" i="8"/>
  <c r="L435" i="8"/>
  <c r="T434" i="8"/>
  <c r="D434" i="8"/>
  <c r="L433" i="8"/>
  <c r="D432" i="8"/>
  <c r="L431" i="8"/>
  <c r="T430" i="8"/>
  <c r="D430" i="8"/>
  <c r="L429" i="8"/>
  <c r="Q435" i="8"/>
  <c r="J423" i="8"/>
  <c r="Q442" i="8"/>
  <c r="P438" i="8"/>
  <c r="H432" i="8"/>
  <c r="N434" i="8"/>
  <c r="F419" i="8"/>
  <c r="M440" i="8"/>
  <c r="E431" i="8"/>
  <c r="E428" i="8"/>
  <c r="M442" i="8"/>
  <c r="E429" i="8"/>
  <c r="U424" i="8"/>
  <c r="T439" i="8"/>
  <c r="L437" i="8"/>
  <c r="D425" i="8"/>
  <c r="D415" i="8"/>
  <c r="L414" i="8"/>
  <c r="T413" i="8"/>
  <c r="D413" i="8"/>
  <c r="L412" i="8"/>
  <c r="T411" i="8"/>
  <c r="D411" i="8"/>
  <c r="H428" i="8"/>
  <c r="N442" i="8"/>
  <c r="U437" i="8"/>
  <c r="U428" i="8"/>
  <c r="E442" i="8"/>
  <c r="T441" i="8"/>
  <c r="L422" i="8"/>
  <c r="L421" i="8"/>
  <c r="L419" i="8"/>
  <c r="L418" i="8"/>
  <c r="T416" i="8"/>
  <c r="D412" i="8"/>
  <c r="T409" i="8"/>
  <c r="N440" i="8"/>
  <c r="F423" i="8"/>
  <c r="U436" i="8"/>
  <c r="T428" i="8"/>
  <c r="L427" i="8"/>
  <c r="D426" i="8"/>
  <c r="T424" i="8"/>
  <c r="L423" i="8"/>
  <c r="T412" i="8"/>
  <c r="D409" i="8"/>
  <c r="S432" i="8"/>
  <c r="C430" i="8"/>
  <c r="J434" i="8"/>
  <c r="R430" i="8"/>
  <c r="J429" i="8"/>
  <c r="R422" i="8"/>
  <c r="R413" i="8"/>
  <c r="J406" i="8"/>
  <c r="N429" i="8"/>
  <c r="F422" i="8"/>
  <c r="T436" i="8"/>
  <c r="T432" i="8"/>
  <c r="D421" i="8"/>
  <c r="D420" i="8"/>
  <c r="D419" i="8"/>
  <c r="L417" i="8"/>
  <c r="T415" i="8"/>
  <c r="L413" i="8"/>
  <c r="L410" i="8"/>
  <c r="S431" i="8"/>
  <c r="H438" i="8"/>
  <c r="F429" i="8"/>
  <c r="N420" i="8"/>
  <c r="E426" i="8"/>
  <c r="D438" i="8"/>
  <c r="L428" i="8"/>
  <c r="D427" i="8"/>
  <c r="T425" i="8"/>
  <c r="D423" i="8"/>
  <c r="D422" i="8"/>
  <c r="L416" i="8"/>
  <c r="D414" i="8"/>
  <c r="S440" i="8"/>
  <c r="S438" i="8"/>
  <c r="S436" i="8"/>
  <c r="K434" i="8"/>
  <c r="C429" i="8"/>
  <c r="C436" i="8"/>
  <c r="J439" i="8"/>
  <c r="R432" i="8"/>
  <c r="R431" i="8"/>
  <c r="R426" i="8"/>
  <c r="R417" i="8"/>
  <c r="J410" i="8"/>
  <c r="R404" i="8"/>
  <c r="R403" i="8"/>
  <c r="Q429" i="8"/>
  <c r="Q425" i="8"/>
  <c r="Q418" i="8"/>
  <c r="Q414" i="8"/>
  <c r="I413" i="8"/>
  <c r="Q411" i="8"/>
  <c r="I406" i="8"/>
  <c r="I402" i="8"/>
  <c r="I398" i="8"/>
  <c r="H409" i="8"/>
  <c r="J426" i="8"/>
  <c r="P434" i="8"/>
  <c r="F428" i="8"/>
  <c r="U433" i="8"/>
  <c r="E424" i="8"/>
  <c r="T442" i="8"/>
  <c r="L439" i="8"/>
  <c r="L436" i="8"/>
  <c r="T419" i="8"/>
  <c r="D418" i="8"/>
  <c r="D417" i="8"/>
  <c r="T414" i="8"/>
  <c r="K438" i="8"/>
  <c r="K431" i="8"/>
  <c r="J441" i="8"/>
  <c r="J436" i="8"/>
  <c r="R428" i="8"/>
  <c r="R419" i="8"/>
  <c r="J412" i="8"/>
  <c r="R399" i="8"/>
  <c r="R396" i="8"/>
  <c r="R395" i="8"/>
  <c r="R394" i="8"/>
  <c r="I428" i="8"/>
  <c r="I424" i="8"/>
  <c r="I421" i="8"/>
  <c r="I417" i="8"/>
  <c r="Q408" i="8"/>
  <c r="Q404" i="8"/>
  <c r="Q400" i="8"/>
  <c r="J414" i="8"/>
  <c r="D442" i="8"/>
  <c r="D439" i="8"/>
  <c r="T422" i="8"/>
  <c r="T418" i="8"/>
  <c r="T417" i="8"/>
  <c r="L415" i="8"/>
  <c r="T410" i="8"/>
  <c r="D410" i="8"/>
  <c r="C442" i="8"/>
  <c r="K442" i="8"/>
  <c r="C437" i="8"/>
  <c r="C428" i="8"/>
  <c r="R438" i="8"/>
  <c r="J431" i="8"/>
  <c r="R423" i="8"/>
  <c r="R416" i="8"/>
  <c r="J403" i="8"/>
  <c r="J402" i="8"/>
  <c r="J401" i="8"/>
  <c r="I429" i="8"/>
  <c r="I425" i="8"/>
  <c r="I414" i="8"/>
  <c r="Q412" i="8"/>
  <c r="Q409" i="8"/>
  <c r="Q405" i="8"/>
  <c r="Q401" i="8"/>
  <c r="Q397" i="8"/>
  <c r="Q394" i="8"/>
  <c r="P408" i="8"/>
  <c r="R400" i="8"/>
  <c r="P429" i="8"/>
  <c r="P419" i="8"/>
  <c r="F425" i="8"/>
  <c r="E432" i="8"/>
  <c r="L440" i="8"/>
  <c r="T427" i="8"/>
  <c r="L426" i="8"/>
  <c r="T423" i="8"/>
  <c r="L420" i="8"/>
  <c r="D416" i="8"/>
  <c r="L411" i="8"/>
  <c r="K439" i="8"/>
  <c r="S437" i="8"/>
  <c r="K435" i="8"/>
  <c r="C433" i="8"/>
  <c r="S430" i="8"/>
  <c r="J440" i="8"/>
  <c r="J432" i="8"/>
  <c r="R425" i="8"/>
  <c r="R418" i="8"/>
  <c r="R409" i="8"/>
  <c r="J404" i="8"/>
  <c r="M432" i="8"/>
  <c r="D428" i="8"/>
  <c r="C441" i="8"/>
  <c r="P433" i="8"/>
  <c r="T437" i="8"/>
  <c r="T426" i="8"/>
  <c r="K427" i="8"/>
  <c r="C440" i="8"/>
  <c r="C435" i="8"/>
  <c r="R436" i="8"/>
  <c r="R433" i="8"/>
  <c r="J399" i="8"/>
  <c r="J394" i="8"/>
  <c r="Q426" i="8"/>
  <c r="Q424" i="8"/>
  <c r="I422" i="8"/>
  <c r="I420" i="8"/>
  <c r="Q415" i="8"/>
  <c r="Q406" i="8"/>
  <c r="I400" i="8"/>
  <c r="I396" i="8"/>
  <c r="I394" i="8"/>
  <c r="H410" i="8"/>
  <c r="H404" i="8"/>
  <c r="H400" i="8"/>
  <c r="G433" i="8"/>
  <c r="G429" i="8"/>
  <c r="G426" i="8"/>
  <c r="G422" i="8"/>
  <c r="G419" i="8"/>
  <c r="G415" i="8"/>
  <c r="O409" i="8"/>
  <c r="G404" i="8"/>
  <c r="O401" i="8"/>
  <c r="G398" i="8"/>
  <c r="O394" i="8"/>
  <c r="N413" i="8"/>
  <c r="N409" i="8"/>
  <c r="N405" i="8"/>
  <c r="F396" i="8"/>
  <c r="E422" i="8"/>
  <c r="M419" i="8"/>
  <c r="M418" i="8"/>
  <c r="M416" i="8"/>
  <c r="M415" i="8"/>
  <c r="U412" i="8"/>
  <c r="E410" i="8"/>
  <c r="M407" i="8"/>
  <c r="L425" i="8"/>
  <c r="J433" i="8"/>
  <c r="J430" i="8"/>
  <c r="R424" i="8"/>
  <c r="J397" i="8"/>
  <c r="Q428" i="8"/>
  <c r="Q419" i="8"/>
  <c r="Q417" i="8"/>
  <c r="Q410" i="8"/>
  <c r="I404" i="8"/>
  <c r="P411" i="8"/>
  <c r="H408" i="8"/>
  <c r="P406" i="8"/>
  <c r="P402" i="8"/>
  <c r="P398" i="8"/>
  <c r="H397" i="8"/>
  <c r="H396" i="8"/>
  <c r="P394" i="8"/>
  <c r="O438" i="8"/>
  <c r="O435" i="8"/>
  <c r="O431" i="8"/>
  <c r="O424" i="8"/>
  <c r="O420" i="8"/>
  <c r="O417" i="8"/>
  <c r="O413" i="8"/>
  <c r="G412" i="8"/>
  <c r="O406" i="8"/>
  <c r="O402" i="8"/>
  <c r="G400" i="8"/>
  <c r="G399" i="8"/>
  <c r="F412" i="8"/>
  <c r="F408" i="8"/>
  <c r="F404" i="8"/>
  <c r="N401" i="8"/>
  <c r="N400" i="8"/>
  <c r="F397" i="8"/>
  <c r="M414" i="8"/>
  <c r="U411" i="8"/>
  <c r="E409" i="8"/>
  <c r="M405" i="8"/>
  <c r="U402" i="8"/>
  <c r="E400" i="8"/>
  <c r="E398" i="8"/>
  <c r="M396" i="8"/>
  <c r="D408" i="8"/>
  <c r="M433" i="8"/>
  <c r="D424" i="8"/>
  <c r="J411" i="8"/>
  <c r="R405" i="8"/>
  <c r="R398" i="8"/>
  <c r="Q430" i="8"/>
  <c r="I426" i="8"/>
  <c r="Q421" i="8"/>
  <c r="I415" i="8"/>
  <c r="I408" i="8"/>
  <c r="P409" i="8"/>
  <c r="H405" i="8"/>
  <c r="H401" i="8"/>
  <c r="G437" i="8"/>
  <c r="G434" i="8"/>
  <c r="G430" i="8"/>
  <c r="G427" i="8"/>
  <c r="G423" i="8"/>
  <c r="G416" i="8"/>
  <c r="O410" i="8"/>
  <c r="G405" i="8"/>
  <c r="O396" i="8"/>
  <c r="O395" i="8"/>
  <c r="N414" i="8"/>
  <c r="N410" i="8"/>
  <c r="N406" i="8"/>
  <c r="N403" i="8"/>
  <c r="F398" i="8"/>
  <c r="U422" i="8"/>
  <c r="E421" i="8"/>
  <c r="E420" i="8"/>
  <c r="E418" i="8"/>
  <c r="E417" i="8"/>
  <c r="M413" i="8"/>
  <c r="U410" i="8"/>
  <c r="E408" i="8"/>
  <c r="E407" i="8"/>
  <c r="M404" i="8"/>
  <c r="U401" i="8"/>
  <c r="E399" i="8"/>
  <c r="L409" i="8"/>
  <c r="S433" i="8"/>
  <c r="R435" i="8"/>
  <c r="J405" i="8"/>
  <c r="R402" i="8"/>
  <c r="J400" i="8"/>
  <c r="J395" i="8"/>
  <c r="Q423" i="8"/>
  <c r="I419" i="8"/>
  <c r="I410" i="8"/>
  <c r="Q399" i="8"/>
  <c r="Q395" i="8"/>
  <c r="T420" i="8"/>
  <c r="T408" i="8"/>
  <c r="R434" i="8"/>
  <c r="R427" i="8"/>
  <c r="R421" i="8"/>
  <c r="R415" i="8"/>
  <c r="J398" i="8"/>
  <c r="Q420" i="8"/>
  <c r="I412" i="8"/>
  <c r="Q407" i="8"/>
  <c r="I403" i="8"/>
  <c r="I401" i="8"/>
  <c r="P404" i="8"/>
  <c r="P400" i="8"/>
  <c r="P396" i="8"/>
  <c r="O436" i="8"/>
  <c r="O433" i="8"/>
  <c r="O429" i="8"/>
  <c r="G428" i="8"/>
  <c r="O426" i="8"/>
  <c r="O422" i="8"/>
  <c r="O419" i="8"/>
  <c r="O415" i="8"/>
  <c r="G410" i="8"/>
  <c r="O408" i="8"/>
  <c r="O404" i="8"/>
  <c r="O400" i="8"/>
  <c r="G395" i="8"/>
  <c r="F414" i="8"/>
  <c r="F410" i="8"/>
  <c r="F406" i="8"/>
  <c r="F401" i="8"/>
  <c r="N397" i="8"/>
  <c r="N396" i="8"/>
  <c r="M422" i="8"/>
  <c r="U419" i="8"/>
  <c r="U416" i="8"/>
  <c r="U414" i="8"/>
  <c r="E413" i="8"/>
  <c r="M410" i="8"/>
  <c r="U407" i="8"/>
  <c r="E404" i="8"/>
  <c r="M401" i="8"/>
  <c r="U397" i="8"/>
  <c r="E395" i="8"/>
  <c r="T406" i="8"/>
  <c r="D404" i="8"/>
  <c r="J407" i="8"/>
  <c r="P403" i="8"/>
  <c r="P395" i="8"/>
  <c r="O439" i="8"/>
  <c r="O428" i="8"/>
  <c r="O425" i="8"/>
  <c r="G420" i="8"/>
  <c r="O414" i="8"/>
  <c r="G409" i="8"/>
  <c r="O403" i="8"/>
  <c r="G401" i="8"/>
  <c r="N407" i="8"/>
  <c r="N402" i="8"/>
  <c r="F400" i="8"/>
  <c r="M423" i="8"/>
  <c r="U417" i="8"/>
  <c r="E414" i="8"/>
  <c r="U408" i="8"/>
  <c r="U406" i="8"/>
  <c r="E405" i="8"/>
  <c r="M403" i="8"/>
  <c r="E402" i="8"/>
  <c r="T405" i="8"/>
  <c r="T404" i="8"/>
  <c r="T403" i="8"/>
  <c r="R420" i="8"/>
  <c r="I423" i="8"/>
  <c r="Q416" i="8"/>
  <c r="I411" i="8"/>
  <c r="I405" i="8"/>
  <c r="I399" i="8"/>
  <c r="H406" i="8"/>
  <c r="H398" i="8"/>
  <c r="T440" i="8"/>
  <c r="Q427" i="8"/>
  <c r="Q422" i="8"/>
  <c r="Q398" i="8"/>
  <c r="H403" i="8"/>
  <c r="P397" i="8"/>
  <c r="H395" i="8"/>
  <c r="G439" i="8"/>
  <c r="G425" i="8"/>
  <c r="G414" i="8"/>
  <c r="G403" i="8"/>
  <c r="G396" i="8"/>
  <c r="F415" i="8"/>
  <c r="F407" i="8"/>
  <c r="N399" i="8"/>
  <c r="F395" i="8"/>
  <c r="E423" i="8"/>
  <c r="M417" i="8"/>
  <c r="U413" i="8"/>
  <c r="M408" i="8"/>
  <c r="M406" i="8"/>
  <c r="U404" i="8"/>
  <c r="E403" i="8"/>
  <c r="U398" i="8"/>
  <c r="M397" i="8"/>
  <c r="U394" i="8"/>
  <c r="R414" i="8"/>
  <c r="R397" i="8"/>
  <c r="I427" i="8"/>
  <c r="I409" i="8"/>
  <c r="I397" i="8"/>
  <c r="H411" i="8"/>
  <c r="P407" i="8"/>
  <c r="P399" i="8"/>
  <c r="O432" i="8"/>
  <c r="O421" i="8"/>
  <c r="O418" i="8"/>
  <c r="G413" i="8"/>
  <c r="O407" i="8"/>
  <c r="U420" i="8"/>
  <c r="M411" i="8"/>
  <c r="M398" i="8"/>
  <c r="M394" i="8"/>
  <c r="L408" i="8"/>
  <c r="D402" i="8"/>
  <c r="L398" i="8"/>
  <c r="T395" i="8"/>
  <c r="S425" i="8"/>
  <c r="S422" i="8"/>
  <c r="C420" i="8"/>
  <c r="K417" i="8"/>
  <c r="K416" i="8"/>
  <c r="K415" i="8"/>
  <c r="K414" i="8"/>
  <c r="S411" i="8"/>
  <c r="C409" i="8"/>
  <c r="K406" i="8"/>
  <c r="K405" i="8"/>
  <c r="K404" i="8"/>
  <c r="S402" i="8"/>
  <c r="K400" i="8"/>
  <c r="C398" i="8"/>
  <c r="K396" i="8"/>
  <c r="T421" i="8"/>
  <c r="R437" i="8"/>
  <c r="Q402" i="8"/>
  <c r="Q396" i="8"/>
  <c r="H402" i="8"/>
  <c r="H394" i="8"/>
  <c r="G438" i="8"/>
  <c r="G435" i="8"/>
  <c r="G424" i="8"/>
  <c r="G402" i="8"/>
  <c r="O397" i="8"/>
  <c r="N408" i="8"/>
  <c r="F403" i="8"/>
  <c r="F394" i="8"/>
  <c r="U418" i="8"/>
  <c r="M409" i="8"/>
  <c r="U405" i="8"/>
  <c r="U399" i="8"/>
  <c r="U396" i="8"/>
  <c r="M395" i="8"/>
  <c r="D403" i="8"/>
  <c r="D400" i="8"/>
  <c r="J396" i="8"/>
  <c r="O427" i="8"/>
  <c r="O416" i="8"/>
  <c r="G411" i="8"/>
  <c r="O405" i="8"/>
  <c r="F413" i="8"/>
  <c r="U421" i="8"/>
  <c r="U403" i="8"/>
  <c r="U400" i="8"/>
  <c r="L404" i="8"/>
  <c r="T402" i="8"/>
  <c r="C426" i="8"/>
  <c r="C425" i="8"/>
  <c r="S423" i="8"/>
  <c r="C408" i="8"/>
  <c r="C407" i="8"/>
  <c r="C406" i="8"/>
  <c r="C401" i="8"/>
  <c r="S395" i="8"/>
  <c r="I393" i="8"/>
  <c r="P405" i="8"/>
  <c r="O434" i="8"/>
  <c r="O423" i="8"/>
  <c r="E419" i="8"/>
  <c r="U395" i="8"/>
  <c r="L406" i="8"/>
  <c r="L400" i="8"/>
  <c r="K413" i="8"/>
  <c r="K410" i="8"/>
  <c r="K407" i="8"/>
  <c r="Q403" i="8"/>
  <c r="P410" i="8"/>
  <c r="G432" i="8"/>
  <c r="G421" i="8"/>
  <c r="O399" i="8"/>
  <c r="N412" i="8"/>
  <c r="F402" i="8"/>
  <c r="M421" i="8"/>
  <c r="M400" i="8"/>
  <c r="T407" i="8"/>
  <c r="D401" i="8"/>
  <c r="T394" i="8"/>
  <c r="C414" i="8"/>
  <c r="C413" i="8"/>
  <c r="C412" i="8"/>
  <c r="C410" i="8"/>
  <c r="S404" i="8"/>
  <c r="S401" i="8"/>
  <c r="C400" i="8"/>
  <c r="K398" i="8"/>
  <c r="N394" i="8"/>
  <c r="K409" i="8"/>
  <c r="C404" i="8"/>
  <c r="S398" i="8"/>
  <c r="G393" i="8"/>
  <c r="G406" i="8"/>
  <c r="E411" i="8"/>
  <c r="E401" i="8"/>
  <c r="D406" i="8"/>
  <c r="D397" i="8"/>
  <c r="D394" i="8"/>
  <c r="S420" i="8"/>
  <c r="S418" i="8"/>
  <c r="S396" i="8"/>
  <c r="C395" i="8"/>
  <c r="N393" i="8"/>
  <c r="Q393" i="8"/>
  <c r="I418" i="8"/>
  <c r="O437" i="8"/>
  <c r="N411" i="8"/>
  <c r="U409" i="8"/>
  <c r="E406" i="8"/>
  <c r="E397" i="8"/>
  <c r="L407" i="8"/>
  <c r="T399" i="8"/>
  <c r="T398" i="8"/>
  <c r="T397" i="8"/>
  <c r="T396" i="8"/>
  <c r="S424" i="8"/>
  <c r="K423" i="8"/>
  <c r="K422" i="8"/>
  <c r="K421" i="8"/>
  <c r="K420" i="8"/>
  <c r="K419" i="8"/>
  <c r="K418" i="8"/>
  <c r="C416" i="8"/>
  <c r="C415" i="8"/>
  <c r="C411" i="8"/>
  <c r="S403" i="8"/>
  <c r="K397" i="8"/>
  <c r="S394" i="8"/>
  <c r="S393" i="8"/>
  <c r="D399" i="8"/>
  <c r="S421" i="8"/>
  <c r="J442" i="8"/>
  <c r="J408" i="8"/>
  <c r="I416" i="8"/>
  <c r="P401" i="8"/>
  <c r="G431" i="8"/>
  <c r="O398" i="8"/>
  <c r="G394" i="8"/>
  <c r="F411" i="8"/>
  <c r="M420" i="8"/>
  <c r="M402" i="8"/>
  <c r="E394" i="8"/>
  <c r="D407" i="8"/>
  <c r="L405" i="8"/>
  <c r="L402" i="8"/>
  <c r="T400" i="8"/>
  <c r="S426" i="8"/>
  <c r="S410" i="8"/>
  <c r="S409" i="8"/>
  <c r="S408" i="8"/>
  <c r="S407" i="8"/>
  <c r="S406" i="8"/>
  <c r="S405" i="8"/>
  <c r="C399" i="8"/>
  <c r="K395" i="8"/>
  <c r="T393" i="8"/>
  <c r="K393" i="8"/>
  <c r="G397" i="8"/>
  <c r="K411" i="8"/>
  <c r="I407" i="8"/>
  <c r="O411" i="8"/>
  <c r="N398" i="8"/>
  <c r="D398" i="8"/>
  <c r="D395" i="8"/>
  <c r="S419" i="8"/>
  <c r="S416" i="8"/>
  <c r="C405" i="8"/>
  <c r="C402" i="8"/>
  <c r="J437" i="8"/>
  <c r="I430" i="8"/>
  <c r="Q413" i="8"/>
  <c r="H407" i="8"/>
  <c r="G436" i="8"/>
  <c r="O430" i="8"/>
  <c r="G408" i="8"/>
  <c r="F405" i="8"/>
  <c r="N395" i="8"/>
  <c r="E416" i="8"/>
  <c r="M412" i="8"/>
  <c r="M399" i="8"/>
  <c r="D405" i="8"/>
  <c r="L397" i="8"/>
  <c r="L396" i="8"/>
  <c r="L395" i="8"/>
  <c r="L394" i="8"/>
  <c r="K424" i="8"/>
  <c r="C419" i="8"/>
  <c r="C418" i="8"/>
  <c r="C417" i="8"/>
  <c r="S413" i="8"/>
  <c r="S412" i="8"/>
  <c r="K403" i="8"/>
  <c r="K402" i="8"/>
  <c r="S400" i="8"/>
  <c r="S399" i="8"/>
  <c r="C397" i="8"/>
  <c r="L393" i="8"/>
  <c r="C393" i="8"/>
  <c r="F409" i="8"/>
  <c r="K399" i="8"/>
  <c r="J435" i="8"/>
  <c r="R401" i="8"/>
  <c r="H399" i="8"/>
  <c r="G418" i="8"/>
  <c r="O412" i="8"/>
  <c r="G407" i="8"/>
  <c r="N404" i="8"/>
  <c r="U415" i="8"/>
  <c r="E412" i="8"/>
  <c r="E396" i="8"/>
  <c r="L403" i="8"/>
  <c r="T401" i="8"/>
  <c r="L399" i="8"/>
  <c r="K426" i="8"/>
  <c r="K425" i="8"/>
  <c r="C423" i="8"/>
  <c r="C422" i="8"/>
  <c r="C421" i="8"/>
  <c r="S415" i="8"/>
  <c r="S414" i="8"/>
  <c r="K401" i="8"/>
  <c r="C396" i="8"/>
  <c r="K394" i="8"/>
  <c r="D393" i="8"/>
  <c r="O393" i="8"/>
  <c r="I395" i="8"/>
  <c r="F399" i="8"/>
  <c r="E415" i="8"/>
  <c r="C424" i="8"/>
  <c r="K412" i="8"/>
  <c r="K408" i="8"/>
  <c r="S397" i="8"/>
  <c r="G417" i="8"/>
  <c r="L401" i="8"/>
  <c r="D396" i="8"/>
  <c r="S417" i="8"/>
  <c r="C403" i="8"/>
  <c r="C394" i="8"/>
  <c r="B341" i="8"/>
  <c r="B349" i="8"/>
  <c r="B357" i="8"/>
  <c r="B365" i="8"/>
  <c r="B373" i="8"/>
  <c r="B381" i="8"/>
  <c r="S349" i="8"/>
  <c r="G353" i="8"/>
  <c r="E362" i="8"/>
  <c r="B342" i="8"/>
  <c r="B350" i="8"/>
  <c r="B358" i="8"/>
  <c r="B366" i="8"/>
  <c r="B374" i="8"/>
  <c r="B382" i="8"/>
  <c r="L346" i="8"/>
  <c r="K360" i="8"/>
  <c r="R379" i="8"/>
  <c r="B347" i="8"/>
  <c r="B371" i="8"/>
  <c r="B348" i="8"/>
  <c r="B337" i="8"/>
  <c r="B343" i="8"/>
  <c r="B351" i="8"/>
  <c r="B359" i="8"/>
  <c r="B367" i="8"/>
  <c r="B375" i="8"/>
  <c r="B383" i="8"/>
  <c r="M362" i="8"/>
  <c r="B344" i="8"/>
  <c r="B352" i="8"/>
  <c r="B360" i="8"/>
  <c r="B368" i="8"/>
  <c r="B376" i="8"/>
  <c r="B384" i="8"/>
  <c r="D354" i="8"/>
  <c r="C368" i="8"/>
  <c r="I366" i="8"/>
  <c r="B345" i="8"/>
  <c r="B353" i="8"/>
  <c r="B361" i="8"/>
  <c r="B369" i="8"/>
  <c r="B377" i="8"/>
  <c r="B385" i="8"/>
  <c r="L359" i="8"/>
  <c r="S360" i="8"/>
  <c r="B339" i="8"/>
  <c r="B363" i="8"/>
  <c r="G372" i="8"/>
  <c r="B356" i="8"/>
  <c r="B372" i="8"/>
  <c r="B338" i="8"/>
  <c r="B346" i="8"/>
  <c r="B354" i="8"/>
  <c r="B362" i="8"/>
  <c r="B370" i="8"/>
  <c r="B378" i="8"/>
  <c r="B386" i="8"/>
  <c r="K341" i="8"/>
  <c r="M351" i="8"/>
  <c r="K368" i="8"/>
  <c r="B355" i="8"/>
  <c r="B379" i="8"/>
  <c r="B340" i="8"/>
  <c r="B364" i="8"/>
  <c r="B380" i="8"/>
  <c r="O372" i="8"/>
  <c r="K386" i="8"/>
  <c r="K380" i="8"/>
  <c r="K377" i="8"/>
  <c r="R355" i="8"/>
  <c r="O385" i="8"/>
  <c r="S385" i="8"/>
  <c r="K381" i="8"/>
  <c r="C378" i="8"/>
  <c r="S373" i="8"/>
  <c r="J369" i="8"/>
  <c r="J362" i="8"/>
  <c r="Q386" i="8"/>
  <c r="U362" i="8"/>
  <c r="C375" i="8"/>
  <c r="R373" i="8"/>
  <c r="R386" i="8"/>
  <c r="J382" i="8"/>
  <c r="J371" i="8"/>
  <c r="J364" i="8"/>
  <c r="J358" i="8"/>
  <c r="R356" i="8"/>
  <c r="R344" i="8"/>
  <c r="G385" i="8"/>
  <c r="N383" i="8"/>
  <c r="F380" i="8"/>
  <c r="S386" i="8"/>
  <c r="K384" i="8"/>
  <c r="K373" i="8"/>
  <c r="K372" i="8"/>
  <c r="C371" i="8"/>
  <c r="R352" i="8"/>
  <c r="Q385" i="8"/>
  <c r="Q384" i="8"/>
  <c r="Q383" i="8"/>
  <c r="Q381" i="8"/>
  <c r="I380" i="8"/>
  <c r="I379" i="8"/>
  <c r="I378" i="8"/>
  <c r="I377" i="8"/>
  <c r="I376" i="8"/>
  <c r="I375" i="8"/>
  <c r="J366" i="8"/>
  <c r="N384" i="8"/>
  <c r="F381" i="8"/>
  <c r="C382" i="8"/>
  <c r="R385" i="8"/>
  <c r="R354" i="8"/>
  <c r="Q382" i="8"/>
  <c r="R337" i="8"/>
  <c r="S378" i="8"/>
  <c r="J360" i="8"/>
  <c r="N337" i="8"/>
  <c r="K385" i="8"/>
  <c r="R383" i="8"/>
  <c r="J357" i="8"/>
  <c r="H386" i="8"/>
  <c r="P383" i="8"/>
  <c r="H382" i="8"/>
  <c r="P379" i="8"/>
  <c r="H378" i="8"/>
  <c r="P375" i="8"/>
  <c r="H374" i="8"/>
  <c r="P371" i="8"/>
  <c r="H370" i="8"/>
  <c r="N381" i="8"/>
  <c r="N378" i="8"/>
  <c r="N371" i="8"/>
  <c r="N370" i="8"/>
  <c r="F367" i="8"/>
  <c r="N363" i="8"/>
  <c r="N362" i="8"/>
  <c r="O384" i="8"/>
  <c r="U386" i="8"/>
  <c r="E385" i="8"/>
  <c r="U383" i="8"/>
  <c r="M382" i="8"/>
  <c r="U380" i="8"/>
  <c r="M379" i="8"/>
  <c r="U377" i="8"/>
  <c r="M376" i="8"/>
  <c r="E375" i="8"/>
  <c r="M373" i="8"/>
  <c r="E372" i="8"/>
  <c r="E371" i="8"/>
  <c r="E368" i="8"/>
  <c r="R350" i="8"/>
  <c r="I382" i="8"/>
  <c r="Q378" i="8"/>
  <c r="Q376" i="8"/>
  <c r="J372" i="8"/>
  <c r="J368" i="8"/>
  <c r="J365" i="8"/>
  <c r="J361" i="8"/>
  <c r="K374" i="8"/>
  <c r="I384" i="8"/>
  <c r="Q380" i="8"/>
  <c r="P384" i="8"/>
  <c r="H383" i="8"/>
  <c r="P380" i="8"/>
  <c r="H379" i="8"/>
  <c r="P376" i="8"/>
  <c r="H375" i="8"/>
  <c r="P372" i="8"/>
  <c r="H371" i="8"/>
  <c r="F386" i="8"/>
  <c r="N379" i="8"/>
  <c r="F377" i="8"/>
  <c r="N373" i="8"/>
  <c r="N372" i="8"/>
  <c r="F369" i="8"/>
  <c r="N365" i="8"/>
  <c r="N364" i="8"/>
  <c r="F361" i="8"/>
  <c r="M386" i="8"/>
  <c r="F337" i="8"/>
  <c r="C376" i="8"/>
  <c r="S372" i="8"/>
  <c r="J353" i="8"/>
  <c r="I383" i="8"/>
  <c r="J370" i="8"/>
  <c r="I381" i="8"/>
  <c r="P377" i="8"/>
  <c r="P373" i="8"/>
  <c r="P364" i="8"/>
  <c r="H359" i="8"/>
  <c r="N377" i="8"/>
  <c r="F376" i="8"/>
  <c r="N374" i="8"/>
  <c r="F373" i="8"/>
  <c r="N368" i="8"/>
  <c r="P381" i="8"/>
  <c r="H366" i="8"/>
  <c r="H364" i="8"/>
  <c r="P362" i="8"/>
  <c r="H357" i="8"/>
  <c r="F362" i="8"/>
  <c r="I386" i="8"/>
  <c r="Q377" i="8"/>
  <c r="R384" i="8"/>
  <c r="J363" i="8"/>
  <c r="P385" i="8"/>
  <c r="H377" i="8"/>
  <c r="H373" i="8"/>
  <c r="P360" i="8"/>
  <c r="F379" i="8"/>
  <c r="F371" i="8"/>
  <c r="N369" i="8"/>
  <c r="F368" i="8"/>
  <c r="N366" i="8"/>
  <c r="F365" i="8"/>
  <c r="N360" i="8"/>
  <c r="G386" i="8"/>
  <c r="E383" i="8"/>
  <c r="E377" i="8"/>
  <c r="M371" i="8"/>
  <c r="M377" i="8"/>
  <c r="E376" i="8"/>
  <c r="L386" i="8"/>
  <c r="T385" i="8"/>
  <c r="D385" i="8"/>
  <c r="L384" i="8"/>
  <c r="T383" i="8"/>
  <c r="D383" i="8"/>
  <c r="L382" i="8"/>
  <c r="L380" i="8"/>
  <c r="G384" i="8"/>
  <c r="R351" i="8"/>
  <c r="H381" i="8"/>
  <c r="Q379" i="8"/>
  <c r="S383" i="8"/>
  <c r="J359" i="8"/>
  <c r="P382" i="8"/>
  <c r="H380" i="8"/>
  <c r="H372" i="8"/>
  <c r="P370" i="8"/>
  <c r="P368" i="8"/>
  <c r="H363" i="8"/>
  <c r="N376" i="8"/>
  <c r="F375" i="8"/>
  <c r="N359" i="8"/>
  <c r="U385" i="8"/>
  <c r="E380" i="8"/>
  <c r="E374" i="8"/>
  <c r="P363" i="8"/>
  <c r="H356" i="8"/>
  <c r="N386" i="8"/>
  <c r="F382" i="8"/>
  <c r="F378" i="8"/>
  <c r="F372" i="8"/>
  <c r="F366" i="8"/>
  <c r="E386" i="8"/>
  <c r="U379" i="8"/>
  <c r="E378" i="8"/>
  <c r="T386" i="8"/>
  <c r="D382" i="8"/>
  <c r="L381" i="8"/>
  <c r="L372" i="8"/>
  <c r="T371" i="8"/>
  <c r="D371" i="8"/>
  <c r="L370" i="8"/>
  <c r="T369" i="8"/>
  <c r="T367" i="8"/>
  <c r="D367" i="8"/>
  <c r="L366" i="8"/>
  <c r="L364" i="8"/>
  <c r="S371" i="8"/>
  <c r="P386" i="8"/>
  <c r="P374" i="8"/>
  <c r="P366" i="8"/>
  <c r="P359" i="8"/>
  <c r="N385" i="8"/>
  <c r="M383" i="8"/>
  <c r="M381" i="8"/>
  <c r="M374" i="8"/>
  <c r="M372" i="8"/>
  <c r="M369" i="8"/>
  <c r="M368" i="8"/>
  <c r="Q375" i="8"/>
  <c r="H385" i="8"/>
  <c r="P365" i="8"/>
  <c r="H362" i="8"/>
  <c r="P358" i="8"/>
  <c r="F385" i="8"/>
  <c r="F374" i="8"/>
  <c r="M385" i="8"/>
  <c r="L383" i="8"/>
  <c r="C383" i="8"/>
  <c r="I385" i="8"/>
  <c r="H384" i="8"/>
  <c r="P378" i="8"/>
  <c r="H365" i="8"/>
  <c r="P361" i="8"/>
  <c r="H358" i="8"/>
  <c r="F384" i="8"/>
  <c r="U372" i="8"/>
  <c r="E370" i="8"/>
  <c r="U384" i="8"/>
  <c r="U382" i="8"/>
  <c r="T384" i="8"/>
  <c r="T381" i="8"/>
  <c r="T376" i="8"/>
  <c r="T372" i="8"/>
  <c r="D372" i="8"/>
  <c r="L371" i="8"/>
  <c r="T370" i="8"/>
  <c r="D370" i="8"/>
  <c r="L369" i="8"/>
  <c r="T368" i="8"/>
  <c r="D368" i="8"/>
  <c r="L367" i="8"/>
  <c r="T366" i="8"/>
  <c r="D366" i="8"/>
  <c r="T364" i="8"/>
  <c r="D364" i="8"/>
  <c r="L363" i="8"/>
  <c r="T362" i="8"/>
  <c r="D362" i="8"/>
  <c r="L361" i="8"/>
  <c r="P367" i="8"/>
  <c r="H360" i="8"/>
  <c r="N375" i="8"/>
  <c r="U381" i="8"/>
  <c r="E382" i="8"/>
  <c r="M380" i="8"/>
  <c r="D386" i="8"/>
  <c r="T380" i="8"/>
  <c r="S379" i="8"/>
  <c r="N367" i="8"/>
  <c r="F360" i="8"/>
  <c r="M375" i="8"/>
  <c r="U370" i="8"/>
  <c r="U367" i="8"/>
  <c r="T382" i="8"/>
  <c r="T379" i="8"/>
  <c r="L378" i="8"/>
  <c r="D377" i="8"/>
  <c r="T375" i="8"/>
  <c r="L374" i="8"/>
  <c r="D360" i="8"/>
  <c r="L358" i="8"/>
  <c r="L355" i="8"/>
  <c r="H361" i="8"/>
  <c r="F383" i="8"/>
  <c r="U374" i="8"/>
  <c r="M370" i="8"/>
  <c r="D384" i="8"/>
  <c r="D381" i="8"/>
  <c r="L365" i="8"/>
  <c r="L362" i="8"/>
  <c r="T360" i="8"/>
  <c r="D359" i="8"/>
  <c r="D356" i="8"/>
  <c r="K371" i="8"/>
  <c r="C385" i="8"/>
  <c r="C379" i="8"/>
  <c r="J386" i="8"/>
  <c r="R380" i="8"/>
  <c r="J377" i="8"/>
  <c r="R371" i="8"/>
  <c r="R364" i="8"/>
  <c r="J355" i="8"/>
  <c r="J349" i="8"/>
  <c r="H369" i="8"/>
  <c r="E379" i="8"/>
  <c r="U369" i="8"/>
  <c r="L385" i="8"/>
  <c r="L379" i="8"/>
  <c r="D378" i="8"/>
  <c r="L375" i="8"/>
  <c r="D374" i="8"/>
  <c r="T356" i="8"/>
  <c r="T353" i="8"/>
  <c r="D353" i="8"/>
  <c r="H368" i="8"/>
  <c r="N382" i="8"/>
  <c r="M378" i="8"/>
  <c r="E384" i="8"/>
  <c r="U378" i="8"/>
  <c r="U373" i="8"/>
  <c r="L368" i="8"/>
  <c r="D365" i="8"/>
  <c r="D363" i="8"/>
  <c r="T359" i="8"/>
  <c r="L357" i="8"/>
  <c r="D355" i="8"/>
  <c r="L354" i="8"/>
  <c r="R381" i="8"/>
  <c r="J379" i="8"/>
  <c r="R368" i="8"/>
  <c r="R359" i="8"/>
  <c r="J352" i="8"/>
  <c r="R346" i="8"/>
  <c r="R345" i="8"/>
  <c r="I371" i="8"/>
  <c r="I367" i="8"/>
  <c r="I364" i="8"/>
  <c r="I360" i="8"/>
  <c r="Q351" i="8"/>
  <c r="Q347" i="8"/>
  <c r="Q343" i="8"/>
  <c r="I338" i="8"/>
  <c r="P354" i="8"/>
  <c r="H367" i="8"/>
  <c r="P357" i="8"/>
  <c r="N380" i="8"/>
  <c r="F364" i="8"/>
  <c r="E369" i="8"/>
  <c r="D379" i="8"/>
  <c r="T377" i="8"/>
  <c r="L376" i="8"/>
  <c r="D375" i="8"/>
  <c r="T373" i="8"/>
  <c r="L360" i="8"/>
  <c r="D358" i="8"/>
  <c r="T355" i="8"/>
  <c r="S384" i="8"/>
  <c r="S382" i="8"/>
  <c r="S380" i="8"/>
  <c r="K378" i="8"/>
  <c r="S375" i="8"/>
  <c r="C373" i="8"/>
  <c r="C380" i="8"/>
  <c r="J383" i="8"/>
  <c r="R376" i="8"/>
  <c r="R375" i="8"/>
  <c r="R370" i="8"/>
  <c r="R361" i="8"/>
  <c r="J354" i="8"/>
  <c r="R348" i="8"/>
  <c r="R347" i="8"/>
  <c r="Q373" i="8"/>
  <c r="Q369" i="8"/>
  <c r="Q362" i="8"/>
  <c r="Q358" i="8"/>
  <c r="I357" i="8"/>
  <c r="I354" i="8"/>
  <c r="I350" i="8"/>
  <c r="I346" i="8"/>
  <c r="I342" i="8"/>
  <c r="H376" i="8"/>
  <c r="O386" i="8"/>
  <c r="F370" i="8"/>
  <c r="N361" i="8"/>
  <c r="M384" i="8"/>
  <c r="U375" i="8"/>
  <c r="U376" i="8"/>
  <c r="U368" i="8"/>
  <c r="D380" i="8"/>
  <c r="T378" i="8"/>
  <c r="L377" i="8"/>
  <c r="D376" i="8"/>
  <c r="T374" i="8"/>
  <c r="L373" i="8"/>
  <c r="T365" i="8"/>
  <c r="L353" i="8"/>
  <c r="T352" i="8"/>
  <c r="K376" i="8"/>
  <c r="C384" i="8"/>
  <c r="S377" i="8"/>
  <c r="K375" i="8"/>
  <c r="J381" i="8"/>
  <c r="R378" i="8"/>
  <c r="R377" i="8"/>
  <c r="J374" i="8"/>
  <c r="R365" i="8"/>
  <c r="R358" i="8"/>
  <c r="R349" i="8"/>
  <c r="R343" i="8"/>
  <c r="R342" i="8"/>
  <c r="R341" i="8"/>
  <c r="Q370" i="8"/>
  <c r="Q363" i="8"/>
  <c r="Q359" i="8"/>
  <c r="I355" i="8"/>
  <c r="I351" i="8"/>
  <c r="I347" i="8"/>
  <c r="I343" i="8"/>
  <c r="H354" i="8"/>
  <c r="E381" i="8"/>
  <c r="U371" i="8"/>
  <c r="D369" i="8"/>
  <c r="T361" i="8"/>
  <c r="T357" i="8"/>
  <c r="D357" i="8"/>
  <c r="T354" i="8"/>
  <c r="C386" i="8"/>
  <c r="C381" i="8"/>
  <c r="C372" i="8"/>
  <c r="R382" i="8"/>
  <c r="J375" i="8"/>
  <c r="R367" i="8"/>
  <c r="R360" i="8"/>
  <c r="J351" i="8"/>
  <c r="J347" i="8"/>
  <c r="J346" i="8"/>
  <c r="J367" i="8"/>
  <c r="L356" i="8"/>
  <c r="S381" i="8"/>
  <c r="C374" i="8"/>
  <c r="R374" i="8"/>
  <c r="R369" i="8"/>
  <c r="R363" i="8"/>
  <c r="R357" i="8"/>
  <c r="Q357" i="8"/>
  <c r="I353" i="8"/>
  <c r="Q348" i="8"/>
  <c r="Q346" i="8"/>
  <c r="Q339" i="8"/>
  <c r="P349" i="8"/>
  <c r="P345" i="8"/>
  <c r="P341" i="8"/>
  <c r="H340" i="8"/>
  <c r="S368" i="8"/>
  <c r="O381" i="8"/>
  <c r="O378" i="8"/>
  <c r="O374" i="8"/>
  <c r="O371" i="8"/>
  <c r="O367" i="8"/>
  <c r="O360" i="8"/>
  <c r="G355" i="8"/>
  <c r="O349" i="8"/>
  <c r="G341" i="8"/>
  <c r="F359" i="8"/>
  <c r="F355" i="8"/>
  <c r="F351" i="8"/>
  <c r="F347" i="8"/>
  <c r="N343" i="8"/>
  <c r="N342" i="8"/>
  <c r="F339" i="8"/>
  <c r="Q374" i="8"/>
  <c r="E367" i="8"/>
  <c r="M364" i="8"/>
  <c r="M361" i="8"/>
  <c r="U357" i="8"/>
  <c r="E355" i="8"/>
  <c r="M352" i="8"/>
  <c r="U348" i="8"/>
  <c r="D361" i="8"/>
  <c r="K379" i="8"/>
  <c r="J385" i="8"/>
  <c r="R362" i="8"/>
  <c r="J356" i="8"/>
  <c r="J350" i="8"/>
  <c r="J345" i="8"/>
  <c r="J343" i="8"/>
  <c r="R339" i="8"/>
  <c r="J338" i="8"/>
  <c r="P369" i="8"/>
  <c r="Q368" i="8"/>
  <c r="Q352" i="8"/>
  <c r="Q350" i="8"/>
  <c r="I344" i="8"/>
  <c r="I340" i="8"/>
  <c r="H348" i="8"/>
  <c r="H344" i="8"/>
  <c r="I358" i="8"/>
  <c r="G377" i="8"/>
  <c r="G373" i="8"/>
  <c r="G370" i="8"/>
  <c r="G366" i="8"/>
  <c r="G363" i="8"/>
  <c r="G359" i="8"/>
  <c r="O353" i="8"/>
  <c r="G352" i="8"/>
  <c r="G348" i="8"/>
  <c r="O345" i="8"/>
  <c r="G342" i="8"/>
  <c r="O338" i="8"/>
  <c r="N357" i="8"/>
  <c r="N353" i="8"/>
  <c r="N349" i="8"/>
  <c r="F340" i="8"/>
  <c r="O364" i="8"/>
  <c r="E366" i="8"/>
  <c r="E365" i="8"/>
  <c r="M363" i="8"/>
  <c r="M360" i="8"/>
  <c r="M359" i="8"/>
  <c r="U356" i="8"/>
  <c r="E354" i="8"/>
  <c r="M350" i="8"/>
  <c r="U347" i="8"/>
  <c r="E345" i="8"/>
  <c r="M341" i="8"/>
  <c r="U338" i="8"/>
  <c r="P356" i="8"/>
  <c r="K382" i="8"/>
  <c r="J384" i="8"/>
  <c r="J380" i="8"/>
  <c r="J341" i="8"/>
  <c r="Q372" i="8"/>
  <c r="I368" i="8"/>
  <c r="Q361" i="8"/>
  <c r="Q354" i="8"/>
  <c r="I348" i="8"/>
  <c r="Q341" i="8"/>
  <c r="P355" i="8"/>
  <c r="H352" i="8"/>
  <c r="P350" i="8"/>
  <c r="P346" i="8"/>
  <c r="P342" i="8"/>
  <c r="P338" i="8"/>
  <c r="O382" i="8"/>
  <c r="O379" i="8"/>
  <c r="O375" i="8"/>
  <c r="O368" i="8"/>
  <c r="O361" i="8"/>
  <c r="G356" i="8"/>
  <c r="O350" i="8"/>
  <c r="O346" i="8"/>
  <c r="G343" i="8"/>
  <c r="F356" i="8"/>
  <c r="F352" i="8"/>
  <c r="N345" i="8"/>
  <c r="N344" i="8"/>
  <c r="F341" i="8"/>
  <c r="F348" i="8"/>
  <c r="M358" i="8"/>
  <c r="U355" i="8"/>
  <c r="E353" i="8"/>
  <c r="M349" i="8"/>
  <c r="U346" i="8"/>
  <c r="E344" i="8"/>
  <c r="E342" i="8"/>
  <c r="M340" i="8"/>
  <c r="E373" i="8"/>
  <c r="C377" i="8"/>
  <c r="D373" i="8"/>
  <c r="J373" i="8"/>
  <c r="I372" i="8"/>
  <c r="I370" i="8"/>
  <c r="Q365" i="8"/>
  <c r="I361" i="8"/>
  <c r="I359" i="8"/>
  <c r="Q356" i="8"/>
  <c r="I352" i="8"/>
  <c r="Q345" i="8"/>
  <c r="F363" i="8"/>
  <c r="K383" i="8"/>
  <c r="S374" i="8"/>
  <c r="S376" i="8"/>
  <c r="R353" i="8"/>
  <c r="Q371" i="8"/>
  <c r="Q360" i="8"/>
  <c r="Q353" i="8"/>
  <c r="I341" i="8"/>
  <c r="I339" i="8"/>
  <c r="H353" i="8"/>
  <c r="H350" i="8"/>
  <c r="H346" i="8"/>
  <c r="H342" i="8"/>
  <c r="H338" i="8"/>
  <c r="G382" i="8"/>
  <c r="G379" i="8"/>
  <c r="G375" i="8"/>
  <c r="G368" i="8"/>
  <c r="G361" i="8"/>
  <c r="O355" i="8"/>
  <c r="G350" i="8"/>
  <c r="G346" i="8"/>
  <c r="O342" i="8"/>
  <c r="O341" i="8"/>
  <c r="G338" i="8"/>
  <c r="O357" i="8"/>
  <c r="N355" i="8"/>
  <c r="N351" i="8"/>
  <c r="F344" i="8"/>
  <c r="M367" i="8"/>
  <c r="U364" i="8"/>
  <c r="U361" i="8"/>
  <c r="E358" i="8"/>
  <c r="M355" i="8"/>
  <c r="U352" i="8"/>
  <c r="E349" i="8"/>
  <c r="M346" i="8"/>
  <c r="U343" i="8"/>
  <c r="U342" i="8"/>
  <c r="E340" i="8"/>
  <c r="T351" i="8"/>
  <c r="D349" i="8"/>
  <c r="L345" i="8"/>
  <c r="R366" i="8"/>
  <c r="J339" i="8"/>
  <c r="Q367" i="8"/>
  <c r="I362" i="8"/>
  <c r="Q349" i="8"/>
  <c r="Q344" i="8"/>
  <c r="P353" i="8"/>
  <c r="H345" i="8"/>
  <c r="G381" i="8"/>
  <c r="G378" i="8"/>
  <c r="G367" i="8"/>
  <c r="F357" i="8"/>
  <c r="F349" i="8"/>
  <c r="N339" i="8"/>
  <c r="U365" i="8"/>
  <c r="E360" i="8"/>
  <c r="M356" i="8"/>
  <c r="U344" i="8"/>
  <c r="M343" i="8"/>
  <c r="U341" i="8"/>
  <c r="E339" i="8"/>
  <c r="J378" i="8"/>
  <c r="R338" i="8"/>
  <c r="I373" i="8"/>
  <c r="Q338" i="8"/>
  <c r="P347" i="8"/>
  <c r="P339" i="8"/>
  <c r="O383" i="8"/>
  <c r="J376" i="8"/>
  <c r="J348" i="8"/>
  <c r="I349" i="8"/>
  <c r="P344" i="8"/>
  <c r="O377" i="8"/>
  <c r="O366" i="8"/>
  <c r="O363" i="8"/>
  <c r="O352" i="8"/>
  <c r="N356" i="8"/>
  <c r="N348" i="8"/>
  <c r="F346" i="8"/>
  <c r="M365" i="8"/>
  <c r="E356" i="8"/>
  <c r="U345" i="8"/>
  <c r="M344" i="8"/>
  <c r="G364" i="8"/>
  <c r="Q364" i="8"/>
  <c r="H349" i="8"/>
  <c r="H341" i="8"/>
  <c r="G374" i="8"/>
  <c r="G371" i="8"/>
  <c r="G360" i="8"/>
  <c r="O354" i="8"/>
  <c r="G349" i="8"/>
  <c r="G344" i="8"/>
  <c r="O339" i="8"/>
  <c r="F353" i="8"/>
  <c r="N347" i="8"/>
  <c r="F343" i="8"/>
  <c r="N338" i="8"/>
  <c r="E363" i="8"/>
  <c r="E359" i="8"/>
  <c r="U353" i="8"/>
  <c r="E350" i="8"/>
  <c r="M345" i="8"/>
  <c r="E341" i="8"/>
  <c r="U339" i="8"/>
  <c r="L351" i="8"/>
  <c r="L350" i="8"/>
  <c r="L349" i="8"/>
  <c r="L348" i="8"/>
  <c r="L347" i="8"/>
  <c r="L343" i="8"/>
  <c r="T340" i="8"/>
  <c r="S370" i="8"/>
  <c r="S367" i="8"/>
  <c r="C365" i="8"/>
  <c r="K362" i="8"/>
  <c r="S356" i="8"/>
  <c r="C354" i="8"/>
  <c r="K351" i="8"/>
  <c r="S347" i="8"/>
  <c r="S339" i="8"/>
  <c r="C339" i="8"/>
  <c r="R372" i="8"/>
  <c r="R340" i="8"/>
  <c r="H355" i="8"/>
  <c r="P351" i="8"/>
  <c r="P343" i="8"/>
  <c r="O376" i="8"/>
  <c r="O365" i="8"/>
  <c r="O362" i="8"/>
  <c r="G357" i="8"/>
  <c r="O351" i="8"/>
  <c r="F358" i="8"/>
  <c r="F350" i="8"/>
  <c r="F345" i="8"/>
  <c r="N340" i="8"/>
  <c r="M366" i="8"/>
  <c r="U360" i="8"/>
  <c r="E357" i="8"/>
  <c r="U351" i="8"/>
  <c r="E348" i="8"/>
  <c r="M342" i="8"/>
  <c r="M338" i="8"/>
  <c r="L352" i="8"/>
  <c r="D346" i="8"/>
  <c r="D345" i="8"/>
  <c r="T363" i="8"/>
  <c r="I365" i="8"/>
  <c r="S358" i="8"/>
  <c r="P340" i="8"/>
  <c r="G383" i="8"/>
  <c r="O344" i="8"/>
  <c r="G340" i="8"/>
  <c r="N346" i="8"/>
  <c r="F342" i="8"/>
  <c r="U354" i="8"/>
  <c r="E351" i="8"/>
  <c r="D352" i="8"/>
  <c r="D350" i="8"/>
  <c r="D344" i="8"/>
  <c r="D343" i="8"/>
  <c r="D342" i="8"/>
  <c r="D341" i="8"/>
  <c r="D340" i="8"/>
  <c r="D339" i="8"/>
  <c r="D338" i="8"/>
  <c r="O380" i="8"/>
  <c r="S366" i="8"/>
  <c r="S365" i="8"/>
  <c r="S364" i="8"/>
  <c r="S363" i="8"/>
  <c r="S362" i="8"/>
  <c r="S361" i="8"/>
  <c r="K359" i="8"/>
  <c r="C349" i="8"/>
  <c r="C348" i="8"/>
  <c r="C347" i="8"/>
  <c r="C346" i="8"/>
  <c r="K343" i="8"/>
  <c r="C338" i="8"/>
  <c r="O337" i="8"/>
  <c r="L337" i="8"/>
  <c r="Q337" i="8"/>
  <c r="J344" i="8"/>
  <c r="G351" i="8"/>
  <c r="N358" i="8"/>
  <c r="K370" i="8"/>
  <c r="C367" i="8"/>
  <c r="C341" i="8"/>
  <c r="J337" i="8"/>
  <c r="E337" i="8"/>
  <c r="T337" i="8"/>
  <c r="T358" i="8"/>
  <c r="J340" i="8"/>
  <c r="I363" i="8"/>
  <c r="H347" i="8"/>
  <c r="O370" i="8"/>
  <c r="O359" i="8"/>
  <c r="G354" i="8"/>
  <c r="O348" i="8"/>
  <c r="G339" i="8"/>
  <c r="N341" i="8"/>
  <c r="M354" i="8"/>
  <c r="U350" i="8"/>
  <c r="M347" i="8"/>
  <c r="T349" i="8"/>
  <c r="D348" i="8"/>
  <c r="T346" i="8"/>
  <c r="Q355" i="8"/>
  <c r="C370" i="8"/>
  <c r="C369" i="8"/>
  <c r="C355" i="8"/>
  <c r="C353" i="8"/>
  <c r="C352" i="8"/>
  <c r="C351" i="8"/>
  <c r="C350" i="8"/>
  <c r="C345" i="8"/>
  <c r="S340" i="8"/>
  <c r="G380" i="8"/>
  <c r="P337" i="8"/>
  <c r="G337" i="8"/>
  <c r="D337" i="8"/>
  <c r="I337" i="8"/>
  <c r="M337" i="8"/>
  <c r="G362" i="8"/>
  <c r="E352" i="8"/>
  <c r="D347" i="8"/>
  <c r="S359" i="8"/>
  <c r="K338" i="8"/>
  <c r="O340" i="8"/>
  <c r="N352" i="8"/>
  <c r="F338" i="8"/>
  <c r="L344" i="8"/>
  <c r="K354" i="8"/>
  <c r="K344" i="8"/>
  <c r="H339" i="8"/>
  <c r="G376" i="8"/>
  <c r="G365" i="8"/>
  <c r="O343" i="8"/>
  <c r="N350" i="8"/>
  <c r="E361" i="8"/>
  <c r="M357" i="8"/>
  <c r="E347" i="8"/>
  <c r="T339" i="8"/>
  <c r="T338" i="8"/>
  <c r="K361" i="8"/>
  <c r="C358" i="8"/>
  <c r="C357" i="8"/>
  <c r="C356" i="8"/>
  <c r="S346" i="8"/>
  <c r="S345" i="8"/>
  <c r="C344" i="8"/>
  <c r="K342" i="8"/>
  <c r="Q366" i="8"/>
  <c r="H337" i="8"/>
  <c r="S337" i="8"/>
  <c r="K358" i="8"/>
  <c r="I345" i="8"/>
  <c r="P352" i="8"/>
  <c r="O369" i="8"/>
  <c r="O358" i="8"/>
  <c r="O347" i="8"/>
  <c r="M353" i="8"/>
  <c r="U349" i="8"/>
  <c r="U340" i="8"/>
  <c r="T347" i="8"/>
  <c r="T343" i="8"/>
  <c r="T342" i="8"/>
  <c r="T341" i="8"/>
  <c r="S369" i="8"/>
  <c r="K367" i="8"/>
  <c r="K366" i="8"/>
  <c r="K365" i="8"/>
  <c r="K364" i="8"/>
  <c r="K363" i="8"/>
  <c r="C360" i="8"/>
  <c r="C359" i="8"/>
  <c r="S348" i="8"/>
  <c r="K340" i="8"/>
  <c r="S338" i="8"/>
  <c r="U359" i="8"/>
  <c r="K337" i="8"/>
  <c r="U366" i="8"/>
  <c r="M348" i="8"/>
  <c r="T345" i="8"/>
  <c r="K369" i="8"/>
  <c r="C340" i="8"/>
  <c r="J342" i="8"/>
  <c r="P348" i="8"/>
  <c r="G345" i="8"/>
  <c r="U358" i="8"/>
  <c r="M339" i="8"/>
  <c r="K357" i="8"/>
  <c r="K355" i="8"/>
  <c r="K352" i="8"/>
  <c r="S342" i="8"/>
  <c r="Q342" i="8"/>
  <c r="G369" i="8"/>
  <c r="G358" i="8"/>
  <c r="G347" i="8"/>
  <c r="N354" i="8"/>
  <c r="E364" i="8"/>
  <c r="E338" i="8"/>
  <c r="D351" i="8"/>
  <c r="T344" i="8"/>
  <c r="S355" i="8"/>
  <c r="S354" i="8"/>
  <c r="S353" i="8"/>
  <c r="S352" i="8"/>
  <c r="S351" i="8"/>
  <c r="S350" i="8"/>
  <c r="C343" i="8"/>
  <c r="C342" i="8"/>
  <c r="K339" i="8"/>
  <c r="E343" i="8"/>
  <c r="U337" i="8"/>
  <c r="C337" i="8"/>
  <c r="I356" i="8"/>
  <c r="K356" i="8"/>
  <c r="Q340" i="8"/>
  <c r="H351" i="8"/>
  <c r="O373" i="8"/>
  <c r="F354" i="8"/>
  <c r="U363" i="8"/>
  <c r="E346" i="8"/>
  <c r="I374" i="8"/>
  <c r="T350" i="8"/>
  <c r="L342" i="8"/>
  <c r="L341" i="8"/>
  <c r="L340" i="8"/>
  <c r="L339" i="8"/>
  <c r="L338" i="8"/>
  <c r="C364" i="8"/>
  <c r="C363" i="8"/>
  <c r="C362" i="8"/>
  <c r="C361" i="8"/>
  <c r="S357" i="8"/>
  <c r="K349" i="8"/>
  <c r="K348" i="8"/>
  <c r="K347" i="8"/>
  <c r="K346" i="8"/>
  <c r="S344" i="8"/>
  <c r="S343" i="8"/>
  <c r="I369" i="8"/>
  <c r="H343" i="8"/>
  <c r="O356" i="8"/>
  <c r="T348" i="8"/>
  <c r="C366" i="8"/>
  <c r="K350" i="8"/>
  <c r="K345" i="8"/>
  <c r="K353" i="8"/>
  <c r="S341" i="8"/>
  <c r="BC70" i="8"/>
  <c r="B452" i="8"/>
  <c r="B460" i="8"/>
  <c r="B468" i="8"/>
  <c r="B476" i="8"/>
  <c r="B484" i="8"/>
  <c r="B492" i="8"/>
  <c r="B449" i="8"/>
  <c r="B453" i="8"/>
  <c r="B461" i="8"/>
  <c r="B469" i="8"/>
  <c r="B477" i="8"/>
  <c r="B485" i="8"/>
  <c r="B493" i="8"/>
  <c r="J449" i="8"/>
  <c r="R449" i="8"/>
  <c r="B474" i="8"/>
  <c r="B467" i="8"/>
  <c r="B454" i="8"/>
  <c r="B462" i="8"/>
  <c r="B470" i="8"/>
  <c r="B478" i="8"/>
  <c r="B486" i="8"/>
  <c r="B494" i="8"/>
  <c r="K449" i="8"/>
  <c r="S449" i="8"/>
  <c r="B455" i="8"/>
  <c r="B463" i="8"/>
  <c r="B471" i="8"/>
  <c r="B479" i="8"/>
  <c r="B487" i="8"/>
  <c r="B495" i="8"/>
  <c r="D449" i="8"/>
  <c r="L449" i="8"/>
  <c r="T449" i="8"/>
  <c r="B475" i="8"/>
  <c r="B456" i="8"/>
  <c r="B464" i="8"/>
  <c r="B472" i="8"/>
  <c r="B480" i="8"/>
  <c r="B488" i="8"/>
  <c r="B496" i="8"/>
  <c r="B450" i="8"/>
  <c r="B490" i="8"/>
  <c r="B459" i="8"/>
  <c r="B483" i="8"/>
  <c r="B457" i="8"/>
  <c r="B465" i="8"/>
  <c r="B473" i="8"/>
  <c r="B481" i="8"/>
  <c r="B489" i="8"/>
  <c r="B497" i="8"/>
  <c r="B458" i="8"/>
  <c r="B466" i="8"/>
  <c r="B482" i="8"/>
  <c r="B498" i="8"/>
  <c r="B451" i="8"/>
  <c r="B491" i="8"/>
  <c r="I449" i="8"/>
  <c r="Q449" i="8"/>
  <c r="S498" i="8"/>
  <c r="K496" i="8"/>
  <c r="C487" i="8"/>
  <c r="K485" i="8"/>
  <c r="K484" i="8"/>
  <c r="C483" i="8"/>
  <c r="R464" i="8"/>
  <c r="Q497" i="8"/>
  <c r="Q496" i="8"/>
  <c r="Q495" i="8"/>
  <c r="Q494" i="8"/>
  <c r="Q493" i="8"/>
  <c r="I492" i="8"/>
  <c r="I491" i="8"/>
  <c r="I490" i="8"/>
  <c r="I489" i="8"/>
  <c r="I488" i="8"/>
  <c r="I487" i="8"/>
  <c r="J478" i="8"/>
  <c r="J470" i="8"/>
  <c r="C494" i="8"/>
  <c r="R497" i="8"/>
  <c r="R466" i="8"/>
  <c r="J480" i="8"/>
  <c r="H481" i="8"/>
  <c r="H480" i="8"/>
  <c r="H479" i="8"/>
  <c r="H478" i="8"/>
  <c r="H477" i="8"/>
  <c r="H476" i="8"/>
  <c r="H475" i="8"/>
  <c r="H474" i="8"/>
  <c r="H473" i="8"/>
  <c r="H472" i="8"/>
  <c r="H471" i="8"/>
  <c r="H470" i="8"/>
  <c r="H469" i="8"/>
  <c r="H468" i="8"/>
  <c r="N497" i="8"/>
  <c r="N496" i="8"/>
  <c r="F494" i="8"/>
  <c r="S490" i="8"/>
  <c r="C488" i="8"/>
  <c r="J472" i="8"/>
  <c r="S495" i="8"/>
  <c r="S491" i="8"/>
  <c r="J482" i="8"/>
  <c r="J473" i="8"/>
  <c r="I493" i="8"/>
  <c r="H498" i="8"/>
  <c r="H497" i="8"/>
  <c r="H496" i="8"/>
  <c r="H495" i="8"/>
  <c r="H494" i="8"/>
  <c r="H493" i="8"/>
  <c r="H492" i="8"/>
  <c r="H491" i="8"/>
  <c r="H490" i="8"/>
  <c r="H489" i="8"/>
  <c r="H488" i="8"/>
  <c r="H487" i="8"/>
  <c r="H486" i="8"/>
  <c r="H485" i="8"/>
  <c r="H484" i="8"/>
  <c r="H483" i="8"/>
  <c r="H482" i="8"/>
  <c r="N491" i="8"/>
  <c r="N490" i="8"/>
  <c r="G496" i="8"/>
  <c r="K497" i="8"/>
  <c r="C495" i="8"/>
  <c r="K486" i="8"/>
  <c r="S484" i="8"/>
  <c r="S483" i="8"/>
  <c r="R495" i="8"/>
  <c r="R462" i="8"/>
  <c r="I498" i="8"/>
  <c r="I497" i="8"/>
  <c r="I496" i="8"/>
  <c r="I495" i="8"/>
  <c r="I494" i="8"/>
  <c r="Q492" i="8"/>
  <c r="Q491" i="8"/>
  <c r="Q490" i="8"/>
  <c r="K492" i="8"/>
  <c r="K488" i="8"/>
  <c r="P496" i="8"/>
  <c r="P492" i="8"/>
  <c r="P488" i="8"/>
  <c r="P484" i="8"/>
  <c r="F498" i="8"/>
  <c r="F489" i="8"/>
  <c r="N485" i="8"/>
  <c r="N484" i="8"/>
  <c r="F481" i="8"/>
  <c r="N477" i="8"/>
  <c r="N476" i="8"/>
  <c r="F473" i="8"/>
  <c r="M498" i="8"/>
  <c r="M497" i="8"/>
  <c r="R485" i="8"/>
  <c r="O497" i="8"/>
  <c r="K493" i="8"/>
  <c r="R498" i="8"/>
  <c r="R468" i="8"/>
  <c r="R496" i="8"/>
  <c r="J476" i="8"/>
  <c r="J471" i="8"/>
  <c r="Q498" i="8"/>
  <c r="P497" i="8"/>
  <c r="P493" i="8"/>
  <c r="P489" i="8"/>
  <c r="P485" i="8"/>
  <c r="P481" i="8"/>
  <c r="P477" i="8"/>
  <c r="F496" i="8"/>
  <c r="F493" i="8"/>
  <c r="N487" i="8"/>
  <c r="F483" i="8"/>
  <c r="N479" i="8"/>
  <c r="N478" i="8"/>
  <c r="F475" i="8"/>
  <c r="N471" i="8"/>
  <c r="G498" i="8"/>
  <c r="M496" i="8"/>
  <c r="E495" i="8"/>
  <c r="U493" i="8"/>
  <c r="E492" i="8"/>
  <c r="M490" i="8"/>
  <c r="E489" i="8"/>
  <c r="U487" i="8"/>
  <c r="E486" i="8"/>
  <c r="U484" i="8"/>
  <c r="M483" i="8"/>
  <c r="E482" i="8"/>
  <c r="K489" i="8"/>
  <c r="Q489" i="8"/>
  <c r="J475" i="8"/>
  <c r="J469" i="8"/>
  <c r="P491" i="8"/>
  <c r="P483" i="8"/>
  <c r="F491" i="8"/>
  <c r="N481" i="8"/>
  <c r="F477" i="8"/>
  <c r="N475" i="8"/>
  <c r="F474" i="8"/>
  <c r="N472" i="8"/>
  <c r="E497" i="8"/>
  <c r="C490" i="8"/>
  <c r="P495" i="8"/>
  <c r="P479" i="8"/>
  <c r="P472" i="8"/>
  <c r="P470" i="8"/>
  <c r="F497" i="8"/>
  <c r="F495" i="8"/>
  <c r="F486" i="8"/>
  <c r="F480" i="8"/>
  <c r="U496" i="8"/>
  <c r="M495" i="8"/>
  <c r="E494" i="8"/>
  <c r="E493" i="8"/>
  <c r="U491" i="8"/>
  <c r="U490" i="8"/>
  <c r="M489" i="8"/>
  <c r="E488" i="8"/>
  <c r="U486" i="8"/>
  <c r="U485" i="8"/>
  <c r="M484" i="8"/>
  <c r="U482" i="8"/>
  <c r="U481" i="8"/>
  <c r="E481" i="8"/>
  <c r="M480" i="8"/>
  <c r="J481" i="8"/>
  <c r="R463" i="8"/>
  <c r="P486" i="8"/>
  <c r="O498" i="8"/>
  <c r="N492" i="8"/>
  <c r="N473" i="8"/>
  <c r="U498" i="8"/>
  <c r="U492" i="8"/>
  <c r="E487" i="8"/>
  <c r="E480" i="8"/>
  <c r="E498" i="8"/>
  <c r="J479" i="8"/>
  <c r="J474" i="8"/>
  <c r="P490" i="8"/>
  <c r="J465" i="8"/>
  <c r="J483" i="8"/>
  <c r="P469" i="8"/>
  <c r="N493" i="8"/>
  <c r="N489" i="8"/>
  <c r="F485" i="8"/>
  <c r="N483" i="8"/>
  <c r="F482" i="8"/>
  <c r="N480" i="8"/>
  <c r="F479" i="8"/>
  <c r="N474" i="8"/>
  <c r="U495" i="8"/>
  <c r="U489" i="8"/>
  <c r="E484" i="8"/>
  <c r="Q488" i="8"/>
  <c r="J477" i="8"/>
  <c r="P498" i="8"/>
  <c r="P487" i="8"/>
  <c r="P478" i="8"/>
  <c r="P471" i="8"/>
  <c r="M493" i="8"/>
  <c r="T497" i="8"/>
  <c r="L495" i="8"/>
  <c r="L492" i="8"/>
  <c r="D481" i="8"/>
  <c r="Q487" i="8"/>
  <c r="P474" i="8"/>
  <c r="N486" i="8"/>
  <c r="E483" i="8"/>
  <c r="M487" i="8"/>
  <c r="M482" i="8"/>
  <c r="M488" i="8"/>
  <c r="M485" i="8"/>
  <c r="E491" i="8"/>
  <c r="L498" i="8"/>
  <c r="T496" i="8"/>
  <c r="T493" i="8"/>
  <c r="T484" i="8"/>
  <c r="D484" i="8"/>
  <c r="L483" i="8"/>
  <c r="T482" i="8"/>
  <c r="D482" i="8"/>
  <c r="L481" i="8"/>
  <c r="T480" i="8"/>
  <c r="D480" i="8"/>
  <c r="L479" i="8"/>
  <c r="J494" i="8"/>
  <c r="S497" i="8"/>
  <c r="J484" i="8"/>
  <c r="R456" i="8"/>
  <c r="P480" i="8"/>
  <c r="G497" i="8"/>
  <c r="F492" i="8"/>
  <c r="F476" i="8"/>
  <c r="U497" i="8"/>
  <c r="U488" i="8"/>
  <c r="D498" i="8"/>
  <c r="D495" i="8"/>
  <c r="T492" i="8"/>
  <c r="P475" i="8"/>
  <c r="P468" i="8"/>
  <c r="N498" i="8"/>
  <c r="N494" i="8"/>
  <c r="F484" i="8"/>
  <c r="F478" i="8"/>
  <c r="F472" i="8"/>
  <c r="E496" i="8"/>
  <c r="T498" i="8"/>
  <c r="L496" i="8"/>
  <c r="D494" i="8"/>
  <c r="L484" i="8"/>
  <c r="T483" i="8"/>
  <c r="D483" i="8"/>
  <c r="L482" i="8"/>
  <c r="T481" i="8"/>
  <c r="L480" i="8"/>
  <c r="T479" i="8"/>
  <c r="D479" i="8"/>
  <c r="L478" i="8"/>
  <c r="T477" i="8"/>
  <c r="D477" i="8"/>
  <c r="L476" i="8"/>
  <c r="T475" i="8"/>
  <c r="D475" i="8"/>
  <c r="L474" i="8"/>
  <c r="T473" i="8"/>
  <c r="D473" i="8"/>
  <c r="L472" i="8"/>
  <c r="T471" i="8"/>
  <c r="P473" i="8"/>
  <c r="F488" i="8"/>
  <c r="M492" i="8"/>
  <c r="D496" i="8"/>
  <c r="D493" i="8"/>
  <c r="D471" i="8"/>
  <c r="T468" i="8"/>
  <c r="P482" i="8"/>
  <c r="F487" i="8"/>
  <c r="L497" i="8"/>
  <c r="L494" i="8"/>
  <c r="L491" i="8"/>
  <c r="D490" i="8"/>
  <c r="T488" i="8"/>
  <c r="L487" i="8"/>
  <c r="D486" i="8"/>
  <c r="D476" i="8"/>
  <c r="L473" i="8"/>
  <c r="L469" i="8"/>
  <c r="L466" i="8"/>
  <c r="T465" i="8"/>
  <c r="K494" i="8"/>
  <c r="R493" i="8"/>
  <c r="J491" i="8"/>
  <c r="R480" i="8"/>
  <c r="R471" i="8"/>
  <c r="J464" i="8"/>
  <c r="S485" i="8"/>
  <c r="P494" i="8"/>
  <c r="N495" i="8"/>
  <c r="M491" i="8"/>
  <c r="M486" i="8"/>
  <c r="T495" i="8"/>
  <c r="D478" i="8"/>
  <c r="D470" i="8"/>
  <c r="D467" i="8"/>
  <c r="S496" i="8"/>
  <c r="S494" i="8"/>
  <c r="S492" i="8"/>
  <c r="K490" i="8"/>
  <c r="C485" i="8"/>
  <c r="O496" i="8"/>
  <c r="M481" i="8"/>
  <c r="D497" i="8"/>
  <c r="D491" i="8"/>
  <c r="T489" i="8"/>
  <c r="L488" i="8"/>
  <c r="D487" i="8"/>
  <c r="T485" i="8"/>
  <c r="D474" i="8"/>
  <c r="T470" i="8"/>
  <c r="T467" i="8"/>
  <c r="S487" i="8"/>
  <c r="J497" i="8"/>
  <c r="J492" i="8"/>
  <c r="R484" i="8"/>
  <c r="R475" i="8"/>
  <c r="J468" i="8"/>
  <c r="R452" i="8"/>
  <c r="R451" i="8"/>
  <c r="R450" i="8"/>
  <c r="I484" i="8"/>
  <c r="I480" i="8"/>
  <c r="I477" i="8"/>
  <c r="I473" i="8"/>
  <c r="I466" i="8"/>
  <c r="Q464" i="8"/>
  <c r="Q460" i="8"/>
  <c r="Q456" i="8"/>
  <c r="Q452" i="8"/>
  <c r="I451" i="8"/>
  <c r="P467" i="8"/>
  <c r="P463" i="8"/>
  <c r="R467" i="8"/>
  <c r="U494" i="8"/>
  <c r="E490" i="8"/>
  <c r="E485" i="8"/>
  <c r="T476" i="8"/>
  <c r="L468" i="8"/>
  <c r="L465" i="8"/>
  <c r="T464" i="8"/>
  <c r="C496" i="8"/>
  <c r="S489" i="8"/>
  <c r="J493" i="8"/>
  <c r="R490" i="8"/>
  <c r="R489" i="8"/>
  <c r="J486" i="8"/>
  <c r="R477" i="8"/>
  <c r="R470" i="8"/>
  <c r="R461" i="8"/>
  <c r="R454" i="8"/>
  <c r="R453" i="8"/>
  <c r="Q482" i="8"/>
  <c r="Q478" i="8"/>
  <c r="Q475" i="8"/>
  <c r="Q471" i="8"/>
  <c r="I467" i="8"/>
  <c r="I463" i="8"/>
  <c r="I459" i="8"/>
  <c r="I455" i="8"/>
  <c r="P476" i="8"/>
  <c r="F490" i="8"/>
  <c r="U483" i="8"/>
  <c r="L493" i="8"/>
  <c r="D472" i="8"/>
  <c r="T469" i="8"/>
  <c r="L467" i="8"/>
  <c r="K495" i="8"/>
  <c r="S493" i="8"/>
  <c r="K491" i="8"/>
  <c r="C489" i="8"/>
  <c r="S486" i="8"/>
  <c r="J496" i="8"/>
  <c r="J488" i="8"/>
  <c r="R481" i="8"/>
  <c r="R474" i="8"/>
  <c r="R465" i="8"/>
  <c r="J463" i="8"/>
  <c r="J460" i="8"/>
  <c r="Q486" i="8"/>
  <c r="Q483" i="8"/>
  <c r="Q479" i="8"/>
  <c r="I478" i="8"/>
  <c r="Q476" i="8"/>
  <c r="I474" i="8"/>
  <c r="Q472" i="8"/>
  <c r="I464" i="8"/>
  <c r="I460" i="8"/>
  <c r="I456" i="8"/>
  <c r="I452" i="8"/>
  <c r="H467" i="8"/>
  <c r="N488" i="8"/>
  <c r="M494" i="8"/>
  <c r="U479" i="8"/>
  <c r="T494" i="8"/>
  <c r="T491" i="8"/>
  <c r="L490" i="8"/>
  <c r="D489" i="8"/>
  <c r="T487" i="8"/>
  <c r="L486" i="8"/>
  <c r="D485" i="8"/>
  <c r="L477" i="8"/>
  <c r="L475" i="8"/>
  <c r="T472" i="8"/>
  <c r="L470" i="8"/>
  <c r="D468" i="8"/>
  <c r="K483" i="8"/>
  <c r="C491" i="8"/>
  <c r="J498" i="8"/>
  <c r="R492" i="8"/>
  <c r="R491" i="8"/>
  <c r="J489" i="8"/>
  <c r="R483" i="8"/>
  <c r="R476" i="8"/>
  <c r="J467" i="8"/>
  <c r="J461" i="8"/>
  <c r="T474" i="8"/>
  <c r="C486" i="8"/>
  <c r="J462" i="8"/>
  <c r="J459" i="8"/>
  <c r="J457" i="8"/>
  <c r="J453" i="8"/>
  <c r="Q484" i="8"/>
  <c r="Q473" i="8"/>
  <c r="Q466" i="8"/>
  <c r="I454" i="8"/>
  <c r="H464" i="8"/>
  <c r="P462" i="8"/>
  <c r="P458" i="8"/>
  <c r="P454" i="8"/>
  <c r="P450" i="8"/>
  <c r="O494" i="8"/>
  <c r="O491" i="8"/>
  <c r="O487" i="8"/>
  <c r="O480" i="8"/>
  <c r="O476" i="8"/>
  <c r="O473" i="8"/>
  <c r="O469" i="8"/>
  <c r="G468" i="8"/>
  <c r="G464" i="8"/>
  <c r="O462" i="8"/>
  <c r="O458" i="8"/>
  <c r="G455" i="8"/>
  <c r="F468" i="8"/>
  <c r="F464" i="8"/>
  <c r="F460" i="8"/>
  <c r="N457" i="8"/>
  <c r="N456" i="8"/>
  <c r="F453" i="8"/>
  <c r="E477" i="8"/>
  <c r="M470" i="8"/>
  <c r="U467" i="8"/>
  <c r="E465" i="8"/>
  <c r="M462" i="8"/>
  <c r="M461" i="8"/>
  <c r="D492" i="8"/>
  <c r="T466" i="8"/>
  <c r="I482" i="8"/>
  <c r="Q477" i="8"/>
  <c r="I471" i="8"/>
  <c r="I469" i="8"/>
  <c r="I458" i="8"/>
  <c r="Q453" i="8"/>
  <c r="I450" i="8"/>
  <c r="P465" i="8"/>
  <c r="H461" i="8"/>
  <c r="H457" i="8"/>
  <c r="G493" i="8"/>
  <c r="G490" i="8"/>
  <c r="G486" i="8"/>
  <c r="G483" i="8"/>
  <c r="G479" i="8"/>
  <c r="G472" i="8"/>
  <c r="O466" i="8"/>
  <c r="G461" i="8"/>
  <c r="O452" i="8"/>
  <c r="O451" i="8"/>
  <c r="N470" i="8"/>
  <c r="N466" i="8"/>
  <c r="N462" i="8"/>
  <c r="F454" i="8"/>
  <c r="U478" i="8"/>
  <c r="E476" i="8"/>
  <c r="E474" i="8"/>
  <c r="E473" i="8"/>
  <c r="M469" i="8"/>
  <c r="U466" i="8"/>
  <c r="E464" i="8"/>
  <c r="E463" i="8"/>
  <c r="M460" i="8"/>
  <c r="U457" i="8"/>
  <c r="E455" i="8"/>
  <c r="M451" i="8"/>
  <c r="T490" i="8"/>
  <c r="D466" i="8"/>
  <c r="C498" i="8"/>
  <c r="C484" i="8"/>
  <c r="R488" i="8"/>
  <c r="J485" i="8"/>
  <c r="R479" i="8"/>
  <c r="R473" i="8"/>
  <c r="R458" i="8"/>
  <c r="J456" i="8"/>
  <c r="J451" i="8"/>
  <c r="I475" i="8"/>
  <c r="Q468" i="8"/>
  <c r="I462" i="8"/>
  <c r="Q457" i="8"/>
  <c r="Q455" i="8"/>
  <c r="Q451" i="8"/>
  <c r="P459" i="8"/>
  <c r="P455" i="8"/>
  <c r="H453" i="8"/>
  <c r="P451" i="8"/>
  <c r="O495" i="8"/>
  <c r="O488" i="8"/>
  <c r="O484" i="8"/>
  <c r="O481" i="8"/>
  <c r="O477" i="8"/>
  <c r="G476" i="8"/>
  <c r="O474" i="8"/>
  <c r="O470" i="8"/>
  <c r="G469" i="8"/>
  <c r="G465" i="8"/>
  <c r="O463" i="8"/>
  <c r="O459" i="8"/>
  <c r="G457" i="8"/>
  <c r="G456" i="8"/>
  <c r="F469" i="8"/>
  <c r="F465" i="8"/>
  <c r="F461" i="8"/>
  <c r="N458" i="8"/>
  <c r="F455" i="8"/>
  <c r="N451" i="8"/>
  <c r="N450" i="8"/>
  <c r="U477" i="8"/>
  <c r="E475" i="8"/>
  <c r="E472" i="8"/>
  <c r="E471" i="8"/>
  <c r="M468" i="8"/>
  <c r="U465" i="8"/>
  <c r="E462" i="8"/>
  <c r="M459" i="8"/>
  <c r="U456" i="8"/>
  <c r="E453" i="8"/>
  <c r="L489" i="8"/>
  <c r="T478" i="8"/>
  <c r="L471" i="8"/>
  <c r="C493" i="8"/>
  <c r="J495" i="8"/>
  <c r="R478" i="8"/>
  <c r="R472" i="8"/>
  <c r="J466" i="8"/>
  <c r="I486" i="8"/>
  <c r="Q461" i="8"/>
  <c r="Q459" i="8"/>
  <c r="I453" i="8"/>
  <c r="T486" i="8"/>
  <c r="K498" i="8"/>
  <c r="R487" i="8"/>
  <c r="R455" i="8"/>
  <c r="J452" i="8"/>
  <c r="Q485" i="8"/>
  <c r="I481" i="8"/>
  <c r="I479" i="8"/>
  <c r="Q474" i="8"/>
  <c r="I470" i="8"/>
  <c r="I461" i="8"/>
  <c r="Q454" i="8"/>
  <c r="P466" i="8"/>
  <c r="H463" i="8"/>
  <c r="H459" i="8"/>
  <c r="H455" i="8"/>
  <c r="H451" i="8"/>
  <c r="G495" i="8"/>
  <c r="G488" i="8"/>
  <c r="G481" i="8"/>
  <c r="G477" i="8"/>
  <c r="G474" i="8"/>
  <c r="G470" i="8"/>
  <c r="O468" i="8"/>
  <c r="G463" i="8"/>
  <c r="G459" i="8"/>
  <c r="O455" i="8"/>
  <c r="G452" i="8"/>
  <c r="N468" i="8"/>
  <c r="N464" i="8"/>
  <c r="N460" i="8"/>
  <c r="F458" i="8"/>
  <c r="F450" i="8"/>
  <c r="M477" i="8"/>
  <c r="U474" i="8"/>
  <c r="U471" i="8"/>
  <c r="E468" i="8"/>
  <c r="M465" i="8"/>
  <c r="U462" i="8"/>
  <c r="U461" i="8"/>
  <c r="E459" i="8"/>
  <c r="M456" i="8"/>
  <c r="U452" i="8"/>
  <c r="E450" i="8"/>
  <c r="L464" i="8"/>
  <c r="T461" i="8"/>
  <c r="D459" i="8"/>
  <c r="D458" i="8"/>
  <c r="D469" i="8"/>
  <c r="J490" i="8"/>
  <c r="I485" i="8"/>
  <c r="Q467" i="8"/>
  <c r="Q450" i="8"/>
  <c r="H462" i="8"/>
  <c r="H454" i="8"/>
  <c r="G487" i="8"/>
  <c r="G473" i="8"/>
  <c r="O467" i="8"/>
  <c r="G462" i="8"/>
  <c r="O454" i="8"/>
  <c r="G450" i="8"/>
  <c r="F466" i="8"/>
  <c r="N453" i="8"/>
  <c r="U475" i="8"/>
  <c r="M466" i="8"/>
  <c r="E452" i="8"/>
  <c r="T463" i="8"/>
  <c r="T462" i="8"/>
  <c r="U480" i="8"/>
  <c r="D465" i="8"/>
  <c r="C492" i="8"/>
  <c r="R460" i="8"/>
  <c r="J455" i="8"/>
  <c r="H465" i="8"/>
  <c r="P456" i="8"/>
  <c r="J454" i="8"/>
  <c r="J450" i="8"/>
  <c r="I472" i="8"/>
  <c r="Q465" i="8"/>
  <c r="P464" i="8"/>
  <c r="P461" i="8"/>
  <c r="G492" i="8"/>
  <c r="O486" i="8"/>
  <c r="O483" i="8"/>
  <c r="O472" i="8"/>
  <c r="G467" i="8"/>
  <c r="O461" i="8"/>
  <c r="O456" i="8"/>
  <c r="N465" i="8"/>
  <c r="M475" i="8"/>
  <c r="M471" i="8"/>
  <c r="E466" i="8"/>
  <c r="U451" i="8"/>
  <c r="L463" i="8"/>
  <c r="L462" i="8"/>
  <c r="L485" i="8"/>
  <c r="S488" i="8"/>
  <c r="R494" i="8"/>
  <c r="R486" i="8"/>
  <c r="J458" i="8"/>
  <c r="Q470" i="8"/>
  <c r="Q458" i="8"/>
  <c r="H458" i="8"/>
  <c r="H450" i="8"/>
  <c r="G494" i="8"/>
  <c r="G491" i="8"/>
  <c r="G480" i="8"/>
  <c r="G458" i="8"/>
  <c r="O453" i="8"/>
  <c r="F470" i="8"/>
  <c r="N467" i="8"/>
  <c r="F462" i="8"/>
  <c r="F457" i="8"/>
  <c r="N452" i="8"/>
  <c r="M478" i="8"/>
  <c r="U472" i="8"/>
  <c r="E469" i="8"/>
  <c r="U463" i="8"/>
  <c r="E460" i="8"/>
  <c r="U458" i="8"/>
  <c r="U455" i="8"/>
  <c r="D457" i="8"/>
  <c r="D456" i="8"/>
  <c r="L453" i="8"/>
  <c r="T450" i="8"/>
  <c r="S480" i="8"/>
  <c r="S477" i="8"/>
  <c r="C475" i="8"/>
  <c r="K469" i="8"/>
  <c r="S466" i="8"/>
  <c r="C464" i="8"/>
  <c r="S457" i="8"/>
  <c r="C457" i="8"/>
  <c r="C450" i="8"/>
  <c r="C497" i="8"/>
  <c r="K487" i="8"/>
  <c r="R469" i="8"/>
  <c r="R457" i="8"/>
  <c r="Q481" i="8"/>
  <c r="I476" i="8"/>
  <c r="Q469" i="8"/>
  <c r="Q463" i="8"/>
  <c r="P460" i="8"/>
  <c r="P452" i="8"/>
  <c r="O485" i="8"/>
  <c r="O482" i="8"/>
  <c r="O471" i="8"/>
  <c r="G466" i="8"/>
  <c r="O460" i="8"/>
  <c r="G451" i="8"/>
  <c r="F467" i="8"/>
  <c r="N454" i="8"/>
  <c r="M476" i="8"/>
  <c r="U470" i="8"/>
  <c r="E467" i="8"/>
  <c r="M458" i="8"/>
  <c r="E457" i="8"/>
  <c r="D463" i="8"/>
  <c r="D462" i="8"/>
  <c r="D461" i="8"/>
  <c r="D460" i="8"/>
  <c r="Q462" i="8"/>
  <c r="H460" i="8"/>
  <c r="G489" i="8"/>
  <c r="G478" i="8"/>
  <c r="N463" i="8"/>
  <c r="U473" i="8"/>
  <c r="E470" i="8"/>
  <c r="U453" i="8"/>
  <c r="E451" i="8"/>
  <c r="L457" i="8"/>
  <c r="K472" i="8"/>
  <c r="C470" i="8"/>
  <c r="C469" i="8"/>
  <c r="C468" i="8"/>
  <c r="C467" i="8"/>
  <c r="C466" i="8"/>
  <c r="C465" i="8"/>
  <c r="C456" i="8"/>
  <c r="K454" i="8"/>
  <c r="S452" i="8"/>
  <c r="I465" i="8"/>
  <c r="N459" i="8"/>
  <c r="M457" i="8"/>
  <c r="D454" i="8"/>
  <c r="D450" i="8"/>
  <c r="S474" i="8"/>
  <c r="C459" i="8"/>
  <c r="K455" i="8"/>
  <c r="H452" i="8"/>
  <c r="O493" i="8"/>
  <c r="F463" i="8"/>
  <c r="M473" i="8"/>
  <c r="U469" i="8"/>
  <c r="M453" i="8"/>
  <c r="U450" i="8"/>
  <c r="T455" i="8"/>
  <c r="T454" i="8"/>
  <c r="T453" i="8"/>
  <c r="T452" i="8"/>
  <c r="T451" i="8"/>
  <c r="K479" i="8"/>
  <c r="K478" i="8"/>
  <c r="K477" i="8"/>
  <c r="K476" i="8"/>
  <c r="K475" i="8"/>
  <c r="K474" i="8"/>
  <c r="K473" i="8"/>
  <c r="C472" i="8"/>
  <c r="C471" i="8"/>
  <c r="S459" i="8"/>
  <c r="S458" i="8"/>
  <c r="K453" i="8"/>
  <c r="S450" i="8"/>
  <c r="U449" i="8"/>
  <c r="D453" i="8"/>
  <c r="S476" i="8"/>
  <c r="P449" i="8"/>
  <c r="Q480" i="8"/>
  <c r="P453" i="8"/>
  <c r="O489" i="8"/>
  <c r="O478" i="8"/>
  <c r="C482" i="8"/>
  <c r="K471" i="8"/>
  <c r="C462" i="8"/>
  <c r="C460" i="8"/>
  <c r="I457" i="8"/>
  <c r="H466" i="8"/>
  <c r="P457" i="8"/>
  <c r="G482" i="8"/>
  <c r="G471" i="8"/>
  <c r="O465" i="8"/>
  <c r="G460" i="8"/>
  <c r="O450" i="8"/>
  <c r="U476" i="8"/>
  <c r="E456" i="8"/>
  <c r="M450" i="8"/>
  <c r="L461" i="8"/>
  <c r="T459" i="8"/>
  <c r="L458" i="8"/>
  <c r="T456" i="8"/>
  <c r="S482" i="8"/>
  <c r="S481" i="8"/>
  <c r="S465" i="8"/>
  <c r="S464" i="8"/>
  <c r="S463" i="8"/>
  <c r="S462" i="8"/>
  <c r="S461" i="8"/>
  <c r="S460" i="8"/>
  <c r="C455" i="8"/>
  <c r="K452" i="8"/>
  <c r="K451" i="8"/>
  <c r="M449" i="8"/>
  <c r="D488" i="8"/>
  <c r="M474" i="8"/>
  <c r="E454" i="8"/>
  <c r="D464" i="8"/>
  <c r="C463" i="8"/>
  <c r="H449" i="8"/>
  <c r="O492" i="8"/>
  <c r="O475" i="8"/>
  <c r="O464" i="8"/>
  <c r="N461" i="8"/>
  <c r="F452" i="8"/>
  <c r="M472" i="8"/>
  <c r="U468" i="8"/>
  <c r="M455" i="8"/>
  <c r="L452" i="8"/>
  <c r="L451" i="8"/>
  <c r="L450" i="8"/>
  <c r="K480" i="8"/>
  <c r="C474" i="8"/>
  <c r="C473" i="8"/>
  <c r="S469" i="8"/>
  <c r="S468" i="8"/>
  <c r="S467" i="8"/>
  <c r="K459" i="8"/>
  <c r="K458" i="8"/>
  <c r="S456" i="8"/>
  <c r="S455" i="8"/>
  <c r="C454" i="8"/>
  <c r="C453" i="8"/>
  <c r="N449" i="8"/>
  <c r="E449" i="8"/>
  <c r="N482" i="8"/>
  <c r="D452" i="8"/>
  <c r="S475" i="8"/>
  <c r="K470" i="8"/>
  <c r="C461" i="8"/>
  <c r="K456" i="8"/>
  <c r="R482" i="8"/>
  <c r="G484" i="8"/>
  <c r="M463" i="8"/>
  <c r="L460" i="8"/>
  <c r="S478" i="8"/>
  <c r="S451" i="8"/>
  <c r="C449" i="8"/>
  <c r="R459" i="8"/>
  <c r="H456" i="8"/>
  <c r="G475" i="8"/>
  <c r="G454" i="8"/>
  <c r="F456" i="8"/>
  <c r="M479" i="8"/>
  <c r="U464" i="8"/>
  <c r="E461" i="8"/>
  <c r="E458" i="8"/>
  <c r="M452" i="8"/>
  <c r="L459" i="8"/>
  <c r="T457" i="8"/>
  <c r="L455" i="8"/>
  <c r="L454" i="8"/>
  <c r="K482" i="8"/>
  <c r="K481" i="8"/>
  <c r="C479" i="8"/>
  <c r="C478" i="8"/>
  <c r="C477" i="8"/>
  <c r="C476" i="8"/>
  <c r="S471" i="8"/>
  <c r="S470" i="8"/>
  <c r="K461" i="8"/>
  <c r="K460" i="8"/>
  <c r="K457" i="8"/>
  <c r="C452" i="8"/>
  <c r="K450" i="8"/>
  <c r="S472" i="8"/>
  <c r="C458" i="8"/>
  <c r="F459" i="8"/>
  <c r="T458" i="8"/>
  <c r="S479" i="8"/>
  <c r="I483" i="8"/>
  <c r="I468" i="8"/>
  <c r="O490" i="8"/>
  <c r="O479" i="8"/>
  <c r="G453" i="8"/>
  <c r="F471" i="8"/>
  <c r="N455" i="8"/>
  <c r="F451" i="8"/>
  <c r="E479" i="8"/>
  <c r="M464" i="8"/>
  <c r="U460" i="8"/>
  <c r="U454" i="8"/>
  <c r="T460" i="8"/>
  <c r="L456" i="8"/>
  <c r="C480" i="8"/>
  <c r="K468" i="8"/>
  <c r="K467" i="8"/>
  <c r="K466" i="8"/>
  <c r="K465" i="8"/>
  <c r="K464" i="8"/>
  <c r="K463" i="8"/>
  <c r="K462" i="8"/>
  <c r="S454" i="8"/>
  <c r="S453" i="8"/>
  <c r="F449" i="8"/>
  <c r="O449" i="8"/>
  <c r="J487" i="8"/>
  <c r="G485" i="8"/>
  <c r="O457" i="8"/>
  <c r="M467" i="8"/>
  <c r="M454" i="8"/>
  <c r="D455" i="8"/>
  <c r="D451" i="8"/>
  <c r="S473" i="8"/>
  <c r="C451" i="8"/>
  <c r="G449" i="8"/>
  <c r="N469" i="8"/>
  <c r="E478" i="8"/>
  <c r="U459" i="8"/>
  <c r="C481" i="8"/>
  <c r="G3" i="12"/>
  <c r="Q225" i="8" s="1"/>
  <c r="G11" i="12"/>
  <c r="K233" i="8" s="1"/>
  <c r="G19" i="12"/>
  <c r="T241" i="8" s="1"/>
  <c r="G27" i="12"/>
  <c r="U249" i="8" s="1"/>
  <c r="G35" i="12"/>
  <c r="C257" i="8" s="1"/>
  <c r="G43" i="12"/>
  <c r="T265" i="8" s="1"/>
  <c r="G51" i="12"/>
  <c r="T273" i="8" s="1"/>
  <c r="G5" i="12"/>
  <c r="L227" i="8" s="1"/>
  <c r="G29" i="12"/>
  <c r="C251" i="8" s="1"/>
  <c r="G37" i="12"/>
  <c r="B259" i="8" s="1"/>
  <c r="G2" i="12"/>
  <c r="K224" i="8" s="1"/>
  <c r="G49" i="12"/>
  <c r="O271" i="8" s="1"/>
  <c r="G10" i="12"/>
  <c r="K232" i="8" s="1"/>
  <c r="G26" i="12"/>
  <c r="P248" i="8" s="1"/>
  <c r="G34" i="12"/>
  <c r="H256" i="8" s="1"/>
  <c r="G50" i="12"/>
  <c r="T272" i="8" s="1"/>
  <c r="G4" i="12"/>
  <c r="O226" i="8" s="1"/>
  <c r="G12" i="12"/>
  <c r="G234" i="8" s="1"/>
  <c r="G20" i="12"/>
  <c r="S242" i="8" s="1"/>
  <c r="G28" i="12"/>
  <c r="H250" i="8" s="1"/>
  <c r="G36" i="12"/>
  <c r="G258" i="8" s="1"/>
  <c r="G44" i="12"/>
  <c r="H266" i="8" s="1"/>
  <c r="G52" i="12"/>
  <c r="G13" i="12"/>
  <c r="J235" i="8" s="1"/>
  <c r="G45" i="12"/>
  <c r="T267" i="8" s="1"/>
  <c r="G8" i="12"/>
  <c r="Q230" i="8" s="1"/>
  <c r="G32" i="12"/>
  <c r="K254" i="8" s="1"/>
  <c r="G9" i="12"/>
  <c r="H231" i="8" s="1"/>
  <c r="G25" i="12"/>
  <c r="N247" i="8" s="1"/>
  <c r="G41" i="12"/>
  <c r="T263" i="8" s="1"/>
  <c r="G21" i="12"/>
  <c r="L243" i="8" s="1"/>
  <c r="G24" i="12"/>
  <c r="I246" i="8" s="1"/>
  <c r="G33" i="12"/>
  <c r="Q255" i="8" s="1"/>
  <c r="G6" i="12"/>
  <c r="F228" i="8" s="1"/>
  <c r="G14" i="12"/>
  <c r="M236" i="8" s="1"/>
  <c r="G22" i="12"/>
  <c r="S244" i="8" s="1"/>
  <c r="G30" i="12"/>
  <c r="R252" i="8" s="1"/>
  <c r="G38" i="12"/>
  <c r="R260" i="8" s="1"/>
  <c r="G46" i="12"/>
  <c r="T268" i="8" s="1"/>
  <c r="G40" i="12"/>
  <c r="P262" i="8" s="1"/>
  <c r="G7" i="12"/>
  <c r="G229" i="8" s="1"/>
  <c r="G15" i="12"/>
  <c r="S237" i="8" s="1"/>
  <c r="G23" i="12"/>
  <c r="T245" i="8" s="1"/>
  <c r="G31" i="12"/>
  <c r="D253" i="8" s="1"/>
  <c r="G39" i="12"/>
  <c r="E261" i="8" s="1"/>
  <c r="G47" i="12"/>
  <c r="M269" i="8" s="1"/>
  <c r="G16" i="12"/>
  <c r="B238" i="8" s="1"/>
  <c r="G48" i="12"/>
  <c r="O270" i="8" s="1"/>
  <c r="G17" i="12"/>
  <c r="L239" i="8" s="1"/>
  <c r="G18" i="12"/>
  <c r="J240" i="8" s="1"/>
  <c r="G42" i="12"/>
  <c r="S264" i="8" s="1"/>
  <c r="R104" i="2"/>
  <c r="R87" i="2"/>
  <c r="R102" i="2"/>
  <c r="R78" i="2"/>
  <c r="R65" i="2"/>
  <c r="R73" i="2"/>
  <c r="R114" i="2"/>
  <c r="R113" i="2"/>
  <c r="R110" i="2"/>
  <c r="R72" i="2"/>
  <c r="R108" i="2"/>
  <c r="S73" i="2"/>
  <c r="R96" i="2"/>
  <c r="G48" i="10"/>
  <c r="R80" i="2"/>
  <c r="R103" i="2"/>
  <c r="R79" i="2"/>
  <c r="R112" i="2"/>
  <c r="R95" i="2"/>
  <c r="R71" i="2"/>
  <c r="R111" i="2"/>
  <c r="R94" i="2"/>
  <c r="R109" i="2"/>
  <c r="R88" i="2"/>
  <c r="R70" i="2"/>
  <c r="S81" i="2"/>
  <c r="S88" i="2"/>
  <c r="R101" i="2"/>
  <c r="R93" i="2"/>
  <c r="R85" i="2"/>
  <c r="R77" i="2"/>
  <c r="R69" i="2"/>
  <c r="R100" i="2"/>
  <c r="R92" i="2"/>
  <c r="R84" i="2"/>
  <c r="R76" i="2"/>
  <c r="R68" i="2"/>
  <c r="R107" i="2"/>
  <c r="R99" i="2"/>
  <c r="R91" i="2"/>
  <c r="R83" i="2"/>
  <c r="R75" i="2"/>
  <c r="R67" i="2"/>
  <c r="R106" i="2"/>
  <c r="R98" i="2"/>
  <c r="R90" i="2"/>
  <c r="R82" i="2"/>
  <c r="R74" i="2"/>
  <c r="R66" i="2"/>
  <c r="R105" i="2"/>
  <c r="R97" i="2"/>
  <c r="R89" i="2"/>
  <c r="R81" i="2"/>
  <c r="S74" i="2"/>
  <c r="S110" i="2"/>
  <c r="Q29" i="7"/>
  <c r="G14" i="10"/>
  <c r="G16" i="10"/>
  <c r="G17" i="10"/>
  <c r="G33" i="10"/>
  <c r="G34" i="10"/>
  <c r="G19" i="10"/>
  <c r="G42" i="10"/>
  <c r="G10" i="10"/>
  <c r="G26" i="10"/>
  <c r="G44" i="10"/>
  <c r="G15" i="10"/>
  <c r="G24" i="10"/>
  <c r="AI52" i="6"/>
  <c r="B53" i="8"/>
  <c r="AZ30" i="8"/>
  <c r="AZ33" i="8" s="1"/>
  <c r="AZ34" i="8" s="1"/>
  <c r="B27" i="8"/>
  <c r="B35" i="8"/>
  <c r="B25" i="8"/>
  <c r="B47" i="8"/>
  <c r="B49" i="8"/>
  <c r="B15" i="8"/>
  <c r="B17" i="8"/>
  <c r="B37" i="8"/>
  <c r="B29" i="8"/>
  <c r="B39" i="8"/>
  <c r="B19" i="8"/>
  <c r="B41" i="8"/>
  <c r="B51" i="8"/>
  <c r="B31" i="8"/>
  <c r="B11" i="8"/>
  <c r="B21" i="8"/>
  <c r="B33" i="8"/>
  <c r="B43" i="8"/>
  <c r="B13" i="8"/>
  <c r="B23" i="8"/>
  <c r="B45" i="8"/>
  <c r="B12" i="8"/>
  <c r="B14" i="8"/>
  <c r="B16" i="8"/>
  <c r="B18" i="8"/>
  <c r="B20" i="8"/>
  <c r="B22" i="8"/>
  <c r="B24" i="8"/>
  <c r="B26" i="8"/>
  <c r="B28" i="8"/>
  <c r="B30" i="8"/>
  <c r="B32" i="8"/>
  <c r="B34" i="8"/>
  <c r="B36" i="8"/>
  <c r="B38" i="8"/>
  <c r="B40" i="8"/>
  <c r="B42" i="8"/>
  <c r="B44" i="8"/>
  <c r="B46" i="8"/>
  <c r="B48" i="8"/>
  <c r="B50" i="8"/>
  <c r="B52" i="8"/>
  <c r="D80" i="7"/>
  <c r="E49" i="7" s="1"/>
  <c r="B5" i="8"/>
  <c r="AZ53" i="8"/>
  <c r="F53" i="8" s="1"/>
  <c r="B4" i="8"/>
  <c r="BC53" i="8"/>
  <c r="BB53" i="8"/>
  <c r="BA53" i="8"/>
  <c r="B10" i="8"/>
  <c r="B9" i="8"/>
  <c r="B8" i="8"/>
  <c r="B7" i="8"/>
  <c r="B3" i="8"/>
  <c r="G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2" i="2"/>
  <c r="S79" i="2" l="1"/>
  <c r="S89" i="2"/>
  <c r="S90" i="2"/>
  <c r="S76" i="2"/>
  <c r="S92" i="2"/>
  <c r="S93" i="2"/>
  <c r="S68" i="2"/>
  <c r="S109" i="2"/>
  <c r="S97" i="2"/>
  <c r="S84" i="2"/>
  <c r="S101" i="2"/>
  <c r="S71" i="2"/>
  <c r="S82" i="2"/>
  <c r="S75" i="2"/>
  <c r="S107" i="2"/>
  <c r="S87" i="2"/>
  <c r="S100" i="2"/>
  <c r="S98" i="2"/>
  <c r="S80" i="2"/>
  <c r="S108" i="2"/>
  <c r="S78" i="2"/>
  <c r="S95" i="2"/>
  <c r="S106" i="2"/>
  <c r="S99" i="2"/>
  <c r="S112" i="2"/>
  <c r="S104" i="2"/>
  <c r="S69" i="2"/>
  <c r="S86" i="2"/>
  <c r="S103" i="2"/>
  <c r="S65" i="2"/>
  <c r="S94" i="2"/>
  <c r="S67" i="2"/>
  <c r="S70" i="2"/>
  <c r="S91" i="2"/>
  <c r="S77" i="2"/>
  <c r="S111" i="2"/>
  <c r="S83" i="2"/>
  <c r="S113" i="2"/>
  <c r="S85" i="2"/>
  <c r="S102" i="2"/>
  <c r="S66" i="2"/>
  <c r="S96" i="2"/>
  <c r="S105" i="2"/>
  <c r="S72" i="2"/>
  <c r="T227" i="8"/>
  <c r="E27" i="12"/>
  <c r="E40" i="12"/>
  <c r="E39" i="12"/>
  <c r="E33" i="12"/>
  <c r="E21" i="12"/>
  <c r="E29" i="12"/>
  <c r="V542" i="8" a="1"/>
  <c r="V542" i="8" s="1"/>
  <c r="AP41" i="8" s="1"/>
  <c r="AM41" i="11" s="1"/>
  <c r="E24" i="12"/>
  <c r="E32" i="12"/>
  <c r="E31" i="12"/>
  <c r="E4" i="12"/>
  <c r="E12" i="12"/>
  <c r="E23" i="12"/>
  <c r="E46" i="12"/>
  <c r="E2" i="12"/>
  <c r="E42" i="12"/>
  <c r="E16" i="12"/>
  <c r="E15" i="12"/>
  <c r="E38" i="12"/>
  <c r="E19" i="12"/>
  <c r="E44" i="12"/>
  <c r="V532" i="8" a="1"/>
  <c r="V532" i="8" s="1"/>
  <c r="AP31" i="8" s="1"/>
  <c r="AM31" i="11" s="1"/>
  <c r="E18" i="12"/>
  <c r="E7" i="12"/>
  <c r="E6" i="12"/>
  <c r="E22" i="12"/>
  <c r="E50" i="12"/>
  <c r="E36" i="12"/>
  <c r="V552" i="8" a="1"/>
  <c r="V552" i="8" s="1"/>
  <c r="AP51" i="8" s="1"/>
  <c r="AM51" i="11" s="1"/>
  <c r="V540" i="8" a="1"/>
  <c r="V540" i="8" s="1"/>
  <c r="AP39" i="8" s="1"/>
  <c r="AM39" i="11" s="1"/>
  <c r="V520" i="8" a="1"/>
  <c r="V520" i="8" s="1"/>
  <c r="AP19" i="8" s="1"/>
  <c r="AM19" i="11" s="1"/>
  <c r="V550" i="8" a="1"/>
  <c r="V550" i="8" s="1"/>
  <c r="AP49" i="8" s="1"/>
  <c r="AM49" i="11" s="1"/>
  <c r="V518" i="8" a="1"/>
  <c r="V518" i="8" s="1"/>
  <c r="AP17" i="8" s="1"/>
  <c r="AM17" i="11" s="1"/>
  <c r="E17" i="12"/>
  <c r="E43" i="12"/>
  <c r="E10" i="12"/>
  <c r="E13" i="12"/>
  <c r="E41" i="12"/>
  <c r="E34" i="12"/>
  <c r="E5" i="12"/>
  <c r="E28" i="12"/>
  <c r="E51" i="12"/>
  <c r="E8" i="12"/>
  <c r="E25" i="12"/>
  <c r="E26" i="12"/>
  <c r="E45" i="12"/>
  <c r="E30" i="12"/>
  <c r="E20" i="12"/>
  <c r="E52" i="12"/>
  <c r="E3" i="12"/>
  <c r="E9" i="12"/>
  <c r="E35" i="12"/>
  <c r="E48" i="12"/>
  <c r="E47" i="12"/>
  <c r="E49" i="12"/>
  <c r="E37" i="12"/>
  <c r="E14" i="12"/>
  <c r="E11" i="12"/>
  <c r="V20" i="8"/>
  <c r="AQ11" i="8"/>
  <c r="AN11" i="11" s="1"/>
  <c r="AQ19" i="8"/>
  <c r="AN19" i="11" s="1"/>
  <c r="AQ27" i="8"/>
  <c r="AN27" i="11" s="1"/>
  <c r="AQ35" i="8"/>
  <c r="AN35" i="11" s="1"/>
  <c r="AQ43" i="8"/>
  <c r="AN43" i="11" s="1"/>
  <c r="AQ51" i="8"/>
  <c r="AN51" i="11" s="1"/>
  <c r="AQ4" i="8"/>
  <c r="AN4" i="11" s="1"/>
  <c r="AQ12" i="8"/>
  <c r="AN12" i="11" s="1"/>
  <c r="AQ20" i="8"/>
  <c r="AN20" i="11" s="1"/>
  <c r="AQ28" i="8"/>
  <c r="AN28" i="11" s="1"/>
  <c r="AQ36" i="8"/>
  <c r="AN36" i="11" s="1"/>
  <c r="AQ44" i="8"/>
  <c r="AN44" i="11" s="1"/>
  <c r="AQ52" i="8"/>
  <c r="AN52" i="11" s="1"/>
  <c r="AQ5" i="8"/>
  <c r="AN5" i="11" s="1"/>
  <c r="AQ13" i="8"/>
  <c r="AN13" i="11" s="1"/>
  <c r="AQ21" i="8"/>
  <c r="AN21" i="11" s="1"/>
  <c r="AQ29" i="8"/>
  <c r="AN29" i="11" s="1"/>
  <c r="AQ37" i="8"/>
  <c r="AN37" i="11" s="1"/>
  <c r="AQ45" i="8"/>
  <c r="AN45" i="11" s="1"/>
  <c r="AQ53" i="8"/>
  <c r="AN53" i="11" s="1"/>
  <c r="AQ6" i="8"/>
  <c r="AN6" i="11" s="1"/>
  <c r="AQ14" i="8"/>
  <c r="AN14" i="11" s="1"/>
  <c r="AQ22" i="8"/>
  <c r="AN22" i="11" s="1"/>
  <c r="AQ30" i="8"/>
  <c r="AN30" i="11" s="1"/>
  <c r="AQ38" i="8"/>
  <c r="AN38" i="11" s="1"/>
  <c r="AQ46" i="8"/>
  <c r="AN46" i="11" s="1"/>
  <c r="AQ3" i="8"/>
  <c r="AN3" i="11" s="1"/>
  <c r="AQ7" i="8"/>
  <c r="AN7" i="11" s="1"/>
  <c r="AQ15" i="8"/>
  <c r="AN15" i="11" s="1"/>
  <c r="AQ23" i="8"/>
  <c r="AN23" i="11" s="1"/>
  <c r="AQ31" i="8"/>
  <c r="AN31" i="11" s="1"/>
  <c r="AQ39" i="8"/>
  <c r="AN39" i="11" s="1"/>
  <c r="AQ47" i="8"/>
  <c r="AN47" i="11" s="1"/>
  <c r="AQ10" i="8"/>
  <c r="AN10" i="11" s="1"/>
  <c r="AQ33" i="8"/>
  <c r="AN33" i="11" s="1"/>
  <c r="AQ16" i="8"/>
  <c r="AN16" i="11" s="1"/>
  <c r="AQ34" i="8"/>
  <c r="AN34" i="11" s="1"/>
  <c r="AQ17" i="8"/>
  <c r="AN17" i="11" s="1"/>
  <c r="AQ40" i="8"/>
  <c r="AN40" i="11" s="1"/>
  <c r="AQ18" i="8"/>
  <c r="AN18" i="11" s="1"/>
  <c r="AQ41" i="8"/>
  <c r="AN41" i="11" s="1"/>
  <c r="AQ24" i="8"/>
  <c r="AN24" i="11" s="1"/>
  <c r="AQ42" i="8"/>
  <c r="AN42" i="11" s="1"/>
  <c r="AQ25" i="8"/>
  <c r="AN25" i="11" s="1"/>
  <c r="AQ48" i="8"/>
  <c r="AN48" i="11" s="1"/>
  <c r="AQ8" i="8"/>
  <c r="AN8" i="11" s="1"/>
  <c r="AQ26" i="8"/>
  <c r="AN26" i="11" s="1"/>
  <c r="AQ49" i="8"/>
  <c r="AN49" i="11" s="1"/>
  <c r="AQ9" i="8"/>
  <c r="AN9" i="11" s="1"/>
  <c r="AQ32" i="8"/>
  <c r="AN32" i="11" s="1"/>
  <c r="AQ50" i="8"/>
  <c r="AN50" i="11" s="1"/>
  <c r="V27" i="8"/>
  <c r="V23" i="8"/>
  <c r="V7" i="8"/>
  <c r="V43" i="8"/>
  <c r="V50" i="8"/>
  <c r="V36" i="8"/>
  <c r="V34" i="8"/>
  <c r="V12" i="8"/>
  <c r="V17" i="8"/>
  <c r="AK43" i="11"/>
  <c r="AK52" i="11"/>
  <c r="AK36" i="11"/>
  <c r="AK23" i="11"/>
  <c r="V543" i="8" a="1"/>
  <c r="V543" i="8" s="1"/>
  <c r="AP42" i="8" s="1"/>
  <c r="AM42" i="11" s="1"/>
  <c r="V33" i="8"/>
  <c r="V11" i="8"/>
  <c r="V52" i="8"/>
  <c r="AK7" i="11"/>
  <c r="AK31" i="11"/>
  <c r="AK53" i="11"/>
  <c r="V516" i="8" a="1"/>
  <c r="V516" i="8" s="1"/>
  <c r="AP15" i="8" s="1"/>
  <c r="AM15" i="11" s="1"/>
  <c r="V548" i="8" a="1"/>
  <c r="V548" i="8" s="1"/>
  <c r="AP47" i="8" s="1"/>
  <c r="AM47" i="11" s="1"/>
  <c r="V529" i="8" a="1"/>
  <c r="V529" i="8" s="1"/>
  <c r="AP28" i="8" s="1"/>
  <c r="AM28" i="11" s="1"/>
  <c r="V528" i="8" a="1"/>
  <c r="V528" i="8" s="1"/>
  <c r="AP27" i="8" s="1"/>
  <c r="AM27" i="11" s="1"/>
  <c r="AK50" i="11"/>
  <c r="V514" i="8" a="1"/>
  <c r="V514" i="8" s="1"/>
  <c r="AP13" i="8" s="1"/>
  <c r="AM13" i="11" s="1"/>
  <c r="AK22" i="11"/>
  <c r="AK19" i="11"/>
  <c r="AK48" i="11"/>
  <c r="AK37" i="11"/>
  <c r="AK21" i="11"/>
  <c r="AK32" i="11"/>
  <c r="AK49" i="11"/>
  <c r="V513" i="8" a="1"/>
  <c r="V513" i="8" s="1"/>
  <c r="AP12" i="8" s="1"/>
  <c r="AM12" i="11" s="1"/>
  <c r="V509" i="8" a="1"/>
  <c r="V509" i="8" s="1"/>
  <c r="AP8" i="8" s="1"/>
  <c r="AM8" i="11" s="1"/>
  <c r="V511" i="8" a="1"/>
  <c r="V511" i="8" s="1"/>
  <c r="AP10" i="8" s="1"/>
  <c r="AM10" i="11" s="1"/>
  <c r="V526" i="8" a="1"/>
  <c r="V526" i="8" s="1"/>
  <c r="AP25" i="8" s="1"/>
  <c r="AM25" i="11" s="1"/>
  <c r="V539" i="8" a="1"/>
  <c r="V539" i="8" s="1"/>
  <c r="AP38" i="8" s="1"/>
  <c r="AM38" i="11" s="1"/>
  <c r="AK18" i="11"/>
  <c r="AK3" i="11"/>
  <c r="AK44" i="11"/>
  <c r="AK29" i="11"/>
  <c r="AK8" i="11"/>
  <c r="AK5" i="11"/>
  <c r="AK41" i="11"/>
  <c r="K5" i="12"/>
  <c r="K13" i="12"/>
  <c r="K21" i="12"/>
  <c r="K29" i="12"/>
  <c r="K37" i="12"/>
  <c r="K45" i="12"/>
  <c r="K2" i="12"/>
  <c r="K6" i="12"/>
  <c r="K14" i="12"/>
  <c r="K22" i="12"/>
  <c r="K30" i="12"/>
  <c r="K38" i="12"/>
  <c r="K46" i="12"/>
  <c r="K7" i="12"/>
  <c r="K15" i="12"/>
  <c r="K23" i="12"/>
  <c r="K31" i="12"/>
  <c r="K39" i="12"/>
  <c r="K47" i="12"/>
  <c r="K8" i="12"/>
  <c r="K16" i="12"/>
  <c r="K24" i="12"/>
  <c r="K32" i="12"/>
  <c r="K40" i="12"/>
  <c r="K48" i="12"/>
  <c r="K9" i="12"/>
  <c r="K17" i="12"/>
  <c r="K25" i="12"/>
  <c r="K33" i="12"/>
  <c r="K41" i="12"/>
  <c r="K49" i="12"/>
  <c r="K10" i="12"/>
  <c r="K28" i="12"/>
  <c r="K51" i="12"/>
  <c r="K4" i="12"/>
  <c r="K11" i="12"/>
  <c r="K34" i="12"/>
  <c r="K52" i="12"/>
  <c r="K27" i="12"/>
  <c r="K12" i="12"/>
  <c r="K35" i="12"/>
  <c r="K18" i="12"/>
  <c r="K36" i="12"/>
  <c r="K19" i="12"/>
  <c r="K42" i="12"/>
  <c r="K20" i="12"/>
  <c r="K43" i="12"/>
  <c r="K3" i="12"/>
  <c r="K26" i="12"/>
  <c r="K44" i="12"/>
  <c r="K50" i="12"/>
  <c r="V504" i="8" a="1"/>
  <c r="V504" i="8" s="1"/>
  <c r="AP3" i="8" s="1"/>
  <c r="AM3" i="11" s="1"/>
  <c r="V517" i="8" a="1"/>
  <c r="V517" i="8" s="1"/>
  <c r="AP16" i="8" s="1"/>
  <c r="AM16" i="11" s="1"/>
  <c r="AK30" i="11"/>
  <c r="AK51" i="11"/>
  <c r="V507" i="8" a="1"/>
  <c r="V507" i="8" s="1"/>
  <c r="AP6" i="8" s="1"/>
  <c r="AM6" i="11" s="1"/>
  <c r="V522" i="8" a="1"/>
  <c r="V522" i="8" s="1"/>
  <c r="AP21" i="8" s="1"/>
  <c r="AM21" i="11" s="1"/>
  <c r="AK12" i="11"/>
  <c r="AK11" i="11"/>
  <c r="AK16" i="11"/>
  <c r="AK33" i="11"/>
  <c r="V536" i="8" a="1"/>
  <c r="V536" i="8" s="1"/>
  <c r="AP35" i="8" s="1"/>
  <c r="AM35" i="11" s="1"/>
  <c r="V525" i="8" a="1"/>
  <c r="V525" i="8" s="1"/>
  <c r="AP24" i="8" s="1"/>
  <c r="AM24" i="11" s="1"/>
  <c r="AK4" i="11"/>
  <c r="V506" i="8" a="1"/>
  <c r="V506" i="8" s="1"/>
  <c r="AP5" i="8" s="1"/>
  <c r="AM5" i="11" s="1"/>
  <c r="AK28" i="11"/>
  <c r="V527" i="8" a="1"/>
  <c r="V527" i="8" s="1"/>
  <c r="AP26" i="8" s="1"/>
  <c r="AM26" i="11" s="1"/>
  <c r="AK6" i="11"/>
  <c r="AK24" i="11"/>
  <c r="AK25" i="11"/>
  <c r="V512" i="8" a="1"/>
  <c r="V512" i="8" s="1"/>
  <c r="AP11" i="8" s="1"/>
  <c r="AM11" i="11" s="1"/>
  <c r="V505" i="8" a="1"/>
  <c r="V505" i="8" s="1"/>
  <c r="AP4" i="8" s="1"/>
  <c r="AM4" i="11" s="1"/>
  <c r="V508" i="8" a="1"/>
  <c r="V508" i="8" s="1"/>
  <c r="AP7" i="8" s="1"/>
  <c r="AM7" i="11" s="1"/>
  <c r="V533" i="8" a="1"/>
  <c r="V533" i="8" s="1"/>
  <c r="AP32" i="8" s="1"/>
  <c r="AM32" i="11" s="1"/>
  <c r="V538" i="8" a="1"/>
  <c r="V538" i="8" s="1"/>
  <c r="AP37" i="8" s="1"/>
  <c r="AM37" i="11" s="1"/>
  <c r="AK35" i="11"/>
  <c r="V534" i="8" a="1"/>
  <c r="V534" i="8" s="1"/>
  <c r="AP33" i="8" s="1"/>
  <c r="AM33" i="11" s="1"/>
  <c r="V531" i="8" a="1"/>
  <c r="V531" i="8" s="1"/>
  <c r="AP30" i="8" s="1"/>
  <c r="AM30" i="11" s="1"/>
  <c r="AK34" i="11"/>
  <c r="AK10" i="11"/>
  <c r="AK45" i="11"/>
  <c r="AK15" i="11"/>
  <c r="AK17" i="11"/>
  <c r="V544" i="8" a="1"/>
  <c r="V544" i="8" s="1"/>
  <c r="AP43" i="8" s="1"/>
  <c r="AM43" i="11" s="1"/>
  <c r="V553" i="8" a="1"/>
  <c r="V553" i="8" s="1"/>
  <c r="AP52" i="8" s="1"/>
  <c r="AM52" i="11" s="1"/>
  <c r="V545" i="8" a="1"/>
  <c r="V545" i="8" s="1"/>
  <c r="AP44" i="8" s="1"/>
  <c r="AM44" i="11" s="1"/>
  <c r="V524" i="8" a="1"/>
  <c r="V524" i="8" s="1"/>
  <c r="AP23" i="8" s="1"/>
  <c r="AM23" i="11" s="1"/>
  <c r="V541" i="8" a="1"/>
  <c r="V541" i="8" s="1"/>
  <c r="AP40" i="8" s="1"/>
  <c r="AM40" i="11" s="1"/>
  <c r="V515" i="8" a="1"/>
  <c r="V515" i="8" s="1"/>
  <c r="AP14" i="8" s="1"/>
  <c r="AM14" i="11" s="1"/>
  <c r="V530" i="8" a="1"/>
  <c r="V530" i="8" s="1"/>
  <c r="AP29" i="8" s="1"/>
  <c r="AM29" i="11" s="1"/>
  <c r="AK38" i="11"/>
  <c r="V519" i="8" a="1"/>
  <c r="V519" i="8" s="1"/>
  <c r="AP18" i="8" s="1"/>
  <c r="AM18" i="11" s="1"/>
  <c r="AK46" i="11"/>
  <c r="AK42" i="11"/>
  <c r="V510" i="8" a="1"/>
  <c r="V510" i="8" s="1"/>
  <c r="AP9" i="8" s="1"/>
  <c r="AM9" i="11" s="1"/>
  <c r="AK40" i="11"/>
  <c r="V546" i="8" a="1"/>
  <c r="V546" i="8" s="1"/>
  <c r="AP45" i="8" s="1"/>
  <c r="AM45" i="11" s="1"/>
  <c r="AK47" i="11"/>
  <c r="AK13" i="11"/>
  <c r="AK9" i="11"/>
  <c r="V537" i="8" a="1"/>
  <c r="V537" i="8" s="1"/>
  <c r="AP36" i="8" s="1"/>
  <c r="AM36" i="11" s="1"/>
  <c r="V521" i="8" a="1"/>
  <c r="V521" i="8" s="1"/>
  <c r="AP20" i="8" s="1"/>
  <c r="AM20" i="11" s="1"/>
  <c r="V549" i="8" a="1"/>
  <c r="V549" i="8" s="1"/>
  <c r="AP48" i="8" s="1"/>
  <c r="AM48" i="11" s="1"/>
  <c r="V551" i="8" a="1"/>
  <c r="V551" i="8" s="1"/>
  <c r="AP50" i="8" s="1"/>
  <c r="AM50" i="11" s="1"/>
  <c r="V523" i="8" a="1"/>
  <c r="V523" i="8" s="1"/>
  <c r="AP22" i="8" s="1"/>
  <c r="AM22" i="11" s="1"/>
  <c r="AK27" i="11"/>
  <c r="AK14" i="11"/>
  <c r="V535" i="8" a="1"/>
  <c r="V535" i="8" s="1"/>
  <c r="AP34" i="8" s="1"/>
  <c r="AM34" i="11" s="1"/>
  <c r="AK20" i="11"/>
  <c r="AK26" i="11"/>
  <c r="AK39" i="11"/>
  <c r="V547" i="8" a="1"/>
  <c r="V547" i="8" s="1"/>
  <c r="AP46" i="8" s="1"/>
  <c r="AM46" i="11" s="1"/>
  <c r="G246" i="8"/>
  <c r="V8" i="8"/>
  <c r="V25" i="8"/>
  <c r="V42" i="8"/>
  <c r="V15" i="8"/>
  <c r="V45" i="8"/>
  <c r="V35" i="8"/>
  <c r="V37" i="8"/>
  <c r="V5" i="8"/>
  <c r="V24" i="8"/>
  <c r="V41" i="8"/>
  <c r="V6" i="8"/>
  <c r="V31" i="8"/>
  <c r="V53" i="8"/>
  <c r="V44" i="8"/>
  <c r="V32" i="8"/>
  <c r="V49" i="8"/>
  <c r="V14" i="8"/>
  <c r="V39" i="8"/>
  <c r="V28" i="8"/>
  <c r="V13" i="8"/>
  <c r="V22" i="8"/>
  <c r="V40" i="8"/>
  <c r="V10" i="8"/>
  <c r="V47" i="8"/>
  <c r="V46" i="8"/>
  <c r="V3" i="8"/>
  <c r="V48" i="8"/>
  <c r="V18" i="8"/>
  <c r="V30" i="8"/>
  <c r="V21" i="8"/>
  <c r="V29" i="8"/>
  <c r="V19" i="8"/>
  <c r="V9" i="8"/>
  <c r="V26" i="8"/>
  <c r="V38" i="8"/>
  <c r="V4" i="8"/>
  <c r="V51" i="8"/>
  <c r="S246" i="8"/>
  <c r="D227" i="8"/>
  <c r="H268" i="8"/>
  <c r="U273" i="8"/>
  <c r="G268" i="8"/>
  <c r="O238" i="8"/>
  <c r="M246" i="8"/>
  <c r="E270" i="8"/>
  <c r="L272" i="8"/>
  <c r="E272" i="8"/>
  <c r="D272" i="8"/>
  <c r="Q270" i="8"/>
  <c r="S262" i="8"/>
  <c r="T235" i="8"/>
  <c r="H262" i="8"/>
  <c r="O235" i="8"/>
  <c r="D262" i="8"/>
  <c r="B235" i="8"/>
  <c r="S268" i="8"/>
  <c r="T256" i="8"/>
  <c r="E273" i="8"/>
  <c r="J256" i="8"/>
  <c r="B243" i="8"/>
  <c r="B273" i="8"/>
  <c r="T243" i="8"/>
  <c r="G238" i="8"/>
  <c r="Q238" i="8"/>
  <c r="N268" i="8"/>
  <c r="H243" i="8"/>
  <c r="O273" i="8"/>
  <c r="R238" i="8"/>
  <c r="L256" i="8"/>
  <c r="K268" i="8"/>
  <c r="D243" i="8"/>
  <c r="Q256" i="8"/>
  <c r="N273" i="8"/>
  <c r="K238" i="8"/>
  <c r="E268" i="8"/>
  <c r="Q243" i="8"/>
  <c r="K273" i="8"/>
  <c r="D238" i="8"/>
  <c r="G256" i="8"/>
  <c r="C243" i="8"/>
  <c r="H273" i="8"/>
  <c r="M238" i="8"/>
  <c r="B256" i="8"/>
  <c r="I268" i="8"/>
  <c r="J243" i="8"/>
  <c r="D273" i="8"/>
  <c r="T238" i="8"/>
  <c r="D256" i="8"/>
  <c r="R268" i="8"/>
  <c r="F268" i="8"/>
  <c r="O246" i="8"/>
  <c r="D270" i="8"/>
  <c r="M243" i="8"/>
  <c r="K243" i="8"/>
  <c r="C235" i="8"/>
  <c r="I273" i="8"/>
  <c r="C238" i="8"/>
  <c r="J238" i="8"/>
  <c r="M256" i="8"/>
  <c r="E256" i="8"/>
  <c r="B268" i="8"/>
  <c r="L268" i="8"/>
  <c r="Q246" i="8"/>
  <c r="C270" i="8"/>
  <c r="G243" i="8"/>
  <c r="P243" i="8"/>
  <c r="N235" i="8"/>
  <c r="R273" i="8"/>
  <c r="I238" i="8"/>
  <c r="S238" i="8"/>
  <c r="S256" i="8"/>
  <c r="C256" i="8"/>
  <c r="O262" i="8"/>
  <c r="R272" i="8"/>
  <c r="J268" i="8"/>
  <c r="Q268" i="8"/>
  <c r="L262" i="8"/>
  <c r="G272" i="8"/>
  <c r="E243" i="8"/>
  <c r="O243" i="8"/>
  <c r="P273" i="8"/>
  <c r="M273" i="8"/>
  <c r="U238" i="8"/>
  <c r="M227" i="8"/>
  <c r="K256" i="8"/>
  <c r="I267" i="8"/>
  <c r="M268" i="8"/>
  <c r="U268" i="8"/>
  <c r="S243" i="8"/>
  <c r="R243" i="8"/>
  <c r="J273" i="8"/>
  <c r="F273" i="8"/>
  <c r="L273" i="8"/>
  <c r="F238" i="8"/>
  <c r="H238" i="8"/>
  <c r="R256" i="8"/>
  <c r="O256" i="8"/>
  <c r="F256" i="8"/>
  <c r="C268" i="8"/>
  <c r="O268" i="8"/>
  <c r="D268" i="8"/>
  <c r="F243" i="8"/>
  <c r="U243" i="8"/>
  <c r="I243" i="8"/>
  <c r="C273" i="8"/>
  <c r="G273" i="8"/>
  <c r="P238" i="8"/>
  <c r="L238" i="8"/>
  <c r="N238" i="8"/>
  <c r="I256" i="8"/>
  <c r="N256" i="8"/>
  <c r="U256" i="8"/>
  <c r="L225" i="8"/>
  <c r="P268" i="8"/>
  <c r="N243" i="8"/>
  <c r="Q273" i="8"/>
  <c r="S273" i="8"/>
  <c r="E238" i="8"/>
  <c r="P256" i="8"/>
  <c r="G267" i="8"/>
  <c r="U225" i="8"/>
  <c r="R226" i="8"/>
  <c r="C225" i="8"/>
  <c r="G226" i="8"/>
  <c r="D239" i="8"/>
  <c r="E229" i="8"/>
  <c r="R237" i="8"/>
  <c r="T239" i="8"/>
  <c r="O251" i="8"/>
  <c r="N224" i="8"/>
  <c r="S229" i="8"/>
  <c r="M239" i="8"/>
  <c r="B251" i="8"/>
  <c r="N227" i="8"/>
  <c r="Q228" i="8"/>
  <c r="J229" i="8"/>
  <c r="J239" i="8"/>
  <c r="M251" i="8"/>
  <c r="L267" i="8"/>
  <c r="K245" i="8"/>
  <c r="K226" i="8"/>
  <c r="U267" i="8"/>
  <c r="P229" i="8"/>
  <c r="U239" i="8"/>
  <c r="D226" i="8"/>
  <c r="E267" i="8"/>
  <c r="P255" i="8"/>
  <c r="O229" i="8"/>
  <c r="D246" i="8"/>
  <c r="B262" i="8"/>
  <c r="P270" i="8"/>
  <c r="O239" i="8"/>
  <c r="H251" i="8"/>
  <c r="F226" i="8"/>
  <c r="I235" i="8"/>
  <c r="R235" i="8"/>
  <c r="R255" i="8"/>
  <c r="R227" i="8"/>
  <c r="G245" i="8"/>
  <c r="I233" i="8"/>
  <c r="Q229" i="8"/>
  <c r="U246" i="8"/>
  <c r="N262" i="8"/>
  <c r="J270" i="8"/>
  <c r="M254" i="8"/>
  <c r="R251" i="8"/>
  <c r="S226" i="8"/>
  <c r="Q267" i="8"/>
  <c r="H235" i="8"/>
  <c r="N255" i="8"/>
  <c r="K227" i="8"/>
  <c r="U229" i="8"/>
  <c r="B246" i="8"/>
  <c r="M262" i="8"/>
  <c r="H270" i="8"/>
  <c r="H272" i="8"/>
  <c r="P251" i="8"/>
  <c r="P226" i="8"/>
  <c r="C267" i="8"/>
  <c r="E235" i="8"/>
  <c r="F225" i="8"/>
  <c r="C255" i="8"/>
  <c r="I227" i="8"/>
  <c r="T237" i="8"/>
  <c r="E240" i="8"/>
  <c r="U233" i="8"/>
  <c r="T228" i="8"/>
  <c r="Q237" i="8"/>
  <c r="L240" i="8"/>
  <c r="N233" i="8"/>
  <c r="E228" i="8"/>
  <c r="F233" i="8"/>
  <c r="J228" i="8"/>
  <c r="K234" i="8"/>
  <c r="P259" i="8"/>
  <c r="H234" i="8"/>
  <c r="F259" i="8"/>
  <c r="J230" i="8"/>
  <c r="Q234" i="8"/>
  <c r="C230" i="8"/>
  <c r="I230" i="8"/>
  <c r="S240" i="8"/>
  <c r="I229" i="8"/>
  <c r="C229" i="8"/>
  <c r="S230" i="8"/>
  <c r="E230" i="8"/>
  <c r="M237" i="8"/>
  <c r="P237" i="8"/>
  <c r="I239" i="8"/>
  <c r="B240" i="8"/>
  <c r="F240" i="8"/>
  <c r="I251" i="8"/>
  <c r="U226" i="8"/>
  <c r="C226" i="8"/>
  <c r="R267" i="8"/>
  <c r="M267" i="8"/>
  <c r="M225" i="8"/>
  <c r="L233" i="8"/>
  <c r="O233" i="8"/>
  <c r="E255" i="8"/>
  <c r="O228" i="8"/>
  <c r="L228" i="8"/>
  <c r="R234" i="8"/>
  <c r="Q259" i="8"/>
  <c r="T230" i="8"/>
  <c r="K240" i="8"/>
  <c r="D233" i="8"/>
  <c r="C234" i="8"/>
  <c r="O234" i="8"/>
  <c r="G259" i="8"/>
  <c r="N229" i="8"/>
  <c r="O230" i="8"/>
  <c r="N237" i="8"/>
  <c r="D237" i="8"/>
  <c r="K239" i="8"/>
  <c r="G239" i="8"/>
  <c r="T240" i="8"/>
  <c r="N251" i="8"/>
  <c r="D251" i="8"/>
  <c r="N226" i="8"/>
  <c r="D267" i="8"/>
  <c r="G225" i="8"/>
  <c r="P233" i="8"/>
  <c r="G233" i="8"/>
  <c r="O255" i="8"/>
  <c r="K228" i="8"/>
  <c r="P234" i="8"/>
  <c r="F234" i="8"/>
  <c r="U259" i="8"/>
  <c r="M259" i="8"/>
  <c r="C237" i="8"/>
  <c r="K229" i="8"/>
  <c r="M229" i="8"/>
  <c r="M230" i="8"/>
  <c r="F237" i="8"/>
  <c r="O237" i="8"/>
  <c r="B239" i="8"/>
  <c r="C239" i="8"/>
  <c r="Q240" i="8"/>
  <c r="D240" i="8"/>
  <c r="F251" i="8"/>
  <c r="U251" i="8"/>
  <c r="M226" i="8"/>
  <c r="K267" i="8"/>
  <c r="R225" i="8"/>
  <c r="J233" i="8"/>
  <c r="B249" i="8"/>
  <c r="U255" i="8"/>
  <c r="N228" i="8"/>
  <c r="M234" i="8"/>
  <c r="L244" i="8"/>
  <c r="J259" i="8"/>
  <c r="Q253" i="8"/>
  <c r="B230" i="8"/>
  <c r="C233" i="8"/>
  <c r="S228" i="8"/>
  <c r="K259" i="8"/>
  <c r="F229" i="8"/>
  <c r="D229" i="8"/>
  <c r="K230" i="8"/>
  <c r="E237" i="8"/>
  <c r="J237" i="8"/>
  <c r="Q239" i="8"/>
  <c r="O240" i="8"/>
  <c r="M240" i="8"/>
  <c r="J251" i="8"/>
  <c r="S251" i="8"/>
  <c r="E226" i="8"/>
  <c r="H267" i="8"/>
  <c r="I225" i="8"/>
  <c r="J225" i="8"/>
  <c r="T233" i="8"/>
  <c r="J255" i="8"/>
  <c r="G255" i="8"/>
  <c r="U228" i="8"/>
  <c r="U234" i="8"/>
  <c r="R259" i="8"/>
  <c r="V420" i="8" a="1"/>
  <c r="V420" i="8" s="1"/>
  <c r="T30" i="8" s="1"/>
  <c r="V426" i="8" a="1"/>
  <c r="V426" i="8" s="1"/>
  <c r="T36" i="8" s="1"/>
  <c r="V323" i="8" a="1"/>
  <c r="V323" i="8" s="1"/>
  <c r="R45" i="8" s="1"/>
  <c r="V320" i="8" a="1"/>
  <c r="V320" i="8" s="1"/>
  <c r="R42" i="8" s="1"/>
  <c r="V325" i="8" a="1"/>
  <c r="V325" i="8" s="1"/>
  <c r="R47" i="8" s="1"/>
  <c r="R230" i="8"/>
  <c r="K237" i="8"/>
  <c r="G237" i="8"/>
  <c r="H240" i="8"/>
  <c r="R240" i="8"/>
  <c r="B271" i="8"/>
  <c r="H233" i="8"/>
  <c r="S233" i="8"/>
  <c r="B228" i="8"/>
  <c r="R228" i="8"/>
  <c r="N234" i="8"/>
  <c r="T259" i="8"/>
  <c r="V473" i="8" a="1"/>
  <c r="V473" i="8" s="1"/>
  <c r="U27" i="8" s="1"/>
  <c r="E246" i="8"/>
  <c r="K246" i="8"/>
  <c r="N246" i="8"/>
  <c r="Q262" i="8"/>
  <c r="C262" i="8"/>
  <c r="U270" i="8"/>
  <c r="M270" i="8"/>
  <c r="B270" i="8"/>
  <c r="M272" i="8"/>
  <c r="O272" i="8"/>
  <c r="C272" i="8"/>
  <c r="P235" i="8"/>
  <c r="D235" i="8"/>
  <c r="E227" i="8"/>
  <c r="U227" i="8"/>
  <c r="O227" i="8"/>
  <c r="T246" i="8"/>
  <c r="J246" i="8"/>
  <c r="H246" i="8"/>
  <c r="T262" i="8"/>
  <c r="G262" i="8"/>
  <c r="S270" i="8"/>
  <c r="I270" i="8"/>
  <c r="G270" i="8"/>
  <c r="P272" i="8"/>
  <c r="N272" i="8"/>
  <c r="K272" i="8"/>
  <c r="E247" i="8"/>
  <c r="L235" i="8"/>
  <c r="G235" i="8"/>
  <c r="G227" i="8"/>
  <c r="S227" i="8"/>
  <c r="L246" i="8"/>
  <c r="R246" i="8"/>
  <c r="J262" i="8"/>
  <c r="E262" i="8"/>
  <c r="T270" i="8"/>
  <c r="R270" i="8"/>
  <c r="N270" i="8"/>
  <c r="J272" i="8"/>
  <c r="F272" i="8"/>
  <c r="S272" i="8"/>
  <c r="K235" i="8"/>
  <c r="U235" i="8"/>
  <c r="Q227" i="8"/>
  <c r="B227" i="8"/>
  <c r="F246" i="8"/>
  <c r="C246" i="8"/>
  <c r="U262" i="8"/>
  <c r="F262" i="8"/>
  <c r="R262" i="8"/>
  <c r="L270" i="8"/>
  <c r="K270" i="8"/>
  <c r="B272" i="8"/>
  <c r="U272" i="8"/>
  <c r="Q272" i="8"/>
  <c r="F235" i="8"/>
  <c r="S235" i="8"/>
  <c r="J227" i="8"/>
  <c r="P227" i="8"/>
  <c r="P246" i="8"/>
  <c r="I262" i="8"/>
  <c r="K262" i="8"/>
  <c r="F270" i="8"/>
  <c r="I272" i="8"/>
  <c r="Q235" i="8"/>
  <c r="M235" i="8"/>
  <c r="P228" i="8"/>
  <c r="F227" i="8"/>
  <c r="C227" i="8"/>
  <c r="C259" i="8"/>
  <c r="Q232" i="8"/>
  <c r="H247" i="8"/>
  <c r="B258" i="8"/>
  <c r="F252" i="8"/>
  <c r="D232" i="8"/>
  <c r="T252" i="8"/>
  <c r="Q261" i="8"/>
  <c r="U261" i="8"/>
  <c r="S271" i="8"/>
  <c r="V173" i="8" a="1"/>
  <c r="V173" i="8" s="1"/>
  <c r="P7" i="8" s="1"/>
  <c r="Q241" i="8"/>
  <c r="H229" i="8"/>
  <c r="B229" i="8"/>
  <c r="L245" i="8"/>
  <c r="N230" i="8"/>
  <c r="L230" i="8"/>
  <c r="H230" i="8"/>
  <c r="U237" i="8"/>
  <c r="B237" i="8"/>
  <c r="R239" i="8"/>
  <c r="F239" i="8"/>
  <c r="H239" i="8"/>
  <c r="P240" i="8"/>
  <c r="C240" i="8"/>
  <c r="Q251" i="8"/>
  <c r="K251" i="8"/>
  <c r="L251" i="8"/>
  <c r="U271" i="8"/>
  <c r="J226" i="8"/>
  <c r="Q226" i="8"/>
  <c r="P267" i="8"/>
  <c r="B267" i="8"/>
  <c r="N225" i="8"/>
  <c r="T225" i="8"/>
  <c r="H225" i="8"/>
  <c r="R233" i="8"/>
  <c r="M233" i="8"/>
  <c r="D249" i="8"/>
  <c r="F255" i="8"/>
  <c r="K255" i="8"/>
  <c r="H228" i="8"/>
  <c r="M228" i="8"/>
  <c r="I228" i="8"/>
  <c r="E234" i="8"/>
  <c r="T234" i="8"/>
  <c r="S234" i="8"/>
  <c r="S259" i="8"/>
  <c r="N259" i="8"/>
  <c r="P250" i="8"/>
  <c r="C244" i="8"/>
  <c r="C250" i="8"/>
  <c r="H242" i="8"/>
  <c r="E254" i="8"/>
  <c r="Q260" i="8"/>
  <c r="D225" i="8"/>
  <c r="B225" i="8"/>
  <c r="L255" i="8"/>
  <c r="M255" i="8"/>
  <c r="B255" i="8"/>
  <c r="M244" i="8"/>
  <c r="T224" i="8"/>
  <c r="I271" i="8"/>
  <c r="Q242" i="8"/>
  <c r="O253" i="8"/>
  <c r="R229" i="8"/>
  <c r="T229" i="8"/>
  <c r="L236" i="8"/>
  <c r="G230" i="8"/>
  <c r="F230" i="8"/>
  <c r="U230" i="8"/>
  <c r="I237" i="8"/>
  <c r="L237" i="8"/>
  <c r="R231" i="8"/>
  <c r="P239" i="8"/>
  <c r="N239" i="8"/>
  <c r="G240" i="8"/>
  <c r="U240" i="8"/>
  <c r="I240" i="8"/>
  <c r="T251" i="8"/>
  <c r="G251" i="8"/>
  <c r="P264" i="8"/>
  <c r="I226" i="8"/>
  <c r="B226" i="8"/>
  <c r="L226" i="8"/>
  <c r="N267" i="8"/>
  <c r="J267" i="8"/>
  <c r="F267" i="8"/>
  <c r="S225" i="8"/>
  <c r="E225" i="8"/>
  <c r="K225" i="8"/>
  <c r="E233" i="8"/>
  <c r="Q233" i="8"/>
  <c r="D241" i="8"/>
  <c r="I255" i="8"/>
  <c r="T255" i="8"/>
  <c r="S255" i="8"/>
  <c r="G228" i="8"/>
  <c r="D228" i="8"/>
  <c r="J234" i="8"/>
  <c r="L234" i="8"/>
  <c r="I234" i="8"/>
  <c r="L259" i="8"/>
  <c r="I259" i="8"/>
  <c r="O259" i="8"/>
  <c r="N249" i="8"/>
  <c r="E250" i="8"/>
  <c r="O264" i="8"/>
  <c r="K244" i="8"/>
  <c r="L229" i="8"/>
  <c r="H236" i="8"/>
  <c r="P230" i="8"/>
  <c r="D230" i="8"/>
  <c r="H237" i="8"/>
  <c r="E239" i="8"/>
  <c r="S239" i="8"/>
  <c r="N240" i="8"/>
  <c r="E251" i="8"/>
  <c r="Q264" i="8"/>
  <c r="H226" i="8"/>
  <c r="T226" i="8"/>
  <c r="S267" i="8"/>
  <c r="O267" i="8"/>
  <c r="P225" i="8"/>
  <c r="O225" i="8"/>
  <c r="B233" i="8"/>
  <c r="M241" i="8"/>
  <c r="H255" i="8"/>
  <c r="D255" i="8"/>
  <c r="C228" i="8"/>
  <c r="D234" i="8"/>
  <c r="B234" i="8"/>
  <c r="E259" i="8"/>
  <c r="H259" i="8"/>
  <c r="N252" i="8"/>
  <c r="J250" i="8"/>
  <c r="P253" i="8"/>
  <c r="K231" i="8"/>
  <c r="F271" i="8"/>
  <c r="J257" i="8"/>
  <c r="F269" i="8"/>
  <c r="T249" i="8"/>
  <c r="N244" i="8"/>
  <c r="M266" i="8"/>
  <c r="B252" i="8"/>
  <c r="I250" i="8"/>
  <c r="C253" i="8"/>
  <c r="B231" i="8"/>
  <c r="E271" i="8"/>
  <c r="O257" i="8"/>
  <c r="J249" i="8"/>
  <c r="R265" i="8"/>
  <c r="I244" i="8"/>
  <c r="O263" i="8"/>
  <c r="M263" i="8"/>
  <c r="J232" i="8"/>
  <c r="N269" i="8"/>
  <c r="V170" i="8" a="1"/>
  <c r="V170" i="8" s="1"/>
  <c r="P4" i="8" s="1"/>
  <c r="P261" i="8"/>
  <c r="T250" i="8"/>
  <c r="U253" i="8"/>
  <c r="E231" i="8"/>
  <c r="F248" i="8"/>
  <c r="D271" i="8"/>
  <c r="M257" i="8"/>
  <c r="C249" i="8"/>
  <c r="H265" i="8"/>
  <c r="T244" i="8"/>
  <c r="G260" i="8"/>
  <c r="L247" i="8"/>
  <c r="S261" i="8"/>
  <c r="D250" i="8"/>
  <c r="H253" i="8"/>
  <c r="S231" i="8"/>
  <c r="Q248" i="8"/>
  <c r="N271" i="8"/>
  <c r="G257" i="8"/>
  <c r="Q249" i="8"/>
  <c r="C265" i="8"/>
  <c r="H244" i="8"/>
  <c r="K258" i="8"/>
  <c r="V90" i="8" a="1"/>
  <c r="V90" i="8" s="1"/>
  <c r="N33" i="8" s="1"/>
  <c r="R266" i="8"/>
  <c r="L252" i="8"/>
  <c r="J261" i="8"/>
  <c r="O250" i="8"/>
  <c r="T253" i="8"/>
  <c r="P231" i="8"/>
  <c r="F232" i="8"/>
  <c r="B247" i="8"/>
  <c r="P271" i="8"/>
  <c r="C260" i="8"/>
  <c r="G249" i="8"/>
  <c r="R244" i="8"/>
  <c r="H258" i="8"/>
  <c r="V496" i="8" a="1"/>
  <c r="V496" i="8" s="1"/>
  <c r="U50" i="8" s="1"/>
  <c r="V374" i="8" a="1"/>
  <c r="V374" i="8" s="1"/>
  <c r="S40" i="8" s="1"/>
  <c r="V79" i="8" a="1"/>
  <c r="V79" i="8" s="1"/>
  <c r="N22" i="8" s="1"/>
  <c r="V285" i="8" a="1"/>
  <c r="V285" i="8" s="1"/>
  <c r="R7" i="8" s="1"/>
  <c r="V327" i="8" a="1"/>
  <c r="V327" i="8" s="1"/>
  <c r="R49" i="8" s="1"/>
  <c r="V316" i="8" a="1"/>
  <c r="V316" i="8" s="1"/>
  <c r="R38" i="8" s="1"/>
  <c r="S236" i="8"/>
  <c r="N236" i="8"/>
  <c r="I236" i="8"/>
  <c r="B245" i="8"/>
  <c r="N245" i="8"/>
  <c r="K242" i="8"/>
  <c r="P242" i="8"/>
  <c r="Q254" i="8"/>
  <c r="B254" i="8"/>
  <c r="R264" i="8"/>
  <c r="B264" i="8"/>
  <c r="E264" i="8"/>
  <c r="U241" i="8"/>
  <c r="F241" i="8"/>
  <c r="B241" i="8"/>
  <c r="E258" i="8"/>
  <c r="F224" i="8"/>
  <c r="E224" i="8"/>
  <c r="V498" i="8" a="1"/>
  <c r="V498" i="8" s="1"/>
  <c r="U52" i="8" s="1"/>
  <c r="V465" i="8" a="1"/>
  <c r="V465" i="8" s="1"/>
  <c r="U19" i="8" s="1"/>
  <c r="AD19" i="11" s="1"/>
  <c r="V488" i="8" a="1"/>
  <c r="V488" i="8" s="1"/>
  <c r="U42" i="8" s="1"/>
  <c r="V474" i="8" a="1"/>
  <c r="V474" i="8" s="1"/>
  <c r="U28" i="8" s="1"/>
  <c r="V453" i="8" a="1"/>
  <c r="V453" i="8" s="1"/>
  <c r="U7" i="8" s="1"/>
  <c r="V356" i="8" a="1"/>
  <c r="V356" i="8" s="1"/>
  <c r="S22" i="8" s="1"/>
  <c r="V372" i="8" a="1"/>
  <c r="V372" i="8" s="1"/>
  <c r="S38" i="8" s="1"/>
  <c r="V385" i="8" a="1"/>
  <c r="V385" i="8" s="1"/>
  <c r="S51" i="8" s="1"/>
  <c r="V383" i="8" a="1"/>
  <c r="V383" i="8" s="1"/>
  <c r="S49" i="8" s="1"/>
  <c r="V371" i="8" a="1"/>
  <c r="V371" i="8" s="1"/>
  <c r="S37" i="8" s="1"/>
  <c r="V366" i="8" a="1"/>
  <c r="V366" i="8" s="1"/>
  <c r="S32" i="8" s="1"/>
  <c r="V373" i="8" a="1"/>
  <c r="V373" i="8" s="1"/>
  <c r="S39" i="8" s="1"/>
  <c r="V415" i="8" a="1"/>
  <c r="V415" i="8" s="1"/>
  <c r="T25" i="8" s="1"/>
  <c r="V408" i="8" a="1"/>
  <c r="V408" i="8" s="1"/>
  <c r="T18" i="8" s="1"/>
  <c r="V421" i="8" a="1"/>
  <c r="V421" i="8" s="1"/>
  <c r="T31" i="8" s="1"/>
  <c r="V412" i="8" a="1"/>
  <c r="V412" i="8" s="1"/>
  <c r="T22" i="8" s="1"/>
  <c r="V403" i="8" a="1"/>
  <c r="V403" i="8" s="1"/>
  <c r="T13" i="8" s="1"/>
  <c r="V418" i="8" a="1"/>
  <c r="V418" i="8" s="1"/>
  <c r="T28" i="8" s="1"/>
  <c r="V409" i="8" a="1"/>
  <c r="V409" i="8" s="1"/>
  <c r="T19" i="8" s="1"/>
  <c r="V62" i="8" a="1"/>
  <c r="V62" i="8" s="1"/>
  <c r="N5" i="8" s="1"/>
  <c r="V87" i="8" a="1"/>
  <c r="V87" i="8" s="1"/>
  <c r="N30" i="8" s="1"/>
  <c r="V95" i="8" a="1"/>
  <c r="V95" i="8" s="1"/>
  <c r="N38" i="8" s="1"/>
  <c r="V101" i="8" a="1"/>
  <c r="V101" i="8" s="1"/>
  <c r="N44" i="8" s="1"/>
  <c r="V186" i="8" a="1"/>
  <c r="V186" i="8" s="1"/>
  <c r="P20" i="8" s="1"/>
  <c r="V94" i="8" a="1"/>
  <c r="V94" i="8" s="1"/>
  <c r="N37" i="8" s="1"/>
  <c r="V61" i="8" a="1"/>
  <c r="V61" i="8" s="1"/>
  <c r="N4" i="8" s="1"/>
  <c r="V99" i="8" a="1"/>
  <c r="V99" i="8" s="1"/>
  <c r="N42" i="8" s="1"/>
  <c r="V188" i="8" a="1"/>
  <c r="V188" i="8" s="1"/>
  <c r="P22" i="8" s="1"/>
  <c r="V181" i="8" a="1"/>
  <c r="V181" i="8" s="1"/>
  <c r="P15" i="8" s="1"/>
  <c r="V177" i="8" a="1"/>
  <c r="V177" i="8" s="1"/>
  <c r="P11" i="8" s="1"/>
  <c r="V218" i="8" a="1"/>
  <c r="V218" i="8" s="1"/>
  <c r="P52" i="8" s="1"/>
  <c r="V107" i="8" a="1"/>
  <c r="V107" i="8" s="1"/>
  <c r="N50" i="8" s="1"/>
  <c r="V210" i="8" a="1"/>
  <c r="V210" i="8" s="1"/>
  <c r="P44" i="8" s="1"/>
  <c r="V183" i="8" a="1"/>
  <c r="V183" i="8" s="1"/>
  <c r="P17" i="8" s="1"/>
  <c r="V180" i="8" a="1"/>
  <c r="V180" i="8" s="1"/>
  <c r="P14" i="8" s="1"/>
  <c r="V82" i="8" a="1"/>
  <c r="V82" i="8" s="1"/>
  <c r="N25" i="8" s="1"/>
  <c r="V300" i="8" a="1"/>
  <c r="V300" i="8" s="1"/>
  <c r="R22" i="8" s="1"/>
  <c r="V321" i="8" a="1"/>
  <c r="V321" i="8" s="1"/>
  <c r="R43" i="8" s="1"/>
  <c r="V312" i="8" a="1"/>
  <c r="V312" i="8" s="1"/>
  <c r="R34" i="8" s="1"/>
  <c r="V319" i="8" a="1"/>
  <c r="V319" i="8" s="1"/>
  <c r="R41" i="8" s="1"/>
  <c r="V303" i="8" a="1"/>
  <c r="V303" i="8" s="1"/>
  <c r="R25" i="8" s="1"/>
  <c r="V317" i="8" a="1"/>
  <c r="V317" i="8" s="1"/>
  <c r="R39" i="8" s="1"/>
  <c r="P236" i="8"/>
  <c r="B236" i="8"/>
  <c r="G236" i="8"/>
  <c r="S245" i="8"/>
  <c r="I245" i="8"/>
  <c r="B242" i="8"/>
  <c r="C242" i="8"/>
  <c r="H254" i="8"/>
  <c r="N254" i="8"/>
  <c r="D264" i="8"/>
  <c r="H264" i="8"/>
  <c r="K264" i="8"/>
  <c r="O241" i="8"/>
  <c r="E241" i="8"/>
  <c r="H241" i="8"/>
  <c r="C224" i="8"/>
  <c r="O224" i="8"/>
  <c r="V482" i="8" a="1"/>
  <c r="V482" i="8" s="1"/>
  <c r="U36" i="8" s="1"/>
  <c r="AD36" i="11" s="1"/>
  <c r="V457" i="8" a="1"/>
  <c r="V457" i="8" s="1"/>
  <c r="U11" i="8" s="1"/>
  <c r="V480" i="8" a="1"/>
  <c r="V480" i="8" s="1"/>
  <c r="U34" i="8" s="1"/>
  <c r="V495" i="8" a="1"/>
  <c r="V495" i="8" s="1"/>
  <c r="U49" i="8" s="1"/>
  <c r="V494" i="8" a="1"/>
  <c r="V494" i="8" s="1"/>
  <c r="U48" i="8" s="1"/>
  <c r="V449" i="8" a="1"/>
  <c r="V449" i="8" s="1"/>
  <c r="U3" i="8" s="1"/>
  <c r="V380" i="8" a="1"/>
  <c r="V380" i="8" s="1"/>
  <c r="S46" i="8" s="1"/>
  <c r="V386" i="8" a="1"/>
  <c r="V386" i="8" s="1"/>
  <c r="S52" i="8" s="1"/>
  <c r="V377" i="8" a="1"/>
  <c r="V377" i="8" s="1"/>
  <c r="S43" i="8" s="1"/>
  <c r="L43" i="11" s="1"/>
  <c r="V384" i="8" a="1"/>
  <c r="V384" i="8" s="1"/>
  <c r="S50" i="8" s="1"/>
  <c r="V375" i="8" a="1"/>
  <c r="V375" i="8" s="1"/>
  <c r="S41" i="8" s="1"/>
  <c r="V347" i="8" a="1"/>
  <c r="V347" i="8" s="1"/>
  <c r="S13" i="8" s="1"/>
  <c r="V358" i="8" a="1"/>
  <c r="V358" i="8" s="1"/>
  <c r="S24" i="8" s="1"/>
  <c r="V365" i="8" a="1"/>
  <c r="V365" i="8" s="1"/>
  <c r="S31" i="8" s="1"/>
  <c r="V416" i="8" a="1"/>
  <c r="V416" i="8" s="1"/>
  <c r="T26" i="8" s="1"/>
  <c r="V438" i="8" a="1"/>
  <c r="V438" i="8" s="1"/>
  <c r="T48" i="8" s="1"/>
  <c r="V423" i="8" a="1"/>
  <c r="V423" i="8" s="1"/>
  <c r="T33" i="8" s="1"/>
  <c r="V413" i="8" a="1"/>
  <c r="V413" i="8" s="1"/>
  <c r="T23" i="8" s="1"/>
  <c r="V404" i="8" a="1"/>
  <c r="V404" i="8" s="1"/>
  <c r="T14" i="8" s="1"/>
  <c r="V395" i="8" a="1"/>
  <c r="V395" i="8" s="1"/>
  <c r="T5" i="8" s="1"/>
  <c r="V410" i="8" a="1"/>
  <c r="V410" i="8" s="1"/>
  <c r="T20" i="8" s="1"/>
  <c r="V401" i="8" a="1"/>
  <c r="V401" i="8" s="1"/>
  <c r="T11" i="8" s="1"/>
  <c r="V88" i="8" a="1"/>
  <c r="V88" i="8" s="1"/>
  <c r="N31" i="8" s="1"/>
  <c r="V67" i="8" a="1"/>
  <c r="V67" i="8" s="1"/>
  <c r="N10" i="8" s="1"/>
  <c r="V71" i="8" a="1"/>
  <c r="V71" i="8" s="1"/>
  <c r="N14" i="8" s="1"/>
  <c r="V109" i="8" a="1"/>
  <c r="V109" i="8" s="1"/>
  <c r="N52" i="8" s="1"/>
  <c r="V92" i="8" a="1"/>
  <c r="V92" i="8" s="1"/>
  <c r="N35" i="8" s="1"/>
  <c r="V65" i="8" a="1"/>
  <c r="V65" i="8" s="1"/>
  <c r="N8" i="8" s="1"/>
  <c r="V96" i="8" a="1"/>
  <c r="V96" i="8" s="1"/>
  <c r="N39" i="8" s="1"/>
  <c r="V190" i="8" a="1"/>
  <c r="V190" i="8" s="1"/>
  <c r="P24" i="8" s="1"/>
  <c r="V202" i="8" a="1"/>
  <c r="V202" i="8" s="1"/>
  <c r="P36" i="8" s="1"/>
  <c r="V86" i="8" a="1"/>
  <c r="V86" i="8" s="1"/>
  <c r="N29" i="8" s="1"/>
  <c r="V204" i="8" a="1"/>
  <c r="V204" i="8" s="1"/>
  <c r="P38" i="8" s="1"/>
  <c r="V172" i="8" a="1"/>
  <c r="V172" i="8" s="1"/>
  <c r="P6" i="8" s="1"/>
  <c r="V179" i="8" a="1"/>
  <c r="V179" i="8" s="1"/>
  <c r="P13" i="8" s="1"/>
  <c r="V329" i="8" a="1"/>
  <c r="V329" i="8" s="1"/>
  <c r="R51" i="8" s="1"/>
  <c r="V313" i="8" a="1"/>
  <c r="V313" i="8" s="1"/>
  <c r="R35" i="8" s="1"/>
  <c r="V305" i="8" a="1"/>
  <c r="V305" i="8" s="1"/>
  <c r="R27" i="8" s="1"/>
  <c r="V311" i="8" a="1"/>
  <c r="V311" i="8" s="1"/>
  <c r="R33" i="8" s="1"/>
  <c r="V295" i="8" a="1"/>
  <c r="V295" i="8" s="1"/>
  <c r="R17" i="8" s="1"/>
  <c r="V451" i="8" a="1"/>
  <c r="V451" i="8" s="1"/>
  <c r="U5" i="8" s="1"/>
  <c r="AD5" i="11" s="1"/>
  <c r="V429" i="8" a="1"/>
  <c r="V429" i="8" s="1"/>
  <c r="T39" i="8" s="1"/>
  <c r="V308" i="8" a="1"/>
  <c r="V308" i="8" s="1"/>
  <c r="R30" i="8" s="1"/>
  <c r="V310" i="8" a="1"/>
  <c r="V310" i="8" s="1"/>
  <c r="R32" i="8" s="1"/>
  <c r="F236" i="8"/>
  <c r="K236" i="8"/>
  <c r="E236" i="8"/>
  <c r="M245" i="8"/>
  <c r="U245" i="8"/>
  <c r="J242" i="8"/>
  <c r="R242" i="8"/>
  <c r="I242" i="8"/>
  <c r="I254" i="8"/>
  <c r="O254" i="8"/>
  <c r="J264" i="8"/>
  <c r="G264" i="8"/>
  <c r="L241" i="8"/>
  <c r="C241" i="8"/>
  <c r="B224" i="8"/>
  <c r="D224" i="8"/>
  <c r="V466" i="8" a="1"/>
  <c r="V466" i="8" s="1"/>
  <c r="U20" i="8" s="1"/>
  <c r="V472" i="8" a="1"/>
  <c r="V472" i="8" s="1"/>
  <c r="U26" i="8" s="1"/>
  <c r="AD26" i="11" s="1"/>
  <c r="V487" i="8" a="1"/>
  <c r="V487" i="8" s="1"/>
  <c r="U41" i="8" s="1"/>
  <c r="V486" i="8" a="1"/>
  <c r="V486" i="8" s="1"/>
  <c r="U40" i="8" s="1"/>
  <c r="V492" i="8" a="1"/>
  <c r="V492" i="8" s="1"/>
  <c r="U46" i="8" s="1"/>
  <c r="V364" i="8" a="1"/>
  <c r="V364" i="8" s="1"/>
  <c r="S30" i="8" s="1"/>
  <c r="L30" i="11" s="1"/>
  <c r="V378" i="8" a="1"/>
  <c r="V378" i="8" s="1"/>
  <c r="S44" i="8" s="1"/>
  <c r="V369" i="8" a="1"/>
  <c r="V369" i="8" s="1"/>
  <c r="S35" i="8" s="1"/>
  <c r="L35" i="11" s="1"/>
  <c r="V376" i="8" a="1"/>
  <c r="V376" i="8" s="1"/>
  <c r="S42" i="8" s="1"/>
  <c r="V367" i="8" a="1"/>
  <c r="V367" i="8" s="1"/>
  <c r="S33" i="8" s="1"/>
  <c r="L33" i="11" s="1"/>
  <c r="V350" i="8" a="1"/>
  <c r="V350" i="8" s="1"/>
  <c r="S16" i="8" s="1"/>
  <c r="V357" i="8" a="1"/>
  <c r="V357" i="8" s="1"/>
  <c r="S23" i="8" s="1"/>
  <c r="V430" i="8" a="1"/>
  <c r="V430" i="8" s="1"/>
  <c r="T40" i="8" s="1"/>
  <c r="V407" i="8" a="1"/>
  <c r="V407" i="8" s="1"/>
  <c r="T17" i="8" s="1"/>
  <c r="V405" i="8" a="1"/>
  <c r="V405" i="8" s="1"/>
  <c r="T15" i="8" s="1"/>
  <c r="V396" i="8" a="1"/>
  <c r="V396" i="8" s="1"/>
  <c r="T6" i="8" s="1"/>
  <c r="V402" i="8" a="1"/>
  <c r="V402" i="8" s="1"/>
  <c r="T12" i="8" s="1"/>
  <c r="V72" i="8" a="1"/>
  <c r="V72" i="8" s="1"/>
  <c r="N15" i="8" s="1"/>
  <c r="V60" i="8" a="1"/>
  <c r="V60" i="8" s="1"/>
  <c r="N3" i="8" s="1"/>
  <c r="V97" i="8" a="1"/>
  <c r="V97" i="8" s="1"/>
  <c r="N40" i="8" s="1"/>
  <c r="V64" i="8" a="1"/>
  <c r="V64" i="8" s="1"/>
  <c r="N7" i="8" s="1"/>
  <c r="V200" i="8" a="1"/>
  <c r="V200" i="8" s="1"/>
  <c r="P34" i="8" s="1"/>
  <c r="V89" i="8" a="1"/>
  <c r="V89" i="8" s="1"/>
  <c r="N32" i="8" s="1"/>
  <c r="V84" i="8" a="1"/>
  <c r="V84" i="8" s="1"/>
  <c r="N27" i="8" s="1"/>
  <c r="V108" i="8" a="1"/>
  <c r="V108" i="8" s="1"/>
  <c r="N51" i="8" s="1"/>
  <c r="V75" i="8" a="1"/>
  <c r="V75" i="8" s="1"/>
  <c r="N18" i="8" s="1"/>
  <c r="V211" i="8" a="1"/>
  <c r="V211" i="8" s="1"/>
  <c r="P45" i="8" s="1"/>
  <c r="V213" i="8" a="1"/>
  <c r="V213" i="8" s="1"/>
  <c r="P47" i="8" s="1"/>
  <c r="V185" i="8" a="1"/>
  <c r="V185" i="8" s="1"/>
  <c r="P19" i="8" s="1"/>
  <c r="V198" i="8" a="1"/>
  <c r="V198" i="8" s="1"/>
  <c r="P32" i="8" s="1"/>
  <c r="V98" i="8" a="1"/>
  <c r="V98" i="8" s="1"/>
  <c r="N41" i="8" s="1"/>
  <c r="V215" i="8" a="1"/>
  <c r="V215" i="8" s="1"/>
  <c r="P49" i="8" s="1"/>
  <c r="V212" i="8" a="1"/>
  <c r="V212" i="8" s="1"/>
  <c r="P46" i="8" s="1"/>
  <c r="V309" i="8" a="1"/>
  <c r="V309" i="8" s="1"/>
  <c r="R31" i="8" s="1"/>
  <c r="V322" i="8" a="1"/>
  <c r="V322" i="8" s="1"/>
  <c r="R44" i="8" s="1"/>
  <c r="V324" i="8" a="1"/>
  <c r="V324" i="8" s="1"/>
  <c r="R46" i="8" s="1"/>
  <c r="V306" i="8" a="1"/>
  <c r="V306" i="8" s="1"/>
  <c r="R28" i="8" s="1"/>
  <c r="V297" i="8" a="1"/>
  <c r="V297" i="8" s="1"/>
  <c r="R19" i="8" s="1"/>
  <c r="V304" i="8" a="1"/>
  <c r="V304" i="8" s="1"/>
  <c r="R26" i="8" s="1"/>
  <c r="V288" i="8" a="1"/>
  <c r="V288" i="8" s="1"/>
  <c r="R10" i="8" s="1"/>
  <c r="V467" i="8" a="1"/>
  <c r="V467" i="8" s="1"/>
  <c r="U21" i="8" s="1"/>
  <c r="V411" i="8" a="1"/>
  <c r="V411" i="8" s="1"/>
  <c r="T21" i="8" s="1"/>
  <c r="V201" i="8" a="1"/>
  <c r="V201" i="8" s="1"/>
  <c r="P35" i="8" s="1"/>
  <c r="V189" i="8" a="1"/>
  <c r="V189" i="8" s="1"/>
  <c r="P23" i="8" s="1"/>
  <c r="D236" i="8"/>
  <c r="T236" i="8"/>
  <c r="O236" i="8"/>
  <c r="J245" i="8"/>
  <c r="E245" i="8"/>
  <c r="F242" i="8"/>
  <c r="M242" i="8"/>
  <c r="G242" i="8"/>
  <c r="C254" i="8"/>
  <c r="U254" i="8"/>
  <c r="S254" i="8"/>
  <c r="M264" i="8"/>
  <c r="L264" i="8"/>
  <c r="I241" i="8"/>
  <c r="G241" i="8"/>
  <c r="H227" i="8"/>
  <c r="D258" i="8"/>
  <c r="P224" i="8"/>
  <c r="U224" i="8"/>
  <c r="S224" i="8"/>
  <c r="D259" i="8"/>
  <c r="V458" i="8" a="1"/>
  <c r="V458" i="8" s="1"/>
  <c r="U12" i="8" s="1"/>
  <c r="AD12" i="11" s="1"/>
  <c r="V483" i="8" a="1"/>
  <c r="V483" i="8" s="1"/>
  <c r="U37" i="8" s="1"/>
  <c r="V464" i="8" a="1"/>
  <c r="V464" i="8" s="1"/>
  <c r="U18" i="8" s="1"/>
  <c r="V479" i="8" a="1"/>
  <c r="V479" i="8" s="1"/>
  <c r="U33" i="8" s="1"/>
  <c r="AD33" i="11" s="1"/>
  <c r="V478" i="8" a="1"/>
  <c r="V478" i="8" s="1"/>
  <c r="U32" i="8" s="1"/>
  <c r="V493" i="8" a="1"/>
  <c r="V493" i="8" s="1"/>
  <c r="U47" i="8" s="1"/>
  <c r="V484" i="8" a="1"/>
  <c r="V484" i="8" s="1"/>
  <c r="U38" i="8" s="1"/>
  <c r="V340" i="8" a="1"/>
  <c r="V340" i="8" s="1"/>
  <c r="S6" i="8" s="1"/>
  <c r="V370" i="8" a="1"/>
  <c r="V370" i="8" s="1"/>
  <c r="S36" i="8" s="1"/>
  <c r="V361" i="8" a="1"/>
  <c r="V361" i="8" s="1"/>
  <c r="S27" i="8" s="1"/>
  <c r="L27" i="11" s="1"/>
  <c r="V368" i="8" a="1"/>
  <c r="V368" i="8" s="1"/>
  <c r="S34" i="8" s="1"/>
  <c r="L34" i="11" s="1"/>
  <c r="V359" i="8" a="1"/>
  <c r="V359" i="8" s="1"/>
  <c r="S25" i="8" s="1"/>
  <c r="V342" i="8" a="1"/>
  <c r="V342" i="8" s="1"/>
  <c r="S8" i="8" s="1"/>
  <c r="V349" i="8" a="1"/>
  <c r="V349" i="8" s="1"/>
  <c r="S15" i="8" s="1"/>
  <c r="V424" i="8" a="1"/>
  <c r="V424" i="8" s="1"/>
  <c r="T34" i="8" s="1"/>
  <c r="V422" i="8" a="1"/>
  <c r="V422" i="8" s="1"/>
  <c r="T32" i="8" s="1"/>
  <c r="U32" i="11" s="1"/>
  <c r="V397" i="8" a="1"/>
  <c r="V397" i="8" s="1"/>
  <c r="T7" i="8" s="1"/>
  <c r="V431" i="8" a="1"/>
  <c r="V431" i="8" s="1"/>
  <c r="T41" i="8" s="1"/>
  <c r="U41" i="11" s="1"/>
  <c r="V394" i="8" a="1"/>
  <c r="V394" i="8" s="1"/>
  <c r="T4" i="8" s="1"/>
  <c r="U4" i="11" s="1"/>
  <c r="V78" i="8" a="1"/>
  <c r="V78" i="8" s="1"/>
  <c r="N21" i="8" s="1"/>
  <c r="V70" i="8" a="1"/>
  <c r="V70" i="8" s="1"/>
  <c r="N13" i="8" s="1"/>
  <c r="V68" i="8" a="1"/>
  <c r="V68" i="8" s="1"/>
  <c r="N11" i="8" s="1"/>
  <c r="V102" i="8" a="1"/>
  <c r="V102" i="8" s="1"/>
  <c r="N45" i="8" s="1"/>
  <c r="V83" i="8" a="1"/>
  <c r="V83" i="8" s="1"/>
  <c r="N26" i="8" s="1"/>
  <c r="V207" i="8" a="1"/>
  <c r="V207" i="8" s="1"/>
  <c r="P41" i="8" s="1"/>
  <c r="V192" i="8" a="1"/>
  <c r="V192" i="8" s="1"/>
  <c r="P26" i="8" s="1"/>
  <c r="V209" i="8" a="1"/>
  <c r="V209" i="8" s="1"/>
  <c r="P43" i="8" s="1"/>
  <c r="V293" i="8" a="1"/>
  <c r="V293" i="8" s="1"/>
  <c r="R15" i="8" s="1"/>
  <c r="V314" i="8" a="1"/>
  <c r="V314" i="8" s="1"/>
  <c r="R36" i="8" s="1"/>
  <c r="V301" i="8" a="1"/>
  <c r="V301" i="8" s="1"/>
  <c r="R23" i="8" s="1"/>
  <c r="V298" i="8" a="1"/>
  <c r="V298" i="8" s="1"/>
  <c r="R20" i="8" s="1"/>
  <c r="V290" i="8" a="1"/>
  <c r="V290" i="8" s="1"/>
  <c r="R12" i="8" s="1"/>
  <c r="V296" i="8" a="1"/>
  <c r="V296" i="8" s="1"/>
  <c r="R18" i="8" s="1"/>
  <c r="V283" i="8" a="1"/>
  <c r="V283" i="8" s="1"/>
  <c r="R5" i="8" s="1"/>
  <c r="V294" i="8" a="1"/>
  <c r="V294" i="8" s="1"/>
  <c r="R16" i="8" s="1"/>
  <c r="V452" i="8" a="1"/>
  <c r="V452" i="8" s="1"/>
  <c r="U6" i="8" s="1"/>
  <c r="AD6" i="11" s="1"/>
  <c r="V338" i="8" a="1"/>
  <c r="V338" i="8" s="1"/>
  <c r="S4" i="8" s="1"/>
  <c r="V440" i="8" a="1"/>
  <c r="V440" i="8" s="1"/>
  <c r="T50" i="8" s="1"/>
  <c r="V74" i="8" a="1"/>
  <c r="V74" i="8" s="1"/>
  <c r="N17" i="8" s="1"/>
  <c r="V174" i="8" a="1"/>
  <c r="V174" i="8" s="1"/>
  <c r="P8" i="8" s="1"/>
  <c r="J236" i="8"/>
  <c r="Q236" i="8"/>
  <c r="C245" i="8"/>
  <c r="Q245" i="8"/>
  <c r="O245" i="8"/>
  <c r="N242" i="8"/>
  <c r="D242" i="8"/>
  <c r="U242" i="8"/>
  <c r="J254" i="8"/>
  <c r="P254" i="8"/>
  <c r="T254" i="8"/>
  <c r="I264" i="8"/>
  <c r="U264" i="8"/>
  <c r="J241" i="8"/>
  <c r="K241" i="8"/>
  <c r="J224" i="8"/>
  <c r="G224" i="8"/>
  <c r="L224" i="8"/>
  <c r="V497" i="8" a="1"/>
  <c r="V497" i="8" s="1"/>
  <c r="U51" i="8" s="1"/>
  <c r="V459" i="8" a="1"/>
  <c r="V459" i="8" s="1"/>
  <c r="U13" i="8" s="1"/>
  <c r="AD13" i="11" s="1"/>
  <c r="V456" i="8" a="1"/>
  <c r="V456" i="8" s="1"/>
  <c r="U10" i="8" s="1"/>
  <c r="V471" i="8" a="1"/>
  <c r="V471" i="8" s="1"/>
  <c r="U25" i="8" s="1"/>
  <c r="AD25" i="11" s="1"/>
  <c r="V470" i="8" a="1"/>
  <c r="V470" i="8" s="1"/>
  <c r="U24" i="8" s="1"/>
  <c r="V485" i="8" a="1"/>
  <c r="V485" i="8" s="1"/>
  <c r="U39" i="8" s="1"/>
  <c r="AD39" i="11" s="1"/>
  <c r="V476" i="8" a="1"/>
  <c r="V476" i="8" s="1"/>
  <c r="U30" i="8" s="1"/>
  <c r="V379" i="8" a="1"/>
  <c r="V379" i="8" s="1"/>
  <c r="S45" i="8" s="1"/>
  <c r="L45" i="11" s="1"/>
  <c r="V362" i="8" a="1"/>
  <c r="V362" i="8" s="1"/>
  <c r="S28" i="8" s="1"/>
  <c r="L28" i="11" s="1"/>
  <c r="V363" i="8" a="1"/>
  <c r="V363" i="8" s="1"/>
  <c r="S29" i="8" s="1"/>
  <c r="V353" i="8" a="1"/>
  <c r="V353" i="8" s="1"/>
  <c r="S19" i="8" s="1"/>
  <c r="V360" i="8" a="1"/>
  <c r="V360" i="8" s="1"/>
  <c r="S26" i="8" s="1"/>
  <c r="V351" i="8" a="1"/>
  <c r="V351" i="8" s="1"/>
  <c r="S17" i="8" s="1"/>
  <c r="V341" i="8" a="1"/>
  <c r="V341" i="8" s="1"/>
  <c r="S7" i="8" s="1"/>
  <c r="L7" i="11" s="1"/>
  <c r="V398" i="8" a="1"/>
  <c r="V398" i="8" s="1"/>
  <c r="T8" i="8" s="1"/>
  <c r="V414" i="8" a="1"/>
  <c r="V414" i="8" s="1"/>
  <c r="T24" i="8" s="1"/>
  <c r="V393" i="8" a="1"/>
  <c r="V393" i="8" s="1"/>
  <c r="T3" i="8" s="1"/>
  <c r="V435" i="8" a="1"/>
  <c r="V435" i="8" s="1"/>
  <c r="T45" i="8" s="1"/>
  <c r="V399" i="8" a="1"/>
  <c r="V399" i="8" s="1"/>
  <c r="T9" i="8" s="1"/>
  <c r="V441" i="8" a="1"/>
  <c r="V441" i="8" s="1"/>
  <c r="T51" i="8" s="1"/>
  <c r="U51" i="11" s="1"/>
  <c r="V66" i="8" a="1"/>
  <c r="V66" i="8" s="1"/>
  <c r="N9" i="8" s="1"/>
  <c r="V81" i="8" a="1"/>
  <c r="V81" i="8" s="1"/>
  <c r="N24" i="8" s="1"/>
  <c r="V106" i="8" a="1"/>
  <c r="V106" i="8" s="1"/>
  <c r="N49" i="8" s="1"/>
  <c r="V77" i="8" a="1"/>
  <c r="V77" i="8" s="1"/>
  <c r="N20" i="8" s="1"/>
  <c r="V76" i="8" a="1"/>
  <c r="V76" i="8" s="1"/>
  <c r="N19" i="8" s="1"/>
  <c r="V80" i="8" a="1"/>
  <c r="V80" i="8" s="1"/>
  <c r="N23" i="8" s="1"/>
  <c r="V169" i="8" a="1"/>
  <c r="V169" i="8" s="1"/>
  <c r="P3" i="8" s="1"/>
  <c r="V175" i="8" a="1"/>
  <c r="V175" i="8" s="1"/>
  <c r="P9" i="8" s="1"/>
  <c r="V217" i="8" a="1"/>
  <c r="V217" i="8" s="1"/>
  <c r="P51" i="8" s="1"/>
  <c r="V206" i="8" a="1"/>
  <c r="V206" i="8" s="1"/>
  <c r="P40" i="8" s="1"/>
  <c r="V203" i="8" a="1"/>
  <c r="V203" i="8" s="1"/>
  <c r="P37" i="8" s="1"/>
  <c r="V205" i="8" a="1"/>
  <c r="V205" i="8" s="1"/>
  <c r="P39" i="8" s="1"/>
  <c r="V182" i="8" a="1"/>
  <c r="V182" i="8" s="1"/>
  <c r="P16" i="8" s="1"/>
  <c r="V307" i="8" a="1"/>
  <c r="V307" i="8" s="1"/>
  <c r="R29" i="8" s="1"/>
  <c r="V291" i="8" a="1"/>
  <c r="V291" i="8" s="1"/>
  <c r="R13" i="8" s="1"/>
  <c r="V289" i="8" a="1"/>
  <c r="V289" i="8" s="1"/>
  <c r="R11" i="8" s="1"/>
  <c r="V287" i="8" a="1"/>
  <c r="V287" i="8" s="1"/>
  <c r="R9" i="8" s="1"/>
  <c r="V461" i="8" a="1"/>
  <c r="V461" i="8" s="1"/>
  <c r="U15" i="8" s="1"/>
  <c r="V348" i="8" a="1"/>
  <c r="V348" i="8" s="1"/>
  <c r="S14" i="8" s="1"/>
  <c r="V439" i="8" a="1"/>
  <c r="V439" i="8" s="1"/>
  <c r="T49" i="8" s="1"/>
  <c r="R236" i="8"/>
  <c r="C236" i="8"/>
  <c r="D245" i="8"/>
  <c r="H245" i="8"/>
  <c r="F245" i="8"/>
  <c r="L242" i="8"/>
  <c r="T242" i="8"/>
  <c r="O242" i="8"/>
  <c r="G254" i="8"/>
  <c r="L254" i="8"/>
  <c r="D254" i="8"/>
  <c r="F264" i="8"/>
  <c r="N264" i="8"/>
  <c r="S241" i="8"/>
  <c r="R241" i="8"/>
  <c r="H224" i="8"/>
  <c r="M224" i="8"/>
  <c r="Q224" i="8"/>
  <c r="V489" i="8" a="1"/>
  <c r="V489" i="8" s="1"/>
  <c r="U43" i="8" s="1"/>
  <c r="V490" i="8" a="1"/>
  <c r="V490" i="8" s="1"/>
  <c r="U44" i="8" s="1"/>
  <c r="V475" i="8" a="1"/>
  <c r="V475" i="8" s="1"/>
  <c r="U29" i="8" s="1"/>
  <c r="V463" i="8" a="1"/>
  <c r="V463" i="8" s="1"/>
  <c r="U17" i="8" s="1"/>
  <c r="V462" i="8" a="1"/>
  <c r="V462" i="8" s="1"/>
  <c r="U16" i="8" s="1"/>
  <c r="V477" i="8" a="1"/>
  <c r="V477" i="8" s="1"/>
  <c r="U31" i="8" s="1"/>
  <c r="AD31" i="11" s="1"/>
  <c r="V468" i="8" a="1"/>
  <c r="V468" i="8" s="1"/>
  <c r="U22" i="8" s="1"/>
  <c r="AD22" i="11" s="1"/>
  <c r="V355" i="8" a="1"/>
  <c r="V355" i="8" s="1"/>
  <c r="S21" i="8" s="1"/>
  <c r="V354" i="8" a="1"/>
  <c r="V354" i="8" s="1"/>
  <c r="S20" i="8" s="1"/>
  <c r="V339" i="8" a="1"/>
  <c r="V339" i="8" s="1"/>
  <c r="S5" i="8" s="1"/>
  <c r="L5" i="11" s="1"/>
  <c r="V345" i="8" a="1"/>
  <c r="V345" i="8" s="1"/>
  <c r="S11" i="8" s="1"/>
  <c r="V352" i="8" a="1"/>
  <c r="V352" i="8" s="1"/>
  <c r="S18" i="8" s="1"/>
  <c r="L18" i="11" s="1"/>
  <c r="V343" i="8" a="1"/>
  <c r="V343" i="8" s="1"/>
  <c r="S9" i="8" s="1"/>
  <c r="V432" i="8" a="1"/>
  <c r="V432" i="8" s="1"/>
  <c r="T42" i="8" s="1"/>
  <c r="U42" i="11" s="1"/>
  <c r="V406" i="8" a="1"/>
  <c r="V406" i="8" s="1"/>
  <c r="T16" i="8" s="1"/>
  <c r="V436" i="8" a="1"/>
  <c r="V436" i="8" s="1"/>
  <c r="T46" i="8" s="1"/>
  <c r="U46" i="11" s="1"/>
  <c r="V427" i="8" a="1"/>
  <c r="V427" i="8" s="1"/>
  <c r="T37" i="8" s="1"/>
  <c r="V442" i="8" a="1"/>
  <c r="V442" i="8" s="1"/>
  <c r="T52" i="8" s="1"/>
  <c r="U52" i="11" s="1"/>
  <c r="V433" i="8" a="1"/>
  <c r="V433" i="8" s="1"/>
  <c r="T43" i="8" s="1"/>
  <c r="U43" i="11" s="1"/>
  <c r="V104" i="8" a="1"/>
  <c r="V104" i="8" s="1"/>
  <c r="N47" i="8" s="1"/>
  <c r="V85" i="8" a="1"/>
  <c r="V85" i="8" s="1"/>
  <c r="N28" i="8" s="1"/>
  <c r="V105" i="8" a="1"/>
  <c r="V105" i="8" s="1"/>
  <c r="N48" i="8" s="1"/>
  <c r="V91" i="8" a="1"/>
  <c r="V91" i="8" s="1"/>
  <c r="N34" i="8" s="1"/>
  <c r="V194" i="8" a="1"/>
  <c r="V194" i="8" s="1"/>
  <c r="P28" i="8" s="1"/>
  <c r="V63" i="8" a="1"/>
  <c r="V63" i="8" s="1"/>
  <c r="N6" i="8" s="1"/>
  <c r="V93" i="8" a="1"/>
  <c r="V93" i="8" s="1"/>
  <c r="N36" i="8" s="1"/>
  <c r="V187" i="8" a="1"/>
  <c r="V187" i="8" s="1"/>
  <c r="P21" i="8" s="1"/>
  <c r="V196" i="8" a="1"/>
  <c r="V196" i="8" s="1"/>
  <c r="P30" i="8" s="1"/>
  <c r="V197" i="8" a="1"/>
  <c r="V197" i="8" s="1"/>
  <c r="P31" i="8" s="1"/>
  <c r="V199" i="8" a="1"/>
  <c r="V199" i="8" s="1"/>
  <c r="P33" i="8" s="1"/>
  <c r="V178" i="8" a="1"/>
  <c r="V178" i="8" s="1"/>
  <c r="P12" i="8" s="1"/>
  <c r="V184" i="8" a="1"/>
  <c r="V184" i="8" s="1"/>
  <c r="P18" i="8" s="1"/>
  <c r="V171" i="8" a="1"/>
  <c r="V171" i="8" s="1"/>
  <c r="P5" i="8" s="1"/>
  <c r="V208" i="8" a="1"/>
  <c r="V208" i="8" s="1"/>
  <c r="P42" i="8" s="1"/>
  <c r="V299" i="8" a="1"/>
  <c r="V299" i="8" s="1"/>
  <c r="R21" i="8" s="1"/>
  <c r="V284" i="8" a="1"/>
  <c r="V284" i="8" s="1"/>
  <c r="R6" i="8" s="1"/>
  <c r="V315" i="8" a="1"/>
  <c r="V315" i="8" s="1"/>
  <c r="R37" i="8" s="1"/>
  <c r="V326" i="8" a="1"/>
  <c r="V326" i="8" s="1"/>
  <c r="R48" i="8" s="1"/>
  <c r="V282" i="8" a="1"/>
  <c r="V282" i="8" s="1"/>
  <c r="R4" i="8" s="1"/>
  <c r="V381" i="8" a="1"/>
  <c r="V381" i="8" s="1"/>
  <c r="S47" i="8" s="1"/>
  <c r="L47" i="11" s="1"/>
  <c r="V417" i="8" a="1"/>
  <c r="V417" i="8" s="1"/>
  <c r="T27" i="8" s="1"/>
  <c r="U27" i="11" s="1"/>
  <c r="V216" i="8" a="1"/>
  <c r="V216" i="8" s="1"/>
  <c r="P50" i="8" s="1"/>
  <c r="U236" i="8"/>
  <c r="P245" i="8"/>
  <c r="R245" i="8"/>
  <c r="E242" i="8"/>
  <c r="F254" i="8"/>
  <c r="R254" i="8"/>
  <c r="T264" i="8"/>
  <c r="C264" i="8"/>
  <c r="N241" i="8"/>
  <c r="P241" i="8"/>
  <c r="I258" i="8"/>
  <c r="I224" i="8"/>
  <c r="R224" i="8"/>
  <c r="V491" i="8" a="1"/>
  <c r="V491" i="8" s="1"/>
  <c r="U45" i="8" s="1"/>
  <c r="AD45" i="11" s="1"/>
  <c r="V481" i="8" a="1"/>
  <c r="V481" i="8" s="1"/>
  <c r="U35" i="8" s="1"/>
  <c r="V450" i="8" a="1"/>
  <c r="V450" i="8" s="1"/>
  <c r="U4" i="8" s="1"/>
  <c r="V455" i="8" a="1"/>
  <c r="V455" i="8" s="1"/>
  <c r="U9" i="8" s="1"/>
  <c r="AD9" i="11" s="1"/>
  <c r="V454" i="8" a="1"/>
  <c r="V454" i="8" s="1"/>
  <c r="U8" i="8" s="1"/>
  <c r="AD8" i="11" s="1"/>
  <c r="V469" i="8" a="1"/>
  <c r="V469" i="8" s="1"/>
  <c r="U23" i="8" s="1"/>
  <c r="V460" i="8" a="1"/>
  <c r="V460" i="8" s="1"/>
  <c r="U14" i="8" s="1"/>
  <c r="AD14" i="11" s="1"/>
  <c r="V346" i="8" a="1"/>
  <c r="V346" i="8" s="1"/>
  <c r="S12" i="8" s="1"/>
  <c r="V344" i="8" a="1"/>
  <c r="V344" i="8" s="1"/>
  <c r="S10" i="8" s="1"/>
  <c r="L10" i="11" s="1"/>
  <c r="V337" i="8" a="1"/>
  <c r="V337" i="8" s="1"/>
  <c r="S3" i="8" s="1"/>
  <c r="V382" i="8" a="1"/>
  <c r="V382" i="8" s="1"/>
  <c r="S48" i="8" s="1"/>
  <c r="L48" i="11" s="1"/>
  <c r="V400" i="8" a="1"/>
  <c r="V400" i="8" s="1"/>
  <c r="T10" i="8" s="1"/>
  <c r="V437" i="8" a="1"/>
  <c r="V437" i="8" s="1"/>
  <c r="T47" i="8" s="1"/>
  <c r="V428" i="8" a="1"/>
  <c r="V428" i="8" s="1"/>
  <c r="T38" i="8" s="1"/>
  <c r="U38" i="11" s="1"/>
  <c r="V419" i="8" a="1"/>
  <c r="V419" i="8" s="1"/>
  <c r="T29" i="8" s="1"/>
  <c r="V434" i="8" a="1"/>
  <c r="V434" i="8" s="1"/>
  <c r="T44" i="8" s="1"/>
  <c r="V425" i="8" a="1"/>
  <c r="V425" i="8" s="1"/>
  <c r="T35" i="8" s="1"/>
  <c r="U35" i="11" s="1"/>
  <c r="V69" i="8" a="1"/>
  <c r="V69" i="8" s="1"/>
  <c r="N12" i="8" s="1"/>
  <c r="V103" i="8" a="1"/>
  <c r="V103" i="8" s="1"/>
  <c r="N46" i="8" s="1"/>
  <c r="V100" i="8" a="1"/>
  <c r="V100" i="8" s="1"/>
  <c r="N43" i="8" s="1"/>
  <c r="V73" i="8" a="1"/>
  <c r="V73" i="8" s="1"/>
  <c r="N16" i="8" s="1"/>
  <c r="V191" i="8" a="1"/>
  <c r="V191" i="8" s="1"/>
  <c r="P25" i="8" s="1"/>
  <c r="V195" i="8" a="1"/>
  <c r="V195" i="8" s="1"/>
  <c r="P29" i="8" s="1"/>
  <c r="V176" i="8" a="1"/>
  <c r="V176" i="8" s="1"/>
  <c r="P10" i="8" s="1"/>
  <c r="V214" i="8" a="1"/>
  <c r="V214" i="8" s="1"/>
  <c r="P48" i="8" s="1"/>
  <c r="V193" i="8" a="1"/>
  <c r="V193" i="8" s="1"/>
  <c r="P27" i="8" s="1"/>
  <c r="V302" i="8" a="1"/>
  <c r="V302" i="8" s="1"/>
  <c r="R24" i="8" s="1"/>
  <c r="V292" i="8" a="1"/>
  <c r="V292" i="8" s="1"/>
  <c r="R14" i="8" s="1"/>
  <c r="V330" i="8" a="1"/>
  <c r="V330" i="8" s="1"/>
  <c r="R52" i="8" s="1"/>
  <c r="V286" i="8" a="1"/>
  <c r="V286" i="8" s="1"/>
  <c r="R8" i="8" s="1"/>
  <c r="V328" i="8" a="1"/>
  <c r="V328" i="8" s="1"/>
  <c r="R50" i="8" s="1"/>
  <c r="V318" i="8" a="1"/>
  <c r="V318" i="8" s="1"/>
  <c r="R40" i="8" s="1"/>
  <c r="V281" i="8" a="1"/>
  <c r="V281" i="8" s="1"/>
  <c r="R3" i="8" s="1"/>
  <c r="K263" i="8"/>
  <c r="E269" i="8"/>
  <c r="N266" i="8"/>
  <c r="T81" i="6"/>
  <c r="T76" i="6"/>
  <c r="F260" i="8"/>
  <c r="I265" i="8"/>
  <c r="T261" i="8"/>
  <c r="J263" i="8"/>
  <c r="R232" i="8"/>
  <c r="I257" i="8"/>
  <c r="J269" i="8"/>
  <c r="J266" i="8"/>
  <c r="P252" i="8"/>
  <c r="Q252" i="8"/>
  <c r="O261" i="8"/>
  <c r="F261" i="8"/>
  <c r="M261" i="8"/>
  <c r="F250" i="8"/>
  <c r="Q250" i="8"/>
  <c r="G250" i="8"/>
  <c r="R253" i="8"/>
  <c r="B253" i="8"/>
  <c r="N253" i="8"/>
  <c r="D231" i="8"/>
  <c r="O231" i="8"/>
  <c r="F231" i="8"/>
  <c r="I248" i="8"/>
  <c r="M248" i="8"/>
  <c r="U248" i="8"/>
  <c r="E263" i="8"/>
  <c r="H263" i="8"/>
  <c r="B263" i="8"/>
  <c r="B232" i="8"/>
  <c r="S232" i="8"/>
  <c r="M247" i="8"/>
  <c r="J247" i="8"/>
  <c r="T271" i="8"/>
  <c r="R271" i="8"/>
  <c r="M271" i="8"/>
  <c r="H257" i="8"/>
  <c r="D257" i="8"/>
  <c r="B260" i="8"/>
  <c r="J260" i="8"/>
  <c r="E260" i="8"/>
  <c r="K269" i="8"/>
  <c r="C269" i="8"/>
  <c r="P249" i="8"/>
  <c r="K249" i="8"/>
  <c r="D265" i="8"/>
  <c r="N265" i="8"/>
  <c r="F244" i="8"/>
  <c r="P244" i="8"/>
  <c r="O258" i="8"/>
  <c r="S258" i="8"/>
  <c r="U266" i="8"/>
  <c r="P266" i="8"/>
  <c r="D266" i="8"/>
  <c r="T83" i="6"/>
  <c r="T89" i="6"/>
  <c r="T85" i="6"/>
  <c r="S248" i="8"/>
  <c r="L260" i="8"/>
  <c r="P265" i="8"/>
  <c r="C261" i="8"/>
  <c r="P247" i="8"/>
  <c r="F257" i="8"/>
  <c r="U260" i="8"/>
  <c r="T258" i="8"/>
  <c r="K252" i="8"/>
  <c r="D252" i="8"/>
  <c r="H261" i="8"/>
  <c r="B261" i="8"/>
  <c r="L261" i="8"/>
  <c r="U250" i="8"/>
  <c r="L250" i="8"/>
  <c r="S250" i="8"/>
  <c r="K253" i="8"/>
  <c r="F253" i="8"/>
  <c r="E253" i="8"/>
  <c r="L231" i="8"/>
  <c r="U231" i="8"/>
  <c r="I231" i="8"/>
  <c r="N248" i="8"/>
  <c r="T248" i="8"/>
  <c r="L248" i="8"/>
  <c r="F263" i="8"/>
  <c r="Q263" i="8"/>
  <c r="S263" i="8"/>
  <c r="O232" i="8"/>
  <c r="C232" i="8"/>
  <c r="P232" i="8"/>
  <c r="I247" i="8"/>
  <c r="G247" i="8"/>
  <c r="F247" i="8"/>
  <c r="L271" i="8"/>
  <c r="K271" i="8"/>
  <c r="U257" i="8"/>
  <c r="K257" i="8"/>
  <c r="E257" i="8"/>
  <c r="K260" i="8"/>
  <c r="S260" i="8"/>
  <c r="L269" i="8"/>
  <c r="D269" i="8"/>
  <c r="U269" i="8"/>
  <c r="H249" i="8"/>
  <c r="F249" i="8"/>
  <c r="E265" i="8"/>
  <c r="S265" i="8"/>
  <c r="Q244" i="8"/>
  <c r="J244" i="8"/>
  <c r="U258" i="8"/>
  <c r="N258" i="8"/>
  <c r="K266" i="8"/>
  <c r="G266" i="8"/>
  <c r="B266" i="8"/>
  <c r="T66" i="6"/>
  <c r="D263" i="8"/>
  <c r="M260" i="8"/>
  <c r="M252" i="8"/>
  <c r="J248" i="8"/>
  <c r="O247" i="8"/>
  <c r="O260" i="8"/>
  <c r="F265" i="8"/>
  <c r="F258" i="8"/>
  <c r="H252" i="8"/>
  <c r="C252" i="8"/>
  <c r="J252" i="8"/>
  <c r="G261" i="8"/>
  <c r="N261" i="8"/>
  <c r="B250" i="8"/>
  <c r="M250" i="8"/>
  <c r="M253" i="8"/>
  <c r="L253" i="8"/>
  <c r="G253" i="8"/>
  <c r="G231" i="8"/>
  <c r="Q231" i="8"/>
  <c r="M231" i="8"/>
  <c r="O248" i="8"/>
  <c r="G248" i="8"/>
  <c r="B248" i="8"/>
  <c r="U263" i="8"/>
  <c r="C263" i="8"/>
  <c r="P263" i="8"/>
  <c r="T232" i="8"/>
  <c r="M232" i="8"/>
  <c r="G232" i="8"/>
  <c r="R247" i="8"/>
  <c r="C247" i="8"/>
  <c r="U247" i="8"/>
  <c r="G271" i="8"/>
  <c r="H271" i="8"/>
  <c r="R257" i="8"/>
  <c r="B257" i="8"/>
  <c r="L257" i="8"/>
  <c r="I260" i="8"/>
  <c r="T260" i="8"/>
  <c r="T269" i="8"/>
  <c r="I269" i="8"/>
  <c r="B269" i="8"/>
  <c r="I249" i="8"/>
  <c r="L249" i="8"/>
  <c r="B265" i="8"/>
  <c r="L265" i="8"/>
  <c r="D244" i="8"/>
  <c r="E244" i="8"/>
  <c r="J258" i="8"/>
  <c r="L258" i="8"/>
  <c r="F266" i="8"/>
  <c r="L266" i="8"/>
  <c r="T266" i="8"/>
  <c r="T68" i="6"/>
  <c r="T80" i="6"/>
  <c r="E252" i="8"/>
  <c r="K261" i="8"/>
  <c r="G263" i="8"/>
  <c r="S269" i="8"/>
  <c r="O252" i="8"/>
  <c r="U252" i="8"/>
  <c r="S252" i="8"/>
  <c r="D261" i="8"/>
  <c r="R261" i="8"/>
  <c r="N250" i="8"/>
  <c r="R250" i="8"/>
  <c r="S253" i="8"/>
  <c r="I253" i="8"/>
  <c r="J231" i="8"/>
  <c r="C231" i="8"/>
  <c r="N231" i="8"/>
  <c r="E248" i="8"/>
  <c r="D248" i="8"/>
  <c r="K248" i="8"/>
  <c r="L263" i="8"/>
  <c r="N263" i="8"/>
  <c r="R263" i="8"/>
  <c r="N232" i="8"/>
  <c r="U232" i="8"/>
  <c r="I232" i="8"/>
  <c r="T247" i="8"/>
  <c r="Q247" i="8"/>
  <c r="D247" i="8"/>
  <c r="Q271" i="8"/>
  <c r="J271" i="8"/>
  <c r="S257" i="8"/>
  <c r="Q257" i="8"/>
  <c r="T257" i="8"/>
  <c r="H260" i="8"/>
  <c r="P260" i="8"/>
  <c r="Q269" i="8"/>
  <c r="P269" i="8"/>
  <c r="G269" i="8"/>
  <c r="E249" i="8"/>
  <c r="M249" i="8"/>
  <c r="O249" i="8"/>
  <c r="K265" i="8"/>
  <c r="M265" i="8"/>
  <c r="O265" i="8"/>
  <c r="O244" i="8"/>
  <c r="G244" i="8"/>
  <c r="Q258" i="8"/>
  <c r="C258" i="8"/>
  <c r="Q266" i="8"/>
  <c r="O266" i="8"/>
  <c r="S266" i="8"/>
  <c r="T98" i="6"/>
  <c r="T75" i="6"/>
  <c r="T61" i="6"/>
  <c r="R248" i="8"/>
  <c r="H269" i="8"/>
  <c r="G265" i="8"/>
  <c r="I266" i="8"/>
  <c r="C248" i="8"/>
  <c r="E232" i="8"/>
  <c r="N260" i="8"/>
  <c r="Q265" i="8"/>
  <c r="R258" i="8"/>
  <c r="E266" i="8"/>
  <c r="T93" i="6"/>
  <c r="G252" i="8"/>
  <c r="I252" i="8"/>
  <c r="I261" i="8"/>
  <c r="K250" i="8"/>
  <c r="J253" i="8"/>
  <c r="T231" i="8"/>
  <c r="H248" i="8"/>
  <c r="I263" i="8"/>
  <c r="H232" i="8"/>
  <c r="L232" i="8"/>
  <c r="K247" i="8"/>
  <c r="S247" i="8"/>
  <c r="C271" i="8"/>
  <c r="N257" i="8"/>
  <c r="P257" i="8"/>
  <c r="D260" i="8"/>
  <c r="O269" i="8"/>
  <c r="R269" i="8"/>
  <c r="S249" i="8"/>
  <c r="R249" i="8"/>
  <c r="U265" i="8"/>
  <c r="J265" i="8"/>
  <c r="U244" i="8"/>
  <c r="B244" i="8"/>
  <c r="M258" i="8"/>
  <c r="P258" i="8"/>
  <c r="C266" i="8"/>
  <c r="T92" i="6"/>
  <c r="G38" i="10"/>
  <c r="G22" i="10"/>
  <c r="G12" i="10"/>
  <c r="G23" i="10"/>
  <c r="G2" i="10"/>
  <c r="G21" i="10"/>
  <c r="G13" i="10"/>
  <c r="G47" i="10"/>
  <c r="G8" i="10"/>
  <c r="G6" i="10"/>
  <c r="G32" i="10"/>
  <c r="G31" i="10"/>
  <c r="G43" i="10"/>
  <c r="G36" i="10"/>
  <c r="G40" i="10"/>
  <c r="G41" i="10"/>
  <c r="G5" i="10"/>
  <c r="G20" i="10"/>
  <c r="G37" i="10"/>
  <c r="G18" i="10"/>
  <c r="G25" i="10"/>
  <c r="G4" i="10"/>
  <c r="G3" i="10"/>
  <c r="G46" i="10"/>
  <c r="G28" i="10"/>
  <c r="G11" i="10"/>
  <c r="G9" i="10"/>
  <c r="G35" i="10"/>
  <c r="J53" i="8"/>
  <c r="Z9" i="8"/>
  <c r="Z17" i="8"/>
  <c r="Z25" i="8"/>
  <c r="Z33" i="8"/>
  <c r="Z41" i="8"/>
  <c r="Z49" i="8"/>
  <c r="Z10" i="8"/>
  <c r="Z18" i="8"/>
  <c r="Z26" i="8"/>
  <c r="Z34" i="8"/>
  <c r="Z42" i="8"/>
  <c r="Z50" i="8"/>
  <c r="Z12" i="8"/>
  <c r="Z36" i="8"/>
  <c r="Z14" i="8"/>
  <c r="Z3" i="8"/>
  <c r="Z11" i="8"/>
  <c r="Z19" i="8"/>
  <c r="Z27" i="8"/>
  <c r="Z35" i="8"/>
  <c r="Z43" i="8"/>
  <c r="Z51" i="8"/>
  <c r="Z4" i="8"/>
  <c r="Z28" i="8"/>
  <c r="Z44" i="8"/>
  <c r="Z38" i="8"/>
  <c r="Z5" i="8"/>
  <c r="Z13" i="8"/>
  <c r="Z21" i="8"/>
  <c r="Z29" i="8"/>
  <c r="Z37" i="8"/>
  <c r="Z45" i="8"/>
  <c r="Z53" i="8"/>
  <c r="Z6" i="8"/>
  <c r="Z30" i="8"/>
  <c r="Z46" i="8"/>
  <c r="Z7" i="8"/>
  <c r="Z15" i="8"/>
  <c r="Z23" i="8"/>
  <c r="Z31" i="8"/>
  <c r="Z39" i="8"/>
  <c r="Z47" i="8"/>
  <c r="Z52" i="8"/>
  <c r="Z22" i="8"/>
  <c r="Z8" i="8"/>
  <c r="Z16" i="8"/>
  <c r="Z24" i="8"/>
  <c r="Z32" i="8"/>
  <c r="Z40" i="8"/>
  <c r="Z48" i="8"/>
  <c r="Z20" i="8"/>
  <c r="I49" i="7"/>
  <c r="E66" i="7"/>
  <c r="E76" i="7"/>
  <c r="E44" i="7"/>
  <c r="E40" i="7"/>
  <c r="E59" i="7"/>
  <c r="E69" i="7"/>
  <c r="E74" i="7"/>
  <c r="E61" i="7"/>
  <c r="E38" i="7"/>
  <c r="E64" i="7"/>
  <c r="E67" i="7"/>
  <c r="E47" i="7"/>
  <c r="E62" i="7"/>
  <c r="E53" i="7"/>
  <c r="E48" i="7"/>
  <c r="E46" i="7"/>
  <c r="E72" i="7"/>
  <c r="E65" i="7"/>
  <c r="E55" i="7"/>
  <c r="E58" i="7"/>
  <c r="E35" i="7"/>
  <c r="E56" i="7"/>
  <c r="E54" i="7"/>
  <c r="E50" i="7"/>
  <c r="E36" i="7"/>
  <c r="E63" i="7"/>
  <c r="E33" i="7"/>
  <c r="E71" i="7"/>
  <c r="E52" i="7"/>
  <c r="E57" i="7"/>
  <c r="E30" i="7"/>
  <c r="E29" i="7"/>
  <c r="E70" i="7"/>
  <c r="E43" i="7"/>
  <c r="E79" i="7"/>
  <c r="E41" i="7"/>
  <c r="E32" i="7"/>
  <c r="E78" i="7"/>
  <c r="E34" i="7"/>
  <c r="E60" i="7"/>
  <c r="E51" i="7"/>
  <c r="E37" i="7"/>
  <c r="I37" i="7" s="1"/>
  <c r="E31" i="7"/>
  <c r="E77" i="7"/>
  <c r="E68" i="7"/>
  <c r="E42" i="7"/>
  <c r="E75" i="7"/>
  <c r="E45" i="7"/>
  <c r="E39" i="7"/>
  <c r="E73" i="7"/>
  <c r="F3" i="8"/>
  <c r="J3" i="8" s="1"/>
  <c r="F52" i="8"/>
  <c r="J52" i="8" s="1"/>
  <c r="F51" i="8"/>
  <c r="J51" i="8" s="1"/>
  <c r="F50" i="8"/>
  <c r="J50" i="8" s="1"/>
  <c r="F49" i="8"/>
  <c r="J49" i="8" s="1"/>
  <c r="F48" i="8"/>
  <c r="J48" i="8" s="1"/>
  <c r="F47" i="8"/>
  <c r="J47" i="8" s="1"/>
  <c r="F46" i="8"/>
  <c r="J46" i="8" s="1"/>
  <c r="F45" i="8"/>
  <c r="J45" i="8" s="1"/>
  <c r="F44" i="8"/>
  <c r="J44" i="8" s="1"/>
  <c r="F43" i="8"/>
  <c r="J43" i="8" s="1"/>
  <c r="F42" i="8"/>
  <c r="J42" i="8" s="1"/>
  <c r="F41" i="8"/>
  <c r="J41" i="8" s="1"/>
  <c r="F40" i="8"/>
  <c r="J40" i="8" s="1"/>
  <c r="F39" i="8"/>
  <c r="J39" i="8" s="1"/>
  <c r="F38" i="8"/>
  <c r="J38" i="8" s="1"/>
  <c r="F37" i="8"/>
  <c r="J37" i="8" s="1"/>
  <c r="F36" i="8"/>
  <c r="J36" i="8" s="1"/>
  <c r="F35" i="8"/>
  <c r="J35" i="8" s="1"/>
  <c r="F34" i="8"/>
  <c r="J34" i="8" s="1"/>
  <c r="F33" i="8"/>
  <c r="J33" i="8" s="1"/>
  <c r="F32" i="8"/>
  <c r="J32" i="8" s="1"/>
  <c r="F31" i="8"/>
  <c r="J31" i="8" s="1"/>
  <c r="F30" i="8"/>
  <c r="J30" i="8" s="1"/>
  <c r="F29" i="8"/>
  <c r="J29" i="8" s="1"/>
  <c r="F28" i="8"/>
  <c r="J28" i="8" s="1"/>
  <c r="F27" i="8"/>
  <c r="J27" i="8" s="1"/>
  <c r="F26" i="8"/>
  <c r="J26" i="8" s="1"/>
  <c r="F25" i="8"/>
  <c r="J25" i="8" s="1"/>
  <c r="F24" i="8"/>
  <c r="J24" i="8" s="1"/>
  <c r="F23" i="8"/>
  <c r="J23" i="8" s="1"/>
  <c r="F22" i="8"/>
  <c r="J22" i="8" s="1"/>
  <c r="F21" i="8"/>
  <c r="J21" i="8" s="1"/>
  <c r="F20" i="8"/>
  <c r="J20" i="8" s="1"/>
  <c r="F19" i="8"/>
  <c r="J19" i="8" s="1"/>
  <c r="F18" i="8"/>
  <c r="J18" i="8" s="1"/>
  <c r="F17" i="8"/>
  <c r="J17" i="8" s="1"/>
  <c r="F16" i="8"/>
  <c r="J16" i="8" s="1"/>
  <c r="F15" i="8"/>
  <c r="J15" i="8" s="1"/>
  <c r="F14" i="8"/>
  <c r="J14" i="8" s="1"/>
  <c r="F13" i="8"/>
  <c r="J13" i="8" s="1"/>
  <c r="F12" i="8"/>
  <c r="J12" i="8" s="1"/>
  <c r="F11" i="8"/>
  <c r="J11" i="8" s="1"/>
  <c r="F5" i="8"/>
  <c r="J5" i="8" s="1"/>
  <c r="F8" i="8"/>
  <c r="J8" i="8" s="1"/>
  <c r="F6" i="8"/>
  <c r="J6" i="8" s="1"/>
  <c r="F10" i="8"/>
  <c r="J10" i="8" s="1"/>
  <c r="F9" i="8"/>
  <c r="J9" i="8" s="1"/>
  <c r="F4" i="8"/>
  <c r="J4" i="8" s="1"/>
  <c r="F7" i="8"/>
  <c r="J7" i="8" s="1"/>
  <c r="Y3" i="6"/>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2" i="6"/>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64" i="2"/>
  <c r="C54" i="5"/>
  <c r="GO206" i="14" l="1"/>
  <c r="HC206" i="14"/>
  <c r="GP206" i="14"/>
  <c r="HD206" i="14"/>
  <c r="GQ206" i="14"/>
  <c r="HE206" i="14"/>
  <c r="GR206" i="14"/>
  <c r="HF206" i="14"/>
  <c r="GS206" i="14"/>
  <c r="HG206" i="14"/>
  <c r="GT206" i="14"/>
  <c r="HH206" i="14"/>
  <c r="GU206" i="14"/>
  <c r="HI206" i="14"/>
  <c r="GV206" i="14"/>
  <c r="HJ206" i="14"/>
  <c r="GI206" i="14"/>
  <c r="HK206" i="14" s="1" a="1"/>
  <c r="HK206" i="14" s="1"/>
  <c r="GW206" i="14"/>
  <c r="GJ206" i="14"/>
  <c r="GX206" i="14"/>
  <c r="HA206" i="14"/>
  <c r="HB206" i="14"/>
  <c r="GN206" i="14"/>
  <c r="GL206" i="14"/>
  <c r="GY206" i="14"/>
  <c r="GZ206" i="14"/>
  <c r="GK206" i="14"/>
  <c r="GM206" i="14"/>
  <c r="AD147" i="8"/>
  <c r="AR147" i="8"/>
  <c r="AE147" i="8"/>
  <c r="AS147" i="8"/>
  <c r="AF147" i="8"/>
  <c r="AL147" i="8"/>
  <c r="AG147" i="8"/>
  <c r="AH147" i="8"/>
  <c r="AJ147" i="8"/>
  <c r="AI147" i="8"/>
  <c r="AK147" i="8"/>
  <c r="AM147" i="8"/>
  <c r="AB147" i="8"/>
  <c r="AC147" i="8"/>
  <c r="AN147" i="8"/>
  <c r="Z147" i="8"/>
  <c r="AO147" i="8"/>
  <c r="AP147" i="8"/>
  <c r="AQ147" i="8"/>
  <c r="AA147" i="8"/>
  <c r="T65" i="6"/>
  <c r="GO180" i="14"/>
  <c r="HC180" i="14"/>
  <c r="GP180" i="14"/>
  <c r="HD180" i="14"/>
  <c r="GQ180" i="14"/>
  <c r="HE180" i="14"/>
  <c r="GR180" i="14"/>
  <c r="HF180" i="14"/>
  <c r="GS180" i="14"/>
  <c r="HG180" i="14"/>
  <c r="GT180" i="14"/>
  <c r="HH180" i="14"/>
  <c r="GU180" i="14"/>
  <c r="HI180" i="14"/>
  <c r="GV180" i="14"/>
  <c r="HJ180" i="14"/>
  <c r="GI180" i="14"/>
  <c r="HK180" i="14" s="1" a="1"/>
  <c r="HK180" i="14" s="1"/>
  <c r="GW180" i="14"/>
  <c r="GJ180" i="14"/>
  <c r="GX180" i="14"/>
  <c r="GY180" i="14"/>
  <c r="GZ180" i="14"/>
  <c r="GN180" i="14"/>
  <c r="HA180" i="14"/>
  <c r="HB180" i="14"/>
  <c r="GL180" i="14"/>
  <c r="GM180" i="14"/>
  <c r="GK180" i="14"/>
  <c r="AF121" i="8"/>
  <c r="AG121" i="8"/>
  <c r="AH121" i="8"/>
  <c r="AI121" i="8"/>
  <c r="AJ121" i="8"/>
  <c r="AK121" i="8"/>
  <c r="AL121" i="8"/>
  <c r="AM121" i="8"/>
  <c r="Z121" i="8"/>
  <c r="AN121" i="8"/>
  <c r="AA121" i="8"/>
  <c r="AO121" i="8"/>
  <c r="AB121" i="8"/>
  <c r="AC121" i="8"/>
  <c r="AD121" i="8"/>
  <c r="AE121" i="8"/>
  <c r="AR121" i="8"/>
  <c r="AS121" i="8"/>
  <c r="AP121" i="8"/>
  <c r="AQ121" i="8"/>
  <c r="GO184" i="14"/>
  <c r="HC184" i="14"/>
  <c r="GP184" i="14"/>
  <c r="HD184" i="14"/>
  <c r="GQ184" i="14"/>
  <c r="HE184" i="14"/>
  <c r="GR184" i="14"/>
  <c r="HF184" i="14"/>
  <c r="GS184" i="14"/>
  <c r="HG184" i="14"/>
  <c r="GT184" i="14"/>
  <c r="HH184" i="14"/>
  <c r="GU184" i="14"/>
  <c r="HI184" i="14"/>
  <c r="GV184" i="14"/>
  <c r="HJ184" i="14"/>
  <c r="GI184" i="14"/>
  <c r="HK184" i="14" s="1" a="1"/>
  <c r="HK184" i="14" s="1"/>
  <c r="GW184" i="14"/>
  <c r="GJ184" i="14"/>
  <c r="GX184" i="14"/>
  <c r="GK184" i="14"/>
  <c r="GL184" i="14"/>
  <c r="GM184" i="14"/>
  <c r="GN184" i="14"/>
  <c r="GY184" i="14"/>
  <c r="GZ184" i="14"/>
  <c r="HA184" i="14"/>
  <c r="HB184" i="14"/>
  <c r="AJ125" i="8"/>
  <c r="AK125" i="8"/>
  <c r="AL125" i="8"/>
  <c r="AM125" i="8"/>
  <c r="Z125" i="8"/>
  <c r="AN125" i="8"/>
  <c r="AA125" i="8"/>
  <c r="AO125" i="8"/>
  <c r="AB125" i="8"/>
  <c r="AP125" i="8"/>
  <c r="AC125" i="8"/>
  <c r="AQ125" i="8"/>
  <c r="AD125" i="8"/>
  <c r="AR125" i="8"/>
  <c r="AE125" i="8"/>
  <c r="AS125" i="8"/>
  <c r="AF125" i="8"/>
  <c r="AH125" i="8"/>
  <c r="AG125" i="8"/>
  <c r="AI125" i="8"/>
  <c r="GO189" i="14"/>
  <c r="HC189" i="14"/>
  <c r="GP189" i="14"/>
  <c r="HD189" i="14"/>
  <c r="GQ189" i="14"/>
  <c r="HE189" i="14"/>
  <c r="GR189" i="14"/>
  <c r="HF189" i="14"/>
  <c r="GS189" i="14"/>
  <c r="HG189" i="14"/>
  <c r="GT189" i="14"/>
  <c r="HH189" i="14"/>
  <c r="GU189" i="14"/>
  <c r="HI189" i="14"/>
  <c r="GV189" i="14"/>
  <c r="HJ189" i="14"/>
  <c r="GI189" i="14"/>
  <c r="HK189" i="14" s="1" a="1"/>
  <c r="HK189" i="14" s="1"/>
  <c r="GW189" i="14"/>
  <c r="GJ189" i="14"/>
  <c r="GX189" i="14"/>
  <c r="GM189" i="14"/>
  <c r="GN189" i="14"/>
  <c r="GY189" i="14"/>
  <c r="GZ189" i="14"/>
  <c r="HA189" i="14"/>
  <c r="HB189" i="14"/>
  <c r="GK189" i="14"/>
  <c r="GL189" i="14"/>
  <c r="AH130" i="8"/>
  <c r="AP130" i="8"/>
  <c r="AI130" i="8"/>
  <c r="AJ130" i="8"/>
  <c r="AK130" i="8"/>
  <c r="AL130" i="8"/>
  <c r="AM130" i="8"/>
  <c r="AB130" i="8"/>
  <c r="Z130" i="8"/>
  <c r="AN130" i="8"/>
  <c r="AA130" i="8"/>
  <c r="AO130" i="8"/>
  <c r="AC130" i="8"/>
  <c r="AQ130" i="8"/>
  <c r="AD130" i="8"/>
  <c r="AF130" i="8"/>
  <c r="AE130" i="8"/>
  <c r="AG130" i="8"/>
  <c r="AR130" i="8"/>
  <c r="AS130" i="8"/>
  <c r="GO203" i="14"/>
  <c r="HC203" i="14"/>
  <c r="GP203" i="14"/>
  <c r="HD203" i="14"/>
  <c r="GQ203" i="14"/>
  <c r="HE203" i="14"/>
  <c r="GR203" i="14"/>
  <c r="HF203" i="14"/>
  <c r="GS203" i="14"/>
  <c r="HG203" i="14"/>
  <c r="GT203" i="14"/>
  <c r="HH203" i="14"/>
  <c r="GU203" i="14"/>
  <c r="HI203" i="14"/>
  <c r="GV203" i="14"/>
  <c r="HJ203" i="14"/>
  <c r="GI203" i="14"/>
  <c r="HK203" i="14" s="1" a="1"/>
  <c r="HK203" i="14" s="1"/>
  <c r="GW203" i="14"/>
  <c r="GJ203" i="14"/>
  <c r="GX203" i="14"/>
  <c r="GM203" i="14"/>
  <c r="GN203" i="14"/>
  <c r="GY203" i="14"/>
  <c r="GZ203" i="14"/>
  <c r="HA203" i="14"/>
  <c r="GK203" i="14"/>
  <c r="HB203" i="14"/>
  <c r="GL203" i="14"/>
  <c r="AH144" i="8"/>
  <c r="AI144" i="8"/>
  <c r="AB144" i="8"/>
  <c r="AJ144" i="8"/>
  <c r="AK144" i="8"/>
  <c r="Z144" i="8"/>
  <c r="AL144" i="8"/>
  <c r="AP144" i="8"/>
  <c r="AM144" i="8"/>
  <c r="AN144" i="8"/>
  <c r="AA144" i="8"/>
  <c r="AO144" i="8"/>
  <c r="AC144" i="8"/>
  <c r="AQ144" i="8"/>
  <c r="AR144" i="8"/>
  <c r="AS144" i="8"/>
  <c r="AF144" i="8"/>
  <c r="AG144" i="8"/>
  <c r="AD144" i="8"/>
  <c r="AE144" i="8"/>
  <c r="T59" i="6"/>
  <c r="GO174" i="14"/>
  <c r="HC174" i="14"/>
  <c r="GP174" i="14"/>
  <c r="HD174" i="14"/>
  <c r="GQ174" i="14"/>
  <c r="HE174" i="14"/>
  <c r="GR174" i="14"/>
  <c r="HF174" i="14"/>
  <c r="GS174" i="14"/>
  <c r="HG174" i="14"/>
  <c r="GT174" i="14"/>
  <c r="HH174" i="14"/>
  <c r="GU174" i="14"/>
  <c r="HI174" i="14"/>
  <c r="GV174" i="14"/>
  <c r="HJ174" i="14"/>
  <c r="GI174" i="14"/>
  <c r="HK174" i="14" s="1" a="1"/>
  <c r="HK174" i="14" s="1"/>
  <c r="GW174" i="14"/>
  <c r="GJ174" i="14"/>
  <c r="GX174" i="14"/>
  <c r="GK174" i="14"/>
  <c r="HB174" i="14"/>
  <c r="GL174" i="14"/>
  <c r="GM174" i="14"/>
  <c r="GN174" i="14"/>
  <c r="GZ174" i="14"/>
  <c r="GY174" i="14"/>
  <c r="HA174" i="14"/>
  <c r="Z115" i="8"/>
  <c r="AN115" i="8"/>
  <c r="AA115" i="8"/>
  <c r="AO115" i="8"/>
  <c r="AB115" i="8"/>
  <c r="AP115" i="8"/>
  <c r="AC115" i="8"/>
  <c r="AQ115" i="8"/>
  <c r="AD115" i="8"/>
  <c r="AR115" i="8"/>
  <c r="AE115" i="8"/>
  <c r="AS115" i="8"/>
  <c r="AF115" i="8"/>
  <c r="AG115" i="8"/>
  <c r="AH115" i="8"/>
  <c r="AI115" i="8"/>
  <c r="AJ115" i="8"/>
  <c r="AL115" i="8"/>
  <c r="AK115" i="8"/>
  <c r="AM115" i="8"/>
  <c r="GO181" i="14"/>
  <c r="HC181" i="14"/>
  <c r="GP181" i="14"/>
  <c r="HD181" i="14"/>
  <c r="GQ181" i="14"/>
  <c r="HE181" i="14"/>
  <c r="GR181" i="14"/>
  <c r="HF181" i="14"/>
  <c r="GS181" i="14"/>
  <c r="HG181" i="14"/>
  <c r="GT181" i="14"/>
  <c r="HH181" i="14"/>
  <c r="GU181" i="14"/>
  <c r="HI181" i="14"/>
  <c r="GV181" i="14"/>
  <c r="HJ181" i="14"/>
  <c r="GI181" i="14"/>
  <c r="HK181" i="14" s="1" a="1"/>
  <c r="HK181" i="14" s="1"/>
  <c r="GW181" i="14"/>
  <c r="GJ181" i="14"/>
  <c r="GX181" i="14"/>
  <c r="GK181" i="14"/>
  <c r="GL181" i="14"/>
  <c r="GZ181" i="14"/>
  <c r="GM181" i="14"/>
  <c r="HB181" i="14"/>
  <c r="GN181" i="14"/>
  <c r="GY181" i="14"/>
  <c r="HA181" i="14"/>
  <c r="Z122" i="8"/>
  <c r="AN122" i="8"/>
  <c r="AA122" i="8"/>
  <c r="AO122" i="8"/>
  <c r="AB122" i="8"/>
  <c r="AP122" i="8"/>
  <c r="AC122" i="8"/>
  <c r="AQ122" i="8"/>
  <c r="AD122" i="8"/>
  <c r="AR122" i="8"/>
  <c r="AE122" i="8"/>
  <c r="AS122" i="8"/>
  <c r="AF122" i="8"/>
  <c r="AG122" i="8"/>
  <c r="AH122" i="8"/>
  <c r="AI122" i="8"/>
  <c r="AL122" i="8"/>
  <c r="AJ122" i="8"/>
  <c r="AM122" i="8"/>
  <c r="AK122" i="8"/>
  <c r="GO195" i="14"/>
  <c r="HC195" i="14"/>
  <c r="GP195" i="14"/>
  <c r="HD195" i="14"/>
  <c r="GQ195" i="14"/>
  <c r="HE195" i="14"/>
  <c r="GR195" i="14"/>
  <c r="HF195" i="14"/>
  <c r="GS195" i="14"/>
  <c r="HG195" i="14"/>
  <c r="GT195" i="14"/>
  <c r="HH195" i="14"/>
  <c r="GU195" i="14"/>
  <c r="HI195" i="14"/>
  <c r="GV195" i="14"/>
  <c r="HJ195" i="14"/>
  <c r="GI195" i="14"/>
  <c r="HK195" i="14" s="1" a="1"/>
  <c r="HK195" i="14" s="1"/>
  <c r="GW195" i="14"/>
  <c r="GJ195" i="14"/>
  <c r="GX195" i="14"/>
  <c r="GK195" i="14"/>
  <c r="GL195" i="14"/>
  <c r="GZ195" i="14"/>
  <c r="GM195" i="14"/>
  <c r="GN195" i="14"/>
  <c r="GY195" i="14"/>
  <c r="HB195" i="14"/>
  <c r="HA195" i="14"/>
  <c r="Z136" i="8"/>
  <c r="AN136" i="8"/>
  <c r="AH136" i="8"/>
  <c r="AA136" i="8"/>
  <c r="AO136" i="8"/>
  <c r="AB136" i="8"/>
  <c r="AP136" i="8"/>
  <c r="AC136" i="8"/>
  <c r="AQ136" i="8"/>
  <c r="AD136" i="8"/>
  <c r="AR136" i="8"/>
  <c r="AE136" i="8"/>
  <c r="AS136" i="8"/>
  <c r="AF136" i="8"/>
  <c r="AG136" i="8"/>
  <c r="AI136" i="8"/>
  <c r="AL136" i="8"/>
  <c r="AK136" i="8"/>
  <c r="AM136" i="8"/>
  <c r="AJ136" i="8"/>
  <c r="T60" i="6"/>
  <c r="GO175" i="14"/>
  <c r="HC175" i="14"/>
  <c r="GP175" i="14"/>
  <c r="HD175" i="14"/>
  <c r="GQ175" i="14"/>
  <c r="HE175" i="14"/>
  <c r="GR175" i="14"/>
  <c r="HF175" i="14"/>
  <c r="GS175" i="14"/>
  <c r="HG175" i="14"/>
  <c r="GT175" i="14"/>
  <c r="HH175" i="14"/>
  <c r="GU175" i="14"/>
  <c r="HI175" i="14"/>
  <c r="GV175" i="14"/>
  <c r="HJ175" i="14"/>
  <c r="GI175" i="14"/>
  <c r="HK175" i="14" s="1" a="1"/>
  <c r="HK175" i="14" s="1"/>
  <c r="GW175" i="14"/>
  <c r="GJ175" i="14"/>
  <c r="GX175" i="14"/>
  <c r="GM175" i="14"/>
  <c r="GK175" i="14"/>
  <c r="GN175" i="14"/>
  <c r="GY175" i="14"/>
  <c r="GZ175" i="14"/>
  <c r="GL175" i="14"/>
  <c r="HA175" i="14"/>
  <c r="HB175" i="14"/>
  <c r="AH116" i="8"/>
  <c r="AI116" i="8"/>
  <c r="AJ116" i="8"/>
  <c r="AK116" i="8"/>
  <c r="AL116" i="8"/>
  <c r="AM116" i="8"/>
  <c r="Z116" i="8"/>
  <c r="AN116" i="8"/>
  <c r="AA116" i="8"/>
  <c r="AO116" i="8"/>
  <c r="AB116" i="8"/>
  <c r="AP116" i="8"/>
  <c r="AC116" i="8"/>
  <c r="AQ116" i="8"/>
  <c r="AD116" i="8"/>
  <c r="AE116" i="8"/>
  <c r="AF116" i="8"/>
  <c r="AG116" i="8"/>
  <c r="AR116" i="8"/>
  <c r="AS116" i="8"/>
  <c r="GN223" i="14"/>
  <c r="HB223" i="14"/>
  <c r="GO223" i="14"/>
  <c r="HC223" i="14"/>
  <c r="GR223" i="14"/>
  <c r="GW223" i="14"/>
  <c r="GK223" i="14"/>
  <c r="GM223" i="14"/>
  <c r="GP223" i="14"/>
  <c r="HD223" i="14"/>
  <c r="HF223" i="14"/>
  <c r="GQ223" i="14"/>
  <c r="HE223" i="14"/>
  <c r="GS223" i="14"/>
  <c r="HG223" i="14"/>
  <c r="GX223" i="14"/>
  <c r="GT223" i="14"/>
  <c r="HH223" i="14"/>
  <c r="GZ223" i="14"/>
  <c r="GU223" i="14"/>
  <c r="HI223" i="14"/>
  <c r="GI223" i="14"/>
  <c r="HK223" i="14" s="1" a="1"/>
  <c r="HK223" i="14" s="1"/>
  <c r="GV223" i="14"/>
  <c r="HJ223" i="14"/>
  <c r="HA223" i="14"/>
  <c r="GJ223" i="14"/>
  <c r="GY223" i="14"/>
  <c r="GL223" i="14"/>
  <c r="Z164" i="8"/>
  <c r="AN164" i="8"/>
  <c r="AO164" i="8"/>
  <c r="AB164" i="8"/>
  <c r="AA164" i="8"/>
  <c r="AP164" i="8"/>
  <c r="AC164" i="8"/>
  <c r="AQ164" i="8"/>
  <c r="AD164" i="8"/>
  <c r="AR164" i="8"/>
  <c r="AE164" i="8"/>
  <c r="AS164" i="8"/>
  <c r="AF164" i="8"/>
  <c r="AG164" i="8"/>
  <c r="AI164" i="8"/>
  <c r="AH164" i="8"/>
  <c r="AJ164" i="8"/>
  <c r="AK164" i="8"/>
  <c r="AL164" i="8"/>
  <c r="AM164" i="8"/>
  <c r="T99" i="6"/>
  <c r="GN214" i="14"/>
  <c r="HB214" i="14"/>
  <c r="HA214" i="14"/>
  <c r="GO214" i="14"/>
  <c r="HC214" i="14"/>
  <c r="GP214" i="14"/>
  <c r="HD214" i="14"/>
  <c r="GK214" i="14"/>
  <c r="GQ214" i="14"/>
  <c r="HE214" i="14"/>
  <c r="GZ214" i="14"/>
  <c r="GR214" i="14"/>
  <c r="HF214" i="14"/>
  <c r="GW214" i="14"/>
  <c r="GS214" i="14"/>
  <c r="HG214" i="14"/>
  <c r="GT214" i="14"/>
  <c r="HH214" i="14"/>
  <c r="GI214" i="14"/>
  <c r="HK214" i="14" s="1" a="1"/>
  <c r="HK214" i="14" s="1"/>
  <c r="GY214" i="14"/>
  <c r="GM214" i="14"/>
  <c r="GU214" i="14"/>
  <c r="HI214" i="14"/>
  <c r="GV214" i="14"/>
  <c r="HJ214" i="14"/>
  <c r="GL214" i="14"/>
  <c r="GJ214" i="14"/>
  <c r="GX214" i="14"/>
  <c r="AL155" i="8"/>
  <c r="AM155" i="8"/>
  <c r="Z155" i="8"/>
  <c r="AN155" i="8"/>
  <c r="AA155" i="8"/>
  <c r="AO155" i="8"/>
  <c r="AD155" i="8"/>
  <c r="AB155" i="8"/>
  <c r="AP155" i="8"/>
  <c r="AC155" i="8"/>
  <c r="AQ155" i="8"/>
  <c r="AR155" i="8"/>
  <c r="AE155" i="8"/>
  <c r="AS155" i="8"/>
  <c r="AG155" i="8"/>
  <c r="AK155" i="8"/>
  <c r="AF155" i="8"/>
  <c r="AH155" i="8"/>
  <c r="AI155" i="8"/>
  <c r="AJ155" i="8"/>
  <c r="GN215" i="14"/>
  <c r="HB215" i="14"/>
  <c r="GY215" i="14"/>
  <c r="GO215" i="14"/>
  <c r="HC215" i="14"/>
  <c r="GP215" i="14"/>
  <c r="HD215" i="14"/>
  <c r="GQ215" i="14"/>
  <c r="HE215" i="14"/>
  <c r="GR215" i="14"/>
  <c r="HF215" i="14"/>
  <c r="GL215" i="14"/>
  <c r="GS215" i="14"/>
  <c r="HG215" i="14"/>
  <c r="GI215" i="14"/>
  <c r="HK215" i="14" s="1" a="1"/>
  <c r="HK215" i="14" s="1"/>
  <c r="GK215" i="14"/>
  <c r="GT215" i="14"/>
  <c r="HH215" i="14"/>
  <c r="GZ215" i="14"/>
  <c r="GU215" i="14"/>
  <c r="HI215" i="14"/>
  <c r="GW215" i="14"/>
  <c r="GM215" i="14"/>
  <c r="GV215" i="14"/>
  <c r="HJ215" i="14"/>
  <c r="GJ215" i="14"/>
  <c r="GX215" i="14"/>
  <c r="HA215" i="14"/>
  <c r="AF156" i="8"/>
  <c r="AG156" i="8"/>
  <c r="AL156" i="8"/>
  <c r="AH156" i="8"/>
  <c r="AI156" i="8"/>
  <c r="AJ156" i="8"/>
  <c r="AK156" i="8"/>
  <c r="AM156" i="8"/>
  <c r="AA156" i="8"/>
  <c r="AO156" i="8"/>
  <c r="AD156" i="8"/>
  <c r="AE156" i="8"/>
  <c r="AN156" i="8"/>
  <c r="AP156" i="8"/>
  <c r="Z156" i="8"/>
  <c r="AQ156" i="8"/>
  <c r="AR156" i="8"/>
  <c r="AB156" i="8"/>
  <c r="AC156" i="8"/>
  <c r="AS156" i="8"/>
  <c r="GO191" i="14"/>
  <c r="HC191" i="14"/>
  <c r="GP191" i="14"/>
  <c r="HD191" i="14"/>
  <c r="GQ191" i="14"/>
  <c r="HE191" i="14"/>
  <c r="GR191" i="14"/>
  <c r="HF191" i="14"/>
  <c r="GS191" i="14"/>
  <c r="HG191" i="14"/>
  <c r="GT191" i="14"/>
  <c r="HH191" i="14"/>
  <c r="GU191" i="14"/>
  <c r="HI191" i="14"/>
  <c r="GV191" i="14"/>
  <c r="HJ191" i="14"/>
  <c r="GI191" i="14"/>
  <c r="HK191" i="14" s="1" a="1"/>
  <c r="HK191" i="14" s="1"/>
  <c r="GW191" i="14"/>
  <c r="GJ191" i="14"/>
  <c r="GX191" i="14"/>
  <c r="GK191" i="14"/>
  <c r="GL191" i="14"/>
  <c r="GM191" i="14"/>
  <c r="GN191" i="14"/>
  <c r="GY191" i="14"/>
  <c r="GZ191" i="14"/>
  <c r="HA191" i="14"/>
  <c r="HB191" i="14"/>
  <c r="AJ132" i="8"/>
  <c r="AK132" i="8"/>
  <c r="AR132" i="8"/>
  <c r="AL132" i="8"/>
  <c r="AD132" i="8"/>
  <c r="AM132" i="8"/>
  <c r="Z132" i="8"/>
  <c r="AN132" i="8"/>
  <c r="AA132" i="8"/>
  <c r="AO132" i="8"/>
  <c r="AB132" i="8"/>
  <c r="AP132" i="8"/>
  <c r="AC132" i="8"/>
  <c r="AQ132" i="8"/>
  <c r="AE132" i="8"/>
  <c r="AS132" i="8"/>
  <c r="AH132" i="8"/>
  <c r="AI132" i="8"/>
  <c r="AF132" i="8"/>
  <c r="AG132" i="8"/>
  <c r="T73" i="6"/>
  <c r="GO188" i="14"/>
  <c r="HC188" i="14"/>
  <c r="GP188" i="14"/>
  <c r="HD188" i="14"/>
  <c r="GQ188" i="14"/>
  <c r="HE188" i="14"/>
  <c r="GR188" i="14"/>
  <c r="HF188" i="14"/>
  <c r="GS188" i="14"/>
  <c r="HG188" i="14"/>
  <c r="GT188" i="14"/>
  <c r="HH188" i="14"/>
  <c r="GU188" i="14"/>
  <c r="HI188" i="14"/>
  <c r="GV188" i="14"/>
  <c r="HJ188" i="14"/>
  <c r="GI188" i="14"/>
  <c r="HK188" i="14" s="1" a="1"/>
  <c r="HK188" i="14" s="1"/>
  <c r="GW188" i="14"/>
  <c r="GJ188" i="14"/>
  <c r="GX188" i="14"/>
  <c r="GZ188" i="14"/>
  <c r="GK188" i="14"/>
  <c r="GL188" i="14"/>
  <c r="HB188" i="14"/>
  <c r="GM188" i="14"/>
  <c r="GN188" i="14"/>
  <c r="GY188" i="14"/>
  <c r="HA188" i="14"/>
  <c r="Z129" i="8"/>
  <c r="AN129" i="8"/>
  <c r="AA129" i="8"/>
  <c r="AO129" i="8"/>
  <c r="AB129" i="8"/>
  <c r="AP129" i="8"/>
  <c r="AC129" i="8"/>
  <c r="AQ129" i="8"/>
  <c r="AD129" i="8"/>
  <c r="AR129" i="8"/>
  <c r="AE129" i="8"/>
  <c r="AS129" i="8"/>
  <c r="AF129" i="8"/>
  <c r="AG129" i="8"/>
  <c r="AH129" i="8"/>
  <c r="AI129" i="8"/>
  <c r="AJ129" i="8"/>
  <c r="AK129" i="8"/>
  <c r="AL129" i="8"/>
  <c r="AM129" i="8"/>
  <c r="GO190" i="14"/>
  <c r="HC190" i="14"/>
  <c r="GP190" i="14"/>
  <c r="HD190" i="14"/>
  <c r="GQ190" i="14"/>
  <c r="HE190" i="14"/>
  <c r="GR190" i="14"/>
  <c r="HF190" i="14"/>
  <c r="GS190" i="14"/>
  <c r="HG190" i="14"/>
  <c r="GT190" i="14"/>
  <c r="HH190" i="14"/>
  <c r="GU190" i="14"/>
  <c r="HI190" i="14"/>
  <c r="GV190" i="14"/>
  <c r="HJ190" i="14"/>
  <c r="GI190" i="14"/>
  <c r="HK190" i="14" s="1" a="1"/>
  <c r="HK190" i="14" s="1"/>
  <c r="GW190" i="14"/>
  <c r="GJ190" i="14"/>
  <c r="GX190" i="14"/>
  <c r="HA190" i="14"/>
  <c r="HB190" i="14"/>
  <c r="GK190" i="14"/>
  <c r="GL190" i="14"/>
  <c r="GN190" i="14"/>
  <c r="GZ190" i="14"/>
  <c r="GM190" i="14"/>
  <c r="GY190" i="14"/>
  <c r="AB131" i="8"/>
  <c r="AP131" i="8"/>
  <c r="AC131" i="8"/>
  <c r="AQ131" i="8"/>
  <c r="AD131" i="8"/>
  <c r="AR131" i="8"/>
  <c r="AE131" i="8"/>
  <c r="AS131" i="8"/>
  <c r="AF131" i="8"/>
  <c r="AG131" i="8"/>
  <c r="AH131" i="8"/>
  <c r="AI131" i="8"/>
  <c r="AJ131" i="8"/>
  <c r="AK131" i="8"/>
  <c r="AO131" i="8"/>
  <c r="Z131" i="8"/>
  <c r="AA131" i="8"/>
  <c r="AM131" i="8"/>
  <c r="AL131" i="8"/>
  <c r="AN131" i="8"/>
  <c r="GO200" i="14"/>
  <c r="HC200" i="14"/>
  <c r="GP200" i="14"/>
  <c r="HD200" i="14"/>
  <c r="GQ200" i="14"/>
  <c r="HE200" i="14"/>
  <c r="GR200" i="14"/>
  <c r="HF200" i="14"/>
  <c r="GS200" i="14"/>
  <c r="HG200" i="14"/>
  <c r="GT200" i="14"/>
  <c r="HH200" i="14"/>
  <c r="GU200" i="14"/>
  <c r="HI200" i="14"/>
  <c r="GV200" i="14"/>
  <c r="HJ200" i="14"/>
  <c r="GI200" i="14"/>
  <c r="HK200" i="14" s="1" a="1"/>
  <c r="HK200" i="14" s="1"/>
  <c r="GW200" i="14"/>
  <c r="GJ200" i="14"/>
  <c r="GX200" i="14"/>
  <c r="GK200" i="14"/>
  <c r="GL200" i="14"/>
  <c r="GM200" i="14"/>
  <c r="GN200" i="14"/>
  <c r="GY200" i="14"/>
  <c r="HB200" i="14"/>
  <c r="GZ200" i="14"/>
  <c r="HA200" i="14"/>
  <c r="AL141" i="8"/>
  <c r="AF141" i="8"/>
  <c r="AM141" i="8"/>
  <c r="Z141" i="8"/>
  <c r="AN141" i="8"/>
  <c r="AA141" i="8"/>
  <c r="AO141" i="8"/>
  <c r="AD141" i="8"/>
  <c r="AR141" i="8"/>
  <c r="AB141" i="8"/>
  <c r="AP141" i="8"/>
  <c r="AC141" i="8"/>
  <c r="AQ141" i="8"/>
  <c r="AE141" i="8"/>
  <c r="AS141" i="8"/>
  <c r="AG141" i="8"/>
  <c r="AJ141" i="8"/>
  <c r="AI141" i="8"/>
  <c r="AH141" i="8"/>
  <c r="AK141" i="8"/>
  <c r="GO201" i="14"/>
  <c r="HC201" i="14"/>
  <c r="GP201" i="14"/>
  <c r="HD201" i="14"/>
  <c r="GQ201" i="14"/>
  <c r="HE201" i="14"/>
  <c r="GR201" i="14"/>
  <c r="HF201" i="14"/>
  <c r="GS201" i="14"/>
  <c r="HG201" i="14"/>
  <c r="GT201" i="14"/>
  <c r="HH201" i="14"/>
  <c r="GU201" i="14"/>
  <c r="HI201" i="14"/>
  <c r="GV201" i="14"/>
  <c r="HJ201" i="14"/>
  <c r="GI201" i="14"/>
  <c r="HK201" i="14" s="1" a="1"/>
  <c r="HK201" i="14" s="1"/>
  <c r="GW201" i="14"/>
  <c r="GJ201" i="14"/>
  <c r="GX201" i="14"/>
  <c r="GY201" i="14"/>
  <c r="GN201" i="14"/>
  <c r="GZ201" i="14"/>
  <c r="HA201" i="14"/>
  <c r="GL201" i="14"/>
  <c r="HB201" i="14"/>
  <c r="GM201" i="14"/>
  <c r="GK201" i="14"/>
  <c r="AF142" i="8"/>
  <c r="AG142" i="8"/>
  <c r="AH142" i="8"/>
  <c r="AN142" i="8"/>
  <c r="AI142" i="8"/>
  <c r="Z142" i="8"/>
  <c r="AJ142" i="8"/>
  <c r="AK142" i="8"/>
  <c r="AL142" i="8"/>
  <c r="AM142" i="8"/>
  <c r="AA142" i="8"/>
  <c r="AO142" i="8"/>
  <c r="AD142" i="8"/>
  <c r="AQ142" i="8"/>
  <c r="AE142" i="8"/>
  <c r="AP142" i="8"/>
  <c r="AC142" i="8"/>
  <c r="AR142" i="8"/>
  <c r="AS142" i="8"/>
  <c r="AB142" i="8"/>
  <c r="T94" i="6"/>
  <c r="GO209" i="14"/>
  <c r="HC209" i="14"/>
  <c r="GP209" i="14"/>
  <c r="HD209" i="14"/>
  <c r="GQ209" i="14"/>
  <c r="HE209" i="14"/>
  <c r="GR209" i="14"/>
  <c r="HF209" i="14"/>
  <c r="GS209" i="14"/>
  <c r="GT209" i="14"/>
  <c r="HH209" i="14"/>
  <c r="GU209" i="14"/>
  <c r="HI209" i="14"/>
  <c r="GV209" i="14"/>
  <c r="HJ209" i="14"/>
  <c r="GI209" i="14"/>
  <c r="HK209" i="14" s="1" a="1"/>
  <c r="HK209" i="14" s="1"/>
  <c r="GW209" i="14"/>
  <c r="GJ209" i="14"/>
  <c r="GX209" i="14"/>
  <c r="HG209" i="14"/>
  <c r="GK209" i="14"/>
  <c r="GL209" i="14"/>
  <c r="GZ209" i="14"/>
  <c r="GM209" i="14"/>
  <c r="GN209" i="14"/>
  <c r="GY209" i="14"/>
  <c r="HB209" i="14"/>
  <c r="HA209" i="14"/>
  <c r="Z150" i="8"/>
  <c r="AN150" i="8"/>
  <c r="AA150" i="8"/>
  <c r="AO150" i="8"/>
  <c r="AB150" i="8"/>
  <c r="AP150" i="8"/>
  <c r="AC150" i="8"/>
  <c r="AQ150" i="8"/>
  <c r="AD150" i="8"/>
  <c r="AR150" i="8"/>
  <c r="AF150" i="8"/>
  <c r="AE150" i="8"/>
  <c r="AS150" i="8"/>
  <c r="AG150" i="8"/>
  <c r="AH150" i="8"/>
  <c r="AI150" i="8"/>
  <c r="AJ150" i="8"/>
  <c r="AK150" i="8"/>
  <c r="AL150" i="8"/>
  <c r="AM150" i="8"/>
  <c r="GO192" i="14"/>
  <c r="HC192" i="14"/>
  <c r="GP192" i="14"/>
  <c r="HD192" i="14"/>
  <c r="GQ192" i="14"/>
  <c r="HE192" i="14"/>
  <c r="GR192" i="14"/>
  <c r="HF192" i="14"/>
  <c r="GS192" i="14"/>
  <c r="HG192" i="14"/>
  <c r="GT192" i="14"/>
  <c r="HH192" i="14"/>
  <c r="GU192" i="14"/>
  <c r="HI192" i="14"/>
  <c r="GV192" i="14"/>
  <c r="HJ192" i="14"/>
  <c r="GI192" i="14"/>
  <c r="HK192" i="14" s="1" a="1"/>
  <c r="HK192" i="14" s="1"/>
  <c r="GW192" i="14"/>
  <c r="GJ192" i="14"/>
  <c r="GX192" i="14"/>
  <c r="HA192" i="14"/>
  <c r="HB192" i="14"/>
  <c r="GL192" i="14"/>
  <c r="GN192" i="14"/>
  <c r="GZ192" i="14"/>
  <c r="GY192" i="14"/>
  <c r="GK192" i="14"/>
  <c r="GM192" i="14"/>
  <c r="AD133" i="8"/>
  <c r="AR133" i="8"/>
  <c r="AE133" i="8"/>
  <c r="AS133" i="8"/>
  <c r="AF133" i="8"/>
  <c r="AG133" i="8"/>
  <c r="AL133" i="8"/>
  <c r="AH133" i="8"/>
  <c r="AI133" i="8"/>
  <c r="AJ133" i="8"/>
  <c r="AK133" i="8"/>
  <c r="AM133" i="8"/>
  <c r="Z133" i="8"/>
  <c r="AA133" i="8"/>
  <c r="AB133" i="8"/>
  <c r="AC133" i="8"/>
  <c r="AN133" i="8"/>
  <c r="AO133" i="8"/>
  <c r="AP133" i="8"/>
  <c r="AQ133" i="8"/>
  <c r="GN216" i="14"/>
  <c r="HB216" i="14"/>
  <c r="GZ216" i="14"/>
  <c r="GO216" i="14"/>
  <c r="HC216" i="14"/>
  <c r="GP216" i="14"/>
  <c r="HD216" i="14"/>
  <c r="GQ216" i="14"/>
  <c r="HE216" i="14"/>
  <c r="GR216" i="14"/>
  <c r="HF216" i="14"/>
  <c r="HA216" i="14"/>
  <c r="GS216" i="14"/>
  <c r="HG216" i="14"/>
  <c r="GL216" i="14"/>
  <c r="GM216" i="14"/>
  <c r="GT216" i="14"/>
  <c r="HH216" i="14"/>
  <c r="GI216" i="14"/>
  <c r="HK216" i="14" s="1" a="1"/>
  <c r="HK216" i="14" s="1"/>
  <c r="GU216" i="14"/>
  <c r="HI216" i="14"/>
  <c r="GY216" i="14"/>
  <c r="GV216" i="14"/>
  <c r="HJ216" i="14"/>
  <c r="GW216" i="14"/>
  <c r="GK216" i="14"/>
  <c r="GJ216" i="14"/>
  <c r="GX216" i="14"/>
  <c r="Z157" i="8"/>
  <c r="AN157" i="8"/>
  <c r="AF157" i="8"/>
  <c r="AA157" i="8"/>
  <c r="AO157" i="8"/>
  <c r="AB157" i="8"/>
  <c r="AP157" i="8"/>
  <c r="AC157" i="8"/>
  <c r="AQ157" i="8"/>
  <c r="AD157" i="8"/>
  <c r="AR157" i="8"/>
  <c r="AE157" i="8"/>
  <c r="AS157" i="8"/>
  <c r="AG157" i="8"/>
  <c r="AI157" i="8"/>
  <c r="AL157" i="8"/>
  <c r="AH157" i="8"/>
  <c r="AJ157" i="8"/>
  <c r="AK157" i="8"/>
  <c r="AM157" i="8"/>
  <c r="T71" i="6"/>
  <c r="GO186" i="14"/>
  <c r="HC186" i="14"/>
  <c r="GP186" i="14"/>
  <c r="HD186" i="14"/>
  <c r="GQ186" i="14"/>
  <c r="HE186" i="14"/>
  <c r="GR186" i="14"/>
  <c r="HF186" i="14"/>
  <c r="GS186" i="14"/>
  <c r="HG186" i="14"/>
  <c r="GT186" i="14"/>
  <c r="HH186" i="14"/>
  <c r="GU186" i="14"/>
  <c r="HI186" i="14"/>
  <c r="GV186" i="14"/>
  <c r="HJ186" i="14"/>
  <c r="GI186" i="14"/>
  <c r="HK186" i="14" s="1" a="1"/>
  <c r="HK186" i="14" s="1"/>
  <c r="GW186" i="14"/>
  <c r="GJ186" i="14"/>
  <c r="GX186" i="14"/>
  <c r="GK186" i="14"/>
  <c r="GL186" i="14"/>
  <c r="GM186" i="14"/>
  <c r="GN186" i="14"/>
  <c r="HB186" i="14"/>
  <c r="GY186" i="14"/>
  <c r="GZ186" i="14"/>
  <c r="HA186" i="14"/>
  <c r="AL127" i="8"/>
  <c r="AM127" i="8"/>
  <c r="Z127" i="8"/>
  <c r="AN127" i="8"/>
  <c r="AA127" i="8"/>
  <c r="AO127" i="8"/>
  <c r="AB127" i="8"/>
  <c r="AP127" i="8"/>
  <c r="AC127" i="8"/>
  <c r="AQ127" i="8"/>
  <c r="AD127" i="8"/>
  <c r="AR127" i="8"/>
  <c r="AE127" i="8"/>
  <c r="AS127" i="8"/>
  <c r="AF127" i="8"/>
  <c r="AG127" i="8"/>
  <c r="AJ127" i="8"/>
  <c r="AI127" i="8"/>
  <c r="AK127" i="8"/>
  <c r="AH127" i="8"/>
  <c r="GO204" i="14"/>
  <c r="HC204" i="14"/>
  <c r="GP204" i="14"/>
  <c r="HD204" i="14"/>
  <c r="GQ204" i="14"/>
  <c r="HE204" i="14"/>
  <c r="GR204" i="14"/>
  <c r="HF204" i="14"/>
  <c r="GS204" i="14"/>
  <c r="HG204" i="14"/>
  <c r="GT204" i="14"/>
  <c r="HH204" i="14"/>
  <c r="GU204" i="14"/>
  <c r="HI204" i="14"/>
  <c r="GV204" i="14"/>
  <c r="HJ204" i="14"/>
  <c r="GI204" i="14"/>
  <c r="HK204" i="14" s="1" a="1"/>
  <c r="HK204" i="14" s="1"/>
  <c r="GW204" i="14"/>
  <c r="GJ204" i="14"/>
  <c r="GX204" i="14"/>
  <c r="GZ204" i="14"/>
  <c r="GN204" i="14"/>
  <c r="HA204" i="14"/>
  <c r="GK204" i="14"/>
  <c r="GL204" i="14"/>
  <c r="HB204" i="14"/>
  <c r="GM204" i="14"/>
  <c r="GY204" i="14"/>
  <c r="AB145" i="8"/>
  <c r="AP145" i="8"/>
  <c r="AC145" i="8"/>
  <c r="AQ145" i="8"/>
  <c r="AD145" i="8"/>
  <c r="AR145" i="8"/>
  <c r="AE145" i="8"/>
  <c r="AS145" i="8"/>
  <c r="AF145" i="8"/>
  <c r="AH145" i="8"/>
  <c r="AG145" i="8"/>
  <c r="AI145" i="8"/>
  <c r="AJ145" i="8"/>
  <c r="AK145" i="8"/>
  <c r="Z145" i="8"/>
  <c r="AA145" i="8"/>
  <c r="AL145" i="8"/>
  <c r="AM145" i="8"/>
  <c r="AN145" i="8"/>
  <c r="AO145" i="8"/>
  <c r="GN219" i="14"/>
  <c r="HB219" i="14"/>
  <c r="GO219" i="14"/>
  <c r="HC219" i="14"/>
  <c r="GP219" i="14"/>
  <c r="HD219" i="14"/>
  <c r="GI219" i="14"/>
  <c r="HK219" i="14" s="1" a="1"/>
  <c r="HK219" i="14" s="1"/>
  <c r="HA219" i="14"/>
  <c r="GQ219" i="14"/>
  <c r="HE219" i="14"/>
  <c r="GZ219" i="14"/>
  <c r="GR219" i="14"/>
  <c r="HF219" i="14"/>
  <c r="GS219" i="14"/>
  <c r="HG219" i="14"/>
  <c r="GY219" i="14"/>
  <c r="GM219" i="14"/>
  <c r="GT219" i="14"/>
  <c r="HH219" i="14"/>
  <c r="GU219" i="14"/>
  <c r="HI219" i="14"/>
  <c r="GW219" i="14"/>
  <c r="GJ219" i="14"/>
  <c r="GV219" i="14"/>
  <c r="HJ219" i="14"/>
  <c r="GL219" i="14"/>
  <c r="GX219" i="14"/>
  <c r="GK219" i="14"/>
  <c r="AJ160" i="8"/>
  <c r="AK160" i="8"/>
  <c r="AP160" i="8"/>
  <c r="AL160" i="8"/>
  <c r="AM160" i="8"/>
  <c r="Z160" i="8"/>
  <c r="AN160" i="8"/>
  <c r="AA160" i="8"/>
  <c r="AO160" i="8"/>
  <c r="AB160" i="8"/>
  <c r="AC160" i="8"/>
  <c r="AQ160" i="8"/>
  <c r="AE160" i="8"/>
  <c r="AS160" i="8"/>
  <c r="AF160" i="8"/>
  <c r="AG160" i="8"/>
  <c r="AI160" i="8"/>
  <c r="AH160" i="8"/>
  <c r="AR160" i="8"/>
  <c r="AD160" i="8"/>
  <c r="GO212" i="14"/>
  <c r="HC212" i="14"/>
  <c r="GP212" i="14"/>
  <c r="HD212" i="14"/>
  <c r="GQ212" i="14"/>
  <c r="HE212" i="14"/>
  <c r="GR212" i="14"/>
  <c r="HF212" i="14"/>
  <c r="GU212" i="14"/>
  <c r="GV212" i="14"/>
  <c r="GI212" i="14"/>
  <c r="HK212" i="14" s="1" a="1"/>
  <c r="HK212" i="14" s="1"/>
  <c r="GW212" i="14"/>
  <c r="GJ212" i="14"/>
  <c r="GX212" i="14"/>
  <c r="GT212" i="14"/>
  <c r="GY212" i="14"/>
  <c r="GM212" i="14"/>
  <c r="GS212" i="14"/>
  <c r="GZ212" i="14"/>
  <c r="HA212" i="14"/>
  <c r="HB212" i="14"/>
  <c r="HG212" i="14"/>
  <c r="HH212" i="14"/>
  <c r="HI212" i="14"/>
  <c r="GK212" i="14"/>
  <c r="HJ212" i="14"/>
  <c r="GL212" i="14"/>
  <c r="GN212" i="14"/>
  <c r="AJ153" i="8"/>
  <c r="AB153" i="8"/>
  <c r="AK153" i="8"/>
  <c r="AL153" i="8"/>
  <c r="AP153" i="8"/>
  <c r="AM153" i="8"/>
  <c r="Z153" i="8"/>
  <c r="AN153" i="8"/>
  <c r="AA153" i="8"/>
  <c r="AO153" i="8"/>
  <c r="AC153" i="8"/>
  <c r="AQ153" i="8"/>
  <c r="AE153" i="8"/>
  <c r="AS153" i="8"/>
  <c r="AR153" i="8"/>
  <c r="AI153" i="8"/>
  <c r="AD153" i="8"/>
  <c r="AF153" i="8"/>
  <c r="AH153" i="8"/>
  <c r="AG153" i="8"/>
  <c r="GO197" i="14"/>
  <c r="HC197" i="14"/>
  <c r="GP197" i="14"/>
  <c r="HD197" i="14"/>
  <c r="GQ197" i="14"/>
  <c r="HE197" i="14"/>
  <c r="GR197" i="14"/>
  <c r="HF197" i="14"/>
  <c r="GS197" i="14"/>
  <c r="HG197" i="14"/>
  <c r="GT197" i="14"/>
  <c r="HH197" i="14"/>
  <c r="GU197" i="14"/>
  <c r="HI197" i="14"/>
  <c r="GV197" i="14"/>
  <c r="HJ197" i="14"/>
  <c r="GI197" i="14"/>
  <c r="HK197" i="14" s="1" a="1"/>
  <c r="HK197" i="14" s="1"/>
  <c r="GW197" i="14"/>
  <c r="GJ197" i="14"/>
  <c r="GX197" i="14"/>
  <c r="HB197" i="14"/>
  <c r="GZ197" i="14"/>
  <c r="GK197" i="14"/>
  <c r="GL197" i="14"/>
  <c r="GN197" i="14"/>
  <c r="GM197" i="14"/>
  <c r="GY197" i="14"/>
  <c r="HA197" i="14"/>
  <c r="AB138" i="8"/>
  <c r="AP138" i="8"/>
  <c r="AC138" i="8"/>
  <c r="AQ138" i="8"/>
  <c r="AD138" i="8"/>
  <c r="AR138" i="8"/>
  <c r="AE138" i="8"/>
  <c r="AS138" i="8"/>
  <c r="AF138" i="8"/>
  <c r="AH138" i="8"/>
  <c r="AG138" i="8"/>
  <c r="AJ138" i="8"/>
  <c r="AI138" i="8"/>
  <c r="AK138" i="8"/>
  <c r="Z138" i="8"/>
  <c r="AA138" i="8"/>
  <c r="AL138" i="8"/>
  <c r="AM138" i="8"/>
  <c r="AN138" i="8"/>
  <c r="AO138" i="8"/>
  <c r="GO187" i="14"/>
  <c r="HC187" i="14"/>
  <c r="GP187" i="14"/>
  <c r="HD187" i="14"/>
  <c r="GQ187" i="14"/>
  <c r="HE187" i="14"/>
  <c r="GR187" i="14"/>
  <c r="HF187" i="14"/>
  <c r="GS187" i="14"/>
  <c r="HG187" i="14"/>
  <c r="GT187" i="14"/>
  <c r="HH187" i="14"/>
  <c r="GU187" i="14"/>
  <c r="HI187" i="14"/>
  <c r="GV187" i="14"/>
  <c r="HJ187" i="14"/>
  <c r="GI187" i="14"/>
  <c r="HK187" i="14" s="1" a="1"/>
  <c r="HK187" i="14" s="1"/>
  <c r="GW187" i="14"/>
  <c r="GJ187" i="14"/>
  <c r="GX187" i="14"/>
  <c r="GY187" i="14"/>
  <c r="GL187" i="14"/>
  <c r="GZ187" i="14"/>
  <c r="GM187" i="14"/>
  <c r="HA187" i="14"/>
  <c r="HB187" i="14"/>
  <c r="GN187" i="14"/>
  <c r="GK187" i="14"/>
  <c r="AF128" i="8"/>
  <c r="AG128" i="8"/>
  <c r="AH128" i="8"/>
  <c r="AI128" i="8"/>
  <c r="AJ128" i="8"/>
  <c r="AK128" i="8"/>
  <c r="AL128" i="8"/>
  <c r="AM128" i="8"/>
  <c r="Z128" i="8"/>
  <c r="AN128" i="8"/>
  <c r="AA128" i="8"/>
  <c r="AO128" i="8"/>
  <c r="AC128" i="8"/>
  <c r="AB128" i="8"/>
  <c r="AD128" i="8"/>
  <c r="AE128" i="8"/>
  <c r="AP128" i="8"/>
  <c r="AQ128" i="8"/>
  <c r="AR128" i="8"/>
  <c r="AS128" i="8"/>
  <c r="T95" i="6"/>
  <c r="GO210" i="14"/>
  <c r="HC210" i="14"/>
  <c r="GP210" i="14"/>
  <c r="HD210" i="14"/>
  <c r="GQ210" i="14"/>
  <c r="HE210" i="14"/>
  <c r="GR210" i="14"/>
  <c r="HF210" i="14"/>
  <c r="GU210" i="14"/>
  <c r="HI210" i="14"/>
  <c r="GV210" i="14"/>
  <c r="HJ210" i="14"/>
  <c r="GI210" i="14"/>
  <c r="HK210" i="14" s="1" a="1"/>
  <c r="HK210" i="14" s="1"/>
  <c r="GW210" i="14"/>
  <c r="GJ210" i="14"/>
  <c r="GX210" i="14"/>
  <c r="GL210" i="14"/>
  <c r="GM210" i="14"/>
  <c r="GN210" i="14"/>
  <c r="GS210" i="14"/>
  <c r="GK210" i="14"/>
  <c r="GT210" i="14"/>
  <c r="GY210" i="14"/>
  <c r="GZ210" i="14"/>
  <c r="HG210" i="14"/>
  <c r="HA210" i="14"/>
  <c r="HB210" i="14"/>
  <c r="HH210" i="14"/>
  <c r="AH151" i="8"/>
  <c r="AB151" i="8"/>
  <c r="AI151" i="8"/>
  <c r="Z151" i="8"/>
  <c r="AJ151" i="8"/>
  <c r="AK151" i="8"/>
  <c r="AN151" i="8"/>
  <c r="AP151" i="8"/>
  <c r="AL151" i="8"/>
  <c r="AM151" i="8"/>
  <c r="AA151" i="8"/>
  <c r="AO151" i="8"/>
  <c r="AC151" i="8"/>
  <c r="AQ151" i="8"/>
  <c r="AR151" i="8"/>
  <c r="AS151" i="8"/>
  <c r="AF151" i="8"/>
  <c r="AG151" i="8"/>
  <c r="AD151" i="8"/>
  <c r="AE151" i="8"/>
  <c r="T67" i="6"/>
  <c r="GO182" i="14"/>
  <c r="HC182" i="14"/>
  <c r="GP182" i="14"/>
  <c r="HD182" i="14"/>
  <c r="GQ182" i="14"/>
  <c r="HE182" i="14"/>
  <c r="GR182" i="14"/>
  <c r="HF182" i="14"/>
  <c r="GS182" i="14"/>
  <c r="HG182" i="14"/>
  <c r="GT182" i="14"/>
  <c r="HH182" i="14"/>
  <c r="GU182" i="14"/>
  <c r="HI182" i="14"/>
  <c r="GV182" i="14"/>
  <c r="HJ182" i="14"/>
  <c r="GI182" i="14"/>
  <c r="HK182" i="14" s="1" a="1"/>
  <c r="HK182" i="14" s="1"/>
  <c r="GW182" i="14"/>
  <c r="GJ182" i="14"/>
  <c r="GX182" i="14"/>
  <c r="GM182" i="14"/>
  <c r="GN182" i="14"/>
  <c r="GY182" i="14"/>
  <c r="GZ182" i="14"/>
  <c r="HA182" i="14"/>
  <c r="GK182" i="14"/>
  <c r="HB182" i="14"/>
  <c r="GL182" i="14"/>
  <c r="AH123" i="8"/>
  <c r="AI123" i="8"/>
  <c r="AJ123" i="8"/>
  <c r="AK123" i="8"/>
  <c r="AL123" i="8"/>
  <c r="AM123" i="8"/>
  <c r="Z123" i="8"/>
  <c r="AN123" i="8"/>
  <c r="AA123" i="8"/>
  <c r="AO123" i="8"/>
  <c r="AB123" i="8"/>
  <c r="AP123" i="8"/>
  <c r="AC123" i="8"/>
  <c r="AQ123" i="8"/>
  <c r="AD123" i="8"/>
  <c r="AE123" i="8"/>
  <c r="AF123" i="8"/>
  <c r="AG123" i="8"/>
  <c r="AR123" i="8"/>
  <c r="AS123" i="8"/>
  <c r="GO196" i="14"/>
  <c r="HC196" i="14"/>
  <c r="GP196" i="14"/>
  <c r="HD196" i="14"/>
  <c r="GQ196" i="14"/>
  <c r="HE196" i="14"/>
  <c r="GR196" i="14"/>
  <c r="HF196" i="14"/>
  <c r="GS196" i="14"/>
  <c r="HG196" i="14"/>
  <c r="GT196" i="14"/>
  <c r="HH196" i="14"/>
  <c r="GU196" i="14"/>
  <c r="HI196" i="14"/>
  <c r="GV196" i="14"/>
  <c r="HJ196" i="14"/>
  <c r="GI196" i="14"/>
  <c r="HK196" i="14" s="1" a="1"/>
  <c r="HK196" i="14" s="1"/>
  <c r="GW196" i="14"/>
  <c r="GJ196" i="14"/>
  <c r="GX196" i="14"/>
  <c r="GM196" i="14"/>
  <c r="GN196" i="14"/>
  <c r="GK196" i="14"/>
  <c r="GL196" i="14"/>
  <c r="GY196" i="14"/>
  <c r="GZ196" i="14"/>
  <c r="HA196" i="14"/>
  <c r="HB196" i="14"/>
  <c r="AH137" i="8"/>
  <c r="AI137" i="8"/>
  <c r="AJ137" i="8"/>
  <c r="AB137" i="8"/>
  <c r="AK137" i="8"/>
  <c r="Z137" i="8"/>
  <c r="AP137" i="8"/>
  <c r="AL137" i="8"/>
  <c r="AM137" i="8"/>
  <c r="AN137" i="8"/>
  <c r="AA137" i="8"/>
  <c r="AO137" i="8"/>
  <c r="AC137" i="8"/>
  <c r="AQ137" i="8"/>
  <c r="AF137" i="8"/>
  <c r="AG137" i="8"/>
  <c r="AR137" i="8"/>
  <c r="AS137" i="8"/>
  <c r="AE137" i="8"/>
  <c r="AD137" i="8"/>
  <c r="GN213" i="14"/>
  <c r="HB213" i="14"/>
  <c r="GO213" i="14"/>
  <c r="HC213" i="14"/>
  <c r="GP213" i="14"/>
  <c r="HD213" i="14"/>
  <c r="GL213" i="14"/>
  <c r="HA213" i="14"/>
  <c r="GQ213" i="14"/>
  <c r="HE213" i="14"/>
  <c r="GK213" i="14"/>
  <c r="GR213" i="14"/>
  <c r="HF213" i="14"/>
  <c r="GS213" i="14"/>
  <c r="HG213" i="14"/>
  <c r="GW213" i="14"/>
  <c r="GZ213" i="14"/>
  <c r="GT213" i="14"/>
  <c r="HH213" i="14"/>
  <c r="GU213" i="14"/>
  <c r="HI213" i="14"/>
  <c r="GV213" i="14"/>
  <c r="HJ213" i="14"/>
  <c r="GI213" i="14"/>
  <c r="HK213" i="14" s="1" a="1"/>
  <c r="HK213" i="14" s="1"/>
  <c r="GM213" i="14"/>
  <c r="GJ213" i="14"/>
  <c r="GX213" i="14"/>
  <c r="GY213" i="14"/>
  <c r="AD154" i="8"/>
  <c r="AR154" i="8"/>
  <c r="AE154" i="8"/>
  <c r="AS154" i="8"/>
  <c r="AL154" i="8"/>
  <c r="AF154" i="8"/>
  <c r="AG154" i="8"/>
  <c r="AH154" i="8"/>
  <c r="AJ154" i="8"/>
  <c r="AI154" i="8"/>
  <c r="AK154" i="8"/>
  <c r="AM154" i="8"/>
  <c r="AB154" i="8"/>
  <c r="AC154" i="8"/>
  <c r="AO154" i="8"/>
  <c r="AN154" i="8"/>
  <c r="AA154" i="8"/>
  <c r="Z154" i="8"/>
  <c r="AP154" i="8"/>
  <c r="AQ154" i="8"/>
  <c r="T96" i="6"/>
  <c r="GO211" i="14"/>
  <c r="HC211" i="14"/>
  <c r="GP211" i="14"/>
  <c r="HD211" i="14"/>
  <c r="GQ211" i="14"/>
  <c r="HE211" i="14"/>
  <c r="GR211" i="14"/>
  <c r="HF211" i="14"/>
  <c r="GU211" i="14"/>
  <c r="HI211" i="14"/>
  <c r="GV211" i="14"/>
  <c r="HJ211" i="14"/>
  <c r="GI211" i="14"/>
  <c r="HK211" i="14" s="1" a="1"/>
  <c r="HK211" i="14" s="1"/>
  <c r="GW211" i="14"/>
  <c r="GJ211" i="14"/>
  <c r="GX211" i="14"/>
  <c r="GN211" i="14"/>
  <c r="GS211" i="14"/>
  <c r="GT211" i="14"/>
  <c r="GY211" i="14"/>
  <c r="GZ211" i="14"/>
  <c r="GK211" i="14"/>
  <c r="HA211" i="14"/>
  <c r="GM211" i="14"/>
  <c r="HB211" i="14"/>
  <c r="HG211" i="14"/>
  <c r="GL211" i="14"/>
  <c r="HH211" i="14"/>
  <c r="AB152" i="8"/>
  <c r="AP152" i="8"/>
  <c r="AC152" i="8"/>
  <c r="AQ152" i="8"/>
  <c r="AD152" i="8"/>
  <c r="AR152" i="8"/>
  <c r="AJ152" i="8"/>
  <c r="AE152" i="8"/>
  <c r="AS152" i="8"/>
  <c r="AF152" i="8"/>
  <c r="AG152" i="8"/>
  <c r="AH152" i="8"/>
  <c r="AI152" i="8"/>
  <c r="AK152" i="8"/>
  <c r="Z152" i="8"/>
  <c r="AA152" i="8"/>
  <c r="AL152" i="8"/>
  <c r="AM152" i="8"/>
  <c r="AN152" i="8"/>
  <c r="AO152" i="8"/>
  <c r="T87" i="6"/>
  <c r="GO202" i="14"/>
  <c r="HC202" i="14"/>
  <c r="GP202" i="14"/>
  <c r="HD202" i="14"/>
  <c r="GQ202" i="14"/>
  <c r="HE202" i="14"/>
  <c r="GR202" i="14"/>
  <c r="HF202" i="14"/>
  <c r="GS202" i="14"/>
  <c r="HG202" i="14"/>
  <c r="GT202" i="14"/>
  <c r="HH202" i="14"/>
  <c r="GU202" i="14"/>
  <c r="HI202" i="14"/>
  <c r="GV202" i="14"/>
  <c r="HJ202" i="14"/>
  <c r="GI202" i="14"/>
  <c r="HK202" i="14" s="1" a="1"/>
  <c r="HK202" i="14" s="1"/>
  <c r="GW202" i="14"/>
  <c r="GJ202" i="14"/>
  <c r="GX202" i="14"/>
  <c r="GK202" i="14"/>
  <c r="GL202" i="14"/>
  <c r="GM202" i="14"/>
  <c r="HB202" i="14"/>
  <c r="GN202" i="14"/>
  <c r="GY202" i="14"/>
  <c r="GZ202" i="14"/>
  <c r="HA202" i="14"/>
  <c r="Z143" i="8"/>
  <c r="AN143" i="8"/>
  <c r="AA143" i="8"/>
  <c r="AO143" i="8"/>
  <c r="AB143" i="8"/>
  <c r="AP143" i="8"/>
  <c r="AC143" i="8"/>
  <c r="AQ143" i="8"/>
  <c r="AD143" i="8"/>
  <c r="AR143" i="8"/>
  <c r="AF143" i="8"/>
  <c r="AE143" i="8"/>
  <c r="AS143" i="8"/>
  <c r="AH143" i="8"/>
  <c r="AG143" i="8"/>
  <c r="AI143" i="8"/>
  <c r="AJ143" i="8"/>
  <c r="AK143" i="8"/>
  <c r="AM143" i="8"/>
  <c r="AL143" i="8"/>
  <c r="GO185" i="14"/>
  <c r="HC185" i="14"/>
  <c r="GP185" i="14"/>
  <c r="HD185" i="14"/>
  <c r="GQ185" i="14"/>
  <c r="HE185" i="14"/>
  <c r="GR185" i="14"/>
  <c r="HF185" i="14"/>
  <c r="GS185" i="14"/>
  <c r="HG185" i="14"/>
  <c r="GT185" i="14"/>
  <c r="HH185" i="14"/>
  <c r="GU185" i="14"/>
  <c r="HI185" i="14"/>
  <c r="GV185" i="14"/>
  <c r="HJ185" i="14"/>
  <c r="GI185" i="14"/>
  <c r="HK185" i="14" s="1" a="1"/>
  <c r="HK185" i="14" s="1"/>
  <c r="GW185" i="14"/>
  <c r="GJ185" i="14"/>
  <c r="GX185" i="14"/>
  <c r="HA185" i="14"/>
  <c r="HB185" i="14"/>
  <c r="GL185" i="14"/>
  <c r="GK185" i="14"/>
  <c r="GM185" i="14"/>
  <c r="GN185" i="14"/>
  <c r="GY185" i="14"/>
  <c r="GZ185" i="14"/>
  <c r="AD126" i="8"/>
  <c r="AR126" i="8"/>
  <c r="AE126" i="8"/>
  <c r="AS126" i="8"/>
  <c r="AF126" i="8"/>
  <c r="AG126" i="8"/>
  <c r="AH126" i="8"/>
  <c r="AI126" i="8"/>
  <c r="AJ126" i="8"/>
  <c r="AK126" i="8"/>
  <c r="AL126" i="8"/>
  <c r="AM126" i="8"/>
  <c r="AQ126" i="8"/>
  <c r="Z126" i="8"/>
  <c r="AA126" i="8"/>
  <c r="AP126" i="8"/>
  <c r="AB126" i="8"/>
  <c r="AC126" i="8"/>
  <c r="AO126" i="8"/>
  <c r="AN126" i="8"/>
  <c r="T64" i="6"/>
  <c r="GO179" i="14"/>
  <c r="HC179" i="14"/>
  <c r="GP179" i="14"/>
  <c r="HD179" i="14"/>
  <c r="GQ179" i="14"/>
  <c r="HE179" i="14"/>
  <c r="GR179" i="14"/>
  <c r="HF179" i="14"/>
  <c r="GS179" i="14"/>
  <c r="HG179" i="14"/>
  <c r="GT179" i="14"/>
  <c r="HH179" i="14"/>
  <c r="GU179" i="14"/>
  <c r="HI179" i="14"/>
  <c r="GV179" i="14"/>
  <c r="HJ179" i="14"/>
  <c r="GI179" i="14"/>
  <c r="HK179" i="14" s="1" a="1"/>
  <c r="HK179" i="14" s="1"/>
  <c r="GW179" i="14"/>
  <c r="GJ179" i="14"/>
  <c r="GX179" i="14"/>
  <c r="GK179" i="14"/>
  <c r="GL179" i="14"/>
  <c r="GM179" i="14"/>
  <c r="GN179" i="14"/>
  <c r="GY179" i="14"/>
  <c r="GZ179" i="14"/>
  <c r="HB179" i="14"/>
  <c r="HA179" i="14"/>
  <c r="AL120" i="8"/>
  <c r="AM120" i="8"/>
  <c r="Z120" i="8"/>
  <c r="AN120" i="8"/>
  <c r="AA120" i="8"/>
  <c r="AO120" i="8"/>
  <c r="AB120" i="8"/>
  <c r="AP120" i="8"/>
  <c r="AC120" i="8"/>
  <c r="AQ120" i="8"/>
  <c r="AD120" i="8"/>
  <c r="AR120" i="8"/>
  <c r="AE120" i="8"/>
  <c r="AS120" i="8"/>
  <c r="AF120" i="8"/>
  <c r="AG120" i="8"/>
  <c r="AH120" i="8"/>
  <c r="AJ120" i="8"/>
  <c r="AI120" i="8"/>
  <c r="AK120" i="8"/>
  <c r="GO173" i="14"/>
  <c r="HC173" i="14"/>
  <c r="GP173" i="14"/>
  <c r="HD173" i="14"/>
  <c r="GQ173" i="14"/>
  <c r="HE173" i="14"/>
  <c r="GK173" i="14"/>
  <c r="GM173" i="14"/>
  <c r="GR173" i="14"/>
  <c r="HF173" i="14"/>
  <c r="GL173" i="14"/>
  <c r="GN173" i="14"/>
  <c r="GS173" i="14"/>
  <c r="HG173" i="14"/>
  <c r="GZ173" i="14"/>
  <c r="GT173" i="14"/>
  <c r="HH173" i="14"/>
  <c r="HA173" i="14"/>
  <c r="GU173" i="14"/>
  <c r="HI173" i="14"/>
  <c r="GJ173" i="14"/>
  <c r="HB173" i="14"/>
  <c r="GV173" i="14"/>
  <c r="HJ173" i="14"/>
  <c r="GW173" i="14"/>
  <c r="GI173" i="14"/>
  <c r="HK173" i="14" s="1" a="1"/>
  <c r="HK173" i="14" s="1"/>
  <c r="GX173" i="14"/>
  <c r="GY173" i="14"/>
  <c r="AI114" i="8"/>
  <c r="AJ114" i="8"/>
  <c r="AK114" i="8"/>
  <c r="AO114" i="8"/>
  <c r="AL114" i="8"/>
  <c r="AM114" i="8"/>
  <c r="AN114" i="8"/>
  <c r="AA114" i="8"/>
  <c r="AB114" i="8"/>
  <c r="AP114" i="8"/>
  <c r="AG114" i="8"/>
  <c r="AH114" i="8"/>
  <c r="AR114" i="8"/>
  <c r="AE114" i="8"/>
  <c r="AF114" i="8"/>
  <c r="AQ114" i="8"/>
  <c r="AS114" i="8"/>
  <c r="AC114" i="8"/>
  <c r="Z114" i="8"/>
  <c r="AT114" i="8" s="1" a="1"/>
  <c r="AT114" i="8" s="1"/>
  <c r="CA3" i="11" s="1"/>
  <c r="CB3" i="11" s="1"/>
  <c r="AD114" i="8"/>
  <c r="GO198" i="14"/>
  <c r="HC198" i="14"/>
  <c r="GP198" i="14"/>
  <c r="HD198" i="14"/>
  <c r="GQ198" i="14"/>
  <c r="HE198" i="14"/>
  <c r="GR198" i="14"/>
  <c r="HF198" i="14"/>
  <c r="GS198" i="14"/>
  <c r="HG198" i="14"/>
  <c r="GT198" i="14"/>
  <c r="HH198" i="14"/>
  <c r="GU198" i="14"/>
  <c r="HI198" i="14"/>
  <c r="GV198" i="14"/>
  <c r="HJ198" i="14"/>
  <c r="GI198" i="14"/>
  <c r="HK198" i="14" s="1" a="1"/>
  <c r="HK198" i="14" s="1"/>
  <c r="GW198" i="14"/>
  <c r="GJ198" i="14"/>
  <c r="GX198" i="14"/>
  <c r="GK198" i="14"/>
  <c r="GL198" i="14"/>
  <c r="GM198" i="14"/>
  <c r="GN198" i="14"/>
  <c r="GY198" i="14"/>
  <c r="GZ198" i="14"/>
  <c r="HA198" i="14"/>
  <c r="HB198" i="14"/>
  <c r="AJ139" i="8"/>
  <c r="AK139" i="8"/>
  <c r="AD139" i="8"/>
  <c r="AL139" i="8"/>
  <c r="AM139" i="8"/>
  <c r="AP139" i="8"/>
  <c r="Z139" i="8"/>
  <c r="AN139" i="8"/>
  <c r="AR139" i="8"/>
  <c r="AA139" i="8"/>
  <c r="AO139" i="8"/>
  <c r="AB139" i="8"/>
  <c r="AC139" i="8"/>
  <c r="AQ139" i="8"/>
  <c r="AE139" i="8"/>
  <c r="AS139" i="8"/>
  <c r="AG139" i="8"/>
  <c r="AH139" i="8"/>
  <c r="AF139" i="8"/>
  <c r="AI139" i="8"/>
  <c r="GO178" i="14"/>
  <c r="HC178" i="14"/>
  <c r="GP178" i="14"/>
  <c r="HD178" i="14"/>
  <c r="GQ178" i="14"/>
  <c r="HE178" i="14"/>
  <c r="GR178" i="14"/>
  <c r="HF178" i="14"/>
  <c r="GS178" i="14"/>
  <c r="HG178" i="14"/>
  <c r="GT178" i="14"/>
  <c r="HH178" i="14"/>
  <c r="GU178" i="14"/>
  <c r="HI178" i="14"/>
  <c r="GV178" i="14"/>
  <c r="HJ178" i="14"/>
  <c r="GI178" i="14"/>
  <c r="HK178" i="14" s="1" a="1"/>
  <c r="HK178" i="14" s="1"/>
  <c r="GW178" i="14"/>
  <c r="GJ178" i="14"/>
  <c r="GX178" i="14"/>
  <c r="HA178" i="14"/>
  <c r="HB178" i="14"/>
  <c r="GN178" i="14"/>
  <c r="GL178" i="14"/>
  <c r="GZ178" i="14"/>
  <c r="GY178" i="14"/>
  <c r="GK178" i="14"/>
  <c r="GM178" i="14"/>
  <c r="AD119" i="8"/>
  <c r="AR119" i="8"/>
  <c r="AE119" i="8"/>
  <c r="AS119" i="8"/>
  <c r="AF119" i="8"/>
  <c r="AG119" i="8"/>
  <c r="AH119" i="8"/>
  <c r="AI119" i="8"/>
  <c r="AJ119" i="8"/>
  <c r="AK119" i="8"/>
  <c r="AL119" i="8"/>
  <c r="AM119" i="8"/>
  <c r="AN119" i="8"/>
  <c r="AQ119" i="8"/>
  <c r="AP119" i="8"/>
  <c r="Z119" i="8"/>
  <c r="AA119" i="8"/>
  <c r="AC119" i="8"/>
  <c r="AB119" i="8"/>
  <c r="AO119" i="8"/>
  <c r="GO208" i="14"/>
  <c r="HC208" i="14"/>
  <c r="GP208" i="14"/>
  <c r="HD208" i="14"/>
  <c r="GQ208" i="14"/>
  <c r="HE208" i="14"/>
  <c r="GR208" i="14"/>
  <c r="HF208" i="14"/>
  <c r="GS208" i="14"/>
  <c r="HG208" i="14"/>
  <c r="GT208" i="14"/>
  <c r="HH208" i="14"/>
  <c r="GU208" i="14"/>
  <c r="HI208" i="14"/>
  <c r="GV208" i="14"/>
  <c r="HJ208" i="14"/>
  <c r="GI208" i="14"/>
  <c r="HK208" i="14" s="1" a="1"/>
  <c r="HK208" i="14" s="1"/>
  <c r="GW208" i="14"/>
  <c r="GJ208" i="14"/>
  <c r="GX208" i="14"/>
  <c r="GY208" i="14"/>
  <c r="GM208" i="14"/>
  <c r="GZ208" i="14"/>
  <c r="HA208" i="14"/>
  <c r="HB208" i="14"/>
  <c r="GN208" i="14"/>
  <c r="GL208" i="14"/>
  <c r="GK208" i="14"/>
  <c r="AF149" i="8"/>
  <c r="AG149" i="8"/>
  <c r="Z149" i="8"/>
  <c r="AH149" i="8"/>
  <c r="AI149" i="8"/>
  <c r="AJ149" i="8"/>
  <c r="AN149" i="8"/>
  <c r="AK149" i="8"/>
  <c r="AL149" i="8"/>
  <c r="AM149" i="8"/>
  <c r="AA149" i="8"/>
  <c r="AO149" i="8"/>
  <c r="AP149" i="8"/>
  <c r="AS149" i="8"/>
  <c r="AE149" i="8"/>
  <c r="AQ149" i="8"/>
  <c r="AR149" i="8"/>
  <c r="AC149" i="8"/>
  <c r="AB149" i="8"/>
  <c r="AD149" i="8"/>
  <c r="T107" i="6"/>
  <c r="GN222" i="14"/>
  <c r="HB222" i="14"/>
  <c r="GJ222" i="14"/>
  <c r="GL222" i="14"/>
  <c r="GO222" i="14"/>
  <c r="HC222" i="14"/>
  <c r="GP222" i="14"/>
  <c r="HD222" i="14"/>
  <c r="GQ222" i="14"/>
  <c r="HE222" i="14"/>
  <c r="GR222" i="14"/>
  <c r="GW222" i="14"/>
  <c r="HF222" i="14"/>
  <c r="HA222" i="14"/>
  <c r="GS222" i="14"/>
  <c r="HG222" i="14"/>
  <c r="GI222" i="14"/>
  <c r="HK222" i="14" s="1" a="1"/>
  <c r="HK222" i="14" s="1"/>
  <c r="GX222" i="14"/>
  <c r="GY222" i="14"/>
  <c r="GM222" i="14"/>
  <c r="GT222" i="14"/>
  <c r="HH222" i="14"/>
  <c r="GU222" i="14"/>
  <c r="HI222" i="14"/>
  <c r="GK222" i="14"/>
  <c r="GZ222" i="14"/>
  <c r="GV222" i="14"/>
  <c r="HJ222" i="14"/>
  <c r="AF163" i="8"/>
  <c r="AG163" i="8"/>
  <c r="AH163" i="8"/>
  <c r="AI163" i="8"/>
  <c r="AJ163" i="8"/>
  <c r="AL163" i="8"/>
  <c r="AK163" i="8"/>
  <c r="AM163" i="8"/>
  <c r="AP163" i="8"/>
  <c r="AQ163" i="8"/>
  <c r="AS163" i="8"/>
  <c r="AR163" i="8"/>
  <c r="AO163" i="8"/>
  <c r="AD163" i="8"/>
  <c r="AE163" i="8"/>
  <c r="Z163" i="8"/>
  <c r="AA163" i="8"/>
  <c r="AC163" i="8"/>
  <c r="AB163" i="8"/>
  <c r="AN163" i="8"/>
  <c r="GO207" i="14"/>
  <c r="HC207" i="14"/>
  <c r="GP207" i="14"/>
  <c r="HD207" i="14"/>
  <c r="GQ207" i="14"/>
  <c r="HE207" i="14"/>
  <c r="GR207" i="14"/>
  <c r="HF207" i="14"/>
  <c r="GS207" i="14"/>
  <c r="HG207" i="14"/>
  <c r="GT207" i="14"/>
  <c r="HH207" i="14"/>
  <c r="GU207" i="14"/>
  <c r="HI207" i="14"/>
  <c r="GV207" i="14"/>
  <c r="HJ207" i="14"/>
  <c r="GI207" i="14"/>
  <c r="HK207" i="14" s="1" a="1"/>
  <c r="HK207" i="14" s="1"/>
  <c r="GW207" i="14"/>
  <c r="GJ207" i="14"/>
  <c r="GX207" i="14"/>
  <c r="GK207" i="14"/>
  <c r="GL207" i="14"/>
  <c r="GM207" i="14"/>
  <c r="GN207" i="14"/>
  <c r="GY207" i="14"/>
  <c r="GZ207" i="14"/>
  <c r="HB207" i="14"/>
  <c r="HA207" i="14"/>
  <c r="AL148" i="8"/>
  <c r="AM148" i="8"/>
  <c r="Z148" i="8"/>
  <c r="AN148" i="8"/>
  <c r="AA148" i="8"/>
  <c r="AO148" i="8"/>
  <c r="AD148" i="8"/>
  <c r="AB148" i="8"/>
  <c r="AP148" i="8"/>
  <c r="AC148" i="8"/>
  <c r="AQ148" i="8"/>
  <c r="AR148" i="8"/>
  <c r="AF148" i="8"/>
  <c r="AE148" i="8"/>
  <c r="AS148" i="8"/>
  <c r="AG148" i="8"/>
  <c r="AH148" i="8"/>
  <c r="AI148" i="8"/>
  <c r="AK148" i="8"/>
  <c r="AJ148" i="8"/>
  <c r="GN217" i="14"/>
  <c r="HB217" i="14"/>
  <c r="GO217" i="14"/>
  <c r="HC217" i="14"/>
  <c r="GW217" i="14"/>
  <c r="GY217" i="14"/>
  <c r="GL217" i="14"/>
  <c r="GM217" i="14"/>
  <c r="GP217" i="14"/>
  <c r="HD217" i="14"/>
  <c r="GX217" i="14"/>
  <c r="GQ217" i="14"/>
  <c r="HE217" i="14"/>
  <c r="GI217" i="14"/>
  <c r="HK217" i="14" s="1" a="1"/>
  <c r="HK217" i="14" s="1"/>
  <c r="GR217" i="14"/>
  <c r="HF217" i="14"/>
  <c r="GS217" i="14"/>
  <c r="HG217" i="14"/>
  <c r="GJ217" i="14"/>
  <c r="GT217" i="14"/>
  <c r="HH217" i="14"/>
  <c r="GK217" i="14"/>
  <c r="HA217" i="14"/>
  <c r="GU217" i="14"/>
  <c r="HI217" i="14"/>
  <c r="GZ217" i="14"/>
  <c r="GV217" i="14"/>
  <c r="HJ217" i="14"/>
  <c r="AH158" i="8"/>
  <c r="AI158" i="8"/>
  <c r="AJ158" i="8"/>
  <c r="Z158" i="8"/>
  <c r="AK158" i="8"/>
  <c r="AL158" i="8"/>
  <c r="AN158" i="8"/>
  <c r="AM158" i="8"/>
  <c r="AA158" i="8"/>
  <c r="AO158" i="8"/>
  <c r="AC158" i="8"/>
  <c r="AQ158" i="8"/>
  <c r="AE158" i="8"/>
  <c r="AG158" i="8"/>
  <c r="AF158" i="8"/>
  <c r="AP158" i="8"/>
  <c r="AR158" i="8"/>
  <c r="AS158" i="8"/>
  <c r="AB158" i="8"/>
  <c r="AD158" i="8"/>
  <c r="T62" i="6"/>
  <c r="GO177" i="14"/>
  <c r="HC177" i="14"/>
  <c r="GP177" i="14"/>
  <c r="HD177" i="14"/>
  <c r="GQ177" i="14"/>
  <c r="HE177" i="14"/>
  <c r="GR177" i="14"/>
  <c r="HF177" i="14"/>
  <c r="GS177" i="14"/>
  <c r="HG177" i="14"/>
  <c r="GT177" i="14"/>
  <c r="HH177" i="14"/>
  <c r="GU177" i="14"/>
  <c r="HI177" i="14"/>
  <c r="GV177" i="14"/>
  <c r="HJ177" i="14"/>
  <c r="GI177" i="14"/>
  <c r="HK177" i="14" s="1" a="1"/>
  <c r="HK177" i="14" s="1"/>
  <c r="GW177" i="14"/>
  <c r="GJ177" i="14"/>
  <c r="GX177" i="14"/>
  <c r="GK177" i="14"/>
  <c r="GL177" i="14"/>
  <c r="GM177" i="14"/>
  <c r="GN177" i="14"/>
  <c r="GY177" i="14"/>
  <c r="GZ177" i="14"/>
  <c r="HA177" i="14"/>
  <c r="HB177" i="14"/>
  <c r="AJ118" i="8"/>
  <c r="AK118" i="8"/>
  <c r="AL118" i="8"/>
  <c r="AM118" i="8"/>
  <c r="Z118" i="8"/>
  <c r="AN118" i="8"/>
  <c r="AA118" i="8"/>
  <c r="AO118" i="8"/>
  <c r="AB118" i="8"/>
  <c r="AP118" i="8"/>
  <c r="AC118" i="8"/>
  <c r="AQ118" i="8"/>
  <c r="AD118" i="8"/>
  <c r="AR118" i="8"/>
  <c r="AE118" i="8"/>
  <c r="AS118" i="8"/>
  <c r="AG118" i="8"/>
  <c r="AF118" i="8"/>
  <c r="AH118" i="8"/>
  <c r="AI118" i="8"/>
  <c r="T63" i="6"/>
  <c r="GN220" i="14"/>
  <c r="HB220" i="14"/>
  <c r="GM220" i="14"/>
  <c r="GO220" i="14"/>
  <c r="HC220" i="14"/>
  <c r="GX220" i="14"/>
  <c r="GP220" i="14"/>
  <c r="HD220" i="14"/>
  <c r="GK220" i="14"/>
  <c r="GQ220" i="14"/>
  <c r="HE220" i="14"/>
  <c r="GR220" i="14"/>
  <c r="HF220" i="14"/>
  <c r="GW220" i="14"/>
  <c r="GS220" i="14"/>
  <c r="HG220" i="14"/>
  <c r="GZ220" i="14"/>
  <c r="GT220" i="14"/>
  <c r="HH220" i="14"/>
  <c r="GJ220" i="14"/>
  <c r="GY220" i="14"/>
  <c r="GL220" i="14"/>
  <c r="GU220" i="14"/>
  <c r="HI220" i="14"/>
  <c r="HA220" i="14"/>
  <c r="GV220" i="14"/>
  <c r="HJ220" i="14"/>
  <c r="GI220" i="14"/>
  <c r="HK220" i="14" s="1" a="1"/>
  <c r="HK220" i="14" s="1"/>
  <c r="AD161" i="8"/>
  <c r="AR161" i="8"/>
  <c r="AS161" i="8"/>
  <c r="AJ161" i="8"/>
  <c r="AE161" i="8"/>
  <c r="AF161" i="8"/>
  <c r="AG161" i="8"/>
  <c r="AH161" i="8"/>
  <c r="AI161" i="8"/>
  <c r="AK161" i="8"/>
  <c r="AM161" i="8"/>
  <c r="AP161" i="8"/>
  <c r="AQ161" i="8"/>
  <c r="AO161" i="8"/>
  <c r="Z161" i="8"/>
  <c r="AA161" i="8"/>
  <c r="AB161" i="8"/>
  <c r="AC161" i="8"/>
  <c r="AN161" i="8"/>
  <c r="AL161" i="8"/>
  <c r="GO199" i="14"/>
  <c r="HC199" i="14"/>
  <c r="GP199" i="14"/>
  <c r="HD199" i="14"/>
  <c r="GQ199" i="14"/>
  <c r="HE199" i="14"/>
  <c r="GR199" i="14"/>
  <c r="HF199" i="14"/>
  <c r="GS199" i="14"/>
  <c r="HG199" i="14"/>
  <c r="GT199" i="14"/>
  <c r="HH199" i="14"/>
  <c r="GU199" i="14"/>
  <c r="HI199" i="14"/>
  <c r="GV199" i="14"/>
  <c r="HJ199" i="14"/>
  <c r="GI199" i="14"/>
  <c r="HK199" i="14" s="1" a="1"/>
  <c r="HK199" i="14" s="1"/>
  <c r="GW199" i="14"/>
  <c r="GJ199" i="14"/>
  <c r="GX199" i="14"/>
  <c r="HA199" i="14"/>
  <c r="HB199" i="14"/>
  <c r="GL199" i="14"/>
  <c r="GZ199" i="14"/>
  <c r="GK199" i="14"/>
  <c r="GY199" i="14"/>
  <c r="GM199" i="14"/>
  <c r="GN199" i="14"/>
  <c r="AD140" i="8"/>
  <c r="AR140" i="8"/>
  <c r="AE140" i="8"/>
  <c r="AS140" i="8"/>
  <c r="AF140" i="8"/>
  <c r="AG140" i="8"/>
  <c r="AJ140" i="8"/>
  <c r="AH140" i="8"/>
  <c r="AI140" i="8"/>
  <c r="AK140" i="8"/>
  <c r="AL140" i="8"/>
  <c r="AM140" i="8"/>
  <c r="Z140" i="8"/>
  <c r="AA140" i="8"/>
  <c r="AB140" i="8"/>
  <c r="AC140" i="8"/>
  <c r="AN140" i="8"/>
  <c r="AO140" i="8"/>
  <c r="AP140" i="8"/>
  <c r="AQ140" i="8"/>
  <c r="T106" i="6"/>
  <c r="GN221" i="14"/>
  <c r="HB221" i="14"/>
  <c r="GI221" i="14"/>
  <c r="HK221" i="14" s="1" a="1"/>
  <c r="HK221" i="14" s="1"/>
  <c r="GK221" i="14"/>
  <c r="GO221" i="14"/>
  <c r="HC221" i="14"/>
  <c r="GZ221" i="14"/>
  <c r="GP221" i="14"/>
  <c r="HD221" i="14"/>
  <c r="GQ221" i="14"/>
  <c r="HE221" i="14"/>
  <c r="GJ221" i="14"/>
  <c r="GR221" i="14"/>
  <c r="HF221" i="14"/>
  <c r="GL221" i="14"/>
  <c r="GS221" i="14"/>
  <c r="HG221" i="14"/>
  <c r="GT221" i="14"/>
  <c r="HH221" i="14"/>
  <c r="GW221" i="14"/>
  <c r="HA221" i="14"/>
  <c r="GU221" i="14"/>
  <c r="HI221" i="14"/>
  <c r="GV221" i="14"/>
  <c r="HJ221" i="14"/>
  <c r="GY221" i="14"/>
  <c r="GX221" i="14"/>
  <c r="GM221" i="14"/>
  <c r="AL162" i="8"/>
  <c r="Z162" i="8"/>
  <c r="AM162" i="8"/>
  <c r="AN162" i="8"/>
  <c r="AD162" i="8"/>
  <c r="AA162" i="8"/>
  <c r="AO162" i="8"/>
  <c r="AR162" i="8"/>
  <c r="AB162" i="8"/>
  <c r="AP162" i="8"/>
  <c r="AC162" i="8"/>
  <c r="AQ162" i="8"/>
  <c r="AE162" i="8"/>
  <c r="AS162" i="8"/>
  <c r="AF162" i="8"/>
  <c r="AG162" i="8"/>
  <c r="AH162" i="8"/>
  <c r="AK162" i="8"/>
  <c r="AI162" i="8"/>
  <c r="AJ162" i="8"/>
  <c r="GO194" i="14"/>
  <c r="HC194" i="14"/>
  <c r="GP194" i="14"/>
  <c r="HD194" i="14"/>
  <c r="GQ194" i="14"/>
  <c r="HE194" i="14"/>
  <c r="GR194" i="14"/>
  <c r="HF194" i="14"/>
  <c r="GS194" i="14"/>
  <c r="HG194" i="14"/>
  <c r="GT194" i="14"/>
  <c r="HH194" i="14"/>
  <c r="GU194" i="14"/>
  <c r="HI194" i="14"/>
  <c r="GV194" i="14"/>
  <c r="HJ194" i="14"/>
  <c r="GI194" i="14"/>
  <c r="HK194" i="14" s="1" a="1"/>
  <c r="HK194" i="14" s="1"/>
  <c r="GW194" i="14"/>
  <c r="GJ194" i="14"/>
  <c r="GX194" i="14"/>
  <c r="GY194" i="14"/>
  <c r="GZ194" i="14"/>
  <c r="GL194" i="14"/>
  <c r="HA194" i="14"/>
  <c r="GM194" i="14"/>
  <c r="HB194" i="14"/>
  <c r="GN194" i="14"/>
  <c r="GK194" i="14"/>
  <c r="AF135" i="8"/>
  <c r="AG135" i="8"/>
  <c r="AH135" i="8"/>
  <c r="AI135" i="8"/>
  <c r="AJ135" i="8"/>
  <c r="AK135" i="8"/>
  <c r="AL135" i="8"/>
  <c r="AM135" i="8"/>
  <c r="Z135" i="8"/>
  <c r="AN135" i="8"/>
  <c r="AA135" i="8"/>
  <c r="AO135" i="8"/>
  <c r="AB135" i="8"/>
  <c r="AD135" i="8"/>
  <c r="AE135" i="8"/>
  <c r="AC135" i="8"/>
  <c r="AP135" i="8"/>
  <c r="AQ135" i="8"/>
  <c r="AR135" i="8"/>
  <c r="AS135" i="8"/>
  <c r="GO205" i="14"/>
  <c r="HC205" i="14"/>
  <c r="GP205" i="14"/>
  <c r="HD205" i="14"/>
  <c r="GQ205" i="14"/>
  <c r="HE205" i="14"/>
  <c r="GR205" i="14"/>
  <c r="HF205" i="14"/>
  <c r="GS205" i="14"/>
  <c r="HG205" i="14"/>
  <c r="GT205" i="14"/>
  <c r="HH205" i="14"/>
  <c r="GU205" i="14"/>
  <c r="HI205" i="14"/>
  <c r="GV205" i="14"/>
  <c r="HJ205" i="14"/>
  <c r="GI205" i="14"/>
  <c r="HK205" i="14" s="1" a="1"/>
  <c r="HK205" i="14" s="1"/>
  <c r="GW205" i="14"/>
  <c r="GJ205" i="14"/>
  <c r="GX205" i="14"/>
  <c r="GK205" i="14"/>
  <c r="GL205" i="14"/>
  <c r="GM205" i="14"/>
  <c r="GN205" i="14"/>
  <c r="GY205" i="14"/>
  <c r="GZ205" i="14"/>
  <c r="HA205" i="14"/>
  <c r="HB205" i="14"/>
  <c r="AJ146" i="8"/>
  <c r="AD146" i="8"/>
  <c r="AK146" i="8"/>
  <c r="AL146" i="8"/>
  <c r="AM146" i="8"/>
  <c r="AB146" i="8"/>
  <c r="AR146" i="8"/>
  <c r="Z146" i="8"/>
  <c r="AN146" i="8"/>
  <c r="AA146" i="8"/>
  <c r="AO146" i="8"/>
  <c r="AP146" i="8"/>
  <c r="AC146" i="8"/>
  <c r="AQ146" i="8"/>
  <c r="AE146" i="8"/>
  <c r="AS146" i="8"/>
  <c r="AH146" i="8"/>
  <c r="AI146" i="8"/>
  <c r="AF146" i="8"/>
  <c r="AG146" i="8"/>
  <c r="T91" i="6"/>
  <c r="GN218" i="14"/>
  <c r="HB218" i="14"/>
  <c r="GO218" i="14"/>
  <c r="HC218" i="14"/>
  <c r="GP218" i="14"/>
  <c r="HD218" i="14"/>
  <c r="GZ218" i="14"/>
  <c r="GQ218" i="14"/>
  <c r="HE218" i="14"/>
  <c r="GY218" i="14"/>
  <c r="GM218" i="14"/>
  <c r="GR218" i="14"/>
  <c r="HF218" i="14"/>
  <c r="GJ218" i="14"/>
  <c r="GK218" i="14"/>
  <c r="GS218" i="14"/>
  <c r="HG218" i="14"/>
  <c r="GI218" i="14"/>
  <c r="HK218" i="14" s="1" a="1"/>
  <c r="HK218" i="14" s="1"/>
  <c r="GT218" i="14"/>
  <c r="HH218" i="14"/>
  <c r="GW218" i="14"/>
  <c r="GU218" i="14"/>
  <c r="HI218" i="14"/>
  <c r="GV218" i="14"/>
  <c r="HJ218" i="14"/>
  <c r="GX218" i="14"/>
  <c r="HA218" i="14"/>
  <c r="GL218" i="14"/>
  <c r="AB159" i="8"/>
  <c r="AP159" i="8"/>
  <c r="AC159" i="8"/>
  <c r="AQ159" i="8"/>
  <c r="AD159" i="8"/>
  <c r="AR159" i="8"/>
  <c r="AE159" i="8"/>
  <c r="AS159" i="8"/>
  <c r="AH159" i="8"/>
  <c r="AF159" i="8"/>
  <c r="AG159" i="8"/>
  <c r="AI159" i="8"/>
  <c r="AK159" i="8"/>
  <c r="AM159" i="8"/>
  <c r="AN159" i="8"/>
  <c r="AO159" i="8"/>
  <c r="Z159" i="8"/>
  <c r="AA159" i="8"/>
  <c r="AJ159" i="8"/>
  <c r="AL159" i="8"/>
  <c r="GO176" i="14"/>
  <c r="HC176" i="14"/>
  <c r="GP176" i="14"/>
  <c r="HD176" i="14"/>
  <c r="GQ176" i="14"/>
  <c r="HE176" i="14"/>
  <c r="GR176" i="14"/>
  <c r="HF176" i="14"/>
  <c r="GS176" i="14"/>
  <c r="HG176" i="14"/>
  <c r="GT176" i="14"/>
  <c r="HH176" i="14"/>
  <c r="GU176" i="14"/>
  <c r="HI176" i="14"/>
  <c r="GV176" i="14"/>
  <c r="HJ176" i="14"/>
  <c r="GI176" i="14"/>
  <c r="HK176" i="14" s="1" a="1"/>
  <c r="HK176" i="14" s="1"/>
  <c r="GW176" i="14"/>
  <c r="GJ176" i="14"/>
  <c r="GX176" i="14"/>
  <c r="GZ176" i="14"/>
  <c r="HB176" i="14"/>
  <c r="GK176" i="14"/>
  <c r="GN176" i="14"/>
  <c r="HA176" i="14"/>
  <c r="GL176" i="14"/>
  <c r="GM176" i="14"/>
  <c r="GY176" i="14"/>
  <c r="AB117" i="8"/>
  <c r="AP117" i="8"/>
  <c r="AC117" i="8"/>
  <c r="AQ117" i="8"/>
  <c r="AD117" i="8"/>
  <c r="AR117" i="8"/>
  <c r="AE117" i="8"/>
  <c r="AS117" i="8"/>
  <c r="AF117" i="8"/>
  <c r="AG117" i="8"/>
  <c r="AH117" i="8"/>
  <c r="AI117" i="8"/>
  <c r="AJ117" i="8"/>
  <c r="AK117" i="8"/>
  <c r="AN117" i="8"/>
  <c r="AO117" i="8"/>
  <c r="AA117" i="8"/>
  <c r="AL117" i="8"/>
  <c r="AM117" i="8"/>
  <c r="Z117" i="8"/>
  <c r="T78" i="6"/>
  <c r="GO193" i="14"/>
  <c r="HC193" i="14"/>
  <c r="GP193" i="14"/>
  <c r="HD193" i="14"/>
  <c r="GQ193" i="14"/>
  <c r="HE193" i="14"/>
  <c r="GR193" i="14"/>
  <c r="HF193" i="14"/>
  <c r="GS193" i="14"/>
  <c r="HG193" i="14"/>
  <c r="GT193" i="14"/>
  <c r="HH193" i="14"/>
  <c r="GU193" i="14"/>
  <c r="HI193" i="14"/>
  <c r="GV193" i="14"/>
  <c r="HJ193" i="14"/>
  <c r="GI193" i="14"/>
  <c r="HK193" i="14" s="1" a="1"/>
  <c r="HK193" i="14" s="1"/>
  <c r="GW193" i="14"/>
  <c r="GJ193" i="14"/>
  <c r="GX193" i="14"/>
  <c r="GK193" i="14"/>
  <c r="GL193" i="14"/>
  <c r="GM193" i="14"/>
  <c r="GN193" i="14"/>
  <c r="GY193" i="14"/>
  <c r="HB193" i="14"/>
  <c r="GZ193" i="14"/>
  <c r="HA193" i="14"/>
  <c r="AL134" i="8"/>
  <c r="AM134" i="8"/>
  <c r="Z134" i="8"/>
  <c r="AN134" i="8"/>
  <c r="AA134" i="8"/>
  <c r="AO134" i="8"/>
  <c r="AB134" i="8"/>
  <c r="AP134" i="8"/>
  <c r="AF134" i="8"/>
  <c r="AC134" i="8"/>
  <c r="AQ134" i="8"/>
  <c r="AD134" i="8"/>
  <c r="AR134" i="8"/>
  <c r="AE134" i="8"/>
  <c r="AS134" i="8"/>
  <c r="AG134" i="8"/>
  <c r="AK134" i="8"/>
  <c r="AH134" i="8"/>
  <c r="AI134" i="8"/>
  <c r="AJ134" i="8"/>
  <c r="GO183" i="14"/>
  <c r="HC183" i="14"/>
  <c r="GP183" i="14"/>
  <c r="HD183" i="14"/>
  <c r="GQ183" i="14"/>
  <c r="HE183" i="14"/>
  <c r="GR183" i="14"/>
  <c r="HF183" i="14"/>
  <c r="GS183" i="14"/>
  <c r="HG183" i="14"/>
  <c r="GT183" i="14"/>
  <c r="HH183" i="14"/>
  <c r="GU183" i="14"/>
  <c r="HI183" i="14"/>
  <c r="GV183" i="14"/>
  <c r="HJ183" i="14"/>
  <c r="GI183" i="14"/>
  <c r="HK183" i="14" s="1" a="1"/>
  <c r="HK183" i="14" s="1"/>
  <c r="GW183" i="14"/>
  <c r="GJ183" i="14"/>
  <c r="GX183" i="14"/>
  <c r="HB183" i="14"/>
  <c r="GZ183" i="14"/>
  <c r="HA183" i="14"/>
  <c r="GK183" i="14"/>
  <c r="GL183" i="14"/>
  <c r="GN183" i="14"/>
  <c r="GM183" i="14"/>
  <c r="GY183" i="14"/>
  <c r="AB124" i="8"/>
  <c r="AP124" i="8"/>
  <c r="AC124" i="8"/>
  <c r="AQ124" i="8"/>
  <c r="AD124" i="8"/>
  <c r="AR124" i="8"/>
  <c r="AE124" i="8"/>
  <c r="AS124" i="8"/>
  <c r="AF124" i="8"/>
  <c r="AG124" i="8"/>
  <c r="AH124" i="8"/>
  <c r="AI124" i="8"/>
  <c r="AJ124" i="8"/>
  <c r="AK124" i="8"/>
  <c r="AN124" i="8"/>
  <c r="AO124" i="8"/>
  <c r="AL124" i="8"/>
  <c r="AA124" i="8"/>
  <c r="AM124" i="8"/>
  <c r="Z124" i="8"/>
  <c r="I247" i="6"/>
  <c r="Q247" i="6"/>
  <c r="Y247" i="6"/>
  <c r="AG247" i="6"/>
  <c r="J247" i="6"/>
  <c r="R247" i="6"/>
  <c r="Z247" i="6"/>
  <c r="AH247" i="6"/>
  <c r="K247" i="6"/>
  <c r="S247" i="6"/>
  <c r="AA247" i="6"/>
  <c r="AI247" i="6"/>
  <c r="L247" i="6"/>
  <c r="T247" i="6"/>
  <c r="AB247" i="6"/>
  <c r="AJ247" i="6"/>
  <c r="M247" i="6"/>
  <c r="U247" i="6"/>
  <c r="AC247" i="6"/>
  <c r="O247" i="6"/>
  <c r="W247" i="6"/>
  <c r="AE247" i="6"/>
  <c r="N247" i="6"/>
  <c r="P247" i="6"/>
  <c r="V247" i="6"/>
  <c r="X247" i="6"/>
  <c r="AF247" i="6"/>
  <c r="AD247" i="6"/>
  <c r="O251" i="6"/>
  <c r="W251" i="6"/>
  <c r="AE251" i="6"/>
  <c r="P251" i="6"/>
  <c r="X251" i="6"/>
  <c r="AF251" i="6"/>
  <c r="I251" i="6"/>
  <c r="Q251" i="6"/>
  <c r="Y251" i="6"/>
  <c r="AG251" i="6"/>
  <c r="J251" i="6"/>
  <c r="R251" i="6"/>
  <c r="Z251" i="6"/>
  <c r="AH251" i="6"/>
  <c r="K251" i="6"/>
  <c r="S251" i="6"/>
  <c r="AA251" i="6"/>
  <c r="AI251" i="6"/>
  <c r="L251" i="6"/>
  <c r="T251" i="6"/>
  <c r="AB251" i="6"/>
  <c r="AJ251" i="6"/>
  <c r="U251" i="6"/>
  <c r="V251" i="6"/>
  <c r="AC251" i="6"/>
  <c r="AD251" i="6"/>
  <c r="M251" i="6"/>
  <c r="N251" i="6"/>
  <c r="I243" i="6"/>
  <c r="Q243" i="6"/>
  <c r="Y243" i="6"/>
  <c r="AG243" i="6"/>
  <c r="J243" i="6"/>
  <c r="R243" i="6"/>
  <c r="Z243" i="6"/>
  <c r="AH243" i="6"/>
  <c r="K243" i="6"/>
  <c r="S243" i="6"/>
  <c r="AA243" i="6"/>
  <c r="AI243" i="6"/>
  <c r="L243" i="6"/>
  <c r="T243" i="6"/>
  <c r="AB243" i="6"/>
  <c r="AJ243" i="6"/>
  <c r="M243" i="6"/>
  <c r="U243" i="6"/>
  <c r="AC243" i="6"/>
  <c r="O243" i="6"/>
  <c r="W243" i="6"/>
  <c r="AE243" i="6"/>
  <c r="V243" i="6"/>
  <c r="X243" i="6"/>
  <c r="AD243" i="6"/>
  <c r="AF243" i="6"/>
  <c r="P243" i="6"/>
  <c r="N243" i="6"/>
  <c r="L266" i="6"/>
  <c r="T266" i="6"/>
  <c r="M266" i="6"/>
  <c r="U266" i="6"/>
  <c r="AC266" i="6"/>
  <c r="N266" i="6"/>
  <c r="V266" i="6"/>
  <c r="AD266" i="6"/>
  <c r="O266" i="6"/>
  <c r="W266" i="6"/>
  <c r="P266" i="6"/>
  <c r="X266" i="6"/>
  <c r="AF266" i="6"/>
  <c r="I266" i="6"/>
  <c r="AA266" i="6"/>
  <c r="J266" i="6"/>
  <c r="AB266" i="6"/>
  <c r="Q266" i="6"/>
  <c r="K266" i="6"/>
  <c r="AE266" i="6"/>
  <c r="AG266" i="6"/>
  <c r="R266" i="6"/>
  <c r="AH266" i="6"/>
  <c r="Y266" i="6"/>
  <c r="Z266" i="6"/>
  <c r="S266" i="6"/>
  <c r="AI266" i="6"/>
  <c r="AJ266" i="6"/>
  <c r="M240" i="6"/>
  <c r="U240" i="6"/>
  <c r="AC240" i="6"/>
  <c r="N240" i="6"/>
  <c r="V240" i="6"/>
  <c r="AD240" i="6"/>
  <c r="O240" i="6"/>
  <c r="W240" i="6"/>
  <c r="AE240" i="6"/>
  <c r="P240" i="6"/>
  <c r="X240" i="6"/>
  <c r="AF240" i="6"/>
  <c r="I240" i="6"/>
  <c r="Q240" i="6"/>
  <c r="Y240" i="6"/>
  <c r="AG240" i="6"/>
  <c r="K240" i="6"/>
  <c r="S240" i="6"/>
  <c r="AA240" i="6"/>
  <c r="AI240" i="6"/>
  <c r="J240" i="6"/>
  <c r="L240" i="6"/>
  <c r="R240" i="6"/>
  <c r="T240" i="6"/>
  <c r="Z240" i="6"/>
  <c r="AB240" i="6"/>
  <c r="AH240" i="6"/>
  <c r="AJ240" i="6"/>
  <c r="N273" i="6"/>
  <c r="V273" i="6"/>
  <c r="AD273" i="6"/>
  <c r="I273" i="6"/>
  <c r="Y273" i="6"/>
  <c r="O273" i="6"/>
  <c r="W273" i="6"/>
  <c r="AE273" i="6"/>
  <c r="AG273" i="6"/>
  <c r="AC273" i="6"/>
  <c r="P273" i="6"/>
  <c r="X273" i="6"/>
  <c r="AF273" i="6"/>
  <c r="Q273" i="6"/>
  <c r="U273" i="6"/>
  <c r="J273" i="6"/>
  <c r="R273" i="6"/>
  <c r="Z273" i="6"/>
  <c r="AH273" i="6"/>
  <c r="L273" i="6"/>
  <c r="AB273" i="6"/>
  <c r="M273" i="6"/>
  <c r="K273" i="6"/>
  <c r="S273" i="6"/>
  <c r="AA273" i="6"/>
  <c r="AI273" i="6"/>
  <c r="T273" i="6"/>
  <c r="AJ273" i="6"/>
  <c r="I231" i="6"/>
  <c r="Q231" i="6"/>
  <c r="Y231" i="6"/>
  <c r="AG231" i="6"/>
  <c r="J231" i="6"/>
  <c r="R231" i="6"/>
  <c r="Z231" i="6"/>
  <c r="AH231" i="6"/>
  <c r="K231" i="6"/>
  <c r="S231" i="6"/>
  <c r="AA231" i="6"/>
  <c r="AI231" i="6"/>
  <c r="L231" i="6"/>
  <c r="T231" i="6"/>
  <c r="AB231" i="6"/>
  <c r="AJ231" i="6"/>
  <c r="M231" i="6"/>
  <c r="U231" i="6"/>
  <c r="AC231" i="6"/>
  <c r="O231" i="6"/>
  <c r="W231" i="6"/>
  <c r="AE231" i="6"/>
  <c r="N231" i="6"/>
  <c r="P231" i="6"/>
  <c r="V231" i="6"/>
  <c r="X231" i="6"/>
  <c r="AD231" i="6"/>
  <c r="AF231" i="6"/>
  <c r="P261" i="6"/>
  <c r="X261" i="6"/>
  <c r="AF261" i="6"/>
  <c r="I261" i="6"/>
  <c r="Q261" i="6"/>
  <c r="Y261" i="6"/>
  <c r="AG261" i="6"/>
  <c r="J261" i="6"/>
  <c r="R261" i="6"/>
  <c r="Z261" i="6"/>
  <c r="AH261" i="6"/>
  <c r="K261" i="6"/>
  <c r="S261" i="6"/>
  <c r="AA261" i="6"/>
  <c r="AI261" i="6"/>
  <c r="L261" i="6"/>
  <c r="T261" i="6"/>
  <c r="AB261" i="6"/>
  <c r="AJ261" i="6"/>
  <c r="U261" i="6"/>
  <c r="V261" i="6"/>
  <c r="AC261" i="6"/>
  <c r="W261" i="6"/>
  <c r="AD261" i="6"/>
  <c r="O261" i="6"/>
  <c r="M261" i="6"/>
  <c r="AE261" i="6"/>
  <c r="N261" i="6"/>
  <c r="M244" i="6"/>
  <c r="U244" i="6"/>
  <c r="AC244" i="6"/>
  <c r="N244" i="6"/>
  <c r="V244" i="6"/>
  <c r="AD244" i="6"/>
  <c r="O244" i="6"/>
  <c r="W244" i="6"/>
  <c r="AE244" i="6"/>
  <c r="P244" i="6"/>
  <c r="X244" i="6"/>
  <c r="AF244" i="6"/>
  <c r="I244" i="6"/>
  <c r="Q244" i="6"/>
  <c r="Y244" i="6"/>
  <c r="AG244" i="6"/>
  <c r="K244" i="6"/>
  <c r="S244" i="6"/>
  <c r="AA244" i="6"/>
  <c r="AI244" i="6"/>
  <c r="Z244" i="6"/>
  <c r="AB244" i="6"/>
  <c r="AH244" i="6"/>
  <c r="AJ244" i="6"/>
  <c r="J244" i="6"/>
  <c r="L244" i="6"/>
  <c r="R244" i="6"/>
  <c r="T244" i="6"/>
  <c r="I235" i="6"/>
  <c r="Q235" i="6"/>
  <c r="Y235" i="6"/>
  <c r="AG235" i="6"/>
  <c r="J235" i="6"/>
  <c r="R235" i="6"/>
  <c r="Z235" i="6"/>
  <c r="AH235" i="6"/>
  <c r="K235" i="6"/>
  <c r="S235" i="6"/>
  <c r="AA235" i="6"/>
  <c r="AI235" i="6"/>
  <c r="L235" i="6"/>
  <c r="T235" i="6"/>
  <c r="AB235" i="6"/>
  <c r="AJ235" i="6"/>
  <c r="M235" i="6"/>
  <c r="U235" i="6"/>
  <c r="AC235" i="6"/>
  <c r="O235" i="6"/>
  <c r="W235" i="6"/>
  <c r="AE235" i="6"/>
  <c r="V235" i="6"/>
  <c r="X235" i="6"/>
  <c r="AD235" i="6"/>
  <c r="AF235" i="6"/>
  <c r="N235" i="6"/>
  <c r="P235" i="6"/>
  <c r="K260" i="6"/>
  <c r="S260" i="6"/>
  <c r="AA260" i="6"/>
  <c r="L260" i="6"/>
  <c r="T260" i="6"/>
  <c r="AB260" i="6"/>
  <c r="AJ260" i="6"/>
  <c r="M260" i="6"/>
  <c r="U260" i="6"/>
  <c r="AC260" i="6"/>
  <c r="N260" i="6"/>
  <c r="V260" i="6"/>
  <c r="AD260" i="6"/>
  <c r="O260" i="6"/>
  <c r="W260" i="6"/>
  <c r="AE260" i="6"/>
  <c r="P260" i="6"/>
  <c r="X260" i="6"/>
  <c r="AF260" i="6"/>
  <c r="Y260" i="6"/>
  <c r="Z260" i="6"/>
  <c r="R260" i="6"/>
  <c r="AG260" i="6"/>
  <c r="AH260" i="6"/>
  <c r="I260" i="6"/>
  <c r="AI260" i="6"/>
  <c r="Q260" i="6"/>
  <c r="J260" i="6"/>
  <c r="M226" i="6"/>
  <c r="U226" i="6"/>
  <c r="AC226" i="6"/>
  <c r="N226" i="6"/>
  <c r="V226" i="6"/>
  <c r="AD226" i="6"/>
  <c r="O226" i="6"/>
  <c r="W226" i="6"/>
  <c r="AE226" i="6"/>
  <c r="P226" i="6"/>
  <c r="X226" i="6"/>
  <c r="AF226" i="6"/>
  <c r="I226" i="6"/>
  <c r="Q226" i="6"/>
  <c r="Y226" i="6"/>
  <c r="AG226" i="6"/>
  <c r="K226" i="6"/>
  <c r="S226" i="6"/>
  <c r="AA226" i="6"/>
  <c r="AI226" i="6"/>
  <c r="R226" i="6"/>
  <c r="T226" i="6"/>
  <c r="Z226" i="6"/>
  <c r="AB226" i="6"/>
  <c r="AH226" i="6"/>
  <c r="AJ226" i="6"/>
  <c r="J226" i="6"/>
  <c r="L226" i="6"/>
  <c r="M248" i="6"/>
  <c r="U248" i="6"/>
  <c r="AC248" i="6"/>
  <c r="N248" i="6"/>
  <c r="V248" i="6"/>
  <c r="AD248" i="6"/>
  <c r="O248" i="6"/>
  <c r="W248" i="6"/>
  <c r="AE248" i="6"/>
  <c r="P248" i="6"/>
  <c r="X248" i="6"/>
  <c r="AF248" i="6"/>
  <c r="I248" i="6"/>
  <c r="Q248" i="6"/>
  <c r="Y248" i="6"/>
  <c r="AG248" i="6"/>
  <c r="K248" i="6"/>
  <c r="S248" i="6"/>
  <c r="AA248" i="6"/>
  <c r="AI248" i="6"/>
  <c r="J248" i="6"/>
  <c r="L248" i="6"/>
  <c r="R248" i="6"/>
  <c r="T248" i="6"/>
  <c r="Z248" i="6"/>
  <c r="AB248" i="6"/>
  <c r="AH248" i="6"/>
  <c r="AJ248" i="6"/>
  <c r="O257" i="6"/>
  <c r="W257" i="6"/>
  <c r="AE257" i="6"/>
  <c r="P257" i="6"/>
  <c r="X257" i="6"/>
  <c r="AF257" i="6"/>
  <c r="I257" i="6"/>
  <c r="Q257" i="6"/>
  <c r="Y257" i="6"/>
  <c r="AG257" i="6"/>
  <c r="J257" i="6"/>
  <c r="R257" i="6"/>
  <c r="Z257" i="6"/>
  <c r="AH257" i="6"/>
  <c r="K257" i="6"/>
  <c r="S257" i="6"/>
  <c r="AA257" i="6"/>
  <c r="AI257" i="6"/>
  <c r="L257" i="6"/>
  <c r="T257" i="6"/>
  <c r="AB257" i="6"/>
  <c r="AJ257" i="6"/>
  <c r="M257" i="6"/>
  <c r="N257" i="6"/>
  <c r="V257" i="6"/>
  <c r="U257" i="6"/>
  <c r="AC257" i="6"/>
  <c r="AD257" i="6"/>
  <c r="K250" i="6"/>
  <c r="S250" i="6"/>
  <c r="AA250" i="6"/>
  <c r="AI250" i="6"/>
  <c r="L250" i="6"/>
  <c r="T250" i="6"/>
  <c r="AB250" i="6"/>
  <c r="AJ250" i="6"/>
  <c r="M250" i="6"/>
  <c r="U250" i="6"/>
  <c r="AC250" i="6"/>
  <c r="N250" i="6"/>
  <c r="V250" i="6"/>
  <c r="AD250" i="6"/>
  <c r="O250" i="6"/>
  <c r="W250" i="6"/>
  <c r="AE250" i="6"/>
  <c r="P250" i="6"/>
  <c r="X250" i="6"/>
  <c r="AF250" i="6"/>
  <c r="Q250" i="6"/>
  <c r="R250" i="6"/>
  <c r="Z250" i="6"/>
  <c r="Y250" i="6"/>
  <c r="AG250" i="6"/>
  <c r="AH250" i="6"/>
  <c r="I250" i="6"/>
  <c r="J250" i="6"/>
  <c r="J270" i="6"/>
  <c r="R270" i="6"/>
  <c r="Z270" i="6"/>
  <c r="AH270" i="6"/>
  <c r="M270" i="6"/>
  <c r="Y270" i="6"/>
  <c r="K270" i="6"/>
  <c r="S270" i="6"/>
  <c r="AA270" i="6"/>
  <c r="AI270" i="6"/>
  <c r="U270" i="6"/>
  <c r="I270" i="6"/>
  <c r="L270" i="6"/>
  <c r="T270" i="6"/>
  <c r="AB270" i="6"/>
  <c r="AJ270" i="6"/>
  <c r="AC270" i="6"/>
  <c r="Q270" i="6"/>
  <c r="N270" i="6"/>
  <c r="V270" i="6"/>
  <c r="AD270" i="6"/>
  <c r="P270" i="6"/>
  <c r="AF270" i="6"/>
  <c r="AG270" i="6"/>
  <c r="O270" i="6"/>
  <c r="W270" i="6"/>
  <c r="AE270" i="6"/>
  <c r="X270" i="6"/>
  <c r="O253" i="6"/>
  <c r="W253" i="6"/>
  <c r="AE253" i="6"/>
  <c r="P253" i="6"/>
  <c r="X253" i="6"/>
  <c r="AF253" i="6"/>
  <c r="I253" i="6"/>
  <c r="Q253" i="6"/>
  <c r="Y253" i="6"/>
  <c r="AG253" i="6"/>
  <c r="J253" i="6"/>
  <c r="R253" i="6"/>
  <c r="Z253" i="6"/>
  <c r="AH253" i="6"/>
  <c r="K253" i="6"/>
  <c r="S253" i="6"/>
  <c r="AA253" i="6"/>
  <c r="AI253" i="6"/>
  <c r="L253" i="6"/>
  <c r="T253" i="6"/>
  <c r="AB253" i="6"/>
  <c r="AJ253" i="6"/>
  <c r="AC253" i="6"/>
  <c r="AD253" i="6"/>
  <c r="M253" i="6"/>
  <c r="U253" i="6"/>
  <c r="N253" i="6"/>
  <c r="V253" i="6"/>
  <c r="M236" i="6"/>
  <c r="U236" i="6"/>
  <c r="AC236" i="6"/>
  <c r="N236" i="6"/>
  <c r="V236" i="6"/>
  <c r="AD236" i="6"/>
  <c r="O236" i="6"/>
  <c r="W236" i="6"/>
  <c r="AE236" i="6"/>
  <c r="P236" i="6"/>
  <c r="X236" i="6"/>
  <c r="AF236" i="6"/>
  <c r="I236" i="6"/>
  <c r="Q236" i="6"/>
  <c r="Y236" i="6"/>
  <c r="AG236" i="6"/>
  <c r="K236" i="6"/>
  <c r="S236" i="6"/>
  <c r="AA236" i="6"/>
  <c r="AI236" i="6"/>
  <c r="Z236" i="6"/>
  <c r="AB236" i="6"/>
  <c r="AH236" i="6"/>
  <c r="AJ236" i="6"/>
  <c r="J236" i="6"/>
  <c r="L236" i="6"/>
  <c r="T236" i="6"/>
  <c r="R236" i="6"/>
  <c r="I227" i="6"/>
  <c r="Q227" i="6"/>
  <c r="Y227" i="6"/>
  <c r="AG227" i="6"/>
  <c r="J227" i="6"/>
  <c r="R227" i="6"/>
  <c r="Z227" i="6"/>
  <c r="AH227" i="6"/>
  <c r="K227" i="6"/>
  <c r="S227" i="6"/>
  <c r="AA227" i="6"/>
  <c r="AI227" i="6"/>
  <c r="L227" i="6"/>
  <c r="T227" i="6"/>
  <c r="AB227" i="6"/>
  <c r="AJ227" i="6"/>
  <c r="M227" i="6"/>
  <c r="U227" i="6"/>
  <c r="AC227" i="6"/>
  <c r="O227" i="6"/>
  <c r="W227" i="6"/>
  <c r="AE227" i="6"/>
  <c r="V227" i="6"/>
  <c r="X227" i="6"/>
  <c r="AD227" i="6"/>
  <c r="AF227" i="6"/>
  <c r="P227" i="6"/>
  <c r="N227" i="6"/>
  <c r="I233" i="6"/>
  <c r="Q233" i="6"/>
  <c r="Y233" i="6"/>
  <c r="AG233" i="6"/>
  <c r="J233" i="6"/>
  <c r="R233" i="6"/>
  <c r="Z233" i="6"/>
  <c r="AH233" i="6"/>
  <c r="K233" i="6"/>
  <c r="S233" i="6"/>
  <c r="AA233" i="6"/>
  <c r="AI233" i="6"/>
  <c r="L233" i="6"/>
  <c r="T233" i="6"/>
  <c r="AB233" i="6"/>
  <c r="AJ233" i="6"/>
  <c r="M233" i="6"/>
  <c r="U233" i="6"/>
  <c r="AC233" i="6"/>
  <c r="O233" i="6"/>
  <c r="W233" i="6"/>
  <c r="AE233" i="6"/>
  <c r="N233" i="6"/>
  <c r="P233" i="6"/>
  <c r="V233" i="6"/>
  <c r="X233" i="6"/>
  <c r="AD233" i="6"/>
  <c r="AF233" i="6"/>
  <c r="I225" i="6"/>
  <c r="Q225" i="6"/>
  <c r="Y225" i="6"/>
  <c r="AG225" i="6"/>
  <c r="J225" i="6"/>
  <c r="R225" i="6"/>
  <c r="Z225" i="6"/>
  <c r="AH225" i="6"/>
  <c r="K225" i="6"/>
  <c r="S225" i="6"/>
  <c r="AA225" i="6"/>
  <c r="AI225" i="6"/>
  <c r="L225" i="6"/>
  <c r="T225" i="6"/>
  <c r="AB225" i="6"/>
  <c r="AJ225" i="6"/>
  <c r="M225" i="6"/>
  <c r="U225" i="6"/>
  <c r="AC225" i="6"/>
  <c r="O225" i="6"/>
  <c r="W225" i="6"/>
  <c r="AE225" i="6"/>
  <c r="N225" i="6"/>
  <c r="P225" i="6"/>
  <c r="V225" i="6"/>
  <c r="X225" i="6"/>
  <c r="AD225" i="6"/>
  <c r="AF225" i="6"/>
  <c r="M234" i="6"/>
  <c r="U234" i="6"/>
  <c r="AC234" i="6"/>
  <c r="N234" i="6"/>
  <c r="V234" i="6"/>
  <c r="AD234" i="6"/>
  <c r="O234" i="6"/>
  <c r="W234" i="6"/>
  <c r="AE234" i="6"/>
  <c r="P234" i="6"/>
  <c r="X234" i="6"/>
  <c r="AF234" i="6"/>
  <c r="I234" i="6"/>
  <c r="Q234" i="6"/>
  <c r="Y234" i="6"/>
  <c r="AG234" i="6"/>
  <c r="K234" i="6"/>
  <c r="S234" i="6"/>
  <c r="AA234" i="6"/>
  <c r="AI234" i="6"/>
  <c r="R234" i="6"/>
  <c r="T234" i="6"/>
  <c r="Z234" i="6"/>
  <c r="AB234" i="6"/>
  <c r="AH234" i="6"/>
  <c r="AJ234" i="6"/>
  <c r="L234" i="6"/>
  <c r="J234" i="6"/>
  <c r="M232" i="6"/>
  <c r="U232" i="6"/>
  <c r="AC232" i="6"/>
  <c r="N232" i="6"/>
  <c r="V232" i="6"/>
  <c r="AD232" i="6"/>
  <c r="O232" i="6"/>
  <c r="W232" i="6"/>
  <c r="AE232" i="6"/>
  <c r="P232" i="6"/>
  <c r="X232" i="6"/>
  <c r="AF232" i="6"/>
  <c r="I232" i="6"/>
  <c r="Q232" i="6"/>
  <c r="Y232" i="6"/>
  <c r="AG232" i="6"/>
  <c r="K232" i="6"/>
  <c r="S232" i="6"/>
  <c r="AA232" i="6"/>
  <c r="AI232" i="6"/>
  <c r="J232" i="6"/>
  <c r="L232" i="6"/>
  <c r="R232" i="6"/>
  <c r="T232" i="6"/>
  <c r="Z232" i="6"/>
  <c r="AB232" i="6"/>
  <c r="AH232" i="6"/>
  <c r="AJ232" i="6"/>
  <c r="L262" i="6"/>
  <c r="T262" i="6"/>
  <c r="AB262" i="6"/>
  <c r="AJ262" i="6"/>
  <c r="M262" i="6"/>
  <c r="U262" i="6"/>
  <c r="AC262" i="6"/>
  <c r="N262" i="6"/>
  <c r="V262" i="6"/>
  <c r="AD262" i="6"/>
  <c r="O262" i="6"/>
  <c r="W262" i="6"/>
  <c r="AE262" i="6"/>
  <c r="P262" i="6"/>
  <c r="X262" i="6"/>
  <c r="AF262" i="6"/>
  <c r="K262" i="6"/>
  <c r="AH262" i="6"/>
  <c r="Q262" i="6"/>
  <c r="AI262" i="6"/>
  <c r="R262" i="6"/>
  <c r="S262" i="6"/>
  <c r="J262" i="6"/>
  <c r="Y262" i="6"/>
  <c r="I262" i="6"/>
  <c r="AG262" i="6"/>
  <c r="Z262" i="6"/>
  <c r="AA262" i="6"/>
  <c r="I245" i="6"/>
  <c r="Q245" i="6"/>
  <c r="Y245" i="6"/>
  <c r="AG245" i="6"/>
  <c r="J245" i="6"/>
  <c r="R245" i="6"/>
  <c r="Z245" i="6"/>
  <c r="AH245" i="6"/>
  <c r="K245" i="6"/>
  <c r="S245" i="6"/>
  <c r="AA245" i="6"/>
  <c r="AI245" i="6"/>
  <c r="L245" i="6"/>
  <c r="T245" i="6"/>
  <c r="AB245" i="6"/>
  <c r="AJ245" i="6"/>
  <c r="M245" i="6"/>
  <c r="U245" i="6"/>
  <c r="AC245" i="6"/>
  <c r="O245" i="6"/>
  <c r="W245" i="6"/>
  <c r="AE245" i="6"/>
  <c r="AD245" i="6"/>
  <c r="AF245" i="6"/>
  <c r="N245" i="6"/>
  <c r="P245" i="6"/>
  <c r="X245" i="6"/>
  <c r="V245" i="6"/>
  <c r="M228" i="6"/>
  <c r="U228" i="6"/>
  <c r="AC228" i="6"/>
  <c r="N228" i="6"/>
  <c r="V228" i="6"/>
  <c r="AD228" i="6"/>
  <c r="O228" i="6"/>
  <c r="W228" i="6"/>
  <c r="AE228" i="6"/>
  <c r="P228" i="6"/>
  <c r="X228" i="6"/>
  <c r="AF228" i="6"/>
  <c r="I228" i="6"/>
  <c r="Q228" i="6"/>
  <c r="Y228" i="6"/>
  <c r="AG228" i="6"/>
  <c r="K228" i="6"/>
  <c r="S228" i="6"/>
  <c r="AA228" i="6"/>
  <c r="AI228" i="6"/>
  <c r="Z228" i="6"/>
  <c r="AB228" i="6"/>
  <c r="AH228" i="6"/>
  <c r="AJ228" i="6"/>
  <c r="J228" i="6"/>
  <c r="L228" i="6"/>
  <c r="R228" i="6"/>
  <c r="T228" i="6"/>
  <c r="J272" i="6"/>
  <c r="R272" i="6"/>
  <c r="Z272" i="6"/>
  <c r="AH272" i="6"/>
  <c r="M272" i="6"/>
  <c r="I272" i="6"/>
  <c r="K272" i="6"/>
  <c r="S272" i="6"/>
  <c r="AA272" i="6"/>
  <c r="AI272" i="6"/>
  <c r="AC272" i="6"/>
  <c r="Q272" i="6"/>
  <c r="L272" i="6"/>
  <c r="T272" i="6"/>
  <c r="AB272" i="6"/>
  <c r="AJ272" i="6"/>
  <c r="U272" i="6"/>
  <c r="AG272" i="6"/>
  <c r="N272" i="6"/>
  <c r="V272" i="6"/>
  <c r="AD272" i="6"/>
  <c r="X272" i="6"/>
  <c r="O272" i="6"/>
  <c r="W272" i="6"/>
  <c r="AE272" i="6"/>
  <c r="P272" i="6"/>
  <c r="AF272" i="6"/>
  <c r="Y272" i="6"/>
  <c r="K252" i="6"/>
  <c r="S252" i="6"/>
  <c r="AA252" i="6"/>
  <c r="AI252" i="6"/>
  <c r="L252" i="6"/>
  <c r="T252" i="6"/>
  <c r="AB252" i="6"/>
  <c r="AJ252" i="6"/>
  <c r="M252" i="6"/>
  <c r="U252" i="6"/>
  <c r="AC252" i="6"/>
  <c r="N252" i="6"/>
  <c r="V252" i="6"/>
  <c r="AD252" i="6"/>
  <c r="O252" i="6"/>
  <c r="W252" i="6"/>
  <c r="AE252" i="6"/>
  <c r="P252" i="6"/>
  <c r="X252" i="6"/>
  <c r="AF252" i="6"/>
  <c r="Y252" i="6"/>
  <c r="Z252" i="6"/>
  <c r="AH252" i="6"/>
  <c r="AG252" i="6"/>
  <c r="R252" i="6"/>
  <c r="I252" i="6"/>
  <c r="J252" i="6"/>
  <c r="Q252" i="6"/>
  <c r="P265" i="6"/>
  <c r="X265" i="6"/>
  <c r="AF265" i="6"/>
  <c r="I265" i="6"/>
  <c r="Q265" i="6"/>
  <c r="Y265" i="6"/>
  <c r="AG265" i="6"/>
  <c r="J265" i="6"/>
  <c r="R265" i="6"/>
  <c r="Z265" i="6"/>
  <c r="AH265" i="6"/>
  <c r="K265" i="6"/>
  <c r="S265" i="6"/>
  <c r="AA265" i="6"/>
  <c r="AI265" i="6"/>
  <c r="L265" i="6"/>
  <c r="T265" i="6"/>
  <c r="AB265" i="6"/>
  <c r="AJ265" i="6"/>
  <c r="N265" i="6"/>
  <c r="M265" i="6"/>
  <c r="O265" i="6"/>
  <c r="U265" i="6"/>
  <c r="V265" i="6"/>
  <c r="AE265" i="6"/>
  <c r="W265" i="6"/>
  <c r="AC265" i="6"/>
  <c r="AD265" i="6"/>
  <c r="I249" i="6"/>
  <c r="J249" i="6"/>
  <c r="K249" i="6"/>
  <c r="L249" i="6"/>
  <c r="M249" i="6"/>
  <c r="O249" i="6"/>
  <c r="N249" i="6"/>
  <c r="W249" i="6"/>
  <c r="AE249" i="6"/>
  <c r="P249" i="6"/>
  <c r="X249" i="6"/>
  <c r="AF249" i="6"/>
  <c r="Q249" i="6"/>
  <c r="Y249" i="6"/>
  <c r="AG249" i="6"/>
  <c r="R249" i="6"/>
  <c r="Z249" i="6"/>
  <c r="AH249" i="6"/>
  <c r="S249" i="6"/>
  <c r="AA249" i="6"/>
  <c r="AI249" i="6"/>
  <c r="T249" i="6"/>
  <c r="AB249" i="6"/>
  <c r="AJ249" i="6"/>
  <c r="U249" i="6"/>
  <c r="V249" i="6"/>
  <c r="AC249" i="6"/>
  <c r="AD249" i="6"/>
  <c r="N271" i="6"/>
  <c r="V271" i="6"/>
  <c r="AD271" i="6"/>
  <c r="Q271" i="6"/>
  <c r="O271" i="6"/>
  <c r="W271" i="6"/>
  <c r="AE271" i="6"/>
  <c r="I271" i="6"/>
  <c r="AG271" i="6"/>
  <c r="M271" i="6"/>
  <c r="P271" i="6"/>
  <c r="X271" i="6"/>
  <c r="AF271" i="6"/>
  <c r="Y271" i="6"/>
  <c r="AC271" i="6"/>
  <c r="J271" i="6"/>
  <c r="R271" i="6"/>
  <c r="Z271" i="6"/>
  <c r="AH271" i="6"/>
  <c r="T271" i="6"/>
  <c r="AJ271" i="6"/>
  <c r="K271" i="6"/>
  <c r="S271" i="6"/>
  <c r="AA271" i="6"/>
  <c r="AI271" i="6"/>
  <c r="L271" i="6"/>
  <c r="AB271" i="6"/>
  <c r="U271" i="6"/>
  <c r="K254" i="6"/>
  <c r="S254" i="6"/>
  <c r="AA254" i="6"/>
  <c r="AI254" i="6"/>
  <c r="L254" i="6"/>
  <c r="T254" i="6"/>
  <c r="AB254" i="6"/>
  <c r="AJ254" i="6"/>
  <c r="M254" i="6"/>
  <c r="U254" i="6"/>
  <c r="AC254" i="6"/>
  <c r="N254" i="6"/>
  <c r="V254" i="6"/>
  <c r="AD254" i="6"/>
  <c r="O254" i="6"/>
  <c r="W254" i="6"/>
  <c r="AE254" i="6"/>
  <c r="P254" i="6"/>
  <c r="X254" i="6"/>
  <c r="AF254" i="6"/>
  <c r="AG254" i="6"/>
  <c r="AH254" i="6"/>
  <c r="Z254" i="6"/>
  <c r="I254" i="6"/>
  <c r="J254" i="6"/>
  <c r="Q254" i="6"/>
  <c r="R254" i="6"/>
  <c r="Y254" i="6"/>
  <c r="I237" i="6"/>
  <c r="Q237" i="6"/>
  <c r="Y237" i="6"/>
  <c r="AG237" i="6"/>
  <c r="J237" i="6"/>
  <c r="R237" i="6"/>
  <c r="Z237" i="6"/>
  <c r="AH237" i="6"/>
  <c r="K237" i="6"/>
  <c r="S237" i="6"/>
  <c r="AA237" i="6"/>
  <c r="AI237" i="6"/>
  <c r="L237" i="6"/>
  <c r="T237" i="6"/>
  <c r="AB237" i="6"/>
  <c r="AJ237" i="6"/>
  <c r="M237" i="6"/>
  <c r="U237" i="6"/>
  <c r="AC237" i="6"/>
  <c r="O237" i="6"/>
  <c r="W237" i="6"/>
  <c r="AE237" i="6"/>
  <c r="AD237" i="6"/>
  <c r="AF237" i="6"/>
  <c r="N237" i="6"/>
  <c r="P237" i="6"/>
  <c r="V237" i="6"/>
  <c r="X237" i="6"/>
  <c r="O224" i="6"/>
  <c r="W224" i="6"/>
  <c r="AE224" i="6"/>
  <c r="J224" i="6"/>
  <c r="P224" i="6"/>
  <c r="X224" i="6"/>
  <c r="AF224" i="6"/>
  <c r="Z224" i="6"/>
  <c r="V224" i="6"/>
  <c r="Q224" i="6"/>
  <c r="Y224" i="6"/>
  <c r="AG224" i="6"/>
  <c r="R224" i="6"/>
  <c r="AH224" i="6"/>
  <c r="K224" i="6"/>
  <c r="S224" i="6"/>
  <c r="AA224" i="6"/>
  <c r="AI224" i="6"/>
  <c r="I224" i="6"/>
  <c r="AD224" i="6"/>
  <c r="L224" i="6"/>
  <c r="T224" i="6"/>
  <c r="AB224" i="6"/>
  <c r="AJ224" i="6"/>
  <c r="M224" i="6"/>
  <c r="U224" i="6"/>
  <c r="AC224" i="6"/>
  <c r="N224" i="6"/>
  <c r="I241" i="6"/>
  <c r="Q241" i="6"/>
  <c r="Y241" i="6"/>
  <c r="AG241" i="6"/>
  <c r="J241" i="6"/>
  <c r="R241" i="6"/>
  <c r="Z241" i="6"/>
  <c r="AH241" i="6"/>
  <c r="K241" i="6"/>
  <c r="S241" i="6"/>
  <c r="AA241" i="6"/>
  <c r="AI241" i="6"/>
  <c r="L241" i="6"/>
  <c r="T241" i="6"/>
  <c r="AB241" i="6"/>
  <c r="AJ241" i="6"/>
  <c r="M241" i="6"/>
  <c r="U241" i="6"/>
  <c r="AC241" i="6"/>
  <c r="O241" i="6"/>
  <c r="W241" i="6"/>
  <c r="AE241" i="6"/>
  <c r="N241" i="6"/>
  <c r="P241" i="6"/>
  <c r="V241" i="6"/>
  <c r="X241" i="6"/>
  <c r="AD241" i="6"/>
  <c r="AF241" i="6"/>
  <c r="M230" i="6"/>
  <c r="U230" i="6"/>
  <c r="AC230" i="6"/>
  <c r="N230" i="6"/>
  <c r="V230" i="6"/>
  <c r="AD230" i="6"/>
  <c r="O230" i="6"/>
  <c r="W230" i="6"/>
  <c r="AE230" i="6"/>
  <c r="P230" i="6"/>
  <c r="X230" i="6"/>
  <c r="AF230" i="6"/>
  <c r="I230" i="6"/>
  <c r="Q230" i="6"/>
  <c r="Y230" i="6"/>
  <c r="AG230" i="6"/>
  <c r="K230" i="6"/>
  <c r="S230" i="6"/>
  <c r="AA230" i="6"/>
  <c r="AI230" i="6"/>
  <c r="AH230" i="6"/>
  <c r="AJ230" i="6"/>
  <c r="J230" i="6"/>
  <c r="L230" i="6"/>
  <c r="R230" i="6"/>
  <c r="T230" i="6"/>
  <c r="Z230" i="6"/>
  <c r="AB230" i="6"/>
  <c r="I239" i="6"/>
  <c r="Q239" i="6"/>
  <c r="Y239" i="6"/>
  <c r="AG239" i="6"/>
  <c r="J239" i="6"/>
  <c r="R239" i="6"/>
  <c r="Z239" i="6"/>
  <c r="AH239" i="6"/>
  <c r="K239" i="6"/>
  <c r="S239" i="6"/>
  <c r="AA239" i="6"/>
  <c r="AI239" i="6"/>
  <c r="L239" i="6"/>
  <c r="T239" i="6"/>
  <c r="AB239" i="6"/>
  <c r="AJ239" i="6"/>
  <c r="M239" i="6"/>
  <c r="U239" i="6"/>
  <c r="AC239" i="6"/>
  <c r="O239" i="6"/>
  <c r="W239" i="6"/>
  <c r="AE239" i="6"/>
  <c r="N239" i="6"/>
  <c r="P239" i="6"/>
  <c r="V239" i="6"/>
  <c r="X239" i="6"/>
  <c r="AD239" i="6"/>
  <c r="AF239" i="6"/>
  <c r="M242" i="6"/>
  <c r="U242" i="6"/>
  <c r="AC242" i="6"/>
  <c r="N242" i="6"/>
  <c r="V242" i="6"/>
  <c r="AD242" i="6"/>
  <c r="O242" i="6"/>
  <c r="W242" i="6"/>
  <c r="AE242" i="6"/>
  <c r="P242" i="6"/>
  <c r="X242" i="6"/>
  <c r="AF242" i="6"/>
  <c r="I242" i="6"/>
  <c r="Q242" i="6"/>
  <c r="Y242" i="6"/>
  <c r="AG242" i="6"/>
  <c r="K242" i="6"/>
  <c r="S242" i="6"/>
  <c r="AA242" i="6"/>
  <c r="AI242" i="6"/>
  <c r="R242" i="6"/>
  <c r="T242" i="6"/>
  <c r="Z242" i="6"/>
  <c r="AB242" i="6"/>
  <c r="AH242" i="6"/>
  <c r="AJ242" i="6"/>
  <c r="J242" i="6"/>
  <c r="L242" i="6"/>
  <c r="J274" i="6"/>
  <c r="R274" i="6"/>
  <c r="Z274" i="6"/>
  <c r="AH274" i="6"/>
  <c r="U274" i="6"/>
  <c r="Y274" i="6"/>
  <c r="K274" i="6"/>
  <c r="S274" i="6"/>
  <c r="AA274" i="6"/>
  <c r="AI274" i="6"/>
  <c r="AC274" i="6"/>
  <c r="L274" i="6"/>
  <c r="T274" i="6"/>
  <c r="AB274" i="6"/>
  <c r="AJ274" i="6"/>
  <c r="M274" i="6"/>
  <c r="AG274" i="6"/>
  <c r="N274" i="6"/>
  <c r="V274" i="6"/>
  <c r="AD274" i="6"/>
  <c r="P274" i="6"/>
  <c r="AF274" i="6"/>
  <c r="Q274" i="6"/>
  <c r="O274" i="6"/>
  <c r="W274" i="6"/>
  <c r="AE274" i="6"/>
  <c r="X274" i="6"/>
  <c r="I274" i="6"/>
  <c r="P263" i="6"/>
  <c r="X263" i="6"/>
  <c r="AF263" i="6"/>
  <c r="I263" i="6"/>
  <c r="Q263" i="6"/>
  <c r="Y263" i="6"/>
  <c r="AG263" i="6"/>
  <c r="J263" i="6"/>
  <c r="R263" i="6"/>
  <c r="Z263" i="6"/>
  <c r="AH263" i="6"/>
  <c r="K263" i="6"/>
  <c r="S263" i="6"/>
  <c r="AA263" i="6"/>
  <c r="AI263" i="6"/>
  <c r="L263" i="6"/>
  <c r="T263" i="6"/>
  <c r="AB263" i="6"/>
  <c r="AJ263" i="6"/>
  <c r="AC263" i="6"/>
  <c r="AD263" i="6"/>
  <c r="N263" i="6"/>
  <c r="M263" i="6"/>
  <c r="AE263" i="6"/>
  <c r="O263" i="6"/>
  <c r="V263" i="6"/>
  <c r="U263" i="6"/>
  <c r="W263" i="6"/>
  <c r="M246" i="6"/>
  <c r="U246" i="6"/>
  <c r="AC246" i="6"/>
  <c r="N246" i="6"/>
  <c r="V246" i="6"/>
  <c r="AD246" i="6"/>
  <c r="O246" i="6"/>
  <c r="W246" i="6"/>
  <c r="AE246" i="6"/>
  <c r="P246" i="6"/>
  <c r="X246" i="6"/>
  <c r="AF246" i="6"/>
  <c r="I246" i="6"/>
  <c r="Q246" i="6"/>
  <c r="Y246" i="6"/>
  <c r="AG246" i="6"/>
  <c r="K246" i="6"/>
  <c r="S246" i="6"/>
  <c r="AA246" i="6"/>
  <c r="AI246" i="6"/>
  <c r="AH246" i="6"/>
  <c r="AJ246" i="6"/>
  <c r="J246" i="6"/>
  <c r="L246" i="6"/>
  <c r="R246" i="6"/>
  <c r="T246" i="6"/>
  <c r="Z246" i="6"/>
  <c r="AB246" i="6"/>
  <c r="I229" i="6"/>
  <c r="Q229" i="6"/>
  <c r="Y229" i="6"/>
  <c r="AG229" i="6"/>
  <c r="J229" i="6"/>
  <c r="R229" i="6"/>
  <c r="Z229" i="6"/>
  <c r="AH229" i="6"/>
  <c r="K229" i="6"/>
  <c r="S229" i="6"/>
  <c r="AA229" i="6"/>
  <c r="AI229" i="6"/>
  <c r="L229" i="6"/>
  <c r="T229" i="6"/>
  <c r="AB229" i="6"/>
  <c r="AJ229" i="6"/>
  <c r="M229" i="6"/>
  <c r="U229" i="6"/>
  <c r="AC229" i="6"/>
  <c r="O229" i="6"/>
  <c r="W229" i="6"/>
  <c r="AE229" i="6"/>
  <c r="AD229" i="6"/>
  <c r="AF229" i="6"/>
  <c r="N229" i="6"/>
  <c r="P229" i="6"/>
  <c r="V229" i="6"/>
  <c r="X229" i="6"/>
  <c r="I267" i="6"/>
  <c r="Q267" i="6"/>
  <c r="L267" i="6"/>
  <c r="T267" i="6"/>
  <c r="K267" i="6"/>
  <c r="V267" i="6"/>
  <c r="AD267" i="6"/>
  <c r="M267" i="6"/>
  <c r="W267" i="6"/>
  <c r="AE267" i="6"/>
  <c r="O267" i="6"/>
  <c r="AG267" i="6"/>
  <c r="U267" i="6"/>
  <c r="N267" i="6"/>
  <c r="X267" i="6"/>
  <c r="AF267" i="6"/>
  <c r="Y267" i="6"/>
  <c r="AC267" i="6"/>
  <c r="P267" i="6"/>
  <c r="Z267" i="6"/>
  <c r="AH267" i="6"/>
  <c r="S267" i="6"/>
  <c r="AJ267" i="6"/>
  <c r="R267" i="6"/>
  <c r="AA267" i="6"/>
  <c r="AI267" i="6"/>
  <c r="AB267" i="6"/>
  <c r="J267" i="6"/>
  <c r="K258" i="6"/>
  <c r="S258" i="6"/>
  <c r="AA258" i="6"/>
  <c r="AI258" i="6"/>
  <c r="L258" i="6"/>
  <c r="T258" i="6"/>
  <c r="AB258" i="6"/>
  <c r="AJ258" i="6"/>
  <c r="M258" i="6"/>
  <c r="U258" i="6"/>
  <c r="AC258" i="6"/>
  <c r="N258" i="6"/>
  <c r="V258" i="6"/>
  <c r="AD258" i="6"/>
  <c r="O258" i="6"/>
  <c r="W258" i="6"/>
  <c r="AE258" i="6"/>
  <c r="P258" i="6"/>
  <c r="X258" i="6"/>
  <c r="AF258" i="6"/>
  <c r="Q258" i="6"/>
  <c r="R258" i="6"/>
  <c r="Y258" i="6"/>
  <c r="Z258" i="6"/>
  <c r="J258" i="6"/>
  <c r="AG258" i="6"/>
  <c r="I258" i="6"/>
  <c r="AH258" i="6"/>
  <c r="N269" i="6"/>
  <c r="V269" i="6"/>
  <c r="AD269" i="6"/>
  <c r="Q269" i="6"/>
  <c r="O269" i="6"/>
  <c r="W269" i="6"/>
  <c r="AE269" i="6"/>
  <c r="Y269" i="6"/>
  <c r="P269" i="6"/>
  <c r="X269" i="6"/>
  <c r="AF269" i="6"/>
  <c r="I269" i="6"/>
  <c r="AG269" i="6"/>
  <c r="M269" i="6"/>
  <c r="J269" i="6"/>
  <c r="R269" i="6"/>
  <c r="Z269" i="6"/>
  <c r="AH269" i="6"/>
  <c r="L269" i="6"/>
  <c r="AB269" i="6"/>
  <c r="U269" i="6"/>
  <c r="K269" i="6"/>
  <c r="S269" i="6"/>
  <c r="AA269" i="6"/>
  <c r="AI269" i="6"/>
  <c r="T269" i="6"/>
  <c r="AJ269" i="6"/>
  <c r="AC269" i="6"/>
  <c r="L264" i="6"/>
  <c r="T264" i="6"/>
  <c r="AB264" i="6"/>
  <c r="AJ264" i="6"/>
  <c r="M264" i="6"/>
  <c r="U264" i="6"/>
  <c r="AC264" i="6"/>
  <c r="N264" i="6"/>
  <c r="V264" i="6"/>
  <c r="AD264" i="6"/>
  <c r="O264" i="6"/>
  <c r="W264" i="6"/>
  <c r="AE264" i="6"/>
  <c r="P264" i="6"/>
  <c r="X264" i="6"/>
  <c r="AF264" i="6"/>
  <c r="S264" i="6"/>
  <c r="I264" i="6"/>
  <c r="Y264" i="6"/>
  <c r="AA264" i="6"/>
  <c r="R264" i="6"/>
  <c r="Z264" i="6"/>
  <c r="J264" i="6"/>
  <c r="AG264" i="6"/>
  <c r="AI264" i="6"/>
  <c r="K264" i="6"/>
  <c r="AH264" i="6"/>
  <c r="Q264" i="6"/>
  <c r="K256" i="6"/>
  <c r="S256" i="6"/>
  <c r="AA256" i="6"/>
  <c r="AI256" i="6"/>
  <c r="L256" i="6"/>
  <c r="T256" i="6"/>
  <c r="AB256" i="6"/>
  <c r="AJ256" i="6"/>
  <c r="M256" i="6"/>
  <c r="U256" i="6"/>
  <c r="AC256" i="6"/>
  <c r="N256" i="6"/>
  <c r="V256" i="6"/>
  <c r="AD256" i="6"/>
  <c r="O256" i="6"/>
  <c r="W256" i="6"/>
  <c r="AE256" i="6"/>
  <c r="P256" i="6"/>
  <c r="X256" i="6"/>
  <c r="AF256" i="6"/>
  <c r="I256" i="6"/>
  <c r="J256" i="6"/>
  <c r="Q256" i="6"/>
  <c r="R256" i="6"/>
  <c r="Y256" i="6"/>
  <c r="AH256" i="6"/>
  <c r="Z256" i="6"/>
  <c r="AG256" i="6"/>
  <c r="O255" i="6"/>
  <c r="W255" i="6"/>
  <c r="AE255" i="6"/>
  <c r="P255" i="6"/>
  <c r="X255" i="6"/>
  <c r="AF255" i="6"/>
  <c r="I255" i="6"/>
  <c r="Q255" i="6"/>
  <c r="Y255" i="6"/>
  <c r="AG255" i="6"/>
  <c r="J255" i="6"/>
  <c r="R255" i="6"/>
  <c r="Z255" i="6"/>
  <c r="AH255" i="6"/>
  <c r="K255" i="6"/>
  <c r="S255" i="6"/>
  <c r="AA255" i="6"/>
  <c r="AI255" i="6"/>
  <c r="L255" i="6"/>
  <c r="T255" i="6"/>
  <c r="AB255" i="6"/>
  <c r="AJ255" i="6"/>
  <c r="AD255" i="6"/>
  <c r="N255" i="6"/>
  <c r="M255" i="6"/>
  <c r="U255" i="6"/>
  <c r="AC255" i="6"/>
  <c r="V255" i="6"/>
  <c r="M238" i="6"/>
  <c r="U238" i="6"/>
  <c r="AC238" i="6"/>
  <c r="N238" i="6"/>
  <c r="V238" i="6"/>
  <c r="AD238" i="6"/>
  <c r="O238" i="6"/>
  <c r="W238" i="6"/>
  <c r="AE238" i="6"/>
  <c r="P238" i="6"/>
  <c r="X238" i="6"/>
  <c r="AF238" i="6"/>
  <c r="I238" i="6"/>
  <c r="Q238" i="6"/>
  <c r="Y238" i="6"/>
  <c r="AG238" i="6"/>
  <c r="K238" i="6"/>
  <c r="S238" i="6"/>
  <c r="AA238" i="6"/>
  <c r="AI238" i="6"/>
  <c r="AH238" i="6"/>
  <c r="AJ238" i="6"/>
  <c r="J238" i="6"/>
  <c r="L238" i="6"/>
  <c r="R238" i="6"/>
  <c r="T238" i="6"/>
  <c r="Z238" i="6"/>
  <c r="AB238" i="6"/>
  <c r="J268" i="6"/>
  <c r="R268" i="6"/>
  <c r="Z268" i="6"/>
  <c r="AH268" i="6"/>
  <c r="U268" i="6"/>
  <c r="I268" i="6"/>
  <c r="K268" i="6"/>
  <c r="S268" i="6"/>
  <c r="AA268" i="6"/>
  <c r="AI268" i="6"/>
  <c r="AC268" i="6"/>
  <c r="AG268" i="6"/>
  <c r="L268" i="6"/>
  <c r="T268" i="6"/>
  <c r="AB268" i="6"/>
  <c r="AJ268" i="6"/>
  <c r="M268" i="6"/>
  <c r="N268" i="6"/>
  <c r="V268" i="6"/>
  <c r="AD268" i="6"/>
  <c r="AF268" i="6"/>
  <c r="Q268" i="6"/>
  <c r="O268" i="6"/>
  <c r="W268" i="6"/>
  <c r="AE268" i="6"/>
  <c r="P268" i="6"/>
  <c r="X268" i="6"/>
  <c r="Y268" i="6"/>
  <c r="O259" i="6"/>
  <c r="W259" i="6"/>
  <c r="AE259" i="6"/>
  <c r="P259" i="6"/>
  <c r="X259" i="6"/>
  <c r="AF259" i="6"/>
  <c r="I259" i="6"/>
  <c r="Q259" i="6"/>
  <c r="Y259" i="6"/>
  <c r="AG259" i="6"/>
  <c r="J259" i="6"/>
  <c r="R259" i="6"/>
  <c r="Z259" i="6"/>
  <c r="AH259" i="6"/>
  <c r="K259" i="6"/>
  <c r="S259" i="6"/>
  <c r="AA259" i="6"/>
  <c r="AI259" i="6"/>
  <c r="L259" i="6"/>
  <c r="T259" i="6"/>
  <c r="AB259" i="6"/>
  <c r="AJ259" i="6"/>
  <c r="U259" i="6"/>
  <c r="V259" i="6"/>
  <c r="AD259" i="6"/>
  <c r="AC259" i="6"/>
  <c r="M259" i="6"/>
  <c r="N259" i="6"/>
  <c r="BP160" i="17"/>
  <c r="BX160" i="17"/>
  <c r="CF160" i="17"/>
  <c r="CN160" i="17"/>
  <c r="BQ160" i="17"/>
  <c r="BY160" i="17"/>
  <c r="CG160" i="17"/>
  <c r="BR160" i="17"/>
  <c r="BZ160" i="17"/>
  <c r="CH160" i="17"/>
  <c r="BS160" i="17"/>
  <c r="CA160" i="17"/>
  <c r="CI160" i="17"/>
  <c r="BT160" i="17"/>
  <c r="CB160" i="17"/>
  <c r="CJ160" i="17"/>
  <c r="BM160" i="17"/>
  <c r="BU160" i="17"/>
  <c r="CC160" i="17"/>
  <c r="CK160" i="17"/>
  <c r="BN160" i="17"/>
  <c r="BV160" i="17"/>
  <c r="CD160" i="17"/>
  <c r="CL160" i="17"/>
  <c r="AH216" i="17"/>
  <c r="AP216" i="17"/>
  <c r="AX216" i="17"/>
  <c r="BF216" i="17"/>
  <c r="AI216" i="17"/>
  <c r="AQ216" i="17"/>
  <c r="AY216" i="17"/>
  <c r="BG216" i="17"/>
  <c r="AJ216" i="17"/>
  <c r="AR216" i="17"/>
  <c r="AZ216" i="17"/>
  <c r="BH216" i="17"/>
  <c r="AK216" i="17"/>
  <c r="AS216" i="17"/>
  <c r="BA216" i="17"/>
  <c r="BO160" i="17"/>
  <c r="AL216" i="17"/>
  <c r="AT216" i="17"/>
  <c r="BB216" i="17"/>
  <c r="BW160" i="17"/>
  <c r="AM216" i="17"/>
  <c r="AU216" i="17"/>
  <c r="BC216" i="17"/>
  <c r="CE160" i="17"/>
  <c r="AN216" i="17"/>
  <c r="AV216" i="17"/>
  <c r="BD216" i="17"/>
  <c r="AI160" i="17"/>
  <c r="AQ160" i="17"/>
  <c r="AY160" i="17"/>
  <c r="BG160" i="17"/>
  <c r="CM160" i="17"/>
  <c r="AJ160" i="17"/>
  <c r="AR160" i="17"/>
  <c r="AZ160" i="17"/>
  <c r="BH160" i="17"/>
  <c r="I216" i="17"/>
  <c r="Q216" i="17"/>
  <c r="Y216" i="17"/>
  <c r="AG216" i="17"/>
  <c r="AK160" i="17"/>
  <c r="AS160" i="17"/>
  <c r="BA160" i="17"/>
  <c r="B216" i="17"/>
  <c r="J216" i="17"/>
  <c r="R216" i="17"/>
  <c r="Z216" i="17"/>
  <c r="AO216" i="17"/>
  <c r="AL160" i="17"/>
  <c r="AT160" i="17"/>
  <c r="BB160" i="17"/>
  <c r="C216" i="17"/>
  <c r="K216" i="17"/>
  <c r="S216" i="17"/>
  <c r="AA216" i="17"/>
  <c r="AW216" i="17"/>
  <c r="AM160" i="17"/>
  <c r="AU160" i="17"/>
  <c r="BC160" i="17"/>
  <c r="D216" i="17"/>
  <c r="L216" i="17"/>
  <c r="T216" i="17"/>
  <c r="AB216" i="17"/>
  <c r="BE216" i="17"/>
  <c r="AN160" i="17"/>
  <c r="AV160" i="17"/>
  <c r="BD160" i="17"/>
  <c r="E216" i="17"/>
  <c r="M216" i="17"/>
  <c r="U216" i="17"/>
  <c r="AC216" i="17"/>
  <c r="AG160" i="17"/>
  <c r="AO160" i="17"/>
  <c r="AW160" i="17"/>
  <c r="BE160" i="17"/>
  <c r="AH160" i="17"/>
  <c r="G216" i="17"/>
  <c r="I160" i="17"/>
  <c r="Q160" i="17"/>
  <c r="Y160" i="17"/>
  <c r="AP160" i="17"/>
  <c r="H216" i="17"/>
  <c r="B160" i="17"/>
  <c r="J160" i="17"/>
  <c r="R160" i="17"/>
  <c r="Z160" i="17"/>
  <c r="AX160" i="17"/>
  <c r="N216" i="17"/>
  <c r="C160" i="17"/>
  <c r="K160" i="17"/>
  <c r="S160" i="17"/>
  <c r="AA160" i="17"/>
  <c r="BF160" i="17"/>
  <c r="O216" i="17"/>
  <c r="D160" i="17"/>
  <c r="L160" i="17"/>
  <c r="T160" i="17"/>
  <c r="AB160" i="17"/>
  <c r="P216" i="17"/>
  <c r="E160" i="17"/>
  <c r="M160" i="17"/>
  <c r="U160" i="17"/>
  <c r="AC160" i="17"/>
  <c r="W216" i="17"/>
  <c r="G160" i="17"/>
  <c r="O160" i="17"/>
  <c r="W160" i="17"/>
  <c r="P160" i="17"/>
  <c r="GM162" i="14"/>
  <c r="GU162" i="14"/>
  <c r="HC162" i="14"/>
  <c r="FC162" i="14"/>
  <c r="FK162" i="14"/>
  <c r="FS162" i="14"/>
  <c r="GA162" i="14"/>
  <c r="V160" i="17"/>
  <c r="GN162" i="14"/>
  <c r="GV162" i="14"/>
  <c r="HD162" i="14"/>
  <c r="FD162" i="14"/>
  <c r="FL162" i="14"/>
  <c r="FT162" i="14"/>
  <c r="GB162" i="14"/>
  <c r="F216" i="17"/>
  <c r="X160" i="17"/>
  <c r="GO162" i="14"/>
  <c r="GW162" i="14"/>
  <c r="HE162" i="14"/>
  <c r="FE162" i="14"/>
  <c r="FM162" i="14"/>
  <c r="FU162" i="14"/>
  <c r="GC162" i="14"/>
  <c r="V216" i="17"/>
  <c r="GP162" i="14"/>
  <c r="GX162" i="14"/>
  <c r="HF162" i="14"/>
  <c r="FF162" i="14"/>
  <c r="FN162" i="14"/>
  <c r="FV162" i="14"/>
  <c r="GD162" i="14"/>
  <c r="X216" i="17"/>
  <c r="GI162" i="14"/>
  <c r="GQ162" i="14"/>
  <c r="GY162" i="14"/>
  <c r="HG162" i="14"/>
  <c r="FG162" i="14"/>
  <c r="FO162" i="14"/>
  <c r="FW162" i="14"/>
  <c r="H160" i="17"/>
  <c r="GK162" i="14"/>
  <c r="GS162" i="14"/>
  <c r="HA162" i="14"/>
  <c r="HI162" i="14"/>
  <c r="FI162" i="14"/>
  <c r="FQ162" i="14"/>
  <c r="FY162" i="14"/>
  <c r="GL162" i="14"/>
  <c r="FR162" i="14"/>
  <c r="FI218" i="14"/>
  <c r="FQ218" i="14"/>
  <c r="FY218" i="14"/>
  <c r="F160" i="17"/>
  <c r="GR162" i="14"/>
  <c r="FX162" i="14"/>
  <c r="FJ218" i="14"/>
  <c r="FR218" i="14"/>
  <c r="FZ218" i="14"/>
  <c r="N160" i="17"/>
  <c r="GT162" i="14"/>
  <c r="FZ162" i="14"/>
  <c r="FC218" i="14"/>
  <c r="FK218" i="14"/>
  <c r="FS218" i="14"/>
  <c r="GA218" i="14"/>
  <c r="GZ162" i="14"/>
  <c r="FD218" i="14"/>
  <c r="FL218" i="14"/>
  <c r="FT218" i="14"/>
  <c r="GB218" i="14"/>
  <c r="HB162" i="14"/>
  <c r="FE218" i="14"/>
  <c r="FM218" i="14"/>
  <c r="FU218" i="14"/>
  <c r="GC218" i="14"/>
  <c r="HJ162" i="14"/>
  <c r="FJ162" i="14"/>
  <c r="FG218" i="14"/>
  <c r="FO218" i="14"/>
  <c r="FW218" i="14"/>
  <c r="FP162" i="14"/>
  <c r="FX218" i="14"/>
  <c r="DZ218" i="14"/>
  <c r="EH218" i="14"/>
  <c r="EP218" i="14"/>
  <c r="EX218" i="14"/>
  <c r="ED162" i="14"/>
  <c r="EL162" i="14"/>
  <c r="ET162" i="14"/>
  <c r="GD218" i="14"/>
  <c r="EA218" i="14"/>
  <c r="EI218" i="14"/>
  <c r="EQ218" i="14"/>
  <c r="EY218" i="14"/>
  <c r="EE162" i="14"/>
  <c r="EM162" i="14"/>
  <c r="EU162" i="14"/>
  <c r="EB218" i="14"/>
  <c r="EJ218" i="14"/>
  <c r="ER218" i="14"/>
  <c r="DX162" i="14"/>
  <c r="EF162" i="14"/>
  <c r="EN162" i="14"/>
  <c r="EV162" i="14"/>
  <c r="FF218" i="14"/>
  <c r="EC218" i="14"/>
  <c r="EK218" i="14"/>
  <c r="ES218" i="14"/>
  <c r="DY162" i="14"/>
  <c r="EG162" i="14"/>
  <c r="EO162" i="14"/>
  <c r="EW162" i="14"/>
  <c r="FH218" i="14"/>
  <c r="ED218" i="14"/>
  <c r="EL218" i="14"/>
  <c r="ET218" i="14"/>
  <c r="DZ162" i="14"/>
  <c r="EH162" i="14"/>
  <c r="EP162" i="14"/>
  <c r="EX162" i="14"/>
  <c r="GJ162" i="14"/>
  <c r="FP218" i="14"/>
  <c r="DX218" i="14"/>
  <c r="EF218" i="14"/>
  <c r="EN218" i="14"/>
  <c r="EV218" i="14"/>
  <c r="EB162" i="14"/>
  <c r="EJ162" i="14"/>
  <c r="ER162" i="14"/>
  <c r="EG218" i="14"/>
  <c r="ES162" i="14"/>
  <c r="CV218" i="14"/>
  <c r="DD218" i="14"/>
  <c r="DL218" i="14"/>
  <c r="DT218" i="14"/>
  <c r="CU162" i="14"/>
  <c r="DC162" i="14"/>
  <c r="DK162" i="14"/>
  <c r="DS162" i="14"/>
  <c r="AG218" i="14"/>
  <c r="AO218" i="14"/>
  <c r="AW218" i="14"/>
  <c r="EM218" i="14"/>
  <c r="EY162" i="14"/>
  <c r="CW218" i="14"/>
  <c r="DE218" i="14"/>
  <c r="DM218" i="14"/>
  <c r="CV162" i="14"/>
  <c r="DD162" i="14"/>
  <c r="DL162" i="14"/>
  <c r="DT162" i="14"/>
  <c r="AH218" i="14"/>
  <c r="AP218" i="14"/>
  <c r="AX218" i="14"/>
  <c r="FH162" i="14"/>
  <c r="EO218" i="14"/>
  <c r="CX218" i="14"/>
  <c r="DF218" i="14"/>
  <c r="DN218" i="14"/>
  <c r="CW162" i="14"/>
  <c r="DE162" i="14"/>
  <c r="DM162" i="14"/>
  <c r="AA218" i="14"/>
  <c r="AI218" i="14"/>
  <c r="AQ218" i="14"/>
  <c r="AY218" i="14"/>
  <c r="FN218" i="14"/>
  <c r="EU218" i="14"/>
  <c r="EA162" i="14"/>
  <c r="CY218" i="14"/>
  <c r="DG218" i="14"/>
  <c r="DO218" i="14"/>
  <c r="CX162" i="14"/>
  <c r="DF162" i="14"/>
  <c r="DN162" i="14"/>
  <c r="AB218" i="14"/>
  <c r="AJ218" i="14"/>
  <c r="AR218" i="14"/>
  <c r="AZ218" i="14"/>
  <c r="HH162" i="14"/>
  <c r="FV218" i="14"/>
  <c r="EW218" i="14"/>
  <c r="EC162" i="14"/>
  <c r="CZ218" i="14"/>
  <c r="DH218" i="14"/>
  <c r="DP218" i="14"/>
  <c r="CY162" i="14"/>
  <c r="DG162" i="14"/>
  <c r="DO162" i="14"/>
  <c r="AC218" i="14"/>
  <c r="AK218" i="14"/>
  <c r="AS218" i="14"/>
  <c r="BA218" i="14"/>
  <c r="DY218" i="14"/>
  <c r="EK162" i="14"/>
  <c r="CT218" i="14"/>
  <c r="DB218" i="14"/>
  <c r="DJ218" i="14"/>
  <c r="DR218" i="14"/>
  <c r="CS162" i="14"/>
  <c r="DA162" i="14"/>
  <c r="DI162" i="14"/>
  <c r="DQ162" i="14"/>
  <c r="AE218" i="14"/>
  <c r="AM218" i="14"/>
  <c r="AU218" i="14"/>
  <c r="EQ162" i="14"/>
  <c r="DC218" i="14"/>
  <c r="DJ162" i="14"/>
  <c r="DI218" i="14"/>
  <c r="DP162" i="14"/>
  <c r="AD218" i="14"/>
  <c r="DK218" i="14"/>
  <c r="DR162" i="14"/>
  <c r="AF218" i="14"/>
  <c r="DQ218" i="14"/>
  <c r="AL218" i="14"/>
  <c r="EE218" i="14"/>
  <c r="CU218" i="14"/>
  <c r="DB162" i="14"/>
  <c r="AV218" i="14"/>
  <c r="EI162" i="14"/>
  <c r="DA218" i="14"/>
  <c r="DH162" i="14"/>
  <c r="BB218" i="14"/>
  <c r="AF162" i="14"/>
  <c r="AN162" i="14"/>
  <c r="AV162" i="14"/>
  <c r="I214" i="6"/>
  <c r="I110" i="2" s="1"/>
  <c r="Q214" i="6"/>
  <c r="Y214" i="6"/>
  <c r="AG214" i="6"/>
  <c r="AG162" i="14"/>
  <c r="AO162" i="14"/>
  <c r="AW162" i="14"/>
  <c r="J214" i="6"/>
  <c r="R214" i="6"/>
  <c r="Z214" i="6"/>
  <c r="AH214" i="6"/>
  <c r="CT162" i="14"/>
  <c r="AH162" i="14"/>
  <c r="AP162" i="14"/>
  <c r="AX162" i="14"/>
  <c r="K214" i="6"/>
  <c r="S214" i="6"/>
  <c r="AA214" i="6"/>
  <c r="AI214" i="6"/>
  <c r="DS218" i="14"/>
  <c r="CS218" i="14"/>
  <c r="CZ162" i="14"/>
  <c r="AA162" i="14"/>
  <c r="AI162" i="14"/>
  <c r="AQ162" i="14"/>
  <c r="AY162" i="14"/>
  <c r="L214" i="6"/>
  <c r="T214" i="6"/>
  <c r="AB214" i="6"/>
  <c r="AJ214" i="6"/>
  <c r="AD162" i="14"/>
  <c r="AL162" i="14"/>
  <c r="AT162" i="14"/>
  <c r="BB162" i="14"/>
  <c r="O214" i="6"/>
  <c r="W214" i="6"/>
  <c r="AE214" i="6"/>
  <c r="AN218" i="14"/>
  <c r="AE162" i="14"/>
  <c r="AM162" i="14"/>
  <c r="AU162" i="14"/>
  <c r="P214" i="6"/>
  <c r="X214" i="6"/>
  <c r="AF214" i="6"/>
  <c r="AJ162" i="14"/>
  <c r="AT218" i="14"/>
  <c r="AK162" i="14"/>
  <c r="AR162" i="14"/>
  <c r="M214" i="6"/>
  <c r="BA162" i="14"/>
  <c r="AS162" i="14"/>
  <c r="N214" i="6"/>
  <c r="V214" i="6"/>
  <c r="AC162" i="14"/>
  <c r="AZ162" i="14"/>
  <c r="U214" i="6"/>
  <c r="AB162" i="14"/>
  <c r="AC214" i="6"/>
  <c r="AD214" i="6"/>
  <c r="BO162" i="14"/>
  <c r="BW162" i="14"/>
  <c r="CE162" i="14"/>
  <c r="CM162" i="14"/>
  <c r="BS218" i="14"/>
  <c r="CA218" i="14"/>
  <c r="CI218" i="14"/>
  <c r="CL162" i="14"/>
  <c r="BP162" i="14"/>
  <c r="BX162" i="14"/>
  <c r="CF162" i="14"/>
  <c r="CN162" i="14"/>
  <c r="BT218" i="14"/>
  <c r="CB218" i="14"/>
  <c r="CJ218" i="14"/>
  <c r="CJ162" i="14"/>
  <c r="BX218" i="14"/>
  <c r="CD162" i="14"/>
  <c r="BQ162" i="14"/>
  <c r="BY162" i="14"/>
  <c r="CG162" i="14"/>
  <c r="CO162" i="14"/>
  <c r="BU218" i="14"/>
  <c r="CC218" i="14"/>
  <c r="CK218" i="14"/>
  <c r="CN218" i="14"/>
  <c r="BR162" i="14"/>
  <c r="BZ162" i="14"/>
  <c r="CH162" i="14"/>
  <c r="BN218" i="14"/>
  <c r="BV218" i="14"/>
  <c r="CD218" i="14"/>
  <c r="CL218" i="14"/>
  <c r="CB162" i="14"/>
  <c r="BP218" i="14"/>
  <c r="BS162" i="14"/>
  <c r="CA162" i="14"/>
  <c r="CI162" i="14"/>
  <c r="BO218" i="14"/>
  <c r="BW218" i="14"/>
  <c r="CE218" i="14"/>
  <c r="CM218" i="14"/>
  <c r="BT162" i="14"/>
  <c r="CF218" i="14"/>
  <c r="BU162" i="14"/>
  <c r="CC162" i="14"/>
  <c r="CK162" i="14"/>
  <c r="BQ218" i="14"/>
  <c r="BY218" i="14"/>
  <c r="CG218" i="14"/>
  <c r="CO218" i="14"/>
  <c r="BN162" i="14"/>
  <c r="BV162" i="14"/>
  <c r="BR218" i="14"/>
  <c r="BZ218" i="14"/>
  <c r="CH218" i="14"/>
  <c r="BO158" i="17"/>
  <c r="BW158" i="17"/>
  <c r="CE158" i="17"/>
  <c r="CM158" i="17"/>
  <c r="BQ158" i="17"/>
  <c r="BY158" i="17"/>
  <c r="CG158" i="17"/>
  <c r="BR158" i="17"/>
  <c r="BZ158" i="17"/>
  <c r="CH158" i="17"/>
  <c r="BS158" i="17"/>
  <c r="CA158" i="17"/>
  <c r="CI158" i="17"/>
  <c r="BT158" i="17"/>
  <c r="CB158" i="17"/>
  <c r="CJ158" i="17"/>
  <c r="BM158" i="17"/>
  <c r="BU158" i="17"/>
  <c r="CC158" i="17"/>
  <c r="CK158" i="17"/>
  <c r="CL158" i="17"/>
  <c r="CN158" i="17"/>
  <c r="BN158" i="17"/>
  <c r="BP158" i="17"/>
  <c r="BV158" i="17"/>
  <c r="BX158" i="17"/>
  <c r="CD158" i="17"/>
  <c r="AH214" i="17"/>
  <c r="AP214" i="17"/>
  <c r="AX214" i="17"/>
  <c r="BF214" i="17"/>
  <c r="AI214" i="17"/>
  <c r="AQ214" i="17"/>
  <c r="AY214" i="17"/>
  <c r="BG214" i="17"/>
  <c r="CF158" i="17"/>
  <c r="AJ214" i="17"/>
  <c r="AR214" i="17"/>
  <c r="AZ214" i="17"/>
  <c r="BH214" i="17"/>
  <c r="AK214" i="17"/>
  <c r="AS214" i="17"/>
  <c r="BA214" i="17"/>
  <c r="AL214" i="17"/>
  <c r="AT214" i="17"/>
  <c r="BB214" i="17"/>
  <c r="AM214" i="17"/>
  <c r="AU214" i="17"/>
  <c r="BC214" i="17"/>
  <c r="AN214" i="17"/>
  <c r="AV214" i="17"/>
  <c r="BD214" i="17"/>
  <c r="AI158" i="17"/>
  <c r="AQ158" i="17"/>
  <c r="AY158" i="17"/>
  <c r="BG158" i="17"/>
  <c r="AJ158" i="17"/>
  <c r="AR158" i="17"/>
  <c r="AZ158" i="17"/>
  <c r="BH158" i="17"/>
  <c r="I214" i="17"/>
  <c r="Q214" i="17"/>
  <c r="Y214" i="17"/>
  <c r="AK158" i="17"/>
  <c r="AS158" i="17"/>
  <c r="BA158" i="17"/>
  <c r="B214" i="17"/>
  <c r="J214" i="17"/>
  <c r="R214" i="17"/>
  <c r="Z214" i="17"/>
  <c r="AG214" i="17"/>
  <c r="AL158" i="17"/>
  <c r="AT158" i="17"/>
  <c r="BB158" i="17"/>
  <c r="C214" i="17"/>
  <c r="K214" i="17"/>
  <c r="S214" i="17"/>
  <c r="AA214" i="17"/>
  <c r="AO214" i="17"/>
  <c r="AM158" i="17"/>
  <c r="AU158" i="17"/>
  <c r="BC158" i="17"/>
  <c r="D214" i="17"/>
  <c r="L214" i="17"/>
  <c r="T214" i="17"/>
  <c r="AB214" i="17"/>
  <c r="AW214" i="17"/>
  <c r="AN158" i="17"/>
  <c r="AV158" i="17"/>
  <c r="BD158" i="17"/>
  <c r="E214" i="17"/>
  <c r="M214" i="17"/>
  <c r="U214" i="17"/>
  <c r="AC214" i="17"/>
  <c r="BE214" i="17"/>
  <c r="AG158" i="17"/>
  <c r="AO158" i="17"/>
  <c r="AW158" i="17"/>
  <c r="BE158" i="17"/>
  <c r="V214" i="17"/>
  <c r="I158" i="17"/>
  <c r="Q158" i="17"/>
  <c r="Y158" i="17"/>
  <c r="AH158" i="17"/>
  <c r="W214" i="17"/>
  <c r="B158" i="17"/>
  <c r="J158" i="17"/>
  <c r="R158" i="17"/>
  <c r="Z158" i="17"/>
  <c r="AP158" i="17"/>
  <c r="F214" i="17"/>
  <c r="X214" i="17"/>
  <c r="C158" i="17"/>
  <c r="K158" i="17"/>
  <c r="S158" i="17"/>
  <c r="AA158" i="17"/>
  <c r="AX158" i="17"/>
  <c r="G214" i="17"/>
  <c r="D158" i="17"/>
  <c r="L158" i="17"/>
  <c r="T158" i="17"/>
  <c r="AB158" i="17"/>
  <c r="BF158" i="17"/>
  <c r="H214" i="17"/>
  <c r="E158" i="17"/>
  <c r="M158" i="17"/>
  <c r="U158" i="17"/>
  <c r="AC158" i="17"/>
  <c r="O214" i="17"/>
  <c r="G158" i="17"/>
  <c r="O158" i="17"/>
  <c r="W158" i="17"/>
  <c r="H158" i="17"/>
  <c r="GM160" i="14"/>
  <c r="GU160" i="14"/>
  <c r="HC160" i="14"/>
  <c r="FC160" i="14"/>
  <c r="FK160" i="14"/>
  <c r="FS160" i="14"/>
  <c r="GA160" i="14"/>
  <c r="N158" i="17"/>
  <c r="GN160" i="14"/>
  <c r="GV160" i="14"/>
  <c r="HD160" i="14"/>
  <c r="FD160" i="14"/>
  <c r="FL160" i="14"/>
  <c r="FT160" i="14"/>
  <c r="GB160" i="14"/>
  <c r="P158" i="17"/>
  <c r="GO160" i="14"/>
  <c r="GW160" i="14"/>
  <c r="HE160" i="14"/>
  <c r="FE160" i="14"/>
  <c r="FM160" i="14"/>
  <c r="FU160" i="14"/>
  <c r="GC160" i="14"/>
  <c r="V158" i="17"/>
  <c r="GP160" i="14"/>
  <c r="GX160" i="14"/>
  <c r="HF160" i="14"/>
  <c r="FF160" i="14"/>
  <c r="FN160" i="14"/>
  <c r="FV160" i="14"/>
  <c r="GD160" i="14"/>
  <c r="X158" i="17"/>
  <c r="GI160" i="14"/>
  <c r="GQ160" i="14"/>
  <c r="GY160" i="14"/>
  <c r="HG160" i="14"/>
  <c r="FG160" i="14"/>
  <c r="FO160" i="14"/>
  <c r="FW160" i="14"/>
  <c r="P214" i="17"/>
  <c r="GK160" i="14"/>
  <c r="GS160" i="14"/>
  <c r="HA160" i="14"/>
  <c r="HI160" i="14"/>
  <c r="FI160" i="14"/>
  <c r="FQ160" i="14"/>
  <c r="FY160" i="14"/>
  <c r="HJ160" i="14"/>
  <c r="FJ160" i="14"/>
  <c r="FI216" i="14"/>
  <c r="FQ216" i="14"/>
  <c r="FY216" i="14"/>
  <c r="GJ160" i="14"/>
  <c r="FP160" i="14"/>
  <c r="FJ216" i="14"/>
  <c r="FR216" i="14"/>
  <c r="FZ216" i="14"/>
  <c r="GL160" i="14"/>
  <c r="FR160" i="14"/>
  <c r="FC216" i="14"/>
  <c r="FK216" i="14"/>
  <c r="FS216" i="14"/>
  <c r="GA216" i="14"/>
  <c r="GR160" i="14"/>
  <c r="FX160" i="14"/>
  <c r="FD216" i="14"/>
  <c r="FL216" i="14"/>
  <c r="FT216" i="14"/>
  <c r="GB216" i="14"/>
  <c r="GT160" i="14"/>
  <c r="FZ160" i="14"/>
  <c r="FE216" i="14"/>
  <c r="FM216" i="14"/>
  <c r="FU216" i="14"/>
  <c r="GC216" i="14"/>
  <c r="F158" i="17"/>
  <c r="HB160" i="14"/>
  <c r="FG216" i="14"/>
  <c r="FO216" i="14"/>
  <c r="FW216" i="14"/>
  <c r="FP216" i="14"/>
  <c r="DZ216" i="14"/>
  <c r="EH216" i="14"/>
  <c r="EP216" i="14"/>
  <c r="EX216" i="14"/>
  <c r="ED160" i="14"/>
  <c r="EL160" i="14"/>
  <c r="ET160" i="14"/>
  <c r="FV216" i="14"/>
  <c r="EA216" i="14"/>
  <c r="EI216" i="14"/>
  <c r="EQ216" i="14"/>
  <c r="EY216" i="14"/>
  <c r="EE160" i="14"/>
  <c r="EM160" i="14"/>
  <c r="EU160" i="14"/>
  <c r="FX216" i="14"/>
  <c r="EB216" i="14"/>
  <c r="EJ216" i="14"/>
  <c r="ER216" i="14"/>
  <c r="DX160" i="14"/>
  <c r="EF160" i="14"/>
  <c r="EN160" i="14"/>
  <c r="EV160" i="14"/>
  <c r="N214" i="17"/>
  <c r="GZ160" i="14"/>
  <c r="GD216" i="14"/>
  <c r="EC216" i="14"/>
  <c r="EK216" i="14"/>
  <c r="ES216" i="14"/>
  <c r="DY160" i="14"/>
  <c r="EG160" i="14"/>
  <c r="EO160" i="14"/>
  <c r="EW160" i="14"/>
  <c r="HH160" i="14"/>
  <c r="FH160" i="14"/>
  <c r="ED216" i="14"/>
  <c r="EL216" i="14"/>
  <c r="ET216" i="14"/>
  <c r="DZ160" i="14"/>
  <c r="EH160" i="14"/>
  <c r="EP160" i="14"/>
  <c r="EX160" i="14"/>
  <c r="FH216" i="14"/>
  <c r="DX216" i="14"/>
  <c r="EF216" i="14"/>
  <c r="EN216" i="14"/>
  <c r="EV216" i="14"/>
  <c r="EB160" i="14"/>
  <c r="EJ160" i="14"/>
  <c r="ER160" i="14"/>
  <c r="FN216" i="14"/>
  <c r="DY216" i="14"/>
  <c r="EK160" i="14"/>
  <c r="CV216" i="14"/>
  <c r="DD216" i="14"/>
  <c r="DL216" i="14"/>
  <c r="DT216" i="14"/>
  <c r="CU160" i="14"/>
  <c r="DC160" i="14"/>
  <c r="DK160" i="14"/>
  <c r="DS160" i="14"/>
  <c r="AG216" i="14"/>
  <c r="AO216" i="14"/>
  <c r="AW216" i="14"/>
  <c r="EE216" i="14"/>
  <c r="EQ160" i="14"/>
  <c r="CW216" i="14"/>
  <c r="DE216" i="14"/>
  <c r="DM216" i="14"/>
  <c r="CV160" i="14"/>
  <c r="DD160" i="14"/>
  <c r="DL160" i="14"/>
  <c r="DT160" i="14"/>
  <c r="AH216" i="14"/>
  <c r="AP216" i="14"/>
  <c r="AX216" i="14"/>
  <c r="EG216" i="14"/>
  <c r="ES160" i="14"/>
  <c r="CX216" i="14"/>
  <c r="DF216" i="14"/>
  <c r="DN216" i="14"/>
  <c r="CW160" i="14"/>
  <c r="DE160" i="14"/>
  <c r="DM160" i="14"/>
  <c r="AA216" i="14"/>
  <c r="AI216" i="14"/>
  <c r="AQ216" i="14"/>
  <c r="AY216" i="14"/>
  <c r="EM216" i="14"/>
  <c r="EY160" i="14"/>
  <c r="CY216" i="14"/>
  <c r="DG216" i="14"/>
  <c r="DO216" i="14"/>
  <c r="CX160" i="14"/>
  <c r="DF160" i="14"/>
  <c r="DN160" i="14"/>
  <c r="AB216" i="14"/>
  <c r="AJ216" i="14"/>
  <c r="AR216" i="14"/>
  <c r="AZ216" i="14"/>
  <c r="EO216" i="14"/>
  <c r="CZ216" i="14"/>
  <c r="DH216" i="14"/>
  <c r="DP216" i="14"/>
  <c r="CY160" i="14"/>
  <c r="DG160" i="14"/>
  <c r="DO160" i="14"/>
  <c r="AC216" i="14"/>
  <c r="AK216" i="14"/>
  <c r="AS216" i="14"/>
  <c r="BA216" i="14"/>
  <c r="EW216" i="14"/>
  <c r="EC160" i="14"/>
  <c r="CT216" i="14"/>
  <c r="DB216" i="14"/>
  <c r="DJ216" i="14"/>
  <c r="DR216" i="14"/>
  <c r="CS160" i="14"/>
  <c r="DA160" i="14"/>
  <c r="DI160" i="14"/>
  <c r="DQ160" i="14"/>
  <c r="AE216" i="14"/>
  <c r="AM216" i="14"/>
  <c r="AU216" i="14"/>
  <c r="FF216" i="14"/>
  <c r="CU216" i="14"/>
  <c r="DB160" i="14"/>
  <c r="AV216" i="14"/>
  <c r="DA216" i="14"/>
  <c r="DH160" i="14"/>
  <c r="BB216" i="14"/>
  <c r="DC216" i="14"/>
  <c r="DJ160" i="14"/>
  <c r="EU216" i="14"/>
  <c r="EA160" i="14"/>
  <c r="DI216" i="14"/>
  <c r="DP160" i="14"/>
  <c r="AD216" i="14"/>
  <c r="DS216" i="14"/>
  <c r="CT160" i="14"/>
  <c r="AN216" i="14"/>
  <c r="CS216" i="14"/>
  <c r="CZ160" i="14"/>
  <c r="AT216" i="14"/>
  <c r="DK216" i="14"/>
  <c r="DR160" i="14"/>
  <c r="AF216" i="14"/>
  <c r="AF160" i="14"/>
  <c r="AN160" i="14"/>
  <c r="AV160" i="14"/>
  <c r="I212" i="6"/>
  <c r="I109" i="2" s="1"/>
  <c r="Q212" i="6"/>
  <c r="Y212" i="6"/>
  <c r="AG212" i="6"/>
  <c r="EI160" i="14"/>
  <c r="DQ216" i="14"/>
  <c r="AL216" i="14"/>
  <c r="AG160" i="14"/>
  <c r="AO160" i="14"/>
  <c r="AW160" i="14"/>
  <c r="J212" i="6"/>
  <c r="R212" i="6"/>
  <c r="Z212" i="6"/>
  <c r="AH212" i="6"/>
  <c r="AH160" i="14"/>
  <c r="AP160" i="14"/>
  <c r="AX160" i="14"/>
  <c r="K212" i="6"/>
  <c r="S212" i="6"/>
  <c r="AA212" i="6"/>
  <c r="AI212" i="6"/>
  <c r="AA160" i="14"/>
  <c r="AI160" i="14"/>
  <c r="AQ160" i="14"/>
  <c r="AY160" i="14"/>
  <c r="L212" i="6"/>
  <c r="T212" i="6"/>
  <c r="AB212" i="6"/>
  <c r="AJ212" i="6"/>
  <c r="AD160" i="14"/>
  <c r="AL160" i="14"/>
  <c r="AT160" i="14"/>
  <c r="BB160" i="14"/>
  <c r="O212" i="6"/>
  <c r="W212" i="6"/>
  <c r="AE212" i="6"/>
  <c r="AE160" i="14"/>
  <c r="AM160" i="14"/>
  <c r="AU160" i="14"/>
  <c r="P212" i="6"/>
  <c r="X212" i="6"/>
  <c r="AF212" i="6"/>
  <c r="AB160" i="14"/>
  <c r="AC212" i="6"/>
  <c r="AS160" i="14"/>
  <c r="V212" i="6"/>
  <c r="AC160" i="14"/>
  <c r="AD212" i="6"/>
  <c r="BA160" i="14"/>
  <c r="AJ160" i="14"/>
  <c r="N212" i="6"/>
  <c r="AK160" i="14"/>
  <c r="AR160" i="14"/>
  <c r="M212" i="6"/>
  <c r="AZ160" i="14"/>
  <c r="U212" i="6"/>
  <c r="BO160" i="14"/>
  <c r="BW160" i="14"/>
  <c r="CE160" i="14"/>
  <c r="CM160" i="14"/>
  <c r="BS216" i="14"/>
  <c r="CA216" i="14"/>
  <c r="CI216" i="14"/>
  <c r="BP160" i="14"/>
  <c r="BX160" i="14"/>
  <c r="CF160" i="14"/>
  <c r="CN160" i="14"/>
  <c r="BT216" i="14"/>
  <c r="CB216" i="14"/>
  <c r="CJ216" i="14"/>
  <c r="CB160" i="14"/>
  <c r="BQ160" i="14"/>
  <c r="BY160" i="14"/>
  <c r="CG160" i="14"/>
  <c r="CO160" i="14"/>
  <c r="BU216" i="14"/>
  <c r="CC216" i="14"/>
  <c r="CK216" i="14"/>
  <c r="CJ160" i="14"/>
  <c r="CF216" i="14"/>
  <c r="BR160" i="14"/>
  <c r="BZ160" i="14"/>
  <c r="CH160" i="14"/>
  <c r="BN216" i="14"/>
  <c r="BV216" i="14"/>
  <c r="CD216" i="14"/>
  <c r="CL216" i="14"/>
  <c r="BP216" i="14"/>
  <c r="CN216" i="14"/>
  <c r="BS160" i="14"/>
  <c r="CA160" i="14"/>
  <c r="CI160" i="14"/>
  <c r="BO216" i="14"/>
  <c r="BW216" i="14"/>
  <c r="CE216" i="14"/>
  <c r="CM216" i="14"/>
  <c r="BT160" i="14"/>
  <c r="BX216" i="14"/>
  <c r="BU160" i="14"/>
  <c r="CC160" i="14"/>
  <c r="CK160" i="14"/>
  <c r="BQ216" i="14"/>
  <c r="BY216" i="14"/>
  <c r="CG216" i="14"/>
  <c r="CO216" i="14"/>
  <c r="BN160" i="14"/>
  <c r="BV160" i="14"/>
  <c r="CD160" i="14"/>
  <c r="CL160" i="14"/>
  <c r="BR216" i="14"/>
  <c r="BZ216" i="14"/>
  <c r="CH216" i="14"/>
  <c r="BO154" i="17"/>
  <c r="BW154" i="17"/>
  <c r="CE154" i="17"/>
  <c r="CM154" i="17"/>
  <c r="BQ154" i="17"/>
  <c r="BY154" i="17"/>
  <c r="CG154" i="17"/>
  <c r="BR154" i="17"/>
  <c r="BZ154" i="17"/>
  <c r="CH154" i="17"/>
  <c r="BS154" i="17"/>
  <c r="CA154" i="17"/>
  <c r="CI154" i="17"/>
  <c r="BT154" i="17"/>
  <c r="CB154" i="17"/>
  <c r="CJ154" i="17"/>
  <c r="BM154" i="17"/>
  <c r="BU154" i="17"/>
  <c r="CC154" i="17"/>
  <c r="CK154" i="17"/>
  <c r="BV154" i="17"/>
  <c r="BX154" i="17"/>
  <c r="CD154" i="17"/>
  <c r="CF154" i="17"/>
  <c r="CL154" i="17"/>
  <c r="CN154" i="17"/>
  <c r="BN154" i="17"/>
  <c r="AH210" i="17"/>
  <c r="AP210" i="17"/>
  <c r="AX210" i="17"/>
  <c r="BF210" i="17"/>
  <c r="AI210" i="17"/>
  <c r="AQ210" i="17"/>
  <c r="AY210" i="17"/>
  <c r="BG210" i="17"/>
  <c r="AJ210" i="17"/>
  <c r="AR210" i="17"/>
  <c r="AZ210" i="17"/>
  <c r="BH210" i="17"/>
  <c r="AK210" i="17"/>
  <c r="AS210" i="17"/>
  <c r="BA210" i="17"/>
  <c r="AL210" i="17"/>
  <c r="AT210" i="17"/>
  <c r="BB210" i="17"/>
  <c r="AM210" i="17"/>
  <c r="AU210" i="17"/>
  <c r="BC210" i="17"/>
  <c r="BP154" i="17"/>
  <c r="AN210" i="17"/>
  <c r="AV210" i="17"/>
  <c r="BD210" i="17"/>
  <c r="BE210" i="17"/>
  <c r="AI154" i="17"/>
  <c r="AQ154" i="17"/>
  <c r="AY154" i="17"/>
  <c r="BG154" i="17"/>
  <c r="AJ154" i="17"/>
  <c r="AR154" i="17"/>
  <c r="AZ154" i="17"/>
  <c r="BH154" i="17"/>
  <c r="I210" i="17"/>
  <c r="Q210" i="17"/>
  <c r="Y210" i="17"/>
  <c r="AK154" i="17"/>
  <c r="AS154" i="17"/>
  <c r="BA154" i="17"/>
  <c r="B210" i="17"/>
  <c r="J210" i="17"/>
  <c r="R210" i="17"/>
  <c r="Z210" i="17"/>
  <c r="AL154" i="17"/>
  <c r="AT154" i="17"/>
  <c r="BB154" i="17"/>
  <c r="C210" i="17"/>
  <c r="K210" i="17"/>
  <c r="S210" i="17"/>
  <c r="AA210" i="17"/>
  <c r="AM154" i="17"/>
  <c r="AU154" i="17"/>
  <c r="BC154" i="17"/>
  <c r="D210" i="17"/>
  <c r="L210" i="17"/>
  <c r="T210" i="17"/>
  <c r="AB210" i="17"/>
  <c r="AG210" i="17"/>
  <c r="AN154" i="17"/>
  <c r="AV154" i="17"/>
  <c r="BD154" i="17"/>
  <c r="E210" i="17"/>
  <c r="M210" i="17"/>
  <c r="U210" i="17"/>
  <c r="AC210" i="17"/>
  <c r="AO210" i="17"/>
  <c r="AG154" i="17"/>
  <c r="AO154" i="17"/>
  <c r="AW154" i="17"/>
  <c r="BE154" i="17"/>
  <c r="F210" i="17"/>
  <c r="X210" i="17"/>
  <c r="I154" i="17"/>
  <c r="Q154" i="17"/>
  <c r="Y154" i="17"/>
  <c r="G210" i="17"/>
  <c r="B154" i="17"/>
  <c r="J154" i="17"/>
  <c r="R154" i="17"/>
  <c r="Z154" i="17"/>
  <c r="H210" i="17"/>
  <c r="C154" i="17"/>
  <c r="K154" i="17"/>
  <c r="S154" i="17"/>
  <c r="AA154" i="17"/>
  <c r="GJ156" i="14"/>
  <c r="AW210" i="17"/>
  <c r="AH154" i="17"/>
  <c r="N210" i="17"/>
  <c r="D154" i="17"/>
  <c r="L154" i="17"/>
  <c r="T154" i="17"/>
  <c r="AB154" i="17"/>
  <c r="AP154" i="17"/>
  <c r="O210" i="17"/>
  <c r="E154" i="17"/>
  <c r="M154" i="17"/>
  <c r="U154" i="17"/>
  <c r="AC154" i="17"/>
  <c r="GL156" i="14"/>
  <c r="BF154" i="17"/>
  <c r="V210" i="17"/>
  <c r="G154" i="17"/>
  <c r="O154" i="17"/>
  <c r="W154" i="17"/>
  <c r="X154" i="17"/>
  <c r="GM156" i="14"/>
  <c r="GU156" i="14"/>
  <c r="HC156" i="14"/>
  <c r="FC156" i="14"/>
  <c r="FK156" i="14"/>
  <c r="FS156" i="14"/>
  <c r="GA156" i="14"/>
  <c r="GN156" i="14"/>
  <c r="GV156" i="14"/>
  <c r="HD156" i="14"/>
  <c r="FD156" i="14"/>
  <c r="FL156" i="14"/>
  <c r="FT156" i="14"/>
  <c r="GB156" i="14"/>
  <c r="GO156" i="14"/>
  <c r="GW156" i="14"/>
  <c r="HE156" i="14"/>
  <c r="FE156" i="14"/>
  <c r="FM156" i="14"/>
  <c r="FU156" i="14"/>
  <c r="GC156" i="14"/>
  <c r="P210" i="17"/>
  <c r="F154" i="17"/>
  <c r="GP156" i="14"/>
  <c r="GX156" i="14"/>
  <c r="HF156" i="14"/>
  <c r="FF156" i="14"/>
  <c r="FN156" i="14"/>
  <c r="FV156" i="14"/>
  <c r="GD156" i="14"/>
  <c r="W210" i="17"/>
  <c r="H154" i="17"/>
  <c r="GQ156" i="14"/>
  <c r="GY156" i="14"/>
  <c r="HG156" i="14"/>
  <c r="FG156" i="14"/>
  <c r="FO156" i="14"/>
  <c r="FW156" i="14"/>
  <c r="P154" i="17"/>
  <c r="GI156" i="14"/>
  <c r="GS156" i="14"/>
  <c r="HA156" i="14"/>
  <c r="HI156" i="14"/>
  <c r="FI156" i="14"/>
  <c r="FQ156" i="14"/>
  <c r="FY156" i="14"/>
  <c r="V154" i="17"/>
  <c r="GT156" i="14"/>
  <c r="FZ156" i="14"/>
  <c r="FI212" i="14"/>
  <c r="FQ212" i="14"/>
  <c r="FY212" i="14"/>
  <c r="GZ156" i="14"/>
  <c r="FJ212" i="14"/>
  <c r="FR212" i="14"/>
  <c r="FZ212" i="14"/>
  <c r="AX154" i="17"/>
  <c r="HB156" i="14"/>
  <c r="FC212" i="14"/>
  <c r="FK212" i="14"/>
  <c r="FS212" i="14"/>
  <c r="GA212" i="14"/>
  <c r="HH156" i="14"/>
  <c r="FH156" i="14"/>
  <c r="FD212" i="14"/>
  <c r="FL212" i="14"/>
  <c r="FT212" i="14"/>
  <c r="GB212" i="14"/>
  <c r="HJ156" i="14"/>
  <c r="FJ156" i="14"/>
  <c r="FE212" i="14"/>
  <c r="FM212" i="14"/>
  <c r="FU212" i="14"/>
  <c r="GC212" i="14"/>
  <c r="GK156" i="14"/>
  <c r="FR156" i="14"/>
  <c r="FG212" i="14"/>
  <c r="FO212" i="14"/>
  <c r="FW212" i="14"/>
  <c r="DZ212" i="14"/>
  <c r="EH212" i="14"/>
  <c r="EP212" i="14"/>
  <c r="EX212" i="14"/>
  <c r="ED156" i="14"/>
  <c r="EL156" i="14"/>
  <c r="ET156" i="14"/>
  <c r="FF212" i="14"/>
  <c r="EA212" i="14"/>
  <c r="EI212" i="14"/>
  <c r="EQ212" i="14"/>
  <c r="EY212" i="14"/>
  <c r="EE156" i="14"/>
  <c r="EM156" i="14"/>
  <c r="EU156" i="14"/>
  <c r="N154" i="17"/>
  <c r="FH212" i="14"/>
  <c r="EB212" i="14"/>
  <c r="EJ212" i="14"/>
  <c r="ER212" i="14"/>
  <c r="DX156" i="14"/>
  <c r="EF156" i="14"/>
  <c r="EN156" i="14"/>
  <c r="EV156" i="14"/>
  <c r="FN212" i="14"/>
  <c r="EC212" i="14"/>
  <c r="EK212" i="14"/>
  <c r="ES212" i="14"/>
  <c r="DY156" i="14"/>
  <c r="EG156" i="14"/>
  <c r="EO156" i="14"/>
  <c r="EW156" i="14"/>
  <c r="GR156" i="14"/>
  <c r="FP212" i="14"/>
  <c r="ED212" i="14"/>
  <c r="EL212" i="14"/>
  <c r="ET212" i="14"/>
  <c r="DZ156" i="14"/>
  <c r="EH156" i="14"/>
  <c r="EP156" i="14"/>
  <c r="EX156" i="14"/>
  <c r="FX156" i="14"/>
  <c r="FX212" i="14"/>
  <c r="DX212" i="14"/>
  <c r="EF212" i="14"/>
  <c r="EN212" i="14"/>
  <c r="EV212" i="14"/>
  <c r="EB156" i="14"/>
  <c r="EJ156" i="14"/>
  <c r="ER156" i="14"/>
  <c r="EO212" i="14"/>
  <c r="CV212" i="14"/>
  <c r="DD212" i="14"/>
  <c r="DL212" i="14"/>
  <c r="DT212" i="14"/>
  <c r="CU156" i="14"/>
  <c r="DC156" i="14"/>
  <c r="DK156" i="14"/>
  <c r="DS156" i="14"/>
  <c r="AG212" i="14"/>
  <c r="AO212" i="14"/>
  <c r="AW212" i="14"/>
  <c r="FV212" i="14"/>
  <c r="EU212" i="14"/>
  <c r="EA156" i="14"/>
  <c r="CW212" i="14"/>
  <c r="DE212" i="14"/>
  <c r="DM212" i="14"/>
  <c r="CV156" i="14"/>
  <c r="DD156" i="14"/>
  <c r="DL156" i="14"/>
  <c r="DT156" i="14"/>
  <c r="AH212" i="14"/>
  <c r="AP212" i="14"/>
  <c r="AX212" i="14"/>
  <c r="GD212" i="14"/>
  <c r="EW212" i="14"/>
  <c r="EC156" i="14"/>
  <c r="CX212" i="14"/>
  <c r="DF212" i="14"/>
  <c r="DN212" i="14"/>
  <c r="CW156" i="14"/>
  <c r="DE156" i="14"/>
  <c r="DM156" i="14"/>
  <c r="AA212" i="14"/>
  <c r="AI212" i="14"/>
  <c r="AQ212" i="14"/>
  <c r="AY212" i="14"/>
  <c r="EI156" i="14"/>
  <c r="CY212" i="14"/>
  <c r="DG212" i="14"/>
  <c r="DO212" i="14"/>
  <c r="CX156" i="14"/>
  <c r="DF156" i="14"/>
  <c r="DN156" i="14"/>
  <c r="AB212" i="14"/>
  <c r="AJ212" i="14"/>
  <c r="AR212" i="14"/>
  <c r="AZ212" i="14"/>
  <c r="DY212" i="14"/>
  <c r="EK156" i="14"/>
  <c r="CZ212" i="14"/>
  <c r="DH212" i="14"/>
  <c r="DP212" i="14"/>
  <c r="CY156" i="14"/>
  <c r="DG156" i="14"/>
  <c r="DO156" i="14"/>
  <c r="AC212" i="14"/>
  <c r="AK212" i="14"/>
  <c r="AS212" i="14"/>
  <c r="BA212" i="14"/>
  <c r="EG212" i="14"/>
  <c r="ES156" i="14"/>
  <c r="CT212" i="14"/>
  <c r="DB212" i="14"/>
  <c r="DJ212" i="14"/>
  <c r="DR212" i="14"/>
  <c r="CS156" i="14"/>
  <c r="DA156" i="14"/>
  <c r="DI156" i="14"/>
  <c r="DQ156" i="14"/>
  <c r="AE212" i="14"/>
  <c r="AM212" i="14"/>
  <c r="AU212" i="14"/>
  <c r="DK212" i="14"/>
  <c r="DR156" i="14"/>
  <c r="AF212" i="14"/>
  <c r="DQ212" i="14"/>
  <c r="AL212" i="14"/>
  <c r="DS212" i="14"/>
  <c r="CT156" i="14"/>
  <c r="AN212" i="14"/>
  <c r="EE212" i="14"/>
  <c r="CS212" i="14"/>
  <c r="CZ156" i="14"/>
  <c r="AT212" i="14"/>
  <c r="FP156" i="14"/>
  <c r="EY156" i="14"/>
  <c r="DC212" i="14"/>
  <c r="DJ156" i="14"/>
  <c r="DI212" i="14"/>
  <c r="DP156" i="14"/>
  <c r="AD212" i="14"/>
  <c r="CU212" i="14"/>
  <c r="DB156" i="14"/>
  <c r="AF156" i="14"/>
  <c r="AN156" i="14"/>
  <c r="AV156" i="14"/>
  <c r="I208" i="6"/>
  <c r="I105" i="2" s="1"/>
  <c r="Q208" i="6"/>
  <c r="Y208" i="6"/>
  <c r="AG208" i="6"/>
  <c r="DA212" i="14"/>
  <c r="DH156" i="14"/>
  <c r="AG156" i="14"/>
  <c r="AO156" i="14"/>
  <c r="AW156" i="14"/>
  <c r="J208" i="6"/>
  <c r="R208" i="6"/>
  <c r="Z208" i="6"/>
  <c r="AH208" i="6"/>
  <c r="AV212" i="14"/>
  <c r="AH156" i="14"/>
  <c r="AP156" i="14"/>
  <c r="AX156" i="14"/>
  <c r="K208" i="6"/>
  <c r="S208" i="6"/>
  <c r="AA208" i="6"/>
  <c r="AI208" i="6"/>
  <c r="EM212" i="14"/>
  <c r="EQ156" i="14"/>
  <c r="BB212" i="14"/>
  <c r="AA156" i="14"/>
  <c r="AI156" i="14"/>
  <c r="AQ156" i="14"/>
  <c r="AY156" i="14"/>
  <c r="L208" i="6"/>
  <c r="T208" i="6"/>
  <c r="AB208" i="6"/>
  <c r="AJ208" i="6"/>
  <c r="AD156" i="14"/>
  <c r="AL156" i="14"/>
  <c r="AT156" i="14"/>
  <c r="BB156" i="14"/>
  <c r="O208" i="6"/>
  <c r="W208" i="6"/>
  <c r="AE208" i="6"/>
  <c r="AE156" i="14"/>
  <c r="AM156" i="14"/>
  <c r="AU156" i="14"/>
  <c r="P208" i="6"/>
  <c r="X208" i="6"/>
  <c r="AF208" i="6"/>
  <c r="AR156" i="14"/>
  <c r="M208" i="6"/>
  <c r="AC156" i="14"/>
  <c r="AS156" i="14"/>
  <c r="N208" i="6"/>
  <c r="AZ156" i="14"/>
  <c r="U208" i="6"/>
  <c r="BA156" i="14"/>
  <c r="V208" i="6"/>
  <c r="AD208" i="6"/>
  <c r="AB156" i="14"/>
  <c r="AC208" i="6"/>
  <c r="AJ156" i="14"/>
  <c r="AK156" i="14"/>
  <c r="BO156" i="14"/>
  <c r="BW156" i="14"/>
  <c r="CE156" i="14"/>
  <c r="CM156" i="14"/>
  <c r="BS212" i="14"/>
  <c r="CA212" i="14"/>
  <c r="CI212" i="14"/>
  <c r="BR212" i="14"/>
  <c r="BP156" i="14"/>
  <c r="BX156" i="14"/>
  <c r="CF156" i="14"/>
  <c r="CN156" i="14"/>
  <c r="BT212" i="14"/>
  <c r="CB212" i="14"/>
  <c r="CJ212" i="14"/>
  <c r="BX212" i="14"/>
  <c r="BZ212" i="14"/>
  <c r="BQ156" i="14"/>
  <c r="BY156" i="14"/>
  <c r="CG156" i="14"/>
  <c r="CO156" i="14"/>
  <c r="BU212" i="14"/>
  <c r="CC212" i="14"/>
  <c r="CK212" i="14"/>
  <c r="CB156" i="14"/>
  <c r="CN212" i="14"/>
  <c r="BR156" i="14"/>
  <c r="BZ156" i="14"/>
  <c r="CH156" i="14"/>
  <c r="BN212" i="14"/>
  <c r="BV212" i="14"/>
  <c r="CD212" i="14"/>
  <c r="CL212" i="14"/>
  <c r="BT156" i="14"/>
  <c r="CF212" i="14"/>
  <c r="CH212" i="14"/>
  <c r="BS156" i="14"/>
  <c r="CA156" i="14"/>
  <c r="CI156" i="14"/>
  <c r="BO212" i="14"/>
  <c r="BW212" i="14"/>
  <c r="CE212" i="14"/>
  <c r="CM212" i="14"/>
  <c r="CJ156" i="14"/>
  <c r="BP212" i="14"/>
  <c r="BU156" i="14"/>
  <c r="CC156" i="14"/>
  <c r="CK156" i="14"/>
  <c r="BQ212" i="14"/>
  <c r="BY212" i="14"/>
  <c r="CG212" i="14"/>
  <c r="CO212" i="14"/>
  <c r="BN156" i="14"/>
  <c r="BV156" i="14"/>
  <c r="CD156" i="14"/>
  <c r="CL156" i="14"/>
  <c r="BS159" i="17"/>
  <c r="CA159" i="17"/>
  <c r="CI159" i="17"/>
  <c r="BM159" i="17"/>
  <c r="BU159" i="17"/>
  <c r="CC159" i="17"/>
  <c r="BN159" i="17"/>
  <c r="BV159" i="17"/>
  <c r="CD159" i="17"/>
  <c r="BO159" i="17"/>
  <c r="BW159" i="17"/>
  <c r="BP159" i="17"/>
  <c r="BX159" i="17"/>
  <c r="CF159" i="17"/>
  <c r="BQ159" i="17"/>
  <c r="BY159" i="17"/>
  <c r="CG159" i="17"/>
  <c r="CJ159" i="17"/>
  <c r="CK159" i="17"/>
  <c r="BR159" i="17"/>
  <c r="CL159" i="17"/>
  <c r="BT159" i="17"/>
  <c r="CM159" i="17"/>
  <c r="BZ159" i="17"/>
  <c r="CN159" i="17"/>
  <c r="CB159" i="17"/>
  <c r="CE159" i="17"/>
  <c r="AL215" i="17"/>
  <c r="AT215" i="17"/>
  <c r="BB215" i="17"/>
  <c r="AM215" i="17"/>
  <c r="AU215" i="17"/>
  <c r="BC215" i="17"/>
  <c r="AN215" i="17"/>
  <c r="AV215" i="17"/>
  <c r="BD215" i="17"/>
  <c r="CH159" i="17"/>
  <c r="AG215" i="17"/>
  <c r="AO215" i="17"/>
  <c r="AW215" i="17"/>
  <c r="BE215" i="17"/>
  <c r="AH215" i="17"/>
  <c r="AP215" i="17"/>
  <c r="AX215" i="17"/>
  <c r="BF215" i="17"/>
  <c r="AI215" i="17"/>
  <c r="AQ215" i="17"/>
  <c r="AY215" i="17"/>
  <c r="BG215" i="17"/>
  <c r="AJ215" i="17"/>
  <c r="AR215" i="17"/>
  <c r="AZ215" i="17"/>
  <c r="BH215" i="17"/>
  <c r="AS215" i="17"/>
  <c r="AM159" i="17"/>
  <c r="AU159" i="17"/>
  <c r="BC159" i="17"/>
  <c r="BA215" i="17"/>
  <c r="AN159" i="17"/>
  <c r="AV159" i="17"/>
  <c r="BD159" i="17"/>
  <c r="E215" i="17"/>
  <c r="M215" i="17"/>
  <c r="U215" i="17"/>
  <c r="AC215" i="17"/>
  <c r="AG159" i="17"/>
  <c r="AO159" i="17"/>
  <c r="AW159" i="17"/>
  <c r="BE159" i="17"/>
  <c r="F215" i="17"/>
  <c r="N215" i="17"/>
  <c r="V215" i="17"/>
  <c r="AH159" i="17"/>
  <c r="AP159" i="17"/>
  <c r="AX159" i="17"/>
  <c r="BF159" i="17"/>
  <c r="G215" i="17"/>
  <c r="O215" i="17"/>
  <c r="W215" i="17"/>
  <c r="AI159" i="17"/>
  <c r="AQ159" i="17"/>
  <c r="AY159" i="17"/>
  <c r="BG159" i="17"/>
  <c r="H215" i="17"/>
  <c r="P215" i="17"/>
  <c r="X215" i="17"/>
  <c r="AJ159" i="17"/>
  <c r="AR159" i="17"/>
  <c r="AZ159" i="17"/>
  <c r="BH159" i="17"/>
  <c r="I215" i="17"/>
  <c r="Q215" i="17"/>
  <c r="Y215" i="17"/>
  <c r="AK159" i="17"/>
  <c r="AS159" i="17"/>
  <c r="BA159" i="17"/>
  <c r="L215" i="17"/>
  <c r="E159" i="17"/>
  <c r="M159" i="17"/>
  <c r="U159" i="17"/>
  <c r="AC159" i="17"/>
  <c r="R215" i="17"/>
  <c r="F159" i="17"/>
  <c r="N159" i="17"/>
  <c r="V159" i="17"/>
  <c r="S215" i="17"/>
  <c r="G159" i="17"/>
  <c r="O159" i="17"/>
  <c r="W159" i="17"/>
  <c r="B215" i="17"/>
  <c r="T215" i="17"/>
  <c r="H159" i="17"/>
  <c r="P159" i="17"/>
  <c r="X159" i="17"/>
  <c r="C215" i="17"/>
  <c r="Z215" i="17"/>
  <c r="I159" i="17"/>
  <c r="Q159" i="17"/>
  <c r="Y159" i="17"/>
  <c r="AT159" i="17"/>
  <c r="J215" i="17"/>
  <c r="AB215" i="17"/>
  <c r="C159" i="17"/>
  <c r="K159" i="17"/>
  <c r="S159" i="17"/>
  <c r="AA159" i="17"/>
  <c r="K215" i="17"/>
  <c r="L159" i="17"/>
  <c r="GI161" i="14"/>
  <c r="GQ161" i="14"/>
  <c r="GY161" i="14"/>
  <c r="HG161" i="14"/>
  <c r="FG161" i="14"/>
  <c r="FO161" i="14"/>
  <c r="FW161" i="14"/>
  <c r="AA215" i="17"/>
  <c r="R159" i="17"/>
  <c r="GJ161" i="14"/>
  <c r="GR161" i="14"/>
  <c r="GZ161" i="14"/>
  <c r="HH161" i="14"/>
  <c r="FH161" i="14"/>
  <c r="FP161" i="14"/>
  <c r="FX161" i="14"/>
  <c r="T159" i="17"/>
  <c r="GK161" i="14"/>
  <c r="GS161" i="14"/>
  <c r="HA161" i="14"/>
  <c r="HI161" i="14"/>
  <c r="FI161" i="14"/>
  <c r="FQ161" i="14"/>
  <c r="FY161" i="14"/>
  <c r="AL159" i="17"/>
  <c r="Z159" i="17"/>
  <c r="GL161" i="14"/>
  <c r="GT161" i="14"/>
  <c r="HB161" i="14"/>
  <c r="HJ161" i="14"/>
  <c r="FJ161" i="14"/>
  <c r="FR161" i="14"/>
  <c r="FZ161" i="14"/>
  <c r="BB159" i="17"/>
  <c r="AB159" i="17"/>
  <c r="GM161" i="14"/>
  <c r="GU161" i="14"/>
  <c r="HC161" i="14"/>
  <c r="FC161" i="14"/>
  <c r="FK161" i="14"/>
  <c r="FS161" i="14"/>
  <c r="GA161" i="14"/>
  <c r="D159" i="17"/>
  <c r="GO161" i="14"/>
  <c r="GW161" i="14"/>
  <c r="HE161" i="14"/>
  <c r="FE161" i="14"/>
  <c r="FM161" i="14"/>
  <c r="FU161" i="14"/>
  <c r="GC161" i="14"/>
  <c r="J159" i="17"/>
  <c r="FN161" i="14"/>
  <c r="FE217" i="14"/>
  <c r="FM217" i="14"/>
  <c r="FU217" i="14"/>
  <c r="GC217" i="14"/>
  <c r="GN161" i="14"/>
  <c r="FT161" i="14"/>
  <c r="FF217" i="14"/>
  <c r="FN217" i="14"/>
  <c r="FV217" i="14"/>
  <c r="GD217" i="14"/>
  <c r="GP161" i="14"/>
  <c r="FV161" i="14"/>
  <c r="FG217" i="14"/>
  <c r="FO217" i="14"/>
  <c r="FW217" i="14"/>
  <c r="GV161" i="14"/>
  <c r="GB161" i="14"/>
  <c r="FH217" i="14"/>
  <c r="FP217" i="14"/>
  <c r="FX217" i="14"/>
  <c r="GX161" i="14"/>
  <c r="GD161" i="14"/>
  <c r="FI217" i="14"/>
  <c r="FQ217" i="14"/>
  <c r="FY217" i="14"/>
  <c r="AK215" i="17"/>
  <c r="D215" i="17"/>
  <c r="HF161" i="14"/>
  <c r="FF161" i="14"/>
  <c r="FC217" i="14"/>
  <c r="FK217" i="14"/>
  <c r="FS217" i="14"/>
  <c r="GA217" i="14"/>
  <c r="FT217" i="14"/>
  <c r="ED217" i="14"/>
  <c r="EL217" i="14"/>
  <c r="ET217" i="14"/>
  <c r="DZ161" i="14"/>
  <c r="EH161" i="14"/>
  <c r="EP161" i="14"/>
  <c r="EX161" i="14"/>
  <c r="FZ217" i="14"/>
  <c r="EE217" i="14"/>
  <c r="EM217" i="14"/>
  <c r="EU217" i="14"/>
  <c r="EA161" i="14"/>
  <c r="EI161" i="14"/>
  <c r="EQ161" i="14"/>
  <c r="EY161" i="14"/>
  <c r="GB217" i="14"/>
  <c r="DX217" i="14"/>
  <c r="EF217" i="14"/>
  <c r="EN217" i="14"/>
  <c r="EV217" i="14"/>
  <c r="EB161" i="14"/>
  <c r="EJ161" i="14"/>
  <c r="ER161" i="14"/>
  <c r="DY217" i="14"/>
  <c r="EG217" i="14"/>
  <c r="EO217" i="14"/>
  <c r="EW217" i="14"/>
  <c r="EC161" i="14"/>
  <c r="EK161" i="14"/>
  <c r="ES161" i="14"/>
  <c r="B159" i="17"/>
  <c r="FD217" i="14"/>
  <c r="DZ217" i="14"/>
  <c r="EH217" i="14"/>
  <c r="EP217" i="14"/>
  <c r="EX217" i="14"/>
  <c r="ED161" i="14"/>
  <c r="EL161" i="14"/>
  <c r="ET161" i="14"/>
  <c r="FL161" i="14"/>
  <c r="FL217" i="14"/>
  <c r="EB217" i="14"/>
  <c r="EJ217" i="14"/>
  <c r="ER217" i="14"/>
  <c r="DX161" i="14"/>
  <c r="EF161" i="14"/>
  <c r="EN161" i="14"/>
  <c r="EV161" i="14"/>
  <c r="EC217" i="14"/>
  <c r="EO161" i="14"/>
  <c r="CZ217" i="14"/>
  <c r="DH217" i="14"/>
  <c r="DP217" i="14"/>
  <c r="CY161" i="14"/>
  <c r="DG161" i="14"/>
  <c r="DO161" i="14"/>
  <c r="AC217" i="14"/>
  <c r="AK217" i="14"/>
  <c r="AS217" i="14"/>
  <c r="BA217" i="14"/>
  <c r="FD161" i="14"/>
  <c r="FJ217" i="14"/>
  <c r="EI217" i="14"/>
  <c r="EU161" i="14"/>
  <c r="CS217" i="14"/>
  <c r="DA217" i="14"/>
  <c r="DI217" i="14"/>
  <c r="DQ217" i="14"/>
  <c r="CZ161" i="14"/>
  <c r="DH161" i="14"/>
  <c r="DP161" i="14"/>
  <c r="AD217" i="14"/>
  <c r="AL217" i="14"/>
  <c r="AT217" i="14"/>
  <c r="BB217" i="14"/>
  <c r="FR217" i="14"/>
  <c r="EK217" i="14"/>
  <c r="EW161" i="14"/>
  <c r="CT217" i="14"/>
  <c r="DB217" i="14"/>
  <c r="DJ217" i="14"/>
  <c r="DR217" i="14"/>
  <c r="CS161" i="14"/>
  <c r="DA161" i="14"/>
  <c r="DI161" i="14"/>
  <c r="DQ161" i="14"/>
  <c r="AE217" i="14"/>
  <c r="AM217" i="14"/>
  <c r="AU217" i="14"/>
  <c r="HD161" i="14"/>
  <c r="EQ217" i="14"/>
  <c r="CU217" i="14"/>
  <c r="DC217" i="14"/>
  <c r="DK217" i="14"/>
  <c r="DS217" i="14"/>
  <c r="CT161" i="14"/>
  <c r="DB161" i="14"/>
  <c r="DJ161" i="14"/>
  <c r="DR161" i="14"/>
  <c r="AF217" i="14"/>
  <c r="AN217" i="14"/>
  <c r="AV217" i="14"/>
  <c r="ES217" i="14"/>
  <c r="DY161" i="14"/>
  <c r="CV217" i="14"/>
  <c r="DD217" i="14"/>
  <c r="DL217" i="14"/>
  <c r="DT217" i="14"/>
  <c r="CU161" i="14"/>
  <c r="DC161" i="14"/>
  <c r="DK161" i="14"/>
  <c r="DS161" i="14"/>
  <c r="AG217" i="14"/>
  <c r="AO217" i="14"/>
  <c r="AW217" i="14"/>
  <c r="EG161" i="14"/>
  <c r="CX217" i="14"/>
  <c r="DF217" i="14"/>
  <c r="DN217" i="14"/>
  <c r="CW161" i="14"/>
  <c r="DE161" i="14"/>
  <c r="DM161" i="14"/>
  <c r="AA217" i="14"/>
  <c r="AI217" i="14"/>
  <c r="AQ217" i="14"/>
  <c r="AY217" i="14"/>
  <c r="CY217" i="14"/>
  <c r="DF161" i="14"/>
  <c r="AZ217" i="14"/>
  <c r="DE217" i="14"/>
  <c r="DL161" i="14"/>
  <c r="DG217" i="14"/>
  <c r="DN161" i="14"/>
  <c r="AB217" i="14"/>
  <c r="DM217" i="14"/>
  <c r="DT161" i="14"/>
  <c r="AH217" i="14"/>
  <c r="EM161" i="14"/>
  <c r="CX161" i="14"/>
  <c r="AR217" i="14"/>
  <c r="CW217" i="14"/>
  <c r="DD161" i="14"/>
  <c r="AX217" i="14"/>
  <c r="AB161" i="14"/>
  <c r="AJ161" i="14"/>
  <c r="AR161" i="14"/>
  <c r="AZ161" i="14"/>
  <c r="M213" i="6"/>
  <c r="U213" i="6"/>
  <c r="AC213" i="6"/>
  <c r="CV161" i="14"/>
  <c r="AC161" i="14"/>
  <c r="AK161" i="14"/>
  <c r="AS161" i="14"/>
  <c r="BA161" i="14"/>
  <c r="N213" i="6"/>
  <c r="V213" i="6"/>
  <c r="AD213" i="6"/>
  <c r="DO217" i="14"/>
  <c r="AJ217" i="14"/>
  <c r="AD161" i="14"/>
  <c r="AL161" i="14"/>
  <c r="AT161" i="14"/>
  <c r="BB161" i="14"/>
  <c r="O213" i="6"/>
  <c r="W213" i="6"/>
  <c r="AE213" i="6"/>
  <c r="AP217" i="14"/>
  <c r="AE161" i="14"/>
  <c r="AM161" i="14"/>
  <c r="AU161" i="14"/>
  <c r="P213" i="6"/>
  <c r="X213" i="6"/>
  <c r="AF213" i="6"/>
  <c r="EA217" i="14"/>
  <c r="AH161" i="14"/>
  <c r="AP161" i="14"/>
  <c r="AX161" i="14"/>
  <c r="K213" i="6"/>
  <c r="S213" i="6"/>
  <c r="AA213" i="6"/>
  <c r="AI213" i="6"/>
  <c r="EY217" i="14"/>
  <c r="AA161" i="14"/>
  <c r="AI161" i="14"/>
  <c r="AQ161" i="14"/>
  <c r="AY161" i="14"/>
  <c r="L213" i="6"/>
  <c r="T213" i="6"/>
  <c r="AB213" i="6"/>
  <c r="AJ213" i="6"/>
  <c r="AF161" i="14"/>
  <c r="AG213" i="6"/>
  <c r="R213" i="6"/>
  <c r="AG161" i="14"/>
  <c r="AH213" i="6"/>
  <c r="EE161" i="14"/>
  <c r="AN161" i="14"/>
  <c r="I213" i="6"/>
  <c r="I111" i="2" s="1"/>
  <c r="AO161" i="14"/>
  <c r="J213" i="6"/>
  <c r="AV161" i="14"/>
  <c r="Q213" i="6"/>
  <c r="AW161" i="14"/>
  <c r="Z213" i="6"/>
  <c r="Y213" i="6"/>
  <c r="BS161" i="14"/>
  <c r="CA161" i="14"/>
  <c r="CI161" i="14"/>
  <c r="BO217" i="14"/>
  <c r="BW217" i="14"/>
  <c r="CE217" i="14"/>
  <c r="CM217" i="14"/>
  <c r="BT161" i="14"/>
  <c r="CB161" i="14"/>
  <c r="CJ161" i="14"/>
  <c r="BP217" i="14"/>
  <c r="BX217" i="14"/>
  <c r="CF217" i="14"/>
  <c r="CN217" i="14"/>
  <c r="CF161" i="14"/>
  <c r="BT217" i="14"/>
  <c r="BU161" i="14"/>
  <c r="CC161" i="14"/>
  <c r="CK161" i="14"/>
  <c r="BQ217" i="14"/>
  <c r="BY217" i="14"/>
  <c r="CG217" i="14"/>
  <c r="CO217" i="14"/>
  <c r="CN161" i="14"/>
  <c r="CB217" i="14"/>
  <c r="BN161" i="14"/>
  <c r="BV161" i="14"/>
  <c r="CD161" i="14"/>
  <c r="CL161" i="14"/>
  <c r="BR217" i="14"/>
  <c r="BZ217" i="14"/>
  <c r="CH217" i="14"/>
  <c r="BP161" i="14"/>
  <c r="BO161" i="14"/>
  <c r="BW161" i="14"/>
  <c r="CE161" i="14"/>
  <c r="CM161" i="14"/>
  <c r="BS217" i="14"/>
  <c r="CA217" i="14"/>
  <c r="CI217" i="14"/>
  <c r="BX161" i="14"/>
  <c r="CJ217" i="14"/>
  <c r="BQ161" i="14"/>
  <c r="BY161" i="14"/>
  <c r="CG161" i="14"/>
  <c r="CO161" i="14"/>
  <c r="BU217" i="14"/>
  <c r="CC217" i="14"/>
  <c r="CK217" i="14"/>
  <c r="BR161" i="14"/>
  <c r="BZ161" i="14"/>
  <c r="CH161" i="14"/>
  <c r="BN217" i="14"/>
  <c r="BV217" i="14"/>
  <c r="CD217" i="14"/>
  <c r="CL217" i="14"/>
  <c r="BO142" i="17"/>
  <c r="BW142" i="17"/>
  <c r="CE142" i="17"/>
  <c r="CM142" i="17"/>
  <c r="BQ142" i="17"/>
  <c r="BY142" i="17"/>
  <c r="CG142" i="17"/>
  <c r="BR142" i="17"/>
  <c r="BZ142" i="17"/>
  <c r="CH142" i="17"/>
  <c r="BS142" i="17"/>
  <c r="CA142" i="17"/>
  <c r="CI142" i="17"/>
  <c r="BT142" i="17"/>
  <c r="CB142" i="17"/>
  <c r="CJ142" i="17"/>
  <c r="BM142" i="17"/>
  <c r="BU142" i="17"/>
  <c r="CC142" i="17"/>
  <c r="CK142" i="17"/>
  <c r="CL142" i="17"/>
  <c r="AN198" i="17"/>
  <c r="AV198" i="17"/>
  <c r="BD198" i="17"/>
  <c r="CN142" i="17"/>
  <c r="AG198" i="17"/>
  <c r="AO198" i="17"/>
  <c r="AW198" i="17"/>
  <c r="BE198" i="17"/>
  <c r="BN142" i="17"/>
  <c r="AH198" i="17"/>
  <c r="AP198" i="17"/>
  <c r="AX198" i="17"/>
  <c r="BF198" i="17"/>
  <c r="BP142" i="17"/>
  <c r="AI198" i="17"/>
  <c r="AQ198" i="17"/>
  <c r="AY198" i="17"/>
  <c r="BG198" i="17"/>
  <c r="BV142" i="17"/>
  <c r="BX142" i="17"/>
  <c r="AK198" i="17"/>
  <c r="AS198" i="17"/>
  <c r="BA198" i="17"/>
  <c r="CD142" i="17"/>
  <c r="AL198" i="17"/>
  <c r="AT198" i="17"/>
  <c r="BB198" i="17"/>
  <c r="BC198" i="17"/>
  <c r="BH198" i="17"/>
  <c r="AJ198" i="17"/>
  <c r="CF142" i="17"/>
  <c r="AM198" i="17"/>
  <c r="AR198" i="17"/>
  <c r="AU198" i="17"/>
  <c r="AI142" i="17"/>
  <c r="AQ142" i="17"/>
  <c r="AY142" i="17"/>
  <c r="BG142" i="17"/>
  <c r="H198" i="17"/>
  <c r="P198" i="17"/>
  <c r="X198" i="17"/>
  <c r="AJ142" i="17"/>
  <c r="AR142" i="17"/>
  <c r="AZ142" i="17"/>
  <c r="BH142" i="17"/>
  <c r="I198" i="17"/>
  <c r="Q198" i="17"/>
  <c r="Y198" i="17"/>
  <c r="AK142" i="17"/>
  <c r="AS142" i="17"/>
  <c r="BA142" i="17"/>
  <c r="B198" i="17"/>
  <c r="J198" i="17"/>
  <c r="R198" i="17"/>
  <c r="Z198" i="17"/>
  <c r="AL142" i="17"/>
  <c r="AT142" i="17"/>
  <c r="BB142" i="17"/>
  <c r="C198" i="17"/>
  <c r="K198" i="17"/>
  <c r="S198" i="17"/>
  <c r="AA198" i="17"/>
  <c r="AZ198" i="17"/>
  <c r="AM142" i="17"/>
  <c r="AU142" i="17"/>
  <c r="BC142" i="17"/>
  <c r="D198" i="17"/>
  <c r="L198" i="17"/>
  <c r="T198" i="17"/>
  <c r="AB198" i="17"/>
  <c r="AN142" i="17"/>
  <c r="AV142" i="17"/>
  <c r="BD142" i="17"/>
  <c r="E198" i="17"/>
  <c r="M198" i="17"/>
  <c r="U198" i="17"/>
  <c r="AC198" i="17"/>
  <c r="AG142" i="17"/>
  <c r="AO142" i="17"/>
  <c r="AW142" i="17"/>
  <c r="BE142" i="17"/>
  <c r="V198" i="17"/>
  <c r="I142" i="17"/>
  <c r="Q142" i="17"/>
  <c r="Y142" i="17"/>
  <c r="AH142" i="17"/>
  <c r="W198" i="17"/>
  <c r="B142" i="17"/>
  <c r="J142" i="17"/>
  <c r="R142" i="17"/>
  <c r="Z142" i="17"/>
  <c r="GI144" i="14"/>
  <c r="GQ144" i="14"/>
  <c r="GY144" i="14"/>
  <c r="HG144" i="14"/>
  <c r="AP142" i="17"/>
  <c r="C142" i="17"/>
  <c r="K142" i="17"/>
  <c r="S142" i="17"/>
  <c r="AA142" i="17"/>
  <c r="GJ144" i="14"/>
  <c r="GR144" i="14"/>
  <c r="GZ144" i="14"/>
  <c r="HH144" i="14"/>
  <c r="AX142" i="17"/>
  <c r="D142" i="17"/>
  <c r="L142" i="17"/>
  <c r="T142" i="17"/>
  <c r="AB142" i="17"/>
  <c r="GK144" i="14"/>
  <c r="GS144" i="14"/>
  <c r="HA144" i="14"/>
  <c r="HI144" i="14"/>
  <c r="BF142" i="17"/>
  <c r="F198" i="17"/>
  <c r="E142" i="17"/>
  <c r="M142" i="17"/>
  <c r="U142" i="17"/>
  <c r="AC142" i="17"/>
  <c r="GL144" i="14"/>
  <c r="GT144" i="14"/>
  <c r="HB144" i="14"/>
  <c r="HJ144" i="14"/>
  <c r="N198" i="17"/>
  <c r="G142" i="17"/>
  <c r="O142" i="17"/>
  <c r="W142" i="17"/>
  <c r="GN144" i="14"/>
  <c r="GV144" i="14"/>
  <c r="HD144" i="14"/>
  <c r="H142" i="17"/>
  <c r="GP144" i="14"/>
  <c r="FC144" i="14"/>
  <c r="FK144" i="14"/>
  <c r="FS144" i="14"/>
  <c r="GA144" i="14"/>
  <c r="G198" i="17"/>
  <c r="N142" i="17"/>
  <c r="GU144" i="14"/>
  <c r="FD144" i="14"/>
  <c r="FL144" i="14"/>
  <c r="FT144" i="14"/>
  <c r="GB144" i="14"/>
  <c r="O198" i="17"/>
  <c r="P142" i="17"/>
  <c r="GW144" i="14"/>
  <c r="FE144" i="14"/>
  <c r="FM144" i="14"/>
  <c r="FU144" i="14"/>
  <c r="GC144" i="14"/>
  <c r="V142" i="17"/>
  <c r="GX144" i="14"/>
  <c r="FF144" i="14"/>
  <c r="FN144" i="14"/>
  <c r="FV144" i="14"/>
  <c r="GD144" i="14"/>
  <c r="X142" i="17"/>
  <c r="HC144" i="14"/>
  <c r="FG144" i="14"/>
  <c r="FO144" i="14"/>
  <c r="FW144" i="14"/>
  <c r="GM144" i="14"/>
  <c r="HF144" i="14"/>
  <c r="FI144" i="14"/>
  <c r="FQ144" i="14"/>
  <c r="FY144" i="14"/>
  <c r="FJ144" i="14"/>
  <c r="FI200" i="14"/>
  <c r="FQ200" i="14"/>
  <c r="FY200" i="14"/>
  <c r="FP144" i="14"/>
  <c r="FJ200" i="14"/>
  <c r="FR200" i="14"/>
  <c r="FZ200" i="14"/>
  <c r="EA200" i="14"/>
  <c r="EI200" i="14"/>
  <c r="EQ200" i="14"/>
  <c r="EY200" i="14"/>
  <c r="F142" i="17"/>
  <c r="FR144" i="14"/>
  <c r="FC200" i="14"/>
  <c r="FK200" i="14"/>
  <c r="FS200" i="14"/>
  <c r="GA200" i="14"/>
  <c r="FX144" i="14"/>
  <c r="FD200" i="14"/>
  <c r="FL200" i="14"/>
  <c r="FT200" i="14"/>
  <c r="GB200" i="14"/>
  <c r="EC200" i="14"/>
  <c r="EK200" i="14"/>
  <c r="ES200" i="14"/>
  <c r="GO144" i="14"/>
  <c r="FZ144" i="14"/>
  <c r="FE200" i="14"/>
  <c r="FM200" i="14"/>
  <c r="FU200" i="14"/>
  <c r="GC200" i="14"/>
  <c r="ED200" i="14"/>
  <c r="EL200" i="14"/>
  <c r="ET200" i="14"/>
  <c r="FG200" i="14"/>
  <c r="FO200" i="14"/>
  <c r="FW200" i="14"/>
  <c r="DX200" i="14"/>
  <c r="EF200" i="14"/>
  <c r="EN200" i="14"/>
  <c r="EV200" i="14"/>
  <c r="FH144" i="14"/>
  <c r="FP200" i="14"/>
  <c r="DY200" i="14"/>
  <c r="EO200" i="14"/>
  <c r="ED144" i="14"/>
  <c r="EL144" i="14"/>
  <c r="ET144" i="14"/>
  <c r="FV200" i="14"/>
  <c r="DZ200" i="14"/>
  <c r="EP200" i="14"/>
  <c r="EE144" i="14"/>
  <c r="EM144" i="14"/>
  <c r="EU144" i="14"/>
  <c r="FX200" i="14"/>
  <c r="EB200" i="14"/>
  <c r="ER200" i="14"/>
  <c r="DX144" i="14"/>
  <c r="EF144" i="14"/>
  <c r="EN144" i="14"/>
  <c r="EV144" i="14"/>
  <c r="HE144" i="14"/>
  <c r="GD200" i="14"/>
  <c r="EE200" i="14"/>
  <c r="EU200" i="14"/>
  <c r="DY144" i="14"/>
  <c r="EG144" i="14"/>
  <c r="EO144" i="14"/>
  <c r="EW144" i="14"/>
  <c r="EG200" i="14"/>
  <c r="EW200" i="14"/>
  <c r="DZ144" i="14"/>
  <c r="EH144" i="14"/>
  <c r="EP144" i="14"/>
  <c r="EX144" i="14"/>
  <c r="FH200" i="14"/>
  <c r="EJ200" i="14"/>
  <c r="EB144" i="14"/>
  <c r="EJ144" i="14"/>
  <c r="ER144" i="14"/>
  <c r="EK144" i="14"/>
  <c r="CV200" i="14"/>
  <c r="DD200" i="14"/>
  <c r="DL200" i="14"/>
  <c r="DT200" i="14"/>
  <c r="CU144" i="14"/>
  <c r="DC144" i="14"/>
  <c r="DK144" i="14"/>
  <c r="DS144" i="14"/>
  <c r="AG200" i="14"/>
  <c r="AO200" i="14"/>
  <c r="AW200" i="14"/>
  <c r="EH200" i="14"/>
  <c r="EQ144" i="14"/>
  <c r="CW200" i="14"/>
  <c r="DE200" i="14"/>
  <c r="DM200" i="14"/>
  <c r="CV144" i="14"/>
  <c r="DD144" i="14"/>
  <c r="DL144" i="14"/>
  <c r="DT144" i="14"/>
  <c r="AH200" i="14"/>
  <c r="AP200" i="14"/>
  <c r="AX200" i="14"/>
  <c r="EM200" i="14"/>
  <c r="ES144" i="14"/>
  <c r="CX200" i="14"/>
  <c r="DF200" i="14"/>
  <c r="DN200" i="14"/>
  <c r="CW144" i="14"/>
  <c r="DE144" i="14"/>
  <c r="DM144" i="14"/>
  <c r="AA200" i="14"/>
  <c r="AI200" i="14"/>
  <c r="AQ200" i="14"/>
  <c r="AY200" i="14"/>
  <c r="FF200" i="14"/>
  <c r="EX200" i="14"/>
  <c r="EY144" i="14"/>
  <c r="CY200" i="14"/>
  <c r="DG200" i="14"/>
  <c r="DO200" i="14"/>
  <c r="CX144" i="14"/>
  <c r="DF144" i="14"/>
  <c r="DN144" i="14"/>
  <c r="AB200" i="14"/>
  <c r="AJ200" i="14"/>
  <c r="AR200" i="14"/>
  <c r="AZ200" i="14"/>
  <c r="FN200" i="14"/>
  <c r="CZ200" i="14"/>
  <c r="DH200" i="14"/>
  <c r="DP200" i="14"/>
  <c r="CY144" i="14"/>
  <c r="DG144" i="14"/>
  <c r="DO144" i="14"/>
  <c r="AC200" i="14"/>
  <c r="AK200" i="14"/>
  <c r="AS200" i="14"/>
  <c r="BA200" i="14"/>
  <c r="EC144" i="14"/>
  <c r="CT200" i="14"/>
  <c r="DB200" i="14"/>
  <c r="DJ200" i="14"/>
  <c r="DR200" i="14"/>
  <c r="CS144" i="14"/>
  <c r="DA144" i="14"/>
  <c r="DI144" i="14"/>
  <c r="DQ144" i="14"/>
  <c r="AE200" i="14"/>
  <c r="AM200" i="14"/>
  <c r="AU200" i="14"/>
  <c r="EI144" i="14"/>
  <c r="CU200" i="14"/>
  <c r="DB144" i="14"/>
  <c r="AV200" i="14"/>
  <c r="DA200" i="14"/>
  <c r="DH144" i="14"/>
  <c r="BB200" i="14"/>
  <c r="DC200" i="14"/>
  <c r="DJ144" i="14"/>
  <c r="DI200" i="14"/>
  <c r="DP144" i="14"/>
  <c r="AD200" i="14"/>
  <c r="DS200" i="14"/>
  <c r="CT144" i="14"/>
  <c r="AN200" i="14"/>
  <c r="EA144" i="14"/>
  <c r="CS200" i="14"/>
  <c r="CZ144" i="14"/>
  <c r="AT200" i="14"/>
  <c r="AF144" i="14"/>
  <c r="AN144" i="14"/>
  <c r="AV144" i="14"/>
  <c r="I196" i="6"/>
  <c r="Q196" i="6"/>
  <c r="Y196" i="6"/>
  <c r="AG196" i="6"/>
  <c r="AG144" i="14"/>
  <c r="AO144" i="14"/>
  <c r="AW144" i="14"/>
  <c r="J196" i="6"/>
  <c r="R196" i="6"/>
  <c r="Z196" i="6"/>
  <c r="AH196" i="6"/>
  <c r="AH144" i="14"/>
  <c r="AP144" i="14"/>
  <c r="AX144" i="14"/>
  <c r="K196" i="6"/>
  <c r="S196" i="6"/>
  <c r="AA196" i="6"/>
  <c r="AI196" i="6"/>
  <c r="DK200" i="14"/>
  <c r="DR144" i="14"/>
  <c r="AF200" i="14"/>
  <c r="AA144" i="14"/>
  <c r="AI144" i="14"/>
  <c r="AQ144" i="14"/>
  <c r="AY144" i="14"/>
  <c r="L196" i="6"/>
  <c r="T196" i="6"/>
  <c r="AB196" i="6"/>
  <c r="AJ196" i="6"/>
  <c r="AD144" i="14"/>
  <c r="AL144" i="14"/>
  <c r="AT144" i="14"/>
  <c r="BB144" i="14"/>
  <c r="O196" i="6"/>
  <c r="W196" i="6"/>
  <c r="AE196" i="6"/>
  <c r="AE144" i="14"/>
  <c r="AM144" i="14"/>
  <c r="AU144" i="14"/>
  <c r="P196" i="6"/>
  <c r="X196" i="6"/>
  <c r="AF196" i="6"/>
  <c r="AB144" i="14"/>
  <c r="AC196" i="6"/>
  <c r="AL200" i="14"/>
  <c r="AC144" i="14"/>
  <c r="AD196" i="6"/>
  <c r="AS144" i="14"/>
  <c r="N196" i="6"/>
  <c r="V196" i="6"/>
  <c r="AJ144" i="14"/>
  <c r="AK144" i="14"/>
  <c r="AR144" i="14"/>
  <c r="M196" i="6"/>
  <c r="AZ144" i="14"/>
  <c r="U196" i="6"/>
  <c r="DQ200" i="14"/>
  <c r="BA144" i="14"/>
  <c r="BO144" i="14"/>
  <c r="BW144" i="14"/>
  <c r="CE144" i="14"/>
  <c r="CM144" i="14"/>
  <c r="BS200" i="14"/>
  <c r="CA200" i="14"/>
  <c r="CI200" i="14"/>
  <c r="BR200" i="14"/>
  <c r="BP144" i="14"/>
  <c r="BX144" i="14"/>
  <c r="CF144" i="14"/>
  <c r="CN144" i="14"/>
  <c r="BT200" i="14"/>
  <c r="CB200" i="14"/>
  <c r="CJ200" i="14"/>
  <c r="CB144" i="14"/>
  <c r="BX200" i="14"/>
  <c r="BQ144" i="14"/>
  <c r="BY144" i="14"/>
  <c r="CG144" i="14"/>
  <c r="CO144" i="14"/>
  <c r="BU200" i="14"/>
  <c r="CC200" i="14"/>
  <c r="CK200" i="14"/>
  <c r="CF200" i="14"/>
  <c r="BR144" i="14"/>
  <c r="BZ144" i="14"/>
  <c r="CH144" i="14"/>
  <c r="BN200" i="14"/>
  <c r="BV200" i="14"/>
  <c r="CD200" i="14"/>
  <c r="CL200" i="14"/>
  <c r="CJ144" i="14"/>
  <c r="CH200" i="14"/>
  <c r="BS144" i="14"/>
  <c r="CA144" i="14"/>
  <c r="CI144" i="14"/>
  <c r="BO200" i="14"/>
  <c r="BW200" i="14"/>
  <c r="CE200" i="14"/>
  <c r="CM200" i="14"/>
  <c r="BT144" i="14"/>
  <c r="BP200" i="14"/>
  <c r="CN200" i="14"/>
  <c r="BU144" i="14"/>
  <c r="CC144" i="14"/>
  <c r="CK144" i="14"/>
  <c r="BQ200" i="14"/>
  <c r="BY200" i="14"/>
  <c r="CG200" i="14"/>
  <c r="CO200" i="14"/>
  <c r="BN144" i="14"/>
  <c r="BV144" i="14"/>
  <c r="CD144" i="14"/>
  <c r="CL144" i="14"/>
  <c r="BZ200" i="14"/>
  <c r="BS131" i="17"/>
  <c r="CA131" i="17"/>
  <c r="CI131" i="17"/>
  <c r="BT131" i="17"/>
  <c r="CB131" i="17"/>
  <c r="CJ131" i="17"/>
  <c r="BM131" i="17"/>
  <c r="BU131" i="17"/>
  <c r="CC131" i="17"/>
  <c r="CK131" i="17"/>
  <c r="BN131" i="17"/>
  <c r="BV131" i="17"/>
  <c r="CD131" i="17"/>
  <c r="CL131" i="17"/>
  <c r="BP131" i="17"/>
  <c r="BX131" i="17"/>
  <c r="CF131" i="17"/>
  <c r="CN131" i="17"/>
  <c r="BQ131" i="17"/>
  <c r="BY131" i="17"/>
  <c r="CG131" i="17"/>
  <c r="BR131" i="17"/>
  <c r="BZ131" i="17"/>
  <c r="CH131" i="17"/>
  <c r="BW131" i="17"/>
  <c r="CM131" i="17"/>
  <c r="AJ187" i="17"/>
  <c r="AR187" i="17"/>
  <c r="AZ187" i="17"/>
  <c r="BH187" i="17"/>
  <c r="AK187" i="17"/>
  <c r="AS187" i="17"/>
  <c r="BA187" i="17"/>
  <c r="BO131" i="17"/>
  <c r="AL187" i="17"/>
  <c r="AT187" i="17"/>
  <c r="BB187" i="17"/>
  <c r="CE131" i="17"/>
  <c r="AM187" i="17"/>
  <c r="AU187" i="17"/>
  <c r="BC187" i="17"/>
  <c r="AN187" i="17"/>
  <c r="AV187" i="17"/>
  <c r="BD187" i="17"/>
  <c r="AG187" i="17"/>
  <c r="AO187" i="17"/>
  <c r="AW187" i="17"/>
  <c r="BE187" i="17"/>
  <c r="AH187" i="17"/>
  <c r="AP187" i="17"/>
  <c r="AX187" i="17"/>
  <c r="BF187" i="17"/>
  <c r="AH131" i="17"/>
  <c r="AP131" i="17"/>
  <c r="AX131" i="17"/>
  <c r="BF131" i="17"/>
  <c r="AI187" i="17"/>
  <c r="AI131" i="17"/>
  <c r="AQ131" i="17"/>
  <c r="AY131" i="17"/>
  <c r="BG131" i="17"/>
  <c r="AQ187" i="17"/>
  <c r="AJ131" i="17"/>
  <c r="AR131" i="17"/>
  <c r="AZ131" i="17"/>
  <c r="BH131" i="17"/>
  <c r="AY187" i="17"/>
  <c r="AK131" i="17"/>
  <c r="AS131" i="17"/>
  <c r="BA131" i="17"/>
  <c r="BG187" i="17"/>
  <c r="AL131" i="17"/>
  <c r="AT131" i="17"/>
  <c r="BB131" i="17"/>
  <c r="AM131" i="17"/>
  <c r="AU131" i="17"/>
  <c r="BC131" i="17"/>
  <c r="AN131" i="17"/>
  <c r="AV131" i="17"/>
  <c r="BD131" i="17"/>
  <c r="AO131" i="17"/>
  <c r="D187" i="17"/>
  <c r="L187" i="17"/>
  <c r="T187" i="17"/>
  <c r="AB187" i="17"/>
  <c r="AW131" i="17"/>
  <c r="E187" i="17"/>
  <c r="M187" i="17"/>
  <c r="U187" i="17"/>
  <c r="AC187" i="17"/>
  <c r="BE131" i="17"/>
  <c r="F187" i="17"/>
  <c r="N187" i="17"/>
  <c r="V187" i="17"/>
  <c r="G187" i="17"/>
  <c r="O187" i="17"/>
  <c r="W187" i="17"/>
  <c r="H187" i="17"/>
  <c r="P187" i="17"/>
  <c r="X187" i="17"/>
  <c r="I187" i="17"/>
  <c r="Q187" i="17"/>
  <c r="Y187" i="17"/>
  <c r="B187" i="17"/>
  <c r="J187" i="17"/>
  <c r="R187" i="17"/>
  <c r="Z187" i="17"/>
  <c r="AA187" i="17"/>
  <c r="E131" i="17"/>
  <c r="M131" i="17"/>
  <c r="U131" i="17"/>
  <c r="AC131" i="17"/>
  <c r="GL133" i="14"/>
  <c r="GT133" i="14"/>
  <c r="HB133" i="14"/>
  <c r="HJ133" i="14"/>
  <c r="F131" i="17"/>
  <c r="N131" i="17"/>
  <c r="V131" i="17"/>
  <c r="GM133" i="14"/>
  <c r="GU133" i="14"/>
  <c r="HC133" i="14"/>
  <c r="G131" i="17"/>
  <c r="O131" i="17"/>
  <c r="W131" i="17"/>
  <c r="GN133" i="14"/>
  <c r="GV133" i="14"/>
  <c r="HD133" i="14"/>
  <c r="H131" i="17"/>
  <c r="P131" i="17"/>
  <c r="X131" i="17"/>
  <c r="GO133" i="14"/>
  <c r="GW133" i="14"/>
  <c r="HE133" i="14"/>
  <c r="I131" i="17"/>
  <c r="Q131" i="17"/>
  <c r="Y131" i="17"/>
  <c r="GP133" i="14"/>
  <c r="GX133" i="14"/>
  <c r="HF133" i="14"/>
  <c r="K187" i="17"/>
  <c r="C131" i="17"/>
  <c r="K131" i="17"/>
  <c r="S131" i="17"/>
  <c r="AA131" i="17"/>
  <c r="GJ133" i="14"/>
  <c r="GR133" i="14"/>
  <c r="GZ133" i="14"/>
  <c r="HH133" i="14"/>
  <c r="S187" i="17"/>
  <c r="AB131" i="17"/>
  <c r="GK133" i="14"/>
  <c r="FG133" i="14"/>
  <c r="FO133" i="14"/>
  <c r="FW133" i="14"/>
  <c r="B131" i="17"/>
  <c r="GQ133" i="14"/>
  <c r="FH133" i="14"/>
  <c r="FP133" i="14"/>
  <c r="FX133" i="14"/>
  <c r="AG131" i="17"/>
  <c r="D131" i="17"/>
  <c r="GS133" i="14"/>
  <c r="FI133" i="14"/>
  <c r="FQ133" i="14"/>
  <c r="FY133" i="14"/>
  <c r="J131" i="17"/>
  <c r="GY133" i="14"/>
  <c r="FJ133" i="14"/>
  <c r="FR133" i="14"/>
  <c r="FZ133" i="14"/>
  <c r="L131" i="17"/>
  <c r="HA133" i="14"/>
  <c r="FC133" i="14"/>
  <c r="FK133" i="14"/>
  <c r="FS133" i="14"/>
  <c r="GA133" i="14"/>
  <c r="T131" i="17"/>
  <c r="HI133" i="14"/>
  <c r="FE133" i="14"/>
  <c r="FM133" i="14"/>
  <c r="FU133" i="14"/>
  <c r="GC133" i="14"/>
  <c r="C187" i="17"/>
  <c r="Z131" i="17"/>
  <c r="GI133" i="14"/>
  <c r="GD133" i="14"/>
  <c r="FE189" i="14"/>
  <c r="FM189" i="14"/>
  <c r="FU189" i="14"/>
  <c r="GC189" i="14"/>
  <c r="ED189" i="14"/>
  <c r="EL189" i="14"/>
  <c r="ET189" i="14"/>
  <c r="HG133" i="14"/>
  <c r="FD133" i="14"/>
  <c r="FF189" i="14"/>
  <c r="FN189" i="14"/>
  <c r="FV189" i="14"/>
  <c r="GD189" i="14"/>
  <c r="EE189" i="14"/>
  <c r="EM189" i="14"/>
  <c r="EU189" i="14"/>
  <c r="FF133" i="14"/>
  <c r="FG189" i="14"/>
  <c r="FO189" i="14"/>
  <c r="FW189" i="14"/>
  <c r="DX189" i="14"/>
  <c r="EF189" i="14"/>
  <c r="EN189" i="14"/>
  <c r="EV189" i="14"/>
  <c r="FL133" i="14"/>
  <c r="FH189" i="14"/>
  <c r="FP189" i="14"/>
  <c r="FX189" i="14"/>
  <c r="DY189" i="14"/>
  <c r="EG189" i="14"/>
  <c r="EO189" i="14"/>
  <c r="EW189" i="14"/>
  <c r="FN133" i="14"/>
  <c r="FI189" i="14"/>
  <c r="FQ189" i="14"/>
  <c r="FY189" i="14"/>
  <c r="DZ189" i="14"/>
  <c r="EH189" i="14"/>
  <c r="EP189" i="14"/>
  <c r="EX189" i="14"/>
  <c r="FV133" i="14"/>
  <c r="FC189" i="14"/>
  <c r="FK189" i="14"/>
  <c r="FS189" i="14"/>
  <c r="GA189" i="14"/>
  <c r="EB189" i="14"/>
  <c r="EJ189" i="14"/>
  <c r="ER189" i="14"/>
  <c r="R131" i="17"/>
  <c r="FD189" i="14"/>
  <c r="EK189" i="14"/>
  <c r="DZ133" i="14"/>
  <c r="EH133" i="14"/>
  <c r="EP133" i="14"/>
  <c r="EX133" i="14"/>
  <c r="FJ189" i="14"/>
  <c r="EQ189" i="14"/>
  <c r="EA133" i="14"/>
  <c r="EI133" i="14"/>
  <c r="EQ133" i="14"/>
  <c r="EY133" i="14"/>
  <c r="FL189" i="14"/>
  <c r="ES189" i="14"/>
  <c r="EB133" i="14"/>
  <c r="EJ133" i="14"/>
  <c r="ER133" i="14"/>
  <c r="FR189" i="14"/>
  <c r="EY189" i="14"/>
  <c r="EC133" i="14"/>
  <c r="EK133" i="14"/>
  <c r="ES133" i="14"/>
  <c r="FT189" i="14"/>
  <c r="ED133" i="14"/>
  <c r="EL133" i="14"/>
  <c r="ET133" i="14"/>
  <c r="GB133" i="14"/>
  <c r="GB189" i="14"/>
  <c r="EC189" i="14"/>
  <c r="DX133" i="14"/>
  <c r="EF133" i="14"/>
  <c r="EN133" i="14"/>
  <c r="EV133" i="14"/>
  <c r="DY133" i="14"/>
  <c r="CZ189" i="14"/>
  <c r="DH189" i="14"/>
  <c r="DP189" i="14"/>
  <c r="CY133" i="14"/>
  <c r="DG133" i="14"/>
  <c r="DO133" i="14"/>
  <c r="AC189" i="14"/>
  <c r="AK189" i="14"/>
  <c r="AS189" i="14"/>
  <c r="BA189" i="14"/>
  <c r="FZ189" i="14"/>
  <c r="EA189" i="14"/>
  <c r="EE133" i="14"/>
  <c r="CS189" i="14"/>
  <c r="DA189" i="14"/>
  <c r="DI189" i="14"/>
  <c r="DQ189" i="14"/>
  <c r="CZ133" i="14"/>
  <c r="DH133" i="14"/>
  <c r="DP133" i="14"/>
  <c r="AD189" i="14"/>
  <c r="AL189" i="14"/>
  <c r="AT189" i="14"/>
  <c r="BB189" i="14"/>
  <c r="AD133" i="14"/>
  <c r="AL133" i="14"/>
  <c r="AT133" i="14"/>
  <c r="BB133" i="14"/>
  <c r="EI189" i="14"/>
  <c r="EG133" i="14"/>
  <c r="CT189" i="14"/>
  <c r="DB189" i="14"/>
  <c r="DJ189" i="14"/>
  <c r="DR189" i="14"/>
  <c r="CS133" i="14"/>
  <c r="DA133" i="14"/>
  <c r="DI133" i="14"/>
  <c r="DQ133" i="14"/>
  <c r="AE189" i="14"/>
  <c r="AM189" i="14"/>
  <c r="AU189" i="14"/>
  <c r="AE133" i="14"/>
  <c r="AM133" i="14"/>
  <c r="AU133" i="14"/>
  <c r="EM133" i="14"/>
  <c r="CU189" i="14"/>
  <c r="DC189" i="14"/>
  <c r="DK189" i="14"/>
  <c r="DS189" i="14"/>
  <c r="CT133" i="14"/>
  <c r="DB133" i="14"/>
  <c r="DJ133" i="14"/>
  <c r="DR133" i="14"/>
  <c r="AF189" i="14"/>
  <c r="AN189" i="14"/>
  <c r="AV189" i="14"/>
  <c r="AF133" i="14"/>
  <c r="AN133" i="14"/>
  <c r="AV133" i="14"/>
  <c r="EO133" i="14"/>
  <c r="CV189" i="14"/>
  <c r="DD189" i="14"/>
  <c r="DL189" i="14"/>
  <c r="DT189" i="14"/>
  <c r="CU133" i="14"/>
  <c r="DC133" i="14"/>
  <c r="DK133" i="14"/>
  <c r="DS133" i="14"/>
  <c r="AG189" i="14"/>
  <c r="AO189" i="14"/>
  <c r="AW189" i="14"/>
  <c r="AG133" i="14"/>
  <c r="AO133" i="14"/>
  <c r="AW133" i="14"/>
  <c r="EW133" i="14"/>
  <c r="CX189" i="14"/>
  <c r="DF189" i="14"/>
  <c r="DN189" i="14"/>
  <c r="CW133" i="14"/>
  <c r="DE133" i="14"/>
  <c r="DM133" i="14"/>
  <c r="AA189" i="14"/>
  <c r="AI189" i="14"/>
  <c r="AQ189" i="14"/>
  <c r="AY189" i="14"/>
  <c r="AA133" i="14"/>
  <c r="AI133" i="14"/>
  <c r="AQ133" i="14"/>
  <c r="AY133" i="14"/>
  <c r="DO189" i="14"/>
  <c r="AJ189" i="14"/>
  <c r="AP133" i="14"/>
  <c r="CV133" i="14"/>
  <c r="AP189" i="14"/>
  <c r="CX133" i="14"/>
  <c r="AR189" i="14"/>
  <c r="FT133" i="14"/>
  <c r="CW189" i="14"/>
  <c r="DD133" i="14"/>
  <c r="AX189" i="14"/>
  <c r="AB133" i="14"/>
  <c r="AX133" i="14"/>
  <c r="DG189" i="14"/>
  <c r="DN133" i="14"/>
  <c r="AB189" i="14"/>
  <c r="DM189" i="14"/>
  <c r="DT133" i="14"/>
  <c r="AH189" i="14"/>
  <c r="AK133" i="14"/>
  <c r="CY189" i="14"/>
  <c r="DF133" i="14"/>
  <c r="AH133" i="14"/>
  <c r="M185" i="6"/>
  <c r="U185" i="6"/>
  <c r="AC185" i="6"/>
  <c r="EU133" i="14"/>
  <c r="DE189" i="14"/>
  <c r="DL133" i="14"/>
  <c r="AJ133" i="14"/>
  <c r="N185" i="6"/>
  <c r="V185" i="6"/>
  <c r="AD185" i="6"/>
  <c r="AZ189" i="14"/>
  <c r="AR133" i="14"/>
  <c r="O185" i="6"/>
  <c r="W185" i="6"/>
  <c r="AE185" i="6"/>
  <c r="AS133" i="14"/>
  <c r="P185" i="6"/>
  <c r="X185" i="6"/>
  <c r="AF185" i="6"/>
  <c r="K185" i="6"/>
  <c r="S185" i="6"/>
  <c r="AA185" i="6"/>
  <c r="AI185" i="6"/>
  <c r="AC133" i="14"/>
  <c r="L185" i="6"/>
  <c r="T185" i="6"/>
  <c r="AB185" i="6"/>
  <c r="AJ185" i="6"/>
  <c r="Q185" i="6"/>
  <c r="R185" i="6"/>
  <c r="J185" i="6"/>
  <c r="Y185" i="6"/>
  <c r="AH185" i="6"/>
  <c r="Z185" i="6"/>
  <c r="AG185" i="6"/>
  <c r="AZ133" i="14"/>
  <c r="I185" i="6"/>
  <c r="I66" i="2" s="1"/>
  <c r="BA133" i="14"/>
  <c r="BS133" i="14"/>
  <c r="CA133" i="14"/>
  <c r="CI133" i="14"/>
  <c r="BO189" i="14"/>
  <c r="BW189" i="14"/>
  <c r="CE189" i="14"/>
  <c r="CM189" i="14"/>
  <c r="BN189" i="14"/>
  <c r="BT133" i="14"/>
  <c r="CB133" i="14"/>
  <c r="CJ133" i="14"/>
  <c r="BP189" i="14"/>
  <c r="BX189" i="14"/>
  <c r="CF189" i="14"/>
  <c r="CN189" i="14"/>
  <c r="BP133" i="14"/>
  <c r="BU133" i="14"/>
  <c r="CC133" i="14"/>
  <c r="CK133" i="14"/>
  <c r="BQ189" i="14"/>
  <c r="BY189" i="14"/>
  <c r="CG189" i="14"/>
  <c r="CO189" i="14"/>
  <c r="CF133" i="14"/>
  <c r="CJ189" i="14"/>
  <c r="BV189" i="14"/>
  <c r="BN133" i="14"/>
  <c r="BV133" i="14"/>
  <c r="CD133" i="14"/>
  <c r="CL133" i="14"/>
  <c r="BR189" i="14"/>
  <c r="BZ189" i="14"/>
  <c r="CH189" i="14"/>
  <c r="BX133" i="14"/>
  <c r="BT189" i="14"/>
  <c r="CD189" i="14"/>
  <c r="BO133" i="14"/>
  <c r="BW133" i="14"/>
  <c r="CE133" i="14"/>
  <c r="CM133" i="14"/>
  <c r="BS189" i="14"/>
  <c r="CA189" i="14"/>
  <c r="CI189" i="14"/>
  <c r="CN133" i="14"/>
  <c r="CB189" i="14"/>
  <c r="CL189" i="14"/>
  <c r="BQ133" i="14"/>
  <c r="BY133" i="14"/>
  <c r="CG133" i="14"/>
  <c r="CO133" i="14"/>
  <c r="BU189" i="14"/>
  <c r="CC189" i="14"/>
  <c r="CK189" i="14"/>
  <c r="BR133" i="14"/>
  <c r="BZ133" i="14"/>
  <c r="CH133" i="14"/>
  <c r="BT161" i="17"/>
  <c r="CB161" i="17"/>
  <c r="CJ161" i="17"/>
  <c r="BM161" i="17"/>
  <c r="BU161" i="17"/>
  <c r="CC161" i="17"/>
  <c r="CK161" i="17"/>
  <c r="BN161" i="17"/>
  <c r="BV161" i="17"/>
  <c r="CD161" i="17"/>
  <c r="CL161" i="17"/>
  <c r="BO161" i="17"/>
  <c r="BW161" i="17"/>
  <c r="CE161" i="17"/>
  <c r="CM161" i="17"/>
  <c r="BP161" i="17"/>
  <c r="BX161" i="17"/>
  <c r="CF161" i="17"/>
  <c r="CN161" i="17"/>
  <c r="BQ161" i="17"/>
  <c r="BY161" i="17"/>
  <c r="CG161" i="17"/>
  <c r="BR161" i="17"/>
  <c r="BZ161" i="17"/>
  <c r="CH161" i="17"/>
  <c r="BS161" i="17"/>
  <c r="AL217" i="17"/>
  <c r="AT217" i="17"/>
  <c r="BB217" i="17"/>
  <c r="CA161" i="17"/>
  <c r="AM217" i="17"/>
  <c r="AU217" i="17"/>
  <c r="BC217" i="17"/>
  <c r="CI161" i="17"/>
  <c r="AN217" i="17"/>
  <c r="AV217" i="17"/>
  <c r="BD217" i="17"/>
  <c r="AG217" i="17"/>
  <c r="AO217" i="17"/>
  <c r="AW217" i="17"/>
  <c r="BE217" i="17"/>
  <c r="AH217" i="17"/>
  <c r="AP217" i="17"/>
  <c r="AX217" i="17"/>
  <c r="BF217" i="17"/>
  <c r="AI217" i="17"/>
  <c r="AQ217" i="17"/>
  <c r="AY217" i="17"/>
  <c r="BG217" i="17"/>
  <c r="AJ217" i="17"/>
  <c r="AR217" i="17"/>
  <c r="AZ217" i="17"/>
  <c r="BH217" i="17"/>
  <c r="BA217" i="17"/>
  <c r="AM161" i="17"/>
  <c r="AU161" i="17"/>
  <c r="BC161" i="17"/>
  <c r="AN161" i="17"/>
  <c r="AV161" i="17"/>
  <c r="BD161" i="17"/>
  <c r="E217" i="17"/>
  <c r="M217" i="17"/>
  <c r="U217" i="17"/>
  <c r="AC217" i="17"/>
  <c r="AG161" i="17"/>
  <c r="AO161" i="17"/>
  <c r="AW161" i="17"/>
  <c r="BE161" i="17"/>
  <c r="F217" i="17"/>
  <c r="N217" i="17"/>
  <c r="V217" i="17"/>
  <c r="AH161" i="17"/>
  <c r="AP161" i="17"/>
  <c r="AX161" i="17"/>
  <c r="BF161" i="17"/>
  <c r="G217" i="17"/>
  <c r="O217" i="17"/>
  <c r="W217" i="17"/>
  <c r="AI161" i="17"/>
  <c r="AQ161" i="17"/>
  <c r="AY161" i="17"/>
  <c r="BG161" i="17"/>
  <c r="H217" i="17"/>
  <c r="P217" i="17"/>
  <c r="X217" i="17"/>
  <c r="AJ161" i="17"/>
  <c r="AR161" i="17"/>
  <c r="AZ161" i="17"/>
  <c r="BH161" i="17"/>
  <c r="I217" i="17"/>
  <c r="Q217" i="17"/>
  <c r="Y217" i="17"/>
  <c r="AK217" i="17"/>
  <c r="AK161" i="17"/>
  <c r="AS161" i="17"/>
  <c r="BA161" i="17"/>
  <c r="B217" i="17"/>
  <c r="T217" i="17"/>
  <c r="E161" i="17"/>
  <c r="M161" i="17"/>
  <c r="U161" i="17"/>
  <c r="AC161" i="17"/>
  <c r="C217" i="17"/>
  <c r="Z217" i="17"/>
  <c r="F161" i="17"/>
  <c r="N161" i="17"/>
  <c r="V161" i="17"/>
  <c r="D217" i="17"/>
  <c r="AA217" i="17"/>
  <c r="G161" i="17"/>
  <c r="O161" i="17"/>
  <c r="W161" i="17"/>
  <c r="J217" i="17"/>
  <c r="AB217" i="17"/>
  <c r="H161" i="17"/>
  <c r="P161" i="17"/>
  <c r="X161" i="17"/>
  <c r="AL161" i="17"/>
  <c r="K217" i="17"/>
  <c r="I161" i="17"/>
  <c r="Q161" i="17"/>
  <c r="Y161" i="17"/>
  <c r="AS217" i="17"/>
  <c r="BB161" i="17"/>
  <c r="R217" i="17"/>
  <c r="C161" i="17"/>
  <c r="K161" i="17"/>
  <c r="S161" i="17"/>
  <c r="AA161" i="17"/>
  <c r="T161" i="17"/>
  <c r="GI163" i="14"/>
  <c r="GQ163" i="14"/>
  <c r="GY163" i="14"/>
  <c r="HG163" i="14"/>
  <c r="FG163" i="14"/>
  <c r="FO163" i="14"/>
  <c r="FW163" i="14"/>
  <c r="Z161" i="17"/>
  <c r="GJ163" i="14"/>
  <c r="GR163" i="14"/>
  <c r="GZ163" i="14"/>
  <c r="HH163" i="14"/>
  <c r="FH163" i="14"/>
  <c r="FP163" i="14"/>
  <c r="FX163" i="14"/>
  <c r="AB161" i="17"/>
  <c r="GK163" i="14"/>
  <c r="GS163" i="14"/>
  <c r="HA163" i="14"/>
  <c r="HI163" i="14"/>
  <c r="FI163" i="14"/>
  <c r="FQ163" i="14"/>
  <c r="FY163" i="14"/>
  <c r="B161" i="17"/>
  <c r="GL163" i="14"/>
  <c r="GT163" i="14"/>
  <c r="HB163" i="14"/>
  <c r="HJ163" i="14"/>
  <c r="FJ163" i="14"/>
  <c r="FR163" i="14"/>
  <c r="FZ163" i="14"/>
  <c r="D161" i="17"/>
  <c r="GM163" i="14"/>
  <c r="GU163" i="14"/>
  <c r="HC163" i="14"/>
  <c r="FC163" i="14"/>
  <c r="FK163" i="14"/>
  <c r="FS163" i="14"/>
  <c r="GA163" i="14"/>
  <c r="S217" i="17"/>
  <c r="L161" i="17"/>
  <c r="GO163" i="14"/>
  <c r="GW163" i="14"/>
  <c r="HE163" i="14"/>
  <c r="FE163" i="14"/>
  <c r="FM163" i="14"/>
  <c r="FU163" i="14"/>
  <c r="GC163" i="14"/>
  <c r="GP163" i="14"/>
  <c r="FV163" i="14"/>
  <c r="FE219" i="14"/>
  <c r="FM219" i="14"/>
  <c r="FU219" i="14"/>
  <c r="GC219" i="14"/>
  <c r="GV163" i="14"/>
  <c r="GB163" i="14"/>
  <c r="FF219" i="14"/>
  <c r="FN219" i="14"/>
  <c r="FV219" i="14"/>
  <c r="GD219" i="14"/>
  <c r="GX163" i="14"/>
  <c r="GD163" i="14"/>
  <c r="FG219" i="14"/>
  <c r="FO219" i="14"/>
  <c r="FW219" i="14"/>
  <c r="AT161" i="17"/>
  <c r="J161" i="17"/>
  <c r="HD163" i="14"/>
  <c r="FD163" i="14"/>
  <c r="FH219" i="14"/>
  <c r="FP219" i="14"/>
  <c r="FX219" i="14"/>
  <c r="R161" i="17"/>
  <c r="HF163" i="14"/>
  <c r="FF163" i="14"/>
  <c r="FI219" i="14"/>
  <c r="FQ219" i="14"/>
  <c r="FY219" i="14"/>
  <c r="FN163" i="14"/>
  <c r="FC219" i="14"/>
  <c r="FK219" i="14"/>
  <c r="FS219" i="14"/>
  <c r="GA219" i="14"/>
  <c r="GN163" i="14"/>
  <c r="GB219" i="14"/>
  <c r="ED219" i="14"/>
  <c r="EL219" i="14"/>
  <c r="ET219" i="14"/>
  <c r="DZ163" i="14"/>
  <c r="EH163" i="14"/>
  <c r="EP163" i="14"/>
  <c r="EX163" i="14"/>
  <c r="FL163" i="14"/>
  <c r="EE219" i="14"/>
  <c r="EM219" i="14"/>
  <c r="EU219" i="14"/>
  <c r="EA163" i="14"/>
  <c r="EI163" i="14"/>
  <c r="EQ163" i="14"/>
  <c r="EY163" i="14"/>
  <c r="FT163" i="14"/>
  <c r="FD219" i="14"/>
  <c r="DX219" i="14"/>
  <c r="EF219" i="14"/>
  <c r="EN219" i="14"/>
  <c r="EV219" i="14"/>
  <c r="EB163" i="14"/>
  <c r="EJ163" i="14"/>
  <c r="ER163" i="14"/>
  <c r="FJ219" i="14"/>
  <c r="DY219" i="14"/>
  <c r="EG219" i="14"/>
  <c r="EO219" i="14"/>
  <c r="EW219" i="14"/>
  <c r="EC163" i="14"/>
  <c r="EK163" i="14"/>
  <c r="ES163" i="14"/>
  <c r="L217" i="17"/>
  <c r="FL219" i="14"/>
  <c r="DZ219" i="14"/>
  <c r="EH219" i="14"/>
  <c r="EP219" i="14"/>
  <c r="EX219" i="14"/>
  <c r="ED163" i="14"/>
  <c r="EL163" i="14"/>
  <c r="ET163" i="14"/>
  <c r="FT219" i="14"/>
  <c r="EB219" i="14"/>
  <c r="EJ219" i="14"/>
  <c r="ER219" i="14"/>
  <c r="DX163" i="14"/>
  <c r="EF163" i="14"/>
  <c r="EN163" i="14"/>
  <c r="EV163" i="14"/>
  <c r="EK219" i="14"/>
  <c r="EW163" i="14"/>
  <c r="CZ219" i="14"/>
  <c r="DH219" i="14"/>
  <c r="DP219" i="14"/>
  <c r="CY163" i="14"/>
  <c r="DG163" i="14"/>
  <c r="DO163" i="14"/>
  <c r="AC219" i="14"/>
  <c r="AK219" i="14"/>
  <c r="AS219" i="14"/>
  <c r="BA219" i="14"/>
  <c r="EQ219" i="14"/>
  <c r="CS219" i="14"/>
  <c r="DA219" i="14"/>
  <c r="DI219" i="14"/>
  <c r="DQ219" i="14"/>
  <c r="CZ163" i="14"/>
  <c r="DH163" i="14"/>
  <c r="DP163" i="14"/>
  <c r="AD219" i="14"/>
  <c r="AL219" i="14"/>
  <c r="AT219" i="14"/>
  <c r="BB219" i="14"/>
  <c r="ES219" i="14"/>
  <c r="DY163" i="14"/>
  <c r="CT219" i="14"/>
  <c r="DB219" i="14"/>
  <c r="DJ219" i="14"/>
  <c r="DR219" i="14"/>
  <c r="CS163" i="14"/>
  <c r="DA163" i="14"/>
  <c r="DI163" i="14"/>
  <c r="DQ163" i="14"/>
  <c r="AE219" i="14"/>
  <c r="AM219" i="14"/>
  <c r="AU219" i="14"/>
  <c r="EY219" i="14"/>
  <c r="EE163" i="14"/>
  <c r="CU219" i="14"/>
  <c r="DC219" i="14"/>
  <c r="DK219" i="14"/>
  <c r="DS219" i="14"/>
  <c r="CT163" i="14"/>
  <c r="DB163" i="14"/>
  <c r="DJ163" i="14"/>
  <c r="DR163" i="14"/>
  <c r="AF219" i="14"/>
  <c r="AN219" i="14"/>
  <c r="AV219" i="14"/>
  <c r="EG163" i="14"/>
  <c r="CV219" i="14"/>
  <c r="DD219" i="14"/>
  <c r="DL219" i="14"/>
  <c r="DT219" i="14"/>
  <c r="CU163" i="14"/>
  <c r="DC163" i="14"/>
  <c r="DK163" i="14"/>
  <c r="DS163" i="14"/>
  <c r="AG219" i="14"/>
  <c r="AO219" i="14"/>
  <c r="AW219" i="14"/>
  <c r="FZ219" i="14"/>
  <c r="EC219" i="14"/>
  <c r="EO163" i="14"/>
  <c r="CX219" i="14"/>
  <c r="DF219" i="14"/>
  <c r="DN219" i="14"/>
  <c r="CW163" i="14"/>
  <c r="DE163" i="14"/>
  <c r="DM163" i="14"/>
  <c r="AA219" i="14"/>
  <c r="AI219" i="14"/>
  <c r="AQ219" i="14"/>
  <c r="AY219" i="14"/>
  <c r="EI219" i="14"/>
  <c r="DG219" i="14"/>
  <c r="DN163" i="14"/>
  <c r="AB219" i="14"/>
  <c r="FR219" i="14"/>
  <c r="EM163" i="14"/>
  <c r="DM219" i="14"/>
  <c r="DT163" i="14"/>
  <c r="AH219" i="14"/>
  <c r="EU163" i="14"/>
  <c r="DO219" i="14"/>
  <c r="AJ219" i="14"/>
  <c r="CV163" i="14"/>
  <c r="AP219" i="14"/>
  <c r="CY219" i="14"/>
  <c r="DF163" i="14"/>
  <c r="AZ219" i="14"/>
  <c r="EA219" i="14"/>
  <c r="DE219" i="14"/>
  <c r="DL163" i="14"/>
  <c r="AB163" i="14"/>
  <c r="AJ163" i="14"/>
  <c r="AR163" i="14"/>
  <c r="AZ163" i="14"/>
  <c r="M215" i="6"/>
  <c r="U215" i="6"/>
  <c r="AC215" i="6"/>
  <c r="AC163" i="14"/>
  <c r="AK163" i="14"/>
  <c r="AS163" i="14"/>
  <c r="BA163" i="14"/>
  <c r="N215" i="6"/>
  <c r="V215" i="6"/>
  <c r="AD215" i="6"/>
  <c r="AD163" i="14"/>
  <c r="AL163" i="14"/>
  <c r="AT163" i="14"/>
  <c r="BB163" i="14"/>
  <c r="O215" i="6"/>
  <c r="W215" i="6"/>
  <c r="AE215" i="6"/>
  <c r="CX163" i="14"/>
  <c r="AE163" i="14"/>
  <c r="AM163" i="14"/>
  <c r="AU163" i="14"/>
  <c r="P215" i="6"/>
  <c r="X215" i="6"/>
  <c r="AF215" i="6"/>
  <c r="AR219" i="14"/>
  <c r="AH163" i="14"/>
  <c r="AP163" i="14"/>
  <c r="AX163" i="14"/>
  <c r="K215" i="6"/>
  <c r="S215" i="6"/>
  <c r="AA215" i="6"/>
  <c r="AI215" i="6"/>
  <c r="AX219" i="14"/>
  <c r="AA163" i="14"/>
  <c r="AI163" i="14"/>
  <c r="AQ163" i="14"/>
  <c r="AY163" i="14"/>
  <c r="L215" i="6"/>
  <c r="T215" i="6"/>
  <c r="AB215" i="6"/>
  <c r="AJ215" i="6"/>
  <c r="AN163" i="14"/>
  <c r="I215" i="6"/>
  <c r="I112" i="2" s="1"/>
  <c r="AO163" i="14"/>
  <c r="J215" i="6"/>
  <c r="Z215" i="6"/>
  <c r="AV163" i="14"/>
  <c r="Q215" i="6"/>
  <c r="AH215" i="6"/>
  <c r="CW219" i="14"/>
  <c r="AW163" i="14"/>
  <c r="R215" i="6"/>
  <c r="Y215" i="6"/>
  <c r="DD163" i="14"/>
  <c r="AF163" i="14"/>
  <c r="AG215" i="6"/>
  <c r="AG163" i="14"/>
  <c r="BS163" i="14"/>
  <c r="CA163" i="14"/>
  <c r="CI163" i="14"/>
  <c r="BO219" i="14"/>
  <c r="BW219" i="14"/>
  <c r="CE219" i="14"/>
  <c r="CM219" i="14"/>
  <c r="BT163" i="14"/>
  <c r="CB163" i="14"/>
  <c r="CJ163" i="14"/>
  <c r="BP219" i="14"/>
  <c r="BX219" i="14"/>
  <c r="CF219" i="14"/>
  <c r="CN219" i="14"/>
  <c r="CN163" i="14"/>
  <c r="CB219" i="14"/>
  <c r="BU163" i="14"/>
  <c r="CC163" i="14"/>
  <c r="CK163" i="14"/>
  <c r="BQ219" i="14"/>
  <c r="BY219" i="14"/>
  <c r="CG219" i="14"/>
  <c r="CO219" i="14"/>
  <c r="BP163" i="14"/>
  <c r="CJ219" i="14"/>
  <c r="BZ163" i="14"/>
  <c r="BN163" i="14"/>
  <c r="BV163" i="14"/>
  <c r="CD163" i="14"/>
  <c r="CL163" i="14"/>
  <c r="BR219" i="14"/>
  <c r="BZ219" i="14"/>
  <c r="CH219" i="14"/>
  <c r="CF163" i="14"/>
  <c r="BT219" i="14"/>
  <c r="BO163" i="14"/>
  <c r="BW163" i="14"/>
  <c r="CE163" i="14"/>
  <c r="CM163" i="14"/>
  <c r="BS219" i="14"/>
  <c r="CA219" i="14"/>
  <c r="CI219" i="14"/>
  <c r="BX163" i="14"/>
  <c r="CH163" i="14"/>
  <c r="BQ163" i="14"/>
  <c r="BY163" i="14"/>
  <c r="CG163" i="14"/>
  <c r="CO163" i="14"/>
  <c r="BU219" i="14"/>
  <c r="CC219" i="14"/>
  <c r="CK219" i="14"/>
  <c r="BR163" i="14"/>
  <c r="CD219" i="14"/>
  <c r="BN219" i="14"/>
  <c r="BV219" i="14"/>
  <c r="CL219" i="14"/>
  <c r="BS139" i="17"/>
  <c r="CA139" i="17"/>
  <c r="CI139" i="17"/>
  <c r="BM139" i="17"/>
  <c r="BU139" i="17"/>
  <c r="CC139" i="17"/>
  <c r="CK139" i="17"/>
  <c r="BN139" i="17"/>
  <c r="BV139" i="17"/>
  <c r="CD139" i="17"/>
  <c r="CL139" i="17"/>
  <c r="BO139" i="17"/>
  <c r="BW139" i="17"/>
  <c r="CE139" i="17"/>
  <c r="CM139" i="17"/>
  <c r="BP139" i="17"/>
  <c r="BX139" i="17"/>
  <c r="CF139" i="17"/>
  <c r="CN139" i="17"/>
  <c r="BQ139" i="17"/>
  <c r="BY139" i="17"/>
  <c r="CG139" i="17"/>
  <c r="BZ139" i="17"/>
  <c r="AJ195" i="17"/>
  <c r="AR195" i="17"/>
  <c r="AZ195" i="17"/>
  <c r="BH195" i="17"/>
  <c r="CB139" i="17"/>
  <c r="AK195" i="17"/>
  <c r="AS195" i="17"/>
  <c r="BA195" i="17"/>
  <c r="CH139" i="17"/>
  <c r="AL195" i="17"/>
  <c r="AT195" i="17"/>
  <c r="BB195" i="17"/>
  <c r="CJ139" i="17"/>
  <c r="AM195" i="17"/>
  <c r="AU195" i="17"/>
  <c r="BC195" i="17"/>
  <c r="AG195" i="17"/>
  <c r="AO195" i="17"/>
  <c r="AW195" i="17"/>
  <c r="BE195" i="17"/>
  <c r="BR139" i="17"/>
  <c r="AH195" i="17"/>
  <c r="AP195" i="17"/>
  <c r="AX195" i="17"/>
  <c r="BF195" i="17"/>
  <c r="AQ195" i="17"/>
  <c r="AH139" i="17"/>
  <c r="AP139" i="17"/>
  <c r="AX139" i="17"/>
  <c r="BF139" i="17"/>
  <c r="BT139" i="17"/>
  <c r="AV195" i="17"/>
  <c r="AI139" i="17"/>
  <c r="AQ139" i="17"/>
  <c r="AY195" i="17"/>
  <c r="AJ139" i="17"/>
  <c r="AR139" i="17"/>
  <c r="AZ139" i="17"/>
  <c r="BH139" i="17"/>
  <c r="BD195" i="17"/>
  <c r="AK139" i="17"/>
  <c r="AS139" i="17"/>
  <c r="BG195" i="17"/>
  <c r="AL139" i="17"/>
  <c r="AT139" i="17"/>
  <c r="BB139" i="17"/>
  <c r="AM139" i="17"/>
  <c r="AU139" i="17"/>
  <c r="BC139" i="17"/>
  <c r="AI195" i="17"/>
  <c r="AN139" i="17"/>
  <c r="AV139" i="17"/>
  <c r="BD139" i="17"/>
  <c r="BE139" i="17"/>
  <c r="D195" i="17"/>
  <c r="L195" i="17"/>
  <c r="T195" i="17"/>
  <c r="AB195" i="17"/>
  <c r="AN195" i="17"/>
  <c r="BG139" i="17"/>
  <c r="E195" i="17"/>
  <c r="M195" i="17"/>
  <c r="U195" i="17"/>
  <c r="AC195" i="17"/>
  <c r="F195" i="17"/>
  <c r="N195" i="17"/>
  <c r="V195" i="17"/>
  <c r="AG139" i="17"/>
  <c r="G195" i="17"/>
  <c r="O195" i="17"/>
  <c r="W195" i="17"/>
  <c r="AO139" i="17"/>
  <c r="H195" i="17"/>
  <c r="P195" i="17"/>
  <c r="X195" i="17"/>
  <c r="AW139" i="17"/>
  <c r="I195" i="17"/>
  <c r="Q195" i="17"/>
  <c r="Y195" i="17"/>
  <c r="AY139" i="17"/>
  <c r="J195" i="17"/>
  <c r="E139" i="17"/>
  <c r="M139" i="17"/>
  <c r="U139" i="17"/>
  <c r="AC139" i="17"/>
  <c r="GL141" i="14"/>
  <c r="GT141" i="14"/>
  <c r="HB141" i="14"/>
  <c r="HJ141" i="14"/>
  <c r="K195" i="17"/>
  <c r="F139" i="17"/>
  <c r="N139" i="17"/>
  <c r="V139" i="17"/>
  <c r="GM141" i="14"/>
  <c r="GU141" i="14"/>
  <c r="HC141" i="14"/>
  <c r="R195" i="17"/>
  <c r="G139" i="17"/>
  <c r="O139" i="17"/>
  <c r="W139" i="17"/>
  <c r="GN141" i="14"/>
  <c r="GV141" i="14"/>
  <c r="HD141" i="14"/>
  <c r="BA139" i="17"/>
  <c r="S195" i="17"/>
  <c r="H139" i="17"/>
  <c r="P139" i="17"/>
  <c r="X139" i="17"/>
  <c r="GO141" i="14"/>
  <c r="GW141" i="14"/>
  <c r="HE141" i="14"/>
  <c r="Z195" i="17"/>
  <c r="I139" i="17"/>
  <c r="Q139" i="17"/>
  <c r="Y139" i="17"/>
  <c r="GP141" i="14"/>
  <c r="GX141" i="14"/>
  <c r="HF141" i="14"/>
  <c r="B195" i="17"/>
  <c r="C139" i="17"/>
  <c r="K139" i="17"/>
  <c r="S139" i="17"/>
  <c r="AA139" i="17"/>
  <c r="GJ141" i="14"/>
  <c r="GR141" i="14"/>
  <c r="GZ141" i="14"/>
  <c r="HH141" i="14"/>
  <c r="AB139" i="17"/>
  <c r="GK141" i="14"/>
  <c r="FG141" i="14"/>
  <c r="FO141" i="14"/>
  <c r="FW141" i="14"/>
  <c r="B139" i="17"/>
  <c r="GQ141" i="14"/>
  <c r="FH141" i="14"/>
  <c r="FP141" i="14"/>
  <c r="FX141" i="14"/>
  <c r="D139" i="17"/>
  <c r="GS141" i="14"/>
  <c r="FI141" i="14"/>
  <c r="FQ141" i="14"/>
  <c r="FY141" i="14"/>
  <c r="J139" i="17"/>
  <c r="GY141" i="14"/>
  <c r="FJ141" i="14"/>
  <c r="FR141" i="14"/>
  <c r="FZ141" i="14"/>
  <c r="C195" i="17"/>
  <c r="L139" i="17"/>
  <c r="HA141" i="14"/>
  <c r="FC141" i="14"/>
  <c r="FK141" i="14"/>
  <c r="FS141" i="14"/>
  <c r="GA141" i="14"/>
  <c r="T139" i="17"/>
  <c r="HI141" i="14"/>
  <c r="FE141" i="14"/>
  <c r="FM141" i="14"/>
  <c r="FU141" i="14"/>
  <c r="GC141" i="14"/>
  <c r="GD141" i="14"/>
  <c r="FE197" i="14"/>
  <c r="FM197" i="14"/>
  <c r="FU197" i="14"/>
  <c r="GC197" i="14"/>
  <c r="ED197" i="14"/>
  <c r="EL197" i="14"/>
  <c r="FD141" i="14"/>
  <c r="FF197" i="14"/>
  <c r="FN197" i="14"/>
  <c r="FV197" i="14"/>
  <c r="GD197" i="14"/>
  <c r="EE197" i="14"/>
  <c r="EM197" i="14"/>
  <c r="EU197" i="14"/>
  <c r="FF141" i="14"/>
  <c r="FG197" i="14"/>
  <c r="FO197" i="14"/>
  <c r="FW197" i="14"/>
  <c r="DX197" i="14"/>
  <c r="EF197" i="14"/>
  <c r="EN197" i="14"/>
  <c r="EV197" i="14"/>
  <c r="AA195" i="17"/>
  <c r="FL141" i="14"/>
  <c r="FH197" i="14"/>
  <c r="FP197" i="14"/>
  <c r="FX197" i="14"/>
  <c r="DY197" i="14"/>
  <c r="EG197" i="14"/>
  <c r="EO197" i="14"/>
  <c r="EW197" i="14"/>
  <c r="FN141" i="14"/>
  <c r="FI197" i="14"/>
  <c r="FQ197" i="14"/>
  <c r="FY197" i="14"/>
  <c r="DZ197" i="14"/>
  <c r="EH197" i="14"/>
  <c r="EP197" i="14"/>
  <c r="EX197" i="14"/>
  <c r="Z139" i="17"/>
  <c r="GI141" i="14"/>
  <c r="FV141" i="14"/>
  <c r="FC197" i="14"/>
  <c r="FK197" i="14"/>
  <c r="FS197" i="14"/>
  <c r="GA197" i="14"/>
  <c r="EB197" i="14"/>
  <c r="EJ197" i="14"/>
  <c r="ER197" i="14"/>
  <c r="FD197" i="14"/>
  <c r="EK197" i="14"/>
  <c r="DZ141" i="14"/>
  <c r="EH141" i="14"/>
  <c r="EP141" i="14"/>
  <c r="EX141" i="14"/>
  <c r="FJ197" i="14"/>
  <c r="EQ197" i="14"/>
  <c r="EA141" i="14"/>
  <c r="EI141" i="14"/>
  <c r="EQ141" i="14"/>
  <c r="EY141" i="14"/>
  <c r="HG141" i="14"/>
  <c r="FL197" i="14"/>
  <c r="ES197" i="14"/>
  <c r="EB141" i="14"/>
  <c r="EJ141" i="14"/>
  <c r="ER141" i="14"/>
  <c r="R139" i="17"/>
  <c r="FT141" i="14"/>
  <c r="FR197" i="14"/>
  <c r="ET197" i="14"/>
  <c r="EC141" i="14"/>
  <c r="EK141" i="14"/>
  <c r="ES141" i="14"/>
  <c r="GB141" i="14"/>
  <c r="FT197" i="14"/>
  <c r="EY197" i="14"/>
  <c r="ED141" i="14"/>
  <c r="EL141" i="14"/>
  <c r="ET141" i="14"/>
  <c r="GB197" i="14"/>
  <c r="EC197" i="14"/>
  <c r="DX141" i="14"/>
  <c r="EF141" i="14"/>
  <c r="EN141" i="14"/>
  <c r="EV141" i="14"/>
  <c r="EI197" i="14"/>
  <c r="DY141" i="14"/>
  <c r="CZ197" i="14"/>
  <c r="DH197" i="14"/>
  <c r="DP197" i="14"/>
  <c r="CY141" i="14"/>
  <c r="DG141" i="14"/>
  <c r="DO141" i="14"/>
  <c r="AC197" i="14"/>
  <c r="AK197" i="14"/>
  <c r="AS197" i="14"/>
  <c r="BA197" i="14"/>
  <c r="EE141" i="14"/>
  <c r="CS197" i="14"/>
  <c r="DA197" i="14"/>
  <c r="DI197" i="14"/>
  <c r="DQ197" i="14"/>
  <c r="CZ141" i="14"/>
  <c r="DH141" i="14"/>
  <c r="DP141" i="14"/>
  <c r="AD197" i="14"/>
  <c r="AL197" i="14"/>
  <c r="AT197" i="14"/>
  <c r="BB197" i="14"/>
  <c r="EG141" i="14"/>
  <c r="CT197" i="14"/>
  <c r="DB197" i="14"/>
  <c r="DJ197" i="14"/>
  <c r="DR197" i="14"/>
  <c r="CS141" i="14"/>
  <c r="DA141" i="14"/>
  <c r="DI141" i="14"/>
  <c r="DQ141" i="14"/>
  <c r="AE197" i="14"/>
  <c r="AM197" i="14"/>
  <c r="AU197" i="14"/>
  <c r="EM141" i="14"/>
  <c r="CU197" i="14"/>
  <c r="DC197" i="14"/>
  <c r="DK197" i="14"/>
  <c r="DS197" i="14"/>
  <c r="CT141" i="14"/>
  <c r="DB141" i="14"/>
  <c r="DJ141" i="14"/>
  <c r="DR141" i="14"/>
  <c r="AF197" i="14"/>
  <c r="AN197" i="14"/>
  <c r="AV197" i="14"/>
  <c r="EO141" i="14"/>
  <c r="CV197" i="14"/>
  <c r="DD197" i="14"/>
  <c r="DL197" i="14"/>
  <c r="DT197" i="14"/>
  <c r="CU141" i="14"/>
  <c r="DC141" i="14"/>
  <c r="DK141" i="14"/>
  <c r="DS141" i="14"/>
  <c r="AG197" i="14"/>
  <c r="AO197" i="14"/>
  <c r="AW197" i="14"/>
  <c r="EW141" i="14"/>
  <c r="CX197" i="14"/>
  <c r="DF197" i="14"/>
  <c r="DN197" i="14"/>
  <c r="CW141" i="14"/>
  <c r="DE141" i="14"/>
  <c r="DM141" i="14"/>
  <c r="AA197" i="14"/>
  <c r="AI197" i="14"/>
  <c r="AQ197" i="14"/>
  <c r="AY197" i="14"/>
  <c r="FZ197" i="14"/>
  <c r="DO197" i="14"/>
  <c r="AJ197" i="14"/>
  <c r="CV141" i="14"/>
  <c r="AP197" i="14"/>
  <c r="CX141" i="14"/>
  <c r="AR197" i="14"/>
  <c r="EU141" i="14"/>
  <c r="CW197" i="14"/>
  <c r="DD141" i="14"/>
  <c r="AX197" i="14"/>
  <c r="EA197" i="14"/>
  <c r="DG197" i="14"/>
  <c r="DN141" i="14"/>
  <c r="AB197" i="14"/>
  <c r="DM197" i="14"/>
  <c r="DT141" i="14"/>
  <c r="AH197" i="14"/>
  <c r="AZ197" i="14"/>
  <c r="AB141" i="14"/>
  <c r="AJ141" i="14"/>
  <c r="AR141" i="14"/>
  <c r="AZ141" i="14"/>
  <c r="M193" i="6"/>
  <c r="U193" i="6"/>
  <c r="AC193" i="6"/>
  <c r="AC141" i="14"/>
  <c r="AK141" i="14"/>
  <c r="AS141" i="14"/>
  <c r="BA141" i="14"/>
  <c r="N193" i="6"/>
  <c r="V193" i="6"/>
  <c r="AD193" i="6"/>
  <c r="AD141" i="14"/>
  <c r="AL141" i="14"/>
  <c r="AT141" i="14"/>
  <c r="BB141" i="14"/>
  <c r="O193" i="6"/>
  <c r="W193" i="6"/>
  <c r="AE193" i="6"/>
  <c r="AE141" i="14"/>
  <c r="AM141" i="14"/>
  <c r="AU141" i="14"/>
  <c r="P193" i="6"/>
  <c r="X193" i="6"/>
  <c r="AF193" i="6"/>
  <c r="CY197" i="14"/>
  <c r="DF141" i="14"/>
  <c r="AH141" i="14"/>
  <c r="AP141" i="14"/>
  <c r="AX141" i="14"/>
  <c r="K193" i="6"/>
  <c r="S193" i="6"/>
  <c r="AA193" i="6"/>
  <c r="AI193" i="6"/>
  <c r="DE197" i="14"/>
  <c r="DL141" i="14"/>
  <c r="AA141" i="14"/>
  <c r="AI141" i="14"/>
  <c r="AQ141" i="14"/>
  <c r="AY141" i="14"/>
  <c r="L193" i="6"/>
  <c r="T193" i="6"/>
  <c r="AB193" i="6"/>
  <c r="AJ193" i="6"/>
  <c r="AV141" i="14"/>
  <c r="Q193" i="6"/>
  <c r="AW141" i="14"/>
  <c r="R193" i="6"/>
  <c r="AG141" i="14"/>
  <c r="Y193" i="6"/>
  <c r="Z193" i="6"/>
  <c r="J193" i="6"/>
  <c r="AF141" i="14"/>
  <c r="AG193" i="6"/>
  <c r="AH193" i="6"/>
  <c r="AN141" i="14"/>
  <c r="I193" i="6"/>
  <c r="I89" i="2" s="1"/>
  <c r="AO141" i="14"/>
  <c r="BS141" i="14"/>
  <c r="CA141" i="14"/>
  <c r="CI141" i="14"/>
  <c r="BO197" i="14"/>
  <c r="BW197" i="14"/>
  <c r="CE197" i="14"/>
  <c r="CM197" i="14"/>
  <c r="BN197" i="14"/>
  <c r="BT141" i="14"/>
  <c r="CB141" i="14"/>
  <c r="CJ141" i="14"/>
  <c r="BP197" i="14"/>
  <c r="BX197" i="14"/>
  <c r="CF197" i="14"/>
  <c r="CN197" i="14"/>
  <c r="BP141" i="14"/>
  <c r="BU141" i="14"/>
  <c r="CC141" i="14"/>
  <c r="CK141" i="14"/>
  <c r="BQ197" i="14"/>
  <c r="BY197" i="14"/>
  <c r="CG197" i="14"/>
  <c r="CO197" i="14"/>
  <c r="CN141" i="14"/>
  <c r="CB197" i="14"/>
  <c r="CD197" i="14"/>
  <c r="BN141" i="14"/>
  <c r="BV141" i="14"/>
  <c r="CD141" i="14"/>
  <c r="CL141" i="14"/>
  <c r="BR197" i="14"/>
  <c r="BZ197" i="14"/>
  <c r="CH197" i="14"/>
  <c r="BX141" i="14"/>
  <c r="BT197" i="14"/>
  <c r="BV197" i="14"/>
  <c r="BO141" i="14"/>
  <c r="BW141" i="14"/>
  <c r="CE141" i="14"/>
  <c r="CM141" i="14"/>
  <c r="BS197" i="14"/>
  <c r="CA197" i="14"/>
  <c r="CI197" i="14"/>
  <c r="CF141" i="14"/>
  <c r="CJ197" i="14"/>
  <c r="BQ141" i="14"/>
  <c r="BY141" i="14"/>
  <c r="CG141" i="14"/>
  <c r="CO141" i="14"/>
  <c r="BU197" i="14"/>
  <c r="CC197" i="14"/>
  <c r="CK197" i="14"/>
  <c r="BR141" i="14"/>
  <c r="BZ141" i="14"/>
  <c r="CH141" i="14"/>
  <c r="CL197" i="14"/>
  <c r="BO126" i="17"/>
  <c r="BW126" i="17"/>
  <c r="CE126" i="17"/>
  <c r="CM126" i="17"/>
  <c r="BP126" i="17"/>
  <c r="BX126" i="17"/>
  <c r="CF126" i="17"/>
  <c r="CN126" i="17"/>
  <c r="BQ126" i="17"/>
  <c r="BY126" i="17"/>
  <c r="CG126" i="17"/>
  <c r="BR126" i="17"/>
  <c r="BZ126" i="17"/>
  <c r="CH126" i="17"/>
  <c r="BT126" i="17"/>
  <c r="CB126" i="17"/>
  <c r="CJ126" i="17"/>
  <c r="BM126" i="17"/>
  <c r="BU126" i="17"/>
  <c r="CC126" i="17"/>
  <c r="CK126" i="17"/>
  <c r="BN126" i="17"/>
  <c r="BV126" i="17"/>
  <c r="CD126" i="17"/>
  <c r="CL126" i="17"/>
  <c r="CI126" i="17"/>
  <c r="BS126" i="17"/>
  <c r="AN182" i="17"/>
  <c r="AV182" i="17"/>
  <c r="BD182" i="17"/>
  <c r="AG182" i="17"/>
  <c r="AO182" i="17"/>
  <c r="AW182" i="17"/>
  <c r="BE182" i="17"/>
  <c r="AH182" i="17"/>
  <c r="AP182" i="17"/>
  <c r="AX182" i="17"/>
  <c r="BF182" i="17"/>
  <c r="AI182" i="17"/>
  <c r="AQ182" i="17"/>
  <c r="AY182" i="17"/>
  <c r="BG182" i="17"/>
  <c r="AJ182" i="17"/>
  <c r="AR182" i="17"/>
  <c r="AZ182" i="17"/>
  <c r="BH182" i="17"/>
  <c r="AK182" i="17"/>
  <c r="AS182" i="17"/>
  <c r="BA182" i="17"/>
  <c r="CA126" i="17"/>
  <c r="AL182" i="17"/>
  <c r="AT182" i="17"/>
  <c r="BB182" i="17"/>
  <c r="AM182" i="17"/>
  <c r="AL126" i="17"/>
  <c r="AT126" i="17"/>
  <c r="BB126" i="17"/>
  <c r="AU182" i="17"/>
  <c r="AM126" i="17"/>
  <c r="AU126" i="17"/>
  <c r="BC126" i="17"/>
  <c r="BC182" i="17"/>
  <c r="AN126" i="17"/>
  <c r="AV126" i="17"/>
  <c r="BD126" i="17"/>
  <c r="AG126" i="17"/>
  <c r="AO126" i="17"/>
  <c r="AW126" i="17"/>
  <c r="BE126" i="17"/>
  <c r="AH126" i="17"/>
  <c r="AP126" i="17"/>
  <c r="AX126" i="17"/>
  <c r="BF126" i="17"/>
  <c r="AI126" i="17"/>
  <c r="AQ126" i="17"/>
  <c r="AY126" i="17"/>
  <c r="BG126" i="17"/>
  <c r="AJ126" i="17"/>
  <c r="AR126" i="17"/>
  <c r="AZ126" i="17"/>
  <c r="BH126" i="17"/>
  <c r="BA126" i="17"/>
  <c r="H182" i="17"/>
  <c r="P182" i="17"/>
  <c r="X182" i="17"/>
  <c r="I182" i="17"/>
  <c r="Q182" i="17"/>
  <c r="Y182" i="17"/>
  <c r="E126" i="17"/>
  <c r="M126" i="17"/>
  <c r="U126" i="17"/>
  <c r="AC126" i="17"/>
  <c r="B182" i="17"/>
  <c r="J182" i="17"/>
  <c r="R182" i="17"/>
  <c r="Z182" i="17"/>
  <c r="F126" i="17"/>
  <c r="N126" i="17"/>
  <c r="V126" i="17"/>
  <c r="C182" i="17"/>
  <c r="K182" i="17"/>
  <c r="S182" i="17"/>
  <c r="AA182" i="17"/>
  <c r="G126" i="17"/>
  <c r="O126" i="17"/>
  <c r="W126" i="17"/>
  <c r="D182" i="17"/>
  <c r="L182" i="17"/>
  <c r="T182" i="17"/>
  <c r="AB182" i="17"/>
  <c r="H126" i="17"/>
  <c r="P126" i="17"/>
  <c r="X126" i="17"/>
  <c r="E182" i="17"/>
  <c r="M182" i="17"/>
  <c r="U182" i="17"/>
  <c r="AC182" i="17"/>
  <c r="I126" i="17"/>
  <c r="Q126" i="17"/>
  <c r="Y126" i="17"/>
  <c r="AK126" i="17"/>
  <c r="F182" i="17"/>
  <c r="N182" i="17"/>
  <c r="V182" i="17"/>
  <c r="B126" i="17"/>
  <c r="T126" i="17"/>
  <c r="GP128" i="14"/>
  <c r="GX128" i="14"/>
  <c r="HF128" i="14"/>
  <c r="C126" i="17"/>
  <c r="Z126" i="17"/>
  <c r="GI128" i="14"/>
  <c r="GQ128" i="14"/>
  <c r="GY128" i="14"/>
  <c r="HG128" i="14"/>
  <c r="D126" i="17"/>
  <c r="AA126" i="17"/>
  <c r="GJ128" i="14"/>
  <c r="GR128" i="14"/>
  <c r="GZ128" i="14"/>
  <c r="HH128" i="14"/>
  <c r="J126" i="17"/>
  <c r="AB126" i="17"/>
  <c r="GK128" i="14"/>
  <c r="GS128" i="14"/>
  <c r="HA128" i="14"/>
  <c r="HI128" i="14"/>
  <c r="G182" i="17"/>
  <c r="K126" i="17"/>
  <c r="GL128" i="14"/>
  <c r="GT128" i="14"/>
  <c r="HB128" i="14"/>
  <c r="HJ128" i="14"/>
  <c r="W182" i="17"/>
  <c r="R126" i="17"/>
  <c r="GN128" i="14"/>
  <c r="GV128" i="14"/>
  <c r="HD128" i="14"/>
  <c r="S126" i="17"/>
  <c r="GW128" i="14"/>
  <c r="FC128" i="14"/>
  <c r="FK128" i="14"/>
  <c r="FS128" i="14"/>
  <c r="GA128" i="14"/>
  <c r="AS126" i="17"/>
  <c r="HC128" i="14"/>
  <c r="FD128" i="14"/>
  <c r="FL128" i="14"/>
  <c r="FT128" i="14"/>
  <c r="GB128" i="14"/>
  <c r="HE128" i="14"/>
  <c r="FE128" i="14"/>
  <c r="FM128" i="14"/>
  <c r="FU128" i="14"/>
  <c r="GC128" i="14"/>
  <c r="O182" i="17"/>
  <c r="FF128" i="14"/>
  <c r="FN128" i="14"/>
  <c r="FV128" i="14"/>
  <c r="GD128" i="14"/>
  <c r="FG128" i="14"/>
  <c r="FO128" i="14"/>
  <c r="FW128" i="14"/>
  <c r="FC184" i="14"/>
  <c r="FK184" i="14"/>
  <c r="GO128" i="14"/>
  <c r="FI128" i="14"/>
  <c r="FQ128" i="14"/>
  <c r="FY128" i="14"/>
  <c r="GU128" i="14"/>
  <c r="FJ128" i="14"/>
  <c r="FH184" i="14"/>
  <c r="FQ184" i="14"/>
  <c r="FY184" i="14"/>
  <c r="DZ184" i="14"/>
  <c r="EH184" i="14"/>
  <c r="EP184" i="14"/>
  <c r="EX184" i="14"/>
  <c r="FP128" i="14"/>
  <c r="FI184" i="14"/>
  <c r="FR184" i="14"/>
  <c r="FZ184" i="14"/>
  <c r="EA184" i="14"/>
  <c r="EI184" i="14"/>
  <c r="EQ184" i="14"/>
  <c r="EY184" i="14"/>
  <c r="L126" i="17"/>
  <c r="FR128" i="14"/>
  <c r="FJ184" i="14"/>
  <c r="FS184" i="14"/>
  <c r="GA184" i="14"/>
  <c r="EB184" i="14"/>
  <c r="EJ184" i="14"/>
  <c r="ER184" i="14"/>
  <c r="FX128" i="14"/>
  <c r="FL184" i="14"/>
  <c r="FT184" i="14"/>
  <c r="GB184" i="14"/>
  <c r="EC184" i="14"/>
  <c r="EK184" i="14"/>
  <c r="ES184" i="14"/>
  <c r="FZ128" i="14"/>
  <c r="FD184" i="14"/>
  <c r="FM184" i="14"/>
  <c r="FU184" i="14"/>
  <c r="GC184" i="14"/>
  <c r="ED184" i="14"/>
  <c r="EL184" i="14"/>
  <c r="ET184" i="14"/>
  <c r="FF184" i="14"/>
  <c r="FO184" i="14"/>
  <c r="FW184" i="14"/>
  <c r="DX184" i="14"/>
  <c r="EF184" i="14"/>
  <c r="EN184" i="14"/>
  <c r="EV184" i="14"/>
  <c r="FP184" i="14"/>
  <c r="EW184" i="14"/>
  <c r="ED128" i="14"/>
  <c r="EL128" i="14"/>
  <c r="ET128" i="14"/>
  <c r="FV184" i="14"/>
  <c r="EE128" i="14"/>
  <c r="EM128" i="14"/>
  <c r="EU128" i="14"/>
  <c r="CV184" i="14"/>
  <c r="DD184" i="14"/>
  <c r="DL184" i="14"/>
  <c r="FX184" i="14"/>
  <c r="DY184" i="14"/>
  <c r="DX128" i="14"/>
  <c r="EF128" i="14"/>
  <c r="EN128" i="14"/>
  <c r="EV128" i="14"/>
  <c r="GD184" i="14"/>
  <c r="EE184" i="14"/>
  <c r="DY128" i="14"/>
  <c r="EG128" i="14"/>
  <c r="EO128" i="14"/>
  <c r="EW128" i="14"/>
  <c r="CX184" i="14"/>
  <c r="DF184" i="14"/>
  <c r="GM128" i="14"/>
  <c r="FH128" i="14"/>
  <c r="EG184" i="14"/>
  <c r="DZ128" i="14"/>
  <c r="EH128" i="14"/>
  <c r="EP128" i="14"/>
  <c r="EX128" i="14"/>
  <c r="CY184" i="14"/>
  <c r="DG184" i="14"/>
  <c r="FG184" i="14"/>
  <c r="EO184" i="14"/>
  <c r="EB128" i="14"/>
  <c r="EJ128" i="14"/>
  <c r="ER128" i="14"/>
  <c r="CS184" i="14"/>
  <c r="DA184" i="14"/>
  <c r="DI184" i="14"/>
  <c r="FN184" i="14"/>
  <c r="EK128" i="14"/>
  <c r="CU184" i="14"/>
  <c r="DK184" i="14"/>
  <c r="DT184" i="14"/>
  <c r="CU128" i="14"/>
  <c r="DC128" i="14"/>
  <c r="DK128" i="14"/>
  <c r="DS128" i="14"/>
  <c r="AG184" i="14"/>
  <c r="AO184" i="14"/>
  <c r="AW184" i="14"/>
  <c r="EM184" i="14"/>
  <c r="EQ128" i="14"/>
  <c r="CW184" i="14"/>
  <c r="DM184" i="14"/>
  <c r="CV128" i="14"/>
  <c r="DD128" i="14"/>
  <c r="DL128" i="14"/>
  <c r="DT128" i="14"/>
  <c r="AH184" i="14"/>
  <c r="AP184" i="14"/>
  <c r="AX184" i="14"/>
  <c r="AH128" i="14"/>
  <c r="AP128" i="14"/>
  <c r="AX128" i="14"/>
  <c r="EU184" i="14"/>
  <c r="ES128" i="14"/>
  <c r="CZ184" i="14"/>
  <c r="DN184" i="14"/>
  <c r="CW128" i="14"/>
  <c r="DE128" i="14"/>
  <c r="DM128" i="14"/>
  <c r="AA184" i="14"/>
  <c r="AI184" i="14"/>
  <c r="AQ184" i="14"/>
  <c r="AY184" i="14"/>
  <c r="AA128" i="14"/>
  <c r="AI128" i="14"/>
  <c r="AQ128" i="14"/>
  <c r="AY128" i="14"/>
  <c r="EY128" i="14"/>
  <c r="DB184" i="14"/>
  <c r="DO184" i="14"/>
  <c r="CX128" i="14"/>
  <c r="DF128" i="14"/>
  <c r="DN128" i="14"/>
  <c r="AB184" i="14"/>
  <c r="AJ184" i="14"/>
  <c r="AR184" i="14"/>
  <c r="AZ184" i="14"/>
  <c r="AB128" i="14"/>
  <c r="AJ128" i="14"/>
  <c r="AR128" i="14"/>
  <c r="AZ128" i="14"/>
  <c r="DC184" i="14"/>
  <c r="DP184" i="14"/>
  <c r="CY128" i="14"/>
  <c r="DG128" i="14"/>
  <c r="DO128" i="14"/>
  <c r="AC184" i="14"/>
  <c r="AK184" i="14"/>
  <c r="AS184" i="14"/>
  <c r="BA184" i="14"/>
  <c r="AC128" i="14"/>
  <c r="AK128" i="14"/>
  <c r="AS128" i="14"/>
  <c r="BA128" i="14"/>
  <c r="EC128" i="14"/>
  <c r="DH184" i="14"/>
  <c r="DR184" i="14"/>
  <c r="CS128" i="14"/>
  <c r="DA128" i="14"/>
  <c r="DI128" i="14"/>
  <c r="DQ128" i="14"/>
  <c r="AE184" i="14"/>
  <c r="AM184" i="14"/>
  <c r="AU184" i="14"/>
  <c r="AE128" i="14"/>
  <c r="AM128" i="14"/>
  <c r="AU128" i="14"/>
  <c r="DB128" i="14"/>
  <c r="AV184" i="14"/>
  <c r="AF128" i="14"/>
  <c r="BB128" i="14"/>
  <c r="DH128" i="14"/>
  <c r="BB184" i="14"/>
  <c r="AG128" i="14"/>
  <c r="FE184" i="14"/>
  <c r="CT184" i="14"/>
  <c r="DJ128" i="14"/>
  <c r="EA128" i="14"/>
  <c r="DE184" i="14"/>
  <c r="DP128" i="14"/>
  <c r="AD184" i="14"/>
  <c r="AN128" i="14"/>
  <c r="DS184" i="14"/>
  <c r="CT128" i="14"/>
  <c r="AN184" i="14"/>
  <c r="AV128" i="14"/>
  <c r="CZ128" i="14"/>
  <c r="AT184" i="14"/>
  <c r="AD128" i="14"/>
  <c r="AW128" i="14"/>
  <c r="DJ184" i="14"/>
  <c r="DR128" i="14"/>
  <c r="AF184" i="14"/>
  <c r="I180" i="6"/>
  <c r="I79" i="2" s="1"/>
  <c r="Q180" i="6"/>
  <c r="Y180" i="6"/>
  <c r="AG180" i="6"/>
  <c r="DQ184" i="14"/>
  <c r="AL184" i="14"/>
  <c r="AL128" i="14"/>
  <c r="J180" i="6"/>
  <c r="R180" i="6"/>
  <c r="Z180" i="6"/>
  <c r="AH180" i="6"/>
  <c r="AO128" i="14"/>
  <c r="K180" i="6"/>
  <c r="S180" i="6"/>
  <c r="AA180" i="6"/>
  <c r="AI180" i="6"/>
  <c r="AT128" i="14"/>
  <c r="L180" i="6"/>
  <c r="T180" i="6"/>
  <c r="AB180" i="6"/>
  <c r="AJ180" i="6"/>
  <c r="EI128" i="14"/>
  <c r="O180" i="6"/>
  <c r="W180" i="6"/>
  <c r="AE180" i="6"/>
  <c r="P180" i="6"/>
  <c r="X180" i="6"/>
  <c r="AF180" i="6"/>
  <c r="AC180" i="6"/>
  <c r="AD180" i="6"/>
  <c r="M180" i="6"/>
  <c r="N180" i="6"/>
  <c r="V180" i="6"/>
  <c r="U180" i="6"/>
  <c r="BO128" i="14"/>
  <c r="BW128" i="14"/>
  <c r="CE128" i="14"/>
  <c r="CM128" i="14"/>
  <c r="BS184" i="14"/>
  <c r="CA184" i="14"/>
  <c r="CI184" i="14"/>
  <c r="BP128" i="14"/>
  <c r="BX128" i="14"/>
  <c r="CF128" i="14"/>
  <c r="CN128" i="14"/>
  <c r="BT184" i="14"/>
  <c r="CB184" i="14"/>
  <c r="CJ184" i="14"/>
  <c r="CB128" i="14"/>
  <c r="BX184" i="14"/>
  <c r="BR184" i="14"/>
  <c r="BQ128" i="14"/>
  <c r="BY128" i="14"/>
  <c r="CG128" i="14"/>
  <c r="CO128" i="14"/>
  <c r="BU184" i="14"/>
  <c r="CC184" i="14"/>
  <c r="CK184" i="14"/>
  <c r="BP184" i="14"/>
  <c r="BR128" i="14"/>
  <c r="BZ128" i="14"/>
  <c r="CH128" i="14"/>
  <c r="BN184" i="14"/>
  <c r="BV184" i="14"/>
  <c r="CD184" i="14"/>
  <c r="CL184" i="14"/>
  <c r="CJ128" i="14"/>
  <c r="CF184" i="14"/>
  <c r="BZ184" i="14"/>
  <c r="BS128" i="14"/>
  <c r="CA128" i="14"/>
  <c r="CI128" i="14"/>
  <c r="BO184" i="14"/>
  <c r="BW184" i="14"/>
  <c r="CE184" i="14"/>
  <c r="CM184" i="14"/>
  <c r="BT128" i="14"/>
  <c r="CN184" i="14"/>
  <c r="CH184" i="14"/>
  <c r="BU128" i="14"/>
  <c r="CC128" i="14"/>
  <c r="CK128" i="14"/>
  <c r="BQ184" i="14"/>
  <c r="BY184" i="14"/>
  <c r="CG184" i="14"/>
  <c r="CO184" i="14"/>
  <c r="BN128" i="14"/>
  <c r="BV128" i="14"/>
  <c r="CD128" i="14"/>
  <c r="CL128" i="14"/>
  <c r="BS157" i="17"/>
  <c r="CA157" i="17"/>
  <c r="CI157" i="17"/>
  <c r="BM157" i="17"/>
  <c r="BU157" i="17"/>
  <c r="CC157" i="17"/>
  <c r="CK157" i="17"/>
  <c r="BN157" i="17"/>
  <c r="BV157" i="17"/>
  <c r="CD157" i="17"/>
  <c r="CL157" i="17"/>
  <c r="BO157" i="17"/>
  <c r="BW157" i="17"/>
  <c r="CE157" i="17"/>
  <c r="CM157" i="17"/>
  <c r="BP157" i="17"/>
  <c r="BX157" i="17"/>
  <c r="CF157" i="17"/>
  <c r="CN157" i="17"/>
  <c r="BQ157" i="17"/>
  <c r="BY157" i="17"/>
  <c r="CG157" i="17"/>
  <c r="CH157" i="17"/>
  <c r="CJ157" i="17"/>
  <c r="BR157" i="17"/>
  <c r="BT157" i="17"/>
  <c r="BZ157" i="17"/>
  <c r="AL213" i="17"/>
  <c r="AT213" i="17"/>
  <c r="BB213" i="17"/>
  <c r="CB157" i="17"/>
  <c r="AM213" i="17"/>
  <c r="AU213" i="17"/>
  <c r="BC213" i="17"/>
  <c r="AN213" i="17"/>
  <c r="AV213" i="17"/>
  <c r="BD213" i="17"/>
  <c r="AG213" i="17"/>
  <c r="AO213" i="17"/>
  <c r="AW213" i="17"/>
  <c r="BE213" i="17"/>
  <c r="AH213" i="17"/>
  <c r="AP213" i="17"/>
  <c r="AX213" i="17"/>
  <c r="BF213" i="17"/>
  <c r="AI213" i="17"/>
  <c r="AQ213" i="17"/>
  <c r="AY213" i="17"/>
  <c r="BG213" i="17"/>
  <c r="AJ213" i="17"/>
  <c r="AR213" i="17"/>
  <c r="AZ213" i="17"/>
  <c r="BH213" i="17"/>
  <c r="AK213" i="17"/>
  <c r="AM157" i="17"/>
  <c r="AU157" i="17"/>
  <c r="BC157" i="17"/>
  <c r="AS213" i="17"/>
  <c r="AN157" i="17"/>
  <c r="AV157" i="17"/>
  <c r="BD157" i="17"/>
  <c r="E213" i="17"/>
  <c r="M213" i="17"/>
  <c r="U213" i="17"/>
  <c r="AC213" i="17"/>
  <c r="BA213" i="17"/>
  <c r="AG157" i="17"/>
  <c r="AO157" i="17"/>
  <c r="AW157" i="17"/>
  <c r="BE157" i="17"/>
  <c r="F213" i="17"/>
  <c r="N213" i="17"/>
  <c r="V213" i="17"/>
  <c r="AH157" i="17"/>
  <c r="AP157" i="17"/>
  <c r="AX157" i="17"/>
  <c r="BF157" i="17"/>
  <c r="G213" i="17"/>
  <c r="O213" i="17"/>
  <c r="W213" i="17"/>
  <c r="AI157" i="17"/>
  <c r="AQ157" i="17"/>
  <c r="AY157" i="17"/>
  <c r="BG157" i="17"/>
  <c r="H213" i="17"/>
  <c r="P213" i="17"/>
  <c r="X213" i="17"/>
  <c r="AJ157" i="17"/>
  <c r="AR157" i="17"/>
  <c r="AZ157" i="17"/>
  <c r="BH157" i="17"/>
  <c r="I213" i="17"/>
  <c r="Q213" i="17"/>
  <c r="Y213" i="17"/>
  <c r="AK157" i="17"/>
  <c r="AS157" i="17"/>
  <c r="BA157" i="17"/>
  <c r="BB157" i="17"/>
  <c r="D213" i="17"/>
  <c r="AA213" i="17"/>
  <c r="E157" i="17"/>
  <c r="M157" i="17"/>
  <c r="U157" i="17"/>
  <c r="AC157" i="17"/>
  <c r="J213" i="17"/>
  <c r="AB213" i="17"/>
  <c r="F157" i="17"/>
  <c r="N157" i="17"/>
  <c r="V157" i="17"/>
  <c r="K213" i="17"/>
  <c r="G157" i="17"/>
  <c r="O157" i="17"/>
  <c r="W157" i="17"/>
  <c r="L213" i="17"/>
  <c r="H157" i="17"/>
  <c r="P157" i="17"/>
  <c r="X157" i="17"/>
  <c r="R213" i="17"/>
  <c r="I157" i="17"/>
  <c r="Q157" i="17"/>
  <c r="Y157" i="17"/>
  <c r="AL157" i="17"/>
  <c r="B213" i="17"/>
  <c r="T213" i="17"/>
  <c r="C157" i="17"/>
  <c r="K157" i="17"/>
  <c r="S157" i="17"/>
  <c r="AA157" i="17"/>
  <c r="D157" i="17"/>
  <c r="GI159" i="14"/>
  <c r="GQ159" i="14"/>
  <c r="GY159" i="14"/>
  <c r="HG159" i="14"/>
  <c r="FG159" i="14"/>
  <c r="FO159" i="14"/>
  <c r="FW159" i="14"/>
  <c r="J157" i="17"/>
  <c r="GJ159" i="14"/>
  <c r="GR159" i="14"/>
  <c r="GZ159" i="14"/>
  <c r="HH159" i="14"/>
  <c r="FH159" i="14"/>
  <c r="FP159" i="14"/>
  <c r="FX159" i="14"/>
  <c r="AT157" i="17"/>
  <c r="C213" i="17"/>
  <c r="L157" i="17"/>
  <c r="GK159" i="14"/>
  <c r="GS159" i="14"/>
  <c r="HA159" i="14"/>
  <c r="HI159" i="14"/>
  <c r="FI159" i="14"/>
  <c r="FQ159" i="14"/>
  <c r="FY159" i="14"/>
  <c r="S213" i="17"/>
  <c r="R157" i="17"/>
  <c r="GL159" i="14"/>
  <c r="GT159" i="14"/>
  <c r="HB159" i="14"/>
  <c r="HJ159" i="14"/>
  <c r="FJ159" i="14"/>
  <c r="FR159" i="14"/>
  <c r="FZ159" i="14"/>
  <c r="Z213" i="17"/>
  <c r="T157" i="17"/>
  <c r="GM159" i="14"/>
  <c r="GU159" i="14"/>
  <c r="HC159" i="14"/>
  <c r="FC159" i="14"/>
  <c r="FK159" i="14"/>
  <c r="FS159" i="14"/>
  <c r="GA159" i="14"/>
  <c r="AB157" i="17"/>
  <c r="GO159" i="14"/>
  <c r="GW159" i="14"/>
  <c r="HE159" i="14"/>
  <c r="FE159" i="14"/>
  <c r="FM159" i="14"/>
  <c r="FU159" i="14"/>
  <c r="GC159" i="14"/>
  <c r="HF159" i="14"/>
  <c r="FF159" i="14"/>
  <c r="FE215" i="14"/>
  <c r="FM215" i="14"/>
  <c r="FU215" i="14"/>
  <c r="GC215" i="14"/>
  <c r="FL159" i="14"/>
  <c r="FF215" i="14"/>
  <c r="FN215" i="14"/>
  <c r="FV215" i="14"/>
  <c r="GD215" i="14"/>
  <c r="FN159" i="14"/>
  <c r="FG215" i="14"/>
  <c r="FO215" i="14"/>
  <c r="FW215" i="14"/>
  <c r="GN159" i="14"/>
  <c r="FT159" i="14"/>
  <c r="FH215" i="14"/>
  <c r="FP215" i="14"/>
  <c r="FX215" i="14"/>
  <c r="B157" i="17"/>
  <c r="GP159" i="14"/>
  <c r="FV159" i="14"/>
  <c r="FI215" i="14"/>
  <c r="FQ215" i="14"/>
  <c r="FY215" i="14"/>
  <c r="GX159" i="14"/>
  <c r="GD159" i="14"/>
  <c r="FC215" i="14"/>
  <c r="FK215" i="14"/>
  <c r="FS215" i="14"/>
  <c r="GA215" i="14"/>
  <c r="FL215" i="14"/>
  <c r="ED215" i="14"/>
  <c r="EL215" i="14"/>
  <c r="ET215" i="14"/>
  <c r="DZ159" i="14"/>
  <c r="EH159" i="14"/>
  <c r="EP159" i="14"/>
  <c r="EX159" i="14"/>
  <c r="GV159" i="14"/>
  <c r="FR215" i="14"/>
  <c r="EE215" i="14"/>
  <c r="EM215" i="14"/>
  <c r="EU215" i="14"/>
  <c r="EA159" i="14"/>
  <c r="EI159" i="14"/>
  <c r="EQ159" i="14"/>
  <c r="EY159" i="14"/>
  <c r="HD159" i="14"/>
  <c r="FD159" i="14"/>
  <c r="FT215" i="14"/>
  <c r="DX215" i="14"/>
  <c r="EF215" i="14"/>
  <c r="EN215" i="14"/>
  <c r="EV215" i="14"/>
  <c r="EB159" i="14"/>
  <c r="EJ159" i="14"/>
  <c r="ER159" i="14"/>
  <c r="Z157" i="17"/>
  <c r="GB159" i="14"/>
  <c r="FZ215" i="14"/>
  <c r="DY215" i="14"/>
  <c r="EG215" i="14"/>
  <c r="EO215" i="14"/>
  <c r="EW215" i="14"/>
  <c r="EC159" i="14"/>
  <c r="EK159" i="14"/>
  <c r="ES159" i="14"/>
  <c r="GB215" i="14"/>
  <c r="DZ215" i="14"/>
  <c r="EH215" i="14"/>
  <c r="EP215" i="14"/>
  <c r="EX215" i="14"/>
  <c r="ED159" i="14"/>
  <c r="EL159" i="14"/>
  <c r="ET159" i="14"/>
  <c r="FD215" i="14"/>
  <c r="EB215" i="14"/>
  <c r="EJ215" i="14"/>
  <c r="ER215" i="14"/>
  <c r="DX159" i="14"/>
  <c r="EF159" i="14"/>
  <c r="EN159" i="14"/>
  <c r="EV159" i="14"/>
  <c r="EG159" i="14"/>
  <c r="CZ215" i="14"/>
  <c r="DH215" i="14"/>
  <c r="DP215" i="14"/>
  <c r="CY159" i="14"/>
  <c r="DG159" i="14"/>
  <c r="DO159" i="14"/>
  <c r="AC215" i="14"/>
  <c r="AK215" i="14"/>
  <c r="AS215" i="14"/>
  <c r="BA215" i="14"/>
  <c r="EA215" i="14"/>
  <c r="EM159" i="14"/>
  <c r="CS215" i="14"/>
  <c r="DA215" i="14"/>
  <c r="DI215" i="14"/>
  <c r="DQ215" i="14"/>
  <c r="CZ159" i="14"/>
  <c r="DH159" i="14"/>
  <c r="DP159" i="14"/>
  <c r="AD215" i="14"/>
  <c r="AL215" i="14"/>
  <c r="AT215" i="14"/>
  <c r="BB215" i="14"/>
  <c r="EC215" i="14"/>
  <c r="EO159" i="14"/>
  <c r="CT215" i="14"/>
  <c r="DB215" i="14"/>
  <c r="DJ215" i="14"/>
  <c r="DR215" i="14"/>
  <c r="CS159" i="14"/>
  <c r="DA159" i="14"/>
  <c r="DI159" i="14"/>
  <c r="DQ159" i="14"/>
  <c r="AE215" i="14"/>
  <c r="AM215" i="14"/>
  <c r="AU215" i="14"/>
  <c r="EI215" i="14"/>
  <c r="EU159" i="14"/>
  <c r="CU215" i="14"/>
  <c r="DC215" i="14"/>
  <c r="DK215" i="14"/>
  <c r="DS215" i="14"/>
  <c r="CT159" i="14"/>
  <c r="DB159" i="14"/>
  <c r="DJ159" i="14"/>
  <c r="DR159" i="14"/>
  <c r="AF215" i="14"/>
  <c r="AN215" i="14"/>
  <c r="AV215" i="14"/>
  <c r="EK215" i="14"/>
  <c r="EW159" i="14"/>
  <c r="CV215" i="14"/>
  <c r="DD215" i="14"/>
  <c r="DL215" i="14"/>
  <c r="DT215" i="14"/>
  <c r="CU159" i="14"/>
  <c r="DC159" i="14"/>
  <c r="DK159" i="14"/>
  <c r="DS159" i="14"/>
  <c r="AG215" i="14"/>
  <c r="AO215" i="14"/>
  <c r="AW215" i="14"/>
  <c r="FJ215" i="14"/>
  <c r="ES215" i="14"/>
  <c r="DY159" i="14"/>
  <c r="CX215" i="14"/>
  <c r="DF215" i="14"/>
  <c r="DN215" i="14"/>
  <c r="CW159" i="14"/>
  <c r="DE159" i="14"/>
  <c r="DM159" i="14"/>
  <c r="AA215" i="14"/>
  <c r="AI215" i="14"/>
  <c r="AQ215" i="14"/>
  <c r="AY215" i="14"/>
  <c r="CX159" i="14"/>
  <c r="AR215" i="14"/>
  <c r="EQ215" i="14"/>
  <c r="CW215" i="14"/>
  <c r="DD159" i="14"/>
  <c r="AX215" i="14"/>
  <c r="EY215" i="14"/>
  <c r="EE159" i="14"/>
  <c r="CY215" i="14"/>
  <c r="DF159" i="14"/>
  <c r="AZ215" i="14"/>
  <c r="DE215" i="14"/>
  <c r="DL159" i="14"/>
  <c r="DO215" i="14"/>
  <c r="AJ215" i="14"/>
  <c r="CV159" i="14"/>
  <c r="AP215" i="14"/>
  <c r="AB159" i="14"/>
  <c r="AJ159" i="14"/>
  <c r="AR159" i="14"/>
  <c r="AZ159" i="14"/>
  <c r="M211" i="6"/>
  <c r="U211" i="6"/>
  <c r="AC211" i="6"/>
  <c r="AC159" i="14"/>
  <c r="AK159" i="14"/>
  <c r="AS159" i="14"/>
  <c r="BA159" i="14"/>
  <c r="N211" i="6"/>
  <c r="V211" i="6"/>
  <c r="AD211" i="6"/>
  <c r="AD159" i="14"/>
  <c r="AL159" i="14"/>
  <c r="AT159" i="14"/>
  <c r="BB159" i="14"/>
  <c r="O211" i="6"/>
  <c r="W211" i="6"/>
  <c r="AE211" i="6"/>
  <c r="AE159" i="14"/>
  <c r="AM159" i="14"/>
  <c r="AU159" i="14"/>
  <c r="P211" i="6"/>
  <c r="X211" i="6"/>
  <c r="AF211" i="6"/>
  <c r="DG215" i="14"/>
  <c r="DN159" i="14"/>
  <c r="AB215" i="14"/>
  <c r="AH159" i="14"/>
  <c r="AP159" i="14"/>
  <c r="AX159" i="14"/>
  <c r="K211" i="6"/>
  <c r="S211" i="6"/>
  <c r="AA211" i="6"/>
  <c r="AI211" i="6"/>
  <c r="DM215" i="14"/>
  <c r="DT159" i="14"/>
  <c r="AH215" i="14"/>
  <c r="AA159" i="14"/>
  <c r="AI159" i="14"/>
  <c r="AQ159" i="14"/>
  <c r="AY159" i="14"/>
  <c r="L211" i="6"/>
  <c r="T211" i="6"/>
  <c r="AB211" i="6"/>
  <c r="AJ211" i="6"/>
  <c r="Y211" i="6"/>
  <c r="Z211" i="6"/>
  <c r="AO159" i="14"/>
  <c r="R211" i="6"/>
  <c r="AF159" i="14"/>
  <c r="AG211" i="6"/>
  <c r="AG159" i="14"/>
  <c r="AH211" i="6"/>
  <c r="AN159" i="14"/>
  <c r="I211" i="6"/>
  <c r="I108" i="2" s="1"/>
  <c r="J211" i="6"/>
  <c r="AV159" i="14"/>
  <c r="Q211" i="6"/>
  <c r="AW159" i="14"/>
  <c r="BS159" i="14"/>
  <c r="CA159" i="14"/>
  <c r="CI159" i="14"/>
  <c r="BO215" i="14"/>
  <c r="BW215" i="14"/>
  <c r="CE215" i="14"/>
  <c r="CM215" i="14"/>
  <c r="BT159" i="14"/>
  <c r="CB159" i="14"/>
  <c r="CJ159" i="14"/>
  <c r="BP215" i="14"/>
  <c r="BX215" i="14"/>
  <c r="CF215" i="14"/>
  <c r="CN215" i="14"/>
  <c r="BX159" i="14"/>
  <c r="CJ215" i="14"/>
  <c r="BU159" i="14"/>
  <c r="CC159" i="14"/>
  <c r="CK159" i="14"/>
  <c r="BQ215" i="14"/>
  <c r="BY215" i="14"/>
  <c r="CG215" i="14"/>
  <c r="CO215" i="14"/>
  <c r="CF159" i="14"/>
  <c r="CB215" i="14"/>
  <c r="BN159" i="14"/>
  <c r="BV159" i="14"/>
  <c r="CD159" i="14"/>
  <c r="CL159" i="14"/>
  <c r="BR215" i="14"/>
  <c r="BZ215" i="14"/>
  <c r="CH215" i="14"/>
  <c r="CN159" i="14"/>
  <c r="BO159" i="14"/>
  <c r="BW159" i="14"/>
  <c r="CE159" i="14"/>
  <c r="CM159" i="14"/>
  <c r="BS215" i="14"/>
  <c r="CA215" i="14"/>
  <c r="CI215" i="14"/>
  <c r="BP159" i="14"/>
  <c r="BT215" i="14"/>
  <c r="BQ159" i="14"/>
  <c r="BY159" i="14"/>
  <c r="CG159" i="14"/>
  <c r="CO159" i="14"/>
  <c r="BU215" i="14"/>
  <c r="CC215" i="14"/>
  <c r="CK215" i="14"/>
  <c r="BR159" i="14"/>
  <c r="BZ159" i="14"/>
  <c r="CH159" i="14"/>
  <c r="CL215" i="14"/>
  <c r="BN215" i="14"/>
  <c r="BV215" i="14"/>
  <c r="CD215" i="14"/>
  <c r="BO136" i="17"/>
  <c r="BW136" i="17"/>
  <c r="CE136" i="17"/>
  <c r="CM136" i="17"/>
  <c r="BP136" i="17"/>
  <c r="BX136" i="17"/>
  <c r="CF136" i="17"/>
  <c r="CN136" i="17"/>
  <c r="BQ136" i="17"/>
  <c r="BY136" i="17"/>
  <c r="CG136" i="17"/>
  <c r="BR136" i="17"/>
  <c r="BZ136" i="17"/>
  <c r="CH136" i="17"/>
  <c r="BT136" i="17"/>
  <c r="CB136" i="17"/>
  <c r="CJ136" i="17"/>
  <c r="BM136" i="17"/>
  <c r="BU136" i="17"/>
  <c r="CC136" i="17"/>
  <c r="CK136" i="17"/>
  <c r="BN136" i="17"/>
  <c r="BV136" i="17"/>
  <c r="CD136" i="17"/>
  <c r="CL136" i="17"/>
  <c r="CA136" i="17"/>
  <c r="CI136" i="17"/>
  <c r="AN192" i="17"/>
  <c r="AV192" i="17"/>
  <c r="BD192" i="17"/>
  <c r="AG192" i="17"/>
  <c r="AO192" i="17"/>
  <c r="AW192" i="17"/>
  <c r="BE192" i="17"/>
  <c r="AH192" i="17"/>
  <c r="AP192" i="17"/>
  <c r="AX192" i="17"/>
  <c r="BF192" i="17"/>
  <c r="AI192" i="17"/>
  <c r="AQ192" i="17"/>
  <c r="AY192" i="17"/>
  <c r="BG192" i="17"/>
  <c r="AK192" i="17"/>
  <c r="AS192" i="17"/>
  <c r="BA192" i="17"/>
  <c r="AL192" i="17"/>
  <c r="AT192" i="17"/>
  <c r="BB192" i="17"/>
  <c r="BS136" i="17"/>
  <c r="AL136" i="17"/>
  <c r="AT136" i="17"/>
  <c r="BB136" i="17"/>
  <c r="AJ192" i="17"/>
  <c r="AM136" i="17"/>
  <c r="AU136" i="17"/>
  <c r="BC136" i="17"/>
  <c r="AM192" i="17"/>
  <c r="AN136" i="17"/>
  <c r="AV136" i="17"/>
  <c r="BD136" i="17"/>
  <c r="AR192" i="17"/>
  <c r="AG136" i="17"/>
  <c r="AO136" i="17"/>
  <c r="AW136" i="17"/>
  <c r="BE136" i="17"/>
  <c r="AU192" i="17"/>
  <c r="AH136" i="17"/>
  <c r="AP136" i="17"/>
  <c r="AX136" i="17"/>
  <c r="BF136" i="17"/>
  <c r="AZ192" i="17"/>
  <c r="AI136" i="17"/>
  <c r="AQ136" i="17"/>
  <c r="AY136" i="17"/>
  <c r="BG136" i="17"/>
  <c r="BC192" i="17"/>
  <c r="AJ136" i="17"/>
  <c r="AR136" i="17"/>
  <c r="AZ136" i="17"/>
  <c r="BH136" i="17"/>
  <c r="H192" i="17"/>
  <c r="P192" i="17"/>
  <c r="X192" i="17"/>
  <c r="AK136" i="17"/>
  <c r="I192" i="17"/>
  <c r="Q192" i="17"/>
  <c r="Y192" i="17"/>
  <c r="AS136" i="17"/>
  <c r="B192" i="17"/>
  <c r="J192" i="17"/>
  <c r="R192" i="17"/>
  <c r="Z192" i="17"/>
  <c r="BA136" i="17"/>
  <c r="C192" i="17"/>
  <c r="K192" i="17"/>
  <c r="S192" i="17"/>
  <c r="AA192" i="17"/>
  <c r="D192" i="17"/>
  <c r="L192" i="17"/>
  <c r="T192" i="17"/>
  <c r="AB192" i="17"/>
  <c r="E192" i="17"/>
  <c r="M192" i="17"/>
  <c r="U192" i="17"/>
  <c r="AC192" i="17"/>
  <c r="BH192" i="17"/>
  <c r="I136" i="17"/>
  <c r="Q136" i="17"/>
  <c r="Y136" i="17"/>
  <c r="GP138" i="14"/>
  <c r="GX138" i="14"/>
  <c r="HF138" i="14"/>
  <c r="B136" i="17"/>
  <c r="J136" i="17"/>
  <c r="R136" i="17"/>
  <c r="Z136" i="17"/>
  <c r="GI138" i="14"/>
  <c r="GQ138" i="14"/>
  <c r="GY138" i="14"/>
  <c r="HG138" i="14"/>
  <c r="F192" i="17"/>
  <c r="C136" i="17"/>
  <c r="K136" i="17"/>
  <c r="S136" i="17"/>
  <c r="AA136" i="17"/>
  <c r="GJ138" i="14"/>
  <c r="GR138" i="14"/>
  <c r="GZ138" i="14"/>
  <c r="HH138" i="14"/>
  <c r="G192" i="17"/>
  <c r="D136" i="17"/>
  <c r="L136" i="17"/>
  <c r="T136" i="17"/>
  <c r="AB136" i="17"/>
  <c r="GK138" i="14"/>
  <c r="GS138" i="14"/>
  <c r="HA138" i="14"/>
  <c r="HI138" i="14"/>
  <c r="N192" i="17"/>
  <c r="E136" i="17"/>
  <c r="M136" i="17"/>
  <c r="U136" i="17"/>
  <c r="AC136" i="17"/>
  <c r="GL138" i="14"/>
  <c r="GT138" i="14"/>
  <c r="HB138" i="14"/>
  <c r="HJ138" i="14"/>
  <c r="V192" i="17"/>
  <c r="G136" i="17"/>
  <c r="O136" i="17"/>
  <c r="W136" i="17"/>
  <c r="GN138" i="14"/>
  <c r="GV138" i="14"/>
  <c r="HD138" i="14"/>
  <c r="W192" i="17"/>
  <c r="P136" i="17"/>
  <c r="HE138" i="14"/>
  <c r="FC138" i="14"/>
  <c r="FK138" i="14"/>
  <c r="FS138" i="14"/>
  <c r="GA138" i="14"/>
  <c r="V136" i="17"/>
  <c r="FD138" i="14"/>
  <c r="FL138" i="14"/>
  <c r="FT138" i="14"/>
  <c r="GB138" i="14"/>
  <c r="X136" i="17"/>
  <c r="FE138" i="14"/>
  <c r="FM138" i="14"/>
  <c r="FU138" i="14"/>
  <c r="GC138" i="14"/>
  <c r="GM138" i="14"/>
  <c r="FF138" i="14"/>
  <c r="FN138" i="14"/>
  <c r="FV138" i="14"/>
  <c r="GD138" i="14"/>
  <c r="GO138" i="14"/>
  <c r="FG138" i="14"/>
  <c r="FO138" i="14"/>
  <c r="FW138" i="14"/>
  <c r="H136" i="17"/>
  <c r="GW138" i="14"/>
  <c r="FI138" i="14"/>
  <c r="FQ138" i="14"/>
  <c r="FY138" i="14"/>
  <c r="N136" i="17"/>
  <c r="FR138" i="14"/>
  <c r="FI194" i="14"/>
  <c r="FQ194" i="14"/>
  <c r="FY194" i="14"/>
  <c r="DZ194" i="14"/>
  <c r="EH194" i="14"/>
  <c r="EP194" i="14"/>
  <c r="EX194" i="14"/>
  <c r="GU138" i="14"/>
  <c r="FX138" i="14"/>
  <c r="FJ194" i="14"/>
  <c r="FR194" i="14"/>
  <c r="FZ194" i="14"/>
  <c r="EA194" i="14"/>
  <c r="EI194" i="14"/>
  <c r="EQ194" i="14"/>
  <c r="EY194" i="14"/>
  <c r="O192" i="17"/>
  <c r="HC138" i="14"/>
  <c r="FZ138" i="14"/>
  <c r="FC194" i="14"/>
  <c r="FK194" i="14"/>
  <c r="FS194" i="14"/>
  <c r="GA194" i="14"/>
  <c r="EB194" i="14"/>
  <c r="EJ194" i="14"/>
  <c r="ER194" i="14"/>
  <c r="FD194" i="14"/>
  <c r="FL194" i="14"/>
  <c r="FT194" i="14"/>
  <c r="GB194" i="14"/>
  <c r="EC194" i="14"/>
  <c r="EK194" i="14"/>
  <c r="ES194" i="14"/>
  <c r="FE194" i="14"/>
  <c r="FM194" i="14"/>
  <c r="FU194" i="14"/>
  <c r="GC194" i="14"/>
  <c r="ED194" i="14"/>
  <c r="EL194" i="14"/>
  <c r="ET194" i="14"/>
  <c r="FJ138" i="14"/>
  <c r="FG194" i="14"/>
  <c r="FO194" i="14"/>
  <c r="FW194" i="14"/>
  <c r="DX194" i="14"/>
  <c r="EF194" i="14"/>
  <c r="EN194" i="14"/>
  <c r="EV194" i="14"/>
  <c r="FX194" i="14"/>
  <c r="DY194" i="14"/>
  <c r="ED138" i="14"/>
  <c r="EL138" i="14"/>
  <c r="ET138" i="14"/>
  <c r="GD194" i="14"/>
  <c r="EE194" i="14"/>
  <c r="EE138" i="14"/>
  <c r="EM138" i="14"/>
  <c r="EU138" i="14"/>
  <c r="F136" i="17"/>
  <c r="EG194" i="14"/>
  <c r="DX138" i="14"/>
  <c r="EF138" i="14"/>
  <c r="EN138" i="14"/>
  <c r="EV138" i="14"/>
  <c r="FF194" i="14"/>
  <c r="EM194" i="14"/>
  <c r="DY138" i="14"/>
  <c r="EG138" i="14"/>
  <c r="EO138" i="14"/>
  <c r="EW138" i="14"/>
  <c r="FH194" i="14"/>
  <c r="EO194" i="14"/>
  <c r="DZ138" i="14"/>
  <c r="EH138" i="14"/>
  <c r="EP138" i="14"/>
  <c r="EX138" i="14"/>
  <c r="FP138" i="14"/>
  <c r="FP194" i="14"/>
  <c r="EW194" i="14"/>
  <c r="EB138" i="14"/>
  <c r="EJ138" i="14"/>
  <c r="ER138" i="14"/>
  <c r="ES138" i="14"/>
  <c r="CV194" i="14"/>
  <c r="DD194" i="14"/>
  <c r="DL194" i="14"/>
  <c r="DT194" i="14"/>
  <c r="CU138" i="14"/>
  <c r="DC138" i="14"/>
  <c r="DK138" i="14"/>
  <c r="DS138" i="14"/>
  <c r="AG194" i="14"/>
  <c r="AO194" i="14"/>
  <c r="AW194" i="14"/>
  <c r="FN194" i="14"/>
  <c r="EY138" i="14"/>
  <c r="CW194" i="14"/>
  <c r="DE194" i="14"/>
  <c r="DM194" i="14"/>
  <c r="CV138" i="14"/>
  <c r="DD138" i="14"/>
  <c r="DL138" i="14"/>
  <c r="DT138" i="14"/>
  <c r="AH194" i="14"/>
  <c r="AP194" i="14"/>
  <c r="AX194" i="14"/>
  <c r="AH138" i="14"/>
  <c r="AP138" i="14"/>
  <c r="AX138" i="14"/>
  <c r="FV194" i="14"/>
  <c r="CX194" i="14"/>
  <c r="DF194" i="14"/>
  <c r="DN194" i="14"/>
  <c r="CW138" i="14"/>
  <c r="DE138" i="14"/>
  <c r="DM138" i="14"/>
  <c r="AA194" i="14"/>
  <c r="AI194" i="14"/>
  <c r="AQ194" i="14"/>
  <c r="AY194" i="14"/>
  <c r="AA138" i="14"/>
  <c r="AI138" i="14"/>
  <c r="AQ138" i="14"/>
  <c r="EU194" i="14"/>
  <c r="EA138" i="14"/>
  <c r="CY194" i="14"/>
  <c r="DG194" i="14"/>
  <c r="DO194" i="14"/>
  <c r="CX138" i="14"/>
  <c r="DF138" i="14"/>
  <c r="DN138" i="14"/>
  <c r="AB194" i="14"/>
  <c r="AJ194" i="14"/>
  <c r="AR194" i="14"/>
  <c r="AZ194" i="14"/>
  <c r="AB138" i="14"/>
  <c r="AJ138" i="14"/>
  <c r="AR138" i="14"/>
  <c r="AZ138" i="14"/>
  <c r="EC138" i="14"/>
  <c r="CZ194" i="14"/>
  <c r="DH194" i="14"/>
  <c r="DP194" i="14"/>
  <c r="CY138" i="14"/>
  <c r="DG138" i="14"/>
  <c r="DO138" i="14"/>
  <c r="AC194" i="14"/>
  <c r="AK194" i="14"/>
  <c r="AS194" i="14"/>
  <c r="BA194" i="14"/>
  <c r="AC138" i="14"/>
  <c r="AK138" i="14"/>
  <c r="AS138" i="14"/>
  <c r="BA138" i="14"/>
  <c r="EK138" i="14"/>
  <c r="CT194" i="14"/>
  <c r="DB194" i="14"/>
  <c r="DJ194" i="14"/>
  <c r="DR194" i="14"/>
  <c r="CS138" i="14"/>
  <c r="DA138" i="14"/>
  <c r="DI138" i="14"/>
  <c r="DQ138" i="14"/>
  <c r="AE194" i="14"/>
  <c r="AM194" i="14"/>
  <c r="AU194" i="14"/>
  <c r="AE138" i="14"/>
  <c r="AM138" i="14"/>
  <c r="AU138" i="14"/>
  <c r="DC194" i="14"/>
  <c r="DJ138" i="14"/>
  <c r="AD138" i="14"/>
  <c r="AW138" i="14"/>
  <c r="DI194" i="14"/>
  <c r="DP138" i="14"/>
  <c r="AD194" i="14"/>
  <c r="DK194" i="14"/>
  <c r="DR138" i="14"/>
  <c r="AF194" i="14"/>
  <c r="DQ194" i="14"/>
  <c r="AL194" i="14"/>
  <c r="EQ138" i="14"/>
  <c r="CU194" i="14"/>
  <c r="DB138" i="14"/>
  <c r="AV194" i="14"/>
  <c r="DA194" i="14"/>
  <c r="DH138" i="14"/>
  <c r="BB194" i="14"/>
  <c r="CT138" i="14"/>
  <c r="AN138" i="14"/>
  <c r="I190" i="6"/>
  <c r="I87" i="2" s="1"/>
  <c r="Q190" i="6"/>
  <c r="Y190" i="6"/>
  <c r="AG190" i="6"/>
  <c r="CS194" i="14"/>
  <c r="CZ138" i="14"/>
  <c r="AO138" i="14"/>
  <c r="J190" i="6"/>
  <c r="R190" i="6"/>
  <c r="Z190" i="6"/>
  <c r="AH190" i="6"/>
  <c r="DS194" i="14"/>
  <c r="AN194" i="14"/>
  <c r="AT138" i="14"/>
  <c r="K190" i="6"/>
  <c r="S190" i="6"/>
  <c r="AA190" i="6"/>
  <c r="AI190" i="6"/>
  <c r="EI138" i="14"/>
  <c r="AT194" i="14"/>
  <c r="AV138" i="14"/>
  <c r="L190" i="6"/>
  <c r="T190" i="6"/>
  <c r="AB190" i="6"/>
  <c r="AJ190" i="6"/>
  <c r="FH138" i="14"/>
  <c r="AG138" i="14"/>
  <c r="O190" i="6"/>
  <c r="W190" i="6"/>
  <c r="AE190" i="6"/>
  <c r="AL138" i="14"/>
  <c r="P190" i="6"/>
  <c r="X190" i="6"/>
  <c r="AF190" i="6"/>
  <c r="AY138" i="14"/>
  <c r="BB138" i="14"/>
  <c r="AD190" i="6"/>
  <c r="M190" i="6"/>
  <c r="V190" i="6"/>
  <c r="N190" i="6"/>
  <c r="U190" i="6"/>
  <c r="AC190" i="6"/>
  <c r="AF138" i="14"/>
  <c r="BO138" i="14"/>
  <c r="BW138" i="14"/>
  <c r="CE138" i="14"/>
  <c r="CM138" i="14"/>
  <c r="BS194" i="14"/>
  <c r="CA194" i="14"/>
  <c r="CI194" i="14"/>
  <c r="BR194" i="14"/>
  <c r="BP138" i="14"/>
  <c r="BX138" i="14"/>
  <c r="CF138" i="14"/>
  <c r="CN138" i="14"/>
  <c r="BT194" i="14"/>
  <c r="CB194" i="14"/>
  <c r="CJ194" i="14"/>
  <c r="CJ138" i="14"/>
  <c r="CF194" i="14"/>
  <c r="BQ138" i="14"/>
  <c r="BY138" i="14"/>
  <c r="CG138" i="14"/>
  <c r="CO138" i="14"/>
  <c r="BU194" i="14"/>
  <c r="CC194" i="14"/>
  <c r="CK194" i="14"/>
  <c r="BT138" i="14"/>
  <c r="BX194" i="14"/>
  <c r="CH194" i="14"/>
  <c r="BR138" i="14"/>
  <c r="BZ138" i="14"/>
  <c r="CH138" i="14"/>
  <c r="BN194" i="14"/>
  <c r="BV194" i="14"/>
  <c r="CD194" i="14"/>
  <c r="CL194" i="14"/>
  <c r="BS138" i="14"/>
  <c r="CA138" i="14"/>
  <c r="CI138" i="14"/>
  <c r="BO194" i="14"/>
  <c r="BW194" i="14"/>
  <c r="CE194" i="14"/>
  <c r="CM194" i="14"/>
  <c r="CB138" i="14"/>
  <c r="BP194" i="14"/>
  <c r="CN194" i="14"/>
  <c r="BZ194" i="14"/>
  <c r="BU138" i="14"/>
  <c r="CC138" i="14"/>
  <c r="CK138" i="14"/>
  <c r="BQ194" i="14"/>
  <c r="BY194" i="14"/>
  <c r="CG194" i="14"/>
  <c r="CO194" i="14"/>
  <c r="BN138" i="14"/>
  <c r="BV138" i="14"/>
  <c r="CD138" i="14"/>
  <c r="CL138" i="14"/>
  <c r="BO134" i="17"/>
  <c r="BW134" i="17"/>
  <c r="CE134" i="17"/>
  <c r="CM134" i="17"/>
  <c r="BP134" i="17"/>
  <c r="BX134" i="17"/>
  <c r="CF134" i="17"/>
  <c r="CN134" i="17"/>
  <c r="BQ134" i="17"/>
  <c r="BY134" i="17"/>
  <c r="CG134" i="17"/>
  <c r="BR134" i="17"/>
  <c r="BZ134" i="17"/>
  <c r="CH134" i="17"/>
  <c r="BT134" i="17"/>
  <c r="CB134" i="17"/>
  <c r="CJ134" i="17"/>
  <c r="BM134" i="17"/>
  <c r="BU134" i="17"/>
  <c r="CC134" i="17"/>
  <c r="CK134" i="17"/>
  <c r="BN134" i="17"/>
  <c r="BV134" i="17"/>
  <c r="CD134" i="17"/>
  <c r="CL134" i="17"/>
  <c r="BS134" i="17"/>
  <c r="CA134" i="17"/>
  <c r="CI134" i="17"/>
  <c r="AN190" i="17"/>
  <c r="AV190" i="17"/>
  <c r="BD190" i="17"/>
  <c r="AG190" i="17"/>
  <c r="AO190" i="17"/>
  <c r="AW190" i="17"/>
  <c r="BE190" i="17"/>
  <c r="AH190" i="17"/>
  <c r="AP190" i="17"/>
  <c r="AX190" i="17"/>
  <c r="BF190" i="17"/>
  <c r="AI190" i="17"/>
  <c r="AQ190" i="17"/>
  <c r="AY190" i="17"/>
  <c r="BG190" i="17"/>
  <c r="AK190" i="17"/>
  <c r="AS190" i="17"/>
  <c r="BA190" i="17"/>
  <c r="AL190" i="17"/>
  <c r="AT190" i="17"/>
  <c r="BB190" i="17"/>
  <c r="BC190" i="17"/>
  <c r="AL134" i="17"/>
  <c r="AT134" i="17"/>
  <c r="BB134" i="17"/>
  <c r="BH190" i="17"/>
  <c r="AM134" i="17"/>
  <c r="AU134" i="17"/>
  <c r="BC134" i="17"/>
  <c r="AN134" i="17"/>
  <c r="AV134" i="17"/>
  <c r="BD134" i="17"/>
  <c r="AJ190" i="17"/>
  <c r="AG134" i="17"/>
  <c r="AO134" i="17"/>
  <c r="AW134" i="17"/>
  <c r="BE134" i="17"/>
  <c r="AM190" i="17"/>
  <c r="AH134" i="17"/>
  <c r="AP134" i="17"/>
  <c r="AX134" i="17"/>
  <c r="BF134" i="17"/>
  <c r="AR190" i="17"/>
  <c r="AI134" i="17"/>
  <c r="AQ134" i="17"/>
  <c r="AY134" i="17"/>
  <c r="BG134" i="17"/>
  <c r="AU190" i="17"/>
  <c r="AJ134" i="17"/>
  <c r="AR134" i="17"/>
  <c r="AZ134" i="17"/>
  <c r="BH134" i="17"/>
  <c r="H190" i="17"/>
  <c r="P190" i="17"/>
  <c r="X190" i="17"/>
  <c r="I190" i="17"/>
  <c r="Q190" i="17"/>
  <c r="Y190" i="17"/>
  <c r="AK134" i="17"/>
  <c r="B190" i="17"/>
  <c r="J190" i="17"/>
  <c r="R190" i="17"/>
  <c r="Z190" i="17"/>
  <c r="AS134" i="17"/>
  <c r="C190" i="17"/>
  <c r="K190" i="17"/>
  <c r="S190" i="17"/>
  <c r="AA190" i="17"/>
  <c r="BA134" i="17"/>
  <c r="D190" i="17"/>
  <c r="L190" i="17"/>
  <c r="T190" i="17"/>
  <c r="AB190" i="17"/>
  <c r="AZ190" i="17"/>
  <c r="E190" i="17"/>
  <c r="M190" i="17"/>
  <c r="U190" i="17"/>
  <c r="AC190" i="17"/>
  <c r="V190" i="17"/>
  <c r="I134" i="17"/>
  <c r="Q134" i="17"/>
  <c r="Y134" i="17"/>
  <c r="GP136" i="14"/>
  <c r="GX136" i="14"/>
  <c r="HF136" i="14"/>
  <c r="W190" i="17"/>
  <c r="B134" i="17"/>
  <c r="J134" i="17"/>
  <c r="R134" i="17"/>
  <c r="Z134" i="17"/>
  <c r="GI136" i="14"/>
  <c r="GQ136" i="14"/>
  <c r="GY136" i="14"/>
  <c r="HG136" i="14"/>
  <c r="C134" i="17"/>
  <c r="K134" i="17"/>
  <c r="S134" i="17"/>
  <c r="AA134" i="17"/>
  <c r="GJ136" i="14"/>
  <c r="GR136" i="14"/>
  <c r="GZ136" i="14"/>
  <c r="HH136" i="14"/>
  <c r="D134" i="17"/>
  <c r="L134" i="17"/>
  <c r="T134" i="17"/>
  <c r="AB134" i="17"/>
  <c r="GK136" i="14"/>
  <c r="GS136" i="14"/>
  <c r="HA136" i="14"/>
  <c r="HI136" i="14"/>
  <c r="F190" i="17"/>
  <c r="E134" i="17"/>
  <c r="M134" i="17"/>
  <c r="U134" i="17"/>
  <c r="AC134" i="17"/>
  <c r="GL136" i="14"/>
  <c r="GT136" i="14"/>
  <c r="HB136" i="14"/>
  <c r="HJ136" i="14"/>
  <c r="N190" i="17"/>
  <c r="G134" i="17"/>
  <c r="O134" i="17"/>
  <c r="W134" i="17"/>
  <c r="GN136" i="14"/>
  <c r="GV136" i="14"/>
  <c r="HD136" i="14"/>
  <c r="H134" i="17"/>
  <c r="GW136" i="14"/>
  <c r="FC136" i="14"/>
  <c r="FK136" i="14"/>
  <c r="FS136" i="14"/>
  <c r="GA136" i="14"/>
  <c r="N134" i="17"/>
  <c r="HC136" i="14"/>
  <c r="FD136" i="14"/>
  <c r="FL136" i="14"/>
  <c r="FT136" i="14"/>
  <c r="GB136" i="14"/>
  <c r="P134" i="17"/>
  <c r="HE136" i="14"/>
  <c r="FE136" i="14"/>
  <c r="FM136" i="14"/>
  <c r="FU136" i="14"/>
  <c r="GC136" i="14"/>
  <c r="G190" i="17"/>
  <c r="V134" i="17"/>
  <c r="FF136" i="14"/>
  <c r="FN136" i="14"/>
  <c r="FV136" i="14"/>
  <c r="GD136" i="14"/>
  <c r="O190" i="17"/>
  <c r="X134" i="17"/>
  <c r="FG136" i="14"/>
  <c r="FO136" i="14"/>
  <c r="FW136" i="14"/>
  <c r="GO136" i="14"/>
  <c r="FI136" i="14"/>
  <c r="FQ136" i="14"/>
  <c r="FY136" i="14"/>
  <c r="FJ136" i="14"/>
  <c r="FI192" i="14"/>
  <c r="FQ192" i="14"/>
  <c r="FY192" i="14"/>
  <c r="DZ192" i="14"/>
  <c r="EH192" i="14"/>
  <c r="EP192" i="14"/>
  <c r="EX192" i="14"/>
  <c r="FP136" i="14"/>
  <c r="FJ192" i="14"/>
  <c r="FR192" i="14"/>
  <c r="FZ192" i="14"/>
  <c r="EA192" i="14"/>
  <c r="EI192" i="14"/>
  <c r="EQ192" i="14"/>
  <c r="EY192" i="14"/>
  <c r="FR136" i="14"/>
  <c r="FC192" i="14"/>
  <c r="FK192" i="14"/>
  <c r="FS192" i="14"/>
  <c r="GA192" i="14"/>
  <c r="EB192" i="14"/>
  <c r="EJ192" i="14"/>
  <c r="ER192" i="14"/>
  <c r="FX136" i="14"/>
  <c r="FD192" i="14"/>
  <c r="FL192" i="14"/>
  <c r="FT192" i="14"/>
  <c r="GB192" i="14"/>
  <c r="EC192" i="14"/>
  <c r="EK192" i="14"/>
  <c r="ES192" i="14"/>
  <c r="F134" i="17"/>
  <c r="FZ136" i="14"/>
  <c r="FE192" i="14"/>
  <c r="FM192" i="14"/>
  <c r="FU192" i="14"/>
  <c r="GC192" i="14"/>
  <c r="ED192" i="14"/>
  <c r="EL192" i="14"/>
  <c r="ET192" i="14"/>
  <c r="GU136" i="14"/>
  <c r="FG192" i="14"/>
  <c r="FO192" i="14"/>
  <c r="FW192" i="14"/>
  <c r="DX192" i="14"/>
  <c r="EF192" i="14"/>
  <c r="EN192" i="14"/>
  <c r="EV192" i="14"/>
  <c r="FP192" i="14"/>
  <c r="EW192" i="14"/>
  <c r="ED136" i="14"/>
  <c r="EL136" i="14"/>
  <c r="ET136" i="14"/>
  <c r="FV192" i="14"/>
  <c r="EE136" i="14"/>
  <c r="EM136" i="14"/>
  <c r="EU136" i="14"/>
  <c r="FH136" i="14"/>
  <c r="FX192" i="14"/>
  <c r="DY192" i="14"/>
  <c r="DX136" i="14"/>
  <c r="EF136" i="14"/>
  <c r="EN136" i="14"/>
  <c r="EV136" i="14"/>
  <c r="GD192" i="14"/>
  <c r="EE192" i="14"/>
  <c r="DY136" i="14"/>
  <c r="EG136" i="14"/>
  <c r="EO136" i="14"/>
  <c r="EW136" i="14"/>
  <c r="EG192" i="14"/>
  <c r="DZ136" i="14"/>
  <c r="EH136" i="14"/>
  <c r="EP136" i="14"/>
  <c r="EX136" i="14"/>
  <c r="FH192" i="14"/>
  <c r="EO192" i="14"/>
  <c r="EB136" i="14"/>
  <c r="EJ136" i="14"/>
  <c r="ER136" i="14"/>
  <c r="EU192" i="14"/>
  <c r="EK136" i="14"/>
  <c r="CV192" i="14"/>
  <c r="DD192" i="14"/>
  <c r="DL192" i="14"/>
  <c r="DT192" i="14"/>
  <c r="CU136" i="14"/>
  <c r="DC136" i="14"/>
  <c r="DK136" i="14"/>
  <c r="DS136" i="14"/>
  <c r="AG192" i="14"/>
  <c r="AO192" i="14"/>
  <c r="AW192" i="14"/>
  <c r="EQ136" i="14"/>
  <c r="CW192" i="14"/>
  <c r="DE192" i="14"/>
  <c r="DM192" i="14"/>
  <c r="CV136" i="14"/>
  <c r="DD136" i="14"/>
  <c r="DL136" i="14"/>
  <c r="DT136" i="14"/>
  <c r="AH192" i="14"/>
  <c r="AP192" i="14"/>
  <c r="AX192" i="14"/>
  <c r="AH136" i="14"/>
  <c r="AP136" i="14"/>
  <c r="AX136" i="14"/>
  <c r="ES136" i="14"/>
  <c r="CX192" i="14"/>
  <c r="DF192" i="14"/>
  <c r="DN192" i="14"/>
  <c r="CW136" i="14"/>
  <c r="DE136" i="14"/>
  <c r="DM136" i="14"/>
  <c r="AA192" i="14"/>
  <c r="AI192" i="14"/>
  <c r="AQ192" i="14"/>
  <c r="AY192" i="14"/>
  <c r="AA136" i="14"/>
  <c r="AI136" i="14"/>
  <c r="AQ136" i="14"/>
  <c r="AY136" i="14"/>
  <c r="EY136" i="14"/>
  <c r="CY192" i="14"/>
  <c r="DG192" i="14"/>
  <c r="DO192" i="14"/>
  <c r="CX136" i="14"/>
  <c r="DF136" i="14"/>
  <c r="DN136" i="14"/>
  <c r="AB192" i="14"/>
  <c r="AJ192" i="14"/>
  <c r="AR192" i="14"/>
  <c r="AZ192" i="14"/>
  <c r="AB136" i="14"/>
  <c r="AJ136" i="14"/>
  <c r="AR136" i="14"/>
  <c r="AZ136" i="14"/>
  <c r="CZ192" i="14"/>
  <c r="DH192" i="14"/>
  <c r="DP192" i="14"/>
  <c r="CY136" i="14"/>
  <c r="DG136" i="14"/>
  <c r="DO136" i="14"/>
  <c r="AC192" i="14"/>
  <c r="AK192" i="14"/>
  <c r="AS192" i="14"/>
  <c r="BA192" i="14"/>
  <c r="AC136" i="14"/>
  <c r="AK136" i="14"/>
  <c r="AS136" i="14"/>
  <c r="BA136" i="14"/>
  <c r="GM136" i="14"/>
  <c r="FN192" i="14"/>
  <c r="EC136" i="14"/>
  <c r="CT192" i="14"/>
  <c r="DB192" i="14"/>
  <c r="DJ192" i="14"/>
  <c r="DR192" i="14"/>
  <c r="CS136" i="14"/>
  <c r="DA136" i="14"/>
  <c r="DI136" i="14"/>
  <c r="DQ136" i="14"/>
  <c r="AE192" i="14"/>
  <c r="AM192" i="14"/>
  <c r="AU192" i="14"/>
  <c r="AE136" i="14"/>
  <c r="AM136" i="14"/>
  <c r="AU136" i="14"/>
  <c r="CU192" i="14"/>
  <c r="DB136" i="14"/>
  <c r="AV192" i="14"/>
  <c r="AO136" i="14"/>
  <c r="EA136" i="14"/>
  <c r="DA192" i="14"/>
  <c r="DH136" i="14"/>
  <c r="BB192" i="14"/>
  <c r="EI136" i="14"/>
  <c r="DC192" i="14"/>
  <c r="DJ136" i="14"/>
  <c r="DI192" i="14"/>
  <c r="DP136" i="14"/>
  <c r="AD192" i="14"/>
  <c r="AD136" i="14"/>
  <c r="DS192" i="14"/>
  <c r="CT136" i="14"/>
  <c r="AN192" i="14"/>
  <c r="CS192" i="14"/>
  <c r="CZ136" i="14"/>
  <c r="AT192" i="14"/>
  <c r="AV136" i="14"/>
  <c r="I188" i="6"/>
  <c r="I85" i="2" s="1"/>
  <c r="Q188" i="6"/>
  <c r="Y188" i="6"/>
  <c r="AG188" i="6"/>
  <c r="FF192" i="14"/>
  <c r="AW136" i="14"/>
  <c r="J188" i="6"/>
  <c r="R188" i="6"/>
  <c r="Z188" i="6"/>
  <c r="AH188" i="6"/>
  <c r="BB136" i="14"/>
  <c r="K188" i="6"/>
  <c r="S188" i="6"/>
  <c r="AA188" i="6"/>
  <c r="AI188" i="6"/>
  <c r="AF136" i="14"/>
  <c r="L188" i="6"/>
  <c r="T188" i="6"/>
  <c r="AB188" i="6"/>
  <c r="AJ188" i="6"/>
  <c r="EM192" i="14"/>
  <c r="DK192" i="14"/>
  <c r="DR136" i="14"/>
  <c r="AF192" i="14"/>
  <c r="AN136" i="14"/>
  <c r="O188" i="6"/>
  <c r="W188" i="6"/>
  <c r="AE188" i="6"/>
  <c r="DQ192" i="14"/>
  <c r="AL192" i="14"/>
  <c r="AT136" i="14"/>
  <c r="P188" i="6"/>
  <c r="X188" i="6"/>
  <c r="AF188" i="6"/>
  <c r="AC188" i="6"/>
  <c r="AD188" i="6"/>
  <c r="N188" i="6"/>
  <c r="AG136" i="14"/>
  <c r="AL136" i="14"/>
  <c r="M188" i="6"/>
  <c r="U188" i="6"/>
  <c r="V188" i="6"/>
  <c r="BO136" i="14"/>
  <c r="BW136" i="14"/>
  <c r="CE136" i="14"/>
  <c r="CM136" i="14"/>
  <c r="BS192" i="14"/>
  <c r="CA192" i="14"/>
  <c r="CI192" i="14"/>
  <c r="BZ192" i="14"/>
  <c r="BP136" i="14"/>
  <c r="BX136" i="14"/>
  <c r="CF136" i="14"/>
  <c r="CN136" i="14"/>
  <c r="BT192" i="14"/>
  <c r="CB192" i="14"/>
  <c r="CJ192" i="14"/>
  <c r="CB136" i="14"/>
  <c r="BX192" i="14"/>
  <c r="BR192" i="14"/>
  <c r="BQ136" i="14"/>
  <c r="BY136" i="14"/>
  <c r="CG136" i="14"/>
  <c r="CO136" i="14"/>
  <c r="BU192" i="14"/>
  <c r="CC192" i="14"/>
  <c r="CK192" i="14"/>
  <c r="BP192" i="14"/>
  <c r="BR136" i="14"/>
  <c r="BZ136" i="14"/>
  <c r="CH136" i="14"/>
  <c r="BN192" i="14"/>
  <c r="BV192" i="14"/>
  <c r="CD192" i="14"/>
  <c r="CL192" i="14"/>
  <c r="CJ136" i="14"/>
  <c r="CF192" i="14"/>
  <c r="BS136" i="14"/>
  <c r="CA136" i="14"/>
  <c r="CI136" i="14"/>
  <c r="BO192" i="14"/>
  <c r="BW192" i="14"/>
  <c r="CE192" i="14"/>
  <c r="CM192" i="14"/>
  <c r="BT136" i="14"/>
  <c r="CN192" i="14"/>
  <c r="CH192" i="14"/>
  <c r="BU136" i="14"/>
  <c r="CC136" i="14"/>
  <c r="CK136" i="14"/>
  <c r="BQ192" i="14"/>
  <c r="BY192" i="14"/>
  <c r="CG192" i="14"/>
  <c r="CO192" i="14"/>
  <c r="BN136" i="14"/>
  <c r="BV136" i="14"/>
  <c r="CD136" i="14"/>
  <c r="CL136" i="14"/>
  <c r="BP162" i="17"/>
  <c r="BX162" i="17"/>
  <c r="CF162" i="17"/>
  <c r="CN162" i="17"/>
  <c r="BQ162" i="17"/>
  <c r="BY162" i="17"/>
  <c r="CG162" i="17"/>
  <c r="BR162" i="17"/>
  <c r="BZ162" i="17"/>
  <c r="CH162" i="17"/>
  <c r="BS162" i="17"/>
  <c r="CA162" i="17"/>
  <c r="CI162" i="17"/>
  <c r="BT162" i="17"/>
  <c r="CB162" i="17"/>
  <c r="CJ162" i="17"/>
  <c r="BM162" i="17"/>
  <c r="BU162" i="17"/>
  <c r="CC162" i="17"/>
  <c r="CK162" i="17"/>
  <c r="BN162" i="17"/>
  <c r="BV162" i="17"/>
  <c r="CD162" i="17"/>
  <c r="CL162" i="17"/>
  <c r="AH218" i="17"/>
  <c r="AP218" i="17"/>
  <c r="AX218" i="17"/>
  <c r="BF218" i="17"/>
  <c r="AI218" i="17"/>
  <c r="AQ218" i="17"/>
  <c r="AY218" i="17"/>
  <c r="BG218" i="17"/>
  <c r="AJ218" i="17"/>
  <c r="AR218" i="17"/>
  <c r="AZ218" i="17"/>
  <c r="BH218" i="17"/>
  <c r="BO162" i="17"/>
  <c r="AK218" i="17"/>
  <c r="AS218" i="17"/>
  <c r="BA218" i="17"/>
  <c r="BW162" i="17"/>
  <c r="AL218" i="17"/>
  <c r="AT218" i="17"/>
  <c r="BB218" i="17"/>
  <c r="CE162" i="17"/>
  <c r="AM218" i="17"/>
  <c r="AU218" i="17"/>
  <c r="BC218" i="17"/>
  <c r="CM162" i="17"/>
  <c r="AN218" i="17"/>
  <c r="AV218" i="17"/>
  <c r="BD218" i="17"/>
  <c r="AI162" i="17"/>
  <c r="AQ162" i="17"/>
  <c r="AY162" i="17"/>
  <c r="BG162" i="17"/>
  <c r="AG218" i="17"/>
  <c r="AJ162" i="17"/>
  <c r="AR162" i="17"/>
  <c r="AZ162" i="17"/>
  <c r="BH162" i="17"/>
  <c r="I218" i="17"/>
  <c r="Q218" i="17"/>
  <c r="Y218" i="17"/>
  <c r="AO218" i="17"/>
  <c r="AK162" i="17"/>
  <c r="AS162" i="17"/>
  <c r="BA162" i="17"/>
  <c r="B218" i="17"/>
  <c r="J218" i="17"/>
  <c r="R218" i="17"/>
  <c r="Z218" i="17"/>
  <c r="AW218" i="17"/>
  <c r="AL162" i="17"/>
  <c r="AT162" i="17"/>
  <c r="BB162" i="17"/>
  <c r="C218" i="17"/>
  <c r="K218" i="17"/>
  <c r="S218" i="17"/>
  <c r="AA218" i="17"/>
  <c r="BE218" i="17"/>
  <c r="AM162" i="17"/>
  <c r="AU162" i="17"/>
  <c r="BC162" i="17"/>
  <c r="D218" i="17"/>
  <c r="L218" i="17"/>
  <c r="T218" i="17"/>
  <c r="AB218" i="17"/>
  <c r="AN162" i="17"/>
  <c r="AV162" i="17"/>
  <c r="BD162" i="17"/>
  <c r="E218" i="17"/>
  <c r="M218" i="17"/>
  <c r="U218" i="17"/>
  <c r="AC218" i="17"/>
  <c r="AG162" i="17"/>
  <c r="AO162" i="17"/>
  <c r="AW162" i="17"/>
  <c r="BE162" i="17"/>
  <c r="AP162" i="17"/>
  <c r="O218" i="17"/>
  <c r="I162" i="17"/>
  <c r="Q162" i="17"/>
  <c r="Y162" i="17"/>
  <c r="AX162" i="17"/>
  <c r="P218" i="17"/>
  <c r="B162" i="17"/>
  <c r="J162" i="17"/>
  <c r="R162" i="17"/>
  <c r="Z162" i="17"/>
  <c r="BF162" i="17"/>
  <c r="V218" i="17"/>
  <c r="C162" i="17"/>
  <c r="K162" i="17"/>
  <c r="S162" i="17"/>
  <c r="AA162" i="17"/>
  <c r="W218" i="17"/>
  <c r="D162" i="17"/>
  <c r="L162" i="17"/>
  <c r="T162" i="17"/>
  <c r="AB162" i="17"/>
  <c r="F218" i="17"/>
  <c r="X218" i="17"/>
  <c r="E162" i="17"/>
  <c r="M162" i="17"/>
  <c r="U162" i="17"/>
  <c r="AC162" i="17"/>
  <c r="H218" i="17"/>
  <c r="G162" i="17"/>
  <c r="O162" i="17"/>
  <c r="W162" i="17"/>
  <c r="N218" i="17"/>
  <c r="X162" i="17"/>
  <c r="GM164" i="14"/>
  <c r="GU164" i="14"/>
  <c r="HC164" i="14"/>
  <c r="FC164" i="14"/>
  <c r="FK164" i="14"/>
  <c r="FS164" i="14"/>
  <c r="GA164" i="14"/>
  <c r="GN164" i="14"/>
  <c r="GV164" i="14"/>
  <c r="HD164" i="14"/>
  <c r="FD164" i="14"/>
  <c r="FL164" i="14"/>
  <c r="FT164" i="14"/>
  <c r="GB164" i="14"/>
  <c r="GO164" i="14"/>
  <c r="GW164" i="14"/>
  <c r="HE164" i="14"/>
  <c r="FE164" i="14"/>
  <c r="FM164" i="14"/>
  <c r="FU164" i="14"/>
  <c r="GC164" i="14"/>
  <c r="F162" i="17"/>
  <c r="GP164" i="14"/>
  <c r="GX164" i="14"/>
  <c r="HF164" i="14"/>
  <c r="FF164" i="14"/>
  <c r="FN164" i="14"/>
  <c r="FV164" i="14"/>
  <c r="GD164" i="14"/>
  <c r="H162" i="17"/>
  <c r="GI164" i="14"/>
  <c r="GQ164" i="14"/>
  <c r="GY164" i="14"/>
  <c r="HG164" i="14"/>
  <c r="FG164" i="14"/>
  <c r="FO164" i="14"/>
  <c r="FW164" i="14"/>
  <c r="AH162" i="17"/>
  <c r="P162" i="17"/>
  <c r="GK164" i="14"/>
  <c r="GS164" i="14"/>
  <c r="HA164" i="14"/>
  <c r="HI164" i="14"/>
  <c r="FI164" i="14"/>
  <c r="FQ164" i="14"/>
  <c r="FY164" i="14"/>
  <c r="G218" i="17"/>
  <c r="GT164" i="14"/>
  <c r="FZ164" i="14"/>
  <c r="FI220" i="14"/>
  <c r="FQ220" i="14"/>
  <c r="FY220" i="14"/>
  <c r="GZ164" i="14"/>
  <c r="FJ220" i="14"/>
  <c r="FR220" i="14"/>
  <c r="FZ220" i="14"/>
  <c r="HB164" i="14"/>
  <c r="FC220" i="14"/>
  <c r="FK220" i="14"/>
  <c r="FS220" i="14"/>
  <c r="GA220" i="14"/>
  <c r="HH164" i="14"/>
  <c r="FH164" i="14"/>
  <c r="FD220" i="14"/>
  <c r="FL220" i="14"/>
  <c r="FT220" i="14"/>
  <c r="GB220" i="14"/>
  <c r="HJ164" i="14"/>
  <c r="FJ164" i="14"/>
  <c r="FE220" i="14"/>
  <c r="FM220" i="14"/>
  <c r="FU220" i="14"/>
  <c r="GC220" i="14"/>
  <c r="V162" i="17"/>
  <c r="GL164" i="14"/>
  <c r="FR164" i="14"/>
  <c r="FG220" i="14"/>
  <c r="FO220" i="14"/>
  <c r="FW220" i="14"/>
  <c r="DZ220" i="14"/>
  <c r="EH220" i="14"/>
  <c r="EP220" i="14"/>
  <c r="EX220" i="14"/>
  <c r="ED164" i="14"/>
  <c r="EL164" i="14"/>
  <c r="ET164" i="14"/>
  <c r="GJ164" i="14"/>
  <c r="FF220" i="14"/>
  <c r="EA220" i="14"/>
  <c r="EI220" i="14"/>
  <c r="EQ220" i="14"/>
  <c r="EY220" i="14"/>
  <c r="EE164" i="14"/>
  <c r="EM164" i="14"/>
  <c r="EU164" i="14"/>
  <c r="GR164" i="14"/>
  <c r="FH220" i="14"/>
  <c r="EB220" i="14"/>
  <c r="EJ220" i="14"/>
  <c r="ER220" i="14"/>
  <c r="DX164" i="14"/>
  <c r="EF164" i="14"/>
  <c r="EN164" i="14"/>
  <c r="EV164" i="14"/>
  <c r="FP164" i="14"/>
  <c r="FN220" i="14"/>
  <c r="EC220" i="14"/>
  <c r="EK220" i="14"/>
  <c r="ES220" i="14"/>
  <c r="DY164" i="14"/>
  <c r="EG164" i="14"/>
  <c r="EO164" i="14"/>
  <c r="EW164" i="14"/>
  <c r="FX164" i="14"/>
  <c r="FP220" i="14"/>
  <c r="ED220" i="14"/>
  <c r="EL220" i="14"/>
  <c r="ET220" i="14"/>
  <c r="DZ164" i="14"/>
  <c r="EH164" i="14"/>
  <c r="EP164" i="14"/>
  <c r="EX164" i="14"/>
  <c r="FX220" i="14"/>
  <c r="DX220" i="14"/>
  <c r="EF220" i="14"/>
  <c r="EN220" i="14"/>
  <c r="EV220" i="14"/>
  <c r="EB164" i="14"/>
  <c r="EJ164" i="14"/>
  <c r="ER164" i="14"/>
  <c r="GD220" i="14"/>
  <c r="EO220" i="14"/>
  <c r="CV220" i="14"/>
  <c r="DD220" i="14"/>
  <c r="DL220" i="14"/>
  <c r="DT220" i="14"/>
  <c r="CU164" i="14"/>
  <c r="DC164" i="14"/>
  <c r="DK164" i="14"/>
  <c r="DS164" i="14"/>
  <c r="AG220" i="14"/>
  <c r="AO220" i="14"/>
  <c r="AW220" i="14"/>
  <c r="EU220" i="14"/>
  <c r="EA164" i="14"/>
  <c r="CW220" i="14"/>
  <c r="DE220" i="14"/>
  <c r="DM220" i="14"/>
  <c r="CV164" i="14"/>
  <c r="DD164" i="14"/>
  <c r="DL164" i="14"/>
  <c r="DT164" i="14"/>
  <c r="AH220" i="14"/>
  <c r="AP220" i="14"/>
  <c r="AX220" i="14"/>
  <c r="EW220" i="14"/>
  <c r="EC164" i="14"/>
  <c r="CX220" i="14"/>
  <c r="DF220" i="14"/>
  <c r="DN220" i="14"/>
  <c r="CW164" i="14"/>
  <c r="DE164" i="14"/>
  <c r="DM164" i="14"/>
  <c r="AA220" i="14"/>
  <c r="AI220" i="14"/>
  <c r="AQ220" i="14"/>
  <c r="AY220" i="14"/>
  <c r="N162" i="17"/>
  <c r="EI164" i="14"/>
  <c r="CY220" i="14"/>
  <c r="DG220" i="14"/>
  <c r="DO220" i="14"/>
  <c r="CX164" i="14"/>
  <c r="DF164" i="14"/>
  <c r="DN164" i="14"/>
  <c r="AB220" i="14"/>
  <c r="AJ220" i="14"/>
  <c r="AR220" i="14"/>
  <c r="AZ220" i="14"/>
  <c r="DY220" i="14"/>
  <c r="EK164" i="14"/>
  <c r="CZ220" i="14"/>
  <c r="DH220" i="14"/>
  <c r="DP220" i="14"/>
  <c r="CY164" i="14"/>
  <c r="DG164" i="14"/>
  <c r="DO164" i="14"/>
  <c r="AC220" i="14"/>
  <c r="AK220" i="14"/>
  <c r="AS220" i="14"/>
  <c r="BA220" i="14"/>
  <c r="EG220" i="14"/>
  <c r="ES164" i="14"/>
  <c r="CT220" i="14"/>
  <c r="DB220" i="14"/>
  <c r="DJ220" i="14"/>
  <c r="DR220" i="14"/>
  <c r="CS164" i="14"/>
  <c r="DA164" i="14"/>
  <c r="DI164" i="14"/>
  <c r="DQ164" i="14"/>
  <c r="AE220" i="14"/>
  <c r="AM220" i="14"/>
  <c r="AU220" i="14"/>
  <c r="DK220" i="14"/>
  <c r="DR164" i="14"/>
  <c r="AF220" i="14"/>
  <c r="EE220" i="14"/>
  <c r="DQ220" i="14"/>
  <c r="AL220" i="14"/>
  <c r="FV220" i="14"/>
  <c r="EM220" i="14"/>
  <c r="DS220" i="14"/>
  <c r="CT164" i="14"/>
  <c r="AN220" i="14"/>
  <c r="EQ164" i="14"/>
  <c r="CS220" i="14"/>
  <c r="CZ164" i="14"/>
  <c r="AT220" i="14"/>
  <c r="DC220" i="14"/>
  <c r="DJ164" i="14"/>
  <c r="DI220" i="14"/>
  <c r="DP164" i="14"/>
  <c r="AD220" i="14"/>
  <c r="AV220" i="14"/>
  <c r="AF164" i="14"/>
  <c r="AN164" i="14"/>
  <c r="AV164" i="14"/>
  <c r="I216" i="6"/>
  <c r="I69" i="2" s="1"/>
  <c r="Q216" i="6"/>
  <c r="Y216" i="6"/>
  <c r="AG216" i="6"/>
  <c r="BB220" i="14"/>
  <c r="AG164" i="14"/>
  <c r="AO164" i="14"/>
  <c r="AW164" i="14"/>
  <c r="J216" i="6"/>
  <c r="R216" i="6"/>
  <c r="Z216" i="6"/>
  <c r="AH216" i="6"/>
  <c r="AH164" i="14"/>
  <c r="AP164" i="14"/>
  <c r="AX164" i="14"/>
  <c r="K216" i="6"/>
  <c r="S216" i="6"/>
  <c r="AA216" i="6"/>
  <c r="AI216" i="6"/>
  <c r="AA164" i="14"/>
  <c r="AI164" i="14"/>
  <c r="AQ164" i="14"/>
  <c r="AY164" i="14"/>
  <c r="L216" i="6"/>
  <c r="T216" i="6"/>
  <c r="AB216" i="6"/>
  <c r="AJ216" i="6"/>
  <c r="EY164" i="14"/>
  <c r="CU220" i="14"/>
  <c r="DB164" i="14"/>
  <c r="AD164" i="14"/>
  <c r="AL164" i="14"/>
  <c r="AT164" i="14"/>
  <c r="BB164" i="14"/>
  <c r="O216" i="6"/>
  <c r="W216" i="6"/>
  <c r="AE216" i="6"/>
  <c r="DA220" i="14"/>
  <c r="DH164" i="14"/>
  <c r="AE164" i="14"/>
  <c r="AM164" i="14"/>
  <c r="AU164" i="14"/>
  <c r="P216" i="6"/>
  <c r="X216" i="6"/>
  <c r="AF216" i="6"/>
  <c r="AR164" i="14"/>
  <c r="M216" i="6"/>
  <c r="AS164" i="14"/>
  <c r="N216" i="6"/>
  <c r="AZ164" i="14"/>
  <c r="U216" i="6"/>
  <c r="BA164" i="14"/>
  <c r="V216" i="6"/>
  <c r="AC164" i="14"/>
  <c r="AB164" i="14"/>
  <c r="AC216" i="6"/>
  <c r="AD216" i="6"/>
  <c r="AK164" i="14"/>
  <c r="AJ164" i="14"/>
  <c r="BO164" i="14"/>
  <c r="BW164" i="14"/>
  <c r="CE164" i="14"/>
  <c r="CM164" i="14"/>
  <c r="BS220" i="14"/>
  <c r="CA220" i="14"/>
  <c r="CI220" i="14"/>
  <c r="BP164" i="14"/>
  <c r="BX164" i="14"/>
  <c r="CF164" i="14"/>
  <c r="CN164" i="14"/>
  <c r="BT220" i="14"/>
  <c r="CB220" i="14"/>
  <c r="CJ220" i="14"/>
  <c r="CF220" i="14"/>
  <c r="BQ164" i="14"/>
  <c r="BY164" i="14"/>
  <c r="CG164" i="14"/>
  <c r="CO164" i="14"/>
  <c r="BU220" i="14"/>
  <c r="CC220" i="14"/>
  <c r="CK220" i="14"/>
  <c r="CB164" i="14"/>
  <c r="BR164" i="14"/>
  <c r="BZ164" i="14"/>
  <c r="CH164" i="14"/>
  <c r="BN220" i="14"/>
  <c r="BV220" i="14"/>
  <c r="CD220" i="14"/>
  <c r="CL220" i="14"/>
  <c r="CJ164" i="14"/>
  <c r="BX220" i="14"/>
  <c r="BS164" i="14"/>
  <c r="CA164" i="14"/>
  <c r="CI164" i="14"/>
  <c r="BO220" i="14"/>
  <c r="BW220" i="14"/>
  <c r="CE220" i="14"/>
  <c r="CM220" i="14"/>
  <c r="BT164" i="14"/>
  <c r="BP220" i="14"/>
  <c r="CN220" i="14"/>
  <c r="BU164" i="14"/>
  <c r="CC164" i="14"/>
  <c r="CK164" i="14"/>
  <c r="BQ220" i="14"/>
  <c r="BY220" i="14"/>
  <c r="CG220" i="14"/>
  <c r="CO220" i="14"/>
  <c r="BN164" i="14"/>
  <c r="BV164" i="14"/>
  <c r="CD164" i="14"/>
  <c r="CL164" i="14"/>
  <c r="BZ220" i="14"/>
  <c r="CH220" i="14"/>
  <c r="BR220" i="14"/>
  <c r="BQ115" i="17"/>
  <c r="BY115" i="17"/>
  <c r="CG115" i="17"/>
  <c r="BM115" i="17"/>
  <c r="BR115" i="17"/>
  <c r="BZ115" i="17"/>
  <c r="CH115" i="17"/>
  <c r="BS115" i="17"/>
  <c r="CA115" i="17"/>
  <c r="CI115" i="17"/>
  <c r="BT115" i="17"/>
  <c r="CB115" i="17"/>
  <c r="CJ115" i="17"/>
  <c r="BU115" i="17"/>
  <c r="CC115" i="17"/>
  <c r="CK115" i="17"/>
  <c r="BN115" i="17"/>
  <c r="BV115" i="17"/>
  <c r="CD115" i="17"/>
  <c r="CL115" i="17"/>
  <c r="BO115" i="17"/>
  <c r="BW115" i="17"/>
  <c r="CE115" i="17"/>
  <c r="CM115" i="17"/>
  <c r="AI171" i="17"/>
  <c r="AQ171" i="17"/>
  <c r="AY171" i="17"/>
  <c r="BG171" i="17"/>
  <c r="BP115" i="17"/>
  <c r="AJ171" i="17"/>
  <c r="AR171" i="17"/>
  <c r="AZ171" i="17"/>
  <c r="BH171" i="17"/>
  <c r="BX115" i="17"/>
  <c r="AK171" i="17"/>
  <c r="AS171" i="17"/>
  <c r="BA171" i="17"/>
  <c r="AG171" i="17"/>
  <c r="CF115" i="17"/>
  <c r="AL171" i="17"/>
  <c r="AT171" i="17"/>
  <c r="BB171" i="17"/>
  <c r="CN115" i="17"/>
  <c r="AM171" i="17"/>
  <c r="AU171" i="17"/>
  <c r="BC171" i="17"/>
  <c r="AN171" i="17"/>
  <c r="AV171" i="17"/>
  <c r="BD171" i="17"/>
  <c r="AO171" i="17"/>
  <c r="AW171" i="17"/>
  <c r="BE171" i="17"/>
  <c r="AP171" i="17"/>
  <c r="AJ115" i="17"/>
  <c r="AR115" i="17"/>
  <c r="AZ115" i="17"/>
  <c r="BH115" i="17"/>
  <c r="AX171" i="17"/>
  <c r="AK115" i="17"/>
  <c r="AS115" i="17"/>
  <c r="BA115" i="17"/>
  <c r="AG115" i="17"/>
  <c r="J171" i="17"/>
  <c r="R171" i="17"/>
  <c r="Z171" i="17"/>
  <c r="BF171" i="17"/>
  <c r="AL115" i="17"/>
  <c r="AT115" i="17"/>
  <c r="BB115" i="17"/>
  <c r="C171" i="17"/>
  <c r="K171" i="17"/>
  <c r="S171" i="17"/>
  <c r="AA171" i="17"/>
  <c r="AM115" i="17"/>
  <c r="AU115" i="17"/>
  <c r="BC115" i="17"/>
  <c r="D171" i="17"/>
  <c r="L171" i="17"/>
  <c r="T171" i="17"/>
  <c r="AB171" i="17"/>
  <c r="AN115" i="17"/>
  <c r="AV115" i="17"/>
  <c r="BD115" i="17"/>
  <c r="E171" i="17"/>
  <c r="M171" i="17"/>
  <c r="U171" i="17"/>
  <c r="AC171" i="17"/>
  <c r="AO115" i="17"/>
  <c r="AW115" i="17"/>
  <c r="BE115" i="17"/>
  <c r="F171" i="17"/>
  <c r="N171" i="17"/>
  <c r="V171" i="17"/>
  <c r="B171" i="17"/>
  <c r="AH115" i="17"/>
  <c r="AP115" i="17"/>
  <c r="AX115" i="17"/>
  <c r="BF115" i="17"/>
  <c r="AH171" i="17"/>
  <c r="BG115" i="17"/>
  <c r="I171" i="17"/>
  <c r="J115" i="17"/>
  <c r="R115" i="17"/>
  <c r="Z115" i="17"/>
  <c r="O171" i="17"/>
  <c r="C115" i="17"/>
  <c r="K115" i="17"/>
  <c r="S115" i="17"/>
  <c r="AA115" i="17"/>
  <c r="P171" i="17"/>
  <c r="D115" i="17"/>
  <c r="L115" i="17"/>
  <c r="T115" i="17"/>
  <c r="AB115" i="17"/>
  <c r="Q171" i="17"/>
  <c r="E115" i="17"/>
  <c r="M115" i="17"/>
  <c r="U115" i="17"/>
  <c r="AC115" i="17"/>
  <c r="W171" i="17"/>
  <c r="F115" i="17"/>
  <c r="N115" i="17"/>
  <c r="V115" i="17"/>
  <c r="B115" i="17"/>
  <c r="AQ115" i="17"/>
  <c r="G171" i="17"/>
  <c r="Y171" i="17"/>
  <c r="H115" i="17"/>
  <c r="P115" i="17"/>
  <c r="X115" i="17"/>
  <c r="I115" i="17"/>
  <c r="GN117" i="14"/>
  <c r="GV117" i="14"/>
  <c r="HD117" i="14"/>
  <c r="AI115" i="17"/>
  <c r="O115" i="17"/>
  <c r="GO117" i="14"/>
  <c r="GW117" i="14"/>
  <c r="HE117" i="14"/>
  <c r="FE117" i="14"/>
  <c r="FM117" i="14"/>
  <c r="FU117" i="14"/>
  <c r="GC117" i="14"/>
  <c r="AY115" i="17"/>
  <c r="H171" i="17"/>
  <c r="Q115" i="17"/>
  <c r="GP117" i="14"/>
  <c r="GX117" i="14"/>
  <c r="HF117" i="14"/>
  <c r="FF117" i="14"/>
  <c r="FN117" i="14"/>
  <c r="FV117" i="14"/>
  <c r="GD117" i="14"/>
  <c r="X171" i="17"/>
  <c r="W115" i="17"/>
  <c r="GQ117" i="14"/>
  <c r="GY117" i="14"/>
  <c r="HG117" i="14"/>
  <c r="FG117" i="14"/>
  <c r="FO117" i="14"/>
  <c r="FW117" i="14"/>
  <c r="FC117" i="14"/>
  <c r="Y115" i="17"/>
  <c r="GJ117" i="14"/>
  <c r="GR117" i="14"/>
  <c r="GZ117" i="14"/>
  <c r="HH117" i="14"/>
  <c r="FH117" i="14"/>
  <c r="FP117" i="14"/>
  <c r="FX117" i="14"/>
  <c r="GL117" i="14"/>
  <c r="GT117" i="14"/>
  <c r="HB117" i="14"/>
  <c r="HJ117" i="14"/>
  <c r="FJ117" i="14"/>
  <c r="FR117" i="14"/>
  <c r="FZ117" i="14"/>
  <c r="GI117" i="14"/>
  <c r="FK117" i="14"/>
  <c r="FJ173" i="14"/>
  <c r="FR173" i="14"/>
  <c r="FZ173" i="14"/>
  <c r="GK117" i="14"/>
  <c r="FL117" i="14"/>
  <c r="FK173" i="14"/>
  <c r="FS173" i="14"/>
  <c r="GA173" i="14"/>
  <c r="GM117" i="14"/>
  <c r="FQ117" i="14"/>
  <c r="FD173" i="14"/>
  <c r="FL173" i="14"/>
  <c r="FT173" i="14"/>
  <c r="GB173" i="14"/>
  <c r="GS117" i="14"/>
  <c r="FS117" i="14"/>
  <c r="FE173" i="14"/>
  <c r="FM173" i="14"/>
  <c r="FU173" i="14"/>
  <c r="GC173" i="14"/>
  <c r="G115" i="17"/>
  <c r="GU117" i="14"/>
  <c r="FT117" i="14"/>
  <c r="FF173" i="14"/>
  <c r="FN173" i="14"/>
  <c r="FV173" i="14"/>
  <c r="GD173" i="14"/>
  <c r="HC117" i="14"/>
  <c r="FD117" i="14"/>
  <c r="GA117" i="14"/>
  <c r="FH173" i="14"/>
  <c r="FP173" i="14"/>
  <c r="FX173" i="14"/>
  <c r="FQ173" i="14"/>
  <c r="EA173" i="14"/>
  <c r="EI173" i="14"/>
  <c r="EQ173" i="14"/>
  <c r="EY173" i="14"/>
  <c r="HA117" i="14"/>
  <c r="FW173" i="14"/>
  <c r="EB173" i="14"/>
  <c r="EJ173" i="14"/>
  <c r="ER173" i="14"/>
  <c r="DX173" i="14"/>
  <c r="EF117" i="14"/>
  <c r="EN117" i="14"/>
  <c r="EV117" i="14"/>
  <c r="HI117" i="14"/>
  <c r="FY173" i="14"/>
  <c r="EC173" i="14"/>
  <c r="EK173" i="14"/>
  <c r="ES173" i="14"/>
  <c r="DY117" i="14"/>
  <c r="EG117" i="14"/>
  <c r="EO117" i="14"/>
  <c r="EW117" i="14"/>
  <c r="FC173" i="14"/>
  <c r="ED173" i="14"/>
  <c r="EL173" i="14"/>
  <c r="ET173" i="14"/>
  <c r="DZ117" i="14"/>
  <c r="EH117" i="14"/>
  <c r="EP117" i="14"/>
  <c r="EX117" i="14"/>
  <c r="FI117" i="14"/>
  <c r="EE173" i="14"/>
  <c r="EM173" i="14"/>
  <c r="EU173" i="14"/>
  <c r="EA117" i="14"/>
  <c r="EI117" i="14"/>
  <c r="EQ117" i="14"/>
  <c r="EY117" i="14"/>
  <c r="GB117" i="14"/>
  <c r="FI173" i="14"/>
  <c r="DY173" i="14"/>
  <c r="EG173" i="14"/>
  <c r="EO173" i="14"/>
  <c r="EW173" i="14"/>
  <c r="EC117" i="14"/>
  <c r="EK117" i="14"/>
  <c r="ES117" i="14"/>
  <c r="DZ173" i="14"/>
  <c r="EB117" i="14"/>
  <c r="EU117" i="14"/>
  <c r="CV117" i="14"/>
  <c r="DD117" i="14"/>
  <c r="DL117" i="14"/>
  <c r="DT117" i="14"/>
  <c r="AH173" i="14"/>
  <c r="AP173" i="14"/>
  <c r="AX173" i="14"/>
  <c r="EF173" i="14"/>
  <c r="ED117" i="14"/>
  <c r="DX117" i="14"/>
  <c r="CW117" i="14"/>
  <c r="DE117" i="14"/>
  <c r="DM117" i="14"/>
  <c r="CS117" i="14"/>
  <c r="AI173" i="14"/>
  <c r="AQ173" i="14"/>
  <c r="AY173" i="14"/>
  <c r="EH173" i="14"/>
  <c r="EE117" i="14"/>
  <c r="CX117" i="14"/>
  <c r="DF117" i="14"/>
  <c r="DN117" i="14"/>
  <c r="AB173" i="14"/>
  <c r="AJ173" i="14"/>
  <c r="AR173" i="14"/>
  <c r="AZ173" i="14"/>
  <c r="EN173" i="14"/>
  <c r="EJ117" i="14"/>
  <c r="CY117" i="14"/>
  <c r="DG117" i="14"/>
  <c r="DO117" i="14"/>
  <c r="AC173" i="14"/>
  <c r="AK173" i="14"/>
  <c r="AS173" i="14"/>
  <c r="BA173" i="14"/>
  <c r="EP173" i="14"/>
  <c r="EL117" i="14"/>
  <c r="CZ117" i="14"/>
  <c r="DH117" i="14"/>
  <c r="DP117" i="14"/>
  <c r="AD173" i="14"/>
  <c r="AL173" i="14"/>
  <c r="AT173" i="14"/>
  <c r="BB173" i="14"/>
  <c r="FO173" i="14"/>
  <c r="EX173" i="14"/>
  <c r="ER117" i="14"/>
  <c r="CT117" i="14"/>
  <c r="DB117" i="14"/>
  <c r="DJ117" i="14"/>
  <c r="DR117" i="14"/>
  <c r="AF173" i="14"/>
  <c r="AN173" i="14"/>
  <c r="AV173" i="14"/>
  <c r="DC117" i="14"/>
  <c r="AW173" i="14"/>
  <c r="EV173" i="14"/>
  <c r="DI117" i="14"/>
  <c r="AA173" i="14"/>
  <c r="DK117" i="14"/>
  <c r="FG173" i="14"/>
  <c r="EM117" i="14"/>
  <c r="DQ117" i="14"/>
  <c r="AE173" i="14"/>
  <c r="CU117" i="14"/>
  <c r="AO173" i="14"/>
  <c r="FY117" i="14"/>
  <c r="CS173" i="14"/>
  <c r="DA117" i="14"/>
  <c r="AU173" i="14"/>
  <c r="ET117" i="14"/>
  <c r="AC117" i="14"/>
  <c r="AK117" i="14"/>
  <c r="AS117" i="14"/>
  <c r="BA117" i="14"/>
  <c r="J169" i="6"/>
  <c r="R169" i="6"/>
  <c r="Z169" i="6"/>
  <c r="AH169" i="6"/>
  <c r="AD117" i="14"/>
  <c r="AL117" i="14"/>
  <c r="AT117" i="14"/>
  <c r="BB117" i="14"/>
  <c r="K169" i="6"/>
  <c r="S169" i="6"/>
  <c r="AA169" i="6"/>
  <c r="AI169" i="6"/>
  <c r="AE117" i="14"/>
  <c r="AM117" i="14"/>
  <c r="AU117" i="14"/>
  <c r="AA117" i="14"/>
  <c r="L169" i="6"/>
  <c r="T169" i="6"/>
  <c r="AB169" i="6"/>
  <c r="AJ169" i="6"/>
  <c r="AF117" i="14"/>
  <c r="AN117" i="14"/>
  <c r="AV117" i="14"/>
  <c r="M169" i="6"/>
  <c r="U169" i="6"/>
  <c r="AC169" i="6"/>
  <c r="I169" i="6"/>
  <c r="I70" i="2" s="1"/>
  <c r="DS117" i="14"/>
  <c r="AG173" i="14"/>
  <c r="AI117" i="14"/>
  <c r="AQ117" i="14"/>
  <c r="AY117" i="14"/>
  <c r="P169" i="6"/>
  <c r="X169" i="6"/>
  <c r="AF169" i="6"/>
  <c r="AM173" i="14"/>
  <c r="AB117" i="14"/>
  <c r="AJ117" i="14"/>
  <c r="AR117" i="14"/>
  <c r="AZ117" i="14"/>
  <c r="Q169" i="6"/>
  <c r="Y169" i="6"/>
  <c r="AG169" i="6"/>
  <c r="AD169" i="6"/>
  <c r="AP117" i="14"/>
  <c r="AE169" i="6"/>
  <c r="AG117" i="14"/>
  <c r="AH117" i="14"/>
  <c r="O169" i="6"/>
  <c r="AO117" i="14"/>
  <c r="N169" i="6"/>
  <c r="W169" i="6"/>
  <c r="AW117" i="14"/>
  <c r="V169" i="6"/>
  <c r="AX117" i="14"/>
  <c r="CZ173" i="14"/>
  <c r="DH173" i="14"/>
  <c r="DP173" i="14"/>
  <c r="DA173" i="14"/>
  <c r="DI173" i="14"/>
  <c r="DQ173" i="14"/>
  <c r="BP117" i="14"/>
  <c r="BX117" i="14"/>
  <c r="CF117" i="14"/>
  <c r="CN117" i="14"/>
  <c r="BT173" i="14"/>
  <c r="CB173" i="14"/>
  <c r="CJ173" i="14"/>
  <c r="DB173" i="14"/>
  <c r="DJ173" i="14"/>
  <c r="DR173" i="14"/>
  <c r="BQ117" i="14"/>
  <c r="BY117" i="14"/>
  <c r="CG117" i="14"/>
  <c r="CO117" i="14"/>
  <c r="BU173" i="14"/>
  <c r="CC173" i="14"/>
  <c r="CK173" i="14"/>
  <c r="CC117" i="14"/>
  <c r="BQ173" i="14"/>
  <c r="CO173" i="14"/>
  <c r="BO117" i="14"/>
  <c r="DC173" i="14"/>
  <c r="DK173" i="14"/>
  <c r="DS173" i="14"/>
  <c r="BR117" i="14"/>
  <c r="BZ117" i="14"/>
  <c r="CH117" i="14"/>
  <c r="BN117" i="14"/>
  <c r="BV173" i="14"/>
  <c r="CD173" i="14"/>
  <c r="CL173" i="14"/>
  <c r="CG173" i="14"/>
  <c r="CM117" i="14"/>
  <c r="DD173" i="14"/>
  <c r="DL173" i="14"/>
  <c r="DT173" i="14"/>
  <c r="BS117" i="14"/>
  <c r="CA117" i="14"/>
  <c r="CI117" i="14"/>
  <c r="BO173" i="14"/>
  <c r="BW173" i="14"/>
  <c r="CE173" i="14"/>
  <c r="CM173" i="14"/>
  <c r="DE173" i="14"/>
  <c r="DM173" i="14"/>
  <c r="BT117" i="14"/>
  <c r="CB117" i="14"/>
  <c r="CJ117" i="14"/>
  <c r="BP173" i="14"/>
  <c r="BX173" i="14"/>
  <c r="CF173" i="14"/>
  <c r="CN173" i="14"/>
  <c r="BU117" i="14"/>
  <c r="CK117" i="14"/>
  <c r="BY173" i="14"/>
  <c r="CE117" i="14"/>
  <c r="DF173" i="14"/>
  <c r="DN173" i="14"/>
  <c r="DG173" i="14"/>
  <c r="DO173" i="14"/>
  <c r="BV117" i="14"/>
  <c r="CD117" i="14"/>
  <c r="CL117" i="14"/>
  <c r="BR173" i="14"/>
  <c r="BZ173" i="14"/>
  <c r="CH173" i="14"/>
  <c r="BN173" i="14"/>
  <c r="BW117" i="14"/>
  <c r="BS173" i="14"/>
  <c r="CA173" i="14"/>
  <c r="CI173" i="14"/>
  <c r="CV173" i="14"/>
  <c r="CY173" i="14"/>
  <c r="CW173" i="14"/>
  <c r="CU173" i="14"/>
  <c r="CX173" i="14"/>
  <c r="CT173" i="14"/>
  <c r="BO148" i="17"/>
  <c r="BW148" i="17"/>
  <c r="CE148" i="17"/>
  <c r="CM148" i="17"/>
  <c r="BQ148" i="17"/>
  <c r="BY148" i="17"/>
  <c r="CG148" i="17"/>
  <c r="BR148" i="17"/>
  <c r="BZ148" i="17"/>
  <c r="CH148" i="17"/>
  <c r="BS148" i="17"/>
  <c r="CA148" i="17"/>
  <c r="CI148" i="17"/>
  <c r="BT148" i="17"/>
  <c r="CB148" i="17"/>
  <c r="CJ148" i="17"/>
  <c r="BM148" i="17"/>
  <c r="BU148" i="17"/>
  <c r="CC148" i="17"/>
  <c r="CK148" i="17"/>
  <c r="CD148" i="17"/>
  <c r="AN204" i="17"/>
  <c r="AV204" i="17"/>
  <c r="BD204" i="17"/>
  <c r="CF148" i="17"/>
  <c r="AG204" i="17"/>
  <c r="AO204" i="17"/>
  <c r="AW204" i="17"/>
  <c r="BE204" i="17"/>
  <c r="CL148" i="17"/>
  <c r="AH204" i="17"/>
  <c r="AP204" i="17"/>
  <c r="AX204" i="17"/>
  <c r="BF204" i="17"/>
  <c r="CN148" i="17"/>
  <c r="AI204" i="17"/>
  <c r="AQ204" i="17"/>
  <c r="AY204" i="17"/>
  <c r="BG204" i="17"/>
  <c r="BN148" i="17"/>
  <c r="BP148" i="17"/>
  <c r="AK204" i="17"/>
  <c r="AS204" i="17"/>
  <c r="BA204" i="17"/>
  <c r="BV148" i="17"/>
  <c r="AL204" i="17"/>
  <c r="AT204" i="17"/>
  <c r="BB204" i="17"/>
  <c r="AU204" i="17"/>
  <c r="BX148" i="17"/>
  <c r="AZ204" i="17"/>
  <c r="BC204" i="17"/>
  <c r="BH204" i="17"/>
  <c r="AJ204" i="17"/>
  <c r="AM204" i="17"/>
  <c r="AI148" i="17"/>
  <c r="AQ148" i="17"/>
  <c r="AY148" i="17"/>
  <c r="BG148" i="17"/>
  <c r="H204" i="17"/>
  <c r="P204" i="17"/>
  <c r="X204" i="17"/>
  <c r="AR204" i="17"/>
  <c r="AJ148" i="17"/>
  <c r="AR148" i="17"/>
  <c r="AZ148" i="17"/>
  <c r="BH148" i="17"/>
  <c r="I204" i="17"/>
  <c r="Q204" i="17"/>
  <c r="Y204" i="17"/>
  <c r="AK148" i="17"/>
  <c r="AS148" i="17"/>
  <c r="BA148" i="17"/>
  <c r="B204" i="17"/>
  <c r="J204" i="17"/>
  <c r="R204" i="17"/>
  <c r="Z204" i="17"/>
  <c r="AL148" i="17"/>
  <c r="AT148" i="17"/>
  <c r="BB148" i="17"/>
  <c r="C204" i="17"/>
  <c r="K204" i="17"/>
  <c r="S204" i="17"/>
  <c r="AA204" i="17"/>
  <c r="AM148" i="17"/>
  <c r="AU148" i="17"/>
  <c r="BC148" i="17"/>
  <c r="D204" i="17"/>
  <c r="L204" i="17"/>
  <c r="T204" i="17"/>
  <c r="AB204" i="17"/>
  <c r="AN148" i="17"/>
  <c r="AV148" i="17"/>
  <c r="BD148" i="17"/>
  <c r="E204" i="17"/>
  <c r="M204" i="17"/>
  <c r="U204" i="17"/>
  <c r="AC204" i="17"/>
  <c r="AG148" i="17"/>
  <c r="AO148" i="17"/>
  <c r="AW148" i="17"/>
  <c r="BE148" i="17"/>
  <c r="AX148" i="17"/>
  <c r="N204" i="17"/>
  <c r="I148" i="17"/>
  <c r="Q148" i="17"/>
  <c r="Y148" i="17"/>
  <c r="BF148" i="17"/>
  <c r="O204" i="17"/>
  <c r="B148" i="17"/>
  <c r="J148" i="17"/>
  <c r="R148" i="17"/>
  <c r="Z148" i="17"/>
  <c r="GI150" i="14"/>
  <c r="GQ150" i="14"/>
  <c r="GY150" i="14"/>
  <c r="HG150" i="14"/>
  <c r="V204" i="17"/>
  <c r="C148" i="17"/>
  <c r="K148" i="17"/>
  <c r="S148" i="17"/>
  <c r="AA148" i="17"/>
  <c r="GJ150" i="14"/>
  <c r="GR150" i="14"/>
  <c r="GZ150" i="14"/>
  <c r="HH150" i="14"/>
  <c r="W204" i="17"/>
  <c r="D148" i="17"/>
  <c r="L148" i="17"/>
  <c r="T148" i="17"/>
  <c r="AB148" i="17"/>
  <c r="GK150" i="14"/>
  <c r="GS150" i="14"/>
  <c r="HA150" i="14"/>
  <c r="HI150" i="14"/>
  <c r="E148" i="17"/>
  <c r="M148" i="17"/>
  <c r="U148" i="17"/>
  <c r="AC148" i="17"/>
  <c r="GL150" i="14"/>
  <c r="GT150" i="14"/>
  <c r="HB150" i="14"/>
  <c r="HJ150" i="14"/>
  <c r="AH148" i="17"/>
  <c r="F204" i="17"/>
  <c r="G148" i="17"/>
  <c r="O148" i="17"/>
  <c r="W148" i="17"/>
  <c r="GN150" i="14"/>
  <c r="GV150" i="14"/>
  <c r="HD150" i="14"/>
  <c r="GU150" i="14"/>
  <c r="FC150" i="14"/>
  <c r="FK150" i="14"/>
  <c r="FS150" i="14"/>
  <c r="GA150" i="14"/>
  <c r="F148" i="17"/>
  <c r="GW150" i="14"/>
  <c r="FD150" i="14"/>
  <c r="FL150" i="14"/>
  <c r="FT150" i="14"/>
  <c r="GB150" i="14"/>
  <c r="AP148" i="17"/>
  <c r="H148" i="17"/>
  <c r="GX150" i="14"/>
  <c r="FE150" i="14"/>
  <c r="FM150" i="14"/>
  <c r="FU150" i="14"/>
  <c r="GC150" i="14"/>
  <c r="N148" i="17"/>
  <c r="HC150" i="14"/>
  <c r="FF150" i="14"/>
  <c r="FN150" i="14"/>
  <c r="FV150" i="14"/>
  <c r="GD150" i="14"/>
  <c r="G204" i="17"/>
  <c r="P148" i="17"/>
  <c r="HE150" i="14"/>
  <c r="FG150" i="14"/>
  <c r="FO150" i="14"/>
  <c r="FW150" i="14"/>
  <c r="X148" i="17"/>
  <c r="GO150" i="14"/>
  <c r="FI150" i="14"/>
  <c r="FQ150" i="14"/>
  <c r="FY150" i="14"/>
  <c r="FI206" i="14"/>
  <c r="FQ206" i="14"/>
  <c r="FY206" i="14"/>
  <c r="FH150" i="14"/>
  <c r="FJ206" i="14"/>
  <c r="FR206" i="14"/>
  <c r="FZ206" i="14"/>
  <c r="FJ150" i="14"/>
  <c r="FC206" i="14"/>
  <c r="FK206" i="14"/>
  <c r="FS206" i="14"/>
  <c r="GA206" i="14"/>
  <c r="GM150" i="14"/>
  <c r="FP150" i="14"/>
  <c r="FD206" i="14"/>
  <c r="FL206" i="14"/>
  <c r="FT206" i="14"/>
  <c r="GB206" i="14"/>
  <c r="GP150" i="14"/>
  <c r="FR150" i="14"/>
  <c r="FE206" i="14"/>
  <c r="FM206" i="14"/>
  <c r="FU206" i="14"/>
  <c r="GC206" i="14"/>
  <c r="FZ150" i="14"/>
  <c r="FG206" i="14"/>
  <c r="FO206" i="14"/>
  <c r="FW206" i="14"/>
  <c r="FH206" i="14"/>
  <c r="DZ206" i="14"/>
  <c r="EH206" i="14"/>
  <c r="EP206" i="14"/>
  <c r="EX206" i="14"/>
  <c r="ED150" i="14"/>
  <c r="EL150" i="14"/>
  <c r="ET150" i="14"/>
  <c r="FN206" i="14"/>
  <c r="EA206" i="14"/>
  <c r="EI206" i="14"/>
  <c r="EQ206" i="14"/>
  <c r="EY206" i="14"/>
  <c r="EE150" i="14"/>
  <c r="EM150" i="14"/>
  <c r="EU150" i="14"/>
  <c r="FP206" i="14"/>
  <c r="EB206" i="14"/>
  <c r="EJ206" i="14"/>
  <c r="ER206" i="14"/>
  <c r="DX150" i="14"/>
  <c r="EF150" i="14"/>
  <c r="EN150" i="14"/>
  <c r="EV150" i="14"/>
  <c r="FX150" i="14"/>
  <c r="FV206" i="14"/>
  <c r="EC206" i="14"/>
  <c r="EK206" i="14"/>
  <c r="ES206" i="14"/>
  <c r="DY150" i="14"/>
  <c r="EG150" i="14"/>
  <c r="EO150" i="14"/>
  <c r="EW150" i="14"/>
  <c r="FX206" i="14"/>
  <c r="ED206" i="14"/>
  <c r="EL206" i="14"/>
  <c r="ET206" i="14"/>
  <c r="DZ150" i="14"/>
  <c r="EH150" i="14"/>
  <c r="EP150" i="14"/>
  <c r="EX150" i="14"/>
  <c r="DX206" i="14"/>
  <c r="EF206" i="14"/>
  <c r="EN206" i="14"/>
  <c r="EV206" i="14"/>
  <c r="EB150" i="14"/>
  <c r="EJ150" i="14"/>
  <c r="ER150" i="14"/>
  <c r="HF150" i="14"/>
  <c r="EW206" i="14"/>
  <c r="EC150" i="14"/>
  <c r="CV206" i="14"/>
  <c r="DD206" i="14"/>
  <c r="DL206" i="14"/>
  <c r="DT206" i="14"/>
  <c r="CU150" i="14"/>
  <c r="DC150" i="14"/>
  <c r="DK150" i="14"/>
  <c r="DS150" i="14"/>
  <c r="AG206" i="14"/>
  <c r="AO206" i="14"/>
  <c r="AW206" i="14"/>
  <c r="EI150" i="14"/>
  <c r="CW206" i="14"/>
  <c r="DE206" i="14"/>
  <c r="DM206" i="14"/>
  <c r="CV150" i="14"/>
  <c r="DD150" i="14"/>
  <c r="DL150" i="14"/>
  <c r="DT150" i="14"/>
  <c r="AH206" i="14"/>
  <c r="AP206" i="14"/>
  <c r="AX206" i="14"/>
  <c r="V148" i="17"/>
  <c r="DY206" i="14"/>
  <c r="EK150" i="14"/>
  <c r="CX206" i="14"/>
  <c r="DF206" i="14"/>
  <c r="DN206" i="14"/>
  <c r="CW150" i="14"/>
  <c r="DE150" i="14"/>
  <c r="DM150" i="14"/>
  <c r="AA206" i="14"/>
  <c r="AI206" i="14"/>
  <c r="AQ206" i="14"/>
  <c r="AY206" i="14"/>
  <c r="EE206" i="14"/>
  <c r="EQ150" i="14"/>
  <c r="CY206" i="14"/>
  <c r="DG206" i="14"/>
  <c r="DO206" i="14"/>
  <c r="CX150" i="14"/>
  <c r="DF150" i="14"/>
  <c r="DN150" i="14"/>
  <c r="AB206" i="14"/>
  <c r="AJ206" i="14"/>
  <c r="AR206" i="14"/>
  <c r="AZ206" i="14"/>
  <c r="EG206" i="14"/>
  <c r="ES150" i="14"/>
  <c r="CZ206" i="14"/>
  <c r="DH206" i="14"/>
  <c r="DP206" i="14"/>
  <c r="CY150" i="14"/>
  <c r="DG150" i="14"/>
  <c r="DO150" i="14"/>
  <c r="AC206" i="14"/>
  <c r="AK206" i="14"/>
  <c r="AS206" i="14"/>
  <c r="BA206" i="14"/>
  <c r="FF206" i="14"/>
  <c r="EO206" i="14"/>
  <c r="CT206" i="14"/>
  <c r="DB206" i="14"/>
  <c r="DJ206" i="14"/>
  <c r="DR206" i="14"/>
  <c r="CS150" i="14"/>
  <c r="DA150" i="14"/>
  <c r="DI150" i="14"/>
  <c r="DQ150" i="14"/>
  <c r="AE206" i="14"/>
  <c r="AM206" i="14"/>
  <c r="AU206" i="14"/>
  <c r="DS206" i="14"/>
  <c r="CT150" i="14"/>
  <c r="AN206" i="14"/>
  <c r="EM206" i="14"/>
  <c r="CS206" i="14"/>
  <c r="CZ150" i="14"/>
  <c r="AT206" i="14"/>
  <c r="EU206" i="14"/>
  <c r="EA150" i="14"/>
  <c r="CU206" i="14"/>
  <c r="DB150" i="14"/>
  <c r="AV206" i="14"/>
  <c r="EY150" i="14"/>
  <c r="DA206" i="14"/>
  <c r="DH150" i="14"/>
  <c r="BB206" i="14"/>
  <c r="DK206" i="14"/>
  <c r="DR150" i="14"/>
  <c r="AF206" i="14"/>
  <c r="DQ206" i="14"/>
  <c r="AL206" i="14"/>
  <c r="AF150" i="14"/>
  <c r="AN150" i="14"/>
  <c r="AV150" i="14"/>
  <c r="I202" i="6"/>
  <c r="I93" i="2" s="1"/>
  <c r="Q202" i="6"/>
  <c r="Y202" i="6"/>
  <c r="AG202" i="6"/>
  <c r="AG150" i="14"/>
  <c r="AO150" i="14"/>
  <c r="AW150" i="14"/>
  <c r="J202" i="6"/>
  <c r="R202" i="6"/>
  <c r="Z202" i="6"/>
  <c r="AH202" i="6"/>
  <c r="GD206" i="14"/>
  <c r="AH150" i="14"/>
  <c r="AP150" i="14"/>
  <c r="AX150" i="14"/>
  <c r="K202" i="6"/>
  <c r="S202" i="6"/>
  <c r="AA202" i="6"/>
  <c r="AI202" i="6"/>
  <c r="AA150" i="14"/>
  <c r="AI150" i="14"/>
  <c r="AQ150" i="14"/>
  <c r="AY150" i="14"/>
  <c r="L202" i="6"/>
  <c r="T202" i="6"/>
  <c r="AB202" i="6"/>
  <c r="AJ202" i="6"/>
  <c r="DC206" i="14"/>
  <c r="DJ150" i="14"/>
  <c r="AD150" i="14"/>
  <c r="AL150" i="14"/>
  <c r="AT150" i="14"/>
  <c r="BB150" i="14"/>
  <c r="O202" i="6"/>
  <c r="W202" i="6"/>
  <c r="AE202" i="6"/>
  <c r="DI206" i="14"/>
  <c r="DP150" i="14"/>
  <c r="AD206" i="14"/>
  <c r="AE150" i="14"/>
  <c r="AM150" i="14"/>
  <c r="AU150" i="14"/>
  <c r="P202" i="6"/>
  <c r="X202" i="6"/>
  <c r="AF202" i="6"/>
  <c r="AZ150" i="14"/>
  <c r="U202" i="6"/>
  <c r="AK150" i="14"/>
  <c r="BA150" i="14"/>
  <c r="V202" i="6"/>
  <c r="AB150" i="14"/>
  <c r="AC202" i="6"/>
  <c r="N202" i="6"/>
  <c r="AC150" i="14"/>
  <c r="AD202" i="6"/>
  <c r="AJ150" i="14"/>
  <c r="AR150" i="14"/>
  <c r="M202" i="6"/>
  <c r="AS150" i="14"/>
  <c r="BO150" i="14"/>
  <c r="BW150" i="14"/>
  <c r="CE150" i="14"/>
  <c r="CM150" i="14"/>
  <c r="BS206" i="14"/>
  <c r="CA206" i="14"/>
  <c r="CI206" i="14"/>
  <c r="BP150" i="14"/>
  <c r="BX150" i="14"/>
  <c r="CF150" i="14"/>
  <c r="CN150" i="14"/>
  <c r="BT206" i="14"/>
  <c r="CB206" i="14"/>
  <c r="CJ206" i="14"/>
  <c r="CB150" i="14"/>
  <c r="BP206" i="14"/>
  <c r="BQ150" i="14"/>
  <c r="BY150" i="14"/>
  <c r="CG150" i="14"/>
  <c r="CO150" i="14"/>
  <c r="BU206" i="14"/>
  <c r="CC206" i="14"/>
  <c r="CK206" i="14"/>
  <c r="CF206" i="14"/>
  <c r="BZ206" i="14"/>
  <c r="BR150" i="14"/>
  <c r="BZ150" i="14"/>
  <c r="CH150" i="14"/>
  <c r="BN206" i="14"/>
  <c r="BV206" i="14"/>
  <c r="CD206" i="14"/>
  <c r="CL206" i="14"/>
  <c r="BT150" i="14"/>
  <c r="BX206" i="14"/>
  <c r="BR206" i="14"/>
  <c r="BS150" i="14"/>
  <c r="CA150" i="14"/>
  <c r="CI150" i="14"/>
  <c r="BO206" i="14"/>
  <c r="BW206" i="14"/>
  <c r="CE206" i="14"/>
  <c r="CM206" i="14"/>
  <c r="CJ150" i="14"/>
  <c r="CN206" i="14"/>
  <c r="CH206" i="14"/>
  <c r="BU150" i="14"/>
  <c r="CC150" i="14"/>
  <c r="CK150" i="14"/>
  <c r="BQ206" i="14"/>
  <c r="BY206" i="14"/>
  <c r="CG206" i="14"/>
  <c r="CO206" i="14"/>
  <c r="BN150" i="14"/>
  <c r="BV150" i="14"/>
  <c r="CD150" i="14"/>
  <c r="CL150" i="14"/>
  <c r="BO138" i="17"/>
  <c r="BW138" i="17"/>
  <c r="BP138" i="17"/>
  <c r="BX138" i="17"/>
  <c r="BR138" i="17"/>
  <c r="BZ138" i="17"/>
  <c r="BT138" i="17"/>
  <c r="CB138" i="17"/>
  <c r="BM138" i="17"/>
  <c r="BU138" i="17"/>
  <c r="BN138" i="17"/>
  <c r="BV138" i="17"/>
  <c r="CE138" i="17"/>
  <c r="CM138" i="17"/>
  <c r="BQ138" i="17"/>
  <c r="CG138" i="17"/>
  <c r="BS138" i="17"/>
  <c r="CH138" i="17"/>
  <c r="BY138" i="17"/>
  <c r="CI138" i="17"/>
  <c r="CA138" i="17"/>
  <c r="CJ138" i="17"/>
  <c r="CC138" i="17"/>
  <c r="CK138" i="17"/>
  <c r="AN194" i="17"/>
  <c r="AV194" i="17"/>
  <c r="BD194" i="17"/>
  <c r="AG194" i="17"/>
  <c r="AO194" i="17"/>
  <c r="AW194" i="17"/>
  <c r="BE194" i="17"/>
  <c r="CD138" i="17"/>
  <c r="AH194" i="17"/>
  <c r="AP194" i="17"/>
  <c r="AX194" i="17"/>
  <c r="BF194" i="17"/>
  <c r="CF138" i="17"/>
  <c r="AI194" i="17"/>
  <c r="AQ194" i="17"/>
  <c r="AY194" i="17"/>
  <c r="BG194" i="17"/>
  <c r="CL138" i="17"/>
  <c r="CN138" i="17"/>
  <c r="AK194" i="17"/>
  <c r="AS194" i="17"/>
  <c r="BA194" i="17"/>
  <c r="AL194" i="17"/>
  <c r="AT194" i="17"/>
  <c r="BB194" i="17"/>
  <c r="AM194" i="17"/>
  <c r="AL138" i="17"/>
  <c r="AT138" i="17"/>
  <c r="BB138" i="17"/>
  <c r="AR194" i="17"/>
  <c r="AM138" i="17"/>
  <c r="AU138" i="17"/>
  <c r="BC138" i="17"/>
  <c r="AU194" i="17"/>
  <c r="AN138" i="17"/>
  <c r="AV138" i="17"/>
  <c r="BD138" i="17"/>
  <c r="AZ194" i="17"/>
  <c r="AG138" i="17"/>
  <c r="AO138" i="17"/>
  <c r="AW138" i="17"/>
  <c r="BE138" i="17"/>
  <c r="BC194" i="17"/>
  <c r="AH138" i="17"/>
  <c r="AP138" i="17"/>
  <c r="AX138" i="17"/>
  <c r="BF138" i="17"/>
  <c r="BH194" i="17"/>
  <c r="AI138" i="17"/>
  <c r="AQ138" i="17"/>
  <c r="AY138" i="17"/>
  <c r="BG138" i="17"/>
  <c r="AJ138" i="17"/>
  <c r="AR138" i="17"/>
  <c r="AZ138" i="17"/>
  <c r="BH138" i="17"/>
  <c r="AJ194" i="17"/>
  <c r="AK138" i="17"/>
  <c r="H194" i="17"/>
  <c r="P194" i="17"/>
  <c r="X194" i="17"/>
  <c r="AS138" i="17"/>
  <c r="I194" i="17"/>
  <c r="Q194" i="17"/>
  <c r="Y194" i="17"/>
  <c r="BA138" i="17"/>
  <c r="B194" i="17"/>
  <c r="J194" i="17"/>
  <c r="R194" i="17"/>
  <c r="Z194" i="17"/>
  <c r="C194" i="17"/>
  <c r="K194" i="17"/>
  <c r="S194" i="17"/>
  <c r="AA194" i="17"/>
  <c r="D194" i="17"/>
  <c r="L194" i="17"/>
  <c r="T194" i="17"/>
  <c r="AB194" i="17"/>
  <c r="E194" i="17"/>
  <c r="M194" i="17"/>
  <c r="U194" i="17"/>
  <c r="AC194" i="17"/>
  <c r="F194" i="17"/>
  <c r="I138" i="17"/>
  <c r="Q138" i="17"/>
  <c r="Y138" i="17"/>
  <c r="GP140" i="14"/>
  <c r="GX140" i="14"/>
  <c r="HF140" i="14"/>
  <c r="G194" i="17"/>
  <c r="B138" i="17"/>
  <c r="J138" i="17"/>
  <c r="R138" i="17"/>
  <c r="Z138" i="17"/>
  <c r="GI140" i="14"/>
  <c r="GQ140" i="14"/>
  <c r="GY140" i="14"/>
  <c r="HG140" i="14"/>
  <c r="N194" i="17"/>
  <c r="C138" i="17"/>
  <c r="K138" i="17"/>
  <c r="S138" i="17"/>
  <c r="AA138" i="17"/>
  <c r="GJ140" i="14"/>
  <c r="GR140" i="14"/>
  <c r="GZ140" i="14"/>
  <c r="HH140" i="14"/>
  <c r="O194" i="17"/>
  <c r="D138" i="17"/>
  <c r="L138" i="17"/>
  <c r="T138" i="17"/>
  <c r="AB138" i="17"/>
  <c r="GK140" i="14"/>
  <c r="GS140" i="14"/>
  <c r="HA140" i="14"/>
  <c r="HI140" i="14"/>
  <c r="V194" i="17"/>
  <c r="E138" i="17"/>
  <c r="M138" i="17"/>
  <c r="U138" i="17"/>
  <c r="AC138" i="17"/>
  <c r="GL140" i="14"/>
  <c r="GT140" i="14"/>
  <c r="HB140" i="14"/>
  <c r="HJ140" i="14"/>
  <c r="G138" i="17"/>
  <c r="O138" i="17"/>
  <c r="W138" i="17"/>
  <c r="GN140" i="14"/>
  <c r="GV140" i="14"/>
  <c r="HD140" i="14"/>
  <c r="X138" i="17"/>
  <c r="FC140" i="14"/>
  <c r="FK140" i="14"/>
  <c r="FS140" i="14"/>
  <c r="GA140" i="14"/>
  <c r="GM140" i="14"/>
  <c r="FD140" i="14"/>
  <c r="FL140" i="14"/>
  <c r="FT140" i="14"/>
  <c r="GB140" i="14"/>
  <c r="GO140" i="14"/>
  <c r="FE140" i="14"/>
  <c r="FM140" i="14"/>
  <c r="FU140" i="14"/>
  <c r="GC140" i="14"/>
  <c r="W194" i="17"/>
  <c r="F138" i="17"/>
  <c r="GU140" i="14"/>
  <c r="FF140" i="14"/>
  <c r="FN140" i="14"/>
  <c r="FV140" i="14"/>
  <c r="GD140" i="14"/>
  <c r="H138" i="17"/>
  <c r="GW140" i="14"/>
  <c r="FG140" i="14"/>
  <c r="FO140" i="14"/>
  <c r="FW140" i="14"/>
  <c r="P138" i="17"/>
  <c r="HE140" i="14"/>
  <c r="FI140" i="14"/>
  <c r="FQ140" i="14"/>
  <c r="FY140" i="14"/>
  <c r="FZ140" i="14"/>
  <c r="FI196" i="14"/>
  <c r="FQ196" i="14"/>
  <c r="FY196" i="14"/>
  <c r="DZ196" i="14"/>
  <c r="EH196" i="14"/>
  <c r="EP196" i="14"/>
  <c r="EX196" i="14"/>
  <c r="FJ196" i="14"/>
  <c r="FR196" i="14"/>
  <c r="FZ196" i="14"/>
  <c r="EA196" i="14"/>
  <c r="EI196" i="14"/>
  <c r="EQ196" i="14"/>
  <c r="EY196" i="14"/>
  <c r="FC196" i="14"/>
  <c r="FK196" i="14"/>
  <c r="FS196" i="14"/>
  <c r="GA196" i="14"/>
  <c r="EB196" i="14"/>
  <c r="EJ196" i="14"/>
  <c r="ER196" i="14"/>
  <c r="N138" i="17"/>
  <c r="FH140" i="14"/>
  <c r="FD196" i="14"/>
  <c r="FL196" i="14"/>
  <c r="FT196" i="14"/>
  <c r="GB196" i="14"/>
  <c r="EC196" i="14"/>
  <c r="EK196" i="14"/>
  <c r="ES196" i="14"/>
  <c r="V138" i="17"/>
  <c r="FJ140" i="14"/>
  <c r="FE196" i="14"/>
  <c r="FM196" i="14"/>
  <c r="FU196" i="14"/>
  <c r="GC196" i="14"/>
  <c r="ED196" i="14"/>
  <c r="EL196" i="14"/>
  <c r="ET196" i="14"/>
  <c r="FR140" i="14"/>
  <c r="FG196" i="14"/>
  <c r="FO196" i="14"/>
  <c r="FW196" i="14"/>
  <c r="DX196" i="14"/>
  <c r="EF196" i="14"/>
  <c r="EN196" i="14"/>
  <c r="EV196" i="14"/>
  <c r="EG196" i="14"/>
  <c r="ED140" i="14"/>
  <c r="EL140" i="14"/>
  <c r="ET140" i="14"/>
  <c r="HC140" i="14"/>
  <c r="FP140" i="14"/>
  <c r="FF196" i="14"/>
  <c r="EM196" i="14"/>
  <c r="EE140" i="14"/>
  <c r="EM140" i="14"/>
  <c r="EU140" i="14"/>
  <c r="FX140" i="14"/>
  <c r="FH196" i="14"/>
  <c r="EO196" i="14"/>
  <c r="DX140" i="14"/>
  <c r="EF140" i="14"/>
  <c r="EN140" i="14"/>
  <c r="EV140" i="14"/>
  <c r="FN196" i="14"/>
  <c r="EU196" i="14"/>
  <c r="DY140" i="14"/>
  <c r="EG140" i="14"/>
  <c r="EO140" i="14"/>
  <c r="EW140" i="14"/>
  <c r="FP196" i="14"/>
  <c r="EW196" i="14"/>
  <c r="DZ140" i="14"/>
  <c r="EH140" i="14"/>
  <c r="EP140" i="14"/>
  <c r="EX140" i="14"/>
  <c r="FX196" i="14"/>
  <c r="DY196" i="14"/>
  <c r="EB140" i="14"/>
  <c r="EJ140" i="14"/>
  <c r="ER140" i="14"/>
  <c r="CV196" i="14"/>
  <c r="DD196" i="14"/>
  <c r="DL196" i="14"/>
  <c r="DT196" i="14"/>
  <c r="CU140" i="14"/>
  <c r="DC140" i="14"/>
  <c r="DK140" i="14"/>
  <c r="DS140" i="14"/>
  <c r="AG196" i="14"/>
  <c r="AO196" i="14"/>
  <c r="AW196" i="14"/>
  <c r="EA140" i="14"/>
  <c r="CW196" i="14"/>
  <c r="DE196" i="14"/>
  <c r="DM196" i="14"/>
  <c r="CV140" i="14"/>
  <c r="DD140" i="14"/>
  <c r="DL140" i="14"/>
  <c r="DT140" i="14"/>
  <c r="AH196" i="14"/>
  <c r="AP196" i="14"/>
  <c r="AX196" i="14"/>
  <c r="EC140" i="14"/>
  <c r="CX196" i="14"/>
  <c r="DF196" i="14"/>
  <c r="DN196" i="14"/>
  <c r="CW140" i="14"/>
  <c r="DE140" i="14"/>
  <c r="DM140" i="14"/>
  <c r="AA196" i="14"/>
  <c r="AI196" i="14"/>
  <c r="AQ196" i="14"/>
  <c r="AY196" i="14"/>
  <c r="EI140" i="14"/>
  <c r="CY196" i="14"/>
  <c r="DG196" i="14"/>
  <c r="DO196" i="14"/>
  <c r="CX140" i="14"/>
  <c r="DF140" i="14"/>
  <c r="DN140" i="14"/>
  <c r="AB196" i="14"/>
  <c r="AJ196" i="14"/>
  <c r="AR196" i="14"/>
  <c r="AZ196" i="14"/>
  <c r="EK140" i="14"/>
  <c r="CZ196" i="14"/>
  <c r="DH196" i="14"/>
  <c r="DP196" i="14"/>
  <c r="CY140" i="14"/>
  <c r="DG140" i="14"/>
  <c r="DO140" i="14"/>
  <c r="AC196" i="14"/>
  <c r="AK196" i="14"/>
  <c r="AS196" i="14"/>
  <c r="BA196" i="14"/>
  <c r="AC140" i="14"/>
  <c r="AK140" i="14"/>
  <c r="AS140" i="14"/>
  <c r="BA140" i="14"/>
  <c r="GD196" i="14"/>
  <c r="EE196" i="14"/>
  <c r="ES140" i="14"/>
  <c r="CT196" i="14"/>
  <c r="DB196" i="14"/>
  <c r="DJ196" i="14"/>
  <c r="DR196" i="14"/>
  <c r="CS140" i="14"/>
  <c r="DA140" i="14"/>
  <c r="DI140" i="14"/>
  <c r="DQ140" i="14"/>
  <c r="AE196" i="14"/>
  <c r="AM196" i="14"/>
  <c r="AU196" i="14"/>
  <c r="DK196" i="14"/>
  <c r="DR140" i="14"/>
  <c r="AF196" i="14"/>
  <c r="EQ140" i="14"/>
  <c r="DQ196" i="14"/>
  <c r="AL196" i="14"/>
  <c r="EY140" i="14"/>
  <c r="DS196" i="14"/>
  <c r="CT140" i="14"/>
  <c r="AN196" i="14"/>
  <c r="CS196" i="14"/>
  <c r="CZ140" i="14"/>
  <c r="AT196" i="14"/>
  <c r="DC196" i="14"/>
  <c r="DJ140" i="14"/>
  <c r="FV196" i="14"/>
  <c r="DI196" i="14"/>
  <c r="DP140" i="14"/>
  <c r="AD196" i="14"/>
  <c r="AB140" i="14"/>
  <c r="AL140" i="14"/>
  <c r="AU140" i="14"/>
  <c r="I192" i="6"/>
  <c r="Q192" i="6"/>
  <c r="Y192" i="6"/>
  <c r="AG192" i="6"/>
  <c r="AD140" i="14"/>
  <c r="AM140" i="14"/>
  <c r="AV140" i="14"/>
  <c r="J192" i="6"/>
  <c r="R192" i="6"/>
  <c r="Z192" i="6"/>
  <c r="AH192" i="6"/>
  <c r="DB140" i="14"/>
  <c r="AE140" i="14"/>
  <c r="AN140" i="14"/>
  <c r="AW140" i="14"/>
  <c r="K192" i="6"/>
  <c r="S192" i="6"/>
  <c r="AA192" i="6"/>
  <c r="AI192" i="6"/>
  <c r="AF140" i="14"/>
  <c r="AO140" i="14"/>
  <c r="AX140" i="14"/>
  <c r="L192" i="6"/>
  <c r="T192" i="6"/>
  <c r="AB192" i="6"/>
  <c r="AJ192" i="6"/>
  <c r="AV196" i="14"/>
  <c r="AI140" i="14"/>
  <c r="AR140" i="14"/>
  <c r="BB140" i="14"/>
  <c r="O192" i="6"/>
  <c r="W192" i="6"/>
  <c r="AE192" i="6"/>
  <c r="BB196" i="14"/>
  <c r="AA140" i="14"/>
  <c r="AJ140" i="14"/>
  <c r="AT140" i="14"/>
  <c r="P192" i="6"/>
  <c r="X192" i="6"/>
  <c r="AF192" i="6"/>
  <c r="CU196" i="14"/>
  <c r="AP140" i="14"/>
  <c r="M192" i="6"/>
  <c r="DH140" i="14"/>
  <c r="AQ140" i="14"/>
  <c r="N192" i="6"/>
  <c r="AY140" i="14"/>
  <c r="U192" i="6"/>
  <c r="AZ140" i="14"/>
  <c r="V192" i="6"/>
  <c r="AD192" i="6"/>
  <c r="AC192" i="6"/>
  <c r="DA196" i="14"/>
  <c r="AG140" i="14"/>
  <c r="AH140" i="14"/>
  <c r="BO140" i="14"/>
  <c r="BW140" i="14"/>
  <c r="CE140" i="14"/>
  <c r="CM140" i="14"/>
  <c r="BS196" i="14"/>
  <c r="CA196" i="14"/>
  <c r="CI196" i="14"/>
  <c r="BP140" i="14"/>
  <c r="BX140" i="14"/>
  <c r="CF140" i="14"/>
  <c r="CN140" i="14"/>
  <c r="BT196" i="14"/>
  <c r="CB196" i="14"/>
  <c r="CJ196" i="14"/>
  <c r="CN196" i="14"/>
  <c r="CH196" i="14"/>
  <c r="BQ140" i="14"/>
  <c r="BY140" i="14"/>
  <c r="CG140" i="14"/>
  <c r="CO140" i="14"/>
  <c r="BU196" i="14"/>
  <c r="CC196" i="14"/>
  <c r="CK196" i="14"/>
  <c r="CJ140" i="14"/>
  <c r="BX196" i="14"/>
  <c r="BR196" i="14"/>
  <c r="BR140" i="14"/>
  <c r="BZ140" i="14"/>
  <c r="CH140" i="14"/>
  <c r="BN196" i="14"/>
  <c r="BV196" i="14"/>
  <c r="CD196" i="14"/>
  <c r="CL196" i="14"/>
  <c r="BT140" i="14"/>
  <c r="CF196" i="14"/>
  <c r="BS140" i="14"/>
  <c r="CA140" i="14"/>
  <c r="CI140" i="14"/>
  <c r="BO196" i="14"/>
  <c r="BW196" i="14"/>
  <c r="CE196" i="14"/>
  <c r="CM196" i="14"/>
  <c r="CB140" i="14"/>
  <c r="BP196" i="14"/>
  <c r="BZ196" i="14"/>
  <c r="BU140" i="14"/>
  <c r="CC140" i="14"/>
  <c r="CK140" i="14"/>
  <c r="BQ196" i="14"/>
  <c r="BY196" i="14"/>
  <c r="CG196" i="14"/>
  <c r="CO196" i="14"/>
  <c r="BN140" i="14"/>
  <c r="BV140" i="14"/>
  <c r="CD140" i="14"/>
  <c r="CL140" i="14"/>
  <c r="BS123" i="17"/>
  <c r="CA123" i="17"/>
  <c r="CI123" i="17"/>
  <c r="BT123" i="17"/>
  <c r="CB123" i="17"/>
  <c r="CJ123" i="17"/>
  <c r="BM123" i="17"/>
  <c r="BU123" i="17"/>
  <c r="CC123" i="17"/>
  <c r="CK123" i="17"/>
  <c r="BN123" i="17"/>
  <c r="BV123" i="17"/>
  <c r="CD123" i="17"/>
  <c r="CL123" i="17"/>
  <c r="BP123" i="17"/>
  <c r="BX123" i="17"/>
  <c r="CF123" i="17"/>
  <c r="CN123" i="17"/>
  <c r="BQ123" i="17"/>
  <c r="BY123" i="17"/>
  <c r="CG123" i="17"/>
  <c r="BR123" i="17"/>
  <c r="BZ123" i="17"/>
  <c r="CH123" i="17"/>
  <c r="BO123" i="17"/>
  <c r="BW123" i="17"/>
  <c r="CE123" i="17"/>
  <c r="CM123" i="17"/>
  <c r="AJ179" i="17"/>
  <c r="AR179" i="17"/>
  <c r="AZ179" i="17"/>
  <c r="BH179" i="17"/>
  <c r="AK179" i="17"/>
  <c r="AS179" i="17"/>
  <c r="BA179" i="17"/>
  <c r="AL179" i="17"/>
  <c r="AT179" i="17"/>
  <c r="BB179" i="17"/>
  <c r="AM179" i="17"/>
  <c r="AU179" i="17"/>
  <c r="BC179" i="17"/>
  <c r="AN179" i="17"/>
  <c r="AV179" i="17"/>
  <c r="BD179" i="17"/>
  <c r="AG179" i="17"/>
  <c r="AO179" i="17"/>
  <c r="AW179" i="17"/>
  <c r="BE179" i="17"/>
  <c r="AH179" i="17"/>
  <c r="AP179" i="17"/>
  <c r="AX179" i="17"/>
  <c r="BF179" i="17"/>
  <c r="BG179" i="17"/>
  <c r="AH123" i="17"/>
  <c r="AP123" i="17"/>
  <c r="AX123" i="17"/>
  <c r="BF123" i="17"/>
  <c r="AI123" i="17"/>
  <c r="AQ123" i="17"/>
  <c r="AY123" i="17"/>
  <c r="BG123" i="17"/>
  <c r="AJ123" i="17"/>
  <c r="AR123" i="17"/>
  <c r="AZ123" i="17"/>
  <c r="BH123" i="17"/>
  <c r="AK123" i="17"/>
  <c r="AS123" i="17"/>
  <c r="BA123" i="17"/>
  <c r="AL123" i="17"/>
  <c r="AT123" i="17"/>
  <c r="BB123" i="17"/>
  <c r="AI179" i="17"/>
  <c r="AM123" i="17"/>
  <c r="AU123" i="17"/>
  <c r="BC123" i="17"/>
  <c r="AQ179" i="17"/>
  <c r="AN123" i="17"/>
  <c r="AV123" i="17"/>
  <c r="BD123" i="17"/>
  <c r="D179" i="17"/>
  <c r="L179" i="17"/>
  <c r="T179" i="17"/>
  <c r="AB179" i="17"/>
  <c r="E179" i="17"/>
  <c r="M179" i="17"/>
  <c r="U179" i="17"/>
  <c r="AC179" i="17"/>
  <c r="I123" i="17"/>
  <c r="Q123" i="17"/>
  <c r="Y123" i="17"/>
  <c r="F179" i="17"/>
  <c r="N179" i="17"/>
  <c r="V179" i="17"/>
  <c r="B123" i="17"/>
  <c r="J123" i="17"/>
  <c r="R123" i="17"/>
  <c r="Z123" i="17"/>
  <c r="AG123" i="17"/>
  <c r="G179" i="17"/>
  <c r="O179" i="17"/>
  <c r="W179" i="17"/>
  <c r="C123" i="17"/>
  <c r="K123" i="17"/>
  <c r="S123" i="17"/>
  <c r="AA123" i="17"/>
  <c r="AO123" i="17"/>
  <c r="H179" i="17"/>
  <c r="P179" i="17"/>
  <c r="X179" i="17"/>
  <c r="D123" i="17"/>
  <c r="L123" i="17"/>
  <c r="T123" i="17"/>
  <c r="AB123" i="17"/>
  <c r="AW123" i="17"/>
  <c r="I179" i="17"/>
  <c r="Q179" i="17"/>
  <c r="Y179" i="17"/>
  <c r="E123" i="17"/>
  <c r="M123" i="17"/>
  <c r="U123" i="17"/>
  <c r="AC123" i="17"/>
  <c r="BE123" i="17"/>
  <c r="B179" i="17"/>
  <c r="J179" i="17"/>
  <c r="R179" i="17"/>
  <c r="Z179" i="17"/>
  <c r="V123" i="17"/>
  <c r="GL125" i="14"/>
  <c r="GT125" i="14"/>
  <c r="HB125" i="14"/>
  <c r="HJ125" i="14"/>
  <c r="C179" i="17"/>
  <c r="W123" i="17"/>
  <c r="GM125" i="14"/>
  <c r="GU125" i="14"/>
  <c r="HC125" i="14"/>
  <c r="K179" i="17"/>
  <c r="F123" i="17"/>
  <c r="X123" i="17"/>
  <c r="GN125" i="14"/>
  <c r="GV125" i="14"/>
  <c r="HD125" i="14"/>
  <c r="S179" i="17"/>
  <c r="G123" i="17"/>
  <c r="GO125" i="14"/>
  <c r="GW125" i="14"/>
  <c r="HE125" i="14"/>
  <c r="AA179" i="17"/>
  <c r="H123" i="17"/>
  <c r="GP125" i="14"/>
  <c r="GX125" i="14"/>
  <c r="HF125" i="14"/>
  <c r="O123" i="17"/>
  <c r="GJ125" i="14"/>
  <c r="GR125" i="14"/>
  <c r="GZ125" i="14"/>
  <c r="HH125" i="14"/>
  <c r="P123" i="17"/>
  <c r="GK125" i="14"/>
  <c r="FG125" i="14"/>
  <c r="FO125" i="14"/>
  <c r="FW125" i="14"/>
  <c r="GQ125" i="14"/>
  <c r="FH125" i="14"/>
  <c r="FP125" i="14"/>
  <c r="FX125" i="14"/>
  <c r="GS125" i="14"/>
  <c r="FI125" i="14"/>
  <c r="FQ125" i="14"/>
  <c r="FY125" i="14"/>
  <c r="GY125" i="14"/>
  <c r="FJ125" i="14"/>
  <c r="FR125" i="14"/>
  <c r="FZ125" i="14"/>
  <c r="HA125" i="14"/>
  <c r="FC125" i="14"/>
  <c r="FK125" i="14"/>
  <c r="FS125" i="14"/>
  <c r="GA125" i="14"/>
  <c r="FG181" i="14"/>
  <c r="FO181" i="14"/>
  <c r="FW181" i="14"/>
  <c r="AY179" i="17"/>
  <c r="HI125" i="14"/>
  <c r="FE125" i="14"/>
  <c r="FM125" i="14"/>
  <c r="FU125" i="14"/>
  <c r="GC125" i="14"/>
  <c r="N123" i="17"/>
  <c r="GD125" i="14"/>
  <c r="FJ181" i="14"/>
  <c r="FS181" i="14"/>
  <c r="GB181" i="14"/>
  <c r="ED181" i="14"/>
  <c r="EL181" i="14"/>
  <c r="ET181" i="14"/>
  <c r="FD125" i="14"/>
  <c r="FK181" i="14"/>
  <c r="FT181" i="14"/>
  <c r="GC181" i="14"/>
  <c r="EE181" i="14"/>
  <c r="EM181" i="14"/>
  <c r="EU181" i="14"/>
  <c r="GI125" i="14"/>
  <c r="FF125" i="14"/>
  <c r="FC181" i="14"/>
  <c r="FL181" i="14"/>
  <c r="FU181" i="14"/>
  <c r="GD181" i="14"/>
  <c r="DX181" i="14"/>
  <c r="EF181" i="14"/>
  <c r="EN181" i="14"/>
  <c r="EV181" i="14"/>
  <c r="HG125" i="14"/>
  <c r="FL125" i="14"/>
  <c r="FD181" i="14"/>
  <c r="FM181" i="14"/>
  <c r="FV181" i="14"/>
  <c r="DY181" i="14"/>
  <c r="EG181" i="14"/>
  <c r="EO181" i="14"/>
  <c r="EW181" i="14"/>
  <c r="FN125" i="14"/>
  <c r="FE181" i="14"/>
  <c r="FN181" i="14"/>
  <c r="FX181" i="14"/>
  <c r="DZ181" i="14"/>
  <c r="EH181" i="14"/>
  <c r="EP181" i="14"/>
  <c r="EX181" i="14"/>
  <c r="FV125" i="14"/>
  <c r="FH181" i="14"/>
  <c r="FQ181" i="14"/>
  <c r="FZ181" i="14"/>
  <c r="EB181" i="14"/>
  <c r="EJ181" i="14"/>
  <c r="ER181" i="14"/>
  <c r="GB125" i="14"/>
  <c r="GA181" i="14"/>
  <c r="EK181" i="14"/>
  <c r="DZ125" i="14"/>
  <c r="EH125" i="14"/>
  <c r="EP125" i="14"/>
  <c r="EX125" i="14"/>
  <c r="EQ181" i="14"/>
  <c r="EA125" i="14"/>
  <c r="EI125" i="14"/>
  <c r="EQ125" i="14"/>
  <c r="EY125" i="14"/>
  <c r="CZ181" i="14"/>
  <c r="DH181" i="14"/>
  <c r="DP181" i="14"/>
  <c r="ES181" i="14"/>
  <c r="EB125" i="14"/>
  <c r="EJ125" i="14"/>
  <c r="ER125" i="14"/>
  <c r="FF181" i="14"/>
  <c r="EY181" i="14"/>
  <c r="EC125" i="14"/>
  <c r="EK125" i="14"/>
  <c r="ES125" i="14"/>
  <c r="CT181" i="14"/>
  <c r="DB181" i="14"/>
  <c r="DJ181" i="14"/>
  <c r="DR181" i="14"/>
  <c r="FI181" i="14"/>
  <c r="ED125" i="14"/>
  <c r="EL125" i="14"/>
  <c r="ET125" i="14"/>
  <c r="CU181" i="14"/>
  <c r="DC181" i="14"/>
  <c r="DK181" i="14"/>
  <c r="DS181" i="14"/>
  <c r="FR181" i="14"/>
  <c r="EC181" i="14"/>
  <c r="DX125" i="14"/>
  <c r="EF125" i="14"/>
  <c r="EN125" i="14"/>
  <c r="EV125" i="14"/>
  <c r="CW181" i="14"/>
  <c r="DE181" i="14"/>
  <c r="DM181" i="14"/>
  <c r="DY125" i="14"/>
  <c r="CY181" i="14"/>
  <c r="DO181" i="14"/>
  <c r="CY125" i="14"/>
  <c r="DG125" i="14"/>
  <c r="DO125" i="14"/>
  <c r="AC181" i="14"/>
  <c r="AK181" i="14"/>
  <c r="AS181" i="14"/>
  <c r="BA181" i="14"/>
  <c r="AC125" i="14"/>
  <c r="AK125" i="14"/>
  <c r="AS125" i="14"/>
  <c r="BA125" i="14"/>
  <c r="EE125" i="14"/>
  <c r="DA181" i="14"/>
  <c r="DQ181" i="14"/>
  <c r="CZ125" i="14"/>
  <c r="DH125" i="14"/>
  <c r="DP125" i="14"/>
  <c r="AD181" i="14"/>
  <c r="AL181" i="14"/>
  <c r="AT181" i="14"/>
  <c r="BB181" i="14"/>
  <c r="AD125" i="14"/>
  <c r="AL125" i="14"/>
  <c r="AT125" i="14"/>
  <c r="BB125" i="14"/>
  <c r="FT125" i="14"/>
  <c r="EG125" i="14"/>
  <c r="DD181" i="14"/>
  <c r="DT181" i="14"/>
  <c r="CS125" i="14"/>
  <c r="DA125" i="14"/>
  <c r="DI125" i="14"/>
  <c r="DQ125" i="14"/>
  <c r="AE181" i="14"/>
  <c r="AM181" i="14"/>
  <c r="AU181" i="14"/>
  <c r="AE125" i="14"/>
  <c r="AM125" i="14"/>
  <c r="AU125" i="14"/>
  <c r="FP181" i="14"/>
  <c r="EA181" i="14"/>
  <c r="EM125" i="14"/>
  <c r="DF181" i="14"/>
  <c r="CT125" i="14"/>
  <c r="DB125" i="14"/>
  <c r="DJ125" i="14"/>
  <c r="DR125" i="14"/>
  <c r="AF181" i="14"/>
  <c r="AN181" i="14"/>
  <c r="AV181" i="14"/>
  <c r="AF125" i="14"/>
  <c r="AN125" i="14"/>
  <c r="AV125" i="14"/>
  <c r="FY181" i="14"/>
  <c r="EI181" i="14"/>
  <c r="EO125" i="14"/>
  <c r="DG181" i="14"/>
  <c r="CU125" i="14"/>
  <c r="DC125" i="14"/>
  <c r="DK125" i="14"/>
  <c r="DS125" i="14"/>
  <c r="AG181" i="14"/>
  <c r="AO181" i="14"/>
  <c r="AW181" i="14"/>
  <c r="AG125" i="14"/>
  <c r="AO125" i="14"/>
  <c r="AW125" i="14"/>
  <c r="EW125" i="14"/>
  <c r="CV181" i="14"/>
  <c r="DL181" i="14"/>
  <c r="CW125" i="14"/>
  <c r="DE125" i="14"/>
  <c r="DM125" i="14"/>
  <c r="AA181" i="14"/>
  <c r="AI181" i="14"/>
  <c r="AQ181" i="14"/>
  <c r="AY181" i="14"/>
  <c r="AA125" i="14"/>
  <c r="AI125" i="14"/>
  <c r="AQ125" i="14"/>
  <c r="AY125" i="14"/>
  <c r="CX181" i="14"/>
  <c r="AJ181" i="14"/>
  <c r="AZ125" i="14"/>
  <c r="DI181" i="14"/>
  <c r="CV125" i="14"/>
  <c r="AP181" i="14"/>
  <c r="DN181" i="14"/>
  <c r="CX125" i="14"/>
  <c r="AR181" i="14"/>
  <c r="DD125" i="14"/>
  <c r="AX181" i="14"/>
  <c r="AH125" i="14"/>
  <c r="DN125" i="14"/>
  <c r="AB181" i="14"/>
  <c r="AR125" i="14"/>
  <c r="EU125" i="14"/>
  <c r="CS181" i="14"/>
  <c r="DT125" i="14"/>
  <c r="AH181" i="14"/>
  <c r="AX125" i="14"/>
  <c r="AB125" i="14"/>
  <c r="M177" i="6"/>
  <c r="U177" i="6"/>
  <c r="AC177" i="6"/>
  <c r="AJ125" i="14"/>
  <c r="N177" i="6"/>
  <c r="V177" i="6"/>
  <c r="AD177" i="6"/>
  <c r="DF125" i="14"/>
  <c r="AP125" i="14"/>
  <c r="O177" i="6"/>
  <c r="W177" i="6"/>
  <c r="AE177" i="6"/>
  <c r="DL125" i="14"/>
  <c r="P177" i="6"/>
  <c r="X177" i="6"/>
  <c r="AF177" i="6"/>
  <c r="K177" i="6"/>
  <c r="S177" i="6"/>
  <c r="AA177" i="6"/>
  <c r="AI177" i="6"/>
  <c r="L177" i="6"/>
  <c r="T177" i="6"/>
  <c r="AB177" i="6"/>
  <c r="AJ177" i="6"/>
  <c r="AZ181" i="14"/>
  <c r="Q177" i="6"/>
  <c r="R177" i="6"/>
  <c r="AH177" i="6"/>
  <c r="Y177" i="6"/>
  <c r="Z177" i="6"/>
  <c r="J177" i="6"/>
  <c r="AG177" i="6"/>
  <c r="I177" i="6"/>
  <c r="BS125" i="14"/>
  <c r="CA125" i="14"/>
  <c r="CI125" i="14"/>
  <c r="BO181" i="14"/>
  <c r="BW181" i="14"/>
  <c r="CE181" i="14"/>
  <c r="CM181" i="14"/>
  <c r="BV181" i="14"/>
  <c r="BT125" i="14"/>
  <c r="CB125" i="14"/>
  <c r="CJ125" i="14"/>
  <c r="BP181" i="14"/>
  <c r="BX181" i="14"/>
  <c r="CF181" i="14"/>
  <c r="CN181" i="14"/>
  <c r="BP125" i="14"/>
  <c r="BN181" i="14"/>
  <c r="BU125" i="14"/>
  <c r="CC125" i="14"/>
  <c r="CK125" i="14"/>
  <c r="BQ181" i="14"/>
  <c r="BY181" i="14"/>
  <c r="CG181" i="14"/>
  <c r="CO181" i="14"/>
  <c r="CN125" i="14"/>
  <c r="CJ181" i="14"/>
  <c r="CD181" i="14"/>
  <c r="BN125" i="14"/>
  <c r="BV125" i="14"/>
  <c r="CD125" i="14"/>
  <c r="CL125" i="14"/>
  <c r="BR181" i="14"/>
  <c r="BZ181" i="14"/>
  <c r="CH181" i="14"/>
  <c r="BX125" i="14"/>
  <c r="BT181" i="14"/>
  <c r="BO125" i="14"/>
  <c r="BW125" i="14"/>
  <c r="CE125" i="14"/>
  <c r="CM125" i="14"/>
  <c r="BS181" i="14"/>
  <c r="CA181" i="14"/>
  <c r="CI181" i="14"/>
  <c r="CF125" i="14"/>
  <c r="CB181" i="14"/>
  <c r="CL181" i="14"/>
  <c r="BQ125" i="14"/>
  <c r="BY125" i="14"/>
  <c r="CG125" i="14"/>
  <c r="CO125" i="14"/>
  <c r="BU181" i="14"/>
  <c r="CC181" i="14"/>
  <c r="CK181" i="14"/>
  <c r="BR125" i="14"/>
  <c r="BZ125" i="14"/>
  <c r="CH125" i="14"/>
  <c r="BS149" i="17"/>
  <c r="CA149" i="17"/>
  <c r="CI149" i="17"/>
  <c r="BM149" i="17"/>
  <c r="BU149" i="17"/>
  <c r="CC149" i="17"/>
  <c r="CK149" i="17"/>
  <c r="BN149" i="17"/>
  <c r="BV149" i="17"/>
  <c r="CD149" i="17"/>
  <c r="CL149" i="17"/>
  <c r="BO149" i="17"/>
  <c r="BW149" i="17"/>
  <c r="CE149" i="17"/>
  <c r="CM149" i="17"/>
  <c r="BP149" i="17"/>
  <c r="BX149" i="17"/>
  <c r="CF149" i="17"/>
  <c r="CN149" i="17"/>
  <c r="BQ149" i="17"/>
  <c r="BY149" i="17"/>
  <c r="CG149" i="17"/>
  <c r="CH149" i="17"/>
  <c r="AJ205" i="17"/>
  <c r="AR205" i="17"/>
  <c r="AZ205" i="17"/>
  <c r="BH205" i="17"/>
  <c r="CJ149" i="17"/>
  <c r="AK205" i="17"/>
  <c r="AS205" i="17"/>
  <c r="BA205" i="17"/>
  <c r="AL205" i="17"/>
  <c r="AT205" i="17"/>
  <c r="BB205" i="17"/>
  <c r="AM205" i="17"/>
  <c r="AU205" i="17"/>
  <c r="BC205" i="17"/>
  <c r="BR149" i="17"/>
  <c r="BT149" i="17"/>
  <c r="AG205" i="17"/>
  <c r="AO205" i="17"/>
  <c r="AW205" i="17"/>
  <c r="BE205" i="17"/>
  <c r="BZ149" i="17"/>
  <c r="AH205" i="17"/>
  <c r="AP205" i="17"/>
  <c r="AX205" i="17"/>
  <c r="BF205" i="17"/>
  <c r="AY205" i="17"/>
  <c r="BD205" i="17"/>
  <c r="CB149" i="17"/>
  <c r="BG205" i="17"/>
  <c r="AI205" i="17"/>
  <c r="AN205" i="17"/>
  <c r="AQ205" i="17"/>
  <c r="AM149" i="17"/>
  <c r="AU149" i="17"/>
  <c r="BC149" i="17"/>
  <c r="D205" i="17"/>
  <c r="L205" i="17"/>
  <c r="AN149" i="17"/>
  <c r="AV149" i="17"/>
  <c r="BD149" i="17"/>
  <c r="E205" i="17"/>
  <c r="M205" i="17"/>
  <c r="U205" i="17"/>
  <c r="AC205" i="17"/>
  <c r="AV205" i="17"/>
  <c r="AG149" i="17"/>
  <c r="AO149" i="17"/>
  <c r="AW149" i="17"/>
  <c r="BE149" i="17"/>
  <c r="F205" i="17"/>
  <c r="N205" i="17"/>
  <c r="V205" i="17"/>
  <c r="AH149" i="17"/>
  <c r="AP149" i="17"/>
  <c r="AX149" i="17"/>
  <c r="BF149" i="17"/>
  <c r="G205" i="17"/>
  <c r="O205" i="17"/>
  <c r="W205" i="17"/>
  <c r="AI149" i="17"/>
  <c r="AQ149" i="17"/>
  <c r="AY149" i="17"/>
  <c r="BG149" i="17"/>
  <c r="H205" i="17"/>
  <c r="P205" i="17"/>
  <c r="X205" i="17"/>
  <c r="AJ149" i="17"/>
  <c r="AR149" i="17"/>
  <c r="AZ149" i="17"/>
  <c r="BH149" i="17"/>
  <c r="I205" i="17"/>
  <c r="Q205" i="17"/>
  <c r="Y205" i="17"/>
  <c r="AK149" i="17"/>
  <c r="AS149" i="17"/>
  <c r="BA149" i="17"/>
  <c r="R205" i="17"/>
  <c r="E149" i="17"/>
  <c r="M149" i="17"/>
  <c r="U149" i="17"/>
  <c r="AC149" i="17"/>
  <c r="S205" i="17"/>
  <c r="F149" i="17"/>
  <c r="N149" i="17"/>
  <c r="V149" i="17"/>
  <c r="GM151" i="14"/>
  <c r="GU151" i="14"/>
  <c r="HC151" i="14"/>
  <c r="AL149" i="17"/>
  <c r="T205" i="17"/>
  <c r="G149" i="17"/>
  <c r="O149" i="17"/>
  <c r="W149" i="17"/>
  <c r="GN151" i="14"/>
  <c r="GV151" i="14"/>
  <c r="HD151" i="14"/>
  <c r="AT149" i="17"/>
  <c r="Z205" i="17"/>
  <c r="H149" i="17"/>
  <c r="P149" i="17"/>
  <c r="X149" i="17"/>
  <c r="GO151" i="14"/>
  <c r="GW151" i="14"/>
  <c r="HE151" i="14"/>
  <c r="BB149" i="17"/>
  <c r="B205" i="17"/>
  <c r="AA205" i="17"/>
  <c r="I149" i="17"/>
  <c r="Q149" i="17"/>
  <c r="Y149" i="17"/>
  <c r="GP151" i="14"/>
  <c r="GX151" i="14"/>
  <c r="HF151" i="14"/>
  <c r="J205" i="17"/>
  <c r="C149" i="17"/>
  <c r="K149" i="17"/>
  <c r="S149" i="17"/>
  <c r="AA149" i="17"/>
  <c r="GJ151" i="14"/>
  <c r="GR151" i="14"/>
  <c r="GZ151" i="14"/>
  <c r="HH151" i="14"/>
  <c r="D149" i="17"/>
  <c r="GL151" i="14"/>
  <c r="HI151" i="14"/>
  <c r="FG151" i="14"/>
  <c r="FO151" i="14"/>
  <c r="FW151" i="14"/>
  <c r="J149" i="17"/>
  <c r="GQ151" i="14"/>
  <c r="HJ151" i="14"/>
  <c r="FH151" i="14"/>
  <c r="FP151" i="14"/>
  <c r="FX151" i="14"/>
  <c r="L149" i="17"/>
  <c r="GS151" i="14"/>
  <c r="FI151" i="14"/>
  <c r="FQ151" i="14"/>
  <c r="FY151" i="14"/>
  <c r="R149" i="17"/>
  <c r="GT151" i="14"/>
  <c r="FJ151" i="14"/>
  <c r="FR151" i="14"/>
  <c r="FZ151" i="14"/>
  <c r="T149" i="17"/>
  <c r="GY151" i="14"/>
  <c r="FC151" i="14"/>
  <c r="FK151" i="14"/>
  <c r="FS151" i="14"/>
  <c r="GA151" i="14"/>
  <c r="K205" i="17"/>
  <c r="AB149" i="17"/>
  <c r="GI151" i="14"/>
  <c r="HB151" i="14"/>
  <c r="FE151" i="14"/>
  <c r="FM151" i="14"/>
  <c r="FU151" i="14"/>
  <c r="GC151" i="14"/>
  <c r="AB205" i="17"/>
  <c r="HG151" i="14"/>
  <c r="FF151" i="14"/>
  <c r="FE207" i="14"/>
  <c r="FM207" i="14"/>
  <c r="FU207" i="14"/>
  <c r="GC207" i="14"/>
  <c r="FL151" i="14"/>
  <c r="FF207" i="14"/>
  <c r="FN207" i="14"/>
  <c r="FV207" i="14"/>
  <c r="GD207" i="14"/>
  <c r="FN151" i="14"/>
  <c r="FG207" i="14"/>
  <c r="FO207" i="14"/>
  <c r="FW207" i="14"/>
  <c r="FT151" i="14"/>
  <c r="FH207" i="14"/>
  <c r="FP207" i="14"/>
  <c r="FX207" i="14"/>
  <c r="FV151" i="14"/>
  <c r="FI207" i="14"/>
  <c r="FQ207" i="14"/>
  <c r="FY207" i="14"/>
  <c r="B149" i="17"/>
  <c r="GK151" i="14"/>
  <c r="GD151" i="14"/>
  <c r="FC207" i="14"/>
  <c r="FK207" i="14"/>
  <c r="FS207" i="14"/>
  <c r="GA207" i="14"/>
  <c r="Z149" i="17"/>
  <c r="HA151" i="14"/>
  <c r="FL207" i="14"/>
  <c r="ED207" i="14"/>
  <c r="EL207" i="14"/>
  <c r="ET207" i="14"/>
  <c r="DZ151" i="14"/>
  <c r="EH151" i="14"/>
  <c r="EP151" i="14"/>
  <c r="EX151" i="14"/>
  <c r="FR207" i="14"/>
  <c r="EE207" i="14"/>
  <c r="EM207" i="14"/>
  <c r="EU207" i="14"/>
  <c r="EA151" i="14"/>
  <c r="EI151" i="14"/>
  <c r="EQ151" i="14"/>
  <c r="EY151" i="14"/>
  <c r="C205" i="17"/>
  <c r="FT207" i="14"/>
  <c r="DX207" i="14"/>
  <c r="EF207" i="14"/>
  <c r="EN207" i="14"/>
  <c r="EV207" i="14"/>
  <c r="EB151" i="14"/>
  <c r="EJ151" i="14"/>
  <c r="ER151" i="14"/>
  <c r="FZ207" i="14"/>
  <c r="DY207" i="14"/>
  <c r="EG207" i="14"/>
  <c r="EO207" i="14"/>
  <c r="EW207" i="14"/>
  <c r="EC151" i="14"/>
  <c r="EK151" i="14"/>
  <c r="ES151" i="14"/>
  <c r="FD151" i="14"/>
  <c r="GB207" i="14"/>
  <c r="DZ207" i="14"/>
  <c r="EH207" i="14"/>
  <c r="EP207" i="14"/>
  <c r="EX207" i="14"/>
  <c r="ED151" i="14"/>
  <c r="EL151" i="14"/>
  <c r="ET151" i="14"/>
  <c r="FD207" i="14"/>
  <c r="EB207" i="14"/>
  <c r="EJ207" i="14"/>
  <c r="ER207" i="14"/>
  <c r="DX151" i="14"/>
  <c r="EF151" i="14"/>
  <c r="EN151" i="14"/>
  <c r="EV151" i="14"/>
  <c r="FJ207" i="14"/>
  <c r="EG151" i="14"/>
  <c r="CZ207" i="14"/>
  <c r="DH207" i="14"/>
  <c r="DP207" i="14"/>
  <c r="CY151" i="14"/>
  <c r="DG151" i="14"/>
  <c r="DO151" i="14"/>
  <c r="AC207" i="14"/>
  <c r="AK207" i="14"/>
  <c r="AS207" i="14"/>
  <c r="BA207" i="14"/>
  <c r="EA207" i="14"/>
  <c r="EM151" i="14"/>
  <c r="CS207" i="14"/>
  <c r="DA207" i="14"/>
  <c r="DI207" i="14"/>
  <c r="DQ207" i="14"/>
  <c r="CZ151" i="14"/>
  <c r="DH151" i="14"/>
  <c r="DP151" i="14"/>
  <c r="AD207" i="14"/>
  <c r="AL207" i="14"/>
  <c r="AT207" i="14"/>
  <c r="BB207" i="14"/>
  <c r="EC207" i="14"/>
  <c r="EO151" i="14"/>
  <c r="CT207" i="14"/>
  <c r="DB207" i="14"/>
  <c r="DJ207" i="14"/>
  <c r="DR207" i="14"/>
  <c r="CS151" i="14"/>
  <c r="DA151" i="14"/>
  <c r="DI151" i="14"/>
  <c r="DQ151" i="14"/>
  <c r="AE207" i="14"/>
  <c r="AM207" i="14"/>
  <c r="AU207" i="14"/>
  <c r="EI207" i="14"/>
  <c r="EU151" i="14"/>
  <c r="CU207" i="14"/>
  <c r="DC207" i="14"/>
  <c r="DK207" i="14"/>
  <c r="DS207" i="14"/>
  <c r="CT151" i="14"/>
  <c r="DB151" i="14"/>
  <c r="DJ151" i="14"/>
  <c r="DR151" i="14"/>
  <c r="AF207" i="14"/>
  <c r="AN207" i="14"/>
  <c r="AV207" i="14"/>
  <c r="EK207" i="14"/>
  <c r="EW151" i="14"/>
  <c r="CV207" i="14"/>
  <c r="DD207" i="14"/>
  <c r="DL207" i="14"/>
  <c r="DT207" i="14"/>
  <c r="CU151" i="14"/>
  <c r="DC151" i="14"/>
  <c r="DK151" i="14"/>
  <c r="DS151" i="14"/>
  <c r="AG207" i="14"/>
  <c r="AO207" i="14"/>
  <c r="AW207" i="14"/>
  <c r="ES207" i="14"/>
  <c r="DY151" i="14"/>
  <c r="CX207" i="14"/>
  <c r="DF207" i="14"/>
  <c r="DN207" i="14"/>
  <c r="CW151" i="14"/>
  <c r="DE151" i="14"/>
  <c r="DM151" i="14"/>
  <c r="AA207" i="14"/>
  <c r="AI207" i="14"/>
  <c r="AQ207" i="14"/>
  <c r="AY207" i="14"/>
  <c r="CX151" i="14"/>
  <c r="AR207" i="14"/>
  <c r="CW207" i="14"/>
  <c r="DD151" i="14"/>
  <c r="AX207" i="14"/>
  <c r="CY207" i="14"/>
  <c r="DF151" i="14"/>
  <c r="AZ207" i="14"/>
  <c r="EQ207" i="14"/>
  <c r="DE207" i="14"/>
  <c r="DL151" i="14"/>
  <c r="DO207" i="14"/>
  <c r="AJ207" i="14"/>
  <c r="CV151" i="14"/>
  <c r="AP207" i="14"/>
  <c r="EE151" i="14"/>
  <c r="DG207" i="14"/>
  <c r="DN151" i="14"/>
  <c r="AB207" i="14"/>
  <c r="AB151" i="14"/>
  <c r="AJ151" i="14"/>
  <c r="AR151" i="14"/>
  <c r="AZ151" i="14"/>
  <c r="M203" i="6"/>
  <c r="U203" i="6"/>
  <c r="AC203" i="6"/>
  <c r="DM207" i="14"/>
  <c r="DT151" i="14"/>
  <c r="AH207" i="14"/>
  <c r="AC151" i="14"/>
  <c r="AK151" i="14"/>
  <c r="AS151" i="14"/>
  <c r="BA151" i="14"/>
  <c r="N203" i="6"/>
  <c r="V203" i="6"/>
  <c r="AD203" i="6"/>
  <c r="EY207" i="14"/>
  <c r="AD151" i="14"/>
  <c r="AL151" i="14"/>
  <c r="AT151" i="14"/>
  <c r="BB151" i="14"/>
  <c r="O203" i="6"/>
  <c r="W203" i="6"/>
  <c r="AE203" i="6"/>
  <c r="AE151" i="14"/>
  <c r="AM151" i="14"/>
  <c r="AU151" i="14"/>
  <c r="P203" i="6"/>
  <c r="X203" i="6"/>
  <c r="AF203" i="6"/>
  <c r="AH151" i="14"/>
  <c r="AP151" i="14"/>
  <c r="AX151" i="14"/>
  <c r="K203" i="6"/>
  <c r="S203" i="6"/>
  <c r="AA203" i="6"/>
  <c r="AI203" i="6"/>
  <c r="GB151" i="14"/>
  <c r="AA151" i="14"/>
  <c r="AI151" i="14"/>
  <c r="AQ151" i="14"/>
  <c r="AY151" i="14"/>
  <c r="L203" i="6"/>
  <c r="T203" i="6"/>
  <c r="AB203" i="6"/>
  <c r="AJ203" i="6"/>
  <c r="Y203" i="6"/>
  <c r="Z203" i="6"/>
  <c r="J203" i="6"/>
  <c r="R203" i="6"/>
  <c r="AF151" i="14"/>
  <c r="AG203" i="6"/>
  <c r="AO151" i="14"/>
  <c r="AG151" i="14"/>
  <c r="AH203" i="6"/>
  <c r="AN151" i="14"/>
  <c r="I203" i="6"/>
  <c r="I100" i="2" s="1"/>
  <c r="AV151" i="14"/>
  <c r="Q203" i="6"/>
  <c r="AW151" i="14"/>
  <c r="BS151" i="14"/>
  <c r="CA151" i="14"/>
  <c r="CI151" i="14"/>
  <c r="BO207" i="14"/>
  <c r="BW207" i="14"/>
  <c r="CE207" i="14"/>
  <c r="CM207" i="14"/>
  <c r="BV207" i="14"/>
  <c r="BT151" i="14"/>
  <c r="CB151" i="14"/>
  <c r="CJ151" i="14"/>
  <c r="BP207" i="14"/>
  <c r="BX207" i="14"/>
  <c r="CF207" i="14"/>
  <c r="CN207" i="14"/>
  <c r="CF151" i="14"/>
  <c r="BT207" i="14"/>
  <c r="BN207" i="14"/>
  <c r="BU151" i="14"/>
  <c r="CC151" i="14"/>
  <c r="CK151" i="14"/>
  <c r="BQ207" i="14"/>
  <c r="BY207" i="14"/>
  <c r="CG207" i="14"/>
  <c r="CO207" i="14"/>
  <c r="BP151" i="14"/>
  <c r="CJ207" i="14"/>
  <c r="BN151" i="14"/>
  <c r="BV151" i="14"/>
  <c r="CD151" i="14"/>
  <c r="CL151" i="14"/>
  <c r="BR207" i="14"/>
  <c r="BZ207" i="14"/>
  <c r="CH207" i="14"/>
  <c r="BX151" i="14"/>
  <c r="CB207" i="14"/>
  <c r="CL207" i="14"/>
  <c r="BO151" i="14"/>
  <c r="BW151" i="14"/>
  <c r="CE151" i="14"/>
  <c r="CM151" i="14"/>
  <c r="BS207" i="14"/>
  <c r="CA207" i="14"/>
  <c r="CI207" i="14"/>
  <c r="CN151" i="14"/>
  <c r="BQ151" i="14"/>
  <c r="BY151" i="14"/>
  <c r="CG151" i="14"/>
  <c r="CO151" i="14"/>
  <c r="BU207" i="14"/>
  <c r="CC207" i="14"/>
  <c r="CK207" i="14"/>
  <c r="BR151" i="14"/>
  <c r="BZ151" i="14"/>
  <c r="CH151" i="14"/>
  <c r="CD207" i="14"/>
  <c r="BO132" i="17"/>
  <c r="BW132" i="17"/>
  <c r="CE132" i="17"/>
  <c r="CM132" i="17"/>
  <c r="BP132" i="17"/>
  <c r="BX132" i="17"/>
  <c r="CF132" i="17"/>
  <c r="CN132" i="17"/>
  <c r="BQ132" i="17"/>
  <c r="BY132" i="17"/>
  <c r="CG132" i="17"/>
  <c r="BR132" i="17"/>
  <c r="BZ132" i="17"/>
  <c r="CH132" i="17"/>
  <c r="BT132" i="17"/>
  <c r="CB132" i="17"/>
  <c r="CJ132" i="17"/>
  <c r="BM132" i="17"/>
  <c r="BU132" i="17"/>
  <c r="CC132" i="17"/>
  <c r="CK132" i="17"/>
  <c r="BN132" i="17"/>
  <c r="BV132" i="17"/>
  <c r="CD132" i="17"/>
  <c r="CL132" i="17"/>
  <c r="BS132" i="17"/>
  <c r="CA132" i="17"/>
  <c r="CI132" i="17"/>
  <c r="AN188" i="17"/>
  <c r="AV188" i="17"/>
  <c r="BD188" i="17"/>
  <c r="AG188" i="17"/>
  <c r="AO188" i="17"/>
  <c r="AW188" i="17"/>
  <c r="BE188" i="17"/>
  <c r="AH188" i="17"/>
  <c r="AP188" i="17"/>
  <c r="AX188" i="17"/>
  <c r="BF188" i="17"/>
  <c r="AI188" i="17"/>
  <c r="AQ188" i="17"/>
  <c r="AY188" i="17"/>
  <c r="BG188" i="17"/>
  <c r="AK188" i="17"/>
  <c r="AS188" i="17"/>
  <c r="BA188" i="17"/>
  <c r="AL188" i="17"/>
  <c r="AT188" i="17"/>
  <c r="BB188" i="17"/>
  <c r="AU188" i="17"/>
  <c r="AL132" i="17"/>
  <c r="AT132" i="17"/>
  <c r="BB132" i="17"/>
  <c r="AZ188" i="17"/>
  <c r="AM132" i="17"/>
  <c r="AU132" i="17"/>
  <c r="BC132" i="17"/>
  <c r="BC188" i="17"/>
  <c r="AN132" i="17"/>
  <c r="AV132" i="17"/>
  <c r="BD132" i="17"/>
  <c r="BH188" i="17"/>
  <c r="AG132" i="17"/>
  <c r="AO132" i="17"/>
  <c r="AW132" i="17"/>
  <c r="BE132" i="17"/>
  <c r="AH132" i="17"/>
  <c r="AP132" i="17"/>
  <c r="AX132" i="17"/>
  <c r="BF132" i="17"/>
  <c r="AJ188" i="17"/>
  <c r="AI132" i="17"/>
  <c r="AQ132" i="17"/>
  <c r="AY132" i="17"/>
  <c r="BG132" i="17"/>
  <c r="AM188" i="17"/>
  <c r="AJ132" i="17"/>
  <c r="AR132" i="17"/>
  <c r="AZ132" i="17"/>
  <c r="BH132" i="17"/>
  <c r="H188" i="17"/>
  <c r="P188" i="17"/>
  <c r="X188" i="17"/>
  <c r="I188" i="17"/>
  <c r="Q188" i="17"/>
  <c r="Y188" i="17"/>
  <c r="B188" i="17"/>
  <c r="J188" i="17"/>
  <c r="R188" i="17"/>
  <c r="Z188" i="17"/>
  <c r="AR188" i="17"/>
  <c r="AK132" i="17"/>
  <c r="C188" i="17"/>
  <c r="K188" i="17"/>
  <c r="S188" i="17"/>
  <c r="AA188" i="17"/>
  <c r="AS132" i="17"/>
  <c r="D188" i="17"/>
  <c r="L188" i="17"/>
  <c r="T188" i="17"/>
  <c r="AB188" i="17"/>
  <c r="BA132" i="17"/>
  <c r="E188" i="17"/>
  <c r="M188" i="17"/>
  <c r="U188" i="17"/>
  <c r="AC188" i="17"/>
  <c r="F188" i="17"/>
  <c r="N188" i="17"/>
  <c r="V188" i="17"/>
  <c r="I132" i="17"/>
  <c r="Q132" i="17"/>
  <c r="Y132" i="17"/>
  <c r="GP134" i="14"/>
  <c r="GX134" i="14"/>
  <c r="HF134" i="14"/>
  <c r="G188" i="17"/>
  <c r="B132" i="17"/>
  <c r="J132" i="17"/>
  <c r="R132" i="17"/>
  <c r="Z132" i="17"/>
  <c r="GI134" i="14"/>
  <c r="GQ134" i="14"/>
  <c r="GY134" i="14"/>
  <c r="HG134" i="14"/>
  <c r="O188" i="17"/>
  <c r="C132" i="17"/>
  <c r="K132" i="17"/>
  <c r="S132" i="17"/>
  <c r="AA132" i="17"/>
  <c r="GJ134" i="14"/>
  <c r="GR134" i="14"/>
  <c r="GZ134" i="14"/>
  <c r="HH134" i="14"/>
  <c r="W188" i="17"/>
  <c r="D132" i="17"/>
  <c r="L132" i="17"/>
  <c r="T132" i="17"/>
  <c r="AB132" i="17"/>
  <c r="GK134" i="14"/>
  <c r="GS134" i="14"/>
  <c r="HA134" i="14"/>
  <c r="HI134" i="14"/>
  <c r="E132" i="17"/>
  <c r="M132" i="17"/>
  <c r="U132" i="17"/>
  <c r="AC132" i="17"/>
  <c r="GL134" i="14"/>
  <c r="GT134" i="14"/>
  <c r="HB134" i="14"/>
  <c r="HJ134" i="14"/>
  <c r="G132" i="17"/>
  <c r="O132" i="17"/>
  <c r="W132" i="17"/>
  <c r="GN134" i="14"/>
  <c r="GV134" i="14"/>
  <c r="HD134" i="14"/>
  <c r="GO134" i="14"/>
  <c r="FC134" i="14"/>
  <c r="FK134" i="14"/>
  <c r="FS134" i="14"/>
  <c r="GA134" i="14"/>
  <c r="F132" i="17"/>
  <c r="GU134" i="14"/>
  <c r="FD134" i="14"/>
  <c r="FL134" i="14"/>
  <c r="FT134" i="14"/>
  <c r="GB134" i="14"/>
  <c r="H132" i="17"/>
  <c r="GW134" i="14"/>
  <c r="FE134" i="14"/>
  <c r="FM134" i="14"/>
  <c r="FU134" i="14"/>
  <c r="GC134" i="14"/>
  <c r="N132" i="17"/>
  <c r="HC134" i="14"/>
  <c r="FF134" i="14"/>
  <c r="FN134" i="14"/>
  <c r="FV134" i="14"/>
  <c r="GD134" i="14"/>
  <c r="P132" i="17"/>
  <c r="HE134" i="14"/>
  <c r="FG134" i="14"/>
  <c r="FO134" i="14"/>
  <c r="FW134" i="14"/>
  <c r="X132" i="17"/>
  <c r="FI134" i="14"/>
  <c r="FQ134" i="14"/>
  <c r="FY134" i="14"/>
  <c r="FI190" i="14"/>
  <c r="FQ190" i="14"/>
  <c r="FY190" i="14"/>
  <c r="DZ190" i="14"/>
  <c r="EH190" i="14"/>
  <c r="EP190" i="14"/>
  <c r="EX190" i="14"/>
  <c r="V132" i="17"/>
  <c r="FH134" i="14"/>
  <c r="FJ190" i="14"/>
  <c r="FR190" i="14"/>
  <c r="FZ190" i="14"/>
  <c r="EA190" i="14"/>
  <c r="EI190" i="14"/>
  <c r="EQ190" i="14"/>
  <c r="EY190" i="14"/>
  <c r="GM134" i="14"/>
  <c r="FJ134" i="14"/>
  <c r="FC190" i="14"/>
  <c r="FK190" i="14"/>
  <c r="FS190" i="14"/>
  <c r="GA190" i="14"/>
  <c r="EB190" i="14"/>
  <c r="EJ190" i="14"/>
  <c r="ER190" i="14"/>
  <c r="FP134" i="14"/>
  <c r="FD190" i="14"/>
  <c r="FL190" i="14"/>
  <c r="FT190" i="14"/>
  <c r="GB190" i="14"/>
  <c r="EC190" i="14"/>
  <c r="EK190" i="14"/>
  <c r="ES190" i="14"/>
  <c r="FR134" i="14"/>
  <c r="FE190" i="14"/>
  <c r="FM190" i="14"/>
  <c r="FU190" i="14"/>
  <c r="GC190" i="14"/>
  <c r="ED190" i="14"/>
  <c r="EL190" i="14"/>
  <c r="ET190" i="14"/>
  <c r="FZ134" i="14"/>
  <c r="FG190" i="14"/>
  <c r="FO190" i="14"/>
  <c r="FW190" i="14"/>
  <c r="DX190" i="14"/>
  <c r="EF190" i="14"/>
  <c r="EN190" i="14"/>
  <c r="EV190" i="14"/>
  <c r="FH190" i="14"/>
  <c r="EO190" i="14"/>
  <c r="ED134" i="14"/>
  <c r="EL134" i="14"/>
  <c r="ET134" i="14"/>
  <c r="FN190" i="14"/>
  <c r="EU190" i="14"/>
  <c r="EE134" i="14"/>
  <c r="EM134" i="14"/>
  <c r="EU134" i="14"/>
  <c r="FP190" i="14"/>
  <c r="EW190" i="14"/>
  <c r="DX134" i="14"/>
  <c r="EF134" i="14"/>
  <c r="EN134" i="14"/>
  <c r="EV134" i="14"/>
  <c r="FV190" i="14"/>
  <c r="DY134" i="14"/>
  <c r="EG134" i="14"/>
  <c r="EO134" i="14"/>
  <c r="EW134" i="14"/>
  <c r="FX190" i="14"/>
  <c r="DY190" i="14"/>
  <c r="DZ134" i="14"/>
  <c r="EH134" i="14"/>
  <c r="EP134" i="14"/>
  <c r="EX134" i="14"/>
  <c r="EG190" i="14"/>
  <c r="EB134" i="14"/>
  <c r="EJ134" i="14"/>
  <c r="ER134" i="14"/>
  <c r="EC134" i="14"/>
  <c r="CV190" i="14"/>
  <c r="DD190" i="14"/>
  <c r="DL190" i="14"/>
  <c r="DT190" i="14"/>
  <c r="CU134" i="14"/>
  <c r="DC134" i="14"/>
  <c r="DK134" i="14"/>
  <c r="DS134" i="14"/>
  <c r="AG190" i="14"/>
  <c r="AO190" i="14"/>
  <c r="AW190" i="14"/>
  <c r="EI134" i="14"/>
  <c r="CW190" i="14"/>
  <c r="DE190" i="14"/>
  <c r="DM190" i="14"/>
  <c r="CV134" i="14"/>
  <c r="DD134" i="14"/>
  <c r="DL134" i="14"/>
  <c r="DT134" i="14"/>
  <c r="AH190" i="14"/>
  <c r="AP190" i="14"/>
  <c r="AX190" i="14"/>
  <c r="AH134" i="14"/>
  <c r="AP134" i="14"/>
  <c r="AX134" i="14"/>
  <c r="FF190" i="14"/>
  <c r="EK134" i="14"/>
  <c r="CX190" i="14"/>
  <c r="DF190" i="14"/>
  <c r="DN190" i="14"/>
  <c r="CW134" i="14"/>
  <c r="DE134" i="14"/>
  <c r="DM134" i="14"/>
  <c r="AA190" i="14"/>
  <c r="AI190" i="14"/>
  <c r="AQ190" i="14"/>
  <c r="AY190" i="14"/>
  <c r="AA134" i="14"/>
  <c r="AI134" i="14"/>
  <c r="AQ134" i="14"/>
  <c r="AY134" i="14"/>
  <c r="GD190" i="14"/>
  <c r="EE190" i="14"/>
  <c r="EQ134" i="14"/>
  <c r="CY190" i="14"/>
  <c r="DG190" i="14"/>
  <c r="DO190" i="14"/>
  <c r="CX134" i="14"/>
  <c r="DF134" i="14"/>
  <c r="DN134" i="14"/>
  <c r="AB190" i="14"/>
  <c r="AJ190" i="14"/>
  <c r="AR190" i="14"/>
  <c r="AZ190" i="14"/>
  <c r="AB134" i="14"/>
  <c r="AJ134" i="14"/>
  <c r="AR134" i="14"/>
  <c r="AZ134" i="14"/>
  <c r="EM190" i="14"/>
  <c r="ES134" i="14"/>
  <c r="CZ190" i="14"/>
  <c r="DH190" i="14"/>
  <c r="DP190" i="14"/>
  <c r="CY134" i="14"/>
  <c r="DG134" i="14"/>
  <c r="DO134" i="14"/>
  <c r="AC190" i="14"/>
  <c r="AK190" i="14"/>
  <c r="AS190" i="14"/>
  <c r="BA190" i="14"/>
  <c r="AC134" i="14"/>
  <c r="AK134" i="14"/>
  <c r="AS134" i="14"/>
  <c r="BA134" i="14"/>
  <c r="FX134" i="14"/>
  <c r="CT190" i="14"/>
  <c r="DB190" i="14"/>
  <c r="DJ190" i="14"/>
  <c r="DR190" i="14"/>
  <c r="CS134" i="14"/>
  <c r="DA134" i="14"/>
  <c r="DI134" i="14"/>
  <c r="DQ134" i="14"/>
  <c r="AE190" i="14"/>
  <c r="AM190" i="14"/>
  <c r="AU190" i="14"/>
  <c r="AE134" i="14"/>
  <c r="AM134" i="14"/>
  <c r="AU134" i="14"/>
  <c r="DS190" i="14"/>
  <c r="CT134" i="14"/>
  <c r="AN190" i="14"/>
  <c r="AG134" i="14"/>
  <c r="CS190" i="14"/>
  <c r="CZ134" i="14"/>
  <c r="AT190" i="14"/>
  <c r="CU190" i="14"/>
  <c r="DB134" i="14"/>
  <c r="AV190" i="14"/>
  <c r="DA190" i="14"/>
  <c r="DH134" i="14"/>
  <c r="BB190" i="14"/>
  <c r="AO134" i="14"/>
  <c r="EA134" i="14"/>
  <c r="DK190" i="14"/>
  <c r="DR134" i="14"/>
  <c r="AF190" i="14"/>
  <c r="EY134" i="14"/>
  <c r="DQ190" i="14"/>
  <c r="AL190" i="14"/>
  <c r="AF134" i="14"/>
  <c r="BB134" i="14"/>
  <c r="AN134" i="14"/>
  <c r="I186" i="6"/>
  <c r="I83" i="2" s="1"/>
  <c r="Q186" i="6"/>
  <c r="Y186" i="6"/>
  <c r="AG186" i="6"/>
  <c r="AT134" i="14"/>
  <c r="J186" i="6"/>
  <c r="R186" i="6"/>
  <c r="Z186" i="6"/>
  <c r="AH186" i="6"/>
  <c r="DC190" i="14"/>
  <c r="DJ134" i="14"/>
  <c r="AV134" i="14"/>
  <c r="K186" i="6"/>
  <c r="S186" i="6"/>
  <c r="AA186" i="6"/>
  <c r="AI186" i="6"/>
  <c r="DI190" i="14"/>
  <c r="DP134" i="14"/>
  <c r="AD190" i="14"/>
  <c r="AW134" i="14"/>
  <c r="L186" i="6"/>
  <c r="T186" i="6"/>
  <c r="AB186" i="6"/>
  <c r="AJ186" i="6"/>
  <c r="AD134" i="14"/>
  <c r="O186" i="6"/>
  <c r="W186" i="6"/>
  <c r="AE186" i="6"/>
  <c r="AL134" i="14"/>
  <c r="P186" i="6"/>
  <c r="X186" i="6"/>
  <c r="AF186" i="6"/>
  <c r="U186" i="6"/>
  <c r="V186" i="6"/>
  <c r="AC186" i="6"/>
  <c r="AD186" i="6"/>
  <c r="N186" i="6"/>
  <c r="M186" i="6"/>
  <c r="BO134" i="14"/>
  <c r="BW134" i="14"/>
  <c r="CE134" i="14"/>
  <c r="CM134" i="14"/>
  <c r="BS190" i="14"/>
  <c r="CA190" i="14"/>
  <c r="CI190" i="14"/>
  <c r="CH190" i="14"/>
  <c r="BP134" i="14"/>
  <c r="BX134" i="14"/>
  <c r="CF134" i="14"/>
  <c r="CN134" i="14"/>
  <c r="BT190" i="14"/>
  <c r="CB190" i="14"/>
  <c r="CJ190" i="14"/>
  <c r="BT134" i="14"/>
  <c r="BP190" i="14"/>
  <c r="BZ190" i="14"/>
  <c r="BQ134" i="14"/>
  <c r="BY134" i="14"/>
  <c r="CG134" i="14"/>
  <c r="CO134" i="14"/>
  <c r="BU190" i="14"/>
  <c r="CC190" i="14"/>
  <c r="CK190" i="14"/>
  <c r="CJ134" i="14"/>
  <c r="CN190" i="14"/>
  <c r="BR134" i="14"/>
  <c r="BZ134" i="14"/>
  <c r="CH134" i="14"/>
  <c r="BN190" i="14"/>
  <c r="BV190" i="14"/>
  <c r="CD190" i="14"/>
  <c r="CL190" i="14"/>
  <c r="CB134" i="14"/>
  <c r="BX190" i="14"/>
  <c r="BS134" i="14"/>
  <c r="CA134" i="14"/>
  <c r="CI134" i="14"/>
  <c r="BO190" i="14"/>
  <c r="BW190" i="14"/>
  <c r="CE190" i="14"/>
  <c r="CM190" i="14"/>
  <c r="CF190" i="14"/>
  <c r="BU134" i="14"/>
  <c r="CC134" i="14"/>
  <c r="CK134" i="14"/>
  <c r="BQ190" i="14"/>
  <c r="BY190" i="14"/>
  <c r="CG190" i="14"/>
  <c r="CO190" i="14"/>
  <c r="BN134" i="14"/>
  <c r="BV134" i="14"/>
  <c r="CD134" i="14"/>
  <c r="CL134" i="14"/>
  <c r="BR190" i="14"/>
  <c r="BS125" i="17"/>
  <c r="CA125" i="17"/>
  <c r="CI125" i="17"/>
  <c r="BT125" i="17"/>
  <c r="CB125" i="17"/>
  <c r="CJ125" i="17"/>
  <c r="BM125" i="17"/>
  <c r="BU125" i="17"/>
  <c r="CC125" i="17"/>
  <c r="CK125" i="17"/>
  <c r="BN125" i="17"/>
  <c r="BV125" i="17"/>
  <c r="CD125" i="17"/>
  <c r="CL125" i="17"/>
  <c r="BP125" i="17"/>
  <c r="BX125" i="17"/>
  <c r="CF125" i="17"/>
  <c r="CN125" i="17"/>
  <c r="BQ125" i="17"/>
  <c r="BY125" i="17"/>
  <c r="CG125" i="17"/>
  <c r="BR125" i="17"/>
  <c r="BZ125" i="17"/>
  <c r="CH125" i="17"/>
  <c r="BO125" i="17"/>
  <c r="BW125" i="17"/>
  <c r="CE125" i="17"/>
  <c r="CM125" i="17"/>
  <c r="AJ181" i="17"/>
  <c r="AR181" i="17"/>
  <c r="AZ181" i="17"/>
  <c r="BH181" i="17"/>
  <c r="AK181" i="17"/>
  <c r="AS181" i="17"/>
  <c r="BA181" i="17"/>
  <c r="AL181" i="17"/>
  <c r="AT181" i="17"/>
  <c r="BB181" i="17"/>
  <c r="AM181" i="17"/>
  <c r="AU181" i="17"/>
  <c r="BC181" i="17"/>
  <c r="AN181" i="17"/>
  <c r="AV181" i="17"/>
  <c r="BD181" i="17"/>
  <c r="AG181" i="17"/>
  <c r="AO181" i="17"/>
  <c r="AW181" i="17"/>
  <c r="BE181" i="17"/>
  <c r="AH181" i="17"/>
  <c r="AP181" i="17"/>
  <c r="AX181" i="17"/>
  <c r="BF181" i="17"/>
  <c r="AH125" i="17"/>
  <c r="AP125" i="17"/>
  <c r="AX125" i="17"/>
  <c r="BF125" i="17"/>
  <c r="AI125" i="17"/>
  <c r="AQ125" i="17"/>
  <c r="AY125" i="17"/>
  <c r="BG125" i="17"/>
  <c r="AJ125" i="17"/>
  <c r="AR125" i="17"/>
  <c r="AZ125" i="17"/>
  <c r="BH125" i="17"/>
  <c r="AK125" i="17"/>
  <c r="AS125" i="17"/>
  <c r="BA125" i="17"/>
  <c r="AI181" i="17"/>
  <c r="AL125" i="17"/>
  <c r="AT125" i="17"/>
  <c r="BB125" i="17"/>
  <c r="AQ181" i="17"/>
  <c r="AM125" i="17"/>
  <c r="AU125" i="17"/>
  <c r="BC125" i="17"/>
  <c r="AY181" i="17"/>
  <c r="AN125" i="17"/>
  <c r="AV125" i="17"/>
  <c r="BD125" i="17"/>
  <c r="BG181" i="17"/>
  <c r="D181" i="17"/>
  <c r="L181" i="17"/>
  <c r="T181" i="17"/>
  <c r="AB181" i="17"/>
  <c r="E181" i="17"/>
  <c r="M181" i="17"/>
  <c r="U181" i="17"/>
  <c r="AC181" i="17"/>
  <c r="I125" i="17"/>
  <c r="Q125" i="17"/>
  <c r="Y125" i="17"/>
  <c r="AG125" i="17"/>
  <c r="F181" i="17"/>
  <c r="N181" i="17"/>
  <c r="V181" i="17"/>
  <c r="B125" i="17"/>
  <c r="J125" i="17"/>
  <c r="R125" i="17"/>
  <c r="Z125" i="17"/>
  <c r="AO125" i="17"/>
  <c r="G181" i="17"/>
  <c r="O181" i="17"/>
  <c r="W181" i="17"/>
  <c r="C125" i="17"/>
  <c r="K125" i="17"/>
  <c r="S125" i="17"/>
  <c r="AA125" i="17"/>
  <c r="AW125" i="17"/>
  <c r="H181" i="17"/>
  <c r="P181" i="17"/>
  <c r="X181" i="17"/>
  <c r="D125" i="17"/>
  <c r="L125" i="17"/>
  <c r="T125" i="17"/>
  <c r="AB125" i="17"/>
  <c r="BE125" i="17"/>
  <c r="I181" i="17"/>
  <c r="Q181" i="17"/>
  <c r="Y181" i="17"/>
  <c r="E125" i="17"/>
  <c r="M125" i="17"/>
  <c r="U125" i="17"/>
  <c r="AC125" i="17"/>
  <c r="B181" i="17"/>
  <c r="J181" i="17"/>
  <c r="R181" i="17"/>
  <c r="Z181" i="17"/>
  <c r="C181" i="17"/>
  <c r="G125" i="17"/>
  <c r="GL127" i="14"/>
  <c r="GT127" i="14"/>
  <c r="HB127" i="14"/>
  <c r="HJ127" i="14"/>
  <c r="K181" i="17"/>
  <c r="H125" i="17"/>
  <c r="GM127" i="14"/>
  <c r="GU127" i="14"/>
  <c r="HC127" i="14"/>
  <c r="S181" i="17"/>
  <c r="N125" i="17"/>
  <c r="GN127" i="14"/>
  <c r="GV127" i="14"/>
  <c r="HD127" i="14"/>
  <c r="AA181" i="17"/>
  <c r="O125" i="17"/>
  <c r="GO127" i="14"/>
  <c r="GW127" i="14"/>
  <c r="HE127" i="14"/>
  <c r="P125" i="17"/>
  <c r="GP127" i="14"/>
  <c r="GX127" i="14"/>
  <c r="HF127" i="14"/>
  <c r="W125" i="17"/>
  <c r="GJ127" i="14"/>
  <c r="GR127" i="14"/>
  <c r="GZ127" i="14"/>
  <c r="HH127" i="14"/>
  <c r="GS127" i="14"/>
  <c r="FG127" i="14"/>
  <c r="FO127" i="14"/>
  <c r="FW127" i="14"/>
  <c r="GY127" i="14"/>
  <c r="FH127" i="14"/>
  <c r="FP127" i="14"/>
  <c r="FX127" i="14"/>
  <c r="HA127" i="14"/>
  <c r="FI127" i="14"/>
  <c r="FQ127" i="14"/>
  <c r="FY127" i="14"/>
  <c r="HG127" i="14"/>
  <c r="FJ127" i="14"/>
  <c r="FR127" i="14"/>
  <c r="FZ127" i="14"/>
  <c r="F125" i="17"/>
  <c r="HI127" i="14"/>
  <c r="FC127" i="14"/>
  <c r="FK127" i="14"/>
  <c r="FS127" i="14"/>
  <c r="GA127" i="14"/>
  <c r="FG183" i="14"/>
  <c r="FO183" i="14"/>
  <c r="FW183" i="14"/>
  <c r="X125" i="17"/>
  <c r="GK127" i="14"/>
  <c r="FE127" i="14"/>
  <c r="FM127" i="14"/>
  <c r="FU127" i="14"/>
  <c r="GC127" i="14"/>
  <c r="FF127" i="14"/>
  <c r="FI183" i="14"/>
  <c r="FR183" i="14"/>
  <c r="GA183" i="14"/>
  <c r="ED183" i="14"/>
  <c r="EL183" i="14"/>
  <c r="ET183" i="14"/>
  <c r="V125" i="17"/>
  <c r="FL127" i="14"/>
  <c r="FJ183" i="14"/>
  <c r="FS183" i="14"/>
  <c r="GB183" i="14"/>
  <c r="EE183" i="14"/>
  <c r="EM183" i="14"/>
  <c r="EU183" i="14"/>
  <c r="FN127" i="14"/>
  <c r="FK183" i="14"/>
  <c r="FT183" i="14"/>
  <c r="GC183" i="14"/>
  <c r="DX183" i="14"/>
  <c r="EF183" i="14"/>
  <c r="EN183" i="14"/>
  <c r="EV183" i="14"/>
  <c r="FT127" i="14"/>
  <c r="FC183" i="14"/>
  <c r="FL183" i="14"/>
  <c r="FU183" i="14"/>
  <c r="GD183" i="14"/>
  <c r="DY183" i="14"/>
  <c r="EG183" i="14"/>
  <c r="EO183" i="14"/>
  <c r="EW183" i="14"/>
  <c r="FV127" i="14"/>
  <c r="FD183" i="14"/>
  <c r="FM183" i="14"/>
  <c r="FV183" i="14"/>
  <c r="DZ183" i="14"/>
  <c r="EH183" i="14"/>
  <c r="EP183" i="14"/>
  <c r="EX183" i="14"/>
  <c r="GQ127" i="14"/>
  <c r="GD127" i="14"/>
  <c r="FF183" i="14"/>
  <c r="FP183" i="14"/>
  <c r="FY183" i="14"/>
  <c r="EB183" i="14"/>
  <c r="EJ183" i="14"/>
  <c r="ER183" i="14"/>
  <c r="FH183" i="14"/>
  <c r="ES183" i="14"/>
  <c r="DZ127" i="14"/>
  <c r="EH127" i="14"/>
  <c r="EP127" i="14"/>
  <c r="EX127" i="14"/>
  <c r="FN183" i="14"/>
  <c r="EY183" i="14"/>
  <c r="EA127" i="14"/>
  <c r="EI127" i="14"/>
  <c r="EQ127" i="14"/>
  <c r="EY127" i="14"/>
  <c r="CZ183" i="14"/>
  <c r="DH183" i="14"/>
  <c r="DP183" i="14"/>
  <c r="FD127" i="14"/>
  <c r="FQ183" i="14"/>
  <c r="EB127" i="14"/>
  <c r="EJ127" i="14"/>
  <c r="ER127" i="14"/>
  <c r="GI127" i="14"/>
  <c r="GB127" i="14"/>
  <c r="FX183" i="14"/>
  <c r="EA183" i="14"/>
  <c r="EC127" i="14"/>
  <c r="EK127" i="14"/>
  <c r="ES127" i="14"/>
  <c r="CT183" i="14"/>
  <c r="DB183" i="14"/>
  <c r="DJ183" i="14"/>
  <c r="DR183" i="14"/>
  <c r="FZ183" i="14"/>
  <c r="EC183" i="14"/>
  <c r="ED127" i="14"/>
  <c r="EL127" i="14"/>
  <c r="ET127" i="14"/>
  <c r="CU183" i="14"/>
  <c r="DC183" i="14"/>
  <c r="DK183" i="14"/>
  <c r="DS183" i="14"/>
  <c r="EK183" i="14"/>
  <c r="DX127" i="14"/>
  <c r="EF127" i="14"/>
  <c r="EN127" i="14"/>
  <c r="EV127" i="14"/>
  <c r="CW183" i="14"/>
  <c r="DE183" i="14"/>
  <c r="DM183" i="14"/>
  <c r="EQ183" i="14"/>
  <c r="EG127" i="14"/>
  <c r="DG183" i="14"/>
  <c r="CY127" i="14"/>
  <c r="DG127" i="14"/>
  <c r="DO127" i="14"/>
  <c r="AC183" i="14"/>
  <c r="AK183" i="14"/>
  <c r="AS183" i="14"/>
  <c r="BA183" i="14"/>
  <c r="AC127" i="14"/>
  <c r="AK127" i="14"/>
  <c r="AS127" i="14"/>
  <c r="BA127" i="14"/>
  <c r="EM127" i="14"/>
  <c r="CS183" i="14"/>
  <c r="DI183" i="14"/>
  <c r="CZ127" i="14"/>
  <c r="DH127" i="14"/>
  <c r="DP127" i="14"/>
  <c r="AD183" i="14"/>
  <c r="AL183" i="14"/>
  <c r="AT183" i="14"/>
  <c r="BB183" i="14"/>
  <c r="AD127" i="14"/>
  <c r="AL127" i="14"/>
  <c r="AT127" i="14"/>
  <c r="BB127" i="14"/>
  <c r="EO127" i="14"/>
  <c r="CV183" i="14"/>
  <c r="DL183" i="14"/>
  <c r="CS127" i="14"/>
  <c r="DA127" i="14"/>
  <c r="DI127" i="14"/>
  <c r="DQ127" i="14"/>
  <c r="AE183" i="14"/>
  <c r="AM183" i="14"/>
  <c r="AU183" i="14"/>
  <c r="AE127" i="14"/>
  <c r="AM127" i="14"/>
  <c r="AU127" i="14"/>
  <c r="EU127" i="14"/>
  <c r="CX183" i="14"/>
  <c r="DN183" i="14"/>
  <c r="CT127" i="14"/>
  <c r="DB127" i="14"/>
  <c r="DJ127" i="14"/>
  <c r="DR127" i="14"/>
  <c r="AF183" i="14"/>
  <c r="AN183" i="14"/>
  <c r="AV183" i="14"/>
  <c r="AF127" i="14"/>
  <c r="AN127" i="14"/>
  <c r="AV127" i="14"/>
  <c r="EW127" i="14"/>
  <c r="CY183" i="14"/>
  <c r="DO183" i="14"/>
  <c r="CU127" i="14"/>
  <c r="DC127" i="14"/>
  <c r="DK127" i="14"/>
  <c r="DS127" i="14"/>
  <c r="AG183" i="14"/>
  <c r="AO183" i="14"/>
  <c r="AW183" i="14"/>
  <c r="AG127" i="14"/>
  <c r="AO127" i="14"/>
  <c r="AW127" i="14"/>
  <c r="FE183" i="14"/>
  <c r="DY127" i="14"/>
  <c r="DD183" i="14"/>
  <c r="DT183" i="14"/>
  <c r="CW127" i="14"/>
  <c r="DE127" i="14"/>
  <c r="DM127" i="14"/>
  <c r="AA183" i="14"/>
  <c r="AI183" i="14"/>
  <c r="AQ183" i="14"/>
  <c r="AY183" i="14"/>
  <c r="AA127" i="14"/>
  <c r="AI127" i="14"/>
  <c r="AQ127" i="14"/>
  <c r="AY127" i="14"/>
  <c r="EI183" i="14"/>
  <c r="DF183" i="14"/>
  <c r="CX127" i="14"/>
  <c r="AR183" i="14"/>
  <c r="AB127" i="14"/>
  <c r="DQ183" i="14"/>
  <c r="DD127" i="14"/>
  <c r="AX183" i="14"/>
  <c r="AH127" i="14"/>
  <c r="EE127" i="14"/>
  <c r="DF127" i="14"/>
  <c r="AZ183" i="14"/>
  <c r="DL127" i="14"/>
  <c r="AP127" i="14"/>
  <c r="AJ183" i="14"/>
  <c r="AZ127" i="14"/>
  <c r="DA183" i="14"/>
  <c r="CV127" i="14"/>
  <c r="AP183" i="14"/>
  <c r="AX127" i="14"/>
  <c r="M179" i="6"/>
  <c r="U179" i="6"/>
  <c r="AC179" i="6"/>
  <c r="N179" i="6"/>
  <c r="V179" i="6"/>
  <c r="AD179" i="6"/>
  <c r="O179" i="6"/>
  <c r="W179" i="6"/>
  <c r="AE179" i="6"/>
  <c r="P179" i="6"/>
  <c r="X179" i="6"/>
  <c r="AF179" i="6"/>
  <c r="DN127" i="14"/>
  <c r="AB183" i="14"/>
  <c r="AJ127" i="14"/>
  <c r="K179" i="6"/>
  <c r="S179" i="6"/>
  <c r="AA179" i="6"/>
  <c r="AI179" i="6"/>
  <c r="DT127" i="14"/>
  <c r="AH183" i="14"/>
  <c r="AR127" i="14"/>
  <c r="L179" i="6"/>
  <c r="T179" i="6"/>
  <c r="AB179" i="6"/>
  <c r="AJ179" i="6"/>
  <c r="Y179" i="6"/>
  <c r="Z179" i="6"/>
  <c r="R179" i="6"/>
  <c r="AG179" i="6"/>
  <c r="J179" i="6"/>
  <c r="AH179" i="6"/>
  <c r="I179" i="6"/>
  <c r="I114" i="2" s="1"/>
  <c r="Q179" i="6"/>
  <c r="BS127" i="14"/>
  <c r="CA127" i="14"/>
  <c r="CI127" i="14"/>
  <c r="BO183" i="14"/>
  <c r="BW183" i="14"/>
  <c r="CE183" i="14"/>
  <c r="CM183" i="14"/>
  <c r="CL183" i="14"/>
  <c r="BT127" i="14"/>
  <c r="CB127" i="14"/>
  <c r="CJ127" i="14"/>
  <c r="BP183" i="14"/>
  <c r="BX183" i="14"/>
  <c r="CF183" i="14"/>
  <c r="CN183" i="14"/>
  <c r="BX127" i="14"/>
  <c r="BT183" i="14"/>
  <c r="BU127" i="14"/>
  <c r="CC127" i="14"/>
  <c r="CK127" i="14"/>
  <c r="BQ183" i="14"/>
  <c r="BY183" i="14"/>
  <c r="CG183" i="14"/>
  <c r="CO183" i="14"/>
  <c r="CN127" i="14"/>
  <c r="BV183" i="14"/>
  <c r="BN127" i="14"/>
  <c r="BV127" i="14"/>
  <c r="CD127" i="14"/>
  <c r="CL127" i="14"/>
  <c r="BR183" i="14"/>
  <c r="BZ183" i="14"/>
  <c r="CH183" i="14"/>
  <c r="CF127" i="14"/>
  <c r="CB183" i="14"/>
  <c r="BO127" i="14"/>
  <c r="BW127" i="14"/>
  <c r="CE127" i="14"/>
  <c r="CM127" i="14"/>
  <c r="BS183" i="14"/>
  <c r="CA183" i="14"/>
  <c r="CI183" i="14"/>
  <c r="BP127" i="14"/>
  <c r="CJ183" i="14"/>
  <c r="BN183" i="14"/>
  <c r="BQ127" i="14"/>
  <c r="BY127" i="14"/>
  <c r="CG127" i="14"/>
  <c r="CO127" i="14"/>
  <c r="BU183" i="14"/>
  <c r="CC183" i="14"/>
  <c r="CK183" i="14"/>
  <c r="BR127" i="14"/>
  <c r="BZ127" i="14"/>
  <c r="CH127" i="14"/>
  <c r="CD183" i="14"/>
  <c r="BO146" i="17"/>
  <c r="BW146" i="17"/>
  <c r="CE146" i="17"/>
  <c r="CM146" i="17"/>
  <c r="BQ146" i="17"/>
  <c r="BY146" i="17"/>
  <c r="CG146" i="17"/>
  <c r="BR146" i="17"/>
  <c r="BZ146" i="17"/>
  <c r="CH146" i="17"/>
  <c r="BS146" i="17"/>
  <c r="CA146" i="17"/>
  <c r="CI146" i="17"/>
  <c r="BT146" i="17"/>
  <c r="CB146" i="17"/>
  <c r="CJ146" i="17"/>
  <c r="BM146" i="17"/>
  <c r="BU146" i="17"/>
  <c r="CC146" i="17"/>
  <c r="CK146" i="17"/>
  <c r="BV146" i="17"/>
  <c r="AN202" i="17"/>
  <c r="AV202" i="17"/>
  <c r="BD202" i="17"/>
  <c r="BX146" i="17"/>
  <c r="AG202" i="17"/>
  <c r="AO202" i="17"/>
  <c r="AW202" i="17"/>
  <c r="BE202" i="17"/>
  <c r="CD146" i="17"/>
  <c r="AH202" i="17"/>
  <c r="AP202" i="17"/>
  <c r="AX202" i="17"/>
  <c r="BF202" i="17"/>
  <c r="CF146" i="17"/>
  <c r="AI202" i="17"/>
  <c r="AQ202" i="17"/>
  <c r="AY202" i="17"/>
  <c r="BG202" i="17"/>
  <c r="CL146" i="17"/>
  <c r="CN146" i="17"/>
  <c r="AK202" i="17"/>
  <c r="AS202" i="17"/>
  <c r="BA202" i="17"/>
  <c r="BN146" i="17"/>
  <c r="AL202" i="17"/>
  <c r="AT202" i="17"/>
  <c r="BB202" i="17"/>
  <c r="AM202" i="17"/>
  <c r="AR202" i="17"/>
  <c r="AU202" i="17"/>
  <c r="AZ202" i="17"/>
  <c r="BC202" i="17"/>
  <c r="BH202" i="17"/>
  <c r="AI146" i="17"/>
  <c r="AQ146" i="17"/>
  <c r="AY146" i="17"/>
  <c r="BG146" i="17"/>
  <c r="H202" i="17"/>
  <c r="P202" i="17"/>
  <c r="X202" i="17"/>
  <c r="AJ146" i="17"/>
  <c r="AR146" i="17"/>
  <c r="AZ146" i="17"/>
  <c r="BH146" i="17"/>
  <c r="I202" i="17"/>
  <c r="Q202" i="17"/>
  <c r="Y202" i="17"/>
  <c r="AK146" i="17"/>
  <c r="AS146" i="17"/>
  <c r="BA146" i="17"/>
  <c r="B202" i="17"/>
  <c r="J202" i="17"/>
  <c r="R202" i="17"/>
  <c r="Z202" i="17"/>
  <c r="AL146" i="17"/>
  <c r="AT146" i="17"/>
  <c r="BB146" i="17"/>
  <c r="C202" i="17"/>
  <c r="K202" i="17"/>
  <c r="S202" i="17"/>
  <c r="AA202" i="17"/>
  <c r="AM146" i="17"/>
  <c r="AU146" i="17"/>
  <c r="BC146" i="17"/>
  <c r="D202" i="17"/>
  <c r="L202" i="17"/>
  <c r="T202" i="17"/>
  <c r="AB202" i="17"/>
  <c r="AN146" i="17"/>
  <c r="AV146" i="17"/>
  <c r="BD146" i="17"/>
  <c r="E202" i="17"/>
  <c r="M202" i="17"/>
  <c r="U202" i="17"/>
  <c r="AC202" i="17"/>
  <c r="AG146" i="17"/>
  <c r="AO146" i="17"/>
  <c r="AW146" i="17"/>
  <c r="BE146" i="17"/>
  <c r="AP146" i="17"/>
  <c r="F202" i="17"/>
  <c r="I146" i="17"/>
  <c r="Q146" i="17"/>
  <c r="Y146" i="17"/>
  <c r="AJ202" i="17"/>
  <c r="AX146" i="17"/>
  <c r="G202" i="17"/>
  <c r="B146" i="17"/>
  <c r="J146" i="17"/>
  <c r="R146" i="17"/>
  <c r="Z146" i="17"/>
  <c r="GI148" i="14"/>
  <c r="GQ148" i="14"/>
  <c r="GY148" i="14"/>
  <c r="HG148" i="14"/>
  <c r="BF146" i="17"/>
  <c r="N202" i="17"/>
  <c r="C146" i="17"/>
  <c r="K146" i="17"/>
  <c r="S146" i="17"/>
  <c r="AA146" i="17"/>
  <c r="GJ148" i="14"/>
  <c r="GR148" i="14"/>
  <c r="GZ148" i="14"/>
  <c r="HH148" i="14"/>
  <c r="O202" i="17"/>
  <c r="D146" i="17"/>
  <c r="L146" i="17"/>
  <c r="T146" i="17"/>
  <c r="AB146" i="17"/>
  <c r="GK148" i="14"/>
  <c r="GS148" i="14"/>
  <c r="HA148" i="14"/>
  <c r="HI148" i="14"/>
  <c r="V202" i="17"/>
  <c r="E146" i="17"/>
  <c r="M146" i="17"/>
  <c r="U146" i="17"/>
  <c r="AC146" i="17"/>
  <c r="GL148" i="14"/>
  <c r="GT148" i="14"/>
  <c r="HB148" i="14"/>
  <c r="HJ148" i="14"/>
  <c r="BP146" i="17"/>
  <c r="G146" i="17"/>
  <c r="O146" i="17"/>
  <c r="W146" i="17"/>
  <c r="GN148" i="14"/>
  <c r="GV148" i="14"/>
  <c r="HD148" i="14"/>
  <c r="AH146" i="17"/>
  <c r="X146" i="17"/>
  <c r="GM148" i="14"/>
  <c r="HF148" i="14"/>
  <c r="FC148" i="14"/>
  <c r="FK148" i="14"/>
  <c r="FS148" i="14"/>
  <c r="GA148" i="14"/>
  <c r="W202" i="17"/>
  <c r="GO148" i="14"/>
  <c r="FD148" i="14"/>
  <c r="FL148" i="14"/>
  <c r="FT148" i="14"/>
  <c r="GB148" i="14"/>
  <c r="GP148" i="14"/>
  <c r="FE148" i="14"/>
  <c r="FM148" i="14"/>
  <c r="FU148" i="14"/>
  <c r="GC148" i="14"/>
  <c r="F146" i="17"/>
  <c r="GU148" i="14"/>
  <c r="FF148" i="14"/>
  <c r="FN148" i="14"/>
  <c r="FV148" i="14"/>
  <c r="GD148" i="14"/>
  <c r="H146" i="17"/>
  <c r="GW148" i="14"/>
  <c r="FG148" i="14"/>
  <c r="FO148" i="14"/>
  <c r="FW148" i="14"/>
  <c r="P146" i="17"/>
  <c r="HC148" i="14"/>
  <c r="FI148" i="14"/>
  <c r="FQ148" i="14"/>
  <c r="FY148" i="14"/>
  <c r="HE148" i="14"/>
  <c r="FZ148" i="14"/>
  <c r="FI204" i="14"/>
  <c r="FQ204" i="14"/>
  <c r="FY204" i="14"/>
  <c r="N146" i="17"/>
  <c r="FJ204" i="14"/>
  <c r="FR204" i="14"/>
  <c r="FZ204" i="14"/>
  <c r="V146" i="17"/>
  <c r="FC204" i="14"/>
  <c r="FK204" i="14"/>
  <c r="FS204" i="14"/>
  <c r="GA204" i="14"/>
  <c r="FH148" i="14"/>
  <c r="FD204" i="14"/>
  <c r="FL204" i="14"/>
  <c r="FT204" i="14"/>
  <c r="GB204" i="14"/>
  <c r="FJ148" i="14"/>
  <c r="FE204" i="14"/>
  <c r="FM204" i="14"/>
  <c r="FU204" i="14"/>
  <c r="GC204" i="14"/>
  <c r="FR148" i="14"/>
  <c r="FG204" i="14"/>
  <c r="FO204" i="14"/>
  <c r="FW204" i="14"/>
  <c r="FX148" i="14"/>
  <c r="DZ204" i="14"/>
  <c r="EH204" i="14"/>
  <c r="EP204" i="14"/>
  <c r="EX204" i="14"/>
  <c r="ED148" i="14"/>
  <c r="EL148" i="14"/>
  <c r="ET148" i="14"/>
  <c r="FF204" i="14"/>
  <c r="EA204" i="14"/>
  <c r="EI204" i="14"/>
  <c r="EQ204" i="14"/>
  <c r="EY204" i="14"/>
  <c r="EE148" i="14"/>
  <c r="EM148" i="14"/>
  <c r="EU148" i="14"/>
  <c r="FH204" i="14"/>
  <c r="EB204" i="14"/>
  <c r="EJ204" i="14"/>
  <c r="ER204" i="14"/>
  <c r="DX148" i="14"/>
  <c r="EF148" i="14"/>
  <c r="EN148" i="14"/>
  <c r="EV148" i="14"/>
  <c r="FN204" i="14"/>
  <c r="EC204" i="14"/>
  <c r="EK204" i="14"/>
  <c r="ES204" i="14"/>
  <c r="DY148" i="14"/>
  <c r="EG148" i="14"/>
  <c r="EO148" i="14"/>
  <c r="EW148" i="14"/>
  <c r="FP204" i="14"/>
  <c r="ED204" i="14"/>
  <c r="EL204" i="14"/>
  <c r="ET204" i="14"/>
  <c r="DZ148" i="14"/>
  <c r="EH148" i="14"/>
  <c r="EP148" i="14"/>
  <c r="EX148" i="14"/>
  <c r="GX148" i="14"/>
  <c r="FX204" i="14"/>
  <c r="DX204" i="14"/>
  <c r="EF204" i="14"/>
  <c r="EN204" i="14"/>
  <c r="EV204" i="14"/>
  <c r="EB148" i="14"/>
  <c r="EJ148" i="14"/>
  <c r="ER148" i="14"/>
  <c r="EO204" i="14"/>
  <c r="CV204" i="14"/>
  <c r="DD204" i="14"/>
  <c r="DL204" i="14"/>
  <c r="DT204" i="14"/>
  <c r="CU148" i="14"/>
  <c r="DC148" i="14"/>
  <c r="DK148" i="14"/>
  <c r="DS148" i="14"/>
  <c r="AG204" i="14"/>
  <c r="AO204" i="14"/>
  <c r="AW204" i="14"/>
  <c r="EU204" i="14"/>
  <c r="EA148" i="14"/>
  <c r="CW204" i="14"/>
  <c r="DE204" i="14"/>
  <c r="DM204" i="14"/>
  <c r="CV148" i="14"/>
  <c r="DD148" i="14"/>
  <c r="DL148" i="14"/>
  <c r="DT148" i="14"/>
  <c r="AH204" i="14"/>
  <c r="AP204" i="14"/>
  <c r="AX204" i="14"/>
  <c r="EW204" i="14"/>
  <c r="EC148" i="14"/>
  <c r="CX204" i="14"/>
  <c r="DF204" i="14"/>
  <c r="DN204" i="14"/>
  <c r="CW148" i="14"/>
  <c r="DE148" i="14"/>
  <c r="DM148" i="14"/>
  <c r="AA204" i="14"/>
  <c r="AI204" i="14"/>
  <c r="AQ204" i="14"/>
  <c r="AY204" i="14"/>
  <c r="FV204" i="14"/>
  <c r="EI148" i="14"/>
  <c r="CY204" i="14"/>
  <c r="DG204" i="14"/>
  <c r="DO204" i="14"/>
  <c r="CX148" i="14"/>
  <c r="DF148" i="14"/>
  <c r="DN148" i="14"/>
  <c r="AB204" i="14"/>
  <c r="AJ204" i="14"/>
  <c r="AR204" i="14"/>
  <c r="AZ204" i="14"/>
  <c r="FP148" i="14"/>
  <c r="GD204" i="14"/>
  <c r="DY204" i="14"/>
  <c r="EK148" i="14"/>
  <c r="CZ204" i="14"/>
  <c r="DH204" i="14"/>
  <c r="DP204" i="14"/>
  <c r="CY148" i="14"/>
  <c r="DG148" i="14"/>
  <c r="DO148" i="14"/>
  <c r="AC204" i="14"/>
  <c r="AK204" i="14"/>
  <c r="AS204" i="14"/>
  <c r="BA204" i="14"/>
  <c r="EG204" i="14"/>
  <c r="ES148" i="14"/>
  <c r="CT204" i="14"/>
  <c r="DB204" i="14"/>
  <c r="DJ204" i="14"/>
  <c r="DR204" i="14"/>
  <c r="CS148" i="14"/>
  <c r="DA148" i="14"/>
  <c r="DI148" i="14"/>
  <c r="DQ148" i="14"/>
  <c r="AE204" i="14"/>
  <c r="AM204" i="14"/>
  <c r="AU204" i="14"/>
  <c r="EY148" i="14"/>
  <c r="DK204" i="14"/>
  <c r="DR148" i="14"/>
  <c r="AF204" i="14"/>
  <c r="DQ204" i="14"/>
  <c r="AL204" i="14"/>
  <c r="DS204" i="14"/>
  <c r="CT148" i="14"/>
  <c r="AN204" i="14"/>
  <c r="CS204" i="14"/>
  <c r="CZ148" i="14"/>
  <c r="AT204" i="14"/>
  <c r="EM204" i="14"/>
  <c r="DC204" i="14"/>
  <c r="DJ148" i="14"/>
  <c r="EQ148" i="14"/>
  <c r="DI204" i="14"/>
  <c r="DP148" i="14"/>
  <c r="AD204" i="14"/>
  <c r="AF148" i="14"/>
  <c r="AN148" i="14"/>
  <c r="AV148" i="14"/>
  <c r="I200" i="6"/>
  <c r="I99" i="2" s="1"/>
  <c r="Q200" i="6"/>
  <c r="Y200" i="6"/>
  <c r="AG200" i="6"/>
  <c r="EE204" i="14"/>
  <c r="AG148" i="14"/>
  <c r="AO148" i="14"/>
  <c r="AW148" i="14"/>
  <c r="J200" i="6"/>
  <c r="R200" i="6"/>
  <c r="Z200" i="6"/>
  <c r="AH200" i="6"/>
  <c r="CU204" i="14"/>
  <c r="DB148" i="14"/>
  <c r="AH148" i="14"/>
  <c r="AP148" i="14"/>
  <c r="AX148" i="14"/>
  <c r="K200" i="6"/>
  <c r="S200" i="6"/>
  <c r="AA200" i="6"/>
  <c r="AI200" i="6"/>
  <c r="DA204" i="14"/>
  <c r="DH148" i="14"/>
  <c r="AA148" i="14"/>
  <c r="AI148" i="14"/>
  <c r="AQ148" i="14"/>
  <c r="AY148" i="14"/>
  <c r="L200" i="6"/>
  <c r="T200" i="6"/>
  <c r="AB200" i="6"/>
  <c r="AJ200" i="6"/>
  <c r="AD148" i="14"/>
  <c r="AL148" i="14"/>
  <c r="AT148" i="14"/>
  <c r="BB148" i="14"/>
  <c r="O200" i="6"/>
  <c r="W200" i="6"/>
  <c r="AE200" i="6"/>
  <c r="AE148" i="14"/>
  <c r="AM148" i="14"/>
  <c r="AU148" i="14"/>
  <c r="P200" i="6"/>
  <c r="X200" i="6"/>
  <c r="AF200" i="6"/>
  <c r="AV204" i="14"/>
  <c r="AR148" i="14"/>
  <c r="M200" i="6"/>
  <c r="AD200" i="6"/>
  <c r="AS148" i="14"/>
  <c r="N200" i="6"/>
  <c r="AZ148" i="14"/>
  <c r="U200" i="6"/>
  <c r="BA148" i="14"/>
  <c r="V200" i="6"/>
  <c r="AC148" i="14"/>
  <c r="AB148" i="14"/>
  <c r="AC200" i="6"/>
  <c r="BB204" i="14"/>
  <c r="AJ148" i="14"/>
  <c r="AK148" i="14"/>
  <c r="BO148" i="14"/>
  <c r="BW148" i="14"/>
  <c r="CE148" i="14"/>
  <c r="CM148" i="14"/>
  <c r="BS204" i="14"/>
  <c r="CA204" i="14"/>
  <c r="CI204" i="14"/>
  <c r="BP148" i="14"/>
  <c r="BX148" i="14"/>
  <c r="CF148" i="14"/>
  <c r="CN148" i="14"/>
  <c r="BT204" i="14"/>
  <c r="CB204" i="14"/>
  <c r="CJ204" i="14"/>
  <c r="CN204" i="14"/>
  <c r="BQ148" i="14"/>
  <c r="BY148" i="14"/>
  <c r="CG148" i="14"/>
  <c r="CO148" i="14"/>
  <c r="BU204" i="14"/>
  <c r="CC204" i="14"/>
  <c r="CK204" i="14"/>
  <c r="CB148" i="14"/>
  <c r="CF204" i="14"/>
  <c r="CH204" i="14"/>
  <c r="BR148" i="14"/>
  <c r="BZ148" i="14"/>
  <c r="CH148" i="14"/>
  <c r="BN204" i="14"/>
  <c r="BV204" i="14"/>
  <c r="CD204" i="14"/>
  <c r="CL204" i="14"/>
  <c r="CJ148" i="14"/>
  <c r="BP204" i="14"/>
  <c r="BS148" i="14"/>
  <c r="CA148" i="14"/>
  <c r="CI148" i="14"/>
  <c r="BO204" i="14"/>
  <c r="BW204" i="14"/>
  <c r="CE204" i="14"/>
  <c r="CM204" i="14"/>
  <c r="BT148" i="14"/>
  <c r="BX204" i="14"/>
  <c r="BZ204" i="14"/>
  <c r="BU148" i="14"/>
  <c r="CC148" i="14"/>
  <c r="CK148" i="14"/>
  <c r="BQ204" i="14"/>
  <c r="BY204" i="14"/>
  <c r="CG204" i="14"/>
  <c r="CO204" i="14"/>
  <c r="BN148" i="14"/>
  <c r="BV148" i="14"/>
  <c r="CD148" i="14"/>
  <c r="CL148" i="14"/>
  <c r="BR204" i="14"/>
  <c r="BS143" i="17"/>
  <c r="CA143" i="17"/>
  <c r="CI143" i="17"/>
  <c r="BM143" i="17"/>
  <c r="BU143" i="17"/>
  <c r="CC143" i="17"/>
  <c r="CK143" i="17"/>
  <c r="BN143" i="17"/>
  <c r="BV143" i="17"/>
  <c r="CD143" i="17"/>
  <c r="CL143" i="17"/>
  <c r="BO143" i="17"/>
  <c r="BW143" i="17"/>
  <c r="CE143" i="17"/>
  <c r="CM143" i="17"/>
  <c r="BP143" i="17"/>
  <c r="BX143" i="17"/>
  <c r="CF143" i="17"/>
  <c r="CN143" i="17"/>
  <c r="BQ143" i="17"/>
  <c r="BY143" i="17"/>
  <c r="CG143" i="17"/>
  <c r="AJ199" i="17"/>
  <c r="AR199" i="17"/>
  <c r="AZ199" i="17"/>
  <c r="BH199" i="17"/>
  <c r="AK199" i="17"/>
  <c r="AS199" i="17"/>
  <c r="BA199" i="17"/>
  <c r="BR143" i="17"/>
  <c r="AL199" i="17"/>
  <c r="AT199" i="17"/>
  <c r="BB199" i="17"/>
  <c r="BT143" i="17"/>
  <c r="AM199" i="17"/>
  <c r="AU199" i="17"/>
  <c r="BC199" i="17"/>
  <c r="BZ143" i="17"/>
  <c r="CB143" i="17"/>
  <c r="AG199" i="17"/>
  <c r="AO199" i="17"/>
  <c r="AW199" i="17"/>
  <c r="BE199" i="17"/>
  <c r="CH143" i="17"/>
  <c r="AH199" i="17"/>
  <c r="AP199" i="17"/>
  <c r="AX199" i="17"/>
  <c r="BF199" i="17"/>
  <c r="BG199" i="17"/>
  <c r="AI199" i="17"/>
  <c r="AN199" i="17"/>
  <c r="AQ199" i="17"/>
  <c r="CJ143" i="17"/>
  <c r="AV199" i="17"/>
  <c r="AY199" i="17"/>
  <c r="AM143" i="17"/>
  <c r="AU143" i="17"/>
  <c r="BC143" i="17"/>
  <c r="D199" i="17"/>
  <c r="L199" i="17"/>
  <c r="T199" i="17"/>
  <c r="AB199" i="17"/>
  <c r="AN143" i="17"/>
  <c r="AV143" i="17"/>
  <c r="BD143" i="17"/>
  <c r="E199" i="17"/>
  <c r="M199" i="17"/>
  <c r="U199" i="17"/>
  <c r="AC199" i="17"/>
  <c r="AG143" i="17"/>
  <c r="AO143" i="17"/>
  <c r="AW143" i="17"/>
  <c r="BE143" i="17"/>
  <c r="F199" i="17"/>
  <c r="N199" i="17"/>
  <c r="V199" i="17"/>
  <c r="AH143" i="17"/>
  <c r="AP143" i="17"/>
  <c r="AX143" i="17"/>
  <c r="BF143" i="17"/>
  <c r="G199" i="17"/>
  <c r="O199" i="17"/>
  <c r="W199" i="17"/>
  <c r="AI143" i="17"/>
  <c r="AQ143" i="17"/>
  <c r="AY143" i="17"/>
  <c r="BG143" i="17"/>
  <c r="H199" i="17"/>
  <c r="P199" i="17"/>
  <c r="X199" i="17"/>
  <c r="BD199" i="17"/>
  <c r="AJ143" i="17"/>
  <c r="AR143" i="17"/>
  <c r="AZ143" i="17"/>
  <c r="BH143" i="17"/>
  <c r="I199" i="17"/>
  <c r="Q199" i="17"/>
  <c r="Y199" i="17"/>
  <c r="AK143" i="17"/>
  <c r="AS143" i="17"/>
  <c r="BA143" i="17"/>
  <c r="Z199" i="17"/>
  <c r="E143" i="17"/>
  <c r="M143" i="17"/>
  <c r="U143" i="17"/>
  <c r="AC143" i="17"/>
  <c r="AA199" i="17"/>
  <c r="F143" i="17"/>
  <c r="N143" i="17"/>
  <c r="V143" i="17"/>
  <c r="GM145" i="14"/>
  <c r="GU145" i="14"/>
  <c r="HC145" i="14"/>
  <c r="B199" i="17"/>
  <c r="G143" i="17"/>
  <c r="O143" i="17"/>
  <c r="W143" i="17"/>
  <c r="GN145" i="14"/>
  <c r="GV145" i="14"/>
  <c r="HD145" i="14"/>
  <c r="C199" i="17"/>
  <c r="H143" i="17"/>
  <c r="P143" i="17"/>
  <c r="X143" i="17"/>
  <c r="GO145" i="14"/>
  <c r="GW145" i="14"/>
  <c r="HE145" i="14"/>
  <c r="J199" i="17"/>
  <c r="I143" i="17"/>
  <c r="Q143" i="17"/>
  <c r="Y143" i="17"/>
  <c r="GP145" i="14"/>
  <c r="GX145" i="14"/>
  <c r="HF145" i="14"/>
  <c r="AT143" i="17"/>
  <c r="R199" i="17"/>
  <c r="C143" i="17"/>
  <c r="K143" i="17"/>
  <c r="S143" i="17"/>
  <c r="AA143" i="17"/>
  <c r="GJ145" i="14"/>
  <c r="GR145" i="14"/>
  <c r="GZ145" i="14"/>
  <c r="HH145" i="14"/>
  <c r="L143" i="17"/>
  <c r="GK145" i="14"/>
  <c r="HG145" i="14"/>
  <c r="FG145" i="14"/>
  <c r="FO145" i="14"/>
  <c r="FW145" i="14"/>
  <c r="R143" i="17"/>
  <c r="GL145" i="14"/>
  <c r="HI145" i="14"/>
  <c r="FH145" i="14"/>
  <c r="FP145" i="14"/>
  <c r="FX145" i="14"/>
  <c r="T143" i="17"/>
  <c r="GQ145" i="14"/>
  <c r="HJ145" i="14"/>
  <c r="FI145" i="14"/>
  <c r="FQ145" i="14"/>
  <c r="FY145" i="14"/>
  <c r="K199" i="17"/>
  <c r="Z143" i="17"/>
  <c r="GS145" i="14"/>
  <c r="FJ145" i="14"/>
  <c r="FR145" i="14"/>
  <c r="FZ145" i="14"/>
  <c r="S199" i="17"/>
  <c r="AB143" i="17"/>
  <c r="GT145" i="14"/>
  <c r="FC145" i="14"/>
  <c r="FK145" i="14"/>
  <c r="FS145" i="14"/>
  <c r="GA145" i="14"/>
  <c r="BB143" i="17"/>
  <c r="D143" i="17"/>
  <c r="HA145" i="14"/>
  <c r="FE145" i="14"/>
  <c r="FM145" i="14"/>
  <c r="FU145" i="14"/>
  <c r="GC145" i="14"/>
  <c r="HB145" i="14"/>
  <c r="FN145" i="14"/>
  <c r="FE201" i="14"/>
  <c r="FM201" i="14"/>
  <c r="FU201" i="14"/>
  <c r="GC201" i="14"/>
  <c r="FT145" i="14"/>
  <c r="FF201" i="14"/>
  <c r="FN201" i="14"/>
  <c r="FV201" i="14"/>
  <c r="GD201" i="14"/>
  <c r="EE201" i="14"/>
  <c r="EM201" i="14"/>
  <c r="EU201" i="14"/>
  <c r="FV145" i="14"/>
  <c r="FG201" i="14"/>
  <c r="FO201" i="14"/>
  <c r="FW201" i="14"/>
  <c r="B143" i="17"/>
  <c r="GB145" i="14"/>
  <c r="FH201" i="14"/>
  <c r="FP201" i="14"/>
  <c r="FX201" i="14"/>
  <c r="DY201" i="14"/>
  <c r="EG201" i="14"/>
  <c r="EO201" i="14"/>
  <c r="EW201" i="14"/>
  <c r="J143" i="17"/>
  <c r="GD145" i="14"/>
  <c r="FI201" i="14"/>
  <c r="FQ201" i="14"/>
  <c r="FY201" i="14"/>
  <c r="DZ201" i="14"/>
  <c r="EH201" i="14"/>
  <c r="EP201" i="14"/>
  <c r="EX201" i="14"/>
  <c r="GI145" i="14"/>
  <c r="FF145" i="14"/>
  <c r="FC201" i="14"/>
  <c r="FK201" i="14"/>
  <c r="FS201" i="14"/>
  <c r="GA201" i="14"/>
  <c r="EB201" i="14"/>
  <c r="EJ201" i="14"/>
  <c r="ER201" i="14"/>
  <c r="FT201" i="14"/>
  <c r="EC201" i="14"/>
  <c r="ES201" i="14"/>
  <c r="DZ145" i="14"/>
  <c r="EH145" i="14"/>
  <c r="EP145" i="14"/>
  <c r="EX145" i="14"/>
  <c r="FD145" i="14"/>
  <c r="FZ201" i="14"/>
  <c r="ED201" i="14"/>
  <c r="ET201" i="14"/>
  <c r="EA145" i="14"/>
  <c r="EI145" i="14"/>
  <c r="EQ145" i="14"/>
  <c r="EY145" i="14"/>
  <c r="FL145" i="14"/>
  <c r="GB201" i="14"/>
  <c r="EF201" i="14"/>
  <c r="EV201" i="14"/>
  <c r="EB145" i="14"/>
  <c r="EJ145" i="14"/>
  <c r="ER145" i="14"/>
  <c r="EI201" i="14"/>
  <c r="EY201" i="14"/>
  <c r="EC145" i="14"/>
  <c r="EK145" i="14"/>
  <c r="ES145" i="14"/>
  <c r="GY145" i="14"/>
  <c r="FD201" i="14"/>
  <c r="EK201" i="14"/>
  <c r="ED145" i="14"/>
  <c r="EL145" i="14"/>
  <c r="ET145" i="14"/>
  <c r="AL143" i="17"/>
  <c r="FL201" i="14"/>
  <c r="DX201" i="14"/>
  <c r="EN201" i="14"/>
  <c r="DX145" i="14"/>
  <c r="EF145" i="14"/>
  <c r="EN145" i="14"/>
  <c r="EV145" i="14"/>
  <c r="EO145" i="14"/>
  <c r="CZ201" i="14"/>
  <c r="DH201" i="14"/>
  <c r="DP201" i="14"/>
  <c r="CY145" i="14"/>
  <c r="DG145" i="14"/>
  <c r="DO145" i="14"/>
  <c r="AC201" i="14"/>
  <c r="AK201" i="14"/>
  <c r="AS201" i="14"/>
  <c r="BA201" i="14"/>
  <c r="EU145" i="14"/>
  <c r="CS201" i="14"/>
  <c r="DA201" i="14"/>
  <c r="DI201" i="14"/>
  <c r="DQ201" i="14"/>
  <c r="CZ145" i="14"/>
  <c r="DH145" i="14"/>
  <c r="DP145" i="14"/>
  <c r="AD201" i="14"/>
  <c r="AL201" i="14"/>
  <c r="AT201" i="14"/>
  <c r="BB201" i="14"/>
  <c r="EW145" i="14"/>
  <c r="CT201" i="14"/>
  <c r="DB201" i="14"/>
  <c r="DJ201" i="14"/>
  <c r="DR201" i="14"/>
  <c r="CS145" i="14"/>
  <c r="DA145" i="14"/>
  <c r="DI145" i="14"/>
  <c r="DQ145" i="14"/>
  <c r="AE201" i="14"/>
  <c r="AM201" i="14"/>
  <c r="AU201" i="14"/>
  <c r="CU201" i="14"/>
  <c r="DC201" i="14"/>
  <c r="DK201" i="14"/>
  <c r="DS201" i="14"/>
  <c r="CT145" i="14"/>
  <c r="DB145" i="14"/>
  <c r="DJ145" i="14"/>
  <c r="DR145" i="14"/>
  <c r="AF201" i="14"/>
  <c r="AN201" i="14"/>
  <c r="AV201" i="14"/>
  <c r="EA201" i="14"/>
  <c r="DY145" i="14"/>
  <c r="CV201" i="14"/>
  <c r="DD201" i="14"/>
  <c r="DL201" i="14"/>
  <c r="DT201" i="14"/>
  <c r="CU145" i="14"/>
  <c r="DC145" i="14"/>
  <c r="DK145" i="14"/>
  <c r="DS145" i="14"/>
  <c r="AG201" i="14"/>
  <c r="AO201" i="14"/>
  <c r="AW201" i="14"/>
  <c r="FR201" i="14"/>
  <c r="EQ201" i="14"/>
  <c r="EG145" i="14"/>
  <c r="CX201" i="14"/>
  <c r="DF201" i="14"/>
  <c r="DN201" i="14"/>
  <c r="CW145" i="14"/>
  <c r="DE145" i="14"/>
  <c r="DM145" i="14"/>
  <c r="AA201" i="14"/>
  <c r="AI201" i="14"/>
  <c r="AQ201" i="14"/>
  <c r="AY201" i="14"/>
  <c r="CY201" i="14"/>
  <c r="DF145" i="14"/>
  <c r="AZ201" i="14"/>
  <c r="FJ201" i="14"/>
  <c r="EL201" i="14"/>
  <c r="EE145" i="14"/>
  <c r="DE201" i="14"/>
  <c r="DL145" i="14"/>
  <c r="EM145" i="14"/>
  <c r="DG201" i="14"/>
  <c r="DN145" i="14"/>
  <c r="AB201" i="14"/>
  <c r="DM201" i="14"/>
  <c r="DT145" i="14"/>
  <c r="AH201" i="14"/>
  <c r="CX145" i="14"/>
  <c r="AR201" i="14"/>
  <c r="CW201" i="14"/>
  <c r="DD145" i="14"/>
  <c r="AX201" i="14"/>
  <c r="AB145" i="14"/>
  <c r="AJ145" i="14"/>
  <c r="AR145" i="14"/>
  <c r="AZ145" i="14"/>
  <c r="M197" i="6"/>
  <c r="U197" i="6"/>
  <c r="AC197" i="6"/>
  <c r="AC145" i="14"/>
  <c r="AK145" i="14"/>
  <c r="AS145" i="14"/>
  <c r="BA145" i="14"/>
  <c r="N197" i="6"/>
  <c r="V197" i="6"/>
  <c r="AD197" i="6"/>
  <c r="AD145" i="14"/>
  <c r="AL145" i="14"/>
  <c r="AT145" i="14"/>
  <c r="BB145" i="14"/>
  <c r="O197" i="6"/>
  <c r="W197" i="6"/>
  <c r="AE197" i="6"/>
  <c r="AE145" i="14"/>
  <c r="AM145" i="14"/>
  <c r="AU145" i="14"/>
  <c r="P197" i="6"/>
  <c r="X197" i="6"/>
  <c r="AF197" i="6"/>
  <c r="DO201" i="14"/>
  <c r="AJ201" i="14"/>
  <c r="AH145" i="14"/>
  <c r="AP145" i="14"/>
  <c r="AX145" i="14"/>
  <c r="K197" i="6"/>
  <c r="S197" i="6"/>
  <c r="AA197" i="6"/>
  <c r="AI197" i="6"/>
  <c r="AP201" i="14"/>
  <c r="AA145" i="14"/>
  <c r="AI145" i="14"/>
  <c r="AQ145" i="14"/>
  <c r="AY145" i="14"/>
  <c r="L197" i="6"/>
  <c r="T197" i="6"/>
  <c r="AB197" i="6"/>
  <c r="AJ197" i="6"/>
  <c r="AF145" i="14"/>
  <c r="AG197" i="6"/>
  <c r="AW145" i="14"/>
  <c r="AG145" i="14"/>
  <c r="AH197" i="6"/>
  <c r="CV145" i="14"/>
  <c r="AN145" i="14"/>
  <c r="I197" i="6"/>
  <c r="I95" i="2" s="1"/>
  <c r="R197" i="6"/>
  <c r="AO145" i="14"/>
  <c r="J197" i="6"/>
  <c r="Z197" i="6"/>
  <c r="AV145" i="14"/>
  <c r="Q197" i="6"/>
  <c r="Y197" i="6"/>
  <c r="BS145" i="14"/>
  <c r="CA145" i="14"/>
  <c r="CI145" i="14"/>
  <c r="BO201" i="14"/>
  <c r="BW201" i="14"/>
  <c r="CE201" i="14"/>
  <c r="CM201" i="14"/>
  <c r="CL201" i="14"/>
  <c r="BT145" i="14"/>
  <c r="CB145" i="14"/>
  <c r="CJ145" i="14"/>
  <c r="BP201" i="14"/>
  <c r="BX201" i="14"/>
  <c r="CF201" i="14"/>
  <c r="CN201" i="14"/>
  <c r="CF145" i="14"/>
  <c r="CB201" i="14"/>
  <c r="CD201" i="14"/>
  <c r="BU145" i="14"/>
  <c r="CC145" i="14"/>
  <c r="CK145" i="14"/>
  <c r="BQ201" i="14"/>
  <c r="BY201" i="14"/>
  <c r="CG201" i="14"/>
  <c r="CO201" i="14"/>
  <c r="BP145" i="14"/>
  <c r="CN145" i="14"/>
  <c r="BN201" i="14"/>
  <c r="BN145" i="14"/>
  <c r="BV145" i="14"/>
  <c r="CD145" i="14"/>
  <c r="CL145" i="14"/>
  <c r="BR201" i="14"/>
  <c r="BZ201" i="14"/>
  <c r="CH201" i="14"/>
  <c r="BT201" i="14"/>
  <c r="CJ201" i="14"/>
  <c r="BO145" i="14"/>
  <c r="BW145" i="14"/>
  <c r="CE145" i="14"/>
  <c r="CM145" i="14"/>
  <c r="BS201" i="14"/>
  <c r="CA201" i="14"/>
  <c r="CI201" i="14"/>
  <c r="BX145" i="14"/>
  <c r="BV201" i="14"/>
  <c r="BQ145" i="14"/>
  <c r="BY145" i="14"/>
  <c r="CG145" i="14"/>
  <c r="CO145" i="14"/>
  <c r="BU201" i="14"/>
  <c r="CC201" i="14"/>
  <c r="CK201" i="14"/>
  <c r="BR145" i="14"/>
  <c r="BZ145" i="14"/>
  <c r="CH145" i="14"/>
  <c r="BO122" i="17"/>
  <c r="BW122" i="17"/>
  <c r="CE122" i="17"/>
  <c r="CM122" i="17"/>
  <c r="BP122" i="17"/>
  <c r="BX122" i="17"/>
  <c r="CF122" i="17"/>
  <c r="CN122" i="17"/>
  <c r="BQ122" i="17"/>
  <c r="BY122" i="17"/>
  <c r="CG122" i="17"/>
  <c r="BR122" i="17"/>
  <c r="BZ122" i="17"/>
  <c r="CH122" i="17"/>
  <c r="BT122" i="17"/>
  <c r="CB122" i="17"/>
  <c r="CJ122" i="17"/>
  <c r="BM122" i="17"/>
  <c r="BU122" i="17"/>
  <c r="CC122" i="17"/>
  <c r="CK122" i="17"/>
  <c r="BN122" i="17"/>
  <c r="BV122" i="17"/>
  <c r="CD122" i="17"/>
  <c r="CL122" i="17"/>
  <c r="BS122" i="17"/>
  <c r="CI122" i="17"/>
  <c r="AN178" i="17"/>
  <c r="AV178" i="17"/>
  <c r="BD178" i="17"/>
  <c r="AG178" i="17"/>
  <c r="AO178" i="17"/>
  <c r="AW178" i="17"/>
  <c r="BE178" i="17"/>
  <c r="AH178" i="17"/>
  <c r="AP178" i="17"/>
  <c r="AX178" i="17"/>
  <c r="BF178" i="17"/>
  <c r="CA122" i="17"/>
  <c r="AI178" i="17"/>
  <c r="AQ178" i="17"/>
  <c r="AY178" i="17"/>
  <c r="BG178" i="17"/>
  <c r="AJ178" i="17"/>
  <c r="AR178" i="17"/>
  <c r="AZ178" i="17"/>
  <c r="BH178" i="17"/>
  <c r="AK178" i="17"/>
  <c r="AS178" i="17"/>
  <c r="BA178" i="17"/>
  <c r="AL178" i="17"/>
  <c r="AT178" i="17"/>
  <c r="BB178" i="17"/>
  <c r="AL122" i="17"/>
  <c r="AT122" i="17"/>
  <c r="BB122" i="17"/>
  <c r="AM122" i="17"/>
  <c r="AU122" i="17"/>
  <c r="BC122" i="17"/>
  <c r="AM178" i="17"/>
  <c r="AN122" i="17"/>
  <c r="AV122" i="17"/>
  <c r="BD122" i="17"/>
  <c r="AU178" i="17"/>
  <c r="AG122" i="17"/>
  <c r="AO122" i="17"/>
  <c r="AW122" i="17"/>
  <c r="BE122" i="17"/>
  <c r="BC178" i="17"/>
  <c r="AH122" i="17"/>
  <c r="AP122" i="17"/>
  <c r="AX122" i="17"/>
  <c r="BF122" i="17"/>
  <c r="AI122" i="17"/>
  <c r="AQ122" i="17"/>
  <c r="AY122" i="17"/>
  <c r="BG122" i="17"/>
  <c r="AJ122" i="17"/>
  <c r="AR122" i="17"/>
  <c r="AZ122" i="17"/>
  <c r="BH122" i="17"/>
  <c r="AK122" i="17"/>
  <c r="H178" i="17"/>
  <c r="P178" i="17"/>
  <c r="X178" i="17"/>
  <c r="AS122" i="17"/>
  <c r="I178" i="17"/>
  <c r="Q178" i="17"/>
  <c r="Y178" i="17"/>
  <c r="E122" i="17"/>
  <c r="M122" i="17"/>
  <c r="U122" i="17"/>
  <c r="AC122" i="17"/>
  <c r="BA122" i="17"/>
  <c r="B178" i="17"/>
  <c r="J178" i="17"/>
  <c r="R178" i="17"/>
  <c r="Z178" i="17"/>
  <c r="F122" i="17"/>
  <c r="N122" i="17"/>
  <c r="V122" i="17"/>
  <c r="C178" i="17"/>
  <c r="K178" i="17"/>
  <c r="S178" i="17"/>
  <c r="AA178" i="17"/>
  <c r="G122" i="17"/>
  <c r="O122" i="17"/>
  <c r="W122" i="17"/>
  <c r="D178" i="17"/>
  <c r="L178" i="17"/>
  <c r="T178" i="17"/>
  <c r="AB178" i="17"/>
  <c r="H122" i="17"/>
  <c r="P122" i="17"/>
  <c r="X122" i="17"/>
  <c r="E178" i="17"/>
  <c r="M178" i="17"/>
  <c r="U178" i="17"/>
  <c r="AC178" i="17"/>
  <c r="I122" i="17"/>
  <c r="Q122" i="17"/>
  <c r="Y122" i="17"/>
  <c r="F178" i="17"/>
  <c r="N178" i="17"/>
  <c r="V178" i="17"/>
  <c r="W178" i="17"/>
  <c r="D122" i="17"/>
  <c r="AA122" i="17"/>
  <c r="GP124" i="14"/>
  <c r="GX124" i="14"/>
  <c r="HF124" i="14"/>
  <c r="J122" i="17"/>
  <c r="AB122" i="17"/>
  <c r="GI124" i="14"/>
  <c r="GQ124" i="14"/>
  <c r="GY124" i="14"/>
  <c r="HG124" i="14"/>
  <c r="K122" i="17"/>
  <c r="GJ124" i="14"/>
  <c r="GR124" i="14"/>
  <c r="GZ124" i="14"/>
  <c r="HH124" i="14"/>
  <c r="L122" i="17"/>
  <c r="GK124" i="14"/>
  <c r="GS124" i="14"/>
  <c r="HA124" i="14"/>
  <c r="HI124" i="14"/>
  <c r="R122" i="17"/>
  <c r="GL124" i="14"/>
  <c r="GT124" i="14"/>
  <c r="HB124" i="14"/>
  <c r="HJ124" i="14"/>
  <c r="G178" i="17"/>
  <c r="B122" i="17"/>
  <c r="T122" i="17"/>
  <c r="GN124" i="14"/>
  <c r="GV124" i="14"/>
  <c r="HD124" i="14"/>
  <c r="O178" i="17"/>
  <c r="FC124" i="14"/>
  <c r="FK124" i="14"/>
  <c r="FS124" i="14"/>
  <c r="GA124" i="14"/>
  <c r="GM124" i="14"/>
  <c r="FD124" i="14"/>
  <c r="FL124" i="14"/>
  <c r="FT124" i="14"/>
  <c r="GB124" i="14"/>
  <c r="GO124" i="14"/>
  <c r="FE124" i="14"/>
  <c r="FM124" i="14"/>
  <c r="FU124" i="14"/>
  <c r="GC124" i="14"/>
  <c r="GU124" i="14"/>
  <c r="FF124" i="14"/>
  <c r="FN124" i="14"/>
  <c r="FV124" i="14"/>
  <c r="GD124" i="14"/>
  <c r="FJ180" i="14"/>
  <c r="FR180" i="14"/>
  <c r="FZ180" i="14"/>
  <c r="C122" i="17"/>
  <c r="GW124" i="14"/>
  <c r="FG124" i="14"/>
  <c r="FO124" i="14"/>
  <c r="FW124" i="14"/>
  <c r="FC180" i="14"/>
  <c r="FK180" i="14"/>
  <c r="FS180" i="14"/>
  <c r="GA180" i="14"/>
  <c r="Z122" i="17"/>
  <c r="HE124" i="14"/>
  <c r="FI124" i="14"/>
  <c r="FQ124" i="14"/>
  <c r="FY124" i="14"/>
  <c r="FE180" i="14"/>
  <c r="FM180" i="14"/>
  <c r="FU180" i="14"/>
  <c r="GC180" i="14"/>
  <c r="FZ124" i="14"/>
  <c r="FO180" i="14"/>
  <c r="GB180" i="14"/>
  <c r="DZ180" i="14"/>
  <c r="EH180" i="14"/>
  <c r="EP180" i="14"/>
  <c r="EX180" i="14"/>
  <c r="HC124" i="14"/>
  <c r="FD180" i="14"/>
  <c r="FP180" i="14"/>
  <c r="GD180" i="14"/>
  <c r="EA180" i="14"/>
  <c r="EI180" i="14"/>
  <c r="EQ180" i="14"/>
  <c r="EY180" i="14"/>
  <c r="FF180" i="14"/>
  <c r="FQ180" i="14"/>
  <c r="EB180" i="14"/>
  <c r="EJ180" i="14"/>
  <c r="ER180" i="14"/>
  <c r="FH124" i="14"/>
  <c r="FG180" i="14"/>
  <c r="FT180" i="14"/>
  <c r="EC180" i="14"/>
  <c r="EK180" i="14"/>
  <c r="ES180" i="14"/>
  <c r="FJ124" i="14"/>
  <c r="FH180" i="14"/>
  <c r="FV180" i="14"/>
  <c r="ED180" i="14"/>
  <c r="EL180" i="14"/>
  <c r="ET180" i="14"/>
  <c r="FR124" i="14"/>
  <c r="FL180" i="14"/>
  <c r="FX180" i="14"/>
  <c r="DX180" i="14"/>
  <c r="EF180" i="14"/>
  <c r="EN180" i="14"/>
  <c r="EV180" i="14"/>
  <c r="FN180" i="14"/>
  <c r="EG180" i="14"/>
  <c r="ED124" i="14"/>
  <c r="EL124" i="14"/>
  <c r="ET124" i="14"/>
  <c r="FW180" i="14"/>
  <c r="EM180" i="14"/>
  <c r="EE124" i="14"/>
  <c r="EM124" i="14"/>
  <c r="EU124" i="14"/>
  <c r="CV180" i="14"/>
  <c r="DD180" i="14"/>
  <c r="DL180" i="14"/>
  <c r="DT180" i="14"/>
  <c r="FY180" i="14"/>
  <c r="EO180" i="14"/>
  <c r="DX124" i="14"/>
  <c r="EF124" i="14"/>
  <c r="EN124" i="14"/>
  <c r="EV124" i="14"/>
  <c r="CW180" i="14"/>
  <c r="DE180" i="14"/>
  <c r="EU180" i="14"/>
  <c r="DY124" i="14"/>
  <c r="EG124" i="14"/>
  <c r="EO124" i="14"/>
  <c r="EW124" i="14"/>
  <c r="CX180" i="14"/>
  <c r="DF180" i="14"/>
  <c r="DN180" i="14"/>
  <c r="EW180" i="14"/>
  <c r="DZ124" i="14"/>
  <c r="EH124" i="14"/>
  <c r="EP124" i="14"/>
  <c r="EX124" i="14"/>
  <c r="CY180" i="14"/>
  <c r="DG180" i="14"/>
  <c r="DO180" i="14"/>
  <c r="S122" i="17"/>
  <c r="FX124" i="14"/>
  <c r="DY180" i="14"/>
  <c r="EB124" i="14"/>
  <c r="EJ124" i="14"/>
  <c r="ER124" i="14"/>
  <c r="CS180" i="14"/>
  <c r="DA180" i="14"/>
  <c r="DI180" i="14"/>
  <c r="DQ180" i="14"/>
  <c r="DK180" i="14"/>
  <c r="CU124" i="14"/>
  <c r="DC124" i="14"/>
  <c r="DK124" i="14"/>
  <c r="DS124" i="14"/>
  <c r="AG180" i="14"/>
  <c r="AO180" i="14"/>
  <c r="AW180" i="14"/>
  <c r="AG124" i="14"/>
  <c r="AO124" i="14"/>
  <c r="AW124" i="14"/>
  <c r="FP124" i="14"/>
  <c r="EA124" i="14"/>
  <c r="CT180" i="14"/>
  <c r="DM180" i="14"/>
  <c r="CV124" i="14"/>
  <c r="DD124" i="14"/>
  <c r="DL124" i="14"/>
  <c r="DT124" i="14"/>
  <c r="AH180" i="14"/>
  <c r="AP180" i="14"/>
  <c r="AX180" i="14"/>
  <c r="AH124" i="14"/>
  <c r="AP124" i="14"/>
  <c r="AX124" i="14"/>
  <c r="FI180" i="14"/>
  <c r="EE180" i="14"/>
  <c r="EC124" i="14"/>
  <c r="CU180" i="14"/>
  <c r="DP180" i="14"/>
  <c r="CW124" i="14"/>
  <c r="DE124" i="14"/>
  <c r="DM124" i="14"/>
  <c r="AA180" i="14"/>
  <c r="AI180" i="14"/>
  <c r="AQ180" i="14"/>
  <c r="AY180" i="14"/>
  <c r="AA124" i="14"/>
  <c r="AI124" i="14"/>
  <c r="AQ124" i="14"/>
  <c r="AY124" i="14"/>
  <c r="EI124" i="14"/>
  <c r="CZ180" i="14"/>
  <c r="DR180" i="14"/>
  <c r="CX124" i="14"/>
  <c r="DF124" i="14"/>
  <c r="DN124" i="14"/>
  <c r="AB180" i="14"/>
  <c r="AJ180" i="14"/>
  <c r="AR180" i="14"/>
  <c r="AZ180" i="14"/>
  <c r="AB124" i="14"/>
  <c r="AJ124" i="14"/>
  <c r="AR124" i="14"/>
  <c r="AZ124" i="14"/>
  <c r="EK124" i="14"/>
  <c r="DB180" i="14"/>
  <c r="DS180" i="14"/>
  <c r="CY124" i="14"/>
  <c r="DG124" i="14"/>
  <c r="DO124" i="14"/>
  <c r="AC180" i="14"/>
  <c r="AK180" i="14"/>
  <c r="AS180" i="14"/>
  <c r="BA180" i="14"/>
  <c r="AC124" i="14"/>
  <c r="AK124" i="14"/>
  <c r="AS124" i="14"/>
  <c r="BA124" i="14"/>
  <c r="ES124" i="14"/>
  <c r="DH180" i="14"/>
  <c r="CS124" i="14"/>
  <c r="DA124" i="14"/>
  <c r="DI124" i="14"/>
  <c r="DQ124" i="14"/>
  <c r="AE180" i="14"/>
  <c r="AM180" i="14"/>
  <c r="AU180" i="14"/>
  <c r="AE124" i="14"/>
  <c r="AM124" i="14"/>
  <c r="AU124" i="14"/>
  <c r="DR124" i="14"/>
  <c r="AF180" i="14"/>
  <c r="AV124" i="14"/>
  <c r="AL180" i="14"/>
  <c r="BB124" i="14"/>
  <c r="CT124" i="14"/>
  <c r="AN180" i="14"/>
  <c r="CZ124" i="14"/>
  <c r="AT180" i="14"/>
  <c r="AD124" i="14"/>
  <c r="EY124" i="14"/>
  <c r="DJ180" i="14"/>
  <c r="DJ124" i="14"/>
  <c r="AN124" i="14"/>
  <c r="DP124" i="14"/>
  <c r="AD180" i="14"/>
  <c r="AT124" i="14"/>
  <c r="DB124" i="14"/>
  <c r="I176" i="6"/>
  <c r="Q176" i="6"/>
  <c r="Y176" i="6"/>
  <c r="AG176" i="6"/>
  <c r="DH124" i="14"/>
  <c r="J176" i="6"/>
  <c r="R176" i="6"/>
  <c r="Z176" i="6"/>
  <c r="AH176" i="6"/>
  <c r="AV180" i="14"/>
  <c r="K176" i="6"/>
  <c r="S176" i="6"/>
  <c r="AA176" i="6"/>
  <c r="AI176" i="6"/>
  <c r="BB180" i="14"/>
  <c r="L176" i="6"/>
  <c r="T176" i="6"/>
  <c r="AB176" i="6"/>
  <c r="AJ176" i="6"/>
  <c r="AF124" i="14"/>
  <c r="O176" i="6"/>
  <c r="W176" i="6"/>
  <c r="AE176" i="6"/>
  <c r="AL124" i="14"/>
  <c r="P176" i="6"/>
  <c r="X176" i="6"/>
  <c r="AF176" i="6"/>
  <c r="EQ124" i="14"/>
  <c r="M176" i="6"/>
  <c r="N176" i="6"/>
  <c r="U176" i="6"/>
  <c r="DC180" i="14"/>
  <c r="V176" i="6"/>
  <c r="AD176" i="6"/>
  <c r="AC176" i="6"/>
  <c r="BO124" i="14"/>
  <c r="BW124" i="14"/>
  <c r="CE124" i="14"/>
  <c r="CM124" i="14"/>
  <c r="BS180" i="14"/>
  <c r="CA180" i="14"/>
  <c r="CI180" i="14"/>
  <c r="BP124" i="14"/>
  <c r="BX124" i="14"/>
  <c r="CF124" i="14"/>
  <c r="CN124" i="14"/>
  <c r="BT180" i="14"/>
  <c r="CB180" i="14"/>
  <c r="CJ180" i="14"/>
  <c r="CN180" i="14"/>
  <c r="BQ124" i="14"/>
  <c r="BY124" i="14"/>
  <c r="CG124" i="14"/>
  <c r="CO124" i="14"/>
  <c r="BU180" i="14"/>
  <c r="CC180" i="14"/>
  <c r="CK180" i="14"/>
  <c r="CB124" i="14"/>
  <c r="CF180" i="14"/>
  <c r="BZ180" i="14"/>
  <c r="BR124" i="14"/>
  <c r="BZ124" i="14"/>
  <c r="CH124" i="14"/>
  <c r="BN180" i="14"/>
  <c r="BV180" i="14"/>
  <c r="CD180" i="14"/>
  <c r="CL180" i="14"/>
  <c r="BT124" i="14"/>
  <c r="BP180" i="14"/>
  <c r="BS124" i="14"/>
  <c r="CA124" i="14"/>
  <c r="CI124" i="14"/>
  <c r="BO180" i="14"/>
  <c r="BW180" i="14"/>
  <c r="CE180" i="14"/>
  <c r="CM180" i="14"/>
  <c r="CJ124" i="14"/>
  <c r="BX180" i="14"/>
  <c r="CH180" i="14"/>
  <c r="BU124" i="14"/>
  <c r="CC124" i="14"/>
  <c r="CK124" i="14"/>
  <c r="BQ180" i="14"/>
  <c r="BY180" i="14"/>
  <c r="CG180" i="14"/>
  <c r="CO180" i="14"/>
  <c r="BN124" i="14"/>
  <c r="BV124" i="14"/>
  <c r="CD124" i="14"/>
  <c r="CL124" i="14"/>
  <c r="BR180" i="14"/>
  <c r="BS121" i="17"/>
  <c r="CA121" i="17"/>
  <c r="CI121" i="17"/>
  <c r="BT121" i="17"/>
  <c r="CB121" i="17"/>
  <c r="CJ121" i="17"/>
  <c r="BM121" i="17"/>
  <c r="BU121" i="17"/>
  <c r="CC121" i="17"/>
  <c r="CK121" i="17"/>
  <c r="BN121" i="17"/>
  <c r="BV121" i="17"/>
  <c r="CD121" i="17"/>
  <c r="CL121" i="17"/>
  <c r="BP121" i="17"/>
  <c r="BX121" i="17"/>
  <c r="CF121" i="17"/>
  <c r="CN121" i="17"/>
  <c r="BQ121" i="17"/>
  <c r="BY121" i="17"/>
  <c r="CG121" i="17"/>
  <c r="BR121" i="17"/>
  <c r="BZ121" i="17"/>
  <c r="CH121" i="17"/>
  <c r="BO121" i="17"/>
  <c r="BW121" i="17"/>
  <c r="CE121" i="17"/>
  <c r="AJ177" i="17"/>
  <c r="AR177" i="17"/>
  <c r="AZ177" i="17"/>
  <c r="BH177" i="17"/>
  <c r="AK177" i="17"/>
  <c r="AS177" i="17"/>
  <c r="BA177" i="17"/>
  <c r="CM121" i="17"/>
  <c r="AL177" i="17"/>
  <c r="AT177" i="17"/>
  <c r="BB177" i="17"/>
  <c r="AM177" i="17"/>
  <c r="AU177" i="17"/>
  <c r="BC177" i="17"/>
  <c r="AN177" i="17"/>
  <c r="AV177" i="17"/>
  <c r="BD177" i="17"/>
  <c r="AG177" i="17"/>
  <c r="AO177" i="17"/>
  <c r="AW177" i="17"/>
  <c r="BE177" i="17"/>
  <c r="AH177" i="17"/>
  <c r="AP177" i="17"/>
  <c r="AX177" i="17"/>
  <c r="BF177" i="17"/>
  <c r="AY177" i="17"/>
  <c r="AH121" i="17"/>
  <c r="AP121" i="17"/>
  <c r="AX121" i="17"/>
  <c r="BF121" i="17"/>
  <c r="BG177" i="17"/>
  <c r="AI121" i="17"/>
  <c r="AQ121" i="17"/>
  <c r="AY121" i="17"/>
  <c r="BG121" i="17"/>
  <c r="AJ121" i="17"/>
  <c r="AR121" i="17"/>
  <c r="AZ121" i="17"/>
  <c r="BH121" i="17"/>
  <c r="AK121" i="17"/>
  <c r="AS121" i="17"/>
  <c r="BA121" i="17"/>
  <c r="AL121" i="17"/>
  <c r="AT121" i="17"/>
  <c r="BB121" i="17"/>
  <c r="AM121" i="17"/>
  <c r="AU121" i="17"/>
  <c r="BC121" i="17"/>
  <c r="AI177" i="17"/>
  <c r="AN121" i="17"/>
  <c r="AV121" i="17"/>
  <c r="BD121" i="17"/>
  <c r="D177" i="17"/>
  <c r="L177" i="17"/>
  <c r="T177" i="17"/>
  <c r="AB177" i="17"/>
  <c r="E177" i="17"/>
  <c r="M177" i="17"/>
  <c r="U177" i="17"/>
  <c r="AC177" i="17"/>
  <c r="I121" i="17"/>
  <c r="Q121" i="17"/>
  <c r="Y121" i="17"/>
  <c r="F177" i="17"/>
  <c r="N177" i="17"/>
  <c r="V177" i="17"/>
  <c r="B121" i="17"/>
  <c r="J121" i="17"/>
  <c r="R121" i="17"/>
  <c r="Z121" i="17"/>
  <c r="G177" i="17"/>
  <c r="O177" i="17"/>
  <c r="W177" i="17"/>
  <c r="C121" i="17"/>
  <c r="K121" i="17"/>
  <c r="S121" i="17"/>
  <c r="AA121" i="17"/>
  <c r="AG121" i="17"/>
  <c r="H177" i="17"/>
  <c r="P177" i="17"/>
  <c r="X177" i="17"/>
  <c r="D121" i="17"/>
  <c r="L121" i="17"/>
  <c r="T121" i="17"/>
  <c r="AB121" i="17"/>
  <c r="AO121" i="17"/>
  <c r="I177" i="17"/>
  <c r="Q177" i="17"/>
  <c r="Y177" i="17"/>
  <c r="E121" i="17"/>
  <c r="M121" i="17"/>
  <c r="U121" i="17"/>
  <c r="AC121" i="17"/>
  <c r="AQ177" i="17"/>
  <c r="AW121" i="17"/>
  <c r="B177" i="17"/>
  <c r="J177" i="17"/>
  <c r="R177" i="17"/>
  <c r="Z177" i="17"/>
  <c r="N121" i="17"/>
  <c r="GL123" i="14"/>
  <c r="GT123" i="14"/>
  <c r="HB123" i="14"/>
  <c r="HJ123" i="14"/>
  <c r="O121" i="17"/>
  <c r="GM123" i="14"/>
  <c r="GU123" i="14"/>
  <c r="HC123" i="14"/>
  <c r="C177" i="17"/>
  <c r="P121" i="17"/>
  <c r="GN123" i="14"/>
  <c r="GV123" i="14"/>
  <c r="HD123" i="14"/>
  <c r="BE121" i="17"/>
  <c r="K177" i="17"/>
  <c r="V121" i="17"/>
  <c r="GO123" i="14"/>
  <c r="GW123" i="14"/>
  <c r="HE123" i="14"/>
  <c r="S177" i="17"/>
  <c r="W121" i="17"/>
  <c r="GP123" i="14"/>
  <c r="GX123" i="14"/>
  <c r="HF123" i="14"/>
  <c r="G121" i="17"/>
  <c r="GJ123" i="14"/>
  <c r="GR123" i="14"/>
  <c r="GZ123" i="14"/>
  <c r="HH123" i="14"/>
  <c r="HI123" i="14"/>
  <c r="FG123" i="14"/>
  <c r="FO123" i="14"/>
  <c r="FW123" i="14"/>
  <c r="F121" i="17"/>
  <c r="GI123" i="14"/>
  <c r="FH123" i="14"/>
  <c r="FP123" i="14"/>
  <c r="FX123" i="14"/>
  <c r="FD179" i="14"/>
  <c r="FL179" i="14"/>
  <c r="FT179" i="14"/>
  <c r="H121" i="17"/>
  <c r="GK123" i="14"/>
  <c r="FI123" i="14"/>
  <c r="FQ123" i="14"/>
  <c r="FY123" i="14"/>
  <c r="FE179" i="14"/>
  <c r="FM179" i="14"/>
  <c r="FU179" i="14"/>
  <c r="X121" i="17"/>
  <c r="GQ123" i="14"/>
  <c r="FJ123" i="14"/>
  <c r="FR123" i="14"/>
  <c r="FZ123" i="14"/>
  <c r="FF179" i="14"/>
  <c r="FN179" i="14"/>
  <c r="FV179" i="14"/>
  <c r="GD179" i="14"/>
  <c r="GS123" i="14"/>
  <c r="FC123" i="14"/>
  <c r="FK123" i="14"/>
  <c r="FS123" i="14"/>
  <c r="GA123" i="14"/>
  <c r="FG179" i="14"/>
  <c r="FO179" i="14"/>
  <c r="FW179" i="14"/>
  <c r="HA123" i="14"/>
  <c r="FE123" i="14"/>
  <c r="FM123" i="14"/>
  <c r="FU123" i="14"/>
  <c r="GC123" i="14"/>
  <c r="FI179" i="14"/>
  <c r="FQ179" i="14"/>
  <c r="FY179" i="14"/>
  <c r="HG123" i="14"/>
  <c r="FV123" i="14"/>
  <c r="FK179" i="14"/>
  <c r="GC179" i="14"/>
  <c r="ED179" i="14"/>
  <c r="EL179" i="14"/>
  <c r="ET179" i="14"/>
  <c r="GB123" i="14"/>
  <c r="FP179" i="14"/>
  <c r="EE179" i="14"/>
  <c r="EM179" i="14"/>
  <c r="EU179" i="14"/>
  <c r="GD123" i="14"/>
  <c r="FR179" i="14"/>
  <c r="DX179" i="14"/>
  <c r="EF179" i="14"/>
  <c r="EN179" i="14"/>
  <c r="EV179" i="14"/>
  <c r="FD123" i="14"/>
  <c r="FS179" i="14"/>
  <c r="DY179" i="14"/>
  <c r="EG179" i="14"/>
  <c r="EO179" i="14"/>
  <c r="EW179" i="14"/>
  <c r="FF123" i="14"/>
  <c r="FX179" i="14"/>
  <c r="DZ179" i="14"/>
  <c r="EH179" i="14"/>
  <c r="EP179" i="14"/>
  <c r="EX179" i="14"/>
  <c r="AA177" i="17"/>
  <c r="FN123" i="14"/>
  <c r="FH179" i="14"/>
  <c r="GA179" i="14"/>
  <c r="EB179" i="14"/>
  <c r="EJ179" i="14"/>
  <c r="ER179" i="14"/>
  <c r="EC179" i="14"/>
  <c r="DZ123" i="14"/>
  <c r="EH123" i="14"/>
  <c r="EP123" i="14"/>
  <c r="EX123" i="14"/>
  <c r="EI179" i="14"/>
  <c r="EA123" i="14"/>
  <c r="EI123" i="14"/>
  <c r="EQ123" i="14"/>
  <c r="EY123" i="14"/>
  <c r="CZ179" i="14"/>
  <c r="DH179" i="14"/>
  <c r="DP179" i="14"/>
  <c r="GY123" i="14"/>
  <c r="EK179" i="14"/>
  <c r="EB123" i="14"/>
  <c r="EJ123" i="14"/>
  <c r="ER123" i="14"/>
  <c r="CS179" i="14"/>
  <c r="DA179" i="14"/>
  <c r="DI179" i="14"/>
  <c r="DQ179" i="14"/>
  <c r="FL123" i="14"/>
  <c r="FC179" i="14"/>
  <c r="EQ179" i="14"/>
  <c r="EC123" i="14"/>
  <c r="EK123" i="14"/>
  <c r="ES123" i="14"/>
  <c r="CT179" i="14"/>
  <c r="DB179" i="14"/>
  <c r="DJ179" i="14"/>
  <c r="DR179" i="14"/>
  <c r="FT123" i="14"/>
  <c r="FJ179" i="14"/>
  <c r="ES179" i="14"/>
  <c r="ED123" i="14"/>
  <c r="EL123" i="14"/>
  <c r="ET123" i="14"/>
  <c r="CU179" i="14"/>
  <c r="DC179" i="14"/>
  <c r="DK179" i="14"/>
  <c r="DS179" i="14"/>
  <c r="GB179" i="14"/>
  <c r="DX123" i="14"/>
  <c r="EF123" i="14"/>
  <c r="EN123" i="14"/>
  <c r="EV123" i="14"/>
  <c r="CW179" i="14"/>
  <c r="DE179" i="14"/>
  <c r="DM179" i="14"/>
  <c r="EA179" i="14"/>
  <c r="EW123" i="14"/>
  <c r="CX179" i="14"/>
  <c r="DT179" i="14"/>
  <c r="CY123" i="14"/>
  <c r="DG123" i="14"/>
  <c r="DO123" i="14"/>
  <c r="AC179" i="14"/>
  <c r="AK179" i="14"/>
  <c r="AS179" i="14"/>
  <c r="BA179" i="14"/>
  <c r="AC123" i="14"/>
  <c r="AK123" i="14"/>
  <c r="AS123" i="14"/>
  <c r="BA123" i="14"/>
  <c r="FZ179" i="14"/>
  <c r="EY179" i="14"/>
  <c r="CY179" i="14"/>
  <c r="CZ123" i="14"/>
  <c r="DH123" i="14"/>
  <c r="DP123" i="14"/>
  <c r="AD179" i="14"/>
  <c r="AL179" i="14"/>
  <c r="AT179" i="14"/>
  <c r="BB179" i="14"/>
  <c r="AD123" i="14"/>
  <c r="AL123" i="14"/>
  <c r="AT123" i="14"/>
  <c r="BB123" i="14"/>
  <c r="DY123" i="14"/>
  <c r="DD179" i="14"/>
  <c r="CS123" i="14"/>
  <c r="DA123" i="14"/>
  <c r="DI123" i="14"/>
  <c r="DQ123" i="14"/>
  <c r="AE179" i="14"/>
  <c r="AM179" i="14"/>
  <c r="AU179" i="14"/>
  <c r="AE123" i="14"/>
  <c r="AM123" i="14"/>
  <c r="AU123" i="14"/>
  <c r="EE123" i="14"/>
  <c r="DF179" i="14"/>
  <c r="CT123" i="14"/>
  <c r="DB123" i="14"/>
  <c r="DJ123" i="14"/>
  <c r="DR123" i="14"/>
  <c r="AF179" i="14"/>
  <c r="AN179" i="14"/>
  <c r="AV179" i="14"/>
  <c r="AF123" i="14"/>
  <c r="AN123" i="14"/>
  <c r="AV123" i="14"/>
  <c r="EG123" i="14"/>
  <c r="DG179" i="14"/>
  <c r="CU123" i="14"/>
  <c r="DC123" i="14"/>
  <c r="DK123" i="14"/>
  <c r="DS123" i="14"/>
  <c r="AG179" i="14"/>
  <c r="AO179" i="14"/>
  <c r="AW179" i="14"/>
  <c r="AG123" i="14"/>
  <c r="AO123" i="14"/>
  <c r="AW123" i="14"/>
  <c r="EO123" i="14"/>
  <c r="DN179" i="14"/>
  <c r="CW123" i="14"/>
  <c r="DE123" i="14"/>
  <c r="DM123" i="14"/>
  <c r="AA179" i="14"/>
  <c r="AI179" i="14"/>
  <c r="AQ179" i="14"/>
  <c r="AY179" i="14"/>
  <c r="AA123" i="14"/>
  <c r="AI123" i="14"/>
  <c r="AQ123" i="14"/>
  <c r="AY123" i="14"/>
  <c r="DN123" i="14"/>
  <c r="AB179" i="14"/>
  <c r="AR123" i="14"/>
  <c r="DT123" i="14"/>
  <c r="AH179" i="14"/>
  <c r="AX123" i="14"/>
  <c r="CV179" i="14"/>
  <c r="AJ179" i="14"/>
  <c r="EM123" i="14"/>
  <c r="DL179" i="14"/>
  <c r="CV123" i="14"/>
  <c r="AP179" i="14"/>
  <c r="DF123" i="14"/>
  <c r="AZ179" i="14"/>
  <c r="AJ123" i="14"/>
  <c r="DL123" i="14"/>
  <c r="AP123" i="14"/>
  <c r="AR179" i="14"/>
  <c r="M175" i="6"/>
  <c r="U175" i="6"/>
  <c r="AC175" i="6"/>
  <c r="AX179" i="14"/>
  <c r="N175" i="6"/>
  <c r="V175" i="6"/>
  <c r="AD175" i="6"/>
  <c r="DO179" i="14"/>
  <c r="O175" i="6"/>
  <c r="W175" i="6"/>
  <c r="AE175" i="6"/>
  <c r="AB123" i="14"/>
  <c r="P175" i="6"/>
  <c r="X175" i="6"/>
  <c r="AF175" i="6"/>
  <c r="CX123" i="14"/>
  <c r="K175" i="6"/>
  <c r="S175" i="6"/>
  <c r="AA175" i="6"/>
  <c r="AI175" i="6"/>
  <c r="EU123" i="14"/>
  <c r="DD123" i="14"/>
  <c r="L175" i="6"/>
  <c r="T175" i="6"/>
  <c r="AB175" i="6"/>
  <c r="AJ175" i="6"/>
  <c r="I175" i="6"/>
  <c r="J175" i="6"/>
  <c r="AZ123" i="14"/>
  <c r="Z175" i="6"/>
  <c r="Q175" i="6"/>
  <c r="R175" i="6"/>
  <c r="AH123" i="14"/>
  <c r="Y175" i="6"/>
  <c r="AG175" i="6"/>
  <c r="AH175" i="6"/>
  <c r="BS123" i="14"/>
  <c r="CA123" i="14"/>
  <c r="CI123" i="14"/>
  <c r="BO179" i="14"/>
  <c r="BW179" i="14"/>
  <c r="CE179" i="14"/>
  <c r="CM179" i="14"/>
  <c r="CL179" i="14"/>
  <c r="BT123" i="14"/>
  <c r="CB123" i="14"/>
  <c r="CJ123" i="14"/>
  <c r="BP179" i="14"/>
  <c r="BX179" i="14"/>
  <c r="CF179" i="14"/>
  <c r="CN179" i="14"/>
  <c r="CN123" i="14"/>
  <c r="CJ179" i="14"/>
  <c r="CD179" i="14"/>
  <c r="BU123" i="14"/>
  <c r="CC123" i="14"/>
  <c r="CK123" i="14"/>
  <c r="BQ179" i="14"/>
  <c r="BY179" i="14"/>
  <c r="CG179" i="14"/>
  <c r="CO179" i="14"/>
  <c r="BX123" i="14"/>
  <c r="CB179" i="14"/>
  <c r="BV179" i="14"/>
  <c r="BN123" i="14"/>
  <c r="BV123" i="14"/>
  <c r="CD123" i="14"/>
  <c r="CL123" i="14"/>
  <c r="BR179" i="14"/>
  <c r="BZ179" i="14"/>
  <c r="CH179" i="14"/>
  <c r="BP123" i="14"/>
  <c r="BO123" i="14"/>
  <c r="BW123" i="14"/>
  <c r="CE123" i="14"/>
  <c r="CM123" i="14"/>
  <c r="BS179" i="14"/>
  <c r="CA179" i="14"/>
  <c r="CI179" i="14"/>
  <c r="CF123" i="14"/>
  <c r="BT179" i="14"/>
  <c r="BN179" i="14"/>
  <c r="BQ123" i="14"/>
  <c r="BY123" i="14"/>
  <c r="CG123" i="14"/>
  <c r="CO123" i="14"/>
  <c r="BU179" i="14"/>
  <c r="CC179" i="14"/>
  <c r="CK179" i="14"/>
  <c r="BR123" i="14"/>
  <c r="BZ123" i="14"/>
  <c r="CH123" i="14"/>
  <c r="BO156" i="17"/>
  <c r="BW156" i="17"/>
  <c r="CE156" i="17"/>
  <c r="CM156" i="17"/>
  <c r="BQ156" i="17"/>
  <c r="BY156" i="17"/>
  <c r="CG156" i="17"/>
  <c r="BR156" i="17"/>
  <c r="BZ156" i="17"/>
  <c r="CH156" i="17"/>
  <c r="BS156" i="17"/>
  <c r="CA156" i="17"/>
  <c r="CI156" i="17"/>
  <c r="BT156" i="17"/>
  <c r="CB156" i="17"/>
  <c r="CJ156" i="17"/>
  <c r="BM156" i="17"/>
  <c r="BU156" i="17"/>
  <c r="CC156" i="17"/>
  <c r="CK156" i="17"/>
  <c r="CD156" i="17"/>
  <c r="CF156" i="17"/>
  <c r="CL156" i="17"/>
  <c r="CN156" i="17"/>
  <c r="BN156" i="17"/>
  <c r="BP156" i="17"/>
  <c r="BV156" i="17"/>
  <c r="BX156" i="17"/>
  <c r="AH212" i="17"/>
  <c r="AP212" i="17"/>
  <c r="AX212" i="17"/>
  <c r="BF212" i="17"/>
  <c r="AI212" i="17"/>
  <c r="AQ212" i="17"/>
  <c r="AY212" i="17"/>
  <c r="BG212" i="17"/>
  <c r="AJ212" i="17"/>
  <c r="AR212" i="17"/>
  <c r="AZ212" i="17"/>
  <c r="BH212" i="17"/>
  <c r="AK212" i="17"/>
  <c r="AS212" i="17"/>
  <c r="BA212" i="17"/>
  <c r="AL212" i="17"/>
  <c r="AT212" i="17"/>
  <c r="BB212" i="17"/>
  <c r="AM212" i="17"/>
  <c r="AU212" i="17"/>
  <c r="BC212" i="17"/>
  <c r="AN212" i="17"/>
  <c r="AV212" i="17"/>
  <c r="BD212" i="17"/>
  <c r="AI156" i="17"/>
  <c r="AQ156" i="17"/>
  <c r="AY156" i="17"/>
  <c r="BG156" i="17"/>
  <c r="AJ156" i="17"/>
  <c r="AR156" i="17"/>
  <c r="AZ156" i="17"/>
  <c r="BH156" i="17"/>
  <c r="I212" i="17"/>
  <c r="Q212" i="17"/>
  <c r="Y212" i="17"/>
  <c r="AK156" i="17"/>
  <c r="AS156" i="17"/>
  <c r="BA156" i="17"/>
  <c r="B212" i="17"/>
  <c r="J212" i="17"/>
  <c r="R212" i="17"/>
  <c r="Z212" i="17"/>
  <c r="AL156" i="17"/>
  <c r="AT156" i="17"/>
  <c r="BB156" i="17"/>
  <c r="C212" i="17"/>
  <c r="K212" i="17"/>
  <c r="S212" i="17"/>
  <c r="AA212" i="17"/>
  <c r="AG212" i="17"/>
  <c r="AM156" i="17"/>
  <c r="AU156" i="17"/>
  <c r="BC156" i="17"/>
  <c r="D212" i="17"/>
  <c r="L212" i="17"/>
  <c r="T212" i="17"/>
  <c r="AB212" i="17"/>
  <c r="AO212" i="17"/>
  <c r="AN156" i="17"/>
  <c r="AV156" i="17"/>
  <c r="BD156" i="17"/>
  <c r="E212" i="17"/>
  <c r="M212" i="17"/>
  <c r="U212" i="17"/>
  <c r="AC212" i="17"/>
  <c r="AW212" i="17"/>
  <c r="AG156" i="17"/>
  <c r="AO156" i="17"/>
  <c r="AW156" i="17"/>
  <c r="BE156" i="17"/>
  <c r="N212" i="17"/>
  <c r="I156" i="17"/>
  <c r="Q156" i="17"/>
  <c r="Y156" i="17"/>
  <c r="O212" i="17"/>
  <c r="B156" i="17"/>
  <c r="J156" i="17"/>
  <c r="R156" i="17"/>
  <c r="Z156" i="17"/>
  <c r="AH156" i="17"/>
  <c r="P212" i="17"/>
  <c r="C156" i="17"/>
  <c r="K156" i="17"/>
  <c r="S156" i="17"/>
  <c r="AA156" i="17"/>
  <c r="AP156" i="17"/>
  <c r="V212" i="17"/>
  <c r="D156" i="17"/>
  <c r="L156" i="17"/>
  <c r="T156" i="17"/>
  <c r="AB156" i="17"/>
  <c r="BE212" i="17"/>
  <c r="AX156" i="17"/>
  <c r="W212" i="17"/>
  <c r="E156" i="17"/>
  <c r="M156" i="17"/>
  <c r="U156" i="17"/>
  <c r="AC156" i="17"/>
  <c r="G212" i="17"/>
  <c r="G156" i="17"/>
  <c r="O156" i="17"/>
  <c r="W156" i="17"/>
  <c r="H212" i="17"/>
  <c r="GM158" i="14"/>
  <c r="GU158" i="14"/>
  <c r="HC158" i="14"/>
  <c r="FC158" i="14"/>
  <c r="FK158" i="14"/>
  <c r="FS158" i="14"/>
  <c r="GA158" i="14"/>
  <c r="BF156" i="17"/>
  <c r="X212" i="17"/>
  <c r="F156" i="17"/>
  <c r="GN158" i="14"/>
  <c r="GV158" i="14"/>
  <c r="HD158" i="14"/>
  <c r="FD158" i="14"/>
  <c r="FL158" i="14"/>
  <c r="FT158" i="14"/>
  <c r="GB158" i="14"/>
  <c r="H156" i="17"/>
  <c r="GO158" i="14"/>
  <c r="GW158" i="14"/>
  <c r="HE158" i="14"/>
  <c r="FE158" i="14"/>
  <c r="FM158" i="14"/>
  <c r="FU158" i="14"/>
  <c r="GC158" i="14"/>
  <c r="N156" i="17"/>
  <c r="GP158" i="14"/>
  <c r="GX158" i="14"/>
  <c r="HF158" i="14"/>
  <c r="FF158" i="14"/>
  <c r="FN158" i="14"/>
  <c r="FV158" i="14"/>
  <c r="GD158" i="14"/>
  <c r="P156" i="17"/>
  <c r="GI158" i="14"/>
  <c r="GQ158" i="14"/>
  <c r="GY158" i="14"/>
  <c r="HG158" i="14"/>
  <c r="FG158" i="14"/>
  <c r="FO158" i="14"/>
  <c r="FW158" i="14"/>
  <c r="X156" i="17"/>
  <c r="GK158" i="14"/>
  <c r="GS158" i="14"/>
  <c r="HA158" i="14"/>
  <c r="HI158" i="14"/>
  <c r="FI158" i="14"/>
  <c r="FQ158" i="14"/>
  <c r="FY158" i="14"/>
  <c r="HB158" i="14"/>
  <c r="FI214" i="14"/>
  <c r="FQ214" i="14"/>
  <c r="FY214" i="14"/>
  <c r="HH158" i="14"/>
  <c r="FH158" i="14"/>
  <c r="FJ214" i="14"/>
  <c r="FR214" i="14"/>
  <c r="FZ214" i="14"/>
  <c r="HJ158" i="14"/>
  <c r="FJ158" i="14"/>
  <c r="FC214" i="14"/>
  <c r="FK214" i="14"/>
  <c r="FS214" i="14"/>
  <c r="GA214" i="14"/>
  <c r="V156" i="17"/>
  <c r="GJ158" i="14"/>
  <c r="FP158" i="14"/>
  <c r="FD214" i="14"/>
  <c r="FL214" i="14"/>
  <c r="FT214" i="14"/>
  <c r="GB214" i="14"/>
  <c r="F212" i="17"/>
  <c r="GL158" i="14"/>
  <c r="FR158" i="14"/>
  <c r="FE214" i="14"/>
  <c r="FM214" i="14"/>
  <c r="FU214" i="14"/>
  <c r="GC214" i="14"/>
  <c r="GT158" i="14"/>
  <c r="FZ158" i="14"/>
  <c r="FG214" i="14"/>
  <c r="FO214" i="14"/>
  <c r="FW214" i="14"/>
  <c r="GZ158" i="14"/>
  <c r="FH214" i="14"/>
  <c r="DZ214" i="14"/>
  <c r="EH214" i="14"/>
  <c r="EP214" i="14"/>
  <c r="EX214" i="14"/>
  <c r="ED158" i="14"/>
  <c r="EL158" i="14"/>
  <c r="ET158" i="14"/>
  <c r="FX158" i="14"/>
  <c r="FN214" i="14"/>
  <c r="EA214" i="14"/>
  <c r="EI214" i="14"/>
  <c r="EQ214" i="14"/>
  <c r="EY214" i="14"/>
  <c r="EE158" i="14"/>
  <c r="EM158" i="14"/>
  <c r="EU158" i="14"/>
  <c r="FP214" i="14"/>
  <c r="EB214" i="14"/>
  <c r="EJ214" i="14"/>
  <c r="ER214" i="14"/>
  <c r="DX158" i="14"/>
  <c r="EF158" i="14"/>
  <c r="EN158" i="14"/>
  <c r="EV158" i="14"/>
  <c r="FV214" i="14"/>
  <c r="EC214" i="14"/>
  <c r="EK214" i="14"/>
  <c r="ES214" i="14"/>
  <c r="DY158" i="14"/>
  <c r="EG158" i="14"/>
  <c r="EO158" i="14"/>
  <c r="EW158" i="14"/>
  <c r="FX214" i="14"/>
  <c r="ED214" i="14"/>
  <c r="EL214" i="14"/>
  <c r="ET214" i="14"/>
  <c r="DZ158" i="14"/>
  <c r="EH158" i="14"/>
  <c r="EP158" i="14"/>
  <c r="EX158" i="14"/>
  <c r="DX214" i="14"/>
  <c r="EF214" i="14"/>
  <c r="EN214" i="14"/>
  <c r="EV214" i="14"/>
  <c r="EB158" i="14"/>
  <c r="EJ158" i="14"/>
  <c r="ER158" i="14"/>
  <c r="EW214" i="14"/>
  <c r="EC158" i="14"/>
  <c r="CV214" i="14"/>
  <c r="DD214" i="14"/>
  <c r="DL214" i="14"/>
  <c r="DT214" i="14"/>
  <c r="CU158" i="14"/>
  <c r="DC158" i="14"/>
  <c r="DK158" i="14"/>
  <c r="DS158" i="14"/>
  <c r="AG214" i="14"/>
  <c r="AO214" i="14"/>
  <c r="AW214" i="14"/>
  <c r="EI158" i="14"/>
  <c r="CW214" i="14"/>
  <c r="DE214" i="14"/>
  <c r="DM214" i="14"/>
  <c r="CV158" i="14"/>
  <c r="DD158" i="14"/>
  <c r="DL158" i="14"/>
  <c r="DT158" i="14"/>
  <c r="AH214" i="14"/>
  <c r="AP214" i="14"/>
  <c r="AX214" i="14"/>
  <c r="GR158" i="14"/>
  <c r="DY214" i="14"/>
  <c r="EK158" i="14"/>
  <c r="CX214" i="14"/>
  <c r="DF214" i="14"/>
  <c r="DN214" i="14"/>
  <c r="CW158" i="14"/>
  <c r="DE158" i="14"/>
  <c r="DM158" i="14"/>
  <c r="AA214" i="14"/>
  <c r="AI214" i="14"/>
  <c r="AQ214" i="14"/>
  <c r="AY214" i="14"/>
  <c r="EE214" i="14"/>
  <c r="EQ158" i="14"/>
  <c r="CY214" i="14"/>
  <c r="DG214" i="14"/>
  <c r="DO214" i="14"/>
  <c r="CX158" i="14"/>
  <c r="DF158" i="14"/>
  <c r="DN158" i="14"/>
  <c r="AB214" i="14"/>
  <c r="AJ214" i="14"/>
  <c r="AR214" i="14"/>
  <c r="AZ214" i="14"/>
  <c r="FF214" i="14"/>
  <c r="EG214" i="14"/>
  <c r="ES158" i="14"/>
  <c r="CZ214" i="14"/>
  <c r="DH214" i="14"/>
  <c r="DP214" i="14"/>
  <c r="CY158" i="14"/>
  <c r="DG158" i="14"/>
  <c r="DO158" i="14"/>
  <c r="AC214" i="14"/>
  <c r="AK214" i="14"/>
  <c r="AS214" i="14"/>
  <c r="BA214" i="14"/>
  <c r="EO214" i="14"/>
  <c r="CT214" i="14"/>
  <c r="DB214" i="14"/>
  <c r="DJ214" i="14"/>
  <c r="DR214" i="14"/>
  <c r="CS158" i="14"/>
  <c r="DA158" i="14"/>
  <c r="DI158" i="14"/>
  <c r="DQ158" i="14"/>
  <c r="AE214" i="14"/>
  <c r="AM214" i="14"/>
  <c r="AU214" i="14"/>
  <c r="EU214" i="14"/>
  <c r="EA158" i="14"/>
  <c r="DS214" i="14"/>
  <c r="CT158" i="14"/>
  <c r="AN214" i="14"/>
  <c r="EY158" i="14"/>
  <c r="CS214" i="14"/>
  <c r="CZ158" i="14"/>
  <c r="AT214" i="14"/>
  <c r="CU214" i="14"/>
  <c r="DB158" i="14"/>
  <c r="AV214" i="14"/>
  <c r="DA214" i="14"/>
  <c r="DH158" i="14"/>
  <c r="BB214" i="14"/>
  <c r="DK214" i="14"/>
  <c r="DR158" i="14"/>
  <c r="AF214" i="14"/>
  <c r="GD214" i="14"/>
  <c r="EM214" i="14"/>
  <c r="DQ214" i="14"/>
  <c r="AL214" i="14"/>
  <c r="AF158" i="14"/>
  <c r="AN158" i="14"/>
  <c r="AV158" i="14"/>
  <c r="I210" i="6"/>
  <c r="Q210" i="6"/>
  <c r="Y210" i="6"/>
  <c r="AG210" i="6"/>
  <c r="AG158" i="14"/>
  <c r="AO158" i="14"/>
  <c r="AW158" i="14"/>
  <c r="J210" i="6"/>
  <c r="R210" i="6"/>
  <c r="Z210" i="6"/>
  <c r="AH210" i="6"/>
  <c r="AH158" i="14"/>
  <c r="AP158" i="14"/>
  <c r="AX158" i="14"/>
  <c r="K210" i="6"/>
  <c r="S210" i="6"/>
  <c r="AA210" i="6"/>
  <c r="AI210" i="6"/>
  <c r="AA158" i="14"/>
  <c r="AI158" i="14"/>
  <c r="AQ158" i="14"/>
  <c r="AY158" i="14"/>
  <c r="L210" i="6"/>
  <c r="T210" i="6"/>
  <c r="AB210" i="6"/>
  <c r="AJ210" i="6"/>
  <c r="DJ158" i="14"/>
  <c r="AD158" i="14"/>
  <c r="AL158" i="14"/>
  <c r="AT158" i="14"/>
  <c r="BB158" i="14"/>
  <c r="O210" i="6"/>
  <c r="W210" i="6"/>
  <c r="AE210" i="6"/>
  <c r="AE158" i="14"/>
  <c r="AM158" i="14"/>
  <c r="AU158" i="14"/>
  <c r="P210" i="6"/>
  <c r="X210" i="6"/>
  <c r="AF210" i="6"/>
  <c r="DC214" i="14"/>
  <c r="AD214" i="14"/>
  <c r="AZ158" i="14"/>
  <c r="U210" i="6"/>
  <c r="BA158" i="14"/>
  <c r="V210" i="6"/>
  <c r="DI214" i="14"/>
  <c r="AB158" i="14"/>
  <c r="AC210" i="6"/>
  <c r="DP158" i="14"/>
  <c r="AC158" i="14"/>
  <c r="AD210" i="6"/>
  <c r="AK158" i="14"/>
  <c r="N210" i="6"/>
  <c r="AJ158" i="14"/>
  <c r="AR158" i="14"/>
  <c r="M210" i="6"/>
  <c r="AS158" i="14"/>
  <c r="BO158" i="14"/>
  <c r="BW158" i="14"/>
  <c r="CE158" i="14"/>
  <c r="CM158" i="14"/>
  <c r="BS214" i="14"/>
  <c r="CA214" i="14"/>
  <c r="CI214" i="14"/>
  <c r="BP158" i="14"/>
  <c r="BX158" i="14"/>
  <c r="CF158" i="14"/>
  <c r="CN158" i="14"/>
  <c r="BT214" i="14"/>
  <c r="CB214" i="14"/>
  <c r="CJ214" i="14"/>
  <c r="BT158" i="14"/>
  <c r="CF214" i="14"/>
  <c r="BQ158" i="14"/>
  <c r="BY158" i="14"/>
  <c r="CG158" i="14"/>
  <c r="CO158" i="14"/>
  <c r="BU214" i="14"/>
  <c r="CC214" i="14"/>
  <c r="CK214" i="14"/>
  <c r="CJ158" i="14"/>
  <c r="BX214" i="14"/>
  <c r="BR158" i="14"/>
  <c r="BZ158" i="14"/>
  <c r="CH158" i="14"/>
  <c r="BN214" i="14"/>
  <c r="BV214" i="14"/>
  <c r="CD214" i="14"/>
  <c r="CL214" i="14"/>
  <c r="CB158" i="14"/>
  <c r="CN214" i="14"/>
  <c r="BS158" i="14"/>
  <c r="CA158" i="14"/>
  <c r="CI158" i="14"/>
  <c r="BO214" i="14"/>
  <c r="BW214" i="14"/>
  <c r="CE214" i="14"/>
  <c r="CM214" i="14"/>
  <c r="BP214" i="14"/>
  <c r="BU158" i="14"/>
  <c r="CC158" i="14"/>
  <c r="CK158" i="14"/>
  <c r="BQ214" i="14"/>
  <c r="BY214" i="14"/>
  <c r="CG214" i="14"/>
  <c r="CO214" i="14"/>
  <c r="BN158" i="14"/>
  <c r="BV158" i="14"/>
  <c r="CD158" i="14"/>
  <c r="CL158" i="14"/>
  <c r="BR214" i="14"/>
  <c r="BZ214" i="14"/>
  <c r="CH214" i="14"/>
  <c r="BT163" i="17"/>
  <c r="CB163" i="17"/>
  <c r="CJ163" i="17"/>
  <c r="BM163" i="17"/>
  <c r="BU163" i="17"/>
  <c r="CC163" i="17"/>
  <c r="CK163" i="17"/>
  <c r="BN163" i="17"/>
  <c r="BV163" i="17"/>
  <c r="CD163" i="17"/>
  <c r="CL163" i="17"/>
  <c r="BO163" i="17"/>
  <c r="BW163" i="17"/>
  <c r="CE163" i="17"/>
  <c r="CM163" i="17"/>
  <c r="BP163" i="17"/>
  <c r="BX163" i="17"/>
  <c r="CF163" i="17"/>
  <c r="CN163" i="17"/>
  <c r="BQ163" i="17"/>
  <c r="BY163" i="17"/>
  <c r="CG163" i="17"/>
  <c r="BR163" i="17"/>
  <c r="BZ163" i="17"/>
  <c r="CH163" i="17"/>
  <c r="CA163" i="17"/>
  <c r="AL219" i="17"/>
  <c r="AT219" i="17"/>
  <c r="BB219" i="17"/>
  <c r="CI163" i="17"/>
  <c r="AM219" i="17"/>
  <c r="AU219" i="17"/>
  <c r="BC219" i="17"/>
  <c r="AN219" i="17"/>
  <c r="AV219" i="17"/>
  <c r="BD219" i="17"/>
  <c r="AG219" i="17"/>
  <c r="AO219" i="17"/>
  <c r="AW219" i="17"/>
  <c r="BE219" i="17"/>
  <c r="AH219" i="17"/>
  <c r="AP219" i="17"/>
  <c r="AX219" i="17"/>
  <c r="BF219" i="17"/>
  <c r="AI219" i="17"/>
  <c r="AQ219" i="17"/>
  <c r="AY219" i="17"/>
  <c r="BG219" i="17"/>
  <c r="AJ219" i="17"/>
  <c r="AR219" i="17"/>
  <c r="AZ219" i="17"/>
  <c r="BH219" i="17"/>
  <c r="AM163" i="17"/>
  <c r="AU163" i="17"/>
  <c r="BC163" i="17"/>
  <c r="AN163" i="17"/>
  <c r="AV163" i="17"/>
  <c r="BD163" i="17"/>
  <c r="E219" i="17"/>
  <c r="M219" i="17"/>
  <c r="U219" i="17"/>
  <c r="AC219" i="17"/>
  <c r="BS163" i="17"/>
  <c r="AG163" i="17"/>
  <c r="AO163" i="17"/>
  <c r="AW163" i="17"/>
  <c r="BE163" i="17"/>
  <c r="F219" i="17"/>
  <c r="N219" i="17"/>
  <c r="V219" i="17"/>
  <c r="AH163" i="17"/>
  <c r="AP163" i="17"/>
  <c r="AX163" i="17"/>
  <c r="BF163" i="17"/>
  <c r="G219" i="17"/>
  <c r="O219" i="17"/>
  <c r="W219" i="17"/>
  <c r="AI163" i="17"/>
  <c r="AQ163" i="17"/>
  <c r="AY163" i="17"/>
  <c r="BG163" i="17"/>
  <c r="H219" i="17"/>
  <c r="P219" i="17"/>
  <c r="X219" i="17"/>
  <c r="AK219" i="17"/>
  <c r="AJ163" i="17"/>
  <c r="AR163" i="17"/>
  <c r="AZ163" i="17"/>
  <c r="BH163" i="17"/>
  <c r="I219" i="17"/>
  <c r="Q219" i="17"/>
  <c r="Y219" i="17"/>
  <c r="AS219" i="17"/>
  <c r="AK163" i="17"/>
  <c r="AS163" i="17"/>
  <c r="BA163" i="17"/>
  <c r="J219" i="17"/>
  <c r="AB219" i="17"/>
  <c r="E163" i="17"/>
  <c r="M163" i="17"/>
  <c r="U163" i="17"/>
  <c r="AC163" i="17"/>
  <c r="K219" i="17"/>
  <c r="F163" i="17"/>
  <c r="N163" i="17"/>
  <c r="V163" i="17"/>
  <c r="L219" i="17"/>
  <c r="G163" i="17"/>
  <c r="O163" i="17"/>
  <c r="W163" i="17"/>
  <c r="AL163" i="17"/>
  <c r="R219" i="17"/>
  <c r="H163" i="17"/>
  <c r="P163" i="17"/>
  <c r="X163" i="17"/>
  <c r="AT163" i="17"/>
  <c r="S219" i="17"/>
  <c r="I163" i="17"/>
  <c r="Q163" i="17"/>
  <c r="Y163" i="17"/>
  <c r="C219" i="17"/>
  <c r="Z219" i="17"/>
  <c r="C163" i="17"/>
  <c r="K163" i="17"/>
  <c r="S163" i="17"/>
  <c r="AA163" i="17"/>
  <c r="BA219" i="17"/>
  <c r="AB163" i="17"/>
  <c r="GI165" i="14"/>
  <c r="GQ165" i="14"/>
  <c r="GY165" i="14"/>
  <c r="HG165" i="14"/>
  <c r="FG165" i="14"/>
  <c r="FO165" i="14"/>
  <c r="FW165" i="14"/>
  <c r="B219" i="17"/>
  <c r="B163" i="17"/>
  <c r="GJ165" i="14"/>
  <c r="GR165" i="14"/>
  <c r="GZ165" i="14"/>
  <c r="HH165" i="14"/>
  <c r="FH165" i="14"/>
  <c r="FP165" i="14"/>
  <c r="FX165" i="14"/>
  <c r="D219" i="17"/>
  <c r="D163" i="17"/>
  <c r="GK165" i="14"/>
  <c r="GS165" i="14"/>
  <c r="HA165" i="14"/>
  <c r="HI165" i="14"/>
  <c r="FI165" i="14"/>
  <c r="FQ165" i="14"/>
  <c r="FY165" i="14"/>
  <c r="T219" i="17"/>
  <c r="J163" i="17"/>
  <c r="GL165" i="14"/>
  <c r="GT165" i="14"/>
  <c r="HB165" i="14"/>
  <c r="HJ165" i="14"/>
  <c r="FJ165" i="14"/>
  <c r="FR165" i="14"/>
  <c r="FZ165" i="14"/>
  <c r="AA219" i="17"/>
  <c r="L163" i="17"/>
  <c r="GM165" i="14"/>
  <c r="GU165" i="14"/>
  <c r="HC165" i="14"/>
  <c r="FC165" i="14"/>
  <c r="FK165" i="14"/>
  <c r="FS165" i="14"/>
  <c r="GA165" i="14"/>
  <c r="T163" i="17"/>
  <c r="GO165" i="14"/>
  <c r="GW165" i="14"/>
  <c r="HE165" i="14"/>
  <c r="FE165" i="14"/>
  <c r="FM165" i="14"/>
  <c r="FU165" i="14"/>
  <c r="GC165" i="14"/>
  <c r="Z163" i="17"/>
  <c r="GX165" i="14"/>
  <c r="GD165" i="14"/>
  <c r="FE221" i="14"/>
  <c r="FM221" i="14"/>
  <c r="FU221" i="14"/>
  <c r="GC221" i="14"/>
  <c r="HD165" i="14"/>
  <c r="FD165" i="14"/>
  <c r="FF221" i="14"/>
  <c r="FN221" i="14"/>
  <c r="FV221" i="14"/>
  <c r="GD221" i="14"/>
  <c r="HF165" i="14"/>
  <c r="FF165" i="14"/>
  <c r="FG221" i="14"/>
  <c r="FO221" i="14"/>
  <c r="FW221" i="14"/>
  <c r="FL165" i="14"/>
  <c r="FH221" i="14"/>
  <c r="FP221" i="14"/>
  <c r="FX221" i="14"/>
  <c r="BB163" i="17"/>
  <c r="FN165" i="14"/>
  <c r="FI221" i="14"/>
  <c r="FQ221" i="14"/>
  <c r="FY221" i="14"/>
  <c r="GP165" i="14"/>
  <c r="FV165" i="14"/>
  <c r="FC221" i="14"/>
  <c r="FK221" i="14"/>
  <c r="FS221" i="14"/>
  <c r="GA221" i="14"/>
  <c r="FD221" i="14"/>
  <c r="ED221" i="14"/>
  <c r="EL221" i="14"/>
  <c r="ET221" i="14"/>
  <c r="DZ165" i="14"/>
  <c r="EH165" i="14"/>
  <c r="EP165" i="14"/>
  <c r="EX165" i="14"/>
  <c r="FJ221" i="14"/>
  <c r="EE221" i="14"/>
  <c r="EM221" i="14"/>
  <c r="EU221" i="14"/>
  <c r="EA165" i="14"/>
  <c r="EI165" i="14"/>
  <c r="EQ165" i="14"/>
  <c r="EY165" i="14"/>
  <c r="FL221" i="14"/>
  <c r="DX221" i="14"/>
  <c r="EF221" i="14"/>
  <c r="EN221" i="14"/>
  <c r="EV221" i="14"/>
  <c r="EB165" i="14"/>
  <c r="EJ165" i="14"/>
  <c r="ER165" i="14"/>
  <c r="GN165" i="14"/>
  <c r="FR221" i="14"/>
  <c r="DY221" i="14"/>
  <c r="EG221" i="14"/>
  <c r="EO221" i="14"/>
  <c r="EW221" i="14"/>
  <c r="EC165" i="14"/>
  <c r="EK165" i="14"/>
  <c r="ES165" i="14"/>
  <c r="GV165" i="14"/>
  <c r="FT221" i="14"/>
  <c r="DZ221" i="14"/>
  <c r="EH221" i="14"/>
  <c r="EP221" i="14"/>
  <c r="EX221" i="14"/>
  <c r="ED165" i="14"/>
  <c r="EL165" i="14"/>
  <c r="ET165" i="14"/>
  <c r="R163" i="17"/>
  <c r="GB165" i="14"/>
  <c r="GB221" i="14"/>
  <c r="EB221" i="14"/>
  <c r="EJ221" i="14"/>
  <c r="ER221" i="14"/>
  <c r="DX165" i="14"/>
  <c r="EF165" i="14"/>
  <c r="EN165" i="14"/>
  <c r="EV165" i="14"/>
  <c r="ES221" i="14"/>
  <c r="DY165" i="14"/>
  <c r="CZ221" i="14"/>
  <c r="DH221" i="14"/>
  <c r="DP221" i="14"/>
  <c r="CY165" i="14"/>
  <c r="DG165" i="14"/>
  <c r="DO165" i="14"/>
  <c r="AC221" i="14"/>
  <c r="AK221" i="14"/>
  <c r="AS221" i="14"/>
  <c r="BA221" i="14"/>
  <c r="FZ221" i="14"/>
  <c r="EY221" i="14"/>
  <c r="EE165" i="14"/>
  <c r="CS221" i="14"/>
  <c r="DA221" i="14"/>
  <c r="DI221" i="14"/>
  <c r="DQ221" i="14"/>
  <c r="CZ165" i="14"/>
  <c r="DH165" i="14"/>
  <c r="DP165" i="14"/>
  <c r="AD221" i="14"/>
  <c r="AL221" i="14"/>
  <c r="AT221" i="14"/>
  <c r="BB221" i="14"/>
  <c r="EG165" i="14"/>
  <c r="CT221" i="14"/>
  <c r="DB221" i="14"/>
  <c r="DJ221" i="14"/>
  <c r="DR221" i="14"/>
  <c r="CS165" i="14"/>
  <c r="DA165" i="14"/>
  <c r="DI165" i="14"/>
  <c r="DQ165" i="14"/>
  <c r="AE221" i="14"/>
  <c r="AM221" i="14"/>
  <c r="AU221" i="14"/>
  <c r="FT165" i="14"/>
  <c r="EA221" i="14"/>
  <c r="EM165" i="14"/>
  <c r="CU221" i="14"/>
  <c r="DC221" i="14"/>
  <c r="DK221" i="14"/>
  <c r="DS221" i="14"/>
  <c r="CT165" i="14"/>
  <c r="DB165" i="14"/>
  <c r="DJ165" i="14"/>
  <c r="DR165" i="14"/>
  <c r="AF221" i="14"/>
  <c r="AN221" i="14"/>
  <c r="AV221" i="14"/>
  <c r="EC221" i="14"/>
  <c r="EO165" i="14"/>
  <c r="CV221" i="14"/>
  <c r="DD221" i="14"/>
  <c r="DL221" i="14"/>
  <c r="DT221" i="14"/>
  <c r="CU165" i="14"/>
  <c r="DC165" i="14"/>
  <c r="DK165" i="14"/>
  <c r="DS165" i="14"/>
  <c r="AG221" i="14"/>
  <c r="AO221" i="14"/>
  <c r="AW221" i="14"/>
  <c r="EK221" i="14"/>
  <c r="EW165" i="14"/>
  <c r="CX221" i="14"/>
  <c r="DF221" i="14"/>
  <c r="DN221" i="14"/>
  <c r="CW165" i="14"/>
  <c r="DE165" i="14"/>
  <c r="DM165" i="14"/>
  <c r="AA221" i="14"/>
  <c r="AI221" i="14"/>
  <c r="AQ221" i="14"/>
  <c r="AY221" i="14"/>
  <c r="DO221" i="14"/>
  <c r="AJ221" i="14"/>
  <c r="CV165" i="14"/>
  <c r="AP221" i="14"/>
  <c r="CX165" i="14"/>
  <c r="AR221" i="14"/>
  <c r="EI221" i="14"/>
  <c r="CW221" i="14"/>
  <c r="DD165" i="14"/>
  <c r="AX221" i="14"/>
  <c r="DG221" i="14"/>
  <c r="DN165" i="14"/>
  <c r="AB221" i="14"/>
  <c r="DM221" i="14"/>
  <c r="DT165" i="14"/>
  <c r="AH221" i="14"/>
  <c r="EQ221" i="14"/>
  <c r="CY221" i="14"/>
  <c r="DF165" i="14"/>
  <c r="AB165" i="14"/>
  <c r="AJ165" i="14"/>
  <c r="AR165" i="14"/>
  <c r="AZ165" i="14"/>
  <c r="M217" i="6"/>
  <c r="U217" i="6"/>
  <c r="AC217" i="6"/>
  <c r="DE221" i="14"/>
  <c r="DL165" i="14"/>
  <c r="AC165" i="14"/>
  <c r="AK165" i="14"/>
  <c r="AS165" i="14"/>
  <c r="BA165" i="14"/>
  <c r="N217" i="6"/>
  <c r="V217" i="6"/>
  <c r="AD217" i="6"/>
  <c r="AZ221" i="14"/>
  <c r="AD165" i="14"/>
  <c r="AL165" i="14"/>
  <c r="AT165" i="14"/>
  <c r="BB165" i="14"/>
  <c r="O217" i="6"/>
  <c r="W217" i="6"/>
  <c r="AE217" i="6"/>
  <c r="AE165" i="14"/>
  <c r="AM165" i="14"/>
  <c r="AU165" i="14"/>
  <c r="P217" i="6"/>
  <c r="X217" i="6"/>
  <c r="AF217" i="6"/>
  <c r="AH165" i="14"/>
  <c r="AP165" i="14"/>
  <c r="AX165" i="14"/>
  <c r="K217" i="6"/>
  <c r="S217" i="6"/>
  <c r="AA217" i="6"/>
  <c r="AI217" i="6"/>
  <c r="EU165" i="14"/>
  <c r="AA165" i="14"/>
  <c r="AI165" i="14"/>
  <c r="AQ165" i="14"/>
  <c r="AY165" i="14"/>
  <c r="L217" i="6"/>
  <c r="T217" i="6"/>
  <c r="AB217" i="6"/>
  <c r="AJ217" i="6"/>
  <c r="AV165" i="14"/>
  <c r="Q217" i="6"/>
  <c r="AW165" i="14"/>
  <c r="R217" i="6"/>
  <c r="AG165" i="14"/>
  <c r="Y217" i="6"/>
  <c r="AH217" i="6"/>
  <c r="AO165" i="14"/>
  <c r="Z217" i="6"/>
  <c r="J217" i="6"/>
  <c r="AF165" i="14"/>
  <c r="AG217" i="6"/>
  <c r="AN165" i="14"/>
  <c r="I217" i="6"/>
  <c r="BS165" i="14"/>
  <c r="CA165" i="14"/>
  <c r="CI165" i="14"/>
  <c r="BO221" i="14"/>
  <c r="BW221" i="14"/>
  <c r="CE221" i="14"/>
  <c r="CM221" i="14"/>
  <c r="BT165" i="14"/>
  <c r="CB165" i="14"/>
  <c r="CJ165" i="14"/>
  <c r="BP221" i="14"/>
  <c r="BX221" i="14"/>
  <c r="CF221" i="14"/>
  <c r="CN221" i="14"/>
  <c r="BP165" i="14"/>
  <c r="CJ221" i="14"/>
  <c r="BU165" i="14"/>
  <c r="CC165" i="14"/>
  <c r="CK165" i="14"/>
  <c r="BQ221" i="14"/>
  <c r="BY221" i="14"/>
  <c r="CG221" i="14"/>
  <c r="CO221" i="14"/>
  <c r="CF165" i="14"/>
  <c r="BT221" i="14"/>
  <c r="BN165" i="14"/>
  <c r="BV165" i="14"/>
  <c r="CD165" i="14"/>
  <c r="CL165" i="14"/>
  <c r="BR221" i="14"/>
  <c r="BZ221" i="14"/>
  <c r="CH221" i="14"/>
  <c r="CN165" i="14"/>
  <c r="CB221" i="14"/>
  <c r="BR165" i="14"/>
  <c r="BO165" i="14"/>
  <c r="BW165" i="14"/>
  <c r="CE165" i="14"/>
  <c r="CM165" i="14"/>
  <c r="BS221" i="14"/>
  <c r="CA221" i="14"/>
  <c r="CI221" i="14"/>
  <c r="BX165" i="14"/>
  <c r="BQ165" i="14"/>
  <c r="BY165" i="14"/>
  <c r="CG165" i="14"/>
  <c r="CO165" i="14"/>
  <c r="BU221" i="14"/>
  <c r="CC221" i="14"/>
  <c r="CK221" i="14"/>
  <c r="BZ165" i="14"/>
  <c r="CH165" i="14"/>
  <c r="CL221" i="14"/>
  <c r="BN221" i="14"/>
  <c r="BV221" i="14"/>
  <c r="CD221" i="14"/>
  <c r="BS151" i="17"/>
  <c r="CA151" i="17"/>
  <c r="CI151" i="17"/>
  <c r="BM151" i="17"/>
  <c r="BU151" i="17"/>
  <c r="CC151" i="17"/>
  <c r="CK151" i="17"/>
  <c r="BN151" i="17"/>
  <c r="BV151" i="17"/>
  <c r="CD151" i="17"/>
  <c r="CL151" i="17"/>
  <c r="BO151" i="17"/>
  <c r="BW151" i="17"/>
  <c r="CE151" i="17"/>
  <c r="CM151" i="17"/>
  <c r="BP151" i="17"/>
  <c r="BX151" i="17"/>
  <c r="CF151" i="17"/>
  <c r="CN151" i="17"/>
  <c r="BQ151" i="17"/>
  <c r="BY151" i="17"/>
  <c r="CG151" i="17"/>
  <c r="AJ207" i="17"/>
  <c r="AK207" i="17"/>
  <c r="BR151" i="17"/>
  <c r="AL207" i="17"/>
  <c r="BT151" i="17"/>
  <c r="AM207" i="17"/>
  <c r="BZ151" i="17"/>
  <c r="CB151" i="17"/>
  <c r="AG207" i="17"/>
  <c r="AO207" i="17"/>
  <c r="CH151" i="17"/>
  <c r="AH207" i="17"/>
  <c r="AT207" i="17"/>
  <c r="BB207" i="17"/>
  <c r="AU207" i="17"/>
  <c r="BC207" i="17"/>
  <c r="AI207" i="17"/>
  <c r="AV207" i="17"/>
  <c r="BD207" i="17"/>
  <c r="AN207" i="17"/>
  <c r="AW207" i="17"/>
  <c r="BE207" i="17"/>
  <c r="CJ151" i="17"/>
  <c r="AP207" i="17"/>
  <c r="AX207" i="17"/>
  <c r="BF207" i="17"/>
  <c r="AQ207" i="17"/>
  <c r="AY207" i="17"/>
  <c r="BG207" i="17"/>
  <c r="AR207" i="17"/>
  <c r="AZ207" i="17"/>
  <c r="BH207" i="17"/>
  <c r="AM151" i="17"/>
  <c r="AU151" i="17"/>
  <c r="BC151" i="17"/>
  <c r="AN151" i="17"/>
  <c r="AV151" i="17"/>
  <c r="BD151" i="17"/>
  <c r="E207" i="17"/>
  <c r="M207" i="17"/>
  <c r="U207" i="17"/>
  <c r="AC207" i="17"/>
  <c r="AG151" i="17"/>
  <c r="AO151" i="17"/>
  <c r="AW151" i="17"/>
  <c r="BE151" i="17"/>
  <c r="F207" i="17"/>
  <c r="N207" i="17"/>
  <c r="V207" i="17"/>
  <c r="AH151" i="17"/>
  <c r="AP151" i="17"/>
  <c r="AX151" i="17"/>
  <c r="BF151" i="17"/>
  <c r="G207" i="17"/>
  <c r="O207" i="17"/>
  <c r="W207" i="17"/>
  <c r="AS207" i="17"/>
  <c r="AI151" i="17"/>
  <c r="AQ151" i="17"/>
  <c r="AY151" i="17"/>
  <c r="BG151" i="17"/>
  <c r="H207" i="17"/>
  <c r="P207" i="17"/>
  <c r="X207" i="17"/>
  <c r="BA207" i="17"/>
  <c r="AJ151" i="17"/>
  <c r="AR151" i="17"/>
  <c r="AZ151" i="17"/>
  <c r="BH151" i="17"/>
  <c r="I207" i="17"/>
  <c r="Q207" i="17"/>
  <c r="Y207" i="17"/>
  <c r="AK151" i="17"/>
  <c r="AS151" i="17"/>
  <c r="BA151" i="17"/>
  <c r="C207" i="17"/>
  <c r="Z207" i="17"/>
  <c r="E151" i="17"/>
  <c r="M151" i="17"/>
  <c r="U151" i="17"/>
  <c r="AC151" i="17"/>
  <c r="AL151" i="17"/>
  <c r="D207" i="17"/>
  <c r="AA207" i="17"/>
  <c r="F151" i="17"/>
  <c r="N151" i="17"/>
  <c r="V151" i="17"/>
  <c r="GM153" i="14"/>
  <c r="GU153" i="14"/>
  <c r="HC153" i="14"/>
  <c r="AT151" i="17"/>
  <c r="J207" i="17"/>
  <c r="AB207" i="17"/>
  <c r="G151" i="17"/>
  <c r="O151" i="17"/>
  <c r="W151" i="17"/>
  <c r="GN153" i="14"/>
  <c r="GV153" i="14"/>
  <c r="HD153" i="14"/>
  <c r="BB151" i="17"/>
  <c r="K207" i="17"/>
  <c r="H151" i="17"/>
  <c r="P151" i="17"/>
  <c r="X151" i="17"/>
  <c r="GO153" i="14"/>
  <c r="GW153" i="14"/>
  <c r="HE153" i="14"/>
  <c r="L207" i="17"/>
  <c r="I151" i="17"/>
  <c r="Q151" i="17"/>
  <c r="Y151" i="17"/>
  <c r="GP153" i="14"/>
  <c r="GX153" i="14"/>
  <c r="HF153" i="14"/>
  <c r="S207" i="17"/>
  <c r="C151" i="17"/>
  <c r="K151" i="17"/>
  <c r="S151" i="17"/>
  <c r="AA151" i="17"/>
  <c r="GJ153" i="14"/>
  <c r="GR153" i="14"/>
  <c r="L151" i="17"/>
  <c r="GT153" i="14"/>
  <c r="HJ153" i="14"/>
  <c r="FG153" i="14"/>
  <c r="FO153" i="14"/>
  <c r="FW153" i="14"/>
  <c r="R151" i="17"/>
  <c r="GY153" i="14"/>
  <c r="FH153" i="14"/>
  <c r="FP153" i="14"/>
  <c r="FX153" i="14"/>
  <c r="B207" i="17"/>
  <c r="T151" i="17"/>
  <c r="GZ153" i="14"/>
  <c r="FI153" i="14"/>
  <c r="FQ153" i="14"/>
  <c r="FY153" i="14"/>
  <c r="R207" i="17"/>
  <c r="Z151" i="17"/>
  <c r="GI153" i="14"/>
  <c r="HA153" i="14"/>
  <c r="FJ153" i="14"/>
  <c r="FR153" i="14"/>
  <c r="FZ153" i="14"/>
  <c r="T207" i="17"/>
  <c r="AB151" i="17"/>
  <c r="GK153" i="14"/>
  <c r="HB153" i="14"/>
  <c r="FC153" i="14"/>
  <c r="FK153" i="14"/>
  <c r="FS153" i="14"/>
  <c r="GA153" i="14"/>
  <c r="D151" i="17"/>
  <c r="GQ153" i="14"/>
  <c r="HH153" i="14"/>
  <c r="FE153" i="14"/>
  <c r="FM153" i="14"/>
  <c r="FU153" i="14"/>
  <c r="GC153" i="14"/>
  <c r="FN153" i="14"/>
  <c r="FE209" i="14"/>
  <c r="FM209" i="14"/>
  <c r="FU209" i="14"/>
  <c r="GC209" i="14"/>
  <c r="B151" i="17"/>
  <c r="FT153" i="14"/>
  <c r="FF209" i="14"/>
  <c r="FN209" i="14"/>
  <c r="FV209" i="14"/>
  <c r="GD209" i="14"/>
  <c r="J151" i="17"/>
  <c r="FV153" i="14"/>
  <c r="FG209" i="14"/>
  <c r="FO209" i="14"/>
  <c r="FW209" i="14"/>
  <c r="GL153" i="14"/>
  <c r="GB153" i="14"/>
  <c r="FH209" i="14"/>
  <c r="FP209" i="14"/>
  <c r="FX209" i="14"/>
  <c r="GS153" i="14"/>
  <c r="GD153" i="14"/>
  <c r="FI209" i="14"/>
  <c r="FQ209" i="14"/>
  <c r="FY209" i="14"/>
  <c r="HI153" i="14"/>
  <c r="FF153" i="14"/>
  <c r="FC209" i="14"/>
  <c r="FK209" i="14"/>
  <c r="FS209" i="14"/>
  <c r="GA209" i="14"/>
  <c r="FL153" i="14"/>
  <c r="FT209" i="14"/>
  <c r="ED209" i="14"/>
  <c r="EL209" i="14"/>
  <c r="ET209" i="14"/>
  <c r="DZ153" i="14"/>
  <c r="EH153" i="14"/>
  <c r="EP153" i="14"/>
  <c r="EX153" i="14"/>
  <c r="HG153" i="14"/>
  <c r="FZ209" i="14"/>
  <c r="EE209" i="14"/>
  <c r="EM209" i="14"/>
  <c r="EU209" i="14"/>
  <c r="EA153" i="14"/>
  <c r="EI153" i="14"/>
  <c r="EQ153" i="14"/>
  <c r="EY153" i="14"/>
  <c r="GB209" i="14"/>
  <c r="DX209" i="14"/>
  <c r="EF209" i="14"/>
  <c r="EN209" i="14"/>
  <c r="EV209" i="14"/>
  <c r="EB153" i="14"/>
  <c r="EJ153" i="14"/>
  <c r="ER153" i="14"/>
  <c r="DY209" i="14"/>
  <c r="EG209" i="14"/>
  <c r="EO209" i="14"/>
  <c r="EW209" i="14"/>
  <c r="EC153" i="14"/>
  <c r="EK153" i="14"/>
  <c r="ES153" i="14"/>
  <c r="FD209" i="14"/>
  <c r="DZ209" i="14"/>
  <c r="EH209" i="14"/>
  <c r="EP209" i="14"/>
  <c r="EX209" i="14"/>
  <c r="ED153" i="14"/>
  <c r="EL153" i="14"/>
  <c r="ET153" i="14"/>
  <c r="FL209" i="14"/>
  <c r="EB209" i="14"/>
  <c r="EJ209" i="14"/>
  <c r="ER209" i="14"/>
  <c r="DX153" i="14"/>
  <c r="EF153" i="14"/>
  <c r="EN153" i="14"/>
  <c r="EV153" i="14"/>
  <c r="EC209" i="14"/>
  <c r="EO153" i="14"/>
  <c r="CZ209" i="14"/>
  <c r="DH209" i="14"/>
  <c r="DP209" i="14"/>
  <c r="CY153" i="14"/>
  <c r="DG153" i="14"/>
  <c r="DO153" i="14"/>
  <c r="AC209" i="14"/>
  <c r="AK209" i="14"/>
  <c r="AS209" i="14"/>
  <c r="BA209" i="14"/>
  <c r="EI209" i="14"/>
  <c r="EU153" i="14"/>
  <c r="CS209" i="14"/>
  <c r="DA209" i="14"/>
  <c r="DI209" i="14"/>
  <c r="DQ209" i="14"/>
  <c r="CZ153" i="14"/>
  <c r="DH153" i="14"/>
  <c r="DP153" i="14"/>
  <c r="AD209" i="14"/>
  <c r="AL209" i="14"/>
  <c r="AT209" i="14"/>
  <c r="BB209" i="14"/>
  <c r="EK209" i="14"/>
  <c r="EW153" i="14"/>
  <c r="CT209" i="14"/>
  <c r="DB209" i="14"/>
  <c r="DJ209" i="14"/>
  <c r="DR209" i="14"/>
  <c r="CS153" i="14"/>
  <c r="DA153" i="14"/>
  <c r="DI153" i="14"/>
  <c r="DQ153" i="14"/>
  <c r="AE209" i="14"/>
  <c r="AM209" i="14"/>
  <c r="AU209" i="14"/>
  <c r="FJ209" i="14"/>
  <c r="EQ209" i="14"/>
  <c r="CU209" i="14"/>
  <c r="DC209" i="14"/>
  <c r="DK209" i="14"/>
  <c r="DS209" i="14"/>
  <c r="CT153" i="14"/>
  <c r="DB153" i="14"/>
  <c r="DJ153" i="14"/>
  <c r="DR153" i="14"/>
  <c r="AF209" i="14"/>
  <c r="AN209" i="14"/>
  <c r="AV209" i="14"/>
  <c r="FR209" i="14"/>
  <c r="ES209" i="14"/>
  <c r="DY153" i="14"/>
  <c r="CV209" i="14"/>
  <c r="DD209" i="14"/>
  <c r="DL209" i="14"/>
  <c r="DT209" i="14"/>
  <c r="CU153" i="14"/>
  <c r="DC153" i="14"/>
  <c r="DK153" i="14"/>
  <c r="DS153" i="14"/>
  <c r="AG209" i="14"/>
  <c r="AO209" i="14"/>
  <c r="AW209" i="14"/>
  <c r="FD153" i="14"/>
  <c r="EG153" i="14"/>
  <c r="CX209" i="14"/>
  <c r="DF209" i="14"/>
  <c r="DN209" i="14"/>
  <c r="CW153" i="14"/>
  <c r="DE153" i="14"/>
  <c r="DM153" i="14"/>
  <c r="AA209" i="14"/>
  <c r="AI209" i="14"/>
  <c r="AQ209" i="14"/>
  <c r="AY209" i="14"/>
  <c r="EM153" i="14"/>
  <c r="CY209" i="14"/>
  <c r="DF153" i="14"/>
  <c r="AZ209" i="14"/>
  <c r="DE209" i="14"/>
  <c r="DL153" i="14"/>
  <c r="DG209" i="14"/>
  <c r="DN153" i="14"/>
  <c r="AB209" i="14"/>
  <c r="DM209" i="14"/>
  <c r="DT153" i="14"/>
  <c r="AH209" i="14"/>
  <c r="EA209" i="14"/>
  <c r="CX153" i="14"/>
  <c r="AR209" i="14"/>
  <c r="EY209" i="14"/>
  <c r="EE153" i="14"/>
  <c r="CW209" i="14"/>
  <c r="DD153" i="14"/>
  <c r="AX209" i="14"/>
  <c r="AB153" i="14"/>
  <c r="AJ153" i="14"/>
  <c r="AR153" i="14"/>
  <c r="AZ153" i="14"/>
  <c r="M205" i="6"/>
  <c r="U205" i="6"/>
  <c r="AC205" i="6"/>
  <c r="AJ209" i="14"/>
  <c r="AC153" i="14"/>
  <c r="AK153" i="14"/>
  <c r="AS153" i="14"/>
  <c r="BA153" i="14"/>
  <c r="N205" i="6"/>
  <c r="V205" i="6"/>
  <c r="AD205" i="6"/>
  <c r="AD153" i="14"/>
  <c r="AL153" i="14"/>
  <c r="AT153" i="14"/>
  <c r="BB153" i="14"/>
  <c r="O205" i="6"/>
  <c r="W205" i="6"/>
  <c r="AE205" i="6"/>
  <c r="CV153" i="14"/>
  <c r="AE153" i="14"/>
  <c r="AM153" i="14"/>
  <c r="AU153" i="14"/>
  <c r="P205" i="6"/>
  <c r="X205" i="6"/>
  <c r="AF205" i="6"/>
  <c r="DO209" i="14"/>
  <c r="AH153" i="14"/>
  <c r="AP153" i="14"/>
  <c r="AX153" i="14"/>
  <c r="K205" i="6"/>
  <c r="S205" i="6"/>
  <c r="AA205" i="6"/>
  <c r="AI205" i="6"/>
  <c r="AA153" i="14"/>
  <c r="AI153" i="14"/>
  <c r="AQ153" i="14"/>
  <c r="AY153" i="14"/>
  <c r="L205" i="6"/>
  <c r="T205" i="6"/>
  <c r="AB205" i="6"/>
  <c r="AJ205" i="6"/>
  <c r="AF153" i="14"/>
  <c r="AG205" i="6"/>
  <c r="AG153" i="14"/>
  <c r="AH205" i="6"/>
  <c r="AN153" i="14"/>
  <c r="I205" i="6"/>
  <c r="AO153" i="14"/>
  <c r="J205" i="6"/>
  <c r="AW153" i="14"/>
  <c r="AV153" i="14"/>
  <c r="Q205" i="6"/>
  <c r="R205" i="6"/>
  <c r="Z205" i="6"/>
  <c r="Y205" i="6"/>
  <c r="AP209" i="14"/>
  <c r="BS153" i="14"/>
  <c r="CA153" i="14"/>
  <c r="CI153" i="14"/>
  <c r="BO209" i="14"/>
  <c r="BW209" i="14"/>
  <c r="CE209" i="14"/>
  <c r="CM209" i="14"/>
  <c r="BN209" i="14"/>
  <c r="BT153" i="14"/>
  <c r="CB153" i="14"/>
  <c r="CJ153" i="14"/>
  <c r="BP209" i="14"/>
  <c r="BX209" i="14"/>
  <c r="CF209" i="14"/>
  <c r="CN209" i="14"/>
  <c r="CN153" i="14"/>
  <c r="CB209" i="14"/>
  <c r="BU153" i="14"/>
  <c r="CC153" i="14"/>
  <c r="CK153" i="14"/>
  <c r="BQ209" i="14"/>
  <c r="BY209" i="14"/>
  <c r="CG209" i="14"/>
  <c r="CO209" i="14"/>
  <c r="BX153" i="14"/>
  <c r="CL209" i="14"/>
  <c r="BN153" i="14"/>
  <c r="BV153" i="14"/>
  <c r="CD153" i="14"/>
  <c r="CL153" i="14"/>
  <c r="BR209" i="14"/>
  <c r="BZ209" i="14"/>
  <c r="CH209" i="14"/>
  <c r="CF153" i="14"/>
  <c r="CJ209" i="14"/>
  <c r="CD209" i="14"/>
  <c r="BO153" i="14"/>
  <c r="BW153" i="14"/>
  <c r="CE153" i="14"/>
  <c r="CM153" i="14"/>
  <c r="BS209" i="14"/>
  <c r="CA209" i="14"/>
  <c r="CI209" i="14"/>
  <c r="BP153" i="14"/>
  <c r="BT209" i="14"/>
  <c r="BQ153" i="14"/>
  <c r="BY153" i="14"/>
  <c r="CG153" i="14"/>
  <c r="CO153" i="14"/>
  <c r="BU209" i="14"/>
  <c r="CC209" i="14"/>
  <c r="CK209" i="14"/>
  <c r="BR153" i="14"/>
  <c r="BZ153" i="14"/>
  <c r="CH153" i="14"/>
  <c r="BV209" i="14"/>
  <c r="BS117" i="17"/>
  <c r="CA117" i="17"/>
  <c r="CI117" i="17"/>
  <c r="BT117" i="17"/>
  <c r="CB117" i="17"/>
  <c r="CJ117" i="17"/>
  <c r="BM117" i="17"/>
  <c r="BU117" i="17"/>
  <c r="CC117" i="17"/>
  <c r="CK117" i="17"/>
  <c r="BN117" i="17"/>
  <c r="BV117" i="17"/>
  <c r="CD117" i="17"/>
  <c r="CL117" i="17"/>
  <c r="BP117" i="17"/>
  <c r="BX117" i="17"/>
  <c r="CF117" i="17"/>
  <c r="CN117" i="17"/>
  <c r="BQ117" i="17"/>
  <c r="BY117" i="17"/>
  <c r="CG117" i="17"/>
  <c r="BR117" i="17"/>
  <c r="BZ117" i="17"/>
  <c r="CH117" i="17"/>
  <c r="CE117" i="17"/>
  <c r="BO117" i="17"/>
  <c r="AJ173" i="17"/>
  <c r="AR173" i="17"/>
  <c r="AZ173" i="17"/>
  <c r="BH173" i="17"/>
  <c r="AK173" i="17"/>
  <c r="AS173" i="17"/>
  <c r="BA173" i="17"/>
  <c r="AL173" i="17"/>
  <c r="AT173" i="17"/>
  <c r="BB173" i="17"/>
  <c r="AM173" i="17"/>
  <c r="AU173" i="17"/>
  <c r="BC173" i="17"/>
  <c r="AN173" i="17"/>
  <c r="AV173" i="17"/>
  <c r="BD173" i="17"/>
  <c r="AG173" i="17"/>
  <c r="AO173" i="17"/>
  <c r="AW173" i="17"/>
  <c r="BE173" i="17"/>
  <c r="BW117" i="17"/>
  <c r="AH173" i="17"/>
  <c r="AP173" i="17"/>
  <c r="AX173" i="17"/>
  <c r="BF173" i="17"/>
  <c r="AI173" i="17"/>
  <c r="AH117" i="17"/>
  <c r="AP117" i="17"/>
  <c r="AX117" i="17"/>
  <c r="BF117" i="17"/>
  <c r="AQ173" i="17"/>
  <c r="AI117" i="17"/>
  <c r="AQ117" i="17"/>
  <c r="AY117" i="17"/>
  <c r="BG117" i="17"/>
  <c r="AY173" i="17"/>
  <c r="AJ117" i="17"/>
  <c r="AR117" i="17"/>
  <c r="AZ117" i="17"/>
  <c r="BH117" i="17"/>
  <c r="BG173" i="17"/>
  <c r="AK117" i="17"/>
  <c r="AS117" i="17"/>
  <c r="BA117" i="17"/>
  <c r="AL117" i="17"/>
  <c r="AT117" i="17"/>
  <c r="BB117" i="17"/>
  <c r="AM117" i="17"/>
  <c r="AU117" i="17"/>
  <c r="BC117" i="17"/>
  <c r="CM117" i="17"/>
  <c r="AN117" i="17"/>
  <c r="AV117" i="17"/>
  <c r="BD117" i="17"/>
  <c r="AW117" i="17"/>
  <c r="D173" i="17"/>
  <c r="L173" i="17"/>
  <c r="T173" i="17"/>
  <c r="AB173" i="17"/>
  <c r="BE117" i="17"/>
  <c r="E173" i="17"/>
  <c r="M173" i="17"/>
  <c r="U173" i="17"/>
  <c r="AC173" i="17"/>
  <c r="I117" i="17"/>
  <c r="Q117" i="17"/>
  <c r="Y117" i="17"/>
  <c r="F173" i="17"/>
  <c r="N173" i="17"/>
  <c r="V173" i="17"/>
  <c r="B117" i="17"/>
  <c r="J117" i="17"/>
  <c r="R117" i="17"/>
  <c r="Z117" i="17"/>
  <c r="G173" i="17"/>
  <c r="O173" i="17"/>
  <c r="W173" i="17"/>
  <c r="C117" i="17"/>
  <c r="K117" i="17"/>
  <c r="S117" i="17"/>
  <c r="AA117" i="17"/>
  <c r="H173" i="17"/>
  <c r="P173" i="17"/>
  <c r="X173" i="17"/>
  <c r="D117" i="17"/>
  <c r="L117" i="17"/>
  <c r="T117" i="17"/>
  <c r="AB117" i="17"/>
  <c r="I173" i="17"/>
  <c r="Q173" i="17"/>
  <c r="Y173" i="17"/>
  <c r="E117" i="17"/>
  <c r="M117" i="17"/>
  <c r="U117" i="17"/>
  <c r="AC117" i="17"/>
  <c r="AG117" i="17"/>
  <c r="B173" i="17"/>
  <c r="J173" i="17"/>
  <c r="R173" i="17"/>
  <c r="Z173" i="17"/>
  <c r="P117" i="17"/>
  <c r="GL119" i="14"/>
  <c r="GT119" i="14"/>
  <c r="HB119" i="14"/>
  <c r="HJ119" i="14"/>
  <c r="AO117" i="17"/>
  <c r="V117" i="17"/>
  <c r="GM119" i="14"/>
  <c r="GU119" i="14"/>
  <c r="HC119" i="14"/>
  <c r="W117" i="17"/>
  <c r="GN119" i="14"/>
  <c r="GV119" i="14"/>
  <c r="HD119" i="14"/>
  <c r="F117" i="17"/>
  <c r="X117" i="17"/>
  <c r="GO119" i="14"/>
  <c r="GW119" i="14"/>
  <c r="HE119" i="14"/>
  <c r="C173" i="17"/>
  <c r="G117" i="17"/>
  <c r="GP119" i="14"/>
  <c r="GX119" i="14"/>
  <c r="HF119" i="14"/>
  <c r="S173" i="17"/>
  <c r="N117" i="17"/>
  <c r="GJ119" i="14"/>
  <c r="GR119" i="14"/>
  <c r="GZ119" i="14"/>
  <c r="HH119" i="14"/>
  <c r="O117" i="17"/>
  <c r="GS119" i="14"/>
  <c r="FG119" i="14"/>
  <c r="FO119" i="14"/>
  <c r="FW119" i="14"/>
  <c r="GY119" i="14"/>
  <c r="FH119" i="14"/>
  <c r="FP119" i="14"/>
  <c r="FX119" i="14"/>
  <c r="FD175" i="14"/>
  <c r="FL175" i="14"/>
  <c r="FT175" i="14"/>
  <c r="GB175" i="14"/>
  <c r="HA119" i="14"/>
  <c r="FI119" i="14"/>
  <c r="FQ119" i="14"/>
  <c r="FY119" i="14"/>
  <c r="FE175" i="14"/>
  <c r="FM175" i="14"/>
  <c r="FU175" i="14"/>
  <c r="GC175" i="14"/>
  <c r="K173" i="17"/>
  <c r="HG119" i="14"/>
  <c r="FJ119" i="14"/>
  <c r="FR119" i="14"/>
  <c r="FZ119" i="14"/>
  <c r="FF175" i="14"/>
  <c r="FN175" i="14"/>
  <c r="FV175" i="14"/>
  <c r="GD175" i="14"/>
  <c r="AA173" i="17"/>
  <c r="HI119" i="14"/>
  <c r="FC119" i="14"/>
  <c r="FK119" i="14"/>
  <c r="FS119" i="14"/>
  <c r="GA119" i="14"/>
  <c r="FG175" i="14"/>
  <c r="FO175" i="14"/>
  <c r="FW175" i="14"/>
  <c r="GK119" i="14"/>
  <c r="FE119" i="14"/>
  <c r="FM119" i="14"/>
  <c r="FU119" i="14"/>
  <c r="GC119" i="14"/>
  <c r="FI175" i="14"/>
  <c r="FQ175" i="14"/>
  <c r="FY175" i="14"/>
  <c r="GQ119" i="14"/>
  <c r="FF119" i="14"/>
  <c r="FR175" i="14"/>
  <c r="ED175" i="14"/>
  <c r="EL175" i="14"/>
  <c r="ET175" i="14"/>
  <c r="FL119" i="14"/>
  <c r="FS175" i="14"/>
  <c r="EE175" i="14"/>
  <c r="EM175" i="14"/>
  <c r="EU175" i="14"/>
  <c r="FN119" i="14"/>
  <c r="FX175" i="14"/>
  <c r="DX175" i="14"/>
  <c r="EF175" i="14"/>
  <c r="EN175" i="14"/>
  <c r="EV175" i="14"/>
  <c r="FT119" i="14"/>
  <c r="FC175" i="14"/>
  <c r="FZ175" i="14"/>
  <c r="DY175" i="14"/>
  <c r="EG175" i="14"/>
  <c r="EO175" i="14"/>
  <c r="EW175" i="14"/>
  <c r="H117" i="17"/>
  <c r="FV119" i="14"/>
  <c r="FH175" i="14"/>
  <c r="GA175" i="14"/>
  <c r="DZ175" i="14"/>
  <c r="EH175" i="14"/>
  <c r="EP175" i="14"/>
  <c r="EX175" i="14"/>
  <c r="GD119" i="14"/>
  <c r="FK175" i="14"/>
  <c r="EB175" i="14"/>
  <c r="EJ175" i="14"/>
  <c r="ER175" i="14"/>
  <c r="GI119" i="14"/>
  <c r="ES175" i="14"/>
  <c r="DZ119" i="14"/>
  <c r="EH119" i="14"/>
  <c r="EP119" i="14"/>
  <c r="EX119" i="14"/>
  <c r="FJ175" i="14"/>
  <c r="EY175" i="14"/>
  <c r="EA119" i="14"/>
  <c r="EI119" i="14"/>
  <c r="EQ119" i="14"/>
  <c r="EY119" i="14"/>
  <c r="CZ175" i="14"/>
  <c r="DH175" i="14"/>
  <c r="DP175" i="14"/>
  <c r="FP175" i="14"/>
  <c r="EB119" i="14"/>
  <c r="EJ119" i="14"/>
  <c r="ER119" i="14"/>
  <c r="CS175" i="14"/>
  <c r="DA175" i="14"/>
  <c r="DI175" i="14"/>
  <c r="DQ175" i="14"/>
  <c r="EA175" i="14"/>
  <c r="EC119" i="14"/>
  <c r="EK119" i="14"/>
  <c r="ES119" i="14"/>
  <c r="CT175" i="14"/>
  <c r="DB175" i="14"/>
  <c r="DJ175" i="14"/>
  <c r="DR175" i="14"/>
  <c r="FD119" i="14"/>
  <c r="EC175" i="14"/>
  <c r="ED119" i="14"/>
  <c r="EL119" i="14"/>
  <c r="ET119" i="14"/>
  <c r="CU175" i="14"/>
  <c r="DC175" i="14"/>
  <c r="DK175" i="14"/>
  <c r="DS175" i="14"/>
  <c r="EK175" i="14"/>
  <c r="DX119" i="14"/>
  <c r="EF119" i="14"/>
  <c r="EN119" i="14"/>
  <c r="EV119" i="14"/>
  <c r="CW175" i="14"/>
  <c r="DE175" i="14"/>
  <c r="DM175" i="14"/>
  <c r="EG119" i="14"/>
  <c r="DD175" i="14"/>
  <c r="CY119" i="14"/>
  <c r="DG119" i="14"/>
  <c r="DO119" i="14"/>
  <c r="AC175" i="14"/>
  <c r="AK175" i="14"/>
  <c r="AS175" i="14"/>
  <c r="BA175" i="14"/>
  <c r="AC119" i="14"/>
  <c r="AK119" i="14"/>
  <c r="AS119" i="14"/>
  <c r="BA119" i="14"/>
  <c r="EI175" i="14"/>
  <c r="EM119" i="14"/>
  <c r="DF175" i="14"/>
  <c r="CZ119" i="14"/>
  <c r="DH119" i="14"/>
  <c r="DP119" i="14"/>
  <c r="AD175" i="14"/>
  <c r="AL175" i="14"/>
  <c r="AT175" i="14"/>
  <c r="BB175" i="14"/>
  <c r="AD119" i="14"/>
  <c r="AL119" i="14"/>
  <c r="AT119" i="14"/>
  <c r="BB119" i="14"/>
  <c r="EQ175" i="14"/>
  <c r="EO119" i="14"/>
  <c r="DG175" i="14"/>
  <c r="CS119" i="14"/>
  <c r="DA119" i="14"/>
  <c r="DI119" i="14"/>
  <c r="DQ119" i="14"/>
  <c r="AE175" i="14"/>
  <c r="AM175" i="14"/>
  <c r="AU175" i="14"/>
  <c r="AE119" i="14"/>
  <c r="AM119" i="14"/>
  <c r="AU119" i="14"/>
  <c r="EU119" i="14"/>
  <c r="DL175" i="14"/>
  <c r="CT119" i="14"/>
  <c r="DB119" i="14"/>
  <c r="DJ119" i="14"/>
  <c r="DR119" i="14"/>
  <c r="AF175" i="14"/>
  <c r="AN175" i="14"/>
  <c r="AV175" i="14"/>
  <c r="AF119" i="14"/>
  <c r="AN119" i="14"/>
  <c r="AV119" i="14"/>
  <c r="EW119" i="14"/>
  <c r="DN175" i="14"/>
  <c r="CU119" i="14"/>
  <c r="DC119" i="14"/>
  <c r="DK119" i="14"/>
  <c r="DS119" i="14"/>
  <c r="AG175" i="14"/>
  <c r="AO175" i="14"/>
  <c r="AW175" i="14"/>
  <c r="AG119" i="14"/>
  <c r="AO119" i="14"/>
  <c r="AW119" i="14"/>
  <c r="DY119" i="14"/>
  <c r="CX175" i="14"/>
  <c r="DT175" i="14"/>
  <c r="CW119" i="14"/>
  <c r="DE119" i="14"/>
  <c r="DM119" i="14"/>
  <c r="AA175" i="14"/>
  <c r="AI175" i="14"/>
  <c r="AQ175" i="14"/>
  <c r="AY175" i="14"/>
  <c r="AA119" i="14"/>
  <c r="AI119" i="14"/>
  <c r="AQ119" i="14"/>
  <c r="AY119" i="14"/>
  <c r="CY175" i="14"/>
  <c r="CX119" i="14"/>
  <c r="AR175" i="14"/>
  <c r="AB119" i="14"/>
  <c r="DO175" i="14"/>
  <c r="DD119" i="14"/>
  <c r="AX175" i="14"/>
  <c r="AH119" i="14"/>
  <c r="GB119" i="14"/>
  <c r="DF119" i="14"/>
  <c r="AZ175" i="14"/>
  <c r="AJ119" i="14"/>
  <c r="DL119" i="14"/>
  <c r="AP119" i="14"/>
  <c r="AJ175" i="14"/>
  <c r="AZ119" i="14"/>
  <c r="CV175" i="14"/>
  <c r="CV119" i="14"/>
  <c r="AP175" i="14"/>
  <c r="DN119" i="14"/>
  <c r="AB175" i="14"/>
  <c r="M171" i="6"/>
  <c r="U171" i="6"/>
  <c r="AC171" i="6"/>
  <c r="DT119" i="14"/>
  <c r="AH175" i="14"/>
  <c r="N171" i="6"/>
  <c r="V171" i="6"/>
  <c r="AD171" i="6"/>
  <c r="EE119" i="14"/>
  <c r="O171" i="6"/>
  <c r="W171" i="6"/>
  <c r="AE171" i="6"/>
  <c r="AR119" i="14"/>
  <c r="P171" i="6"/>
  <c r="X171" i="6"/>
  <c r="AF171" i="6"/>
  <c r="K171" i="6"/>
  <c r="S171" i="6"/>
  <c r="AA171" i="6"/>
  <c r="AI171" i="6"/>
  <c r="L171" i="6"/>
  <c r="T171" i="6"/>
  <c r="AB171" i="6"/>
  <c r="AJ171" i="6"/>
  <c r="Y171" i="6"/>
  <c r="Z171" i="6"/>
  <c r="AG171" i="6"/>
  <c r="AX119" i="14"/>
  <c r="AH171" i="6"/>
  <c r="J171" i="6"/>
  <c r="I171" i="6"/>
  <c r="I72" i="2" s="1"/>
  <c r="Q171" i="6"/>
  <c r="R171" i="6"/>
  <c r="BS119" i="14"/>
  <c r="CA119" i="14"/>
  <c r="CI119" i="14"/>
  <c r="BO175" i="14"/>
  <c r="BW175" i="14"/>
  <c r="CE175" i="14"/>
  <c r="CM175" i="14"/>
  <c r="BV175" i="14"/>
  <c r="BT119" i="14"/>
  <c r="CB119" i="14"/>
  <c r="CJ119" i="14"/>
  <c r="BP175" i="14"/>
  <c r="BX175" i="14"/>
  <c r="CF175" i="14"/>
  <c r="CN175" i="14"/>
  <c r="BP119" i="14"/>
  <c r="BX119" i="14"/>
  <c r="BT175" i="14"/>
  <c r="CD175" i="14"/>
  <c r="BU119" i="14"/>
  <c r="CC119" i="14"/>
  <c r="CK119" i="14"/>
  <c r="BQ175" i="14"/>
  <c r="BY175" i="14"/>
  <c r="CG175" i="14"/>
  <c r="CO175" i="14"/>
  <c r="CF119" i="14"/>
  <c r="BN175" i="14"/>
  <c r="BN119" i="14"/>
  <c r="BV119" i="14"/>
  <c r="CD119" i="14"/>
  <c r="CL119" i="14"/>
  <c r="BR175" i="14"/>
  <c r="BZ175" i="14"/>
  <c r="CH175" i="14"/>
  <c r="CN119" i="14"/>
  <c r="CB175" i="14"/>
  <c r="BO119" i="14"/>
  <c r="BW119" i="14"/>
  <c r="CE119" i="14"/>
  <c r="CM119" i="14"/>
  <c r="BS175" i="14"/>
  <c r="CA175" i="14"/>
  <c r="CI175" i="14"/>
  <c r="CJ175" i="14"/>
  <c r="BQ119" i="14"/>
  <c r="BY119" i="14"/>
  <c r="CG119" i="14"/>
  <c r="CO119" i="14"/>
  <c r="BU175" i="14"/>
  <c r="CC175" i="14"/>
  <c r="CK175" i="14"/>
  <c r="BR119" i="14"/>
  <c r="BZ119" i="14"/>
  <c r="CH119" i="14"/>
  <c r="CL175" i="14"/>
  <c r="BO152" i="17"/>
  <c r="BW152" i="17"/>
  <c r="CE152" i="17"/>
  <c r="CM152" i="17"/>
  <c r="BQ152" i="17"/>
  <c r="BY152" i="17"/>
  <c r="CG152" i="17"/>
  <c r="BR152" i="17"/>
  <c r="BZ152" i="17"/>
  <c r="CH152" i="17"/>
  <c r="BS152" i="17"/>
  <c r="CA152" i="17"/>
  <c r="CI152" i="17"/>
  <c r="BT152" i="17"/>
  <c r="CB152" i="17"/>
  <c r="CJ152" i="17"/>
  <c r="BM152" i="17"/>
  <c r="BU152" i="17"/>
  <c r="CC152" i="17"/>
  <c r="CK152" i="17"/>
  <c r="BN152" i="17"/>
  <c r="BP152" i="17"/>
  <c r="BV152" i="17"/>
  <c r="BX152" i="17"/>
  <c r="CD152" i="17"/>
  <c r="CF152" i="17"/>
  <c r="CL152" i="17"/>
  <c r="AH208" i="17"/>
  <c r="AP208" i="17"/>
  <c r="AX208" i="17"/>
  <c r="BF208" i="17"/>
  <c r="AI208" i="17"/>
  <c r="AQ208" i="17"/>
  <c r="AY208" i="17"/>
  <c r="BG208" i="17"/>
  <c r="AJ208" i="17"/>
  <c r="AR208" i="17"/>
  <c r="AZ208" i="17"/>
  <c r="BH208" i="17"/>
  <c r="AK208" i="17"/>
  <c r="AS208" i="17"/>
  <c r="BA208" i="17"/>
  <c r="AL208" i="17"/>
  <c r="AT208" i="17"/>
  <c r="BB208" i="17"/>
  <c r="CN152" i="17"/>
  <c r="AM208" i="17"/>
  <c r="AU208" i="17"/>
  <c r="BC208" i="17"/>
  <c r="AN208" i="17"/>
  <c r="AV208" i="17"/>
  <c r="BD208" i="17"/>
  <c r="AW208" i="17"/>
  <c r="AI152" i="17"/>
  <c r="AQ152" i="17"/>
  <c r="AY152" i="17"/>
  <c r="BG152" i="17"/>
  <c r="BE208" i="17"/>
  <c r="AJ152" i="17"/>
  <c r="AR152" i="17"/>
  <c r="AZ152" i="17"/>
  <c r="BH152" i="17"/>
  <c r="I208" i="17"/>
  <c r="Q208" i="17"/>
  <c r="Y208" i="17"/>
  <c r="AK152" i="17"/>
  <c r="AS152" i="17"/>
  <c r="BA152" i="17"/>
  <c r="B208" i="17"/>
  <c r="J208" i="17"/>
  <c r="R208" i="17"/>
  <c r="Z208" i="17"/>
  <c r="AL152" i="17"/>
  <c r="AT152" i="17"/>
  <c r="BB152" i="17"/>
  <c r="C208" i="17"/>
  <c r="K208" i="17"/>
  <c r="S208" i="17"/>
  <c r="AA208" i="17"/>
  <c r="AM152" i="17"/>
  <c r="AU152" i="17"/>
  <c r="BC152" i="17"/>
  <c r="D208" i="17"/>
  <c r="L208" i="17"/>
  <c r="T208" i="17"/>
  <c r="AB208" i="17"/>
  <c r="AN152" i="17"/>
  <c r="AV152" i="17"/>
  <c r="BD152" i="17"/>
  <c r="E208" i="17"/>
  <c r="M208" i="17"/>
  <c r="U208" i="17"/>
  <c r="AC208" i="17"/>
  <c r="AG208" i="17"/>
  <c r="AG152" i="17"/>
  <c r="AO152" i="17"/>
  <c r="AW152" i="17"/>
  <c r="BE152" i="17"/>
  <c r="P208" i="17"/>
  <c r="I152" i="17"/>
  <c r="Q152" i="17"/>
  <c r="Y152" i="17"/>
  <c r="V208" i="17"/>
  <c r="B152" i="17"/>
  <c r="J152" i="17"/>
  <c r="R152" i="17"/>
  <c r="Z152" i="17"/>
  <c r="GI154" i="14"/>
  <c r="GQ154" i="14"/>
  <c r="GY154" i="14"/>
  <c r="HG154" i="14"/>
  <c r="AO208" i="17"/>
  <c r="W208" i="17"/>
  <c r="C152" i="17"/>
  <c r="K152" i="17"/>
  <c r="S152" i="17"/>
  <c r="AA152" i="17"/>
  <c r="GJ154" i="14"/>
  <c r="GR154" i="14"/>
  <c r="GZ154" i="14"/>
  <c r="HH154" i="14"/>
  <c r="F208" i="17"/>
  <c r="X208" i="17"/>
  <c r="D152" i="17"/>
  <c r="L152" i="17"/>
  <c r="T152" i="17"/>
  <c r="AB152" i="17"/>
  <c r="GK154" i="14"/>
  <c r="GS154" i="14"/>
  <c r="HA154" i="14"/>
  <c r="HI154" i="14"/>
  <c r="AH152" i="17"/>
  <c r="G208" i="17"/>
  <c r="E152" i="17"/>
  <c r="M152" i="17"/>
  <c r="U152" i="17"/>
  <c r="AC152" i="17"/>
  <c r="GL154" i="14"/>
  <c r="GT154" i="14"/>
  <c r="HB154" i="14"/>
  <c r="HJ154" i="14"/>
  <c r="AX152" i="17"/>
  <c r="N208" i="17"/>
  <c r="G152" i="17"/>
  <c r="O152" i="17"/>
  <c r="W152" i="17"/>
  <c r="P152" i="17"/>
  <c r="GX154" i="14"/>
  <c r="FC154" i="14"/>
  <c r="FK154" i="14"/>
  <c r="FS154" i="14"/>
  <c r="GA154" i="14"/>
  <c r="V152" i="17"/>
  <c r="GM154" i="14"/>
  <c r="HC154" i="14"/>
  <c r="FD154" i="14"/>
  <c r="FL154" i="14"/>
  <c r="FT154" i="14"/>
  <c r="GB154" i="14"/>
  <c r="X152" i="17"/>
  <c r="GN154" i="14"/>
  <c r="HD154" i="14"/>
  <c r="FE154" i="14"/>
  <c r="FM154" i="14"/>
  <c r="FU154" i="14"/>
  <c r="GC154" i="14"/>
  <c r="GO154" i="14"/>
  <c r="HE154" i="14"/>
  <c r="FF154" i="14"/>
  <c r="FN154" i="14"/>
  <c r="FV154" i="14"/>
  <c r="GD154" i="14"/>
  <c r="GP154" i="14"/>
  <c r="HF154" i="14"/>
  <c r="FG154" i="14"/>
  <c r="FO154" i="14"/>
  <c r="FW154" i="14"/>
  <c r="BF152" i="17"/>
  <c r="O208" i="17"/>
  <c r="H152" i="17"/>
  <c r="GV154" i="14"/>
  <c r="FI154" i="14"/>
  <c r="FQ154" i="14"/>
  <c r="FY154" i="14"/>
  <c r="GW154" i="14"/>
  <c r="FR154" i="14"/>
  <c r="FI210" i="14"/>
  <c r="FQ210" i="14"/>
  <c r="FY210" i="14"/>
  <c r="AP152" i="17"/>
  <c r="H208" i="17"/>
  <c r="FX154" i="14"/>
  <c r="FJ210" i="14"/>
  <c r="FR210" i="14"/>
  <c r="FZ210" i="14"/>
  <c r="FZ154" i="14"/>
  <c r="FC210" i="14"/>
  <c r="FK210" i="14"/>
  <c r="FS210" i="14"/>
  <c r="GA210" i="14"/>
  <c r="F152" i="17"/>
  <c r="FD210" i="14"/>
  <c r="FL210" i="14"/>
  <c r="FT210" i="14"/>
  <c r="GB210" i="14"/>
  <c r="N152" i="17"/>
  <c r="FE210" i="14"/>
  <c r="FM210" i="14"/>
  <c r="FU210" i="14"/>
  <c r="GC210" i="14"/>
  <c r="FJ154" i="14"/>
  <c r="FG210" i="14"/>
  <c r="FO210" i="14"/>
  <c r="FW210" i="14"/>
  <c r="FX210" i="14"/>
  <c r="DZ210" i="14"/>
  <c r="EH210" i="14"/>
  <c r="EP210" i="14"/>
  <c r="EX210" i="14"/>
  <c r="ED154" i="14"/>
  <c r="EL154" i="14"/>
  <c r="ET154" i="14"/>
  <c r="FH154" i="14"/>
  <c r="GD210" i="14"/>
  <c r="EA210" i="14"/>
  <c r="EI210" i="14"/>
  <c r="EQ210" i="14"/>
  <c r="EY210" i="14"/>
  <c r="EE154" i="14"/>
  <c r="EM154" i="14"/>
  <c r="EU154" i="14"/>
  <c r="GU154" i="14"/>
  <c r="FP154" i="14"/>
  <c r="EB210" i="14"/>
  <c r="EJ210" i="14"/>
  <c r="ER210" i="14"/>
  <c r="DX154" i="14"/>
  <c r="EF154" i="14"/>
  <c r="EN154" i="14"/>
  <c r="EV154" i="14"/>
  <c r="FF210" i="14"/>
  <c r="EC210" i="14"/>
  <c r="EK210" i="14"/>
  <c r="ES210" i="14"/>
  <c r="DY154" i="14"/>
  <c r="EG154" i="14"/>
  <c r="EO154" i="14"/>
  <c r="EW154" i="14"/>
  <c r="FH210" i="14"/>
  <c r="ED210" i="14"/>
  <c r="EL210" i="14"/>
  <c r="ET210" i="14"/>
  <c r="DZ154" i="14"/>
  <c r="EH154" i="14"/>
  <c r="EP154" i="14"/>
  <c r="EX154" i="14"/>
  <c r="FP210" i="14"/>
  <c r="DX210" i="14"/>
  <c r="EF210" i="14"/>
  <c r="EN210" i="14"/>
  <c r="EV210" i="14"/>
  <c r="EB154" i="14"/>
  <c r="EJ154" i="14"/>
  <c r="ER154" i="14"/>
  <c r="EG210" i="14"/>
  <c r="ES154" i="14"/>
  <c r="CV210" i="14"/>
  <c r="DD210" i="14"/>
  <c r="DL210" i="14"/>
  <c r="DT210" i="14"/>
  <c r="CU154" i="14"/>
  <c r="DC154" i="14"/>
  <c r="DK154" i="14"/>
  <c r="DS154" i="14"/>
  <c r="AG210" i="14"/>
  <c r="AO210" i="14"/>
  <c r="AW210" i="14"/>
  <c r="EM210" i="14"/>
  <c r="EY154" i="14"/>
  <c r="CW210" i="14"/>
  <c r="DE210" i="14"/>
  <c r="DM210" i="14"/>
  <c r="CV154" i="14"/>
  <c r="DD154" i="14"/>
  <c r="DL154" i="14"/>
  <c r="DT154" i="14"/>
  <c r="AH210" i="14"/>
  <c r="AP210" i="14"/>
  <c r="AX210" i="14"/>
  <c r="EO210" i="14"/>
  <c r="CX210" i="14"/>
  <c r="DF210" i="14"/>
  <c r="DN210" i="14"/>
  <c r="CW154" i="14"/>
  <c r="DE154" i="14"/>
  <c r="DM154" i="14"/>
  <c r="AA210" i="14"/>
  <c r="AI210" i="14"/>
  <c r="AQ210" i="14"/>
  <c r="AY210" i="14"/>
  <c r="EU210" i="14"/>
  <c r="EA154" i="14"/>
  <c r="CY210" i="14"/>
  <c r="DG210" i="14"/>
  <c r="DO210" i="14"/>
  <c r="CX154" i="14"/>
  <c r="DF154" i="14"/>
  <c r="DN154" i="14"/>
  <c r="AB210" i="14"/>
  <c r="AJ210" i="14"/>
  <c r="AR210" i="14"/>
  <c r="AZ210" i="14"/>
  <c r="EW210" i="14"/>
  <c r="EC154" i="14"/>
  <c r="CZ210" i="14"/>
  <c r="DH210" i="14"/>
  <c r="DP210" i="14"/>
  <c r="CY154" i="14"/>
  <c r="DG154" i="14"/>
  <c r="DO154" i="14"/>
  <c r="AC210" i="14"/>
  <c r="AK210" i="14"/>
  <c r="AS210" i="14"/>
  <c r="BA210" i="14"/>
  <c r="FV210" i="14"/>
  <c r="DY210" i="14"/>
  <c r="EK154" i="14"/>
  <c r="CT210" i="14"/>
  <c r="DB210" i="14"/>
  <c r="DJ210" i="14"/>
  <c r="DR210" i="14"/>
  <c r="CS154" i="14"/>
  <c r="DA154" i="14"/>
  <c r="DI154" i="14"/>
  <c r="DQ154" i="14"/>
  <c r="AE210" i="14"/>
  <c r="AM210" i="14"/>
  <c r="AU210" i="14"/>
  <c r="EE210" i="14"/>
  <c r="DC210" i="14"/>
  <c r="DJ154" i="14"/>
  <c r="EI154" i="14"/>
  <c r="DI210" i="14"/>
  <c r="DP154" i="14"/>
  <c r="AD210" i="14"/>
  <c r="EQ154" i="14"/>
  <c r="DK210" i="14"/>
  <c r="DR154" i="14"/>
  <c r="AF210" i="14"/>
  <c r="DQ210" i="14"/>
  <c r="AL210" i="14"/>
  <c r="CU210" i="14"/>
  <c r="DB154" i="14"/>
  <c r="AV210" i="14"/>
  <c r="DA210" i="14"/>
  <c r="DH154" i="14"/>
  <c r="BB210" i="14"/>
  <c r="AF154" i="14"/>
  <c r="AN154" i="14"/>
  <c r="AV154" i="14"/>
  <c r="I206" i="6"/>
  <c r="I103" i="2" s="1"/>
  <c r="Q206" i="6"/>
  <c r="Y206" i="6"/>
  <c r="AG206" i="6"/>
  <c r="AG154" i="14"/>
  <c r="AO154" i="14"/>
  <c r="AW154" i="14"/>
  <c r="J206" i="6"/>
  <c r="R206" i="6"/>
  <c r="Z206" i="6"/>
  <c r="AH206" i="6"/>
  <c r="AH154" i="14"/>
  <c r="AP154" i="14"/>
  <c r="AX154" i="14"/>
  <c r="K206" i="6"/>
  <c r="S206" i="6"/>
  <c r="AA206" i="6"/>
  <c r="AI206" i="6"/>
  <c r="FN210" i="14"/>
  <c r="AA154" i="14"/>
  <c r="AI154" i="14"/>
  <c r="AQ154" i="14"/>
  <c r="AY154" i="14"/>
  <c r="L206" i="6"/>
  <c r="T206" i="6"/>
  <c r="AB206" i="6"/>
  <c r="AJ206" i="6"/>
  <c r="DS210" i="14"/>
  <c r="AN210" i="14"/>
  <c r="AD154" i="14"/>
  <c r="AL154" i="14"/>
  <c r="AT154" i="14"/>
  <c r="BB154" i="14"/>
  <c r="O206" i="6"/>
  <c r="W206" i="6"/>
  <c r="AE206" i="6"/>
  <c r="AT210" i="14"/>
  <c r="AE154" i="14"/>
  <c r="AM154" i="14"/>
  <c r="AU154" i="14"/>
  <c r="P206" i="6"/>
  <c r="X206" i="6"/>
  <c r="AF206" i="6"/>
  <c r="CT154" i="14"/>
  <c r="AJ154" i="14"/>
  <c r="AD206" i="6"/>
  <c r="CS210" i="14"/>
  <c r="AK154" i="14"/>
  <c r="AR154" i="14"/>
  <c r="M206" i="6"/>
  <c r="V206" i="6"/>
  <c r="AS154" i="14"/>
  <c r="N206" i="6"/>
  <c r="CZ154" i="14"/>
  <c r="AZ154" i="14"/>
  <c r="U206" i="6"/>
  <c r="BA154" i="14"/>
  <c r="AB154" i="14"/>
  <c r="AC206" i="6"/>
  <c r="AC154" i="14"/>
  <c r="BO154" i="14"/>
  <c r="BW154" i="14"/>
  <c r="CE154" i="14"/>
  <c r="CM154" i="14"/>
  <c r="BS210" i="14"/>
  <c r="CA210" i="14"/>
  <c r="CI210" i="14"/>
  <c r="CH210" i="14"/>
  <c r="BP154" i="14"/>
  <c r="BX154" i="14"/>
  <c r="CF154" i="14"/>
  <c r="CN154" i="14"/>
  <c r="BT210" i="14"/>
  <c r="CB210" i="14"/>
  <c r="CJ210" i="14"/>
  <c r="CN210" i="14"/>
  <c r="BZ210" i="14"/>
  <c r="BQ154" i="14"/>
  <c r="BY154" i="14"/>
  <c r="CG154" i="14"/>
  <c r="CO154" i="14"/>
  <c r="BU210" i="14"/>
  <c r="CC210" i="14"/>
  <c r="CK210" i="14"/>
  <c r="CB154" i="14"/>
  <c r="BP210" i="14"/>
  <c r="CF210" i="14"/>
  <c r="BR154" i="14"/>
  <c r="BZ154" i="14"/>
  <c r="CH154" i="14"/>
  <c r="BN210" i="14"/>
  <c r="BV210" i="14"/>
  <c r="CD210" i="14"/>
  <c r="CL210" i="14"/>
  <c r="CJ154" i="14"/>
  <c r="BS154" i="14"/>
  <c r="CA154" i="14"/>
  <c r="CI154" i="14"/>
  <c r="BO210" i="14"/>
  <c r="BW210" i="14"/>
  <c r="CE210" i="14"/>
  <c r="CM210" i="14"/>
  <c r="BT154" i="14"/>
  <c r="BX210" i="14"/>
  <c r="BR210" i="14"/>
  <c r="BU154" i="14"/>
  <c r="CC154" i="14"/>
  <c r="CK154" i="14"/>
  <c r="BQ210" i="14"/>
  <c r="BY210" i="14"/>
  <c r="CG210" i="14"/>
  <c r="CO210" i="14"/>
  <c r="BN154" i="14"/>
  <c r="BV154" i="14"/>
  <c r="CD154" i="14"/>
  <c r="CL154" i="14"/>
  <c r="BO124" i="17"/>
  <c r="BW124" i="17"/>
  <c r="CE124" i="17"/>
  <c r="CM124" i="17"/>
  <c r="BP124" i="17"/>
  <c r="BX124" i="17"/>
  <c r="CF124" i="17"/>
  <c r="CN124" i="17"/>
  <c r="BQ124" i="17"/>
  <c r="BY124" i="17"/>
  <c r="CG124" i="17"/>
  <c r="BR124" i="17"/>
  <c r="BZ124" i="17"/>
  <c r="CH124" i="17"/>
  <c r="BT124" i="17"/>
  <c r="CB124" i="17"/>
  <c r="CJ124" i="17"/>
  <c r="BM124" i="17"/>
  <c r="BU124" i="17"/>
  <c r="CC124" i="17"/>
  <c r="CK124" i="17"/>
  <c r="BN124" i="17"/>
  <c r="BV124" i="17"/>
  <c r="CD124" i="17"/>
  <c r="CL124" i="17"/>
  <c r="CA124" i="17"/>
  <c r="AN180" i="17"/>
  <c r="AV180" i="17"/>
  <c r="BD180" i="17"/>
  <c r="AG180" i="17"/>
  <c r="AO180" i="17"/>
  <c r="AW180" i="17"/>
  <c r="BE180" i="17"/>
  <c r="AH180" i="17"/>
  <c r="AP180" i="17"/>
  <c r="AX180" i="17"/>
  <c r="BF180" i="17"/>
  <c r="AI180" i="17"/>
  <c r="AQ180" i="17"/>
  <c r="AY180" i="17"/>
  <c r="BG180" i="17"/>
  <c r="BS124" i="17"/>
  <c r="AJ180" i="17"/>
  <c r="AR180" i="17"/>
  <c r="AZ180" i="17"/>
  <c r="BH180" i="17"/>
  <c r="CI124" i="17"/>
  <c r="AK180" i="17"/>
  <c r="AS180" i="17"/>
  <c r="BA180" i="17"/>
  <c r="AL180" i="17"/>
  <c r="AT180" i="17"/>
  <c r="BB180" i="17"/>
  <c r="AL124" i="17"/>
  <c r="AT124" i="17"/>
  <c r="BB124" i="17"/>
  <c r="AM180" i="17"/>
  <c r="AM124" i="17"/>
  <c r="AU124" i="17"/>
  <c r="BC124" i="17"/>
  <c r="AU180" i="17"/>
  <c r="AN124" i="17"/>
  <c r="AV124" i="17"/>
  <c r="BD124" i="17"/>
  <c r="BC180" i="17"/>
  <c r="AG124" i="17"/>
  <c r="AO124" i="17"/>
  <c r="AW124" i="17"/>
  <c r="BE124" i="17"/>
  <c r="AH124" i="17"/>
  <c r="AP124" i="17"/>
  <c r="AX124" i="17"/>
  <c r="BF124" i="17"/>
  <c r="AI124" i="17"/>
  <c r="AQ124" i="17"/>
  <c r="AY124" i="17"/>
  <c r="BG124" i="17"/>
  <c r="AJ124" i="17"/>
  <c r="AR124" i="17"/>
  <c r="AZ124" i="17"/>
  <c r="BH124" i="17"/>
  <c r="AS124" i="17"/>
  <c r="H180" i="17"/>
  <c r="P180" i="17"/>
  <c r="X180" i="17"/>
  <c r="BA124" i="17"/>
  <c r="I180" i="17"/>
  <c r="Q180" i="17"/>
  <c r="Y180" i="17"/>
  <c r="E124" i="17"/>
  <c r="M124" i="17"/>
  <c r="U124" i="17"/>
  <c r="AC124" i="17"/>
  <c r="B180" i="17"/>
  <c r="J180" i="17"/>
  <c r="R180" i="17"/>
  <c r="Z180" i="17"/>
  <c r="F124" i="17"/>
  <c r="N124" i="17"/>
  <c r="V124" i="17"/>
  <c r="C180" i="17"/>
  <c r="K180" i="17"/>
  <c r="S180" i="17"/>
  <c r="AA180" i="17"/>
  <c r="G124" i="17"/>
  <c r="O124" i="17"/>
  <c r="W124" i="17"/>
  <c r="D180" i="17"/>
  <c r="L180" i="17"/>
  <c r="T180" i="17"/>
  <c r="AB180" i="17"/>
  <c r="H124" i="17"/>
  <c r="P124" i="17"/>
  <c r="X124" i="17"/>
  <c r="E180" i="17"/>
  <c r="M180" i="17"/>
  <c r="U180" i="17"/>
  <c r="AC180" i="17"/>
  <c r="I124" i="17"/>
  <c r="Q124" i="17"/>
  <c r="Y124" i="17"/>
  <c r="F180" i="17"/>
  <c r="N180" i="17"/>
  <c r="V180" i="17"/>
  <c r="L124" i="17"/>
  <c r="GP126" i="14"/>
  <c r="GX126" i="14"/>
  <c r="HF126" i="14"/>
  <c r="R124" i="17"/>
  <c r="GI126" i="14"/>
  <c r="GQ126" i="14"/>
  <c r="GY126" i="14"/>
  <c r="HG126" i="14"/>
  <c r="S124" i="17"/>
  <c r="GJ126" i="14"/>
  <c r="GR126" i="14"/>
  <c r="GZ126" i="14"/>
  <c r="HH126" i="14"/>
  <c r="B124" i="17"/>
  <c r="T124" i="17"/>
  <c r="GK126" i="14"/>
  <c r="GS126" i="14"/>
  <c r="HA126" i="14"/>
  <c r="HI126" i="14"/>
  <c r="AK124" i="17"/>
  <c r="C124" i="17"/>
  <c r="Z124" i="17"/>
  <c r="GL126" i="14"/>
  <c r="GT126" i="14"/>
  <c r="HB126" i="14"/>
  <c r="HJ126" i="14"/>
  <c r="O180" i="17"/>
  <c r="J124" i="17"/>
  <c r="AB124" i="17"/>
  <c r="GN126" i="14"/>
  <c r="GV126" i="14"/>
  <c r="HD126" i="14"/>
  <c r="GO126" i="14"/>
  <c r="FC126" i="14"/>
  <c r="FK126" i="14"/>
  <c r="FS126" i="14"/>
  <c r="GA126" i="14"/>
  <c r="G180" i="17"/>
  <c r="D124" i="17"/>
  <c r="GU126" i="14"/>
  <c r="FD126" i="14"/>
  <c r="FL126" i="14"/>
  <c r="FT126" i="14"/>
  <c r="GB126" i="14"/>
  <c r="W180" i="17"/>
  <c r="K124" i="17"/>
  <c r="GW126" i="14"/>
  <c r="FE126" i="14"/>
  <c r="FM126" i="14"/>
  <c r="FU126" i="14"/>
  <c r="GC126" i="14"/>
  <c r="AA124" i="17"/>
  <c r="HC126" i="14"/>
  <c r="FF126" i="14"/>
  <c r="FN126" i="14"/>
  <c r="FV126" i="14"/>
  <c r="GD126" i="14"/>
  <c r="HE126" i="14"/>
  <c r="FG126" i="14"/>
  <c r="FO126" i="14"/>
  <c r="FW126" i="14"/>
  <c r="FC182" i="14"/>
  <c r="FK182" i="14"/>
  <c r="FS182" i="14"/>
  <c r="GA182" i="14"/>
  <c r="FI126" i="14"/>
  <c r="FQ126" i="14"/>
  <c r="FY126" i="14"/>
  <c r="FI182" i="14"/>
  <c r="FR182" i="14"/>
  <c r="GB182" i="14"/>
  <c r="DZ182" i="14"/>
  <c r="EH182" i="14"/>
  <c r="EP182" i="14"/>
  <c r="EX182" i="14"/>
  <c r="FH126" i="14"/>
  <c r="FJ182" i="14"/>
  <c r="FT182" i="14"/>
  <c r="GC182" i="14"/>
  <c r="EA182" i="14"/>
  <c r="EI182" i="14"/>
  <c r="EQ182" i="14"/>
  <c r="EY182" i="14"/>
  <c r="FJ126" i="14"/>
  <c r="FL182" i="14"/>
  <c r="FU182" i="14"/>
  <c r="GD182" i="14"/>
  <c r="EB182" i="14"/>
  <c r="EJ182" i="14"/>
  <c r="ER182" i="14"/>
  <c r="FP126" i="14"/>
  <c r="FD182" i="14"/>
  <c r="FM182" i="14"/>
  <c r="FV182" i="14"/>
  <c r="EC182" i="14"/>
  <c r="EK182" i="14"/>
  <c r="ES182" i="14"/>
  <c r="GM126" i="14"/>
  <c r="FR126" i="14"/>
  <c r="FE182" i="14"/>
  <c r="FN182" i="14"/>
  <c r="FW182" i="14"/>
  <c r="ED182" i="14"/>
  <c r="EL182" i="14"/>
  <c r="ET182" i="14"/>
  <c r="FZ126" i="14"/>
  <c r="FG182" i="14"/>
  <c r="FP182" i="14"/>
  <c r="FY182" i="14"/>
  <c r="DX182" i="14"/>
  <c r="EF182" i="14"/>
  <c r="EN182" i="14"/>
  <c r="EV182" i="14"/>
  <c r="EO182" i="14"/>
  <c r="ED126" i="14"/>
  <c r="EL126" i="14"/>
  <c r="ET126" i="14"/>
  <c r="FX126" i="14"/>
  <c r="FF182" i="14"/>
  <c r="EU182" i="14"/>
  <c r="EE126" i="14"/>
  <c r="EM126" i="14"/>
  <c r="EU126" i="14"/>
  <c r="CV182" i="14"/>
  <c r="DD182" i="14"/>
  <c r="DL182" i="14"/>
  <c r="DT182" i="14"/>
  <c r="FH182" i="14"/>
  <c r="EW182" i="14"/>
  <c r="DX126" i="14"/>
  <c r="EF126" i="14"/>
  <c r="EN126" i="14"/>
  <c r="EV126" i="14"/>
  <c r="FO182" i="14"/>
  <c r="DY126" i="14"/>
  <c r="EG126" i="14"/>
  <c r="EO126" i="14"/>
  <c r="EW126" i="14"/>
  <c r="CX182" i="14"/>
  <c r="DF182" i="14"/>
  <c r="DN182" i="14"/>
  <c r="FQ182" i="14"/>
  <c r="DY182" i="14"/>
  <c r="DZ126" i="14"/>
  <c r="EH126" i="14"/>
  <c r="EP126" i="14"/>
  <c r="EX126" i="14"/>
  <c r="CY182" i="14"/>
  <c r="DG182" i="14"/>
  <c r="DO182" i="14"/>
  <c r="FZ182" i="14"/>
  <c r="EG182" i="14"/>
  <c r="EB126" i="14"/>
  <c r="EJ126" i="14"/>
  <c r="ER126" i="14"/>
  <c r="CS182" i="14"/>
  <c r="DA182" i="14"/>
  <c r="DI182" i="14"/>
  <c r="DQ182" i="14"/>
  <c r="EC126" i="14"/>
  <c r="DC182" i="14"/>
  <c r="DS182" i="14"/>
  <c r="CU126" i="14"/>
  <c r="DC126" i="14"/>
  <c r="DK126" i="14"/>
  <c r="DS126" i="14"/>
  <c r="AG182" i="14"/>
  <c r="AO182" i="14"/>
  <c r="AW182" i="14"/>
  <c r="AG126" i="14"/>
  <c r="AO126" i="14"/>
  <c r="AW126" i="14"/>
  <c r="EI126" i="14"/>
  <c r="DE182" i="14"/>
  <c r="CV126" i="14"/>
  <c r="DD126" i="14"/>
  <c r="DL126" i="14"/>
  <c r="DT126" i="14"/>
  <c r="AH182" i="14"/>
  <c r="AP182" i="14"/>
  <c r="AX182" i="14"/>
  <c r="AH126" i="14"/>
  <c r="AP126" i="14"/>
  <c r="AX126" i="14"/>
  <c r="EK126" i="14"/>
  <c r="DH182" i="14"/>
  <c r="CW126" i="14"/>
  <c r="DE126" i="14"/>
  <c r="DM126" i="14"/>
  <c r="AA182" i="14"/>
  <c r="AI182" i="14"/>
  <c r="AQ182" i="14"/>
  <c r="AY182" i="14"/>
  <c r="AA126" i="14"/>
  <c r="AI126" i="14"/>
  <c r="AQ126" i="14"/>
  <c r="AY126" i="14"/>
  <c r="EQ126" i="14"/>
  <c r="CT182" i="14"/>
  <c r="DJ182" i="14"/>
  <c r="CX126" i="14"/>
  <c r="DF126" i="14"/>
  <c r="DN126" i="14"/>
  <c r="AB182" i="14"/>
  <c r="AJ182" i="14"/>
  <c r="AR182" i="14"/>
  <c r="AZ182" i="14"/>
  <c r="AB126" i="14"/>
  <c r="AJ126" i="14"/>
  <c r="AR126" i="14"/>
  <c r="AZ126" i="14"/>
  <c r="ES126" i="14"/>
  <c r="CU182" i="14"/>
  <c r="DK182" i="14"/>
  <c r="CY126" i="14"/>
  <c r="DG126" i="14"/>
  <c r="DO126" i="14"/>
  <c r="AC182" i="14"/>
  <c r="AK182" i="14"/>
  <c r="AS182" i="14"/>
  <c r="BA182" i="14"/>
  <c r="AC126" i="14"/>
  <c r="AK126" i="14"/>
  <c r="AS126" i="14"/>
  <c r="BA126" i="14"/>
  <c r="EM182" i="14"/>
  <c r="CZ182" i="14"/>
  <c r="DP182" i="14"/>
  <c r="CS126" i="14"/>
  <c r="DA126" i="14"/>
  <c r="DI126" i="14"/>
  <c r="DQ126" i="14"/>
  <c r="AE182" i="14"/>
  <c r="AM182" i="14"/>
  <c r="AU182" i="14"/>
  <c r="AE126" i="14"/>
  <c r="AM126" i="14"/>
  <c r="AU126" i="14"/>
  <c r="EA126" i="14"/>
  <c r="CT126" i="14"/>
  <c r="AN182" i="14"/>
  <c r="FX182" i="14"/>
  <c r="EY126" i="14"/>
  <c r="CZ126" i="14"/>
  <c r="AT182" i="14"/>
  <c r="AD126" i="14"/>
  <c r="DB126" i="14"/>
  <c r="AV182" i="14"/>
  <c r="CW182" i="14"/>
  <c r="DH126" i="14"/>
  <c r="BB182" i="14"/>
  <c r="AL126" i="14"/>
  <c r="DR182" i="14"/>
  <c r="DR126" i="14"/>
  <c r="AF182" i="14"/>
  <c r="AV126" i="14"/>
  <c r="EE182" i="14"/>
  <c r="AL182" i="14"/>
  <c r="BB126" i="14"/>
  <c r="I178" i="6"/>
  <c r="I77" i="2" s="1"/>
  <c r="Q178" i="6"/>
  <c r="Y178" i="6"/>
  <c r="AG178" i="6"/>
  <c r="DJ126" i="14"/>
  <c r="J178" i="6"/>
  <c r="R178" i="6"/>
  <c r="Z178" i="6"/>
  <c r="AH178" i="6"/>
  <c r="K178" i="6"/>
  <c r="S178" i="6"/>
  <c r="AA178" i="6"/>
  <c r="AI178" i="6"/>
  <c r="AF126" i="14"/>
  <c r="L178" i="6"/>
  <c r="T178" i="6"/>
  <c r="AB178" i="6"/>
  <c r="AJ178" i="6"/>
  <c r="DB182" i="14"/>
  <c r="O178" i="6"/>
  <c r="W178" i="6"/>
  <c r="AE178" i="6"/>
  <c r="DM182" i="14"/>
  <c r="P178" i="6"/>
  <c r="X178" i="6"/>
  <c r="AF178" i="6"/>
  <c r="U178" i="6"/>
  <c r="AD182" i="14"/>
  <c r="V178" i="6"/>
  <c r="AC178" i="6"/>
  <c r="AD178" i="6"/>
  <c r="DP126" i="14"/>
  <c r="AN126" i="14"/>
  <c r="M178" i="6"/>
  <c r="AT126" i="14"/>
  <c r="N178" i="6"/>
  <c r="BO126" i="14"/>
  <c r="BW126" i="14"/>
  <c r="CE126" i="14"/>
  <c r="CM126" i="14"/>
  <c r="BS182" i="14"/>
  <c r="CA182" i="14"/>
  <c r="CI182" i="14"/>
  <c r="CH182" i="14"/>
  <c r="BP126" i="14"/>
  <c r="BX126" i="14"/>
  <c r="CF126" i="14"/>
  <c r="CN126" i="14"/>
  <c r="BT182" i="14"/>
  <c r="CB182" i="14"/>
  <c r="CJ182" i="14"/>
  <c r="BT126" i="14"/>
  <c r="BP182" i="14"/>
  <c r="BZ182" i="14"/>
  <c r="BQ126" i="14"/>
  <c r="BY126" i="14"/>
  <c r="CG126" i="14"/>
  <c r="CO126" i="14"/>
  <c r="BU182" i="14"/>
  <c r="CC182" i="14"/>
  <c r="CK182" i="14"/>
  <c r="CJ126" i="14"/>
  <c r="CN182" i="14"/>
  <c r="BR126" i="14"/>
  <c r="BZ126" i="14"/>
  <c r="CH126" i="14"/>
  <c r="BN182" i="14"/>
  <c r="BV182" i="14"/>
  <c r="CD182" i="14"/>
  <c r="CL182" i="14"/>
  <c r="CB126" i="14"/>
  <c r="BX182" i="14"/>
  <c r="BS126" i="14"/>
  <c r="CA126" i="14"/>
  <c r="CI126" i="14"/>
  <c r="BO182" i="14"/>
  <c r="BW182" i="14"/>
  <c r="CE182" i="14"/>
  <c r="CM182" i="14"/>
  <c r="CF182" i="14"/>
  <c r="BU126" i="14"/>
  <c r="CC126" i="14"/>
  <c r="CK126" i="14"/>
  <c r="BQ182" i="14"/>
  <c r="BY182" i="14"/>
  <c r="CG182" i="14"/>
  <c r="CO182" i="14"/>
  <c r="BN126" i="14"/>
  <c r="BV126" i="14"/>
  <c r="CD126" i="14"/>
  <c r="CL126" i="14"/>
  <c r="BR182" i="14"/>
  <c r="BO116" i="17"/>
  <c r="BW116" i="17"/>
  <c r="CE116" i="17"/>
  <c r="CM116" i="17"/>
  <c r="BP116" i="17"/>
  <c r="BX116" i="17"/>
  <c r="CF116" i="17"/>
  <c r="CN116" i="17"/>
  <c r="BQ116" i="17"/>
  <c r="BY116" i="17"/>
  <c r="CG116" i="17"/>
  <c r="BR116" i="17"/>
  <c r="BZ116" i="17"/>
  <c r="CH116" i="17"/>
  <c r="BT116" i="17"/>
  <c r="CB116" i="17"/>
  <c r="CJ116" i="17"/>
  <c r="BM116" i="17"/>
  <c r="BU116" i="17"/>
  <c r="CC116" i="17"/>
  <c r="CK116" i="17"/>
  <c r="BN116" i="17"/>
  <c r="BV116" i="17"/>
  <c r="CD116" i="17"/>
  <c r="CL116" i="17"/>
  <c r="BS116" i="17"/>
  <c r="CA116" i="17"/>
  <c r="CI116" i="17"/>
  <c r="AN172" i="17"/>
  <c r="AV172" i="17"/>
  <c r="BD172" i="17"/>
  <c r="AG172" i="17"/>
  <c r="AO172" i="17"/>
  <c r="AW172" i="17"/>
  <c r="BE172" i="17"/>
  <c r="AH172" i="17"/>
  <c r="AP172" i="17"/>
  <c r="AX172" i="17"/>
  <c r="BF172" i="17"/>
  <c r="AI172" i="17"/>
  <c r="AQ172" i="17"/>
  <c r="AY172" i="17"/>
  <c r="BG172" i="17"/>
  <c r="AJ172" i="17"/>
  <c r="AR172" i="17"/>
  <c r="AZ172" i="17"/>
  <c r="BH172" i="17"/>
  <c r="AK172" i="17"/>
  <c r="AS172" i="17"/>
  <c r="BA172" i="17"/>
  <c r="AL172" i="17"/>
  <c r="AT172" i="17"/>
  <c r="BB172" i="17"/>
  <c r="AL116" i="17"/>
  <c r="AT116" i="17"/>
  <c r="BB116" i="17"/>
  <c r="AM116" i="17"/>
  <c r="AU116" i="17"/>
  <c r="BC116" i="17"/>
  <c r="AN116" i="17"/>
  <c r="AV116" i="17"/>
  <c r="BD116" i="17"/>
  <c r="AG116" i="17"/>
  <c r="AO116" i="17"/>
  <c r="AW116" i="17"/>
  <c r="BE116" i="17"/>
  <c r="AH116" i="17"/>
  <c r="AP116" i="17"/>
  <c r="AX116" i="17"/>
  <c r="BF116" i="17"/>
  <c r="AM172" i="17"/>
  <c r="AI116" i="17"/>
  <c r="AQ116" i="17"/>
  <c r="AY116" i="17"/>
  <c r="BG116" i="17"/>
  <c r="AU172" i="17"/>
  <c r="AJ116" i="17"/>
  <c r="AR116" i="17"/>
  <c r="AZ116" i="17"/>
  <c r="BH116" i="17"/>
  <c r="H172" i="17"/>
  <c r="P172" i="17"/>
  <c r="X172" i="17"/>
  <c r="I172" i="17"/>
  <c r="Q172" i="17"/>
  <c r="Y172" i="17"/>
  <c r="E116" i="17"/>
  <c r="M116" i="17"/>
  <c r="U116" i="17"/>
  <c r="AC116" i="17"/>
  <c r="B172" i="17"/>
  <c r="J172" i="17"/>
  <c r="R172" i="17"/>
  <c r="Z172" i="17"/>
  <c r="F116" i="17"/>
  <c r="N116" i="17"/>
  <c r="V116" i="17"/>
  <c r="AK116" i="17"/>
  <c r="C172" i="17"/>
  <c r="K172" i="17"/>
  <c r="S172" i="17"/>
  <c r="AA172" i="17"/>
  <c r="G116" i="17"/>
  <c r="O116" i="17"/>
  <c r="W116" i="17"/>
  <c r="BC172" i="17"/>
  <c r="AS116" i="17"/>
  <c r="D172" i="17"/>
  <c r="L172" i="17"/>
  <c r="T172" i="17"/>
  <c r="AB172" i="17"/>
  <c r="H116" i="17"/>
  <c r="P116" i="17"/>
  <c r="X116" i="17"/>
  <c r="BA116" i="17"/>
  <c r="E172" i="17"/>
  <c r="M172" i="17"/>
  <c r="U172" i="17"/>
  <c r="AC172" i="17"/>
  <c r="I116" i="17"/>
  <c r="Q116" i="17"/>
  <c r="Y116" i="17"/>
  <c r="F172" i="17"/>
  <c r="N172" i="17"/>
  <c r="V172" i="17"/>
  <c r="C116" i="17"/>
  <c r="Z116" i="17"/>
  <c r="GP118" i="14"/>
  <c r="GX118" i="14"/>
  <c r="HF118" i="14"/>
  <c r="G172" i="17"/>
  <c r="D116" i="17"/>
  <c r="AA116" i="17"/>
  <c r="GI118" i="14"/>
  <c r="GQ118" i="14"/>
  <c r="GY118" i="14"/>
  <c r="HG118" i="14"/>
  <c r="O172" i="17"/>
  <c r="J116" i="17"/>
  <c r="AB116" i="17"/>
  <c r="GJ118" i="14"/>
  <c r="GR118" i="14"/>
  <c r="GZ118" i="14"/>
  <c r="HH118" i="14"/>
  <c r="W172" i="17"/>
  <c r="K116" i="17"/>
  <c r="GK118" i="14"/>
  <c r="GS118" i="14"/>
  <c r="HA118" i="14"/>
  <c r="HI118" i="14"/>
  <c r="L116" i="17"/>
  <c r="GL118" i="14"/>
  <c r="GT118" i="14"/>
  <c r="HB118" i="14"/>
  <c r="HJ118" i="14"/>
  <c r="S116" i="17"/>
  <c r="GN118" i="14"/>
  <c r="GV118" i="14"/>
  <c r="HD118" i="14"/>
  <c r="GO118" i="14"/>
  <c r="FC118" i="14"/>
  <c r="FK118" i="14"/>
  <c r="FS118" i="14"/>
  <c r="GA118" i="14"/>
  <c r="GU118" i="14"/>
  <c r="FD118" i="14"/>
  <c r="FL118" i="14"/>
  <c r="FT118" i="14"/>
  <c r="GB118" i="14"/>
  <c r="FH174" i="14"/>
  <c r="FP174" i="14"/>
  <c r="FX174" i="14"/>
  <c r="GW118" i="14"/>
  <c r="FE118" i="14"/>
  <c r="FM118" i="14"/>
  <c r="FU118" i="14"/>
  <c r="GC118" i="14"/>
  <c r="FI174" i="14"/>
  <c r="FQ174" i="14"/>
  <c r="FY174" i="14"/>
  <c r="HC118" i="14"/>
  <c r="FF118" i="14"/>
  <c r="FN118" i="14"/>
  <c r="FV118" i="14"/>
  <c r="GD118" i="14"/>
  <c r="FJ174" i="14"/>
  <c r="FR174" i="14"/>
  <c r="FZ174" i="14"/>
  <c r="B116" i="17"/>
  <c r="HE118" i="14"/>
  <c r="FG118" i="14"/>
  <c r="FO118" i="14"/>
  <c r="FW118" i="14"/>
  <c r="FC174" i="14"/>
  <c r="FK174" i="14"/>
  <c r="FS174" i="14"/>
  <c r="GA174" i="14"/>
  <c r="T116" i="17"/>
  <c r="FI118" i="14"/>
  <c r="FQ118" i="14"/>
  <c r="FY118" i="14"/>
  <c r="FE174" i="14"/>
  <c r="FM174" i="14"/>
  <c r="FU174" i="14"/>
  <c r="GC174" i="14"/>
  <c r="FD174" i="14"/>
  <c r="FW174" i="14"/>
  <c r="DZ174" i="14"/>
  <c r="EH174" i="14"/>
  <c r="EP174" i="14"/>
  <c r="EX174" i="14"/>
  <c r="FH118" i="14"/>
  <c r="FF174" i="14"/>
  <c r="GB174" i="14"/>
  <c r="EA174" i="14"/>
  <c r="EI174" i="14"/>
  <c r="EQ174" i="14"/>
  <c r="EY174" i="14"/>
  <c r="FJ118" i="14"/>
  <c r="FG174" i="14"/>
  <c r="GD174" i="14"/>
  <c r="EB174" i="14"/>
  <c r="EJ174" i="14"/>
  <c r="ER174" i="14"/>
  <c r="R116" i="17"/>
  <c r="FP118" i="14"/>
  <c r="FL174" i="14"/>
  <c r="EC174" i="14"/>
  <c r="EK174" i="14"/>
  <c r="ES174" i="14"/>
  <c r="FR118" i="14"/>
  <c r="FN174" i="14"/>
  <c r="ED174" i="14"/>
  <c r="EL174" i="14"/>
  <c r="ET174" i="14"/>
  <c r="GM118" i="14"/>
  <c r="FZ118" i="14"/>
  <c r="FT174" i="14"/>
  <c r="DX174" i="14"/>
  <c r="EF174" i="14"/>
  <c r="EN174" i="14"/>
  <c r="EV174" i="14"/>
  <c r="FV174" i="14"/>
  <c r="EO174" i="14"/>
  <c r="ED118" i="14"/>
  <c r="EL118" i="14"/>
  <c r="ET118" i="14"/>
  <c r="EU174" i="14"/>
  <c r="EE118" i="14"/>
  <c r="EM118" i="14"/>
  <c r="EU118" i="14"/>
  <c r="CV174" i="14"/>
  <c r="DD174" i="14"/>
  <c r="DL174" i="14"/>
  <c r="DT174" i="14"/>
  <c r="EW174" i="14"/>
  <c r="DX118" i="14"/>
  <c r="EF118" i="14"/>
  <c r="EN118" i="14"/>
  <c r="EV118" i="14"/>
  <c r="CW174" i="14"/>
  <c r="DE174" i="14"/>
  <c r="DM174" i="14"/>
  <c r="FX118" i="14"/>
  <c r="DY118" i="14"/>
  <c r="EG118" i="14"/>
  <c r="EO118" i="14"/>
  <c r="EW118" i="14"/>
  <c r="CX174" i="14"/>
  <c r="DF174" i="14"/>
  <c r="DN174" i="14"/>
  <c r="DY174" i="14"/>
  <c r="DZ118" i="14"/>
  <c r="EH118" i="14"/>
  <c r="EP118" i="14"/>
  <c r="EX118" i="14"/>
  <c r="CY174" i="14"/>
  <c r="DG174" i="14"/>
  <c r="DO174" i="14"/>
  <c r="EG174" i="14"/>
  <c r="EB118" i="14"/>
  <c r="EJ118" i="14"/>
  <c r="ER118" i="14"/>
  <c r="CS174" i="14"/>
  <c r="DA174" i="14"/>
  <c r="DI174" i="14"/>
  <c r="DQ174" i="14"/>
  <c r="EM174" i="14"/>
  <c r="EC118" i="14"/>
  <c r="DJ174" i="14"/>
  <c r="CU118" i="14"/>
  <c r="DC118" i="14"/>
  <c r="DK118" i="14"/>
  <c r="DS118" i="14"/>
  <c r="AG174" i="14"/>
  <c r="AO174" i="14"/>
  <c r="AW174" i="14"/>
  <c r="AG118" i="14"/>
  <c r="AO118" i="14"/>
  <c r="AW118" i="14"/>
  <c r="EI118" i="14"/>
  <c r="DK174" i="14"/>
  <c r="CV118" i="14"/>
  <c r="DD118" i="14"/>
  <c r="DL118" i="14"/>
  <c r="DT118" i="14"/>
  <c r="AH174" i="14"/>
  <c r="AP174" i="14"/>
  <c r="AX174" i="14"/>
  <c r="AH118" i="14"/>
  <c r="AP118" i="14"/>
  <c r="AX118" i="14"/>
  <c r="EK118" i="14"/>
  <c r="CT174" i="14"/>
  <c r="DP174" i="14"/>
  <c r="CW118" i="14"/>
  <c r="DE118" i="14"/>
  <c r="DM118" i="14"/>
  <c r="AA174" i="14"/>
  <c r="AI174" i="14"/>
  <c r="AQ174" i="14"/>
  <c r="AY174" i="14"/>
  <c r="AA118" i="14"/>
  <c r="AI118" i="14"/>
  <c r="AQ118" i="14"/>
  <c r="AY118" i="14"/>
  <c r="EQ118" i="14"/>
  <c r="CU174" i="14"/>
  <c r="DR174" i="14"/>
  <c r="CX118" i="14"/>
  <c r="DF118" i="14"/>
  <c r="DN118" i="14"/>
  <c r="AB174" i="14"/>
  <c r="AJ174" i="14"/>
  <c r="AR174" i="14"/>
  <c r="AZ174" i="14"/>
  <c r="AB118" i="14"/>
  <c r="AJ118" i="14"/>
  <c r="AR118" i="14"/>
  <c r="AZ118" i="14"/>
  <c r="ES118" i="14"/>
  <c r="CZ174" i="14"/>
  <c r="DS174" i="14"/>
  <c r="CY118" i="14"/>
  <c r="DG118" i="14"/>
  <c r="DO118" i="14"/>
  <c r="AC174" i="14"/>
  <c r="AK174" i="14"/>
  <c r="AS174" i="14"/>
  <c r="BA174" i="14"/>
  <c r="AC118" i="14"/>
  <c r="AK118" i="14"/>
  <c r="AS118" i="14"/>
  <c r="BA118" i="14"/>
  <c r="FO174" i="14"/>
  <c r="DC174" i="14"/>
  <c r="CS118" i="14"/>
  <c r="DA118" i="14"/>
  <c r="DI118" i="14"/>
  <c r="DQ118" i="14"/>
  <c r="AE174" i="14"/>
  <c r="AM174" i="14"/>
  <c r="AU174" i="14"/>
  <c r="AE118" i="14"/>
  <c r="AM118" i="14"/>
  <c r="AU118" i="14"/>
  <c r="CT118" i="14"/>
  <c r="AN174" i="14"/>
  <c r="CZ118" i="14"/>
  <c r="AT174" i="14"/>
  <c r="AD118" i="14"/>
  <c r="EA118" i="14"/>
  <c r="DB118" i="14"/>
  <c r="AV174" i="14"/>
  <c r="AF118" i="14"/>
  <c r="EY118" i="14"/>
  <c r="DH118" i="14"/>
  <c r="BB174" i="14"/>
  <c r="AL118" i="14"/>
  <c r="DH174" i="14"/>
  <c r="DR118" i="14"/>
  <c r="AF174" i="14"/>
  <c r="AV118" i="14"/>
  <c r="AL174" i="14"/>
  <c r="BB118" i="14"/>
  <c r="I170" i="6"/>
  <c r="I113" i="2" s="1"/>
  <c r="Q170" i="6"/>
  <c r="Y170" i="6"/>
  <c r="AG170" i="6"/>
  <c r="DB174" i="14"/>
  <c r="J170" i="6"/>
  <c r="R170" i="6"/>
  <c r="Z170" i="6"/>
  <c r="AH170" i="6"/>
  <c r="AN118" i="14"/>
  <c r="K170" i="6"/>
  <c r="S170" i="6"/>
  <c r="AA170" i="6"/>
  <c r="AI170" i="6"/>
  <c r="AT118" i="14"/>
  <c r="L170" i="6"/>
  <c r="T170" i="6"/>
  <c r="AB170" i="6"/>
  <c r="AJ170" i="6"/>
  <c r="DJ118" i="14"/>
  <c r="O170" i="6"/>
  <c r="W170" i="6"/>
  <c r="AE170" i="6"/>
  <c r="DP118" i="14"/>
  <c r="AD174" i="14"/>
  <c r="P170" i="6"/>
  <c r="X170" i="6"/>
  <c r="AF170" i="6"/>
  <c r="EE174" i="14"/>
  <c r="U170" i="6"/>
  <c r="V170" i="6"/>
  <c r="AC170" i="6"/>
  <c r="AD170" i="6"/>
  <c r="M170" i="6"/>
  <c r="N170" i="6"/>
  <c r="BO118" i="14"/>
  <c r="BW118" i="14"/>
  <c r="CE118" i="14"/>
  <c r="CM118" i="14"/>
  <c r="BS174" i="14"/>
  <c r="CA174" i="14"/>
  <c r="CI174" i="14"/>
  <c r="BP118" i="14"/>
  <c r="BX118" i="14"/>
  <c r="CF118" i="14"/>
  <c r="CN118" i="14"/>
  <c r="BT174" i="14"/>
  <c r="CB174" i="14"/>
  <c r="CJ174" i="14"/>
  <c r="CJ118" i="14"/>
  <c r="BP174" i="14"/>
  <c r="BR174" i="14"/>
  <c r="BQ118" i="14"/>
  <c r="BY118" i="14"/>
  <c r="CG118" i="14"/>
  <c r="CO118" i="14"/>
  <c r="BU174" i="14"/>
  <c r="CC174" i="14"/>
  <c r="CK174" i="14"/>
  <c r="BT118" i="14"/>
  <c r="CF174" i="14"/>
  <c r="BR118" i="14"/>
  <c r="BZ118" i="14"/>
  <c r="CH118" i="14"/>
  <c r="BN174" i="14"/>
  <c r="BV174" i="14"/>
  <c r="CD174" i="14"/>
  <c r="CL174" i="14"/>
  <c r="CB118" i="14"/>
  <c r="BX174" i="14"/>
  <c r="BS118" i="14"/>
  <c r="CA118" i="14"/>
  <c r="CI118" i="14"/>
  <c r="BO174" i="14"/>
  <c r="BW174" i="14"/>
  <c r="CE174" i="14"/>
  <c r="CM174" i="14"/>
  <c r="CN174" i="14"/>
  <c r="CH174" i="14"/>
  <c r="BU118" i="14"/>
  <c r="CC118" i="14"/>
  <c r="CK118" i="14"/>
  <c r="BQ174" i="14"/>
  <c r="BY174" i="14"/>
  <c r="CG174" i="14"/>
  <c r="CO174" i="14"/>
  <c r="BN118" i="14"/>
  <c r="BV118" i="14"/>
  <c r="CD118" i="14"/>
  <c r="CL118" i="14"/>
  <c r="BZ174" i="14"/>
  <c r="BP164" i="17"/>
  <c r="BX164" i="17"/>
  <c r="CF164" i="17"/>
  <c r="CN164" i="17"/>
  <c r="BQ164" i="17"/>
  <c r="BY164" i="17"/>
  <c r="CG164" i="17"/>
  <c r="BR164" i="17"/>
  <c r="BZ164" i="17"/>
  <c r="CH164" i="17"/>
  <c r="BS164" i="17"/>
  <c r="CA164" i="17"/>
  <c r="CI164" i="17"/>
  <c r="BT164" i="17"/>
  <c r="CB164" i="17"/>
  <c r="CJ164" i="17"/>
  <c r="BM164" i="17"/>
  <c r="BU164" i="17"/>
  <c r="CC164" i="17"/>
  <c r="CK164" i="17"/>
  <c r="BN164" i="17"/>
  <c r="BV164" i="17"/>
  <c r="CD164" i="17"/>
  <c r="CL164" i="17"/>
  <c r="AH220" i="17"/>
  <c r="AP220" i="17"/>
  <c r="AX220" i="17"/>
  <c r="BF220" i="17"/>
  <c r="AI220" i="17"/>
  <c r="AQ220" i="17"/>
  <c r="AY220" i="17"/>
  <c r="BG220" i="17"/>
  <c r="BO164" i="17"/>
  <c r="AJ220" i="17"/>
  <c r="AR220" i="17"/>
  <c r="AZ220" i="17"/>
  <c r="BH220" i="17"/>
  <c r="BW164" i="17"/>
  <c r="AK220" i="17"/>
  <c r="AS220" i="17"/>
  <c r="BA220" i="17"/>
  <c r="CE164" i="17"/>
  <c r="AL220" i="17"/>
  <c r="AT220" i="17"/>
  <c r="BB220" i="17"/>
  <c r="CM164" i="17"/>
  <c r="AM220" i="17"/>
  <c r="AU220" i="17"/>
  <c r="BC220" i="17"/>
  <c r="AN220" i="17"/>
  <c r="AV220" i="17"/>
  <c r="BD220" i="17"/>
  <c r="AG220" i="17"/>
  <c r="AI164" i="17"/>
  <c r="AQ164" i="17"/>
  <c r="AY164" i="17"/>
  <c r="BG164" i="17"/>
  <c r="AO220" i="17"/>
  <c r="AJ164" i="17"/>
  <c r="AR164" i="17"/>
  <c r="AZ164" i="17"/>
  <c r="BH164" i="17"/>
  <c r="I220" i="17"/>
  <c r="Q220" i="17"/>
  <c r="Y220" i="17"/>
  <c r="AW220" i="17"/>
  <c r="AK164" i="17"/>
  <c r="AS164" i="17"/>
  <c r="BA164" i="17"/>
  <c r="B220" i="17"/>
  <c r="J220" i="17"/>
  <c r="R220" i="17"/>
  <c r="Z220" i="17"/>
  <c r="BE220" i="17"/>
  <c r="AL164" i="17"/>
  <c r="AT164" i="17"/>
  <c r="BB164" i="17"/>
  <c r="C220" i="17"/>
  <c r="K220" i="17"/>
  <c r="S220" i="17"/>
  <c r="AA220" i="17"/>
  <c r="AM164" i="17"/>
  <c r="AU164" i="17"/>
  <c r="BC164" i="17"/>
  <c r="D220" i="17"/>
  <c r="L220" i="17"/>
  <c r="T220" i="17"/>
  <c r="AB220" i="17"/>
  <c r="AN164" i="17"/>
  <c r="AV164" i="17"/>
  <c r="BD164" i="17"/>
  <c r="E220" i="17"/>
  <c r="M220" i="17"/>
  <c r="U220" i="17"/>
  <c r="AC220" i="17"/>
  <c r="AG164" i="17"/>
  <c r="AO164" i="17"/>
  <c r="AW164" i="17"/>
  <c r="BE164" i="17"/>
  <c r="AX164" i="17"/>
  <c r="W220" i="17"/>
  <c r="I164" i="17"/>
  <c r="Q164" i="17"/>
  <c r="Y164" i="17"/>
  <c r="BF164" i="17"/>
  <c r="F220" i="17"/>
  <c r="X220" i="17"/>
  <c r="B164" i="17"/>
  <c r="J164" i="17"/>
  <c r="R164" i="17"/>
  <c r="Z164" i="17"/>
  <c r="G220" i="17"/>
  <c r="C164" i="17"/>
  <c r="K164" i="17"/>
  <c r="S164" i="17"/>
  <c r="AA164" i="17"/>
  <c r="H220" i="17"/>
  <c r="D164" i="17"/>
  <c r="L164" i="17"/>
  <c r="T164" i="17"/>
  <c r="AB164" i="17"/>
  <c r="N220" i="17"/>
  <c r="E164" i="17"/>
  <c r="M164" i="17"/>
  <c r="U164" i="17"/>
  <c r="AC164" i="17"/>
  <c r="AH164" i="17"/>
  <c r="P220" i="17"/>
  <c r="G164" i="17"/>
  <c r="O164" i="17"/>
  <c r="W164" i="17"/>
  <c r="AP164" i="17"/>
  <c r="GM166" i="14"/>
  <c r="GU166" i="14"/>
  <c r="HC166" i="14"/>
  <c r="F164" i="17"/>
  <c r="GN166" i="14"/>
  <c r="GV166" i="14"/>
  <c r="HD166" i="14"/>
  <c r="FD166" i="14"/>
  <c r="FL166" i="14"/>
  <c r="FT166" i="14"/>
  <c r="GB166" i="14"/>
  <c r="H164" i="17"/>
  <c r="GO166" i="14"/>
  <c r="GW166" i="14"/>
  <c r="HE166" i="14"/>
  <c r="FE166" i="14"/>
  <c r="FM166" i="14"/>
  <c r="FU166" i="14"/>
  <c r="GC166" i="14"/>
  <c r="N164" i="17"/>
  <c r="GP166" i="14"/>
  <c r="GX166" i="14"/>
  <c r="HF166" i="14"/>
  <c r="FF166" i="14"/>
  <c r="FN166" i="14"/>
  <c r="FV166" i="14"/>
  <c r="GD166" i="14"/>
  <c r="P164" i="17"/>
  <c r="GI166" i="14"/>
  <c r="GQ166" i="14"/>
  <c r="GY166" i="14"/>
  <c r="HG166" i="14"/>
  <c r="FG166" i="14"/>
  <c r="FO166" i="14"/>
  <c r="FW166" i="14"/>
  <c r="V220" i="17"/>
  <c r="X164" i="17"/>
  <c r="GK166" i="14"/>
  <c r="GS166" i="14"/>
  <c r="HA166" i="14"/>
  <c r="HI166" i="14"/>
  <c r="FI166" i="14"/>
  <c r="FQ166" i="14"/>
  <c r="FY166" i="14"/>
  <c r="HB166" i="14"/>
  <c r="FX166" i="14"/>
  <c r="FI222" i="14"/>
  <c r="FQ222" i="14"/>
  <c r="FY222" i="14"/>
  <c r="O220" i="17"/>
  <c r="V164" i="17"/>
  <c r="HH166" i="14"/>
  <c r="FC166" i="14"/>
  <c r="FZ166" i="14"/>
  <c r="FJ222" i="14"/>
  <c r="FR222" i="14"/>
  <c r="FZ222" i="14"/>
  <c r="HJ166" i="14"/>
  <c r="FH166" i="14"/>
  <c r="GA166" i="14"/>
  <c r="FC222" i="14"/>
  <c r="FK222" i="14"/>
  <c r="FS222" i="14"/>
  <c r="GA222" i="14"/>
  <c r="GJ166" i="14"/>
  <c r="FJ166" i="14"/>
  <c r="FD222" i="14"/>
  <c r="FL222" i="14"/>
  <c r="FT222" i="14"/>
  <c r="GB222" i="14"/>
  <c r="GL166" i="14"/>
  <c r="FK166" i="14"/>
  <c r="FE222" i="14"/>
  <c r="FM222" i="14"/>
  <c r="FU222" i="14"/>
  <c r="GC222" i="14"/>
  <c r="GT166" i="14"/>
  <c r="FR166" i="14"/>
  <c r="FG222" i="14"/>
  <c r="FO222" i="14"/>
  <c r="FW222" i="14"/>
  <c r="FS166" i="14"/>
  <c r="FH222" i="14"/>
  <c r="DZ222" i="14"/>
  <c r="EH222" i="14"/>
  <c r="EP222" i="14"/>
  <c r="EX222" i="14"/>
  <c r="ED166" i="14"/>
  <c r="EL166" i="14"/>
  <c r="ET166" i="14"/>
  <c r="FN222" i="14"/>
  <c r="EA222" i="14"/>
  <c r="EI222" i="14"/>
  <c r="EQ222" i="14"/>
  <c r="EY222" i="14"/>
  <c r="EE166" i="14"/>
  <c r="EM166" i="14"/>
  <c r="EU166" i="14"/>
  <c r="FP222" i="14"/>
  <c r="EB222" i="14"/>
  <c r="EJ222" i="14"/>
  <c r="ER222" i="14"/>
  <c r="DX166" i="14"/>
  <c r="EF166" i="14"/>
  <c r="EN166" i="14"/>
  <c r="EV166" i="14"/>
  <c r="FV222" i="14"/>
  <c r="EC222" i="14"/>
  <c r="EK222" i="14"/>
  <c r="ES222" i="14"/>
  <c r="DY166" i="14"/>
  <c r="EG166" i="14"/>
  <c r="EO166" i="14"/>
  <c r="EW166" i="14"/>
  <c r="FX222" i="14"/>
  <c r="ED222" i="14"/>
  <c r="EL222" i="14"/>
  <c r="ET222" i="14"/>
  <c r="DZ166" i="14"/>
  <c r="EH166" i="14"/>
  <c r="EP166" i="14"/>
  <c r="EX166" i="14"/>
  <c r="GZ166" i="14"/>
  <c r="DX222" i="14"/>
  <c r="EF222" i="14"/>
  <c r="EN222" i="14"/>
  <c r="EV222" i="14"/>
  <c r="EB166" i="14"/>
  <c r="EJ166" i="14"/>
  <c r="ER166" i="14"/>
  <c r="EW222" i="14"/>
  <c r="EC166" i="14"/>
  <c r="CV222" i="14"/>
  <c r="DD222" i="14"/>
  <c r="DL222" i="14"/>
  <c r="DT222" i="14"/>
  <c r="CU166" i="14"/>
  <c r="DC166" i="14"/>
  <c r="DK166" i="14"/>
  <c r="DS166" i="14"/>
  <c r="AG222" i="14"/>
  <c r="AO222" i="14"/>
  <c r="AW222" i="14"/>
  <c r="EI166" i="14"/>
  <c r="CW222" i="14"/>
  <c r="DE222" i="14"/>
  <c r="DM222" i="14"/>
  <c r="CV166" i="14"/>
  <c r="DD166" i="14"/>
  <c r="DL166" i="14"/>
  <c r="DT166" i="14"/>
  <c r="AH222" i="14"/>
  <c r="AP222" i="14"/>
  <c r="AX222" i="14"/>
  <c r="FF222" i="14"/>
  <c r="DY222" i="14"/>
  <c r="EK166" i="14"/>
  <c r="CX222" i="14"/>
  <c r="DF222" i="14"/>
  <c r="DN222" i="14"/>
  <c r="CW166" i="14"/>
  <c r="DE166" i="14"/>
  <c r="DM166" i="14"/>
  <c r="AA222" i="14"/>
  <c r="AI222" i="14"/>
  <c r="AQ222" i="14"/>
  <c r="AY222" i="14"/>
  <c r="GD222" i="14"/>
  <c r="EE222" i="14"/>
  <c r="EQ166" i="14"/>
  <c r="CY222" i="14"/>
  <c r="DG222" i="14"/>
  <c r="DO222" i="14"/>
  <c r="CX166" i="14"/>
  <c r="DF166" i="14"/>
  <c r="DN166" i="14"/>
  <c r="AB222" i="14"/>
  <c r="AJ222" i="14"/>
  <c r="AR222" i="14"/>
  <c r="AZ222" i="14"/>
  <c r="FP166" i="14"/>
  <c r="EG222" i="14"/>
  <c r="ES166" i="14"/>
  <c r="CZ222" i="14"/>
  <c r="DH222" i="14"/>
  <c r="DP222" i="14"/>
  <c r="CY166" i="14"/>
  <c r="DG166" i="14"/>
  <c r="DO166" i="14"/>
  <c r="AC222" i="14"/>
  <c r="AK222" i="14"/>
  <c r="AS222" i="14"/>
  <c r="BA222" i="14"/>
  <c r="EO222" i="14"/>
  <c r="CT222" i="14"/>
  <c r="DB222" i="14"/>
  <c r="DJ222" i="14"/>
  <c r="DR222" i="14"/>
  <c r="CS166" i="14"/>
  <c r="DA166" i="14"/>
  <c r="DI166" i="14"/>
  <c r="DQ166" i="14"/>
  <c r="AE222" i="14"/>
  <c r="AM222" i="14"/>
  <c r="AU222" i="14"/>
  <c r="DS222" i="14"/>
  <c r="CT166" i="14"/>
  <c r="AN222" i="14"/>
  <c r="GR166" i="14"/>
  <c r="CS222" i="14"/>
  <c r="CZ166" i="14"/>
  <c r="AT222" i="14"/>
  <c r="CU222" i="14"/>
  <c r="DB166" i="14"/>
  <c r="AV222" i="14"/>
  <c r="DA222" i="14"/>
  <c r="DH166" i="14"/>
  <c r="BB222" i="14"/>
  <c r="EU222" i="14"/>
  <c r="EA166" i="14"/>
  <c r="DK222" i="14"/>
  <c r="DR166" i="14"/>
  <c r="AF222" i="14"/>
  <c r="EY166" i="14"/>
  <c r="DQ222" i="14"/>
  <c r="AL222" i="14"/>
  <c r="AF166" i="14"/>
  <c r="AN166" i="14"/>
  <c r="AV166" i="14"/>
  <c r="I218" i="6"/>
  <c r="Q218" i="6"/>
  <c r="Y218" i="6"/>
  <c r="AG218" i="6"/>
  <c r="EM222" i="14"/>
  <c r="AG166" i="14"/>
  <c r="AO166" i="14"/>
  <c r="AW166" i="14"/>
  <c r="J218" i="6"/>
  <c r="R218" i="6"/>
  <c r="Z218" i="6"/>
  <c r="AH218" i="6"/>
  <c r="DC222" i="14"/>
  <c r="DJ166" i="14"/>
  <c r="AH166" i="14"/>
  <c r="AP166" i="14"/>
  <c r="AX166" i="14"/>
  <c r="K218" i="6"/>
  <c r="S218" i="6"/>
  <c r="AA218" i="6"/>
  <c r="AI218" i="6"/>
  <c r="DI222" i="14"/>
  <c r="DP166" i="14"/>
  <c r="AD222" i="14"/>
  <c r="AA166" i="14"/>
  <c r="AI166" i="14"/>
  <c r="AQ166" i="14"/>
  <c r="AY166" i="14"/>
  <c r="L218" i="6"/>
  <c r="T218" i="6"/>
  <c r="AB218" i="6"/>
  <c r="AJ218" i="6"/>
  <c r="AD166" i="14"/>
  <c r="AL166" i="14"/>
  <c r="AT166" i="14"/>
  <c r="BB166" i="14"/>
  <c r="O218" i="6"/>
  <c r="W218" i="6"/>
  <c r="AE218" i="6"/>
  <c r="AE166" i="14"/>
  <c r="AM166" i="14"/>
  <c r="AU166" i="14"/>
  <c r="P218" i="6"/>
  <c r="X218" i="6"/>
  <c r="AF218" i="6"/>
  <c r="AZ166" i="14"/>
  <c r="U218" i="6"/>
  <c r="AS166" i="14"/>
  <c r="BA166" i="14"/>
  <c r="V218" i="6"/>
  <c r="N218" i="6"/>
  <c r="AB166" i="14"/>
  <c r="AC218" i="6"/>
  <c r="AC166" i="14"/>
  <c r="AD218" i="6"/>
  <c r="AJ166" i="14"/>
  <c r="AK166" i="14"/>
  <c r="AR166" i="14"/>
  <c r="M218" i="6"/>
  <c r="BO166" i="14"/>
  <c r="BW166" i="14"/>
  <c r="CE166" i="14"/>
  <c r="CM166" i="14"/>
  <c r="BS222" i="14"/>
  <c r="CA222" i="14"/>
  <c r="CI222" i="14"/>
  <c r="CD166" i="14"/>
  <c r="BP166" i="14"/>
  <c r="BX166" i="14"/>
  <c r="CF166" i="14"/>
  <c r="CN166" i="14"/>
  <c r="BT222" i="14"/>
  <c r="CB222" i="14"/>
  <c r="CJ222" i="14"/>
  <c r="BT166" i="14"/>
  <c r="CN222" i="14"/>
  <c r="BV166" i="14"/>
  <c r="BQ166" i="14"/>
  <c r="BY166" i="14"/>
  <c r="CG166" i="14"/>
  <c r="CO166" i="14"/>
  <c r="BU222" i="14"/>
  <c r="CC222" i="14"/>
  <c r="CK222" i="14"/>
  <c r="BX222" i="14"/>
  <c r="CL166" i="14"/>
  <c r="BR166" i="14"/>
  <c r="BZ166" i="14"/>
  <c r="CH166" i="14"/>
  <c r="BN222" i="14"/>
  <c r="BV222" i="14"/>
  <c r="CD222" i="14"/>
  <c r="CL222" i="14"/>
  <c r="CJ166" i="14"/>
  <c r="CF222" i="14"/>
  <c r="BS166" i="14"/>
  <c r="CA166" i="14"/>
  <c r="CI166" i="14"/>
  <c r="BO222" i="14"/>
  <c r="BW222" i="14"/>
  <c r="CE222" i="14"/>
  <c r="CM222" i="14"/>
  <c r="CB166" i="14"/>
  <c r="BP222" i="14"/>
  <c r="BU166" i="14"/>
  <c r="CC166" i="14"/>
  <c r="CK166" i="14"/>
  <c r="BQ222" i="14"/>
  <c r="BY222" i="14"/>
  <c r="CG222" i="14"/>
  <c r="CO222" i="14"/>
  <c r="BN166" i="14"/>
  <c r="CH222" i="14"/>
  <c r="BR222" i="14"/>
  <c r="BZ222" i="14"/>
  <c r="BO130" i="17"/>
  <c r="BW130" i="17"/>
  <c r="CE130" i="17"/>
  <c r="CM130" i="17"/>
  <c r="BP130" i="17"/>
  <c r="BX130" i="17"/>
  <c r="CF130" i="17"/>
  <c r="CN130" i="17"/>
  <c r="BQ130" i="17"/>
  <c r="BY130" i="17"/>
  <c r="CG130" i="17"/>
  <c r="BR130" i="17"/>
  <c r="BZ130" i="17"/>
  <c r="CH130" i="17"/>
  <c r="BT130" i="17"/>
  <c r="CB130" i="17"/>
  <c r="CJ130" i="17"/>
  <c r="BM130" i="17"/>
  <c r="BU130" i="17"/>
  <c r="CC130" i="17"/>
  <c r="CK130" i="17"/>
  <c r="BN130" i="17"/>
  <c r="BV130" i="17"/>
  <c r="CD130" i="17"/>
  <c r="CL130" i="17"/>
  <c r="BS130" i="17"/>
  <c r="CA130" i="17"/>
  <c r="CI130" i="17"/>
  <c r="AN186" i="17"/>
  <c r="AV186" i="17"/>
  <c r="BD186" i="17"/>
  <c r="AG186" i="17"/>
  <c r="AO186" i="17"/>
  <c r="AW186" i="17"/>
  <c r="BE186" i="17"/>
  <c r="AH186" i="17"/>
  <c r="AP186" i="17"/>
  <c r="AX186" i="17"/>
  <c r="BF186" i="17"/>
  <c r="AI186" i="17"/>
  <c r="AQ186" i="17"/>
  <c r="AY186" i="17"/>
  <c r="BG186" i="17"/>
  <c r="AJ186" i="17"/>
  <c r="AR186" i="17"/>
  <c r="AZ186" i="17"/>
  <c r="BH186" i="17"/>
  <c r="AK186" i="17"/>
  <c r="AS186" i="17"/>
  <c r="BA186" i="17"/>
  <c r="AL186" i="17"/>
  <c r="AT186" i="17"/>
  <c r="BB186" i="17"/>
  <c r="BC186" i="17"/>
  <c r="AL130" i="17"/>
  <c r="AT130" i="17"/>
  <c r="BB130" i="17"/>
  <c r="AM130" i="17"/>
  <c r="AU130" i="17"/>
  <c r="BC130" i="17"/>
  <c r="AN130" i="17"/>
  <c r="AV130" i="17"/>
  <c r="BD130" i="17"/>
  <c r="AG130" i="17"/>
  <c r="AO130" i="17"/>
  <c r="AW130" i="17"/>
  <c r="BE130" i="17"/>
  <c r="AH130" i="17"/>
  <c r="AP130" i="17"/>
  <c r="AX130" i="17"/>
  <c r="BF130" i="17"/>
  <c r="AI130" i="17"/>
  <c r="AQ130" i="17"/>
  <c r="AY130" i="17"/>
  <c r="BG130" i="17"/>
  <c r="AM186" i="17"/>
  <c r="AJ130" i="17"/>
  <c r="AR130" i="17"/>
  <c r="AZ130" i="17"/>
  <c r="BH130" i="17"/>
  <c r="H186" i="17"/>
  <c r="P186" i="17"/>
  <c r="X186" i="17"/>
  <c r="I186" i="17"/>
  <c r="Q186" i="17"/>
  <c r="Y186" i="17"/>
  <c r="AU186" i="17"/>
  <c r="B186" i="17"/>
  <c r="J186" i="17"/>
  <c r="R186" i="17"/>
  <c r="Z186" i="17"/>
  <c r="C186" i="17"/>
  <c r="K186" i="17"/>
  <c r="S186" i="17"/>
  <c r="AA186" i="17"/>
  <c r="AK130" i="17"/>
  <c r="D186" i="17"/>
  <c r="L186" i="17"/>
  <c r="T186" i="17"/>
  <c r="AB186" i="17"/>
  <c r="AS130" i="17"/>
  <c r="E186" i="17"/>
  <c r="M186" i="17"/>
  <c r="U186" i="17"/>
  <c r="AC186" i="17"/>
  <c r="BA130" i="17"/>
  <c r="F186" i="17"/>
  <c r="N186" i="17"/>
  <c r="V186" i="17"/>
  <c r="I130" i="17"/>
  <c r="Q130" i="17"/>
  <c r="Y130" i="17"/>
  <c r="GP132" i="14"/>
  <c r="GX132" i="14"/>
  <c r="HF132" i="14"/>
  <c r="B130" i="17"/>
  <c r="J130" i="17"/>
  <c r="R130" i="17"/>
  <c r="Z130" i="17"/>
  <c r="GI132" i="14"/>
  <c r="GQ132" i="14"/>
  <c r="GY132" i="14"/>
  <c r="HG132" i="14"/>
  <c r="G186" i="17"/>
  <c r="C130" i="17"/>
  <c r="K130" i="17"/>
  <c r="S130" i="17"/>
  <c r="AA130" i="17"/>
  <c r="GJ132" i="14"/>
  <c r="GR132" i="14"/>
  <c r="GZ132" i="14"/>
  <c r="HH132" i="14"/>
  <c r="O186" i="17"/>
  <c r="D130" i="17"/>
  <c r="L130" i="17"/>
  <c r="T130" i="17"/>
  <c r="AB130" i="17"/>
  <c r="GK132" i="14"/>
  <c r="GS132" i="14"/>
  <c r="HA132" i="14"/>
  <c r="HI132" i="14"/>
  <c r="W186" i="17"/>
  <c r="E130" i="17"/>
  <c r="M130" i="17"/>
  <c r="U130" i="17"/>
  <c r="AC130" i="17"/>
  <c r="GL132" i="14"/>
  <c r="GT132" i="14"/>
  <c r="HB132" i="14"/>
  <c r="HJ132" i="14"/>
  <c r="G130" i="17"/>
  <c r="O130" i="17"/>
  <c r="W130" i="17"/>
  <c r="GN132" i="14"/>
  <c r="GV132" i="14"/>
  <c r="HD132" i="14"/>
  <c r="X130" i="17"/>
  <c r="FC132" i="14"/>
  <c r="FK132" i="14"/>
  <c r="FS132" i="14"/>
  <c r="GA132" i="14"/>
  <c r="GM132" i="14"/>
  <c r="FD132" i="14"/>
  <c r="FL132" i="14"/>
  <c r="FT132" i="14"/>
  <c r="GB132" i="14"/>
  <c r="GO132" i="14"/>
  <c r="FE132" i="14"/>
  <c r="FM132" i="14"/>
  <c r="FU132" i="14"/>
  <c r="GC132" i="14"/>
  <c r="F130" i="17"/>
  <c r="GU132" i="14"/>
  <c r="FF132" i="14"/>
  <c r="FN132" i="14"/>
  <c r="FV132" i="14"/>
  <c r="GD132" i="14"/>
  <c r="H130" i="17"/>
  <c r="GW132" i="14"/>
  <c r="FG132" i="14"/>
  <c r="FO132" i="14"/>
  <c r="FW132" i="14"/>
  <c r="P130" i="17"/>
  <c r="HE132" i="14"/>
  <c r="FI132" i="14"/>
  <c r="FQ132" i="14"/>
  <c r="FY132" i="14"/>
  <c r="FZ132" i="14"/>
  <c r="FI188" i="14"/>
  <c r="FQ188" i="14"/>
  <c r="FY188" i="14"/>
  <c r="DZ188" i="14"/>
  <c r="EH188" i="14"/>
  <c r="EP188" i="14"/>
  <c r="EX188" i="14"/>
  <c r="FJ188" i="14"/>
  <c r="FR188" i="14"/>
  <c r="FZ188" i="14"/>
  <c r="EA188" i="14"/>
  <c r="EI188" i="14"/>
  <c r="EQ188" i="14"/>
  <c r="EY188" i="14"/>
  <c r="FC188" i="14"/>
  <c r="FK188" i="14"/>
  <c r="FS188" i="14"/>
  <c r="GA188" i="14"/>
  <c r="EB188" i="14"/>
  <c r="EJ188" i="14"/>
  <c r="ER188" i="14"/>
  <c r="FH132" i="14"/>
  <c r="FD188" i="14"/>
  <c r="FL188" i="14"/>
  <c r="FT188" i="14"/>
  <c r="GB188" i="14"/>
  <c r="EC188" i="14"/>
  <c r="EK188" i="14"/>
  <c r="ES188" i="14"/>
  <c r="FJ132" i="14"/>
  <c r="FE188" i="14"/>
  <c r="FM188" i="14"/>
  <c r="FU188" i="14"/>
  <c r="GC188" i="14"/>
  <c r="ED188" i="14"/>
  <c r="EL188" i="14"/>
  <c r="ET188" i="14"/>
  <c r="V130" i="17"/>
  <c r="FR132" i="14"/>
  <c r="FG188" i="14"/>
  <c r="FO188" i="14"/>
  <c r="FW188" i="14"/>
  <c r="DX188" i="14"/>
  <c r="EF188" i="14"/>
  <c r="EN188" i="14"/>
  <c r="EV188" i="14"/>
  <c r="EG188" i="14"/>
  <c r="ED132" i="14"/>
  <c r="EL132" i="14"/>
  <c r="ET132" i="14"/>
  <c r="FF188" i="14"/>
  <c r="EM188" i="14"/>
  <c r="EE132" i="14"/>
  <c r="EM132" i="14"/>
  <c r="EU132" i="14"/>
  <c r="FH188" i="14"/>
  <c r="EO188" i="14"/>
  <c r="DX132" i="14"/>
  <c r="EF132" i="14"/>
  <c r="EN132" i="14"/>
  <c r="EV132" i="14"/>
  <c r="FP132" i="14"/>
  <c r="FN188" i="14"/>
  <c r="EU188" i="14"/>
  <c r="DY132" i="14"/>
  <c r="EG132" i="14"/>
  <c r="EO132" i="14"/>
  <c r="EW132" i="14"/>
  <c r="FX132" i="14"/>
  <c r="FP188" i="14"/>
  <c r="EW188" i="14"/>
  <c r="DZ132" i="14"/>
  <c r="EH132" i="14"/>
  <c r="EP132" i="14"/>
  <c r="EX132" i="14"/>
  <c r="HC132" i="14"/>
  <c r="FX188" i="14"/>
  <c r="DY188" i="14"/>
  <c r="EB132" i="14"/>
  <c r="EJ132" i="14"/>
  <c r="ER132" i="14"/>
  <c r="N130" i="17"/>
  <c r="GD188" i="14"/>
  <c r="EE188" i="14"/>
  <c r="CV188" i="14"/>
  <c r="DD188" i="14"/>
  <c r="DL188" i="14"/>
  <c r="DT188" i="14"/>
  <c r="CU132" i="14"/>
  <c r="DC132" i="14"/>
  <c r="DK132" i="14"/>
  <c r="DS132" i="14"/>
  <c r="AG188" i="14"/>
  <c r="AO188" i="14"/>
  <c r="AW188" i="14"/>
  <c r="EA132" i="14"/>
  <c r="CW188" i="14"/>
  <c r="DE188" i="14"/>
  <c r="DM188" i="14"/>
  <c r="CV132" i="14"/>
  <c r="DD132" i="14"/>
  <c r="DL132" i="14"/>
  <c r="DT132" i="14"/>
  <c r="AH188" i="14"/>
  <c r="AP188" i="14"/>
  <c r="AX188" i="14"/>
  <c r="AH132" i="14"/>
  <c r="AP132" i="14"/>
  <c r="AX132" i="14"/>
  <c r="EC132" i="14"/>
  <c r="CX188" i="14"/>
  <c r="DF188" i="14"/>
  <c r="DN188" i="14"/>
  <c r="CW132" i="14"/>
  <c r="DE132" i="14"/>
  <c r="DM132" i="14"/>
  <c r="AA188" i="14"/>
  <c r="AI188" i="14"/>
  <c r="AQ188" i="14"/>
  <c r="AY188" i="14"/>
  <c r="AA132" i="14"/>
  <c r="AI132" i="14"/>
  <c r="AQ132" i="14"/>
  <c r="AY132" i="14"/>
  <c r="EI132" i="14"/>
  <c r="CY188" i="14"/>
  <c r="DG188" i="14"/>
  <c r="DO188" i="14"/>
  <c r="CX132" i="14"/>
  <c r="DF132" i="14"/>
  <c r="DN132" i="14"/>
  <c r="AB188" i="14"/>
  <c r="AJ188" i="14"/>
  <c r="AR188" i="14"/>
  <c r="AZ188" i="14"/>
  <c r="AB132" i="14"/>
  <c r="AJ132" i="14"/>
  <c r="AR132" i="14"/>
  <c r="AZ132" i="14"/>
  <c r="EK132" i="14"/>
  <c r="CZ188" i="14"/>
  <c r="DH188" i="14"/>
  <c r="DP188" i="14"/>
  <c r="CY132" i="14"/>
  <c r="DG132" i="14"/>
  <c r="DO132" i="14"/>
  <c r="AC188" i="14"/>
  <c r="AK188" i="14"/>
  <c r="AS188" i="14"/>
  <c r="BA188" i="14"/>
  <c r="AC132" i="14"/>
  <c r="AK132" i="14"/>
  <c r="AS132" i="14"/>
  <c r="BA132" i="14"/>
  <c r="ES132" i="14"/>
  <c r="CT188" i="14"/>
  <c r="DB188" i="14"/>
  <c r="DJ188" i="14"/>
  <c r="DR188" i="14"/>
  <c r="CS132" i="14"/>
  <c r="DA132" i="14"/>
  <c r="DI132" i="14"/>
  <c r="DQ132" i="14"/>
  <c r="AE188" i="14"/>
  <c r="AM188" i="14"/>
  <c r="AU188" i="14"/>
  <c r="AE132" i="14"/>
  <c r="AM132" i="14"/>
  <c r="AU132" i="14"/>
  <c r="DK188" i="14"/>
  <c r="DR132" i="14"/>
  <c r="AF188" i="14"/>
  <c r="AV132" i="14"/>
  <c r="DQ188" i="14"/>
  <c r="AL188" i="14"/>
  <c r="DS188" i="14"/>
  <c r="CT132" i="14"/>
  <c r="AN188" i="14"/>
  <c r="EQ132" i="14"/>
  <c r="CS188" i="14"/>
  <c r="CZ132" i="14"/>
  <c r="AT188" i="14"/>
  <c r="AG132" i="14"/>
  <c r="DC188" i="14"/>
  <c r="DJ132" i="14"/>
  <c r="AO132" i="14"/>
  <c r="DI188" i="14"/>
  <c r="DP132" i="14"/>
  <c r="AD188" i="14"/>
  <c r="AT132" i="14"/>
  <c r="FV188" i="14"/>
  <c r="EY132" i="14"/>
  <c r="AV188" i="14"/>
  <c r="I184" i="6"/>
  <c r="Q184" i="6"/>
  <c r="Y184" i="6"/>
  <c r="AG184" i="6"/>
  <c r="BB188" i="14"/>
  <c r="AD132" i="14"/>
  <c r="J184" i="6"/>
  <c r="R184" i="6"/>
  <c r="Z184" i="6"/>
  <c r="AH184" i="6"/>
  <c r="AF132" i="14"/>
  <c r="K184" i="6"/>
  <c r="S184" i="6"/>
  <c r="AA184" i="6"/>
  <c r="AI184" i="6"/>
  <c r="AL132" i="14"/>
  <c r="L184" i="6"/>
  <c r="T184" i="6"/>
  <c r="AB184" i="6"/>
  <c r="AJ184" i="6"/>
  <c r="CU188" i="14"/>
  <c r="DB132" i="14"/>
  <c r="BB132" i="14"/>
  <c r="O184" i="6"/>
  <c r="W184" i="6"/>
  <c r="AE184" i="6"/>
  <c r="DA188" i="14"/>
  <c r="DH132" i="14"/>
  <c r="P184" i="6"/>
  <c r="X184" i="6"/>
  <c r="AF184" i="6"/>
  <c r="M184" i="6"/>
  <c r="N184" i="6"/>
  <c r="U184" i="6"/>
  <c r="V184" i="6"/>
  <c r="AN132" i="14"/>
  <c r="AC184" i="6"/>
  <c r="AW132" i="14"/>
  <c r="AD184" i="6"/>
  <c r="BO132" i="14"/>
  <c r="BW132" i="14"/>
  <c r="CE132" i="14"/>
  <c r="CM132" i="14"/>
  <c r="BS188" i="14"/>
  <c r="CA188" i="14"/>
  <c r="CI188" i="14"/>
  <c r="BP132" i="14"/>
  <c r="BX132" i="14"/>
  <c r="CF132" i="14"/>
  <c r="CN132" i="14"/>
  <c r="BT188" i="14"/>
  <c r="CB188" i="14"/>
  <c r="CJ188" i="14"/>
  <c r="CN188" i="14"/>
  <c r="CH188" i="14"/>
  <c r="BQ132" i="14"/>
  <c r="BY132" i="14"/>
  <c r="CG132" i="14"/>
  <c r="CO132" i="14"/>
  <c r="BU188" i="14"/>
  <c r="CC188" i="14"/>
  <c r="CK188" i="14"/>
  <c r="CB132" i="14"/>
  <c r="BX188" i="14"/>
  <c r="BR132" i="14"/>
  <c r="BZ132" i="14"/>
  <c r="CH132" i="14"/>
  <c r="BN188" i="14"/>
  <c r="BV188" i="14"/>
  <c r="CD188" i="14"/>
  <c r="CL188" i="14"/>
  <c r="BT132" i="14"/>
  <c r="BP188" i="14"/>
  <c r="BS132" i="14"/>
  <c r="CA132" i="14"/>
  <c r="CI132" i="14"/>
  <c r="BO188" i="14"/>
  <c r="BW188" i="14"/>
  <c r="CE188" i="14"/>
  <c r="CM188" i="14"/>
  <c r="CJ132" i="14"/>
  <c r="CF188" i="14"/>
  <c r="BR188" i="14"/>
  <c r="BU132" i="14"/>
  <c r="CC132" i="14"/>
  <c r="CK132" i="14"/>
  <c r="BQ188" i="14"/>
  <c r="BY188" i="14"/>
  <c r="CG188" i="14"/>
  <c r="CO188" i="14"/>
  <c r="BN132" i="14"/>
  <c r="BV132" i="14"/>
  <c r="CD132" i="14"/>
  <c r="CL132" i="14"/>
  <c r="BZ188" i="14"/>
  <c r="BS135" i="17"/>
  <c r="CA135" i="17"/>
  <c r="CI135" i="17"/>
  <c r="BT135" i="17"/>
  <c r="CB135" i="17"/>
  <c r="CJ135" i="17"/>
  <c r="BM135" i="17"/>
  <c r="BU135" i="17"/>
  <c r="CC135" i="17"/>
  <c r="CK135" i="17"/>
  <c r="BN135" i="17"/>
  <c r="BV135" i="17"/>
  <c r="CD135" i="17"/>
  <c r="CL135" i="17"/>
  <c r="BP135" i="17"/>
  <c r="BX135" i="17"/>
  <c r="CF135" i="17"/>
  <c r="CN135" i="17"/>
  <c r="BQ135" i="17"/>
  <c r="BY135" i="17"/>
  <c r="CG135" i="17"/>
  <c r="BR135" i="17"/>
  <c r="BZ135" i="17"/>
  <c r="CH135" i="17"/>
  <c r="CM135" i="17"/>
  <c r="BO135" i="17"/>
  <c r="BW135" i="17"/>
  <c r="AJ191" i="17"/>
  <c r="AR191" i="17"/>
  <c r="AZ191" i="17"/>
  <c r="BH191" i="17"/>
  <c r="AK191" i="17"/>
  <c r="AS191" i="17"/>
  <c r="BA191" i="17"/>
  <c r="AL191" i="17"/>
  <c r="AT191" i="17"/>
  <c r="BB191" i="17"/>
  <c r="AM191" i="17"/>
  <c r="AU191" i="17"/>
  <c r="BC191" i="17"/>
  <c r="AG191" i="17"/>
  <c r="AO191" i="17"/>
  <c r="AW191" i="17"/>
  <c r="BE191" i="17"/>
  <c r="CE135" i="17"/>
  <c r="AH191" i="17"/>
  <c r="AP191" i="17"/>
  <c r="AX191" i="17"/>
  <c r="BF191" i="17"/>
  <c r="BG191" i="17"/>
  <c r="AH135" i="17"/>
  <c r="AP135" i="17"/>
  <c r="AX135" i="17"/>
  <c r="BF135" i="17"/>
  <c r="AI135" i="17"/>
  <c r="AQ135" i="17"/>
  <c r="AY135" i="17"/>
  <c r="BG135" i="17"/>
  <c r="AI191" i="17"/>
  <c r="AJ135" i="17"/>
  <c r="AR135" i="17"/>
  <c r="AZ135" i="17"/>
  <c r="BH135" i="17"/>
  <c r="AN191" i="17"/>
  <c r="AK135" i="17"/>
  <c r="AS135" i="17"/>
  <c r="BA135" i="17"/>
  <c r="AQ191" i="17"/>
  <c r="AL135" i="17"/>
  <c r="AT135" i="17"/>
  <c r="BB135" i="17"/>
  <c r="AV191" i="17"/>
  <c r="AM135" i="17"/>
  <c r="AU135" i="17"/>
  <c r="BC135" i="17"/>
  <c r="AY191" i="17"/>
  <c r="AN135" i="17"/>
  <c r="AV135" i="17"/>
  <c r="BD135" i="17"/>
  <c r="BE135" i="17"/>
  <c r="D191" i="17"/>
  <c r="L191" i="17"/>
  <c r="T191" i="17"/>
  <c r="AB191" i="17"/>
  <c r="E191" i="17"/>
  <c r="M191" i="17"/>
  <c r="U191" i="17"/>
  <c r="AC191" i="17"/>
  <c r="F191" i="17"/>
  <c r="N191" i="17"/>
  <c r="V191" i="17"/>
  <c r="G191" i="17"/>
  <c r="O191" i="17"/>
  <c r="W191" i="17"/>
  <c r="H191" i="17"/>
  <c r="P191" i="17"/>
  <c r="X191" i="17"/>
  <c r="AG135" i="17"/>
  <c r="I191" i="17"/>
  <c r="Q191" i="17"/>
  <c r="Y191" i="17"/>
  <c r="BD191" i="17"/>
  <c r="AO135" i="17"/>
  <c r="Z191" i="17"/>
  <c r="E135" i="17"/>
  <c r="M135" i="17"/>
  <c r="U135" i="17"/>
  <c r="AC135" i="17"/>
  <c r="GL137" i="14"/>
  <c r="GT137" i="14"/>
  <c r="HB137" i="14"/>
  <c r="HJ137" i="14"/>
  <c r="AW135" i="17"/>
  <c r="AA191" i="17"/>
  <c r="F135" i="17"/>
  <c r="N135" i="17"/>
  <c r="V135" i="17"/>
  <c r="GM137" i="14"/>
  <c r="GU137" i="14"/>
  <c r="HC137" i="14"/>
  <c r="B191" i="17"/>
  <c r="G135" i="17"/>
  <c r="O135" i="17"/>
  <c r="W135" i="17"/>
  <c r="GN137" i="14"/>
  <c r="GV137" i="14"/>
  <c r="HD137" i="14"/>
  <c r="C191" i="17"/>
  <c r="H135" i="17"/>
  <c r="P135" i="17"/>
  <c r="X135" i="17"/>
  <c r="GO137" i="14"/>
  <c r="GW137" i="14"/>
  <c r="HE137" i="14"/>
  <c r="J191" i="17"/>
  <c r="I135" i="17"/>
  <c r="Q135" i="17"/>
  <c r="Y135" i="17"/>
  <c r="GP137" i="14"/>
  <c r="GX137" i="14"/>
  <c r="HF137" i="14"/>
  <c r="R191" i="17"/>
  <c r="C135" i="17"/>
  <c r="K135" i="17"/>
  <c r="S135" i="17"/>
  <c r="AA135" i="17"/>
  <c r="GJ137" i="14"/>
  <c r="GR137" i="14"/>
  <c r="GZ137" i="14"/>
  <c r="HH137" i="14"/>
  <c r="L135" i="17"/>
  <c r="HA137" i="14"/>
  <c r="FG137" i="14"/>
  <c r="FO137" i="14"/>
  <c r="FW137" i="14"/>
  <c r="R135" i="17"/>
  <c r="HG137" i="14"/>
  <c r="FH137" i="14"/>
  <c r="FP137" i="14"/>
  <c r="FX137" i="14"/>
  <c r="T135" i="17"/>
  <c r="HI137" i="14"/>
  <c r="FI137" i="14"/>
  <c r="FQ137" i="14"/>
  <c r="FY137" i="14"/>
  <c r="Z135" i="17"/>
  <c r="GI137" i="14"/>
  <c r="FJ137" i="14"/>
  <c r="FR137" i="14"/>
  <c r="FZ137" i="14"/>
  <c r="AB135" i="17"/>
  <c r="GK137" i="14"/>
  <c r="FC137" i="14"/>
  <c r="FK137" i="14"/>
  <c r="FS137" i="14"/>
  <c r="GA137" i="14"/>
  <c r="S191" i="17"/>
  <c r="D135" i="17"/>
  <c r="GS137" i="14"/>
  <c r="FE137" i="14"/>
  <c r="FM137" i="14"/>
  <c r="FU137" i="14"/>
  <c r="GC137" i="14"/>
  <c r="GY137" i="14"/>
  <c r="FN137" i="14"/>
  <c r="FE193" i="14"/>
  <c r="FM193" i="14"/>
  <c r="FU193" i="14"/>
  <c r="GC193" i="14"/>
  <c r="ED193" i="14"/>
  <c r="EL193" i="14"/>
  <c r="ET193" i="14"/>
  <c r="K191" i="17"/>
  <c r="FT137" i="14"/>
  <c r="FF193" i="14"/>
  <c r="FN193" i="14"/>
  <c r="FV193" i="14"/>
  <c r="GD193" i="14"/>
  <c r="EE193" i="14"/>
  <c r="EM193" i="14"/>
  <c r="EU193" i="14"/>
  <c r="FV137" i="14"/>
  <c r="FG193" i="14"/>
  <c r="FO193" i="14"/>
  <c r="FW193" i="14"/>
  <c r="DX193" i="14"/>
  <c r="EF193" i="14"/>
  <c r="EN193" i="14"/>
  <c r="EV193" i="14"/>
  <c r="GB137" i="14"/>
  <c r="FH193" i="14"/>
  <c r="FP193" i="14"/>
  <c r="FX193" i="14"/>
  <c r="DY193" i="14"/>
  <c r="EG193" i="14"/>
  <c r="EO193" i="14"/>
  <c r="EW193" i="14"/>
  <c r="GD137" i="14"/>
  <c r="FI193" i="14"/>
  <c r="FQ193" i="14"/>
  <c r="FY193" i="14"/>
  <c r="DZ193" i="14"/>
  <c r="EH193" i="14"/>
  <c r="EP193" i="14"/>
  <c r="EX193" i="14"/>
  <c r="J135" i="17"/>
  <c r="FF137" i="14"/>
  <c r="FC193" i="14"/>
  <c r="FK193" i="14"/>
  <c r="FS193" i="14"/>
  <c r="GA193" i="14"/>
  <c r="EB193" i="14"/>
  <c r="EJ193" i="14"/>
  <c r="ER193" i="14"/>
  <c r="GQ137" i="14"/>
  <c r="FT193" i="14"/>
  <c r="DZ137" i="14"/>
  <c r="EH137" i="14"/>
  <c r="EP137" i="14"/>
  <c r="EX137" i="14"/>
  <c r="B135" i="17"/>
  <c r="FZ193" i="14"/>
  <c r="EA193" i="14"/>
  <c r="EA137" i="14"/>
  <c r="EI137" i="14"/>
  <c r="EQ137" i="14"/>
  <c r="EY137" i="14"/>
  <c r="GB193" i="14"/>
  <c r="EC193" i="14"/>
  <c r="EB137" i="14"/>
  <c r="EJ137" i="14"/>
  <c r="ER137" i="14"/>
  <c r="FD137" i="14"/>
  <c r="EI193" i="14"/>
  <c r="EC137" i="14"/>
  <c r="EK137" i="14"/>
  <c r="ES137" i="14"/>
  <c r="FL137" i="14"/>
  <c r="FD193" i="14"/>
  <c r="EK193" i="14"/>
  <c r="ED137" i="14"/>
  <c r="EL137" i="14"/>
  <c r="ET137" i="14"/>
  <c r="FL193" i="14"/>
  <c r="ES193" i="14"/>
  <c r="DX137" i="14"/>
  <c r="EF137" i="14"/>
  <c r="EN137" i="14"/>
  <c r="EV137" i="14"/>
  <c r="FR193" i="14"/>
  <c r="EO137" i="14"/>
  <c r="CZ193" i="14"/>
  <c r="DH193" i="14"/>
  <c r="DP193" i="14"/>
  <c r="CY137" i="14"/>
  <c r="DG137" i="14"/>
  <c r="DO137" i="14"/>
  <c r="AC193" i="14"/>
  <c r="AK193" i="14"/>
  <c r="AS193" i="14"/>
  <c r="BA193" i="14"/>
  <c r="EQ193" i="14"/>
  <c r="EU137" i="14"/>
  <c r="CS193" i="14"/>
  <c r="DA193" i="14"/>
  <c r="DI193" i="14"/>
  <c r="DQ193" i="14"/>
  <c r="CZ137" i="14"/>
  <c r="DH137" i="14"/>
  <c r="DP137" i="14"/>
  <c r="AD193" i="14"/>
  <c r="AL193" i="14"/>
  <c r="AT193" i="14"/>
  <c r="BB193" i="14"/>
  <c r="AD137" i="14"/>
  <c r="AL137" i="14"/>
  <c r="AT137" i="14"/>
  <c r="BB137" i="14"/>
  <c r="EY193" i="14"/>
  <c r="EW137" i="14"/>
  <c r="CT193" i="14"/>
  <c r="DB193" i="14"/>
  <c r="DJ193" i="14"/>
  <c r="DR193" i="14"/>
  <c r="CS137" i="14"/>
  <c r="DA137" i="14"/>
  <c r="DI137" i="14"/>
  <c r="DQ137" i="14"/>
  <c r="AE193" i="14"/>
  <c r="AM193" i="14"/>
  <c r="AU193" i="14"/>
  <c r="AE137" i="14"/>
  <c r="AM137" i="14"/>
  <c r="AU137" i="14"/>
  <c r="CU193" i="14"/>
  <c r="DC193" i="14"/>
  <c r="DK193" i="14"/>
  <c r="DS193" i="14"/>
  <c r="CT137" i="14"/>
  <c r="DB137" i="14"/>
  <c r="DJ137" i="14"/>
  <c r="DR137" i="14"/>
  <c r="AF193" i="14"/>
  <c r="AN193" i="14"/>
  <c r="AV193" i="14"/>
  <c r="AF137" i="14"/>
  <c r="AN137" i="14"/>
  <c r="AV137" i="14"/>
  <c r="DY137" i="14"/>
  <c r="CV193" i="14"/>
  <c r="DD193" i="14"/>
  <c r="DL193" i="14"/>
  <c r="DT193" i="14"/>
  <c r="CU137" i="14"/>
  <c r="DC137" i="14"/>
  <c r="DK137" i="14"/>
  <c r="DS137" i="14"/>
  <c r="AG193" i="14"/>
  <c r="AO193" i="14"/>
  <c r="AW193" i="14"/>
  <c r="AG137" i="14"/>
  <c r="AO137" i="14"/>
  <c r="AW137" i="14"/>
  <c r="EG137" i="14"/>
  <c r="CX193" i="14"/>
  <c r="DF193" i="14"/>
  <c r="DN193" i="14"/>
  <c r="CW137" i="14"/>
  <c r="DE137" i="14"/>
  <c r="DM137" i="14"/>
  <c r="AA193" i="14"/>
  <c r="AI193" i="14"/>
  <c r="AQ193" i="14"/>
  <c r="AY193" i="14"/>
  <c r="AA137" i="14"/>
  <c r="AI137" i="14"/>
  <c r="AQ137" i="14"/>
  <c r="AY137" i="14"/>
  <c r="CY193" i="14"/>
  <c r="DF137" i="14"/>
  <c r="AZ193" i="14"/>
  <c r="AJ137" i="14"/>
  <c r="DE193" i="14"/>
  <c r="DL137" i="14"/>
  <c r="DG193" i="14"/>
  <c r="DN137" i="14"/>
  <c r="AB193" i="14"/>
  <c r="EE137" i="14"/>
  <c r="DM193" i="14"/>
  <c r="DT137" i="14"/>
  <c r="AH193" i="14"/>
  <c r="FJ193" i="14"/>
  <c r="CX137" i="14"/>
  <c r="AR193" i="14"/>
  <c r="CW193" i="14"/>
  <c r="DD137" i="14"/>
  <c r="AX193" i="14"/>
  <c r="DO193" i="14"/>
  <c r="AJ193" i="14"/>
  <c r="AR137" i="14"/>
  <c r="M189" i="6"/>
  <c r="U189" i="6"/>
  <c r="AC189" i="6"/>
  <c r="AP193" i="14"/>
  <c r="AS137" i="14"/>
  <c r="N189" i="6"/>
  <c r="V189" i="6"/>
  <c r="AD189" i="6"/>
  <c r="EM137" i="14"/>
  <c r="AX137" i="14"/>
  <c r="O189" i="6"/>
  <c r="W189" i="6"/>
  <c r="AE189" i="6"/>
  <c r="AB137" i="14"/>
  <c r="AZ137" i="14"/>
  <c r="P189" i="6"/>
  <c r="X189" i="6"/>
  <c r="AF189" i="6"/>
  <c r="AK137" i="14"/>
  <c r="K189" i="6"/>
  <c r="S189" i="6"/>
  <c r="AA189" i="6"/>
  <c r="AI189" i="6"/>
  <c r="CV137" i="14"/>
  <c r="AP137" i="14"/>
  <c r="L189" i="6"/>
  <c r="T189" i="6"/>
  <c r="AB189" i="6"/>
  <c r="AJ189" i="6"/>
  <c r="AG189" i="6"/>
  <c r="R189" i="6"/>
  <c r="AH189" i="6"/>
  <c r="I189" i="6"/>
  <c r="I84" i="2" s="1"/>
  <c r="AH137" i="14"/>
  <c r="Z189" i="6"/>
  <c r="J189" i="6"/>
  <c r="AC137" i="14"/>
  <c r="Q189" i="6"/>
  <c r="BA137" i="14"/>
  <c r="Y189" i="6"/>
  <c r="BS137" i="14"/>
  <c r="CA137" i="14"/>
  <c r="CI137" i="14"/>
  <c r="BO193" i="14"/>
  <c r="BW193" i="14"/>
  <c r="CE193" i="14"/>
  <c r="CM193" i="14"/>
  <c r="BT137" i="14"/>
  <c r="CB137" i="14"/>
  <c r="CJ137" i="14"/>
  <c r="BP193" i="14"/>
  <c r="BX193" i="14"/>
  <c r="CF193" i="14"/>
  <c r="CN193" i="14"/>
  <c r="CF137" i="14"/>
  <c r="CB193" i="14"/>
  <c r="CL193" i="14"/>
  <c r="BU137" i="14"/>
  <c r="CC137" i="14"/>
  <c r="CK137" i="14"/>
  <c r="BQ193" i="14"/>
  <c r="BY193" i="14"/>
  <c r="CG193" i="14"/>
  <c r="CO193" i="14"/>
  <c r="BP137" i="14"/>
  <c r="BT193" i="14"/>
  <c r="BN193" i="14"/>
  <c r="BN137" i="14"/>
  <c r="BV137" i="14"/>
  <c r="CD137" i="14"/>
  <c r="CL137" i="14"/>
  <c r="BR193" i="14"/>
  <c r="BZ193" i="14"/>
  <c r="CH193" i="14"/>
  <c r="CN137" i="14"/>
  <c r="CJ193" i="14"/>
  <c r="BV193" i="14"/>
  <c r="BO137" i="14"/>
  <c r="BW137" i="14"/>
  <c r="CE137" i="14"/>
  <c r="CM137" i="14"/>
  <c r="BS193" i="14"/>
  <c r="CA193" i="14"/>
  <c r="CI193" i="14"/>
  <c r="BX137" i="14"/>
  <c r="BQ137" i="14"/>
  <c r="BY137" i="14"/>
  <c r="CG137" i="14"/>
  <c r="CO137" i="14"/>
  <c r="BU193" i="14"/>
  <c r="CC193" i="14"/>
  <c r="CK193" i="14"/>
  <c r="BR137" i="14"/>
  <c r="BZ137" i="14"/>
  <c r="CH137" i="14"/>
  <c r="CD193" i="14"/>
  <c r="BO128" i="17"/>
  <c r="BW128" i="17"/>
  <c r="CE128" i="17"/>
  <c r="CM128" i="17"/>
  <c r="BP128" i="17"/>
  <c r="BX128" i="17"/>
  <c r="CF128" i="17"/>
  <c r="CN128" i="17"/>
  <c r="BQ128" i="17"/>
  <c r="BY128" i="17"/>
  <c r="CG128" i="17"/>
  <c r="BR128" i="17"/>
  <c r="BZ128" i="17"/>
  <c r="CH128" i="17"/>
  <c r="BT128" i="17"/>
  <c r="CB128" i="17"/>
  <c r="CJ128" i="17"/>
  <c r="BM128" i="17"/>
  <c r="BU128" i="17"/>
  <c r="CC128" i="17"/>
  <c r="CK128" i="17"/>
  <c r="BN128" i="17"/>
  <c r="BV128" i="17"/>
  <c r="CD128" i="17"/>
  <c r="CL128" i="17"/>
  <c r="BS128" i="17"/>
  <c r="CA128" i="17"/>
  <c r="CI128" i="17"/>
  <c r="AN184" i="17"/>
  <c r="AV184" i="17"/>
  <c r="BD184" i="17"/>
  <c r="AG184" i="17"/>
  <c r="AO184" i="17"/>
  <c r="AW184" i="17"/>
  <c r="BE184" i="17"/>
  <c r="AH184" i="17"/>
  <c r="AP184" i="17"/>
  <c r="AX184" i="17"/>
  <c r="BF184" i="17"/>
  <c r="AI184" i="17"/>
  <c r="AQ184" i="17"/>
  <c r="AY184" i="17"/>
  <c r="BG184" i="17"/>
  <c r="AJ184" i="17"/>
  <c r="AR184" i="17"/>
  <c r="AZ184" i="17"/>
  <c r="BH184" i="17"/>
  <c r="AK184" i="17"/>
  <c r="AS184" i="17"/>
  <c r="BA184" i="17"/>
  <c r="AL184" i="17"/>
  <c r="AT184" i="17"/>
  <c r="BB184" i="17"/>
  <c r="AU184" i="17"/>
  <c r="AL128" i="17"/>
  <c r="AT128" i="17"/>
  <c r="BB128" i="17"/>
  <c r="BC184" i="17"/>
  <c r="AM128" i="17"/>
  <c r="AU128" i="17"/>
  <c r="BC128" i="17"/>
  <c r="AN128" i="17"/>
  <c r="AV128" i="17"/>
  <c r="BD128" i="17"/>
  <c r="AG128" i="17"/>
  <c r="AO128" i="17"/>
  <c r="AW128" i="17"/>
  <c r="BE128" i="17"/>
  <c r="AH128" i="17"/>
  <c r="AP128" i="17"/>
  <c r="AX128" i="17"/>
  <c r="BF128" i="17"/>
  <c r="AI128" i="17"/>
  <c r="AQ128" i="17"/>
  <c r="AY128" i="17"/>
  <c r="BG128" i="17"/>
  <c r="AJ128" i="17"/>
  <c r="AR128" i="17"/>
  <c r="AZ128" i="17"/>
  <c r="BH128" i="17"/>
  <c r="H184" i="17"/>
  <c r="P184" i="17"/>
  <c r="X184" i="17"/>
  <c r="AM184" i="17"/>
  <c r="I184" i="17"/>
  <c r="Q184" i="17"/>
  <c r="Y184" i="17"/>
  <c r="E128" i="17"/>
  <c r="M128" i="17"/>
  <c r="U128" i="17"/>
  <c r="AC128" i="17"/>
  <c r="B184" i="17"/>
  <c r="J184" i="17"/>
  <c r="R184" i="17"/>
  <c r="Z184" i="17"/>
  <c r="F128" i="17"/>
  <c r="N128" i="17"/>
  <c r="V128" i="17"/>
  <c r="C184" i="17"/>
  <c r="K184" i="17"/>
  <c r="S184" i="17"/>
  <c r="AA184" i="17"/>
  <c r="G128" i="17"/>
  <c r="O128" i="17"/>
  <c r="W128" i="17"/>
  <c r="D184" i="17"/>
  <c r="L184" i="17"/>
  <c r="T184" i="17"/>
  <c r="AB184" i="17"/>
  <c r="H128" i="17"/>
  <c r="P128" i="17"/>
  <c r="X128" i="17"/>
  <c r="AK128" i="17"/>
  <c r="E184" i="17"/>
  <c r="M184" i="17"/>
  <c r="U184" i="17"/>
  <c r="AC184" i="17"/>
  <c r="I128" i="17"/>
  <c r="Q128" i="17"/>
  <c r="Y128" i="17"/>
  <c r="AS128" i="17"/>
  <c r="F184" i="17"/>
  <c r="N184" i="17"/>
  <c r="V184" i="17"/>
  <c r="J128" i="17"/>
  <c r="AB128" i="17"/>
  <c r="GP130" i="14"/>
  <c r="GX130" i="14"/>
  <c r="HF130" i="14"/>
  <c r="K128" i="17"/>
  <c r="GI130" i="14"/>
  <c r="GQ130" i="14"/>
  <c r="GY130" i="14"/>
  <c r="HG130" i="14"/>
  <c r="L128" i="17"/>
  <c r="GJ130" i="14"/>
  <c r="GR130" i="14"/>
  <c r="GZ130" i="14"/>
  <c r="HH130" i="14"/>
  <c r="G184" i="17"/>
  <c r="R128" i="17"/>
  <c r="GK130" i="14"/>
  <c r="GS130" i="14"/>
  <c r="HA130" i="14"/>
  <c r="HI130" i="14"/>
  <c r="O184" i="17"/>
  <c r="S128" i="17"/>
  <c r="GL130" i="14"/>
  <c r="GT130" i="14"/>
  <c r="HB130" i="14"/>
  <c r="HJ130" i="14"/>
  <c r="BA128" i="17"/>
  <c r="C128" i="17"/>
  <c r="Z128" i="17"/>
  <c r="GN130" i="14"/>
  <c r="GV130" i="14"/>
  <c r="HD130" i="14"/>
  <c r="HE130" i="14"/>
  <c r="FC130" i="14"/>
  <c r="FK130" i="14"/>
  <c r="FS130" i="14"/>
  <c r="GA130" i="14"/>
  <c r="FD130" i="14"/>
  <c r="FL130" i="14"/>
  <c r="FT130" i="14"/>
  <c r="GB130" i="14"/>
  <c r="FE130" i="14"/>
  <c r="FM130" i="14"/>
  <c r="FU130" i="14"/>
  <c r="GC130" i="14"/>
  <c r="B128" i="17"/>
  <c r="GM130" i="14"/>
  <c r="FF130" i="14"/>
  <c r="FN130" i="14"/>
  <c r="FV130" i="14"/>
  <c r="GD130" i="14"/>
  <c r="D128" i="17"/>
  <c r="GO130" i="14"/>
  <c r="FG130" i="14"/>
  <c r="FO130" i="14"/>
  <c r="FW130" i="14"/>
  <c r="AA128" i="17"/>
  <c r="GW130" i="14"/>
  <c r="FI130" i="14"/>
  <c r="FQ130" i="14"/>
  <c r="FY130" i="14"/>
  <c r="FR130" i="14"/>
  <c r="FI186" i="14"/>
  <c r="FQ186" i="14"/>
  <c r="FY186" i="14"/>
  <c r="DZ186" i="14"/>
  <c r="EH186" i="14"/>
  <c r="EP186" i="14"/>
  <c r="EX186" i="14"/>
  <c r="FX130" i="14"/>
  <c r="FJ186" i="14"/>
  <c r="FR186" i="14"/>
  <c r="FZ186" i="14"/>
  <c r="EA186" i="14"/>
  <c r="EI186" i="14"/>
  <c r="EQ186" i="14"/>
  <c r="EY186" i="14"/>
  <c r="FZ130" i="14"/>
  <c r="FC186" i="14"/>
  <c r="FK186" i="14"/>
  <c r="FS186" i="14"/>
  <c r="GA186" i="14"/>
  <c r="EB186" i="14"/>
  <c r="EJ186" i="14"/>
  <c r="ER186" i="14"/>
  <c r="T128" i="17"/>
  <c r="GU130" i="14"/>
  <c r="FD186" i="14"/>
  <c r="FL186" i="14"/>
  <c r="FT186" i="14"/>
  <c r="GB186" i="14"/>
  <c r="EC186" i="14"/>
  <c r="EK186" i="14"/>
  <c r="ES186" i="14"/>
  <c r="HC130" i="14"/>
  <c r="FE186" i="14"/>
  <c r="FM186" i="14"/>
  <c r="FU186" i="14"/>
  <c r="GC186" i="14"/>
  <c r="ED186" i="14"/>
  <c r="EL186" i="14"/>
  <c r="ET186" i="14"/>
  <c r="FJ130" i="14"/>
  <c r="FG186" i="14"/>
  <c r="FO186" i="14"/>
  <c r="FW186" i="14"/>
  <c r="DX186" i="14"/>
  <c r="EF186" i="14"/>
  <c r="EN186" i="14"/>
  <c r="EV186" i="14"/>
  <c r="W184" i="17"/>
  <c r="FP130" i="14"/>
  <c r="FX186" i="14"/>
  <c r="DY186" i="14"/>
  <c r="ED130" i="14"/>
  <c r="EL130" i="14"/>
  <c r="ET130" i="14"/>
  <c r="GD186" i="14"/>
  <c r="EE186" i="14"/>
  <c r="EE130" i="14"/>
  <c r="EM130" i="14"/>
  <c r="EU130" i="14"/>
  <c r="EG186" i="14"/>
  <c r="DX130" i="14"/>
  <c r="EF130" i="14"/>
  <c r="EN130" i="14"/>
  <c r="EV130" i="14"/>
  <c r="FF186" i="14"/>
  <c r="EM186" i="14"/>
  <c r="DY130" i="14"/>
  <c r="EG130" i="14"/>
  <c r="EO130" i="14"/>
  <c r="EW130" i="14"/>
  <c r="FH186" i="14"/>
  <c r="EO186" i="14"/>
  <c r="DZ130" i="14"/>
  <c r="EH130" i="14"/>
  <c r="EP130" i="14"/>
  <c r="EX130" i="14"/>
  <c r="FP186" i="14"/>
  <c r="EW186" i="14"/>
  <c r="EB130" i="14"/>
  <c r="EJ130" i="14"/>
  <c r="ER130" i="14"/>
  <c r="ES130" i="14"/>
  <c r="CV186" i="14"/>
  <c r="DD186" i="14"/>
  <c r="DL186" i="14"/>
  <c r="DT186" i="14"/>
  <c r="CU130" i="14"/>
  <c r="DC130" i="14"/>
  <c r="DK130" i="14"/>
  <c r="DS130" i="14"/>
  <c r="AG186" i="14"/>
  <c r="AO186" i="14"/>
  <c r="AW186" i="14"/>
  <c r="EY130" i="14"/>
  <c r="CW186" i="14"/>
  <c r="DE186" i="14"/>
  <c r="DM186" i="14"/>
  <c r="CV130" i="14"/>
  <c r="DD130" i="14"/>
  <c r="DL130" i="14"/>
  <c r="DT130" i="14"/>
  <c r="AH186" i="14"/>
  <c r="AP186" i="14"/>
  <c r="AX186" i="14"/>
  <c r="AH130" i="14"/>
  <c r="AP130" i="14"/>
  <c r="AX130" i="14"/>
  <c r="CX186" i="14"/>
  <c r="DF186" i="14"/>
  <c r="DN186" i="14"/>
  <c r="CW130" i="14"/>
  <c r="DE130" i="14"/>
  <c r="DM130" i="14"/>
  <c r="AA186" i="14"/>
  <c r="AI186" i="14"/>
  <c r="AQ186" i="14"/>
  <c r="AY186" i="14"/>
  <c r="AA130" i="14"/>
  <c r="AI130" i="14"/>
  <c r="AQ130" i="14"/>
  <c r="AY130" i="14"/>
  <c r="FN186" i="14"/>
  <c r="EA130" i="14"/>
  <c r="CY186" i="14"/>
  <c r="DG186" i="14"/>
  <c r="DO186" i="14"/>
  <c r="CX130" i="14"/>
  <c r="DF130" i="14"/>
  <c r="DN130" i="14"/>
  <c r="AB186" i="14"/>
  <c r="AJ186" i="14"/>
  <c r="AR186" i="14"/>
  <c r="AZ186" i="14"/>
  <c r="AB130" i="14"/>
  <c r="AJ130" i="14"/>
  <c r="AR130" i="14"/>
  <c r="AZ130" i="14"/>
  <c r="FH130" i="14"/>
  <c r="FV186" i="14"/>
  <c r="EC130" i="14"/>
  <c r="CZ186" i="14"/>
  <c r="DH186" i="14"/>
  <c r="DP186" i="14"/>
  <c r="CY130" i="14"/>
  <c r="DG130" i="14"/>
  <c r="DO130" i="14"/>
  <c r="AC186" i="14"/>
  <c r="AK186" i="14"/>
  <c r="AS186" i="14"/>
  <c r="BA186" i="14"/>
  <c r="AC130" i="14"/>
  <c r="AK130" i="14"/>
  <c r="AS130" i="14"/>
  <c r="BA130" i="14"/>
  <c r="EK130" i="14"/>
  <c r="CT186" i="14"/>
  <c r="DB186" i="14"/>
  <c r="DJ186" i="14"/>
  <c r="DR186" i="14"/>
  <c r="CS130" i="14"/>
  <c r="DA130" i="14"/>
  <c r="DI130" i="14"/>
  <c r="DQ130" i="14"/>
  <c r="AE186" i="14"/>
  <c r="AM186" i="14"/>
  <c r="AU186" i="14"/>
  <c r="AE130" i="14"/>
  <c r="AM130" i="14"/>
  <c r="AU130" i="14"/>
  <c r="EQ130" i="14"/>
  <c r="DC186" i="14"/>
  <c r="DJ130" i="14"/>
  <c r="AN130" i="14"/>
  <c r="EU186" i="14"/>
  <c r="DI186" i="14"/>
  <c r="DP130" i="14"/>
  <c r="AD186" i="14"/>
  <c r="AO130" i="14"/>
  <c r="DK186" i="14"/>
  <c r="DR130" i="14"/>
  <c r="AF186" i="14"/>
  <c r="DQ186" i="14"/>
  <c r="AL186" i="14"/>
  <c r="AV130" i="14"/>
  <c r="CU186" i="14"/>
  <c r="DB130" i="14"/>
  <c r="AV186" i="14"/>
  <c r="AG130" i="14"/>
  <c r="EI130" i="14"/>
  <c r="DA186" i="14"/>
  <c r="DH130" i="14"/>
  <c r="BB186" i="14"/>
  <c r="AL130" i="14"/>
  <c r="AD130" i="14"/>
  <c r="I182" i="6"/>
  <c r="Q182" i="6"/>
  <c r="Y182" i="6"/>
  <c r="AG182" i="6"/>
  <c r="AF130" i="14"/>
  <c r="J182" i="6"/>
  <c r="R182" i="6"/>
  <c r="Z182" i="6"/>
  <c r="AH182" i="6"/>
  <c r="AN186" i="14"/>
  <c r="CT130" i="14"/>
  <c r="AT130" i="14"/>
  <c r="K182" i="6"/>
  <c r="S182" i="6"/>
  <c r="AA182" i="6"/>
  <c r="AI182" i="6"/>
  <c r="CS186" i="14"/>
  <c r="CZ130" i="14"/>
  <c r="AW130" i="14"/>
  <c r="L182" i="6"/>
  <c r="T182" i="6"/>
  <c r="AB182" i="6"/>
  <c r="AJ182" i="6"/>
  <c r="O182" i="6"/>
  <c r="W182" i="6"/>
  <c r="AE182" i="6"/>
  <c r="DS186" i="14"/>
  <c r="P182" i="6"/>
  <c r="X182" i="6"/>
  <c r="AF182" i="6"/>
  <c r="V182" i="6"/>
  <c r="AT186" i="14"/>
  <c r="BB130" i="14"/>
  <c r="M182" i="6"/>
  <c r="N182" i="6"/>
  <c r="AD182" i="6"/>
  <c r="U182" i="6"/>
  <c r="AC182" i="6"/>
  <c r="BO130" i="14"/>
  <c r="BW130" i="14"/>
  <c r="CE130" i="14"/>
  <c r="CM130" i="14"/>
  <c r="BS186" i="14"/>
  <c r="CA186" i="14"/>
  <c r="CI186" i="14"/>
  <c r="BP130" i="14"/>
  <c r="BX130" i="14"/>
  <c r="CF130" i="14"/>
  <c r="CN130" i="14"/>
  <c r="BT186" i="14"/>
  <c r="CB186" i="14"/>
  <c r="CJ186" i="14"/>
  <c r="CJ130" i="14"/>
  <c r="CF186" i="14"/>
  <c r="BQ130" i="14"/>
  <c r="BY130" i="14"/>
  <c r="CG130" i="14"/>
  <c r="CO130" i="14"/>
  <c r="BU186" i="14"/>
  <c r="CC186" i="14"/>
  <c r="CK186" i="14"/>
  <c r="CB130" i="14"/>
  <c r="BX186" i="14"/>
  <c r="BZ186" i="14"/>
  <c r="BR130" i="14"/>
  <c r="BZ130" i="14"/>
  <c r="CH130" i="14"/>
  <c r="BN186" i="14"/>
  <c r="BV186" i="14"/>
  <c r="CD186" i="14"/>
  <c r="CL186" i="14"/>
  <c r="CN186" i="14"/>
  <c r="BS130" i="14"/>
  <c r="CA130" i="14"/>
  <c r="CI130" i="14"/>
  <c r="BO186" i="14"/>
  <c r="BW186" i="14"/>
  <c r="CE186" i="14"/>
  <c r="CM186" i="14"/>
  <c r="BT130" i="14"/>
  <c r="BP186" i="14"/>
  <c r="BR186" i="14"/>
  <c r="BU130" i="14"/>
  <c r="CC130" i="14"/>
  <c r="CK130" i="14"/>
  <c r="BQ186" i="14"/>
  <c r="BY186" i="14"/>
  <c r="CG186" i="14"/>
  <c r="CO186" i="14"/>
  <c r="BN130" i="14"/>
  <c r="BV130" i="14"/>
  <c r="CD130" i="14"/>
  <c r="CL130" i="14"/>
  <c r="CH186" i="14"/>
  <c r="BO144" i="17"/>
  <c r="BW144" i="17"/>
  <c r="CE144" i="17"/>
  <c r="CM144" i="17"/>
  <c r="BQ144" i="17"/>
  <c r="BY144" i="17"/>
  <c r="CG144" i="17"/>
  <c r="BR144" i="17"/>
  <c r="BZ144" i="17"/>
  <c r="CH144" i="17"/>
  <c r="BS144" i="17"/>
  <c r="CA144" i="17"/>
  <c r="CI144" i="17"/>
  <c r="BT144" i="17"/>
  <c r="CB144" i="17"/>
  <c r="CJ144" i="17"/>
  <c r="BM144" i="17"/>
  <c r="BU144" i="17"/>
  <c r="CC144" i="17"/>
  <c r="CK144" i="17"/>
  <c r="BN144" i="17"/>
  <c r="AN200" i="17"/>
  <c r="AV200" i="17"/>
  <c r="BD200" i="17"/>
  <c r="BP144" i="17"/>
  <c r="AG200" i="17"/>
  <c r="AO200" i="17"/>
  <c r="AW200" i="17"/>
  <c r="BE200" i="17"/>
  <c r="BV144" i="17"/>
  <c r="AH200" i="17"/>
  <c r="AP200" i="17"/>
  <c r="AX200" i="17"/>
  <c r="BF200" i="17"/>
  <c r="BX144" i="17"/>
  <c r="AI200" i="17"/>
  <c r="AQ200" i="17"/>
  <c r="AY200" i="17"/>
  <c r="BG200" i="17"/>
  <c r="CD144" i="17"/>
  <c r="CF144" i="17"/>
  <c r="AK200" i="17"/>
  <c r="AS200" i="17"/>
  <c r="BA200" i="17"/>
  <c r="CL144" i="17"/>
  <c r="AL200" i="17"/>
  <c r="AT200" i="17"/>
  <c r="BB200" i="17"/>
  <c r="AJ200" i="17"/>
  <c r="AM200" i="17"/>
  <c r="AR200" i="17"/>
  <c r="AU200" i="17"/>
  <c r="AZ200" i="17"/>
  <c r="CN144" i="17"/>
  <c r="BC200" i="17"/>
  <c r="AI144" i="17"/>
  <c r="AQ144" i="17"/>
  <c r="AY144" i="17"/>
  <c r="BG144" i="17"/>
  <c r="H200" i="17"/>
  <c r="P200" i="17"/>
  <c r="X200" i="17"/>
  <c r="AJ144" i="17"/>
  <c r="AR144" i="17"/>
  <c r="AZ144" i="17"/>
  <c r="BH144" i="17"/>
  <c r="I200" i="17"/>
  <c r="Q200" i="17"/>
  <c r="Y200" i="17"/>
  <c r="AK144" i="17"/>
  <c r="AS144" i="17"/>
  <c r="BA144" i="17"/>
  <c r="B200" i="17"/>
  <c r="J200" i="17"/>
  <c r="R200" i="17"/>
  <c r="Z200" i="17"/>
  <c r="AL144" i="17"/>
  <c r="AT144" i="17"/>
  <c r="BB144" i="17"/>
  <c r="C200" i="17"/>
  <c r="K200" i="17"/>
  <c r="S200" i="17"/>
  <c r="AA200" i="17"/>
  <c r="AM144" i="17"/>
  <c r="AU144" i="17"/>
  <c r="BC144" i="17"/>
  <c r="D200" i="17"/>
  <c r="L200" i="17"/>
  <c r="T200" i="17"/>
  <c r="AB200" i="17"/>
  <c r="AN144" i="17"/>
  <c r="AV144" i="17"/>
  <c r="BD144" i="17"/>
  <c r="E200" i="17"/>
  <c r="M200" i="17"/>
  <c r="U200" i="17"/>
  <c r="AC200" i="17"/>
  <c r="BH200" i="17"/>
  <c r="AG144" i="17"/>
  <c r="AO144" i="17"/>
  <c r="AW144" i="17"/>
  <c r="BE144" i="17"/>
  <c r="AH144" i="17"/>
  <c r="I144" i="17"/>
  <c r="Q144" i="17"/>
  <c r="Y144" i="17"/>
  <c r="AP144" i="17"/>
  <c r="B144" i="17"/>
  <c r="J144" i="17"/>
  <c r="R144" i="17"/>
  <c r="Z144" i="17"/>
  <c r="GI146" i="14"/>
  <c r="GQ146" i="14"/>
  <c r="GY146" i="14"/>
  <c r="HG146" i="14"/>
  <c r="AX144" i="17"/>
  <c r="F200" i="17"/>
  <c r="C144" i="17"/>
  <c r="K144" i="17"/>
  <c r="S144" i="17"/>
  <c r="AA144" i="17"/>
  <c r="GJ146" i="14"/>
  <c r="GR146" i="14"/>
  <c r="GZ146" i="14"/>
  <c r="HH146" i="14"/>
  <c r="BF144" i="17"/>
  <c r="G200" i="17"/>
  <c r="D144" i="17"/>
  <c r="L144" i="17"/>
  <c r="T144" i="17"/>
  <c r="AB144" i="17"/>
  <c r="GK146" i="14"/>
  <c r="GS146" i="14"/>
  <c r="HA146" i="14"/>
  <c r="HI146" i="14"/>
  <c r="N200" i="17"/>
  <c r="E144" i="17"/>
  <c r="M144" i="17"/>
  <c r="U144" i="17"/>
  <c r="AC144" i="17"/>
  <c r="GL146" i="14"/>
  <c r="GT146" i="14"/>
  <c r="HB146" i="14"/>
  <c r="HJ146" i="14"/>
  <c r="V200" i="17"/>
  <c r="G144" i="17"/>
  <c r="O144" i="17"/>
  <c r="W144" i="17"/>
  <c r="GN146" i="14"/>
  <c r="GV146" i="14"/>
  <c r="HD146" i="14"/>
  <c r="P144" i="17"/>
  <c r="GX146" i="14"/>
  <c r="FC146" i="14"/>
  <c r="FK146" i="14"/>
  <c r="FS146" i="14"/>
  <c r="GA146" i="14"/>
  <c r="V144" i="17"/>
  <c r="HC146" i="14"/>
  <c r="FD146" i="14"/>
  <c r="FL146" i="14"/>
  <c r="FT146" i="14"/>
  <c r="GB146" i="14"/>
  <c r="X144" i="17"/>
  <c r="HE146" i="14"/>
  <c r="FE146" i="14"/>
  <c r="FM146" i="14"/>
  <c r="FU146" i="14"/>
  <c r="GC146" i="14"/>
  <c r="GM146" i="14"/>
  <c r="HF146" i="14"/>
  <c r="FF146" i="14"/>
  <c r="FN146" i="14"/>
  <c r="FV146" i="14"/>
  <c r="GD146" i="14"/>
  <c r="GO146" i="14"/>
  <c r="FG146" i="14"/>
  <c r="FO146" i="14"/>
  <c r="FW146" i="14"/>
  <c r="W200" i="17"/>
  <c r="H144" i="17"/>
  <c r="GU146" i="14"/>
  <c r="FI146" i="14"/>
  <c r="FQ146" i="14"/>
  <c r="FY146" i="14"/>
  <c r="FR146" i="14"/>
  <c r="FI202" i="14"/>
  <c r="FQ202" i="14"/>
  <c r="FY202" i="14"/>
  <c r="GP146" i="14"/>
  <c r="FX146" i="14"/>
  <c r="FJ202" i="14"/>
  <c r="FR202" i="14"/>
  <c r="FZ202" i="14"/>
  <c r="GW146" i="14"/>
  <c r="FZ146" i="14"/>
  <c r="FC202" i="14"/>
  <c r="FK202" i="14"/>
  <c r="FS202" i="14"/>
  <c r="GA202" i="14"/>
  <c r="FD202" i="14"/>
  <c r="FL202" i="14"/>
  <c r="FT202" i="14"/>
  <c r="GB202" i="14"/>
  <c r="EC202" i="14"/>
  <c r="FE202" i="14"/>
  <c r="FM202" i="14"/>
  <c r="FU202" i="14"/>
  <c r="GC202" i="14"/>
  <c r="ED202" i="14"/>
  <c r="EL202" i="14"/>
  <c r="ET202" i="14"/>
  <c r="N144" i="17"/>
  <c r="FJ146" i="14"/>
  <c r="FG202" i="14"/>
  <c r="FO202" i="14"/>
  <c r="FW202" i="14"/>
  <c r="DX202" i="14"/>
  <c r="EF202" i="14"/>
  <c r="FX202" i="14"/>
  <c r="EE202" i="14"/>
  <c r="EO202" i="14"/>
  <c r="EX202" i="14"/>
  <c r="ED146" i="14"/>
  <c r="EL146" i="14"/>
  <c r="ET146" i="14"/>
  <c r="O200" i="17"/>
  <c r="GD202" i="14"/>
  <c r="EG202" i="14"/>
  <c r="EP202" i="14"/>
  <c r="EY202" i="14"/>
  <c r="EE146" i="14"/>
  <c r="EM146" i="14"/>
  <c r="EU146" i="14"/>
  <c r="EH202" i="14"/>
  <c r="EQ202" i="14"/>
  <c r="DX146" i="14"/>
  <c r="EF146" i="14"/>
  <c r="EN146" i="14"/>
  <c r="EV146" i="14"/>
  <c r="FH146" i="14"/>
  <c r="FF202" i="14"/>
  <c r="EI202" i="14"/>
  <c r="ER202" i="14"/>
  <c r="DY146" i="14"/>
  <c r="EG146" i="14"/>
  <c r="EO146" i="14"/>
  <c r="EW146" i="14"/>
  <c r="FP146" i="14"/>
  <c r="FH202" i="14"/>
  <c r="DY202" i="14"/>
  <c r="EJ202" i="14"/>
  <c r="ES202" i="14"/>
  <c r="DZ146" i="14"/>
  <c r="EH146" i="14"/>
  <c r="EP146" i="14"/>
  <c r="EX146" i="14"/>
  <c r="FP202" i="14"/>
  <c r="EA202" i="14"/>
  <c r="EM202" i="14"/>
  <c r="EV202" i="14"/>
  <c r="EB146" i="14"/>
  <c r="EJ146" i="14"/>
  <c r="ER146" i="14"/>
  <c r="FV202" i="14"/>
  <c r="EB202" i="14"/>
  <c r="ES146" i="14"/>
  <c r="CV202" i="14"/>
  <c r="DD202" i="14"/>
  <c r="DL202" i="14"/>
  <c r="DT202" i="14"/>
  <c r="CU146" i="14"/>
  <c r="DC146" i="14"/>
  <c r="DK146" i="14"/>
  <c r="DS146" i="14"/>
  <c r="AG202" i="14"/>
  <c r="AO202" i="14"/>
  <c r="AW202" i="14"/>
  <c r="F144" i="17"/>
  <c r="EK202" i="14"/>
  <c r="EY146" i="14"/>
  <c r="CW202" i="14"/>
  <c r="DE202" i="14"/>
  <c r="DM202" i="14"/>
  <c r="CV146" i="14"/>
  <c r="DD146" i="14"/>
  <c r="DL146" i="14"/>
  <c r="DT146" i="14"/>
  <c r="AH202" i="14"/>
  <c r="AP202" i="14"/>
  <c r="AX202" i="14"/>
  <c r="EN202" i="14"/>
  <c r="CX202" i="14"/>
  <c r="DF202" i="14"/>
  <c r="DN202" i="14"/>
  <c r="CW146" i="14"/>
  <c r="DE146" i="14"/>
  <c r="DM146" i="14"/>
  <c r="AA202" i="14"/>
  <c r="AI202" i="14"/>
  <c r="AQ202" i="14"/>
  <c r="AY202" i="14"/>
  <c r="EU202" i="14"/>
  <c r="EA146" i="14"/>
  <c r="CY202" i="14"/>
  <c r="DG202" i="14"/>
  <c r="DO202" i="14"/>
  <c r="CX146" i="14"/>
  <c r="DF146" i="14"/>
  <c r="DN146" i="14"/>
  <c r="AB202" i="14"/>
  <c r="AJ202" i="14"/>
  <c r="AR202" i="14"/>
  <c r="AZ202" i="14"/>
  <c r="EW202" i="14"/>
  <c r="EC146" i="14"/>
  <c r="CZ202" i="14"/>
  <c r="DH202" i="14"/>
  <c r="DP202" i="14"/>
  <c r="CY146" i="14"/>
  <c r="DG146" i="14"/>
  <c r="DO146" i="14"/>
  <c r="AC202" i="14"/>
  <c r="AK202" i="14"/>
  <c r="AS202" i="14"/>
  <c r="BA202" i="14"/>
  <c r="EK146" i="14"/>
  <c r="CT202" i="14"/>
  <c r="DB202" i="14"/>
  <c r="DJ202" i="14"/>
  <c r="DR202" i="14"/>
  <c r="CS146" i="14"/>
  <c r="DA146" i="14"/>
  <c r="DI146" i="14"/>
  <c r="DQ146" i="14"/>
  <c r="AE202" i="14"/>
  <c r="AM202" i="14"/>
  <c r="AU202" i="14"/>
  <c r="DC202" i="14"/>
  <c r="DJ146" i="14"/>
  <c r="DI202" i="14"/>
  <c r="DP146" i="14"/>
  <c r="AD202" i="14"/>
  <c r="FN202" i="14"/>
  <c r="DZ202" i="14"/>
  <c r="DK202" i="14"/>
  <c r="DR146" i="14"/>
  <c r="AF202" i="14"/>
  <c r="EI146" i="14"/>
  <c r="DQ202" i="14"/>
  <c r="AL202" i="14"/>
  <c r="CU202" i="14"/>
  <c r="DB146" i="14"/>
  <c r="AV202" i="14"/>
  <c r="DA202" i="14"/>
  <c r="DH146" i="14"/>
  <c r="BB202" i="14"/>
  <c r="DS202" i="14"/>
  <c r="AN202" i="14"/>
  <c r="AF146" i="14"/>
  <c r="AN146" i="14"/>
  <c r="AV146" i="14"/>
  <c r="I198" i="6"/>
  <c r="Q198" i="6"/>
  <c r="Y198" i="6"/>
  <c r="AG198" i="6"/>
  <c r="AT202" i="14"/>
  <c r="AG146" i="14"/>
  <c r="AO146" i="14"/>
  <c r="AW146" i="14"/>
  <c r="J198" i="6"/>
  <c r="R198" i="6"/>
  <c r="Z198" i="6"/>
  <c r="AH198" i="6"/>
  <c r="AH146" i="14"/>
  <c r="AP146" i="14"/>
  <c r="AX146" i="14"/>
  <c r="K198" i="6"/>
  <c r="S198" i="6"/>
  <c r="AA198" i="6"/>
  <c r="AI198" i="6"/>
  <c r="AA146" i="14"/>
  <c r="AI146" i="14"/>
  <c r="AQ146" i="14"/>
  <c r="AY146" i="14"/>
  <c r="L198" i="6"/>
  <c r="T198" i="6"/>
  <c r="AB198" i="6"/>
  <c r="AJ198" i="6"/>
  <c r="EQ146" i="14"/>
  <c r="CT146" i="14"/>
  <c r="AD146" i="14"/>
  <c r="AL146" i="14"/>
  <c r="AT146" i="14"/>
  <c r="BB146" i="14"/>
  <c r="O198" i="6"/>
  <c r="W198" i="6"/>
  <c r="AE198" i="6"/>
  <c r="CS202" i="14"/>
  <c r="CZ146" i="14"/>
  <c r="AE146" i="14"/>
  <c r="AM146" i="14"/>
  <c r="AU146" i="14"/>
  <c r="P198" i="6"/>
  <c r="X198" i="6"/>
  <c r="AF198" i="6"/>
  <c r="AJ146" i="14"/>
  <c r="AD198" i="6"/>
  <c r="AK146" i="14"/>
  <c r="AR146" i="14"/>
  <c r="M198" i="6"/>
  <c r="BA146" i="14"/>
  <c r="AS146" i="14"/>
  <c r="N198" i="6"/>
  <c r="V198" i="6"/>
  <c r="AZ146" i="14"/>
  <c r="U198" i="6"/>
  <c r="AB146" i="14"/>
  <c r="AC198" i="6"/>
  <c r="AC146" i="14"/>
  <c r="BO146" i="14"/>
  <c r="BW146" i="14"/>
  <c r="CE146" i="14"/>
  <c r="CM146" i="14"/>
  <c r="BS202" i="14"/>
  <c r="CA202" i="14"/>
  <c r="CI202" i="14"/>
  <c r="BP146" i="14"/>
  <c r="BX146" i="14"/>
  <c r="CF146" i="14"/>
  <c r="CN146" i="14"/>
  <c r="BT202" i="14"/>
  <c r="CB202" i="14"/>
  <c r="CJ202" i="14"/>
  <c r="CJ146" i="14"/>
  <c r="CF202" i="14"/>
  <c r="BQ146" i="14"/>
  <c r="BY146" i="14"/>
  <c r="CG146" i="14"/>
  <c r="CO146" i="14"/>
  <c r="BU202" i="14"/>
  <c r="CC202" i="14"/>
  <c r="CK202" i="14"/>
  <c r="BP202" i="14"/>
  <c r="BR146" i="14"/>
  <c r="BZ146" i="14"/>
  <c r="CH146" i="14"/>
  <c r="BN202" i="14"/>
  <c r="BV202" i="14"/>
  <c r="CD202" i="14"/>
  <c r="CL202" i="14"/>
  <c r="CB146" i="14"/>
  <c r="CN202" i="14"/>
  <c r="BR202" i="14"/>
  <c r="BS146" i="14"/>
  <c r="CA146" i="14"/>
  <c r="CI146" i="14"/>
  <c r="BO202" i="14"/>
  <c r="BW202" i="14"/>
  <c r="CE202" i="14"/>
  <c r="CM202" i="14"/>
  <c r="BT146" i="14"/>
  <c r="BX202" i="14"/>
  <c r="CH202" i="14"/>
  <c r="BU146" i="14"/>
  <c r="CC146" i="14"/>
  <c r="CK146" i="14"/>
  <c r="BQ202" i="14"/>
  <c r="BY202" i="14"/>
  <c r="CG202" i="14"/>
  <c r="CO202" i="14"/>
  <c r="BN146" i="14"/>
  <c r="BV146" i="14"/>
  <c r="CD146" i="14"/>
  <c r="CL146" i="14"/>
  <c r="BZ202" i="14"/>
  <c r="BS153" i="17"/>
  <c r="CA153" i="17"/>
  <c r="CI153" i="17"/>
  <c r="BM153" i="17"/>
  <c r="BU153" i="17"/>
  <c r="CC153" i="17"/>
  <c r="CK153" i="17"/>
  <c r="BN153" i="17"/>
  <c r="BV153" i="17"/>
  <c r="CD153" i="17"/>
  <c r="CL153" i="17"/>
  <c r="BO153" i="17"/>
  <c r="BW153" i="17"/>
  <c r="CE153" i="17"/>
  <c r="CM153" i="17"/>
  <c r="BP153" i="17"/>
  <c r="BX153" i="17"/>
  <c r="CF153" i="17"/>
  <c r="CN153" i="17"/>
  <c r="BQ153" i="17"/>
  <c r="BY153" i="17"/>
  <c r="CG153" i="17"/>
  <c r="BR153" i="17"/>
  <c r="BT153" i="17"/>
  <c r="BZ153" i="17"/>
  <c r="CB153" i="17"/>
  <c r="CH153" i="17"/>
  <c r="CJ153" i="17"/>
  <c r="AL209" i="17"/>
  <c r="AT209" i="17"/>
  <c r="BB209" i="17"/>
  <c r="AM209" i="17"/>
  <c r="AU209" i="17"/>
  <c r="BC209" i="17"/>
  <c r="AN209" i="17"/>
  <c r="AV209" i="17"/>
  <c r="BD209" i="17"/>
  <c r="AG209" i="17"/>
  <c r="AO209" i="17"/>
  <c r="AW209" i="17"/>
  <c r="BE209" i="17"/>
  <c r="AH209" i="17"/>
  <c r="AP209" i="17"/>
  <c r="AX209" i="17"/>
  <c r="BF209" i="17"/>
  <c r="AI209" i="17"/>
  <c r="AQ209" i="17"/>
  <c r="AY209" i="17"/>
  <c r="BG209" i="17"/>
  <c r="AJ209" i="17"/>
  <c r="AR209" i="17"/>
  <c r="AZ209" i="17"/>
  <c r="BH209" i="17"/>
  <c r="AM153" i="17"/>
  <c r="AU153" i="17"/>
  <c r="BC153" i="17"/>
  <c r="AN153" i="17"/>
  <c r="AV153" i="17"/>
  <c r="BD153" i="17"/>
  <c r="E209" i="17"/>
  <c r="M209" i="17"/>
  <c r="U209" i="17"/>
  <c r="AC209" i="17"/>
  <c r="AK209" i="17"/>
  <c r="AG153" i="17"/>
  <c r="AO153" i="17"/>
  <c r="AW153" i="17"/>
  <c r="BE153" i="17"/>
  <c r="F209" i="17"/>
  <c r="N209" i="17"/>
  <c r="V209" i="17"/>
  <c r="AS209" i="17"/>
  <c r="AH153" i="17"/>
  <c r="AP153" i="17"/>
  <c r="AX153" i="17"/>
  <c r="BF153" i="17"/>
  <c r="G209" i="17"/>
  <c r="O209" i="17"/>
  <c r="W209" i="17"/>
  <c r="BA209" i="17"/>
  <c r="AI153" i="17"/>
  <c r="AQ153" i="17"/>
  <c r="AY153" i="17"/>
  <c r="BG153" i="17"/>
  <c r="H209" i="17"/>
  <c r="P209" i="17"/>
  <c r="X209" i="17"/>
  <c r="AJ153" i="17"/>
  <c r="AR153" i="17"/>
  <c r="AZ153" i="17"/>
  <c r="BH153" i="17"/>
  <c r="I209" i="17"/>
  <c r="Q209" i="17"/>
  <c r="Y209" i="17"/>
  <c r="AK153" i="17"/>
  <c r="AS153" i="17"/>
  <c r="BA153" i="17"/>
  <c r="AL153" i="17"/>
  <c r="K209" i="17"/>
  <c r="E153" i="17"/>
  <c r="M153" i="17"/>
  <c r="U153" i="17"/>
  <c r="AC153" i="17"/>
  <c r="AT153" i="17"/>
  <c r="L209" i="17"/>
  <c r="F153" i="17"/>
  <c r="N153" i="17"/>
  <c r="V153" i="17"/>
  <c r="GM155" i="14"/>
  <c r="GU155" i="14"/>
  <c r="BB153" i="17"/>
  <c r="R209" i="17"/>
  <c r="G153" i="17"/>
  <c r="O153" i="17"/>
  <c r="W153" i="17"/>
  <c r="GN155" i="14"/>
  <c r="GV155" i="14"/>
  <c r="HD155" i="14"/>
  <c r="S209" i="17"/>
  <c r="H153" i="17"/>
  <c r="P153" i="17"/>
  <c r="X153" i="17"/>
  <c r="GO155" i="14"/>
  <c r="GW155" i="14"/>
  <c r="HE155" i="14"/>
  <c r="B209" i="17"/>
  <c r="T209" i="17"/>
  <c r="I153" i="17"/>
  <c r="Q153" i="17"/>
  <c r="Y153" i="17"/>
  <c r="GP155" i="14"/>
  <c r="GX155" i="14"/>
  <c r="HF155" i="14"/>
  <c r="D209" i="17"/>
  <c r="AA209" i="17"/>
  <c r="C153" i="17"/>
  <c r="K153" i="17"/>
  <c r="S153" i="17"/>
  <c r="AA153" i="17"/>
  <c r="J209" i="17"/>
  <c r="T153" i="17"/>
  <c r="GL155" i="14"/>
  <c r="HB155" i="14"/>
  <c r="FG155" i="14"/>
  <c r="FO155" i="14"/>
  <c r="FW155" i="14"/>
  <c r="Z209" i="17"/>
  <c r="Z153" i="17"/>
  <c r="GQ155" i="14"/>
  <c r="HC155" i="14"/>
  <c r="FH155" i="14"/>
  <c r="FP155" i="14"/>
  <c r="FX155" i="14"/>
  <c r="AB209" i="17"/>
  <c r="AB153" i="17"/>
  <c r="GR155" i="14"/>
  <c r="HG155" i="14"/>
  <c r="FI155" i="14"/>
  <c r="FQ155" i="14"/>
  <c r="FY155" i="14"/>
  <c r="B153" i="17"/>
  <c r="GS155" i="14"/>
  <c r="HH155" i="14"/>
  <c r="FJ155" i="14"/>
  <c r="FR155" i="14"/>
  <c r="FZ155" i="14"/>
  <c r="D153" i="17"/>
  <c r="GT155" i="14"/>
  <c r="HI155" i="14"/>
  <c r="FC155" i="14"/>
  <c r="FK155" i="14"/>
  <c r="FS155" i="14"/>
  <c r="GA155" i="14"/>
  <c r="L153" i="17"/>
  <c r="GJ155" i="14"/>
  <c r="GZ155" i="14"/>
  <c r="FE155" i="14"/>
  <c r="FM155" i="14"/>
  <c r="FU155" i="14"/>
  <c r="GC155" i="14"/>
  <c r="FV155" i="14"/>
  <c r="FE211" i="14"/>
  <c r="FM211" i="14"/>
  <c r="FU211" i="14"/>
  <c r="GC211" i="14"/>
  <c r="GI155" i="14"/>
  <c r="GB155" i="14"/>
  <c r="FF211" i="14"/>
  <c r="FN211" i="14"/>
  <c r="FV211" i="14"/>
  <c r="GD211" i="14"/>
  <c r="C209" i="17"/>
  <c r="GK155" i="14"/>
  <c r="GD155" i="14"/>
  <c r="FG211" i="14"/>
  <c r="FO211" i="14"/>
  <c r="FW211" i="14"/>
  <c r="GY155" i="14"/>
  <c r="FD155" i="14"/>
  <c r="FH211" i="14"/>
  <c r="FP211" i="14"/>
  <c r="FX211" i="14"/>
  <c r="HA155" i="14"/>
  <c r="FF155" i="14"/>
  <c r="FI211" i="14"/>
  <c r="FQ211" i="14"/>
  <c r="FY211" i="14"/>
  <c r="R153" i="17"/>
  <c r="FN155" i="14"/>
  <c r="FC211" i="14"/>
  <c r="FK211" i="14"/>
  <c r="FS211" i="14"/>
  <c r="GA211" i="14"/>
  <c r="GB211" i="14"/>
  <c r="ED211" i="14"/>
  <c r="EL211" i="14"/>
  <c r="ET211" i="14"/>
  <c r="DZ155" i="14"/>
  <c r="EH155" i="14"/>
  <c r="EP155" i="14"/>
  <c r="EX155" i="14"/>
  <c r="J153" i="17"/>
  <c r="EE211" i="14"/>
  <c r="EM211" i="14"/>
  <c r="EU211" i="14"/>
  <c r="EA155" i="14"/>
  <c r="EI155" i="14"/>
  <c r="EQ155" i="14"/>
  <c r="EY155" i="14"/>
  <c r="FD211" i="14"/>
  <c r="DX211" i="14"/>
  <c r="EF211" i="14"/>
  <c r="EN211" i="14"/>
  <c r="EV211" i="14"/>
  <c r="EB155" i="14"/>
  <c r="EJ155" i="14"/>
  <c r="ER155" i="14"/>
  <c r="HJ155" i="14"/>
  <c r="FL155" i="14"/>
  <c r="FJ211" i="14"/>
  <c r="DY211" i="14"/>
  <c r="EG211" i="14"/>
  <c r="EO211" i="14"/>
  <c r="EW211" i="14"/>
  <c r="EC155" i="14"/>
  <c r="EK155" i="14"/>
  <c r="ES155" i="14"/>
  <c r="FT155" i="14"/>
  <c r="FL211" i="14"/>
  <c r="DZ211" i="14"/>
  <c r="EH211" i="14"/>
  <c r="EP211" i="14"/>
  <c r="EX211" i="14"/>
  <c r="ED155" i="14"/>
  <c r="EL155" i="14"/>
  <c r="ET155" i="14"/>
  <c r="FT211" i="14"/>
  <c r="EB211" i="14"/>
  <c r="EJ211" i="14"/>
  <c r="ER211" i="14"/>
  <c r="DX155" i="14"/>
  <c r="EF155" i="14"/>
  <c r="EN155" i="14"/>
  <c r="EV155" i="14"/>
  <c r="FZ211" i="14"/>
  <c r="EK211" i="14"/>
  <c r="EW155" i="14"/>
  <c r="CZ211" i="14"/>
  <c r="DH211" i="14"/>
  <c r="DP211" i="14"/>
  <c r="CY155" i="14"/>
  <c r="DG155" i="14"/>
  <c r="DO155" i="14"/>
  <c r="AC211" i="14"/>
  <c r="AK211" i="14"/>
  <c r="AS211" i="14"/>
  <c r="BA211" i="14"/>
  <c r="EQ211" i="14"/>
  <c r="CS211" i="14"/>
  <c r="DA211" i="14"/>
  <c r="DI211" i="14"/>
  <c r="DQ211" i="14"/>
  <c r="CZ155" i="14"/>
  <c r="DH155" i="14"/>
  <c r="DP155" i="14"/>
  <c r="AD211" i="14"/>
  <c r="AL211" i="14"/>
  <c r="AT211" i="14"/>
  <c r="BB211" i="14"/>
  <c r="ES211" i="14"/>
  <c r="DY155" i="14"/>
  <c r="CT211" i="14"/>
  <c r="DB211" i="14"/>
  <c r="DJ211" i="14"/>
  <c r="DR211" i="14"/>
  <c r="CS155" i="14"/>
  <c r="DA155" i="14"/>
  <c r="DI155" i="14"/>
  <c r="DQ155" i="14"/>
  <c r="AE211" i="14"/>
  <c r="AM211" i="14"/>
  <c r="AU211" i="14"/>
  <c r="EY211" i="14"/>
  <c r="EE155" i="14"/>
  <c r="CU211" i="14"/>
  <c r="DC211" i="14"/>
  <c r="DK211" i="14"/>
  <c r="DS211" i="14"/>
  <c r="CT155" i="14"/>
  <c r="DB155" i="14"/>
  <c r="DJ155" i="14"/>
  <c r="DR155" i="14"/>
  <c r="AF211" i="14"/>
  <c r="AN211" i="14"/>
  <c r="AV211" i="14"/>
  <c r="EG155" i="14"/>
  <c r="CV211" i="14"/>
  <c r="DD211" i="14"/>
  <c r="DL211" i="14"/>
  <c r="DT211" i="14"/>
  <c r="CU155" i="14"/>
  <c r="DC155" i="14"/>
  <c r="DK155" i="14"/>
  <c r="DS155" i="14"/>
  <c r="AG211" i="14"/>
  <c r="AO211" i="14"/>
  <c r="AW211" i="14"/>
  <c r="EC211" i="14"/>
  <c r="EO155" i="14"/>
  <c r="CX211" i="14"/>
  <c r="DF211" i="14"/>
  <c r="DN211" i="14"/>
  <c r="CW155" i="14"/>
  <c r="DE155" i="14"/>
  <c r="DM155" i="14"/>
  <c r="AA211" i="14"/>
  <c r="AI211" i="14"/>
  <c r="AQ211" i="14"/>
  <c r="AY211" i="14"/>
  <c r="DG211" i="14"/>
  <c r="DN155" i="14"/>
  <c r="AB211" i="14"/>
  <c r="EA211" i="14"/>
  <c r="DM211" i="14"/>
  <c r="DT155" i="14"/>
  <c r="AH211" i="14"/>
  <c r="EI211" i="14"/>
  <c r="DO211" i="14"/>
  <c r="AJ211" i="14"/>
  <c r="EM155" i="14"/>
  <c r="CV155" i="14"/>
  <c r="AP211" i="14"/>
  <c r="FR211" i="14"/>
  <c r="CY211" i="14"/>
  <c r="DF155" i="14"/>
  <c r="AZ211" i="14"/>
  <c r="DE211" i="14"/>
  <c r="DL155" i="14"/>
  <c r="AR211" i="14"/>
  <c r="AB155" i="14"/>
  <c r="AJ155" i="14"/>
  <c r="AR155" i="14"/>
  <c r="AZ155" i="14"/>
  <c r="M207" i="6"/>
  <c r="U207" i="6"/>
  <c r="AC207" i="6"/>
  <c r="AX211" i="14"/>
  <c r="AC155" i="14"/>
  <c r="AK155" i="14"/>
  <c r="AS155" i="14"/>
  <c r="BA155" i="14"/>
  <c r="N207" i="6"/>
  <c r="V207" i="6"/>
  <c r="AD207" i="6"/>
  <c r="EU155" i="14"/>
  <c r="AD155" i="14"/>
  <c r="AL155" i="14"/>
  <c r="AT155" i="14"/>
  <c r="BB155" i="14"/>
  <c r="O207" i="6"/>
  <c r="W207" i="6"/>
  <c r="AE207" i="6"/>
  <c r="AE155" i="14"/>
  <c r="AM155" i="14"/>
  <c r="AU155" i="14"/>
  <c r="P207" i="6"/>
  <c r="X207" i="6"/>
  <c r="AF207" i="6"/>
  <c r="CX155" i="14"/>
  <c r="AH155" i="14"/>
  <c r="AP155" i="14"/>
  <c r="AX155" i="14"/>
  <c r="K207" i="6"/>
  <c r="S207" i="6"/>
  <c r="AA207" i="6"/>
  <c r="AI207" i="6"/>
  <c r="CW211" i="14"/>
  <c r="DD155" i="14"/>
  <c r="AA155" i="14"/>
  <c r="AI155" i="14"/>
  <c r="AQ155" i="14"/>
  <c r="AY155" i="14"/>
  <c r="L207" i="6"/>
  <c r="T207" i="6"/>
  <c r="AB207" i="6"/>
  <c r="AJ207" i="6"/>
  <c r="AN155" i="14"/>
  <c r="I207" i="6"/>
  <c r="I104" i="2" s="1"/>
  <c r="Z207" i="6"/>
  <c r="AO155" i="14"/>
  <c r="J207" i="6"/>
  <c r="AV155" i="14"/>
  <c r="Q207" i="6"/>
  <c r="AW155" i="14"/>
  <c r="R207" i="6"/>
  <c r="Y207" i="6"/>
  <c r="AF155" i="14"/>
  <c r="AG207" i="6"/>
  <c r="AG155" i="14"/>
  <c r="AH207" i="6"/>
  <c r="BS155" i="14"/>
  <c r="CA155" i="14"/>
  <c r="CI155" i="14"/>
  <c r="BO211" i="14"/>
  <c r="BW211" i="14"/>
  <c r="CE211" i="14"/>
  <c r="CM211" i="14"/>
  <c r="BT155" i="14"/>
  <c r="CB155" i="14"/>
  <c r="CJ155" i="14"/>
  <c r="BP211" i="14"/>
  <c r="BX211" i="14"/>
  <c r="CF211" i="14"/>
  <c r="CN211" i="14"/>
  <c r="BP155" i="14"/>
  <c r="BU155" i="14"/>
  <c r="CC155" i="14"/>
  <c r="CK155" i="14"/>
  <c r="BQ211" i="14"/>
  <c r="BY211" i="14"/>
  <c r="CG211" i="14"/>
  <c r="CO211" i="14"/>
  <c r="BX155" i="14"/>
  <c r="CJ211" i="14"/>
  <c r="CL211" i="14"/>
  <c r="BN155" i="14"/>
  <c r="BV155" i="14"/>
  <c r="CD155" i="14"/>
  <c r="CL155" i="14"/>
  <c r="BR211" i="14"/>
  <c r="BZ211" i="14"/>
  <c r="CH211" i="14"/>
  <c r="CN155" i="14"/>
  <c r="BT211" i="14"/>
  <c r="BV211" i="14"/>
  <c r="BO155" i="14"/>
  <c r="BW155" i="14"/>
  <c r="CE155" i="14"/>
  <c r="CM155" i="14"/>
  <c r="BS211" i="14"/>
  <c r="CA211" i="14"/>
  <c r="CI211" i="14"/>
  <c r="CF155" i="14"/>
  <c r="CB211" i="14"/>
  <c r="CD211" i="14"/>
  <c r="BQ155" i="14"/>
  <c r="BY155" i="14"/>
  <c r="CG155" i="14"/>
  <c r="CO155" i="14"/>
  <c r="BU211" i="14"/>
  <c r="CC211" i="14"/>
  <c r="CK211" i="14"/>
  <c r="BR155" i="14"/>
  <c r="BZ155" i="14"/>
  <c r="CH155" i="14"/>
  <c r="BN211" i="14"/>
  <c r="BS147" i="17"/>
  <c r="CA147" i="17"/>
  <c r="CI147" i="17"/>
  <c r="BM147" i="17"/>
  <c r="BU147" i="17"/>
  <c r="CC147" i="17"/>
  <c r="CK147" i="17"/>
  <c r="BN147" i="17"/>
  <c r="BV147" i="17"/>
  <c r="CD147" i="17"/>
  <c r="CL147" i="17"/>
  <c r="BO147" i="17"/>
  <c r="BW147" i="17"/>
  <c r="CE147" i="17"/>
  <c r="CM147" i="17"/>
  <c r="BP147" i="17"/>
  <c r="BX147" i="17"/>
  <c r="CF147" i="17"/>
  <c r="CN147" i="17"/>
  <c r="BQ147" i="17"/>
  <c r="BY147" i="17"/>
  <c r="CG147" i="17"/>
  <c r="BZ147" i="17"/>
  <c r="AJ203" i="17"/>
  <c r="AR203" i="17"/>
  <c r="AZ203" i="17"/>
  <c r="BH203" i="17"/>
  <c r="CB147" i="17"/>
  <c r="AK203" i="17"/>
  <c r="AS203" i="17"/>
  <c r="BA203" i="17"/>
  <c r="CH147" i="17"/>
  <c r="AL203" i="17"/>
  <c r="AT203" i="17"/>
  <c r="BB203" i="17"/>
  <c r="CJ147" i="17"/>
  <c r="AM203" i="17"/>
  <c r="AU203" i="17"/>
  <c r="BC203" i="17"/>
  <c r="AG203" i="17"/>
  <c r="AO203" i="17"/>
  <c r="AW203" i="17"/>
  <c r="BE203" i="17"/>
  <c r="BR147" i="17"/>
  <c r="AH203" i="17"/>
  <c r="AP203" i="17"/>
  <c r="AX203" i="17"/>
  <c r="BF203" i="17"/>
  <c r="BT147" i="17"/>
  <c r="AQ203" i="17"/>
  <c r="AV203" i="17"/>
  <c r="AY203" i="17"/>
  <c r="BD203" i="17"/>
  <c r="BG203" i="17"/>
  <c r="AI203" i="17"/>
  <c r="AN203" i="17"/>
  <c r="AM147" i="17"/>
  <c r="AU147" i="17"/>
  <c r="BC147" i="17"/>
  <c r="D203" i="17"/>
  <c r="L203" i="17"/>
  <c r="T203" i="17"/>
  <c r="AB203" i="17"/>
  <c r="AN147" i="17"/>
  <c r="AV147" i="17"/>
  <c r="BD147" i="17"/>
  <c r="E203" i="17"/>
  <c r="M203" i="17"/>
  <c r="U203" i="17"/>
  <c r="AC203" i="17"/>
  <c r="AG147" i="17"/>
  <c r="AO147" i="17"/>
  <c r="AW147" i="17"/>
  <c r="BE147" i="17"/>
  <c r="F203" i="17"/>
  <c r="N203" i="17"/>
  <c r="V203" i="17"/>
  <c r="AH147" i="17"/>
  <c r="AP147" i="17"/>
  <c r="AX147" i="17"/>
  <c r="BF147" i="17"/>
  <c r="G203" i="17"/>
  <c r="O203" i="17"/>
  <c r="W203" i="17"/>
  <c r="AI147" i="17"/>
  <c r="AQ147" i="17"/>
  <c r="AY147" i="17"/>
  <c r="BG147" i="17"/>
  <c r="H203" i="17"/>
  <c r="P203" i="17"/>
  <c r="X203" i="17"/>
  <c r="AJ147" i="17"/>
  <c r="AR147" i="17"/>
  <c r="AZ147" i="17"/>
  <c r="BH147" i="17"/>
  <c r="I203" i="17"/>
  <c r="Q203" i="17"/>
  <c r="Y203" i="17"/>
  <c r="AK147" i="17"/>
  <c r="AS147" i="17"/>
  <c r="BA147" i="17"/>
  <c r="J203" i="17"/>
  <c r="E147" i="17"/>
  <c r="M147" i="17"/>
  <c r="U147" i="17"/>
  <c r="AC147" i="17"/>
  <c r="K203" i="17"/>
  <c r="F147" i="17"/>
  <c r="N147" i="17"/>
  <c r="V147" i="17"/>
  <c r="GM149" i="14"/>
  <c r="GU149" i="14"/>
  <c r="HC149" i="14"/>
  <c r="R203" i="17"/>
  <c r="G147" i="17"/>
  <c r="O147" i="17"/>
  <c r="W147" i="17"/>
  <c r="GN149" i="14"/>
  <c r="GV149" i="14"/>
  <c r="HD149" i="14"/>
  <c r="AL147" i="17"/>
  <c r="S203" i="17"/>
  <c r="H147" i="17"/>
  <c r="P147" i="17"/>
  <c r="X147" i="17"/>
  <c r="GO149" i="14"/>
  <c r="GW149" i="14"/>
  <c r="HE149" i="14"/>
  <c r="AT147" i="17"/>
  <c r="Z203" i="17"/>
  <c r="I147" i="17"/>
  <c r="Q147" i="17"/>
  <c r="Y147" i="17"/>
  <c r="GP149" i="14"/>
  <c r="GX149" i="14"/>
  <c r="HF149" i="14"/>
  <c r="B203" i="17"/>
  <c r="C147" i="17"/>
  <c r="K147" i="17"/>
  <c r="S147" i="17"/>
  <c r="AA147" i="17"/>
  <c r="GJ149" i="14"/>
  <c r="GR149" i="14"/>
  <c r="GZ149" i="14"/>
  <c r="HH149" i="14"/>
  <c r="AB147" i="17"/>
  <c r="HA149" i="14"/>
  <c r="FG149" i="14"/>
  <c r="FO149" i="14"/>
  <c r="FW149" i="14"/>
  <c r="BB147" i="17"/>
  <c r="B147" i="17"/>
  <c r="GI149" i="14"/>
  <c r="HB149" i="14"/>
  <c r="FH149" i="14"/>
  <c r="FP149" i="14"/>
  <c r="FX149" i="14"/>
  <c r="C203" i="17"/>
  <c r="D147" i="17"/>
  <c r="GK149" i="14"/>
  <c r="HG149" i="14"/>
  <c r="FI149" i="14"/>
  <c r="FQ149" i="14"/>
  <c r="FY149" i="14"/>
  <c r="AA203" i="17"/>
  <c r="J147" i="17"/>
  <c r="GL149" i="14"/>
  <c r="HI149" i="14"/>
  <c r="FJ149" i="14"/>
  <c r="FR149" i="14"/>
  <c r="FZ149" i="14"/>
  <c r="L147" i="17"/>
  <c r="GQ149" i="14"/>
  <c r="HJ149" i="14"/>
  <c r="FC149" i="14"/>
  <c r="FK149" i="14"/>
  <c r="FS149" i="14"/>
  <c r="GA149" i="14"/>
  <c r="T147" i="17"/>
  <c r="GT149" i="14"/>
  <c r="FE149" i="14"/>
  <c r="FM149" i="14"/>
  <c r="FU149" i="14"/>
  <c r="GC149" i="14"/>
  <c r="GD149" i="14"/>
  <c r="FE205" i="14"/>
  <c r="FM205" i="14"/>
  <c r="FU205" i="14"/>
  <c r="GC205" i="14"/>
  <c r="GS149" i="14"/>
  <c r="FD149" i="14"/>
  <c r="FF205" i="14"/>
  <c r="FN205" i="14"/>
  <c r="FV205" i="14"/>
  <c r="GD205" i="14"/>
  <c r="GY149" i="14"/>
  <c r="FF149" i="14"/>
  <c r="FG205" i="14"/>
  <c r="FO205" i="14"/>
  <c r="FW205" i="14"/>
  <c r="R147" i="17"/>
  <c r="FL149" i="14"/>
  <c r="FH205" i="14"/>
  <c r="FP205" i="14"/>
  <c r="FX205" i="14"/>
  <c r="Z147" i="17"/>
  <c r="FN149" i="14"/>
  <c r="FI205" i="14"/>
  <c r="FQ205" i="14"/>
  <c r="FY205" i="14"/>
  <c r="FV149" i="14"/>
  <c r="FC205" i="14"/>
  <c r="FK205" i="14"/>
  <c r="FS205" i="14"/>
  <c r="GA205" i="14"/>
  <c r="FD205" i="14"/>
  <c r="ED205" i="14"/>
  <c r="EL205" i="14"/>
  <c r="ET205" i="14"/>
  <c r="DZ149" i="14"/>
  <c r="EH149" i="14"/>
  <c r="EP149" i="14"/>
  <c r="EX149" i="14"/>
  <c r="FT149" i="14"/>
  <c r="FJ205" i="14"/>
  <c r="EE205" i="14"/>
  <c r="EM205" i="14"/>
  <c r="EU205" i="14"/>
  <c r="EA149" i="14"/>
  <c r="EI149" i="14"/>
  <c r="EQ149" i="14"/>
  <c r="EY149" i="14"/>
  <c r="GB149" i="14"/>
  <c r="FL205" i="14"/>
  <c r="DX205" i="14"/>
  <c r="EF205" i="14"/>
  <c r="EN205" i="14"/>
  <c r="EV205" i="14"/>
  <c r="EB149" i="14"/>
  <c r="EJ149" i="14"/>
  <c r="ER149" i="14"/>
  <c r="FR205" i="14"/>
  <c r="DY205" i="14"/>
  <c r="EG205" i="14"/>
  <c r="EO205" i="14"/>
  <c r="EW205" i="14"/>
  <c r="EC149" i="14"/>
  <c r="EK149" i="14"/>
  <c r="ES149" i="14"/>
  <c r="FT205" i="14"/>
  <c r="DZ205" i="14"/>
  <c r="EH205" i="14"/>
  <c r="EP205" i="14"/>
  <c r="EX205" i="14"/>
  <c r="ED149" i="14"/>
  <c r="EL149" i="14"/>
  <c r="ET149" i="14"/>
  <c r="GB205" i="14"/>
  <c r="EB205" i="14"/>
  <c r="EJ205" i="14"/>
  <c r="ER205" i="14"/>
  <c r="DX149" i="14"/>
  <c r="EF149" i="14"/>
  <c r="EN149" i="14"/>
  <c r="EV149" i="14"/>
  <c r="ES205" i="14"/>
  <c r="DY149" i="14"/>
  <c r="CZ205" i="14"/>
  <c r="DH205" i="14"/>
  <c r="DP205" i="14"/>
  <c r="CY149" i="14"/>
  <c r="DG149" i="14"/>
  <c r="DO149" i="14"/>
  <c r="AC205" i="14"/>
  <c r="AK205" i="14"/>
  <c r="AS205" i="14"/>
  <c r="BA205" i="14"/>
  <c r="EY205" i="14"/>
  <c r="EE149" i="14"/>
  <c r="CS205" i="14"/>
  <c r="DA205" i="14"/>
  <c r="DI205" i="14"/>
  <c r="DQ205" i="14"/>
  <c r="CZ149" i="14"/>
  <c r="DH149" i="14"/>
  <c r="DP149" i="14"/>
  <c r="AD205" i="14"/>
  <c r="AL205" i="14"/>
  <c r="AT205" i="14"/>
  <c r="BB205" i="14"/>
  <c r="EG149" i="14"/>
  <c r="CT205" i="14"/>
  <c r="DB205" i="14"/>
  <c r="DJ205" i="14"/>
  <c r="DR205" i="14"/>
  <c r="CS149" i="14"/>
  <c r="DA149" i="14"/>
  <c r="DI149" i="14"/>
  <c r="DQ149" i="14"/>
  <c r="AE205" i="14"/>
  <c r="AM205" i="14"/>
  <c r="AU205" i="14"/>
  <c r="EA205" i="14"/>
  <c r="EM149" i="14"/>
  <c r="CU205" i="14"/>
  <c r="DC205" i="14"/>
  <c r="DK205" i="14"/>
  <c r="DS205" i="14"/>
  <c r="CT149" i="14"/>
  <c r="DB149" i="14"/>
  <c r="DJ149" i="14"/>
  <c r="DR149" i="14"/>
  <c r="AF205" i="14"/>
  <c r="AN205" i="14"/>
  <c r="AV205" i="14"/>
  <c r="EC205" i="14"/>
  <c r="EO149" i="14"/>
  <c r="CV205" i="14"/>
  <c r="DD205" i="14"/>
  <c r="DL205" i="14"/>
  <c r="DT205" i="14"/>
  <c r="CU149" i="14"/>
  <c r="DC149" i="14"/>
  <c r="DK149" i="14"/>
  <c r="DS149" i="14"/>
  <c r="AG205" i="14"/>
  <c r="AO205" i="14"/>
  <c r="AW205" i="14"/>
  <c r="EK205" i="14"/>
  <c r="EW149" i="14"/>
  <c r="CX205" i="14"/>
  <c r="DF205" i="14"/>
  <c r="DN205" i="14"/>
  <c r="CW149" i="14"/>
  <c r="DE149" i="14"/>
  <c r="DM149" i="14"/>
  <c r="AA205" i="14"/>
  <c r="AI205" i="14"/>
  <c r="AQ205" i="14"/>
  <c r="AY205" i="14"/>
  <c r="EQ205" i="14"/>
  <c r="DO205" i="14"/>
  <c r="AJ205" i="14"/>
  <c r="EU149" i="14"/>
  <c r="CV149" i="14"/>
  <c r="AP205" i="14"/>
  <c r="CX149" i="14"/>
  <c r="AR205" i="14"/>
  <c r="FZ205" i="14"/>
  <c r="CW205" i="14"/>
  <c r="DD149" i="14"/>
  <c r="AX205" i="14"/>
  <c r="DG205" i="14"/>
  <c r="DN149" i="14"/>
  <c r="AB205" i="14"/>
  <c r="EI205" i="14"/>
  <c r="DM205" i="14"/>
  <c r="DT149" i="14"/>
  <c r="AH205" i="14"/>
  <c r="AB149" i="14"/>
  <c r="AJ149" i="14"/>
  <c r="AR149" i="14"/>
  <c r="AZ149" i="14"/>
  <c r="M201" i="6"/>
  <c r="U201" i="6"/>
  <c r="AC201" i="6"/>
  <c r="AC149" i="14"/>
  <c r="AK149" i="14"/>
  <c r="AS149" i="14"/>
  <c r="BA149" i="14"/>
  <c r="N201" i="6"/>
  <c r="V201" i="6"/>
  <c r="AD201" i="6"/>
  <c r="AD149" i="14"/>
  <c r="AL149" i="14"/>
  <c r="AT149" i="14"/>
  <c r="BB149" i="14"/>
  <c r="O201" i="6"/>
  <c r="W201" i="6"/>
  <c r="AE201" i="6"/>
  <c r="AE149" i="14"/>
  <c r="AM149" i="14"/>
  <c r="AU149" i="14"/>
  <c r="P201" i="6"/>
  <c r="X201" i="6"/>
  <c r="AF201" i="6"/>
  <c r="AZ205" i="14"/>
  <c r="AH149" i="14"/>
  <c r="AP149" i="14"/>
  <c r="AX149" i="14"/>
  <c r="K201" i="6"/>
  <c r="S201" i="6"/>
  <c r="AA201" i="6"/>
  <c r="AI201" i="6"/>
  <c r="CY205" i="14"/>
  <c r="DF149" i="14"/>
  <c r="AA149" i="14"/>
  <c r="AI149" i="14"/>
  <c r="AQ149" i="14"/>
  <c r="AY149" i="14"/>
  <c r="L201" i="6"/>
  <c r="T201" i="6"/>
  <c r="AB201" i="6"/>
  <c r="AJ201" i="6"/>
  <c r="DE205" i="14"/>
  <c r="AV149" i="14"/>
  <c r="Q201" i="6"/>
  <c r="AW149" i="14"/>
  <c r="R201" i="6"/>
  <c r="AG149" i="14"/>
  <c r="Y201" i="6"/>
  <c r="AH201" i="6"/>
  <c r="DL149" i="14"/>
  <c r="Z201" i="6"/>
  <c r="AF149" i="14"/>
  <c r="AG201" i="6"/>
  <c r="AN149" i="14"/>
  <c r="I201" i="6"/>
  <c r="I92" i="2" s="1"/>
  <c r="AO149" i="14"/>
  <c r="J201" i="6"/>
  <c r="BS149" i="14"/>
  <c r="CA149" i="14"/>
  <c r="CI149" i="14"/>
  <c r="BO205" i="14"/>
  <c r="BW205" i="14"/>
  <c r="CE205" i="14"/>
  <c r="CM205" i="14"/>
  <c r="BV205" i="14"/>
  <c r="BT149" i="14"/>
  <c r="CB149" i="14"/>
  <c r="CJ149" i="14"/>
  <c r="BP205" i="14"/>
  <c r="BX205" i="14"/>
  <c r="CF205" i="14"/>
  <c r="CN205" i="14"/>
  <c r="BP149" i="14"/>
  <c r="CN149" i="14"/>
  <c r="CD205" i="14"/>
  <c r="BU149" i="14"/>
  <c r="CC149" i="14"/>
  <c r="CK149" i="14"/>
  <c r="BQ205" i="14"/>
  <c r="BY205" i="14"/>
  <c r="CG205" i="14"/>
  <c r="CO205" i="14"/>
  <c r="BX149" i="14"/>
  <c r="CB205" i="14"/>
  <c r="BN149" i="14"/>
  <c r="BV149" i="14"/>
  <c r="CD149" i="14"/>
  <c r="CL149" i="14"/>
  <c r="BR205" i="14"/>
  <c r="BZ205" i="14"/>
  <c r="CH205" i="14"/>
  <c r="BT205" i="14"/>
  <c r="BN205" i="14"/>
  <c r="BO149" i="14"/>
  <c r="BW149" i="14"/>
  <c r="CE149" i="14"/>
  <c r="CM149" i="14"/>
  <c r="BS205" i="14"/>
  <c r="CA205" i="14"/>
  <c r="CI205" i="14"/>
  <c r="CF149" i="14"/>
  <c r="CJ205" i="14"/>
  <c r="BQ149" i="14"/>
  <c r="BY149" i="14"/>
  <c r="CG149" i="14"/>
  <c r="CO149" i="14"/>
  <c r="BU205" i="14"/>
  <c r="CC205" i="14"/>
  <c r="CK205" i="14"/>
  <c r="BR149" i="14"/>
  <c r="BZ149" i="14"/>
  <c r="CH149" i="14"/>
  <c r="CL205" i="14"/>
  <c r="BS127" i="17"/>
  <c r="CA127" i="17"/>
  <c r="CI127" i="17"/>
  <c r="BT127" i="17"/>
  <c r="CB127" i="17"/>
  <c r="CJ127" i="17"/>
  <c r="BM127" i="17"/>
  <c r="BU127" i="17"/>
  <c r="CC127" i="17"/>
  <c r="CK127" i="17"/>
  <c r="BN127" i="17"/>
  <c r="BV127" i="17"/>
  <c r="CD127" i="17"/>
  <c r="CL127" i="17"/>
  <c r="BP127" i="17"/>
  <c r="BX127" i="17"/>
  <c r="CF127" i="17"/>
  <c r="CN127" i="17"/>
  <c r="BQ127" i="17"/>
  <c r="BY127" i="17"/>
  <c r="CG127" i="17"/>
  <c r="BR127" i="17"/>
  <c r="BZ127" i="17"/>
  <c r="CH127" i="17"/>
  <c r="BW127" i="17"/>
  <c r="CE127" i="17"/>
  <c r="CM127" i="17"/>
  <c r="AJ183" i="17"/>
  <c r="AR183" i="17"/>
  <c r="AZ183" i="17"/>
  <c r="BH183" i="17"/>
  <c r="AK183" i="17"/>
  <c r="AS183" i="17"/>
  <c r="BA183" i="17"/>
  <c r="AL183" i="17"/>
  <c r="AT183" i="17"/>
  <c r="BB183" i="17"/>
  <c r="AM183" i="17"/>
  <c r="AU183" i="17"/>
  <c r="BC183" i="17"/>
  <c r="AN183" i="17"/>
  <c r="AV183" i="17"/>
  <c r="BD183" i="17"/>
  <c r="AG183" i="17"/>
  <c r="AO183" i="17"/>
  <c r="AW183" i="17"/>
  <c r="BE183" i="17"/>
  <c r="AH183" i="17"/>
  <c r="AP183" i="17"/>
  <c r="AX183" i="17"/>
  <c r="BF183" i="17"/>
  <c r="AH127" i="17"/>
  <c r="AP127" i="17"/>
  <c r="AX127" i="17"/>
  <c r="BF127" i="17"/>
  <c r="AI127" i="17"/>
  <c r="AQ127" i="17"/>
  <c r="AY127" i="17"/>
  <c r="BG127" i="17"/>
  <c r="AJ127" i="17"/>
  <c r="AR127" i="17"/>
  <c r="AZ127" i="17"/>
  <c r="BH127" i="17"/>
  <c r="AI183" i="17"/>
  <c r="AK127" i="17"/>
  <c r="AS127" i="17"/>
  <c r="BA127" i="17"/>
  <c r="AQ183" i="17"/>
  <c r="AL127" i="17"/>
  <c r="AT127" i="17"/>
  <c r="BB127" i="17"/>
  <c r="AY183" i="17"/>
  <c r="AM127" i="17"/>
  <c r="AU127" i="17"/>
  <c r="BC127" i="17"/>
  <c r="BG183" i="17"/>
  <c r="AN127" i="17"/>
  <c r="AV127" i="17"/>
  <c r="BD127" i="17"/>
  <c r="D183" i="17"/>
  <c r="L183" i="17"/>
  <c r="T183" i="17"/>
  <c r="AB183" i="17"/>
  <c r="AG127" i="17"/>
  <c r="E183" i="17"/>
  <c r="M183" i="17"/>
  <c r="U183" i="17"/>
  <c r="AC183" i="17"/>
  <c r="I127" i="17"/>
  <c r="Q127" i="17"/>
  <c r="Y127" i="17"/>
  <c r="AO127" i="17"/>
  <c r="F183" i="17"/>
  <c r="N183" i="17"/>
  <c r="V183" i="17"/>
  <c r="B127" i="17"/>
  <c r="J127" i="17"/>
  <c r="R127" i="17"/>
  <c r="Z127" i="17"/>
  <c r="AW127" i="17"/>
  <c r="G183" i="17"/>
  <c r="O183" i="17"/>
  <c r="W183" i="17"/>
  <c r="C127" i="17"/>
  <c r="K127" i="17"/>
  <c r="S127" i="17"/>
  <c r="AA127" i="17"/>
  <c r="BE127" i="17"/>
  <c r="H183" i="17"/>
  <c r="P183" i="17"/>
  <c r="X183" i="17"/>
  <c r="D127" i="17"/>
  <c r="L127" i="17"/>
  <c r="T127" i="17"/>
  <c r="AB127" i="17"/>
  <c r="I183" i="17"/>
  <c r="Q183" i="17"/>
  <c r="Y183" i="17"/>
  <c r="E127" i="17"/>
  <c r="M127" i="17"/>
  <c r="U127" i="17"/>
  <c r="AC127" i="17"/>
  <c r="BO127" i="17"/>
  <c r="B183" i="17"/>
  <c r="J183" i="17"/>
  <c r="R183" i="17"/>
  <c r="Z183" i="17"/>
  <c r="K183" i="17"/>
  <c r="O127" i="17"/>
  <c r="GL129" i="14"/>
  <c r="GT129" i="14"/>
  <c r="HB129" i="14"/>
  <c r="HJ129" i="14"/>
  <c r="S183" i="17"/>
  <c r="P127" i="17"/>
  <c r="GM129" i="14"/>
  <c r="GU129" i="14"/>
  <c r="HC129" i="14"/>
  <c r="AA183" i="17"/>
  <c r="V127" i="17"/>
  <c r="GN129" i="14"/>
  <c r="GV129" i="14"/>
  <c r="HD129" i="14"/>
  <c r="W127" i="17"/>
  <c r="GO129" i="14"/>
  <c r="GW129" i="14"/>
  <c r="HE129" i="14"/>
  <c r="F127" i="17"/>
  <c r="X127" i="17"/>
  <c r="GP129" i="14"/>
  <c r="GX129" i="14"/>
  <c r="HF129" i="14"/>
  <c r="H127" i="17"/>
  <c r="GJ129" i="14"/>
  <c r="GR129" i="14"/>
  <c r="GZ129" i="14"/>
  <c r="HH129" i="14"/>
  <c r="HA129" i="14"/>
  <c r="FG129" i="14"/>
  <c r="FO129" i="14"/>
  <c r="FW129" i="14"/>
  <c r="G127" i="17"/>
  <c r="HG129" i="14"/>
  <c r="FH129" i="14"/>
  <c r="FP129" i="14"/>
  <c r="FX129" i="14"/>
  <c r="N127" i="17"/>
  <c r="HI129" i="14"/>
  <c r="FI129" i="14"/>
  <c r="FQ129" i="14"/>
  <c r="FY129" i="14"/>
  <c r="GI129" i="14"/>
  <c r="FJ129" i="14"/>
  <c r="FR129" i="14"/>
  <c r="FZ129" i="14"/>
  <c r="C183" i="17"/>
  <c r="GK129" i="14"/>
  <c r="FC129" i="14"/>
  <c r="FK129" i="14"/>
  <c r="FS129" i="14"/>
  <c r="GA129" i="14"/>
  <c r="GS129" i="14"/>
  <c r="FE129" i="14"/>
  <c r="FM129" i="14"/>
  <c r="FU129" i="14"/>
  <c r="GC129" i="14"/>
  <c r="FN129" i="14"/>
  <c r="FE185" i="14"/>
  <c r="FM185" i="14"/>
  <c r="FU185" i="14"/>
  <c r="GC185" i="14"/>
  <c r="ED185" i="14"/>
  <c r="EL185" i="14"/>
  <c r="ET185" i="14"/>
  <c r="GQ129" i="14"/>
  <c r="FT129" i="14"/>
  <c r="FF185" i="14"/>
  <c r="FN185" i="14"/>
  <c r="FV185" i="14"/>
  <c r="GD185" i="14"/>
  <c r="EE185" i="14"/>
  <c r="EM185" i="14"/>
  <c r="EU185" i="14"/>
  <c r="GY129" i="14"/>
  <c r="FV129" i="14"/>
  <c r="FG185" i="14"/>
  <c r="FO185" i="14"/>
  <c r="FW185" i="14"/>
  <c r="DX185" i="14"/>
  <c r="EF185" i="14"/>
  <c r="EN185" i="14"/>
  <c r="EV185" i="14"/>
  <c r="GB129" i="14"/>
  <c r="FH185" i="14"/>
  <c r="FP185" i="14"/>
  <c r="FX185" i="14"/>
  <c r="DY185" i="14"/>
  <c r="EG185" i="14"/>
  <c r="EO185" i="14"/>
  <c r="EW185" i="14"/>
  <c r="GD129" i="14"/>
  <c r="FI185" i="14"/>
  <c r="FQ185" i="14"/>
  <c r="FY185" i="14"/>
  <c r="DZ185" i="14"/>
  <c r="EH185" i="14"/>
  <c r="EP185" i="14"/>
  <c r="EX185" i="14"/>
  <c r="FF129" i="14"/>
  <c r="FC185" i="14"/>
  <c r="FK185" i="14"/>
  <c r="FS185" i="14"/>
  <c r="GA185" i="14"/>
  <c r="EB185" i="14"/>
  <c r="EJ185" i="14"/>
  <c r="ER185" i="14"/>
  <c r="FT185" i="14"/>
  <c r="DZ129" i="14"/>
  <c r="EH129" i="14"/>
  <c r="EP129" i="14"/>
  <c r="EX129" i="14"/>
  <c r="FZ185" i="14"/>
  <c r="EA185" i="14"/>
  <c r="EA129" i="14"/>
  <c r="EI129" i="14"/>
  <c r="EQ129" i="14"/>
  <c r="EY129" i="14"/>
  <c r="GB185" i="14"/>
  <c r="EC185" i="14"/>
  <c r="EB129" i="14"/>
  <c r="EJ129" i="14"/>
  <c r="ER129" i="14"/>
  <c r="EI185" i="14"/>
  <c r="EC129" i="14"/>
  <c r="EK129" i="14"/>
  <c r="ES129" i="14"/>
  <c r="FD185" i="14"/>
  <c r="EK185" i="14"/>
  <c r="ED129" i="14"/>
  <c r="EL129" i="14"/>
  <c r="ET129" i="14"/>
  <c r="FL129" i="14"/>
  <c r="FL185" i="14"/>
  <c r="ES185" i="14"/>
  <c r="DX129" i="14"/>
  <c r="EF129" i="14"/>
  <c r="EN129" i="14"/>
  <c r="EV129" i="14"/>
  <c r="EO129" i="14"/>
  <c r="CZ185" i="14"/>
  <c r="DH185" i="14"/>
  <c r="DP185" i="14"/>
  <c r="CY129" i="14"/>
  <c r="DG129" i="14"/>
  <c r="DO129" i="14"/>
  <c r="AC185" i="14"/>
  <c r="AK185" i="14"/>
  <c r="AS185" i="14"/>
  <c r="BA185" i="14"/>
  <c r="FJ185" i="14"/>
  <c r="EU129" i="14"/>
  <c r="CS185" i="14"/>
  <c r="DA185" i="14"/>
  <c r="DI185" i="14"/>
  <c r="DQ185" i="14"/>
  <c r="CZ129" i="14"/>
  <c r="DH129" i="14"/>
  <c r="DP129" i="14"/>
  <c r="AD185" i="14"/>
  <c r="AL185" i="14"/>
  <c r="AT185" i="14"/>
  <c r="BB185" i="14"/>
  <c r="AD129" i="14"/>
  <c r="AL129" i="14"/>
  <c r="AT129" i="14"/>
  <c r="BB129" i="14"/>
  <c r="FR185" i="14"/>
  <c r="EW129" i="14"/>
  <c r="CT185" i="14"/>
  <c r="DB185" i="14"/>
  <c r="DJ185" i="14"/>
  <c r="DR185" i="14"/>
  <c r="CS129" i="14"/>
  <c r="DA129" i="14"/>
  <c r="DI129" i="14"/>
  <c r="DQ129" i="14"/>
  <c r="AE185" i="14"/>
  <c r="AM185" i="14"/>
  <c r="AU185" i="14"/>
  <c r="AE129" i="14"/>
  <c r="AM129" i="14"/>
  <c r="AU129" i="14"/>
  <c r="FD129" i="14"/>
  <c r="EQ185" i="14"/>
  <c r="CU185" i="14"/>
  <c r="DC185" i="14"/>
  <c r="DK185" i="14"/>
  <c r="DS185" i="14"/>
  <c r="CT129" i="14"/>
  <c r="DB129" i="14"/>
  <c r="DJ129" i="14"/>
  <c r="DR129" i="14"/>
  <c r="AF185" i="14"/>
  <c r="AN185" i="14"/>
  <c r="AV185" i="14"/>
  <c r="AF129" i="14"/>
  <c r="AN129" i="14"/>
  <c r="AV129" i="14"/>
  <c r="EY185" i="14"/>
  <c r="DY129" i="14"/>
  <c r="CV185" i="14"/>
  <c r="DD185" i="14"/>
  <c r="DL185" i="14"/>
  <c r="DT185" i="14"/>
  <c r="CU129" i="14"/>
  <c r="DC129" i="14"/>
  <c r="DK129" i="14"/>
  <c r="DS129" i="14"/>
  <c r="AG185" i="14"/>
  <c r="AO185" i="14"/>
  <c r="AW185" i="14"/>
  <c r="AG129" i="14"/>
  <c r="AO129" i="14"/>
  <c r="AW129" i="14"/>
  <c r="EG129" i="14"/>
  <c r="CX185" i="14"/>
  <c r="DF185" i="14"/>
  <c r="DN185" i="14"/>
  <c r="CW129" i="14"/>
  <c r="DE129" i="14"/>
  <c r="DM129" i="14"/>
  <c r="AA185" i="14"/>
  <c r="AI185" i="14"/>
  <c r="AQ185" i="14"/>
  <c r="AY185" i="14"/>
  <c r="AA129" i="14"/>
  <c r="AI129" i="14"/>
  <c r="AQ129" i="14"/>
  <c r="AY129" i="14"/>
  <c r="CY185" i="14"/>
  <c r="DF129" i="14"/>
  <c r="AZ185" i="14"/>
  <c r="AS129" i="14"/>
  <c r="DE185" i="14"/>
  <c r="DL129" i="14"/>
  <c r="AB129" i="14"/>
  <c r="AX129" i="14"/>
  <c r="DG185" i="14"/>
  <c r="DN129" i="14"/>
  <c r="AB185" i="14"/>
  <c r="DM185" i="14"/>
  <c r="DT129" i="14"/>
  <c r="AH185" i="14"/>
  <c r="AH129" i="14"/>
  <c r="BA129" i="14"/>
  <c r="EM129" i="14"/>
  <c r="CX129" i="14"/>
  <c r="AR185" i="14"/>
  <c r="AP129" i="14"/>
  <c r="CW185" i="14"/>
  <c r="DD129" i="14"/>
  <c r="AX185" i="14"/>
  <c r="AR129" i="14"/>
  <c r="M181" i="6"/>
  <c r="U181" i="6"/>
  <c r="AC181" i="6"/>
  <c r="CV129" i="14"/>
  <c r="N181" i="6"/>
  <c r="V181" i="6"/>
  <c r="AD181" i="6"/>
  <c r="DO185" i="14"/>
  <c r="AJ185" i="14"/>
  <c r="O181" i="6"/>
  <c r="W181" i="6"/>
  <c r="AE181" i="6"/>
  <c r="AP185" i="14"/>
  <c r="P181" i="6"/>
  <c r="X181" i="6"/>
  <c r="AF181" i="6"/>
  <c r="AK129" i="14"/>
  <c r="K181" i="6"/>
  <c r="S181" i="6"/>
  <c r="AA181" i="6"/>
  <c r="AI181" i="6"/>
  <c r="EE129" i="14"/>
  <c r="AZ129" i="14"/>
  <c r="L181" i="6"/>
  <c r="T181" i="6"/>
  <c r="AB181" i="6"/>
  <c r="AJ181" i="6"/>
  <c r="AC129" i="14"/>
  <c r="AG181" i="6"/>
  <c r="AJ129" i="14"/>
  <c r="AH181" i="6"/>
  <c r="I181" i="6"/>
  <c r="Z181" i="6"/>
  <c r="J181" i="6"/>
  <c r="R181" i="6"/>
  <c r="Q181" i="6"/>
  <c r="Y181" i="6"/>
  <c r="BS129" i="14"/>
  <c r="CA129" i="14"/>
  <c r="CI129" i="14"/>
  <c r="BO185" i="14"/>
  <c r="BW185" i="14"/>
  <c r="CE185" i="14"/>
  <c r="CM185" i="14"/>
  <c r="CL185" i="14"/>
  <c r="BT129" i="14"/>
  <c r="CB129" i="14"/>
  <c r="CJ129" i="14"/>
  <c r="BP185" i="14"/>
  <c r="BX185" i="14"/>
  <c r="CF185" i="14"/>
  <c r="CN185" i="14"/>
  <c r="CF129" i="14"/>
  <c r="CB185" i="14"/>
  <c r="CD185" i="14"/>
  <c r="BU129" i="14"/>
  <c r="CC129" i="14"/>
  <c r="CK129" i="14"/>
  <c r="BQ185" i="14"/>
  <c r="BY185" i="14"/>
  <c r="CG185" i="14"/>
  <c r="CO185" i="14"/>
  <c r="BP129" i="14"/>
  <c r="BT185" i="14"/>
  <c r="BN185" i="14"/>
  <c r="BN129" i="14"/>
  <c r="BV129" i="14"/>
  <c r="CD129" i="14"/>
  <c r="CL129" i="14"/>
  <c r="BR185" i="14"/>
  <c r="BZ185" i="14"/>
  <c r="CH185" i="14"/>
  <c r="CN129" i="14"/>
  <c r="CJ185" i="14"/>
  <c r="BO129" i="14"/>
  <c r="BW129" i="14"/>
  <c r="CE129" i="14"/>
  <c r="CM129" i="14"/>
  <c r="BS185" i="14"/>
  <c r="CA185" i="14"/>
  <c r="CI185" i="14"/>
  <c r="BX129" i="14"/>
  <c r="BQ129" i="14"/>
  <c r="BY129" i="14"/>
  <c r="CG129" i="14"/>
  <c r="CO129" i="14"/>
  <c r="BU185" i="14"/>
  <c r="CC185" i="14"/>
  <c r="CK185" i="14"/>
  <c r="BR129" i="14"/>
  <c r="BZ129" i="14"/>
  <c r="CH129" i="14"/>
  <c r="BV185" i="14"/>
  <c r="BT165" i="17"/>
  <c r="CB165" i="17"/>
  <c r="CJ165" i="17"/>
  <c r="BM165" i="17"/>
  <c r="BU165" i="17"/>
  <c r="CC165" i="17"/>
  <c r="CK165" i="17"/>
  <c r="BN165" i="17"/>
  <c r="BV165" i="17"/>
  <c r="CD165" i="17"/>
  <c r="CL165" i="17"/>
  <c r="BO165" i="17"/>
  <c r="BW165" i="17"/>
  <c r="CE165" i="17"/>
  <c r="CM165" i="17"/>
  <c r="BP165" i="17"/>
  <c r="BX165" i="17"/>
  <c r="CF165" i="17"/>
  <c r="CN165" i="17"/>
  <c r="BQ165" i="17"/>
  <c r="BY165" i="17"/>
  <c r="CG165" i="17"/>
  <c r="BR165" i="17"/>
  <c r="BZ165" i="17"/>
  <c r="CH165" i="17"/>
  <c r="CI165" i="17"/>
  <c r="AL221" i="17"/>
  <c r="AT221" i="17"/>
  <c r="BB221" i="17"/>
  <c r="AM221" i="17"/>
  <c r="AU221" i="17"/>
  <c r="BC221" i="17"/>
  <c r="AN221" i="17"/>
  <c r="AV221" i="17"/>
  <c r="BD221" i="17"/>
  <c r="AG221" i="17"/>
  <c r="AO221" i="17"/>
  <c r="AW221" i="17"/>
  <c r="BE221" i="17"/>
  <c r="AH221" i="17"/>
  <c r="AP221" i="17"/>
  <c r="AX221" i="17"/>
  <c r="BF221" i="17"/>
  <c r="AI221" i="17"/>
  <c r="AQ221" i="17"/>
  <c r="AY221" i="17"/>
  <c r="BG221" i="17"/>
  <c r="BS165" i="17"/>
  <c r="AJ221" i="17"/>
  <c r="AR221" i="17"/>
  <c r="AZ221" i="17"/>
  <c r="BH221" i="17"/>
  <c r="AM165" i="17"/>
  <c r="AU165" i="17"/>
  <c r="BC165" i="17"/>
  <c r="AN165" i="17"/>
  <c r="AV165" i="17"/>
  <c r="BD165" i="17"/>
  <c r="E221" i="17"/>
  <c r="M221" i="17"/>
  <c r="U221" i="17"/>
  <c r="AC221" i="17"/>
  <c r="AG165" i="17"/>
  <c r="AO165" i="17"/>
  <c r="AW165" i="17"/>
  <c r="BE165" i="17"/>
  <c r="F221" i="17"/>
  <c r="N221" i="17"/>
  <c r="V221" i="17"/>
  <c r="CA165" i="17"/>
  <c r="AH165" i="17"/>
  <c r="AP165" i="17"/>
  <c r="AX165" i="17"/>
  <c r="BF165" i="17"/>
  <c r="G221" i="17"/>
  <c r="O221" i="17"/>
  <c r="W221" i="17"/>
  <c r="AK221" i="17"/>
  <c r="AI165" i="17"/>
  <c r="AQ165" i="17"/>
  <c r="AY165" i="17"/>
  <c r="BG165" i="17"/>
  <c r="H221" i="17"/>
  <c r="P221" i="17"/>
  <c r="X221" i="17"/>
  <c r="AS221" i="17"/>
  <c r="AJ165" i="17"/>
  <c r="AR165" i="17"/>
  <c r="AZ165" i="17"/>
  <c r="BH165" i="17"/>
  <c r="I221" i="17"/>
  <c r="Q221" i="17"/>
  <c r="Y221" i="17"/>
  <c r="BA221" i="17"/>
  <c r="AK165" i="17"/>
  <c r="AS165" i="17"/>
  <c r="BA165" i="17"/>
  <c r="R221" i="17"/>
  <c r="E165" i="17"/>
  <c r="M165" i="17"/>
  <c r="U165" i="17"/>
  <c r="AC165" i="17"/>
  <c r="S221" i="17"/>
  <c r="F165" i="17"/>
  <c r="N165" i="17"/>
  <c r="V165" i="17"/>
  <c r="AL165" i="17"/>
  <c r="B221" i="17"/>
  <c r="T221" i="17"/>
  <c r="G165" i="17"/>
  <c r="O165" i="17"/>
  <c r="W165" i="17"/>
  <c r="AT165" i="17"/>
  <c r="C221" i="17"/>
  <c r="Z221" i="17"/>
  <c r="H165" i="17"/>
  <c r="P165" i="17"/>
  <c r="X165" i="17"/>
  <c r="BB165" i="17"/>
  <c r="D221" i="17"/>
  <c r="AA221" i="17"/>
  <c r="I165" i="17"/>
  <c r="Q165" i="17"/>
  <c r="Y165" i="17"/>
  <c r="K221" i="17"/>
  <c r="C165" i="17"/>
  <c r="K165" i="17"/>
  <c r="S165" i="17"/>
  <c r="AA165" i="17"/>
  <c r="L221" i="17"/>
  <c r="D165" i="17"/>
  <c r="GI167" i="14"/>
  <c r="GQ167" i="14"/>
  <c r="GY167" i="14"/>
  <c r="HG167" i="14"/>
  <c r="AB221" i="17"/>
  <c r="J165" i="17"/>
  <c r="GJ167" i="14"/>
  <c r="GR167" i="14"/>
  <c r="GZ167" i="14"/>
  <c r="HH167" i="14"/>
  <c r="FH167" i="14"/>
  <c r="FP167" i="14"/>
  <c r="FX167" i="14"/>
  <c r="L165" i="17"/>
  <c r="GK167" i="14"/>
  <c r="GS167" i="14"/>
  <c r="HA167" i="14"/>
  <c r="HI167" i="14"/>
  <c r="FI167" i="14"/>
  <c r="FQ167" i="14"/>
  <c r="FY167" i="14"/>
  <c r="R165" i="17"/>
  <c r="GL167" i="14"/>
  <c r="GT167" i="14"/>
  <c r="HB167" i="14"/>
  <c r="HJ167" i="14"/>
  <c r="FJ167" i="14"/>
  <c r="FR167" i="14"/>
  <c r="FZ167" i="14"/>
  <c r="T165" i="17"/>
  <c r="GM167" i="14"/>
  <c r="GU167" i="14"/>
  <c r="HC167" i="14"/>
  <c r="FC167" i="14"/>
  <c r="FK167" i="14"/>
  <c r="FS167" i="14"/>
  <c r="GA167" i="14"/>
  <c r="AB165" i="17"/>
  <c r="GO167" i="14"/>
  <c r="GW167" i="14"/>
  <c r="HE167" i="14"/>
  <c r="FE167" i="14"/>
  <c r="FM167" i="14"/>
  <c r="FU167" i="14"/>
  <c r="GC167" i="14"/>
  <c r="HF167" i="14"/>
  <c r="FO167" i="14"/>
  <c r="FE223" i="14"/>
  <c r="FM223" i="14"/>
  <c r="FU223" i="14"/>
  <c r="GC223" i="14"/>
  <c r="FT167" i="14"/>
  <c r="FF223" i="14"/>
  <c r="FN223" i="14"/>
  <c r="FV223" i="14"/>
  <c r="GD223" i="14"/>
  <c r="J221" i="17"/>
  <c r="B165" i="17"/>
  <c r="FV167" i="14"/>
  <c r="FG223" i="14"/>
  <c r="FO223" i="14"/>
  <c r="FW223" i="14"/>
  <c r="Z165" i="17"/>
  <c r="GN167" i="14"/>
  <c r="FD167" i="14"/>
  <c r="FW167" i="14"/>
  <c r="FH223" i="14"/>
  <c r="FP223" i="14"/>
  <c r="FX223" i="14"/>
  <c r="GP167" i="14"/>
  <c r="FF167" i="14"/>
  <c r="GB167" i="14"/>
  <c r="FI223" i="14"/>
  <c r="FQ223" i="14"/>
  <c r="FY223" i="14"/>
  <c r="GX167" i="14"/>
  <c r="FL167" i="14"/>
  <c r="FC223" i="14"/>
  <c r="FK223" i="14"/>
  <c r="FS223" i="14"/>
  <c r="GA223" i="14"/>
  <c r="HD167" i="14"/>
  <c r="FL223" i="14"/>
  <c r="ED223" i="14"/>
  <c r="EL223" i="14"/>
  <c r="ET223" i="14"/>
  <c r="DZ167" i="14"/>
  <c r="FG167" i="14"/>
  <c r="FR223" i="14"/>
  <c r="EE223" i="14"/>
  <c r="EM223" i="14"/>
  <c r="EU223" i="14"/>
  <c r="EA167" i="14"/>
  <c r="EI167" i="14"/>
  <c r="EQ167" i="14"/>
  <c r="EY167" i="14"/>
  <c r="FN167" i="14"/>
  <c r="FT223" i="14"/>
  <c r="DX223" i="14"/>
  <c r="EF223" i="14"/>
  <c r="EN223" i="14"/>
  <c r="EV223" i="14"/>
  <c r="EB167" i="14"/>
  <c r="EJ167" i="14"/>
  <c r="ER167" i="14"/>
  <c r="GD167" i="14"/>
  <c r="FZ223" i="14"/>
  <c r="DY223" i="14"/>
  <c r="EG223" i="14"/>
  <c r="EO223" i="14"/>
  <c r="EW223" i="14"/>
  <c r="EC167" i="14"/>
  <c r="EK167" i="14"/>
  <c r="ES167" i="14"/>
  <c r="GB223" i="14"/>
  <c r="DZ223" i="14"/>
  <c r="EH223" i="14"/>
  <c r="EP223" i="14"/>
  <c r="EX223" i="14"/>
  <c r="ED167" i="14"/>
  <c r="EL167" i="14"/>
  <c r="ET167" i="14"/>
  <c r="FD223" i="14"/>
  <c r="EB223" i="14"/>
  <c r="EJ223" i="14"/>
  <c r="ER223" i="14"/>
  <c r="DX167" i="14"/>
  <c r="EF167" i="14"/>
  <c r="EN167" i="14"/>
  <c r="EV167" i="14"/>
  <c r="EG167" i="14"/>
  <c r="CZ223" i="14"/>
  <c r="DH223" i="14"/>
  <c r="DP223" i="14"/>
  <c r="CY167" i="14"/>
  <c r="DG167" i="14"/>
  <c r="DO167" i="14"/>
  <c r="AC223" i="14"/>
  <c r="AK223" i="14"/>
  <c r="AS223" i="14"/>
  <c r="BA223" i="14"/>
  <c r="AC167" i="14"/>
  <c r="AK167" i="14"/>
  <c r="AS167" i="14"/>
  <c r="BA167" i="14"/>
  <c r="EA223" i="14"/>
  <c r="EH167" i="14"/>
  <c r="CS223" i="14"/>
  <c r="DA223" i="14"/>
  <c r="DI223" i="14"/>
  <c r="DQ223" i="14"/>
  <c r="CZ167" i="14"/>
  <c r="DH167" i="14"/>
  <c r="DP167" i="14"/>
  <c r="AD223" i="14"/>
  <c r="AL223" i="14"/>
  <c r="AT223" i="14"/>
  <c r="BB223" i="14"/>
  <c r="AD167" i="14"/>
  <c r="AL167" i="14"/>
  <c r="AT167" i="14"/>
  <c r="BB167" i="14"/>
  <c r="EC223" i="14"/>
  <c r="EM167" i="14"/>
  <c r="CT223" i="14"/>
  <c r="DB223" i="14"/>
  <c r="DJ223" i="14"/>
  <c r="DR223" i="14"/>
  <c r="CS167" i="14"/>
  <c r="DA167" i="14"/>
  <c r="DI167" i="14"/>
  <c r="DQ167" i="14"/>
  <c r="AE223" i="14"/>
  <c r="AM223" i="14"/>
  <c r="AU223" i="14"/>
  <c r="AE167" i="14"/>
  <c r="AM167" i="14"/>
  <c r="AU167" i="14"/>
  <c r="EI223" i="14"/>
  <c r="EO167" i="14"/>
  <c r="CU223" i="14"/>
  <c r="DC223" i="14"/>
  <c r="DK223" i="14"/>
  <c r="DS223" i="14"/>
  <c r="CT167" i="14"/>
  <c r="DB167" i="14"/>
  <c r="DJ167" i="14"/>
  <c r="DR167" i="14"/>
  <c r="AF223" i="14"/>
  <c r="AN223" i="14"/>
  <c r="AV223" i="14"/>
  <c r="AF167" i="14"/>
  <c r="AN167" i="14"/>
  <c r="AV167" i="14"/>
  <c r="FJ223" i="14"/>
  <c r="EK223" i="14"/>
  <c r="EP167" i="14"/>
  <c r="CV223" i="14"/>
  <c r="DD223" i="14"/>
  <c r="DL223" i="14"/>
  <c r="DT223" i="14"/>
  <c r="CU167" i="14"/>
  <c r="DC167" i="14"/>
  <c r="DK167" i="14"/>
  <c r="DS167" i="14"/>
  <c r="AG223" i="14"/>
  <c r="AO223" i="14"/>
  <c r="AW223" i="14"/>
  <c r="AG167" i="14"/>
  <c r="AO167" i="14"/>
  <c r="AW167" i="14"/>
  <c r="GV167" i="14"/>
  <c r="ES223" i="14"/>
  <c r="DY167" i="14"/>
  <c r="EW167" i="14"/>
  <c r="CX223" i="14"/>
  <c r="DF223" i="14"/>
  <c r="DN223" i="14"/>
  <c r="CW167" i="14"/>
  <c r="DE167" i="14"/>
  <c r="DM167" i="14"/>
  <c r="AA223" i="14"/>
  <c r="AI223" i="14"/>
  <c r="AQ223" i="14"/>
  <c r="AY223" i="14"/>
  <c r="AA167" i="14"/>
  <c r="AI167" i="14"/>
  <c r="AQ167" i="14"/>
  <c r="AY167" i="14"/>
  <c r="EY223" i="14"/>
  <c r="EE167" i="14"/>
  <c r="CX167" i="14"/>
  <c r="AR223" i="14"/>
  <c r="AZ167" i="14"/>
  <c r="EU167" i="14"/>
  <c r="CW223" i="14"/>
  <c r="DD167" i="14"/>
  <c r="AX223" i="14"/>
  <c r="EX167" i="14"/>
  <c r="CY223" i="14"/>
  <c r="DF167" i="14"/>
  <c r="AZ223" i="14"/>
  <c r="AB167" i="14"/>
  <c r="DE223" i="14"/>
  <c r="DL167" i="14"/>
  <c r="AH167" i="14"/>
  <c r="DO223" i="14"/>
  <c r="AJ223" i="14"/>
  <c r="AR167" i="14"/>
  <c r="EQ223" i="14"/>
  <c r="CV167" i="14"/>
  <c r="AP223" i="14"/>
  <c r="AX167" i="14"/>
  <c r="AJ167" i="14"/>
  <c r="M219" i="6"/>
  <c r="U219" i="6"/>
  <c r="AC219" i="6"/>
  <c r="DN167" i="14"/>
  <c r="AP167" i="14"/>
  <c r="N219" i="6"/>
  <c r="V219" i="6"/>
  <c r="AD219" i="6"/>
  <c r="O219" i="6"/>
  <c r="W219" i="6"/>
  <c r="AE219" i="6"/>
  <c r="P219" i="6"/>
  <c r="X219" i="6"/>
  <c r="AF219" i="6"/>
  <c r="AB223" i="14"/>
  <c r="K219" i="6"/>
  <c r="S219" i="6"/>
  <c r="AA219" i="6"/>
  <c r="AI219" i="6"/>
  <c r="DG223" i="14"/>
  <c r="L219" i="6"/>
  <c r="T219" i="6"/>
  <c r="AB219" i="6"/>
  <c r="AJ219" i="6"/>
  <c r="Y219" i="6"/>
  <c r="J219" i="6"/>
  <c r="R219" i="6"/>
  <c r="Z219" i="6"/>
  <c r="AH223" i="14"/>
  <c r="AG219" i="6"/>
  <c r="AH219" i="6"/>
  <c r="DM223" i="14"/>
  <c r="I219" i="6"/>
  <c r="I64" i="2" s="1"/>
  <c r="Q219" i="6"/>
  <c r="DT167" i="14"/>
  <c r="BS167" i="14"/>
  <c r="CA167" i="14"/>
  <c r="CI167" i="14"/>
  <c r="BO223" i="14"/>
  <c r="BW223" i="14"/>
  <c r="CE223" i="14"/>
  <c r="CM223" i="14"/>
  <c r="CH167" i="14"/>
  <c r="BT167" i="14"/>
  <c r="CB167" i="14"/>
  <c r="CJ167" i="14"/>
  <c r="BP223" i="14"/>
  <c r="BX223" i="14"/>
  <c r="CF223" i="14"/>
  <c r="CN223" i="14"/>
  <c r="BX167" i="14"/>
  <c r="BU167" i="14"/>
  <c r="CC167" i="14"/>
  <c r="CK167" i="14"/>
  <c r="BQ223" i="14"/>
  <c r="BY223" i="14"/>
  <c r="CG223" i="14"/>
  <c r="CO223" i="14"/>
  <c r="BP167" i="14"/>
  <c r="CN167" i="14"/>
  <c r="BT223" i="14"/>
  <c r="BN167" i="14"/>
  <c r="BV167" i="14"/>
  <c r="CD167" i="14"/>
  <c r="CL167" i="14"/>
  <c r="BR223" i="14"/>
  <c r="BZ223" i="14"/>
  <c r="CH223" i="14"/>
  <c r="CF167" i="14"/>
  <c r="CJ223" i="14"/>
  <c r="BO167" i="14"/>
  <c r="BW167" i="14"/>
  <c r="CE167" i="14"/>
  <c r="CM167" i="14"/>
  <c r="BS223" i="14"/>
  <c r="CA223" i="14"/>
  <c r="CI223" i="14"/>
  <c r="CB223" i="14"/>
  <c r="BR167" i="14"/>
  <c r="BQ167" i="14"/>
  <c r="BY167" i="14"/>
  <c r="CG167" i="14"/>
  <c r="CO167" i="14"/>
  <c r="BU223" i="14"/>
  <c r="CC223" i="14"/>
  <c r="CK223" i="14"/>
  <c r="BZ167" i="14"/>
  <c r="BN223" i="14"/>
  <c r="BV223" i="14"/>
  <c r="CD223" i="14"/>
  <c r="CL223" i="14"/>
  <c r="BS141" i="17"/>
  <c r="CA141" i="17"/>
  <c r="CI141" i="17"/>
  <c r="BM141" i="17"/>
  <c r="BU141" i="17"/>
  <c r="CC141" i="17"/>
  <c r="CK141" i="17"/>
  <c r="BN141" i="17"/>
  <c r="BV141" i="17"/>
  <c r="CD141" i="17"/>
  <c r="CL141" i="17"/>
  <c r="BO141" i="17"/>
  <c r="BW141" i="17"/>
  <c r="CE141" i="17"/>
  <c r="CM141" i="17"/>
  <c r="BP141" i="17"/>
  <c r="BX141" i="17"/>
  <c r="CF141" i="17"/>
  <c r="CN141" i="17"/>
  <c r="BQ141" i="17"/>
  <c r="BY141" i="17"/>
  <c r="CG141" i="17"/>
  <c r="CH141" i="17"/>
  <c r="AJ197" i="17"/>
  <c r="AR197" i="17"/>
  <c r="AZ197" i="17"/>
  <c r="BH197" i="17"/>
  <c r="CJ141" i="17"/>
  <c r="AK197" i="17"/>
  <c r="AS197" i="17"/>
  <c r="BA197" i="17"/>
  <c r="AL197" i="17"/>
  <c r="AT197" i="17"/>
  <c r="BB197" i="17"/>
  <c r="AM197" i="17"/>
  <c r="AU197" i="17"/>
  <c r="BC197" i="17"/>
  <c r="BR141" i="17"/>
  <c r="BT141" i="17"/>
  <c r="AG197" i="17"/>
  <c r="AO197" i="17"/>
  <c r="AW197" i="17"/>
  <c r="BE197" i="17"/>
  <c r="BZ141" i="17"/>
  <c r="AH197" i="17"/>
  <c r="AP197" i="17"/>
  <c r="AX197" i="17"/>
  <c r="BF197" i="17"/>
  <c r="AY197" i="17"/>
  <c r="BD197" i="17"/>
  <c r="BG197" i="17"/>
  <c r="CB141" i="17"/>
  <c r="AI197" i="17"/>
  <c r="AN197" i="17"/>
  <c r="AQ197" i="17"/>
  <c r="AM141" i="17"/>
  <c r="AU141" i="17"/>
  <c r="BC141" i="17"/>
  <c r="D197" i="17"/>
  <c r="L197" i="17"/>
  <c r="T197" i="17"/>
  <c r="AB197" i="17"/>
  <c r="AN141" i="17"/>
  <c r="AV141" i="17"/>
  <c r="BD141" i="17"/>
  <c r="E197" i="17"/>
  <c r="M197" i="17"/>
  <c r="U197" i="17"/>
  <c r="AC197" i="17"/>
  <c r="AG141" i="17"/>
  <c r="AO141" i="17"/>
  <c r="AW141" i="17"/>
  <c r="BE141" i="17"/>
  <c r="F197" i="17"/>
  <c r="N197" i="17"/>
  <c r="V197" i="17"/>
  <c r="AV197" i="17"/>
  <c r="AH141" i="17"/>
  <c r="AP141" i="17"/>
  <c r="AX141" i="17"/>
  <c r="BF141" i="17"/>
  <c r="G197" i="17"/>
  <c r="O197" i="17"/>
  <c r="W197" i="17"/>
  <c r="AI141" i="17"/>
  <c r="AQ141" i="17"/>
  <c r="AY141" i="17"/>
  <c r="BG141" i="17"/>
  <c r="H197" i="17"/>
  <c r="P197" i="17"/>
  <c r="X197" i="17"/>
  <c r="AJ141" i="17"/>
  <c r="AR141" i="17"/>
  <c r="AZ141" i="17"/>
  <c r="BH141" i="17"/>
  <c r="I197" i="17"/>
  <c r="Q197" i="17"/>
  <c r="Y197" i="17"/>
  <c r="AK141" i="17"/>
  <c r="AS141" i="17"/>
  <c r="BA141" i="17"/>
  <c r="BB141" i="17"/>
  <c r="R197" i="17"/>
  <c r="E141" i="17"/>
  <c r="M141" i="17"/>
  <c r="U141" i="17"/>
  <c r="AC141" i="17"/>
  <c r="GL143" i="14"/>
  <c r="GT143" i="14"/>
  <c r="HB143" i="14"/>
  <c r="S197" i="17"/>
  <c r="F141" i="17"/>
  <c r="N141" i="17"/>
  <c r="V141" i="17"/>
  <c r="GM143" i="14"/>
  <c r="GU143" i="14"/>
  <c r="HC143" i="14"/>
  <c r="Z197" i="17"/>
  <c r="G141" i="17"/>
  <c r="O141" i="17"/>
  <c r="W141" i="17"/>
  <c r="GN143" i="14"/>
  <c r="GV143" i="14"/>
  <c r="HD143" i="14"/>
  <c r="AA197" i="17"/>
  <c r="H141" i="17"/>
  <c r="P141" i="17"/>
  <c r="X141" i="17"/>
  <c r="GO143" i="14"/>
  <c r="GW143" i="14"/>
  <c r="HE143" i="14"/>
  <c r="B197" i="17"/>
  <c r="I141" i="17"/>
  <c r="Q141" i="17"/>
  <c r="Y141" i="17"/>
  <c r="GP143" i="14"/>
  <c r="GX143" i="14"/>
  <c r="HF143" i="14"/>
  <c r="AL141" i="17"/>
  <c r="J197" i="17"/>
  <c r="C141" i="17"/>
  <c r="K141" i="17"/>
  <c r="S141" i="17"/>
  <c r="AA141" i="17"/>
  <c r="GJ143" i="14"/>
  <c r="GR143" i="14"/>
  <c r="GZ143" i="14"/>
  <c r="HH143" i="14"/>
  <c r="K197" i="17"/>
  <c r="D141" i="17"/>
  <c r="GS143" i="14"/>
  <c r="FG143" i="14"/>
  <c r="FO143" i="14"/>
  <c r="FW143" i="14"/>
  <c r="J141" i="17"/>
  <c r="GY143" i="14"/>
  <c r="FH143" i="14"/>
  <c r="FP143" i="14"/>
  <c r="FX143" i="14"/>
  <c r="L141" i="17"/>
  <c r="HA143" i="14"/>
  <c r="FI143" i="14"/>
  <c r="FQ143" i="14"/>
  <c r="FY143" i="14"/>
  <c r="R141" i="17"/>
  <c r="HG143" i="14"/>
  <c r="FJ143" i="14"/>
  <c r="FR143" i="14"/>
  <c r="FZ143" i="14"/>
  <c r="AT141" i="17"/>
  <c r="T141" i="17"/>
  <c r="HI143" i="14"/>
  <c r="FC143" i="14"/>
  <c r="FK143" i="14"/>
  <c r="FS143" i="14"/>
  <c r="GA143" i="14"/>
  <c r="AB141" i="17"/>
  <c r="GK143" i="14"/>
  <c r="FE143" i="14"/>
  <c r="FM143" i="14"/>
  <c r="FU143" i="14"/>
  <c r="GC143" i="14"/>
  <c r="B141" i="17"/>
  <c r="FF143" i="14"/>
  <c r="FE199" i="14"/>
  <c r="FM199" i="14"/>
  <c r="FU199" i="14"/>
  <c r="GC199" i="14"/>
  <c r="Z141" i="17"/>
  <c r="GI143" i="14"/>
  <c r="FL143" i="14"/>
  <c r="FF199" i="14"/>
  <c r="FN199" i="14"/>
  <c r="FV199" i="14"/>
  <c r="GD199" i="14"/>
  <c r="EE199" i="14"/>
  <c r="EM199" i="14"/>
  <c r="EU199" i="14"/>
  <c r="GQ143" i="14"/>
  <c r="FN143" i="14"/>
  <c r="FG199" i="14"/>
  <c r="FO199" i="14"/>
  <c r="FW199" i="14"/>
  <c r="HJ143" i="14"/>
  <c r="FT143" i="14"/>
  <c r="FH199" i="14"/>
  <c r="FP199" i="14"/>
  <c r="FX199" i="14"/>
  <c r="DY199" i="14"/>
  <c r="EG199" i="14"/>
  <c r="EO199" i="14"/>
  <c r="EW199" i="14"/>
  <c r="C197" i="17"/>
  <c r="FV143" i="14"/>
  <c r="FI199" i="14"/>
  <c r="FQ199" i="14"/>
  <c r="FY199" i="14"/>
  <c r="DZ199" i="14"/>
  <c r="EH199" i="14"/>
  <c r="EP199" i="14"/>
  <c r="EX199" i="14"/>
  <c r="GD143" i="14"/>
  <c r="FC199" i="14"/>
  <c r="FK199" i="14"/>
  <c r="FS199" i="14"/>
  <c r="GA199" i="14"/>
  <c r="EB199" i="14"/>
  <c r="EJ199" i="14"/>
  <c r="ER199" i="14"/>
  <c r="FL199" i="14"/>
  <c r="EK199" i="14"/>
  <c r="DZ143" i="14"/>
  <c r="EH143" i="14"/>
  <c r="EP143" i="14"/>
  <c r="EX143" i="14"/>
  <c r="FR199" i="14"/>
  <c r="EL199" i="14"/>
  <c r="EA143" i="14"/>
  <c r="EI143" i="14"/>
  <c r="EQ143" i="14"/>
  <c r="EY143" i="14"/>
  <c r="FT199" i="14"/>
  <c r="DX199" i="14"/>
  <c r="EN199" i="14"/>
  <c r="EB143" i="14"/>
  <c r="EJ143" i="14"/>
  <c r="ER143" i="14"/>
  <c r="FZ199" i="14"/>
  <c r="EA199" i="14"/>
  <c r="EQ199" i="14"/>
  <c r="EC143" i="14"/>
  <c r="EK143" i="14"/>
  <c r="ES143" i="14"/>
  <c r="GB199" i="14"/>
  <c r="EC199" i="14"/>
  <c r="ES199" i="14"/>
  <c r="ED143" i="14"/>
  <c r="EL143" i="14"/>
  <c r="ET143" i="14"/>
  <c r="FD143" i="14"/>
  <c r="FD199" i="14"/>
  <c r="EF199" i="14"/>
  <c r="EV199" i="14"/>
  <c r="DX143" i="14"/>
  <c r="EF143" i="14"/>
  <c r="EN143" i="14"/>
  <c r="EV143" i="14"/>
  <c r="EY199" i="14"/>
  <c r="EG143" i="14"/>
  <c r="CZ199" i="14"/>
  <c r="DH199" i="14"/>
  <c r="DP199" i="14"/>
  <c r="CY143" i="14"/>
  <c r="DG143" i="14"/>
  <c r="DO143" i="14"/>
  <c r="AC199" i="14"/>
  <c r="AK199" i="14"/>
  <c r="AS199" i="14"/>
  <c r="BA199" i="14"/>
  <c r="EM143" i="14"/>
  <c r="CS199" i="14"/>
  <c r="DA199" i="14"/>
  <c r="DI199" i="14"/>
  <c r="DQ199" i="14"/>
  <c r="CZ143" i="14"/>
  <c r="DH143" i="14"/>
  <c r="DP143" i="14"/>
  <c r="AD199" i="14"/>
  <c r="AL199" i="14"/>
  <c r="AT199" i="14"/>
  <c r="BB199" i="14"/>
  <c r="GB143" i="14"/>
  <c r="FJ199" i="14"/>
  <c r="EO143" i="14"/>
  <c r="CT199" i="14"/>
  <c r="DB199" i="14"/>
  <c r="DJ199" i="14"/>
  <c r="DR199" i="14"/>
  <c r="CS143" i="14"/>
  <c r="DA143" i="14"/>
  <c r="DI143" i="14"/>
  <c r="DQ143" i="14"/>
  <c r="AE199" i="14"/>
  <c r="AM199" i="14"/>
  <c r="AU199" i="14"/>
  <c r="EU143" i="14"/>
  <c r="CU199" i="14"/>
  <c r="DC199" i="14"/>
  <c r="DK199" i="14"/>
  <c r="DS199" i="14"/>
  <c r="CT143" i="14"/>
  <c r="DB143" i="14"/>
  <c r="DJ143" i="14"/>
  <c r="DR143" i="14"/>
  <c r="AF199" i="14"/>
  <c r="AN199" i="14"/>
  <c r="AV199" i="14"/>
  <c r="EW143" i="14"/>
  <c r="CV199" i="14"/>
  <c r="DD199" i="14"/>
  <c r="DL199" i="14"/>
  <c r="DT199" i="14"/>
  <c r="CU143" i="14"/>
  <c r="DC143" i="14"/>
  <c r="DK143" i="14"/>
  <c r="DS143" i="14"/>
  <c r="AG199" i="14"/>
  <c r="AO199" i="14"/>
  <c r="AW199" i="14"/>
  <c r="EI199" i="14"/>
  <c r="DY143" i="14"/>
  <c r="CX199" i="14"/>
  <c r="DF199" i="14"/>
  <c r="DN199" i="14"/>
  <c r="CW143" i="14"/>
  <c r="DE143" i="14"/>
  <c r="DM143" i="14"/>
  <c r="AA199" i="14"/>
  <c r="AI199" i="14"/>
  <c r="AQ199" i="14"/>
  <c r="AY199" i="14"/>
  <c r="ET199" i="14"/>
  <c r="CX143" i="14"/>
  <c r="AR199" i="14"/>
  <c r="CW199" i="14"/>
  <c r="DD143" i="14"/>
  <c r="AX199" i="14"/>
  <c r="CY199" i="14"/>
  <c r="DF143" i="14"/>
  <c r="AZ199" i="14"/>
  <c r="DE199" i="14"/>
  <c r="DL143" i="14"/>
  <c r="EE143" i="14"/>
  <c r="DO199" i="14"/>
  <c r="AJ199" i="14"/>
  <c r="ED199" i="14"/>
  <c r="CV143" i="14"/>
  <c r="AP199" i="14"/>
  <c r="AB143" i="14"/>
  <c r="AJ143" i="14"/>
  <c r="AR143" i="14"/>
  <c r="AZ143" i="14"/>
  <c r="M195" i="6"/>
  <c r="U195" i="6"/>
  <c r="AC195" i="6"/>
  <c r="AC143" i="14"/>
  <c r="AK143" i="14"/>
  <c r="AS143" i="14"/>
  <c r="BA143" i="14"/>
  <c r="N195" i="6"/>
  <c r="V195" i="6"/>
  <c r="AD195" i="6"/>
  <c r="DG199" i="14"/>
  <c r="DN143" i="14"/>
  <c r="AB199" i="14"/>
  <c r="AD143" i="14"/>
  <c r="AL143" i="14"/>
  <c r="AT143" i="14"/>
  <c r="BB143" i="14"/>
  <c r="O195" i="6"/>
  <c r="W195" i="6"/>
  <c r="AE195" i="6"/>
  <c r="DM199" i="14"/>
  <c r="DT143" i="14"/>
  <c r="AH199" i="14"/>
  <c r="AE143" i="14"/>
  <c r="AM143" i="14"/>
  <c r="AU143" i="14"/>
  <c r="P195" i="6"/>
  <c r="X195" i="6"/>
  <c r="AF195" i="6"/>
  <c r="AH143" i="14"/>
  <c r="AP143" i="14"/>
  <c r="AX143" i="14"/>
  <c r="K195" i="6"/>
  <c r="S195" i="6"/>
  <c r="AA195" i="6"/>
  <c r="AI195" i="6"/>
  <c r="AA143" i="14"/>
  <c r="AI143" i="14"/>
  <c r="AQ143" i="14"/>
  <c r="AY143" i="14"/>
  <c r="L195" i="6"/>
  <c r="T195" i="6"/>
  <c r="AB195" i="6"/>
  <c r="AJ195" i="6"/>
  <c r="Y195" i="6"/>
  <c r="J195" i="6"/>
  <c r="Z195" i="6"/>
  <c r="AF143" i="14"/>
  <c r="AG195" i="6"/>
  <c r="R195" i="6"/>
  <c r="AG143" i="14"/>
  <c r="AH195" i="6"/>
  <c r="AO143" i="14"/>
  <c r="AN143" i="14"/>
  <c r="I195" i="6"/>
  <c r="I94" i="2" s="1"/>
  <c r="AV143" i="14"/>
  <c r="Q195" i="6"/>
  <c r="AW143" i="14"/>
  <c r="BS143" i="14"/>
  <c r="CA143" i="14"/>
  <c r="CI143" i="14"/>
  <c r="BO199" i="14"/>
  <c r="BW199" i="14"/>
  <c r="CE199" i="14"/>
  <c r="CM199" i="14"/>
  <c r="BT143" i="14"/>
  <c r="CB143" i="14"/>
  <c r="CJ143" i="14"/>
  <c r="BP199" i="14"/>
  <c r="BX199" i="14"/>
  <c r="CF199" i="14"/>
  <c r="CN199" i="14"/>
  <c r="BX143" i="14"/>
  <c r="BT199" i="14"/>
  <c r="CL199" i="14"/>
  <c r="BU143" i="14"/>
  <c r="CC143" i="14"/>
  <c r="CK143" i="14"/>
  <c r="BQ199" i="14"/>
  <c r="BY199" i="14"/>
  <c r="CG199" i="14"/>
  <c r="CO199" i="14"/>
  <c r="BP143" i="14"/>
  <c r="CN143" i="14"/>
  <c r="CJ199" i="14"/>
  <c r="BV199" i="14"/>
  <c r="BN143" i="14"/>
  <c r="BV143" i="14"/>
  <c r="CD143" i="14"/>
  <c r="CL143" i="14"/>
  <c r="BR199" i="14"/>
  <c r="BZ199" i="14"/>
  <c r="CH199" i="14"/>
  <c r="CF143" i="14"/>
  <c r="CB199" i="14"/>
  <c r="BN199" i="14"/>
  <c r="BO143" i="14"/>
  <c r="BW143" i="14"/>
  <c r="CE143" i="14"/>
  <c r="CM143" i="14"/>
  <c r="BS199" i="14"/>
  <c r="CA199" i="14"/>
  <c r="CI199" i="14"/>
  <c r="CD199" i="14"/>
  <c r="BQ143" i="14"/>
  <c r="BY143" i="14"/>
  <c r="CG143" i="14"/>
  <c r="CO143" i="14"/>
  <c r="BU199" i="14"/>
  <c r="CC199" i="14"/>
  <c r="CK199" i="14"/>
  <c r="BR143" i="14"/>
  <c r="BZ143" i="14"/>
  <c r="CH143" i="14"/>
  <c r="BS119" i="17"/>
  <c r="CA119" i="17"/>
  <c r="CI119" i="17"/>
  <c r="BT119" i="17"/>
  <c r="CB119" i="17"/>
  <c r="CJ119" i="17"/>
  <c r="BM119" i="17"/>
  <c r="BU119" i="17"/>
  <c r="CC119" i="17"/>
  <c r="CK119" i="17"/>
  <c r="BN119" i="17"/>
  <c r="BV119" i="17"/>
  <c r="CD119" i="17"/>
  <c r="CL119" i="17"/>
  <c r="BP119" i="17"/>
  <c r="BX119" i="17"/>
  <c r="CF119" i="17"/>
  <c r="CN119" i="17"/>
  <c r="BQ119" i="17"/>
  <c r="BY119" i="17"/>
  <c r="CG119" i="17"/>
  <c r="BR119" i="17"/>
  <c r="BZ119" i="17"/>
  <c r="CH119" i="17"/>
  <c r="CM119" i="17"/>
  <c r="BO119" i="17"/>
  <c r="BW119" i="17"/>
  <c r="CE119" i="17"/>
  <c r="AJ175" i="17"/>
  <c r="AR175" i="17"/>
  <c r="AZ175" i="17"/>
  <c r="BH175" i="17"/>
  <c r="AK175" i="17"/>
  <c r="AS175" i="17"/>
  <c r="BA175" i="17"/>
  <c r="AL175" i="17"/>
  <c r="AT175" i="17"/>
  <c r="BB175" i="17"/>
  <c r="AM175" i="17"/>
  <c r="AU175" i="17"/>
  <c r="BC175" i="17"/>
  <c r="AN175" i="17"/>
  <c r="AV175" i="17"/>
  <c r="BD175" i="17"/>
  <c r="AG175" i="17"/>
  <c r="AO175" i="17"/>
  <c r="AW175" i="17"/>
  <c r="BE175" i="17"/>
  <c r="AH175" i="17"/>
  <c r="AP175" i="17"/>
  <c r="AX175" i="17"/>
  <c r="BF175" i="17"/>
  <c r="AQ175" i="17"/>
  <c r="AH119" i="17"/>
  <c r="AP119" i="17"/>
  <c r="AX119" i="17"/>
  <c r="BF119" i="17"/>
  <c r="AY175" i="17"/>
  <c r="AI119" i="17"/>
  <c r="AQ119" i="17"/>
  <c r="AY119" i="17"/>
  <c r="BG119" i="17"/>
  <c r="BG175" i="17"/>
  <c r="AJ119" i="17"/>
  <c r="AR119" i="17"/>
  <c r="AZ119" i="17"/>
  <c r="BH119" i="17"/>
  <c r="AK119" i="17"/>
  <c r="AS119" i="17"/>
  <c r="BA119" i="17"/>
  <c r="AL119" i="17"/>
  <c r="AT119" i="17"/>
  <c r="BB119" i="17"/>
  <c r="AM119" i="17"/>
  <c r="AU119" i="17"/>
  <c r="BC119" i="17"/>
  <c r="AN119" i="17"/>
  <c r="AV119" i="17"/>
  <c r="BD119" i="17"/>
  <c r="BE119" i="17"/>
  <c r="D175" i="17"/>
  <c r="L175" i="17"/>
  <c r="T175" i="17"/>
  <c r="AB175" i="17"/>
  <c r="E175" i="17"/>
  <c r="M175" i="17"/>
  <c r="U175" i="17"/>
  <c r="AC175" i="17"/>
  <c r="I119" i="17"/>
  <c r="Q119" i="17"/>
  <c r="Y119" i="17"/>
  <c r="F175" i="17"/>
  <c r="N175" i="17"/>
  <c r="V175" i="17"/>
  <c r="B119" i="17"/>
  <c r="J119" i="17"/>
  <c r="R119" i="17"/>
  <c r="Z119" i="17"/>
  <c r="G175" i="17"/>
  <c r="O175" i="17"/>
  <c r="W175" i="17"/>
  <c r="C119" i="17"/>
  <c r="K119" i="17"/>
  <c r="S119" i="17"/>
  <c r="AA119" i="17"/>
  <c r="H175" i="17"/>
  <c r="P175" i="17"/>
  <c r="X175" i="17"/>
  <c r="D119" i="17"/>
  <c r="L119" i="17"/>
  <c r="T119" i="17"/>
  <c r="AB119" i="17"/>
  <c r="AI175" i="17"/>
  <c r="AG119" i="17"/>
  <c r="I175" i="17"/>
  <c r="Q175" i="17"/>
  <c r="Y175" i="17"/>
  <c r="E119" i="17"/>
  <c r="M119" i="17"/>
  <c r="U119" i="17"/>
  <c r="AC119" i="17"/>
  <c r="AO119" i="17"/>
  <c r="B175" i="17"/>
  <c r="J175" i="17"/>
  <c r="R175" i="17"/>
  <c r="Z175" i="17"/>
  <c r="F119" i="17"/>
  <c r="X119" i="17"/>
  <c r="GL121" i="14"/>
  <c r="GT121" i="14"/>
  <c r="HB121" i="14"/>
  <c r="HJ121" i="14"/>
  <c r="G119" i="17"/>
  <c r="GM121" i="14"/>
  <c r="GU121" i="14"/>
  <c r="HC121" i="14"/>
  <c r="AW119" i="17"/>
  <c r="H119" i="17"/>
  <c r="GN121" i="14"/>
  <c r="GV121" i="14"/>
  <c r="HD121" i="14"/>
  <c r="C175" i="17"/>
  <c r="N119" i="17"/>
  <c r="GO121" i="14"/>
  <c r="GW121" i="14"/>
  <c r="HE121" i="14"/>
  <c r="K175" i="17"/>
  <c r="O119" i="17"/>
  <c r="GP121" i="14"/>
  <c r="GX121" i="14"/>
  <c r="HF121" i="14"/>
  <c r="AA175" i="17"/>
  <c r="V119" i="17"/>
  <c r="GJ121" i="14"/>
  <c r="GR121" i="14"/>
  <c r="GZ121" i="14"/>
  <c r="HH121" i="14"/>
  <c r="HA121" i="14"/>
  <c r="FG121" i="14"/>
  <c r="FO121" i="14"/>
  <c r="FW121" i="14"/>
  <c r="HG121" i="14"/>
  <c r="FH121" i="14"/>
  <c r="FP121" i="14"/>
  <c r="FX121" i="14"/>
  <c r="FD177" i="14"/>
  <c r="FL177" i="14"/>
  <c r="FT177" i="14"/>
  <c r="GB177" i="14"/>
  <c r="HI121" i="14"/>
  <c r="FI121" i="14"/>
  <c r="FQ121" i="14"/>
  <c r="FY121" i="14"/>
  <c r="FE177" i="14"/>
  <c r="FM177" i="14"/>
  <c r="FU177" i="14"/>
  <c r="GC177" i="14"/>
  <c r="GI121" i="14"/>
  <c r="FJ121" i="14"/>
  <c r="FR121" i="14"/>
  <c r="FZ121" i="14"/>
  <c r="FF177" i="14"/>
  <c r="FN177" i="14"/>
  <c r="FV177" i="14"/>
  <c r="GD177" i="14"/>
  <c r="GK121" i="14"/>
  <c r="FC121" i="14"/>
  <c r="FK121" i="14"/>
  <c r="FS121" i="14"/>
  <c r="GA121" i="14"/>
  <c r="FG177" i="14"/>
  <c r="FO177" i="14"/>
  <c r="FW177" i="14"/>
  <c r="W119" i="17"/>
  <c r="GS121" i="14"/>
  <c r="FE121" i="14"/>
  <c r="FM121" i="14"/>
  <c r="FU121" i="14"/>
  <c r="GC121" i="14"/>
  <c r="FI177" i="14"/>
  <c r="FQ177" i="14"/>
  <c r="FY177" i="14"/>
  <c r="FN121" i="14"/>
  <c r="FC177" i="14"/>
  <c r="FZ177" i="14"/>
  <c r="ED177" i="14"/>
  <c r="EL177" i="14"/>
  <c r="ET177" i="14"/>
  <c r="FT121" i="14"/>
  <c r="FH177" i="14"/>
  <c r="GA177" i="14"/>
  <c r="EE177" i="14"/>
  <c r="EM177" i="14"/>
  <c r="EU177" i="14"/>
  <c r="FV121" i="14"/>
  <c r="FJ177" i="14"/>
  <c r="DX177" i="14"/>
  <c r="EF177" i="14"/>
  <c r="EN177" i="14"/>
  <c r="EV177" i="14"/>
  <c r="GQ121" i="14"/>
  <c r="GB121" i="14"/>
  <c r="FK177" i="14"/>
  <c r="DY177" i="14"/>
  <c r="EG177" i="14"/>
  <c r="EO177" i="14"/>
  <c r="EW177" i="14"/>
  <c r="GY121" i="14"/>
  <c r="GD121" i="14"/>
  <c r="FP177" i="14"/>
  <c r="DZ177" i="14"/>
  <c r="EH177" i="14"/>
  <c r="EP177" i="14"/>
  <c r="EX177" i="14"/>
  <c r="FF121" i="14"/>
  <c r="FS177" i="14"/>
  <c r="EB177" i="14"/>
  <c r="EJ177" i="14"/>
  <c r="ER177" i="14"/>
  <c r="FL121" i="14"/>
  <c r="FX177" i="14"/>
  <c r="DZ121" i="14"/>
  <c r="EH121" i="14"/>
  <c r="EP121" i="14"/>
  <c r="EX121" i="14"/>
  <c r="EA177" i="14"/>
  <c r="EA121" i="14"/>
  <c r="EI121" i="14"/>
  <c r="EQ121" i="14"/>
  <c r="EY121" i="14"/>
  <c r="CZ177" i="14"/>
  <c r="DH177" i="14"/>
  <c r="DP177" i="14"/>
  <c r="EC177" i="14"/>
  <c r="EB121" i="14"/>
  <c r="EJ121" i="14"/>
  <c r="ER121" i="14"/>
  <c r="CS177" i="14"/>
  <c r="DA177" i="14"/>
  <c r="DI177" i="14"/>
  <c r="DQ177" i="14"/>
  <c r="EI177" i="14"/>
  <c r="EC121" i="14"/>
  <c r="EK121" i="14"/>
  <c r="ES121" i="14"/>
  <c r="CT177" i="14"/>
  <c r="DB177" i="14"/>
  <c r="DJ177" i="14"/>
  <c r="DR177" i="14"/>
  <c r="EK177" i="14"/>
  <c r="ED121" i="14"/>
  <c r="EL121" i="14"/>
  <c r="ET121" i="14"/>
  <c r="CU177" i="14"/>
  <c r="DC177" i="14"/>
  <c r="DK177" i="14"/>
  <c r="DS177" i="14"/>
  <c r="ES177" i="14"/>
  <c r="DX121" i="14"/>
  <c r="EF121" i="14"/>
  <c r="EN121" i="14"/>
  <c r="EV121" i="14"/>
  <c r="CW177" i="14"/>
  <c r="DE177" i="14"/>
  <c r="DM177" i="14"/>
  <c r="FD121" i="14"/>
  <c r="FR177" i="14"/>
  <c r="EO121" i="14"/>
  <c r="DL177" i="14"/>
  <c r="CY121" i="14"/>
  <c r="DG121" i="14"/>
  <c r="DO121" i="14"/>
  <c r="AC177" i="14"/>
  <c r="AK177" i="14"/>
  <c r="AS177" i="14"/>
  <c r="BA177" i="14"/>
  <c r="AC121" i="14"/>
  <c r="AK121" i="14"/>
  <c r="AS121" i="14"/>
  <c r="BA121" i="14"/>
  <c r="EU121" i="14"/>
  <c r="DN177" i="14"/>
  <c r="CZ121" i="14"/>
  <c r="DH121" i="14"/>
  <c r="DP121" i="14"/>
  <c r="AD177" i="14"/>
  <c r="AL177" i="14"/>
  <c r="AT177" i="14"/>
  <c r="BB177" i="14"/>
  <c r="AD121" i="14"/>
  <c r="AL121" i="14"/>
  <c r="AT121" i="14"/>
  <c r="BB121" i="14"/>
  <c r="EW121" i="14"/>
  <c r="CV177" i="14"/>
  <c r="DO177" i="14"/>
  <c r="CS121" i="14"/>
  <c r="DA121" i="14"/>
  <c r="DI121" i="14"/>
  <c r="DQ121" i="14"/>
  <c r="AE177" i="14"/>
  <c r="AM177" i="14"/>
  <c r="AU177" i="14"/>
  <c r="AE121" i="14"/>
  <c r="AM121" i="14"/>
  <c r="AU121" i="14"/>
  <c r="CX177" i="14"/>
  <c r="DT177" i="14"/>
  <c r="CT121" i="14"/>
  <c r="DB121" i="14"/>
  <c r="DJ121" i="14"/>
  <c r="DR121" i="14"/>
  <c r="AF177" i="14"/>
  <c r="AN177" i="14"/>
  <c r="AV177" i="14"/>
  <c r="AF121" i="14"/>
  <c r="AN121" i="14"/>
  <c r="AV121" i="14"/>
  <c r="DY121" i="14"/>
  <c r="CY177" i="14"/>
  <c r="CU121" i="14"/>
  <c r="DC121" i="14"/>
  <c r="DK121" i="14"/>
  <c r="DS121" i="14"/>
  <c r="AG177" i="14"/>
  <c r="AO177" i="14"/>
  <c r="AW177" i="14"/>
  <c r="AG121" i="14"/>
  <c r="AO121" i="14"/>
  <c r="AW121" i="14"/>
  <c r="S175" i="17"/>
  <c r="EY177" i="14"/>
  <c r="EG121" i="14"/>
  <c r="DF177" i="14"/>
  <c r="CW121" i="14"/>
  <c r="DE121" i="14"/>
  <c r="DM121" i="14"/>
  <c r="AA177" i="14"/>
  <c r="AI177" i="14"/>
  <c r="AQ177" i="14"/>
  <c r="AY177" i="14"/>
  <c r="AA121" i="14"/>
  <c r="AI121" i="14"/>
  <c r="AQ121" i="14"/>
  <c r="AY121" i="14"/>
  <c r="EM121" i="14"/>
  <c r="DF121" i="14"/>
  <c r="AZ177" i="14"/>
  <c r="AJ121" i="14"/>
  <c r="DL121" i="14"/>
  <c r="AP121" i="14"/>
  <c r="DN121" i="14"/>
  <c r="AB177" i="14"/>
  <c r="AR121" i="14"/>
  <c r="DT121" i="14"/>
  <c r="AH177" i="14"/>
  <c r="AX121" i="14"/>
  <c r="P119" i="17"/>
  <c r="DG177" i="14"/>
  <c r="CX121" i="14"/>
  <c r="AR177" i="14"/>
  <c r="AB121" i="14"/>
  <c r="EE121" i="14"/>
  <c r="DD121" i="14"/>
  <c r="AX177" i="14"/>
  <c r="AH121" i="14"/>
  <c r="AZ121" i="14"/>
  <c r="M173" i="6"/>
  <c r="U173" i="6"/>
  <c r="AC173" i="6"/>
  <c r="N173" i="6"/>
  <c r="V173" i="6"/>
  <c r="AD173" i="6"/>
  <c r="O173" i="6"/>
  <c r="W173" i="6"/>
  <c r="AE173" i="6"/>
  <c r="DD177" i="14"/>
  <c r="CV121" i="14"/>
  <c r="P173" i="6"/>
  <c r="X173" i="6"/>
  <c r="AF173" i="6"/>
  <c r="K173" i="6"/>
  <c r="S173" i="6"/>
  <c r="AA173" i="6"/>
  <c r="AI173" i="6"/>
  <c r="AJ177" i="14"/>
  <c r="L173" i="6"/>
  <c r="T173" i="6"/>
  <c r="AB173" i="6"/>
  <c r="AJ173" i="6"/>
  <c r="AP177" i="14"/>
  <c r="AG173" i="6"/>
  <c r="AH173" i="6"/>
  <c r="Z173" i="6"/>
  <c r="I173" i="6"/>
  <c r="I65" i="2" s="1"/>
  <c r="J173" i="6"/>
  <c r="Q173" i="6"/>
  <c r="R173" i="6"/>
  <c r="EQ177" i="14"/>
  <c r="Y173" i="6"/>
  <c r="BS121" i="14"/>
  <c r="CA121" i="14"/>
  <c r="CI121" i="14"/>
  <c r="BO177" i="14"/>
  <c r="BW177" i="14"/>
  <c r="CE177" i="14"/>
  <c r="CM177" i="14"/>
  <c r="BN177" i="14"/>
  <c r="BT121" i="14"/>
  <c r="CB121" i="14"/>
  <c r="CJ121" i="14"/>
  <c r="BP177" i="14"/>
  <c r="BX177" i="14"/>
  <c r="CF177" i="14"/>
  <c r="CN177" i="14"/>
  <c r="CF121" i="14"/>
  <c r="CB177" i="14"/>
  <c r="BU121" i="14"/>
  <c r="CC121" i="14"/>
  <c r="CK121" i="14"/>
  <c r="BQ177" i="14"/>
  <c r="BY177" i="14"/>
  <c r="CG177" i="14"/>
  <c r="CO177" i="14"/>
  <c r="BX121" i="14"/>
  <c r="BT177" i="14"/>
  <c r="CL177" i="14"/>
  <c r="BN121" i="14"/>
  <c r="BV121" i="14"/>
  <c r="CD121" i="14"/>
  <c r="CL121" i="14"/>
  <c r="BR177" i="14"/>
  <c r="BZ177" i="14"/>
  <c r="CH177" i="14"/>
  <c r="BP121" i="14"/>
  <c r="CJ177" i="14"/>
  <c r="BO121" i="14"/>
  <c r="BW121" i="14"/>
  <c r="CE121" i="14"/>
  <c r="CM121" i="14"/>
  <c r="BS177" i="14"/>
  <c r="CA177" i="14"/>
  <c r="CI177" i="14"/>
  <c r="CN121" i="14"/>
  <c r="CD177" i="14"/>
  <c r="BQ121" i="14"/>
  <c r="BY121" i="14"/>
  <c r="CG121" i="14"/>
  <c r="CO121" i="14"/>
  <c r="BU177" i="14"/>
  <c r="CC177" i="14"/>
  <c r="CK177" i="14"/>
  <c r="BR121" i="14"/>
  <c r="BZ121" i="14"/>
  <c r="CH121" i="14"/>
  <c r="BV177" i="14"/>
  <c r="BS129" i="17"/>
  <c r="CA129" i="17"/>
  <c r="CI129" i="17"/>
  <c r="BT129" i="17"/>
  <c r="CB129" i="17"/>
  <c r="CJ129" i="17"/>
  <c r="BM129" i="17"/>
  <c r="BU129" i="17"/>
  <c r="CC129" i="17"/>
  <c r="CK129" i="17"/>
  <c r="BN129" i="17"/>
  <c r="BV129" i="17"/>
  <c r="CD129" i="17"/>
  <c r="CL129" i="17"/>
  <c r="BP129" i="17"/>
  <c r="BX129" i="17"/>
  <c r="CF129" i="17"/>
  <c r="CN129" i="17"/>
  <c r="BQ129" i="17"/>
  <c r="BY129" i="17"/>
  <c r="CG129" i="17"/>
  <c r="BR129" i="17"/>
  <c r="BZ129" i="17"/>
  <c r="CH129" i="17"/>
  <c r="BO129" i="17"/>
  <c r="CE129" i="17"/>
  <c r="CM129" i="17"/>
  <c r="AJ185" i="17"/>
  <c r="AR185" i="17"/>
  <c r="AZ185" i="17"/>
  <c r="BH185" i="17"/>
  <c r="BW129" i="17"/>
  <c r="AK185" i="17"/>
  <c r="AS185" i="17"/>
  <c r="BA185" i="17"/>
  <c r="AL185" i="17"/>
  <c r="AT185" i="17"/>
  <c r="BB185" i="17"/>
  <c r="AM185" i="17"/>
  <c r="AU185" i="17"/>
  <c r="BC185" i="17"/>
  <c r="AN185" i="17"/>
  <c r="AV185" i="17"/>
  <c r="BD185" i="17"/>
  <c r="AG185" i="17"/>
  <c r="AO185" i="17"/>
  <c r="AW185" i="17"/>
  <c r="BE185" i="17"/>
  <c r="AH185" i="17"/>
  <c r="AP185" i="17"/>
  <c r="AX185" i="17"/>
  <c r="BF185" i="17"/>
  <c r="AH129" i="17"/>
  <c r="AP129" i="17"/>
  <c r="AX129" i="17"/>
  <c r="BF129" i="17"/>
  <c r="AI129" i="17"/>
  <c r="AQ129" i="17"/>
  <c r="AY129" i="17"/>
  <c r="BG129" i="17"/>
  <c r="AI185" i="17"/>
  <c r="AJ129" i="17"/>
  <c r="AR129" i="17"/>
  <c r="AZ129" i="17"/>
  <c r="BH129" i="17"/>
  <c r="AQ185" i="17"/>
  <c r="AK129" i="17"/>
  <c r="AS129" i="17"/>
  <c r="BA129" i="17"/>
  <c r="AY185" i="17"/>
  <c r="AL129" i="17"/>
  <c r="AT129" i="17"/>
  <c r="BB129" i="17"/>
  <c r="BG185" i="17"/>
  <c r="AM129" i="17"/>
  <c r="AU129" i="17"/>
  <c r="BC129" i="17"/>
  <c r="AN129" i="17"/>
  <c r="AV129" i="17"/>
  <c r="BD129" i="17"/>
  <c r="AG129" i="17"/>
  <c r="D185" i="17"/>
  <c r="L185" i="17"/>
  <c r="T185" i="17"/>
  <c r="AB185" i="17"/>
  <c r="AO129" i="17"/>
  <c r="E185" i="17"/>
  <c r="M185" i="17"/>
  <c r="U185" i="17"/>
  <c r="AC185" i="17"/>
  <c r="I129" i="17"/>
  <c r="AW129" i="17"/>
  <c r="F185" i="17"/>
  <c r="N185" i="17"/>
  <c r="V185" i="17"/>
  <c r="B129" i="17"/>
  <c r="J129" i="17"/>
  <c r="R129" i="17"/>
  <c r="BE129" i="17"/>
  <c r="G185" i="17"/>
  <c r="O185" i="17"/>
  <c r="W185" i="17"/>
  <c r="C129" i="17"/>
  <c r="K129" i="17"/>
  <c r="H185" i="17"/>
  <c r="P185" i="17"/>
  <c r="X185" i="17"/>
  <c r="D129" i="17"/>
  <c r="L129" i="17"/>
  <c r="T129" i="17"/>
  <c r="I185" i="17"/>
  <c r="Q185" i="17"/>
  <c r="Y185" i="17"/>
  <c r="E129" i="17"/>
  <c r="M129" i="17"/>
  <c r="U129" i="17"/>
  <c r="B185" i="17"/>
  <c r="J185" i="17"/>
  <c r="R185" i="17"/>
  <c r="Z185" i="17"/>
  <c r="S185" i="17"/>
  <c r="S129" i="17"/>
  <c r="AC129" i="17"/>
  <c r="GL131" i="14"/>
  <c r="GT131" i="14"/>
  <c r="HB131" i="14"/>
  <c r="HJ131" i="14"/>
  <c r="AA185" i="17"/>
  <c r="F129" i="17"/>
  <c r="V129" i="17"/>
  <c r="GM131" i="14"/>
  <c r="GU131" i="14"/>
  <c r="HC131" i="14"/>
  <c r="G129" i="17"/>
  <c r="W129" i="17"/>
  <c r="GN131" i="14"/>
  <c r="GV131" i="14"/>
  <c r="HD131" i="14"/>
  <c r="H129" i="17"/>
  <c r="X129" i="17"/>
  <c r="GO131" i="14"/>
  <c r="GW131" i="14"/>
  <c r="HE131" i="14"/>
  <c r="N129" i="17"/>
  <c r="Y129" i="17"/>
  <c r="GP131" i="14"/>
  <c r="GX131" i="14"/>
  <c r="HF131" i="14"/>
  <c r="C185" i="17"/>
  <c r="P129" i="17"/>
  <c r="AA129" i="17"/>
  <c r="GJ131" i="14"/>
  <c r="GR131" i="14"/>
  <c r="GZ131" i="14"/>
  <c r="HH131" i="14"/>
  <c r="Q129" i="17"/>
  <c r="HI131" i="14"/>
  <c r="FG131" i="14"/>
  <c r="FO131" i="14"/>
  <c r="FW131" i="14"/>
  <c r="Z129" i="17"/>
  <c r="GI131" i="14"/>
  <c r="FH131" i="14"/>
  <c r="FP131" i="14"/>
  <c r="FX131" i="14"/>
  <c r="AB129" i="17"/>
  <c r="GK131" i="14"/>
  <c r="FI131" i="14"/>
  <c r="FQ131" i="14"/>
  <c r="FY131" i="14"/>
  <c r="GQ131" i="14"/>
  <c r="FJ131" i="14"/>
  <c r="FR131" i="14"/>
  <c r="FZ131" i="14"/>
  <c r="GS131" i="14"/>
  <c r="FC131" i="14"/>
  <c r="FK131" i="14"/>
  <c r="FS131" i="14"/>
  <c r="GA131" i="14"/>
  <c r="K185" i="17"/>
  <c r="HA131" i="14"/>
  <c r="FE131" i="14"/>
  <c r="FM131" i="14"/>
  <c r="FU131" i="14"/>
  <c r="GC131" i="14"/>
  <c r="FV131" i="14"/>
  <c r="FE187" i="14"/>
  <c r="FM187" i="14"/>
  <c r="FU187" i="14"/>
  <c r="GC187" i="14"/>
  <c r="ED187" i="14"/>
  <c r="EL187" i="14"/>
  <c r="ET187" i="14"/>
  <c r="GB131" i="14"/>
  <c r="FF187" i="14"/>
  <c r="FN187" i="14"/>
  <c r="FV187" i="14"/>
  <c r="GD187" i="14"/>
  <c r="EE187" i="14"/>
  <c r="EM187" i="14"/>
  <c r="EU187" i="14"/>
  <c r="GD131" i="14"/>
  <c r="FG187" i="14"/>
  <c r="FO187" i="14"/>
  <c r="FW187" i="14"/>
  <c r="DX187" i="14"/>
  <c r="EF187" i="14"/>
  <c r="EN187" i="14"/>
  <c r="EV187" i="14"/>
  <c r="FD131" i="14"/>
  <c r="FH187" i="14"/>
  <c r="FP187" i="14"/>
  <c r="FX187" i="14"/>
  <c r="DY187" i="14"/>
  <c r="EG187" i="14"/>
  <c r="EO187" i="14"/>
  <c r="EW187" i="14"/>
  <c r="O129" i="17"/>
  <c r="FF131" i="14"/>
  <c r="FI187" i="14"/>
  <c r="FQ187" i="14"/>
  <c r="FY187" i="14"/>
  <c r="DZ187" i="14"/>
  <c r="EH187" i="14"/>
  <c r="EP187" i="14"/>
  <c r="EX187" i="14"/>
  <c r="HG131" i="14"/>
  <c r="FN131" i="14"/>
  <c r="FC187" i="14"/>
  <c r="FK187" i="14"/>
  <c r="FS187" i="14"/>
  <c r="GA187" i="14"/>
  <c r="EB187" i="14"/>
  <c r="EJ187" i="14"/>
  <c r="ER187" i="14"/>
  <c r="GB187" i="14"/>
  <c r="EC187" i="14"/>
  <c r="DZ131" i="14"/>
  <c r="EH131" i="14"/>
  <c r="EP131" i="14"/>
  <c r="EX131" i="14"/>
  <c r="FL131" i="14"/>
  <c r="EI187" i="14"/>
  <c r="EA131" i="14"/>
  <c r="EI131" i="14"/>
  <c r="EQ131" i="14"/>
  <c r="EY131" i="14"/>
  <c r="FT131" i="14"/>
  <c r="FD187" i="14"/>
  <c r="EK187" i="14"/>
  <c r="EB131" i="14"/>
  <c r="EJ131" i="14"/>
  <c r="ER131" i="14"/>
  <c r="FJ187" i="14"/>
  <c r="EQ187" i="14"/>
  <c r="EC131" i="14"/>
  <c r="EK131" i="14"/>
  <c r="ES131" i="14"/>
  <c r="FL187" i="14"/>
  <c r="ES187" i="14"/>
  <c r="ED131" i="14"/>
  <c r="EL131" i="14"/>
  <c r="ET131" i="14"/>
  <c r="FT187" i="14"/>
  <c r="DX131" i="14"/>
  <c r="EF131" i="14"/>
  <c r="EN131" i="14"/>
  <c r="EV131" i="14"/>
  <c r="EW131" i="14"/>
  <c r="CZ187" i="14"/>
  <c r="DH187" i="14"/>
  <c r="DP187" i="14"/>
  <c r="CY131" i="14"/>
  <c r="DG131" i="14"/>
  <c r="DO131" i="14"/>
  <c r="AC187" i="14"/>
  <c r="AK187" i="14"/>
  <c r="AS187" i="14"/>
  <c r="BA187" i="14"/>
  <c r="CS187" i="14"/>
  <c r="DA187" i="14"/>
  <c r="DI187" i="14"/>
  <c r="DQ187" i="14"/>
  <c r="CZ131" i="14"/>
  <c r="DH131" i="14"/>
  <c r="DP131" i="14"/>
  <c r="AD187" i="14"/>
  <c r="AL187" i="14"/>
  <c r="AT187" i="14"/>
  <c r="BB187" i="14"/>
  <c r="AD131" i="14"/>
  <c r="AL131" i="14"/>
  <c r="AT131" i="14"/>
  <c r="BB131" i="14"/>
  <c r="DY131" i="14"/>
  <c r="CT187" i="14"/>
  <c r="DB187" i="14"/>
  <c r="DJ187" i="14"/>
  <c r="DR187" i="14"/>
  <c r="CS131" i="14"/>
  <c r="DA131" i="14"/>
  <c r="DI131" i="14"/>
  <c r="DQ131" i="14"/>
  <c r="AE187" i="14"/>
  <c r="AM187" i="14"/>
  <c r="AU187" i="14"/>
  <c r="AE131" i="14"/>
  <c r="AM131" i="14"/>
  <c r="AU131" i="14"/>
  <c r="EE131" i="14"/>
  <c r="CU187" i="14"/>
  <c r="DC187" i="14"/>
  <c r="DK187" i="14"/>
  <c r="DS187" i="14"/>
  <c r="CT131" i="14"/>
  <c r="DB131" i="14"/>
  <c r="DJ131" i="14"/>
  <c r="DR131" i="14"/>
  <c r="AF187" i="14"/>
  <c r="AN187" i="14"/>
  <c r="AV187" i="14"/>
  <c r="AF131" i="14"/>
  <c r="AN131" i="14"/>
  <c r="AV131" i="14"/>
  <c r="EG131" i="14"/>
  <c r="CV187" i="14"/>
  <c r="DD187" i="14"/>
  <c r="DL187" i="14"/>
  <c r="DT187" i="14"/>
  <c r="CU131" i="14"/>
  <c r="DC131" i="14"/>
  <c r="DK131" i="14"/>
  <c r="DS131" i="14"/>
  <c r="AG187" i="14"/>
  <c r="AO187" i="14"/>
  <c r="AW187" i="14"/>
  <c r="AG131" i="14"/>
  <c r="AO131" i="14"/>
  <c r="AW131" i="14"/>
  <c r="FZ187" i="14"/>
  <c r="EA187" i="14"/>
  <c r="EO131" i="14"/>
  <c r="CX187" i="14"/>
  <c r="DF187" i="14"/>
  <c r="DN187" i="14"/>
  <c r="CW131" i="14"/>
  <c r="DE131" i="14"/>
  <c r="DM131" i="14"/>
  <c r="AA187" i="14"/>
  <c r="AI187" i="14"/>
  <c r="AQ187" i="14"/>
  <c r="AY187" i="14"/>
  <c r="AA131" i="14"/>
  <c r="AI131" i="14"/>
  <c r="AQ131" i="14"/>
  <c r="AY131" i="14"/>
  <c r="DG187" i="14"/>
  <c r="DN131" i="14"/>
  <c r="AB187" i="14"/>
  <c r="AH131" i="14"/>
  <c r="BA131" i="14"/>
  <c r="EM131" i="14"/>
  <c r="DM187" i="14"/>
  <c r="DT131" i="14"/>
  <c r="AH187" i="14"/>
  <c r="EY187" i="14"/>
  <c r="EU131" i="14"/>
  <c r="DO187" i="14"/>
  <c r="AJ187" i="14"/>
  <c r="FR187" i="14"/>
  <c r="CV131" i="14"/>
  <c r="AP187" i="14"/>
  <c r="AP131" i="14"/>
  <c r="CY187" i="14"/>
  <c r="DF131" i="14"/>
  <c r="AZ187" i="14"/>
  <c r="AB131" i="14"/>
  <c r="AX131" i="14"/>
  <c r="GY131" i="14"/>
  <c r="DE187" i="14"/>
  <c r="DL131" i="14"/>
  <c r="AC131" i="14"/>
  <c r="AZ131" i="14"/>
  <c r="AS131" i="14"/>
  <c r="M183" i="6"/>
  <c r="U183" i="6"/>
  <c r="AC183" i="6"/>
  <c r="N183" i="6"/>
  <c r="V183" i="6"/>
  <c r="AD183" i="6"/>
  <c r="O183" i="6"/>
  <c r="W183" i="6"/>
  <c r="AE183" i="6"/>
  <c r="P183" i="6"/>
  <c r="X183" i="6"/>
  <c r="AF183" i="6"/>
  <c r="AR187" i="14"/>
  <c r="AK131" i="14"/>
  <c r="K183" i="6"/>
  <c r="S183" i="6"/>
  <c r="AA183" i="6"/>
  <c r="AI183" i="6"/>
  <c r="AX187" i="14"/>
  <c r="AR131" i="14"/>
  <c r="L183" i="6"/>
  <c r="T183" i="6"/>
  <c r="AB183" i="6"/>
  <c r="AJ183" i="6"/>
  <c r="CX131" i="14"/>
  <c r="I183" i="6"/>
  <c r="I78" i="2" s="1"/>
  <c r="Z183" i="6"/>
  <c r="J183" i="6"/>
  <c r="Q183" i="6"/>
  <c r="AJ131" i="14"/>
  <c r="R183" i="6"/>
  <c r="CW187" i="14"/>
  <c r="Y183" i="6"/>
  <c r="AG183" i="6"/>
  <c r="DD131" i="14"/>
  <c r="AH183" i="6"/>
  <c r="BS131" i="14"/>
  <c r="CA131" i="14"/>
  <c r="CI131" i="14"/>
  <c r="BO187" i="14"/>
  <c r="BW187" i="14"/>
  <c r="CE187" i="14"/>
  <c r="CM187" i="14"/>
  <c r="BN187" i="14"/>
  <c r="BT131" i="14"/>
  <c r="CB131" i="14"/>
  <c r="CJ131" i="14"/>
  <c r="BP187" i="14"/>
  <c r="BX187" i="14"/>
  <c r="CF187" i="14"/>
  <c r="CN187" i="14"/>
  <c r="CN131" i="14"/>
  <c r="CJ187" i="14"/>
  <c r="BV187" i="14"/>
  <c r="BU131" i="14"/>
  <c r="CC131" i="14"/>
  <c r="CK131" i="14"/>
  <c r="BQ187" i="14"/>
  <c r="BY187" i="14"/>
  <c r="CG187" i="14"/>
  <c r="CO187" i="14"/>
  <c r="BX131" i="14"/>
  <c r="CB187" i="14"/>
  <c r="CL187" i="14"/>
  <c r="BN131" i="14"/>
  <c r="BV131" i="14"/>
  <c r="CD131" i="14"/>
  <c r="CL131" i="14"/>
  <c r="BR187" i="14"/>
  <c r="BZ187" i="14"/>
  <c r="CH187" i="14"/>
  <c r="BP131" i="14"/>
  <c r="CD187" i="14"/>
  <c r="BO131" i="14"/>
  <c r="BW131" i="14"/>
  <c r="CE131" i="14"/>
  <c r="CM131" i="14"/>
  <c r="BS187" i="14"/>
  <c r="CA187" i="14"/>
  <c r="CI187" i="14"/>
  <c r="CF131" i="14"/>
  <c r="BT187" i="14"/>
  <c r="BQ131" i="14"/>
  <c r="BY131" i="14"/>
  <c r="CG131" i="14"/>
  <c r="CO131" i="14"/>
  <c r="BU187" i="14"/>
  <c r="CC187" i="14"/>
  <c r="CK187" i="14"/>
  <c r="BR131" i="14"/>
  <c r="BZ131" i="14"/>
  <c r="CH131" i="14"/>
  <c r="BS145" i="17"/>
  <c r="CA145" i="17"/>
  <c r="CI145" i="17"/>
  <c r="BM145" i="17"/>
  <c r="BU145" i="17"/>
  <c r="CC145" i="17"/>
  <c r="CK145" i="17"/>
  <c r="BN145" i="17"/>
  <c r="BV145" i="17"/>
  <c r="CD145" i="17"/>
  <c r="CL145" i="17"/>
  <c r="BO145" i="17"/>
  <c r="BW145" i="17"/>
  <c r="CE145" i="17"/>
  <c r="CM145" i="17"/>
  <c r="BP145" i="17"/>
  <c r="BX145" i="17"/>
  <c r="CF145" i="17"/>
  <c r="CN145" i="17"/>
  <c r="BQ145" i="17"/>
  <c r="BY145" i="17"/>
  <c r="CG145" i="17"/>
  <c r="BR145" i="17"/>
  <c r="AJ201" i="17"/>
  <c r="AR201" i="17"/>
  <c r="AZ201" i="17"/>
  <c r="BH201" i="17"/>
  <c r="BT145" i="17"/>
  <c r="AK201" i="17"/>
  <c r="AS201" i="17"/>
  <c r="BA201" i="17"/>
  <c r="BZ145" i="17"/>
  <c r="AL201" i="17"/>
  <c r="AT201" i="17"/>
  <c r="BB201" i="17"/>
  <c r="CB145" i="17"/>
  <c r="AM201" i="17"/>
  <c r="AU201" i="17"/>
  <c r="BC201" i="17"/>
  <c r="CH145" i="17"/>
  <c r="CJ145" i="17"/>
  <c r="AG201" i="17"/>
  <c r="AO201" i="17"/>
  <c r="AW201" i="17"/>
  <c r="BE201" i="17"/>
  <c r="AH201" i="17"/>
  <c r="AP201" i="17"/>
  <c r="AX201" i="17"/>
  <c r="BF201" i="17"/>
  <c r="AI201" i="17"/>
  <c r="AN201" i="17"/>
  <c r="AQ201" i="17"/>
  <c r="AV201" i="17"/>
  <c r="AY201" i="17"/>
  <c r="BD201" i="17"/>
  <c r="BG201" i="17"/>
  <c r="AM145" i="17"/>
  <c r="AU145" i="17"/>
  <c r="BC145" i="17"/>
  <c r="D201" i="17"/>
  <c r="L201" i="17"/>
  <c r="T201" i="17"/>
  <c r="AB201" i="17"/>
  <c r="AN145" i="17"/>
  <c r="AV145" i="17"/>
  <c r="BD145" i="17"/>
  <c r="E201" i="17"/>
  <c r="M201" i="17"/>
  <c r="U201" i="17"/>
  <c r="AC201" i="17"/>
  <c r="AG145" i="17"/>
  <c r="AO145" i="17"/>
  <c r="AW145" i="17"/>
  <c r="BE145" i="17"/>
  <c r="F201" i="17"/>
  <c r="N201" i="17"/>
  <c r="V201" i="17"/>
  <c r="AH145" i="17"/>
  <c r="AP145" i="17"/>
  <c r="AX145" i="17"/>
  <c r="BF145" i="17"/>
  <c r="G201" i="17"/>
  <c r="O201" i="17"/>
  <c r="W201" i="17"/>
  <c r="AI145" i="17"/>
  <c r="AQ145" i="17"/>
  <c r="AY145" i="17"/>
  <c r="BG145" i="17"/>
  <c r="H201" i="17"/>
  <c r="P201" i="17"/>
  <c r="X201" i="17"/>
  <c r="AJ145" i="17"/>
  <c r="AR145" i="17"/>
  <c r="AZ145" i="17"/>
  <c r="BH145" i="17"/>
  <c r="I201" i="17"/>
  <c r="Q201" i="17"/>
  <c r="Y201" i="17"/>
  <c r="AK145" i="17"/>
  <c r="AS145" i="17"/>
  <c r="BA145" i="17"/>
  <c r="B201" i="17"/>
  <c r="E145" i="17"/>
  <c r="M145" i="17"/>
  <c r="U145" i="17"/>
  <c r="AC145" i="17"/>
  <c r="C201" i="17"/>
  <c r="F145" i="17"/>
  <c r="N145" i="17"/>
  <c r="V145" i="17"/>
  <c r="GM147" i="14"/>
  <c r="GU147" i="14"/>
  <c r="HC147" i="14"/>
  <c r="J201" i="17"/>
  <c r="G145" i="17"/>
  <c r="O145" i="17"/>
  <c r="W145" i="17"/>
  <c r="GN147" i="14"/>
  <c r="GV147" i="14"/>
  <c r="HD147" i="14"/>
  <c r="K201" i="17"/>
  <c r="H145" i="17"/>
  <c r="P145" i="17"/>
  <c r="X145" i="17"/>
  <c r="GO147" i="14"/>
  <c r="GW147" i="14"/>
  <c r="HE147" i="14"/>
  <c r="AL145" i="17"/>
  <c r="R201" i="17"/>
  <c r="I145" i="17"/>
  <c r="Q145" i="17"/>
  <c r="Y145" i="17"/>
  <c r="GP147" i="14"/>
  <c r="GX147" i="14"/>
  <c r="HF147" i="14"/>
  <c r="BB145" i="17"/>
  <c r="Z201" i="17"/>
  <c r="C145" i="17"/>
  <c r="K145" i="17"/>
  <c r="S145" i="17"/>
  <c r="AA145" i="17"/>
  <c r="GJ147" i="14"/>
  <c r="GR147" i="14"/>
  <c r="GZ147" i="14"/>
  <c r="HH147" i="14"/>
  <c r="AA201" i="17"/>
  <c r="T145" i="17"/>
  <c r="GS147" i="14"/>
  <c r="FG147" i="14"/>
  <c r="FO147" i="14"/>
  <c r="FW147" i="14"/>
  <c r="Z145" i="17"/>
  <c r="GT147" i="14"/>
  <c r="FH147" i="14"/>
  <c r="FP147" i="14"/>
  <c r="FX147" i="14"/>
  <c r="AB145" i="17"/>
  <c r="GY147" i="14"/>
  <c r="FI147" i="14"/>
  <c r="FQ147" i="14"/>
  <c r="FY147" i="14"/>
  <c r="B145" i="17"/>
  <c r="HA147" i="14"/>
  <c r="FJ147" i="14"/>
  <c r="FR147" i="14"/>
  <c r="FZ147" i="14"/>
  <c r="D145" i="17"/>
  <c r="GI147" i="14"/>
  <c r="HB147" i="14"/>
  <c r="FC147" i="14"/>
  <c r="FK147" i="14"/>
  <c r="FS147" i="14"/>
  <c r="GA147" i="14"/>
  <c r="L145" i="17"/>
  <c r="GL147" i="14"/>
  <c r="HI147" i="14"/>
  <c r="FE147" i="14"/>
  <c r="FM147" i="14"/>
  <c r="FU147" i="14"/>
  <c r="GC147" i="14"/>
  <c r="AT145" i="17"/>
  <c r="R145" i="17"/>
  <c r="FV147" i="14"/>
  <c r="FE203" i="14"/>
  <c r="FM203" i="14"/>
  <c r="FU203" i="14"/>
  <c r="GC203" i="14"/>
  <c r="GB147" i="14"/>
  <c r="FF203" i="14"/>
  <c r="FN203" i="14"/>
  <c r="FV203" i="14"/>
  <c r="GD203" i="14"/>
  <c r="GD147" i="14"/>
  <c r="FG203" i="14"/>
  <c r="FO203" i="14"/>
  <c r="FW203" i="14"/>
  <c r="GK147" i="14"/>
  <c r="FD147" i="14"/>
  <c r="FH203" i="14"/>
  <c r="FP203" i="14"/>
  <c r="FX203" i="14"/>
  <c r="GQ147" i="14"/>
  <c r="FF147" i="14"/>
  <c r="FI203" i="14"/>
  <c r="FQ203" i="14"/>
  <c r="FY203" i="14"/>
  <c r="S201" i="17"/>
  <c r="HJ147" i="14"/>
  <c r="FN147" i="14"/>
  <c r="FC203" i="14"/>
  <c r="FK203" i="14"/>
  <c r="FS203" i="14"/>
  <c r="GA203" i="14"/>
  <c r="GB203" i="14"/>
  <c r="ED203" i="14"/>
  <c r="EL203" i="14"/>
  <c r="ET203" i="14"/>
  <c r="DZ147" i="14"/>
  <c r="EH147" i="14"/>
  <c r="EP147" i="14"/>
  <c r="EX147" i="14"/>
  <c r="EE203" i="14"/>
  <c r="EM203" i="14"/>
  <c r="EU203" i="14"/>
  <c r="EA147" i="14"/>
  <c r="EI147" i="14"/>
  <c r="EQ147" i="14"/>
  <c r="EY147" i="14"/>
  <c r="FD203" i="14"/>
  <c r="DX203" i="14"/>
  <c r="EF203" i="14"/>
  <c r="EN203" i="14"/>
  <c r="EV203" i="14"/>
  <c r="EB147" i="14"/>
  <c r="EJ147" i="14"/>
  <c r="ER147" i="14"/>
  <c r="FJ203" i="14"/>
  <c r="DY203" i="14"/>
  <c r="EG203" i="14"/>
  <c r="EO203" i="14"/>
  <c r="EW203" i="14"/>
  <c r="EC147" i="14"/>
  <c r="EK147" i="14"/>
  <c r="ES147" i="14"/>
  <c r="FL203" i="14"/>
  <c r="DZ203" i="14"/>
  <c r="EH203" i="14"/>
  <c r="EP203" i="14"/>
  <c r="EX203" i="14"/>
  <c r="ED147" i="14"/>
  <c r="EL147" i="14"/>
  <c r="ET147" i="14"/>
  <c r="J145" i="17"/>
  <c r="FT147" i="14"/>
  <c r="FT203" i="14"/>
  <c r="EB203" i="14"/>
  <c r="EJ203" i="14"/>
  <c r="ER203" i="14"/>
  <c r="DX147" i="14"/>
  <c r="EF147" i="14"/>
  <c r="EN147" i="14"/>
  <c r="EV147" i="14"/>
  <c r="EK203" i="14"/>
  <c r="EW147" i="14"/>
  <c r="CZ203" i="14"/>
  <c r="DH203" i="14"/>
  <c r="DP203" i="14"/>
  <c r="CY147" i="14"/>
  <c r="DG147" i="14"/>
  <c r="DO147" i="14"/>
  <c r="AC203" i="14"/>
  <c r="AK203" i="14"/>
  <c r="AS203" i="14"/>
  <c r="BA203" i="14"/>
  <c r="FR203" i="14"/>
  <c r="EQ203" i="14"/>
  <c r="CS203" i="14"/>
  <c r="DA203" i="14"/>
  <c r="DI203" i="14"/>
  <c r="DQ203" i="14"/>
  <c r="CZ147" i="14"/>
  <c r="DH147" i="14"/>
  <c r="DP147" i="14"/>
  <c r="AD203" i="14"/>
  <c r="AL203" i="14"/>
  <c r="AT203" i="14"/>
  <c r="BB203" i="14"/>
  <c r="FZ203" i="14"/>
  <c r="ES203" i="14"/>
  <c r="DY147" i="14"/>
  <c r="CT203" i="14"/>
  <c r="DB203" i="14"/>
  <c r="DJ203" i="14"/>
  <c r="DR203" i="14"/>
  <c r="CS147" i="14"/>
  <c r="DA147" i="14"/>
  <c r="DI147" i="14"/>
  <c r="DQ147" i="14"/>
  <c r="AE203" i="14"/>
  <c r="AM203" i="14"/>
  <c r="AU203" i="14"/>
  <c r="FL147" i="14"/>
  <c r="EY203" i="14"/>
  <c r="EE147" i="14"/>
  <c r="CU203" i="14"/>
  <c r="DC203" i="14"/>
  <c r="DK203" i="14"/>
  <c r="DS203" i="14"/>
  <c r="CT147" i="14"/>
  <c r="DB147" i="14"/>
  <c r="DJ147" i="14"/>
  <c r="DR147" i="14"/>
  <c r="AF203" i="14"/>
  <c r="AN203" i="14"/>
  <c r="AV203" i="14"/>
  <c r="EG147" i="14"/>
  <c r="CV203" i="14"/>
  <c r="DD203" i="14"/>
  <c r="DL203" i="14"/>
  <c r="DT203" i="14"/>
  <c r="CU147" i="14"/>
  <c r="DC147" i="14"/>
  <c r="DK147" i="14"/>
  <c r="DS147" i="14"/>
  <c r="AG203" i="14"/>
  <c r="AO203" i="14"/>
  <c r="AW203" i="14"/>
  <c r="EC203" i="14"/>
  <c r="EO147" i="14"/>
  <c r="CX203" i="14"/>
  <c r="DF203" i="14"/>
  <c r="DN203" i="14"/>
  <c r="CW147" i="14"/>
  <c r="DE147" i="14"/>
  <c r="DM147" i="14"/>
  <c r="AA203" i="14"/>
  <c r="AI203" i="14"/>
  <c r="AQ203" i="14"/>
  <c r="AY203" i="14"/>
  <c r="HG147" i="14"/>
  <c r="DG203" i="14"/>
  <c r="DN147" i="14"/>
  <c r="AB203" i="14"/>
  <c r="DM203" i="14"/>
  <c r="DT147" i="14"/>
  <c r="AH203" i="14"/>
  <c r="DO203" i="14"/>
  <c r="AJ203" i="14"/>
  <c r="EA203" i="14"/>
  <c r="CV147" i="14"/>
  <c r="AP203" i="14"/>
  <c r="EU147" i="14"/>
  <c r="CY203" i="14"/>
  <c r="DF147" i="14"/>
  <c r="AZ203" i="14"/>
  <c r="DE203" i="14"/>
  <c r="DL147" i="14"/>
  <c r="EI203" i="14"/>
  <c r="CX147" i="14"/>
  <c r="AB147" i="14"/>
  <c r="AJ147" i="14"/>
  <c r="AR147" i="14"/>
  <c r="AZ147" i="14"/>
  <c r="M199" i="6"/>
  <c r="U199" i="6"/>
  <c r="AC199" i="6"/>
  <c r="CW203" i="14"/>
  <c r="DD147" i="14"/>
  <c r="AC147" i="14"/>
  <c r="AK147" i="14"/>
  <c r="AS147" i="14"/>
  <c r="BA147" i="14"/>
  <c r="N199" i="6"/>
  <c r="V199" i="6"/>
  <c r="AD199" i="6"/>
  <c r="AR203" i="14"/>
  <c r="AD147" i="14"/>
  <c r="AL147" i="14"/>
  <c r="AT147" i="14"/>
  <c r="BB147" i="14"/>
  <c r="O199" i="6"/>
  <c r="W199" i="6"/>
  <c r="AE199" i="6"/>
  <c r="AX203" i="14"/>
  <c r="AE147" i="14"/>
  <c r="AM147" i="14"/>
  <c r="AU147" i="14"/>
  <c r="P199" i="6"/>
  <c r="X199" i="6"/>
  <c r="AF199" i="6"/>
  <c r="AH147" i="14"/>
  <c r="AP147" i="14"/>
  <c r="AX147" i="14"/>
  <c r="K199" i="6"/>
  <c r="S199" i="6"/>
  <c r="AA199" i="6"/>
  <c r="AI199" i="6"/>
  <c r="EM147" i="14"/>
  <c r="AA147" i="14"/>
  <c r="AI147" i="14"/>
  <c r="AQ147" i="14"/>
  <c r="AY147" i="14"/>
  <c r="L199" i="6"/>
  <c r="T199" i="6"/>
  <c r="AB199" i="6"/>
  <c r="AJ199" i="6"/>
  <c r="AN147" i="14"/>
  <c r="I199" i="6"/>
  <c r="I97" i="2" s="1"/>
  <c r="AO147" i="14"/>
  <c r="J199" i="6"/>
  <c r="AV147" i="14"/>
  <c r="Q199" i="6"/>
  <c r="AW147" i="14"/>
  <c r="R199" i="6"/>
  <c r="Y199" i="6"/>
  <c r="Z199" i="6"/>
  <c r="AH199" i="6"/>
  <c r="AF147" i="14"/>
  <c r="AG199" i="6"/>
  <c r="AG147" i="14"/>
  <c r="BS147" i="14"/>
  <c r="CA147" i="14"/>
  <c r="CI147" i="14"/>
  <c r="BO203" i="14"/>
  <c r="BW203" i="14"/>
  <c r="CE203" i="14"/>
  <c r="CM203" i="14"/>
  <c r="CL203" i="14"/>
  <c r="BT147" i="14"/>
  <c r="CB147" i="14"/>
  <c r="CJ147" i="14"/>
  <c r="BP203" i="14"/>
  <c r="BX203" i="14"/>
  <c r="CF203" i="14"/>
  <c r="CN203" i="14"/>
  <c r="CN147" i="14"/>
  <c r="CJ203" i="14"/>
  <c r="CD203" i="14"/>
  <c r="BU147" i="14"/>
  <c r="CC147" i="14"/>
  <c r="CK147" i="14"/>
  <c r="BQ203" i="14"/>
  <c r="BY203" i="14"/>
  <c r="CG203" i="14"/>
  <c r="CO203" i="14"/>
  <c r="BP147" i="14"/>
  <c r="CB203" i="14"/>
  <c r="BN203" i="14"/>
  <c r="BN147" i="14"/>
  <c r="BV147" i="14"/>
  <c r="CD147" i="14"/>
  <c r="CL147" i="14"/>
  <c r="BR203" i="14"/>
  <c r="BZ203" i="14"/>
  <c r="CH203" i="14"/>
  <c r="CF147" i="14"/>
  <c r="BV203" i="14"/>
  <c r="BO147" i="14"/>
  <c r="BW147" i="14"/>
  <c r="CE147" i="14"/>
  <c r="CM147" i="14"/>
  <c r="BS203" i="14"/>
  <c r="CA203" i="14"/>
  <c r="CI203" i="14"/>
  <c r="BX147" i="14"/>
  <c r="BT203" i="14"/>
  <c r="BQ147" i="14"/>
  <c r="BY147" i="14"/>
  <c r="CG147" i="14"/>
  <c r="CO147" i="14"/>
  <c r="BU203" i="14"/>
  <c r="CC203" i="14"/>
  <c r="CK203" i="14"/>
  <c r="BR147" i="14"/>
  <c r="BZ147" i="14"/>
  <c r="CH147" i="14"/>
  <c r="BO140" i="17"/>
  <c r="BW140" i="17"/>
  <c r="CE140" i="17"/>
  <c r="CM140" i="17"/>
  <c r="BQ140" i="17"/>
  <c r="BY140" i="17"/>
  <c r="CG140" i="17"/>
  <c r="BR140" i="17"/>
  <c r="BZ140" i="17"/>
  <c r="CH140" i="17"/>
  <c r="BS140" i="17"/>
  <c r="CA140" i="17"/>
  <c r="CI140" i="17"/>
  <c r="BT140" i="17"/>
  <c r="CB140" i="17"/>
  <c r="CJ140" i="17"/>
  <c r="BM140" i="17"/>
  <c r="BU140" i="17"/>
  <c r="CC140" i="17"/>
  <c r="CK140" i="17"/>
  <c r="CD140" i="17"/>
  <c r="AN196" i="17"/>
  <c r="AV196" i="17"/>
  <c r="BD196" i="17"/>
  <c r="CF140" i="17"/>
  <c r="AG196" i="17"/>
  <c r="AO196" i="17"/>
  <c r="AW196" i="17"/>
  <c r="BE196" i="17"/>
  <c r="CL140" i="17"/>
  <c r="AH196" i="17"/>
  <c r="AP196" i="17"/>
  <c r="AX196" i="17"/>
  <c r="BF196" i="17"/>
  <c r="CN140" i="17"/>
  <c r="AI196" i="17"/>
  <c r="AQ196" i="17"/>
  <c r="AY196" i="17"/>
  <c r="BG196" i="17"/>
  <c r="BN140" i="17"/>
  <c r="BP140" i="17"/>
  <c r="AK196" i="17"/>
  <c r="AS196" i="17"/>
  <c r="BA196" i="17"/>
  <c r="BV140" i="17"/>
  <c r="AL196" i="17"/>
  <c r="AT196" i="17"/>
  <c r="BB196" i="17"/>
  <c r="AU196" i="17"/>
  <c r="AL140" i="17"/>
  <c r="AT140" i="17"/>
  <c r="BB140" i="17"/>
  <c r="AZ196" i="17"/>
  <c r="BX140" i="17"/>
  <c r="BC196" i="17"/>
  <c r="AN140" i="17"/>
  <c r="AV140" i="17"/>
  <c r="BH196" i="17"/>
  <c r="AH140" i="17"/>
  <c r="AP140" i="17"/>
  <c r="AJ196" i="17"/>
  <c r="AI140" i="17"/>
  <c r="AQ140" i="17"/>
  <c r="AY140" i="17"/>
  <c r="AM196" i="17"/>
  <c r="AJ140" i="17"/>
  <c r="AR140" i="17"/>
  <c r="AW140" i="17"/>
  <c r="BG140" i="17"/>
  <c r="H196" i="17"/>
  <c r="P196" i="17"/>
  <c r="X196" i="17"/>
  <c r="AX140" i="17"/>
  <c r="BH140" i="17"/>
  <c r="I196" i="17"/>
  <c r="Q196" i="17"/>
  <c r="Y196" i="17"/>
  <c r="AR196" i="17"/>
  <c r="AG140" i="17"/>
  <c r="AZ140" i="17"/>
  <c r="B196" i="17"/>
  <c r="J196" i="17"/>
  <c r="R196" i="17"/>
  <c r="Z196" i="17"/>
  <c r="AK140" i="17"/>
  <c r="BA140" i="17"/>
  <c r="C196" i="17"/>
  <c r="K196" i="17"/>
  <c r="S196" i="17"/>
  <c r="AA196" i="17"/>
  <c r="AM140" i="17"/>
  <c r="BC140" i="17"/>
  <c r="D196" i="17"/>
  <c r="L196" i="17"/>
  <c r="T196" i="17"/>
  <c r="AB196" i="17"/>
  <c r="AO140" i="17"/>
  <c r="BD140" i="17"/>
  <c r="E196" i="17"/>
  <c r="M196" i="17"/>
  <c r="U196" i="17"/>
  <c r="AC196" i="17"/>
  <c r="AS140" i="17"/>
  <c r="BE140" i="17"/>
  <c r="N196" i="17"/>
  <c r="I140" i="17"/>
  <c r="Q140" i="17"/>
  <c r="Y140" i="17"/>
  <c r="GP142" i="14"/>
  <c r="GX142" i="14"/>
  <c r="HF142" i="14"/>
  <c r="O196" i="17"/>
  <c r="B140" i="17"/>
  <c r="J140" i="17"/>
  <c r="R140" i="17"/>
  <c r="Z140" i="17"/>
  <c r="GI142" i="14"/>
  <c r="GQ142" i="14"/>
  <c r="GY142" i="14"/>
  <c r="HG142" i="14"/>
  <c r="V196" i="17"/>
  <c r="C140" i="17"/>
  <c r="K140" i="17"/>
  <c r="S140" i="17"/>
  <c r="AA140" i="17"/>
  <c r="GJ142" i="14"/>
  <c r="GR142" i="14"/>
  <c r="GZ142" i="14"/>
  <c r="HH142" i="14"/>
  <c r="W196" i="17"/>
  <c r="D140" i="17"/>
  <c r="L140" i="17"/>
  <c r="T140" i="17"/>
  <c r="AB140" i="17"/>
  <c r="GK142" i="14"/>
  <c r="GS142" i="14"/>
  <c r="HA142" i="14"/>
  <c r="HI142" i="14"/>
  <c r="AU140" i="17"/>
  <c r="E140" i="17"/>
  <c r="M140" i="17"/>
  <c r="U140" i="17"/>
  <c r="AC140" i="17"/>
  <c r="GL142" i="14"/>
  <c r="GT142" i="14"/>
  <c r="HB142" i="14"/>
  <c r="HJ142" i="14"/>
  <c r="F196" i="17"/>
  <c r="G140" i="17"/>
  <c r="O140" i="17"/>
  <c r="W140" i="17"/>
  <c r="GN142" i="14"/>
  <c r="GV142" i="14"/>
  <c r="HD142" i="14"/>
  <c r="GO142" i="14"/>
  <c r="FC142" i="14"/>
  <c r="FK142" i="14"/>
  <c r="FS142" i="14"/>
  <c r="GA142" i="14"/>
  <c r="F140" i="17"/>
  <c r="GU142" i="14"/>
  <c r="FD142" i="14"/>
  <c r="FL142" i="14"/>
  <c r="FT142" i="14"/>
  <c r="GB142" i="14"/>
  <c r="H140" i="17"/>
  <c r="GW142" i="14"/>
  <c r="FE142" i="14"/>
  <c r="FM142" i="14"/>
  <c r="FU142" i="14"/>
  <c r="GC142" i="14"/>
  <c r="BF140" i="17"/>
  <c r="N140" i="17"/>
  <c r="HC142" i="14"/>
  <c r="FF142" i="14"/>
  <c r="FN142" i="14"/>
  <c r="FV142" i="14"/>
  <c r="GD142" i="14"/>
  <c r="P140" i="17"/>
  <c r="HE142" i="14"/>
  <c r="FG142" i="14"/>
  <c r="FO142" i="14"/>
  <c r="FW142" i="14"/>
  <c r="G196" i="17"/>
  <c r="X140" i="17"/>
  <c r="FI142" i="14"/>
  <c r="FQ142" i="14"/>
  <c r="FY142" i="14"/>
  <c r="GM142" i="14"/>
  <c r="FI198" i="14"/>
  <c r="FQ198" i="14"/>
  <c r="FY198" i="14"/>
  <c r="FH142" i="14"/>
  <c r="FJ198" i="14"/>
  <c r="FR198" i="14"/>
  <c r="FZ198" i="14"/>
  <c r="EA198" i="14"/>
  <c r="EI198" i="14"/>
  <c r="EQ198" i="14"/>
  <c r="EY198" i="14"/>
  <c r="FJ142" i="14"/>
  <c r="FC198" i="14"/>
  <c r="FK198" i="14"/>
  <c r="FS198" i="14"/>
  <c r="GA198" i="14"/>
  <c r="EB198" i="14"/>
  <c r="FP142" i="14"/>
  <c r="FD198" i="14"/>
  <c r="FL198" i="14"/>
  <c r="FT198" i="14"/>
  <c r="GB198" i="14"/>
  <c r="EC198" i="14"/>
  <c r="EK198" i="14"/>
  <c r="ES198" i="14"/>
  <c r="FR142" i="14"/>
  <c r="FE198" i="14"/>
  <c r="FM198" i="14"/>
  <c r="FU198" i="14"/>
  <c r="GC198" i="14"/>
  <c r="ED198" i="14"/>
  <c r="EL198" i="14"/>
  <c r="ET198" i="14"/>
  <c r="FZ142" i="14"/>
  <c r="FG198" i="14"/>
  <c r="FO198" i="14"/>
  <c r="FW198" i="14"/>
  <c r="DX198" i="14"/>
  <c r="EF198" i="14"/>
  <c r="EN198" i="14"/>
  <c r="EV198" i="14"/>
  <c r="FH198" i="14"/>
  <c r="EG198" i="14"/>
  <c r="EW198" i="14"/>
  <c r="ED142" i="14"/>
  <c r="EL142" i="14"/>
  <c r="ET142" i="14"/>
  <c r="FN198" i="14"/>
  <c r="EH198" i="14"/>
  <c r="EX198" i="14"/>
  <c r="EE142" i="14"/>
  <c r="EM142" i="14"/>
  <c r="EU142" i="14"/>
  <c r="FP198" i="14"/>
  <c r="EJ198" i="14"/>
  <c r="DX142" i="14"/>
  <c r="EF142" i="14"/>
  <c r="EN142" i="14"/>
  <c r="EV142" i="14"/>
  <c r="FV198" i="14"/>
  <c r="EM198" i="14"/>
  <c r="DY142" i="14"/>
  <c r="EG142" i="14"/>
  <c r="EO142" i="14"/>
  <c r="EW142" i="14"/>
  <c r="V140" i="17"/>
  <c r="FX198" i="14"/>
  <c r="EO198" i="14"/>
  <c r="DZ142" i="14"/>
  <c r="EH142" i="14"/>
  <c r="EP142" i="14"/>
  <c r="EX142" i="14"/>
  <c r="DZ198" i="14"/>
  <c r="ER198" i="14"/>
  <c r="EB142" i="14"/>
  <c r="EJ142" i="14"/>
  <c r="ER142" i="14"/>
  <c r="FF198" i="14"/>
  <c r="EC142" i="14"/>
  <c r="CV198" i="14"/>
  <c r="DD198" i="14"/>
  <c r="DL198" i="14"/>
  <c r="DT198" i="14"/>
  <c r="CU142" i="14"/>
  <c r="DC142" i="14"/>
  <c r="DK142" i="14"/>
  <c r="DS142" i="14"/>
  <c r="AG198" i="14"/>
  <c r="AO198" i="14"/>
  <c r="AW198" i="14"/>
  <c r="FX142" i="14"/>
  <c r="GD198" i="14"/>
  <c r="DY198" i="14"/>
  <c r="EI142" i="14"/>
  <c r="CW198" i="14"/>
  <c r="DE198" i="14"/>
  <c r="DM198" i="14"/>
  <c r="CV142" i="14"/>
  <c r="DD142" i="14"/>
  <c r="DL142" i="14"/>
  <c r="DT142" i="14"/>
  <c r="AH198" i="14"/>
  <c r="AP198" i="14"/>
  <c r="AX198" i="14"/>
  <c r="EE198" i="14"/>
  <c r="EK142" i="14"/>
  <c r="CX198" i="14"/>
  <c r="DF198" i="14"/>
  <c r="DN198" i="14"/>
  <c r="CW142" i="14"/>
  <c r="DE142" i="14"/>
  <c r="DM142" i="14"/>
  <c r="AA198" i="14"/>
  <c r="AI198" i="14"/>
  <c r="AQ198" i="14"/>
  <c r="AY198" i="14"/>
  <c r="EP198" i="14"/>
  <c r="EQ142" i="14"/>
  <c r="CY198" i="14"/>
  <c r="DG198" i="14"/>
  <c r="DO198" i="14"/>
  <c r="CX142" i="14"/>
  <c r="DF142" i="14"/>
  <c r="DN142" i="14"/>
  <c r="AB198" i="14"/>
  <c r="AJ198" i="14"/>
  <c r="AR198" i="14"/>
  <c r="AZ198" i="14"/>
  <c r="EU198" i="14"/>
  <c r="ES142" i="14"/>
  <c r="CZ198" i="14"/>
  <c r="DH198" i="14"/>
  <c r="DP198" i="14"/>
  <c r="CY142" i="14"/>
  <c r="DG142" i="14"/>
  <c r="DO142" i="14"/>
  <c r="AC198" i="14"/>
  <c r="AK198" i="14"/>
  <c r="AS198" i="14"/>
  <c r="BA198" i="14"/>
  <c r="CT198" i="14"/>
  <c r="DB198" i="14"/>
  <c r="DJ198" i="14"/>
  <c r="DR198" i="14"/>
  <c r="CS142" i="14"/>
  <c r="DA142" i="14"/>
  <c r="DI142" i="14"/>
  <c r="DQ142" i="14"/>
  <c r="AE198" i="14"/>
  <c r="AM198" i="14"/>
  <c r="AU198" i="14"/>
  <c r="DS198" i="14"/>
  <c r="CT142" i="14"/>
  <c r="AN198" i="14"/>
  <c r="CS198" i="14"/>
  <c r="CZ142" i="14"/>
  <c r="AT198" i="14"/>
  <c r="CU198" i="14"/>
  <c r="DB142" i="14"/>
  <c r="AV198" i="14"/>
  <c r="DA198" i="14"/>
  <c r="DH142" i="14"/>
  <c r="BB198" i="14"/>
  <c r="DK198" i="14"/>
  <c r="DR142" i="14"/>
  <c r="AF198" i="14"/>
  <c r="DQ198" i="14"/>
  <c r="AL198" i="14"/>
  <c r="DC198" i="14"/>
  <c r="DJ142" i="14"/>
  <c r="AF142" i="14"/>
  <c r="AN142" i="14"/>
  <c r="AV142" i="14"/>
  <c r="I194" i="6"/>
  <c r="Q194" i="6"/>
  <c r="Y194" i="6"/>
  <c r="AG194" i="6"/>
  <c r="DI198" i="14"/>
  <c r="DP142" i="14"/>
  <c r="AD198" i="14"/>
  <c r="AG142" i="14"/>
  <c r="AO142" i="14"/>
  <c r="AW142" i="14"/>
  <c r="J194" i="6"/>
  <c r="R194" i="6"/>
  <c r="Z194" i="6"/>
  <c r="AH194" i="6"/>
  <c r="AH142" i="14"/>
  <c r="AP142" i="14"/>
  <c r="AX142" i="14"/>
  <c r="K194" i="6"/>
  <c r="S194" i="6"/>
  <c r="AA194" i="6"/>
  <c r="AI194" i="6"/>
  <c r="AA142" i="14"/>
  <c r="AI142" i="14"/>
  <c r="AQ142" i="14"/>
  <c r="AY142" i="14"/>
  <c r="L194" i="6"/>
  <c r="T194" i="6"/>
  <c r="AB194" i="6"/>
  <c r="AJ194" i="6"/>
  <c r="EA142" i="14"/>
  <c r="AD142" i="14"/>
  <c r="AL142" i="14"/>
  <c r="AT142" i="14"/>
  <c r="BB142" i="14"/>
  <c r="O194" i="6"/>
  <c r="W194" i="6"/>
  <c r="AE194" i="6"/>
  <c r="AE142" i="14"/>
  <c r="AM142" i="14"/>
  <c r="AU142" i="14"/>
  <c r="P194" i="6"/>
  <c r="X194" i="6"/>
  <c r="AF194" i="6"/>
  <c r="AZ142" i="14"/>
  <c r="U194" i="6"/>
  <c r="EY142" i="14"/>
  <c r="BA142" i="14"/>
  <c r="V194" i="6"/>
  <c r="AB142" i="14"/>
  <c r="AC194" i="6"/>
  <c r="AK142" i="14"/>
  <c r="AC142" i="14"/>
  <c r="AD194" i="6"/>
  <c r="AJ142" i="14"/>
  <c r="AR142" i="14"/>
  <c r="M194" i="6"/>
  <c r="AS142" i="14"/>
  <c r="N194" i="6"/>
  <c r="BO142" i="14"/>
  <c r="BW142" i="14"/>
  <c r="CE142" i="14"/>
  <c r="CM142" i="14"/>
  <c r="BS198" i="14"/>
  <c r="CA198" i="14"/>
  <c r="CI198" i="14"/>
  <c r="CH198" i="14"/>
  <c r="BP142" i="14"/>
  <c r="BX142" i="14"/>
  <c r="CF142" i="14"/>
  <c r="CN142" i="14"/>
  <c r="BT198" i="14"/>
  <c r="CB198" i="14"/>
  <c r="CJ198" i="14"/>
  <c r="BT142" i="14"/>
  <c r="BP198" i="14"/>
  <c r="BZ198" i="14"/>
  <c r="BQ142" i="14"/>
  <c r="BY142" i="14"/>
  <c r="CG142" i="14"/>
  <c r="CO142" i="14"/>
  <c r="BU198" i="14"/>
  <c r="CC198" i="14"/>
  <c r="CK198" i="14"/>
  <c r="CN198" i="14"/>
  <c r="BR142" i="14"/>
  <c r="BZ142" i="14"/>
  <c r="CH142" i="14"/>
  <c r="BN198" i="14"/>
  <c r="BV198" i="14"/>
  <c r="CD198" i="14"/>
  <c r="CL198" i="14"/>
  <c r="CB142" i="14"/>
  <c r="BX198" i="14"/>
  <c r="BS142" i="14"/>
  <c r="CA142" i="14"/>
  <c r="CI142" i="14"/>
  <c r="BO198" i="14"/>
  <c r="BW198" i="14"/>
  <c r="CE198" i="14"/>
  <c r="CM198" i="14"/>
  <c r="CJ142" i="14"/>
  <c r="CF198" i="14"/>
  <c r="BR198" i="14"/>
  <c r="BU142" i="14"/>
  <c r="CC142" i="14"/>
  <c r="CK142" i="14"/>
  <c r="BQ198" i="14"/>
  <c r="BY198" i="14"/>
  <c r="CG198" i="14"/>
  <c r="CO198" i="14"/>
  <c r="BN142" i="14"/>
  <c r="BV142" i="14"/>
  <c r="CD142" i="14"/>
  <c r="CL142" i="14"/>
  <c r="BO150" i="17"/>
  <c r="BW150" i="17"/>
  <c r="CE150" i="17"/>
  <c r="CM150" i="17"/>
  <c r="BQ150" i="17"/>
  <c r="BY150" i="17"/>
  <c r="CG150" i="17"/>
  <c r="BR150" i="17"/>
  <c r="BZ150" i="17"/>
  <c r="CH150" i="17"/>
  <c r="BS150" i="17"/>
  <c r="CA150" i="17"/>
  <c r="CI150" i="17"/>
  <c r="BT150" i="17"/>
  <c r="CB150" i="17"/>
  <c r="CJ150" i="17"/>
  <c r="BM150" i="17"/>
  <c r="BU150" i="17"/>
  <c r="CC150" i="17"/>
  <c r="CK150" i="17"/>
  <c r="CL150" i="17"/>
  <c r="AN206" i="17"/>
  <c r="AV206" i="17"/>
  <c r="BD206" i="17"/>
  <c r="CN150" i="17"/>
  <c r="AG206" i="17"/>
  <c r="AO206" i="17"/>
  <c r="AW206" i="17"/>
  <c r="BE206" i="17"/>
  <c r="BN150" i="17"/>
  <c r="AH206" i="17"/>
  <c r="AP206" i="17"/>
  <c r="AX206" i="17"/>
  <c r="BF206" i="17"/>
  <c r="BP150" i="17"/>
  <c r="AI206" i="17"/>
  <c r="AQ206" i="17"/>
  <c r="AY206" i="17"/>
  <c r="BG206" i="17"/>
  <c r="BV150" i="17"/>
  <c r="BX150" i="17"/>
  <c r="AK206" i="17"/>
  <c r="AS206" i="17"/>
  <c r="BA206" i="17"/>
  <c r="CD150" i="17"/>
  <c r="AL206" i="17"/>
  <c r="AT206" i="17"/>
  <c r="BB206" i="17"/>
  <c r="BC206" i="17"/>
  <c r="BH206" i="17"/>
  <c r="CF150" i="17"/>
  <c r="AJ206" i="17"/>
  <c r="AM206" i="17"/>
  <c r="AR206" i="17"/>
  <c r="AU206" i="17"/>
  <c r="AI150" i="17"/>
  <c r="AQ150" i="17"/>
  <c r="AY150" i="17"/>
  <c r="BG150" i="17"/>
  <c r="AJ150" i="17"/>
  <c r="AR150" i="17"/>
  <c r="AZ150" i="17"/>
  <c r="BH150" i="17"/>
  <c r="I206" i="17"/>
  <c r="Q206" i="17"/>
  <c r="Y206" i="17"/>
  <c r="AK150" i="17"/>
  <c r="AS150" i="17"/>
  <c r="BA150" i="17"/>
  <c r="B206" i="17"/>
  <c r="J206" i="17"/>
  <c r="R206" i="17"/>
  <c r="Z206" i="17"/>
  <c r="AZ206" i="17"/>
  <c r="AL150" i="17"/>
  <c r="AT150" i="17"/>
  <c r="BB150" i="17"/>
  <c r="C206" i="17"/>
  <c r="K206" i="17"/>
  <c r="S206" i="17"/>
  <c r="AA206" i="17"/>
  <c r="AM150" i="17"/>
  <c r="AU150" i="17"/>
  <c r="BC150" i="17"/>
  <c r="D206" i="17"/>
  <c r="L206" i="17"/>
  <c r="T206" i="17"/>
  <c r="AB206" i="17"/>
  <c r="AN150" i="17"/>
  <c r="AV150" i="17"/>
  <c r="BD150" i="17"/>
  <c r="E206" i="17"/>
  <c r="M206" i="17"/>
  <c r="U206" i="17"/>
  <c r="AC206" i="17"/>
  <c r="AG150" i="17"/>
  <c r="AO150" i="17"/>
  <c r="AW150" i="17"/>
  <c r="BE150" i="17"/>
  <c r="BF150" i="17"/>
  <c r="H206" i="17"/>
  <c r="I150" i="17"/>
  <c r="Q150" i="17"/>
  <c r="Y150" i="17"/>
  <c r="N206" i="17"/>
  <c r="B150" i="17"/>
  <c r="J150" i="17"/>
  <c r="R150" i="17"/>
  <c r="Z150" i="17"/>
  <c r="GI152" i="14"/>
  <c r="GQ152" i="14"/>
  <c r="GY152" i="14"/>
  <c r="HG152" i="14"/>
  <c r="O206" i="17"/>
  <c r="C150" i="17"/>
  <c r="K150" i="17"/>
  <c r="S150" i="17"/>
  <c r="AA150" i="17"/>
  <c r="GJ152" i="14"/>
  <c r="GR152" i="14"/>
  <c r="GZ152" i="14"/>
  <c r="HH152" i="14"/>
  <c r="P206" i="17"/>
  <c r="D150" i="17"/>
  <c r="L150" i="17"/>
  <c r="T150" i="17"/>
  <c r="AB150" i="17"/>
  <c r="GK152" i="14"/>
  <c r="GS152" i="14"/>
  <c r="HA152" i="14"/>
  <c r="HI152" i="14"/>
  <c r="V206" i="17"/>
  <c r="E150" i="17"/>
  <c r="M150" i="17"/>
  <c r="U150" i="17"/>
  <c r="AC150" i="17"/>
  <c r="GL152" i="14"/>
  <c r="GT152" i="14"/>
  <c r="HB152" i="14"/>
  <c r="HJ152" i="14"/>
  <c r="AP150" i="17"/>
  <c r="F206" i="17"/>
  <c r="X206" i="17"/>
  <c r="G150" i="17"/>
  <c r="O150" i="17"/>
  <c r="W150" i="17"/>
  <c r="GN152" i="14"/>
  <c r="GV152" i="14"/>
  <c r="HD152" i="14"/>
  <c r="G206" i="17"/>
  <c r="H150" i="17"/>
  <c r="HC152" i="14"/>
  <c r="FC152" i="14"/>
  <c r="FK152" i="14"/>
  <c r="FS152" i="14"/>
  <c r="GA152" i="14"/>
  <c r="W206" i="17"/>
  <c r="N150" i="17"/>
  <c r="HE152" i="14"/>
  <c r="FD152" i="14"/>
  <c r="FL152" i="14"/>
  <c r="FT152" i="14"/>
  <c r="GB152" i="14"/>
  <c r="P150" i="17"/>
  <c r="GM152" i="14"/>
  <c r="HF152" i="14"/>
  <c r="FE152" i="14"/>
  <c r="FM152" i="14"/>
  <c r="FU152" i="14"/>
  <c r="GC152" i="14"/>
  <c r="AH150" i="17"/>
  <c r="V150" i="17"/>
  <c r="GO152" i="14"/>
  <c r="FF152" i="14"/>
  <c r="FN152" i="14"/>
  <c r="FV152" i="14"/>
  <c r="GD152" i="14"/>
  <c r="AX150" i="17"/>
  <c r="X150" i="17"/>
  <c r="GP152" i="14"/>
  <c r="FG152" i="14"/>
  <c r="FO152" i="14"/>
  <c r="FW152" i="14"/>
  <c r="GW152" i="14"/>
  <c r="FI152" i="14"/>
  <c r="FQ152" i="14"/>
  <c r="FY152" i="14"/>
  <c r="F150" i="17"/>
  <c r="FJ152" i="14"/>
  <c r="FI208" i="14"/>
  <c r="FQ208" i="14"/>
  <c r="FY208" i="14"/>
  <c r="GU152" i="14"/>
  <c r="FP152" i="14"/>
  <c r="FJ208" i="14"/>
  <c r="FR208" i="14"/>
  <c r="FZ208" i="14"/>
  <c r="GX152" i="14"/>
  <c r="FR152" i="14"/>
  <c r="FC208" i="14"/>
  <c r="FK208" i="14"/>
  <c r="FS208" i="14"/>
  <c r="GA208" i="14"/>
  <c r="FX152" i="14"/>
  <c r="FD208" i="14"/>
  <c r="FL208" i="14"/>
  <c r="FT208" i="14"/>
  <c r="GB208" i="14"/>
  <c r="FZ152" i="14"/>
  <c r="FE208" i="14"/>
  <c r="FM208" i="14"/>
  <c r="FU208" i="14"/>
  <c r="GC208" i="14"/>
  <c r="FG208" i="14"/>
  <c r="FO208" i="14"/>
  <c r="FW208" i="14"/>
  <c r="FP208" i="14"/>
  <c r="DZ208" i="14"/>
  <c r="EH208" i="14"/>
  <c r="EP208" i="14"/>
  <c r="EX208" i="14"/>
  <c r="ED152" i="14"/>
  <c r="EL152" i="14"/>
  <c r="ET152" i="14"/>
  <c r="FV208" i="14"/>
  <c r="EA208" i="14"/>
  <c r="EI208" i="14"/>
  <c r="EQ208" i="14"/>
  <c r="EY208" i="14"/>
  <c r="EE152" i="14"/>
  <c r="EM152" i="14"/>
  <c r="EU152" i="14"/>
  <c r="FX208" i="14"/>
  <c r="EB208" i="14"/>
  <c r="EJ208" i="14"/>
  <c r="ER208" i="14"/>
  <c r="DX152" i="14"/>
  <c r="EF152" i="14"/>
  <c r="EN152" i="14"/>
  <c r="EV152" i="14"/>
  <c r="GD208" i="14"/>
  <c r="EC208" i="14"/>
  <c r="EK208" i="14"/>
  <c r="ES208" i="14"/>
  <c r="DY152" i="14"/>
  <c r="EG152" i="14"/>
  <c r="EO152" i="14"/>
  <c r="EW152" i="14"/>
  <c r="ED208" i="14"/>
  <c r="EL208" i="14"/>
  <c r="ET208" i="14"/>
  <c r="DZ152" i="14"/>
  <c r="EH152" i="14"/>
  <c r="EP152" i="14"/>
  <c r="EX152" i="14"/>
  <c r="FH152" i="14"/>
  <c r="FH208" i="14"/>
  <c r="DX208" i="14"/>
  <c r="EF208" i="14"/>
  <c r="EN208" i="14"/>
  <c r="EV208" i="14"/>
  <c r="EB152" i="14"/>
  <c r="EJ152" i="14"/>
  <c r="ER152" i="14"/>
  <c r="DY208" i="14"/>
  <c r="EK152" i="14"/>
  <c r="CV208" i="14"/>
  <c r="DD208" i="14"/>
  <c r="DL208" i="14"/>
  <c r="DT208" i="14"/>
  <c r="CU152" i="14"/>
  <c r="DC152" i="14"/>
  <c r="DK152" i="14"/>
  <c r="DS152" i="14"/>
  <c r="AG208" i="14"/>
  <c r="AO208" i="14"/>
  <c r="AW208" i="14"/>
  <c r="FF208" i="14"/>
  <c r="EE208" i="14"/>
  <c r="EQ152" i="14"/>
  <c r="CW208" i="14"/>
  <c r="DE208" i="14"/>
  <c r="DM208" i="14"/>
  <c r="CV152" i="14"/>
  <c r="DD152" i="14"/>
  <c r="DL152" i="14"/>
  <c r="DT152" i="14"/>
  <c r="AH208" i="14"/>
  <c r="AP208" i="14"/>
  <c r="AX208" i="14"/>
  <c r="FN208" i="14"/>
  <c r="EG208" i="14"/>
  <c r="ES152" i="14"/>
  <c r="CX208" i="14"/>
  <c r="DF208" i="14"/>
  <c r="DN208" i="14"/>
  <c r="CW152" i="14"/>
  <c r="DE152" i="14"/>
  <c r="DM152" i="14"/>
  <c r="AA208" i="14"/>
  <c r="AI208" i="14"/>
  <c r="AQ208" i="14"/>
  <c r="AY208" i="14"/>
  <c r="EM208" i="14"/>
  <c r="EY152" i="14"/>
  <c r="CY208" i="14"/>
  <c r="DG208" i="14"/>
  <c r="DO208" i="14"/>
  <c r="CX152" i="14"/>
  <c r="DF152" i="14"/>
  <c r="DN152" i="14"/>
  <c r="AB208" i="14"/>
  <c r="AJ208" i="14"/>
  <c r="AR208" i="14"/>
  <c r="AZ208" i="14"/>
  <c r="EO208" i="14"/>
  <c r="CZ208" i="14"/>
  <c r="DH208" i="14"/>
  <c r="DP208" i="14"/>
  <c r="CY152" i="14"/>
  <c r="DG152" i="14"/>
  <c r="DO152" i="14"/>
  <c r="AC208" i="14"/>
  <c r="AK208" i="14"/>
  <c r="AS208" i="14"/>
  <c r="BA208" i="14"/>
  <c r="EW208" i="14"/>
  <c r="EC152" i="14"/>
  <c r="CT208" i="14"/>
  <c r="DB208" i="14"/>
  <c r="DJ208" i="14"/>
  <c r="DR208" i="14"/>
  <c r="CS152" i="14"/>
  <c r="DA152" i="14"/>
  <c r="DI152" i="14"/>
  <c r="DQ152" i="14"/>
  <c r="AE208" i="14"/>
  <c r="AM208" i="14"/>
  <c r="AU208" i="14"/>
  <c r="CU208" i="14"/>
  <c r="DB152" i="14"/>
  <c r="AV208" i="14"/>
  <c r="DA208" i="14"/>
  <c r="DH152" i="14"/>
  <c r="BB208" i="14"/>
  <c r="DC208" i="14"/>
  <c r="DJ152" i="14"/>
  <c r="DI208" i="14"/>
  <c r="DP152" i="14"/>
  <c r="AD208" i="14"/>
  <c r="EI152" i="14"/>
  <c r="DS208" i="14"/>
  <c r="CT152" i="14"/>
  <c r="AN208" i="14"/>
  <c r="CS208" i="14"/>
  <c r="CZ152" i="14"/>
  <c r="AT208" i="14"/>
  <c r="AF152" i="14"/>
  <c r="AN152" i="14"/>
  <c r="AV152" i="14"/>
  <c r="I204" i="6"/>
  <c r="Q204" i="6"/>
  <c r="Y204" i="6"/>
  <c r="AG204" i="6"/>
  <c r="EA152" i="14"/>
  <c r="AG152" i="14"/>
  <c r="AO152" i="14"/>
  <c r="AW152" i="14"/>
  <c r="J204" i="6"/>
  <c r="R204" i="6"/>
  <c r="Z204" i="6"/>
  <c r="AH204" i="6"/>
  <c r="DK208" i="14"/>
  <c r="DR152" i="14"/>
  <c r="AF208" i="14"/>
  <c r="AH152" i="14"/>
  <c r="AP152" i="14"/>
  <c r="AX152" i="14"/>
  <c r="K204" i="6"/>
  <c r="S204" i="6"/>
  <c r="AA204" i="6"/>
  <c r="AI204" i="6"/>
  <c r="EU208" i="14"/>
  <c r="DQ208" i="14"/>
  <c r="AL208" i="14"/>
  <c r="AA152" i="14"/>
  <c r="AI152" i="14"/>
  <c r="AQ152" i="14"/>
  <c r="AY152" i="14"/>
  <c r="L204" i="6"/>
  <c r="T204" i="6"/>
  <c r="AB204" i="6"/>
  <c r="AJ204" i="6"/>
  <c r="AD152" i="14"/>
  <c r="AL152" i="14"/>
  <c r="AT152" i="14"/>
  <c r="BB152" i="14"/>
  <c r="O204" i="6"/>
  <c r="W204" i="6"/>
  <c r="AE204" i="6"/>
  <c r="AE152" i="14"/>
  <c r="AM152" i="14"/>
  <c r="AU152" i="14"/>
  <c r="P204" i="6"/>
  <c r="X204" i="6"/>
  <c r="AF204" i="6"/>
  <c r="AB152" i="14"/>
  <c r="AC204" i="6"/>
  <c r="AC152" i="14"/>
  <c r="AD204" i="6"/>
  <c r="AS152" i="14"/>
  <c r="AJ152" i="14"/>
  <c r="AK152" i="14"/>
  <c r="N204" i="6"/>
  <c r="V204" i="6"/>
  <c r="AR152" i="14"/>
  <c r="M204" i="6"/>
  <c r="AZ152" i="14"/>
  <c r="U204" i="6"/>
  <c r="BA152" i="14"/>
  <c r="BO152" i="14"/>
  <c r="BW152" i="14"/>
  <c r="CE152" i="14"/>
  <c r="CM152" i="14"/>
  <c r="BS208" i="14"/>
  <c r="CA208" i="14"/>
  <c r="CI208" i="14"/>
  <c r="BP152" i="14"/>
  <c r="BX152" i="14"/>
  <c r="CF152" i="14"/>
  <c r="CN152" i="14"/>
  <c r="BT208" i="14"/>
  <c r="CB208" i="14"/>
  <c r="CJ208" i="14"/>
  <c r="CJ152" i="14"/>
  <c r="BX208" i="14"/>
  <c r="CH208" i="14"/>
  <c r="BQ152" i="14"/>
  <c r="BY152" i="14"/>
  <c r="CG152" i="14"/>
  <c r="CO152" i="14"/>
  <c r="BU208" i="14"/>
  <c r="CC208" i="14"/>
  <c r="CK208" i="14"/>
  <c r="BT152" i="14"/>
  <c r="CN208" i="14"/>
  <c r="BR208" i="14"/>
  <c r="BR152" i="14"/>
  <c r="BZ152" i="14"/>
  <c r="CH152" i="14"/>
  <c r="BN208" i="14"/>
  <c r="BV208" i="14"/>
  <c r="CD208" i="14"/>
  <c r="CL208" i="14"/>
  <c r="CB152" i="14"/>
  <c r="CF208" i="14"/>
  <c r="BS152" i="14"/>
  <c r="CA152" i="14"/>
  <c r="CI152" i="14"/>
  <c r="BO208" i="14"/>
  <c r="BW208" i="14"/>
  <c r="CE208" i="14"/>
  <c r="CM208" i="14"/>
  <c r="BP208" i="14"/>
  <c r="BZ208" i="14"/>
  <c r="BU152" i="14"/>
  <c r="CC152" i="14"/>
  <c r="CK152" i="14"/>
  <c r="BQ208" i="14"/>
  <c r="BY208" i="14"/>
  <c r="CG208" i="14"/>
  <c r="CO208" i="14"/>
  <c r="BN152" i="14"/>
  <c r="BV152" i="14"/>
  <c r="CD152" i="14"/>
  <c r="CL152" i="14"/>
  <c r="BS133" i="17"/>
  <c r="CA133" i="17"/>
  <c r="CI133" i="17"/>
  <c r="BT133" i="17"/>
  <c r="CB133" i="17"/>
  <c r="CJ133" i="17"/>
  <c r="BM133" i="17"/>
  <c r="BU133" i="17"/>
  <c r="CC133" i="17"/>
  <c r="CK133" i="17"/>
  <c r="BN133" i="17"/>
  <c r="BV133" i="17"/>
  <c r="CD133" i="17"/>
  <c r="CL133" i="17"/>
  <c r="BP133" i="17"/>
  <c r="BX133" i="17"/>
  <c r="CF133" i="17"/>
  <c r="CN133" i="17"/>
  <c r="BQ133" i="17"/>
  <c r="BY133" i="17"/>
  <c r="CG133" i="17"/>
  <c r="BR133" i="17"/>
  <c r="BZ133" i="17"/>
  <c r="CH133" i="17"/>
  <c r="CE133" i="17"/>
  <c r="BO133" i="17"/>
  <c r="AJ189" i="17"/>
  <c r="AR189" i="17"/>
  <c r="AZ189" i="17"/>
  <c r="BH189" i="17"/>
  <c r="AK189" i="17"/>
  <c r="AS189" i="17"/>
  <c r="BA189" i="17"/>
  <c r="AL189" i="17"/>
  <c r="AT189" i="17"/>
  <c r="BB189" i="17"/>
  <c r="AM189" i="17"/>
  <c r="AU189" i="17"/>
  <c r="BC189" i="17"/>
  <c r="BW133" i="17"/>
  <c r="CM133" i="17"/>
  <c r="AG189" i="17"/>
  <c r="AO189" i="17"/>
  <c r="AW189" i="17"/>
  <c r="BE189" i="17"/>
  <c r="AH189" i="17"/>
  <c r="AP189" i="17"/>
  <c r="AX189" i="17"/>
  <c r="BF189" i="17"/>
  <c r="AY189" i="17"/>
  <c r="AH133" i="17"/>
  <c r="AP133" i="17"/>
  <c r="AX133" i="17"/>
  <c r="BF133" i="17"/>
  <c r="BD189" i="17"/>
  <c r="AI133" i="17"/>
  <c r="AQ133" i="17"/>
  <c r="AY133" i="17"/>
  <c r="BG133" i="17"/>
  <c r="BG189" i="17"/>
  <c r="AJ133" i="17"/>
  <c r="AR133" i="17"/>
  <c r="AZ133" i="17"/>
  <c r="BH133" i="17"/>
  <c r="AK133" i="17"/>
  <c r="AS133" i="17"/>
  <c r="BA133" i="17"/>
  <c r="AI189" i="17"/>
  <c r="AL133" i="17"/>
  <c r="AT133" i="17"/>
  <c r="BB133" i="17"/>
  <c r="AN189" i="17"/>
  <c r="AM133" i="17"/>
  <c r="AU133" i="17"/>
  <c r="BC133" i="17"/>
  <c r="AQ189" i="17"/>
  <c r="AN133" i="17"/>
  <c r="AV133" i="17"/>
  <c r="BD133" i="17"/>
  <c r="AW133" i="17"/>
  <c r="D189" i="17"/>
  <c r="L189" i="17"/>
  <c r="T189" i="17"/>
  <c r="AB189" i="17"/>
  <c r="BE133" i="17"/>
  <c r="E189" i="17"/>
  <c r="M189" i="17"/>
  <c r="U189" i="17"/>
  <c r="AC189" i="17"/>
  <c r="F189" i="17"/>
  <c r="N189" i="17"/>
  <c r="V189" i="17"/>
  <c r="G189" i="17"/>
  <c r="O189" i="17"/>
  <c r="W189" i="17"/>
  <c r="AV189" i="17"/>
  <c r="H189" i="17"/>
  <c r="P189" i="17"/>
  <c r="X189" i="17"/>
  <c r="I189" i="17"/>
  <c r="Q189" i="17"/>
  <c r="Y189" i="17"/>
  <c r="AG133" i="17"/>
  <c r="AO133" i="17"/>
  <c r="R189" i="17"/>
  <c r="E133" i="17"/>
  <c r="M133" i="17"/>
  <c r="U133" i="17"/>
  <c r="AC133" i="17"/>
  <c r="GL135" i="14"/>
  <c r="GT135" i="14"/>
  <c r="HB135" i="14"/>
  <c r="HJ135" i="14"/>
  <c r="S189" i="17"/>
  <c r="F133" i="17"/>
  <c r="N133" i="17"/>
  <c r="V133" i="17"/>
  <c r="GM135" i="14"/>
  <c r="GU135" i="14"/>
  <c r="HC135" i="14"/>
  <c r="Z189" i="17"/>
  <c r="G133" i="17"/>
  <c r="O133" i="17"/>
  <c r="W133" i="17"/>
  <c r="GN135" i="14"/>
  <c r="GV135" i="14"/>
  <c r="HD135" i="14"/>
  <c r="AA189" i="17"/>
  <c r="H133" i="17"/>
  <c r="P133" i="17"/>
  <c r="X133" i="17"/>
  <c r="GO135" i="14"/>
  <c r="GW135" i="14"/>
  <c r="HE135" i="14"/>
  <c r="B189" i="17"/>
  <c r="I133" i="17"/>
  <c r="Q133" i="17"/>
  <c r="Y133" i="17"/>
  <c r="GP135" i="14"/>
  <c r="GX135" i="14"/>
  <c r="HF135" i="14"/>
  <c r="J189" i="17"/>
  <c r="C133" i="17"/>
  <c r="K133" i="17"/>
  <c r="S133" i="17"/>
  <c r="AA133" i="17"/>
  <c r="GJ135" i="14"/>
  <c r="GR135" i="14"/>
  <c r="GZ135" i="14"/>
  <c r="HH135" i="14"/>
  <c r="D133" i="17"/>
  <c r="GS135" i="14"/>
  <c r="FG135" i="14"/>
  <c r="FO135" i="14"/>
  <c r="FW135" i="14"/>
  <c r="C189" i="17"/>
  <c r="J133" i="17"/>
  <c r="GY135" i="14"/>
  <c r="FH135" i="14"/>
  <c r="FP135" i="14"/>
  <c r="FX135" i="14"/>
  <c r="K189" i="17"/>
  <c r="L133" i="17"/>
  <c r="HA135" i="14"/>
  <c r="FI135" i="14"/>
  <c r="FQ135" i="14"/>
  <c r="FY135" i="14"/>
  <c r="R133" i="17"/>
  <c r="HG135" i="14"/>
  <c r="FJ135" i="14"/>
  <c r="FR135" i="14"/>
  <c r="FZ135" i="14"/>
  <c r="T133" i="17"/>
  <c r="HI135" i="14"/>
  <c r="FC135" i="14"/>
  <c r="FK135" i="14"/>
  <c r="FS135" i="14"/>
  <c r="GA135" i="14"/>
  <c r="AB133" i="17"/>
  <c r="GK135" i="14"/>
  <c r="FE135" i="14"/>
  <c r="FM135" i="14"/>
  <c r="FU135" i="14"/>
  <c r="GC135" i="14"/>
  <c r="FF135" i="14"/>
  <c r="FE191" i="14"/>
  <c r="FM191" i="14"/>
  <c r="FU191" i="14"/>
  <c r="GC191" i="14"/>
  <c r="ED191" i="14"/>
  <c r="EL191" i="14"/>
  <c r="ET191" i="14"/>
  <c r="FL135" i="14"/>
  <c r="FF191" i="14"/>
  <c r="FN191" i="14"/>
  <c r="FV191" i="14"/>
  <c r="GD191" i="14"/>
  <c r="EE191" i="14"/>
  <c r="EM191" i="14"/>
  <c r="EU191" i="14"/>
  <c r="B133" i="17"/>
  <c r="FN135" i="14"/>
  <c r="FG191" i="14"/>
  <c r="FO191" i="14"/>
  <c r="FW191" i="14"/>
  <c r="DX191" i="14"/>
  <c r="EF191" i="14"/>
  <c r="EN191" i="14"/>
  <c r="EV191" i="14"/>
  <c r="Z133" i="17"/>
  <c r="GI135" i="14"/>
  <c r="FT135" i="14"/>
  <c r="FH191" i="14"/>
  <c r="FP191" i="14"/>
  <c r="FX191" i="14"/>
  <c r="DY191" i="14"/>
  <c r="EG191" i="14"/>
  <c r="EO191" i="14"/>
  <c r="EW191" i="14"/>
  <c r="GQ135" i="14"/>
  <c r="FV135" i="14"/>
  <c r="FI191" i="14"/>
  <c r="FQ191" i="14"/>
  <c r="FY191" i="14"/>
  <c r="DZ191" i="14"/>
  <c r="EH191" i="14"/>
  <c r="EP191" i="14"/>
  <c r="EX191" i="14"/>
  <c r="GD135" i="14"/>
  <c r="FC191" i="14"/>
  <c r="FK191" i="14"/>
  <c r="FS191" i="14"/>
  <c r="GA191" i="14"/>
  <c r="EB191" i="14"/>
  <c r="EJ191" i="14"/>
  <c r="ER191" i="14"/>
  <c r="FD135" i="14"/>
  <c r="FL191" i="14"/>
  <c r="ES191" i="14"/>
  <c r="DZ135" i="14"/>
  <c r="EH135" i="14"/>
  <c r="EP135" i="14"/>
  <c r="EX135" i="14"/>
  <c r="GB135" i="14"/>
  <c r="FR191" i="14"/>
  <c r="EY191" i="14"/>
  <c r="EA135" i="14"/>
  <c r="EI135" i="14"/>
  <c r="EQ135" i="14"/>
  <c r="EY135" i="14"/>
  <c r="FT191" i="14"/>
  <c r="EB135" i="14"/>
  <c r="EJ135" i="14"/>
  <c r="ER135" i="14"/>
  <c r="FZ191" i="14"/>
  <c r="EA191" i="14"/>
  <c r="EC135" i="14"/>
  <c r="EK135" i="14"/>
  <c r="ES135" i="14"/>
  <c r="GB191" i="14"/>
  <c r="EC191" i="14"/>
  <c r="ED135" i="14"/>
  <c r="EL135" i="14"/>
  <c r="ET135" i="14"/>
  <c r="FD191" i="14"/>
  <c r="EK191" i="14"/>
  <c r="DX135" i="14"/>
  <c r="EF135" i="14"/>
  <c r="EN135" i="14"/>
  <c r="EV135" i="14"/>
  <c r="EG135" i="14"/>
  <c r="CZ191" i="14"/>
  <c r="DH191" i="14"/>
  <c r="DP191" i="14"/>
  <c r="CY135" i="14"/>
  <c r="DG135" i="14"/>
  <c r="DO135" i="14"/>
  <c r="AC191" i="14"/>
  <c r="AK191" i="14"/>
  <c r="AS191" i="14"/>
  <c r="BA191" i="14"/>
  <c r="EM135" i="14"/>
  <c r="CS191" i="14"/>
  <c r="DA191" i="14"/>
  <c r="DI191" i="14"/>
  <c r="DQ191" i="14"/>
  <c r="CZ135" i="14"/>
  <c r="DH135" i="14"/>
  <c r="DP135" i="14"/>
  <c r="AD191" i="14"/>
  <c r="AL191" i="14"/>
  <c r="AT191" i="14"/>
  <c r="BB191" i="14"/>
  <c r="AD135" i="14"/>
  <c r="AL135" i="14"/>
  <c r="AT135" i="14"/>
  <c r="BB135" i="14"/>
  <c r="EO135" i="14"/>
  <c r="CT191" i="14"/>
  <c r="DB191" i="14"/>
  <c r="DJ191" i="14"/>
  <c r="DR191" i="14"/>
  <c r="CS135" i="14"/>
  <c r="DA135" i="14"/>
  <c r="DI135" i="14"/>
  <c r="DQ135" i="14"/>
  <c r="AE191" i="14"/>
  <c r="AM191" i="14"/>
  <c r="AU191" i="14"/>
  <c r="AE135" i="14"/>
  <c r="AM135" i="14"/>
  <c r="AU135" i="14"/>
  <c r="EU135" i="14"/>
  <c r="CU191" i="14"/>
  <c r="DC191" i="14"/>
  <c r="DK191" i="14"/>
  <c r="DS191" i="14"/>
  <c r="CT135" i="14"/>
  <c r="DB135" i="14"/>
  <c r="DJ135" i="14"/>
  <c r="DR135" i="14"/>
  <c r="AF191" i="14"/>
  <c r="AN191" i="14"/>
  <c r="AV191" i="14"/>
  <c r="AF135" i="14"/>
  <c r="AN135" i="14"/>
  <c r="AV135" i="14"/>
  <c r="FJ191" i="14"/>
  <c r="EW135" i="14"/>
  <c r="CV191" i="14"/>
  <c r="DD191" i="14"/>
  <c r="DL191" i="14"/>
  <c r="DT191" i="14"/>
  <c r="CU135" i="14"/>
  <c r="DC135" i="14"/>
  <c r="DK135" i="14"/>
  <c r="DS135" i="14"/>
  <c r="AG191" i="14"/>
  <c r="AO191" i="14"/>
  <c r="AW191" i="14"/>
  <c r="AG135" i="14"/>
  <c r="AO135" i="14"/>
  <c r="AW135" i="14"/>
  <c r="EQ191" i="14"/>
  <c r="DY135" i="14"/>
  <c r="CX191" i="14"/>
  <c r="DF191" i="14"/>
  <c r="DN191" i="14"/>
  <c r="CW135" i="14"/>
  <c r="DE135" i="14"/>
  <c r="DM135" i="14"/>
  <c r="AA191" i="14"/>
  <c r="AI191" i="14"/>
  <c r="AQ191" i="14"/>
  <c r="AY191" i="14"/>
  <c r="AA135" i="14"/>
  <c r="AI135" i="14"/>
  <c r="AQ135" i="14"/>
  <c r="AY135" i="14"/>
  <c r="EE135" i="14"/>
  <c r="CX135" i="14"/>
  <c r="AR191" i="14"/>
  <c r="AB135" i="14"/>
  <c r="AX135" i="14"/>
  <c r="CW191" i="14"/>
  <c r="DD135" i="14"/>
  <c r="AX191" i="14"/>
  <c r="CY191" i="14"/>
  <c r="DF135" i="14"/>
  <c r="AZ191" i="14"/>
  <c r="EI191" i="14"/>
  <c r="DE191" i="14"/>
  <c r="DL135" i="14"/>
  <c r="AJ135" i="14"/>
  <c r="DO191" i="14"/>
  <c r="AJ191" i="14"/>
  <c r="CV135" i="14"/>
  <c r="AP191" i="14"/>
  <c r="AS135" i="14"/>
  <c r="AR135" i="14"/>
  <c r="M187" i="6"/>
  <c r="U187" i="6"/>
  <c r="AC187" i="6"/>
  <c r="AZ135" i="14"/>
  <c r="N187" i="6"/>
  <c r="V187" i="6"/>
  <c r="AD187" i="6"/>
  <c r="BA135" i="14"/>
  <c r="O187" i="6"/>
  <c r="W187" i="6"/>
  <c r="AE187" i="6"/>
  <c r="P187" i="6"/>
  <c r="X187" i="6"/>
  <c r="AF187" i="6"/>
  <c r="DG191" i="14"/>
  <c r="DN135" i="14"/>
  <c r="AB191" i="14"/>
  <c r="AK135" i="14"/>
  <c r="K187" i="6"/>
  <c r="S187" i="6"/>
  <c r="AA187" i="6"/>
  <c r="AI187" i="6"/>
  <c r="AP135" i="14"/>
  <c r="L187" i="6"/>
  <c r="T187" i="6"/>
  <c r="AB187" i="6"/>
  <c r="AJ187" i="6"/>
  <c r="DT135" i="14"/>
  <c r="AC135" i="14"/>
  <c r="Y187" i="6"/>
  <c r="R187" i="6"/>
  <c r="AH135" i="14"/>
  <c r="Z187" i="6"/>
  <c r="AG187" i="6"/>
  <c r="AH191" i="14"/>
  <c r="AH187" i="6"/>
  <c r="DM191" i="14"/>
  <c r="J187" i="6"/>
  <c r="I187" i="6"/>
  <c r="Q187" i="6"/>
  <c r="BS135" i="14"/>
  <c r="CA135" i="14"/>
  <c r="CI135" i="14"/>
  <c r="BO191" i="14"/>
  <c r="BW191" i="14"/>
  <c r="CE191" i="14"/>
  <c r="CM191" i="14"/>
  <c r="BT135" i="14"/>
  <c r="CB135" i="14"/>
  <c r="CJ135" i="14"/>
  <c r="BP191" i="14"/>
  <c r="BX191" i="14"/>
  <c r="CF191" i="14"/>
  <c r="CN191" i="14"/>
  <c r="BX135" i="14"/>
  <c r="BT191" i="14"/>
  <c r="BU135" i="14"/>
  <c r="CC135" i="14"/>
  <c r="CK135" i="14"/>
  <c r="BQ191" i="14"/>
  <c r="BY191" i="14"/>
  <c r="CG191" i="14"/>
  <c r="CO191" i="14"/>
  <c r="CN135" i="14"/>
  <c r="BN191" i="14"/>
  <c r="BN135" i="14"/>
  <c r="BV135" i="14"/>
  <c r="CD135" i="14"/>
  <c r="CL135" i="14"/>
  <c r="BR191" i="14"/>
  <c r="BZ191" i="14"/>
  <c r="CH191" i="14"/>
  <c r="CF135" i="14"/>
  <c r="CB191" i="14"/>
  <c r="CD191" i="14"/>
  <c r="BO135" i="14"/>
  <c r="BW135" i="14"/>
  <c r="CE135" i="14"/>
  <c r="CM135" i="14"/>
  <c r="BS191" i="14"/>
  <c r="CA191" i="14"/>
  <c r="CI191" i="14"/>
  <c r="BP135" i="14"/>
  <c r="CJ191" i="14"/>
  <c r="BV191" i="14"/>
  <c r="BQ135" i="14"/>
  <c r="BY135" i="14"/>
  <c r="CG135" i="14"/>
  <c r="CO135" i="14"/>
  <c r="BU191" i="14"/>
  <c r="CC191" i="14"/>
  <c r="CK191" i="14"/>
  <c r="BR135" i="14"/>
  <c r="BZ135" i="14"/>
  <c r="CH135" i="14"/>
  <c r="CL191" i="14"/>
  <c r="BO118" i="17"/>
  <c r="BW118" i="17"/>
  <c r="CE118" i="17"/>
  <c r="CM118" i="17"/>
  <c r="BP118" i="17"/>
  <c r="BX118" i="17"/>
  <c r="CF118" i="17"/>
  <c r="CN118" i="17"/>
  <c r="BQ118" i="17"/>
  <c r="BY118" i="17"/>
  <c r="CG118" i="17"/>
  <c r="BR118" i="17"/>
  <c r="BZ118" i="17"/>
  <c r="CH118" i="17"/>
  <c r="BT118" i="17"/>
  <c r="CB118" i="17"/>
  <c r="CJ118" i="17"/>
  <c r="BM118" i="17"/>
  <c r="BU118" i="17"/>
  <c r="CC118" i="17"/>
  <c r="CK118" i="17"/>
  <c r="BN118" i="17"/>
  <c r="BV118" i="17"/>
  <c r="CD118" i="17"/>
  <c r="CL118" i="17"/>
  <c r="BS118" i="17"/>
  <c r="CA118" i="17"/>
  <c r="CI118" i="17"/>
  <c r="AN174" i="17"/>
  <c r="AV174" i="17"/>
  <c r="BD174" i="17"/>
  <c r="AG174" i="17"/>
  <c r="AO174" i="17"/>
  <c r="AW174" i="17"/>
  <c r="BE174" i="17"/>
  <c r="AH174" i="17"/>
  <c r="AP174" i="17"/>
  <c r="AX174" i="17"/>
  <c r="BF174" i="17"/>
  <c r="AI174" i="17"/>
  <c r="AQ174" i="17"/>
  <c r="AY174" i="17"/>
  <c r="BG174" i="17"/>
  <c r="AJ174" i="17"/>
  <c r="AR174" i="17"/>
  <c r="AZ174" i="17"/>
  <c r="BH174" i="17"/>
  <c r="AK174" i="17"/>
  <c r="AS174" i="17"/>
  <c r="BA174" i="17"/>
  <c r="AL174" i="17"/>
  <c r="AT174" i="17"/>
  <c r="BB174" i="17"/>
  <c r="AL118" i="17"/>
  <c r="AT118" i="17"/>
  <c r="BB118" i="17"/>
  <c r="AM118" i="17"/>
  <c r="AU118" i="17"/>
  <c r="BC118" i="17"/>
  <c r="AN118" i="17"/>
  <c r="AV118" i="17"/>
  <c r="BD118" i="17"/>
  <c r="AG118" i="17"/>
  <c r="AO118" i="17"/>
  <c r="AW118" i="17"/>
  <c r="BE118" i="17"/>
  <c r="AM174" i="17"/>
  <c r="AH118" i="17"/>
  <c r="AP118" i="17"/>
  <c r="AX118" i="17"/>
  <c r="BF118" i="17"/>
  <c r="AU174" i="17"/>
  <c r="AI118" i="17"/>
  <c r="AQ118" i="17"/>
  <c r="AY118" i="17"/>
  <c r="BG118" i="17"/>
  <c r="BC174" i="17"/>
  <c r="AJ118" i="17"/>
  <c r="AR118" i="17"/>
  <c r="AZ118" i="17"/>
  <c r="BH118" i="17"/>
  <c r="H174" i="17"/>
  <c r="P174" i="17"/>
  <c r="X174" i="17"/>
  <c r="I174" i="17"/>
  <c r="Q174" i="17"/>
  <c r="Y174" i="17"/>
  <c r="E118" i="17"/>
  <c r="M118" i="17"/>
  <c r="U118" i="17"/>
  <c r="AC118" i="17"/>
  <c r="AK118" i="17"/>
  <c r="B174" i="17"/>
  <c r="J174" i="17"/>
  <c r="R174" i="17"/>
  <c r="Z174" i="17"/>
  <c r="F118" i="17"/>
  <c r="N118" i="17"/>
  <c r="V118" i="17"/>
  <c r="AS118" i="17"/>
  <c r="C174" i="17"/>
  <c r="K174" i="17"/>
  <c r="S174" i="17"/>
  <c r="AA174" i="17"/>
  <c r="G118" i="17"/>
  <c r="O118" i="17"/>
  <c r="W118" i="17"/>
  <c r="BA118" i="17"/>
  <c r="D174" i="17"/>
  <c r="L174" i="17"/>
  <c r="T174" i="17"/>
  <c r="AB174" i="17"/>
  <c r="H118" i="17"/>
  <c r="P118" i="17"/>
  <c r="X118" i="17"/>
  <c r="E174" i="17"/>
  <c r="M174" i="17"/>
  <c r="U174" i="17"/>
  <c r="AC174" i="17"/>
  <c r="I118" i="17"/>
  <c r="Q118" i="17"/>
  <c r="Y118" i="17"/>
  <c r="F174" i="17"/>
  <c r="N174" i="17"/>
  <c r="V174" i="17"/>
  <c r="G174" i="17"/>
  <c r="K118" i="17"/>
  <c r="GP120" i="14"/>
  <c r="GX120" i="14"/>
  <c r="HF120" i="14"/>
  <c r="O174" i="17"/>
  <c r="L118" i="17"/>
  <c r="GI120" i="14"/>
  <c r="GQ120" i="14"/>
  <c r="GY120" i="14"/>
  <c r="HG120" i="14"/>
  <c r="W174" i="17"/>
  <c r="R118" i="17"/>
  <c r="GJ120" i="14"/>
  <c r="GR120" i="14"/>
  <c r="GZ120" i="14"/>
  <c r="HH120" i="14"/>
  <c r="S118" i="17"/>
  <c r="GK120" i="14"/>
  <c r="GS120" i="14"/>
  <c r="HA120" i="14"/>
  <c r="HI120" i="14"/>
  <c r="B118" i="17"/>
  <c r="T118" i="17"/>
  <c r="GL120" i="14"/>
  <c r="GT120" i="14"/>
  <c r="HB120" i="14"/>
  <c r="HJ120" i="14"/>
  <c r="D118" i="17"/>
  <c r="AA118" i="17"/>
  <c r="GN120" i="14"/>
  <c r="GV120" i="14"/>
  <c r="HD120" i="14"/>
  <c r="GW120" i="14"/>
  <c r="FC120" i="14"/>
  <c r="FK120" i="14"/>
  <c r="FS120" i="14"/>
  <c r="GA120" i="14"/>
  <c r="C118" i="17"/>
  <c r="HC120" i="14"/>
  <c r="FD120" i="14"/>
  <c r="FL120" i="14"/>
  <c r="FT120" i="14"/>
  <c r="GB120" i="14"/>
  <c r="FH176" i="14"/>
  <c r="FP176" i="14"/>
  <c r="FX176" i="14"/>
  <c r="J118" i="17"/>
  <c r="HE120" i="14"/>
  <c r="FE120" i="14"/>
  <c r="FM120" i="14"/>
  <c r="FU120" i="14"/>
  <c r="GC120" i="14"/>
  <c r="FI176" i="14"/>
  <c r="FQ176" i="14"/>
  <c r="FY176" i="14"/>
  <c r="Z118" i="17"/>
  <c r="FF120" i="14"/>
  <c r="FN120" i="14"/>
  <c r="FV120" i="14"/>
  <c r="GD120" i="14"/>
  <c r="FJ176" i="14"/>
  <c r="FR176" i="14"/>
  <c r="FZ176" i="14"/>
  <c r="AB118" i="17"/>
  <c r="FG120" i="14"/>
  <c r="FO120" i="14"/>
  <c r="FW120" i="14"/>
  <c r="FC176" i="14"/>
  <c r="FK176" i="14"/>
  <c r="FS176" i="14"/>
  <c r="GA176" i="14"/>
  <c r="GO120" i="14"/>
  <c r="FI120" i="14"/>
  <c r="FQ120" i="14"/>
  <c r="FY120" i="14"/>
  <c r="FE176" i="14"/>
  <c r="FM176" i="14"/>
  <c r="FU176" i="14"/>
  <c r="GC176" i="14"/>
  <c r="FJ120" i="14"/>
  <c r="FL176" i="14"/>
  <c r="DZ176" i="14"/>
  <c r="EH176" i="14"/>
  <c r="EP176" i="14"/>
  <c r="EX176" i="14"/>
  <c r="GM120" i="14"/>
  <c r="FP120" i="14"/>
  <c r="FN176" i="14"/>
  <c r="EA176" i="14"/>
  <c r="EI176" i="14"/>
  <c r="EQ176" i="14"/>
  <c r="EY176" i="14"/>
  <c r="GU120" i="14"/>
  <c r="FR120" i="14"/>
  <c r="FO176" i="14"/>
  <c r="EB176" i="14"/>
  <c r="EJ176" i="14"/>
  <c r="ER176" i="14"/>
  <c r="FX120" i="14"/>
  <c r="FT176" i="14"/>
  <c r="EC176" i="14"/>
  <c r="EK176" i="14"/>
  <c r="ES176" i="14"/>
  <c r="FZ120" i="14"/>
  <c r="FV176" i="14"/>
  <c r="ED176" i="14"/>
  <c r="EL176" i="14"/>
  <c r="ET176" i="14"/>
  <c r="FF176" i="14"/>
  <c r="GB176" i="14"/>
  <c r="DX176" i="14"/>
  <c r="EF176" i="14"/>
  <c r="EN176" i="14"/>
  <c r="EV176" i="14"/>
  <c r="EW176" i="14"/>
  <c r="ED120" i="14"/>
  <c r="EL120" i="14"/>
  <c r="ET120" i="14"/>
  <c r="EE120" i="14"/>
  <c r="EM120" i="14"/>
  <c r="EU120" i="14"/>
  <c r="CV176" i="14"/>
  <c r="DD176" i="14"/>
  <c r="DL176" i="14"/>
  <c r="DT176" i="14"/>
  <c r="DY176" i="14"/>
  <c r="DX120" i="14"/>
  <c r="EF120" i="14"/>
  <c r="EN120" i="14"/>
  <c r="EV120" i="14"/>
  <c r="CW176" i="14"/>
  <c r="DE176" i="14"/>
  <c r="DM176" i="14"/>
  <c r="FD176" i="14"/>
  <c r="EE176" i="14"/>
  <c r="DY120" i="14"/>
  <c r="EG120" i="14"/>
  <c r="EO120" i="14"/>
  <c r="EW120" i="14"/>
  <c r="CX176" i="14"/>
  <c r="DF176" i="14"/>
  <c r="DN176" i="14"/>
  <c r="FG176" i="14"/>
  <c r="EG176" i="14"/>
  <c r="DZ120" i="14"/>
  <c r="EH120" i="14"/>
  <c r="EP120" i="14"/>
  <c r="EX120" i="14"/>
  <c r="CY176" i="14"/>
  <c r="DG176" i="14"/>
  <c r="DO176" i="14"/>
  <c r="FH120" i="14"/>
  <c r="GD176" i="14"/>
  <c r="EO176" i="14"/>
  <c r="EB120" i="14"/>
  <c r="EJ120" i="14"/>
  <c r="ER120" i="14"/>
  <c r="CS176" i="14"/>
  <c r="DA176" i="14"/>
  <c r="DI176" i="14"/>
  <c r="DQ176" i="14"/>
  <c r="EK120" i="14"/>
  <c r="CU176" i="14"/>
  <c r="DR176" i="14"/>
  <c r="CU120" i="14"/>
  <c r="DC120" i="14"/>
  <c r="DK120" i="14"/>
  <c r="DS120" i="14"/>
  <c r="AG176" i="14"/>
  <c r="AO176" i="14"/>
  <c r="AW176" i="14"/>
  <c r="AG120" i="14"/>
  <c r="AO120" i="14"/>
  <c r="AW120" i="14"/>
  <c r="EQ120" i="14"/>
  <c r="CZ176" i="14"/>
  <c r="DS176" i="14"/>
  <c r="CV120" i="14"/>
  <c r="DD120" i="14"/>
  <c r="DL120" i="14"/>
  <c r="DT120" i="14"/>
  <c r="AH176" i="14"/>
  <c r="AP176" i="14"/>
  <c r="AX176" i="14"/>
  <c r="AH120" i="14"/>
  <c r="AP120" i="14"/>
  <c r="AX120" i="14"/>
  <c r="ES120" i="14"/>
  <c r="DB176" i="14"/>
  <c r="CW120" i="14"/>
  <c r="DE120" i="14"/>
  <c r="DM120" i="14"/>
  <c r="AA176" i="14"/>
  <c r="AI176" i="14"/>
  <c r="AQ176" i="14"/>
  <c r="AY176" i="14"/>
  <c r="AA120" i="14"/>
  <c r="AI120" i="14"/>
  <c r="AQ120" i="14"/>
  <c r="AY120" i="14"/>
  <c r="EM176" i="14"/>
  <c r="EY120" i="14"/>
  <c r="DC176" i="14"/>
  <c r="CX120" i="14"/>
  <c r="DF120" i="14"/>
  <c r="DN120" i="14"/>
  <c r="AB176" i="14"/>
  <c r="AJ176" i="14"/>
  <c r="AR176" i="14"/>
  <c r="AZ176" i="14"/>
  <c r="AB120" i="14"/>
  <c r="AJ120" i="14"/>
  <c r="AR120" i="14"/>
  <c r="AZ120" i="14"/>
  <c r="EU176" i="14"/>
  <c r="DH176" i="14"/>
  <c r="CY120" i="14"/>
  <c r="DG120" i="14"/>
  <c r="DO120" i="14"/>
  <c r="AC176" i="14"/>
  <c r="AK176" i="14"/>
  <c r="AS176" i="14"/>
  <c r="BA176" i="14"/>
  <c r="AC120" i="14"/>
  <c r="AK120" i="14"/>
  <c r="AS120" i="14"/>
  <c r="BA120" i="14"/>
  <c r="EC120" i="14"/>
  <c r="DK176" i="14"/>
  <c r="CS120" i="14"/>
  <c r="DA120" i="14"/>
  <c r="DI120" i="14"/>
  <c r="DQ120" i="14"/>
  <c r="AE176" i="14"/>
  <c r="AM176" i="14"/>
  <c r="AU176" i="14"/>
  <c r="AE120" i="14"/>
  <c r="AM120" i="14"/>
  <c r="AU120" i="14"/>
  <c r="FW176" i="14"/>
  <c r="DB120" i="14"/>
  <c r="AV176" i="14"/>
  <c r="AF120" i="14"/>
  <c r="DH120" i="14"/>
  <c r="BB176" i="14"/>
  <c r="AL120" i="14"/>
  <c r="CT176" i="14"/>
  <c r="DJ120" i="14"/>
  <c r="AN120" i="14"/>
  <c r="DJ176" i="14"/>
  <c r="DP120" i="14"/>
  <c r="AD176" i="14"/>
  <c r="AT120" i="14"/>
  <c r="EI120" i="14"/>
  <c r="CT120" i="14"/>
  <c r="AN176" i="14"/>
  <c r="CZ120" i="14"/>
  <c r="AT176" i="14"/>
  <c r="AD120" i="14"/>
  <c r="I172" i="6"/>
  <c r="Q172" i="6"/>
  <c r="Y172" i="6"/>
  <c r="AG172" i="6"/>
  <c r="J172" i="6"/>
  <c r="R172" i="6"/>
  <c r="Z172" i="6"/>
  <c r="AH172" i="6"/>
  <c r="DP176" i="14"/>
  <c r="DR120" i="14"/>
  <c r="AF176" i="14"/>
  <c r="K172" i="6"/>
  <c r="S172" i="6"/>
  <c r="AA172" i="6"/>
  <c r="AI172" i="6"/>
  <c r="EA120" i="14"/>
  <c r="AL176" i="14"/>
  <c r="L172" i="6"/>
  <c r="T172" i="6"/>
  <c r="AB172" i="6"/>
  <c r="AJ172" i="6"/>
  <c r="AV120" i="14"/>
  <c r="O172" i="6"/>
  <c r="W172" i="6"/>
  <c r="AE172" i="6"/>
  <c r="BB120" i="14"/>
  <c r="P172" i="6"/>
  <c r="X172" i="6"/>
  <c r="AF172" i="6"/>
  <c r="AC172" i="6"/>
  <c r="AD172" i="6"/>
  <c r="N172" i="6"/>
  <c r="M172" i="6"/>
  <c r="U172" i="6"/>
  <c r="V172" i="6"/>
  <c r="BO120" i="14"/>
  <c r="BW120" i="14"/>
  <c r="CE120" i="14"/>
  <c r="CM120" i="14"/>
  <c r="BS176" i="14"/>
  <c r="CA176" i="14"/>
  <c r="CI176" i="14"/>
  <c r="BP120" i="14"/>
  <c r="BX120" i="14"/>
  <c r="CF120" i="14"/>
  <c r="CN120" i="14"/>
  <c r="BT176" i="14"/>
  <c r="CB176" i="14"/>
  <c r="CJ176" i="14"/>
  <c r="BT120" i="14"/>
  <c r="CJ120" i="14"/>
  <c r="BX176" i="14"/>
  <c r="CH176" i="14"/>
  <c r="BQ120" i="14"/>
  <c r="BY120" i="14"/>
  <c r="CG120" i="14"/>
  <c r="CO120" i="14"/>
  <c r="BU176" i="14"/>
  <c r="CC176" i="14"/>
  <c r="CK176" i="14"/>
  <c r="CB120" i="14"/>
  <c r="BP176" i="14"/>
  <c r="BZ176" i="14"/>
  <c r="BR120" i="14"/>
  <c r="BZ120" i="14"/>
  <c r="CH120" i="14"/>
  <c r="BN176" i="14"/>
  <c r="BV176" i="14"/>
  <c r="CD176" i="14"/>
  <c r="CL176" i="14"/>
  <c r="CF176" i="14"/>
  <c r="BS120" i="14"/>
  <c r="CA120" i="14"/>
  <c r="CI120" i="14"/>
  <c r="BO176" i="14"/>
  <c r="BW176" i="14"/>
  <c r="CE176" i="14"/>
  <c r="CM176" i="14"/>
  <c r="CN176" i="14"/>
  <c r="BR176" i="14"/>
  <c r="BU120" i="14"/>
  <c r="CC120" i="14"/>
  <c r="CK120" i="14"/>
  <c r="BQ176" i="14"/>
  <c r="BY176" i="14"/>
  <c r="CG176" i="14"/>
  <c r="CO176" i="14"/>
  <c r="BN120" i="14"/>
  <c r="BV120" i="14"/>
  <c r="CD120" i="14"/>
  <c r="CL120" i="14"/>
  <c r="BO120" i="17"/>
  <c r="BW120" i="17"/>
  <c r="CE120" i="17"/>
  <c r="CM120" i="17"/>
  <c r="BP120" i="17"/>
  <c r="BX120" i="17"/>
  <c r="CF120" i="17"/>
  <c r="CN120" i="17"/>
  <c r="BQ120" i="17"/>
  <c r="BY120" i="17"/>
  <c r="CG120" i="17"/>
  <c r="BR120" i="17"/>
  <c r="BZ120" i="17"/>
  <c r="CH120" i="17"/>
  <c r="BT120" i="17"/>
  <c r="CB120" i="17"/>
  <c r="CJ120" i="17"/>
  <c r="BM120" i="17"/>
  <c r="BU120" i="17"/>
  <c r="CC120" i="17"/>
  <c r="CK120" i="17"/>
  <c r="BN120" i="17"/>
  <c r="BV120" i="17"/>
  <c r="CD120" i="17"/>
  <c r="CL120" i="17"/>
  <c r="CA120" i="17"/>
  <c r="CI120" i="17"/>
  <c r="AN176" i="17"/>
  <c r="AV176" i="17"/>
  <c r="BD176" i="17"/>
  <c r="BS120" i="17"/>
  <c r="AG176" i="17"/>
  <c r="AO176" i="17"/>
  <c r="AW176" i="17"/>
  <c r="BE176" i="17"/>
  <c r="AH176" i="17"/>
  <c r="AP176" i="17"/>
  <c r="AX176" i="17"/>
  <c r="BF176" i="17"/>
  <c r="AI176" i="17"/>
  <c r="AQ176" i="17"/>
  <c r="AY176" i="17"/>
  <c r="BG176" i="17"/>
  <c r="AJ176" i="17"/>
  <c r="AR176" i="17"/>
  <c r="AZ176" i="17"/>
  <c r="BH176" i="17"/>
  <c r="AK176" i="17"/>
  <c r="AS176" i="17"/>
  <c r="BA176" i="17"/>
  <c r="AL176" i="17"/>
  <c r="AT176" i="17"/>
  <c r="BB176" i="17"/>
  <c r="AL120" i="17"/>
  <c r="AT120" i="17"/>
  <c r="BB120" i="17"/>
  <c r="AM120" i="17"/>
  <c r="AU120" i="17"/>
  <c r="BC120" i="17"/>
  <c r="AN120" i="17"/>
  <c r="AV120" i="17"/>
  <c r="BD120" i="17"/>
  <c r="AM176" i="17"/>
  <c r="AG120" i="17"/>
  <c r="AO120" i="17"/>
  <c r="AW120" i="17"/>
  <c r="BE120" i="17"/>
  <c r="AU176" i="17"/>
  <c r="AH120" i="17"/>
  <c r="AP120" i="17"/>
  <c r="AX120" i="17"/>
  <c r="BF120" i="17"/>
  <c r="BC176" i="17"/>
  <c r="AI120" i="17"/>
  <c r="AQ120" i="17"/>
  <c r="AY120" i="17"/>
  <c r="BG120" i="17"/>
  <c r="AJ120" i="17"/>
  <c r="AR120" i="17"/>
  <c r="AZ120" i="17"/>
  <c r="BH120" i="17"/>
  <c r="H176" i="17"/>
  <c r="P176" i="17"/>
  <c r="X176" i="17"/>
  <c r="AK120" i="17"/>
  <c r="I176" i="17"/>
  <c r="Q176" i="17"/>
  <c r="Y176" i="17"/>
  <c r="E120" i="17"/>
  <c r="M120" i="17"/>
  <c r="U120" i="17"/>
  <c r="AC120" i="17"/>
  <c r="AS120" i="17"/>
  <c r="B176" i="17"/>
  <c r="J176" i="17"/>
  <c r="R176" i="17"/>
  <c r="Z176" i="17"/>
  <c r="F120" i="17"/>
  <c r="N120" i="17"/>
  <c r="V120" i="17"/>
  <c r="BA120" i="17"/>
  <c r="C176" i="17"/>
  <c r="K176" i="17"/>
  <c r="S176" i="17"/>
  <c r="AA176" i="17"/>
  <c r="G120" i="17"/>
  <c r="O120" i="17"/>
  <c r="W120" i="17"/>
  <c r="D176" i="17"/>
  <c r="L176" i="17"/>
  <c r="T176" i="17"/>
  <c r="AB176" i="17"/>
  <c r="H120" i="17"/>
  <c r="P120" i="17"/>
  <c r="X120" i="17"/>
  <c r="E176" i="17"/>
  <c r="M176" i="17"/>
  <c r="U176" i="17"/>
  <c r="AC176" i="17"/>
  <c r="I120" i="17"/>
  <c r="Q120" i="17"/>
  <c r="Y120" i="17"/>
  <c r="F176" i="17"/>
  <c r="N176" i="17"/>
  <c r="V176" i="17"/>
  <c r="O176" i="17"/>
  <c r="S120" i="17"/>
  <c r="GP122" i="14"/>
  <c r="GX122" i="14"/>
  <c r="HF122" i="14"/>
  <c r="W176" i="17"/>
  <c r="B120" i="17"/>
  <c r="T120" i="17"/>
  <c r="GI122" i="14"/>
  <c r="GQ122" i="14"/>
  <c r="GY122" i="14"/>
  <c r="HG122" i="14"/>
  <c r="C120" i="17"/>
  <c r="Z120" i="17"/>
  <c r="GJ122" i="14"/>
  <c r="GR122" i="14"/>
  <c r="GZ122" i="14"/>
  <c r="HH122" i="14"/>
  <c r="D120" i="17"/>
  <c r="AA120" i="17"/>
  <c r="GK122" i="14"/>
  <c r="GS122" i="14"/>
  <c r="HA122" i="14"/>
  <c r="HI122" i="14"/>
  <c r="J120" i="17"/>
  <c r="AB120" i="17"/>
  <c r="GL122" i="14"/>
  <c r="GT122" i="14"/>
  <c r="HB122" i="14"/>
  <c r="HJ122" i="14"/>
  <c r="L120" i="17"/>
  <c r="GN122" i="14"/>
  <c r="GV122" i="14"/>
  <c r="HD122" i="14"/>
  <c r="R120" i="17"/>
  <c r="HE122" i="14"/>
  <c r="FC122" i="14"/>
  <c r="FK122" i="14"/>
  <c r="FS122" i="14"/>
  <c r="GA122" i="14"/>
  <c r="FD122" i="14"/>
  <c r="FL122" i="14"/>
  <c r="FT122" i="14"/>
  <c r="GB122" i="14"/>
  <c r="FH178" i="14"/>
  <c r="FP178" i="14"/>
  <c r="FX178" i="14"/>
  <c r="FE122" i="14"/>
  <c r="FM122" i="14"/>
  <c r="FU122" i="14"/>
  <c r="GC122" i="14"/>
  <c r="FI178" i="14"/>
  <c r="FQ178" i="14"/>
  <c r="FY178" i="14"/>
  <c r="GM122" i="14"/>
  <c r="FF122" i="14"/>
  <c r="FN122" i="14"/>
  <c r="FV122" i="14"/>
  <c r="GD122" i="14"/>
  <c r="FJ178" i="14"/>
  <c r="FR178" i="14"/>
  <c r="FZ178" i="14"/>
  <c r="GO122" i="14"/>
  <c r="FG122" i="14"/>
  <c r="FO122" i="14"/>
  <c r="FW122" i="14"/>
  <c r="FC178" i="14"/>
  <c r="FK178" i="14"/>
  <c r="FS178" i="14"/>
  <c r="GA178" i="14"/>
  <c r="G176" i="17"/>
  <c r="GW122" i="14"/>
  <c r="FI122" i="14"/>
  <c r="FQ122" i="14"/>
  <c r="FY122" i="14"/>
  <c r="FE178" i="14"/>
  <c r="FM178" i="14"/>
  <c r="FU178" i="14"/>
  <c r="GC178" i="14"/>
  <c r="FR122" i="14"/>
  <c r="FT178" i="14"/>
  <c r="DZ178" i="14"/>
  <c r="EH178" i="14"/>
  <c r="EP178" i="14"/>
  <c r="EX178" i="14"/>
  <c r="FX122" i="14"/>
  <c r="FV178" i="14"/>
  <c r="EA178" i="14"/>
  <c r="EI178" i="14"/>
  <c r="EQ178" i="14"/>
  <c r="EY178" i="14"/>
  <c r="FZ122" i="14"/>
  <c r="FD178" i="14"/>
  <c r="FW178" i="14"/>
  <c r="EB178" i="14"/>
  <c r="EJ178" i="14"/>
  <c r="ER178" i="14"/>
  <c r="FF178" i="14"/>
  <c r="GB178" i="14"/>
  <c r="EC178" i="14"/>
  <c r="EK178" i="14"/>
  <c r="ES178" i="14"/>
  <c r="FG178" i="14"/>
  <c r="GD178" i="14"/>
  <c r="ED178" i="14"/>
  <c r="EL178" i="14"/>
  <c r="ET178" i="14"/>
  <c r="K120" i="17"/>
  <c r="HC122" i="14"/>
  <c r="FJ122" i="14"/>
  <c r="FN178" i="14"/>
  <c r="DX178" i="14"/>
  <c r="EF178" i="14"/>
  <c r="EN178" i="14"/>
  <c r="EV178" i="14"/>
  <c r="DY178" i="14"/>
  <c r="ED122" i="14"/>
  <c r="EL122" i="14"/>
  <c r="ET122" i="14"/>
  <c r="GU122" i="14"/>
  <c r="FH122" i="14"/>
  <c r="FL178" i="14"/>
  <c r="EE178" i="14"/>
  <c r="EE122" i="14"/>
  <c r="EM122" i="14"/>
  <c r="EU122" i="14"/>
  <c r="CV178" i="14"/>
  <c r="DD178" i="14"/>
  <c r="DL178" i="14"/>
  <c r="DT178" i="14"/>
  <c r="FP122" i="14"/>
  <c r="FO178" i="14"/>
  <c r="EG178" i="14"/>
  <c r="DX122" i="14"/>
  <c r="EF122" i="14"/>
  <c r="EN122" i="14"/>
  <c r="EV122" i="14"/>
  <c r="CW178" i="14"/>
  <c r="DE178" i="14"/>
  <c r="DM178" i="14"/>
  <c r="EM178" i="14"/>
  <c r="DY122" i="14"/>
  <c r="EG122" i="14"/>
  <c r="EO122" i="14"/>
  <c r="EW122" i="14"/>
  <c r="CX178" i="14"/>
  <c r="DF178" i="14"/>
  <c r="DN178" i="14"/>
  <c r="EO178" i="14"/>
  <c r="DZ122" i="14"/>
  <c r="EH122" i="14"/>
  <c r="EP122" i="14"/>
  <c r="EX122" i="14"/>
  <c r="CY178" i="14"/>
  <c r="DG178" i="14"/>
  <c r="DO178" i="14"/>
  <c r="EW178" i="14"/>
  <c r="EB122" i="14"/>
  <c r="EJ122" i="14"/>
  <c r="ER122" i="14"/>
  <c r="CS178" i="14"/>
  <c r="DA178" i="14"/>
  <c r="DI178" i="14"/>
  <c r="DQ178" i="14"/>
  <c r="ES122" i="14"/>
  <c r="DC178" i="14"/>
  <c r="CU122" i="14"/>
  <c r="DC122" i="14"/>
  <c r="DK122" i="14"/>
  <c r="DS122" i="14"/>
  <c r="AG178" i="14"/>
  <c r="AO178" i="14"/>
  <c r="AW178" i="14"/>
  <c r="AG122" i="14"/>
  <c r="AO122" i="14"/>
  <c r="AW122" i="14"/>
  <c r="EY122" i="14"/>
  <c r="DH178" i="14"/>
  <c r="CV122" i="14"/>
  <c r="DD122" i="14"/>
  <c r="DL122" i="14"/>
  <c r="DT122" i="14"/>
  <c r="AH178" i="14"/>
  <c r="AP178" i="14"/>
  <c r="AX178" i="14"/>
  <c r="AH122" i="14"/>
  <c r="AP122" i="14"/>
  <c r="AX122" i="14"/>
  <c r="DJ178" i="14"/>
  <c r="CW122" i="14"/>
  <c r="DE122" i="14"/>
  <c r="DM122" i="14"/>
  <c r="AA178" i="14"/>
  <c r="AI178" i="14"/>
  <c r="AQ178" i="14"/>
  <c r="AY178" i="14"/>
  <c r="AA122" i="14"/>
  <c r="AI122" i="14"/>
  <c r="AQ122" i="14"/>
  <c r="AY122" i="14"/>
  <c r="EA122" i="14"/>
  <c r="DK178" i="14"/>
  <c r="CX122" i="14"/>
  <c r="DF122" i="14"/>
  <c r="DN122" i="14"/>
  <c r="AB178" i="14"/>
  <c r="AJ178" i="14"/>
  <c r="AR178" i="14"/>
  <c r="AZ178" i="14"/>
  <c r="AB122" i="14"/>
  <c r="AJ122" i="14"/>
  <c r="AR122" i="14"/>
  <c r="AZ122" i="14"/>
  <c r="EC122" i="14"/>
  <c r="CT178" i="14"/>
  <c r="DP178" i="14"/>
  <c r="CY122" i="14"/>
  <c r="DG122" i="14"/>
  <c r="DO122" i="14"/>
  <c r="AC178" i="14"/>
  <c r="AK178" i="14"/>
  <c r="AS178" i="14"/>
  <c r="BA178" i="14"/>
  <c r="AC122" i="14"/>
  <c r="AK122" i="14"/>
  <c r="AS122" i="14"/>
  <c r="BA122" i="14"/>
  <c r="EK122" i="14"/>
  <c r="CZ178" i="14"/>
  <c r="DS178" i="14"/>
  <c r="CS122" i="14"/>
  <c r="DA122" i="14"/>
  <c r="DI122" i="14"/>
  <c r="DQ122" i="14"/>
  <c r="AE178" i="14"/>
  <c r="AM178" i="14"/>
  <c r="AU178" i="14"/>
  <c r="AE122" i="14"/>
  <c r="AM122" i="14"/>
  <c r="AU122" i="14"/>
  <c r="DB178" i="14"/>
  <c r="DJ122" i="14"/>
  <c r="AN122" i="14"/>
  <c r="EI122" i="14"/>
  <c r="DR178" i="14"/>
  <c r="DP122" i="14"/>
  <c r="AD178" i="14"/>
  <c r="AT122" i="14"/>
  <c r="EQ122" i="14"/>
  <c r="DR122" i="14"/>
  <c r="AF178" i="14"/>
  <c r="AL178" i="14"/>
  <c r="BB122" i="14"/>
  <c r="EU178" i="14"/>
  <c r="DB122" i="14"/>
  <c r="AV178" i="14"/>
  <c r="AF122" i="14"/>
  <c r="CU178" i="14"/>
  <c r="DH122" i="14"/>
  <c r="BB178" i="14"/>
  <c r="AL122" i="14"/>
  <c r="I174" i="6"/>
  <c r="Q174" i="6"/>
  <c r="Y174" i="6"/>
  <c r="AG174" i="6"/>
  <c r="AD122" i="14"/>
  <c r="J174" i="6"/>
  <c r="R174" i="6"/>
  <c r="Z174" i="6"/>
  <c r="AH174" i="6"/>
  <c r="AV122" i="14"/>
  <c r="K174" i="6"/>
  <c r="S174" i="6"/>
  <c r="AA174" i="6"/>
  <c r="AI174" i="6"/>
  <c r="L174" i="6"/>
  <c r="T174" i="6"/>
  <c r="AB174" i="6"/>
  <c r="AJ174" i="6"/>
  <c r="CT122" i="14"/>
  <c r="AN178" i="14"/>
  <c r="O174" i="6"/>
  <c r="W174" i="6"/>
  <c r="AE174" i="6"/>
  <c r="AT178" i="14"/>
  <c r="P174" i="6"/>
  <c r="X174" i="6"/>
  <c r="AF174" i="6"/>
  <c r="CZ122" i="14"/>
  <c r="M174" i="6"/>
  <c r="N174" i="6"/>
  <c r="V174" i="6"/>
  <c r="AD174" i="6"/>
  <c r="U174" i="6"/>
  <c r="AC174" i="6"/>
  <c r="BO122" i="14"/>
  <c r="BW122" i="14"/>
  <c r="CE122" i="14"/>
  <c r="CM122" i="14"/>
  <c r="BS178" i="14"/>
  <c r="CA178" i="14"/>
  <c r="CI178" i="14"/>
  <c r="BZ178" i="14"/>
  <c r="BP122" i="14"/>
  <c r="BX122" i="14"/>
  <c r="CF122" i="14"/>
  <c r="CN122" i="14"/>
  <c r="BT178" i="14"/>
  <c r="CB178" i="14"/>
  <c r="CJ178" i="14"/>
  <c r="CJ122" i="14"/>
  <c r="CF178" i="14"/>
  <c r="BR178" i="14"/>
  <c r="BQ122" i="14"/>
  <c r="BY122" i="14"/>
  <c r="CG122" i="14"/>
  <c r="CO122" i="14"/>
  <c r="BU178" i="14"/>
  <c r="CC178" i="14"/>
  <c r="CK178" i="14"/>
  <c r="CB122" i="14"/>
  <c r="BX178" i="14"/>
  <c r="BR122" i="14"/>
  <c r="BZ122" i="14"/>
  <c r="CH122" i="14"/>
  <c r="BN178" i="14"/>
  <c r="BV178" i="14"/>
  <c r="CD178" i="14"/>
  <c r="CL178" i="14"/>
  <c r="BT122" i="14"/>
  <c r="CN178" i="14"/>
  <c r="BS122" i="14"/>
  <c r="CA122" i="14"/>
  <c r="CI122" i="14"/>
  <c r="BO178" i="14"/>
  <c r="BW178" i="14"/>
  <c r="CE178" i="14"/>
  <c r="CM178" i="14"/>
  <c r="BP178" i="14"/>
  <c r="BU122" i="14"/>
  <c r="CC122" i="14"/>
  <c r="CK122" i="14"/>
  <c r="BQ178" i="14"/>
  <c r="BY178" i="14"/>
  <c r="CG178" i="14"/>
  <c r="CO178" i="14"/>
  <c r="BN122" i="14"/>
  <c r="BV122" i="14"/>
  <c r="CD122" i="14"/>
  <c r="CL122" i="14"/>
  <c r="CH178" i="14"/>
  <c r="BS155" i="17"/>
  <c r="CA155" i="17"/>
  <c r="CI155" i="17"/>
  <c r="BM155" i="17"/>
  <c r="BU155" i="17"/>
  <c r="CC155" i="17"/>
  <c r="CK155" i="17"/>
  <c r="BN155" i="17"/>
  <c r="BV155" i="17"/>
  <c r="CD155" i="17"/>
  <c r="CL155" i="17"/>
  <c r="BO155" i="17"/>
  <c r="BW155" i="17"/>
  <c r="CE155" i="17"/>
  <c r="CM155" i="17"/>
  <c r="BP155" i="17"/>
  <c r="BX155" i="17"/>
  <c r="CF155" i="17"/>
  <c r="CN155" i="17"/>
  <c r="BQ155" i="17"/>
  <c r="BY155" i="17"/>
  <c r="CG155" i="17"/>
  <c r="BZ155" i="17"/>
  <c r="CB155" i="17"/>
  <c r="CH155" i="17"/>
  <c r="CJ155" i="17"/>
  <c r="BR155" i="17"/>
  <c r="AL211" i="17"/>
  <c r="AT211" i="17"/>
  <c r="BB211" i="17"/>
  <c r="AM211" i="17"/>
  <c r="AU211" i="17"/>
  <c r="BC211" i="17"/>
  <c r="AN211" i="17"/>
  <c r="AV211" i="17"/>
  <c r="BD211" i="17"/>
  <c r="AG211" i="17"/>
  <c r="AO211" i="17"/>
  <c r="AW211" i="17"/>
  <c r="BE211" i="17"/>
  <c r="AH211" i="17"/>
  <c r="AP211" i="17"/>
  <c r="AX211" i="17"/>
  <c r="BF211" i="17"/>
  <c r="AI211" i="17"/>
  <c r="AQ211" i="17"/>
  <c r="AY211" i="17"/>
  <c r="BG211" i="17"/>
  <c r="AJ211" i="17"/>
  <c r="AR211" i="17"/>
  <c r="AZ211" i="17"/>
  <c r="BH211" i="17"/>
  <c r="BT155" i="17"/>
  <c r="AM155" i="17"/>
  <c r="AU155" i="17"/>
  <c r="BC155" i="17"/>
  <c r="AK211" i="17"/>
  <c r="AN155" i="17"/>
  <c r="AV155" i="17"/>
  <c r="BD155" i="17"/>
  <c r="E211" i="17"/>
  <c r="M211" i="17"/>
  <c r="U211" i="17"/>
  <c r="AC211" i="17"/>
  <c r="AS211" i="17"/>
  <c r="AG155" i="17"/>
  <c r="AO155" i="17"/>
  <c r="AW155" i="17"/>
  <c r="BE155" i="17"/>
  <c r="F211" i="17"/>
  <c r="N211" i="17"/>
  <c r="V211" i="17"/>
  <c r="BA211" i="17"/>
  <c r="AH155" i="17"/>
  <c r="AP155" i="17"/>
  <c r="AX155" i="17"/>
  <c r="BF155" i="17"/>
  <c r="G211" i="17"/>
  <c r="O211" i="17"/>
  <c r="W211" i="17"/>
  <c r="AI155" i="17"/>
  <c r="AQ155" i="17"/>
  <c r="AY155" i="17"/>
  <c r="BG155" i="17"/>
  <c r="H211" i="17"/>
  <c r="P211" i="17"/>
  <c r="X211" i="17"/>
  <c r="AJ155" i="17"/>
  <c r="AR155" i="17"/>
  <c r="AZ155" i="17"/>
  <c r="BH155" i="17"/>
  <c r="I211" i="17"/>
  <c r="Q211" i="17"/>
  <c r="Y211" i="17"/>
  <c r="AK155" i="17"/>
  <c r="AS155" i="17"/>
  <c r="BA155" i="17"/>
  <c r="AT155" i="17"/>
  <c r="S211" i="17"/>
  <c r="E155" i="17"/>
  <c r="M155" i="17"/>
  <c r="U155" i="17"/>
  <c r="AC155" i="17"/>
  <c r="BB155" i="17"/>
  <c r="B211" i="17"/>
  <c r="T211" i="17"/>
  <c r="F155" i="17"/>
  <c r="N155" i="17"/>
  <c r="V155" i="17"/>
  <c r="C211" i="17"/>
  <c r="Z211" i="17"/>
  <c r="G155" i="17"/>
  <c r="O155" i="17"/>
  <c r="W155" i="17"/>
  <c r="D211" i="17"/>
  <c r="AA211" i="17"/>
  <c r="H155" i="17"/>
  <c r="P155" i="17"/>
  <c r="X155" i="17"/>
  <c r="J211" i="17"/>
  <c r="AB211" i="17"/>
  <c r="I155" i="17"/>
  <c r="Q155" i="17"/>
  <c r="Y155" i="17"/>
  <c r="L211" i="17"/>
  <c r="C155" i="17"/>
  <c r="K155" i="17"/>
  <c r="S155" i="17"/>
  <c r="AA155" i="17"/>
  <c r="AL155" i="17"/>
  <c r="AB155" i="17"/>
  <c r="GI157" i="14"/>
  <c r="GQ157" i="14"/>
  <c r="GY157" i="14"/>
  <c r="HG157" i="14"/>
  <c r="FG157" i="14"/>
  <c r="FO157" i="14"/>
  <c r="FW157" i="14"/>
  <c r="B155" i="17"/>
  <c r="GJ157" i="14"/>
  <c r="GR157" i="14"/>
  <c r="GZ157" i="14"/>
  <c r="HH157" i="14"/>
  <c r="FH157" i="14"/>
  <c r="FP157" i="14"/>
  <c r="FX157" i="14"/>
  <c r="D155" i="17"/>
  <c r="GK157" i="14"/>
  <c r="GS157" i="14"/>
  <c r="HA157" i="14"/>
  <c r="HI157" i="14"/>
  <c r="FI157" i="14"/>
  <c r="FQ157" i="14"/>
  <c r="FY157" i="14"/>
  <c r="J155" i="17"/>
  <c r="GL157" i="14"/>
  <c r="GT157" i="14"/>
  <c r="HB157" i="14"/>
  <c r="HJ157" i="14"/>
  <c r="FJ157" i="14"/>
  <c r="FR157" i="14"/>
  <c r="FZ157" i="14"/>
  <c r="L155" i="17"/>
  <c r="GM157" i="14"/>
  <c r="GU157" i="14"/>
  <c r="HC157" i="14"/>
  <c r="FC157" i="14"/>
  <c r="FK157" i="14"/>
  <c r="FS157" i="14"/>
  <c r="GA157" i="14"/>
  <c r="R211" i="17"/>
  <c r="T155" i="17"/>
  <c r="GO157" i="14"/>
  <c r="GW157" i="14"/>
  <c r="HE157" i="14"/>
  <c r="FE157" i="14"/>
  <c r="FM157" i="14"/>
  <c r="FU157" i="14"/>
  <c r="GC157" i="14"/>
  <c r="GX157" i="14"/>
  <c r="GD157" i="14"/>
  <c r="FE213" i="14"/>
  <c r="FM213" i="14"/>
  <c r="FU213" i="14"/>
  <c r="GC213" i="14"/>
  <c r="R155" i="17"/>
  <c r="HD157" i="14"/>
  <c r="FD157" i="14"/>
  <c r="FF213" i="14"/>
  <c r="FN213" i="14"/>
  <c r="FV213" i="14"/>
  <c r="GD213" i="14"/>
  <c r="Z155" i="17"/>
  <c r="HF157" i="14"/>
  <c r="FF157" i="14"/>
  <c r="FG213" i="14"/>
  <c r="FO213" i="14"/>
  <c r="FW213" i="14"/>
  <c r="K211" i="17"/>
  <c r="FL157" i="14"/>
  <c r="FH213" i="14"/>
  <c r="FP213" i="14"/>
  <c r="FX213" i="14"/>
  <c r="FN157" i="14"/>
  <c r="FI213" i="14"/>
  <c r="FQ213" i="14"/>
  <c r="FY213" i="14"/>
  <c r="GP157" i="14"/>
  <c r="FV157" i="14"/>
  <c r="FC213" i="14"/>
  <c r="FK213" i="14"/>
  <c r="FS213" i="14"/>
  <c r="GA213" i="14"/>
  <c r="GB157" i="14"/>
  <c r="FD213" i="14"/>
  <c r="ED213" i="14"/>
  <c r="EL213" i="14"/>
  <c r="ET213" i="14"/>
  <c r="DZ157" i="14"/>
  <c r="EH157" i="14"/>
  <c r="EP157" i="14"/>
  <c r="EX157" i="14"/>
  <c r="FJ213" i="14"/>
  <c r="EE213" i="14"/>
  <c r="EM213" i="14"/>
  <c r="EU213" i="14"/>
  <c r="EA157" i="14"/>
  <c r="EI157" i="14"/>
  <c r="EQ157" i="14"/>
  <c r="EY157" i="14"/>
  <c r="FL213" i="14"/>
  <c r="DX213" i="14"/>
  <c r="EF213" i="14"/>
  <c r="EN213" i="14"/>
  <c r="EV213" i="14"/>
  <c r="EB157" i="14"/>
  <c r="EJ157" i="14"/>
  <c r="ER157" i="14"/>
  <c r="FR213" i="14"/>
  <c r="DY213" i="14"/>
  <c r="EG213" i="14"/>
  <c r="EO213" i="14"/>
  <c r="EW213" i="14"/>
  <c r="EC157" i="14"/>
  <c r="EK157" i="14"/>
  <c r="ES157" i="14"/>
  <c r="FT213" i="14"/>
  <c r="DZ213" i="14"/>
  <c r="EH213" i="14"/>
  <c r="EP213" i="14"/>
  <c r="EX213" i="14"/>
  <c r="ED157" i="14"/>
  <c r="EL157" i="14"/>
  <c r="ET157" i="14"/>
  <c r="GV157" i="14"/>
  <c r="GB213" i="14"/>
  <c r="EB213" i="14"/>
  <c r="EJ213" i="14"/>
  <c r="ER213" i="14"/>
  <c r="DX157" i="14"/>
  <c r="EF157" i="14"/>
  <c r="EN157" i="14"/>
  <c r="EV157" i="14"/>
  <c r="FT157" i="14"/>
  <c r="ES213" i="14"/>
  <c r="DY157" i="14"/>
  <c r="CZ213" i="14"/>
  <c r="DH213" i="14"/>
  <c r="DP213" i="14"/>
  <c r="CY157" i="14"/>
  <c r="DG157" i="14"/>
  <c r="DO157" i="14"/>
  <c r="AC213" i="14"/>
  <c r="AK213" i="14"/>
  <c r="AS213" i="14"/>
  <c r="BA213" i="14"/>
  <c r="GN157" i="14"/>
  <c r="EY213" i="14"/>
  <c r="EE157" i="14"/>
  <c r="CS213" i="14"/>
  <c r="DA213" i="14"/>
  <c r="DI213" i="14"/>
  <c r="DQ213" i="14"/>
  <c r="CZ157" i="14"/>
  <c r="DH157" i="14"/>
  <c r="DP157" i="14"/>
  <c r="AD213" i="14"/>
  <c r="AL213" i="14"/>
  <c r="AT213" i="14"/>
  <c r="BB213" i="14"/>
  <c r="EG157" i="14"/>
  <c r="CT213" i="14"/>
  <c r="DB213" i="14"/>
  <c r="DJ213" i="14"/>
  <c r="DR213" i="14"/>
  <c r="CS157" i="14"/>
  <c r="DA157" i="14"/>
  <c r="DI157" i="14"/>
  <c r="DQ157" i="14"/>
  <c r="AE213" i="14"/>
  <c r="AM213" i="14"/>
  <c r="AU213" i="14"/>
  <c r="FZ213" i="14"/>
  <c r="EA213" i="14"/>
  <c r="EM157" i="14"/>
  <c r="CU213" i="14"/>
  <c r="DC213" i="14"/>
  <c r="DK213" i="14"/>
  <c r="DS213" i="14"/>
  <c r="CT157" i="14"/>
  <c r="DB157" i="14"/>
  <c r="DJ157" i="14"/>
  <c r="DR157" i="14"/>
  <c r="AF213" i="14"/>
  <c r="AN213" i="14"/>
  <c r="AV213" i="14"/>
  <c r="EC213" i="14"/>
  <c r="EO157" i="14"/>
  <c r="CV213" i="14"/>
  <c r="DD213" i="14"/>
  <c r="DL213" i="14"/>
  <c r="DT213" i="14"/>
  <c r="CU157" i="14"/>
  <c r="DC157" i="14"/>
  <c r="DK157" i="14"/>
  <c r="DS157" i="14"/>
  <c r="AG213" i="14"/>
  <c r="AO213" i="14"/>
  <c r="AW213" i="14"/>
  <c r="EK213" i="14"/>
  <c r="EW157" i="14"/>
  <c r="CX213" i="14"/>
  <c r="DF213" i="14"/>
  <c r="DN213" i="14"/>
  <c r="CW157" i="14"/>
  <c r="DE157" i="14"/>
  <c r="DM157" i="14"/>
  <c r="AA213" i="14"/>
  <c r="AI213" i="14"/>
  <c r="AQ213" i="14"/>
  <c r="AY213" i="14"/>
  <c r="DO213" i="14"/>
  <c r="AJ213" i="14"/>
  <c r="CV157" i="14"/>
  <c r="AP213" i="14"/>
  <c r="CX157" i="14"/>
  <c r="AR213" i="14"/>
  <c r="CW213" i="14"/>
  <c r="DD157" i="14"/>
  <c r="AX213" i="14"/>
  <c r="EQ213" i="14"/>
  <c r="DG213" i="14"/>
  <c r="DN157" i="14"/>
  <c r="AB213" i="14"/>
  <c r="EU157" i="14"/>
  <c r="DM213" i="14"/>
  <c r="DT157" i="14"/>
  <c r="AH213" i="14"/>
  <c r="AB157" i="14"/>
  <c r="AJ157" i="14"/>
  <c r="AR157" i="14"/>
  <c r="AZ157" i="14"/>
  <c r="M209" i="6"/>
  <c r="U209" i="6"/>
  <c r="AC209" i="6"/>
  <c r="AC157" i="14"/>
  <c r="AK157" i="14"/>
  <c r="AS157" i="14"/>
  <c r="BA157" i="14"/>
  <c r="N209" i="6"/>
  <c r="V209" i="6"/>
  <c r="AD209" i="6"/>
  <c r="AZ213" i="14"/>
  <c r="CY213" i="14"/>
  <c r="DF157" i="14"/>
  <c r="AD157" i="14"/>
  <c r="AL157" i="14"/>
  <c r="AT157" i="14"/>
  <c r="BB157" i="14"/>
  <c r="O209" i="6"/>
  <c r="W209" i="6"/>
  <c r="AE209" i="6"/>
  <c r="DE213" i="14"/>
  <c r="DL157" i="14"/>
  <c r="AE157" i="14"/>
  <c r="AM157" i="14"/>
  <c r="AU157" i="14"/>
  <c r="P209" i="6"/>
  <c r="X209" i="6"/>
  <c r="AF209" i="6"/>
  <c r="AH157" i="14"/>
  <c r="AP157" i="14"/>
  <c r="AX157" i="14"/>
  <c r="K209" i="6"/>
  <c r="S209" i="6"/>
  <c r="AA209" i="6"/>
  <c r="AI209" i="6"/>
  <c r="AA157" i="14"/>
  <c r="AI157" i="14"/>
  <c r="AQ157" i="14"/>
  <c r="AY157" i="14"/>
  <c r="L209" i="6"/>
  <c r="T209" i="6"/>
  <c r="AB209" i="6"/>
  <c r="AJ209" i="6"/>
  <c r="AV157" i="14"/>
  <c r="Q209" i="6"/>
  <c r="AW157" i="14"/>
  <c r="R209" i="6"/>
  <c r="AH209" i="6"/>
  <c r="Y209" i="6"/>
  <c r="AG157" i="14"/>
  <c r="J209" i="6"/>
  <c r="Z209" i="6"/>
  <c r="AF157" i="14"/>
  <c r="AG209" i="6"/>
  <c r="AN157" i="14"/>
  <c r="I209" i="6"/>
  <c r="I106" i="2" s="1"/>
  <c r="EI213" i="14"/>
  <c r="AO157" i="14"/>
  <c r="BS157" i="14"/>
  <c r="CA157" i="14"/>
  <c r="CI157" i="14"/>
  <c r="BO213" i="14"/>
  <c r="BW213" i="14"/>
  <c r="CE213" i="14"/>
  <c r="CM213" i="14"/>
  <c r="BT157" i="14"/>
  <c r="CB157" i="14"/>
  <c r="CJ157" i="14"/>
  <c r="BP213" i="14"/>
  <c r="BX213" i="14"/>
  <c r="CF213" i="14"/>
  <c r="CN213" i="14"/>
  <c r="BP157" i="14"/>
  <c r="CB213" i="14"/>
  <c r="BU157" i="14"/>
  <c r="CC157" i="14"/>
  <c r="CK157" i="14"/>
  <c r="BQ213" i="14"/>
  <c r="BY213" i="14"/>
  <c r="CG213" i="14"/>
  <c r="CO213" i="14"/>
  <c r="CF157" i="14"/>
  <c r="BV213" i="14"/>
  <c r="BN157" i="14"/>
  <c r="BV157" i="14"/>
  <c r="CD157" i="14"/>
  <c r="CL157" i="14"/>
  <c r="BR213" i="14"/>
  <c r="BZ213" i="14"/>
  <c r="CH213" i="14"/>
  <c r="BX157" i="14"/>
  <c r="CJ213" i="14"/>
  <c r="BO157" i="14"/>
  <c r="BW157" i="14"/>
  <c r="CE157" i="14"/>
  <c r="CM157" i="14"/>
  <c r="BS213" i="14"/>
  <c r="CA213" i="14"/>
  <c r="CI213" i="14"/>
  <c r="CN157" i="14"/>
  <c r="BT213" i="14"/>
  <c r="CD213" i="14"/>
  <c r="BQ157" i="14"/>
  <c r="BY157" i="14"/>
  <c r="CG157" i="14"/>
  <c r="CO157" i="14"/>
  <c r="BU213" i="14"/>
  <c r="CC213" i="14"/>
  <c r="CK213" i="14"/>
  <c r="BR157" i="14"/>
  <c r="BZ157" i="14"/>
  <c r="CH157" i="14"/>
  <c r="BN213" i="14"/>
  <c r="CL213" i="14"/>
  <c r="BS137" i="17"/>
  <c r="CA137" i="17"/>
  <c r="CI137" i="17"/>
  <c r="BT137" i="17"/>
  <c r="CB137" i="17"/>
  <c r="CJ137" i="17"/>
  <c r="BM137" i="17"/>
  <c r="BU137" i="17"/>
  <c r="BN137" i="17"/>
  <c r="BV137" i="17"/>
  <c r="CD137" i="17"/>
  <c r="CL137" i="17"/>
  <c r="BP137" i="17"/>
  <c r="BX137" i="17"/>
  <c r="CF137" i="17"/>
  <c r="CN137" i="17"/>
  <c r="BQ137" i="17"/>
  <c r="BY137" i="17"/>
  <c r="CG137" i="17"/>
  <c r="BR137" i="17"/>
  <c r="BZ137" i="17"/>
  <c r="CH137" i="17"/>
  <c r="CK137" i="17"/>
  <c r="BO137" i="17"/>
  <c r="BW137" i="17"/>
  <c r="CC137" i="17"/>
  <c r="CE137" i="17"/>
  <c r="AJ193" i="17"/>
  <c r="AR193" i="17"/>
  <c r="AZ193" i="17"/>
  <c r="BH193" i="17"/>
  <c r="CM137" i="17"/>
  <c r="AK193" i="17"/>
  <c r="AS193" i="17"/>
  <c r="BA193" i="17"/>
  <c r="AL193" i="17"/>
  <c r="AT193" i="17"/>
  <c r="BB193" i="17"/>
  <c r="AM193" i="17"/>
  <c r="AU193" i="17"/>
  <c r="BC193" i="17"/>
  <c r="AG193" i="17"/>
  <c r="AO193" i="17"/>
  <c r="AW193" i="17"/>
  <c r="BE193" i="17"/>
  <c r="AH193" i="17"/>
  <c r="AP193" i="17"/>
  <c r="AX193" i="17"/>
  <c r="BF193" i="17"/>
  <c r="AI193" i="17"/>
  <c r="AH137" i="17"/>
  <c r="AP137" i="17"/>
  <c r="AX137" i="17"/>
  <c r="BF137" i="17"/>
  <c r="AN193" i="17"/>
  <c r="AI137" i="17"/>
  <c r="AQ137" i="17"/>
  <c r="AY137" i="17"/>
  <c r="BG137" i="17"/>
  <c r="AQ193" i="17"/>
  <c r="AJ137" i="17"/>
  <c r="AR137" i="17"/>
  <c r="AZ137" i="17"/>
  <c r="BH137" i="17"/>
  <c r="AV193" i="17"/>
  <c r="AK137" i="17"/>
  <c r="AS137" i="17"/>
  <c r="BA137" i="17"/>
  <c r="AY193" i="17"/>
  <c r="AL137" i="17"/>
  <c r="AT137" i="17"/>
  <c r="BB137" i="17"/>
  <c r="BD193" i="17"/>
  <c r="AM137" i="17"/>
  <c r="AU137" i="17"/>
  <c r="BC137" i="17"/>
  <c r="BG193" i="17"/>
  <c r="AN137" i="17"/>
  <c r="AV137" i="17"/>
  <c r="BD137" i="17"/>
  <c r="D193" i="17"/>
  <c r="L193" i="17"/>
  <c r="T193" i="17"/>
  <c r="AB193" i="17"/>
  <c r="E193" i="17"/>
  <c r="M193" i="17"/>
  <c r="U193" i="17"/>
  <c r="AC193" i="17"/>
  <c r="F193" i="17"/>
  <c r="N193" i="17"/>
  <c r="V193" i="17"/>
  <c r="G193" i="17"/>
  <c r="O193" i="17"/>
  <c r="W193" i="17"/>
  <c r="AG137" i="17"/>
  <c r="H193" i="17"/>
  <c r="P193" i="17"/>
  <c r="X193" i="17"/>
  <c r="AO137" i="17"/>
  <c r="I193" i="17"/>
  <c r="Q193" i="17"/>
  <c r="Y193" i="17"/>
  <c r="AW137" i="17"/>
  <c r="B193" i="17"/>
  <c r="E137" i="17"/>
  <c r="M137" i="17"/>
  <c r="U137" i="17"/>
  <c r="AC137" i="17"/>
  <c r="GL139" i="14"/>
  <c r="GT139" i="14"/>
  <c r="HB139" i="14"/>
  <c r="HJ139" i="14"/>
  <c r="C193" i="17"/>
  <c r="F137" i="17"/>
  <c r="N137" i="17"/>
  <c r="V137" i="17"/>
  <c r="GM139" i="14"/>
  <c r="GU139" i="14"/>
  <c r="HC139" i="14"/>
  <c r="BE137" i="17"/>
  <c r="J193" i="17"/>
  <c r="G137" i="17"/>
  <c r="O137" i="17"/>
  <c r="W137" i="17"/>
  <c r="GN139" i="14"/>
  <c r="GV139" i="14"/>
  <c r="HD139" i="14"/>
  <c r="K193" i="17"/>
  <c r="H137" i="17"/>
  <c r="P137" i="17"/>
  <c r="X137" i="17"/>
  <c r="GO139" i="14"/>
  <c r="GW139" i="14"/>
  <c r="HE139" i="14"/>
  <c r="R193" i="17"/>
  <c r="I137" i="17"/>
  <c r="Q137" i="17"/>
  <c r="Y137" i="17"/>
  <c r="GP139" i="14"/>
  <c r="GX139" i="14"/>
  <c r="HF139" i="14"/>
  <c r="Z193" i="17"/>
  <c r="C137" i="17"/>
  <c r="K137" i="17"/>
  <c r="S137" i="17"/>
  <c r="AA137" i="17"/>
  <c r="GJ139" i="14"/>
  <c r="GR139" i="14"/>
  <c r="GZ139" i="14"/>
  <c r="HH139" i="14"/>
  <c r="T137" i="17"/>
  <c r="HI139" i="14"/>
  <c r="FG139" i="14"/>
  <c r="FO139" i="14"/>
  <c r="FW139" i="14"/>
  <c r="S193" i="17"/>
  <c r="Z137" i="17"/>
  <c r="GI139" i="14"/>
  <c r="FH139" i="14"/>
  <c r="FP139" i="14"/>
  <c r="FX139" i="14"/>
  <c r="AA193" i="17"/>
  <c r="AB137" i="17"/>
  <c r="GK139" i="14"/>
  <c r="FI139" i="14"/>
  <c r="FQ139" i="14"/>
  <c r="FY139" i="14"/>
  <c r="B137" i="17"/>
  <c r="GQ139" i="14"/>
  <c r="FJ139" i="14"/>
  <c r="FR139" i="14"/>
  <c r="FZ139" i="14"/>
  <c r="D137" i="17"/>
  <c r="GS139" i="14"/>
  <c r="FC139" i="14"/>
  <c r="FK139" i="14"/>
  <c r="FS139" i="14"/>
  <c r="GA139" i="14"/>
  <c r="L137" i="17"/>
  <c r="HA139" i="14"/>
  <c r="FE139" i="14"/>
  <c r="FM139" i="14"/>
  <c r="FU139" i="14"/>
  <c r="GC139" i="14"/>
  <c r="FV139" i="14"/>
  <c r="FE195" i="14"/>
  <c r="FM195" i="14"/>
  <c r="FU195" i="14"/>
  <c r="GC195" i="14"/>
  <c r="ED195" i="14"/>
  <c r="EL195" i="14"/>
  <c r="ET195" i="14"/>
  <c r="J137" i="17"/>
  <c r="GB139" i="14"/>
  <c r="FF195" i="14"/>
  <c r="FN195" i="14"/>
  <c r="FV195" i="14"/>
  <c r="GD195" i="14"/>
  <c r="EE195" i="14"/>
  <c r="EM195" i="14"/>
  <c r="EU195" i="14"/>
  <c r="R137" i="17"/>
  <c r="GD139" i="14"/>
  <c r="FG195" i="14"/>
  <c r="FO195" i="14"/>
  <c r="FW195" i="14"/>
  <c r="DX195" i="14"/>
  <c r="EF195" i="14"/>
  <c r="EN195" i="14"/>
  <c r="EV195" i="14"/>
  <c r="GY139" i="14"/>
  <c r="FD139" i="14"/>
  <c r="FH195" i="14"/>
  <c r="FP195" i="14"/>
  <c r="FX195" i="14"/>
  <c r="DY195" i="14"/>
  <c r="EG195" i="14"/>
  <c r="EO195" i="14"/>
  <c r="EW195" i="14"/>
  <c r="HG139" i="14"/>
  <c r="FF139" i="14"/>
  <c r="FI195" i="14"/>
  <c r="FQ195" i="14"/>
  <c r="FY195" i="14"/>
  <c r="DZ195" i="14"/>
  <c r="EH195" i="14"/>
  <c r="EP195" i="14"/>
  <c r="EX195" i="14"/>
  <c r="FN139" i="14"/>
  <c r="FC195" i="14"/>
  <c r="FK195" i="14"/>
  <c r="FS195" i="14"/>
  <c r="GA195" i="14"/>
  <c r="EB195" i="14"/>
  <c r="EJ195" i="14"/>
  <c r="ER195" i="14"/>
  <c r="FT139" i="14"/>
  <c r="GB195" i="14"/>
  <c r="EC195" i="14"/>
  <c r="DZ139" i="14"/>
  <c r="EH139" i="14"/>
  <c r="EP139" i="14"/>
  <c r="EX139" i="14"/>
  <c r="EI195" i="14"/>
  <c r="EA139" i="14"/>
  <c r="EI139" i="14"/>
  <c r="EQ139" i="14"/>
  <c r="EY139" i="14"/>
  <c r="FD195" i="14"/>
  <c r="EK195" i="14"/>
  <c r="EB139" i="14"/>
  <c r="EJ139" i="14"/>
  <c r="ER139" i="14"/>
  <c r="FJ195" i="14"/>
  <c r="EQ195" i="14"/>
  <c r="EC139" i="14"/>
  <c r="EK139" i="14"/>
  <c r="ES139" i="14"/>
  <c r="FL195" i="14"/>
  <c r="ES195" i="14"/>
  <c r="ED139" i="14"/>
  <c r="EL139" i="14"/>
  <c r="ET139" i="14"/>
  <c r="FT195" i="14"/>
  <c r="DX139" i="14"/>
  <c r="EF139" i="14"/>
  <c r="EN139" i="14"/>
  <c r="EV139" i="14"/>
  <c r="FL139" i="14"/>
  <c r="EW139" i="14"/>
  <c r="CZ195" i="14"/>
  <c r="DH195" i="14"/>
  <c r="DP195" i="14"/>
  <c r="CY139" i="14"/>
  <c r="DG139" i="14"/>
  <c r="DO139" i="14"/>
  <c r="AC195" i="14"/>
  <c r="AK195" i="14"/>
  <c r="AS195" i="14"/>
  <c r="BA195" i="14"/>
  <c r="CS195" i="14"/>
  <c r="DA195" i="14"/>
  <c r="DI195" i="14"/>
  <c r="DQ195" i="14"/>
  <c r="CZ139" i="14"/>
  <c r="DH139" i="14"/>
  <c r="DP139" i="14"/>
  <c r="AD195" i="14"/>
  <c r="AL195" i="14"/>
  <c r="AT195" i="14"/>
  <c r="BB195" i="14"/>
  <c r="AD139" i="14"/>
  <c r="DY139" i="14"/>
  <c r="CT195" i="14"/>
  <c r="DB195" i="14"/>
  <c r="DJ195" i="14"/>
  <c r="DR195" i="14"/>
  <c r="CS139" i="14"/>
  <c r="DA139" i="14"/>
  <c r="DI139" i="14"/>
  <c r="DQ139" i="14"/>
  <c r="AE195" i="14"/>
  <c r="AM195" i="14"/>
  <c r="AU195" i="14"/>
  <c r="FR195" i="14"/>
  <c r="EE139" i="14"/>
  <c r="CU195" i="14"/>
  <c r="DC195" i="14"/>
  <c r="DK195" i="14"/>
  <c r="DS195" i="14"/>
  <c r="CT139" i="14"/>
  <c r="DB139" i="14"/>
  <c r="DJ139" i="14"/>
  <c r="DR139" i="14"/>
  <c r="AF195" i="14"/>
  <c r="AN195" i="14"/>
  <c r="AV195" i="14"/>
  <c r="AF139" i="14"/>
  <c r="AN139" i="14"/>
  <c r="FZ195" i="14"/>
  <c r="EA195" i="14"/>
  <c r="EG139" i="14"/>
  <c r="CV195" i="14"/>
  <c r="DD195" i="14"/>
  <c r="DL195" i="14"/>
  <c r="DT195" i="14"/>
  <c r="CU139" i="14"/>
  <c r="DC139" i="14"/>
  <c r="DK139" i="14"/>
  <c r="DS139" i="14"/>
  <c r="AG195" i="14"/>
  <c r="AO195" i="14"/>
  <c r="AW195" i="14"/>
  <c r="AG139" i="14"/>
  <c r="AO139" i="14"/>
  <c r="AW139" i="14"/>
  <c r="EO139" i="14"/>
  <c r="CX195" i="14"/>
  <c r="DF195" i="14"/>
  <c r="DN195" i="14"/>
  <c r="CW139" i="14"/>
  <c r="DE139" i="14"/>
  <c r="DM139" i="14"/>
  <c r="AA195" i="14"/>
  <c r="AI195" i="14"/>
  <c r="AQ195" i="14"/>
  <c r="AY195" i="14"/>
  <c r="AA139" i="14"/>
  <c r="AI139" i="14"/>
  <c r="AQ139" i="14"/>
  <c r="EU139" i="14"/>
  <c r="DG195" i="14"/>
  <c r="DN139" i="14"/>
  <c r="AB195" i="14"/>
  <c r="AK139" i="14"/>
  <c r="AV139" i="14"/>
  <c r="DM195" i="14"/>
  <c r="DT139" i="14"/>
  <c r="AH195" i="14"/>
  <c r="DO195" i="14"/>
  <c r="AJ195" i="14"/>
  <c r="CV139" i="14"/>
  <c r="AP195" i="14"/>
  <c r="CY195" i="14"/>
  <c r="DF139" i="14"/>
  <c r="AZ195" i="14"/>
  <c r="EM139" i="14"/>
  <c r="DE195" i="14"/>
  <c r="DL139" i="14"/>
  <c r="AE139" i="14"/>
  <c r="AT139" i="14"/>
  <c r="M191" i="6"/>
  <c r="U191" i="6"/>
  <c r="AC191" i="6"/>
  <c r="AH139" i="14"/>
  <c r="AU139" i="14"/>
  <c r="N191" i="6"/>
  <c r="V191" i="6"/>
  <c r="AD191" i="6"/>
  <c r="CX139" i="14"/>
  <c r="AJ139" i="14"/>
  <c r="AX139" i="14"/>
  <c r="O191" i="6"/>
  <c r="W191" i="6"/>
  <c r="AE191" i="6"/>
  <c r="CW195" i="14"/>
  <c r="DD139" i="14"/>
  <c r="AL139" i="14"/>
  <c r="AY139" i="14"/>
  <c r="P191" i="6"/>
  <c r="X191" i="6"/>
  <c r="AF191" i="6"/>
  <c r="AB139" i="14"/>
  <c r="AR139" i="14"/>
  <c r="BB139" i="14"/>
  <c r="K191" i="6"/>
  <c r="S191" i="6"/>
  <c r="AA191" i="6"/>
  <c r="AI191" i="6"/>
  <c r="AR195" i="14"/>
  <c r="EY195" i="14"/>
  <c r="AC139" i="14"/>
  <c r="AS139" i="14"/>
  <c r="L191" i="6"/>
  <c r="T191" i="6"/>
  <c r="AB191" i="6"/>
  <c r="AJ191" i="6"/>
  <c r="I191" i="6"/>
  <c r="J191" i="6"/>
  <c r="Z191" i="6"/>
  <c r="AM139" i="14"/>
  <c r="Q191" i="6"/>
  <c r="AP139" i="14"/>
  <c r="R191" i="6"/>
  <c r="BA139" i="14"/>
  <c r="AX195" i="14"/>
  <c r="AZ139" i="14"/>
  <c r="Y191" i="6"/>
  <c r="AH191" i="6"/>
  <c r="AG191" i="6"/>
  <c r="BS139" i="14"/>
  <c r="CA139" i="14"/>
  <c r="CI139" i="14"/>
  <c r="BO195" i="14"/>
  <c r="BW195" i="14"/>
  <c r="CE195" i="14"/>
  <c r="CM195" i="14"/>
  <c r="CL195" i="14"/>
  <c r="BT139" i="14"/>
  <c r="CB139" i="14"/>
  <c r="CJ139" i="14"/>
  <c r="BP195" i="14"/>
  <c r="BX195" i="14"/>
  <c r="CF195" i="14"/>
  <c r="CN195" i="14"/>
  <c r="CN139" i="14"/>
  <c r="CJ195" i="14"/>
  <c r="CD195" i="14"/>
  <c r="BU139" i="14"/>
  <c r="CC139" i="14"/>
  <c r="CK139" i="14"/>
  <c r="BQ195" i="14"/>
  <c r="BY195" i="14"/>
  <c r="CG195" i="14"/>
  <c r="CO195" i="14"/>
  <c r="BX139" i="14"/>
  <c r="BT195" i="14"/>
  <c r="BN139" i="14"/>
  <c r="BV139" i="14"/>
  <c r="CD139" i="14"/>
  <c r="CL139" i="14"/>
  <c r="BR195" i="14"/>
  <c r="BZ195" i="14"/>
  <c r="CH195" i="14"/>
  <c r="BP139" i="14"/>
  <c r="CB195" i="14"/>
  <c r="BN195" i="14"/>
  <c r="BO139" i="14"/>
  <c r="BW139" i="14"/>
  <c r="CE139" i="14"/>
  <c r="CM139" i="14"/>
  <c r="BS195" i="14"/>
  <c r="CA195" i="14"/>
  <c r="CI195" i="14"/>
  <c r="CF139" i="14"/>
  <c r="BQ139" i="14"/>
  <c r="BY139" i="14"/>
  <c r="CG139" i="14"/>
  <c r="CO139" i="14"/>
  <c r="BU195" i="14"/>
  <c r="CC195" i="14"/>
  <c r="CK195" i="14"/>
  <c r="BR139" i="14"/>
  <c r="BZ139" i="14"/>
  <c r="CH139" i="14"/>
  <c r="BV195" i="14"/>
  <c r="E23" i="11"/>
  <c r="F20" i="13" s="1"/>
  <c r="R113" i="5"/>
  <c r="V113" i="5"/>
  <c r="AA113" i="5"/>
  <c r="D113" i="5"/>
  <c r="F113" i="5"/>
  <c r="I113" i="5"/>
  <c r="X113" i="5"/>
  <c r="G113" i="5"/>
  <c r="H113" i="5"/>
  <c r="T113" i="5"/>
  <c r="N113" i="5"/>
  <c r="Z113" i="5"/>
  <c r="O113" i="5"/>
  <c r="C113" i="5"/>
  <c r="K113" i="5"/>
  <c r="Q113" i="5"/>
  <c r="M113" i="5"/>
  <c r="W113" i="5"/>
  <c r="S113" i="5"/>
  <c r="U113" i="5"/>
  <c r="J113" i="5"/>
  <c r="P113" i="5"/>
  <c r="L113" i="5"/>
  <c r="Y113" i="5"/>
  <c r="E113" i="5"/>
  <c r="AT3" i="6"/>
  <c r="T86" i="6"/>
  <c r="T74" i="6"/>
  <c r="T103" i="6"/>
  <c r="T58" i="6"/>
  <c r="T100" i="6"/>
  <c r="T77" i="6"/>
  <c r="T104" i="6"/>
  <c r="T79" i="6"/>
  <c r="T69" i="6"/>
  <c r="T82" i="6"/>
  <c r="T90" i="6"/>
  <c r="T105" i="6"/>
  <c r="T70" i="6"/>
  <c r="T108" i="6"/>
  <c r="T84" i="6"/>
  <c r="T72" i="6"/>
  <c r="T88" i="6"/>
  <c r="E7" i="11"/>
  <c r="F5" i="13" s="1"/>
  <c r="T102" i="6"/>
  <c r="T97" i="6"/>
  <c r="T101" i="6"/>
  <c r="O84" i="2"/>
  <c r="O113" i="2"/>
  <c r="O111" i="2"/>
  <c r="O77" i="2"/>
  <c r="E43" i="11"/>
  <c r="F40" i="13" s="1"/>
  <c r="AW49" i="11"/>
  <c r="AH49" i="11"/>
  <c r="BA49" i="11" s="1"/>
  <c r="AW41" i="11"/>
  <c r="AH41" i="11"/>
  <c r="BA41" i="11" s="1"/>
  <c r="AW32" i="11"/>
  <c r="AH32" i="11"/>
  <c r="BA32" i="11" s="1"/>
  <c r="AW25" i="11"/>
  <c r="AH25" i="11"/>
  <c r="BA25" i="11" s="1"/>
  <c r="AW15" i="11"/>
  <c r="AH15" i="11"/>
  <c r="BA15" i="11" s="1"/>
  <c r="AW5" i="11"/>
  <c r="AH5" i="11"/>
  <c r="BA5" i="11" s="1"/>
  <c r="AW18" i="11"/>
  <c r="AH18" i="11"/>
  <c r="BA18" i="11" s="1"/>
  <c r="AW47" i="11"/>
  <c r="AH47" i="11"/>
  <c r="BA47" i="11" s="1"/>
  <c r="AW40" i="11"/>
  <c r="AH40" i="11"/>
  <c r="BA40" i="11" s="1"/>
  <c r="AW31" i="11"/>
  <c r="AH31" i="11"/>
  <c r="BA31" i="11" s="1"/>
  <c r="AW24" i="11"/>
  <c r="AH24" i="11"/>
  <c r="BA24" i="11" s="1"/>
  <c r="AW14" i="11"/>
  <c r="AH14" i="11"/>
  <c r="BA14" i="11" s="1"/>
  <c r="AW6" i="11"/>
  <c r="AH6" i="11"/>
  <c r="BA6" i="11" s="1"/>
  <c r="AW34" i="11"/>
  <c r="AH34" i="11"/>
  <c r="BA34" i="11" s="1"/>
  <c r="AW51" i="11"/>
  <c r="AH51" i="11"/>
  <c r="BA51" i="11" s="1"/>
  <c r="AW43" i="11"/>
  <c r="AH43" i="11"/>
  <c r="BA43" i="11" s="1"/>
  <c r="AW26" i="11"/>
  <c r="AH26" i="11"/>
  <c r="BA26" i="11" s="1"/>
  <c r="AW19" i="11"/>
  <c r="AH19" i="11"/>
  <c r="BA19" i="11" s="1"/>
  <c r="AW42" i="11"/>
  <c r="AH42" i="11"/>
  <c r="BA42" i="11" s="1"/>
  <c r="AW27" i="11"/>
  <c r="AH27" i="11"/>
  <c r="BA27" i="11" s="1"/>
  <c r="AW7" i="11"/>
  <c r="AH7" i="11"/>
  <c r="BA7" i="11" s="1"/>
  <c r="AW48" i="11"/>
  <c r="AH48" i="11"/>
  <c r="BA48" i="11" s="1"/>
  <c r="AW39" i="11"/>
  <c r="AH39" i="11"/>
  <c r="BA39" i="11" s="1"/>
  <c r="AW29" i="11"/>
  <c r="AH29" i="11"/>
  <c r="BA29" i="11" s="1"/>
  <c r="AW21" i="11"/>
  <c r="AH21" i="11"/>
  <c r="BA21" i="11" s="1"/>
  <c r="AW17" i="11"/>
  <c r="AH17" i="11"/>
  <c r="BA17" i="11" s="1"/>
  <c r="AW3" i="11"/>
  <c r="AH3" i="11"/>
  <c r="BA3" i="11" s="1"/>
  <c r="AW44" i="11"/>
  <c r="AH44" i="11"/>
  <c r="BA44" i="11" s="1"/>
  <c r="AW28" i="11"/>
  <c r="AH28" i="11"/>
  <c r="BA28" i="11" s="1"/>
  <c r="AW10" i="11"/>
  <c r="AH10" i="11"/>
  <c r="BA10" i="11" s="1"/>
  <c r="AW30" i="11"/>
  <c r="AH30" i="11"/>
  <c r="BA30" i="11" s="1"/>
  <c r="AW9" i="11"/>
  <c r="AH9" i="11"/>
  <c r="BA9" i="11" s="1"/>
  <c r="AW33" i="11"/>
  <c r="AH33" i="11"/>
  <c r="BA33" i="11" s="1"/>
  <c r="AW16" i="11"/>
  <c r="AH16" i="11"/>
  <c r="BA16" i="11" s="1"/>
  <c r="AW8" i="11"/>
  <c r="AH8" i="11"/>
  <c r="BA8" i="11" s="1"/>
  <c r="AW46" i="11"/>
  <c r="AH46" i="11"/>
  <c r="BA46" i="11" s="1"/>
  <c r="AW38" i="11"/>
  <c r="AH38" i="11"/>
  <c r="BA38" i="11" s="1"/>
  <c r="AW36" i="11"/>
  <c r="AH36" i="11"/>
  <c r="BA36" i="11" s="1"/>
  <c r="AW22" i="11"/>
  <c r="AH22" i="11"/>
  <c r="BA22" i="11" s="1"/>
  <c r="AW12" i="11"/>
  <c r="AH12" i="11"/>
  <c r="BA12" i="11" s="1"/>
  <c r="AW50" i="11"/>
  <c r="AH50" i="11"/>
  <c r="BA50" i="11" s="1"/>
  <c r="AW20" i="11"/>
  <c r="AH20" i="11"/>
  <c r="BA20" i="11" s="1"/>
  <c r="AW45" i="11"/>
  <c r="AH45" i="11"/>
  <c r="BA45" i="11" s="1"/>
  <c r="AW37" i="11"/>
  <c r="AH37" i="11"/>
  <c r="BA37" i="11" s="1"/>
  <c r="AW35" i="11"/>
  <c r="AH35" i="11"/>
  <c r="BA35" i="11" s="1"/>
  <c r="AW23" i="11"/>
  <c r="AH23" i="11"/>
  <c r="BA23" i="11" s="1"/>
  <c r="AW11" i="11"/>
  <c r="AH11" i="11"/>
  <c r="BA11" i="11" s="1"/>
  <c r="AW52" i="11"/>
  <c r="AH52" i="11"/>
  <c r="BA52" i="11" s="1"/>
  <c r="L11" i="11"/>
  <c r="U45" i="11"/>
  <c r="U15" i="11"/>
  <c r="U3" i="11"/>
  <c r="AD51" i="11"/>
  <c r="AD48" i="11"/>
  <c r="U13" i="11"/>
  <c r="L49" i="11"/>
  <c r="U39" i="11"/>
  <c r="E37" i="11"/>
  <c r="F34" i="13" s="1"/>
  <c r="L17" i="11"/>
  <c r="E30" i="11"/>
  <c r="F27" i="13" s="1"/>
  <c r="E35" i="11"/>
  <c r="F32" i="13" s="1"/>
  <c r="U50" i="11"/>
  <c r="AD21" i="11"/>
  <c r="E18" i="11"/>
  <c r="F15" i="13" s="1"/>
  <c r="L20" i="11"/>
  <c r="L21" i="11"/>
  <c r="L8" i="11"/>
  <c r="AD47" i="11"/>
  <c r="L44" i="11"/>
  <c r="U11" i="11"/>
  <c r="L31" i="11"/>
  <c r="AD3" i="11"/>
  <c r="U28" i="11"/>
  <c r="L37" i="11"/>
  <c r="L40" i="11"/>
  <c r="E26" i="11"/>
  <c r="F23" i="13" s="1"/>
  <c r="E28" i="11"/>
  <c r="F25" i="13" s="1"/>
  <c r="L12" i="11"/>
  <c r="U16" i="11"/>
  <c r="AD32" i="11"/>
  <c r="U17" i="11"/>
  <c r="U20" i="11"/>
  <c r="L24" i="11"/>
  <c r="AD52" i="11"/>
  <c r="AD50" i="11"/>
  <c r="E9" i="11"/>
  <c r="F7" i="13" s="1"/>
  <c r="E39" i="11"/>
  <c r="F36" i="13" s="1"/>
  <c r="E41" i="11"/>
  <c r="F38" i="13" s="1"/>
  <c r="U22" i="11"/>
  <c r="AD23" i="11"/>
  <c r="L9" i="11"/>
  <c r="AD30" i="11"/>
  <c r="AD18" i="11"/>
  <c r="AD40" i="11"/>
  <c r="L38" i="11"/>
  <c r="U29" i="11"/>
  <c r="U49" i="11"/>
  <c r="U24" i="11"/>
  <c r="U40" i="11"/>
  <c r="AD46" i="11"/>
  <c r="U5" i="11"/>
  <c r="L13" i="11"/>
  <c r="AD49" i="11"/>
  <c r="L51" i="11"/>
  <c r="E52" i="11"/>
  <c r="F49" i="13" s="1"/>
  <c r="E48" i="11"/>
  <c r="F45" i="13" s="1"/>
  <c r="E14" i="11"/>
  <c r="F11" i="13" s="1"/>
  <c r="E24" i="11"/>
  <c r="F21" i="13" s="1"/>
  <c r="E45" i="11"/>
  <c r="F42" i="13" s="1"/>
  <c r="AD16" i="11"/>
  <c r="L14" i="11"/>
  <c r="U8" i="11"/>
  <c r="L23" i="11"/>
  <c r="U14" i="11"/>
  <c r="L41" i="11"/>
  <c r="AD34" i="11"/>
  <c r="U31" i="11"/>
  <c r="AD27" i="11"/>
  <c r="U36" i="11"/>
  <c r="E16" i="11"/>
  <c r="F13" i="13" s="1"/>
  <c r="E3" i="11"/>
  <c r="F2" i="13" s="1"/>
  <c r="E22" i="11"/>
  <c r="F19" i="13" s="1"/>
  <c r="E49" i="11"/>
  <c r="F46" i="13" s="1"/>
  <c r="E36" i="11"/>
  <c r="F33" i="13" s="1"/>
  <c r="E15" i="11"/>
  <c r="F12" i="13" s="1"/>
  <c r="L29" i="11"/>
  <c r="E50" i="11"/>
  <c r="F47" i="13" s="1"/>
  <c r="U47" i="11"/>
  <c r="AD17" i="11"/>
  <c r="AD15" i="11"/>
  <c r="U7" i="11"/>
  <c r="AD37" i="11"/>
  <c r="L16" i="11"/>
  <c r="AD41" i="11"/>
  <c r="U23" i="11"/>
  <c r="L50" i="11"/>
  <c r="AD11" i="11"/>
  <c r="U18" i="11"/>
  <c r="L22" i="11"/>
  <c r="U30" i="11"/>
  <c r="E34" i="11"/>
  <c r="F31" i="13" s="1"/>
  <c r="E46" i="11"/>
  <c r="F43" i="13" s="1"/>
  <c r="E11" i="11"/>
  <c r="F9" i="13" s="1"/>
  <c r="E32" i="11"/>
  <c r="F29" i="13" s="1"/>
  <c r="E5" i="11"/>
  <c r="F3" i="13" s="1"/>
  <c r="E42" i="11"/>
  <c r="F39" i="13" s="1"/>
  <c r="U44" i="11"/>
  <c r="U10" i="11"/>
  <c r="AD29" i="11"/>
  <c r="AD24" i="11"/>
  <c r="L36" i="11"/>
  <c r="U21" i="11"/>
  <c r="U33" i="11"/>
  <c r="U25" i="11"/>
  <c r="AD7" i="11"/>
  <c r="E51" i="11"/>
  <c r="F48" i="13" s="1"/>
  <c r="E19" i="11"/>
  <c r="F16" i="13" s="1"/>
  <c r="E47" i="11"/>
  <c r="F44" i="13" s="1"/>
  <c r="E33" i="11"/>
  <c r="F30" i="13" s="1"/>
  <c r="E44" i="11"/>
  <c r="F41" i="13" s="1"/>
  <c r="E25" i="11"/>
  <c r="F22" i="13" s="1"/>
  <c r="L25" i="11"/>
  <c r="AD4" i="11"/>
  <c r="AD44" i="11"/>
  <c r="L26" i="11"/>
  <c r="U34" i="11"/>
  <c r="L6" i="11"/>
  <c r="U12" i="11"/>
  <c r="L42" i="11"/>
  <c r="U48" i="11"/>
  <c r="L52" i="11"/>
  <c r="L39" i="11"/>
  <c r="AD28" i="11"/>
  <c r="E4" i="11"/>
  <c r="E29" i="11"/>
  <c r="F26" i="13" s="1"/>
  <c r="E10" i="11"/>
  <c r="F8" i="13" s="1"/>
  <c r="E12" i="11"/>
  <c r="F10" i="13" s="1"/>
  <c r="E53" i="11"/>
  <c r="E27" i="11"/>
  <c r="F24" i="13" s="1"/>
  <c r="E8" i="11"/>
  <c r="F6" i="13" s="1"/>
  <c r="E6" i="11"/>
  <c r="F4" i="13" s="1"/>
  <c r="L3" i="11"/>
  <c r="AD35" i="11"/>
  <c r="U37" i="11"/>
  <c r="AD43" i="11"/>
  <c r="U9" i="11"/>
  <c r="L19" i="11"/>
  <c r="AD10" i="11"/>
  <c r="L4" i="11"/>
  <c r="L15" i="11"/>
  <c r="AD38" i="11"/>
  <c r="U6" i="11"/>
  <c r="AD20" i="11"/>
  <c r="U26" i="11"/>
  <c r="L46" i="11"/>
  <c r="U19" i="11"/>
  <c r="L32" i="11"/>
  <c r="AD42" i="11"/>
  <c r="E38" i="11"/>
  <c r="F35" i="13" s="1"/>
  <c r="E21" i="11"/>
  <c r="F18" i="13" s="1"/>
  <c r="E40" i="11"/>
  <c r="F37" i="13" s="1"/>
  <c r="E13" i="11"/>
  <c r="E31" i="11"/>
  <c r="F28" i="13" s="1"/>
  <c r="E17" i="11"/>
  <c r="F14" i="13" s="1"/>
  <c r="E20" i="11"/>
  <c r="F17" i="13" s="1"/>
  <c r="V256" i="8" a="1"/>
  <c r="V256" i="8" s="1"/>
  <c r="Q35" i="8" s="1"/>
  <c r="AC35" i="11" s="1"/>
  <c r="V273" i="8" a="1"/>
  <c r="V273" i="8" s="1"/>
  <c r="Q52" i="8" s="1"/>
  <c r="AC52" i="11" s="1"/>
  <c r="V238" i="8" a="1"/>
  <c r="V238" i="8" s="1"/>
  <c r="Q17" i="8" s="1"/>
  <c r="AC17" i="11" s="1"/>
  <c r="V243" i="8" a="1"/>
  <c r="V243" i="8" s="1"/>
  <c r="Q22" i="8" s="1"/>
  <c r="AC22" i="11" s="1"/>
  <c r="V268" i="8" a="1"/>
  <c r="V268" i="8" s="1"/>
  <c r="Q47" i="8" s="1"/>
  <c r="AC47" i="11" s="1"/>
  <c r="V228" i="8" a="1"/>
  <c r="V228" i="8" s="1"/>
  <c r="Q7" i="8" s="1"/>
  <c r="AC7" i="11" s="1"/>
  <c r="V235" i="8" a="1"/>
  <c r="V235" i="8" s="1"/>
  <c r="Q14" i="8" s="1"/>
  <c r="AC14" i="11" s="1"/>
  <c r="V272" i="8" a="1"/>
  <c r="V272" i="8" s="1"/>
  <c r="Q51" i="8" s="1"/>
  <c r="AC51" i="11" s="1"/>
  <c r="V229" i="8" a="1"/>
  <c r="V229" i="8" s="1"/>
  <c r="Q8" i="8" s="1"/>
  <c r="AC8" i="11" s="1"/>
  <c r="V233" i="8" a="1"/>
  <c r="V233" i="8" s="1"/>
  <c r="Q12" i="8" s="1"/>
  <c r="AC12" i="11" s="1"/>
  <c r="V255" i="8" a="1"/>
  <c r="V255" i="8" s="1"/>
  <c r="Q34" i="8" s="1"/>
  <c r="AC34" i="11" s="1"/>
  <c r="V230" i="8" a="1"/>
  <c r="V230" i="8" s="1"/>
  <c r="Q9" i="8" s="1"/>
  <c r="AC9" i="11" s="1"/>
  <c r="V251" i="8" a="1"/>
  <c r="V251" i="8" s="1"/>
  <c r="Q30" i="8" s="1"/>
  <c r="AC30" i="11" s="1"/>
  <c r="V225" i="8" a="1"/>
  <c r="V225" i="8" s="1"/>
  <c r="Q4" i="8" s="1"/>
  <c r="AC4" i="11" s="1"/>
  <c r="V246" i="8" a="1"/>
  <c r="V246" i="8" s="1"/>
  <c r="Q25" i="8" s="1"/>
  <c r="AC25" i="11" s="1"/>
  <c r="V234" i="8" a="1"/>
  <c r="V234" i="8" s="1"/>
  <c r="Q13" i="8" s="1"/>
  <c r="AC13" i="11" s="1"/>
  <c r="V252" i="8" a="1"/>
  <c r="V252" i="8" s="1"/>
  <c r="Q31" i="8" s="1"/>
  <c r="AC31" i="11" s="1"/>
  <c r="V267" i="8" a="1"/>
  <c r="V267" i="8" s="1"/>
  <c r="Q46" i="8" s="1"/>
  <c r="AC46" i="11" s="1"/>
  <c r="V240" i="8" a="1"/>
  <c r="V240" i="8" s="1"/>
  <c r="Q19" i="8" s="1"/>
  <c r="AC19" i="11" s="1"/>
  <c r="V262" i="8" a="1"/>
  <c r="V262" i="8" s="1"/>
  <c r="Q41" i="8" s="1"/>
  <c r="AC41" i="11" s="1"/>
  <c r="V270" i="8" a="1"/>
  <c r="V270" i="8" s="1"/>
  <c r="Q49" i="8" s="1"/>
  <c r="AC49" i="11" s="1"/>
  <c r="V226" i="8" a="1"/>
  <c r="V226" i="8" s="1"/>
  <c r="Q5" i="8" s="1"/>
  <c r="AC5" i="11" s="1"/>
  <c r="V237" i="8" a="1"/>
  <c r="V237" i="8" s="1"/>
  <c r="Q16" i="8" s="1"/>
  <c r="AC16" i="11" s="1"/>
  <c r="V227" i="8" a="1"/>
  <c r="V227" i="8" s="1"/>
  <c r="Q6" i="8" s="1"/>
  <c r="AC6" i="11" s="1"/>
  <c r="V259" i="8" a="1"/>
  <c r="V259" i="8" s="1"/>
  <c r="Q38" i="8" s="1"/>
  <c r="AC38" i="11" s="1"/>
  <c r="V239" i="8" a="1"/>
  <c r="V239" i="8" s="1"/>
  <c r="Q18" i="8" s="1"/>
  <c r="AC18" i="11" s="1"/>
  <c r="V260" i="8" a="1"/>
  <c r="V260" i="8" s="1"/>
  <c r="Q39" i="8" s="1"/>
  <c r="AC39" i="11" s="1"/>
  <c r="V257" i="8" a="1"/>
  <c r="V257" i="8" s="1"/>
  <c r="Q36" i="8" s="1"/>
  <c r="AC36" i="11" s="1"/>
  <c r="V245" i="8" a="1"/>
  <c r="V245" i="8" s="1"/>
  <c r="Q24" i="8" s="1"/>
  <c r="AC24" i="11" s="1"/>
  <c r="V236" i="8" a="1"/>
  <c r="V236" i="8" s="1"/>
  <c r="Q15" i="8" s="1"/>
  <c r="AC15" i="11" s="1"/>
  <c r="V241" i="8" a="1"/>
  <c r="V241" i="8" s="1"/>
  <c r="Q20" i="8" s="1"/>
  <c r="AC20" i="11" s="1"/>
  <c r="V244" i="8" a="1"/>
  <c r="V244" i="8" s="1"/>
  <c r="Q23" i="8" s="1"/>
  <c r="AC23" i="11" s="1"/>
  <c r="V266" i="8" a="1"/>
  <c r="V266" i="8" s="1"/>
  <c r="Q45" i="8" s="1"/>
  <c r="AC45" i="11" s="1"/>
  <c r="V242" i="8" a="1"/>
  <c r="V242" i="8" s="1"/>
  <c r="Q21" i="8" s="1"/>
  <c r="AC21" i="11" s="1"/>
  <c r="V264" i="8" a="1"/>
  <c r="V264" i="8" s="1"/>
  <c r="Q43" i="8" s="1"/>
  <c r="AC43" i="11" s="1"/>
  <c r="V224" i="8" a="1"/>
  <c r="V224" i="8" s="1"/>
  <c r="Q3" i="8" s="1"/>
  <c r="AC3" i="11" s="1"/>
  <c r="V254" i="8" a="1"/>
  <c r="V254" i="8" s="1"/>
  <c r="Q33" i="8" s="1"/>
  <c r="AC33" i="11" s="1"/>
  <c r="V253" i="8" a="1"/>
  <c r="V253" i="8" s="1"/>
  <c r="Q32" i="8" s="1"/>
  <c r="AC32" i="11" s="1"/>
  <c r="V248" i="8" a="1"/>
  <c r="V248" i="8" s="1"/>
  <c r="Q27" i="8" s="1"/>
  <c r="AC27" i="11" s="1"/>
  <c r="V271" i="8" a="1"/>
  <c r="V271" i="8" s="1"/>
  <c r="Q50" i="8" s="1"/>
  <c r="AC50" i="11" s="1"/>
  <c r="V265" i="8" a="1"/>
  <c r="V265" i="8" s="1"/>
  <c r="Q44" i="8" s="1"/>
  <c r="AC44" i="11" s="1"/>
  <c r="V258" i="8" a="1"/>
  <c r="V258" i="8" s="1"/>
  <c r="Q37" i="8" s="1"/>
  <c r="AC37" i="11" s="1"/>
  <c r="V261" i="8" a="1"/>
  <c r="V261" i="8" s="1"/>
  <c r="Q40" i="8" s="1"/>
  <c r="AC40" i="11" s="1"/>
  <c r="V249" i="8" a="1"/>
  <c r="V249" i="8" s="1"/>
  <c r="Q28" i="8" s="1"/>
  <c r="AC28" i="11" s="1"/>
  <c r="V247" i="8" a="1"/>
  <c r="V247" i="8" s="1"/>
  <c r="Q26" i="8" s="1"/>
  <c r="AC26" i="11" s="1"/>
  <c r="V263" i="8" a="1"/>
  <c r="V263" i="8" s="1"/>
  <c r="Q42" i="8" s="1"/>
  <c r="AC42" i="11" s="1"/>
  <c r="V250" i="8" a="1"/>
  <c r="V250" i="8" s="1"/>
  <c r="Q29" i="8" s="1"/>
  <c r="AC29" i="11" s="1"/>
  <c r="V232" i="8" a="1"/>
  <c r="V232" i="8" s="1"/>
  <c r="Q11" i="8" s="1"/>
  <c r="AC11" i="11" s="1"/>
  <c r="V231" i="8" a="1"/>
  <c r="V231" i="8" s="1"/>
  <c r="Q10" i="8" s="1"/>
  <c r="AC10" i="11" s="1"/>
  <c r="V269" i="8" a="1"/>
  <c r="V269" i="8" s="1"/>
  <c r="Q48" i="8" s="1"/>
  <c r="AC48" i="11" s="1"/>
  <c r="D54" i="5"/>
  <c r="AA64" i="2" s="1"/>
  <c r="AD25" i="8"/>
  <c r="AH25" i="8" s="1"/>
  <c r="AD34" i="8"/>
  <c r="AH34" i="8" s="1"/>
  <c r="AD27" i="8"/>
  <c r="AD7" i="8"/>
  <c r="AD12" i="8"/>
  <c r="AD13" i="8"/>
  <c r="AD22" i="8"/>
  <c r="AD46" i="8"/>
  <c r="AD38" i="8"/>
  <c r="AD6" i="8"/>
  <c r="AD48" i="8"/>
  <c r="AD50" i="8"/>
  <c r="AD5" i="8"/>
  <c r="AD42" i="8"/>
  <c r="AD47" i="8"/>
  <c r="AD17" i="8"/>
  <c r="AD33" i="8"/>
  <c r="AD19" i="8"/>
  <c r="AD35" i="8"/>
  <c r="AD23" i="8"/>
  <c r="AD10" i="8"/>
  <c r="AD43" i="8"/>
  <c r="AD51" i="8"/>
  <c r="AD36" i="8"/>
  <c r="AD21" i="8"/>
  <c r="AD29" i="8"/>
  <c r="AD16" i="8"/>
  <c r="AD15" i="8"/>
  <c r="AD8" i="8"/>
  <c r="AD41" i="8"/>
  <c r="AD49" i="8"/>
  <c r="AD18" i="8"/>
  <c r="AD26" i="8"/>
  <c r="AD20" i="8"/>
  <c r="AD28" i="8"/>
  <c r="AD44" i="8"/>
  <c r="AD52" i="8"/>
  <c r="AD4" i="8"/>
  <c r="AD37" i="8"/>
  <c r="AD45" i="8"/>
  <c r="AD3" i="8"/>
  <c r="AD11" i="8"/>
  <c r="AD9" i="8"/>
  <c r="AD14" i="8"/>
  <c r="AD30" i="8"/>
  <c r="AD31" i="8"/>
  <c r="AD39" i="8"/>
  <c r="AD24" i="8"/>
  <c r="AD32" i="8"/>
  <c r="AD40" i="8"/>
  <c r="I42" i="7"/>
  <c r="I78" i="7"/>
  <c r="I57" i="7"/>
  <c r="I56" i="7"/>
  <c r="I53" i="7"/>
  <c r="I69" i="7"/>
  <c r="I68" i="7"/>
  <c r="I32" i="7"/>
  <c r="I52" i="7"/>
  <c r="I35" i="7"/>
  <c r="I62" i="7"/>
  <c r="I59" i="7"/>
  <c r="I71" i="7"/>
  <c r="I67" i="7"/>
  <c r="I73" i="7"/>
  <c r="I43" i="7"/>
  <c r="I63" i="7"/>
  <c r="I65" i="7"/>
  <c r="I64" i="7"/>
  <c r="I76" i="7"/>
  <c r="I41" i="7"/>
  <c r="I47" i="7"/>
  <c r="I79" i="7"/>
  <c r="I44" i="7"/>
  <c r="I39" i="7"/>
  <c r="I51" i="7"/>
  <c r="I70" i="7"/>
  <c r="I36" i="7"/>
  <c r="I72" i="7"/>
  <c r="I38" i="7"/>
  <c r="I66" i="7"/>
  <c r="I58" i="7"/>
  <c r="I33" i="7"/>
  <c r="I45" i="7"/>
  <c r="I60" i="7"/>
  <c r="I29" i="7"/>
  <c r="I50" i="7"/>
  <c r="I46" i="7"/>
  <c r="I61" i="7"/>
  <c r="I77" i="7"/>
  <c r="I40" i="7"/>
  <c r="I31" i="7"/>
  <c r="I55" i="7"/>
  <c r="I75" i="7"/>
  <c r="I34" i="7"/>
  <c r="I30" i="7"/>
  <c r="I54" i="7"/>
  <c r="I48" i="7"/>
  <c r="I74" i="7"/>
  <c r="AA92" i="2"/>
  <c r="D4" i="5"/>
  <c r="D5" i="5"/>
  <c r="D6" i="5"/>
  <c r="D7" i="5"/>
  <c r="D8" i="5"/>
  <c r="D9" i="5"/>
  <c r="D10" i="5"/>
  <c r="D11" i="5"/>
  <c r="D12" i="5"/>
  <c r="D13" i="5"/>
  <c r="D14" i="5"/>
  <c r="D15" i="5"/>
  <c r="D16" i="5"/>
  <c r="D17" i="5"/>
  <c r="D18" i="5"/>
  <c r="AA78" i="2" s="1"/>
  <c r="D19" i="5"/>
  <c r="D20" i="5"/>
  <c r="D21" i="5"/>
  <c r="D22" i="5"/>
  <c r="AA86" i="2" s="1"/>
  <c r="D23" i="5"/>
  <c r="D24" i="5"/>
  <c r="AA84" i="2" s="1"/>
  <c r="D25" i="5"/>
  <c r="D26" i="5"/>
  <c r="D27" i="5"/>
  <c r="D28" i="5"/>
  <c r="D29" i="5"/>
  <c r="D30" i="5"/>
  <c r="AA94" i="2" s="1"/>
  <c r="D31" i="5"/>
  <c r="D32" i="5"/>
  <c r="D33" i="5"/>
  <c r="D34" i="5"/>
  <c r="D35" i="5"/>
  <c r="D36" i="5"/>
  <c r="D37" i="5"/>
  <c r="D38" i="5"/>
  <c r="D39" i="5"/>
  <c r="D40" i="5"/>
  <c r="D41" i="5"/>
  <c r="D42" i="5"/>
  <c r="D43" i="5"/>
  <c r="D44" i="5"/>
  <c r="D45" i="5"/>
  <c r="D46" i="5"/>
  <c r="D47" i="5"/>
  <c r="D48" i="5"/>
  <c r="D49" i="5"/>
  <c r="AA110" i="2" s="1"/>
  <c r="D50" i="5"/>
  <c r="D51" i="5"/>
  <c r="D52" i="5"/>
  <c r="D53" i="5"/>
  <c r="D3" i="5"/>
  <c r="T3" i="6"/>
  <c r="Z3" i="6" s="1"/>
  <c r="U3" i="6"/>
  <c r="AA3" i="6" s="1"/>
  <c r="V3" i="6"/>
  <c r="AB3" i="6" s="1"/>
  <c r="T4" i="6"/>
  <c r="Z4" i="6" s="1"/>
  <c r="U4" i="6"/>
  <c r="AA4" i="6" s="1"/>
  <c r="V4" i="6"/>
  <c r="AB4" i="6" s="1"/>
  <c r="T5" i="6"/>
  <c r="Z5" i="6" s="1"/>
  <c r="U5" i="6"/>
  <c r="AA5" i="6" s="1"/>
  <c r="V5" i="6"/>
  <c r="AB5" i="6" s="1"/>
  <c r="T6" i="6"/>
  <c r="Z6" i="6" s="1"/>
  <c r="U6" i="6"/>
  <c r="AA6" i="6" s="1"/>
  <c r="V6" i="6"/>
  <c r="AB6" i="6" s="1"/>
  <c r="T7" i="6"/>
  <c r="Z7" i="6" s="1"/>
  <c r="U7" i="6"/>
  <c r="AA7" i="6" s="1"/>
  <c r="V7" i="6"/>
  <c r="AB7" i="6" s="1"/>
  <c r="T8" i="6"/>
  <c r="Z8" i="6" s="1"/>
  <c r="U8" i="6"/>
  <c r="AA8" i="6" s="1"/>
  <c r="V8" i="6"/>
  <c r="AB8" i="6" s="1"/>
  <c r="T9" i="6"/>
  <c r="Z9" i="6" s="1"/>
  <c r="U9" i="6"/>
  <c r="AA9" i="6" s="1"/>
  <c r="V9" i="6"/>
  <c r="AB9" i="6" s="1"/>
  <c r="T10" i="6"/>
  <c r="Z10" i="6" s="1"/>
  <c r="U10" i="6"/>
  <c r="AA10" i="6" s="1"/>
  <c r="V10" i="6"/>
  <c r="AB10" i="6" s="1"/>
  <c r="T11" i="6"/>
  <c r="Z11" i="6" s="1"/>
  <c r="U11" i="6"/>
  <c r="AA11" i="6" s="1"/>
  <c r="V11" i="6"/>
  <c r="AB11" i="6" s="1"/>
  <c r="T12" i="6"/>
  <c r="Z12" i="6" s="1"/>
  <c r="U12" i="6"/>
  <c r="AA12" i="6" s="1"/>
  <c r="V12" i="6"/>
  <c r="AB12" i="6" s="1"/>
  <c r="T13" i="6"/>
  <c r="Z13" i="6" s="1"/>
  <c r="U13" i="6"/>
  <c r="AA13" i="6" s="1"/>
  <c r="V13" i="6"/>
  <c r="AB13" i="6" s="1"/>
  <c r="T14" i="6"/>
  <c r="Z14" i="6" s="1"/>
  <c r="U14" i="6"/>
  <c r="AA14" i="6" s="1"/>
  <c r="V14" i="6"/>
  <c r="AB14" i="6" s="1"/>
  <c r="T15" i="6"/>
  <c r="Z15" i="6" s="1"/>
  <c r="U15" i="6"/>
  <c r="AA15" i="6" s="1"/>
  <c r="V15" i="6"/>
  <c r="AB15" i="6" s="1"/>
  <c r="T16" i="6"/>
  <c r="Z16" i="6" s="1"/>
  <c r="U16" i="6"/>
  <c r="AA16" i="6" s="1"/>
  <c r="V16" i="6"/>
  <c r="AB16" i="6" s="1"/>
  <c r="T17" i="6"/>
  <c r="Z17" i="6" s="1"/>
  <c r="U17" i="6"/>
  <c r="AA17" i="6" s="1"/>
  <c r="V17" i="6"/>
  <c r="AB17" i="6" s="1"/>
  <c r="T18" i="6"/>
  <c r="Z18" i="6" s="1"/>
  <c r="U18" i="6"/>
  <c r="AA18" i="6" s="1"/>
  <c r="V18" i="6"/>
  <c r="AB18" i="6" s="1"/>
  <c r="T19" i="6"/>
  <c r="Z19" i="6" s="1"/>
  <c r="U19" i="6"/>
  <c r="AA19" i="6" s="1"/>
  <c r="V19" i="6"/>
  <c r="AB19" i="6" s="1"/>
  <c r="T20" i="6"/>
  <c r="Z20" i="6" s="1"/>
  <c r="U20" i="6"/>
  <c r="AA20" i="6" s="1"/>
  <c r="V20" i="6"/>
  <c r="AB20" i="6" s="1"/>
  <c r="T21" i="6"/>
  <c r="Z21" i="6" s="1"/>
  <c r="U21" i="6"/>
  <c r="AA21" i="6" s="1"/>
  <c r="V21" i="6"/>
  <c r="AB21" i="6" s="1"/>
  <c r="T22" i="6"/>
  <c r="Z22" i="6" s="1"/>
  <c r="U22" i="6"/>
  <c r="AA22" i="6" s="1"/>
  <c r="V22" i="6"/>
  <c r="AB22" i="6" s="1"/>
  <c r="T23" i="6"/>
  <c r="Z23" i="6" s="1"/>
  <c r="U23" i="6"/>
  <c r="AA23" i="6" s="1"/>
  <c r="V23" i="6"/>
  <c r="AB23" i="6" s="1"/>
  <c r="T24" i="6"/>
  <c r="Z24" i="6" s="1"/>
  <c r="U24" i="6"/>
  <c r="AA24" i="6" s="1"/>
  <c r="V24" i="6"/>
  <c r="AB24" i="6" s="1"/>
  <c r="T25" i="6"/>
  <c r="Z25" i="6" s="1"/>
  <c r="U25" i="6"/>
  <c r="AA25" i="6" s="1"/>
  <c r="V25" i="6"/>
  <c r="AB25" i="6" s="1"/>
  <c r="T26" i="6"/>
  <c r="Z26" i="6" s="1"/>
  <c r="U26" i="6"/>
  <c r="AA26" i="6" s="1"/>
  <c r="V26" i="6"/>
  <c r="AB26" i="6" s="1"/>
  <c r="T27" i="6"/>
  <c r="Z27" i="6" s="1"/>
  <c r="U27" i="6"/>
  <c r="AA27" i="6" s="1"/>
  <c r="V27" i="6"/>
  <c r="AB27" i="6" s="1"/>
  <c r="T28" i="6"/>
  <c r="Z28" i="6" s="1"/>
  <c r="U28" i="6"/>
  <c r="AA28" i="6" s="1"/>
  <c r="V28" i="6"/>
  <c r="AB28" i="6" s="1"/>
  <c r="T29" i="6"/>
  <c r="Z29" i="6" s="1"/>
  <c r="U29" i="6"/>
  <c r="AA29" i="6" s="1"/>
  <c r="V29" i="6"/>
  <c r="AB29" i="6" s="1"/>
  <c r="T30" i="6"/>
  <c r="Z30" i="6" s="1"/>
  <c r="U30" i="6"/>
  <c r="AA30" i="6" s="1"/>
  <c r="V30" i="6"/>
  <c r="AB30" i="6" s="1"/>
  <c r="T31" i="6"/>
  <c r="Z31" i="6" s="1"/>
  <c r="U31" i="6"/>
  <c r="AA31" i="6" s="1"/>
  <c r="V31" i="6"/>
  <c r="AB31" i="6" s="1"/>
  <c r="T32" i="6"/>
  <c r="Z32" i="6" s="1"/>
  <c r="U32" i="6"/>
  <c r="AA32" i="6" s="1"/>
  <c r="V32" i="6"/>
  <c r="AB32" i="6" s="1"/>
  <c r="T33" i="6"/>
  <c r="Z33" i="6" s="1"/>
  <c r="U33" i="6"/>
  <c r="AA33" i="6" s="1"/>
  <c r="V33" i="6"/>
  <c r="AB33" i="6" s="1"/>
  <c r="T34" i="6"/>
  <c r="Z34" i="6" s="1"/>
  <c r="U34" i="6"/>
  <c r="AA34" i="6" s="1"/>
  <c r="V34" i="6"/>
  <c r="AB34" i="6" s="1"/>
  <c r="T35" i="6"/>
  <c r="Z35" i="6" s="1"/>
  <c r="U35" i="6"/>
  <c r="AA35" i="6" s="1"/>
  <c r="V35" i="6"/>
  <c r="AB35" i="6" s="1"/>
  <c r="T36" i="6"/>
  <c r="Z36" i="6" s="1"/>
  <c r="U36" i="6"/>
  <c r="AA36" i="6" s="1"/>
  <c r="V36" i="6"/>
  <c r="AB36" i="6" s="1"/>
  <c r="T37" i="6"/>
  <c r="Z37" i="6" s="1"/>
  <c r="U37" i="6"/>
  <c r="AA37" i="6" s="1"/>
  <c r="V37" i="6"/>
  <c r="AB37" i="6" s="1"/>
  <c r="T38" i="6"/>
  <c r="Z38" i="6" s="1"/>
  <c r="U38" i="6"/>
  <c r="AA38" i="6" s="1"/>
  <c r="V38" i="6"/>
  <c r="AB38" i="6" s="1"/>
  <c r="T39" i="6"/>
  <c r="Z39" i="6" s="1"/>
  <c r="U39" i="6"/>
  <c r="AA39" i="6" s="1"/>
  <c r="V39" i="6"/>
  <c r="AB39" i="6" s="1"/>
  <c r="T40" i="6"/>
  <c r="Z40" i="6" s="1"/>
  <c r="U40" i="6"/>
  <c r="AA40" i="6" s="1"/>
  <c r="V40" i="6"/>
  <c r="AB40" i="6" s="1"/>
  <c r="T41" i="6"/>
  <c r="Z41" i="6" s="1"/>
  <c r="U41" i="6"/>
  <c r="AA41" i="6" s="1"/>
  <c r="V41" i="6"/>
  <c r="AB41" i="6" s="1"/>
  <c r="T42" i="6"/>
  <c r="Z42" i="6" s="1"/>
  <c r="U42" i="6"/>
  <c r="AA42" i="6" s="1"/>
  <c r="V42" i="6"/>
  <c r="AB42" i="6" s="1"/>
  <c r="T43" i="6"/>
  <c r="Z43" i="6" s="1"/>
  <c r="U43" i="6"/>
  <c r="AA43" i="6" s="1"/>
  <c r="V43" i="6"/>
  <c r="AB43" i="6" s="1"/>
  <c r="T44" i="6"/>
  <c r="Z44" i="6" s="1"/>
  <c r="U44" i="6"/>
  <c r="AA44" i="6" s="1"/>
  <c r="V44" i="6"/>
  <c r="AB44" i="6" s="1"/>
  <c r="T45" i="6"/>
  <c r="Z45" i="6" s="1"/>
  <c r="U45" i="6"/>
  <c r="AA45" i="6" s="1"/>
  <c r="V45" i="6"/>
  <c r="AB45" i="6" s="1"/>
  <c r="T46" i="6"/>
  <c r="Z46" i="6" s="1"/>
  <c r="U46" i="6"/>
  <c r="AA46" i="6" s="1"/>
  <c r="V46" i="6"/>
  <c r="AB46" i="6" s="1"/>
  <c r="T47" i="6"/>
  <c r="Z47" i="6" s="1"/>
  <c r="U47" i="6"/>
  <c r="AA47" i="6" s="1"/>
  <c r="V47" i="6"/>
  <c r="AB47" i="6" s="1"/>
  <c r="T48" i="6"/>
  <c r="Z48" i="6" s="1"/>
  <c r="U48" i="6"/>
  <c r="AA48" i="6" s="1"/>
  <c r="V48" i="6"/>
  <c r="AB48" i="6" s="1"/>
  <c r="T49" i="6"/>
  <c r="Z49" i="6" s="1"/>
  <c r="U49" i="6"/>
  <c r="AA49" i="6" s="1"/>
  <c r="V49" i="6"/>
  <c r="AB49" i="6" s="1"/>
  <c r="T50" i="6"/>
  <c r="Z50" i="6" s="1"/>
  <c r="U50" i="6"/>
  <c r="AA50" i="6" s="1"/>
  <c r="V50" i="6"/>
  <c r="AB50" i="6" s="1"/>
  <c r="V2" i="6"/>
  <c r="AB2" i="6" s="1"/>
  <c r="U2" i="6"/>
  <c r="AA2" i="6" s="1"/>
  <c r="T2" i="6"/>
  <c r="Z2" i="6" s="1"/>
  <c r="R2" i="6"/>
  <c r="X2" i="6" s="1"/>
  <c r="R3" i="6"/>
  <c r="X3" i="6" s="1"/>
  <c r="R4" i="6"/>
  <c r="X4" i="6" s="1"/>
  <c r="R5" i="6"/>
  <c r="X5" i="6" s="1"/>
  <c r="R6" i="6"/>
  <c r="X6" i="6" s="1"/>
  <c r="R7" i="6"/>
  <c r="X7" i="6" s="1"/>
  <c r="R8" i="6"/>
  <c r="X8" i="6" s="1"/>
  <c r="R9" i="6"/>
  <c r="X9" i="6" s="1"/>
  <c r="R10" i="6"/>
  <c r="X10" i="6" s="1"/>
  <c r="R11" i="6"/>
  <c r="X11" i="6" s="1"/>
  <c r="R12" i="6"/>
  <c r="X12" i="6" s="1"/>
  <c r="R13" i="6"/>
  <c r="X13" i="6" s="1"/>
  <c r="R14" i="6"/>
  <c r="X14" i="6" s="1"/>
  <c r="R15" i="6"/>
  <c r="X15" i="6" s="1"/>
  <c r="R16" i="6"/>
  <c r="X16" i="6" s="1"/>
  <c r="R17" i="6"/>
  <c r="X17" i="6" s="1"/>
  <c r="R18" i="6"/>
  <c r="X18" i="6" s="1"/>
  <c r="R19" i="6"/>
  <c r="X19" i="6" s="1"/>
  <c r="R20" i="6"/>
  <c r="X20" i="6" s="1"/>
  <c r="R21" i="6"/>
  <c r="X21" i="6" s="1"/>
  <c r="R22" i="6"/>
  <c r="X22" i="6" s="1"/>
  <c r="R23" i="6"/>
  <c r="X23" i="6" s="1"/>
  <c r="R24" i="6"/>
  <c r="X24" i="6" s="1"/>
  <c r="R25" i="6"/>
  <c r="X25" i="6" s="1"/>
  <c r="R26" i="6"/>
  <c r="X26" i="6" s="1"/>
  <c r="R27" i="6"/>
  <c r="X27" i="6" s="1"/>
  <c r="R28" i="6"/>
  <c r="X28" i="6" s="1"/>
  <c r="R29" i="6"/>
  <c r="X29" i="6" s="1"/>
  <c r="R30" i="6"/>
  <c r="X30" i="6" s="1"/>
  <c r="R31" i="6"/>
  <c r="X31" i="6" s="1"/>
  <c r="R32" i="6"/>
  <c r="X32" i="6" s="1"/>
  <c r="R33" i="6"/>
  <c r="X33" i="6" s="1"/>
  <c r="R34" i="6"/>
  <c r="X34" i="6" s="1"/>
  <c r="R35" i="6"/>
  <c r="X35" i="6" s="1"/>
  <c r="R36" i="6"/>
  <c r="X36" i="6" s="1"/>
  <c r="R37" i="6"/>
  <c r="X37" i="6" s="1"/>
  <c r="R38" i="6"/>
  <c r="X38" i="6" s="1"/>
  <c r="R39" i="6"/>
  <c r="X39" i="6" s="1"/>
  <c r="R40" i="6"/>
  <c r="X40" i="6" s="1"/>
  <c r="R41" i="6"/>
  <c r="X41" i="6" s="1"/>
  <c r="R42" i="6"/>
  <c r="X42" i="6" s="1"/>
  <c r="R43" i="6"/>
  <c r="X43" i="6" s="1"/>
  <c r="R44" i="6"/>
  <c r="X44" i="6" s="1"/>
  <c r="R45" i="6"/>
  <c r="X45" i="6" s="1"/>
  <c r="R46" i="6"/>
  <c r="X46" i="6" s="1"/>
  <c r="R47" i="6"/>
  <c r="X47" i="6" s="1"/>
  <c r="R48" i="6"/>
  <c r="X48" i="6" s="1"/>
  <c r="R49" i="6"/>
  <c r="X49" i="6" s="1"/>
  <c r="R50" i="6"/>
  <c r="X50" i="6" s="1"/>
  <c r="I50" i="6"/>
  <c r="O72" i="2" l="1"/>
  <c r="O100" i="2"/>
  <c r="O73" i="2"/>
  <c r="I73" i="2"/>
  <c r="O80" i="2"/>
  <c r="I80" i="2"/>
  <c r="O69" i="2"/>
  <c r="O75" i="2"/>
  <c r="I75" i="2"/>
  <c r="O81" i="2"/>
  <c r="I81" i="2"/>
  <c r="O102" i="2"/>
  <c r="I102" i="2"/>
  <c r="O74" i="2"/>
  <c r="I74" i="2"/>
  <c r="O101" i="2"/>
  <c r="I101" i="2"/>
  <c r="O71" i="2"/>
  <c r="I71" i="2"/>
  <c r="O93" i="2"/>
  <c r="O82" i="2"/>
  <c r="I82" i="2"/>
  <c r="O90" i="2"/>
  <c r="I90" i="2"/>
  <c r="O88" i="2"/>
  <c r="I88" i="2"/>
  <c r="O68" i="2"/>
  <c r="I68" i="2"/>
  <c r="O67" i="2"/>
  <c r="I67" i="2"/>
  <c r="O76" i="2"/>
  <c r="I76" i="2"/>
  <c r="O106" i="2"/>
  <c r="O99" i="2"/>
  <c r="O103" i="2"/>
  <c r="O86" i="2"/>
  <c r="I86" i="2"/>
  <c r="O91" i="2"/>
  <c r="I91" i="2"/>
  <c r="O96" i="2"/>
  <c r="I96" i="2"/>
  <c r="O107" i="2"/>
  <c r="I107" i="2"/>
  <c r="O98" i="2"/>
  <c r="I98" i="2"/>
  <c r="BI195" i="17" a="1"/>
  <c r="BI195" i="17" s="1"/>
  <c r="GE199" i="14" a="1"/>
  <c r="GE199" i="14" s="1"/>
  <c r="EZ206" i="14" a="1"/>
  <c r="EZ206" i="14" s="1"/>
  <c r="EZ218" i="14" a="1"/>
  <c r="EZ218" i="14" s="1"/>
  <c r="CO137" i="17" a="1"/>
  <c r="CO137" i="17" s="1"/>
  <c r="CP176" i="14" a="1"/>
  <c r="CP176" i="14" s="1"/>
  <c r="BI118" i="17" a="1"/>
  <c r="BI118" i="17" s="1"/>
  <c r="GE135" i="14" a="1"/>
  <c r="GE135" i="14" s="1"/>
  <c r="CP208" i="14" a="1"/>
  <c r="CP208" i="14" s="1"/>
  <c r="BI203" i="17" a="1"/>
  <c r="BI203" i="17" s="1"/>
  <c r="DU155" i="14" a="1"/>
  <c r="DU155" i="14" s="1"/>
  <c r="BC186" i="14" a="1"/>
  <c r="BC186" i="14" s="1"/>
  <c r="BC210" i="14" a="1"/>
  <c r="BC210" i="14" s="1"/>
  <c r="EZ179" i="14" a="1"/>
  <c r="EZ179" i="14" s="1"/>
  <c r="CP180" i="14" a="1"/>
  <c r="CP180" i="14" s="1"/>
  <c r="BC180" i="14" a="1"/>
  <c r="BC180" i="14" s="1"/>
  <c r="BI199" i="17" a="1"/>
  <c r="BI199" i="17" s="1"/>
  <c r="EZ183" i="14" a="1"/>
  <c r="EZ183" i="14" s="1"/>
  <c r="GE127" i="14" a="1"/>
  <c r="GE127" i="14" s="1"/>
  <c r="CP190" i="14" a="1"/>
  <c r="CP190" i="14" s="1"/>
  <c r="HK151" i="14" a="1"/>
  <c r="HK151" i="14" s="1"/>
  <c r="BI205" i="17" a="1"/>
  <c r="BI205" i="17" s="1"/>
  <c r="GE125" i="14" a="1"/>
  <c r="GE125" i="14" s="1"/>
  <c r="BC196" i="14" a="1"/>
  <c r="BC196" i="14" s="1"/>
  <c r="EZ196" i="14" a="1"/>
  <c r="EZ196" i="14" s="1"/>
  <c r="CP206" i="14" a="1"/>
  <c r="CP206" i="14" s="1"/>
  <c r="BC206" i="14" a="1"/>
  <c r="BC206" i="14" s="1"/>
  <c r="BI162" i="17" a="1"/>
  <c r="BI162" i="17" s="1"/>
  <c r="EZ194" i="14" a="1"/>
  <c r="EZ194" i="14" s="1"/>
  <c r="AT157" i="8" a="1"/>
  <c r="AT157" i="8" s="1"/>
  <c r="CA46" i="11" s="1"/>
  <c r="CB46" i="11" s="1"/>
  <c r="BI160" i="17" a="1"/>
  <c r="BI160" i="17" s="1"/>
  <c r="GE139" i="14" a="1"/>
  <c r="GE139" i="14" s="1"/>
  <c r="BC195" i="14" a="1"/>
  <c r="BC195" i="14" s="1"/>
  <c r="BI137" i="17" a="1"/>
  <c r="BI137" i="17" s="1"/>
  <c r="CP191" i="14" a="1"/>
  <c r="CP191" i="14" s="1"/>
  <c r="DU205" i="14" a="1"/>
  <c r="DU205" i="14" s="1"/>
  <c r="BC188" i="14" a="1"/>
  <c r="BC188" i="14" s="1"/>
  <c r="CP222" i="14" a="1"/>
  <c r="CP222" i="14" s="1"/>
  <c r="CP174" i="14" a="1"/>
  <c r="CP174" i="14" s="1"/>
  <c r="BC174" i="14" a="1"/>
  <c r="BC174" i="14" s="1"/>
  <c r="BI172" i="17" a="1"/>
  <c r="BI172" i="17" s="1"/>
  <c r="CP210" i="14" a="1"/>
  <c r="CP210" i="14" s="1"/>
  <c r="CP175" i="14" a="1"/>
  <c r="CP175" i="14" s="1"/>
  <c r="BC221" i="14" a="1"/>
  <c r="BC221" i="14" s="1"/>
  <c r="GE165" i="14" a="1"/>
  <c r="GE165" i="14" s="1"/>
  <c r="BI163" i="17" a="1"/>
  <c r="BI163" i="17" s="1"/>
  <c r="DU214" i="14" a="1"/>
  <c r="DU214" i="14" s="1"/>
  <c r="BC214" i="14" a="1"/>
  <c r="BC214" i="14" s="1"/>
  <c r="GE214" i="14" a="1"/>
  <c r="GE214" i="14" s="1"/>
  <c r="CP179" i="14" a="1"/>
  <c r="CP179" i="14" s="1"/>
  <c r="GE124" i="14" a="1"/>
  <c r="GE124" i="14" s="1"/>
  <c r="CP204" i="14" a="1"/>
  <c r="CP204" i="14" s="1"/>
  <c r="BC204" i="14" a="1"/>
  <c r="BC204" i="14" s="1"/>
  <c r="BI188" i="17" a="1"/>
  <c r="BI188" i="17" s="1"/>
  <c r="CP207" i="14" a="1"/>
  <c r="CP207" i="14" s="1"/>
  <c r="BC181" i="14" a="1"/>
  <c r="BC181" i="14" s="1"/>
  <c r="CP195" i="14" a="1"/>
  <c r="CP195" i="14" s="1"/>
  <c r="EZ195" i="14" a="1"/>
  <c r="EZ195" i="14" s="1"/>
  <c r="GE157" i="14" a="1"/>
  <c r="GE157" i="14" s="1"/>
  <c r="BC178" i="14" a="1"/>
  <c r="BC178" i="14" s="1"/>
  <c r="BC191" i="14" a="1"/>
  <c r="BC191" i="14" s="1"/>
  <c r="BI133" i="17" a="1"/>
  <c r="BI133" i="17" s="1"/>
  <c r="CO133" i="17" a="1"/>
  <c r="CO133" i="17" s="1"/>
  <c r="BI140" i="17" a="1"/>
  <c r="BI140" i="17" s="1"/>
  <c r="BI145" i="17" a="1"/>
  <c r="BI145" i="17" s="1"/>
  <c r="DU149" i="14" a="1"/>
  <c r="DU149" i="14" s="1"/>
  <c r="BC211" i="14" a="1"/>
  <c r="BC211" i="14" s="1"/>
  <c r="BC202" i="14" a="1"/>
  <c r="BC202" i="14" s="1"/>
  <c r="CP193" i="14" a="1"/>
  <c r="CP193" i="14" s="1"/>
  <c r="CP188" i="14" a="1"/>
  <c r="CP188" i="14" s="1"/>
  <c r="DU188" i="14" a="1"/>
  <c r="DU188" i="14" s="1"/>
  <c r="BC182" i="14" a="1"/>
  <c r="BC182" i="14" s="1"/>
  <c r="CP209" i="14" a="1"/>
  <c r="CP209" i="14" s="1"/>
  <c r="CP221" i="14" a="1"/>
  <c r="CP221" i="14" s="1"/>
  <c r="CP213" i="14" a="1"/>
  <c r="CP213" i="14" s="1"/>
  <c r="BC176" i="14" a="1"/>
  <c r="BC176" i="14" s="1"/>
  <c r="CO119" i="17" a="1"/>
  <c r="CO119" i="17" s="1"/>
  <c r="EZ186" i="14" a="1"/>
  <c r="EZ186" i="14" s="1"/>
  <c r="BI184" i="17" a="1"/>
  <c r="BI184" i="17" s="1"/>
  <c r="HK132" i="14" a="1"/>
  <c r="HK132" i="14" s="1"/>
  <c r="BC208" i="14" a="1"/>
  <c r="BC208" i="14" s="1"/>
  <c r="CO129" i="17" a="1"/>
  <c r="CO129" i="17" s="1"/>
  <c r="BC177" i="14" a="1"/>
  <c r="BC177" i="14" s="1"/>
  <c r="BI186" i="17" a="1"/>
  <c r="BI186" i="17" s="1"/>
  <c r="BI164" i="17" a="1"/>
  <c r="BI164" i="17" s="1"/>
  <c r="CP182" i="14" a="1"/>
  <c r="CP182" i="14" s="1"/>
  <c r="DU135" i="14" a="1"/>
  <c r="DU135" i="14" s="1"/>
  <c r="BI130" i="17" a="1"/>
  <c r="BI130" i="17" s="1"/>
  <c r="CP198" i="14" a="1"/>
  <c r="CP198" i="14" s="1"/>
  <c r="CP202" i="14" a="1"/>
  <c r="CP202" i="14" s="1"/>
  <c r="DU151" i="14" a="1"/>
  <c r="DU151" i="14" s="1"/>
  <c r="DU147" i="14" a="1"/>
  <c r="DU147" i="14" s="1"/>
  <c r="CP183" i="14" a="1"/>
  <c r="CP183" i="14" s="1"/>
  <c r="BC222" i="14" a="1"/>
  <c r="BC222" i="14" s="1"/>
  <c r="CP178" i="14" a="1"/>
  <c r="CP178" i="14" s="1"/>
  <c r="BC193" i="14" a="1"/>
  <c r="BC193" i="14" s="1"/>
  <c r="BC175" i="14" a="1"/>
  <c r="BC175" i="14" s="1"/>
  <c r="CP214" i="14" a="1"/>
  <c r="CP214" i="14" s="1"/>
  <c r="BC179" i="14" a="1"/>
  <c r="BC179" i="14" s="1"/>
  <c r="BC207" i="14" a="1"/>
  <c r="BC207" i="14" s="1"/>
  <c r="EZ222" i="14" a="1"/>
  <c r="EZ222" i="14" s="1"/>
  <c r="CP211" i="14" a="1"/>
  <c r="CP211" i="14" s="1"/>
  <c r="EZ121" i="14" a="1"/>
  <c r="EZ121" i="14" s="1"/>
  <c r="AT145" i="8" a="1"/>
  <c r="AT145" i="8" s="1"/>
  <c r="CA34" i="11" s="1"/>
  <c r="CB34" i="11" s="1"/>
  <c r="BC209" i="14" a="1"/>
  <c r="BC209" i="14" s="1"/>
  <c r="CP181" i="14" a="1"/>
  <c r="CP181" i="14" s="1"/>
  <c r="EZ198" i="14" a="1"/>
  <c r="EZ198" i="14" s="1"/>
  <c r="DU221" i="14" a="1"/>
  <c r="DU221" i="14" s="1"/>
  <c r="BC190" i="14" a="1"/>
  <c r="BC190" i="14" s="1"/>
  <c r="HK146" i="14" a="1"/>
  <c r="HK146" i="14" s="1"/>
  <c r="DU123" i="14" a="1"/>
  <c r="DU123" i="14" s="1"/>
  <c r="EZ139" i="14" a="1"/>
  <c r="EZ139" i="14" s="1"/>
  <c r="BC213" i="14" a="1"/>
  <c r="BC213" i="14" s="1"/>
  <c r="EZ215" i="14" a="1"/>
  <c r="EZ215" i="14" s="1"/>
  <c r="DU165" i="14" a="1"/>
  <c r="DU165" i="14" s="1"/>
  <c r="BI190" i="17" a="1"/>
  <c r="BI190" i="17" s="1"/>
  <c r="EZ138" i="14" a="1"/>
  <c r="EZ138" i="14" s="1"/>
  <c r="AK211" i="6" a="1"/>
  <c r="AK211" i="6" s="1"/>
  <c r="DU159" i="14" a="1"/>
  <c r="DU159" i="14" s="1"/>
  <c r="GE184" i="14" a="1"/>
  <c r="GE184" i="14" s="1"/>
  <c r="EZ189" i="14" a="1"/>
  <c r="EZ189" i="14" s="1"/>
  <c r="BI158" i="17" a="1"/>
  <c r="BI158" i="17" s="1"/>
  <c r="GE162" i="14" a="1"/>
  <c r="GE162" i="14" s="1"/>
  <c r="BI216" i="17" a="1"/>
  <c r="BI216" i="17" s="1"/>
  <c r="GE195" i="14" a="1"/>
  <c r="GE195" i="14" s="1"/>
  <c r="HK139" i="14" a="1"/>
  <c r="HK139" i="14" s="1"/>
  <c r="AT119" i="8" a="1"/>
  <c r="AT119" i="8" s="1"/>
  <c r="CA8" i="11" s="1"/>
  <c r="CB8" i="11" s="1"/>
  <c r="DU178" i="14" a="1"/>
  <c r="DU178" i="14" s="1"/>
  <c r="HK122" i="14" a="1"/>
  <c r="HK122" i="14" s="1"/>
  <c r="GE191" i="14" a="1"/>
  <c r="GE191" i="14" s="1"/>
  <c r="EZ191" i="14" a="1"/>
  <c r="EZ191" i="14" s="1"/>
  <c r="HK152" i="14" a="1"/>
  <c r="HK152" i="14" s="1"/>
  <c r="DU142" i="14" a="1"/>
  <c r="DU142" i="14" s="1"/>
  <c r="BC198" i="14" a="1"/>
  <c r="BC198" i="14" s="1"/>
  <c r="EZ203" i="14" a="1"/>
  <c r="EZ203" i="14" s="1"/>
  <c r="EZ187" i="14" a="1"/>
  <c r="EZ187" i="14" s="1"/>
  <c r="HK143" i="14" a="1"/>
  <c r="HK143" i="14" s="1"/>
  <c r="BI141" i="17" a="1"/>
  <c r="BI141" i="17" s="1"/>
  <c r="DU223" i="14" a="1"/>
  <c r="DU223" i="14" s="1"/>
  <c r="BI165" i="17" a="1"/>
  <c r="BI165" i="17" s="1"/>
  <c r="AK181" i="6" a="1"/>
  <c r="AK181" i="6" s="1"/>
  <c r="DU129" i="14" a="1"/>
  <c r="DU129" i="14" s="1"/>
  <c r="CO127" i="17" a="1"/>
  <c r="CO127" i="17" s="1"/>
  <c r="GE149" i="14" a="1"/>
  <c r="GE149" i="14" s="1"/>
  <c r="BI147" i="17" a="1"/>
  <c r="BI147" i="17" s="1"/>
  <c r="DU211" i="14" a="1"/>
  <c r="DU211" i="14" s="1"/>
  <c r="EZ211" i="14" a="1"/>
  <c r="EZ211" i="14" s="1"/>
  <c r="DU202" i="14" a="1"/>
  <c r="DU202" i="14" s="1"/>
  <c r="DU186" i="14" a="1"/>
  <c r="DU186" i="14" s="1"/>
  <c r="AK182" i="6" a="1"/>
  <c r="AK182" i="6" s="1"/>
  <c r="GE130" i="14" a="1"/>
  <c r="GE130" i="14" s="1"/>
  <c r="HK137" i="14" a="1"/>
  <c r="HK137" i="14" s="1"/>
  <c r="CO135" i="17" a="1"/>
  <c r="CO135" i="17" s="1"/>
  <c r="EZ188" i="14" a="1"/>
  <c r="EZ188" i="14" s="1"/>
  <c r="EZ174" i="14" a="1"/>
  <c r="EZ174" i="14" s="1"/>
  <c r="BI116" i="17" a="1"/>
  <c r="BI116" i="17" s="1"/>
  <c r="EZ126" i="14" a="1"/>
  <c r="EZ126" i="14" s="1"/>
  <c r="GE126" i="14" a="1"/>
  <c r="GE126" i="14" s="1"/>
  <c r="DU210" i="14" a="1"/>
  <c r="DU210" i="14" s="1"/>
  <c r="BI152" i="17" a="1"/>
  <c r="BI152" i="17" s="1"/>
  <c r="DU119" i="14" a="1"/>
  <c r="DU119" i="14" s="1"/>
  <c r="CO117" i="17" a="1"/>
  <c r="CO117" i="17" s="1"/>
  <c r="DU153" i="14" a="1"/>
  <c r="DU153" i="14" s="1"/>
  <c r="BI207" i="17" a="1"/>
  <c r="BI207" i="17" s="1"/>
  <c r="GE158" i="14" a="1"/>
  <c r="GE158" i="14" s="1"/>
  <c r="BI156" i="17" a="1"/>
  <c r="BI156" i="17" s="1"/>
  <c r="CO121" i="17" a="1"/>
  <c r="CO121" i="17" s="1"/>
  <c r="EZ124" i="14" a="1"/>
  <c r="EZ124" i="14" s="1"/>
  <c r="BI178" i="17" a="1"/>
  <c r="BI178" i="17" s="1"/>
  <c r="EZ201" i="14" a="1"/>
  <c r="EZ201" i="14" s="1"/>
  <c r="BC183" i="14" a="1"/>
  <c r="BC183" i="14" s="1"/>
  <c r="CO125" i="17" a="1"/>
  <c r="CO125" i="17" s="1"/>
  <c r="AK186" i="6" a="1"/>
  <c r="AK186" i="6" s="1"/>
  <c r="GE190" i="14" a="1"/>
  <c r="GE190" i="14" s="1"/>
  <c r="BI132" i="17" a="1"/>
  <c r="BI132" i="17" s="1"/>
  <c r="DU207" i="14" a="1"/>
  <c r="DU207" i="14" s="1"/>
  <c r="DU181" i="14" a="1"/>
  <c r="DU181" i="14" s="1"/>
  <c r="CO123" i="17" a="1"/>
  <c r="CO123" i="17" s="1"/>
  <c r="HK140" i="14" a="1"/>
  <c r="HK140" i="14" s="1"/>
  <c r="BI138" i="17" a="1"/>
  <c r="BI138" i="17" s="1"/>
  <c r="EZ173" i="14" a="1"/>
  <c r="EZ173" i="14" s="1"/>
  <c r="GE220" i="14" a="1"/>
  <c r="GE220" i="14" s="1"/>
  <c r="DU192" i="14" a="1"/>
  <c r="DU192" i="14" s="1"/>
  <c r="HK136" i="14" a="1"/>
  <c r="HK136" i="14" s="1"/>
  <c r="GE194" i="14" a="1"/>
  <c r="GE194" i="14" s="1"/>
  <c r="BI192" i="17" a="1"/>
  <c r="BI192" i="17" s="1"/>
  <c r="DU215" i="14" a="1"/>
  <c r="DU215" i="14" s="1"/>
  <c r="DU128" i="14" a="1"/>
  <c r="DU128" i="14" s="1"/>
  <c r="BI182" i="17" a="1"/>
  <c r="BI182" i="17" s="1"/>
  <c r="DU163" i="14" a="1"/>
  <c r="DU163" i="14" s="1"/>
  <c r="CO131" i="17" a="1"/>
  <c r="CO131" i="17" s="1"/>
  <c r="DU217" i="14" a="1"/>
  <c r="DU217" i="14" s="1"/>
  <c r="EZ217" i="14" a="1"/>
  <c r="EZ217" i="14" s="1"/>
  <c r="GE161" i="14" a="1"/>
  <c r="GE161" i="14" s="1"/>
  <c r="BI154" i="17" a="1"/>
  <c r="BI154" i="17" s="1"/>
  <c r="BI214" i="17" a="1"/>
  <c r="BI214" i="17" s="1"/>
  <c r="AT159" i="8" a="1"/>
  <c r="AT159" i="8" s="1"/>
  <c r="CA48" i="11" s="1"/>
  <c r="CB48" i="11" s="1"/>
  <c r="AK207" i="6" a="1"/>
  <c r="AK207" i="6" s="1"/>
  <c r="BI211" i="17" a="1"/>
  <c r="BI211" i="17" s="1"/>
  <c r="EZ178" i="14" a="1"/>
  <c r="EZ178" i="14" s="1"/>
  <c r="EZ120" i="14" a="1"/>
  <c r="EZ120" i="14" s="1"/>
  <c r="EZ176" i="14" a="1"/>
  <c r="EZ176" i="14" s="1"/>
  <c r="HK120" i="14" a="1"/>
  <c r="HK120" i="14" s="1"/>
  <c r="DU152" i="14" a="1"/>
  <c r="DU152" i="14" s="1"/>
  <c r="EZ152" i="14" a="1"/>
  <c r="EZ152" i="14" s="1"/>
  <c r="EZ142" i="14" a="1"/>
  <c r="EZ142" i="14" s="1"/>
  <c r="HK142" i="14" a="1"/>
  <c r="HK142" i="14" s="1"/>
  <c r="DU203" i="14" a="1"/>
  <c r="DU203" i="14" s="1"/>
  <c r="GE187" i="14" a="1"/>
  <c r="GE187" i="14" s="1"/>
  <c r="BI185" i="17" a="1"/>
  <c r="BI185" i="17" s="1"/>
  <c r="DU121" i="14" a="1"/>
  <c r="DU121" i="14" s="1"/>
  <c r="BI175" i="17" a="1"/>
  <c r="BI175" i="17" s="1"/>
  <c r="GE143" i="14" a="1"/>
  <c r="GE143" i="14" s="1"/>
  <c r="EZ223" i="14" a="1"/>
  <c r="EZ223" i="14" s="1"/>
  <c r="GE185" i="14" a="1"/>
  <c r="GE185" i="14" s="1"/>
  <c r="EZ149" i="14" a="1"/>
  <c r="EZ149" i="14" s="1"/>
  <c r="BI209" i="17" a="1"/>
  <c r="BI209" i="17" s="1"/>
  <c r="EZ193" i="14" a="1"/>
  <c r="EZ193" i="14" s="1"/>
  <c r="AK184" i="6" a="1"/>
  <c r="AK184" i="6" s="1"/>
  <c r="EZ132" i="14" a="1"/>
  <c r="EZ132" i="14" s="1"/>
  <c r="GE132" i="14" a="1"/>
  <c r="GE132" i="14" s="1"/>
  <c r="DU222" i="14" a="1"/>
  <c r="DU222" i="14" s="1"/>
  <c r="HK118" i="14" a="1"/>
  <c r="HK118" i="14" s="1"/>
  <c r="BI180" i="17" a="1"/>
  <c r="BI180" i="17" s="1"/>
  <c r="AT151" i="8" a="1"/>
  <c r="AT151" i="8" s="1"/>
  <c r="CA40" i="11" s="1"/>
  <c r="CB40" i="11" s="1"/>
  <c r="BI208" i="17" a="1"/>
  <c r="BI208" i="17" s="1"/>
  <c r="GE175" i="14" a="1"/>
  <c r="GE175" i="14" s="1"/>
  <c r="DU209" i="14" a="1"/>
  <c r="DU209" i="14" s="1"/>
  <c r="EZ221" i="14" a="1"/>
  <c r="EZ221" i="14" s="1"/>
  <c r="HK158" i="14" a="1"/>
  <c r="HK158" i="14" s="1"/>
  <c r="BI212" i="17" a="1"/>
  <c r="BI212" i="17" s="1"/>
  <c r="GE179" i="14" a="1"/>
  <c r="GE179" i="14" s="1"/>
  <c r="DU124" i="14" a="1"/>
  <c r="DU124" i="14" s="1"/>
  <c r="HK124" i="14" a="1"/>
  <c r="HK124" i="14" s="1"/>
  <c r="BI143" i="17" a="1"/>
  <c r="BI143" i="17" s="1"/>
  <c r="EZ127" i="14" a="1"/>
  <c r="EZ127" i="14" s="1"/>
  <c r="GE134" i="14" a="1"/>
  <c r="GE134" i="14" s="1"/>
  <c r="GE181" i="14" a="1"/>
  <c r="GE181" i="14" s="1"/>
  <c r="AK192" i="6" a="1"/>
  <c r="AK192" i="6" s="1"/>
  <c r="DU206" i="14" a="1"/>
  <c r="DU206" i="14" s="1"/>
  <c r="BI115" i="17" a="1"/>
  <c r="BI115" i="17" s="1"/>
  <c r="BI171" i="17" a="1"/>
  <c r="BI171" i="17" s="1"/>
  <c r="DU220" i="14" a="1"/>
  <c r="DU220" i="14" s="1"/>
  <c r="BI134" i="17" a="1"/>
  <c r="BI134" i="17" s="1"/>
  <c r="AT135" i="8" a="1"/>
  <c r="AT135" i="8" s="1"/>
  <c r="CA24" i="11" s="1"/>
  <c r="CB24" i="11" s="1"/>
  <c r="DU194" i="14" a="1"/>
  <c r="DU194" i="14" s="1"/>
  <c r="GE138" i="14" a="1"/>
  <c r="GE138" i="14" s="1"/>
  <c r="BI136" i="17" a="1"/>
  <c r="BI136" i="17" s="1"/>
  <c r="EZ159" i="14" a="1"/>
  <c r="EZ159" i="14" s="1"/>
  <c r="BI213" i="17" a="1"/>
  <c r="BI213" i="17" s="1"/>
  <c r="GE141" i="14" a="1"/>
  <c r="GE141" i="14" s="1"/>
  <c r="AK215" i="6" a="1"/>
  <c r="AK215" i="6" s="1"/>
  <c r="DU219" i="14" a="1"/>
  <c r="DU219" i="14" s="1"/>
  <c r="GE163" i="14" a="1"/>
  <c r="GE163" i="14" s="1"/>
  <c r="BI217" i="17" a="1"/>
  <c r="BI217" i="17" s="1"/>
  <c r="GE133" i="14" a="1"/>
  <c r="GE133" i="14" s="1"/>
  <c r="DU144" i="14" a="1"/>
  <c r="DU144" i="14" s="1"/>
  <c r="EZ144" i="14" a="1"/>
  <c r="EZ144" i="14" s="1"/>
  <c r="BI215" i="17" a="1"/>
  <c r="BI215" i="17" s="1"/>
  <c r="HK156" i="14" a="1"/>
  <c r="HK156" i="14" s="1"/>
  <c r="BI210" i="17" a="1"/>
  <c r="BI210" i="17" s="1"/>
  <c r="HK160" i="14" a="1"/>
  <c r="HK160" i="14" s="1"/>
  <c r="DU218" i="14" a="1"/>
  <c r="DU218" i="14" s="1"/>
  <c r="HK162" i="14" a="1"/>
  <c r="HK162" i="14" s="1"/>
  <c r="EZ157" i="14" a="1"/>
  <c r="EZ157" i="14" s="1"/>
  <c r="HK157" i="14" a="1"/>
  <c r="HK157" i="14" s="1"/>
  <c r="CO155" i="17" a="1"/>
  <c r="CO155" i="17" s="1"/>
  <c r="DU122" i="14" a="1"/>
  <c r="DU122" i="14" s="1"/>
  <c r="DU120" i="14" a="1"/>
  <c r="DU120" i="14" s="1"/>
  <c r="DU176" i="14" a="1"/>
  <c r="DU176" i="14" s="1"/>
  <c r="AT139" i="8" a="1"/>
  <c r="AT139" i="8" s="1"/>
  <c r="CA28" i="11" s="1"/>
  <c r="CB28" i="11" s="1"/>
  <c r="GE142" i="14" a="1"/>
  <c r="GE142" i="14" s="1"/>
  <c r="AT144" i="8" a="1"/>
  <c r="AT144" i="8" s="1"/>
  <c r="CA33" i="11" s="1"/>
  <c r="CB33" i="11" s="1"/>
  <c r="CO145" i="17" a="1"/>
  <c r="CO145" i="17" s="1"/>
  <c r="DU131" i="14" a="1"/>
  <c r="DU131" i="14" s="1"/>
  <c r="GE177" i="14" a="1"/>
  <c r="GE177" i="14" s="1"/>
  <c r="CO141" i="17" a="1"/>
  <c r="CO141" i="17" s="1"/>
  <c r="AD165" i="17" a="1"/>
  <c r="AD165" i="17" s="1"/>
  <c r="GE167" i="14" a="1"/>
  <c r="GE167" i="14" s="1"/>
  <c r="EZ155" i="14" a="1"/>
  <c r="EZ155" i="14" s="1"/>
  <c r="AT143" i="8" a="1"/>
  <c r="AT143" i="8" s="1"/>
  <c r="CA32" i="11" s="1"/>
  <c r="CB32" i="11" s="1"/>
  <c r="EZ146" i="14" a="1"/>
  <c r="EZ146" i="14" s="1"/>
  <c r="GE202" i="14" a="1"/>
  <c r="GE202" i="14" s="1"/>
  <c r="AT127" i="8" a="1"/>
  <c r="AT127" i="8" s="1"/>
  <c r="CA16" i="11" s="1"/>
  <c r="CB16" i="11" s="1"/>
  <c r="AK189" i="6" a="1"/>
  <c r="AK189" i="6" s="1"/>
  <c r="GE137" i="14" a="1"/>
  <c r="GE137" i="14" s="1"/>
  <c r="BI220" i="17" a="1"/>
  <c r="BI220" i="17" s="1"/>
  <c r="DU118" i="14" a="1"/>
  <c r="DU118" i="14" s="1"/>
  <c r="EZ154" i="14" a="1"/>
  <c r="EZ154" i="14" s="1"/>
  <c r="GE210" i="14" a="1"/>
  <c r="GE210" i="14" s="1"/>
  <c r="GE154" i="14" a="1"/>
  <c r="GE154" i="14" s="1"/>
  <c r="AT116" i="8" a="1"/>
  <c r="AT116" i="8" s="1"/>
  <c r="CA5" i="11" s="1"/>
  <c r="CB5" i="11" s="1"/>
  <c r="GE119" i="14" a="1"/>
  <c r="GE119" i="14" s="1"/>
  <c r="EZ165" i="14" a="1"/>
  <c r="EZ165" i="14" s="1"/>
  <c r="BI219" i="17" a="1"/>
  <c r="BI219" i="17" s="1"/>
  <c r="EZ158" i="14" a="1"/>
  <c r="EZ158" i="14" s="1"/>
  <c r="BI177" i="17" a="1"/>
  <c r="BI177" i="17" s="1"/>
  <c r="AK197" i="6" a="1"/>
  <c r="AK197" i="6" s="1"/>
  <c r="GE201" i="14" a="1"/>
  <c r="GE201" i="14" s="1"/>
  <c r="GE204" i="14" a="1"/>
  <c r="GE204" i="14" s="1"/>
  <c r="GE183" i="14" a="1"/>
  <c r="GE183" i="14" s="1"/>
  <c r="BI181" i="17" a="1"/>
  <c r="BI181" i="17" s="1"/>
  <c r="DU134" i="14" a="1"/>
  <c r="DU134" i="14" s="1"/>
  <c r="EZ151" i="14" a="1"/>
  <c r="EZ151" i="14" s="1"/>
  <c r="BI149" i="17" a="1"/>
  <c r="BI149" i="17" s="1"/>
  <c r="BI179" i="17" a="1"/>
  <c r="BI179" i="17" s="1"/>
  <c r="GE140" i="14" a="1"/>
  <c r="GE140" i="14" s="1"/>
  <c r="AK169" i="6" a="1"/>
  <c r="AK169" i="6" s="1"/>
  <c r="DU117" i="14" a="1"/>
  <c r="DU117" i="14" s="1"/>
  <c r="GE192" i="14" a="1"/>
  <c r="GE192" i="14" s="1"/>
  <c r="GE136" i="14" a="1"/>
  <c r="GE136" i="14" s="1"/>
  <c r="HK138" i="14" a="1"/>
  <c r="HK138" i="14" s="1"/>
  <c r="DU184" i="14" a="1"/>
  <c r="DU184" i="14" s="1"/>
  <c r="EZ163" i="14" a="1"/>
  <c r="EZ163" i="14" s="1"/>
  <c r="GE189" i="14" a="1"/>
  <c r="GE189" i="14" s="1"/>
  <c r="BI187" i="17" a="1"/>
  <c r="BI187" i="17" s="1"/>
  <c r="DU200" i="14" a="1"/>
  <c r="DU200" i="14" s="1"/>
  <c r="AK213" i="6" a="1"/>
  <c r="AK213" i="6" s="1"/>
  <c r="AK212" i="6" a="1"/>
  <c r="AK212" i="6" s="1"/>
  <c r="DU162" i="14" a="1"/>
  <c r="DU162" i="14" s="1"/>
  <c r="AT121" i="8" a="1"/>
  <c r="AT121" i="8" s="1"/>
  <c r="CA10" i="11" s="1"/>
  <c r="CB10" i="11" s="1"/>
  <c r="O104" i="2"/>
  <c r="AT136" i="8" a="1"/>
  <c r="AT136" i="8" s="1"/>
  <c r="CA25" i="11" s="1"/>
  <c r="CB25" i="11" s="1"/>
  <c r="AK174" i="6" a="1"/>
  <c r="AK174" i="6" s="1"/>
  <c r="EZ122" i="14" a="1"/>
  <c r="EZ122" i="14" s="1"/>
  <c r="AT117" i="8" a="1"/>
  <c r="AT117" i="8" s="1"/>
  <c r="CA6" i="11" s="1"/>
  <c r="CB6" i="11" s="1"/>
  <c r="AK187" i="6" a="1"/>
  <c r="AK187" i="6" s="1"/>
  <c r="DU191" i="14" a="1"/>
  <c r="DU191" i="14" s="1"/>
  <c r="EZ135" i="14" a="1"/>
  <c r="EZ135" i="14" s="1"/>
  <c r="HK135" i="14" a="1"/>
  <c r="HK135" i="14" s="1"/>
  <c r="AT149" i="8" a="1"/>
  <c r="AT149" i="8" s="1"/>
  <c r="CA38" i="11" s="1"/>
  <c r="CB38" i="11" s="1"/>
  <c r="DU208" i="14" a="1"/>
  <c r="DU208" i="14" s="1"/>
  <c r="AK194" i="6" a="1"/>
  <c r="AK194" i="6" s="1"/>
  <c r="EZ147" i="14" a="1"/>
  <c r="EZ147" i="14" s="1"/>
  <c r="AT128" i="8" a="1"/>
  <c r="AT128" i="8" s="1"/>
  <c r="CA17" i="11" s="1"/>
  <c r="CB17" i="11" s="1"/>
  <c r="AT118" i="8" a="1"/>
  <c r="AT118" i="8" s="1"/>
  <c r="CA7" i="11" s="1"/>
  <c r="CB7" i="11" s="1"/>
  <c r="GE121" i="14" a="1"/>
  <c r="GE121" i="14" s="1"/>
  <c r="DU143" i="14" a="1"/>
  <c r="DU143" i="14" s="1"/>
  <c r="EZ199" i="14" a="1"/>
  <c r="EZ199" i="14" s="1"/>
  <c r="DU167" i="14" a="1"/>
  <c r="DU167" i="14" s="1"/>
  <c r="HK167" i="14" a="1"/>
  <c r="HK167" i="14" s="1"/>
  <c r="AD221" i="17" a="1"/>
  <c r="AD221" i="17" s="1"/>
  <c r="BI221" i="17" a="1"/>
  <c r="BI221" i="17" s="1"/>
  <c r="CO165" i="17" a="1"/>
  <c r="CO165" i="17" s="1"/>
  <c r="AT126" i="8" a="1"/>
  <c r="AT126" i="8" s="1"/>
  <c r="CA15" i="11" s="1"/>
  <c r="CB15" i="11" s="1"/>
  <c r="HK129" i="14" a="1"/>
  <c r="HK129" i="14" s="1"/>
  <c r="BI127" i="17" a="1"/>
  <c r="BI127" i="17" s="1"/>
  <c r="BI183" i="17" a="1"/>
  <c r="BI183" i="17" s="1"/>
  <c r="AT146" i="8" a="1"/>
  <c r="AT146" i="8" s="1"/>
  <c r="CA35" i="11" s="1"/>
  <c r="CB35" i="11" s="1"/>
  <c r="GE205" i="14" a="1"/>
  <c r="GE205" i="14" s="1"/>
  <c r="CO147" i="17" a="1"/>
  <c r="CO147" i="17" s="1"/>
  <c r="CO153" i="17" a="1"/>
  <c r="CO153" i="17" s="1"/>
  <c r="DU146" i="14" a="1"/>
  <c r="DU146" i="14" s="1"/>
  <c r="CP186" i="14" a="1"/>
  <c r="CP186" i="14" s="1"/>
  <c r="DU130" i="14" a="1"/>
  <c r="DU130" i="14" s="1"/>
  <c r="GE186" i="14" a="1"/>
  <c r="GE186" i="14" s="1"/>
  <c r="DU193" i="14" a="1"/>
  <c r="DU193" i="14" s="1"/>
  <c r="GE193" i="14" a="1"/>
  <c r="GE193" i="14" s="1"/>
  <c r="DU132" i="14" a="1"/>
  <c r="DU132" i="14" s="1"/>
  <c r="AT163" i="8" a="1"/>
  <c r="AT163" i="8" s="1"/>
  <c r="CA52" i="11" s="1"/>
  <c r="CB52" i="11" s="1"/>
  <c r="DU174" i="14" a="1"/>
  <c r="DU174" i="14" s="1"/>
  <c r="DU154" i="14" a="1"/>
  <c r="DU154" i="14" s="1"/>
  <c r="HK154" i="14" a="1"/>
  <c r="HK154" i="14" s="1"/>
  <c r="DU175" i="14" a="1"/>
  <c r="DU175" i="14" s="1"/>
  <c r="EZ153" i="14" a="1"/>
  <c r="EZ153" i="14" s="1"/>
  <c r="GE153" i="14" a="1"/>
  <c r="GE153" i="14" s="1"/>
  <c r="CO151" i="17" a="1"/>
  <c r="CO151" i="17" s="1"/>
  <c r="AK217" i="6" a="1"/>
  <c r="AK217" i="6" s="1"/>
  <c r="CO163" i="17" a="1"/>
  <c r="CO163" i="17" s="1"/>
  <c r="AT120" i="8" a="1"/>
  <c r="AT120" i="8" s="1"/>
  <c r="CA9" i="11" s="1"/>
  <c r="CB9" i="11" s="1"/>
  <c r="AT142" i="8" a="1"/>
  <c r="AT142" i="8" s="1"/>
  <c r="CA31" i="11" s="1"/>
  <c r="CB31" i="11" s="1"/>
  <c r="GE145" i="14" a="1"/>
  <c r="GE145" i="14" s="1"/>
  <c r="CO143" i="17" a="1"/>
  <c r="CO143" i="17" s="1"/>
  <c r="DU204" i="14" a="1"/>
  <c r="DU204" i="14" s="1"/>
  <c r="DU148" i="14" a="1"/>
  <c r="DU148" i="14" s="1"/>
  <c r="GE148" i="14" a="1"/>
  <c r="GE148" i="14" s="1"/>
  <c r="DU127" i="14" a="1"/>
  <c r="DU127" i="14" s="1"/>
  <c r="DU183" i="14" a="1"/>
  <c r="DU183" i="14" s="1"/>
  <c r="BI125" i="17" a="1"/>
  <c r="BI125" i="17" s="1"/>
  <c r="CO149" i="17" a="1"/>
  <c r="CO149" i="17" s="1"/>
  <c r="AK177" i="6" a="1"/>
  <c r="AK177" i="6" s="1"/>
  <c r="EZ125" i="14" a="1"/>
  <c r="EZ125" i="14" s="1"/>
  <c r="HK125" i="14" a="1"/>
  <c r="HK125" i="14" s="1"/>
  <c r="BI194" i="17" a="1"/>
  <c r="BI194" i="17" s="1"/>
  <c r="GE173" i="14" a="1"/>
  <c r="GE173" i="14" s="1"/>
  <c r="CO115" i="17" a="1"/>
  <c r="CO115" i="17" s="1"/>
  <c r="HK164" i="14" a="1"/>
  <c r="HK164" i="14" s="1"/>
  <c r="CO157" i="17" a="1"/>
  <c r="CO157" i="17" s="1"/>
  <c r="HK128" i="14" a="1"/>
  <c r="HK128" i="14" s="1"/>
  <c r="DU141" i="14" a="1"/>
  <c r="DU141" i="14" s="1"/>
  <c r="DU197" i="14" a="1"/>
  <c r="DU197" i="14" s="1"/>
  <c r="CO139" i="17" a="1"/>
  <c r="CO139" i="17" s="1"/>
  <c r="CO161" i="17" a="1"/>
  <c r="CO161" i="17" s="1"/>
  <c r="DU189" i="14" a="1"/>
  <c r="DU189" i="14" s="1"/>
  <c r="CO159" i="17" a="1"/>
  <c r="CO159" i="17" s="1"/>
  <c r="DU216" i="14" a="1"/>
  <c r="DU216" i="14" s="1"/>
  <c r="DU160" i="14" a="1"/>
  <c r="DU160" i="14" s="1"/>
  <c r="DU139" i="14" a="1"/>
  <c r="DU139" i="14" s="1"/>
  <c r="BI193" i="17" a="1"/>
  <c r="BI193" i="17" s="1"/>
  <c r="AT154" i="8" a="1"/>
  <c r="AT154" i="8" s="1"/>
  <c r="CA43" i="11" s="1"/>
  <c r="CB43" i="11" s="1"/>
  <c r="AK209" i="6" a="1"/>
  <c r="AK209" i="6" s="1"/>
  <c r="GE213" i="14" a="1"/>
  <c r="GE213" i="14" s="1"/>
  <c r="BI155" i="17" a="1"/>
  <c r="BI155" i="17" s="1"/>
  <c r="GE122" i="14" a="1"/>
  <c r="GE122" i="14" s="1"/>
  <c r="CO120" i="17" a="1"/>
  <c r="CO120" i="17" s="1"/>
  <c r="AK172" i="6" a="1"/>
  <c r="AK172" i="6" s="1"/>
  <c r="GE176" i="14" a="1"/>
  <c r="GE176" i="14" s="1"/>
  <c r="CO118" i="17" a="1"/>
  <c r="CO118" i="17" s="1"/>
  <c r="AT132" i="8" a="1"/>
  <c r="AT132" i="8" s="1"/>
  <c r="CA21" i="11" s="1"/>
  <c r="CB21" i="11" s="1"/>
  <c r="BI189" i="17" a="1"/>
  <c r="BI189" i="17" s="1"/>
  <c r="EZ208" i="14" a="1"/>
  <c r="EZ208" i="14" s="1"/>
  <c r="BI206" i="17" a="1"/>
  <c r="BI206" i="17" s="1"/>
  <c r="GE198" i="14" a="1"/>
  <c r="GE198" i="14" s="1"/>
  <c r="BI196" i="17" a="1"/>
  <c r="BI196" i="17" s="1"/>
  <c r="GE203" i="14" a="1"/>
  <c r="GE203" i="14" s="1"/>
  <c r="GE147" i="14" a="1"/>
  <c r="GE147" i="14" s="1"/>
  <c r="BI201" i="17" a="1"/>
  <c r="BI201" i="17" s="1"/>
  <c r="AK183" i="6" a="1"/>
  <c r="AK183" i="6" s="1"/>
  <c r="HK131" i="14" a="1"/>
  <c r="HK131" i="14" s="1"/>
  <c r="DU177" i="14" a="1"/>
  <c r="DU177" i="14" s="1"/>
  <c r="HK121" i="14" a="1"/>
  <c r="HK121" i="14" s="1"/>
  <c r="BI119" i="17" a="1"/>
  <c r="BI119" i="17" s="1"/>
  <c r="AT140" i="8" a="1"/>
  <c r="AT140" i="8" s="1"/>
  <c r="CA29" i="11" s="1"/>
  <c r="CB29" i="11" s="1"/>
  <c r="AT164" i="8" a="1"/>
  <c r="AT164" i="8" s="1"/>
  <c r="CA53" i="11" s="1"/>
  <c r="AK219" i="6" a="1"/>
  <c r="AK219" i="6" s="1"/>
  <c r="EZ205" i="14" a="1"/>
  <c r="EZ205" i="14" s="1"/>
  <c r="AK198" i="6" a="1"/>
  <c r="AK198" i="6" s="1"/>
  <c r="BI144" i="17" a="1"/>
  <c r="BI144" i="17" s="1"/>
  <c r="HK130" i="14" a="1"/>
  <c r="HK130" i="14" s="1"/>
  <c r="AT134" i="8" a="1"/>
  <c r="AT134" i="8" s="1"/>
  <c r="CA23" i="11" s="1"/>
  <c r="CB23" i="11" s="1"/>
  <c r="GE188" i="14" a="1"/>
  <c r="GE188" i="14" s="1"/>
  <c r="DU166" i="14" a="1"/>
  <c r="DU166" i="14" s="1"/>
  <c r="EZ166" i="14" a="1"/>
  <c r="EZ166" i="14" s="1"/>
  <c r="AT123" i="8" a="1"/>
  <c r="AT123" i="8" s="1"/>
  <c r="CA12" i="11" s="1"/>
  <c r="CB12" i="11" s="1"/>
  <c r="EZ182" i="14" a="1"/>
  <c r="EZ182" i="14" s="1"/>
  <c r="GE182" i="14" a="1"/>
  <c r="GE182" i="14" s="1"/>
  <c r="BI173" i="17" a="1"/>
  <c r="BI173" i="17" s="1"/>
  <c r="AT150" i="8" a="1"/>
  <c r="AT150" i="8" s="1"/>
  <c r="CA39" i="11" s="1"/>
  <c r="CB39" i="11" s="1"/>
  <c r="AK205" i="6" a="1"/>
  <c r="AK205" i="6" s="1"/>
  <c r="GE209" i="14" a="1"/>
  <c r="GE209" i="14" s="1"/>
  <c r="HK153" i="14" a="1"/>
  <c r="HK153" i="14" s="1"/>
  <c r="AK210" i="6" a="1"/>
  <c r="AK210" i="6" s="1"/>
  <c r="DU158" i="14" a="1"/>
  <c r="DU158" i="14" s="1"/>
  <c r="AK175" i="6" a="1"/>
  <c r="AK175" i="6" s="1"/>
  <c r="GE123" i="14" a="1"/>
  <c r="GE123" i="14" s="1"/>
  <c r="DU180" i="14" a="1"/>
  <c r="DU180" i="14" s="1"/>
  <c r="EZ180" i="14" a="1"/>
  <c r="EZ180" i="14" s="1"/>
  <c r="GE180" i="14" a="1"/>
  <c r="GE180" i="14" s="1"/>
  <c r="HK145" i="14" a="1"/>
  <c r="HK145" i="14" s="1"/>
  <c r="EZ148" i="14" a="1"/>
  <c r="EZ148" i="14" s="1"/>
  <c r="AT124" i="8" a="1"/>
  <c r="AT124" i="8" s="1"/>
  <c r="CA13" i="11" s="1"/>
  <c r="CB13" i="11" s="1"/>
  <c r="AK179" i="6" a="1"/>
  <c r="AK179" i="6" s="1"/>
  <c r="AU13" i="11"/>
  <c r="AT131" i="8" a="1"/>
  <c r="AT131" i="8" s="1"/>
  <c r="CA20" i="11" s="1"/>
  <c r="CB20" i="11" s="1"/>
  <c r="DU190" i="14" a="1"/>
  <c r="DU190" i="14" s="1"/>
  <c r="AT148" i="8" a="1"/>
  <c r="AT148" i="8" s="1"/>
  <c r="CA37" i="11" s="1"/>
  <c r="CB37" i="11" s="1"/>
  <c r="AT122" i="8" a="1"/>
  <c r="AT122" i="8" s="1"/>
  <c r="CA11" i="11" s="1"/>
  <c r="CB11" i="11" s="1"/>
  <c r="DU125" i="14" a="1"/>
  <c r="DU125" i="14" s="1"/>
  <c r="CP196" i="14" a="1"/>
  <c r="CP196" i="14" s="1"/>
  <c r="GE196" i="14" a="1"/>
  <c r="GE196" i="14" s="1"/>
  <c r="DU150" i="14" a="1"/>
  <c r="DU150" i="14" s="1"/>
  <c r="EZ150" i="14" a="1"/>
  <c r="EZ150" i="14" s="1"/>
  <c r="GE206" i="14" a="1"/>
  <c r="GE206" i="14" s="1"/>
  <c r="BI148" i="17" a="1"/>
  <c r="BI148" i="17" s="1"/>
  <c r="DU173" i="14" a="1"/>
  <c r="DU173" i="14" s="1"/>
  <c r="DU164" i="14" a="1"/>
  <c r="DU164" i="14" s="1"/>
  <c r="AT133" i="8" a="1"/>
  <c r="AT133" i="8" s="1"/>
  <c r="CA22" i="11" s="1"/>
  <c r="CB22" i="11" s="1"/>
  <c r="AK188" i="6" a="1"/>
  <c r="AK188" i="6" s="1"/>
  <c r="DU136" i="14" a="1"/>
  <c r="DU136" i="14" s="1"/>
  <c r="DU138" i="14" a="1"/>
  <c r="DU138" i="14" s="1"/>
  <c r="AT156" i="8" a="1"/>
  <c r="AT156" i="8" s="1"/>
  <c r="CA45" i="11" s="1"/>
  <c r="CB45" i="11" s="1"/>
  <c r="BI157" i="17" a="1"/>
  <c r="BI157" i="17" s="1"/>
  <c r="AK180" i="6" a="1"/>
  <c r="AK180" i="6" s="1"/>
  <c r="EZ128" i="14" a="1"/>
  <c r="EZ128" i="14" s="1"/>
  <c r="AK193" i="6" a="1"/>
  <c r="AK193" i="6" s="1"/>
  <c r="EZ141" i="14" a="1"/>
  <c r="EZ141" i="14" s="1"/>
  <c r="GE197" i="14" a="1"/>
  <c r="GE197" i="14" s="1"/>
  <c r="EZ197" i="14" a="1"/>
  <c r="EZ197" i="14" s="1"/>
  <c r="BI139" i="17" a="1"/>
  <c r="BI139" i="17" s="1"/>
  <c r="HK163" i="14" a="1"/>
  <c r="HK163" i="14" s="1"/>
  <c r="AK185" i="6" a="1"/>
  <c r="AK185" i="6" s="1"/>
  <c r="AT141" i="8" a="1"/>
  <c r="AT141" i="8" s="1"/>
  <c r="CA30" i="11" s="1"/>
  <c r="CB30" i="11" s="1"/>
  <c r="AK196" i="6" a="1"/>
  <c r="AK196" i="6" s="1"/>
  <c r="BI142" i="17" a="1"/>
  <c r="BI142" i="17" s="1"/>
  <c r="EZ161" i="14" a="1"/>
  <c r="EZ161" i="14" s="1"/>
  <c r="AT153" i="8" a="1"/>
  <c r="AT153" i="8" s="1"/>
  <c r="CA42" i="11" s="1"/>
  <c r="CB42" i="11" s="1"/>
  <c r="DU212" i="14" a="1"/>
  <c r="DU212" i="14" s="1"/>
  <c r="DU156" i="14" a="1"/>
  <c r="DU156" i="14" s="1"/>
  <c r="GE218" i="14" a="1"/>
  <c r="GE218" i="14" s="1"/>
  <c r="DU195" i="14" a="1"/>
  <c r="DU195" i="14" s="1"/>
  <c r="AK204" i="6" a="1"/>
  <c r="AK204" i="6" s="1"/>
  <c r="GE152" i="14" a="1"/>
  <c r="GE152" i="14" s="1"/>
  <c r="CO150" i="17" a="1"/>
  <c r="CO150" i="17" s="1"/>
  <c r="CO140" i="17" a="1"/>
  <c r="CO140" i="17" s="1"/>
  <c r="EZ131" i="14" a="1"/>
  <c r="EZ131" i="14" s="1"/>
  <c r="BI129" i="17" a="1"/>
  <c r="BI129" i="17" s="1"/>
  <c r="EZ177" i="14" a="1"/>
  <c r="EZ177" i="14" s="1"/>
  <c r="AK195" i="6" a="1"/>
  <c r="AK195" i="6" s="1"/>
  <c r="DU199" i="14" a="1"/>
  <c r="DU199" i="14" s="1"/>
  <c r="EZ167" i="14" a="1"/>
  <c r="EZ167" i="14" s="1"/>
  <c r="DU185" i="14" a="1"/>
  <c r="DU185" i="14" s="1"/>
  <c r="GE129" i="14" a="1"/>
  <c r="GE129" i="14" s="1"/>
  <c r="AK201" i="6" a="1"/>
  <c r="AK201" i="6" s="1"/>
  <c r="GE211" i="14" a="1"/>
  <c r="GE211" i="14" s="1"/>
  <c r="HK155" i="14" a="1"/>
  <c r="HK155" i="14" s="1"/>
  <c r="GE155" i="14" a="1"/>
  <c r="GE155" i="14" s="1"/>
  <c r="EZ202" i="14" a="1"/>
  <c r="EZ202" i="14" s="1"/>
  <c r="GE146" i="14" a="1"/>
  <c r="GE146" i="14" s="1"/>
  <c r="BI200" i="17" a="1"/>
  <c r="BI200" i="17" s="1"/>
  <c r="CO128" i="17" a="1"/>
  <c r="CO128" i="17" s="1"/>
  <c r="EZ137" i="14" a="1"/>
  <c r="EZ137" i="14" s="1"/>
  <c r="BI135" i="17" a="1"/>
  <c r="BI135" i="17" s="1"/>
  <c r="AT129" i="8" a="1"/>
  <c r="AT129" i="8" s="1"/>
  <c r="CA18" i="11" s="1"/>
  <c r="CB18" i="11" s="1"/>
  <c r="CO130" i="17" a="1"/>
  <c r="CO130" i="17" s="1"/>
  <c r="AK218" i="6" a="1"/>
  <c r="AK218" i="6" s="1"/>
  <c r="AT115" i="8" a="1"/>
  <c r="AT115" i="8" s="1"/>
  <c r="CA4" i="11" s="1"/>
  <c r="CB4" i="11" s="1"/>
  <c r="AK170" i="6" a="1"/>
  <c r="AK170" i="6" s="1"/>
  <c r="BK4" i="11" s="1"/>
  <c r="BB4" i="11"/>
  <c r="GE174" i="14" a="1"/>
  <c r="GE174" i="14" s="1"/>
  <c r="CO116" i="17" a="1"/>
  <c r="CO116" i="17" s="1"/>
  <c r="DU126" i="14" a="1"/>
  <c r="DU126" i="14" s="1"/>
  <c r="HK126" i="14" a="1"/>
  <c r="HK126" i="14" s="1"/>
  <c r="BI124" i="17" a="1"/>
  <c r="BI124" i="17" s="1"/>
  <c r="CO124" i="17" a="1"/>
  <c r="CO124" i="17" s="1"/>
  <c r="EZ210" i="14" a="1"/>
  <c r="EZ210" i="14" s="1"/>
  <c r="AK171" i="6" a="1"/>
  <c r="AK171" i="6" s="1"/>
  <c r="EZ119" i="14" a="1"/>
  <c r="EZ119" i="14" s="1"/>
  <c r="BI117" i="17" a="1"/>
  <c r="BI117" i="17" s="1"/>
  <c r="EZ209" i="14" a="1"/>
  <c r="EZ209" i="14" s="1"/>
  <c r="AT162" i="8" a="1"/>
  <c r="AT162" i="8" s="1"/>
  <c r="CA51" i="11" s="1"/>
  <c r="CB51" i="11" s="1"/>
  <c r="EZ123" i="14" a="1"/>
  <c r="EZ123" i="14" s="1"/>
  <c r="HK123" i="14" a="1"/>
  <c r="HK123" i="14" s="1"/>
  <c r="AK176" i="6" a="1"/>
  <c r="AK176" i="6" s="1"/>
  <c r="CO122" i="17" a="1"/>
  <c r="CO122" i="17" s="1"/>
  <c r="BI202" i="17" a="1"/>
  <c r="BI202" i="17" s="1"/>
  <c r="EZ134" i="14" a="1"/>
  <c r="EZ134" i="14" s="1"/>
  <c r="EZ190" i="14" a="1"/>
  <c r="EZ190" i="14" s="1"/>
  <c r="CO132" i="17" a="1"/>
  <c r="CO132" i="17" s="1"/>
  <c r="GE151" i="14" a="1"/>
  <c r="GE151" i="14" s="1"/>
  <c r="EZ181" i="14" a="1"/>
  <c r="EZ181" i="14" s="1"/>
  <c r="BI123" i="17" a="1"/>
  <c r="BI123" i="17" s="1"/>
  <c r="AT137" i="8" a="1"/>
  <c r="AT137" i="8" s="1"/>
  <c r="CA26" i="11" s="1"/>
  <c r="CB26" i="11" s="1"/>
  <c r="DU196" i="14" a="1"/>
  <c r="DU196" i="14" s="1"/>
  <c r="EZ140" i="14" a="1"/>
  <c r="EZ140" i="14" s="1"/>
  <c r="AT147" i="8" a="1"/>
  <c r="AT147" i="8" s="1"/>
  <c r="CA36" i="11" s="1"/>
  <c r="CB36" i="11" s="1"/>
  <c r="AK202" i="6" a="1"/>
  <c r="AK202" i="6" s="1"/>
  <c r="HK150" i="14" a="1"/>
  <c r="HK150" i="14" s="1"/>
  <c r="BI204" i="17" a="1"/>
  <c r="BI204" i="17" s="1"/>
  <c r="HK117" i="14" a="1"/>
  <c r="HK117" i="14" s="1"/>
  <c r="GE117" i="14" a="1"/>
  <c r="GE117" i="14" s="1"/>
  <c r="AK216" i="6" a="1"/>
  <c r="AK216" i="6" s="1"/>
  <c r="EZ164" i="14" a="1"/>
  <c r="EZ164" i="14" s="1"/>
  <c r="CO134" i="17" a="1"/>
  <c r="CO134" i="17" s="1"/>
  <c r="AK190" i="6" a="1"/>
  <c r="AK190" i="6" s="1"/>
  <c r="CO136" i="17" a="1"/>
  <c r="CO136" i="17" s="1"/>
  <c r="HK159" i="14" a="1"/>
  <c r="HK159" i="14" s="1"/>
  <c r="AT125" i="8" a="1"/>
  <c r="AT125" i="8" s="1"/>
  <c r="CA14" i="11" s="1"/>
  <c r="CB14" i="11" s="1"/>
  <c r="BI126" i="17" a="1"/>
  <c r="BI126" i="17" s="1"/>
  <c r="CO126" i="17" a="1"/>
  <c r="CO126" i="17" s="1"/>
  <c r="AT138" i="8" a="1"/>
  <c r="AT138" i="8" s="1"/>
  <c r="CA27" i="11" s="1"/>
  <c r="CB27" i="11" s="1"/>
  <c r="AT160" i="8" a="1"/>
  <c r="AT160" i="8" s="1"/>
  <c r="CA49" i="11" s="1"/>
  <c r="CB49" i="11" s="1"/>
  <c r="GE219" i="14" a="1"/>
  <c r="GE219" i="14" s="1"/>
  <c r="AT130" i="8" a="1"/>
  <c r="AT130" i="8" s="1"/>
  <c r="CA19" i="11" s="1"/>
  <c r="CB19" i="11" s="1"/>
  <c r="EZ133" i="14" a="1"/>
  <c r="EZ133" i="14" s="1"/>
  <c r="HK133" i="14" a="1"/>
  <c r="HK133" i="14" s="1"/>
  <c r="EZ200" i="14" a="1"/>
  <c r="EZ200" i="14" s="1"/>
  <c r="GE200" i="14" a="1"/>
  <c r="GE200" i="14" s="1"/>
  <c r="GE144" i="14" a="1"/>
  <c r="GE144" i="14" s="1"/>
  <c r="BI198" i="17" a="1"/>
  <c r="BI198" i="17" s="1"/>
  <c r="AT158" i="8" a="1"/>
  <c r="AT158" i="8" s="1"/>
  <c r="CA47" i="11" s="1"/>
  <c r="CB47" i="11" s="1"/>
  <c r="GE217" i="14" a="1"/>
  <c r="GE217" i="14" s="1"/>
  <c r="BI159" i="17" a="1"/>
  <c r="BI159" i="17" s="1"/>
  <c r="AK208" i="6" a="1"/>
  <c r="AK208" i="6" s="1"/>
  <c r="EZ156" i="14" a="1"/>
  <c r="EZ156" i="14" s="1"/>
  <c r="GE156" i="14" a="1"/>
  <c r="GE156" i="14" s="1"/>
  <c r="EZ216" i="14" a="1"/>
  <c r="EZ216" i="14" s="1"/>
  <c r="EZ160" i="14" a="1"/>
  <c r="EZ160" i="14" s="1"/>
  <c r="AK214" i="6" a="1"/>
  <c r="AK214" i="6" s="1"/>
  <c r="EZ162" i="14" a="1"/>
  <c r="EZ162" i="14" s="1"/>
  <c r="AK173" i="6" a="1"/>
  <c r="AK173" i="6" s="1"/>
  <c r="AK191" i="6" a="1"/>
  <c r="AK191" i="6" s="1"/>
  <c r="DU157" i="14" a="1"/>
  <c r="DU157" i="14" s="1"/>
  <c r="DU213" i="14" a="1"/>
  <c r="DU213" i="14" s="1"/>
  <c r="EZ213" i="14" a="1"/>
  <c r="EZ213" i="14" s="1"/>
  <c r="GE178" i="14" a="1"/>
  <c r="GE178" i="14" s="1"/>
  <c r="BI120" i="17" a="1"/>
  <c r="BI120" i="17" s="1"/>
  <c r="BI176" i="17" a="1"/>
  <c r="BI176" i="17" s="1"/>
  <c r="GE120" i="14" a="1"/>
  <c r="GE120" i="14" s="1"/>
  <c r="BI174" i="17" a="1"/>
  <c r="BI174" i="17" s="1"/>
  <c r="GE208" i="14" a="1"/>
  <c r="GE208" i="14" s="1"/>
  <c r="BI150" i="17" a="1"/>
  <c r="BI150" i="17" s="1"/>
  <c r="DU198" i="14" a="1"/>
  <c r="DU198" i="14" s="1"/>
  <c r="AK199" i="6" a="1"/>
  <c r="AK199" i="6" s="1"/>
  <c r="HK147" i="14" a="1"/>
  <c r="HK147" i="14" s="1"/>
  <c r="DU187" i="14" a="1"/>
  <c r="DU187" i="14" s="1"/>
  <c r="GE131" i="14" a="1"/>
  <c r="GE131" i="14" s="1"/>
  <c r="EZ143" i="14" a="1"/>
  <c r="EZ143" i="14" s="1"/>
  <c r="BI197" i="17" a="1"/>
  <c r="BI197" i="17" s="1"/>
  <c r="GE223" i="14" a="1"/>
  <c r="GE223" i="14" s="1"/>
  <c r="EZ129" i="14" a="1"/>
  <c r="EZ129" i="14" s="1"/>
  <c r="EZ185" i="14" a="1"/>
  <c r="EZ185" i="14" s="1"/>
  <c r="HK149" i="14" a="1"/>
  <c r="HK149" i="14" s="1"/>
  <c r="AT152" i="8" a="1"/>
  <c r="AT152" i="8" s="1"/>
  <c r="CA41" i="11" s="1"/>
  <c r="CB41" i="11" s="1"/>
  <c r="BI153" i="17" a="1"/>
  <c r="BI153" i="17" s="1"/>
  <c r="CO144" i="17" a="1"/>
  <c r="CO144" i="17" s="1"/>
  <c r="EZ130" i="14" a="1"/>
  <c r="EZ130" i="14" s="1"/>
  <c r="BI128" i="17" a="1"/>
  <c r="BI128" i="17" s="1"/>
  <c r="DU137" i="14" a="1"/>
  <c r="DU137" i="14" s="1"/>
  <c r="BI191" i="17" a="1"/>
  <c r="BI191" i="17" s="1"/>
  <c r="GE222" i="14" a="1"/>
  <c r="GE222" i="14" s="1"/>
  <c r="GE166" i="14" a="1"/>
  <c r="GE166" i="14" s="1"/>
  <c r="HK166" i="14" a="1"/>
  <c r="HK166" i="14" s="1"/>
  <c r="CO164" i="17" a="1"/>
  <c r="CO164" i="17" s="1"/>
  <c r="EZ118" i="14" a="1"/>
  <c r="EZ118" i="14" s="1"/>
  <c r="GE118" i="14" a="1"/>
  <c r="GE118" i="14" s="1"/>
  <c r="AK178" i="6" a="1"/>
  <c r="AK178" i="6" s="1"/>
  <c r="DU182" i="14" a="1"/>
  <c r="DU182" i="14" s="1"/>
  <c r="AK206" i="6" a="1"/>
  <c r="AK206" i="6" s="1"/>
  <c r="CO152" i="17" a="1"/>
  <c r="CO152" i="17" s="1"/>
  <c r="HK119" i="14" a="1"/>
  <c r="HK119" i="14" s="1"/>
  <c r="EZ175" i="14" a="1"/>
  <c r="EZ175" i="14" s="1"/>
  <c r="BI151" i="17" a="1"/>
  <c r="BI151" i="17" s="1"/>
  <c r="GE221" i="14" a="1"/>
  <c r="GE221" i="14" s="1"/>
  <c r="HK165" i="14" a="1"/>
  <c r="HK165" i="14" s="1"/>
  <c r="AT155" i="8" a="1"/>
  <c r="AT155" i="8" s="1"/>
  <c r="CA44" i="11" s="1"/>
  <c r="CB44" i="11" s="1"/>
  <c r="EZ214" i="14" a="1"/>
  <c r="EZ214" i="14" s="1"/>
  <c r="CO156" i="17" a="1"/>
  <c r="CO156" i="17" s="1"/>
  <c r="DU179" i="14" a="1"/>
  <c r="DU179" i="14" s="1"/>
  <c r="BI121" i="17" a="1"/>
  <c r="BI121" i="17" s="1"/>
  <c r="BI122" i="17" a="1"/>
  <c r="BI122" i="17" s="1"/>
  <c r="DU145" i="14" a="1"/>
  <c r="DU145" i="14" s="1"/>
  <c r="DU201" i="14" a="1"/>
  <c r="DU201" i="14" s="1"/>
  <c r="EZ145" i="14" a="1"/>
  <c r="EZ145" i="14" s="1"/>
  <c r="AK200" i="6" a="1"/>
  <c r="AK200" i="6" s="1"/>
  <c r="EZ204" i="14" a="1"/>
  <c r="EZ204" i="14" s="1"/>
  <c r="HK148" i="14" a="1"/>
  <c r="HK148" i="14" s="1"/>
  <c r="BI146" i="17" a="1"/>
  <c r="BI146" i="17" s="1"/>
  <c r="CO146" i="17" a="1"/>
  <c r="CO146" i="17" s="1"/>
  <c r="HK127" i="14" a="1"/>
  <c r="HK127" i="14" s="1"/>
  <c r="HK134" i="14" a="1"/>
  <c r="HK134" i="14" s="1"/>
  <c r="AK203" i="6" a="1"/>
  <c r="AK203" i="6" s="1"/>
  <c r="EZ207" i="14" a="1"/>
  <c r="EZ207" i="14" s="1"/>
  <c r="GE207" i="14" a="1"/>
  <c r="GE207" i="14" s="1"/>
  <c r="DU140" i="14" a="1"/>
  <c r="DU140" i="14" s="1"/>
  <c r="CO138" i="17" a="1"/>
  <c r="CO138" i="17" s="1"/>
  <c r="GE150" i="14" a="1"/>
  <c r="GE150" i="14" s="1"/>
  <c r="CO148" i="17" a="1"/>
  <c r="CO148" i="17" s="1"/>
  <c r="EZ117" i="14" a="1"/>
  <c r="EZ117" i="14" s="1"/>
  <c r="AT161" i="8" a="1"/>
  <c r="AT161" i="8" s="1"/>
  <c r="CA50" i="11" s="1"/>
  <c r="CB50" i="11" s="1"/>
  <c r="EZ220" i="14" a="1"/>
  <c r="EZ220" i="14" s="1"/>
  <c r="GE164" i="14" a="1"/>
  <c r="GE164" i="14" s="1"/>
  <c r="BI218" i="17" a="1"/>
  <c r="BI218" i="17" s="1"/>
  <c r="CO162" i="17" a="1"/>
  <c r="CO162" i="17" s="1"/>
  <c r="EZ136" i="14" a="1"/>
  <c r="EZ136" i="14" s="1"/>
  <c r="EZ192" i="14" a="1"/>
  <c r="EZ192" i="14" s="1"/>
  <c r="GE215" i="14" a="1"/>
  <c r="GE215" i="14" s="1"/>
  <c r="GE159" i="14" a="1"/>
  <c r="GE159" i="14" s="1"/>
  <c r="EZ184" i="14" a="1"/>
  <c r="EZ184" i="14" s="1"/>
  <c r="GE128" i="14" a="1"/>
  <c r="GE128" i="14" s="1"/>
  <c r="HK141" i="14" a="1"/>
  <c r="HK141" i="14" s="1"/>
  <c r="EZ219" i="14" a="1"/>
  <c r="EZ219" i="14" s="1"/>
  <c r="BI161" i="17" a="1"/>
  <c r="BI161" i="17" s="1"/>
  <c r="DU133" i="14" a="1"/>
  <c r="DU133" i="14" s="1"/>
  <c r="BI131" i="17" a="1"/>
  <c r="BI131" i="17" s="1"/>
  <c r="HK144" i="14" a="1"/>
  <c r="HK144" i="14" s="1"/>
  <c r="CO142" i="17" a="1"/>
  <c r="CO142" i="17" s="1"/>
  <c r="DU161" i="14" a="1"/>
  <c r="DU161" i="14" s="1"/>
  <c r="HK161" i="14" a="1"/>
  <c r="HK161" i="14" s="1"/>
  <c r="EZ212" i="14" a="1"/>
  <c r="EZ212" i="14" s="1"/>
  <c r="GE212" i="14" a="1"/>
  <c r="GE212" i="14" s="1"/>
  <c r="CO154" i="17" a="1"/>
  <c r="CO154" i="17" s="1"/>
  <c r="GE216" i="14" a="1"/>
  <c r="GE216" i="14" s="1"/>
  <c r="GE160" i="14" a="1"/>
  <c r="GE160" i="14" s="1"/>
  <c r="CO158" i="17" a="1"/>
  <c r="CO158" i="17" s="1"/>
  <c r="CO160" i="17" a="1"/>
  <c r="CO160" i="17" s="1"/>
  <c r="AK258" i="6" a="1"/>
  <c r="AK258" i="6" s="1"/>
  <c r="CP223" i="14" a="1"/>
  <c r="CP223" i="14" s="1"/>
  <c r="CP167" i="14" a="1"/>
  <c r="CP167" i="14" s="1"/>
  <c r="BC167" i="14" a="1"/>
  <c r="BC167" i="14" s="1"/>
  <c r="CP201" i="14" a="1"/>
  <c r="CP201" i="14" s="1"/>
  <c r="AK239" i="6" a="1"/>
  <c r="AK239" i="6" s="1"/>
  <c r="CP187" i="14" a="1"/>
  <c r="CP187" i="14" s="1"/>
  <c r="AK237" i="6" a="1"/>
  <c r="AK237" i="6" s="1"/>
  <c r="AK235" i="6" a="1"/>
  <c r="AK235" i="6" s="1"/>
  <c r="AK252" i="6" a="1"/>
  <c r="AK252" i="6" s="1"/>
  <c r="AK272" i="6" a="1"/>
  <c r="AK272" i="6" s="1"/>
  <c r="AK251" i="6" a="1"/>
  <c r="AK251" i="6" s="1"/>
  <c r="AK241" i="6" a="1"/>
  <c r="AK241" i="6" s="1"/>
  <c r="AK263" i="6" a="1"/>
  <c r="AK263" i="6" s="1"/>
  <c r="AK274" i="6" a="1"/>
  <c r="AK274" i="6" s="1"/>
  <c r="AK262" i="6" a="1"/>
  <c r="AK262" i="6" s="1"/>
  <c r="AK243" i="6" a="1"/>
  <c r="AK243" i="6" s="1"/>
  <c r="O65" i="2"/>
  <c r="AK238" i="6" a="1"/>
  <c r="AK238" i="6" s="1"/>
  <c r="AK244" i="6" a="1"/>
  <c r="AK244" i="6" s="1"/>
  <c r="AK240" i="6" a="1"/>
  <c r="AK240" i="6" s="1"/>
  <c r="AK266" i="6" a="1"/>
  <c r="AK266" i="6" s="1"/>
  <c r="AK256" i="6" a="1"/>
  <c r="AK256" i="6" s="1"/>
  <c r="AK236" i="6" a="1"/>
  <c r="AK236" i="6" s="1"/>
  <c r="AK270" i="6" a="1"/>
  <c r="AK270" i="6" s="1"/>
  <c r="AK250" i="6" a="1"/>
  <c r="AK250" i="6" s="1"/>
  <c r="AK257" i="6" a="1"/>
  <c r="AK257" i="6" s="1"/>
  <c r="AK271" i="6" a="1"/>
  <c r="AK271" i="6" s="1"/>
  <c r="AK265" i="6" a="1"/>
  <c r="AK265" i="6" s="1"/>
  <c r="AK232" i="6" a="1"/>
  <c r="AK232" i="6" s="1"/>
  <c r="O108" i="2"/>
  <c r="AK253" i="6" a="1"/>
  <c r="AK253" i="6" s="1"/>
  <c r="AK254" i="6" a="1"/>
  <c r="AK254" i="6" s="1"/>
  <c r="AK249" i="6" a="1"/>
  <c r="AK249" i="6" s="1"/>
  <c r="AK269" i="6" a="1"/>
  <c r="AK269" i="6" s="1"/>
  <c r="AK247" i="6" a="1"/>
  <c r="AK247" i="6" s="1"/>
  <c r="AK259" i="6" a="1"/>
  <c r="AK259" i="6" s="1"/>
  <c r="AK268" i="6" a="1"/>
  <c r="AK268" i="6" s="1"/>
  <c r="AK264" i="6" a="1"/>
  <c r="AK264" i="6" s="1"/>
  <c r="AK267" i="6" a="1"/>
  <c r="AK267" i="6" s="1"/>
  <c r="AK246" i="6" a="1"/>
  <c r="AK246" i="6" s="1"/>
  <c r="AK233" i="6" a="1"/>
  <c r="AK233" i="6" s="1"/>
  <c r="AK255" i="6" a="1"/>
  <c r="AK255" i="6" s="1"/>
  <c r="AK245" i="6" a="1"/>
  <c r="AK245" i="6" s="1"/>
  <c r="CP203" i="14" a="1"/>
  <c r="CP203" i="14" s="1"/>
  <c r="BC187" i="14" a="1"/>
  <c r="BC187" i="14" s="1"/>
  <c r="AK261" i="6" a="1"/>
  <c r="AK261" i="6" s="1"/>
  <c r="AK273" i="6" a="1"/>
  <c r="AK273" i="6" s="1"/>
  <c r="AK260" i="6" a="1"/>
  <c r="AK260" i="6" s="1"/>
  <c r="AK248" i="6" a="1"/>
  <c r="AK248" i="6" s="1"/>
  <c r="AK242" i="6" a="1"/>
  <c r="AK242" i="6" s="1"/>
  <c r="O94" i="2"/>
  <c r="AK234" i="6" a="1"/>
  <c r="AK234" i="6" s="1"/>
  <c r="AQ13" i="11" s="1"/>
  <c r="AR13" i="11" s="1"/>
  <c r="BC185" i="14" a="1"/>
  <c r="BC185" i="14" s="1"/>
  <c r="BC217" i="14" a="1"/>
  <c r="BC217" i="14" s="1"/>
  <c r="BC212" i="14" a="1"/>
  <c r="BC212" i="14" s="1"/>
  <c r="CP199" i="14" a="1"/>
  <c r="CP199" i="14" s="1"/>
  <c r="BC201" i="14" a="1"/>
  <c r="BC201" i="14" s="1"/>
  <c r="BC189" i="14" a="1"/>
  <c r="BC189" i="14" s="1"/>
  <c r="BC184" i="14" a="1"/>
  <c r="BC184" i="14" s="1"/>
  <c r="CP215" i="14" a="1"/>
  <c r="CP215" i="14" s="1"/>
  <c r="BC205" i="14" a="1"/>
  <c r="BC205" i="14" s="1"/>
  <c r="BC219" i="14" a="1"/>
  <c r="BC219" i="14" s="1"/>
  <c r="CP192" i="14" a="1"/>
  <c r="CP192" i="14" s="1"/>
  <c r="BC216" i="14" a="1"/>
  <c r="BC216" i="14" s="1"/>
  <c r="BC192" i="14" a="1"/>
  <c r="BC192" i="14" s="1"/>
  <c r="CP218" i="14" a="1"/>
  <c r="CP218" i="14" s="1"/>
  <c r="CP185" i="14" a="1"/>
  <c r="CP185" i="14" s="1"/>
  <c r="CP205" i="14" a="1"/>
  <c r="CP205" i="14" s="1"/>
  <c r="CP184" i="14" a="1"/>
  <c r="CP184" i="14" s="1"/>
  <c r="BC194" i="14" a="1"/>
  <c r="BC194" i="14" s="1"/>
  <c r="CP194" i="14" a="1"/>
  <c r="CP194" i="14" s="1"/>
  <c r="BC215" i="14" a="1"/>
  <c r="BC215" i="14" s="1"/>
  <c r="CP189" i="14" a="1"/>
  <c r="CP189" i="14" s="1"/>
  <c r="BC218" i="14" a="1"/>
  <c r="BC218" i="14" s="1"/>
  <c r="CP220" i="14" a="1"/>
  <c r="CP220" i="14" s="1"/>
  <c r="CP219" i="14" a="1"/>
  <c r="CP219" i="14" s="1"/>
  <c r="BC199" i="14" a="1"/>
  <c r="BC199" i="14" s="1"/>
  <c r="BC197" i="14" a="1"/>
  <c r="BC197" i="14" s="1"/>
  <c r="CP197" i="14" a="1"/>
  <c r="CP197" i="14" s="1"/>
  <c r="CP217" i="14" a="1"/>
  <c r="CP217" i="14" s="1"/>
  <c r="CP212" i="14" a="1"/>
  <c r="CP212" i="14" s="1"/>
  <c r="CP216" i="14" a="1"/>
  <c r="CP216" i="14" s="1"/>
  <c r="BC203" i="14" a="1"/>
  <c r="BC203" i="14" s="1"/>
  <c r="BC223" i="14" a="1"/>
  <c r="BC223" i="14" s="1"/>
  <c r="BC200" i="14" a="1"/>
  <c r="BC200" i="14" s="1"/>
  <c r="BC220" i="14" a="1"/>
  <c r="BC220" i="14" s="1"/>
  <c r="CP200" i="14" a="1"/>
  <c r="CP200" i="14" s="1"/>
  <c r="P219" i="8"/>
  <c r="P110" i="8"/>
  <c r="P499" i="8"/>
  <c r="P443" i="8"/>
  <c r="P331" i="8"/>
  <c r="P554" i="8"/>
  <c r="P387" i="8"/>
  <c r="P274" i="8"/>
  <c r="F219" i="8"/>
  <c r="F110" i="8"/>
  <c r="F387" i="8"/>
  <c r="F331" i="8"/>
  <c r="F554" i="8"/>
  <c r="F443" i="8"/>
  <c r="F499" i="8"/>
  <c r="F274" i="8"/>
  <c r="K219" i="8"/>
  <c r="K110" i="8"/>
  <c r="K443" i="8"/>
  <c r="K554" i="8"/>
  <c r="K331" i="8"/>
  <c r="K499" i="8"/>
  <c r="K387" i="8"/>
  <c r="K274" i="8"/>
  <c r="J219" i="8"/>
  <c r="J110" i="8"/>
  <c r="J554" i="8"/>
  <c r="J331" i="8"/>
  <c r="J387" i="8"/>
  <c r="J499" i="8"/>
  <c r="J443" i="8"/>
  <c r="J274" i="8"/>
  <c r="O219" i="8"/>
  <c r="O110" i="8"/>
  <c r="O443" i="8"/>
  <c r="O331" i="8"/>
  <c r="O499" i="8"/>
  <c r="O387" i="8"/>
  <c r="O554" i="8"/>
  <c r="O274" i="8"/>
  <c r="B219" i="8"/>
  <c r="B110" i="8"/>
  <c r="AB113" i="5" a="1"/>
  <c r="AB113" i="5" s="1"/>
  <c r="B331" i="8"/>
  <c r="B554" i="8"/>
  <c r="B387" i="8"/>
  <c r="B443" i="8"/>
  <c r="B499" i="8"/>
  <c r="B274" i="8"/>
  <c r="H219" i="8"/>
  <c r="H110" i="8"/>
  <c r="H443" i="8"/>
  <c r="H387" i="8"/>
  <c r="H499" i="8"/>
  <c r="H331" i="8"/>
  <c r="H554" i="8"/>
  <c r="H274" i="8"/>
  <c r="I219" i="8"/>
  <c r="I110" i="8"/>
  <c r="I554" i="8"/>
  <c r="I331" i="8"/>
  <c r="I443" i="8"/>
  <c r="I499" i="8"/>
  <c r="I387" i="8"/>
  <c r="I274" i="8"/>
  <c r="N219" i="8"/>
  <c r="N110" i="8"/>
  <c r="N331" i="8"/>
  <c r="N443" i="8"/>
  <c r="N499" i="8"/>
  <c r="N554" i="8"/>
  <c r="N387" i="8"/>
  <c r="N274" i="8"/>
  <c r="E219" i="8"/>
  <c r="E110" i="8"/>
  <c r="E554" i="8"/>
  <c r="E331" i="8"/>
  <c r="E443" i="8"/>
  <c r="E499" i="8"/>
  <c r="E387" i="8"/>
  <c r="E274" i="8"/>
  <c r="T219" i="8"/>
  <c r="T110" i="8"/>
  <c r="T331" i="8"/>
  <c r="T499" i="8"/>
  <c r="T554" i="8"/>
  <c r="T443" i="8"/>
  <c r="T387" i="8"/>
  <c r="T274" i="8"/>
  <c r="C219" i="8"/>
  <c r="C110" i="8"/>
  <c r="C499" i="8"/>
  <c r="C443" i="8"/>
  <c r="C387" i="8"/>
  <c r="C331" i="8"/>
  <c r="C554" i="8"/>
  <c r="C274" i="8"/>
  <c r="R219" i="8"/>
  <c r="R110" i="8"/>
  <c r="R499" i="8"/>
  <c r="R331" i="8"/>
  <c r="R387" i="8"/>
  <c r="R554" i="8"/>
  <c r="R443" i="8"/>
  <c r="R274" i="8"/>
  <c r="M219" i="8"/>
  <c r="M110" i="8"/>
  <c r="M387" i="8"/>
  <c r="M443" i="8"/>
  <c r="M331" i="8"/>
  <c r="M554" i="8"/>
  <c r="M499" i="8"/>
  <c r="M274" i="8"/>
  <c r="S219" i="8"/>
  <c r="S110" i="8"/>
  <c r="S443" i="8"/>
  <c r="S499" i="8"/>
  <c r="S331" i="8"/>
  <c r="S554" i="8"/>
  <c r="S387" i="8"/>
  <c r="S274" i="8"/>
  <c r="U110" i="8"/>
  <c r="U219" i="8"/>
  <c r="U331" i="8"/>
  <c r="U443" i="8"/>
  <c r="U499" i="8"/>
  <c r="U554" i="8"/>
  <c r="U387" i="8"/>
  <c r="U274" i="8"/>
  <c r="D219" i="8"/>
  <c r="D110" i="8"/>
  <c r="D331" i="8"/>
  <c r="D443" i="8"/>
  <c r="D499" i="8"/>
  <c r="D387" i="8"/>
  <c r="D554" i="8"/>
  <c r="D274" i="8"/>
  <c r="L219" i="8"/>
  <c r="L110" i="8"/>
  <c r="L554" i="8"/>
  <c r="L499" i="8"/>
  <c r="L331" i="8"/>
  <c r="L443" i="8"/>
  <c r="L387" i="8"/>
  <c r="L274" i="8"/>
  <c r="G219" i="8"/>
  <c r="G110" i="8"/>
  <c r="G387" i="8"/>
  <c r="G443" i="8"/>
  <c r="G499" i="8"/>
  <c r="G331" i="8"/>
  <c r="G554" i="8"/>
  <c r="G274" i="8"/>
  <c r="Q219" i="8"/>
  <c r="Q110" i="8"/>
  <c r="Q387" i="8"/>
  <c r="Q554" i="8"/>
  <c r="Q443" i="8"/>
  <c r="Q499" i="8"/>
  <c r="Q331" i="8"/>
  <c r="Q274" i="8"/>
  <c r="O70" i="2"/>
  <c r="O64" i="2"/>
  <c r="O79" i="2"/>
  <c r="O87" i="2"/>
  <c r="O78" i="2"/>
  <c r="O109" i="2"/>
  <c r="O92" i="2"/>
  <c r="O85" i="2"/>
  <c r="O97" i="2"/>
  <c r="BC173" i="14" a="1"/>
  <c r="BC173" i="14" s="1"/>
  <c r="CP173" i="14" a="1"/>
  <c r="CP173" i="14" s="1"/>
  <c r="O105" i="2"/>
  <c r="O112" i="2"/>
  <c r="O89" i="2"/>
  <c r="O66" i="2"/>
  <c r="O95" i="2"/>
  <c r="CP177" i="14" a="1"/>
  <c r="CP177" i="14" s="1"/>
  <c r="O110" i="2"/>
  <c r="O114" i="2"/>
  <c r="O83" i="2"/>
  <c r="AK231" i="6" a="1"/>
  <c r="AK231" i="6" s="1"/>
  <c r="AK226" i="6" a="1"/>
  <c r="AK226" i="6" s="1"/>
  <c r="AK230" i="6" a="1"/>
  <c r="AK230" i="6" s="1"/>
  <c r="AK229" i="6" a="1"/>
  <c r="AK229" i="6" s="1"/>
  <c r="AK227" i="6" a="1"/>
  <c r="AK227" i="6" s="1"/>
  <c r="AK228" i="6" a="1"/>
  <c r="AK228" i="6" s="1"/>
  <c r="AK225" i="6" a="1"/>
  <c r="AK225" i="6" s="1"/>
  <c r="AQ4" i="11" s="1"/>
  <c r="AR4" i="11" s="1"/>
  <c r="AK224" i="6" a="1"/>
  <c r="AK224" i="6" s="1"/>
  <c r="D19" i="11"/>
  <c r="E16" i="13" s="1"/>
  <c r="D32" i="11"/>
  <c r="E29" i="13" s="1"/>
  <c r="D10" i="11"/>
  <c r="E8" i="13" s="1"/>
  <c r="D27" i="11"/>
  <c r="E24" i="13" s="1"/>
  <c r="D24" i="11"/>
  <c r="E21" i="13" s="1"/>
  <c r="D49" i="11"/>
  <c r="E46" i="13" s="1"/>
  <c r="D52" i="11"/>
  <c r="E49" i="13" s="1"/>
  <c r="D18" i="11"/>
  <c r="E15" i="13" s="1"/>
  <c r="D5" i="11"/>
  <c r="E3" i="13" s="1"/>
  <c r="D21" i="11"/>
  <c r="E18" i="13" s="1"/>
  <c r="D42" i="11"/>
  <c r="E39" i="13" s="1"/>
  <c r="D38" i="11"/>
  <c r="E35" i="13" s="1"/>
  <c r="D33" i="11"/>
  <c r="E30" i="13" s="1"/>
  <c r="D37" i="11"/>
  <c r="E34" i="13" s="1"/>
  <c r="D50" i="11"/>
  <c r="E47" i="13" s="1"/>
  <c r="D20" i="11"/>
  <c r="E17" i="13" s="1"/>
  <c r="D44" i="11"/>
  <c r="E41" i="13" s="1"/>
  <c r="D35" i="11"/>
  <c r="E32" i="13" s="1"/>
  <c r="D41" i="11"/>
  <c r="E38" i="13" s="1"/>
  <c r="D3" i="11"/>
  <c r="E2" i="13" s="1"/>
  <c r="D11" i="11"/>
  <c r="E9" i="13" s="1"/>
  <c r="D16" i="11"/>
  <c r="E13" i="13" s="1"/>
  <c r="D26" i="11"/>
  <c r="E23" i="13" s="1"/>
  <c r="D8" i="11"/>
  <c r="E6" i="13" s="1"/>
  <c r="D29" i="11"/>
  <c r="E26" i="13" s="1"/>
  <c r="D36" i="11"/>
  <c r="E33" i="13" s="1"/>
  <c r="D14" i="11"/>
  <c r="E11" i="13" s="1"/>
  <c r="D4" i="11"/>
  <c r="D15" i="11"/>
  <c r="E12" i="13" s="1"/>
  <c r="D34" i="11"/>
  <c r="E31" i="13" s="1"/>
  <c r="D31" i="11"/>
  <c r="E28" i="13" s="1"/>
  <c r="D17" i="11"/>
  <c r="E14" i="13" s="1"/>
  <c r="D43" i="11"/>
  <c r="E40" i="13" s="1"/>
  <c r="D23" i="11"/>
  <c r="E20" i="13" s="1"/>
  <c r="D51" i="11"/>
  <c r="E48" i="13" s="1"/>
  <c r="D7" i="11"/>
  <c r="E5" i="13" s="1"/>
  <c r="D40" i="11"/>
  <c r="E37" i="13" s="1"/>
  <c r="D9" i="11"/>
  <c r="E7" i="13" s="1"/>
  <c r="D46" i="11"/>
  <c r="E43" i="13" s="1"/>
  <c r="D28" i="11"/>
  <c r="E25" i="13" s="1"/>
  <c r="D47" i="11"/>
  <c r="E44" i="13" s="1"/>
  <c r="D13" i="11"/>
  <c r="D39" i="11"/>
  <c r="E36" i="13" s="1"/>
  <c r="D22" i="11"/>
  <c r="E19" i="13" s="1"/>
  <c r="D12" i="11"/>
  <c r="E10" i="13" s="1"/>
  <c r="D6" i="11"/>
  <c r="E4" i="13" s="1"/>
  <c r="D45" i="11"/>
  <c r="E42" i="13" s="1"/>
  <c r="D48" i="11"/>
  <c r="E45" i="13" s="1"/>
  <c r="D30" i="11"/>
  <c r="E27" i="13" s="1"/>
  <c r="D25" i="11"/>
  <c r="E22" i="13" s="1"/>
  <c r="AT4" i="6"/>
  <c r="AU4" i="6" s="1"/>
  <c r="AU3" i="6"/>
  <c r="AA68" i="2"/>
  <c r="AA67" i="2"/>
  <c r="AA106" i="2"/>
  <c r="AA89" i="2"/>
  <c r="AA66" i="2"/>
  <c r="AA113" i="2"/>
  <c r="AA91" i="2"/>
  <c r="AA69" i="2"/>
  <c r="AA105" i="2"/>
  <c r="AA99" i="2"/>
  <c r="AA90" i="2"/>
  <c r="AA82" i="2"/>
  <c r="AA104" i="2"/>
  <c r="AA88" i="2"/>
  <c r="AA75" i="2"/>
  <c r="AA103" i="2"/>
  <c r="AA96" i="2"/>
  <c r="AA87" i="2"/>
  <c r="AA81" i="2"/>
  <c r="AA74" i="2"/>
  <c r="AA108" i="2"/>
  <c r="AA76" i="2"/>
  <c r="AA70" i="2"/>
  <c r="AA114" i="2"/>
  <c r="AA71" i="2"/>
  <c r="AA112" i="2"/>
  <c r="AA97" i="2"/>
  <c r="AA111" i="2"/>
  <c r="AA95" i="2"/>
  <c r="AA80" i="2"/>
  <c r="AA73" i="2"/>
  <c r="AA102" i="2"/>
  <c r="AA107" i="2"/>
  <c r="AA93" i="2"/>
  <c r="AA83" i="2"/>
  <c r="AA77" i="2"/>
  <c r="AA72" i="2"/>
  <c r="AA109" i="2"/>
  <c r="AA101" i="2"/>
  <c r="AA98" i="2"/>
  <c r="AA85" i="2"/>
  <c r="AA79" i="2"/>
  <c r="AA65" i="2"/>
  <c r="AA100" i="2"/>
  <c r="AH10" i="8"/>
  <c r="AH14" i="8"/>
  <c r="AH15" i="8"/>
  <c r="AH7" i="8"/>
  <c r="AH9" i="8"/>
  <c r="AH28" i="8"/>
  <c r="AH16" i="8"/>
  <c r="AH35" i="8"/>
  <c r="AH48" i="8"/>
  <c r="AH8" i="8"/>
  <c r="AH44" i="8"/>
  <c r="AH23" i="8"/>
  <c r="AH50" i="8"/>
  <c r="AH40" i="8"/>
  <c r="AH11" i="8"/>
  <c r="AH20" i="8"/>
  <c r="AH29" i="8"/>
  <c r="AH19" i="8"/>
  <c r="AH6" i="8"/>
  <c r="AH27" i="8"/>
  <c r="AH12" i="8"/>
  <c r="AH32" i="8"/>
  <c r="AH26" i="8"/>
  <c r="AH38" i="8"/>
  <c r="AH24" i="8"/>
  <c r="AH45" i="8"/>
  <c r="AH18" i="8"/>
  <c r="AH36" i="8"/>
  <c r="AH17" i="8"/>
  <c r="AH46" i="8"/>
  <c r="AH30" i="8"/>
  <c r="AH5" i="8"/>
  <c r="AH3" i="8"/>
  <c r="AH21" i="8"/>
  <c r="AH33" i="8"/>
  <c r="AH39" i="8"/>
  <c r="AH37" i="8"/>
  <c r="AH49" i="8"/>
  <c r="AH51" i="8"/>
  <c r="AH47" i="8"/>
  <c r="AH22" i="8"/>
  <c r="AH52" i="8"/>
  <c r="AH31" i="8"/>
  <c r="AH4" i="8"/>
  <c r="AH41" i="8"/>
  <c r="AH43" i="8"/>
  <c r="AH42" i="8"/>
  <c r="AH13" i="8"/>
  <c r="I80" i="7"/>
  <c r="W7" i="5"/>
  <c r="W8" i="5"/>
  <c r="W10" i="5"/>
  <c r="W11" i="5"/>
  <c r="W12" i="5"/>
  <c r="W13" i="5"/>
  <c r="W14" i="5"/>
  <c r="W15" i="5"/>
  <c r="W16" i="5"/>
  <c r="W17" i="5"/>
  <c r="W20" i="5"/>
  <c r="W21" i="5"/>
  <c r="W22" i="5"/>
  <c r="W26" i="5"/>
  <c r="W29" i="5"/>
  <c r="W34" i="5"/>
  <c r="W35" i="5"/>
  <c r="W36" i="5"/>
  <c r="W37" i="5"/>
  <c r="W38" i="5"/>
  <c r="W39" i="5"/>
  <c r="W51" i="5"/>
  <c r="W5" i="5"/>
  <c r="W19" i="5"/>
  <c r="W18" i="5"/>
  <c r="W6" i="5"/>
  <c r="W23" i="5"/>
  <c r="W25" i="5"/>
  <c r="W24" i="5"/>
  <c r="W27" i="5"/>
  <c r="W28" i="5"/>
  <c r="W30" i="5"/>
  <c r="W31" i="5"/>
  <c r="W32" i="5"/>
  <c r="W33" i="5"/>
  <c r="W40" i="5"/>
  <c r="W41" i="5"/>
  <c r="W42" i="5"/>
  <c r="W43" i="5"/>
  <c r="W44" i="5"/>
  <c r="W45" i="5"/>
  <c r="W46" i="5"/>
  <c r="W47" i="5"/>
  <c r="W48" i="5"/>
  <c r="W49" i="5"/>
  <c r="W50" i="5"/>
  <c r="W52" i="5"/>
  <c r="W9" i="5"/>
  <c r="H3" i="4"/>
  <c r="I3" i="4" s="1"/>
  <c r="H4" i="4"/>
  <c r="I4" i="4" s="1"/>
  <c r="H5" i="4"/>
  <c r="I5" i="4" s="1"/>
  <c r="H6" i="4"/>
  <c r="I6" i="4" s="1"/>
  <c r="H7" i="4"/>
  <c r="I7" i="4" s="1"/>
  <c r="H8" i="4"/>
  <c r="I8" i="4" s="1"/>
  <c r="H9" i="4"/>
  <c r="I9" i="4" s="1"/>
  <c r="H10" i="4"/>
  <c r="I10" i="4" s="1"/>
  <c r="H11" i="4"/>
  <c r="I11" i="4" s="1"/>
  <c r="H12" i="4"/>
  <c r="I12" i="4" s="1"/>
  <c r="H13" i="4"/>
  <c r="I13" i="4" s="1"/>
  <c r="H14" i="4"/>
  <c r="I14" i="4" s="1"/>
  <c r="H15" i="4"/>
  <c r="I15" i="4" s="1"/>
  <c r="H16" i="4"/>
  <c r="I16" i="4" s="1"/>
  <c r="H17" i="4"/>
  <c r="I17" i="4" s="1"/>
  <c r="H18" i="4"/>
  <c r="I18" i="4" s="1"/>
  <c r="H19" i="4"/>
  <c r="I19" i="4" s="1"/>
  <c r="H20" i="4"/>
  <c r="I20" i="4" s="1"/>
  <c r="H21" i="4"/>
  <c r="I21" i="4" s="1"/>
  <c r="H22" i="4"/>
  <c r="I22" i="4" s="1"/>
  <c r="H23" i="4"/>
  <c r="I23" i="4" s="1"/>
  <c r="H24" i="4"/>
  <c r="I24" i="4" s="1"/>
  <c r="H25" i="4"/>
  <c r="I25" i="4" s="1"/>
  <c r="H26" i="4"/>
  <c r="I26" i="4" s="1"/>
  <c r="H27" i="4"/>
  <c r="I27" i="4" s="1"/>
  <c r="H28" i="4"/>
  <c r="I28" i="4" s="1"/>
  <c r="H29" i="4"/>
  <c r="I29" i="4" s="1"/>
  <c r="H30" i="4"/>
  <c r="I30" i="4" s="1"/>
  <c r="H31" i="4"/>
  <c r="I31" i="4" s="1"/>
  <c r="H32" i="4"/>
  <c r="I32" i="4" s="1"/>
  <c r="H33" i="4"/>
  <c r="I33" i="4" s="1"/>
  <c r="H34" i="4"/>
  <c r="I34" i="4" s="1"/>
  <c r="H35" i="4"/>
  <c r="I35" i="4" s="1"/>
  <c r="H36" i="4"/>
  <c r="I36" i="4" s="1"/>
  <c r="H37" i="4"/>
  <c r="I37" i="4" s="1"/>
  <c r="H38" i="4"/>
  <c r="I38" i="4" s="1"/>
  <c r="H39" i="4"/>
  <c r="I39" i="4" s="1"/>
  <c r="H40" i="4"/>
  <c r="I40" i="4" s="1"/>
  <c r="H41" i="4"/>
  <c r="I41" i="4" s="1"/>
  <c r="H42" i="4"/>
  <c r="I42" i="4" s="1"/>
  <c r="H43" i="4"/>
  <c r="I43" i="4" s="1"/>
  <c r="H44" i="4"/>
  <c r="I44" i="4" s="1"/>
  <c r="H45" i="4"/>
  <c r="I45" i="4" s="1"/>
  <c r="H46" i="4"/>
  <c r="I46" i="4" s="1"/>
  <c r="H47" i="4"/>
  <c r="I47" i="4" s="1"/>
  <c r="H48" i="4"/>
  <c r="I48" i="4" s="1"/>
  <c r="H49" i="4"/>
  <c r="I49" i="4" s="1"/>
  <c r="H50" i="4"/>
  <c r="I50" i="4" s="1"/>
  <c r="H2" i="4"/>
  <c r="I2" i="4" s="1"/>
  <c r="AB34" i="2"/>
  <c r="AQ39" i="11" l="1"/>
  <c r="AQ9" i="11"/>
  <c r="AQ17" i="11"/>
  <c r="AQ33" i="11"/>
  <c r="AQ45" i="11"/>
  <c r="BK9" i="11"/>
  <c r="BK44" i="11"/>
  <c r="AQ10" i="11"/>
  <c r="BK25" i="11"/>
  <c r="AQ22" i="11"/>
  <c r="AQ11" i="11"/>
  <c r="AQ36" i="11"/>
  <c r="AQ25" i="11"/>
  <c r="BK52" i="11"/>
  <c r="AQ50" i="11"/>
  <c r="AQ20" i="11"/>
  <c r="AQ43" i="11"/>
  <c r="AQ47" i="11"/>
  <c r="AQ15" i="11"/>
  <c r="AQ31" i="11"/>
  <c r="AQ16" i="11"/>
  <c r="BK28" i="11"/>
  <c r="AQ44" i="11"/>
  <c r="BK10" i="11"/>
  <c r="AQ3" i="11"/>
  <c r="AQ49" i="11"/>
  <c r="BK6" i="11"/>
  <c r="AQ7" i="11"/>
  <c r="AQ21" i="11"/>
  <c r="R130" i="14"/>
  <c r="H115" i="8"/>
  <c r="P115" i="8"/>
  <c r="D116" i="8"/>
  <c r="L116" i="8"/>
  <c r="T116" i="8"/>
  <c r="H117" i="8"/>
  <c r="P117" i="8"/>
  <c r="D118" i="8"/>
  <c r="L118" i="8"/>
  <c r="T118" i="8"/>
  <c r="H119" i="8"/>
  <c r="P119" i="8"/>
  <c r="D120" i="8"/>
  <c r="L120" i="8"/>
  <c r="T120" i="8"/>
  <c r="H121" i="8"/>
  <c r="P121" i="8"/>
  <c r="D122" i="8"/>
  <c r="L122" i="8"/>
  <c r="T122" i="8"/>
  <c r="H123" i="8"/>
  <c r="P123" i="8"/>
  <c r="D124" i="8"/>
  <c r="L124" i="8"/>
  <c r="T124" i="8"/>
  <c r="H125" i="8"/>
  <c r="P125" i="8"/>
  <c r="D126" i="8"/>
  <c r="L126" i="8"/>
  <c r="T126" i="8"/>
  <c r="H127" i="8"/>
  <c r="P127" i="8"/>
  <c r="D128" i="8"/>
  <c r="L128" i="8"/>
  <c r="T128" i="8"/>
  <c r="H129" i="8"/>
  <c r="P129" i="8"/>
  <c r="D130" i="8"/>
  <c r="L130" i="8"/>
  <c r="T130" i="8"/>
  <c r="H131" i="8"/>
  <c r="P131" i="8"/>
  <c r="D132" i="8"/>
  <c r="L132" i="8"/>
  <c r="T132" i="8"/>
  <c r="H133" i="8"/>
  <c r="P133" i="8"/>
  <c r="D134" i="8"/>
  <c r="L134" i="8"/>
  <c r="T134" i="8"/>
  <c r="H135" i="8"/>
  <c r="P135" i="8"/>
  <c r="D136" i="8"/>
  <c r="L136" i="8"/>
  <c r="T136" i="8"/>
  <c r="H137" i="8"/>
  <c r="P137" i="8"/>
  <c r="D138" i="8"/>
  <c r="L138" i="8"/>
  <c r="T138" i="8"/>
  <c r="H139" i="8"/>
  <c r="P139" i="8"/>
  <c r="D140" i="8"/>
  <c r="L140" i="8"/>
  <c r="T140" i="8"/>
  <c r="H141" i="8"/>
  <c r="P141" i="8"/>
  <c r="D142" i="8"/>
  <c r="L142" i="8"/>
  <c r="T142" i="8"/>
  <c r="H143" i="8"/>
  <c r="P143" i="8"/>
  <c r="D144" i="8"/>
  <c r="L144" i="8"/>
  <c r="T144" i="8"/>
  <c r="H145" i="8"/>
  <c r="P145" i="8"/>
  <c r="D146" i="8"/>
  <c r="L146" i="8"/>
  <c r="T146" i="8"/>
  <c r="H147" i="8"/>
  <c r="P147" i="8"/>
  <c r="D148" i="8"/>
  <c r="L148" i="8"/>
  <c r="T148" i="8"/>
  <c r="I115" i="8"/>
  <c r="Q115" i="8"/>
  <c r="E116" i="8"/>
  <c r="M116" i="8"/>
  <c r="U116" i="8"/>
  <c r="I117" i="8"/>
  <c r="Q117" i="8"/>
  <c r="E118" i="8"/>
  <c r="M118" i="8"/>
  <c r="U118" i="8"/>
  <c r="I119" i="8"/>
  <c r="Q119" i="8"/>
  <c r="E120" i="8"/>
  <c r="M120" i="8"/>
  <c r="U120" i="8"/>
  <c r="I121" i="8"/>
  <c r="Q121" i="8"/>
  <c r="E122" i="8"/>
  <c r="M122" i="8"/>
  <c r="U122" i="8"/>
  <c r="I123" i="8"/>
  <c r="Q123" i="8"/>
  <c r="E124" i="8"/>
  <c r="M124" i="8"/>
  <c r="U124" i="8"/>
  <c r="I125" i="8"/>
  <c r="Q125" i="8"/>
  <c r="E126" i="8"/>
  <c r="M126" i="8"/>
  <c r="U126" i="8"/>
  <c r="I127" i="8"/>
  <c r="Q127" i="8"/>
  <c r="E128" i="8"/>
  <c r="M128" i="8"/>
  <c r="U128" i="8"/>
  <c r="I129" i="8"/>
  <c r="Q129" i="8"/>
  <c r="E130" i="8"/>
  <c r="M130" i="8"/>
  <c r="U130" i="8"/>
  <c r="I131" i="8"/>
  <c r="Q131" i="8"/>
  <c r="E132" i="8"/>
  <c r="M132" i="8"/>
  <c r="U132" i="8"/>
  <c r="I133" i="8"/>
  <c r="Q133" i="8"/>
  <c r="E134" i="8"/>
  <c r="M134" i="8"/>
  <c r="U134" i="8"/>
  <c r="I135" i="8"/>
  <c r="Q135" i="8"/>
  <c r="E136" i="8"/>
  <c r="M136" i="8"/>
  <c r="U136" i="8"/>
  <c r="I137" i="8"/>
  <c r="Q137" i="8"/>
  <c r="E138" i="8"/>
  <c r="M138" i="8"/>
  <c r="U138" i="8"/>
  <c r="I139" i="8"/>
  <c r="Q139" i="8"/>
  <c r="E140" i="8"/>
  <c r="M140" i="8"/>
  <c r="U140" i="8"/>
  <c r="I141" i="8"/>
  <c r="Q141" i="8"/>
  <c r="E142" i="8"/>
  <c r="M142" i="8"/>
  <c r="U142" i="8"/>
  <c r="I143" i="8"/>
  <c r="Q143" i="8"/>
  <c r="E144" i="8"/>
  <c r="M144" i="8"/>
  <c r="U144" i="8"/>
  <c r="I145" i="8"/>
  <c r="Q145" i="8"/>
  <c r="E146" i="8"/>
  <c r="M146" i="8"/>
  <c r="U146" i="8"/>
  <c r="I147" i="8"/>
  <c r="Q147" i="8"/>
  <c r="E148" i="8"/>
  <c r="M148" i="8"/>
  <c r="B115" i="8"/>
  <c r="J115" i="8"/>
  <c r="R115" i="8"/>
  <c r="F116" i="8"/>
  <c r="N116" i="8"/>
  <c r="B117" i="8"/>
  <c r="J117" i="8"/>
  <c r="R117" i="8"/>
  <c r="F118" i="8"/>
  <c r="N118" i="8"/>
  <c r="B119" i="8"/>
  <c r="J119" i="8"/>
  <c r="R119" i="8"/>
  <c r="F120" i="8"/>
  <c r="N120" i="8"/>
  <c r="B121" i="8"/>
  <c r="J121" i="8"/>
  <c r="R121" i="8"/>
  <c r="F122" i="8"/>
  <c r="N122" i="8"/>
  <c r="B123" i="8"/>
  <c r="J123" i="8"/>
  <c r="R123" i="8"/>
  <c r="F124" i="8"/>
  <c r="N124" i="8"/>
  <c r="B125" i="8"/>
  <c r="J125" i="8"/>
  <c r="R125" i="8"/>
  <c r="F126" i="8"/>
  <c r="N126" i="8"/>
  <c r="B127" i="8"/>
  <c r="J127" i="8"/>
  <c r="R127" i="8"/>
  <c r="F128" i="8"/>
  <c r="N128" i="8"/>
  <c r="B129" i="8"/>
  <c r="J129" i="8"/>
  <c r="R129" i="8"/>
  <c r="F130" i="8"/>
  <c r="N130" i="8"/>
  <c r="B131" i="8"/>
  <c r="J131" i="8"/>
  <c r="R131" i="8"/>
  <c r="F132" i="8"/>
  <c r="N132" i="8"/>
  <c r="B133" i="8"/>
  <c r="J133" i="8"/>
  <c r="R133" i="8"/>
  <c r="F134" i="8"/>
  <c r="N134" i="8"/>
  <c r="B135" i="8"/>
  <c r="J135" i="8"/>
  <c r="R135" i="8"/>
  <c r="F136" i="8"/>
  <c r="N136" i="8"/>
  <c r="B137" i="8"/>
  <c r="J137" i="8"/>
  <c r="R137" i="8"/>
  <c r="F138" i="8"/>
  <c r="N138" i="8"/>
  <c r="B139" i="8"/>
  <c r="J139" i="8"/>
  <c r="R139" i="8"/>
  <c r="F140" i="8"/>
  <c r="N140" i="8"/>
  <c r="B141" i="8"/>
  <c r="J141" i="8"/>
  <c r="R141" i="8"/>
  <c r="F142" i="8"/>
  <c r="N142" i="8"/>
  <c r="B143" i="8"/>
  <c r="J143" i="8"/>
  <c r="R143" i="8"/>
  <c r="F144" i="8"/>
  <c r="N144" i="8"/>
  <c r="B145" i="8"/>
  <c r="J145" i="8"/>
  <c r="R145" i="8"/>
  <c r="F146" i="8"/>
  <c r="N146" i="8"/>
  <c r="B147" i="8"/>
  <c r="J147" i="8"/>
  <c r="R147" i="8"/>
  <c r="F148" i="8"/>
  <c r="N148" i="8"/>
  <c r="C115" i="8"/>
  <c r="K115" i="8"/>
  <c r="S115" i="8"/>
  <c r="G116" i="8"/>
  <c r="O116" i="8"/>
  <c r="C117" i="8"/>
  <c r="K117" i="8"/>
  <c r="S117" i="8"/>
  <c r="G118" i="8"/>
  <c r="O118" i="8"/>
  <c r="C119" i="8"/>
  <c r="K119" i="8"/>
  <c r="S119" i="8"/>
  <c r="G120" i="8"/>
  <c r="O120" i="8"/>
  <c r="C121" i="8"/>
  <c r="K121" i="8"/>
  <c r="S121" i="8"/>
  <c r="G122" i="8"/>
  <c r="O122" i="8"/>
  <c r="C123" i="8"/>
  <c r="K123" i="8"/>
  <c r="S123" i="8"/>
  <c r="G124" i="8"/>
  <c r="O124" i="8"/>
  <c r="C125" i="8"/>
  <c r="K125" i="8"/>
  <c r="S125" i="8"/>
  <c r="G126" i="8"/>
  <c r="O126" i="8"/>
  <c r="C127" i="8"/>
  <c r="K127" i="8"/>
  <c r="S127" i="8"/>
  <c r="G128" i="8"/>
  <c r="O128" i="8"/>
  <c r="C129" i="8"/>
  <c r="K129" i="8"/>
  <c r="S129" i="8"/>
  <c r="G130" i="8"/>
  <c r="O130" i="8"/>
  <c r="C131" i="8"/>
  <c r="D115" i="8"/>
  <c r="L115" i="8"/>
  <c r="T115" i="8"/>
  <c r="H116" i="8"/>
  <c r="P116" i="8"/>
  <c r="D117" i="8"/>
  <c r="L117" i="8"/>
  <c r="T117" i="8"/>
  <c r="H118" i="8"/>
  <c r="P118" i="8"/>
  <c r="D119" i="8"/>
  <c r="L119" i="8"/>
  <c r="T119" i="8"/>
  <c r="H120" i="8"/>
  <c r="P120" i="8"/>
  <c r="D121" i="8"/>
  <c r="L121" i="8"/>
  <c r="T121" i="8"/>
  <c r="H122" i="8"/>
  <c r="P122" i="8"/>
  <c r="D123" i="8"/>
  <c r="L123" i="8"/>
  <c r="T123" i="8"/>
  <c r="H124" i="8"/>
  <c r="P124" i="8"/>
  <c r="D125" i="8"/>
  <c r="L125" i="8"/>
  <c r="T125" i="8"/>
  <c r="H126" i="8"/>
  <c r="P126" i="8"/>
  <c r="D127" i="8"/>
  <c r="L127" i="8"/>
  <c r="T127" i="8"/>
  <c r="H128" i="8"/>
  <c r="P128" i="8"/>
  <c r="D129" i="8"/>
  <c r="L129" i="8"/>
  <c r="T129" i="8"/>
  <c r="H130" i="8"/>
  <c r="P130" i="8"/>
  <c r="D131" i="8"/>
  <c r="L131" i="8"/>
  <c r="T131" i="8"/>
  <c r="H132" i="8"/>
  <c r="P132" i="8"/>
  <c r="D133" i="8"/>
  <c r="L133" i="8"/>
  <c r="T133" i="8"/>
  <c r="H134" i="8"/>
  <c r="P134" i="8"/>
  <c r="D135" i="8"/>
  <c r="L135" i="8"/>
  <c r="T135" i="8"/>
  <c r="H136" i="8"/>
  <c r="P136" i="8"/>
  <c r="D137" i="8"/>
  <c r="L137" i="8"/>
  <c r="T137" i="8"/>
  <c r="H138" i="8"/>
  <c r="P138" i="8"/>
  <c r="D139" i="8"/>
  <c r="L139" i="8"/>
  <c r="T139" i="8"/>
  <c r="H140" i="8"/>
  <c r="P140" i="8"/>
  <c r="D141" i="8"/>
  <c r="L141" i="8"/>
  <c r="T141" i="8"/>
  <c r="H142" i="8"/>
  <c r="P142" i="8"/>
  <c r="D143" i="8"/>
  <c r="L143" i="8"/>
  <c r="T143" i="8"/>
  <c r="H144" i="8"/>
  <c r="P144" i="8"/>
  <c r="D145" i="8"/>
  <c r="L145" i="8"/>
  <c r="T145" i="8"/>
  <c r="H146" i="8"/>
  <c r="P146" i="8"/>
  <c r="D147" i="8"/>
  <c r="L147" i="8"/>
  <c r="T147" i="8"/>
  <c r="H148" i="8"/>
  <c r="E115" i="8"/>
  <c r="M115" i="8"/>
  <c r="U115" i="8"/>
  <c r="I116" i="8"/>
  <c r="Q116" i="8"/>
  <c r="E117" i="8"/>
  <c r="M117" i="8"/>
  <c r="U117" i="8"/>
  <c r="I118" i="8"/>
  <c r="Q118" i="8"/>
  <c r="E119" i="8"/>
  <c r="M119" i="8"/>
  <c r="U119" i="8"/>
  <c r="I120" i="8"/>
  <c r="Q120" i="8"/>
  <c r="E121" i="8"/>
  <c r="M121" i="8"/>
  <c r="U121" i="8"/>
  <c r="I122" i="8"/>
  <c r="Q122" i="8"/>
  <c r="E123" i="8"/>
  <c r="M123" i="8"/>
  <c r="U123" i="8"/>
  <c r="I124" i="8"/>
  <c r="Q124" i="8"/>
  <c r="E125" i="8"/>
  <c r="M125" i="8"/>
  <c r="U125" i="8"/>
  <c r="I126" i="8"/>
  <c r="Q126" i="8"/>
  <c r="E127" i="8"/>
  <c r="M127" i="8"/>
  <c r="U127" i="8"/>
  <c r="I128" i="8"/>
  <c r="Q128" i="8"/>
  <c r="E129" i="8"/>
  <c r="M129" i="8"/>
  <c r="U129" i="8"/>
  <c r="I130" i="8"/>
  <c r="Q130" i="8"/>
  <c r="E131" i="8"/>
  <c r="M131" i="8"/>
  <c r="U131" i="8"/>
  <c r="I132" i="8"/>
  <c r="Q132" i="8"/>
  <c r="E133" i="8"/>
  <c r="M133" i="8"/>
  <c r="U133" i="8"/>
  <c r="I134" i="8"/>
  <c r="Q134" i="8"/>
  <c r="E135" i="8"/>
  <c r="M135" i="8"/>
  <c r="U135" i="8"/>
  <c r="I136" i="8"/>
  <c r="Q136" i="8"/>
  <c r="E137" i="8"/>
  <c r="M137" i="8"/>
  <c r="U137" i="8"/>
  <c r="I138" i="8"/>
  <c r="Q138" i="8"/>
  <c r="E139" i="8"/>
  <c r="M139" i="8"/>
  <c r="U139" i="8"/>
  <c r="I140" i="8"/>
  <c r="Q140" i="8"/>
  <c r="E141" i="8"/>
  <c r="M141" i="8"/>
  <c r="U141" i="8"/>
  <c r="I142" i="8"/>
  <c r="Q142" i="8"/>
  <c r="E143" i="8"/>
  <c r="M143" i="8"/>
  <c r="U143" i="8"/>
  <c r="I144" i="8"/>
  <c r="Q144" i="8"/>
  <c r="E145" i="8"/>
  <c r="M145" i="8"/>
  <c r="U145" i="8"/>
  <c r="I146" i="8"/>
  <c r="Q146" i="8"/>
  <c r="E147" i="8"/>
  <c r="M147" i="8"/>
  <c r="J116" i="8"/>
  <c r="B118" i="8"/>
  <c r="N119" i="8"/>
  <c r="F121" i="8"/>
  <c r="R122" i="8"/>
  <c r="J124" i="8"/>
  <c r="B126" i="8"/>
  <c r="N127" i="8"/>
  <c r="F129" i="8"/>
  <c r="R130" i="8"/>
  <c r="B132" i="8"/>
  <c r="C133" i="8"/>
  <c r="C134" i="8"/>
  <c r="F135" i="8"/>
  <c r="G136" i="8"/>
  <c r="G137" i="8"/>
  <c r="J138" i="8"/>
  <c r="K139" i="8"/>
  <c r="K140" i="8"/>
  <c r="N141" i="8"/>
  <c r="O142" i="8"/>
  <c r="O143" i="8"/>
  <c r="R144" i="8"/>
  <c r="S145" i="8"/>
  <c r="S146" i="8"/>
  <c r="U147" i="8"/>
  <c r="P148" i="8"/>
  <c r="E149" i="8"/>
  <c r="M149" i="8"/>
  <c r="U149" i="8"/>
  <c r="I150" i="8"/>
  <c r="Q150" i="8"/>
  <c r="E151" i="8"/>
  <c r="M151" i="8"/>
  <c r="U151" i="8"/>
  <c r="I152" i="8"/>
  <c r="Q152" i="8"/>
  <c r="E153" i="8"/>
  <c r="M153" i="8"/>
  <c r="U153" i="8"/>
  <c r="I154" i="8"/>
  <c r="Q154" i="8"/>
  <c r="E155" i="8"/>
  <c r="M155" i="8"/>
  <c r="U155" i="8"/>
  <c r="I156" i="8"/>
  <c r="Q156" i="8"/>
  <c r="E157" i="8"/>
  <c r="M157" i="8"/>
  <c r="U157" i="8"/>
  <c r="I158" i="8"/>
  <c r="Q158" i="8"/>
  <c r="E159" i="8"/>
  <c r="M159" i="8"/>
  <c r="U159" i="8"/>
  <c r="I160" i="8"/>
  <c r="Q160" i="8"/>
  <c r="E161" i="8"/>
  <c r="M161" i="8"/>
  <c r="U161" i="8"/>
  <c r="I162" i="8"/>
  <c r="Q162" i="8"/>
  <c r="E163" i="8"/>
  <c r="M163" i="8"/>
  <c r="U163" i="8"/>
  <c r="I164" i="8"/>
  <c r="Q164" i="8"/>
  <c r="F114" i="8"/>
  <c r="N114" i="8"/>
  <c r="B114" i="8"/>
  <c r="D164" i="8"/>
  <c r="T164" i="8"/>
  <c r="S134" i="8"/>
  <c r="J142" i="8"/>
  <c r="K148" i="8"/>
  <c r="C151" i="8"/>
  <c r="K153" i="8"/>
  <c r="S155" i="8"/>
  <c r="G158" i="8"/>
  <c r="S159" i="8"/>
  <c r="G162" i="8"/>
  <c r="O164" i="8"/>
  <c r="K122" i="8"/>
  <c r="K116" i="8"/>
  <c r="C118" i="8"/>
  <c r="O119" i="8"/>
  <c r="G121" i="8"/>
  <c r="S122" i="8"/>
  <c r="K124" i="8"/>
  <c r="C126" i="8"/>
  <c r="O127" i="8"/>
  <c r="G129" i="8"/>
  <c r="S130" i="8"/>
  <c r="C132" i="8"/>
  <c r="F133" i="8"/>
  <c r="G134" i="8"/>
  <c r="G135" i="8"/>
  <c r="J136" i="8"/>
  <c r="K137" i="8"/>
  <c r="K138" i="8"/>
  <c r="N139" i="8"/>
  <c r="O140" i="8"/>
  <c r="O141" i="8"/>
  <c r="R142" i="8"/>
  <c r="S143" i="8"/>
  <c r="S144" i="8"/>
  <c r="B146" i="8"/>
  <c r="C147" i="8"/>
  <c r="B148" i="8"/>
  <c r="Q148" i="8"/>
  <c r="F149" i="8"/>
  <c r="N149" i="8"/>
  <c r="B150" i="8"/>
  <c r="J150" i="8"/>
  <c r="R150" i="8"/>
  <c r="F151" i="8"/>
  <c r="N151" i="8"/>
  <c r="B152" i="8"/>
  <c r="J152" i="8"/>
  <c r="R152" i="8"/>
  <c r="F153" i="8"/>
  <c r="N153" i="8"/>
  <c r="B154" i="8"/>
  <c r="J154" i="8"/>
  <c r="R154" i="8"/>
  <c r="F155" i="8"/>
  <c r="N155" i="8"/>
  <c r="B156" i="8"/>
  <c r="J156" i="8"/>
  <c r="R156" i="8"/>
  <c r="F157" i="8"/>
  <c r="N157" i="8"/>
  <c r="B158" i="8"/>
  <c r="J158" i="8"/>
  <c r="R158" i="8"/>
  <c r="F159" i="8"/>
  <c r="N159" i="8"/>
  <c r="B160" i="8"/>
  <c r="J160" i="8"/>
  <c r="R160" i="8"/>
  <c r="F161" i="8"/>
  <c r="N161" i="8"/>
  <c r="B162" i="8"/>
  <c r="J162" i="8"/>
  <c r="R162" i="8"/>
  <c r="F163" i="8"/>
  <c r="N163" i="8"/>
  <c r="B164" i="8"/>
  <c r="J164" i="8"/>
  <c r="R164" i="8"/>
  <c r="G114" i="8"/>
  <c r="O114" i="8"/>
  <c r="P163" i="8"/>
  <c r="Q114" i="8"/>
  <c r="R120" i="8"/>
  <c r="O131" i="8"/>
  <c r="C138" i="8"/>
  <c r="K143" i="8"/>
  <c r="K149" i="8"/>
  <c r="S151" i="8"/>
  <c r="G154" i="8"/>
  <c r="O156" i="8"/>
  <c r="O158" i="8"/>
  <c r="C161" i="8"/>
  <c r="K163" i="8"/>
  <c r="T114" i="8"/>
  <c r="C116" i="8"/>
  <c r="G127" i="8"/>
  <c r="F115" i="8"/>
  <c r="R116" i="8"/>
  <c r="J118" i="8"/>
  <c r="B120" i="8"/>
  <c r="N121" i="8"/>
  <c r="F123" i="8"/>
  <c r="R124" i="8"/>
  <c r="J126" i="8"/>
  <c r="B128" i="8"/>
  <c r="N129" i="8"/>
  <c r="F131" i="8"/>
  <c r="G132" i="8"/>
  <c r="G133" i="8"/>
  <c r="J134" i="8"/>
  <c r="K135" i="8"/>
  <c r="K136" i="8"/>
  <c r="N137" i="8"/>
  <c r="O138" i="8"/>
  <c r="O139" i="8"/>
  <c r="R140" i="8"/>
  <c r="S141" i="8"/>
  <c r="S142" i="8"/>
  <c r="B144" i="8"/>
  <c r="C145" i="8"/>
  <c r="C146" i="8"/>
  <c r="F147" i="8"/>
  <c r="C148" i="8"/>
  <c r="R148" i="8"/>
  <c r="G149" i="8"/>
  <c r="O149" i="8"/>
  <c r="C150" i="8"/>
  <c r="K150" i="8"/>
  <c r="S150" i="8"/>
  <c r="G151" i="8"/>
  <c r="O151" i="8"/>
  <c r="C152" i="8"/>
  <c r="K152" i="8"/>
  <c r="S152" i="8"/>
  <c r="G153" i="8"/>
  <c r="O153" i="8"/>
  <c r="C154" i="8"/>
  <c r="K154" i="8"/>
  <c r="S154" i="8"/>
  <c r="G155" i="8"/>
  <c r="O155" i="8"/>
  <c r="C156" i="8"/>
  <c r="K156" i="8"/>
  <c r="S156" i="8"/>
  <c r="G157" i="8"/>
  <c r="O157" i="8"/>
  <c r="C158" i="8"/>
  <c r="K158" i="8"/>
  <c r="S158" i="8"/>
  <c r="G159" i="8"/>
  <c r="O159" i="8"/>
  <c r="C160" i="8"/>
  <c r="K160" i="8"/>
  <c r="S160" i="8"/>
  <c r="G161" i="8"/>
  <c r="O161" i="8"/>
  <c r="C162" i="8"/>
  <c r="K162" i="8"/>
  <c r="S162" i="8"/>
  <c r="G163" i="8"/>
  <c r="O163" i="8"/>
  <c r="C164" i="8"/>
  <c r="K164" i="8"/>
  <c r="S164" i="8"/>
  <c r="H114" i="8"/>
  <c r="P114" i="8"/>
  <c r="H163" i="8"/>
  <c r="I114" i="8"/>
  <c r="F119" i="8"/>
  <c r="R132" i="8"/>
  <c r="F139" i="8"/>
  <c r="K144" i="8"/>
  <c r="C149" i="8"/>
  <c r="K151" i="8"/>
  <c r="S153" i="8"/>
  <c r="G156" i="8"/>
  <c r="C159" i="8"/>
  <c r="K161" i="8"/>
  <c r="S163" i="8"/>
  <c r="O117" i="8"/>
  <c r="O125" i="8"/>
  <c r="G115" i="8"/>
  <c r="S116" i="8"/>
  <c r="K118" i="8"/>
  <c r="C120" i="8"/>
  <c r="O121" i="8"/>
  <c r="G123" i="8"/>
  <c r="S124" i="8"/>
  <c r="K126" i="8"/>
  <c r="C128" i="8"/>
  <c r="O129" i="8"/>
  <c r="G131" i="8"/>
  <c r="J132" i="8"/>
  <c r="K133" i="8"/>
  <c r="K134" i="8"/>
  <c r="N135" i="8"/>
  <c r="O136" i="8"/>
  <c r="O137" i="8"/>
  <c r="R138" i="8"/>
  <c r="S139" i="8"/>
  <c r="S140" i="8"/>
  <c r="B142" i="8"/>
  <c r="C143" i="8"/>
  <c r="C144" i="8"/>
  <c r="F145" i="8"/>
  <c r="G146" i="8"/>
  <c r="G147" i="8"/>
  <c r="G148" i="8"/>
  <c r="S148" i="8"/>
  <c r="H149" i="8"/>
  <c r="P149" i="8"/>
  <c r="D150" i="8"/>
  <c r="L150" i="8"/>
  <c r="T150" i="8"/>
  <c r="H151" i="8"/>
  <c r="P151" i="8"/>
  <c r="D152" i="8"/>
  <c r="L152" i="8"/>
  <c r="T152" i="8"/>
  <c r="H153" i="8"/>
  <c r="P153" i="8"/>
  <c r="D154" i="8"/>
  <c r="L154" i="8"/>
  <c r="T154" i="8"/>
  <c r="H155" i="8"/>
  <c r="P155" i="8"/>
  <c r="D156" i="8"/>
  <c r="L156" i="8"/>
  <c r="T156" i="8"/>
  <c r="H157" i="8"/>
  <c r="P157" i="8"/>
  <c r="D158" i="8"/>
  <c r="L158" i="8"/>
  <c r="T158" i="8"/>
  <c r="H159" i="8"/>
  <c r="P159" i="8"/>
  <c r="D160" i="8"/>
  <c r="L160" i="8"/>
  <c r="T160" i="8"/>
  <c r="H161" i="8"/>
  <c r="P161" i="8"/>
  <c r="D162" i="8"/>
  <c r="L162" i="8"/>
  <c r="T162" i="8"/>
  <c r="L164" i="8"/>
  <c r="S133" i="8"/>
  <c r="N145" i="8"/>
  <c r="S149" i="8"/>
  <c r="G152" i="8"/>
  <c r="O154" i="8"/>
  <c r="C157" i="8"/>
  <c r="K159" i="8"/>
  <c r="S161" i="8"/>
  <c r="G164" i="8"/>
  <c r="N115" i="8"/>
  <c r="F117" i="8"/>
  <c r="R118" i="8"/>
  <c r="J120" i="8"/>
  <c r="B122" i="8"/>
  <c r="N123" i="8"/>
  <c r="F125" i="8"/>
  <c r="R126" i="8"/>
  <c r="J128" i="8"/>
  <c r="B130" i="8"/>
  <c r="K131" i="8"/>
  <c r="K132" i="8"/>
  <c r="N133" i="8"/>
  <c r="O134" i="8"/>
  <c r="O135" i="8"/>
  <c r="R136" i="8"/>
  <c r="S137" i="8"/>
  <c r="S138" i="8"/>
  <c r="B140" i="8"/>
  <c r="C141" i="8"/>
  <c r="C142" i="8"/>
  <c r="F143" i="8"/>
  <c r="G144" i="8"/>
  <c r="G145" i="8"/>
  <c r="J146" i="8"/>
  <c r="K147" i="8"/>
  <c r="I148" i="8"/>
  <c r="U148" i="8"/>
  <c r="I149" i="8"/>
  <c r="Q149" i="8"/>
  <c r="E150" i="8"/>
  <c r="M150" i="8"/>
  <c r="U150" i="8"/>
  <c r="I151" i="8"/>
  <c r="Q151" i="8"/>
  <c r="E152" i="8"/>
  <c r="M152" i="8"/>
  <c r="U152" i="8"/>
  <c r="I153" i="8"/>
  <c r="Q153" i="8"/>
  <c r="E154" i="8"/>
  <c r="M154" i="8"/>
  <c r="U154" i="8"/>
  <c r="I155" i="8"/>
  <c r="Q155" i="8"/>
  <c r="E156" i="8"/>
  <c r="M156" i="8"/>
  <c r="U156" i="8"/>
  <c r="I157" i="8"/>
  <c r="Q157" i="8"/>
  <c r="E158" i="8"/>
  <c r="M158" i="8"/>
  <c r="U158" i="8"/>
  <c r="I159" i="8"/>
  <c r="Q159" i="8"/>
  <c r="E160" i="8"/>
  <c r="M160" i="8"/>
  <c r="U160" i="8"/>
  <c r="I161" i="8"/>
  <c r="Q161" i="8"/>
  <c r="E162" i="8"/>
  <c r="M162" i="8"/>
  <c r="U162" i="8"/>
  <c r="I163" i="8"/>
  <c r="Q163" i="8"/>
  <c r="E164" i="8"/>
  <c r="M164" i="8"/>
  <c r="U164" i="8"/>
  <c r="J114" i="8"/>
  <c r="R114" i="8"/>
  <c r="B116" i="8"/>
  <c r="J122" i="8"/>
  <c r="N125" i="8"/>
  <c r="R128" i="8"/>
  <c r="B136" i="8"/>
  <c r="G140" i="8"/>
  <c r="O146" i="8"/>
  <c r="G150" i="8"/>
  <c r="C153" i="8"/>
  <c r="C155" i="8"/>
  <c r="K157" i="8"/>
  <c r="G160" i="8"/>
  <c r="C163" i="8"/>
  <c r="L114" i="8"/>
  <c r="G119" i="8"/>
  <c r="O115" i="8"/>
  <c r="G117" i="8"/>
  <c r="S118" i="8"/>
  <c r="K120" i="8"/>
  <c r="C122" i="8"/>
  <c r="O123" i="8"/>
  <c r="G125" i="8"/>
  <c r="S126" i="8"/>
  <c r="K128" i="8"/>
  <c r="C130" i="8"/>
  <c r="N131" i="8"/>
  <c r="O132" i="8"/>
  <c r="O133" i="8"/>
  <c r="R134" i="8"/>
  <c r="S135" i="8"/>
  <c r="S136" i="8"/>
  <c r="B138" i="8"/>
  <c r="C139" i="8"/>
  <c r="C140" i="8"/>
  <c r="F141" i="8"/>
  <c r="G142" i="8"/>
  <c r="G143" i="8"/>
  <c r="J144" i="8"/>
  <c r="K145" i="8"/>
  <c r="K146" i="8"/>
  <c r="N147" i="8"/>
  <c r="J148" i="8"/>
  <c r="B149" i="8"/>
  <c r="J149" i="8"/>
  <c r="R149" i="8"/>
  <c r="F150" i="8"/>
  <c r="N150" i="8"/>
  <c r="B151" i="8"/>
  <c r="J151" i="8"/>
  <c r="R151" i="8"/>
  <c r="F152" i="8"/>
  <c r="N152" i="8"/>
  <c r="B153" i="8"/>
  <c r="J153" i="8"/>
  <c r="R153" i="8"/>
  <c r="F154" i="8"/>
  <c r="N154" i="8"/>
  <c r="B155" i="8"/>
  <c r="J155" i="8"/>
  <c r="R155" i="8"/>
  <c r="F156" i="8"/>
  <c r="N156" i="8"/>
  <c r="B157" i="8"/>
  <c r="J157" i="8"/>
  <c r="R157" i="8"/>
  <c r="F158" i="8"/>
  <c r="N158" i="8"/>
  <c r="B159" i="8"/>
  <c r="J159" i="8"/>
  <c r="R159" i="8"/>
  <c r="F160" i="8"/>
  <c r="N160" i="8"/>
  <c r="B161" i="8"/>
  <c r="J161" i="8"/>
  <c r="R161" i="8"/>
  <c r="F162" i="8"/>
  <c r="N162" i="8"/>
  <c r="B163" i="8"/>
  <c r="J163" i="8"/>
  <c r="R163" i="8"/>
  <c r="F164" i="8"/>
  <c r="N164" i="8"/>
  <c r="C114" i="8"/>
  <c r="K114" i="8"/>
  <c r="S114" i="8"/>
  <c r="N117" i="8"/>
  <c r="B124" i="8"/>
  <c r="F127" i="8"/>
  <c r="J130" i="8"/>
  <c r="C137" i="8"/>
  <c r="G141" i="8"/>
  <c r="O147" i="8"/>
  <c r="O150" i="8"/>
  <c r="O152" i="8"/>
  <c r="K155" i="8"/>
  <c r="S157" i="8"/>
  <c r="O160" i="8"/>
  <c r="O162" i="8"/>
  <c r="D114" i="8"/>
  <c r="S120" i="8"/>
  <c r="C136" i="8"/>
  <c r="O144" i="8"/>
  <c r="H150" i="8"/>
  <c r="L153" i="8"/>
  <c r="P156" i="8"/>
  <c r="T159" i="8"/>
  <c r="D163" i="8"/>
  <c r="L163" i="8"/>
  <c r="G138" i="8"/>
  <c r="D151" i="8"/>
  <c r="L157" i="8"/>
  <c r="T163" i="8"/>
  <c r="L149" i="8"/>
  <c r="M114" i="8"/>
  <c r="H156" i="8"/>
  <c r="C124" i="8"/>
  <c r="F137" i="8"/>
  <c r="O145" i="8"/>
  <c r="P150" i="8"/>
  <c r="T153" i="8"/>
  <c r="D157" i="8"/>
  <c r="H160" i="8"/>
  <c r="S128" i="8"/>
  <c r="R146" i="8"/>
  <c r="H154" i="8"/>
  <c r="P160" i="8"/>
  <c r="P152" i="8"/>
  <c r="C135" i="8"/>
  <c r="L159" i="8"/>
  <c r="N143" i="8"/>
  <c r="K130" i="8"/>
  <c r="G139" i="8"/>
  <c r="S147" i="8"/>
  <c r="L151" i="8"/>
  <c r="P154" i="8"/>
  <c r="T157" i="8"/>
  <c r="D161" i="8"/>
  <c r="H164" i="8"/>
  <c r="S132" i="8"/>
  <c r="D149" i="8"/>
  <c r="P158" i="8"/>
  <c r="E114" i="8"/>
  <c r="B134" i="8"/>
  <c r="T155" i="8"/>
  <c r="H162" i="8"/>
  <c r="T149" i="8"/>
  <c r="P162" i="8"/>
  <c r="S131" i="8"/>
  <c r="J140" i="8"/>
  <c r="O148" i="8"/>
  <c r="T151" i="8"/>
  <c r="D155" i="8"/>
  <c r="H158" i="8"/>
  <c r="L161" i="8"/>
  <c r="P164" i="8"/>
  <c r="K141" i="8"/>
  <c r="H152" i="8"/>
  <c r="L155" i="8"/>
  <c r="T161" i="8"/>
  <c r="K142" i="8"/>
  <c r="D159" i="8"/>
  <c r="D153" i="8"/>
  <c r="U114" i="8"/>
  <c r="CB53" i="11"/>
  <c r="V499" i="8" a="1"/>
  <c r="V499" i="8" s="1"/>
  <c r="U53" i="8" s="1"/>
  <c r="AD53" i="11" s="1"/>
  <c r="V443" i="8" a="1"/>
  <c r="V443" i="8" s="1"/>
  <c r="T53" i="8" s="1"/>
  <c r="U53" i="11" s="1"/>
  <c r="V387" i="8" a="1"/>
  <c r="V387" i="8" s="1"/>
  <c r="S53" i="8" s="1"/>
  <c r="L53" i="11" s="1"/>
  <c r="V554" i="8" a="1"/>
  <c r="V554" i="8" s="1"/>
  <c r="AP53" i="8" s="1"/>
  <c r="AM53" i="11" s="1"/>
  <c r="V331" i="8" a="1"/>
  <c r="V331" i="8" s="1"/>
  <c r="R53" i="8" s="1"/>
  <c r="D53" i="11" s="1"/>
  <c r="AU4" i="11"/>
  <c r="R129" i="14"/>
  <c r="R134" i="14"/>
  <c r="R132" i="14"/>
  <c r="R131" i="14"/>
  <c r="R133" i="14"/>
  <c r="BK29" i="11"/>
  <c r="BK50" i="11"/>
  <c r="BK20" i="11"/>
  <c r="BK14" i="11"/>
  <c r="BK3" i="11"/>
  <c r="BK36" i="11"/>
  <c r="BK19" i="11"/>
  <c r="BK13" i="11"/>
  <c r="BK22" i="11"/>
  <c r="BK30" i="11"/>
  <c r="BK27" i="11"/>
  <c r="BK47" i="11"/>
  <c r="AH53" i="11"/>
  <c r="V110" i="8" a="1"/>
  <c r="V110" i="8" s="1"/>
  <c r="N53" i="8" s="1"/>
  <c r="R126" i="14"/>
  <c r="R122" i="14"/>
  <c r="R123" i="14"/>
  <c r="R124" i="14"/>
  <c r="R125" i="14"/>
  <c r="R121" i="14"/>
  <c r="V219" i="8" a="1"/>
  <c r="V219" i="8" s="1"/>
  <c r="P53" i="8" s="1"/>
  <c r="BB13" i="11"/>
  <c r="V274" i="8" a="1"/>
  <c r="V274" i="8" s="1"/>
  <c r="Q53" i="8" s="1"/>
  <c r="AC53" i="11" s="1"/>
  <c r="X114" i="2"/>
  <c r="T114" i="2"/>
  <c r="X113" i="2"/>
  <c r="T113" i="2"/>
  <c r="AG50" i="6"/>
  <c r="AG35" i="6"/>
  <c r="AG22" i="6"/>
  <c r="AG23" i="6"/>
  <c r="AG3" i="6"/>
  <c r="AG46" i="6"/>
  <c r="AG49" i="6"/>
  <c r="AG42" i="6"/>
  <c r="AG20" i="6"/>
  <c r="AG14" i="6"/>
  <c r="AG15" i="6"/>
  <c r="AG44" i="6"/>
  <c r="AG32" i="6"/>
  <c r="AG41" i="6"/>
  <c r="AG27" i="6"/>
  <c r="AG12" i="6"/>
  <c r="AG7" i="6"/>
  <c r="AG51" i="6"/>
  <c r="AG8" i="6"/>
  <c r="AG18" i="6"/>
  <c r="AG24" i="6"/>
  <c r="AG34" i="6"/>
  <c r="AG19" i="6"/>
  <c r="AG52" i="6"/>
  <c r="AG13" i="6"/>
  <c r="AG47" i="6"/>
  <c r="AG2" i="6"/>
  <c r="AG11" i="6"/>
  <c r="AG33" i="6"/>
  <c r="AG26" i="6"/>
  <c r="AG21" i="6"/>
  <c r="AG5" i="6"/>
  <c r="AG38" i="6"/>
  <c r="AG39" i="6"/>
  <c r="AG37" i="6"/>
  <c r="AG16" i="6"/>
  <c r="AG25" i="6"/>
  <c r="AG45" i="6"/>
  <c r="AG40" i="6"/>
  <c r="AG36" i="6"/>
  <c r="AG30" i="6"/>
  <c r="AG10" i="6"/>
  <c r="AG6" i="6"/>
  <c r="AG4" i="6"/>
  <c r="AG29" i="6"/>
  <c r="AG43" i="6"/>
  <c r="AG28" i="6"/>
  <c r="AG31" i="6"/>
  <c r="AG9" i="6"/>
  <c r="AG17" i="6"/>
  <c r="AG48" i="6"/>
  <c r="AH3" i="6"/>
  <c r="AH12" i="6"/>
  <c r="AH21" i="6"/>
  <c r="AH37" i="6"/>
  <c r="AH41" i="6"/>
  <c r="AH52" i="6"/>
  <c r="AH48" i="6"/>
  <c r="AH4" i="6"/>
  <c r="AH13" i="6"/>
  <c r="AH22" i="6"/>
  <c r="AH50" i="6"/>
  <c r="AH36" i="6"/>
  <c r="AH2" i="6"/>
  <c r="AH9" i="6"/>
  <c r="AH5" i="6"/>
  <c r="AH14" i="6"/>
  <c r="AH23" i="6"/>
  <c r="AH10" i="6"/>
  <c r="AH49" i="6"/>
  <c r="AH32" i="6"/>
  <c r="AH26" i="6"/>
  <c r="AH6" i="6"/>
  <c r="AH15" i="6"/>
  <c r="AH33" i="6"/>
  <c r="AH27" i="6"/>
  <c r="AH45" i="6"/>
  <c r="AH16" i="6"/>
  <c r="AH7" i="6"/>
  <c r="AH25" i="6"/>
  <c r="AH35" i="6"/>
  <c r="AH28" i="6"/>
  <c r="AH47" i="6"/>
  <c r="AH18" i="6"/>
  <c r="AH17" i="6"/>
  <c r="AH42" i="6"/>
  <c r="AH39" i="6"/>
  <c r="AH29" i="6"/>
  <c r="AH38" i="6"/>
  <c r="AH40" i="6"/>
  <c r="AH34" i="6"/>
  <c r="AH19" i="6"/>
  <c r="AH43" i="6"/>
  <c r="AH30" i="6"/>
  <c r="AH44" i="6"/>
  <c r="AH24" i="6"/>
  <c r="AH11" i="6"/>
  <c r="AH20" i="6"/>
  <c r="AH46" i="6"/>
  <c r="AH31" i="6"/>
  <c r="AH51" i="6"/>
  <c r="AH8" i="6"/>
  <c r="E53" i="8"/>
  <c r="I53" i="8"/>
  <c r="B53" i="11" s="1"/>
  <c r="E38" i="8"/>
  <c r="E30" i="8"/>
  <c r="E20" i="8"/>
  <c r="E48" i="8"/>
  <c r="E49" i="8"/>
  <c r="E33" i="8"/>
  <c r="E17" i="8"/>
  <c r="E39" i="8"/>
  <c r="E3" i="8"/>
  <c r="E32" i="8"/>
  <c r="E34" i="8"/>
  <c r="E35" i="8"/>
  <c r="E9" i="8"/>
  <c r="E50" i="8"/>
  <c r="E47" i="8"/>
  <c r="E31" i="8"/>
  <c r="E15" i="8"/>
  <c r="E26" i="8"/>
  <c r="E36" i="8"/>
  <c r="E22" i="8"/>
  <c r="E45" i="8"/>
  <c r="E29" i="8"/>
  <c r="E13" i="8"/>
  <c r="E24" i="8"/>
  <c r="E8" i="8"/>
  <c r="E18" i="8"/>
  <c r="E14" i="8"/>
  <c r="E4" i="8"/>
  <c r="E42" i="8"/>
  <c r="E7" i="8"/>
  <c r="E21" i="8"/>
  <c r="BC30" i="8"/>
  <c r="BC33" i="8" s="1"/>
  <c r="BC34" i="8" s="1"/>
  <c r="E43" i="8"/>
  <c r="E27" i="8"/>
  <c r="E11" i="8"/>
  <c r="E12" i="8"/>
  <c r="E6" i="8"/>
  <c r="E10" i="8"/>
  <c r="E23" i="8"/>
  <c r="E28" i="8"/>
  <c r="E37" i="8"/>
  <c r="E46" i="8"/>
  <c r="E44" i="8"/>
  <c r="E52" i="8"/>
  <c r="E41" i="8"/>
  <c r="E25" i="8"/>
  <c r="E16" i="8"/>
  <c r="E40" i="8"/>
  <c r="E5" i="8"/>
  <c r="E51" i="8"/>
  <c r="E19" i="8"/>
  <c r="I50" i="8"/>
  <c r="B50" i="11" s="1"/>
  <c r="C47" i="13" s="1"/>
  <c r="I42" i="8"/>
  <c r="B42" i="11" s="1"/>
  <c r="C39" i="13" s="1"/>
  <c r="I34" i="8"/>
  <c r="B34" i="11" s="1"/>
  <c r="C31" i="13" s="1"/>
  <c r="I22" i="8"/>
  <c r="B22" i="11" s="1"/>
  <c r="C19" i="13" s="1"/>
  <c r="I18" i="8"/>
  <c r="B18" i="11" s="1"/>
  <c r="C15" i="13" s="1"/>
  <c r="I9" i="8"/>
  <c r="B9" i="11" s="1"/>
  <c r="C7" i="13" s="1"/>
  <c r="I25" i="8"/>
  <c r="B25" i="11" s="1"/>
  <c r="C22" i="13" s="1"/>
  <c r="I3" i="8"/>
  <c r="B3" i="11" s="1"/>
  <c r="C2" i="13" s="1"/>
  <c r="I28" i="8"/>
  <c r="B28" i="11" s="1"/>
  <c r="C25" i="13" s="1"/>
  <c r="I8" i="8"/>
  <c r="B8" i="11" s="1"/>
  <c r="C6" i="13" s="1"/>
  <c r="I49" i="8"/>
  <c r="B49" i="11" s="1"/>
  <c r="C46" i="13" s="1"/>
  <c r="I41" i="8"/>
  <c r="B41" i="11" s="1"/>
  <c r="C38" i="13" s="1"/>
  <c r="I33" i="8"/>
  <c r="B33" i="11" s="1"/>
  <c r="C30" i="13" s="1"/>
  <c r="I14" i="8"/>
  <c r="B14" i="11" s="1"/>
  <c r="C11" i="13" s="1"/>
  <c r="I29" i="8"/>
  <c r="B29" i="11" s="1"/>
  <c r="C26" i="13" s="1"/>
  <c r="I10" i="8"/>
  <c r="B10" i="11" s="1"/>
  <c r="C8" i="13" s="1"/>
  <c r="I47" i="8"/>
  <c r="B47" i="11" s="1"/>
  <c r="C44" i="13" s="1"/>
  <c r="I30" i="8"/>
  <c r="B30" i="11" s="1"/>
  <c r="C27" i="13" s="1"/>
  <c r="I24" i="8"/>
  <c r="B24" i="11" s="1"/>
  <c r="C21" i="13" s="1"/>
  <c r="I4" i="8"/>
  <c r="B4" i="11" s="1"/>
  <c r="I48" i="8"/>
  <c r="B48" i="11" s="1"/>
  <c r="C45" i="13" s="1"/>
  <c r="I40" i="8"/>
  <c r="B40" i="11" s="1"/>
  <c r="C37" i="13" s="1"/>
  <c r="I32" i="8"/>
  <c r="I20" i="8"/>
  <c r="I13" i="8"/>
  <c r="B13" i="11" s="1"/>
  <c r="I7" i="8"/>
  <c r="B7" i="11" s="1"/>
  <c r="C5" i="13" s="1"/>
  <c r="I39" i="8"/>
  <c r="B39" i="11" s="1"/>
  <c r="C36" i="13" s="1"/>
  <c r="I46" i="8"/>
  <c r="B46" i="11" s="1"/>
  <c r="C43" i="13" s="1"/>
  <c r="I38" i="8"/>
  <c r="B38" i="11" s="1"/>
  <c r="C35" i="13" s="1"/>
  <c r="I27" i="8"/>
  <c r="B27" i="11" s="1"/>
  <c r="C24" i="13" s="1"/>
  <c r="I17" i="8"/>
  <c r="B17" i="11" s="1"/>
  <c r="C14" i="13" s="1"/>
  <c r="I23" i="8"/>
  <c r="B23" i="11" s="1"/>
  <c r="C20" i="13" s="1"/>
  <c r="I31" i="8"/>
  <c r="B31" i="11" s="1"/>
  <c r="C28" i="13" s="1"/>
  <c r="I45" i="8"/>
  <c r="I19" i="8"/>
  <c r="B19" i="11" s="1"/>
  <c r="C16" i="13" s="1"/>
  <c r="I15" i="8"/>
  <c r="B15" i="11" s="1"/>
  <c r="C12" i="13" s="1"/>
  <c r="I5" i="8"/>
  <c r="B5" i="11" s="1"/>
  <c r="C3" i="13" s="1"/>
  <c r="I37" i="8"/>
  <c r="I52" i="8"/>
  <c r="B52" i="11" s="1"/>
  <c r="C49" i="13" s="1"/>
  <c r="I44" i="8"/>
  <c r="B44" i="11" s="1"/>
  <c r="C41" i="13" s="1"/>
  <c r="I36" i="8"/>
  <c r="B36" i="11" s="1"/>
  <c r="C33" i="13" s="1"/>
  <c r="I11" i="8"/>
  <c r="B11" i="11" s="1"/>
  <c r="C9" i="13" s="1"/>
  <c r="I12" i="8"/>
  <c r="B12" i="11" s="1"/>
  <c r="C10" i="13" s="1"/>
  <c r="I21" i="8"/>
  <c r="I51" i="8"/>
  <c r="B51" i="11" s="1"/>
  <c r="C48" i="13" s="1"/>
  <c r="I43" i="8"/>
  <c r="I35" i="8"/>
  <c r="B35" i="11" s="1"/>
  <c r="C32" i="13" s="1"/>
  <c r="I16" i="8"/>
  <c r="B16" i="11" s="1"/>
  <c r="C13" i="13" s="1"/>
  <c r="I26" i="8"/>
  <c r="B26" i="11" s="1"/>
  <c r="C23" i="13" s="1"/>
  <c r="I6" i="8"/>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 i="5"/>
  <c r="F65" i="2"/>
  <c r="BK7" i="11" s="1"/>
  <c r="G65" i="2"/>
  <c r="N65" i="2" s="1"/>
  <c r="H65" i="2"/>
  <c r="F66" i="2"/>
  <c r="G66" i="2"/>
  <c r="N66" i="2" s="1"/>
  <c r="AQ19" i="11" s="1"/>
  <c r="H66" i="2"/>
  <c r="F67" i="2"/>
  <c r="BK51" i="11" s="1"/>
  <c r="G67" i="2"/>
  <c r="N67" i="2" s="1"/>
  <c r="AQ51" i="11" s="1"/>
  <c r="H67" i="2"/>
  <c r="F68" i="2"/>
  <c r="G68" i="2"/>
  <c r="N68" i="2" s="1"/>
  <c r="AQ52" i="11" s="1"/>
  <c r="H68" i="2"/>
  <c r="F69" i="2"/>
  <c r="G69" i="2"/>
  <c r="N69" i="2" s="1"/>
  <c r="H69" i="2"/>
  <c r="F70" i="2"/>
  <c r="G70" i="2"/>
  <c r="N70" i="2" s="1"/>
  <c r="H70" i="2"/>
  <c r="F71" i="2"/>
  <c r="G71" i="2"/>
  <c r="N71" i="2" s="1"/>
  <c r="AQ6" i="11" s="1"/>
  <c r="H71" i="2"/>
  <c r="F72" i="2"/>
  <c r="BK5" i="11" s="1"/>
  <c r="G72" i="2"/>
  <c r="N72" i="2" s="1"/>
  <c r="AQ5" i="11" s="1"/>
  <c r="H72" i="2"/>
  <c r="F73" i="2"/>
  <c r="BK8" i="11" s="1"/>
  <c r="G73" i="2"/>
  <c r="N73" i="2" s="1"/>
  <c r="AQ8" i="11" s="1"/>
  <c r="H73" i="2"/>
  <c r="F74" i="2"/>
  <c r="G74" i="2"/>
  <c r="N74" i="2" s="1"/>
  <c r="H74" i="2"/>
  <c r="F75" i="2"/>
  <c r="G75" i="2"/>
  <c r="N75" i="2" s="1"/>
  <c r="H75" i="2"/>
  <c r="F76" i="2"/>
  <c r="BK11" i="11" s="1"/>
  <c r="G76" i="2"/>
  <c r="N76" i="2" s="1"/>
  <c r="H76" i="2"/>
  <c r="F77" i="2"/>
  <c r="BK12" i="11" s="1"/>
  <c r="G77" i="2"/>
  <c r="N77" i="2" s="1"/>
  <c r="AQ12" i="11" s="1"/>
  <c r="H77" i="2"/>
  <c r="F78" i="2"/>
  <c r="BK17" i="11" s="1"/>
  <c r="G78" i="2"/>
  <c r="N78" i="2" s="1"/>
  <c r="H78" i="2"/>
  <c r="F79" i="2"/>
  <c r="G79" i="2"/>
  <c r="N79" i="2" s="1"/>
  <c r="AQ14" i="11" s="1"/>
  <c r="H79" i="2"/>
  <c r="F80" i="2"/>
  <c r="BK15" i="11" s="1"/>
  <c r="G80" i="2"/>
  <c r="N80" i="2" s="1"/>
  <c r="H80" i="2"/>
  <c r="F81" i="2"/>
  <c r="BK16" i="11" s="1"/>
  <c r="G81" i="2"/>
  <c r="N81" i="2" s="1"/>
  <c r="H81" i="2"/>
  <c r="F82" i="2"/>
  <c r="BK18" i="11" s="1"/>
  <c r="G82" i="2"/>
  <c r="N82" i="2" s="1"/>
  <c r="AQ18" i="11" s="1"/>
  <c r="H82" i="2"/>
  <c r="F83" i="2"/>
  <c r="G83" i="2"/>
  <c r="N83" i="2" s="1"/>
  <c r="H83" i="2"/>
  <c r="F84" i="2"/>
  <c r="BK23" i="11" s="1"/>
  <c r="G84" i="2"/>
  <c r="N84" i="2" s="1"/>
  <c r="AQ23" i="11" s="1"/>
  <c r="H84" i="2"/>
  <c r="F85" i="2"/>
  <c r="G85" i="2"/>
  <c r="N85" i="2" s="1"/>
  <c r="H85" i="2"/>
  <c r="F86" i="2"/>
  <c r="BK21" i="11" s="1"/>
  <c r="G86" i="2"/>
  <c r="N86" i="2" s="1"/>
  <c r="H86" i="2"/>
  <c r="F87" i="2"/>
  <c r="BK24" i="11" s="1"/>
  <c r="G87" i="2"/>
  <c r="N87" i="2" s="1"/>
  <c r="AQ24" i="11" s="1"/>
  <c r="H87" i="2"/>
  <c r="F88" i="2"/>
  <c r="G88" i="2"/>
  <c r="N88" i="2" s="1"/>
  <c r="H88" i="2"/>
  <c r="F89" i="2"/>
  <c r="G89" i="2"/>
  <c r="N89" i="2" s="1"/>
  <c r="AQ27" i="11" s="1"/>
  <c r="H89" i="2"/>
  <c r="F90" i="2"/>
  <c r="BK26" i="11" s="1"/>
  <c r="G90" i="2"/>
  <c r="N90" i="2" s="1"/>
  <c r="AQ26" i="11" s="1"/>
  <c r="H90" i="2"/>
  <c r="F91" i="2"/>
  <c r="G91" i="2"/>
  <c r="N91" i="2" s="1"/>
  <c r="AQ28" i="11" s="1"/>
  <c r="H91" i="2"/>
  <c r="F92" i="2"/>
  <c r="BK35" i="11" s="1"/>
  <c r="G92" i="2"/>
  <c r="N92" i="2" s="1"/>
  <c r="AQ35" i="11" s="1"/>
  <c r="H92" i="2"/>
  <c r="F93" i="2"/>
  <c r="G93" i="2"/>
  <c r="N93" i="2" s="1"/>
  <c r="H93" i="2"/>
  <c r="F94" i="2"/>
  <c r="G94" i="2"/>
  <c r="N94" i="2" s="1"/>
  <c r="AQ29" i="11" s="1"/>
  <c r="H94" i="2"/>
  <c r="F95" i="2"/>
  <c r="BK31" i="11" s="1"/>
  <c r="G95" i="2"/>
  <c r="N95" i="2" s="1"/>
  <c r="H95" i="2"/>
  <c r="F96" i="2"/>
  <c r="BK32" i="11" s="1"/>
  <c r="G96" i="2"/>
  <c r="N96" i="2" s="1"/>
  <c r="AQ32" i="11" s="1"/>
  <c r="H96" i="2"/>
  <c r="F97" i="2"/>
  <c r="BK33" i="11" s="1"/>
  <c r="G97" i="2"/>
  <c r="N97" i="2" s="1"/>
  <c r="H97" i="2"/>
  <c r="F98" i="2"/>
  <c r="G98" i="2"/>
  <c r="N98" i="2" s="1"/>
  <c r="AQ30" i="11" s="1"/>
  <c r="H98" i="2"/>
  <c r="F99" i="2"/>
  <c r="BK34" i="11" s="1"/>
  <c r="G99" i="2"/>
  <c r="N99" i="2" s="1"/>
  <c r="AQ34" i="11" s="1"/>
  <c r="H99" i="2"/>
  <c r="F100" i="2"/>
  <c r="BK37" i="11" s="1"/>
  <c r="G100" i="2"/>
  <c r="N100" i="2" s="1"/>
  <c r="AQ37" i="11" s="1"/>
  <c r="H100" i="2"/>
  <c r="F101" i="2"/>
  <c r="BK38" i="11" s="1"/>
  <c r="G101" i="2"/>
  <c r="N101" i="2" s="1"/>
  <c r="AQ38" i="11" s="1"/>
  <c r="H101" i="2"/>
  <c r="F102" i="2"/>
  <c r="BK39" i="11" s="1"/>
  <c r="G102" i="2"/>
  <c r="N102" i="2" s="1"/>
  <c r="H102" i="2"/>
  <c r="F103" i="2"/>
  <c r="BK40" i="11" s="1"/>
  <c r="G103" i="2"/>
  <c r="N103" i="2" s="1"/>
  <c r="AQ40" i="11" s="1"/>
  <c r="H103" i="2"/>
  <c r="F104" i="2"/>
  <c r="BK41" i="11" s="1"/>
  <c r="G104" i="2"/>
  <c r="N104" i="2" s="1"/>
  <c r="AQ41" i="11" s="1"/>
  <c r="H104" i="2"/>
  <c r="F105" i="2"/>
  <c r="BK42" i="11" s="1"/>
  <c r="G105" i="2"/>
  <c r="N105" i="2" s="1"/>
  <c r="AQ42" i="11" s="1"/>
  <c r="H105" i="2"/>
  <c r="F106" i="2"/>
  <c r="BK43" i="11" s="1"/>
  <c r="G106" i="2"/>
  <c r="N106" i="2" s="1"/>
  <c r="H106" i="2"/>
  <c r="F107" i="2"/>
  <c r="G107" i="2"/>
  <c r="N107" i="2" s="1"/>
  <c r="H107" i="2"/>
  <c r="F108" i="2"/>
  <c r="BK45" i="11" s="1"/>
  <c r="G108" i="2"/>
  <c r="N108" i="2" s="1"/>
  <c r="H108" i="2"/>
  <c r="F109" i="2"/>
  <c r="BK46" i="11" s="1"/>
  <c r="G109" i="2"/>
  <c r="N109" i="2" s="1"/>
  <c r="AQ46" i="11" s="1"/>
  <c r="H109" i="2"/>
  <c r="F110" i="2"/>
  <c r="BK48" i="11" s="1"/>
  <c r="G110" i="2"/>
  <c r="N110" i="2" s="1"/>
  <c r="AQ48" i="11" s="1"/>
  <c r="H110" i="2"/>
  <c r="F111" i="2"/>
  <c r="G111" i="2"/>
  <c r="N111" i="2" s="1"/>
  <c r="H111" i="2"/>
  <c r="F112" i="2"/>
  <c r="BK49" i="11" s="1"/>
  <c r="G112" i="2"/>
  <c r="N112" i="2" s="1"/>
  <c r="H112" i="2"/>
  <c r="H64" i="2"/>
  <c r="H53" i="11" s="1"/>
  <c r="BS53" i="11" s="1"/>
  <c r="G64" i="2"/>
  <c r="N64" i="2" s="1"/>
  <c r="AQ53" i="11" s="1"/>
  <c r="F64" i="2"/>
  <c r="F3" i="2"/>
  <c r="G3" i="2"/>
  <c r="H3" i="2"/>
  <c r="F4" i="2"/>
  <c r="G4" i="2"/>
  <c r="H4" i="2"/>
  <c r="F5" i="2"/>
  <c r="G5" i="2"/>
  <c r="H5"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G55" i="2"/>
  <c r="H55" i="2"/>
  <c r="F56" i="2"/>
  <c r="G56" i="2"/>
  <c r="H56" i="2"/>
  <c r="F57" i="2"/>
  <c r="G57" i="2"/>
  <c r="H57" i="2"/>
  <c r="F58" i="2"/>
  <c r="G58" i="2"/>
  <c r="H58" i="2"/>
  <c r="F59" i="2"/>
  <c r="G59" i="2"/>
  <c r="H59" i="2"/>
  <c r="F60" i="2"/>
  <c r="G60" i="2"/>
  <c r="H60" i="2"/>
  <c r="F61" i="2"/>
  <c r="G61" i="2"/>
  <c r="H61" i="2"/>
  <c r="F62" i="2"/>
  <c r="G62" i="2"/>
  <c r="H62" i="2"/>
  <c r="F63" i="2"/>
  <c r="G63" i="2"/>
  <c r="H63" i="2"/>
  <c r="H2" i="2"/>
  <c r="F2" i="2"/>
  <c r="S29" i="7"/>
  <c r="I23" i="3"/>
  <c r="I16" i="3"/>
  <c r="I20" i="3"/>
  <c r="I3" i="3"/>
  <c r="I4" i="3"/>
  <c r="I5" i="3"/>
  <c r="I6" i="3"/>
  <c r="I7" i="3"/>
  <c r="I8" i="3"/>
  <c r="I9" i="3"/>
  <c r="I10" i="3"/>
  <c r="I11" i="3"/>
  <c r="I12" i="3"/>
  <c r="I13" i="3"/>
  <c r="I14" i="3"/>
  <c r="I15" i="3"/>
  <c r="I17" i="3"/>
  <c r="I18" i="3"/>
  <c r="I19" i="3"/>
  <c r="I21" i="3"/>
  <c r="I22" i="3"/>
  <c r="I24" i="3"/>
  <c r="I25" i="3"/>
  <c r="I26" i="3"/>
  <c r="I27" i="3"/>
  <c r="I28" i="3"/>
  <c r="I29" i="3"/>
  <c r="I30" i="3"/>
  <c r="I31" i="3"/>
  <c r="I32" i="3"/>
  <c r="I2" i="3"/>
  <c r="P15" i="11" l="1"/>
  <c r="P13" i="11"/>
  <c r="P23" i="11"/>
  <c r="P44" i="11"/>
  <c r="P48" i="11"/>
  <c r="P9" i="11"/>
  <c r="P12" i="11"/>
  <c r="P41" i="11"/>
  <c r="P47" i="11"/>
  <c r="P26" i="11"/>
  <c r="P49" i="11"/>
  <c r="P45" i="11"/>
  <c r="P4" i="11"/>
  <c r="BQ4" i="11" s="1"/>
  <c r="P37" i="11"/>
  <c r="P42" i="11"/>
  <c r="P28" i="11"/>
  <c r="P27" i="11"/>
  <c r="P20" i="11"/>
  <c r="P35" i="11"/>
  <c r="P51" i="11"/>
  <c r="P33" i="11"/>
  <c r="P6" i="11"/>
  <c r="P25" i="11"/>
  <c r="P18" i="11"/>
  <c r="P5" i="11"/>
  <c r="P29" i="11"/>
  <c r="P39" i="11"/>
  <c r="P14" i="11"/>
  <c r="P3" i="11"/>
  <c r="P24" i="11"/>
  <c r="P34" i="11"/>
  <c r="P10" i="11"/>
  <c r="P40" i="11"/>
  <c r="P7" i="11"/>
  <c r="P38" i="11"/>
  <c r="P46" i="11"/>
  <c r="P43" i="11"/>
  <c r="P31" i="11"/>
  <c r="P30" i="11"/>
  <c r="P11" i="11"/>
  <c r="P17" i="11"/>
  <c r="P8" i="11"/>
  <c r="P36" i="11"/>
  <c r="P52" i="11"/>
  <c r="P19" i="11"/>
  <c r="P32" i="11"/>
  <c r="P50" i="11"/>
  <c r="P16" i="11"/>
  <c r="P53" i="11"/>
  <c r="P22" i="11"/>
  <c r="P21" i="11"/>
  <c r="AD53" i="8"/>
  <c r="AH53" i="8" s="1"/>
  <c r="BK53" i="11"/>
  <c r="BQ13" i="11"/>
  <c r="BZ54" i="11"/>
  <c r="B5" i="14" s="1"/>
  <c r="J5" i="14" s="1"/>
  <c r="V164" i="8" a="1"/>
  <c r="V164" i="8" s="1"/>
  <c r="AR53" i="11"/>
  <c r="AB113" i="2"/>
  <c r="BG4" i="11"/>
  <c r="BF4" i="11"/>
  <c r="BE4" i="11"/>
  <c r="AB114" i="2"/>
  <c r="BG13" i="11"/>
  <c r="BE13" i="11"/>
  <c r="BF13" i="11"/>
  <c r="F4" i="10"/>
  <c r="L562" i="8"/>
  <c r="H562" i="8"/>
  <c r="P562" i="8"/>
  <c r="T562" i="8"/>
  <c r="J562" i="8"/>
  <c r="S562" i="8"/>
  <c r="O562" i="8"/>
  <c r="C562" i="8"/>
  <c r="D562" i="8"/>
  <c r="N562" i="8"/>
  <c r="U562" i="8"/>
  <c r="G562" i="8"/>
  <c r="M562" i="8"/>
  <c r="I562" i="8"/>
  <c r="F562" i="8"/>
  <c r="Q562" i="8"/>
  <c r="R562" i="8"/>
  <c r="B562" i="8"/>
  <c r="K562" i="8"/>
  <c r="E562" i="8"/>
  <c r="F10" i="10"/>
  <c r="N568" i="8"/>
  <c r="I568" i="8"/>
  <c r="H568" i="8"/>
  <c r="K568" i="8"/>
  <c r="M568" i="8"/>
  <c r="J568" i="8"/>
  <c r="G568" i="8"/>
  <c r="D568" i="8"/>
  <c r="T568" i="8"/>
  <c r="Q568" i="8"/>
  <c r="U568" i="8"/>
  <c r="P568" i="8"/>
  <c r="O568" i="8"/>
  <c r="F568" i="8"/>
  <c r="R568" i="8"/>
  <c r="S568" i="8"/>
  <c r="C568" i="8"/>
  <c r="B568" i="8"/>
  <c r="E568" i="8"/>
  <c r="L568" i="8"/>
  <c r="F21" i="10"/>
  <c r="B580" i="8"/>
  <c r="G580" i="8"/>
  <c r="Q580" i="8"/>
  <c r="L580" i="8"/>
  <c r="M580" i="8"/>
  <c r="S580" i="8"/>
  <c r="F580" i="8"/>
  <c r="C580" i="8"/>
  <c r="E580" i="8"/>
  <c r="H580" i="8"/>
  <c r="N580" i="8"/>
  <c r="D580" i="8"/>
  <c r="J580" i="8"/>
  <c r="O580" i="8"/>
  <c r="T580" i="8"/>
  <c r="U580" i="8"/>
  <c r="R580" i="8"/>
  <c r="P580" i="8"/>
  <c r="I580" i="8"/>
  <c r="K580" i="8"/>
  <c r="F46" i="10"/>
  <c r="E605" i="8"/>
  <c r="U605" i="8"/>
  <c r="J605" i="8"/>
  <c r="G605" i="8"/>
  <c r="H605" i="8"/>
  <c r="F605" i="8"/>
  <c r="N605" i="8"/>
  <c r="K605" i="8"/>
  <c r="P605" i="8"/>
  <c r="C605" i="8"/>
  <c r="D605" i="8"/>
  <c r="T605" i="8"/>
  <c r="R605" i="8"/>
  <c r="M605" i="8"/>
  <c r="I605" i="8"/>
  <c r="O605" i="8"/>
  <c r="Q605" i="8"/>
  <c r="L605" i="8"/>
  <c r="S605" i="8"/>
  <c r="B605" i="8"/>
  <c r="F5" i="10"/>
  <c r="G563" i="8"/>
  <c r="U563" i="8"/>
  <c r="F563" i="8"/>
  <c r="T563" i="8"/>
  <c r="I563" i="8"/>
  <c r="R563" i="8"/>
  <c r="O563" i="8"/>
  <c r="E563" i="8"/>
  <c r="J563" i="8"/>
  <c r="C563" i="8"/>
  <c r="B563" i="8"/>
  <c r="L563" i="8"/>
  <c r="S563" i="8"/>
  <c r="Q563" i="8"/>
  <c r="N563" i="8"/>
  <c r="H563" i="8"/>
  <c r="M563" i="8"/>
  <c r="K563" i="8"/>
  <c r="D563" i="8"/>
  <c r="P563" i="8"/>
  <c r="F35" i="10"/>
  <c r="F594" i="8"/>
  <c r="O594" i="8"/>
  <c r="N594" i="8"/>
  <c r="P594" i="8"/>
  <c r="B594" i="8"/>
  <c r="Q594" i="8"/>
  <c r="T594" i="8"/>
  <c r="C594" i="8"/>
  <c r="R594" i="8"/>
  <c r="E594" i="8"/>
  <c r="G594" i="8"/>
  <c r="S594" i="8"/>
  <c r="U594" i="8"/>
  <c r="M594" i="8"/>
  <c r="I594" i="8"/>
  <c r="D594" i="8"/>
  <c r="H594" i="8"/>
  <c r="J594" i="8"/>
  <c r="L594" i="8"/>
  <c r="K594" i="8"/>
  <c r="F2" i="10"/>
  <c r="C559" i="8"/>
  <c r="L559" i="8"/>
  <c r="B559" i="8"/>
  <c r="P559" i="8"/>
  <c r="G559" i="8"/>
  <c r="T559" i="8"/>
  <c r="U559" i="8"/>
  <c r="R559" i="8"/>
  <c r="E559" i="8"/>
  <c r="J559" i="8"/>
  <c r="F559" i="8"/>
  <c r="O559" i="8"/>
  <c r="K559" i="8"/>
  <c r="I559" i="8"/>
  <c r="D559" i="8"/>
  <c r="S559" i="8"/>
  <c r="Q559" i="8"/>
  <c r="N559" i="8"/>
  <c r="H559" i="8"/>
  <c r="M559" i="8"/>
  <c r="F7" i="10"/>
  <c r="P565" i="8"/>
  <c r="G565" i="8"/>
  <c r="K565" i="8"/>
  <c r="I565" i="8"/>
  <c r="E565" i="8"/>
  <c r="U565" i="8"/>
  <c r="R565" i="8"/>
  <c r="M565" i="8"/>
  <c r="B565" i="8"/>
  <c r="L565" i="8"/>
  <c r="O565" i="8"/>
  <c r="H565" i="8"/>
  <c r="N565" i="8"/>
  <c r="Q565" i="8"/>
  <c r="J565" i="8"/>
  <c r="C565" i="8"/>
  <c r="S565" i="8"/>
  <c r="F565" i="8"/>
  <c r="D565" i="8"/>
  <c r="T565" i="8"/>
  <c r="F12" i="10"/>
  <c r="K571" i="8"/>
  <c r="Q571" i="8"/>
  <c r="M571" i="8"/>
  <c r="B571" i="8"/>
  <c r="R571" i="8"/>
  <c r="O571" i="8"/>
  <c r="H571" i="8"/>
  <c r="L571" i="8"/>
  <c r="I571" i="8"/>
  <c r="S571" i="8"/>
  <c r="N571" i="8"/>
  <c r="U571" i="8"/>
  <c r="J571" i="8"/>
  <c r="T571" i="8"/>
  <c r="P571" i="8"/>
  <c r="D571" i="8"/>
  <c r="C571" i="8"/>
  <c r="F571" i="8"/>
  <c r="E571" i="8"/>
  <c r="G571" i="8"/>
  <c r="F18" i="10"/>
  <c r="L577" i="8"/>
  <c r="O577" i="8"/>
  <c r="H577" i="8"/>
  <c r="N577" i="8"/>
  <c r="B577" i="8"/>
  <c r="J577" i="8"/>
  <c r="R577" i="8"/>
  <c r="U577" i="8"/>
  <c r="M577" i="8"/>
  <c r="K577" i="8"/>
  <c r="T577" i="8"/>
  <c r="C577" i="8"/>
  <c r="Q577" i="8"/>
  <c r="E577" i="8"/>
  <c r="I577" i="8"/>
  <c r="D577" i="8"/>
  <c r="G577" i="8"/>
  <c r="P577" i="8"/>
  <c r="F577" i="8"/>
  <c r="S577" i="8"/>
  <c r="F42" i="10"/>
  <c r="I601" i="8"/>
  <c r="E601" i="8"/>
  <c r="D601" i="8"/>
  <c r="Q601" i="8"/>
  <c r="F601" i="8"/>
  <c r="B601" i="8"/>
  <c r="G601" i="8"/>
  <c r="J601" i="8"/>
  <c r="K601" i="8"/>
  <c r="T601" i="8"/>
  <c r="N601" i="8"/>
  <c r="U601" i="8"/>
  <c r="R601" i="8"/>
  <c r="S601" i="8"/>
  <c r="H601" i="8"/>
  <c r="C601" i="8"/>
  <c r="M601" i="8"/>
  <c r="P601" i="8"/>
  <c r="L601" i="8"/>
  <c r="O601" i="8"/>
  <c r="F15" i="10"/>
  <c r="H574" i="8"/>
  <c r="K574" i="8"/>
  <c r="J574" i="8"/>
  <c r="F574" i="8"/>
  <c r="I574" i="8"/>
  <c r="T574" i="8"/>
  <c r="G574" i="8"/>
  <c r="P574" i="8"/>
  <c r="M574" i="8"/>
  <c r="O574" i="8"/>
  <c r="D574" i="8"/>
  <c r="R574" i="8"/>
  <c r="Q574" i="8"/>
  <c r="B574" i="8"/>
  <c r="U574" i="8"/>
  <c r="S574" i="8"/>
  <c r="N574" i="8"/>
  <c r="L574" i="8"/>
  <c r="C574" i="8"/>
  <c r="E574" i="8"/>
  <c r="F9" i="10"/>
  <c r="J567" i="8"/>
  <c r="L567" i="8"/>
  <c r="U567" i="8"/>
  <c r="D567" i="8"/>
  <c r="N567" i="8"/>
  <c r="C567" i="8"/>
  <c r="F567" i="8"/>
  <c r="T567" i="8"/>
  <c r="B567" i="8"/>
  <c r="P567" i="8"/>
  <c r="S567" i="8"/>
  <c r="H567" i="8"/>
  <c r="I567" i="8"/>
  <c r="E567" i="8"/>
  <c r="R567" i="8"/>
  <c r="K567" i="8"/>
  <c r="G567" i="8"/>
  <c r="Q567" i="8"/>
  <c r="M567" i="8"/>
  <c r="O567" i="8"/>
  <c r="F37" i="10"/>
  <c r="C596" i="8"/>
  <c r="S596" i="8"/>
  <c r="F596" i="8"/>
  <c r="G596" i="8"/>
  <c r="D596" i="8"/>
  <c r="I596" i="8"/>
  <c r="L596" i="8"/>
  <c r="J596" i="8"/>
  <c r="T596" i="8"/>
  <c r="K596" i="8"/>
  <c r="E596" i="8"/>
  <c r="N596" i="8"/>
  <c r="O596" i="8"/>
  <c r="P596" i="8"/>
  <c r="H596" i="8"/>
  <c r="Q596" i="8"/>
  <c r="M596" i="8"/>
  <c r="B596" i="8"/>
  <c r="R596" i="8"/>
  <c r="U596" i="8"/>
  <c r="F44" i="10"/>
  <c r="E603" i="8"/>
  <c r="T603" i="8"/>
  <c r="F603" i="8"/>
  <c r="U603" i="8"/>
  <c r="G603" i="8"/>
  <c r="H603" i="8"/>
  <c r="C603" i="8"/>
  <c r="Q603" i="8"/>
  <c r="K603" i="8"/>
  <c r="L603" i="8"/>
  <c r="B603" i="8"/>
  <c r="M603" i="8"/>
  <c r="P603" i="8"/>
  <c r="J603" i="8"/>
  <c r="N603" i="8"/>
  <c r="D603" i="8"/>
  <c r="S603" i="8"/>
  <c r="R603" i="8"/>
  <c r="O603" i="8"/>
  <c r="I603" i="8"/>
  <c r="F49" i="10"/>
  <c r="J608" i="8"/>
  <c r="R608" i="8"/>
  <c r="P608" i="8"/>
  <c r="Q608" i="8"/>
  <c r="M608" i="8"/>
  <c r="S608" i="8"/>
  <c r="U608" i="8"/>
  <c r="D608" i="8"/>
  <c r="F608" i="8"/>
  <c r="L608" i="8"/>
  <c r="B608" i="8"/>
  <c r="I608" i="8"/>
  <c r="H608" i="8"/>
  <c r="N608" i="8"/>
  <c r="K608" i="8"/>
  <c r="T608" i="8"/>
  <c r="C608" i="8"/>
  <c r="E608" i="8"/>
  <c r="G608" i="8"/>
  <c r="O608" i="8"/>
  <c r="F11" i="10"/>
  <c r="T570" i="8"/>
  <c r="I570" i="8"/>
  <c r="L570" i="8"/>
  <c r="P570" i="8"/>
  <c r="K570" i="8"/>
  <c r="R570" i="8"/>
  <c r="Q570" i="8"/>
  <c r="E570" i="8"/>
  <c r="S570" i="8"/>
  <c r="C570" i="8"/>
  <c r="G570" i="8"/>
  <c r="N570" i="8"/>
  <c r="M570" i="8"/>
  <c r="D570" i="8"/>
  <c r="H570" i="8"/>
  <c r="O570" i="8"/>
  <c r="F570" i="8"/>
  <c r="J570" i="8"/>
  <c r="U570" i="8"/>
  <c r="B570" i="8"/>
  <c r="F31" i="10"/>
  <c r="U590" i="8"/>
  <c r="E590" i="8"/>
  <c r="H590" i="8"/>
  <c r="K590" i="8"/>
  <c r="J590" i="8"/>
  <c r="N590" i="8"/>
  <c r="C590" i="8"/>
  <c r="D590" i="8"/>
  <c r="T590" i="8"/>
  <c r="O590" i="8"/>
  <c r="G590" i="8"/>
  <c r="I590" i="8"/>
  <c r="Q590" i="8"/>
  <c r="L590" i="8"/>
  <c r="M590" i="8"/>
  <c r="P590" i="8"/>
  <c r="F590" i="8"/>
  <c r="B590" i="8"/>
  <c r="R590" i="8"/>
  <c r="S590" i="8"/>
  <c r="F13" i="10"/>
  <c r="D572" i="8"/>
  <c r="J572" i="8"/>
  <c r="E572" i="8"/>
  <c r="T572" i="8"/>
  <c r="H572" i="8"/>
  <c r="F572" i="8"/>
  <c r="M572" i="8"/>
  <c r="I572" i="8"/>
  <c r="G572" i="8"/>
  <c r="P572" i="8"/>
  <c r="O572" i="8"/>
  <c r="K572" i="8"/>
  <c r="U572" i="8"/>
  <c r="R572" i="8"/>
  <c r="Q572" i="8"/>
  <c r="B572" i="8"/>
  <c r="C572" i="8"/>
  <c r="S572" i="8"/>
  <c r="L572" i="8"/>
  <c r="N572" i="8"/>
  <c r="F16" i="10"/>
  <c r="U575" i="8"/>
  <c r="L575" i="8"/>
  <c r="G575" i="8"/>
  <c r="R575" i="8"/>
  <c r="N575" i="8"/>
  <c r="C575" i="8"/>
  <c r="B575" i="8"/>
  <c r="H575" i="8"/>
  <c r="T575" i="8"/>
  <c r="D575" i="8"/>
  <c r="I575" i="8"/>
  <c r="M575" i="8"/>
  <c r="F575" i="8"/>
  <c r="J575" i="8"/>
  <c r="O575" i="8"/>
  <c r="P575" i="8"/>
  <c r="K575" i="8"/>
  <c r="Q575" i="8"/>
  <c r="S575" i="8"/>
  <c r="E575" i="8"/>
  <c r="F8" i="10"/>
  <c r="G566" i="8"/>
  <c r="O566" i="8"/>
  <c r="U566" i="8"/>
  <c r="Q566" i="8"/>
  <c r="N566" i="8"/>
  <c r="S566" i="8"/>
  <c r="H566" i="8"/>
  <c r="M566" i="8"/>
  <c r="J566" i="8"/>
  <c r="D566" i="8"/>
  <c r="T566" i="8"/>
  <c r="C566" i="8"/>
  <c r="F566" i="8"/>
  <c r="P566" i="8"/>
  <c r="I566" i="8"/>
  <c r="B566" i="8"/>
  <c r="R566" i="8"/>
  <c r="E566" i="8"/>
  <c r="K566" i="8"/>
  <c r="L566" i="8"/>
  <c r="F26" i="10"/>
  <c r="E585" i="8"/>
  <c r="J585" i="8"/>
  <c r="T585" i="8"/>
  <c r="G585" i="8"/>
  <c r="H585" i="8"/>
  <c r="Q585" i="8"/>
  <c r="S585" i="8"/>
  <c r="D585" i="8"/>
  <c r="C585" i="8"/>
  <c r="R585" i="8"/>
  <c r="F585" i="8"/>
  <c r="B585" i="8"/>
  <c r="M585" i="8"/>
  <c r="P585" i="8"/>
  <c r="U585" i="8"/>
  <c r="O585" i="8"/>
  <c r="K585" i="8"/>
  <c r="I585" i="8"/>
  <c r="L585" i="8"/>
  <c r="N585" i="8"/>
  <c r="F36" i="10"/>
  <c r="P595" i="8"/>
  <c r="R595" i="8"/>
  <c r="L595" i="8"/>
  <c r="C595" i="8"/>
  <c r="M595" i="8"/>
  <c r="I595" i="8"/>
  <c r="K595" i="8"/>
  <c r="N595" i="8"/>
  <c r="T595" i="8"/>
  <c r="E595" i="8"/>
  <c r="O595" i="8"/>
  <c r="D595" i="8"/>
  <c r="G595" i="8"/>
  <c r="S595" i="8"/>
  <c r="Q595" i="8"/>
  <c r="F595" i="8"/>
  <c r="U595" i="8"/>
  <c r="B595" i="8"/>
  <c r="J595" i="8"/>
  <c r="H595" i="8"/>
  <c r="F14" i="10"/>
  <c r="G573" i="8"/>
  <c r="S573" i="8"/>
  <c r="R573" i="8"/>
  <c r="H573" i="8"/>
  <c r="M573" i="8"/>
  <c r="K573" i="8"/>
  <c r="L573" i="8"/>
  <c r="O573" i="8"/>
  <c r="D573" i="8"/>
  <c r="E573" i="8"/>
  <c r="N573" i="8"/>
  <c r="U573" i="8"/>
  <c r="F573" i="8"/>
  <c r="Q573" i="8"/>
  <c r="C573" i="8"/>
  <c r="B573" i="8"/>
  <c r="T573" i="8"/>
  <c r="I573" i="8"/>
  <c r="P573" i="8"/>
  <c r="J573" i="8"/>
  <c r="F6" i="10"/>
  <c r="T564" i="8"/>
  <c r="S564" i="8"/>
  <c r="F564" i="8"/>
  <c r="P564" i="8"/>
  <c r="E564" i="8"/>
  <c r="Q564" i="8"/>
  <c r="B564" i="8"/>
  <c r="R564" i="8"/>
  <c r="G564" i="8"/>
  <c r="L564" i="8"/>
  <c r="U564" i="8"/>
  <c r="M564" i="8"/>
  <c r="J564" i="8"/>
  <c r="O564" i="8"/>
  <c r="C564" i="8"/>
  <c r="D564" i="8"/>
  <c r="N564" i="8"/>
  <c r="I564" i="8"/>
  <c r="H564" i="8"/>
  <c r="K564" i="8"/>
  <c r="F20" i="10"/>
  <c r="I579" i="8"/>
  <c r="H579" i="8"/>
  <c r="C579" i="8"/>
  <c r="M579" i="8"/>
  <c r="B579" i="8"/>
  <c r="O579" i="8"/>
  <c r="J579" i="8"/>
  <c r="K579" i="8"/>
  <c r="D579" i="8"/>
  <c r="Q579" i="8"/>
  <c r="F579" i="8"/>
  <c r="T579" i="8"/>
  <c r="R579" i="8"/>
  <c r="P579" i="8"/>
  <c r="E579" i="8"/>
  <c r="U579" i="8"/>
  <c r="L579" i="8"/>
  <c r="G579" i="8"/>
  <c r="S579" i="8"/>
  <c r="N579" i="8"/>
  <c r="F47" i="10"/>
  <c r="G606" i="8"/>
  <c r="L606" i="8"/>
  <c r="I606" i="8"/>
  <c r="T606" i="8"/>
  <c r="C606" i="8"/>
  <c r="K606" i="8"/>
  <c r="E606" i="8"/>
  <c r="J606" i="8"/>
  <c r="U606" i="8"/>
  <c r="O606" i="8"/>
  <c r="B606" i="8"/>
  <c r="F606" i="8"/>
  <c r="Q606" i="8"/>
  <c r="R606" i="8"/>
  <c r="N606" i="8"/>
  <c r="S606" i="8"/>
  <c r="M606" i="8"/>
  <c r="P606" i="8"/>
  <c r="D606" i="8"/>
  <c r="H606" i="8"/>
  <c r="F28" i="10"/>
  <c r="R587" i="8"/>
  <c r="E587" i="8"/>
  <c r="D587" i="8"/>
  <c r="G587" i="8"/>
  <c r="Q587" i="8"/>
  <c r="F587" i="8"/>
  <c r="K587" i="8"/>
  <c r="P587" i="8"/>
  <c r="M587" i="8"/>
  <c r="H587" i="8"/>
  <c r="L587" i="8"/>
  <c r="O587" i="8"/>
  <c r="B587" i="8"/>
  <c r="N587" i="8"/>
  <c r="S587" i="8"/>
  <c r="C587" i="8"/>
  <c r="J587" i="8"/>
  <c r="U587" i="8"/>
  <c r="I587" i="8"/>
  <c r="T587" i="8"/>
  <c r="F34" i="10"/>
  <c r="F593" i="8"/>
  <c r="U593" i="8"/>
  <c r="G593" i="8"/>
  <c r="H593" i="8"/>
  <c r="K593" i="8"/>
  <c r="L593" i="8"/>
  <c r="E593" i="8"/>
  <c r="T593" i="8"/>
  <c r="P593" i="8"/>
  <c r="D593" i="8"/>
  <c r="J593" i="8"/>
  <c r="M593" i="8"/>
  <c r="I593" i="8"/>
  <c r="R593" i="8"/>
  <c r="N593" i="8"/>
  <c r="B593" i="8"/>
  <c r="C593" i="8"/>
  <c r="O593" i="8"/>
  <c r="Q593" i="8"/>
  <c r="S593" i="8"/>
  <c r="F3" i="10"/>
  <c r="D561" i="8"/>
  <c r="O561" i="8"/>
  <c r="U561" i="8"/>
  <c r="I561" i="8"/>
  <c r="T561" i="8"/>
  <c r="F561" i="8"/>
  <c r="H561" i="8"/>
  <c r="L561" i="8"/>
  <c r="K561" i="8"/>
  <c r="E561" i="8"/>
  <c r="N561" i="8"/>
  <c r="R561" i="8"/>
  <c r="Q561" i="8"/>
  <c r="G561" i="8"/>
  <c r="C561" i="8"/>
  <c r="M561" i="8"/>
  <c r="S561" i="8"/>
  <c r="B561" i="8"/>
  <c r="J561" i="8"/>
  <c r="P561" i="8"/>
  <c r="G609" i="8"/>
  <c r="P609" i="8"/>
  <c r="J609" i="8"/>
  <c r="K609" i="8"/>
  <c r="I609" i="8"/>
  <c r="H609" i="8"/>
  <c r="F609" i="8"/>
  <c r="M609" i="8"/>
  <c r="N609" i="8"/>
  <c r="R609" i="8"/>
  <c r="O609" i="8"/>
  <c r="B609" i="8"/>
  <c r="C609" i="8"/>
  <c r="S609" i="8"/>
  <c r="Q609" i="8"/>
  <c r="L609" i="8"/>
  <c r="T609" i="8"/>
  <c r="D609" i="8"/>
  <c r="U609" i="8"/>
  <c r="E609" i="8"/>
  <c r="E569" i="8"/>
  <c r="B569" i="8"/>
  <c r="L569" i="8"/>
  <c r="G569" i="8"/>
  <c r="H569" i="8"/>
  <c r="N569" i="8"/>
  <c r="K569" i="8"/>
  <c r="M569" i="8"/>
  <c r="J569" i="8"/>
  <c r="T569" i="8"/>
  <c r="O569" i="8"/>
  <c r="D569" i="8"/>
  <c r="S569" i="8"/>
  <c r="C569" i="8"/>
  <c r="F569" i="8"/>
  <c r="I569" i="8"/>
  <c r="P569" i="8"/>
  <c r="U569" i="8"/>
  <c r="Q569" i="8"/>
  <c r="R569" i="8"/>
  <c r="F40" i="10"/>
  <c r="K599" i="8"/>
  <c r="P599" i="8"/>
  <c r="L599" i="8"/>
  <c r="D599" i="8"/>
  <c r="G599" i="8"/>
  <c r="M599" i="8"/>
  <c r="I599" i="8"/>
  <c r="R599" i="8"/>
  <c r="N599" i="8"/>
  <c r="Q599" i="8"/>
  <c r="C599" i="8"/>
  <c r="O599" i="8"/>
  <c r="B599" i="8"/>
  <c r="E599" i="8"/>
  <c r="S599" i="8"/>
  <c r="T599" i="8"/>
  <c r="H599" i="8"/>
  <c r="F599" i="8"/>
  <c r="U599" i="8"/>
  <c r="J599" i="8"/>
  <c r="F32" i="10"/>
  <c r="D591" i="8"/>
  <c r="T591" i="8"/>
  <c r="F591" i="8"/>
  <c r="G591" i="8"/>
  <c r="P591" i="8"/>
  <c r="I591" i="8"/>
  <c r="K591" i="8"/>
  <c r="O591" i="8"/>
  <c r="J591" i="8"/>
  <c r="R591" i="8"/>
  <c r="E591" i="8"/>
  <c r="Q591" i="8"/>
  <c r="M591" i="8"/>
  <c r="L591" i="8"/>
  <c r="S591" i="8"/>
  <c r="H591" i="8"/>
  <c r="N591" i="8"/>
  <c r="U591" i="8"/>
  <c r="C591" i="8"/>
  <c r="B591" i="8"/>
  <c r="F38" i="10"/>
  <c r="I597" i="8"/>
  <c r="E597" i="8"/>
  <c r="U597" i="8"/>
  <c r="Q597" i="8"/>
  <c r="F597" i="8"/>
  <c r="H597" i="8"/>
  <c r="B597" i="8"/>
  <c r="G597" i="8"/>
  <c r="T597" i="8"/>
  <c r="J597" i="8"/>
  <c r="K597" i="8"/>
  <c r="P597" i="8"/>
  <c r="L597" i="8"/>
  <c r="M597" i="8"/>
  <c r="D597" i="8"/>
  <c r="R597" i="8"/>
  <c r="N597" i="8"/>
  <c r="C597" i="8"/>
  <c r="O597" i="8"/>
  <c r="S597" i="8"/>
  <c r="F19" i="10"/>
  <c r="M578" i="8"/>
  <c r="J578" i="8"/>
  <c r="N578" i="8"/>
  <c r="T578" i="8"/>
  <c r="O578" i="8"/>
  <c r="P578" i="8"/>
  <c r="D578" i="8"/>
  <c r="R578" i="8"/>
  <c r="Q578" i="8"/>
  <c r="B578" i="8"/>
  <c r="C578" i="8"/>
  <c r="K578" i="8"/>
  <c r="S578" i="8"/>
  <c r="L578" i="8"/>
  <c r="E578" i="8"/>
  <c r="G578" i="8"/>
  <c r="F578" i="8"/>
  <c r="U578" i="8"/>
  <c r="I578" i="8"/>
  <c r="H578" i="8"/>
  <c r="F17" i="10"/>
  <c r="F576" i="8"/>
  <c r="H576" i="8"/>
  <c r="Q576" i="8"/>
  <c r="J576" i="8"/>
  <c r="P576" i="8"/>
  <c r="S576" i="8"/>
  <c r="G576" i="8"/>
  <c r="R576" i="8"/>
  <c r="U576" i="8"/>
  <c r="N576" i="8"/>
  <c r="C576" i="8"/>
  <c r="D576" i="8"/>
  <c r="M576" i="8"/>
  <c r="K576" i="8"/>
  <c r="O576" i="8"/>
  <c r="B576" i="8"/>
  <c r="T576" i="8"/>
  <c r="I576" i="8"/>
  <c r="L576" i="8"/>
  <c r="E576" i="8"/>
  <c r="F25" i="10"/>
  <c r="H584" i="8"/>
  <c r="I584" i="8"/>
  <c r="J584" i="8"/>
  <c r="K584" i="8"/>
  <c r="T584" i="8"/>
  <c r="E584" i="8"/>
  <c r="F584" i="8"/>
  <c r="P584" i="8"/>
  <c r="N584" i="8"/>
  <c r="C584" i="8"/>
  <c r="D584" i="8"/>
  <c r="R584" i="8"/>
  <c r="Q584" i="8"/>
  <c r="B584" i="8"/>
  <c r="M584" i="8"/>
  <c r="U584" i="8"/>
  <c r="L584" i="8"/>
  <c r="O584" i="8"/>
  <c r="S584" i="8"/>
  <c r="G584" i="8"/>
  <c r="F48" i="10"/>
  <c r="B607" i="8"/>
  <c r="K607" i="8"/>
  <c r="F607" i="8"/>
  <c r="M607" i="8"/>
  <c r="G607" i="8"/>
  <c r="J607" i="8"/>
  <c r="O607" i="8"/>
  <c r="R607" i="8"/>
  <c r="S607" i="8"/>
  <c r="P607" i="8"/>
  <c r="C607" i="8"/>
  <c r="D607" i="8"/>
  <c r="H607" i="8"/>
  <c r="T607" i="8"/>
  <c r="L607" i="8"/>
  <c r="N607" i="8"/>
  <c r="I607" i="8"/>
  <c r="E607" i="8"/>
  <c r="U607" i="8"/>
  <c r="Q607" i="8"/>
  <c r="F41" i="10"/>
  <c r="C600" i="8"/>
  <c r="Q600" i="8"/>
  <c r="G600" i="8"/>
  <c r="R600" i="8"/>
  <c r="P600" i="8"/>
  <c r="S600" i="8"/>
  <c r="M600" i="8"/>
  <c r="I600" i="8"/>
  <c r="D600" i="8"/>
  <c r="U600" i="8"/>
  <c r="J600" i="8"/>
  <c r="L600" i="8"/>
  <c r="F600" i="8"/>
  <c r="K600" i="8"/>
  <c r="T600" i="8"/>
  <c r="H600" i="8"/>
  <c r="N600" i="8"/>
  <c r="O600" i="8"/>
  <c r="E600" i="8"/>
  <c r="B600" i="8"/>
  <c r="F43" i="10"/>
  <c r="Q602" i="8"/>
  <c r="M602" i="8"/>
  <c r="B602" i="8"/>
  <c r="R602" i="8"/>
  <c r="H602" i="8"/>
  <c r="C602" i="8"/>
  <c r="S602" i="8"/>
  <c r="U602" i="8"/>
  <c r="G602" i="8"/>
  <c r="D602" i="8"/>
  <c r="F602" i="8"/>
  <c r="E602" i="8"/>
  <c r="I602" i="8"/>
  <c r="P602" i="8"/>
  <c r="N602" i="8"/>
  <c r="J602" i="8"/>
  <c r="L602" i="8"/>
  <c r="K602" i="8"/>
  <c r="T602" i="8"/>
  <c r="O602" i="8"/>
  <c r="F23" i="10"/>
  <c r="G582" i="8"/>
  <c r="J582" i="8"/>
  <c r="D582" i="8"/>
  <c r="T582" i="8"/>
  <c r="C582" i="8"/>
  <c r="M582" i="8"/>
  <c r="E582" i="8"/>
  <c r="F582" i="8"/>
  <c r="B582" i="8"/>
  <c r="P582" i="8"/>
  <c r="S582" i="8"/>
  <c r="I582" i="8"/>
  <c r="L582" i="8"/>
  <c r="R582" i="8"/>
  <c r="K582" i="8"/>
  <c r="O582" i="8"/>
  <c r="N582" i="8"/>
  <c r="Q582" i="8"/>
  <c r="U582" i="8"/>
  <c r="H582" i="8"/>
  <c r="F27" i="10"/>
  <c r="P586" i="8"/>
  <c r="S586" i="8"/>
  <c r="R586" i="8"/>
  <c r="M586" i="8"/>
  <c r="H586" i="8"/>
  <c r="U586" i="8"/>
  <c r="D586" i="8"/>
  <c r="J586" i="8"/>
  <c r="C586" i="8"/>
  <c r="N586" i="8"/>
  <c r="Q586" i="8"/>
  <c r="T586" i="8"/>
  <c r="G586" i="8"/>
  <c r="B586" i="8"/>
  <c r="E586" i="8"/>
  <c r="I586" i="8"/>
  <c r="L586" i="8"/>
  <c r="O586" i="8"/>
  <c r="F586" i="8"/>
  <c r="K586" i="8"/>
  <c r="F39" i="10"/>
  <c r="E598" i="8"/>
  <c r="G598" i="8"/>
  <c r="Q598" i="8"/>
  <c r="M598" i="8"/>
  <c r="O598" i="8"/>
  <c r="R598" i="8"/>
  <c r="P598" i="8"/>
  <c r="I598" i="8"/>
  <c r="C598" i="8"/>
  <c r="S598" i="8"/>
  <c r="U598" i="8"/>
  <c r="K598" i="8"/>
  <c r="D598" i="8"/>
  <c r="F598" i="8"/>
  <c r="J598" i="8"/>
  <c r="H598" i="8"/>
  <c r="N598" i="8"/>
  <c r="L598" i="8"/>
  <c r="B598" i="8"/>
  <c r="T598" i="8"/>
  <c r="F45" i="10"/>
  <c r="H604" i="8"/>
  <c r="J604" i="8"/>
  <c r="M604" i="8"/>
  <c r="I604" i="8"/>
  <c r="U604" i="8"/>
  <c r="K604" i="8"/>
  <c r="E604" i="8"/>
  <c r="F604" i="8"/>
  <c r="O604" i="8"/>
  <c r="G604" i="8"/>
  <c r="L604" i="8"/>
  <c r="R604" i="8"/>
  <c r="P604" i="8"/>
  <c r="D604" i="8"/>
  <c r="B604" i="8"/>
  <c r="N604" i="8"/>
  <c r="Q604" i="8"/>
  <c r="T604" i="8"/>
  <c r="C604" i="8"/>
  <c r="S604" i="8"/>
  <c r="F33" i="10"/>
  <c r="O592" i="8"/>
  <c r="T592" i="8"/>
  <c r="C592" i="8"/>
  <c r="Q592" i="8"/>
  <c r="E592" i="8"/>
  <c r="R592" i="8"/>
  <c r="M592" i="8"/>
  <c r="S592" i="8"/>
  <c r="U592" i="8"/>
  <c r="P592" i="8"/>
  <c r="D592" i="8"/>
  <c r="F592" i="8"/>
  <c r="G592" i="8"/>
  <c r="I592" i="8"/>
  <c r="H592" i="8"/>
  <c r="B592" i="8"/>
  <c r="K592" i="8"/>
  <c r="J592" i="8"/>
  <c r="L592" i="8"/>
  <c r="N592" i="8"/>
  <c r="F24" i="10"/>
  <c r="D583" i="8"/>
  <c r="G583" i="8"/>
  <c r="R583" i="8"/>
  <c r="F583" i="8"/>
  <c r="J583" i="8"/>
  <c r="S583" i="8"/>
  <c r="P583" i="8"/>
  <c r="Q583" i="8"/>
  <c r="C583" i="8"/>
  <c r="K583" i="8"/>
  <c r="L583" i="8"/>
  <c r="M583" i="8"/>
  <c r="H583" i="8"/>
  <c r="N583" i="8"/>
  <c r="O583" i="8"/>
  <c r="I583" i="8"/>
  <c r="U583" i="8"/>
  <c r="T583" i="8"/>
  <c r="B583" i="8"/>
  <c r="E583" i="8"/>
  <c r="F30" i="10"/>
  <c r="E589" i="8"/>
  <c r="U589" i="8"/>
  <c r="G589" i="8"/>
  <c r="K589" i="8"/>
  <c r="M589" i="8"/>
  <c r="H589" i="8"/>
  <c r="L589" i="8"/>
  <c r="C589" i="8"/>
  <c r="D589" i="8"/>
  <c r="N589" i="8"/>
  <c r="I589" i="8"/>
  <c r="F589" i="8"/>
  <c r="T589" i="8"/>
  <c r="J589" i="8"/>
  <c r="P589" i="8"/>
  <c r="B589" i="8"/>
  <c r="Q589" i="8"/>
  <c r="R589" i="8"/>
  <c r="O589" i="8"/>
  <c r="S589" i="8"/>
  <c r="F22" i="10"/>
  <c r="J581" i="8"/>
  <c r="E581" i="8"/>
  <c r="U581" i="8"/>
  <c r="L581" i="8"/>
  <c r="G581" i="8"/>
  <c r="K581" i="8"/>
  <c r="N581" i="8"/>
  <c r="M581" i="8"/>
  <c r="I581" i="8"/>
  <c r="Q581" i="8"/>
  <c r="O581" i="8"/>
  <c r="H581" i="8"/>
  <c r="R581" i="8"/>
  <c r="C581" i="8"/>
  <c r="D581" i="8"/>
  <c r="S581" i="8"/>
  <c r="B581" i="8"/>
  <c r="F581" i="8"/>
  <c r="T581" i="8"/>
  <c r="P581" i="8"/>
  <c r="F29" i="10"/>
  <c r="Q588" i="8"/>
  <c r="L588" i="8"/>
  <c r="C588" i="8"/>
  <c r="S588" i="8"/>
  <c r="M588" i="8"/>
  <c r="E588" i="8"/>
  <c r="H588" i="8"/>
  <c r="F588" i="8"/>
  <c r="J588" i="8"/>
  <c r="G588" i="8"/>
  <c r="T588" i="8"/>
  <c r="I588" i="8"/>
  <c r="U588" i="8"/>
  <c r="P588" i="8"/>
  <c r="N588" i="8"/>
  <c r="K588" i="8"/>
  <c r="D588" i="8"/>
  <c r="R588" i="8"/>
  <c r="B588" i="8"/>
  <c r="O588" i="8"/>
  <c r="H560" i="8"/>
  <c r="L560" i="8"/>
  <c r="B560" i="8"/>
  <c r="J560" i="8"/>
  <c r="F560" i="8"/>
  <c r="N560" i="8"/>
  <c r="C560" i="8"/>
  <c r="T560" i="8"/>
  <c r="U560" i="8"/>
  <c r="P560" i="8"/>
  <c r="M560" i="8"/>
  <c r="Q560" i="8"/>
  <c r="R560" i="8"/>
  <c r="O560" i="8"/>
  <c r="K560" i="8"/>
  <c r="E560" i="8"/>
  <c r="S560" i="8"/>
  <c r="G560" i="8"/>
  <c r="D560" i="8"/>
  <c r="I560" i="8"/>
  <c r="Y48" i="11"/>
  <c r="BR48" i="11" s="1"/>
  <c r="AV48" i="11"/>
  <c r="BG48" i="11"/>
  <c r="BB48" i="11"/>
  <c r="BE48" i="11"/>
  <c r="BF42" i="11"/>
  <c r="AU42" i="11"/>
  <c r="H34" i="11"/>
  <c r="BS34" i="11" s="1"/>
  <c r="AT34" i="11"/>
  <c r="H28" i="11"/>
  <c r="BS28" i="11" s="1"/>
  <c r="AT28" i="11"/>
  <c r="AV17" i="11"/>
  <c r="BG17" i="11"/>
  <c r="Y17" i="11"/>
  <c r="BR17" i="11" s="1"/>
  <c r="BB17" i="11"/>
  <c r="BE17" i="11"/>
  <c r="AI53" i="11"/>
  <c r="AT44" i="11"/>
  <c r="H44" i="11"/>
  <c r="BS44" i="11" s="1"/>
  <c r="BG39" i="11"/>
  <c r="AV39" i="11"/>
  <c r="Y39" i="11"/>
  <c r="BR39" i="11" s="1"/>
  <c r="BE39" i="11"/>
  <c r="BB39" i="11"/>
  <c r="BF33" i="11"/>
  <c r="AU33" i="11"/>
  <c r="AV29" i="11"/>
  <c r="BG29" i="11"/>
  <c r="Y29" i="11"/>
  <c r="BR29" i="11" s="1"/>
  <c r="BB29" i="11"/>
  <c r="BE29" i="11"/>
  <c r="AU27" i="11"/>
  <c r="BF27" i="11"/>
  <c r="BG21" i="11"/>
  <c r="AV21" i="11"/>
  <c r="Y21" i="11"/>
  <c r="BR21" i="11" s="1"/>
  <c r="BB21" i="11"/>
  <c r="BE21" i="11"/>
  <c r="AT20" i="11"/>
  <c r="H20" i="11"/>
  <c r="BS20" i="11" s="1"/>
  <c r="BF16" i="11"/>
  <c r="AU16" i="11"/>
  <c r="H10" i="11"/>
  <c r="BS10" i="11" s="1"/>
  <c r="AT10" i="11"/>
  <c r="BF8" i="11"/>
  <c r="AU8" i="11"/>
  <c r="Y3" i="11"/>
  <c r="BR3" i="11" s="1"/>
  <c r="BG3" i="11"/>
  <c r="AV3" i="11"/>
  <c r="BE3" i="11"/>
  <c r="BB3" i="11"/>
  <c r="AT51" i="11"/>
  <c r="H51" i="11"/>
  <c r="BS51" i="11" s="1"/>
  <c r="BF7" i="11"/>
  <c r="AU7" i="11"/>
  <c r="AT49" i="11"/>
  <c r="H49" i="11"/>
  <c r="BS49" i="11" s="1"/>
  <c r="AU48" i="11"/>
  <c r="BF48" i="11"/>
  <c r="BG44" i="11"/>
  <c r="Y44" i="11"/>
  <c r="BR44" i="11" s="1"/>
  <c r="AV44" i="11"/>
  <c r="BE44" i="11"/>
  <c r="BB44" i="11"/>
  <c r="AT41" i="11"/>
  <c r="H41" i="11"/>
  <c r="BS41" i="11" s="1"/>
  <c r="BF39" i="11"/>
  <c r="AU39" i="11"/>
  <c r="Y34" i="11"/>
  <c r="BR34" i="11" s="1"/>
  <c r="AV34" i="11"/>
  <c r="BG34" i="11"/>
  <c r="BE34" i="11"/>
  <c r="BB34" i="11"/>
  <c r="H32" i="11"/>
  <c r="BS32" i="11" s="1"/>
  <c r="AT32" i="11"/>
  <c r="AU29" i="11"/>
  <c r="BF29" i="11"/>
  <c r="AV28" i="11"/>
  <c r="Y28" i="11"/>
  <c r="BR28" i="11" s="1"/>
  <c r="BG28" i="11"/>
  <c r="BE28" i="11"/>
  <c r="BB28" i="11"/>
  <c r="H25" i="11"/>
  <c r="BS25" i="11" s="1"/>
  <c r="AT25" i="11"/>
  <c r="BF21" i="11"/>
  <c r="AU21" i="11"/>
  <c r="AV20" i="11"/>
  <c r="Y20" i="11"/>
  <c r="BR20" i="11" s="1"/>
  <c r="BG20" i="11"/>
  <c r="BB20" i="11"/>
  <c r="BE20" i="11"/>
  <c r="H15" i="11"/>
  <c r="BS15" i="11" s="1"/>
  <c r="AT15" i="11"/>
  <c r="AU17" i="11"/>
  <c r="BF17" i="11"/>
  <c r="Y10" i="11"/>
  <c r="BR10" i="11" s="1"/>
  <c r="AV10" i="11"/>
  <c r="BG10" i="11"/>
  <c r="BB10" i="11"/>
  <c r="BE10" i="11"/>
  <c r="H5" i="11"/>
  <c r="BS5" i="11" s="1"/>
  <c r="AT5" i="11"/>
  <c r="BF3" i="11"/>
  <c r="AU3" i="11"/>
  <c r="BG51" i="11"/>
  <c r="Y51" i="11"/>
  <c r="BR51" i="11" s="1"/>
  <c r="AV51" i="11"/>
  <c r="BE51" i="11"/>
  <c r="BB51" i="11"/>
  <c r="Y46" i="11"/>
  <c r="BR46" i="11" s="1"/>
  <c r="AV46" i="11"/>
  <c r="BG46" i="11"/>
  <c r="BB46" i="11"/>
  <c r="BE46" i="11"/>
  <c r="BF41" i="11"/>
  <c r="AU41" i="11"/>
  <c r="AT30" i="11"/>
  <c r="H30" i="11"/>
  <c r="BS30" i="11" s="1"/>
  <c r="BG36" i="11"/>
  <c r="Y36" i="11"/>
  <c r="BR36" i="11" s="1"/>
  <c r="AV36" i="11"/>
  <c r="BE36" i="11"/>
  <c r="BB36" i="11"/>
  <c r="AU25" i="11"/>
  <c r="BF25" i="11"/>
  <c r="AT18" i="11"/>
  <c r="H18" i="11"/>
  <c r="BS18" i="11" s="1"/>
  <c r="AV12" i="11"/>
  <c r="Y12" i="11"/>
  <c r="BR12" i="11" s="1"/>
  <c r="BG12" i="11"/>
  <c r="BB12" i="11"/>
  <c r="BE12" i="11"/>
  <c r="Y50" i="11"/>
  <c r="BR50" i="11" s="1"/>
  <c r="AV50" i="11"/>
  <c r="BG50" i="11"/>
  <c r="BB50" i="11"/>
  <c r="BE50" i="11"/>
  <c r="H47" i="11"/>
  <c r="BS47" i="11" s="1"/>
  <c r="AT47" i="11"/>
  <c r="BF46" i="11"/>
  <c r="AU46" i="11"/>
  <c r="AV43" i="11"/>
  <c r="BG43" i="11"/>
  <c r="Y43" i="11"/>
  <c r="BR43" i="11" s="1"/>
  <c r="BE43" i="11"/>
  <c r="BB43" i="11"/>
  <c r="H40" i="11"/>
  <c r="BS40" i="11" s="1"/>
  <c r="AT40" i="11"/>
  <c r="BF38" i="11"/>
  <c r="AU38" i="11"/>
  <c r="Y30" i="11"/>
  <c r="BR30" i="11" s="1"/>
  <c r="AV30" i="11"/>
  <c r="BG30" i="11"/>
  <c r="BE30" i="11"/>
  <c r="BB30" i="11"/>
  <c r="H31" i="11"/>
  <c r="BS31" i="11" s="1"/>
  <c r="AT31" i="11"/>
  <c r="AU36" i="11"/>
  <c r="BF36" i="11"/>
  <c r="AV26" i="11"/>
  <c r="Y26" i="11"/>
  <c r="BR26" i="11" s="1"/>
  <c r="BG26" i="11"/>
  <c r="BE26" i="11"/>
  <c r="BB26" i="11"/>
  <c r="H24" i="11"/>
  <c r="BS24" i="11" s="1"/>
  <c r="AT24" i="11"/>
  <c r="BF22" i="11"/>
  <c r="AU22" i="11"/>
  <c r="AV18" i="11"/>
  <c r="BG18" i="11"/>
  <c r="Y18" i="11"/>
  <c r="BR18" i="11" s="1"/>
  <c r="BE18" i="11"/>
  <c r="BB18" i="11"/>
  <c r="AT14" i="11"/>
  <c r="H14" i="11"/>
  <c r="BS14" i="11" s="1"/>
  <c r="AU12" i="11"/>
  <c r="BF12" i="11"/>
  <c r="Y9" i="11"/>
  <c r="BR9" i="11" s="1"/>
  <c r="AV9" i="11"/>
  <c r="BG9" i="11"/>
  <c r="BB9" i="11"/>
  <c r="BE9" i="11"/>
  <c r="AT6" i="11"/>
  <c r="H6" i="11"/>
  <c r="BS6" i="11" s="1"/>
  <c r="AU50" i="11"/>
  <c r="BF50" i="11"/>
  <c r="BG19" i="11"/>
  <c r="Y19" i="11"/>
  <c r="BR19" i="11" s="1"/>
  <c r="AV19" i="11"/>
  <c r="BE19" i="11"/>
  <c r="BB19" i="11"/>
  <c r="AU49" i="11"/>
  <c r="BF49" i="11"/>
  <c r="H43" i="11"/>
  <c r="BS43" i="11" s="1"/>
  <c r="AT43" i="11"/>
  <c r="BG38" i="11"/>
  <c r="Y38" i="11"/>
  <c r="BR38" i="11" s="1"/>
  <c r="AV38" i="11"/>
  <c r="BE38" i="11"/>
  <c r="BB38" i="11"/>
  <c r="AU32" i="11"/>
  <c r="BF32" i="11"/>
  <c r="AT26" i="11"/>
  <c r="H26" i="11"/>
  <c r="BS26" i="11" s="1"/>
  <c r="AV22" i="11"/>
  <c r="BG22" i="11"/>
  <c r="Y22" i="11"/>
  <c r="BR22" i="11" s="1"/>
  <c r="BB22" i="11"/>
  <c r="BE22" i="11"/>
  <c r="BF15" i="11"/>
  <c r="AU15" i="11"/>
  <c r="AT9" i="11"/>
  <c r="H9" i="11"/>
  <c r="BS9" i="11" s="1"/>
  <c r="BF5" i="11"/>
  <c r="AU5" i="11"/>
  <c r="AT19" i="11"/>
  <c r="H19" i="11"/>
  <c r="BS19" i="11" s="1"/>
  <c r="AV47" i="11"/>
  <c r="BG47" i="11"/>
  <c r="Y47" i="11"/>
  <c r="BR47" i="11" s="1"/>
  <c r="BE47" i="11"/>
  <c r="BB47" i="11"/>
  <c r="AT45" i="11"/>
  <c r="H45" i="11"/>
  <c r="BS45" i="11" s="1"/>
  <c r="AU43" i="11"/>
  <c r="BF43" i="11"/>
  <c r="Y40" i="11"/>
  <c r="BR40" i="11" s="1"/>
  <c r="AV40" i="11"/>
  <c r="BG40" i="11"/>
  <c r="BE40" i="11"/>
  <c r="BB40" i="11"/>
  <c r="AT37" i="11"/>
  <c r="H37" i="11"/>
  <c r="BS37" i="11" s="1"/>
  <c r="AU30" i="11"/>
  <c r="BF30" i="11"/>
  <c r="BG31" i="11"/>
  <c r="AV31" i="11"/>
  <c r="Y31" i="11"/>
  <c r="BR31" i="11" s="1"/>
  <c r="BE31" i="11"/>
  <c r="BB31" i="11"/>
  <c r="H35" i="11"/>
  <c r="BS35" i="11" s="1"/>
  <c r="AT35" i="11"/>
  <c r="AU26" i="11"/>
  <c r="BF26" i="11"/>
  <c r="BG24" i="11"/>
  <c r="AV24" i="11"/>
  <c r="Y24" i="11"/>
  <c r="BR24" i="11" s="1"/>
  <c r="BE24" i="11"/>
  <c r="BB24" i="11"/>
  <c r="AT23" i="11"/>
  <c r="H23" i="11"/>
  <c r="BS23" i="11" s="1"/>
  <c r="BF18" i="11"/>
  <c r="AU18" i="11"/>
  <c r="AV14" i="11"/>
  <c r="BG14" i="11"/>
  <c r="Y14" i="11"/>
  <c r="BR14" i="11" s="1"/>
  <c r="BE14" i="11"/>
  <c r="BB14" i="11"/>
  <c r="AT11" i="11"/>
  <c r="H11" i="11"/>
  <c r="BS11" i="11" s="1"/>
  <c r="AU9" i="11"/>
  <c r="BF9" i="11"/>
  <c r="AV6" i="11"/>
  <c r="BG6" i="11"/>
  <c r="Y6" i="11"/>
  <c r="BR6" i="11" s="1"/>
  <c r="BB6" i="11"/>
  <c r="BE6" i="11"/>
  <c r="AT52" i="11"/>
  <c r="H52" i="11"/>
  <c r="BS52" i="11" s="1"/>
  <c r="BF19" i="11"/>
  <c r="AU19" i="11"/>
  <c r="BG49" i="11"/>
  <c r="Y49" i="11"/>
  <c r="BR49" i="11" s="1"/>
  <c r="AV49" i="11"/>
  <c r="BE49" i="11"/>
  <c r="BB49" i="11"/>
  <c r="BF44" i="11"/>
  <c r="AU44" i="11"/>
  <c r="H38" i="11"/>
  <c r="BS38" i="11" s="1"/>
  <c r="AT38" i="11"/>
  <c r="Y25" i="11"/>
  <c r="BR25" i="11" s="1"/>
  <c r="AV25" i="11"/>
  <c r="BG25" i="11"/>
  <c r="BB25" i="11"/>
  <c r="BE25" i="11"/>
  <c r="AU47" i="11"/>
  <c r="BF47" i="11"/>
  <c r="AV45" i="11"/>
  <c r="Y45" i="11"/>
  <c r="BR45" i="11" s="1"/>
  <c r="BG45" i="11"/>
  <c r="BE45" i="11"/>
  <c r="BB45" i="11"/>
  <c r="AT42" i="11"/>
  <c r="H42" i="11"/>
  <c r="BS42" i="11" s="1"/>
  <c r="BF40" i="11"/>
  <c r="AU40" i="11"/>
  <c r="AV37" i="11"/>
  <c r="Y37" i="11"/>
  <c r="BR37" i="11" s="1"/>
  <c r="BG37" i="11"/>
  <c r="BB37" i="11"/>
  <c r="BE37" i="11"/>
  <c r="AT33" i="11"/>
  <c r="H33" i="11"/>
  <c r="BS33" i="11" s="1"/>
  <c r="BF31" i="11"/>
  <c r="AU31" i="11"/>
  <c r="BG35" i="11"/>
  <c r="AV35" i="11"/>
  <c r="Y35" i="11"/>
  <c r="BR35" i="11" s="1"/>
  <c r="BE35" i="11"/>
  <c r="BB35" i="11"/>
  <c r="AT27" i="11"/>
  <c r="H27" i="11"/>
  <c r="BS27" i="11" s="1"/>
  <c r="BF24" i="11"/>
  <c r="AU24" i="11"/>
  <c r="AV23" i="11"/>
  <c r="BG23" i="11"/>
  <c r="Y23" i="11"/>
  <c r="BR23" i="11" s="1"/>
  <c r="BE23" i="11"/>
  <c r="BB23" i="11"/>
  <c r="H16" i="11"/>
  <c r="BS16" i="11" s="1"/>
  <c r="AT16" i="11"/>
  <c r="AU14" i="11"/>
  <c r="BF14" i="11"/>
  <c r="BG11" i="11"/>
  <c r="Y11" i="11"/>
  <c r="BR11" i="11" s="1"/>
  <c r="AV11" i="11"/>
  <c r="BE11" i="11"/>
  <c r="BB11" i="11"/>
  <c r="H8" i="11"/>
  <c r="BS8" i="11" s="1"/>
  <c r="AT8" i="11"/>
  <c r="AU6" i="11"/>
  <c r="BF6" i="11"/>
  <c r="BG52" i="11"/>
  <c r="AV52" i="11"/>
  <c r="Y52" i="11"/>
  <c r="BR52" i="11" s="1"/>
  <c r="BE52" i="11"/>
  <c r="BB52" i="11"/>
  <c r="AT7" i="11"/>
  <c r="H7" i="11"/>
  <c r="BS7" i="11" s="1"/>
  <c r="H46" i="11"/>
  <c r="BS46" i="11" s="1"/>
  <c r="AT46" i="11"/>
  <c r="AV41" i="11"/>
  <c r="BG41" i="11"/>
  <c r="Y41" i="11"/>
  <c r="BR41" i="11" s="1"/>
  <c r="BE41" i="11"/>
  <c r="BB41" i="11"/>
  <c r="AU34" i="11"/>
  <c r="BF34" i="11"/>
  <c r="BG32" i="11"/>
  <c r="AV32" i="11"/>
  <c r="Y32" i="11"/>
  <c r="BR32" i="11" s="1"/>
  <c r="BE32" i="11"/>
  <c r="BB32" i="11"/>
  <c r="AT36" i="11"/>
  <c r="H36" i="11"/>
  <c r="BS36" i="11" s="1"/>
  <c r="BF28" i="11"/>
  <c r="AU28" i="11"/>
  <c r="AT22" i="11"/>
  <c r="H22" i="11"/>
  <c r="BS22" i="11" s="1"/>
  <c r="BF20" i="11"/>
  <c r="AU20" i="11"/>
  <c r="AV15" i="11"/>
  <c r="Y15" i="11"/>
  <c r="BR15" i="11" s="1"/>
  <c r="BG15" i="11"/>
  <c r="BE15" i="11"/>
  <c r="BB15" i="11"/>
  <c r="AT12" i="11"/>
  <c r="H12" i="11"/>
  <c r="BS12" i="11" s="1"/>
  <c r="BF10" i="11"/>
  <c r="AU10" i="11"/>
  <c r="BG5" i="11"/>
  <c r="AV5" i="11"/>
  <c r="Y5" i="11"/>
  <c r="BR5" i="11" s="1"/>
  <c r="BE5" i="11"/>
  <c r="BB5" i="11"/>
  <c r="AT50" i="11"/>
  <c r="H50" i="11"/>
  <c r="BS50" i="11" s="1"/>
  <c r="BF51" i="11"/>
  <c r="AU51" i="11"/>
  <c r="Y53" i="11"/>
  <c r="BB53" i="11"/>
  <c r="H48" i="11"/>
  <c r="BS48" i="11" s="1"/>
  <c r="AT48" i="11"/>
  <c r="BF45" i="11"/>
  <c r="AU45" i="11"/>
  <c r="Y42" i="11"/>
  <c r="BR42" i="11" s="1"/>
  <c r="BG42" i="11"/>
  <c r="AV42" i="11"/>
  <c r="BE42" i="11"/>
  <c r="BB42" i="11"/>
  <c r="AT39" i="11"/>
  <c r="H39" i="11"/>
  <c r="BS39" i="11" s="1"/>
  <c r="BF37" i="11"/>
  <c r="AU37" i="11"/>
  <c r="Y33" i="11"/>
  <c r="BR33" i="11" s="1"/>
  <c r="AV33" i="11"/>
  <c r="BG33" i="11"/>
  <c r="BB33" i="11"/>
  <c r="BE33" i="11"/>
  <c r="H29" i="11"/>
  <c r="BS29" i="11" s="1"/>
  <c r="AT29" i="11"/>
  <c r="AU35" i="11"/>
  <c r="BF35" i="11"/>
  <c r="BG27" i="11"/>
  <c r="Y27" i="11"/>
  <c r="BR27" i="11" s="1"/>
  <c r="AV27" i="11"/>
  <c r="BB27" i="11"/>
  <c r="BE27" i="11"/>
  <c r="AT21" i="11"/>
  <c r="H21" i="11"/>
  <c r="BS21" i="11" s="1"/>
  <c r="AU23" i="11"/>
  <c r="BF23" i="11"/>
  <c r="BG16" i="11"/>
  <c r="Y16" i="11"/>
  <c r="BR16" i="11" s="1"/>
  <c r="AV16" i="11"/>
  <c r="BE16" i="11"/>
  <c r="BB16" i="11"/>
  <c r="AT17" i="11"/>
  <c r="H17" i="11"/>
  <c r="BS17" i="11" s="1"/>
  <c r="BF11" i="11"/>
  <c r="AU11" i="11"/>
  <c r="AV8" i="11"/>
  <c r="Y8" i="11"/>
  <c r="BR8" i="11" s="1"/>
  <c r="BG8" i="11"/>
  <c r="BE8" i="11"/>
  <c r="BB8" i="11"/>
  <c r="H3" i="11"/>
  <c r="BS3" i="11" s="1"/>
  <c r="AT3" i="11"/>
  <c r="BF52" i="11"/>
  <c r="AU52" i="11"/>
  <c r="AV7" i="11"/>
  <c r="Y7" i="11"/>
  <c r="BR7" i="11" s="1"/>
  <c r="BG7" i="11"/>
  <c r="BE7" i="11"/>
  <c r="BB7" i="11"/>
  <c r="M6" i="8"/>
  <c r="B6" i="11"/>
  <c r="C4" i="13" s="1"/>
  <c r="M45" i="8"/>
  <c r="B45" i="11"/>
  <c r="C42" i="13" s="1"/>
  <c r="M21" i="8"/>
  <c r="B21" i="11"/>
  <c r="C18" i="13" s="1"/>
  <c r="M20" i="8"/>
  <c r="B20" i="11"/>
  <c r="C17" i="13" s="1"/>
  <c r="M32" i="8"/>
  <c r="B32" i="11"/>
  <c r="C29" i="13" s="1"/>
  <c r="M43" i="8"/>
  <c r="B43" i="11"/>
  <c r="C40" i="13" s="1"/>
  <c r="M37" i="8"/>
  <c r="B37" i="11"/>
  <c r="C34" i="13" s="1"/>
  <c r="M26" i="8"/>
  <c r="M30" i="8"/>
  <c r="V51" i="5"/>
  <c r="AB111" i="2"/>
  <c r="V42" i="5"/>
  <c r="AB102" i="2"/>
  <c r="V35" i="5"/>
  <c r="AB95" i="2"/>
  <c r="V24" i="5"/>
  <c r="AB84" i="2"/>
  <c r="V20" i="5"/>
  <c r="AB80" i="2"/>
  <c r="V13" i="5"/>
  <c r="AB73" i="2"/>
  <c r="V49" i="5"/>
  <c r="AB109" i="2"/>
  <c r="V41" i="5"/>
  <c r="AB101" i="2"/>
  <c r="V38" i="5"/>
  <c r="AB98" i="2"/>
  <c r="V25" i="5"/>
  <c r="AB85" i="2"/>
  <c r="V19" i="5"/>
  <c r="AB79" i="2"/>
  <c r="V5" i="5"/>
  <c r="AB65" i="2"/>
  <c r="V10" i="5"/>
  <c r="AB70" i="2"/>
  <c r="V8" i="5"/>
  <c r="AB68" i="2"/>
  <c r="V47" i="5"/>
  <c r="AB107" i="2"/>
  <c r="V33" i="5"/>
  <c r="AB93" i="2"/>
  <c r="V31" i="5"/>
  <c r="AB91" i="2"/>
  <c r="V23" i="5"/>
  <c r="AB83" i="2"/>
  <c r="V17" i="5"/>
  <c r="AB77" i="2"/>
  <c r="V12" i="5"/>
  <c r="AB72" i="2"/>
  <c r="V40" i="5"/>
  <c r="AB100" i="2"/>
  <c r="V26" i="5"/>
  <c r="AB86" i="2"/>
  <c r="V7" i="5"/>
  <c r="AB67" i="2"/>
  <c r="V46" i="5"/>
  <c r="AB106" i="2"/>
  <c r="V32" i="5"/>
  <c r="AB92" i="2"/>
  <c r="V29" i="5"/>
  <c r="AB89" i="2"/>
  <c r="V6" i="5"/>
  <c r="AB66" i="2"/>
  <c r="V16" i="5"/>
  <c r="AB76" i="2"/>
  <c r="V48" i="5"/>
  <c r="AB108" i="2"/>
  <c r="V11" i="5"/>
  <c r="AB71" i="2"/>
  <c r="V9" i="5"/>
  <c r="AB69" i="2"/>
  <c r="V45" i="5"/>
  <c r="AB105" i="2"/>
  <c r="V39" i="5"/>
  <c r="AB99" i="2"/>
  <c r="V30" i="5"/>
  <c r="AB90" i="2"/>
  <c r="V22" i="5"/>
  <c r="AB82" i="2"/>
  <c r="V52" i="5"/>
  <c r="AB112" i="2"/>
  <c r="V44" i="5"/>
  <c r="AB104" i="2"/>
  <c r="V37" i="5"/>
  <c r="AB97" i="2"/>
  <c r="V28" i="5"/>
  <c r="AB88" i="2"/>
  <c r="V18" i="5"/>
  <c r="AB78" i="2"/>
  <c r="V15" i="5"/>
  <c r="AB75" i="2"/>
  <c r="V34" i="5"/>
  <c r="AB94" i="2"/>
  <c r="V50" i="5"/>
  <c r="AB110" i="2"/>
  <c r="V43" i="5"/>
  <c r="AB103" i="2"/>
  <c r="V36" i="5"/>
  <c r="AB96" i="2"/>
  <c r="V27" i="5"/>
  <c r="AB87" i="2"/>
  <c r="V21" i="5"/>
  <c r="AB81" i="2"/>
  <c r="V14" i="5"/>
  <c r="AB74" i="2"/>
  <c r="X105" i="2"/>
  <c r="X97" i="2"/>
  <c r="X89" i="2"/>
  <c r="X81" i="2"/>
  <c r="X73" i="2"/>
  <c r="X65" i="2"/>
  <c r="X108" i="2"/>
  <c r="X100" i="2"/>
  <c r="X92" i="2"/>
  <c r="X76" i="2"/>
  <c r="X68" i="2"/>
  <c r="X110" i="2"/>
  <c r="X102" i="2"/>
  <c r="X94" i="2"/>
  <c r="X86" i="2"/>
  <c r="X78" i="2"/>
  <c r="X70" i="2"/>
  <c r="X95" i="2"/>
  <c r="X79" i="2"/>
  <c r="X84" i="2"/>
  <c r="X64" i="2"/>
  <c r="X107" i="2"/>
  <c r="X99" i="2"/>
  <c r="X91" i="2"/>
  <c r="X83" i="2"/>
  <c r="X75" i="2"/>
  <c r="X67" i="2"/>
  <c r="X111" i="2"/>
  <c r="X103" i="2"/>
  <c r="X87" i="2"/>
  <c r="X112" i="2"/>
  <c r="X104" i="2"/>
  <c r="X96" i="2"/>
  <c r="X88" i="2"/>
  <c r="X80" i="2"/>
  <c r="X72" i="2"/>
  <c r="X109" i="2"/>
  <c r="X101" i="2"/>
  <c r="X93" i="2"/>
  <c r="X85" i="2"/>
  <c r="X77" i="2"/>
  <c r="X69" i="2"/>
  <c r="X71" i="2"/>
  <c r="X106" i="2"/>
  <c r="X98" i="2"/>
  <c r="X90" i="2"/>
  <c r="X82" i="2"/>
  <c r="X74" i="2"/>
  <c r="X66" i="2"/>
  <c r="R29" i="7"/>
  <c r="G3" i="8"/>
  <c r="M36" i="8"/>
  <c r="M8" i="8"/>
  <c r="M19" i="8"/>
  <c r="M34" i="8"/>
  <c r="M44" i="8"/>
  <c r="M27" i="8"/>
  <c r="M51" i="8"/>
  <c r="M42" i="8"/>
  <c r="M49" i="8"/>
  <c r="Z111" i="2"/>
  <c r="Z103" i="2"/>
  <c r="M15" i="8"/>
  <c r="M46" i="8"/>
  <c r="M12" i="8"/>
  <c r="T31" i="2"/>
  <c r="M11" i="8"/>
  <c r="Z56" i="2"/>
  <c r="AC56" i="2" s="1"/>
  <c r="Z48" i="2"/>
  <c r="AC48" i="2" s="1"/>
  <c r="V37" i="2"/>
  <c r="Z95" i="2"/>
  <c r="M4" i="8"/>
  <c r="M22" i="8"/>
  <c r="D53" i="8"/>
  <c r="H53" i="8"/>
  <c r="M3" i="8"/>
  <c r="C53" i="8"/>
  <c r="W31" i="8"/>
  <c r="M31" i="11" s="1"/>
  <c r="W26" i="8"/>
  <c r="M26" i="11" s="1"/>
  <c r="W49" i="8"/>
  <c r="M49" i="11" s="1"/>
  <c r="W44" i="8"/>
  <c r="M44" i="11" s="1"/>
  <c r="W19" i="8"/>
  <c r="M19" i="11" s="1"/>
  <c r="W5" i="8"/>
  <c r="M5" i="11" s="1"/>
  <c r="W27" i="8"/>
  <c r="M27" i="11" s="1"/>
  <c r="W40" i="8"/>
  <c r="M40" i="11" s="1"/>
  <c r="W8" i="8"/>
  <c r="M8" i="11" s="1"/>
  <c r="W18" i="8"/>
  <c r="M18" i="11" s="1"/>
  <c r="W41" i="8"/>
  <c r="M41" i="11" s="1"/>
  <c r="W53" i="8"/>
  <c r="M53" i="11" s="1"/>
  <c r="W36" i="8"/>
  <c r="M36" i="11" s="1"/>
  <c r="W11" i="8"/>
  <c r="M11" i="11" s="1"/>
  <c r="W39" i="8"/>
  <c r="M39" i="11" s="1"/>
  <c r="W34" i="8"/>
  <c r="M34" i="11" s="1"/>
  <c r="W24" i="8"/>
  <c r="M24" i="11" s="1"/>
  <c r="W6" i="8"/>
  <c r="M6" i="11" s="1"/>
  <c r="W22" i="8"/>
  <c r="M22" i="11" s="1"/>
  <c r="W30" i="8"/>
  <c r="M30" i="11" s="1"/>
  <c r="W10" i="8"/>
  <c r="M10" i="11" s="1"/>
  <c r="W33" i="8"/>
  <c r="M33" i="11" s="1"/>
  <c r="W45" i="8"/>
  <c r="M45" i="11" s="1"/>
  <c r="W28" i="8"/>
  <c r="M28" i="11" s="1"/>
  <c r="W48" i="8"/>
  <c r="M48" i="11" s="1"/>
  <c r="W38" i="8"/>
  <c r="M38" i="11" s="1"/>
  <c r="W32" i="8"/>
  <c r="M32" i="11" s="1"/>
  <c r="W7" i="8"/>
  <c r="M7" i="11" s="1"/>
  <c r="W25" i="8"/>
  <c r="M25" i="11" s="1"/>
  <c r="W37" i="8"/>
  <c r="M37" i="11" s="1"/>
  <c r="W20" i="8"/>
  <c r="M20" i="11" s="1"/>
  <c r="W47" i="8"/>
  <c r="M47" i="11" s="1"/>
  <c r="W15" i="8"/>
  <c r="M15" i="11" s="1"/>
  <c r="W14" i="8"/>
  <c r="M14" i="11" s="1"/>
  <c r="W17" i="8"/>
  <c r="M17" i="11" s="1"/>
  <c r="W29" i="8"/>
  <c r="M29" i="11" s="1"/>
  <c r="W12" i="8"/>
  <c r="M12" i="11" s="1"/>
  <c r="W51" i="8"/>
  <c r="M51" i="11" s="1"/>
  <c r="W50" i="8"/>
  <c r="M50" i="11" s="1"/>
  <c r="W9" i="8"/>
  <c r="M9" i="11" s="1"/>
  <c r="W21" i="8"/>
  <c r="M21" i="11" s="1"/>
  <c r="W4" i="8"/>
  <c r="M4" i="11" s="1"/>
  <c r="W43" i="8"/>
  <c r="M43" i="11" s="1"/>
  <c r="W16" i="8"/>
  <c r="M16" i="11" s="1"/>
  <c r="W3" i="8"/>
  <c r="M3" i="11" s="1"/>
  <c r="W52" i="8"/>
  <c r="M52" i="11" s="1"/>
  <c r="W46" i="8"/>
  <c r="M46" i="11" s="1"/>
  <c r="W23" i="8"/>
  <c r="M23" i="11" s="1"/>
  <c r="W42" i="8"/>
  <c r="M42" i="11" s="1"/>
  <c r="W13" i="8"/>
  <c r="M13" i="11" s="1"/>
  <c r="W35" i="8"/>
  <c r="M35" i="11" s="1"/>
  <c r="G53" i="8"/>
  <c r="M35" i="8"/>
  <c r="M52" i="8"/>
  <c r="M5" i="8"/>
  <c r="M38" i="8"/>
  <c r="M48" i="8"/>
  <c r="M18" i="8"/>
  <c r="AC8" i="8"/>
  <c r="AC16" i="8"/>
  <c r="AC24" i="8"/>
  <c r="AC32" i="8"/>
  <c r="AC40" i="8"/>
  <c r="AC48" i="8"/>
  <c r="AC3" i="8"/>
  <c r="AC11" i="8"/>
  <c r="AC19" i="8"/>
  <c r="AC27" i="8"/>
  <c r="AC35" i="8"/>
  <c r="AC43" i="8"/>
  <c r="AC51" i="8"/>
  <c r="AC33" i="8"/>
  <c r="AC49" i="8"/>
  <c r="AC6" i="8"/>
  <c r="AC14" i="8"/>
  <c r="AC22" i="8"/>
  <c r="AC30" i="8"/>
  <c r="AC38" i="8"/>
  <c r="AC46" i="8"/>
  <c r="AC9" i="8"/>
  <c r="AC17" i="8"/>
  <c r="AC41" i="8"/>
  <c r="AC4" i="8"/>
  <c r="AC12" i="8"/>
  <c r="AC20" i="8"/>
  <c r="AC28" i="8"/>
  <c r="AC36" i="8"/>
  <c r="AC44" i="8"/>
  <c r="AC52" i="8"/>
  <c r="AC31" i="8"/>
  <c r="AC39" i="8"/>
  <c r="AC47" i="8"/>
  <c r="AC7" i="8"/>
  <c r="AC15" i="8"/>
  <c r="AC23" i="8"/>
  <c r="AC10" i="8"/>
  <c r="AC18" i="8"/>
  <c r="AC26" i="8"/>
  <c r="AC34" i="8"/>
  <c r="AC42" i="8"/>
  <c r="AC50" i="8"/>
  <c r="AC25" i="8"/>
  <c r="AC5" i="8"/>
  <c r="AC13" i="8"/>
  <c r="AC21" i="8"/>
  <c r="AC29" i="8"/>
  <c r="AC37" i="8"/>
  <c r="AC45" i="8"/>
  <c r="AC53" i="8"/>
  <c r="M53" i="8"/>
  <c r="M7" i="8"/>
  <c r="M39" i="8"/>
  <c r="M24" i="8"/>
  <c r="M13" i="8"/>
  <c r="M47" i="8"/>
  <c r="M16" i="8"/>
  <c r="M23" i="8"/>
  <c r="M17" i="8"/>
  <c r="Z98" i="2"/>
  <c r="AC98" i="2" s="1"/>
  <c r="Z90" i="2"/>
  <c r="Z82" i="2"/>
  <c r="M33" i="8"/>
  <c r="M41" i="8"/>
  <c r="D44" i="8"/>
  <c r="D4" i="8"/>
  <c r="D37" i="8"/>
  <c r="D21" i="8"/>
  <c r="D50" i="8"/>
  <c r="D40" i="8"/>
  <c r="D8" i="8"/>
  <c r="D10" i="8"/>
  <c r="D5" i="8"/>
  <c r="D43" i="8"/>
  <c r="D27" i="8"/>
  <c r="D11" i="8"/>
  <c r="D23" i="8"/>
  <c r="D26" i="8"/>
  <c r="D12" i="8"/>
  <c r="D51" i="8"/>
  <c r="D35" i="8"/>
  <c r="D19" i="8"/>
  <c r="D14" i="8"/>
  <c r="D46" i="8"/>
  <c r="D24" i="8"/>
  <c r="BB30" i="8"/>
  <c r="D36" i="8"/>
  <c r="D49" i="8"/>
  <c r="D33" i="8"/>
  <c r="D17" i="8"/>
  <c r="D7" i="8"/>
  <c r="D22" i="8"/>
  <c r="D41" i="8"/>
  <c r="D25" i="8"/>
  <c r="D16" i="8"/>
  <c r="D6" i="8"/>
  <c r="D52" i="8"/>
  <c r="D42" i="8"/>
  <c r="D32" i="8"/>
  <c r="D28" i="8"/>
  <c r="D47" i="8"/>
  <c r="D31" i="8"/>
  <c r="D15" i="8"/>
  <c r="D30" i="8"/>
  <c r="D9" i="8"/>
  <c r="D3" i="8"/>
  <c r="D38" i="8"/>
  <c r="D20" i="8"/>
  <c r="D48" i="8"/>
  <c r="D45" i="8"/>
  <c r="D29" i="8"/>
  <c r="D13" i="8"/>
  <c r="D18" i="8"/>
  <c r="D34" i="8"/>
  <c r="D39" i="8"/>
  <c r="H23" i="8"/>
  <c r="H15" i="8"/>
  <c r="H49" i="8"/>
  <c r="H33" i="8"/>
  <c r="H34" i="8"/>
  <c r="H4" i="8"/>
  <c r="H12" i="8"/>
  <c r="H19" i="8"/>
  <c r="H11" i="8"/>
  <c r="H42" i="8"/>
  <c r="H18" i="8"/>
  <c r="H40" i="8"/>
  <c r="H22" i="8"/>
  <c r="H14" i="8"/>
  <c r="H47" i="8"/>
  <c r="H48" i="8"/>
  <c r="H30" i="8"/>
  <c r="H8" i="8"/>
  <c r="H28" i="8"/>
  <c r="H20" i="8"/>
  <c r="H43" i="8"/>
  <c r="H44" i="8"/>
  <c r="H10" i="8"/>
  <c r="H27" i="8"/>
  <c r="H41" i="8"/>
  <c r="H7" i="8"/>
  <c r="H29" i="8"/>
  <c r="H21" i="8"/>
  <c r="H13" i="8"/>
  <c r="H45" i="8"/>
  <c r="H46" i="8"/>
  <c r="H32" i="8"/>
  <c r="H5" i="8"/>
  <c r="H6" i="8"/>
  <c r="H31" i="8"/>
  <c r="H26" i="8"/>
  <c r="H39" i="8"/>
  <c r="H52" i="8"/>
  <c r="L52" i="8" s="1"/>
  <c r="H9" i="8"/>
  <c r="H25" i="8"/>
  <c r="H17" i="8"/>
  <c r="H51" i="8"/>
  <c r="H37" i="8"/>
  <c r="H38" i="8"/>
  <c r="H24" i="8"/>
  <c r="H16" i="8"/>
  <c r="H50" i="8"/>
  <c r="H35" i="8"/>
  <c r="H36" i="8"/>
  <c r="H3" i="8"/>
  <c r="J37" i="7"/>
  <c r="J49" i="7"/>
  <c r="J53" i="7"/>
  <c r="J78" i="7"/>
  <c r="J63" i="7"/>
  <c r="J60" i="7"/>
  <c r="J29" i="7"/>
  <c r="J75" i="7"/>
  <c r="J69" i="7"/>
  <c r="J50" i="7"/>
  <c r="J59" i="7"/>
  <c r="J41" i="7"/>
  <c r="J52" i="7"/>
  <c r="J57" i="7"/>
  <c r="J54" i="7"/>
  <c r="J56" i="7"/>
  <c r="J45" i="7"/>
  <c r="J71" i="7"/>
  <c r="J62" i="7"/>
  <c r="J76" i="7"/>
  <c r="J42" i="7"/>
  <c r="J48" i="7"/>
  <c r="J61" i="7"/>
  <c r="J64" i="7"/>
  <c r="J58" i="7"/>
  <c r="J40" i="7"/>
  <c r="J44" i="7"/>
  <c r="J73" i="7"/>
  <c r="J31" i="7"/>
  <c r="J70" i="7"/>
  <c r="J34" i="7"/>
  <c r="J77" i="7"/>
  <c r="J66" i="7"/>
  <c r="J30" i="7"/>
  <c r="J74" i="7"/>
  <c r="J79" i="7"/>
  <c r="J46" i="7"/>
  <c r="J51" i="7"/>
  <c r="J38" i="7"/>
  <c r="J65" i="7"/>
  <c r="J33" i="7"/>
  <c r="J36" i="7"/>
  <c r="J43" i="7"/>
  <c r="J68" i="7"/>
  <c r="J47" i="7"/>
  <c r="J35" i="7"/>
  <c r="J39" i="7"/>
  <c r="J55" i="7"/>
  <c r="J32" i="7"/>
  <c r="J72" i="7"/>
  <c r="J67" i="7"/>
  <c r="C4" i="8"/>
  <c r="C12" i="8"/>
  <c r="C20" i="8"/>
  <c r="C28" i="8"/>
  <c r="C36" i="8"/>
  <c r="C44" i="8"/>
  <c r="C52" i="8"/>
  <c r="C16" i="8"/>
  <c r="C5" i="8"/>
  <c r="C13" i="8"/>
  <c r="C21" i="8"/>
  <c r="C29" i="8"/>
  <c r="C37" i="8"/>
  <c r="C45" i="8"/>
  <c r="C3" i="8"/>
  <c r="C32" i="8"/>
  <c r="C25" i="8"/>
  <c r="C6" i="8"/>
  <c r="C14" i="8"/>
  <c r="C22" i="8"/>
  <c r="C30" i="8"/>
  <c r="C38" i="8"/>
  <c r="C46" i="8"/>
  <c r="C24" i="8"/>
  <c r="C48" i="8"/>
  <c r="BA30" i="8"/>
  <c r="BA33" i="8" s="1"/>
  <c r="BA34" i="8" s="1"/>
  <c r="C9" i="8"/>
  <c r="C7" i="8"/>
  <c r="C15" i="8"/>
  <c r="C23" i="8"/>
  <c r="C31" i="8"/>
  <c r="C39" i="8"/>
  <c r="C47" i="8"/>
  <c r="C10" i="8"/>
  <c r="C18" i="8"/>
  <c r="C26" i="8"/>
  <c r="C34" i="8"/>
  <c r="C42" i="8"/>
  <c r="C50" i="8"/>
  <c r="C8" i="8"/>
  <c r="C33" i="8"/>
  <c r="C41" i="8"/>
  <c r="C11" i="8"/>
  <c r="C19" i="8"/>
  <c r="C27" i="8"/>
  <c r="C35" i="8"/>
  <c r="C43" i="8"/>
  <c r="C51" i="8"/>
  <c r="C40" i="8"/>
  <c r="C17" i="8"/>
  <c r="C49" i="8"/>
  <c r="G27" i="8"/>
  <c r="G19" i="8"/>
  <c r="G11" i="8"/>
  <c r="G52" i="8"/>
  <c r="G45" i="8"/>
  <c r="G6" i="8"/>
  <c r="G35" i="8"/>
  <c r="G8" i="8"/>
  <c r="G39" i="8"/>
  <c r="G48" i="8"/>
  <c r="G26" i="8"/>
  <c r="G18" i="8"/>
  <c r="G51" i="8"/>
  <c r="G36" i="8"/>
  <c r="G37" i="8"/>
  <c r="G10" i="8"/>
  <c r="G32" i="8"/>
  <c r="G41" i="8"/>
  <c r="G34" i="8"/>
  <c r="G4" i="8"/>
  <c r="G22" i="8"/>
  <c r="G25" i="8"/>
  <c r="G17" i="8"/>
  <c r="G43" i="8"/>
  <c r="G49" i="8"/>
  <c r="G40" i="8"/>
  <c r="G24" i="8"/>
  <c r="G47" i="8"/>
  <c r="G31" i="8"/>
  <c r="G15" i="8"/>
  <c r="G33" i="8"/>
  <c r="G14" i="8"/>
  <c r="G16" i="8"/>
  <c r="G23" i="8"/>
  <c r="G9" i="8"/>
  <c r="G30" i="8"/>
  <c r="G44" i="8"/>
  <c r="G29" i="8"/>
  <c r="G21" i="8"/>
  <c r="G13" i="8"/>
  <c r="G46" i="8"/>
  <c r="G50" i="8"/>
  <c r="G5" i="8"/>
  <c r="G28" i="8"/>
  <c r="G20" i="8"/>
  <c r="G12" i="8"/>
  <c r="G38" i="8"/>
  <c r="G42" i="8"/>
  <c r="G7" i="8"/>
  <c r="M31" i="8"/>
  <c r="M28" i="8"/>
  <c r="M50" i="8"/>
  <c r="Z60" i="2"/>
  <c r="AC60" i="2" s="1"/>
  <c r="Z52" i="2"/>
  <c r="AC52" i="2" s="1"/>
  <c r="Z44" i="2"/>
  <c r="AC44" i="2" s="1"/>
  <c r="Z36" i="2"/>
  <c r="AC36" i="2" s="1"/>
  <c r="V33" i="2"/>
  <c r="M10" i="8"/>
  <c r="M29" i="8"/>
  <c r="M25" i="8"/>
  <c r="M40" i="8"/>
  <c r="M14" i="8"/>
  <c r="M9" i="8"/>
  <c r="Z63" i="2"/>
  <c r="AC63" i="2" s="1"/>
  <c r="Z55" i="2"/>
  <c r="AC55" i="2" s="1"/>
  <c r="Z47" i="2"/>
  <c r="AC47" i="2" s="1"/>
  <c r="T17" i="2"/>
  <c r="T9" i="2"/>
  <c r="Z107" i="2"/>
  <c r="AC107" i="2" s="1"/>
  <c r="Z99" i="2"/>
  <c r="AC99" i="2" s="1"/>
  <c r="Z91" i="2"/>
  <c r="AC91" i="2" s="1"/>
  <c r="Z83" i="2"/>
  <c r="AC83" i="2" s="1"/>
  <c r="Z75" i="2"/>
  <c r="AC75" i="2" s="1"/>
  <c r="T41" i="2"/>
  <c r="V62" i="2"/>
  <c r="V46" i="2"/>
  <c r="Z39" i="2"/>
  <c r="AC39" i="2" s="1"/>
  <c r="Z110" i="2"/>
  <c r="AC110" i="2" s="1"/>
  <c r="Z102" i="2"/>
  <c r="Z94" i="2"/>
  <c r="AC94" i="2" s="1"/>
  <c r="Z86" i="2"/>
  <c r="Z78" i="2"/>
  <c r="AC78" i="2" s="1"/>
  <c r="Z70" i="2"/>
  <c r="V19" i="2"/>
  <c r="Z59" i="2"/>
  <c r="AC59" i="2" s="1"/>
  <c r="Z51" i="2"/>
  <c r="AC51" i="2" s="1"/>
  <c r="Z43" i="2"/>
  <c r="AC43" i="2" s="1"/>
  <c r="Z35" i="2"/>
  <c r="AC35" i="2" s="1"/>
  <c r="Z106" i="2"/>
  <c r="AC106" i="2" s="1"/>
  <c r="Z74" i="2"/>
  <c r="AC74" i="2" s="1"/>
  <c r="T29" i="2"/>
  <c r="T21" i="2"/>
  <c r="Z87" i="2"/>
  <c r="Z79" i="2"/>
  <c r="AC79" i="2" s="1"/>
  <c r="Z71" i="2"/>
  <c r="V50" i="2"/>
  <c r="Z57" i="2"/>
  <c r="AC57" i="2" s="1"/>
  <c r="Z45" i="2"/>
  <c r="AC45" i="2" s="1"/>
  <c r="Z41" i="2"/>
  <c r="AC41" i="2" s="1"/>
  <c r="Z37" i="2"/>
  <c r="AC37" i="2" s="1"/>
  <c r="Z112" i="2"/>
  <c r="AC112" i="2" s="1"/>
  <c r="Z108" i="2"/>
  <c r="AC108" i="2" s="1"/>
  <c r="Z104" i="2"/>
  <c r="AC104" i="2" s="1"/>
  <c r="Z100" i="2"/>
  <c r="AC100" i="2" s="1"/>
  <c r="Z96" i="2"/>
  <c r="AC96" i="2" s="1"/>
  <c r="Z92" i="2"/>
  <c r="Z88" i="2"/>
  <c r="Z84" i="2"/>
  <c r="AC84" i="2" s="1"/>
  <c r="Z80" i="2"/>
  <c r="Z76" i="2"/>
  <c r="AC76" i="2" s="1"/>
  <c r="Z72" i="2"/>
  <c r="AC72" i="2" s="1"/>
  <c r="Z105" i="2"/>
  <c r="AC105" i="2" s="1"/>
  <c r="Z93" i="2"/>
  <c r="AC93" i="2" s="1"/>
  <c r="Z89" i="2"/>
  <c r="Z85" i="2"/>
  <c r="T94" i="2"/>
  <c r="T109" i="2"/>
  <c r="Z2" i="2"/>
  <c r="AC2" i="2" s="1"/>
  <c r="T93" i="2"/>
  <c r="T47" i="2"/>
  <c r="T43" i="2"/>
  <c r="V39" i="2"/>
  <c r="T35" i="2"/>
  <c r="V31" i="2"/>
  <c r="V11" i="2"/>
  <c r="V7" i="2"/>
  <c r="V3" i="2"/>
  <c r="T74" i="2"/>
  <c r="T54" i="2"/>
  <c r="T110" i="2"/>
  <c r="Z62" i="2"/>
  <c r="AC62" i="2" s="1"/>
  <c r="Z58" i="2"/>
  <c r="AC58" i="2" s="1"/>
  <c r="Z54" i="2"/>
  <c r="AC54" i="2" s="1"/>
  <c r="Z50" i="2"/>
  <c r="AC50" i="2" s="1"/>
  <c r="Z46" i="2"/>
  <c r="AC46" i="2" s="1"/>
  <c r="Z42" i="2"/>
  <c r="AC42" i="2" s="1"/>
  <c r="Z38" i="2"/>
  <c r="AC38" i="2" s="1"/>
  <c r="Z34" i="2"/>
  <c r="AC34" i="2" s="1"/>
  <c r="Z109" i="2"/>
  <c r="AC109" i="2" s="1"/>
  <c r="Z101" i="2"/>
  <c r="AC101" i="2" s="1"/>
  <c r="Z97" i="2"/>
  <c r="Z81" i="2"/>
  <c r="AC81" i="2" s="1"/>
  <c r="Z77" i="2"/>
  <c r="AC77" i="2" s="1"/>
  <c r="Z73" i="2"/>
  <c r="T92" i="2"/>
  <c r="T80" i="2"/>
  <c r="T90" i="2"/>
  <c r="T89" i="2"/>
  <c r="T77" i="2"/>
  <c r="T78" i="2"/>
  <c r="T48" i="2"/>
  <c r="T85" i="2"/>
  <c r="T71" i="2"/>
  <c r="V60" i="2"/>
  <c r="T56" i="2"/>
  <c r="V52" i="2"/>
  <c r="V48" i="2"/>
  <c r="T32" i="2"/>
  <c r="T28" i="2"/>
  <c r="V24" i="2"/>
  <c r="T20" i="2"/>
  <c r="T16" i="2"/>
  <c r="V12" i="2"/>
  <c r="T8" i="2"/>
  <c r="T4" i="2"/>
  <c r="T91" i="2"/>
  <c r="T79" i="2"/>
  <c r="T75" i="2"/>
  <c r="T86" i="2"/>
  <c r="T108" i="2"/>
  <c r="T58" i="2"/>
  <c r="V34" i="2"/>
  <c r="T72" i="2"/>
  <c r="T88" i="2"/>
  <c r="T76" i="2"/>
  <c r="T87" i="2"/>
  <c r="T34" i="2"/>
  <c r="T37" i="2"/>
  <c r="T106" i="2"/>
  <c r="V58" i="2"/>
  <c r="T105" i="2"/>
  <c r="T104" i="2"/>
  <c r="T103" i="2"/>
  <c r="T102" i="2"/>
  <c r="T101" i="2"/>
  <c r="T100" i="2"/>
  <c r="Z66" i="2"/>
  <c r="AC66" i="2" s="1"/>
  <c r="T99" i="2"/>
  <c r="Z67" i="2"/>
  <c r="AC67" i="2" s="1"/>
  <c r="T112" i="2"/>
  <c r="T98" i="2"/>
  <c r="T82" i="2"/>
  <c r="T70" i="2"/>
  <c r="V63" i="2"/>
  <c r="V59" i="2"/>
  <c r="T55" i="2"/>
  <c r="V51" i="2"/>
  <c r="V47" i="2"/>
  <c r="V42" i="2"/>
  <c r="V38" i="2"/>
  <c r="Z64" i="2"/>
  <c r="T111" i="2"/>
  <c r="T97" i="2"/>
  <c r="T81" i="2"/>
  <c r="T96" i="2"/>
  <c r="T84" i="2"/>
  <c r="T73" i="2"/>
  <c r="T107" i="2"/>
  <c r="T95" i="2"/>
  <c r="T83" i="2"/>
  <c r="T38" i="2"/>
  <c r="V55" i="2"/>
  <c r="V54" i="2"/>
  <c r="T63" i="2"/>
  <c r="Z65" i="2"/>
  <c r="AC65" i="2" s="1"/>
  <c r="T62" i="2"/>
  <c r="V61" i="2"/>
  <c r="V57" i="2"/>
  <c r="V53" i="2"/>
  <c r="V49" i="2"/>
  <c r="V44" i="2"/>
  <c r="V40" i="2"/>
  <c r="V36" i="2"/>
  <c r="Z69" i="2"/>
  <c r="AC69" i="2" s="1"/>
  <c r="V41" i="2"/>
  <c r="Z53" i="2"/>
  <c r="AC53" i="2" s="1"/>
  <c r="T61" i="2"/>
  <c r="T57" i="2"/>
  <c r="T53" i="2"/>
  <c r="T49" i="2"/>
  <c r="T44" i="2"/>
  <c r="T40" i="2"/>
  <c r="T36" i="2"/>
  <c r="T51" i="2"/>
  <c r="T59" i="2"/>
  <c r="Z40" i="2"/>
  <c r="AC40" i="2" s="1"/>
  <c r="T67" i="2"/>
  <c r="T50" i="2"/>
  <c r="T23" i="2"/>
  <c r="T42" i="2"/>
  <c r="V35" i="2"/>
  <c r="V45" i="2"/>
  <c r="Z61" i="2"/>
  <c r="AC61" i="2" s="1"/>
  <c r="Z49" i="2"/>
  <c r="AC49" i="2" s="1"/>
  <c r="T52" i="2"/>
  <c r="V56" i="2"/>
  <c r="T39" i="2"/>
  <c r="T68" i="2"/>
  <c r="T60" i="2"/>
  <c r="V43" i="2"/>
  <c r="T46" i="2"/>
  <c r="T45" i="2"/>
  <c r="V14" i="2"/>
  <c r="V29" i="2"/>
  <c r="V25" i="2"/>
  <c r="V21" i="2"/>
  <c r="V17" i="2"/>
  <c r="V13" i="2"/>
  <c r="V9" i="2"/>
  <c r="V5" i="2"/>
  <c r="T33" i="2"/>
  <c r="T5" i="2"/>
  <c r="T69" i="2"/>
  <c r="T11" i="2"/>
  <c r="T3" i="2"/>
  <c r="T66" i="2"/>
  <c r="T2" i="2"/>
  <c r="T30" i="2"/>
  <c r="T26" i="2"/>
  <c r="T22" i="2"/>
  <c r="T18" i="2"/>
  <c r="T10" i="2"/>
  <c r="T6" i="2"/>
  <c r="T65" i="2"/>
  <c r="V23" i="2"/>
  <c r="Z68" i="2"/>
  <c r="V26" i="2"/>
  <c r="T64" i="2"/>
  <c r="V2" i="2"/>
  <c r="V22" i="2"/>
  <c r="V10" i="2"/>
  <c r="T27" i="2"/>
  <c r="T19" i="2"/>
  <c r="T15" i="2"/>
  <c r="T7" i="2"/>
  <c r="V32" i="2"/>
  <c r="V20" i="2"/>
  <c r="V8" i="2"/>
  <c r="V30" i="2"/>
  <c r="V18" i="2"/>
  <c r="V6" i="2"/>
  <c r="V28" i="2"/>
  <c r="V16" i="2"/>
  <c r="V4" i="2"/>
  <c r="T25" i="2"/>
  <c r="V27" i="2"/>
  <c r="V15" i="2"/>
  <c r="T14" i="2"/>
  <c r="T24" i="2"/>
  <c r="T12" i="2"/>
  <c r="T13" i="2"/>
  <c r="Z33" i="2"/>
  <c r="AC33" i="2" s="1"/>
  <c r="Z29" i="2"/>
  <c r="AC29" i="2" s="1"/>
  <c r="Z25" i="2"/>
  <c r="AC25" i="2" s="1"/>
  <c r="Z21" i="2"/>
  <c r="AC21" i="2" s="1"/>
  <c r="Z17" i="2"/>
  <c r="AC17" i="2" s="1"/>
  <c r="Z13" i="2"/>
  <c r="AC13" i="2" s="1"/>
  <c r="Z9" i="2"/>
  <c r="AC9" i="2" s="1"/>
  <c r="Z32" i="2"/>
  <c r="AC32" i="2" s="1"/>
  <c r="Z28" i="2"/>
  <c r="AC28" i="2" s="1"/>
  <c r="Z24" i="2"/>
  <c r="AC24" i="2" s="1"/>
  <c r="Z20" i="2"/>
  <c r="AC20" i="2" s="1"/>
  <c r="Z16" i="2"/>
  <c r="AC16" i="2" s="1"/>
  <c r="Z12" i="2"/>
  <c r="AC12" i="2" s="1"/>
  <c r="Z8" i="2"/>
  <c r="AC8" i="2" s="1"/>
  <c r="Z4" i="2"/>
  <c r="AC4" i="2" s="1"/>
  <c r="Z5" i="2"/>
  <c r="AC5" i="2" s="1"/>
  <c r="Z31" i="2"/>
  <c r="AC31" i="2" s="1"/>
  <c r="Z27" i="2"/>
  <c r="AC27" i="2" s="1"/>
  <c r="Z23" i="2"/>
  <c r="AC23" i="2" s="1"/>
  <c r="Z19" i="2"/>
  <c r="AC19" i="2" s="1"/>
  <c r="Z15" i="2"/>
  <c r="AC15" i="2" s="1"/>
  <c r="Z11" i="2"/>
  <c r="AC11" i="2" s="1"/>
  <c r="Z7" i="2"/>
  <c r="AC7" i="2" s="1"/>
  <c r="Z3" i="2"/>
  <c r="AC3" i="2" s="1"/>
  <c r="Z30" i="2"/>
  <c r="AC30" i="2" s="1"/>
  <c r="Z26" i="2"/>
  <c r="AC26" i="2" s="1"/>
  <c r="Z22" i="2"/>
  <c r="AC22" i="2" s="1"/>
  <c r="Z18" i="2"/>
  <c r="AC18" i="2" s="1"/>
  <c r="Z14" i="2"/>
  <c r="AC14" i="2" s="1"/>
  <c r="Z10" i="2"/>
  <c r="AC10" i="2" s="1"/>
  <c r="Z6" i="2"/>
  <c r="AC6" i="2" s="1"/>
  <c r="L31" i="8" l="1"/>
  <c r="Q54" i="11"/>
  <c r="BR53" i="11"/>
  <c r="BQ53" i="11"/>
  <c r="BQ7" i="11"/>
  <c r="I5" i="10"/>
  <c r="BQ11" i="11"/>
  <c r="I9" i="10"/>
  <c r="BQ28" i="11"/>
  <c r="I25" i="10"/>
  <c r="BQ5" i="11"/>
  <c r="I3" i="10"/>
  <c r="BQ49" i="11"/>
  <c r="I46" i="10"/>
  <c r="BQ48" i="11"/>
  <c r="I45" i="10"/>
  <c r="BQ26" i="11"/>
  <c r="I23" i="10"/>
  <c r="BQ37" i="11"/>
  <c r="I34" i="10"/>
  <c r="BQ8" i="11"/>
  <c r="I6" i="10"/>
  <c r="BQ42" i="11"/>
  <c r="I39" i="10"/>
  <c r="BQ47" i="11"/>
  <c r="I44" i="10"/>
  <c r="BQ9" i="11"/>
  <c r="I7" i="10"/>
  <c r="BQ34" i="11"/>
  <c r="I31" i="10"/>
  <c r="BQ16" i="11"/>
  <c r="I13" i="10"/>
  <c r="BQ12" i="11"/>
  <c r="I10" i="10"/>
  <c r="BQ30" i="11"/>
  <c r="I27" i="10"/>
  <c r="BQ15" i="11"/>
  <c r="I12" i="10"/>
  <c r="BQ38" i="11"/>
  <c r="I35" i="10"/>
  <c r="BQ41" i="11"/>
  <c r="I38" i="10"/>
  <c r="BQ52" i="11"/>
  <c r="I49" i="10"/>
  <c r="BQ50" i="11"/>
  <c r="I47" i="10"/>
  <c r="BQ29" i="11"/>
  <c r="I26" i="10"/>
  <c r="BQ24" i="11"/>
  <c r="I21" i="10"/>
  <c r="BQ18" i="11"/>
  <c r="I15" i="10"/>
  <c r="BQ21" i="11"/>
  <c r="I18" i="10"/>
  <c r="BQ32" i="11"/>
  <c r="I29" i="10"/>
  <c r="BQ17" i="11"/>
  <c r="I14" i="10"/>
  <c r="BQ36" i="11"/>
  <c r="I33" i="10"/>
  <c r="BQ45" i="11"/>
  <c r="I42" i="10"/>
  <c r="BQ3" i="11"/>
  <c r="I2" i="10"/>
  <c r="BQ6" i="11"/>
  <c r="I4" i="10"/>
  <c r="BQ51" i="11"/>
  <c r="I48" i="10"/>
  <c r="BQ39" i="11"/>
  <c r="I36" i="10"/>
  <c r="BQ31" i="11"/>
  <c r="I28" i="10"/>
  <c r="BQ33" i="11"/>
  <c r="I30" i="10"/>
  <c r="BQ14" i="11"/>
  <c r="I11" i="10"/>
  <c r="BQ22" i="11"/>
  <c r="I19" i="10"/>
  <c r="BQ44" i="11"/>
  <c r="I41" i="10"/>
  <c r="BQ23" i="11"/>
  <c r="I20" i="10"/>
  <c r="BQ25" i="11"/>
  <c r="I22" i="10"/>
  <c r="BQ19" i="11"/>
  <c r="I16" i="10"/>
  <c r="BQ35" i="11"/>
  <c r="I32" i="10"/>
  <c r="BQ46" i="11"/>
  <c r="I43" i="10"/>
  <c r="BQ10" i="11"/>
  <c r="I8" i="10"/>
  <c r="BQ43" i="11"/>
  <c r="I40" i="10"/>
  <c r="BQ40" i="11"/>
  <c r="I37" i="10"/>
  <c r="BQ27" i="11"/>
  <c r="I24" i="10"/>
  <c r="BQ20" i="11"/>
  <c r="I17" i="10"/>
  <c r="AR50" i="11"/>
  <c r="AR8" i="11"/>
  <c r="AR37" i="11"/>
  <c r="AR29" i="11"/>
  <c r="AR39" i="11"/>
  <c r="AR12" i="11"/>
  <c r="AR16" i="11"/>
  <c r="AR27" i="11"/>
  <c r="AR45" i="11"/>
  <c r="AR6" i="11"/>
  <c r="AR20" i="11"/>
  <c r="AR34" i="11"/>
  <c r="AR19" i="11"/>
  <c r="AR22" i="11"/>
  <c r="AR33" i="11"/>
  <c r="AR38" i="11"/>
  <c r="AR14" i="11"/>
  <c r="AR18" i="11"/>
  <c r="AR48" i="11"/>
  <c r="AR42" i="11"/>
  <c r="AR30" i="11"/>
  <c r="AR52" i="11"/>
  <c r="AR9" i="11"/>
  <c r="AR24" i="11"/>
  <c r="AR5" i="11"/>
  <c r="AR51" i="11"/>
  <c r="AR46" i="11"/>
  <c r="AR11" i="11"/>
  <c r="AR26" i="11"/>
  <c r="AR31" i="11"/>
  <c r="AR15" i="11"/>
  <c r="AR35" i="11"/>
  <c r="AR49" i="11"/>
  <c r="AR3" i="11"/>
  <c r="AR17" i="11"/>
  <c r="AR36" i="11"/>
  <c r="AR7" i="11"/>
  <c r="AR23" i="11"/>
  <c r="AR40" i="11"/>
  <c r="AR25" i="11"/>
  <c r="AR10" i="11"/>
  <c r="AR44" i="11"/>
  <c r="AR21" i="11"/>
  <c r="AR43" i="11"/>
  <c r="AR47" i="11"/>
  <c r="AR32" i="11"/>
  <c r="AR41" i="11"/>
  <c r="AR28" i="11"/>
  <c r="BG53" i="11"/>
  <c r="BG55" i="11" s="1"/>
  <c r="BF53" i="11"/>
  <c r="BF55" i="11" s="1"/>
  <c r="BE53" i="11"/>
  <c r="BE55" i="11" s="1"/>
  <c r="BE56" i="11" s="1"/>
  <c r="V581" i="8" a="1"/>
  <c r="V581" i="8" s="1"/>
  <c r="AO25" i="8" s="1"/>
  <c r="AL25" i="11" s="1"/>
  <c r="V583" i="8" a="1"/>
  <c r="V583" i="8" s="1"/>
  <c r="AO27" i="8" s="1"/>
  <c r="AL27" i="11" s="1"/>
  <c r="V592" i="8" a="1"/>
  <c r="V592" i="8" s="1"/>
  <c r="AO36" i="8" s="1"/>
  <c r="AS36" i="8" s="1"/>
  <c r="V578" i="8" a="1"/>
  <c r="V578" i="8" s="1"/>
  <c r="AO22" i="8" s="1"/>
  <c r="AL22" i="11" s="1"/>
  <c r="V597" i="8" a="1"/>
  <c r="V597" i="8" s="1"/>
  <c r="AO41" i="8" s="1"/>
  <c r="AL41" i="11" s="1"/>
  <c r="V591" i="8" a="1"/>
  <c r="V591" i="8" s="1"/>
  <c r="AO35" i="8" s="1"/>
  <c r="AL35" i="11" s="1"/>
  <c r="V564" i="8" a="1"/>
  <c r="V564" i="8" s="1"/>
  <c r="AO8" i="8" s="1"/>
  <c r="AS8" i="8" s="1"/>
  <c r="V590" i="8" a="1"/>
  <c r="V590" i="8" s="1"/>
  <c r="AO34" i="8" s="1"/>
  <c r="AL34" i="11" s="1"/>
  <c r="V568" i="8" a="1"/>
  <c r="V568" i="8" s="1"/>
  <c r="AO12" i="8" s="1"/>
  <c r="AL12" i="11" s="1"/>
  <c r="V604" i="8" a="1"/>
  <c r="V604" i="8" s="1"/>
  <c r="AO48" i="8" s="1"/>
  <c r="AL48" i="11" s="1"/>
  <c r="V563" i="8" a="1"/>
  <c r="V563" i="8" s="1"/>
  <c r="AO7" i="8" s="1"/>
  <c r="V588" i="8" a="1"/>
  <c r="V588" i="8" s="1"/>
  <c r="AO32" i="8" s="1"/>
  <c r="V586" i="8" a="1"/>
  <c r="V586" i="8" s="1"/>
  <c r="AO30" i="8" s="1"/>
  <c r="V575" i="8" a="1"/>
  <c r="V575" i="8" s="1"/>
  <c r="AO19" i="8" s="1"/>
  <c r="V608" i="8" a="1"/>
  <c r="V608" i="8" s="1"/>
  <c r="AO52" i="8" s="1"/>
  <c r="V594" i="8" a="1"/>
  <c r="V594" i="8" s="1"/>
  <c r="AO38" i="8" s="1"/>
  <c r="L13" i="8"/>
  <c r="V600" i="8" a="1"/>
  <c r="V600" i="8" s="1"/>
  <c r="AO44" i="8" s="1"/>
  <c r="V607" i="8" a="1"/>
  <c r="V607" i="8" s="1"/>
  <c r="AO51" i="8" s="1"/>
  <c r="V584" i="8" a="1"/>
  <c r="V584" i="8" s="1"/>
  <c r="AO28" i="8" s="1"/>
  <c r="V606" i="8" a="1"/>
  <c r="V606" i="8" s="1"/>
  <c r="AO50" i="8" s="1"/>
  <c r="V585" i="8" a="1"/>
  <c r="V585" i="8" s="1"/>
  <c r="AO29" i="8" s="1"/>
  <c r="V567" i="8" a="1"/>
  <c r="V567" i="8" s="1"/>
  <c r="AO11" i="8" s="1"/>
  <c r="V574" i="8" a="1"/>
  <c r="V574" i="8" s="1"/>
  <c r="AO18" i="8" s="1"/>
  <c r="V582" i="8" a="1"/>
  <c r="V582" i="8" s="1"/>
  <c r="AO26" i="8" s="1"/>
  <c r="V593" i="8" a="1"/>
  <c r="V593" i="8" s="1"/>
  <c r="AO37" i="8" s="1"/>
  <c r="V587" i="8" a="1"/>
  <c r="V587" i="8" s="1"/>
  <c r="AO31" i="8" s="1"/>
  <c r="V566" i="8" a="1"/>
  <c r="V566" i="8" s="1"/>
  <c r="AO10" i="8" s="1"/>
  <c r="V570" i="8" a="1"/>
  <c r="V570" i="8" s="1"/>
  <c r="AO14" i="8" s="1"/>
  <c r="V571" i="8" a="1"/>
  <c r="V571" i="8" s="1"/>
  <c r="AO15" i="8" s="1"/>
  <c r="V565" i="8" a="1"/>
  <c r="V565" i="8" s="1"/>
  <c r="AO9" i="8" s="1"/>
  <c r="V599" i="8" a="1"/>
  <c r="V599" i="8" s="1"/>
  <c r="AO43" i="8" s="1"/>
  <c r="V569" i="8" a="1"/>
  <c r="V569" i="8" s="1"/>
  <c r="AO13" i="8" s="1"/>
  <c r="V561" i="8" a="1"/>
  <c r="V561" i="8" s="1"/>
  <c r="AO5" i="8" s="1"/>
  <c r="V573" i="8" a="1"/>
  <c r="V573" i="8" s="1"/>
  <c r="AO17" i="8" s="1"/>
  <c r="V596" i="8" a="1"/>
  <c r="V596" i="8" s="1"/>
  <c r="AO40" i="8" s="1"/>
  <c r="V605" i="8" a="1"/>
  <c r="V605" i="8" s="1"/>
  <c r="AO49" i="8" s="1"/>
  <c r="V580" i="8" a="1"/>
  <c r="V580" i="8" s="1"/>
  <c r="AO24" i="8" s="1"/>
  <c r="V560" i="8" a="1"/>
  <c r="V560" i="8" s="1"/>
  <c r="AO4" i="8" s="1"/>
  <c r="V576" i="8" a="1"/>
  <c r="V576" i="8" s="1"/>
  <c r="AO20" i="8" s="1"/>
  <c r="V579" i="8" a="1"/>
  <c r="V579" i="8" s="1"/>
  <c r="AO23" i="8" s="1"/>
  <c r="V572" i="8" a="1"/>
  <c r="V572" i="8" s="1"/>
  <c r="AO16" i="8" s="1"/>
  <c r="V577" i="8" a="1"/>
  <c r="V577" i="8" s="1"/>
  <c r="AO21" i="8" s="1"/>
  <c r="V562" i="8" a="1"/>
  <c r="V562" i="8" s="1"/>
  <c r="AO6" i="8" s="1"/>
  <c r="V589" i="8" a="1"/>
  <c r="V589" i="8" s="1"/>
  <c r="AO33" i="8" s="1"/>
  <c r="V602" i="8" a="1"/>
  <c r="V602" i="8" s="1"/>
  <c r="AO46" i="8" s="1"/>
  <c r="V609" i="8" a="1"/>
  <c r="V609" i="8" s="1"/>
  <c r="AO53" i="8" s="1"/>
  <c r="V603" i="8" a="1"/>
  <c r="V603" i="8" s="1"/>
  <c r="AO47" i="8" s="1"/>
  <c r="V559" i="8" a="1"/>
  <c r="V559" i="8" s="1"/>
  <c r="AO3" i="8" s="1"/>
  <c r="V598" i="8" a="1"/>
  <c r="V598" i="8" s="1"/>
  <c r="AO42" i="8" s="1"/>
  <c r="V595" i="8" a="1"/>
  <c r="V595" i="8" s="1"/>
  <c r="AO39" i="8" s="1"/>
  <c r="V601" i="8" a="1"/>
  <c r="V601" i="8" s="1"/>
  <c r="AO45" i="8" s="1"/>
  <c r="AC80" i="2"/>
  <c r="AC95" i="2"/>
  <c r="AC88" i="2"/>
  <c r="AC70" i="2"/>
  <c r="AC82" i="2"/>
  <c r="AC103" i="2"/>
  <c r="AC92" i="2"/>
  <c r="AC111" i="2"/>
  <c r="AZ32" i="11"/>
  <c r="AX43" i="11"/>
  <c r="AI43" i="11"/>
  <c r="I184" i="13" s="1"/>
  <c r="Z43" i="11"/>
  <c r="AZ30" i="11"/>
  <c r="AX49" i="11"/>
  <c r="AI49" i="11"/>
  <c r="I190" i="13" s="1"/>
  <c r="Z49" i="11"/>
  <c r="AZ29" i="11"/>
  <c r="AZ27" i="11"/>
  <c r="AZ17" i="11"/>
  <c r="Z17" i="11"/>
  <c r="AI17" i="11"/>
  <c r="I158" i="13" s="1"/>
  <c r="AX17" i="11"/>
  <c r="AZ15" i="11"/>
  <c r="Z16" i="11"/>
  <c r="AX16" i="11"/>
  <c r="AI16" i="11"/>
  <c r="I157" i="13" s="1"/>
  <c r="AZ37" i="11"/>
  <c r="AZ22" i="11"/>
  <c r="AZ9" i="11"/>
  <c r="AZ18" i="11"/>
  <c r="AX18" i="11"/>
  <c r="Z18" i="11"/>
  <c r="AI18" i="11"/>
  <c r="I159" i="13" s="1"/>
  <c r="AZ36" i="11"/>
  <c r="AZ34" i="11"/>
  <c r="Z8" i="11"/>
  <c r="AX8" i="11"/>
  <c r="AI8" i="11"/>
  <c r="I150" i="13" s="1"/>
  <c r="AZ21" i="11"/>
  <c r="Z3" i="11"/>
  <c r="AX3" i="11"/>
  <c r="AI3" i="11"/>
  <c r="I146" i="13" s="1"/>
  <c r="AZ51" i="11"/>
  <c r="AC97" i="2"/>
  <c r="AC87" i="2"/>
  <c r="AZ7" i="11"/>
  <c r="AX48" i="11"/>
  <c r="AI48" i="11"/>
  <c r="I189" i="13" s="1"/>
  <c r="Z48" i="11"/>
  <c r="AX50" i="11"/>
  <c r="Z50" i="11"/>
  <c r="AI50" i="11"/>
  <c r="I191" i="13" s="1"/>
  <c r="AX27" i="11"/>
  <c r="Z27" i="11"/>
  <c r="AI27" i="11"/>
  <c r="I168" i="13" s="1"/>
  <c r="AZ14" i="11"/>
  <c r="AZ40" i="11"/>
  <c r="AZ47" i="11"/>
  <c r="AX9" i="11"/>
  <c r="AI9" i="11"/>
  <c r="I151" i="13" s="1"/>
  <c r="Z9" i="11"/>
  <c r="Z31" i="11"/>
  <c r="AX31" i="11"/>
  <c r="AI31" i="11"/>
  <c r="I172" i="13" s="1"/>
  <c r="AX25" i="11"/>
  <c r="Z25" i="11"/>
  <c r="AI25" i="11"/>
  <c r="I166" i="13" s="1"/>
  <c r="AZ44" i="11"/>
  <c r="AZ3" i="11"/>
  <c r="Z44" i="11"/>
  <c r="AI44" i="11"/>
  <c r="I185" i="13" s="1"/>
  <c r="AX44" i="11"/>
  <c r="AX10" i="11"/>
  <c r="Z10" i="11"/>
  <c r="AI10" i="11"/>
  <c r="I152" i="13" s="1"/>
  <c r="AZ52" i="11"/>
  <c r="AC68" i="2"/>
  <c r="AI21" i="11"/>
  <c r="I162" i="13" s="1"/>
  <c r="Z21" i="11"/>
  <c r="AX21" i="11"/>
  <c r="AZ33" i="11"/>
  <c r="Z36" i="11"/>
  <c r="AI36" i="11"/>
  <c r="I177" i="13" s="1"/>
  <c r="AX36" i="11"/>
  <c r="Z46" i="11"/>
  <c r="AX46" i="11"/>
  <c r="AI46" i="11"/>
  <c r="I187" i="13" s="1"/>
  <c r="AZ11" i="11"/>
  <c r="AZ45" i="11"/>
  <c r="AX35" i="11"/>
  <c r="AI35" i="11"/>
  <c r="I176" i="13" s="1"/>
  <c r="Z35" i="11"/>
  <c r="Z6" i="11"/>
  <c r="AX6" i="11"/>
  <c r="AI6" i="11"/>
  <c r="I148" i="13" s="1"/>
  <c r="AZ50" i="11"/>
  <c r="Z30" i="11"/>
  <c r="AI30" i="11"/>
  <c r="I171" i="13" s="1"/>
  <c r="AX30" i="11"/>
  <c r="AZ10" i="11"/>
  <c r="AX20" i="11"/>
  <c r="AI20" i="11"/>
  <c r="I161" i="13" s="1"/>
  <c r="Z20" i="11"/>
  <c r="AZ41" i="11"/>
  <c r="AZ43" i="11"/>
  <c r="AZ12" i="11"/>
  <c r="AI15" i="11"/>
  <c r="I156" i="13" s="1"/>
  <c r="Z15" i="11"/>
  <c r="AX15" i="11"/>
  <c r="AC85" i="2"/>
  <c r="AZ8" i="11"/>
  <c r="Z12" i="11"/>
  <c r="AI12" i="11"/>
  <c r="I154" i="13" s="1"/>
  <c r="AX12" i="11"/>
  <c r="Z7" i="11"/>
  <c r="AX7" i="11"/>
  <c r="AI7" i="11"/>
  <c r="I149" i="13" s="1"/>
  <c r="AZ23" i="11"/>
  <c r="Z33" i="11"/>
  <c r="AX33" i="11"/>
  <c r="AI33" i="11"/>
  <c r="I174" i="13" s="1"/>
  <c r="AI52" i="11"/>
  <c r="I193" i="13" s="1"/>
  <c r="Z52" i="11"/>
  <c r="AX52" i="11"/>
  <c r="AZ24" i="11"/>
  <c r="AI37" i="11"/>
  <c r="I178" i="13" s="1"/>
  <c r="AX37" i="11"/>
  <c r="Z37" i="11"/>
  <c r="AI26" i="11"/>
  <c r="I167" i="13" s="1"/>
  <c r="Z26" i="11"/>
  <c r="AX26" i="11"/>
  <c r="AZ38" i="11"/>
  <c r="AZ26" i="11"/>
  <c r="Z40" i="11"/>
  <c r="AX40" i="11"/>
  <c r="AI40" i="11"/>
  <c r="I181" i="13" s="1"/>
  <c r="AZ46" i="11"/>
  <c r="AZ20" i="11"/>
  <c r="AX32" i="11"/>
  <c r="AI32" i="11"/>
  <c r="I173" i="13" s="1"/>
  <c r="Z32" i="11"/>
  <c r="AX51" i="11"/>
  <c r="Z51" i="11"/>
  <c r="AI51" i="11"/>
  <c r="I192" i="13" s="1"/>
  <c r="Q53" i="11"/>
  <c r="Z28" i="11"/>
  <c r="AI28" i="11"/>
  <c r="I169" i="13" s="1"/>
  <c r="AX28" i="11"/>
  <c r="AC71" i="2"/>
  <c r="AX38" i="11"/>
  <c r="Z38" i="11"/>
  <c r="AI38" i="11"/>
  <c r="I179" i="13" s="1"/>
  <c r="Z24" i="11"/>
  <c r="AX24" i="11"/>
  <c r="AI24" i="11"/>
  <c r="I165" i="13" s="1"/>
  <c r="AC89" i="2"/>
  <c r="AC90" i="2"/>
  <c r="AZ42" i="11"/>
  <c r="Z53" i="11"/>
  <c r="BH53" i="11"/>
  <c r="AX19" i="11"/>
  <c r="AI19" i="11"/>
  <c r="I160" i="13" s="1"/>
  <c r="Z19" i="11"/>
  <c r="AX14" i="11"/>
  <c r="AI14" i="11"/>
  <c r="I155" i="13" s="1"/>
  <c r="Z14" i="11"/>
  <c r="Z41" i="11"/>
  <c r="AI41" i="11"/>
  <c r="I182" i="13" s="1"/>
  <c r="AX41" i="11"/>
  <c r="AX39" i="11"/>
  <c r="AI39" i="11"/>
  <c r="I180" i="13" s="1"/>
  <c r="Z39" i="11"/>
  <c r="AZ49" i="11"/>
  <c r="AZ39" i="11"/>
  <c r="AC102" i="2"/>
  <c r="AZ6" i="11"/>
  <c r="AI23" i="11"/>
  <c r="I164" i="13" s="1"/>
  <c r="AX23" i="11"/>
  <c r="Z23" i="11"/>
  <c r="AC86" i="2"/>
  <c r="AZ16" i="11"/>
  <c r="AX29" i="11"/>
  <c r="Z29" i="11"/>
  <c r="AI29" i="11"/>
  <c r="I170" i="13" s="1"/>
  <c r="AZ5" i="11"/>
  <c r="AX22" i="11"/>
  <c r="Z22" i="11"/>
  <c r="AI22" i="11"/>
  <c r="I163" i="13" s="1"/>
  <c r="AZ35" i="11"/>
  <c r="AX42" i="11"/>
  <c r="Z42" i="11"/>
  <c r="AI42" i="11"/>
  <c r="I183" i="13" s="1"/>
  <c r="AZ25" i="11"/>
  <c r="AI11" i="11"/>
  <c r="I153" i="13" s="1"/>
  <c r="Z11" i="11"/>
  <c r="AX11" i="11"/>
  <c r="AZ31" i="11"/>
  <c r="Z45" i="11"/>
  <c r="AI45" i="11"/>
  <c r="I186" i="13" s="1"/>
  <c r="AX45" i="11"/>
  <c r="AZ19" i="11"/>
  <c r="Z47" i="11"/>
  <c r="AX47" i="11"/>
  <c r="AI47" i="11"/>
  <c r="I188" i="13" s="1"/>
  <c r="AX5" i="11"/>
  <c r="Z5" i="11"/>
  <c r="AI5" i="11"/>
  <c r="I147" i="13" s="1"/>
  <c r="AZ28" i="11"/>
  <c r="Z34" i="11"/>
  <c r="AX34" i="11"/>
  <c r="AI34" i="11"/>
  <c r="I175" i="13" s="1"/>
  <c r="AZ48" i="11"/>
  <c r="L32" i="8"/>
  <c r="C14" i="11"/>
  <c r="D11" i="13" s="1"/>
  <c r="C25" i="11"/>
  <c r="D22" i="13" s="1"/>
  <c r="G11" i="11"/>
  <c r="H9" i="13" s="1"/>
  <c r="C16" i="11"/>
  <c r="D13" i="13" s="1"/>
  <c r="G45" i="11"/>
  <c r="H42" i="13" s="1"/>
  <c r="G42" i="11"/>
  <c r="H39" i="13" s="1"/>
  <c r="G47" i="11"/>
  <c r="H44" i="13" s="1"/>
  <c r="G12" i="11"/>
  <c r="H10" i="13" s="1"/>
  <c r="G22" i="11"/>
  <c r="H19" i="13" s="1"/>
  <c r="G27" i="11"/>
  <c r="H24" i="13" s="1"/>
  <c r="G16" i="11"/>
  <c r="H13" i="13" s="1"/>
  <c r="C27" i="11"/>
  <c r="D24" i="13" s="1"/>
  <c r="C41" i="11"/>
  <c r="D38" i="13" s="1"/>
  <c r="C47" i="11"/>
  <c r="D44" i="13" s="1"/>
  <c r="G39" i="11"/>
  <c r="H36" i="13" s="1"/>
  <c r="G19" i="11"/>
  <c r="H16" i="13" s="1"/>
  <c r="G8" i="11"/>
  <c r="H6" i="13" s="1"/>
  <c r="C44" i="11"/>
  <c r="D41" i="13" s="1"/>
  <c r="C26" i="11"/>
  <c r="D23" i="13" s="1"/>
  <c r="AB13" i="11"/>
  <c r="C13" i="11"/>
  <c r="G29" i="11"/>
  <c r="H26" i="13" s="1"/>
  <c r="G31" i="11"/>
  <c r="H28" i="13" s="1"/>
  <c r="G6" i="11"/>
  <c r="H4" i="13" s="1"/>
  <c r="C18" i="11"/>
  <c r="D15" i="13" s="1"/>
  <c r="C15" i="11"/>
  <c r="D12" i="13" s="1"/>
  <c r="C37" i="11"/>
  <c r="D34" i="13" s="1"/>
  <c r="C21" i="11"/>
  <c r="D18" i="13" s="1"/>
  <c r="G4" i="11"/>
  <c r="C50" i="11"/>
  <c r="D47" i="13" s="1"/>
  <c r="C33" i="11"/>
  <c r="D30" i="13" s="1"/>
  <c r="G41" i="11"/>
  <c r="H38" i="13" s="1"/>
  <c r="C28" i="11"/>
  <c r="D25" i="13" s="1"/>
  <c r="G52" i="11"/>
  <c r="H49" i="13" s="1"/>
  <c r="G3" i="11"/>
  <c r="H2" i="13" s="1"/>
  <c r="C10" i="11"/>
  <c r="D8" i="13" s="1"/>
  <c r="AB31" i="11"/>
  <c r="C31" i="11"/>
  <c r="D28" i="13" s="1"/>
  <c r="C39" i="11"/>
  <c r="D36" i="13" s="1"/>
  <c r="G13" i="11"/>
  <c r="G10" i="11"/>
  <c r="H8" i="13" s="1"/>
  <c r="G44" i="11"/>
  <c r="H41" i="13" s="1"/>
  <c r="G9" i="11"/>
  <c r="H7" i="13" s="1"/>
  <c r="G33" i="11"/>
  <c r="H30" i="13" s="1"/>
  <c r="G48" i="11"/>
  <c r="H45" i="13" s="1"/>
  <c r="C38" i="11"/>
  <c r="D35" i="13" s="1"/>
  <c r="C8" i="11"/>
  <c r="D6" i="13" s="1"/>
  <c r="G37" i="11"/>
  <c r="H34" i="13" s="1"/>
  <c r="G26" i="11"/>
  <c r="H23" i="13" s="1"/>
  <c r="C29" i="11"/>
  <c r="D26" i="13" s="1"/>
  <c r="C24" i="11"/>
  <c r="D21" i="13" s="1"/>
  <c r="G18" i="11"/>
  <c r="H15" i="13" s="1"/>
  <c r="G17" i="11"/>
  <c r="H14" i="13" s="1"/>
  <c r="G49" i="11"/>
  <c r="H46" i="13" s="1"/>
  <c r="C48" i="11"/>
  <c r="D45" i="13" s="1"/>
  <c r="C19" i="11"/>
  <c r="D16" i="13" s="1"/>
  <c r="C7" i="11"/>
  <c r="D5" i="13" s="1"/>
  <c r="G5" i="11"/>
  <c r="H3" i="13" s="1"/>
  <c r="G23" i="11"/>
  <c r="H20" i="13" s="1"/>
  <c r="G36" i="11"/>
  <c r="H33" i="13" s="1"/>
  <c r="G46" i="11"/>
  <c r="H43" i="13" s="1"/>
  <c r="G51" i="11"/>
  <c r="H48" i="13" s="1"/>
  <c r="G40" i="11"/>
  <c r="H37" i="13" s="1"/>
  <c r="C5" i="11"/>
  <c r="D3" i="13" s="1"/>
  <c r="C3" i="11"/>
  <c r="D2" i="13" s="1"/>
  <c r="C49" i="11"/>
  <c r="D46" i="13" s="1"/>
  <c r="C36" i="11"/>
  <c r="D33" i="13" s="1"/>
  <c r="C43" i="11"/>
  <c r="D40" i="13" s="1"/>
  <c r="C45" i="11"/>
  <c r="D42" i="13" s="1"/>
  <c r="C12" i="11"/>
  <c r="D10" i="13" s="1"/>
  <c r="G34" i="11"/>
  <c r="H31" i="13" s="1"/>
  <c r="C4" i="11"/>
  <c r="C20" i="11"/>
  <c r="D17" i="13" s="1"/>
  <c r="C34" i="11"/>
  <c r="D31" i="13" s="1"/>
  <c r="G21" i="11"/>
  <c r="H18" i="13" s="1"/>
  <c r="C17" i="11"/>
  <c r="D14" i="13" s="1"/>
  <c r="C53" i="11"/>
  <c r="G25" i="11"/>
  <c r="H22" i="13" s="1"/>
  <c r="G15" i="11"/>
  <c r="H12" i="13" s="1"/>
  <c r="G28" i="11"/>
  <c r="H25" i="13" s="1"/>
  <c r="G38" i="11"/>
  <c r="H35" i="13" s="1"/>
  <c r="G43" i="11"/>
  <c r="H40" i="13" s="1"/>
  <c r="G32" i="11"/>
  <c r="H29" i="13" s="1"/>
  <c r="AB52" i="11"/>
  <c r="C52" i="11"/>
  <c r="D49" i="13" s="1"/>
  <c r="C11" i="11"/>
  <c r="D9" i="13" s="1"/>
  <c r="C42" i="11"/>
  <c r="D39" i="13" s="1"/>
  <c r="C22" i="11"/>
  <c r="D19" i="13" s="1"/>
  <c r="C30" i="11"/>
  <c r="D27" i="13" s="1"/>
  <c r="C40" i="11"/>
  <c r="D37" i="13" s="1"/>
  <c r="G14" i="11"/>
  <c r="H11" i="13" s="1"/>
  <c r="C46" i="11"/>
  <c r="D43" i="13" s="1"/>
  <c r="C9" i="11"/>
  <c r="D7" i="13" s="1"/>
  <c r="C23" i="11"/>
  <c r="D20" i="13" s="1"/>
  <c r="G53" i="11"/>
  <c r="G50" i="11"/>
  <c r="H47" i="13" s="1"/>
  <c r="G7" i="11"/>
  <c r="H5" i="13" s="1"/>
  <c r="G20" i="11"/>
  <c r="H17" i="13" s="1"/>
  <c r="G30" i="11"/>
  <c r="H27" i="13" s="1"/>
  <c r="G35" i="11"/>
  <c r="H32" i="13" s="1"/>
  <c r="G24" i="11"/>
  <c r="H21" i="13" s="1"/>
  <c r="C35" i="11"/>
  <c r="D32" i="13" s="1"/>
  <c r="C51" i="11"/>
  <c r="D48" i="13" s="1"/>
  <c r="AB32" i="11"/>
  <c r="C32" i="11"/>
  <c r="D29" i="13" s="1"/>
  <c r="C6" i="11"/>
  <c r="D4" i="13" s="1"/>
  <c r="K52" i="8"/>
  <c r="J52" i="11" s="1"/>
  <c r="BB33" i="8"/>
  <c r="BB34" i="8" s="1"/>
  <c r="Q64" i="2"/>
  <c r="V114" i="8" a="1"/>
  <c r="V114" i="8" s="1"/>
  <c r="O3" i="8" s="1"/>
  <c r="V136" i="8" a="1"/>
  <c r="V136" i="8" s="1"/>
  <c r="O25" i="8" s="1"/>
  <c r="V158" i="8" a="1"/>
  <c r="V158" i="8" s="1"/>
  <c r="O47" i="8" s="1"/>
  <c r="V162" i="8" a="1"/>
  <c r="V162" i="8" s="1"/>
  <c r="O51" i="8" s="1"/>
  <c r="V124" i="8" a="1"/>
  <c r="V124" i="8" s="1"/>
  <c r="O13" i="8" s="1"/>
  <c r="V154" i="8" a="1"/>
  <c r="V154" i="8" s="1"/>
  <c r="O43" i="8" s="1"/>
  <c r="V152" i="8" a="1"/>
  <c r="V152" i="8" s="1"/>
  <c r="O41" i="8" s="1"/>
  <c r="V140" i="8" a="1"/>
  <c r="V140" i="8" s="1"/>
  <c r="O29" i="8" s="1"/>
  <c r="V141" i="8" a="1"/>
  <c r="V141" i="8" s="1"/>
  <c r="O30" i="8" s="1"/>
  <c r="V123" i="8" a="1"/>
  <c r="V123" i="8" s="1"/>
  <c r="O12" i="8" s="1"/>
  <c r="V149" i="8" a="1"/>
  <c r="V149" i="8" s="1"/>
  <c r="O38" i="8" s="1"/>
  <c r="V135" i="8" a="1"/>
  <c r="V135" i="8" s="1"/>
  <c r="O24" i="8" s="1"/>
  <c r="V161" i="8" a="1"/>
  <c r="V161" i="8" s="1"/>
  <c r="O50" i="8" s="1"/>
  <c r="V137" i="8" a="1"/>
  <c r="V137" i="8" s="1"/>
  <c r="O26" i="8" s="1"/>
  <c r="V146" i="8" a="1"/>
  <c r="V146" i="8" s="1"/>
  <c r="O35" i="8" s="1"/>
  <c r="V125" i="8" a="1"/>
  <c r="V125" i="8" s="1"/>
  <c r="O14" i="8" s="1"/>
  <c r="V159" i="8" a="1"/>
  <c r="V159" i="8" s="1"/>
  <c r="O48" i="8" s="1"/>
  <c r="V122" i="8" a="1"/>
  <c r="V122" i="8" s="1"/>
  <c r="O11" i="8" s="1"/>
  <c r="V127" i="8" a="1"/>
  <c r="V127" i="8" s="1"/>
  <c r="O16" i="8" s="1"/>
  <c r="V138" i="8" a="1"/>
  <c r="V138" i="8" s="1"/>
  <c r="O27" i="8" s="1"/>
  <c r="V163" i="8" a="1"/>
  <c r="V163" i="8" s="1"/>
  <c r="O52" i="8" s="1"/>
  <c r="V153" i="8" a="1"/>
  <c r="V153" i="8" s="1"/>
  <c r="O42" i="8" s="1"/>
  <c r="V155" i="8" a="1"/>
  <c r="V155" i="8" s="1"/>
  <c r="O44" i="8" s="1"/>
  <c r="V139" i="8" a="1"/>
  <c r="V139" i="8" s="1"/>
  <c r="O28" i="8" s="1"/>
  <c r="V131" i="8" a="1"/>
  <c r="V131" i="8" s="1"/>
  <c r="O20" i="8" s="1"/>
  <c r="V126" i="8" a="1"/>
  <c r="V126" i="8" s="1"/>
  <c r="O15" i="8" s="1"/>
  <c r="V160" i="8" a="1"/>
  <c r="V160" i="8" s="1"/>
  <c r="O49" i="8" s="1"/>
  <c r="V117" i="8" a="1"/>
  <c r="V117" i="8" s="1"/>
  <c r="O6" i="8" s="1"/>
  <c r="V119" i="8" a="1"/>
  <c r="V119" i="8" s="1"/>
  <c r="O8" i="8" s="1"/>
  <c r="V157" i="8" a="1"/>
  <c r="V157" i="8" s="1"/>
  <c r="O46" i="8" s="1"/>
  <c r="V120" i="8" a="1"/>
  <c r="V120" i="8" s="1"/>
  <c r="O9" i="8" s="1"/>
  <c r="V132" i="8" a="1"/>
  <c r="V132" i="8" s="1"/>
  <c r="O21" i="8" s="1"/>
  <c r="V118" i="8" a="1"/>
  <c r="V118" i="8" s="1"/>
  <c r="O7" i="8" s="1"/>
  <c r="V156" i="8" a="1"/>
  <c r="V156" i="8" s="1"/>
  <c r="O45" i="8" s="1"/>
  <c r="V130" i="8" a="1"/>
  <c r="V130" i="8" s="1"/>
  <c r="O19" i="8" s="1"/>
  <c r="O53" i="8"/>
  <c r="V116" i="8" a="1"/>
  <c r="V116" i="8" s="1"/>
  <c r="O5" i="8" s="1"/>
  <c r="V142" i="8" a="1"/>
  <c r="V142" i="8" s="1"/>
  <c r="O31" i="8" s="1"/>
  <c r="V145" i="8" a="1"/>
  <c r="V145" i="8" s="1"/>
  <c r="O34" i="8" s="1"/>
  <c r="V115" i="8" a="1"/>
  <c r="V115" i="8" s="1"/>
  <c r="O4" i="8" s="1"/>
  <c r="V143" i="8" a="1"/>
  <c r="V143" i="8" s="1"/>
  <c r="O32" i="8" s="1"/>
  <c r="V147" i="8" a="1"/>
  <c r="V147" i="8" s="1"/>
  <c r="O36" i="8" s="1"/>
  <c r="V148" i="8" a="1"/>
  <c r="V148" i="8" s="1"/>
  <c r="O37" i="8" s="1"/>
  <c r="V129" i="8" a="1"/>
  <c r="V129" i="8" s="1"/>
  <c r="O18" i="8" s="1"/>
  <c r="V133" i="8" a="1"/>
  <c r="V133" i="8" s="1"/>
  <c r="O22" i="8" s="1"/>
  <c r="V134" i="8" a="1"/>
  <c r="V134" i="8" s="1"/>
  <c r="O23" i="8" s="1"/>
  <c r="V150" i="8" a="1"/>
  <c r="V150" i="8" s="1"/>
  <c r="O39" i="8" s="1"/>
  <c r="V151" i="8" a="1"/>
  <c r="V151" i="8" s="1"/>
  <c r="O40" i="8" s="1"/>
  <c r="V121" i="8" a="1"/>
  <c r="V121" i="8" s="1"/>
  <c r="O10" i="8" s="1"/>
  <c r="V144" i="8" a="1"/>
  <c r="V144" i="8" s="1"/>
  <c r="O33" i="8" s="1"/>
  <c r="V128" i="8" a="1"/>
  <c r="V128" i="8" s="1"/>
  <c r="O17" i="8" s="1"/>
  <c r="AC73" i="2"/>
  <c r="AB64" i="2"/>
  <c r="AC64" i="2" s="1"/>
  <c r="K23" i="8"/>
  <c r="J23" i="11" s="1"/>
  <c r="K31" i="8"/>
  <c r="J31" i="11" s="1"/>
  <c r="K3" i="8"/>
  <c r="J3" i="11" s="1"/>
  <c r="L16" i="8"/>
  <c r="AB16" i="11" s="1"/>
  <c r="K53" i="8"/>
  <c r="J53" i="11" s="1"/>
  <c r="K46" i="8"/>
  <c r="J46" i="11" s="1"/>
  <c r="L8" i="8"/>
  <c r="K50" i="8"/>
  <c r="J50" i="11" s="1"/>
  <c r="L53" i="8"/>
  <c r="K20" i="8"/>
  <c r="J20" i="11" s="1"/>
  <c r="K24" i="8"/>
  <c r="J24" i="11" s="1"/>
  <c r="K34" i="8"/>
  <c r="J34" i="11" s="1"/>
  <c r="L26" i="8"/>
  <c r="L40" i="8"/>
  <c r="K42" i="8"/>
  <c r="J42" i="11" s="1"/>
  <c r="K38" i="8"/>
  <c r="J38" i="11" s="1"/>
  <c r="K37" i="8"/>
  <c r="J37" i="11" s="1"/>
  <c r="L48" i="8"/>
  <c r="AB48" i="11" s="1"/>
  <c r="K29" i="8"/>
  <c r="J29" i="11" s="1"/>
  <c r="L10" i="8"/>
  <c r="AB10" i="11" s="1"/>
  <c r="L12" i="8"/>
  <c r="AF41" i="2"/>
  <c r="K44" i="8"/>
  <c r="J44" i="11" s="1"/>
  <c r="K51" i="8"/>
  <c r="J51" i="11" s="1"/>
  <c r="L45" i="8"/>
  <c r="AB45" i="11" s="1"/>
  <c r="Y49" i="8"/>
  <c r="F49" i="11" s="1"/>
  <c r="G46" i="13" s="1"/>
  <c r="X49" i="8"/>
  <c r="V49" i="11" s="1"/>
  <c r="K45" i="8"/>
  <c r="J45" i="11" s="1"/>
  <c r="Y40" i="8"/>
  <c r="F40" i="11" s="1"/>
  <c r="G37" i="13" s="1"/>
  <c r="X40" i="8"/>
  <c r="V40" i="11" s="1"/>
  <c r="Y16" i="8"/>
  <c r="X16" i="8"/>
  <c r="V16" i="11" s="1"/>
  <c r="Y47" i="8"/>
  <c r="F47" i="11" s="1"/>
  <c r="G44" i="13" s="1"/>
  <c r="X47" i="8"/>
  <c r="V47" i="11" s="1"/>
  <c r="Y17" i="8"/>
  <c r="X17" i="8"/>
  <c r="V17" i="11" s="1"/>
  <c r="X35" i="8"/>
  <c r="V35" i="11" s="1"/>
  <c r="Y35" i="8"/>
  <c r="F35" i="11" s="1"/>
  <c r="G32" i="13" s="1"/>
  <c r="X32" i="8"/>
  <c r="V32" i="11" s="1"/>
  <c r="Y32" i="8"/>
  <c r="F32" i="11" s="1"/>
  <c r="G29" i="13" s="1"/>
  <c r="Y26" i="8"/>
  <c r="F26" i="11" s="1"/>
  <c r="G23" i="13" s="1"/>
  <c r="X26" i="8"/>
  <c r="V26" i="11" s="1"/>
  <c r="Y14" i="8"/>
  <c r="X14" i="8"/>
  <c r="V14" i="11" s="1"/>
  <c r="K5" i="8"/>
  <c r="J5" i="11" s="1"/>
  <c r="Y45" i="8"/>
  <c r="F45" i="11" s="1"/>
  <c r="G42" i="13" s="1"/>
  <c r="X45" i="8"/>
  <c r="V45" i="11" s="1"/>
  <c r="X10" i="8"/>
  <c r="V10" i="11" s="1"/>
  <c r="Y10" i="8"/>
  <c r="F10" i="11" s="1"/>
  <c r="G8" i="13" s="1"/>
  <c r="X4" i="8"/>
  <c r="V4" i="11" s="1"/>
  <c r="Y4" i="8"/>
  <c r="F4" i="11" s="1"/>
  <c r="X13" i="8"/>
  <c r="V13" i="11" s="1"/>
  <c r="Y13" i="8"/>
  <c r="F13" i="11" s="1"/>
  <c r="Y44" i="8"/>
  <c r="F44" i="11" s="1"/>
  <c r="G41" i="13" s="1"/>
  <c r="X44" i="8"/>
  <c r="V44" i="11" s="1"/>
  <c r="X23" i="8"/>
  <c r="V23" i="11" s="1"/>
  <c r="Y23" i="8"/>
  <c r="F23" i="11" s="1"/>
  <c r="G20" i="13" s="1"/>
  <c r="Y22" i="8"/>
  <c r="F22" i="11" s="1"/>
  <c r="G19" i="13" s="1"/>
  <c r="X22" i="8"/>
  <c r="V22" i="11" s="1"/>
  <c r="X52" i="8"/>
  <c r="V52" i="11" s="1"/>
  <c r="Y52" i="8"/>
  <c r="F52" i="11" s="1"/>
  <c r="G49" i="13" s="1"/>
  <c r="X6" i="8"/>
  <c r="V6" i="11" s="1"/>
  <c r="Y6" i="8"/>
  <c r="F6" i="11" s="1"/>
  <c r="G4" i="13" s="1"/>
  <c r="X7" i="8"/>
  <c r="V7" i="11" s="1"/>
  <c r="Y7" i="8"/>
  <c r="F7" i="11" s="1"/>
  <c r="G5" i="13" s="1"/>
  <c r="X39" i="8"/>
  <c r="V39" i="11" s="1"/>
  <c r="Y39" i="8"/>
  <c r="F39" i="11" s="1"/>
  <c r="G36" i="13" s="1"/>
  <c r="Y31" i="8"/>
  <c r="F31" i="11" s="1"/>
  <c r="G28" i="13" s="1"/>
  <c r="X31" i="8"/>
  <c r="V31" i="11" s="1"/>
  <c r="Y18" i="8"/>
  <c r="X18" i="8"/>
  <c r="V18" i="11" s="1"/>
  <c r="X42" i="8"/>
  <c r="V42" i="11" s="1"/>
  <c r="Y42" i="8"/>
  <c r="F42" i="11" s="1"/>
  <c r="G39" i="13" s="1"/>
  <c r="AB11" i="8"/>
  <c r="AF11" i="11" s="1"/>
  <c r="AB19" i="8"/>
  <c r="AF19" i="11" s="1"/>
  <c r="AB27" i="8"/>
  <c r="AB35" i="8"/>
  <c r="AB43" i="8"/>
  <c r="AB51" i="8"/>
  <c r="AB6" i="8"/>
  <c r="AB14" i="8"/>
  <c r="AF14" i="11" s="1"/>
  <c r="AB22" i="8"/>
  <c r="AB30" i="8"/>
  <c r="AB38" i="8"/>
  <c r="AB46" i="8"/>
  <c r="AF46" i="11" s="1"/>
  <c r="AB3" i="8"/>
  <c r="AB9" i="8"/>
  <c r="AB17" i="8"/>
  <c r="AB25" i="8"/>
  <c r="AF25" i="11" s="1"/>
  <c r="AB33" i="8"/>
  <c r="AF33" i="11" s="1"/>
  <c r="AB41" i="8"/>
  <c r="AF41" i="11" s="1"/>
  <c r="AB49" i="8"/>
  <c r="AB4" i="8"/>
  <c r="AF4" i="11" s="1"/>
  <c r="AB12" i="8"/>
  <c r="AF12" i="11" s="1"/>
  <c r="AB20" i="8"/>
  <c r="AB36" i="8"/>
  <c r="AB44" i="8"/>
  <c r="AF44" i="11" s="1"/>
  <c r="AB7" i="8"/>
  <c r="AF7" i="11" s="1"/>
  <c r="AB15" i="8"/>
  <c r="AF15" i="11" s="1"/>
  <c r="AB23" i="8"/>
  <c r="AB31" i="8"/>
  <c r="AB39" i="8"/>
  <c r="AB47" i="8"/>
  <c r="AB26" i="8"/>
  <c r="AB34" i="8"/>
  <c r="AF34" i="11" s="1"/>
  <c r="AB42" i="8"/>
  <c r="AF42" i="11" s="1"/>
  <c r="AB50" i="8"/>
  <c r="AF50" i="11" s="1"/>
  <c r="AB10" i="8"/>
  <c r="AF10" i="11" s="1"/>
  <c r="AB18" i="8"/>
  <c r="AB5" i="8"/>
  <c r="AB13" i="8"/>
  <c r="AB21" i="8"/>
  <c r="AB29" i="8"/>
  <c r="AB37" i="8"/>
  <c r="AF37" i="11" s="1"/>
  <c r="AB45" i="8"/>
  <c r="AB53" i="8"/>
  <c r="AB8" i="8"/>
  <c r="AB16" i="8"/>
  <c r="AB24" i="8"/>
  <c r="AB32" i="8"/>
  <c r="AB40" i="8"/>
  <c r="AF40" i="11" s="1"/>
  <c r="AB48" i="8"/>
  <c r="AF48" i="11" s="1"/>
  <c r="AB28" i="8"/>
  <c r="AF28" i="11" s="1"/>
  <c r="AB52" i="8"/>
  <c r="Y41" i="8"/>
  <c r="F41" i="11" s="1"/>
  <c r="G38" i="13" s="1"/>
  <c r="X41" i="8"/>
  <c r="V41" i="11" s="1"/>
  <c r="X51" i="8"/>
  <c r="V51" i="11" s="1"/>
  <c r="Y51" i="8"/>
  <c r="F51" i="11" s="1"/>
  <c r="G48" i="13" s="1"/>
  <c r="X28" i="8"/>
  <c r="V28" i="11" s="1"/>
  <c r="Y28" i="8"/>
  <c r="F28" i="11" s="1"/>
  <c r="G25" i="13" s="1"/>
  <c r="X38" i="8"/>
  <c r="V38" i="11" s="1"/>
  <c r="Y38" i="8"/>
  <c r="F38" i="11" s="1"/>
  <c r="G35" i="13" s="1"/>
  <c r="X50" i="8"/>
  <c r="V50" i="11" s="1"/>
  <c r="Y50" i="8"/>
  <c r="F50" i="11" s="1"/>
  <c r="G47" i="13" s="1"/>
  <c r="X37" i="8"/>
  <c r="V37" i="11" s="1"/>
  <c r="Y37" i="8"/>
  <c r="F37" i="11" s="1"/>
  <c r="G34" i="13" s="1"/>
  <c r="X29" i="8"/>
  <c r="V29" i="11" s="1"/>
  <c r="Y29" i="8"/>
  <c r="F29" i="11" s="1"/>
  <c r="G26" i="13" s="1"/>
  <c r="Y48" i="8"/>
  <c r="F48" i="11" s="1"/>
  <c r="G45" i="13" s="1"/>
  <c r="X48" i="8"/>
  <c r="V48" i="11" s="1"/>
  <c r="X3" i="8"/>
  <c r="V3" i="11" s="1"/>
  <c r="Y3" i="8"/>
  <c r="F3" i="11" s="1"/>
  <c r="G2" i="13" s="1"/>
  <c r="X46" i="8"/>
  <c r="V46" i="11" s="1"/>
  <c r="Y46" i="8"/>
  <c r="F46" i="11" s="1"/>
  <c r="G43" i="13" s="1"/>
  <c r="X12" i="8"/>
  <c r="V12" i="11" s="1"/>
  <c r="Y12" i="8"/>
  <c r="F12" i="11" s="1"/>
  <c r="G10" i="13" s="1"/>
  <c r="Y11" i="8"/>
  <c r="F11" i="11" s="1"/>
  <c r="G9" i="13" s="1"/>
  <c r="X11" i="8"/>
  <c r="V11" i="11" s="1"/>
  <c r="Y8" i="8"/>
  <c r="F8" i="11" s="1"/>
  <c r="G6" i="13" s="1"/>
  <c r="X8" i="8"/>
  <c r="V8" i="11" s="1"/>
  <c r="Y34" i="8"/>
  <c r="F34" i="11" s="1"/>
  <c r="G31" i="13" s="1"/>
  <c r="X34" i="8"/>
  <c r="V34" i="11" s="1"/>
  <c r="X27" i="8"/>
  <c r="V27" i="11" s="1"/>
  <c r="Y27" i="8"/>
  <c r="F27" i="11" s="1"/>
  <c r="G24" i="13" s="1"/>
  <c r="K35" i="8"/>
  <c r="J35" i="11" s="1"/>
  <c r="Y9" i="8"/>
  <c r="F9" i="11" s="1"/>
  <c r="G7" i="13" s="1"/>
  <c r="X9" i="8"/>
  <c r="V9" i="11" s="1"/>
  <c r="X24" i="8"/>
  <c r="V24" i="11" s="1"/>
  <c r="Y24" i="8"/>
  <c r="F24" i="11" s="1"/>
  <c r="G21" i="13" s="1"/>
  <c r="X43" i="8"/>
  <c r="V43" i="11" s="1"/>
  <c r="Y43" i="8"/>
  <c r="F43" i="11" s="1"/>
  <c r="G40" i="13" s="1"/>
  <c r="X21" i="8"/>
  <c r="V21" i="11" s="1"/>
  <c r="Y21" i="8"/>
  <c r="Y30" i="8"/>
  <c r="F30" i="11" s="1"/>
  <c r="G27" i="13" s="1"/>
  <c r="X30" i="8"/>
  <c r="V30" i="11" s="1"/>
  <c r="Y33" i="8"/>
  <c r="F33" i="11" s="1"/>
  <c r="G30" i="13" s="1"/>
  <c r="X33" i="8"/>
  <c r="V33" i="11" s="1"/>
  <c r="L35" i="8"/>
  <c r="S35" i="11" s="1"/>
  <c r="L25" i="8"/>
  <c r="AB25" i="11" s="1"/>
  <c r="L19" i="8"/>
  <c r="AB19" i="11" s="1"/>
  <c r="AA6" i="8"/>
  <c r="N6" i="11" s="1"/>
  <c r="AA14" i="8"/>
  <c r="N14" i="11" s="1"/>
  <c r="AA22" i="8"/>
  <c r="N22" i="11" s="1"/>
  <c r="AA30" i="8"/>
  <c r="N30" i="11" s="1"/>
  <c r="AA38" i="8"/>
  <c r="N38" i="11" s="1"/>
  <c r="AA46" i="8"/>
  <c r="N46" i="11" s="1"/>
  <c r="AA9" i="8"/>
  <c r="N9" i="11" s="1"/>
  <c r="AA17" i="8"/>
  <c r="N17" i="11" s="1"/>
  <c r="AA25" i="8"/>
  <c r="N25" i="11" s="1"/>
  <c r="AA33" i="8"/>
  <c r="N33" i="11" s="1"/>
  <c r="AA41" i="8"/>
  <c r="N41" i="11" s="1"/>
  <c r="AA49" i="8"/>
  <c r="N49" i="11" s="1"/>
  <c r="AA4" i="8"/>
  <c r="N4" i="11" s="1"/>
  <c r="AA12" i="8"/>
  <c r="N12" i="11" s="1"/>
  <c r="AA20" i="8"/>
  <c r="N20" i="11" s="1"/>
  <c r="AA28" i="8"/>
  <c r="N28" i="11" s="1"/>
  <c r="AA36" i="8"/>
  <c r="N36" i="11" s="1"/>
  <c r="AA44" i="8"/>
  <c r="N44" i="11" s="1"/>
  <c r="AA52" i="8"/>
  <c r="AA3" i="8"/>
  <c r="N3" i="11" s="1"/>
  <c r="AA7" i="8"/>
  <c r="N7" i="11" s="1"/>
  <c r="AA15" i="8"/>
  <c r="N15" i="11" s="1"/>
  <c r="AA23" i="8"/>
  <c r="AA31" i="8"/>
  <c r="N31" i="11" s="1"/>
  <c r="AA39" i="8"/>
  <c r="N39" i="11" s="1"/>
  <c r="AA47" i="8"/>
  <c r="N47" i="11" s="1"/>
  <c r="AA10" i="8"/>
  <c r="N10" i="11" s="1"/>
  <c r="AA18" i="8"/>
  <c r="N18" i="11" s="1"/>
  <c r="AA26" i="8"/>
  <c r="N26" i="11" s="1"/>
  <c r="AA34" i="8"/>
  <c r="N34" i="11" s="1"/>
  <c r="AA42" i="8"/>
  <c r="N42" i="11" s="1"/>
  <c r="AA50" i="8"/>
  <c r="N50" i="11" s="1"/>
  <c r="AA29" i="8"/>
  <c r="N29" i="11" s="1"/>
  <c r="AA37" i="8"/>
  <c r="N37" i="11" s="1"/>
  <c r="AA45" i="8"/>
  <c r="N45" i="11" s="1"/>
  <c r="AA53" i="8"/>
  <c r="N53" i="11" s="1"/>
  <c r="AA5" i="8"/>
  <c r="N5" i="11" s="1"/>
  <c r="AA13" i="8"/>
  <c r="N13" i="11" s="1"/>
  <c r="AA21" i="8"/>
  <c r="N21" i="11" s="1"/>
  <c r="AA8" i="8"/>
  <c r="N8" i="11" s="1"/>
  <c r="AA16" i="8"/>
  <c r="N16" i="11" s="1"/>
  <c r="AA24" i="8"/>
  <c r="N24" i="11" s="1"/>
  <c r="AA32" i="8"/>
  <c r="N32" i="11" s="1"/>
  <c r="AA40" i="8"/>
  <c r="N40" i="11" s="1"/>
  <c r="AA48" i="8"/>
  <c r="N48" i="11" s="1"/>
  <c r="AA11" i="8"/>
  <c r="N11" i="11" s="1"/>
  <c r="AA19" i="8"/>
  <c r="N19" i="11" s="1"/>
  <c r="AA27" i="8"/>
  <c r="N27" i="11" s="1"/>
  <c r="AA35" i="8"/>
  <c r="N35" i="11" s="1"/>
  <c r="AA43" i="8"/>
  <c r="N43" i="11" s="1"/>
  <c r="AA51" i="8"/>
  <c r="N51" i="11" s="1"/>
  <c r="X20" i="8"/>
  <c r="V20" i="11" s="1"/>
  <c r="Y20" i="8"/>
  <c r="Y19" i="8"/>
  <c r="X19" i="8"/>
  <c r="V19" i="11" s="1"/>
  <c r="Y5" i="8"/>
  <c r="F5" i="11" s="1"/>
  <c r="G3" i="13" s="1"/>
  <c r="X5" i="8"/>
  <c r="V5" i="11" s="1"/>
  <c r="Y15" i="8"/>
  <c r="X15" i="8"/>
  <c r="V15" i="11" s="1"/>
  <c r="Y25" i="8"/>
  <c r="F25" i="11" s="1"/>
  <c r="G22" i="13" s="1"/>
  <c r="X25" i="8"/>
  <c r="V25" i="11" s="1"/>
  <c r="X36" i="8"/>
  <c r="V36" i="11" s="1"/>
  <c r="Y36" i="8"/>
  <c r="F36" i="11" s="1"/>
  <c r="G33" i="13" s="1"/>
  <c r="J80" i="7"/>
  <c r="L44" i="8"/>
  <c r="S44" i="11" s="1"/>
  <c r="L51" i="8"/>
  <c r="L6" i="8"/>
  <c r="K28" i="8"/>
  <c r="J28" i="11" s="1"/>
  <c r="K30" i="8"/>
  <c r="J30" i="11" s="1"/>
  <c r="K47" i="8"/>
  <c r="J47" i="11" s="1"/>
  <c r="K4" i="8"/>
  <c r="J4" i="11" s="1"/>
  <c r="L50" i="8"/>
  <c r="AB50" i="11" s="1"/>
  <c r="L9" i="8"/>
  <c r="AB9" i="11" s="1"/>
  <c r="L46" i="8"/>
  <c r="S46" i="11" s="1"/>
  <c r="L47" i="8"/>
  <c r="L11" i="8"/>
  <c r="K26" i="8"/>
  <c r="J26" i="11" s="1"/>
  <c r="L22" i="8"/>
  <c r="S22" i="11" s="1"/>
  <c r="K7" i="8"/>
  <c r="J7" i="11" s="1"/>
  <c r="K19" i="8"/>
  <c r="J19" i="11" s="1"/>
  <c r="L21" i="8"/>
  <c r="AB21" i="11" s="1"/>
  <c r="L20" i="8"/>
  <c r="S20" i="11" s="1"/>
  <c r="K22" i="8"/>
  <c r="J22" i="11" s="1"/>
  <c r="L28" i="8"/>
  <c r="S28" i="11" s="1"/>
  <c r="K11" i="8"/>
  <c r="J11" i="11" s="1"/>
  <c r="L24" i="8"/>
  <c r="S24" i="11" s="1"/>
  <c r="L39" i="8"/>
  <c r="AB39" i="11" s="1"/>
  <c r="L43" i="8"/>
  <c r="AB43" i="11" s="1"/>
  <c r="L34" i="8"/>
  <c r="S34" i="11" s="1"/>
  <c r="K18" i="8"/>
  <c r="J18" i="11" s="1"/>
  <c r="L14" i="8"/>
  <c r="AF9" i="2"/>
  <c r="K40" i="8"/>
  <c r="J40" i="11" s="1"/>
  <c r="K48" i="8"/>
  <c r="J48" i="11" s="1"/>
  <c r="K16" i="8"/>
  <c r="J16" i="11" s="1"/>
  <c r="K49" i="8"/>
  <c r="J49" i="11" s="1"/>
  <c r="K32" i="8"/>
  <c r="J32" i="11" s="1"/>
  <c r="K39" i="8"/>
  <c r="J39" i="11" s="1"/>
  <c r="L38" i="8"/>
  <c r="AB38" i="11" s="1"/>
  <c r="L33" i="8"/>
  <c r="AF17" i="2"/>
  <c r="K13" i="8"/>
  <c r="J13" i="11" s="1"/>
  <c r="K14" i="8"/>
  <c r="J14" i="11" s="1"/>
  <c r="K43" i="8"/>
  <c r="J43" i="11" s="1"/>
  <c r="K10" i="8"/>
  <c r="J10" i="11" s="1"/>
  <c r="K8" i="8"/>
  <c r="J8" i="11" s="1"/>
  <c r="K27" i="8"/>
  <c r="J27" i="11" s="1"/>
  <c r="L37" i="8"/>
  <c r="L29" i="8"/>
  <c r="S29" i="11" s="1"/>
  <c r="L18" i="8"/>
  <c r="S18" i="11" s="1"/>
  <c r="L49" i="8"/>
  <c r="L27" i="8"/>
  <c r="AB27" i="11" s="1"/>
  <c r="K9" i="8"/>
  <c r="J9" i="11" s="1"/>
  <c r="L4" i="8"/>
  <c r="K41" i="8"/>
  <c r="J41" i="11" s="1"/>
  <c r="K21" i="8"/>
  <c r="J21" i="11" s="1"/>
  <c r="K33" i="8"/>
  <c r="J33" i="11" s="1"/>
  <c r="K17" i="8"/>
  <c r="J17" i="11" s="1"/>
  <c r="L3" i="8"/>
  <c r="S3" i="11" s="1"/>
  <c r="L7" i="8"/>
  <c r="L42" i="8"/>
  <c r="S42" i="11" s="1"/>
  <c r="L15" i="8"/>
  <c r="K12" i="8"/>
  <c r="J12" i="11" s="1"/>
  <c r="K15" i="8"/>
  <c r="J15" i="11" s="1"/>
  <c r="K25" i="8"/>
  <c r="J25" i="11" s="1"/>
  <c r="K36" i="8"/>
  <c r="J36" i="11" s="1"/>
  <c r="K6" i="8"/>
  <c r="J6" i="11" s="1"/>
  <c r="L36" i="8"/>
  <c r="AB36" i="11" s="1"/>
  <c r="L17" i="8"/>
  <c r="AB17" i="11" s="1"/>
  <c r="L5" i="8"/>
  <c r="S5" i="11" s="1"/>
  <c r="L41" i="8"/>
  <c r="S41" i="11" s="1"/>
  <c r="L30" i="8"/>
  <c r="L23" i="8"/>
  <c r="S23" i="11" s="1"/>
  <c r="AF8" i="2"/>
  <c r="AD8" i="2"/>
  <c r="AE8" i="2" s="1"/>
  <c r="AD29" i="2"/>
  <c r="AE29" i="2" s="1"/>
  <c r="AF21" i="2"/>
  <c r="AD41" i="2"/>
  <c r="AE41" i="2" s="1"/>
  <c r="AF29" i="2"/>
  <c r="AD3" i="2"/>
  <c r="AE3" i="2" s="1"/>
  <c r="AF3" i="2"/>
  <c r="AF37" i="2"/>
  <c r="AD37" i="2"/>
  <c r="AE37" i="2" s="1"/>
  <c r="AF14" i="2"/>
  <c r="AD14" i="2"/>
  <c r="AE14" i="2" s="1"/>
  <c r="AD40" i="2"/>
  <c r="AE40" i="2" s="1"/>
  <c r="AF40" i="2"/>
  <c r="AD25" i="2"/>
  <c r="AE25" i="2" s="1"/>
  <c r="AF25" i="2"/>
  <c r="AF10" i="2"/>
  <c r="AD10" i="2"/>
  <c r="AE10" i="2" s="1"/>
  <c r="AD27" i="2"/>
  <c r="AE27" i="2" s="1"/>
  <c r="AF27" i="2"/>
  <c r="AF18" i="2"/>
  <c r="AD18" i="2"/>
  <c r="AE18" i="2" s="1"/>
  <c r="AD33" i="2"/>
  <c r="AE33" i="2" s="1"/>
  <c r="AF33" i="2"/>
  <c r="AF60" i="2"/>
  <c r="AD60" i="2"/>
  <c r="AE60" i="2" s="1"/>
  <c r="AF23" i="2"/>
  <c r="AD23" i="2"/>
  <c r="AE23" i="2" s="1"/>
  <c r="AF57" i="2"/>
  <c r="AD57" i="2"/>
  <c r="AE57" i="2" s="1"/>
  <c r="AF62" i="2"/>
  <c r="AD62" i="2"/>
  <c r="AE62" i="2" s="1"/>
  <c r="AF35" i="2"/>
  <c r="AD35" i="2"/>
  <c r="AE35" i="2" s="1"/>
  <c r="AD21" i="2"/>
  <c r="AE21" i="2" s="1"/>
  <c r="AD7" i="2"/>
  <c r="AE7" i="2" s="1"/>
  <c r="AF7" i="2"/>
  <c r="AD4" i="2"/>
  <c r="AE4" i="2" s="1"/>
  <c r="AF4" i="2"/>
  <c r="AG4" i="2" s="1"/>
  <c r="AD31" i="2"/>
  <c r="AE31" i="2" s="1"/>
  <c r="AF31" i="2"/>
  <c r="AF22" i="2"/>
  <c r="AD22" i="2"/>
  <c r="AE22" i="2" s="1"/>
  <c r="AD50" i="2"/>
  <c r="AE50" i="2" s="1"/>
  <c r="AF50" i="2"/>
  <c r="AD61" i="2"/>
  <c r="AE61" i="2" s="1"/>
  <c r="AF61" i="2"/>
  <c r="AD16" i="2"/>
  <c r="AE16" i="2" s="1"/>
  <c r="AF16" i="2"/>
  <c r="AF36" i="2"/>
  <c r="AD36" i="2"/>
  <c r="AE36" i="2" s="1"/>
  <c r="AF42" i="2"/>
  <c r="AD42" i="2"/>
  <c r="AE42" i="2" s="1"/>
  <c r="AD39" i="2"/>
  <c r="AE39" i="2" s="1"/>
  <c r="AF39" i="2"/>
  <c r="AD20" i="2"/>
  <c r="AE20" i="2" s="1"/>
  <c r="AF20" i="2"/>
  <c r="AD43" i="2"/>
  <c r="AE43" i="2" s="1"/>
  <c r="AF43" i="2"/>
  <c r="AD9" i="2"/>
  <c r="AE9" i="2" s="1"/>
  <c r="AF24" i="2"/>
  <c r="AD24" i="2"/>
  <c r="AE24" i="2" s="1"/>
  <c r="AF11" i="2"/>
  <c r="AD11" i="2"/>
  <c r="AE11" i="2" s="1"/>
  <c r="AD46" i="2"/>
  <c r="AE46" i="2" s="1"/>
  <c r="AF46" i="2"/>
  <c r="AF5" i="2"/>
  <c r="AD5" i="2"/>
  <c r="AE5" i="2" s="1"/>
  <c r="AD26" i="2"/>
  <c r="AE26" i="2" s="1"/>
  <c r="AF26" i="2"/>
  <c r="AD30" i="2"/>
  <c r="AE30" i="2" s="1"/>
  <c r="AF30" i="2"/>
  <c r="AF47" i="2"/>
  <c r="AD47" i="2"/>
  <c r="AE47" i="2" s="1"/>
  <c r="AD34" i="2"/>
  <c r="AE34" i="2" s="1"/>
  <c r="AF34" i="2"/>
  <c r="AD45" i="2"/>
  <c r="AE45" i="2" s="1"/>
  <c r="AF45" i="2"/>
  <c r="AF15" i="2"/>
  <c r="AD15" i="2"/>
  <c r="AE15" i="2" s="1"/>
  <c r="AF49" i="2"/>
  <c r="AD49" i="2"/>
  <c r="AE49" i="2" s="1"/>
  <c r="AD2" i="2"/>
  <c r="AE2" i="2" s="1"/>
  <c r="AF2" i="2"/>
  <c r="AD52" i="2"/>
  <c r="AE52" i="2" s="1"/>
  <c r="AF52" i="2"/>
  <c r="AF59" i="2"/>
  <c r="AD59" i="2"/>
  <c r="AE59" i="2" s="1"/>
  <c r="AD28" i="2"/>
  <c r="AE28" i="2" s="1"/>
  <c r="AF28" i="2"/>
  <c r="AF48" i="2"/>
  <c r="AD48" i="2"/>
  <c r="AE48" i="2" s="1"/>
  <c r="AD17" i="2"/>
  <c r="AE17" i="2" s="1"/>
  <c r="AF56" i="2"/>
  <c r="AD56" i="2"/>
  <c r="AE56" i="2" s="1"/>
  <c r="AD44" i="2"/>
  <c r="AE44" i="2" s="1"/>
  <c r="AF44" i="2"/>
  <c r="AF6" i="2"/>
  <c r="AD6" i="2"/>
  <c r="AE6" i="2" s="1"/>
  <c r="AD58" i="2"/>
  <c r="AE58" i="2" s="1"/>
  <c r="AF58" i="2"/>
  <c r="AD19" i="2"/>
  <c r="AE19" i="2" s="1"/>
  <c r="AF19" i="2"/>
  <c r="AD53" i="2"/>
  <c r="AE53" i="2" s="1"/>
  <c r="AF53" i="2"/>
  <c r="AF63" i="2"/>
  <c r="AD63" i="2"/>
  <c r="AE63" i="2" s="1"/>
  <c r="AD55" i="2"/>
  <c r="AE55" i="2" s="1"/>
  <c r="AF55" i="2"/>
  <c r="AF13" i="2"/>
  <c r="AD13" i="2"/>
  <c r="AE13" i="2" s="1"/>
  <c r="AF12" i="2"/>
  <c r="AD12" i="2"/>
  <c r="AE12" i="2" s="1"/>
  <c r="AD51" i="2"/>
  <c r="AE51" i="2" s="1"/>
  <c r="AF51" i="2"/>
  <c r="AD38" i="2"/>
  <c r="AE38" i="2" s="1"/>
  <c r="AF38" i="2"/>
  <c r="AD32" i="2"/>
  <c r="AE32" i="2" s="1"/>
  <c r="AF32" i="2"/>
  <c r="AD54" i="2"/>
  <c r="AE54" i="2" s="1"/>
  <c r="AF54" i="2"/>
  <c r="AG59" i="2" l="1"/>
  <c r="I137" i="13"/>
  <c r="U41" i="13" s="1"/>
  <c r="I124" i="13"/>
  <c r="U28" i="13" s="1"/>
  <c r="I120" i="13"/>
  <c r="U24" i="13" s="1"/>
  <c r="I125" i="13"/>
  <c r="U29" i="13" s="1"/>
  <c r="I100" i="13"/>
  <c r="U4" i="13" s="1"/>
  <c r="I139" i="13"/>
  <c r="U43" i="13" s="1"/>
  <c r="I103" i="13"/>
  <c r="U7" i="13" s="1"/>
  <c r="I99" i="13"/>
  <c r="U3" i="13" s="1"/>
  <c r="I138" i="13"/>
  <c r="U42" i="13" s="1"/>
  <c r="I133" i="13"/>
  <c r="U37" i="13" s="1"/>
  <c r="I132" i="13"/>
  <c r="U36" i="13" s="1"/>
  <c r="I108" i="13"/>
  <c r="U12" i="13" s="1"/>
  <c r="I128" i="13"/>
  <c r="U32" i="13" s="1"/>
  <c r="I102" i="13"/>
  <c r="U6" i="13" s="1"/>
  <c r="I110" i="13"/>
  <c r="U14" i="13" s="1"/>
  <c r="I136" i="13"/>
  <c r="U40" i="13" s="1"/>
  <c r="I107" i="13"/>
  <c r="U11" i="13" s="1"/>
  <c r="I105" i="13"/>
  <c r="U9" i="13" s="1"/>
  <c r="I115" i="13"/>
  <c r="U19" i="13" s="1"/>
  <c r="I116" i="13"/>
  <c r="U20" i="13" s="1"/>
  <c r="I112" i="13"/>
  <c r="U16" i="13" s="1"/>
  <c r="I145" i="13"/>
  <c r="U49" i="13" s="1"/>
  <c r="I101" i="13"/>
  <c r="U5" i="13" s="1"/>
  <c r="I143" i="13"/>
  <c r="U47" i="13" s="1"/>
  <c r="I140" i="13"/>
  <c r="U44" i="13" s="1"/>
  <c r="I121" i="13"/>
  <c r="U25" i="13" s="1"/>
  <c r="I119" i="13"/>
  <c r="U23" i="13" s="1"/>
  <c r="I129" i="13"/>
  <c r="U33" i="13" s="1"/>
  <c r="I104" i="13"/>
  <c r="U8" i="13" s="1"/>
  <c r="I118" i="13"/>
  <c r="U22" i="13" s="1"/>
  <c r="I127" i="13"/>
  <c r="U31" i="13" s="1"/>
  <c r="I117" i="13"/>
  <c r="U21" i="13" s="1"/>
  <c r="I123" i="13"/>
  <c r="U27" i="13" s="1"/>
  <c r="I141" i="13"/>
  <c r="U45" i="13" s="1"/>
  <c r="I130" i="13"/>
  <c r="U34" i="13" s="1"/>
  <c r="I106" i="13"/>
  <c r="U10" i="13" s="1"/>
  <c r="I98" i="13"/>
  <c r="U2" i="13" s="1"/>
  <c r="I111" i="13"/>
  <c r="U15" i="13" s="1"/>
  <c r="I109" i="13"/>
  <c r="U13" i="13" s="1"/>
  <c r="I142" i="13"/>
  <c r="U46" i="13" s="1"/>
  <c r="I135" i="13"/>
  <c r="U39" i="13" s="1"/>
  <c r="I122" i="13"/>
  <c r="U26" i="13" s="1"/>
  <c r="I134" i="13"/>
  <c r="U38" i="13" s="1"/>
  <c r="I131" i="13"/>
  <c r="U35" i="13" s="1"/>
  <c r="I144" i="13"/>
  <c r="U48" i="13" s="1"/>
  <c r="I126" i="13"/>
  <c r="U30" i="13" s="1"/>
  <c r="I113" i="13"/>
  <c r="U17" i="13" s="1"/>
  <c r="I114" i="13"/>
  <c r="U18" i="13" s="1"/>
  <c r="BZ53" i="11"/>
  <c r="AS22" i="8"/>
  <c r="AT22" i="8" s="1"/>
  <c r="AS22" i="11" s="1"/>
  <c r="AS25" i="8"/>
  <c r="AT25" i="8" s="1"/>
  <c r="AS25" i="11" s="1"/>
  <c r="AL36" i="11"/>
  <c r="AS41" i="8"/>
  <c r="AP41" i="11" s="1"/>
  <c r="AL8" i="11"/>
  <c r="AS35" i="8"/>
  <c r="AT35" i="8" s="1"/>
  <c r="AS35" i="11" s="1"/>
  <c r="AS48" i="8"/>
  <c r="AT48" i="8" s="1"/>
  <c r="AS48" i="11" s="1"/>
  <c r="AS27" i="8"/>
  <c r="AT27" i="8" s="1"/>
  <c r="AS27" i="11" s="1"/>
  <c r="AS12" i="8"/>
  <c r="AP12" i="11" s="1"/>
  <c r="AS34" i="8"/>
  <c r="AT34" i="8" s="1"/>
  <c r="AS34" i="11" s="1"/>
  <c r="AL19" i="11"/>
  <c r="AS19" i="8"/>
  <c r="AL53" i="11"/>
  <c r="AS53" i="8"/>
  <c r="AL49" i="11"/>
  <c r="AS49" i="8"/>
  <c r="AL9" i="11"/>
  <c r="AS9" i="8"/>
  <c r="AT8" i="8"/>
  <c r="AS8" i="11" s="1"/>
  <c r="AP8" i="11"/>
  <c r="AL30" i="11"/>
  <c r="AS30" i="8"/>
  <c r="AL47" i="11"/>
  <c r="AS47" i="8"/>
  <c r="AL45" i="11"/>
  <c r="AS45" i="8"/>
  <c r="AL46" i="11"/>
  <c r="AS46" i="8"/>
  <c r="AL6" i="11"/>
  <c r="AS6" i="8"/>
  <c r="AL40" i="11"/>
  <c r="AS40" i="8"/>
  <c r="AL15" i="11"/>
  <c r="AS15" i="8"/>
  <c r="AL18" i="11"/>
  <c r="AS18" i="8"/>
  <c r="AL32" i="11"/>
  <c r="AS32" i="8"/>
  <c r="AL24" i="11"/>
  <c r="AS24" i="8"/>
  <c r="AL39" i="11"/>
  <c r="AS39" i="8"/>
  <c r="AL21" i="11"/>
  <c r="AS21" i="8"/>
  <c r="AL17" i="11"/>
  <c r="AS17" i="8"/>
  <c r="AL14" i="11"/>
  <c r="AS14" i="8"/>
  <c r="AL11" i="11"/>
  <c r="AS11" i="8"/>
  <c r="AP36" i="11"/>
  <c r="AT36" i="8"/>
  <c r="AS36" i="11" s="1"/>
  <c r="AL42" i="11"/>
  <c r="AS42" i="8"/>
  <c r="AL16" i="11"/>
  <c r="AS16" i="8"/>
  <c r="AL5" i="11"/>
  <c r="AS5" i="8"/>
  <c r="AL10" i="11"/>
  <c r="AS10" i="8"/>
  <c r="AL29" i="11"/>
  <c r="AS29" i="8"/>
  <c r="AL33" i="11"/>
  <c r="AS33" i="8"/>
  <c r="AL23" i="11"/>
  <c r="AS23" i="8"/>
  <c r="AL13" i="11"/>
  <c r="AS13" i="8"/>
  <c r="AL31" i="11"/>
  <c r="AS31" i="8"/>
  <c r="AL50" i="11"/>
  <c r="AS50" i="8"/>
  <c r="AL7" i="11"/>
  <c r="AS7" i="8"/>
  <c r="AL44" i="11"/>
  <c r="AS44" i="8"/>
  <c r="AL20" i="11"/>
  <c r="AS20" i="8"/>
  <c r="AL43" i="11"/>
  <c r="AS43" i="8"/>
  <c r="AL37" i="11"/>
  <c r="AS37" i="8"/>
  <c r="AL28" i="11"/>
  <c r="AS28" i="8"/>
  <c r="AL38" i="11"/>
  <c r="AS38" i="8"/>
  <c r="AL3" i="11"/>
  <c r="AS3" i="8"/>
  <c r="AL4" i="11"/>
  <c r="AS4" i="8"/>
  <c r="AL26" i="11"/>
  <c r="AS26" i="8"/>
  <c r="AL51" i="11"/>
  <c r="AS51" i="8"/>
  <c r="AL52" i="11"/>
  <c r="AS52" i="8"/>
  <c r="BZ45" i="11"/>
  <c r="BZ34" i="11"/>
  <c r="BZ47" i="11"/>
  <c r="BZ42" i="11"/>
  <c r="BZ20" i="11"/>
  <c r="BZ13" i="11"/>
  <c r="BZ12" i="11"/>
  <c r="BZ25" i="11"/>
  <c r="BZ19" i="11"/>
  <c r="BZ14" i="11"/>
  <c r="BZ23" i="11"/>
  <c r="BZ3" i="11"/>
  <c r="BZ17" i="11"/>
  <c r="BZ28" i="11"/>
  <c r="BZ30" i="11"/>
  <c r="BZ35" i="11"/>
  <c r="BZ24" i="11"/>
  <c r="BZ50" i="11"/>
  <c r="BZ27" i="11"/>
  <c r="BZ36" i="11"/>
  <c r="BZ41" i="11"/>
  <c r="BZ26" i="11"/>
  <c r="BZ4" i="11"/>
  <c r="BZ11" i="11"/>
  <c r="BZ15" i="11"/>
  <c r="BZ8" i="11"/>
  <c r="BZ52" i="11"/>
  <c r="BZ29" i="11"/>
  <c r="BZ39" i="11"/>
  <c r="BZ18" i="11"/>
  <c r="BZ38" i="11"/>
  <c r="BZ22" i="11"/>
  <c r="BZ6" i="11"/>
  <c r="BZ31" i="11"/>
  <c r="BZ16" i="11"/>
  <c r="BZ7" i="11"/>
  <c r="BZ10" i="11"/>
  <c r="BZ43" i="11"/>
  <c r="BZ40" i="11"/>
  <c r="BZ49" i="11"/>
  <c r="BZ51" i="11"/>
  <c r="BZ5" i="11"/>
  <c r="BZ37" i="11"/>
  <c r="BZ44" i="11"/>
  <c r="BZ9" i="11"/>
  <c r="BZ33" i="11"/>
  <c r="BZ46" i="11"/>
  <c r="BZ32" i="11"/>
  <c r="BZ48" i="11"/>
  <c r="BZ21" i="11"/>
  <c r="S30" i="11"/>
  <c r="W32" i="11"/>
  <c r="W21" i="11"/>
  <c r="W26" i="11"/>
  <c r="W36" i="11"/>
  <c r="W17" i="11"/>
  <c r="W6" i="11"/>
  <c r="S37" i="11"/>
  <c r="S33" i="11"/>
  <c r="S11" i="11"/>
  <c r="AB20" i="11"/>
  <c r="S14" i="11"/>
  <c r="S6" i="11"/>
  <c r="W18" i="11"/>
  <c r="W4" i="11"/>
  <c r="S4" i="11"/>
  <c r="AB28" i="11"/>
  <c r="S7" i="11"/>
  <c r="K22" i="11"/>
  <c r="T22" i="11"/>
  <c r="AE20" i="11"/>
  <c r="F20" i="11"/>
  <c r="G17" i="13" s="1"/>
  <c r="W24" i="11"/>
  <c r="W13" i="11"/>
  <c r="W47" i="11"/>
  <c r="W20" i="11"/>
  <c r="W9" i="11"/>
  <c r="W51" i="11"/>
  <c r="AE16" i="11"/>
  <c r="F16" i="11"/>
  <c r="G13" i="13" s="1"/>
  <c r="S8" i="11"/>
  <c r="K18" i="11"/>
  <c r="T18" i="11"/>
  <c r="K53" i="11"/>
  <c r="T53" i="11"/>
  <c r="K6" i="11"/>
  <c r="T6" i="11"/>
  <c r="K27" i="11"/>
  <c r="T27" i="11"/>
  <c r="K24" i="11"/>
  <c r="T24" i="11"/>
  <c r="K51" i="11"/>
  <c r="T51" i="11"/>
  <c r="AB6" i="11"/>
  <c r="AF24" i="11"/>
  <c r="AB30" i="11"/>
  <c r="AB3" i="11"/>
  <c r="AB7" i="11"/>
  <c r="AF17" i="11"/>
  <c r="AF26" i="11"/>
  <c r="AB18" i="11"/>
  <c r="K5" i="11"/>
  <c r="T5" i="11"/>
  <c r="W16" i="11"/>
  <c r="W5" i="11"/>
  <c r="W39" i="11"/>
  <c r="W12" i="11"/>
  <c r="W3" i="11"/>
  <c r="W43" i="11"/>
  <c r="AE18" i="11"/>
  <c r="F18" i="11"/>
  <c r="G15" i="13" s="1"/>
  <c r="S40" i="11"/>
  <c r="K17" i="11"/>
  <c r="T17" i="11"/>
  <c r="K37" i="11"/>
  <c r="T37" i="11"/>
  <c r="K19" i="11"/>
  <c r="T19" i="11"/>
  <c r="K49" i="11"/>
  <c r="T49" i="11"/>
  <c r="K16" i="11"/>
  <c r="T16" i="11"/>
  <c r="K38" i="11"/>
  <c r="T38" i="11"/>
  <c r="K47" i="11"/>
  <c r="T47" i="11"/>
  <c r="S32" i="11"/>
  <c r="AB4" i="11"/>
  <c r="AE19" i="11"/>
  <c r="F19" i="11"/>
  <c r="G16" i="13" s="1"/>
  <c r="K8" i="11"/>
  <c r="T8" i="11"/>
  <c r="W8" i="11"/>
  <c r="W31" i="11"/>
  <c r="W46" i="11"/>
  <c r="W35" i="11"/>
  <c r="S12" i="11"/>
  <c r="S26" i="11"/>
  <c r="K33" i="11"/>
  <c r="T33" i="11"/>
  <c r="K36" i="11"/>
  <c r="T36" i="11"/>
  <c r="K45" i="11"/>
  <c r="T45" i="11"/>
  <c r="K15" i="11"/>
  <c r="T15" i="11"/>
  <c r="K11" i="11"/>
  <c r="T11" i="11"/>
  <c r="K12" i="11"/>
  <c r="T12" i="11"/>
  <c r="K25" i="11"/>
  <c r="T25" i="11"/>
  <c r="AF35" i="11"/>
  <c r="AB46" i="11"/>
  <c r="AB22" i="11"/>
  <c r="AF32" i="11"/>
  <c r="AB5" i="11"/>
  <c r="AF36" i="11"/>
  <c r="AF18" i="11"/>
  <c r="AF6" i="11"/>
  <c r="AB26" i="11"/>
  <c r="AF39" i="11"/>
  <c r="AF16" i="11"/>
  <c r="AF47" i="11"/>
  <c r="K13" i="11"/>
  <c r="T13" i="11"/>
  <c r="S38" i="11"/>
  <c r="S47" i="11"/>
  <c r="W52" i="11"/>
  <c r="W53" i="11"/>
  <c r="W10" i="11"/>
  <c r="W23" i="11"/>
  <c r="W49" i="11"/>
  <c r="W38" i="11"/>
  <c r="W27" i="11"/>
  <c r="S10" i="11"/>
  <c r="S16" i="11"/>
  <c r="K10" i="11"/>
  <c r="T10" i="11"/>
  <c r="K32" i="11"/>
  <c r="T32" i="11"/>
  <c r="K7" i="11"/>
  <c r="T7" i="11"/>
  <c r="K20" i="11"/>
  <c r="T20" i="11"/>
  <c r="K48" i="11"/>
  <c r="T48" i="11"/>
  <c r="K30" i="11"/>
  <c r="T30" i="11"/>
  <c r="K3" i="11"/>
  <c r="T3" i="11"/>
  <c r="BU11" i="11"/>
  <c r="BU20" i="11"/>
  <c r="BU45" i="11"/>
  <c r="BU53" i="11"/>
  <c r="BU16" i="11"/>
  <c r="BU18" i="11"/>
  <c r="BU19" i="11"/>
  <c r="BU7" i="11"/>
  <c r="BU17" i="11"/>
  <c r="BU46" i="11"/>
  <c r="BU52" i="11"/>
  <c r="BU30" i="11"/>
  <c r="BU21" i="11"/>
  <c r="BU4" i="11"/>
  <c r="BU28" i="11"/>
  <c r="BU48" i="11"/>
  <c r="BU34" i="11"/>
  <c r="BU36" i="11"/>
  <c r="BU43" i="11"/>
  <c r="BU44" i="11"/>
  <c r="BU3" i="11"/>
  <c r="BU14" i="11"/>
  <c r="BU47" i="11"/>
  <c r="BU25" i="11"/>
  <c r="BU24" i="11"/>
  <c r="BU8" i="11"/>
  <c r="BU31" i="11"/>
  <c r="BU5" i="11"/>
  <c r="BU51" i="11"/>
  <c r="BU23" i="11"/>
  <c r="BU22" i="11"/>
  <c r="BU49" i="11"/>
  <c r="BU41" i="11"/>
  <c r="BU42" i="11"/>
  <c r="BU35" i="11"/>
  <c r="BU33" i="11"/>
  <c r="BU12" i="11"/>
  <c r="BU6" i="11"/>
  <c r="BU32" i="11"/>
  <c r="BU9" i="11"/>
  <c r="BU38" i="11"/>
  <c r="BU27" i="11"/>
  <c r="BU37" i="11"/>
  <c r="BU13" i="11"/>
  <c r="BU39" i="11"/>
  <c r="BU15" i="11"/>
  <c r="BU50" i="11"/>
  <c r="BU26" i="11"/>
  <c r="BU10" i="11"/>
  <c r="BU29" i="11"/>
  <c r="BU40" i="11"/>
  <c r="AF21" i="11"/>
  <c r="S13" i="11"/>
  <c r="AF13" i="11"/>
  <c r="AF3" i="11"/>
  <c r="AB33" i="11"/>
  <c r="AB37" i="11"/>
  <c r="S15" i="11"/>
  <c r="S51" i="11"/>
  <c r="AE15" i="11"/>
  <c r="F15" i="11"/>
  <c r="G12" i="13" s="1"/>
  <c r="S17" i="11"/>
  <c r="S21" i="11"/>
  <c r="S9" i="11"/>
  <c r="AE21" i="11"/>
  <c r="F21" i="11"/>
  <c r="G18" i="13" s="1"/>
  <c r="W28" i="11"/>
  <c r="W45" i="11"/>
  <c r="W50" i="11"/>
  <c r="W15" i="11"/>
  <c r="W41" i="11"/>
  <c r="W30" i="11"/>
  <c r="W19" i="11"/>
  <c r="AE14" i="11"/>
  <c r="F14" i="11"/>
  <c r="G11" i="13" s="1"/>
  <c r="AE17" i="11"/>
  <c r="F17" i="11"/>
  <c r="G14" i="13" s="1"/>
  <c r="K40" i="11"/>
  <c r="T40" i="11"/>
  <c r="K4" i="11"/>
  <c r="T4" i="11"/>
  <c r="K21" i="11"/>
  <c r="T21" i="11"/>
  <c r="K28" i="11"/>
  <c r="T28" i="11"/>
  <c r="K14" i="11"/>
  <c r="T14" i="11"/>
  <c r="K29" i="11"/>
  <c r="T29" i="11"/>
  <c r="AB51" i="11"/>
  <c r="AF30" i="11"/>
  <c r="AF53" i="11"/>
  <c r="AB42" i="11"/>
  <c r="AF43" i="11"/>
  <c r="AF23" i="11"/>
  <c r="AB24" i="11"/>
  <c r="S31" i="11"/>
  <c r="AF31" i="11"/>
  <c r="AB44" i="11"/>
  <c r="AB47" i="11"/>
  <c r="AF27" i="11"/>
  <c r="K50" i="11"/>
  <c r="T50" i="11"/>
  <c r="S36" i="11"/>
  <c r="S43" i="11"/>
  <c r="S19" i="11"/>
  <c r="W48" i="11"/>
  <c r="W37" i="11"/>
  <c r="W42" i="11"/>
  <c r="W7" i="11"/>
  <c r="W33" i="11"/>
  <c r="W22" i="11"/>
  <c r="W11" i="11"/>
  <c r="S48" i="11"/>
  <c r="K39" i="11"/>
  <c r="T39" i="11"/>
  <c r="K34" i="11"/>
  <c r="T34" i="11"/>
  <c r="K9" i="11"/>
  <c r="T9" i="11"/>
  <c r="K44" i="11"/>
  <c r="T44" i="11"/>
  <c r="K35" i="11"/>
  <c r="T35" i="11"/>
  <c r="K41" i="11"/>
  <c r="T41" i="11"/>
  <c r="AB34" i="11"/>
  <c r="AB12" i="11"/>
  <c r="AB8" i="11"/>
  <c r="AF9" i="11"/>
  <c r="AF52" i="11"/>
  <c r="K52" i="11"/>
  <c r="T52" i="11"/>
  <c r="S27" i="11"/>
  <c r="S50" i="11"/>
  <c r="S49" i="11"/>
  <c r="S39" i="11"/>
  <c r="S25" i="11"/>
  <c r="W40" i="11"/>
  <c r="W29" i="11"/>
  <c r="W34" i="11"/>
  <c r="W44" i="11"/>
  <c r="W25" i="11"/>
  <c r="W14" i="11"/>
  <c r="S45" i="11"/>
  <c r="S53" i="11"/>
  <c r="K23" i="11"/>
  <c r="T23" i="11"/>
  <c r="K31" i="11"/>
  <c r="T31" i="11"/>
  <c r="K46" i="11"/>
  <c r="T46" i="11"/>
  <c r="K42" i="11"/>
  <c r="T42" i="11"/>
  <c r="K26" i="11"/>
  <c r="T26" i="11"/>
  <c r="K43" i="11"/>
  <c r="T43" i="11"/>
  <c r="AB35" i="11"/>
  <c r="AF20" i="11"/>
  <c r="AB23" i="11"/>
  <c r="AB40" i="11"/>
  <c r="AB11" i="11"/>
  <c r="AF38" i="11"/>
  <c r="AB53" i="11"/>
  <c r="S52" i="11"/>
  <c r="AB49" i="11"/>
  <c r="AF51" i="11"/>
  <c r="AF5" i="11"/>
  <c r="AF49" i="11"/>
  <c r="AB29" i="11"/>
  <c r="AB15" i="11"/>
  <c r="AF29" i="11"/>
  <c r="AF8" i="11"/>
  <c r="AB41" i="11"/>
  <c r="AF22" i="11"/>
  <c r="AF45" i="11"/>
  <c r="AB14" i="11"/>
  <c r="Q86" i="2"/>
  <c r="V86" i="2" s="1"/>
  <c r="Q98" i="2"/>
  <c r="V98" i="2" s="1"/>
  <c r="Q85" i="2"/>
  <c r="V85" i="2" s="1"/>
  <c r="Q94" i="2"/>
  <c r="V94" i="2" s="1"/>
  <c r="Q113" i="2"/>
  <c r="V113" i="2" s="1"/>
  <c r="Q92" i="2"/>
  <c r="V92" i="2" s="1"/>
  <c r="Q83" i="2"/>
  <c r="V83" i="2" s="1"/>
  <c r="Q104" i="2"/>
  <c r="V104" i="2" s="1"/>
  <c r="Q105" i="2"/>
  <c r="V105" i="2" s="1"/>
  <c r="Q79" i="2"/>
  <c r="V79" i="2" s="1"/>
  <c r="Q112" i="2"/>
  <c r="V112" i="2" s="1"/>
  <c r="Q109" i="2"/>
  <c r="V109" i="2" s="1"/>
  <c r="Q106" i="2"/>
  <c r="V106" i="2" s="1"/>
  <c r="Q102" i="2"/>
  <c r="V102" i="2" s="1"/>
  <c r="Q69" i="2"/>
  <c r="V69" i="2" s="1"/>
  <c r="Q84" i="2"/>
  <c r="V84" i="2" s="1"/>
  <c r="Q75" i="2"/>
  <c r="V75" i="2" s="1"/>
  <c r="Q96" i="2"/>
  <c r="V96" i="2" s="1"/>
  <c r="Q97" i="2"/>
  <c r="V97" i="2" s="1"/>
  <c r="Q91" i="2"/>
  <c r="V91" i="2" s="1"/>
  <c r="Q90" i="2"/>
  <c r="V90" i="2" s="1"/>
  <c r="Q93" i="2"/>
  <c r="V93" i="2" s="1"/>
  <c r="Q76" i="2"/>
  <c r="V76" i="2" s="1"/>
  <c r="Q67" i="2"/>
  <c r="V67" i="2" s="1"/>
  <c r="Q88" i="2"/>
  <c r="V88" i="2" s="1"/>
  <c r="Q81" i="2"/>
  <c r="V81" i="2" s="1"/>
  <c r="Q78" i="2"/>
  <c r="V78" i="2" s="1"/>
  <c r="Q82" i="2"/>
  <c r="V82" i="2" s="1"/>
  <c r="Q66" i="2"/>
  <c r="V66" i="2" s="1"/>
  <c r="Q70" i="2"/>
  <c r="V70" i="2" s="1"/>
  <c r="Q68" i="2"/>
  <c r="V68" i="2" s="1"/>
  <c r="Q80" i="2"/>
  <c r="V80" i="2" s="1"/>
  <c r="Q73" i="2"/>
  <c r="V73" i="2" s="1"/>
  <c r="Q114" i="2"/>
  <c r="V114" i="2" s="1"/>
  <c r="Q100" i="2"/>
  <c r="V100" i="2" s="1"/>
  <c r="Q74" i="2"/>
  <c r="V74" i="2" s="1"/>
  <c r="Q110" i="2"/>
  <c r="V110" i="2" s="1"/>
  <c r="Q72" i="2"/>
  <c r="V72" i="2" s="1"/>
  <c r="Q111" i="2"/>
  <c r="V111" i="2" s="1"/>
  <c r="Q101" i="2"/>
  <c r="V101" i="2" s="1"/>
  <c r="Q107" i="2"/>
  <c r="V107" i="2" s="1"/>
  <c r="Q65" i="2"/>
  <c r="V65" i="2" s="1"/>
  <c r="Q103" i="2"/>
  <c r="V103" i="2" s="1"/>
  <c r="Q87" i="2"/>
  <c r="V87" i="2" s="1"/>
  <c r="Q77" i="2"/>
  <c r="V77" i="2" s="1"/>
  <c r="Q71" i="2"/>
  <c r="V71" i="2" s="1"/>
  <c r="Q108" i="2"/>
  <c r="V108" i="2" s="1"/>
  <c r="Q99" i="2"/>
  <c r="V99" i="2" s="1"/>
  <c r="Q89" i="2"/>
  <c r="V89" i="2" s="1"/>
  <c r="Q95" i="2"/>
  <c r="V95" i="2" s="1"/>
  <c r="V64" i="2"/>
  <c r="AE23" i="8"/>
  <c r="U84" i="2" s="1"/>
  <c r="N23" i="11"/>
  <c r="AE52" i="8"/>
  <c r="O52" i="11" s="1"/>
  <c r="N52" i="11"/>
  <c r="AE31" i="8"/>
  <c r="AI31" i="8" s="1"/>
  <c r="AE46" i="8"/>
  <c r="U109" i="2" s="1"/>
  <c r="AG37" i="8"/>
  <c r="AE37" i="11"/>
  <c r="AG32" i="8"/>
  <c r="AE32" i="11"/>
  <c r="AG20" i="8"/>
  <c r="AG24" i="8"/>
  <c r="AE24" i="11"/>
  <c r="AG34" i="8"/>
  <c r="AE34" i="11"/>
  <c r="AG6" i="8"/>
  <c r="AE6" i="11"/>
  <c r="AG16" i="8"/>
  <c r="AG51" i="8"/>
  <c r="AE51" i="11"/>
  <c r="AG33" i="8"/>
  <c r="AE33" i="11"/>
  <c r="AG3" i="8"/>
  <c r="AE3" i="11"/>
  <c r="AG50" i="8"/>
  <c r="AE50" i="11"/>
  <c r="AG18" i="8"/>
  <c r="AG44" i="8"/>
  <c r="AE44" i="11"/>
  <c r="AG45" i="8"/>
  <c r="AE45" i="11"/>
  <c r="AG35" i="8"/>
  <c r="AE35" i="11"/>
  <c r="AG19" i="8"/>
  <c r="AG46" i="8"/>
  <c r="AE46" i="11"/>
  <c r="AG25" i="8"/>
  <c r="AE25" i="11"/>
  <c r="AG8" i="8"/>
  <c r="AE8" i="11"/>
  <c r="AG41" i="8"/>
  <c r="AK41" i="8" s="1"/>
  <c r="AE41" i="11"/>
  <c r="AG52" i="8"/>
  <c r="AE52" i="11"/>
  <c r="AG13" i="8"/>
  <c r="AE13" i="11"/>
  <c r="AG40" i="8"/>
  <c r="AE40" i="11"/>
  <c r="AG15" i="8"/>
  <c r="AG30" i="8"/>
  <c r="AE30" i="11"/>
  <c r="AG9" i="8"/>
  <c r="AE9" i="11"/>
  <c r="AG38" i="8"/>
  <c r="AE38" i="11"/>
  <c r="AG31" i="8"/>
  <c r="Y95" i="2" s="1"/>
  <c r="AE31" i="11"/>
  <c r="AG21" i="8"/>
  <c r="AG11" i="8"/>
  <c r="AE11" i="11"/>
  <c r="AG48" i="8"/>
  <c r="AE48" i="11"/>
  <c r="AG39" i="8"/>
  <c r="AE39" i="11"/>
  <c r="AG4" i="8"/>
  <c r="AE4" i="11"/>
  <c r="AG14" i="8"/>
  <c r="AG17" i="8"/>
  <c r="AG5" i="8"/>
  <c r="AE5" i="11"/>
  <c r="AG27" i="8"/>
  <c r="AK27" i="8" s="1"/>
  <c r="AE27" i="11"/>
  <c r="AG12" i="8"/>
  <c r="AE12" i="11"/>
  <c r="AG29" i="8"/>
  <c r="AE29" i="11"/>
  <c r="AG28" i="8"/>
  <c r="AK28" i="8" s="1"/>
  <c r="AE28" i="11"/>
  <c r="AG22" i="8"/>
  <c r="AE22" i="11"/>
  <c r="AG49" i="8"/>
  <c r="AE49" i="11"/>
  <c r="AG36" i="8"/>
  <c r="AE36" i="11"/>
  <c r="AG43" i="8"/>
  <c r="AE43" i="11"/>
  <c r="AG42" i="8"/>
  <c r="AE42" i="11"/>
  <c r="AG7" i="8"/>
  <c r="AE7" i="11"/>
  <c r="AG23" i="8"/>
  <c r="AE23" i="11"/>
  <c r="AG10" i="8"/>
  <c r="AE10" i="11"/>
  <c r="AG26" i="8"/>
  <c r="AE26" i="11"/>
  <c r="AG47" i="8"/>
  <c r="AE47" i="11"/>
  <c r="AE30" i="8"/>
  <c r="AF40" i="8"/>
  <c r="AF19" i="8"/>
  <c r="AE53" i="8"/>
  <c r="AE3" i="8"/>
  <c r="O3" i="11" s="1"/>
  <c r="AE41" i="8"/>
  <c r="AE15" i="8"/>
  <c r="AE10" i="8"/>
  <c r="AE37" i="8"/>
  <c r="AE50" i="8"/>
  <c r="AE34" i="8"/>
  <c r="AE18" i="8"/>
  <c r="AF52" i="8"/>
  <c r="AE20" i="8"/>
  <c r="AE12" i="8"/>
  <c r="AF42" i="8"/>
  <c r="AF32" i="8"/>
  <c r="AE5" i="8"/>
  <c r="AF17" i="8"/>
  <c r="AE9" i="8"/>
  <c r="AF27" i="8"/>
  <c r="AE49" i="8"/>
  <c r="AE45" i="8"/>
  <c r="AE24" i="8"/>
  <c r="AF8" i="8"/>
  <c r="AF10" i="8"/>
  <c r="AE42" i="8"/>
  <c r="AE48" i="8"/>
  <c r="AF22" i="8"/>
  <c r="AE29" i="8"/>
  <c r="AF13" i="8"/>
  <c r="AE40" i="8"/>
  <c r="AE11" i="8"/>
  <c r="AE26" i="8"/>
  <c r="AG15" i="2"/>
  <c r="AE44" i="8"/>
  <c r="AF45" i="8"/>
  <c r="AE38" i="8"/>
  <c r="AG11" i="2"/>
  <c r="AF12" i="8"/>
  <c r="AF11" i="8"/>
  <c r="AE28" i="8"/>
  <c r="AF15" i="8"/>
  <c r="AE8" i="8"/>
  <c r="AF16" i="8"/>
  <c r="AF21" i="8"/>
  <c r="AF51" i="8"/>
  <c r="AE17" i="8"/>
  <c r="AE19" i="8"/>
  <c r="AF9" i="8"/>
  <c r="AF25" i="8"/>
  <c r="AF3" i="8"/>
  <c r="AF30" i="8"/>
  <c r="AE21" i="8"/>
  <c r="AF50" i="8"/>
  <c r="AF36" i="8"/>
  <c r="AF7" i="8"/>
  <c r="AF6" i="8"/>
  <c r="AF41" i="8"/>
  <c r="AE51" i="8"/>
  <c r="AF26" i="8"/>
  <c r="AF48" i="8"/>
  <c r="AF28" i="8"/>
  <c r="AE35" i="8"/>
  <c r="AF44" i="8"/>
  <c r="AF47" i="8"/>
  <c r="AF20" i="8"/>
  <c r="AF29" i="8"/>
  <c r="AF24" i="8"/>
  <c r="AE43" i="8"/>
  <c r="AE7" i="8"/>
  <c r="AF31" i="8"/>
  <c r="AF5" i="8"/>
  <c r="AE4" i="8"/>
  <c r="U113" i="2" s="1"/>
  <c r="AF39" i="8"/>
  <c r="AF18" i="8"/>
  <c r="AE47" i="8"/>
  <c r="AE32" i="8"/>
  <c r="AF35" i="8"/>
  <c r="AE33" i="8"/>
  <c r="AF49" i="8"/>
  <c r="AE14" i="8"/>
  <c r="AF14" i="8"/>
  <c r="AE13" i="8"/>
  <c r="U114" i="2" s="1"/>
  <c r="AE39" i="8"/>
  <c r="AF46" i="8"/>
  <c r="Y53" i="8"/>
  <c r="F53" i="11" s="1"/>
  <c r="X53" i="8"/>
  <c r="AE6" i="8"/>
  <c r="AF37" i="8"/>
  <c r="AF34" i="8"/>
  <c r="AF23" i="8"/>
  <c r="AE36" i="8"/>
  <c r="AF4" i="8"/>
  <c r="W113" i="2" s="1"/>
  <c r="AE27" i="8"/>
  <c r="AF33" i="8"/>
  <c r="AE16" i="8"/>
  <c r="AF43" i="8"/>
  <c r="AE22" i="8"/>
  <c r="AE25" i="8"/>
  <c r="AF38" i="8"/>
  <c r="AG55" i="2"/>
  <c r="AG52" i="2"/>
  <c r="AG51" i="2"/>
  <c r="AG48" i="2"/>
  <c r="AG57" i="2"/>
  <c r="AG63" i="2"/>
  <c r="AG38" i="2"/>
  <c r="AG58" i="2"/>
  <c r="AG54" i="2"/>
  <c r="AG53" i="2"/>
  <c r="AG49" i="2"/>
  <c r="AG31" i="2"/>
  <c r="AG60" i="2"/>
  <c r="AG61" i="2"/>
  <c r="AG62" i="2"/>
  <c r="AG56" i="2"/>
  <c r="AG50" i="2"/>
  <c r="AG8" i="2"/>
  <c r="AG2" i="2"/>
  <c r="AG45" i="2"/>
  <c r="AG26" i="2"/>
  <c r="AG40" i="2"/>
  <c r="AG24" i="2"/>
  <c r="AG7" i="2"/>
  <c r="AG18" i="2"/>
  <c r="AG9" i="2"/>
  <c r="AG39" i="2"/>
  <c r="AG6" i="2"/>
  <c r="AG28" i="2"/>
  <c r="AG34" i="2"/>
  <c r="AG42" i="2"/>
  <c r="AG27" i="2"/>
  <c r="AG17" i="2"/>
  <c r="AG44" i="2"/>
  <c r="AG5" i="2"/>
  <c r="AG43" i="2"/>
  <c r="AG23" i="2"/>
  <c r="AG14" i="2"/>
  <c r="AG29" i="2"/>
  <c r="AG12" i="2"/>
  <c r="AG46" i="2"/>
  <c r="AG36" i="2"/>
  <c r="AG22" i="2"/>
  <c r="AG32" i="2"/>
  <c r="AG19" i="2"/>
  <c r="AG47" i="2"/>
  <c r="AG20" i="2"/>
  <c r="AG16" i="2"/>
  <c r="AG35" i="2"/>
  <c r="AG10" i="2"/>
  <c r="AG37" i="2"/>
  <c r="AG21" i="2"/>
  <c r="AG13" i="2"/>
  <c r="AG30" i="2"/>
  <c r="AG33" i="2"/>
  <c r="AG25" i="2"/>
  <c r="AG3" i="2"/>
  <c r="AG41" i="2"/>
  <c r="U68" i="2" l="1"/>
  <c r="AP22" i="11"/>
  <c r="B6" i="14"/>
  <c r="J6" i="14"/>
  <c r="AP25" i="11"/>
  <c r="AT41" i="8"/>
  <c r="AS41" i="11" s="1"/>
  <c r="AT12" i="8"/>
  <c r="AS12" i="11" s="1"/>
  <c r="AP34" i="11"/>
  <c r="AP48" i="11"/>
  <c r="AP35" i="11"/>
  <c r="AP27" i="11"/>
  <c r="AT43" i="8"/>
  <c r="AS43" i="11" s="1"/>
  <c r="AP43" i="11"/>
  <c r="AP9" i="11"/>
  <c r="AT9" i="8"/>
  <c r="AS9" i="11" s="1"/>
  <c r="AT23" i="8"/>
  <c r="AS23" i="11" s="1"/>
  <c r="AP23" i="11"/>
  <c r="AP45" i="11"/>
  <c r="AT45" i="8"/>
  <c r="AS45" i="11" s="1"/>
  <c r="AP52" i="11"/>
  <c r="AT52" i="8"/>
  <c r="AS52" i="11" s="1"/>
  <c r="AP4" i="11"/>
  <c r="AT4" i="8"/>
  <c r="AS4" i="11" s="1"/>
  <c r="AP38" i="11"/>
  <c r="AT38" i="8"/>
  <c r="AS38" i="11" s="1"/>
  <c r="AP20" i="11"/>
  <c r="AT20" i="8"/>
  <c r="AS20" i="11" s="1"/>
  <c r="AP50" i="11"/>
  <c r="AT50" i="8"/>
  <c r="AS50" i="11" s="1"/>
  <c r="AP33" i="11"/>
  <c r="AT33" i="8"/>
  <c r="AS33" i="11" s="1"/>
  <c r="AP5" i="11"/>
  <c r="AT5" i="8"/>
  <c r="AS5" i="11" s="1"/>
  <c r="AP17" i="11"/>
  <c r="AT17" i="8"/>
  <c r="AS17" i="11" s="1"/>
  <c r="AT24" i="8"/>
  <c r="AS24" i="11" s="1"/>
  <c r="AP24" i="11"/>
  <c r="AT40" i="8"/>
  <c r="AS40" i="11" s="1"/>
  <c r="AP40" i="11"/>
  <c r="AT47" i="8"/>
  <c r="AS47" i="11" s="1"/>
  <c r="AP47" i="11"/>
  <c r="AP49" i="11"/>
  <c r="AT49" i="8"/>
  <c r="AS49" i="11" s="1"/>
  <c r="AT7" i="8"/>
  <c r="AS7" i="11" s="1"/>
  <c r="AP7" i="11"/>
  <c r="AP10" i="11"/>
  <c r="AT10" i="8"/>
  <c r="AS10" i="11" s="1"/>
  <c r="AT15" i="8"/>
  <c r="AS15" i="11" s="1"/>
  <c r="AP15" i="11"/>
  <c r="AT51" i="8"/>
  <c r="AS51" i="11" s="1"/>
  <c r="AP51" i="11"/>
  <c r="AP3" i="11"/>
  <c r="AT3" i="8"/>
  <c r="AS3" i="11" s="1"/>
  <c r="AP28" i="11"/>
  <c r="AT28" i="8"/>
  <c r="AS28" i="11" s="1"/>
  <c r="AT31" i="8"/>
  <c r="AS31" i="11" s="1"/>
  <c r="AP31" i="11"/>
  <c r="AT16" i="8"/>
  <c r="AS16" i="11" s="1"/>
  <c r="AP16" i="11"/>
  <c r="AP21" i="11"/>
  <c r="AT21" i="8"/>
  <c r="AS21" i="11" s="1"/>
  <c r="AT32" i="8"/>
  <c r="AS32" i="11" s="1"/>
  <c r="AP32" i="11"/>
  <c r="AP6" i="11"/>
  <c r="AT6" i="8"/>
  <c r="AS6" i="11" s="1"/>
  <c r="AP30" i="11"/>
  <c r="AT30" i="8"/>
  <c r="AS30" i="11" s="1"/>
  <c r="AP53" i="11"/>
  <c r="AT53" i="8"/>
  <c r="AS53" i="11" s="1"/>
  <c r="AT39" i="8"/>
  <c r="AS39" i="11" s="1"/>
  <c r="AP39" i="11"/>
  <c r="AP14" i="11"/>
  <c r="AT14" i="8"/>
  <c r="AS14" i="11" s="1"/>
  <c r="AP26" i="11"/>
  <c r="AT26" i="8"/>
  <c r="AS26" i="11" s="1"/>
  <c r="AP37" i="11"/>
  <c r="AT37" i="8"/>
  <c r="AS37" i="11" s="1"/>
  <c r="AP44" i="11"/>
  <c r="AT44" i="8"/>
  <c r="AS44" i="11" s="1"/>
  <c r="AP13" i="11"/>
  <c r="AT13" i="8"/>
  <c r="AS13" i="11" s="1"/>
  <c r="AP29" i="11"/>
  <c r="AT29" i="8"/>
  <c r="AS29" i="11" s="1"/>
  <c r="AP42" i="11"/>
  <c r="AT42" i="8"/>
  <c r="AS42" i="11" s="1"/>
  <c r="AT11" i="8"/>
  <c r="AS11" i="11" s="1"/>
  <c r="AP11" i="11"/>
  <c r="AP18" i="11"/>
  <c r="AT18" i="8"/>
  <c r="AS18" i="11" s="1"/>
  <c r="AP46" i="11"/>
  <c r="AT46" i="8"/>
  <c r="AS46" i="11" s="1"/>
  <c r="AT19" i="8"/>
  <c r="AS19" i="11" s="1"/>
  <c r="AP19" i="11"/>
  <c r="X40" i="11"/>
  <c r="C37" i="10" s="1"/>
  <c r="Y72" i="2"/>
  <c r="Y65" i="2"/>
  <c r="X19" i="11"/>
  <c r="AA19" i="11" s="1"/>
  <c r="BP19" i="11" s="1" a="1"/>
  <c r="BP19" i="11" s="1"/>
  <c r="Y92" i="2"/>
  <c r="Y71" i="2"/>
  <c r="Y90" i="2"/>
  <c r="Y105" i="2"/>
  <c r="Y85" i="2"/>
  <c r="Y102" i="2"/>
  <c r="Y103" i="2"/>
  <c r="AG8" i="11"/>
  <c r="AJ8" i="11" s="1"/>
  <c r="AG3" i="11"/>
  <c r="AJ3" i="11" s="1"/>
  <c r="Y100" i="2"/>
  <c r="Y101" i="2"/>
  <c r="AG45" i="11"/>
  <c r="AJ45" i="11" s="1"/>
  <c r="Y99" i="2"/>
  <c r="Y75" i="2"/>
  <c r="AG48" i="11"/>
  <c r="D45" i="10" s="1"/>
  <c r="Y88" i="2"/>
  <c r="AG33" i="11"/>
  <c r="D30" i="10" s="1"/>
  <c r="Y106" i="2"/>
  <c r="AG17" i="11"/>
  <c r="D14" i="10" s="1"/>
  <c r="AG9" i="11"/>
  <c r="D7" i="10" s="1"/>
  <c r="AG44" i="11"/>
  <c r="AJ44" i="11" s="1"/>
  <c r="AG24" i="11"/>
  <c r="AJ24" i="11" s="1"/>
  <c r="Y84" i="2"/>
  <c r="AG36" i="11"/>
  <c r="D33" i="10" s="1"/>
  <c r="AG29" i="11"/>
  <c r="D26" i="10" s="1"/>
  <c r="AG14" i="11"/>
  <c r="D11" i="10" s="1"/>
  <c r="AG11" i="11"/>
  <c r="AJ11" i="11" s="1"/>
  <c r="Y68" i="2"/>
  <c r="Y109" i="2"/>
  <c r="Y67" i="2"/>
  <c r="W114" i="2"/>
  <c r="AG21" i="11"/>
  <c r="D18" i="10" s="1"/>
  <c r="AG30" i="11"/>
  <c r="AJ30" i="11" s="1"/>
  <c r="Y111" i="2"/>
  <c r="AG49" i="11"/>
  <c r="D46" i="10" s="1"/>
  <c r="AG12" i="11"/>
  <c r="AJ12" i="11" s="1"/>
  <c r="AG50" i="11"/>
  <c r="D47" i="10" s="1"/>
  <c r="AG32" i="11"/>
  <c r="D29" i="10" s="1"/>
  <c r="AI46" i="8"/>
  <c r="O23" i="11"/>
  <c r="AI23" i="8"/>
  <c r="U95" i="2"/>
  <c r="AI52" i="8"/>
  <c r="O31" i="11"/>
  <c r="AD99" i="2"/>
  <c r="AE99" i="2" s="1"/>
  <c r="AF99" i="2"/>
  <c r="AG99" i="2" s="1"/>
  <c r="AD101" i="2"/>
  <c r="AE101" i="2" s="1"/>
  <c r="AF101" i="2"/>
  <c r="AG101" i="2" s="1"/>
  <c r="AD80" i="2"/>
  <c r="AE80" i="2" s="1"/>
  <c r="AF80" i="2"/>
  <c r="AG80" i="2" s="1"/>
  <c r="AD67" i="2"/>
  <c r="AE67" i="2" s="1"/>
  <c r="AF67" i="2"/>
  <c r="AG67" i="2" s="1"/>
  <c r="AD84" i="2"/>
  <c r="AE84" i="2" s="1"/>
  <c r="AF84" i="2"/>
  <c r="AG84" i="2" s="1"/>
  <c r="AD104" i="2"/>
  <c r="AE104" i="2" s="1"/>
  <c r="AF104" i="2"/>
  <c r="AG104" i="2" s="1"/>
  <c r="AD108" i="2"/>
  <c r="AE108" i="2" s="1"/>
  <c r="AF108" i="2"/>
  <c r="AG108" i="2" s="1"/>
  <c r="AD111" i="2"/>
  <c r="AE111" i="2" s="1"/>
  <c r="AF111" i="2"/>
  <c r="AG111" i="2" s="1"/>
  <c r="AD68" i="2"/>
  <c r="AE68" i="2" s="1"/>
  <c r="AF68" i="2"/>
  <c r="AG68" i="2" s="1"/>
  <c r="AF76" i="2"/>
  <c r="AG76" i="2" s="1"/>
  <c r="AD76" i="2"/>
  <c r="AE76" i="2" s="1"/>
  <c r="AD69" i="2"/>
  <c r="AE69" i="2" s="1"/>
  <c r="AF69" i="2"/>
  <c r="AG69" i="2" s="1"/>
  <c r="AF83" i="2"/>
  <c r="AG83" i="2" s="1"/>
  <c r="AD83" i="2"/>
  <c r="AE83" i="2" s="1"/>
  <c r="AF71" i="2"/>
  <c r="AG71" i="2" s="1"/>
  <c r="AD71" i="2"/>
  <c r="AE71" i="2" s="1"/>
  <c r="AD72" i="2"/>
  <c r="AE72" i="2" s="1"/>
  <c r="AF72" i="2"/>
  <c r="AG72" i="2" s="1"/>
  <c r="AF70" i="2"/>
  <c r="AG70" i="2" s="1"/>
  <c r="AD70" i="2"/>
  <c r="AE70" i="2" s="1"/>
  <c r="AD93" i="2"/>
  <c r="AE93" i="2" s="1"/>
  <c r="AF93" i="2"/>
  <c r="AG93" i="2" s="1"/>
  <c r="AF102" i="2"/>
  <c r="AG102" i="2" s="1"/>
  <c r="AD102" i="2"/>
  <c r="AE102" i="2" s="1"/>
  <c r="AF92" i="2"/>
  <c r="AG92" i="2" s="1"/>
  <c r="AD92" i="2"/>
  <c r="AE92" i="2" s="1"/>
  <c r="AD77" i="2"/>
  <c r="AE77" i="2" s="1"/>
  <c r="AF77" i="2"/>
  <c r="AG77" i="2" s="1"/>
  <c r="AD110" i="2"/>
  <c r="AE110" i="2" s="1"/>
  <c r="AF110" i="2"/>
  <c r="AG110" i="2" s="1"/>
  <c r="AD66" i="2"/>
  <c r="AE66" i="2" s="1"/>
  <c r="AF66" i="2"/>
  <c r="AG66" i="2" s="1"/>
  <c r="AD90" i="2"/>
  <c r="AE90" i="2" s="1"/>
  <c r="AF90" i="2"/>
  <c r="AG90" i="2" s="1"/>
  <c r="AD106" i="2"/>
  <c r="AE106" i="2" s="1"/>
  <c r="AF106" i="2"/>
  <c r="AG106" i="2" s="1"/>
  <c r="AD87" i="2"/>
  <c r="AE87" i="2" s="1"/>
  <c r="AF87" i="2"/>
  <c r="AG87" i="2" s="1"/>
  <c r="AF74" i="2"/>
  <c r="AG74" i="2" s="1"/>
  <c r="AD74" i="2"/>
  <c r="AE74" i="2" s="1"/>
  <c r="AD82" i="2"/>
  <c r="AE82" i="2" s="1"/>
  <c r="AF82" i="2"/>
  <c r="AG82" i="2" s="1"/>
  <c r="AD91" i="2"/>
  <c r="AE91" i="2" s="1"/>
  <c r="AF91" i="2"/>
  <c r="AG91" i="2" s="1"/>
  <c r="AF109" i="2"/>
  <c r="AG109" i="2" s="1"/>
  <c r="AD109" i="2"/>
  <c r="AE109" i="2" s="1"/>
  <c r="AD94" i="2"/>
  <c r="AE94" i="2" s="1"/>
  <c r="AF94" i="2"/>
  <c r="AG94" i="2" s="1"/>
  <c r="AF64" i="2"/>
  <c r="AG64" i="2" s="1"/>
  <c r="AD64" i="2"/>
  <c r="AE64" i="2" s="1"/>
  <c r="AD103" i="2"/>
  <c r="AE103" i="2" s="1"/>
  <c r="AF103" i="2"/>
  <c r="AG103" i="2" s="1"/>
  <c r="AF100" i="2"/>
  <c r="AG100" i="2" s="1"/>
  <c r="AD100" i="2"/>
  <c r="AE100" i="2" s="1"/>
  <c r="AD78" i="2"/>
  <c r="AE78" i="2" s="1"/>
  <c r="AF78" i="2"/>
  <c r="AG78" i="2" s="1"/>
  <c r="AF97" i="2"/>
  <c r="AG97" i="2" s="1"/>
  <c r="AD97" i="2"/>
  <c r="AE97" i="2" s="1"/>
  <c r="AD112" i="2"/>
  <c r="AE112" i="2" s="1"/>
  <c r="AF112" i="2"/>
  <c r="AG112" i="2" s="1"/>
  <c r="AF85" i="2"/>
  <c r="AG85" i="2" s="1"/>
  <c r="AD85" i="2"/>
  <c r="AE85" i="2" s="1"/>
  <c r="AF95" i="2"/>
  <c r="AG95" i="2" s="1"/>
  <c r="AD95" i="2"/>
  <c r="AE95" i="2" s="1"/>
  <c r="AF65" i="2"/>
  <c r="AG65" i="2" s="1"/>
  <c r="AD65" i="2"/>
  <c r="AE65" i="2" s="1"/>
  <c r="AD81" i="2"/>
  <c r="AE81" i="2" s="1"/>
  <c r="AF81" i="2"/>
  <c r="AG81" i="2" s="1"/>
  <c r="AF96" i="2"/>
  <c r="AG96" i="2" s="1"/>
  <c r="AD96" i="2"/>
  <c r="AE96" i="2" s="1"/>
  <c r="AD79" i="2"/>
  <c r="AE79" i="2" s="1"/>
  <c r="AF79" i="2"/>
  <c r="AG79" i="2" s="1"/>
  <c r="AF98" i="2"/>
  <c r="AG98" i="2" s="1"/>
  <c r="AD98" i="2"/>
  <c r="AE98" i="2" s="1"/>
  <c r="AD89" i="2"/>
  <c r="AE89" i="2" s="1"/>
  <c r="AF89" i="2"/>
  <c r="AG89" i="2" s="1"/>
  <c r="AF107" i="2"/>
  <c r="AG107" i="2" s="1"/>
  <c r="AD107" i="2"/>
  <c r="AE107" i="2" s="1"/>
  <c r="AF73" i="2"/>
  <c r="AG73" i="2" s="1"/>
  <c r="AD73" i="2"/>
  <c r="AE73" i="2" s="1"/>
  <c r="AF88" i="2"/>
  <c r="AG88" i="2" s="1"/>
  <c r="AD88" i="2"/>
  <c r="AE88" i="2" s="1"/>
  <c r="AF75" i="2"/>
  <c r="AG75" i="2" s="1"/>
  <c r="AD75" i="2"/>
  <c r="AE75" i="2" s="1"/>
  <c r="AF105" i="2"/>
  <c r="AG105" i="2" s="1"/>
  <c r="AD105" i="2"/>
  <c r="AE105" i="2" s="1"/>
  <c r="AF86" i="2"/>
  <c r="AG86" i="2" s="1"/>
  <c r="AD86" i="2"/>
  <c r="AE86" i="2" s="1"/>
  <c r="B49" i="10"/>
  <c r="R52" i="11"/>
  <c r="R3" i="11"/>
  <c r="B2" i="10"/>
  <c r="Y69" i="2"/>
  <c r="Y82" i="2"/>
  <c r="AG18" i="11"/>
  <c r="Y83" i="2"/>
  <c r="AG20" i="11"/>
  <c r="AK19" i="8"/>
  <c r="AG19" i="11"/>
  <c r="Y81" i="2"/>
  <c r="AG16" i="11"/>
  <c r="Y80" i="2"/>
  <c r="AG15" i="11"/>
  <c r="AG4" i="11"/>
  <c r="AJ4" i="11" s="1"/>
  <c r="Y113" i="2"/>
  <c r="AG13" i="11"/>
  <c r="AJ13" i="11" s="1"/>
  <c r="Y114" i="2"/>
  <c r="AK3" i="8"/>
  <c r="AK6" i="8"/>
  <c r="O46" i="11"/>
  <c r="AK20" i="8"/>
  <c r="AK32" i="8"/>
  <c r="AG6" i="11"/>
  <c r="AK40" i="8"/>
  <c r="AK16" i="8"/>
  <c r="AK35" i="8"/>
  <c r="AK50" i="8"/>
  <c r="AK9" i="8"/>
  <c r="AK46" i="8"/>
  <c r="AK45" i="8"/>
  <c r="AG47" i="11"/>
  <c r="AK14" i="8"/>
  <c r="AK33" i="8"/>
  <c r="Y96" i="2"/>
  <c r="AK34" i="8"/>
  <c r="AK37" i="8"/>
  <c r="AK15" i="8"/>
  <c r="AG23" i="11"/>
  <c r="AK12" i="8"/>
  <c r="AK8" i="8"/>
  <c r="AK25" i="8"/>
  <c r="AG37" i="11"/>
  <c r="Y78" i="2"/>
  <c r="AK11" i="8"/>
  <c r="AK43" i="8"/>
  <c r="AK5" i="8"/>
  <c r="Y76" i="2"/>
  <c r="Y66" i="2"/>
  <c r="AG41" i="11"/>
  <c r="Y73" i="2"/>
  <c r="AK10" i="8"/>
  <c r="AG10" i="11"/>
  <c r="AK29" i="8"/>
  <c r="Y104" i="2"/>
  <c r="AG35" i="11"/>
  <c r="AK51" i="8"/>
  <c r="AG51" i="11"/>
  <c r="AK39" i="8"/>
  <c r="AG31" i="11"/>
  <c r="AK36" i="8"/>
  <c r="AK31" i="8"/>
  <c r="AK24" i="8"/>
  <c r="AG39" i="11"/>
  <c r="Y91" i="2"/>
  <c r="AG7" i="11"/>
  <c r="Y77" i="2"/>
  <c r="Y110" i="2"/>
  <c r="Y87" i="2"/>
  <c r="AG43" i="11"/>
  <c r="AG5" i="11"/>
  <c r="AK17" i="8"/>
  <c r="Y93" i="2"/>
  <c r="AG40" i="11"/>
  <c r="AG22" i="11"/>
  <c r="AK49" i="8"/>
  <c r="AK18" i="8"/>
  <c r="AG28" i="11"/>
  <c r="Y74" i="2"/>
  <c r="AK22" i="8"/>
  <c r="AK48" i="8"/>
  <c r="AK52" i="8"/>
  <c r="AK47" i="8"/>
  <c r="AK7" i="8"/>
  <c r="AG26" i="11"/>
  <c r="AG38" i="11"/>
  <c r="Y94" i="2"/>
  <c r="AK13" i="8"/>
  <c r="Y89" i="2"/>
  <c r="AK21" i="8"/>
  <c r="AK38" i="8"/>
  <c r="AK23" i="8"/>
  <c r="Y112" i="2"/>
  <c r="AG27" i="11"/>
  <c r="Y86" i="2"/>
  <c r="AK30" i="8"/>
  <c r="AK4" i="8"/>
  <c r="Y97" i="2"/>
  <c r="AK42" i="8"/>
  <c r="AK44" i="8"/>
  <c r="AG42" i="11"/>
  <c r="AG52" i="11"/>
  <c r="AK26" i="8"/>
  <c r="Y79" i="2"/>
  <c r="Y70" i="2"/>
  <c r="AG46" i="11"/>
  <c r="Y108" i="2"/>
  <c r="AG25" i="11"/>
  <c r="Y98" i="2"/>
  <c r="Y107" i="2"/>
  <c r="AF53" i="8"/>
  <c r="W64" i="2" s="1"/>
  <c r="V53" i="11"/>
  <c r="AG53" i="8"/>
  <c r="AE53" i="11"/>
  <c r="AG34" i="11"/>
  <c r="W89" i="2"/>
  <c r="X27" i="11"/>
  <c r="W84" i="2"/>
  <c r="X23" i="11"/>
  <c r="W99" i="2"/>
  <c r="X34" i="11"/>
  <c r="W83" i="2"/>
  <c r="X20" i="11"/>
  <c r="W88" i="2"/>
  <c r="X25" i="11"/>
  <c r="W100" i="2"/>
  <c r="X37" i="11"/>
  <c r="W71" i="2"/>
  <c r="X6" i="11"/>
  <c r="W81" i="2"/>
  <c r="X16" i="11"/>
  <c r="W80" i="2"/>
  <c r="X15" i="11"/>
  <c r="W106" i="2"/>
  <c r="X43" i="11"/>
  <c r="W111" i="2"/>
  <c r="X47" i="11"/>
  <c r="W74" i="2"/>
  <c r="X9" i="11"/>
  <c r="W75" i="2"/>
  <c r="X10" i="11"/>
  <c r="W112" i="2"/>
  <c r="X49" i="11"/>
  <c r="W72" i="2"/>
  <c r="X5" i="11"/>
  <c r="W107" i="2"/>
  <c r="X44" i="11"/>
  <c r="W65" i="2"/>
  <c r="X7" i="11"/>
  <c r="W76" i="2"/>
  <c r="X11" i="11"/>
  <c r="W73" i="2"/>
  <c r="X8" i="11"/>
  <c r="W96" i="2"/>
  <c r="X32" i="11"/>
  <c r="W98" i="2"/>
  <c r="X30" i="11"/>
  <c r="W68" i="2"/>
  <c r="X52" i="11"/>
  <c r="W82" i="2"/>
  <c r="X18" i="11"/>
  <c r="W79" i="2"/>
  <c r="X14" i="11"/>
  <c r="W104" i="2"/>
  <c r="X41" i="11"/>
  <c r="W78" i="2"/>
  <c r="X17" i="11"/>
  <c r="W97" i="2"/>
  <c r="X33" i="11"/>
  <c r="W93" i="2"/>
  <c r="X36" i="11"/>
  <c r="W101" i="2"/>
  <c r="X38" i="11"/>
  <c r="W90" i="2"/>
  <c r="X26" i="11"/>
  <c r="W85" i="2"/>
  <c r="X22" i="11"/>
  <c r="W70" i="2"/>
  <c r="X3" i="11"/>
  <c r="W102" i="2"/>
  <c r="X39" i="11"/>
  <c r="W95" i="2"/>
  <c r="X31" i="11"/>
  <c r="W77" i="2"/>
  <c r="X12" i="11"/>
  <c r="W105" i="2"/>
  <c r="X42" i="11"/>
  <c r="W92" i="2"/>
  <c r="X35" i="11"/>
  <c r="W91" i="2"/>
  <c r="X28" i="11"/>
  <c r="W69" i="2"/>
  <c r="X50" i="11"/>
  <c r="W67" i="2"/>
  <c r="X51" i="11"/>
  <c r="AJ13" i="8"/>
  <c r="X13" i="11"/>
  <c r="AA13" i="11" s="1"/>
  <c r="BP13" i="11" s="1" a="1"/>
  <c r="BP13" i="11" s="1"/>
  <c r="W87" i="2"/>
  <c r="X24" i="11"/>
  <c r="W108" i="2"/>
  <c r="X45" i="11"/>
  <c r="W94" i="2"/>
  <c r="X29" i="11"/>
  <c r="AJ4" i="8"/>
  <c r="X4" i="11"/>
  <c r="AA4" i="11" s="1"/>
  <c r="BP4" i="11" s="1" a="1"/>
  <c r="BP4" i="11" s="1"/>
  <c r="W109" i="2"/>
  <c r="X46" i="11"/>
  <c r="W110" i="2"/>
  <c r="X48" i="11"/>
  <c r="W86" i="2"/>
  <c r="X21" i="11"/>
  <c r="U97" i="2"/>
  <c r="O33" i="11"/>
  <c r="U92" i="2"/>
  <c r="O35" i="11"/>
  <c r="U78" i="2"/>
  <c r="O17" i="11"/>
  <c r="U103" i="2"/>
  <c r="O40" i="11"/>
  <c r="U89" i="2"/>
  <c r="O27" i="11"/>
  <c r="U108" i="2"/>
  <c r="O45" i="11"/>
  <c r="U77" i="2"/>
  <c r="O12" i="11"/>
  <c r="U80" i="2"/>
  <c r="O15" i="11"/>
  <c r="U65" i="2"/>
  <c r="O7" i="11"/>
  <c r="U96" i="2"/>
  <c r="O32" i="11"/>
  <c r="U106" i="2"/>
  <c r="O43" i="11"/>
  <c r="U86" i="2"/>
  <c r="O21" i="11"/>
  <c r="U101" i="2"/>
  <c r="O38" i="11"/>
  <c r="U94" i="2"/>
  <c r="O29" i="11"/>
  <c r="U112" i="2"/>
  <c r="O49" i="11"/>
  <c r="U83" i="2"/>
  <c r="O20" i="11"/>
  <c r="U104" i="2"/>
  <c r="O41" i="11"/>
  <c r="U71" i="2"/>
  <c r="O6" i="11"/>
  <c r="U75" i="2"/>
  <c r="O10" i="11"/>
  <c r="U93" i="2"/>
  <c r="O36" i="11"/>
  <c r="U102" i="2"/>
  <c r="O39" i="11"/>
  <c r="U111" i="2"/>
  <c r="O47" i="11"/>
  <c r="U87" i="2"/>
  <c r="O24" i="11"/>
  <c r="U88" i="2"/>
  <c r="O25" i="11"/>
  <c r="AI13" i="8"/>
  <c r="O13" i="11"/>
  <c r="BJ13" i="11" s="1"/>
  <c r="U67" i="2"/>
  <c r="O51" i="11"/>
  <c r="U73" i="2"/>
  <c r="O8" i="11"/>
  <c r="U107" i="2"/>
  <c r="O44" i="11"/>
  <c r="U110" i="2"/>
  <c r="O48" i="11"/>
  <c r="U74" i="2"/>
  <c r="O9" i="11"/>
  <c r="U82" i="2"/>
  <c r="O18" i="11"/>
  <c r="U64" i="2"/>
  <c r="O53" i="11"/>
  <c r="U85" i="2"/>
  <c r="O22" i="11"/>
  <c r="U105" i="2"/>
  <c r="O42" i="11"/>
  <c r="U99" i="2"/>
  <c r="O34" i="11"/>
  <c r="U81" i="2"/>
  <c r="O16" i="11"/>
  <c r="U79" i="2"/>
  <c r="O14" i="11"/>
  <c r="AI4" i="8"/>
  <c r="O4" i="11"/>
  <c r="U91" i="2"/>
  <c r="O28" i="11"/>
  <c r="U90" i="2"/>
  <c r="O26" i="11"/>
  <c r="U72" i="2"/>
  <c r="O5" i="11"/>
  <c r="U69" i="2"/>
  <c r="O50" i="11"/>
  <c r="U66" i="2"/>
  <c r="O19" i="11"/>
  <c r="U76" i="2"/>
  <c r="O11" i="11"/>
  <c r="U100" i="2"/>
  <c r="O37" i="11"/>
  <c r="U98" i="2"/>
  <c r="O30" i="11"/>
  <c r="AI30" i="8"/>
  <c r="AI3" i="8"/>
  <c r="U70" i="2"/>
  <c r="AJ19" i="8"/>
  <c r="W66" i="2"/>
  <c r="AJ40" i="8"/>
  <c r="W103" i="2"/>
  <c r="AI53" i="8"/>
  <c r="AI14" i="8"/>
  <c r="AI8" i="8"/>
  <c r="AI18" i="8"/>
  <c r="AI16" i="8"/>
  <c r="AJ41" i="8"/>
  <c r="AI42" i="8"/>
  <c r="AI34" i="8"/>
  <c r="AI33" i="8"/>
  <c r="AJ49" i="8"/>
  <c r="AJ25" i="8"/>
  <c r="AJ44" i="8"/>
  <c r="AJ32" i="8"/>
  <c r="AJ29" i="8"/>
  <c r="AI48" i="8"/>
  <c r="AI6" i="8"/>
  <c r="AJ20" i="8"/>
  <c r="AJ15" i="8"/>
  <c r="AJ17" i="8"/>
  <c r="AJ33" i="8"/>
  <c r="AJ9" i="8"/>
  <c r="AI26" i="8"/>
  <c r="AJ10" i="8"/>
  <c r="AI50" i="8"/>
  <c r="AI27" i="8"/>
  <c r="AJ5" i="8"/>
  <c r="AI19" i="8"/>
  <c r="AJ11" i="8"/>
  <c r="AJ8" i="8"/>
  <c r="AI37" i="8"/>
  <c r="AJ46" i="8"/>
  <c r="AJ31" i="8"/>
  <c r="AJ36" i="8"/>
  <c r="AJ12" i="8"/>
  <c r="AI40" i="8"/>
  <c r="AI24" i="8"/>
  <c r="AI10" i="8"/>
  <c r="AJ39" i="8"/>
  <c r="AJ47" i="8"/>
  <c r="AJ6" i="8"/>
  <c r="AI28" i="8"/>
  <c r="AI5" i="8"/>
  <c r="AJ7" i="8"/>
  <c r="AI11" i="8"/>
  <c r="AI35" i="8"/>
  <c r="AI17" i="8"/>
  <c r="AJ42" i="8"/>
  <c r="AJ38" i="8"/>
  <c r="AI36" i="8"/>
  <c r="AI39" i="8"/>
  <c r="AJ35" i="8"/>
  <c r="AI7" i="8"/>
  <c r="AJ28" i="8"/>
  <c r="AJ50" i="8"/>
  <c r="AJ51" i="8"/>
  <c r="AI45" i="8"/>
  <c r="AI12" i="8"/>
  <c r="AI15" i="8"/>
  <c r="AJ37" i="8"/>
  <c r="AJ3" i="8"/>
  <c r="AI44" i="8"/>
  <c r="AJ23" i="8"/>
  <c r="AI32" i="8"/>
  <c r="AJ48" i="8"/>
  <c r="AJ21" i="8"/>
  <c r="AI29" i="8"/>
  <c r="AI41" i="8"/>
  <c r="AJ43" i="8"/>
  <c r="AI51" i="8"/>
  <c r="AI9" i="8"/>
  <c r="AI25" i="8"/>
  <c r="AI43" i="8"/>
  <c r="AI21" i="8"/>
  <c r="AI38" i="8"/>
  <c r="AI49" i="8"/>
  <c r="AI20" i="8"/>
  <c r="AI22" i="8"/>
  <c r="AJ34" i="8"/>
  <c r="AJ14" i="8"/>
  <c r="AI47" i="8"/>
  <c r="AJ24" i="8"/>
  <c r="AJ26" i="8"/>
  <c r="AJ30" i="8"/>
  <c r="AJ16" i="8"/>
  <c r="AJ45" i="8"/>
  <c r="AJ22" i="8"/>
  <c r="AJ27" i="8"/>
  <c r="AJ52" i="8"/>
  <c r="AJ18" i="8"/>
  <c r="BJ19" i="11" l="1"/>
  <c r="R16" i="13"/>
  <c r="J112" i="13" s="1"/>
  <c r="BY9" i="11"/>
  <c r="BY17" i="11"/>
  <c r="BY25" i="11"/>
  <c r="BY33" i="11"/>
  <c r="BY41" i="11"/>
  <c r="BY49" i="11"/>
  <c r="BY10" i="11"/>
  <c r="BY18" i="11"/>
  <c r="BY26" i="11"/>
  <c r="BY34" i="11"/>
  <c r="BY42" i="11"/>
  <c r="BY50" i="11"/>
  <c r="BY11" i="11"/>
  <c r="BY19" i="11"/>
  <c r="BY27" i="11"/>
  <c r="BY35" i="11"/>
  <c r="BY43" i="11"/>
  <c r="BY51" i="11"/>
  <c r="BY48" i="11"/>
  <c r="BY4" i="11"/>
  <c r="BY12" i="11"/>
  <c r="BY20" i="11"/>
  <c r="BY28" i="11"/>
  <c r="BY36" i="11"/>
  <c r="BY44" i="11"/>
  <c r="BY52" i="11"/>
  <c r="BY32" i="11"/>
  <c r="BY5" i="11"/>
  <c r="BY13" i="11"/>
  <c r="BY21" i="11"/>
  <c r="BY29" i="11"/>
  <c r="BY37" i="11"/>
  <c r="BY45" i="11"/>
  <c r="BY53" i="11"/>
  <c r="BY16" i="11"/>
  <c r="BY6" i="11"/>
  <c r="BY14" i="11"/>
  <c r="BY22" i="11"/>
  <c r="BY30" i="11"/>
  <c r="BY38" i="11"/>
  <c r="BY46" i="11"/>
  <c r="BY3" i="11"/>
  <c r="BY24" i="11"/>
  <c r="BY7" i="11"/>
  <c r="BY15" i="11"/>
  <c r="BY23" i="11"/>
  <c r="BY31" i="11"/>
  <c r="BY39" i="11"/>
  <c r="BY47" i="11"/>
  <c r="BY40" i="11"/>
  <c r="BY8" i="11"/>
  <c r="BJ12" i="11"/>
  <c r="BJ40" i="11"/>
  <c r="BJ37" i="11"/>
  <c r="BJ11" i="11"/>
  <c r="BJ26" i="11"/>
  <c r="BJ28" i="11"/>
  <c r="BJ24" i="11"/>
  <c r="BJ49" i="11"/>
  <c r="BJ43" i="11"/>
  <c r="BJ17" i="11"/>
  <c r="BJ15" i="11"/>
  <c r="BJ10" i="11"/>
  <c r="BJ30" i="11"/>
  <c r="BJ4" i="11"/>
  <c r="BJ35" i="11"/>
  <c r="BJ25" i="11"/>
  <c r="BJ16" i="11"/>
  <c r="BJ36" i="11"/>
  <c r="B20" i="10"/>
  <c r="BJ23" i="11"/>
  <c r="BJ34" i="11"/>
  <c r="BJ50" i="11"/>
  <c r="BJ42" i="11"/>
  <c r="BJ9" i="11"/>
  <c r="BJ51" i="11"/>
  <c r="BJ47" i="11"/>
  <c r="BJ6" i="11"/>
  <c r="BJ29" i="11"/>
  <c r="BJ32" i="11"/>
  <c r="BJ45" i="11"/>
  <c r="BJ20" i="11"/>
  <c r="BJ18" i="11"/>
  <c r="BJ8" i="11"/>
  <c r="BJ5" i="11"/>
  <c r="BJ14" i="11"/>
  <c r="BJ22" i="11"/>
  <c r="BJ48" i="11"/>
  <c r="BJ39" i="11"/>
  <c r="BJ41" i="11"/>
  <c r="BJ38" i="11"/>
  <c r="BJ7" i="11"/>
  <c r="BJ27" i="11"/>
  <c r="BJ33" i="11"/>
  <c r="BJ46" i="11"/>
  <c r="B28" i="10"/>
  <c r="BJ31" i="11"/>
  <c r="BJ3" i="11"/>
  <c r="BJ44" i="11"/>
  <c r="BJ21" i="11"/>
  <c r="BJ52" i="11"/>
  <c r="AA40" i="11"/>
  <c r="BP40" i="11" s="1" a="1"/>
  <c r="BP40" i="11" s="1"/>
  <c r="D9" i="10"/>
  <c r="AJ36" i="11"/>
  <c r="C16" i="10"/>
  <c r="D27" i="10"/>
  <c r="D21" i="10"/>
  <c r="AJ17" i="11"/>
  <c r="D42" i="10"/>
  <c r="AJ32" i="11"/>
  <c r="D2" i="10"/>
  <c r="AJ33" i="11"/>
  <c r="AJ9" i="11"/>
  <c r="AJ29" i="11"/>
  <c r="D41" i="10"/>
  <c r="D6" i="10"/>
  <c r="D10" i="10"/>
  <c r="AG53" i="11"/>
  <c r="AJ53" i="11" s="1"/>
  <c r="AJ48" i="11"/>
  <c r="AJ21" i="11"/>
  <c r="AJ50" i="11"/>
  <c r="AJ49" i="11"/>
  <c r="AJ14" i="11"/>
  <c r="R23" i="11"/>
  <c r="R31" i="11"/>
  <c r="R53" i="11"/>
  <c r="BO53" i="11" s="1" a="1"/>
  <c r="BO53" i="11" s="1"/>
  <c r="R13" i="11"/>
  <c r="R4" i="11"/>
  <c r="B16" i="10"/>
  <c r="R19" i="11"/>
  <c r="B46" i="10"/>
  <c r="R49" i="11"/>
  <c r="AA50" i="11"/>
  <c r="BP50" i="11" s="1" a="1"/>
  <c r="BP50" i="11" s="1"/>
  <c r="C47" i="10"/>
  <c r="AA18" i="11"/>
  <c r="BP18" i="11" s="1" a="1"/>
  <c r="BP18" i="11" s="1"/>
  <c r="C15" i="10"/>
  <c r="C4" i="10"/>
  <c r="AA6" i="11"/>
  <c r="BP6" i="11" s="1" a="1"/>
  <c r="BP6" i="11" s="1"/>
  <c r="D32" i="10"/>
  <c r="AJ35" i="11"/>
  <c r="D4" i="10"/>
  <c r="AJ6" i="11"/>
  <c r="B27" i="10"/>
  <c r="R30" i="11"/>
  <c r="R9" i="11"/>
  <c r="B7" i="10"/>
  <c r="B44" i="10"/>
  <c r="R47" i="11"/>
  <c r="R6" i="11"/>
  <c r="B4" i="10"/>
  <c r="B29" i="10"/>
  <c r="R32" i="11"/>
  <c r="B42" i="10"/>
  <c r="R45" i="11"/>
  <c r="B32" i="10"/>
  <c r="R35" i="11"/>
  <c r="C43" i="10"/>
  <c r="AA46" i="11"/>
  <c r="BP46" i="11" s="1" a="1"/>
  <c r="BP46" i="11" s="1"/>
  <c r="C21" i="10"/>
  <c r="AA24" i="11"/>
  <c r="BP24" i="11" s="1" a="1"/>
  <c r="BP24" i="11" s="1"/>
  <c r="AA28" i="11"/>
  <c r="BP28" i="11" s="1" a="1"/>
  <c r="BP28" i="11" s="1"/>
  <c r="C25" i="10"/>
  <c r="C28" i="10"/>
  <c r="AA31" i="11"/>
  <c r="BP31" i="11" s="1" a="1"/>
  <c r="BP31" i="11" s="1"/>
  <c r="AA26" i="11"/>
  <c r="BP26" i="11" s="1" a="1"/>
  <c r="BP26" i="11" s="1"/>
  <c r="C23" i="10"/>
  <c r="AA17" i="11"/>
  <c r="BP17" i="11" s="1" a="1"/>
  <c r="BP17" i="11" s="1"/>
  <c r="C14" i="10"/>
  <c r="AA52" i="11"/>
  <c r="BP52" i="11" s="1" a="1"/>
  <c r="BP52" i="11" s="1"/>
  <c r="C49" i="10"/>
  <c r="AA11" i="11"/>
  <c r="BP11" i="11" s="1" a="1"/>
  <c r="BP11" i="11" s="1"/>
  <c r="C9" i="10"/>
  <c r="AA49" i="11"/>
  <c r="BP49" i="11" s="1" a="1"/>
  <c r="BP49" i="11" s="1"/>
  <c r="C46" i="10"/>
  <c r="AA43" i="11"/>
  <c r="BP43" i="11" s="1" a="1"/>
  <c r="BP43" i="11" s="1"/>
  <c r="C40" i="10"/>
  <c r="AA37" i="11"/>
  <c r="BP37" i="11" s="1" a="1"/>
  <c r="BP37" i="11" s="1"/>
  <c r="C34" i="10"/>
  <c r="C20" i="10"/>
  <c r="AA23" i="11"/>
  <c r="BP23" i="11" s="1" a="1"/>
  <c r="BP23" i="11" s="1"/>
  <c r="D3" i="10"/>
  <c r="AJ5" i="11"/>
  <c r="D20" i="10"/>
  <c r="AJ23" i="11"/>
  <c r="B25" i="10"/>
  <c r="R28" i="11"/>
  <c r="R10" i="11"/>
  <c r="B8" i="10"/>
  <c r="AA45" i="11"/>
  <c r="BP45" i="11" s="1" a="1"/>
  <c r="BP45" i="11" s="1"/>
  <c r="C42" i="10"/>
  <c r="C19" i="10"/>
  <c r="AA22" i="11"/>
  <c r="BP22" i="11" s="1" a="1"/>
  <c r="BP22" i="11" s="1"/>
  <c r="AA34" i="11"/>
  <c r="BP34" i="11" s="1" a="1"/>
  <c r="BP34" i="11" s="1"/>
  <c r="C31" i="10"/>
  <c r="D44" i="10"/>
  <c r="AJ47" i="11"/>
  <c r="AJ20" i="11"/>
  <c r="D17" i="10"/>
  <c r="B47" i="10"/>
  <c r="R50" i="11"/>
  <c r="B39" i="10"/>
  <c r="R42" i="11"/>
  <c r="B48" i="10"/>
  <c r="R51" i="11"/>
  <c r="B26" i="10"/>
  <c r="R29" i="11"/>
  <c r="AJ52" i="11"/>
  <c r="D49" i="10"/>
  <c r="D24" i="10"/>
  <c r="AJ27" i="11"/>
  <c r="D35" i="10"/>
  <c r="AJ38" i="11"/>
  <c r="AJ28" i="11"/>
  <c r="D25" i="10"/>
  <c r="D40" i="10"/>
  <c r="AJ43" i="11"/>
  <c r="D12" i="10"/>
  <c r="AJ15" i="11"/>
  <c r="D15" i="10"/>
  <c r="AJ18" i="11"/>
  <c r="B15" i="10"/>
  <c r="R18" i="11"/>
  <c r="R12" i="11"/>
  <c r="B10" i="10"/>
  <c r="C6" i="10"/>
  <c r="AA8" i="11"/>
  <c r="BP8" i="11" s="1" a="1"/>
  <c r="BP8" i="11" s="1"/>
  <c r="B11" i="10"/>
  <c r="R14" i="11"/>
  <c r="B35" i="10"/>
  <c r="R38" i="11"/>
  <c r="R7" i="11"/>
  <c r="B5" i="10"/>
  <c r="B24" i="10"/>
  <c r="R27" i="11"/>
  <c r="B30" i="10"/>
  <c r="R33" i="11"/>
  <c r="AA35" i="11"/>
  <c r="BP35" i="11" s="1" a="1"/>
  <c r="BP35" i="11" s="1"/>
  <c r="C32" i="10"/>
  <c r="C36" i="10"/>
  <c r="AA39" i="11"/>
  <c r="BP39" i="11" s="1" a="1"/>
  <c r="BP39" i="11" s="1"/>
  <c r="C35" i="10"/>
  <c r="AA38" i="11"/>
  <c r="BP38" i="11" s="1" a="1"/>
  <c r="BP38" i="11" s="1"/>
  <c r="AA41" i="11"/>
  <c r="BP41" i="11" s="1" a="1"/>
  <c r="BP41" i="11" s="1"/>
  <c r="C38" i="10"/>
  <c r="C27" i="10"/>
  <c r="AA30" i="11"/>
  <c r="BP30" i="11" s="1" a="1"/>
  <c r="BP30" i="11" s="1"/>
  <c r="C5" i="10"/>
  <c r="AA7" i="11"/>
  <c r="BP7" i="11" s="1" a="1"/>
  <c r="BP7" i="11" s="1"/>
  <c r="AA10" i="11"/>
  <c r="BP10" i="11" s="1" a="1"/>
  <c r="BP10" i="11" s="1"/>
  <c r="C8" i="10"/>
  <c r="C12" i="10"/>
  <c r="AA15" i="11"/>
  <c r="BP15" i="11" s="1" a="1"/>
  <c r="BP15" i="11" s="1"/>
  <c r="AA25" i="11"/>
  <c r="BP25" i="11" s="1" a="1"/>
  <c r="BP25" i="11" s="1"/>
  <c r="C22" i="10"/>
  <c r="AA27" i="11"/>
  <c r="BP27" i="11" s="1" a="1"/>
  <c r="BP27" i="11" s="1"/>
  <c r="C24" i="10"/>
  <c r="D39" i="10"/>
  <c r="AJ42" i="11"/>
  <c r="D23" i="10"/>
  <c r="AJ26" i="11"/>
  <c r="D8" i="10"/>
  <c r="AJ10" i="11"/>
  <c r="B43" i="10"/>
  <c r="R46" i="11"/>
  <c r="R8" i="11"/>
  <c r="B6" i="10"/>
  <c r="B14" i="10"/>
  <c r="R17" i="11"/>
  <c r="C44" i="10"/>
  <c r="AA47" i="11"/>
  <c r="BP47" i="11" s="1" a="1"/>
  <c r="BP47" i="11" s="1"/>
  <c r="B3" i="10"/>
  <c r="R5" i="11"/>
  <c r="B45" i="10"/>
  <c r="R48" i="11"/>
  <c r="B38" i="10"/>
  <c r="R41" i="11"/>
  <c r="D22" i="10"/>
  <c r="AJ25" i="11"/>
  <c r="D28" i="10"/>
  <c r="AJ31" i="11"/>
  <c r="D13" i="10"/>
  <c r="AJ16" i="11"/>
  <c r="B21" i="10"/>
  <c r="R24" i="11"/>
  <c r="C45" i="10"/>
  <c r="AA48" i="11"/>
  <c r="BP48" i="11" s="1" a="1"/>
  <c r="BP48" i="11" s="1"/>
  <c r="AA33" i="11"/>
  <c r="BP33" i="11" s="1" a="1"/>
  <c r="BP33" i="11" s="1"/>
  <c r="C30" i="10"/>
  <c r="C3" i="10"/>
  <c r="AA5" i="11"/>
  <c r="BP5" i="11" s="1" a="1"/>
  <c r="BP5" i="11" s="1"/>
  <c r="D36" i="10"/>
  <c r="AJ39" i="11"/>
  <c r="B34" i="10"/>
  <c r="R37" i="11"/>
  <c r="B19" i="10"/>
  <c r="R22" i="11"/>
  <c r="B36" i="10"/>
  <c r="R39" i="11"/>
  <c r="R11" i="11"/>
  <c r="B9" i="10"/>
  <c r="B23" i="10"/>
  <c r="R26" i="11"/>
  <c r="B13" i="10"/>
  <c r="R16" i="11"/>
  <c r="B41" i="10"/>
  <c r="R44" i="11"/>
  <c r="B22" i="10"/>
  <c r="R25" i="11"/>
  <c r="B33" i="10"/>
  <c r="R36" i="11"/>
  <c r="B17" i="10"/>
  <c r="R20" i="11"/>
  <c r="B18" i="10"/>
  <c r="R21" i="11"/>
  <c r="B12" i="10"/>
  <c r="R15" i="11"/>
  <c r="B37" i="10"/>
  <c r="R40" i="11"/>
  <c r="AA21" i="11"/>
  <c r="BP21" i="11" s="1" a="1"/>
  <c r="BP21" i="11" s="1"/>
  <c r="C18" i="10"/>
  <c r="AA29" i="11"/>
  <c r="BP29" i="11" s="1" a="1"/>
  <c r="BP29" i="11" s="1"/>
  <c r="C26" i="10"/>
  <c r="AA51" i="11"/>
  <c r="BP51" i="11" s="1" a="1"/>
  <c r="BP51" i="11" s="1"/>
  <c r="C48" i="10"/>
  <c r="AA42" i="11"/>
  <c r="BP42" i="11" s="1" a="1"/>
  <c r="BP42" i="11" s="1"/>
  <c r="C39" i="10"/>
  <c r="AA3" i="11"/>
  <c r="BP3" i="11" s="1" a="1"/>
  <c r="BP3" i="11" s="1"/>
  <c r="C2" i="10"/>
  <c r="AA36" i="11"/>
  <c r="BP36" i="11" s="1" a="1"/>
  <c r="BP36" i="11" s="1"/>
  <c r="C33" i="10"/>
  <c r="C11" i="10"/>
  <c r="AA14" i="11"/>
  <c r="BP14" i="11" s="1" a="1"/>
  <c r="BP14" i="11" s="1"/>
  <c r="C29" i="10"/>
  <c r="AA32" i="11"/>
  <c r="BP32" i="11" s="1" a="1"/>
  <c r="BP32" i="11" s="1"/>
  <c r="AA44" i="11"/>
  <c r="BP44" i="11" s="1" a="1"/>
  <c r="BP44" i="11" s="1"/>
  <c r="C41" i="10"/>
  <c r="AA9" i="11"/>
  <c r="BP9" i="11" s="1" a="1"/>
  <c r="BP9" i="11" s="1"/>
  <c r="C7" i="10"/>
  <c r="C13" i="10"/>
  <c r="AA16" i="11"/>
  <c r="BP16" i="11" s="1" a="1"/>
  <c r="BP16" i="11" s="1"/>
  <c r="AA20" i="11"/>
  <c r="BP20" i="11" s="1" a="1"/>
  <c r="BP20" i="11" s="1"/>
  <c r="C17" i="10"/>
  <c r="D31" i="10"/>
  <c r="AJ34" i="11"/>
  <c r="D19" i="10"/>
  <c r="AJ22" i="11"/>
  <c r="AJ37" i="11"/>
  <c r="D34" i="10"/>
  <c r="B31" i="10"/>
  <c r="R34" i="11"/>
  <c r="B40" i="10"/>
  <c r="R43" i="11"/>
  <c r="AA12" i="11"/>
  <c r="BP12" i="11" s="1" a="1"/>
  <c r="BP12" i="11" s="1"/>
  <c r="C10" i="10"/>
  <c r="D43" i="10"/>
  <c r="AJ46" i="11"/>
  <c r="D37" i="10"/>
  <c r="AJ40" i="11"/>
  <c r="D5" i="10"/>
  <c r="AJ7" i="11"/>
  <c r="D48" i="10"/>
  <c r="AJ51" i="11"/>
  <c r="D38" i="10"/>
  <c r="AJ41" i="11"/>
  <c r="D16" i="10"/>
  <c r="AJ19" i="11"/>
  <c r="AJ53" i="8"/>
  <c r="X53" i="11"/>
  <c r="BI53" i="11" s="1"/>
  <c r="D120" i="2"/>
  <c r="AK53" i="8"/>
  <c r="Y64" i="2"/>
  <c r="C120" i="2"/>
  <c r="BV7" i="11"/>
  <c r="BV15" i="11"/>
  <c r="BV23" i="11"/>
  <c r="BV31" i="11"/>
  <c r="BV39" i="11"/>
  <c r="BV47" i="11"/>
  <c r="BV10" i="11"/>
  <c r="BV18" i="11"/>
  <c r="BV26" i="11"/>
  <c r="BV34" i="11"/>
  <c r="BV42" i="11"/>
  <c r="BV50" i="11"/>
  <c r="BV5" i="11"/>
  <c r="BV13" i="11"/>
  <c r="BV21" i="11"/>
  <c r="BV29" i="11"/>
  <c r="BV37" i="11"/>
  <c r="BV45" i="11"/>
  <c r="BV53" i="11"/>
  <c r="BV44" i="11"/>
  <c r="BV3" i="11"/>
  <c r="BV8" i="11"/>
  <c r="BV16" i="11"/>
  <c r="BV24" i="11"/>
  <c r="BV32" i="11"/>
  <c r="BV40" i="11"/>
  <c r="BV48" i="11"/>
  <c r="BV4" i="11"/>
  <c r="BV36" i="11"/>
  <c r="BV11" i="11"/>
  <c r="BV19" i="11"/>
  <c r="BV27" i="11"/>
  <c r="BV35" i="11"/>
  <c r="BV43" i="11"/>
  <c r="BV51" i="11"/>
  <c r="BV12" i="11"/>
  <c r="BV6" i="11"/>
  <c r="BV14" i="11"/>
  <c r="BV22" i="11"/>
  <c r="BV30" i="11"/>
  <c r="BV38" i="11"/>
  <c r="BV46" i="11"/>
  <c r="BV52" i="11"/>
  <c r="BV9" i="11"/>
  <c r="BV17" i="11"/>
  <c r="BV25" i="11"/>
  <c r="BV33" i="11"/>
  <c r="BV41" i="11"/>
  <c r="BV49" i="11"/>
  <c r="BV20" i="11"/>
  <c r="BV28" i="11"/>
  <c r="R22" i="13" l="1"/>
  <c r="J118" i="13" s="1"/>
  <c r="R32" i="13"/>
  <c r="J128" i="13" s="1"/>
  <c r="R42" i="13"/>
  <c r="J138" i="13" s="1"/>
  <c r="R46" i="13"/>
  <c r="J142" i="13" s="1"/>
  <c r="R47" i="13"/>
  <c r="J143" i="13" s="1"/>
  <c r="R13" i="13"/>
  <c r="J109" i="13" s="1"/>
  <c r="R11" i="13"/>
  <c r="J107" i="13" s="1"/>
  <c r="R12" i="13"/>
  <c r="J108" i="13" s="1"/>
  <c r="R20" i="13"/>
  <c r="J116" i="13" s="1"/>
  <c r="R28" i="13"/>
  <c r="J124" i="13" s="1"/>
  <c r="R38" i="13"/>
  <c r="J134" i="13" s="1"/>
  <c r="R9" i="13"/>
  <c r="J105" i="13" s="1"/>
  <c r="R29" i="13"/>
  <c r="J125" i="13" s="1"/>
  <c r="R37" i="13"/>
  <c r="J133" i="13" s="1"/>
  <c r="R23" i="13"/>
  <c r="J119" i="13" s="1"/>
  <c r="R3" i="13"/>
  <c r="J99" i="13" s="1"/>
  <c r="R35" i="13"/>
  <c r="J131" i="13" s="1"/>
  <c r="R6" i="13"/>
  <c r="J102" i="13" s="1"/>
  <c r="R4" i="13"/>
  <c r="J100" i="13" s="1"/>
  <c r="R27" i="13"/>
  <c r="J123" i="13" s="1"/>
  <c r="R7" i="13"/>
  <c r="J103" i="13" s="1"/>
  <c r="R26" i="13"/>
  <c r="J122" i="13" s="1"/>
  <c r="R8" i="13"/>
  <c r="J104" i="13" s="1"/>
  <c r="R31" i="13"/>
  <c r="J127" i="13" s="1"/>
  <c r="R34" i="13"/>
  <c r="J130" i="13" s="1"/>
  <c r="R49" i="13"/>
  <c r="J97" i="13" s="1"/>
  <c r="R25" i="13"/>
  <c r="J121" i="13" s="1"/>
  <c r="R44" i="13"/>
  <c r="J140" i="13" s="1"/>
  <c r="R43" i="13"/>
  <c r="J139" i="13" s="1"/>
  <c r="R39" i="13"/>
  <c r="J135" i="13" s="1"/>
  <c r="R33" i="13"/>
  <c r="J129" i="13" s="1"/>
  <c r="R5" i="13"/>
  <c r="J101" i="13" s="1"/>
  <c r="R36" i="13"/>
  <c r="J132" i="13" s="1"/>
  <c r="R19" i="13"/>
  <c r="J115" i="13" s="1"/>
  <c r="R21" i="13"/>
  <c r="J117" i="13" s="1"/>
  <c r="R45" i="13"/>
  <c r="J141" i="13" s="1"/>
  <c r="R17" i="13"/>
  <c r="J113" i="13" s="1"/>
  <c r="R48" i="13"/>
  <c r="J144" i="13" s="1"/>
  <c r="R10" i="13"/>
  <c r="J106" i="13" s="1"/>
  <c r="R41" i="13"/>
  <c r="J137" i="13" s="1"/>
  <c r="R2" i="13"/>
  <c r="J98" i="13" s="1"/>
  <c r="R18" i="13"/>
  <c r="J114" i="13" s="1"/>
  <c r="R30" i="13"/>
  <c r="J126" i="13" s="1"/>
  <c r="R24" i="13"/>
  <c r="J120" i="13" s="1"/>
  <c r="R40" i="13"/>
  <c r="J136" i="13" s="1"/>
  <c r="R14" i="13"/>
  <c r="J110" i="13" s="1"/>
  <c r="R15" i="13"/>
  <c r="J111" i="13" s="1"/>
  <c r="BX19" i="11"/>
  <c r="BX8" i="11"/>
  <c r="BJ53" i="11"/>
  <c r="BX25" i="11"/>
  <c r="BX16" i="11"/>
  <c r="C118" i="2"/>
  <c r="BX15" i="11"/>
  <c r="BX35" i="11"/>
  <c r="BX26" i="11"/>
  <c r="BX12" i="11"/>
  <c r="BX21" i="11"/>
  <c r="BX5" i="11"/>
  <c r="BX4" i="11"/>
  <c r="BX40" i="11"/>
  <c r="BX47" i="11"/>
  <c r="BX3" i="11"/>
  <c r="BX28" i="11"/>
  <c r="BX32" i="11"/>
  <c r="BX51" i="11"/>
  <c r="BX27" i="11"/>
  <c r="BX11" i="11"/>
  <c r="BX38" i="11"/>
  <c r="BX13" i="11"/>
  <c r="BX50" i="11"/>
  <c r="BX52" i="11"/>
  <c r="BX24" i="11"/>
  <c r="BX37" i="11"/>
  <c r="BX14" i="11"/>
  <c r="BX46" i="11"/>
  <c r="BX10" i="11"/>
  <c r="BX30" i="11"/>
  <c r="BX34" i="11"/>
  <c r="BX23" i="11"/>
  <c r="BX44" i="11"/>
  <c r="BX48" i="11"/>
  <c r="BX43" i="11"/>
  <c r="BX53" i="11"/>
  <c r="BX6" i="11"/>
  <c r="BX9" i="11"/>
  <c r="BX31" i="11"/>
  <c r="BX20" i="11"/>
  <c r="BX33" i="11"/>
  <c r="BX22" i="11"/>
  <c r="BX49" i="11"/>
  <c r="BX45" i="11"/>
  <c r="BX18" i="11"/>
  <c r="BX41" i="11"/>
  <c r="BX39" i="11"/>
  <c r="BX7" i="11"/>
  <c r="BX36" i="11"/>
  <c r="BX42" i="11"/>
  <c r="BX29" i="11"/>
  <c r="BX17" i="11"/>
  <c r="D118" i="2"/>
  <c r="D119" i="2"/>
  <c r="C119" i="2"/>
  <c r="BW33" i="11"/>
  <c r="AA53" i="11"/>
  <c r="BP53" i="11" s="1" a="1"/>
  <c r="BP53" i="11" s="1"/>
  <c r="BW25" i="11"/>
  <c r="BW6" i="11"/>
  <c r="BW46" i="11"/>
  <c r="BW13" i="11"/>
  <c r="BW37" i="11"/>
  <c r="BW45" i="11"/>
  <c r="BW4" i="11"/>
  <c r="BW32" i="11"/>
  <c r="BW40" i="11"/>
  <c r="BW36" i="11"/>
  <c r="BW34" i="11"/>
  <c r="BW18" i="11"/>
  <c r="BW26" i="11"/>
  <c r="BW24" i="11"/>
  <c r="BW19" i="11"/>
  <c r="BW30" i="11"/>
  <c r="BW50" i="11"/>
  <c r="BW22" i="11"/>
  <c r="BW8" i="11"/>
  <c r="BW35" i="11"/>
  <c r="BW11" i="11"/>
  <c r="BW23" i="11"/>
  <c r="BW14" i="11"/>
  <c r="BW3" i="11"/>
  <c r="BW21" i="11"/>
  <c r="BW17" i="11"/>
  <c r="BW43" i="11"/>
  <c r="BW29" i="11"/>
  <c r="BW51" i="11"/>
  <c r="BW53" i="11"/>
  <c r="BW42" i="11"/>
  <c r="BW16" i="11"/>
  <c r="BW10" i="11"/>
  <c r="BW9" i="11"/>
  <c r="BW15" i="11"/>
  <c r="BW48" i="11"/>
  <c r="BW44" i="11"/>
  <c r="BW38" i="11"/>
  <c r="BW52" i="11"/>
  <c r="BW49" i="11"/>
  <c r="BW28" i="11"/>
  <c r="BW12" i="11"/>
  <c r="BW20" i="11"/>
  <c r="BW47" i="11"/>
  <c r="BW27" i="11"/>
  <c r="BW31" i="11"/>
  <c r="BW5" i="11"/>
  <c r="BW7" i="11"/>
  <c r="BW41" i="11"/>
  <c r="BW39" i="11"/>
  <c r="E120" i="2"/>
  <c r="F120" i="2" s="1" a="1"/>
  <c r="F120" i="2" s="1"/>
  <c r="G120" i="2"/>
  <c r="J145" i="13" l="1"/>
  <c r="E119" i="2"/>
  <c r="F119" i="2" s="1" a="1"/>
  <c r="F119" i="2" s="1"/>
  <c r="G118" i="2"/>
  <c r="G119" i="2"/>
  <c r="E118" i="2"/>
  <c r="F118" i="2" s="1" a="1"/>
  <c r="F118" i="2" s="1"/>
  <c r="H120" i="2" a="1"/>
  <c r="H120" i="2" s="1"/>
  <c r="AU57" i="14"/>
  <c r="AM57" i="14"/>
  <c r="AE57" i="14"/>
  <c r="AX57" i="14"/>
  <c r="AX6" i="14" s="1"/>
  <c r="AP57" i="14"/>
  <c r="AH57" i="14"/>
  <c r="BA57" i="14"/>
  <c r="AS57" i="14"/>
  <c r="AS6" i="14" s="1"/>
  <c r="AK57" i="14"/>
  <c r="AC57" i="14"/>
  <c r="AV57" i="14"/>
  <c r="AN57" i="14"/>
  <c r="AF57" i="14"/>
  <c r="AY57" i="14"/>
  <c r="AY6" i="14" s="1"/>
  <c r="AQ57" i="14"/>
  <c r="AI57" i="14"/>
  <c r="AI6" i="14" s="1"/>
  <c r="BB57" i="14"/>
  <c r="AT57" i="14"/>
  <c r="AL57" i="14"/>
  <c r="AD57" i="14"/>
  <c r="AW57" i="14"/>
  <c r="AO57" i="14"/>
  <c r="AG57" i="14"/>
  <c r="AZ57" i="14"/>
  <c r="AR57" i="14"/>
  <c r="AJ57" i="14"/>
  <c r="AB57" i="14"/>
  <c r="AD9" i="14" l="1"/>
  <c r="AD12" i="14"/>
  <c r="AD13" i="14"/>
  <c r="AD8" i="14"/>
  <c r="AD11" i="14"/>
  <c r="AD7" i="14"/>
  <c r="AD6" i="14"/>
  <c r="AD10" i="14"/>
  <c r="AC6" i="14"/>
  <c r="AC10" i="14"/>
  <c r="AC9" i="14"/>
  <c r="AC12" i="14"/>
  <c r="AC8" i="14"/>
  <c r="AC13" i="14"/>
  <c r="AC11" i="14"/>
  <c r="AC7" i="14"/>
  <c r="AE6" i="14"/>
  <c r="AE10" i="14"/>
  <c r="AE9" i="14"/>
  <c r="AE13" i="14"/>
  <c r="AE12" i="14"/>
  <c r="AE8" i="14"/>
  <c r="AE7" i="14"/>
  <c r="AE11" i="14"/>
  <c r="AB12" i="14"/>
  <c r="AB7" i="14"/>
  <c r="AB8" i="14"/>
  <c r="AB11" i="14"/>
  <c r="AB13" i="14"/>
  <c r="AB9" i="14"/>
  <c r="AB10" i="14"/>
  <c r="AB6" i="14"/>
  <c r="AF6" i="14"/>
  <c r="AF9" i="14"/>
  <c r="AF10" i="14"/>
  <c r="AF13" i="14"/>
  <c r="AF11" i="14"/>
  <c r="AF12" i="14"/>
  <c r="AF7" i="14"/>
  <c r="AF8" i="14"/>
  <c r="H118" i="2" a="1"/>
  <c r="H118" i="2" s="1"/>
  <c r="H119" i="2" a="1"/>
  <c r="H119" i="2" s="1"/>
  <c r="AZ6" i="14"/>
  <c r="AZ51" i="14"/>
  <c r="AZ31" i="14"/>
  <c r="AZ53" i="14"/>
  <c r="AZ39" i="14"/>
  <c r="AZ22" i="14"/>
  <c r="AZ18" i="14"/>
  <c r="AZ52" i="14"/>
  <c r="AZ55" i="14"/>
  <c r="AZ36" i="14"/>
  <c r="AZ29" i="14"/>
  <c r="AZ15" i="14"/>
  <c r="AZ21" i="14"/>
  <c r="AZ30" i="14"/>
  <c r="AZ33" i="14"/>
  <c r="AZ25" i="14"/>
  <c r="AZ17" i="14"/>
  <c r="AZ49" i="14"/>
  <c r="AZ46" i="14"/>
  <c r="AZ42" i="14"/>
  <c r="AZ47" i="14"/>
  <c r="AZ38" i="14"/>
  <c r="AZ41" i="14"/>
  <c r="AZ54" i="14"/>
  <c r="AZ20" i="14"/>
  <c r="AZ27" i="14"/>
  <c r="AZ45" i="14"/>
  <c r="AZ23" i="14"/>
  <c r="AZ13" i="14"/>
  <c r="AZ48" i="14"/>
  <c r="AZ19" i="14"/>
  <c r="AZ11" i="14"/>
  <c r="AZ10" i="14"/>
  <c r="AZ16" i="14"/>
  <c r="AZ32" i="14"/>
  <c r="AZ26" i="14"/>
  <c r="AZ24" i="14"/>
  <c r="AZ35" i="14"/>
  <c r="AZ37" i="14"/>
  <c r="AZ12" i="14"/>
  <c r="AZ9" i="14"/>
  <c r="AZ40" i="14"/>
  <c r="AZ34" i="14"/>
  <c r="AZ43" i="14"/>
  <c r="AZ28" i="14"/>
  <c r="AZ14" i="14"/>
  <c r="AZ50" i="14"/>
  <c r="AZ44" i="14"/>
  <c r="AZ7" i="14"/>
  <c r="BA6" i="14"/>
  <c r="BA26" i="14"/>
  <c r="BA50" i="14"/>
  <c r="BA48" i="14"/>
  <c r="BA45" i="14"/>
  <c r="BA36" i="14"/>
  <c r="BA29" i="14"/>
  <c r="BA21" i="14"/>
  <c r="BA38" i="14"/>
  <c r="BA20" i="14"/>
  <c r="BA47" i="14"/>
  <c r="BA22" i="14"/>
  <c r="BA31" i="14"/>
  <c r="BA15" i="14"/>
  <c r="BA30" i="14"/>
  <c r="BA39" i="14"/>
  <c r="BA23" i="14"/>
  <c r="BA28" i="14"/>
  <c r="BA24" i="14"/>
  <c r="BA40" i="14"/>
  <c r="BA14" i="14"/>
  <c r="BA42" i="14"/>
  <c r="BA12" i="14"/>
  <c r="BA10" i="14"/>
  <c r="BA54" i="14"/>
  <c r="BA37" i="14"/>
  <c r="BA52" i="14"/>
  <c r="BA34" i="14"/>
  <c r="BA33" i="14"/>
  <c r="BA17" i="14"/>
  <c r="BA35" i="14"/>
  <c r="BA13" i="14"/>
  <c r="BA27" i="14"/>
  <c r="BA19" i="14"/>
  <c r="BA44" i="14"/>
  <c r="BA49" i="14"/>
  <c r="BA41" i="14"/>
  <c r="BA51" i="14"/>
  <c r="BA32" i="14"/>
  <c r="BA11" i="14"/>
  <c r="BA9" i="14"/>
  <c r="BA46" i="14"/>
  <c r="BA55" i="14"/>
  <c r="BA16" i="14"/>
  <c r="BA53" i="14"/>
  <c r="BA43" i="14"/>
  <c r="BA18" i="14"/>
  <c r="BA25" i="14"/>
  <c r="AK6" i="14"/>
  <c r="AK25" i="14"/>
  <c r="AK48" i="14"/>
  <c r="AK50" i="14"/>
  <c r="AK47" i="14"/>
  <c r="AK39" i="14"/>
  <c r="AK21" i="14"/>
  <c r="AK22" i="14"/>
  <c r="AK14" i="14"/>
  <c r="AK33" i="14"/>
  <c r="AK52" i="14"/>
  <c r="AK10" i="14"/>
  <c r="AK31" i="14"/>
  <c r="AK15" i="14"/>
  <c r="AK34" i="14"/>
  <c r="AK53" i="14"/>
  <c r="AK37" i="14"/>
  <c r="AK23" i="14"/>
  <c r="AK45" i="14"/>
  <c r="AK36" i="14"/>
  <c r="AK38" i="14"/>
  <c r="AK12" i="14"/>
  <c r="AK40" i="14"/>
  <c r="AK32" i="14"/>
  <c r="AK51" i="14"/>
  <c r="AK43" i="14"/>
  <c r="AK46" i="14"/>
  <c r="AK16" i="14"/>
  <c r="AK29" i="14"/>
  <c r="AK13" i="14"/>
  <c r="AK30" i="14"/>
  <c r="AK28" i="14"/>
  <c r="AK27" i="14"/>
  <c r="AK19" i="14"/>
  <c r="AK20" i="14"/>
  <c r="AK42" i="14"/>
  <c r="AK26" i="14"/>
  <c r="AK17" i="14"/>
  <c r="AK55" i="14"/>
  <c r="AK11" i="14"/>
  <c r="AK18" i="14"/>
  <c r="AK9" i="14"/>
  <c r="AK54" i="14"/>
  <c r="AK35" i="14"/>
  <c r="AK44" i="14"/>
  <c r="AK49" i="14"/>
  <c r="AK41" i="14"/>
  <c r="AK24" i="14"/>
  <c r="AE52" i="14"/>
  <c r="AE44" i="14"/>
  <c r="AE50" i="14"/>
  <c r="AE43" i="14"/>
  <c r="AE55" i="14"/>
  <c r="AE37" i="14"/>
  <c r="AE14" i="14"/>
  <c r="AE29" i="14"/>
  <c r="AE22" i="14"/>
  <c r="AE28" i="14"/>
  <c r="AE15" i="14"/>
  <c r="AE53" i="14"/>
  <c r="AE21" i="14"/>
  <c r="AE49" i="14"/>
  <c r="AE47" i="14"/>
  <c r="AE31" i="14"/>
  <c r="AE42" i="14"/>
  <c r="AE45" i="14"/>
  <c r="AE38" i="14"/>
  <c r="AE39" i="14"/>
  <c r="AE20" i="14"/>
  <c r="AE33" i="14"/>
  <c r="AE40" i="14"/>
  <c r="AE19" i="14"/>
  <c r="AE36" i="14"/>
  <c r="AE51" i="14"/>
  <c r="AE16" i="14"/>
  <c r="AE23" i="14"/>
  <c r="AE41" i="14"/>
  <c r="AE35" i="14"/>
  <c r="AE54" i="14"/>
  <c r="AE46" i="14"/>
  <c r="AE17" i="14"/>
  <c r="AE26" i="14"/>
  <c r="AE27" i="14"/>
  <c r="AE30" i="14"/>
  <c r="AE48" i="14"/>
  <c r="AE34" i="14"/>
  <c r="AE18" i="14"/>
  <c r="AE32" i="14"/>
  <c r="AE24" i="14"/>
  <c r="AE25" i="14"/>
  <c r="AO8" i="14"/>
  <c r="AO28" i="14"/>
  <c r="AO54" i="14"/>
  <c r="AO46" i="14"/>
  <c r="AO52" i="14"/>
  <c r="AO44" i="14"/>
  <c r="AO41" i="14"/>
  <c r="AO55" i="14"/>
  <c r="AO43" i="14"/>
  <c r="AO23" i="14"/>
  <c r="AO29" i="14"/>
  <c r="AO34" i="14"/>
  <c r="AO26" i="14"/>
  <c r="AO39" i="14"/>
  <c r="AO49" i="14"/>
  <c r="AO51" i="14"/>
  <c r="AO11" i="14"/>
  <c r="AO47" i="14"/>
  <c r="AO15" i="14"/>
  <c r="AO13" i="14"/>
  <c r="AO37" i="14"/>
  <c r="AO48" i="14"/>
  <c r="AO38" i="14"/>
  <c r="AO32" i="14"/>
  <c r="AO31" i="14"/>
  <c r="AO20" i="14"/>
  <c r="AO9" i="14"/>
  <c r="AO45" i="14"/>
  <c r="AO22" i="14"/>
  <c r="AO30" i="14"/>
  <c r="AO53" i="14"/>
  <c r="AO18" i="14"/>
  <c r="AO10" i="14"/>
  <c r="AO42" i="14"/>
  <c r="AO16" i="14"/>
  <c r="AO50" i="14"/>
  <c r="AO40" i="14"/>
  <c r="AO27" i="14"/>
  <c r="AO12" i="14"/>
  <c r="AO17" i="14"/>
  <c r="AO21" i="14"/>
  <c r="AO14" i="14"/>
  <c r="AO35" i="14"/>
  <c r="AO33" i="14"/>
  <c r="AO36" i="14"/>
  <c r="AO24" i="14"/>
  <c r="AO19" i="14"/>
  <c r="AO25" i="14"/>
  <c r="AO6" i="14"/>
  <c r="AI7" i="14"/>
  <c r="AI54" i="14"/>
  <c r="AI46" i="14"/>
  <c r="AI48" i="14"/>
  <c r="AI15" i="14"/>
  <c r="AI28" i="14"/>
  <c r="AI47" i="14"/>
  <c r="AI12" i="14"/>
  <c r="AI27" i="14"/>
  <c r="AI26" i="14"/>
  <c r="AI39" i="14"/>
  <c r="AI23" i="14"/>
  <c r="AI41" i="14"/>
  <c r="AI16" i="14"/>
  <c r="AI31" i="14"/>
  <c r="AI29" i="14"/>
  <c r="AI13" i="14"/>
  <c r="AI21" i="14"/>
  <c r="AI36" i="14"/>
  <c r="AI51" i="14"/>
  <c r="AI32" i="14"/>
  <c r="AI17" i="14"/>
  <c r="AI9" i="14"/>
  <c r="AI52" i="14"/>
  <c r="AI43" i="14"/>
  <c r="AI20" i="14"/>
  <c r="AI30" i="14"/>
  <c r="AI38" i="14"/>
  <c r="AI55" i="14"/>
  <c r="AI18" i="14"/>
  <c r="AI25" i="14"/>
  <c r="AI14" i="14"/>
  <c r="AI50" i="14"/>
  <c r="AI34" i="14"/>
  <c r="AI42" i="14"/>
  <c r="AI24" i="14"/>
  <c r="AI45" i="14"/>
  <c r="AI33" i="14"/>
  <c r="AI49" i="14"/>
  <c r="AI37" i="14"/>
  <c r="AI19" i="14"/>
  <c r="AI10" i="14"/>
  <c r="AI53" i="14"/>
  <c r="AI44" i="14"/>
  <c r="AI22" i="14"/>
  <c r="AI35" i="14"/>
  <c r="AI11" i="14"/>
  <c r="AI40" i="14"/>
  <c r="AV7" i="14"/>
  <c r="AV25" i="14"/>
  <c r="AV49" i="14"/>
  <c r="AV41" i="14"/>
  <c r="AV42" i="14"/>
  <c r="AV47" i="14"/>
  <c r="AV31" i="14"/>
  <c r="AV53" i="14"/>
  <c r="AV29" i="14"/>
  <c r="AV52" i="14"/>
  <c r="AV15" i="14"/>
  <c r="AV30" i="14"/>
  <c r="AV35" i="14"/>
  <c r="AV11" i="14"/>
  <c r="AV39" i="14"/>
  <c r="AV45" i="14"/>
  <c r="AV37" i="14"/>
  <c r="AV36" i="14"/>
  <c r="AV28" i="14"/>
  <c r="AV54" i="14"/>
  <c r="AV22" i="14"/>
  <c r="AV44" i="14"/>
  <c r="AV23" i="14"/>
  <c r="AV13" i="14"/>
  <c r="AV48" i="14"/>
  <c r="AV12" i="14"/>
  <c r="AV33" i="14"/>
  <c r="AV9" i="14"/>
  <c r="AV32" i="14"/>
  <c r="AV50" i="14"/>
  <c r="AV21" i="14"/>
  <c r="AV38" i="14"/>
  <c r="AV19" i="14"/>
  <c r="AV26" i="14"/>
  <c r="AV55" i="14"/>
  <c r="AV20" i="14"/>
  <c r="AV43" i="14"/>
  <c r="AV10" i="14"/>
  <c r="AV24" i="14"/>
  <c r="AV17" i="14"/>
  <c r="AV46" i="14"/>
  <c r="AV14" i="14"/>
  <c r="AV40" i="14"/>
  <c r="AV34" i="14"/>
  <c r="AV51" i="14"/>
  <c r="AV18" i="14"/>
  <c r="AV27" i="14"/>
  <c r="AV16" i="14"/>
  <c r="AH8" i="14"/>
  <c r="AH35" i="14"/>
  <c r="AH51" i="14"/>
  <c r="AH40" i="14"/>
  <c r="AH49" i="14"/>
  <c r="AH36" i="14"/>
  <c r="AH44" i="14"/>
  <c r="AH23" i="14"/>
  <c r="AH30" i="14"/>
  <c r="AH13" i="14"/>
  <c r="AH38" i="14"/>
  <c r="AH20" i="14"/>
  <c r="AH55" i="14"/>
  <c r="AH31" i="14"/>
  <c r="AH46" i="14"/>
  <c r="AH19" i="14"/>
  <c r="AH18" i="14"/>
  <c r="AH53" i="14"/>
  <c r="AH28" i="14"/>
  <c r="AH47" i="14"/>
  <c r="AH15" i="14"/>
  <c r="AH29" i="14"/>
  <c r="AH21" i="14"/>
  <c r="AH34" i="14"/>
  <c r="AH52" i="14"/>
  <c r="AH37" i="14"/>
  <c r="AH33" i="14"/>
  <c r="AH14" i="14"/>
  <c r="AH26" i="14"/>
  <c r="AH39" i="14"/>
  <c r="AH45" i="14"/>
  <c r="AH11" i="14"/>
  <c r="AH50" i="14"/>
  <c r="AH25" i="14"/>
  <c r="AH9" i="14"/>
  <c r="AH16" i="14"/>
  <c r="AH10" i="14"/>
  <c r="AH54" i="14"/>
  <c r="AH24" i="14"/>
  <c r="AH42" i="14"/>
  <c r="AH12" i="14"/>
  <c r="AH27" i="14"/>
  <c r="AH32" i="14"/>
  <c r="AH43" i="14"/>
  <c r="AH48" i="14"/>
  <c r="AH22" i="14"/>
  <c r="AH17" i="14"/>
  <c r="AH41" i="14"/>
  <c r="AU6" i="14"/>
  <c r="AU50" i="14"/>
  <c r="AU32" i="14"/>
  <c r="AU52" i="14"/>
  <c r="AU44" i="14"/>
  <c r="AU39" i="14"/>
  <c r="AU45" i="14"/>
  <c r="AU13" i="14"/>
  <c r="AU38" i="14"/>
  <c r="AU37" i="14"/>
  <c r="AU49" i="14"/>
  <c r="AU36" i="14"/>
  <c r="AU28" i="14"/>
  <c r="AU55" i="14"/>
  <c r="AU29" i="14"/>
  <c r="AU30" i="14"/>
  <c r="AU20" i="14"/>
  <c r="AU41" i="14"/>
  <c r="AU47" i="14"/>
  <c r="AU31" i="14"/>
  <c r="AU22" i="14"/>
  <c r="AU12" i="14"/>
  <c r="AU54" i="14"/>
  <c r="AU43" i="14"/>
  <c r="AU16" i="14"/>
  <c r="AU53" i="14"/>
  <c r="AU21" i="14"/>
  <c r="AU19" i="14"/>
  <c r="AU46" i="14"/>
  <c r="AU27" i="14"/>
  <c r="AU40" i="14"/>
  <c r="AU15" i="14"/>
  <c r="AU26" i="14"/>
  <c r="AU23" i="14"/>
  <c r="AU35" i="14"/>
  <c r="AU33" i="14"/>
  <c r="AU48" i="14"/>
  <c r="AU18" i="14"/>
  <c r="AU17" i="14"/>
  <c r="AU34" i="14"/>
  <c r="AU14" i="14"/>
  <c r="AU10" i="14"/>
  <c r="AU51" i="14"/>
  <c r="AU25" i="14"/>
  <c r="AU42" i="14"/>
  <c r="AU11" i="14"/>
  <c r="AU9" i="14"/>
  <c r="AU24" i="14"/>
  <c r="AT7" i="14"/>
  <c r="AT30" i="14"/>
  <c r="AT53" i="14"/>
  <c r="AT55" i="14"/>
  <c r="AT21" i="14"/>
  <c r="AT22" i="14"/>
  <c r="AT47" i="14"/>
  <c r="AT28" i="14"/>
  <c r="AT10" i="14"/>
  <c r="AT45" i="14"/>
  <c r="AT23" i="14"/>
  <c r="AT12" i="14"/>
  <c r="AT44" i="14"/>
  <c r="AT31" i="14"/>
  <c r="AT13" i="14"/>
  <c r="AT38" i="14"/>
  <c r="AT14" i="14"/>
  <c r="AT20" i="14"/>
  <c r="AT39" i="14"/>
  <c r="AT19" i="14"/>
  <c r="AT29" i="14"/>
  <c r="AT50" i="14"/>
  <c r="AT35" i="14"/>
  <c r="AT27" i="14"/>
  <c r="AT54" i="14"/>
  <c r="AT9" i="14"/>
  <c r="AT15" i="14"/>
  <c r="AT42" i="14"/>
  <c r="AT17" i="14"/>
  <c r="AT51" i="14"/>
  <c r="AT16" i="14"/>
  <c r="AT52" i="14"/>
  <c r="AT18" i="14"/>
  <c r="AT46" i="14"/>
  <c r="AT36" i="14"/>
  <c r="AT32" i="14"/>
  <c r="AT37" i="14"/>
  <c r="AT11" i="14"/>
  <c r="AT49" i="14"/>
  <c r="AT41" i="14"/>
  <c r="AT26" i="14"/>
  <c r="AT24" i="14"/>
  <c r="AT43" i="14"/>
  <c r="AT48" i="14"/>
  <c r="AT40" i="14"/>
  <c r="AT25" i="14"/>
  <c r="AT33" i="14"/>
  <c r="AT34" i="14"/>
  <c r="AM8" i="14"/>
  <c r="AM36" i="14"/>
  <c r="AM42" i="14"/>
  <c r="AM41" i="14"/>
  <c r="AM52" i="14"/>
  <c r="AM50" i="14"/>
  <c r="AM44" i="14"/>
  <c r="AM23" i="14"/>
  <c r="AM55" i="14"/>
  <c r="AM14" i="14"/>
  <c r="AM46" i="14"/>
  <c r="AM18" i="14"/>
  <c r="AM31" i="14"/>
  <c r="AM15" i="14"/>
  <c r="AM53" i="14"/>
  <c r="AM21" i="14"/>
  <c r="AM22" i="14"/>
  <c r="AM19" i="14"/>
  <c r="AM37" i="14"/>
  <c r="AM45" i="14"/>
  <c r="AM29" i="14"/>
  <c r="AM26" i="14"/>
  <c r="AM51" i="14"/>
  <c r="AM33" i="14"/>
  <c r="AM24" i="14"/>
  <c r="AM32" i="14"/>
  <c r="AM27" i="14"/>
  <c r="AM54" i="14"/>
  <c r="AM10" i="14"/>
  <c r="AM40" i="14"/>
  <c r="AM47" i="14"/>
  <c r="AM11" i="14"/>
  <c r="AM38" i="14"/>
  <c r="AM28" i="14"/>
  <c r="AM12" i="14"/>
  <c r="AM49" i="14"/>
  <c r="AM35" i="14"/>
  <c r="AM13" i="14"/>
  <c r="AM17" i="14"/>
  <c r="AM9" i="14"/>
  <c r="AM16" i="14"/>
  <c r="AM30" i="14"/>
  <c r="AM25" i="14"/>
  <c r="AM48" i="14"/>
  <c r="AM34" i="14"/>
  <c r="AM43" i="14"/>
  <c r="AM20" i="14"/>
  <c r="AM39" i="14"/>
  <c r="AM6" i="14"/>
  <c r="AH7" i="14"/>
  <c r="AF33" i="14"/>
  <c r="AF24" i="14"/>
  <c r="AF42" i="14"/>
  <c r="AF41" i="14"/>
  <c r="AF49" i="14"/>
  <c r="AF55" i="14"/>
  <c r="AF45" i="14"/>
  <c r="AF37" i="14"/>
  <c r="AF43" i="14"/>
  <c r="AF36" i="14"/>
  <c r="AF46" i="14"/>
  <c r="AF48" i="14"/>
  <c r="AF50" i="14"/>
  <c r="AF47" i="14"/>
  <c r="AF14" i="14"/>
  <c r="AF38" i="14"/>
  <c r="AF28" i="14"/>
  <c r="AF39" i="14"/>
  <c r="AF15" i="14"/>
  <c r="AF31" i="14"/>
  <c r="AF53" i="14"/>
  <c r="AF44" i="14"/>
  <c r="AF51" i="14"/>
  <c r="AF54" i="14"/>
  <c r="AF26" i="14"/>
  <c r="AF17" i="14"/>
  <c r="AF32" i="14"/>
  <c r="AF20" i="14"/>
  <c r="AF40" i="14"/>
  <c r="AF27" i="14"/>
  <c r="AF19" i="14"/>
  <c r="AF18" i="14"/>
  <c r="AF30" i="14"/>
  <c r="AF25" i="14"/>
  <c r="AF16" i="14"/>
  <c r="AF22" i="14"/>
  <c r="AF52" i="14"/>
  <c r="AF35" i="14"/>
  <c r="AF34" i="14"/>
  <c r="AF29" i="14"/>
  <c r="AF21" i="14"/>
  <c r="AF23" i="14"/>
  <c r="AG6" i="14"/>
  <c r="AG22" i="14"/>
  <c r="AG46" i="14"/>
  <c r="AG52" i="14"/>
  <c r="AG44" i="14"/>
  <c r="AG38" i="14"/>
  <c r="AG43" i="14"/>
  <c r="AG54" i="14"/>
  <c r="AG23" i="14"/>
  <c r="AG39" i="14"/>
  <c r="AG53" i="14"/>
  <c r="AG27" i="14"/>
  <c r="AG18" i="14"/>
  <c r="AG47" i="14"/>
  <c r="AG15" i="14"/>
  <c r="AG13" i="14"/>
  <c r="AG14" i="14"/>
  <c r="AG45" i="14"/>
  <c r="AG37" i="14"/>
  <c r="AG49" i="14"/>
  <c r="AG31" i="14"/>
  <c r="AG35" i="14"/>
  <c r="AG28" i="14"/>
  <c r="AG30" i="14"/>
  <c r="AG20" i="14"/>
  <c r="AG55" i="14"/>
  <c r="AG11" i="14"/>
  <c r="AG48" i="14"/>
  <c r="AG25" i="14"/>
  <c r="AG24" i="14"/>
  <c r="AG9" i="14"/>
  <c r="AG42" i="14"/>
  <c r="AG10" i="14"/>
  <c r="AG17" i="14"/>
  <c r="AG21" i="14"/>
  <c r="AG40" i="14"/>
  <c r="AG26" i="14"/>
  <c r="AG12" i="14"/>
  <c r="AG34" i="14"/>
  <c r="AG33" i="14"/>
  <c r="AG41" i="14"/>
  <c r="AG19" i="14"/>
  <c r="AG50" i="14"/>
  <c r="AG29" i="14"/>
  <c r="AG51" i="14"/>
  <c r="AG36" i="14"/>
  <c r="AG16" i="14"/>
  <c r="AG32" i="14"/>
  <c r="AT8" i="14"/>
  <c r="BB6" i="14"/>
  <c r="BB40" i="14"/>
  <c r="BB47" i="14"/>
  <c r="BB55" i="14"/>
  <c r="BB31" i="14"/>
  <c r="BB14" i="14"/>
  <c r="BB53" i="14"/>
  <c r="BB39" i="14"/>
  <c r="BB15" i="14"/>
  <c r="BB11" i="14"/>
  <c r="BB49" i="14"/>
  <c r="BB23" i="14"/>
  <c r="BB35" i="14"/>
  <c r="BB29" i="14"/>
  <c r="BB21" i="14"/>
  <c r="BB45" i="14"/>
  <c r="BB36" i="14"/>
  <c r="BB50" i="14"/>
  <c r="BB20" i="14"/>
  <c r="BB34" i="14"/>
  <c r="BB54" i="14"/>
  <c r="BB30" i="14"/>
  <c r="BB44" i="14"/>
  <c r="BB26" i="14"/>
  <c r="BB18" i="14"/>
  <c r="BB51" i="14"/>
  <c r="BB38" i="14"/>
  <c r="BB52" i="14"/>
  <c r="BB46" i="14"/>
  <c r="BB9" i="14"/>
  <c r="BB42" i="14"/>
  <c r="BB25" i="14"/>
  <c r="BB16" i="14"/>
  <c r="BB12" i="14"/>
  <c r="BB10" i="14"/>
  <c r="BB22" i="14"/>
  <c r="BB32" i="14"/>
  <c r="BB24" i="14"/>
  <c r="BB43" i="14"/>
  <c r="BB27" i="14"/>
  <c r="BB41" i="14"/>
  <c r="BB33" i="14"/>
  <c r="BB48" i="14"/>
  <c r="BB37" i="14"/>
  <c r="BB28" i="14"/>
  <c r="BB13" i="14"/>
  <c r="BB17" i="14"/>
  <c r="BB19" i="14"/>
  <c r="AB19" i="14"/>
  <c r="AB51" i="14"/>
  <c r="AB38" i="14"/>
  <c r="AB42" i="14"/>
  <c r="AB55" i="14"/>
  <c r="AB48" i="14"/>
  <c r="AB34" i="14"/>
  <c r="AB31" i="14"/>
  <c r="AB29" i="14"/>
  <c r="AB36" i="14"/>
  <c r="AB43" i="14"/>
  <c r="AB44" i="14"/>
  <c r="AB21" i="14"/>
  <c r="AB30" i="14"/>
  <c r="AB45" i="14"/>
  <c r="AB35" i="14"/>
  <c r="AB33" i="14"/>
  <c r="AB47" i="14"/>
  <c r="AB14" i="14"/>
  <c r="AB28" i="14"/>
  <c r="AB15" i="14"/>
  <c r="AB54" i="14"/>
  <c r="AB22" i="14"/>
  <c r="AB20" i="14"/>
  <c r="AB37" i="14"/>
  <c r="AB27" i="14"/>
  <c r="AB25" i="14"/>
  <c r="AB23" i="14"/>
  <c r="AB32" i="14"/>
  <c r="BC143" i="14" s="1" a="1"/>
  <c r="BC143" i="14" s="1"/>
  <c r="AB53" i="14"/>
  <c r="AB50" i="14"/>
  <c r="AB40" i="14"/>
  <c r="AB49" i="14"/>
  <c r="AB16" i="14"/>
  <c r="AB39" i="14"/>
  <c r="AB26" i="14"/>
  <c r="AB52" i="14"/>
  <c r="AB24" i="14"/>
  <c r="AB46" i="14"/>
  <c r="AB17" i="14"/>
  <c r="AB41" i="14"/>
  <c r="AB18" i="14"/>
  <c r="AJ8" i="14"/>
  <c r="AJ27" i="14"/>
  <c r="AJ51" i="14"/>
  <c r="AJ40" i="14"/>
  <c r="AJ29" i="14"/>
  <c r="AJ55" i="14"/>
  <c r="AJ28" i="14"/>
  <c r="AJ11" i="14"/>
  <c r="AJ26" i="14"/>
  <c r="AJ34" i="14"/>
  <c r="AJ53" i="14"/>
  <c r="AJ12" i="14"/>
  <c r="AJ23" i="14"/>
  <c r="AJ37" i="14"/>
  <c r="AJ30" i="14"/>
  <c r="AJ39" i="14"/>
  <c r="AJ45" i="14"/>
  <c r="AJ47" i="14"/>
  <c r="AJ18" i="14"/>
  <c r="AJ44" i="14"/>
  <c r="AJ21" i="14"/>
  <c r="AJ13" i="14"/>
  <c r="AJ36" i="14"/>
  <c r="AJ50" i="14"/>
  <c r="AJ19" i="14"/>
  <c r="AJ10" i="14"/>
  <c r="AJ17" i="14"/>
  <c r="AJ38" i="14"/>
  <c r="AJ31" i="14"/>
  <c r="AJ20" i="14"/>
  <c r="AJ43" i="14"/>
  <c r="AJ49" i="14"/>
  <c r="AJ22" i="14"/>
  <c r="AJ14" i="14"/>
  <c r="AJ48" i="14"/>
  <c r="AJ33" i="14"/>
  <c r="AJ42" i="14"/>
  <c r="AJ41" i="14"/>
  <c r="AJ9" i="14"/>
  <c r="AJ16" i="14"/>
  <c r="AJ15" i="14"/>
  <c r="AJ32" i="14"/>
  <c r="AJ46" i="14"/>
  <c r="AJ24" i="14"/>
  <c r="AJ52" i="14"/>
  <c r="AJ25" i="14"/>
  <c r="AJ54" i="14"/>
  <c r="AJ35" i="14"/>
  <c r="AW6" i="14"/>
  <c r="AW38" i="14"/>
  <c r="AW44" i="14"/>
  <c r="AW43" i="14"/>
  <c r="AW54" i="14"/>
  <c r="AW52" i="14"/>
  <c r="AW46" i="14"/>
  <c r="AW31" i="14"/>
  <c r="AW13" i="14"/>
  <c r="AW14" i="14"/>
  <c r="AW55" i="14"/>
  <c r="AW36" i="14"/>
  <c r="AW19" i="14"/>
  <c r="AW23" i="14"/>
  <c r="AW53" i="14"/>
  <c r="AW29" i="14"/>
  <c r="AW27" i="14"/>
  <c r="AW39" i="14"/>
  <c r="AW45" i="14"/>
  <c r="AW37" i="14"/>
  <c r="AW28" i="14"/>
  <c r="AW40" i="14"/>
  <c r="AW32" i="14"/>
  <c r="AW41" i="14"/>
  <c r="AW24" i="14"/>
  <c r="AW49" i="14"/>
  <c r="AW12" i="14"/>
  <c r="AW11" i="14"/>
  <c r="AW25" i="14"/>
  <c r="AW21" i="14"/>
  <c r="AW30" i="14"/>
  <c r="AW9" i="14"/>
  <c r="AW35" i="14"/>
  <c r="AW20" i="14"/>
  <c r="AW17" i="14"/>
  <c r="AW22" i="14"/>
  <c r="AW34" i="14"/>
  <c r="AW15" i="14"/>
  <c r="AW42" i="14"/>
  <c r="AW18" i="14"/>
  <c r="AW10" i="14"/>
  <c r="AW50" i="14"/>
  <c r="AW48" i="14"/>
  <c r="AW51" i="14"/>
  <c r="AW26" i="14"/>
  <c r="AW47" i="14"/>
  <c r="AW16" i="14"/>
  <c r="AW33" i="14"/>
  <c r="AJ7" i="14"/>
  <c r="AD55" i="14"/>
  <c r="AD42" i="14"/>
  <c r="AD45" i="14"/>
  <c r="AD31" i="14"/>
  <c r="AD14" i="14"/>
  <c r="AD50" i="14"/>
  <c r="AD40" i="14"/>
  <c r="AD52" i="14"/>
  <c r="AD27" i="14"/>
  <c r="AD34" i="14"/>
  <c r="AD39" i="14"/>
  <c r="AD23" i="14"/>
  <c r="AD21" i="14"/>
  <c r="AD47" i="14"/>
  <c r="AD37" i="14"/>
  <c r="AD22" i="14"/>
  <c r="AD35" i="14"/>
  <c r="AD16" i="14"/>
  <c r="AD15" i="14"/>
  <c r="AD38" i="14"/>
  <c r="AD30" i="14"/>
  <c r="AD32" i="14"/>
  <c r="AD26" i="14"/>
  <c r="AD18" i="14"/>
  <c r="AD24" i="14"/>
  <c r="AD44" i="14"/>
  <c r="AD54" i="14"/>
  <c r="AD41" i="14"/>
  <c r="AD43" i="14"/>
  <c r="AD36" i="14"/>
  <c r="AD51" i="14"/>
  <c r="AD46" i="14"/>
  <c r="AD49" i="14"/>
  <c r="AD33" i="14"/>
  <c r="AD17" i="14"/>
  <c r="AD48" i="14"/>
  <c r="AD28" i="14"/>
  <c r="AD25" i="14"/>
  <c r="AD53" i="14"/>
  <c r="AD29" i="14"/>
  <c r="AD20" i="14"/>
  <c r="AD19" i="14"/>
  <c r="AQ6" i="14"/>
  <c r="AQ22" i="14"/>
  <c r="AQ48" i="14"/>
  <c r="AQ54" i="14"/>
  <c r="AQ46" i="14"/>
  <c r="AQ40" i="14"/>
  <c r="AQ53" i="14"/>
  <c r="AQ37" i="14"/>
  <c r="AQ23" i="14"/>
  <c r="AQ19" i="14"/>
  <c r="AQ10" i="14"/>
  <c r="AQ33" i="14"/>
  <c r="AQ24" i="14"/>
  <c r="AQ47" i="14"/>
  <c r="AQ12" i="14"/>
  <c r="AQ39" i="14"/>
  <c r="AQ15" i="14"/>
  <c r="AQ45" i="14"/>
  <c r="AQ35" i="14"/>
  <c r="AQ51" i="14"/>
  <c r="AQ28" i="14"/>
  <c r="AQ55" i="14"/>
  <c r="AQ30" i="14"/>
  <c r="AQ36" i="14"/>
  <c r="AQ26" i="14"/>
  <c r="AQ18" i="14"/>
  <c r="AQ29" i="14"/>
  <c r="AQ14" i="14"/>
  <c r="AQ17" i="14"/>
  <c r="AQ9" i="14"/>
  <c r="AQ42" i="14"/>
  <c r="AQ50" i="14"/>
  <c r="AQ21" i="14"/>
  <c r="AQ25" i="14"/>
  <c r="AQ32" i="14"/>
  <c r="AQ20" i="14"/>
  <c r="AQ38" i="14"/>
  <c r="AQ34" i="14"/>
  <c r="AQ44" i="14"/>
  <c r="AQ27" i="14"/>
  <c r="AQ43" i="14"/>
  <c r="AQ31" i="14"/>
  <c r="AQ11" i="14"/>
  <c r="AQ49" i="14"/>
  <c r="AQ13" i="14"/>
  <c r="AQ16" i="14"/>
  <c r="AQ41" i="14"/>
  <c r="AQ52" i="14"/>
  <c r="AC34" i="14"/>
  <c r="AC35" i="14"/>
  <c r="AC50" i="14"/>
  <c r="AC48" i="14"/>
  <c r="AC40" i="14"/>
  <c r="AC47" i="14"/>
  <c r="AC32" i="14"/>
  <c r="AC31" i="14"/>
  <c r="AC15" i="14"/>
  <c r="AC21" i="14"/>
  <c r="AC20" i="14"/>
  <c r="AC51" i="14"/>
  <c r="AC43" i="14"/>
  <c r="AC23" i="14"/>
  <c r="AC22" i="14"/>
  <c r="AC19" i="14"/>
  <c r="AC55" i="14"/>
  <c r="AC29" i="14"/>
  <c r="AC38" i="14"/>
  <c r="AC14" i="14"/>
  <c r="AC18" i="14"/>
  <c r="AC27" i="14"/>
  <c r="AC17" i="14"/>
  <c r="AC37" i="14"/>
  <c r="AC36" i="14"/>
  <c r="AC41" i="14"/>
  <c r="AC46" i="14"/>
  <c r="AC24" i="14"/>
  <c r="AC25" i="14"/>
  <c r="AC28" i="14"/>
  <c r="AC39" i="14"/>
  <c r="AC30" i="14"/>
  <c r="AC16" i="14"/>
  <c r="AC52" i="14"/>
  <c r="AC44" i="14"/>
  <c r="AC54" i="14"/>
  <c r="AC45" i="14"/>
  <c r="AC33" i="14"/>
  <c r="AC53" i="14"/>
  <c r="AC42" i="14"/>
  <c r="AC26" i="14"/>
  <c r="AC49" i="14"/>
  <c r="AP6" i="14"/>
  <c r="AP43" i="14"/>
  <c r="AP49" i="14"/>
  <c r="AP42" i="14"/>
  <c r="AP51" i="14"/>
  <c r="AP39" i="14"/>
  <c r="AP15" i="14"/>
  <c r="AP45" i="14"/>
  <c r="AP37" i="14"/>
  <c r="AP29" i="14"/>
  <c r="AP21" i="14"/>
  <c r="AP26" i="14"/>
  <c r="AP50" i="14"/>
  <c r="AP55" i="14"/>
  <c r="AP30" i="14"/>
  <c r="AP12" i="14"/>
  <c r="AP25" i="14"/>
  <c r="AP23" i="14"/>
  <c r="AP54" i="14"/>
  <c r="AP14" i="14"/>
  <c r="AP34" i="14"/>
  <c r="AP40" i="14"/>
  <c r="AP19" i="14"/>
  <c r="AP35" i="14"/>
  <c r="AP17" i="14"/>
  <c r="AP36" i="14"/>
  <c r="AP22" i="14"/>
  <c r="AP31" i="14"/>
  <c r="AP53" i="14"/>
  <c r="AP38" i="14"/>
  <c r="AP52" i="14"/>
  <c r="AP41" i="14"/>
  <c r="AP32" i="14"/>
  <c r="AP44" i="14"/>
  <c r="AP13" i="14"/>
  <c r="AP28" i="14"/>
  <c r="AP16" i="14"/>
  <c r="AP9" i="14"/>
  <c r="AP47" i="14"/>
  <c r="AP11" i="14"/>
  <c r="AP24" i="14"/>
  <c r="AP48" i="14"/>
  <c r="AP46" i="14"/>
  <c r="AP33" i="14"/>
  <c r="AP20" i="14"/>
  <c r="AP18" i="14"/>
  <c r="AP10" i="14"/>
  <c r="AP27" i="14"/>
  <c r="AL8" i="14"/>
  <c r="AL45" i="14"/>
  <c r="AL33" i="14"/>
  <c r="AL23" i="14"/>
  <c r="AL50" i="14"/>
  <c r="AL28" i="14"/>
  <c r="AL36" i="14"/>
  <c r="AL47" i="14"/>
  <c r="AL13" i="14"/>
  <c r="AL42" i="14"/>
  <c r="AL35" i="14"/>
  <c r="AL19" i="14"/>
  <c r="AL15" i="14"/>
  <c r="AL39" i="14"/>
  <c r="AL38" i="14"/>
  <c r="AL14" i="14"/>
  <c r="AL55" i="14"/>
  <c r="AL21" i="14"/>
  <c r="AL30" i="14"/>
  <c r="AL53" i="14"/>
  <c r="AL37" i="14"/>
  <c r="AL41" i="14"/>
  <c r="AL11" i="14"/>
  <c r="AL9" i="14"/>
  <c r="AL25" i="14"/>
  <c r="AL16" i="14"/>
  <c r="AL44" i="14"/>
  <c r="AL54" i="14"/>
  <c r="AL32" i="14"/>
  <c r="AL31" i="14"/>
  <c r="AL29" i="14"/>
  <c r="AL12" i="14"/>
  <c r="AL51" i="14"/>
  <c r="AL24" i="14"/>
  <c r="AL52" i="14"/>
  <c r="AL46" i="14"/>
  <c r="AL22" i="14"/>
  <c r="AL48" i="14"/>
  <c r="AL49" i="14"/>
  <c r="AL34" i="14"/>
  <c r="AL20" i="14"/>
  <c r="AL27" i="14"/>
  <c r="AL43" i="14"/>
  <c r="AL17" i="14"/>
  <c r="AL18" i="14"/>
  <c r="AL26" i="14"/>
  <c r="AL10" i="14"/>
  <c r="AL40" i="14"/>
  <c r="AS7" i="14"/>
  <c r="AS16" i="14"/>
  <c r="AS40" i="14"/>
  <c r="AS34" i="14"/>
  <c r="AS48" i="14"/>
  <c r="AS35" i="14"/>
  <c r="AS50" i="14"/>
  <c r="AS38" i="14"/>
  <c r="AS30" i="14"/>
  <c r="AS28" i="14"/>
  <c r="AS20" i="14"/>
  <c r="AS39" i="14"/>
  <c r="AS47" i="14"/>
  <c r="AS31" i="14"/>
  <c r="AS15" i="14"/>
  <c r="AS18" i="14"/>
  <c r="AS53" i="14"/>
  <c r="AS37" i="14"/>
  <c r="AS14" i="14"/>
  <c r="AS55" i="14"/>
  <c r="AS21" i="14"/>
  <c r="AS22" i="14"/>
  <c r="AS23" i="14"/>
  <c r="AS29" i="14"/>
  <c r="AS13" i="14"/>
  <c r="AS17" i="14"/>
  <c r="AS46" i="14"/>
  <c r="AS12" i="14"/>
  <c r="AS43" i="14"/>
  <c r="AS36" i="14"/>
  <c r="AS27" i="14"/>
  <c r="AS19" i="14"/>
  <c r="AS26" i="14"/>
  <c r="AS54" i="14"/>
  <c r="AS52" i="14"/>
  <c r="AS42" i="14"/>
  <c r="AS24" i="14"/>
  <c r="AS44" i="14"/>
  <c r="AS25" i="14"/>
  <c r="AS11" i="14"/>
  <c r="AS9" i="14"/>
  <c r="AS45" i="14"/>
  <c r="AS10" i="14"/>
  <c r="AS49" i="14"/>
  <c r="AS41" i="14"/>
  <c r="AS51" i="14"/>
  <c r="AS33" i="14"/>
  <c r="AS32" i="14"/>
  <c r="AN8" i="14"/>
  <c r="AN32" i="14"/>
  <c r="AN34" i="14"/>
  <c r="AN43" i="14"/>
  <c r="AN49" i="14"/>
  <c r="AN39" i="14"/>
  <c r="AN30" i="14"/>
  <c r="AN28" i="14"/>
  <c r="AN55" i="14"/>
  <c r="AN52" i="14"/>
  <c r="AN23" i="14"/>
  <c r="AN22" i="14"/>
  <c r="AN42" i="14"/>
  <c r="AN19" i="14"/>
  <c r="AN13" i="14"/>
  <c r="AN14" i="14"/>
  <c r="AN41" i="14"/>
  <c r="AN15" i="14"/>
  <c r="AN54" i="14"/>
  <c r="AN46" i="14"/>
  <c r="AN11" i="14"/>
  <c r="AN9" i="14"/>
  <c r="AN45" i="14"/>
  <c r="AN48" i="14"/>
  <c r="AN53" i="14"/>
  <c r="AN26" i="14"/>
  <c r="AN38" i="14"/>
  <c r="AN27" i="14"/>
  <c r="AN10" i="14"/>
  <c r="AN24" i="14"/>
  <c r="AN29" i="14"/>
  <c r="AN21" i="14"/>
  <c r="AN36" i="14"/>
  <c r="AN25" i="14"/>
  <c r="AN40" i="14"/>
  <c r="AN12" i="14"/>
  <c r="AN47" i="14"/>
  <c r="AN20" i="14"/>
  <c r="AN18" i="14"/>
  <c r="AN17" i="14"/>
  <c r="AN37" i="14"/>
  <c r="AN31" i="14"/>
  <c r="AN33" i="14"/>
  <c r="AN50" i="14"/>
  <c r="AN35" i="14"/>
  <c r="AN44" i="14"/>
  <c r="AN51" i="14"/>
  <c r="AN16" i="14"/>
  <c r="AN7" i="14"/>
  <c r="AR8" i="14"/>
  <c r="AR37" i="14"/>
  <c r="AR51" i="14"/>
  <c r="AR45" i="14"/>
  <c r="AR38" i="14"/>
  <c r="AR15" i="14"/>
  <c r="AR13" i="14"/>
  <c r="AR22" i="14"/>
  <c r="AR40" i="14"/>
  <c r="AR23" i="14"/>
  <c r="AR55" i="14"/>
  <c r="AR29" i="14"/>
  <c r="AR21" i="14"/>
  <c r="AR36" i="14"/>
  <c r="AR35" i="14"/>
  <c r="AR53" i="14"/>
  <c r="AR47" i="14"/>
  <c r="AR31" i="14"/>
  <c r="AR14" i="14"/>
  <c r="AR48" i="14"/>
  <c r="AR50" i="14"/>
  <c r="AR27" i="14"/>
  <c r="AR41" i="14"/>
  <c r="AR16" i="14"/>
  <c r="AR28" i="14"/>
  <c r="AR18" i="14"/>
  <c r="AR49" i="14"/>
  <c r="AR46" i="14"/>
  <c r="AR10" i="14"/>
  <c r="AR33" i="14"/>
  <c r="AR25" i="14"/>
  <c r="AR42" i="14"/>
  <c r="AR24" i="14"/>
  <c r="AR52" i="14"/>
  <c r="AR11" i="14"/>
  <c r="AR17" i="14"/>
  <c r="AR43" i="14"/>
  <c r="AR44" i="14"/>
  <c r="AR12" i="14"/>
  <c r="AR32" i="14"/>
  <c r="AR54" i="14"/>
  <c r="AR30" i="14"/>
  <c r="AR26" i="14"/>
  <c r="AR20" i="14"/>
  <c r="AR39" i="14"/>
  <c r="AR34" i="14"/>
  <c r="AR9" i="14"/>
  <c r="AR19" i="14"/>
  <c r="AY7" i="14"/>
  <c r="AY28" i="14"/>
  <c r="AY43" i="14"/>
  <c r="AY30" i="14"/>
  <c r="AY48" i="14"/>
  <c r="AY42" i="14"/>
  <c r="AY54" i="14"/>
  <c r="AY46" i="14"/>
  <c r="AY21" i="14"/>
  <c r="AY22" i="14"/>
  <c r="AY36" i="14"/>
  <c r="AY53" i="14"/>
  <c r="AY40" i="14"/>
  <c r="AY47" i="14"/>
  <c r="AY37" i="14"/>
  <c r="AY51" i="14"/>
  <c r="AY20" i="14"/>
  <c r="AY27" i="14"/>
  <c r="AY39" i="14"/>
  <c r="AY23" i="14"/>
  <c r="AY45" i="14"/>
  <c r="AY14" i="14"/>
  <c r="AY29" i="14"/>
  <c r="AY13" i="14"/>
  <c r="AY35" i="14"/>
  <c r="AY19" i="14"/>
  <c r="AY38" i="14"/>
  <c r="AY16" i="14"/>
  <c r="AY11" i="14"/>
  <c r="AY50" i="14"/>
  <c r="AY32" i="14"/>
  <c r="AY17" i="14"/>
  <c r="AY9" i="14"/>
  <c r="AY55" i="14"/>
  <c r="AY26" i="14"/>
  <c r="AY44" i="14"/>
  <c r="AY12" i="14"/>
  <c r="AY18" i="14"/>
  <c r="AY25" i="14"/>
  <c r="AY24" i="14"/>
  <c r="AY10" i="14"/>
  <c r="AY41" i="14"/>
  <c r="AY52" i="14"/>
  <c r="AY33" i="14"/>
  <c r="AY31" i="14"/>
  <c r="AY15" i="14"/>
  <c r="AY34" i="14"/>
  <c r="AY49" i="14"/>
  <c r="AX7" i="14"/>
  <c r="AX19" i="14"/>
  <c r="AX36" i="14"/>
  <c r="AX49" i="14"/>
  <c r="AX35" i="14"/>
  <c r="AX41" i="14"/>
  <c r="AX33" i="14"/>
  <c r="AX51" i="14"/>
  <c r="AX47" i="14"/>
  <c r="AX39" i="14"/>
  <c r="AX23" i="14"/>
  <c r="AX45" i="14"/>
  <c r="AX37" i="14"/>
  <c r="AX46" i="14"/>
  <c r="AX31" i="14"/>
  <c r="AX15" i="14"/>
  <c r="AX21" i="14"/>
  <c r="AX13" i="14"/>
  <c r="AX30" i="14"/>
  <c r="AX20" i="14"/>
  <c r="AX55" i="14"/>
  <c r="AX17" i="14"/>
  <c r="AX53" i="14"/>
  <c r="AX29" i="14"/>
  <c r="AX28" i="14"/>
  <c r="AX42" i="14"/>
  <c r="AX10" i="14"/>
  <c r="AX32" i="14"/>
  <c r="AX24" i="14"/>
  <c r="AX38" i="14"/>
  <c r="AX22" i="14"/>
  <c r="AX26" i="14"/>
  <c r="AX18" i="14"/>
  <c r="AX27" i="14"/>
  <c r="AX34" i="14"/>
  <c r="AX50" i="14"/>
  <c r="AX14" i="14"/>
  <c r="AX48" i="14"/>
  <c r="AX54" i="14"/>
  <c r="AX40" i="14"/>
  <c r="AX43" i="14"/>
  <c r="AX11" i="14"/>
  <c r="AX25" i="14"/>
  <c r="AX16" i="14"/>
  <c r="AX44" i="14"/>
  <c r="AX9" i="14"/>
  <c r="AX52" i="14"/>
  <c r="AX12" i="14"/>
  <c r="AR7" i="14"/>
  <c r="AG7" i="14"/>
  <c r="AW7" i="14"/>
  <c r="AL6" i="14"/>
  <c r="BB7" i="14"/>
  <c r="AQ8" i="14"/>
  <c r="AV6" i="14"/>
  <c r="AK8" i="14"/>
  <c r="BA8" i="14"/>
  <c r="AP8" i="14"/>
  <c r="AU7" i="14"/>
  <c r="AR6" i="14"/>
  <c r="AG8" i="14"/>
  <c r="AW8" i="14"/>
  <c r="AL7" i="14"/>
  <c r="BB8" i="14"/>
  <c r="AQ7" i="14"/>
  <c r="AV8" i="14"/>
  <c r="AK7" i="14"/>
  <c r="BA7" i="14"/>
  <c r="AP7" i="14"/>
  <c r="AU8" i="14"/>
  <c r="AZ8" i="14"/>
  <c r="AO7" i="14"/>
  <c r="AT6" i="14"/>
  <c r="AI8" i="14"/>
  <c r="AY8" i="14"/>
  <c r="AN6" i="14"/>
  <c r="AS8" i="14"/>
  <c r="AH6" i="14"/>
  <c r="AX8" i="14"/>
  <c r="AM7" i="14"/>
  <c r="AJ6" i="14"/>
  <c r="BO57" i="14"/>
  <c r="BC166" i="14" l="1" a="1"/>
  <c r="BC166" i="14" s="1"/>
  <c r="BC126" i="14" a="1"/>
  <c r="BC126" i="14" s="1"/>
  <c r="BC163" i="14" a="1"/>
  <c r="BC163" i="14" s="1"/>
  <c r="BC132" i="14" a="1"/>
  <c r="BC132" i="14" s="1"/>
  <c r="BC137" i="14" a="1"/>
  <c r="BC137" i="14" s="1"/>
  <c r="BC134" i="14" a="1"/>
  <c r="BC134" i="14" s="1"/>
  <c r="BC139" i="14" a="1"/>
  <c r="BC139" i="14" s="1"/>
  <c r="BC155" i="14" a="1"/>
  <c r="BC155" i="14" s="1"/>
  <c r="BC153" i="14" a="1"/>
  <c r="BC153" i="14" s="1"/>
  <c r="BC150" i="14" a="1"/>
  <c r="BC150" i="14" s="1"/>
  <c r="BC136" i="14" a="1"/>
  <c r="BC136" i="14" s="1"/>
  <c r="BC125" i="14" a="1"/>
  <c r="BC125" i="14" s="1"/>
  <c r="BC154" i="14" a="1"/>
  <c r="BC154" i="14" s="1"/>
  <c r="BC149" i="14" a="1"/>
  <c r="BC149" i="14" s="1"/>
  <c r="BC129" i="14" a="1"/>
  <c r="BC129" i="14" s="1"/>
  <c r="BC127" i="14" a="1"/>
  <c r="BC127" i="14" s="1"/>
  <c r="BC138" i="14" a="1"/>
  <c r="BC138" i="14" s="1"/>
  <c r="BC158" i="14" a="1"/>
  <c r="BC158" i="14" s="1"/>
  <c r="BC147" i="14" a="1"/>
  <c r="BC147" i="14" s="1"/>
  <c r="BC162" i="14" a="1"/>
  <c r="BC162" i="14" s="1"/>
  <c r="BC152" i="14" a="1"/>
  <c r="BC152" i="14" s="1"/>
  <c r="BC160" i="14" a="1"/>
  <c r="BC160" i="14" s="1"/>
  <c r="BC148" i="14" a="1"/>
  <c r="BC148" i="14" s="1"/>
  <c r="BC144" i="14" a="1"/>
  <c r="BC144" i="14" s="1"/>
  <c r="BC140" i="14" a="1"/>
  <c r="BC140" i="14" s="1"/>
  <c r="BC130" i="14" a="1"/>
  <c r="BC130" i="14" s="1"/>
  <c r="BC128" i="14" a="1"/>
  <c r="BC128" i="14" s="1"/>
  <c r="BC151" i="14" a="1"/>
  <c r="BC151" i="14" s="1"/>
  <c r="BC131" i="14" a="1"/>
  <c r="BC131" i="14" s="1"/>
  <c r="BC146" i="14" a="1"/>
  <c r="BC146" i="14" s="1"/>
  <c r="BC142" i="14" a="1"/>
  <c r="BC142" i="14" s="1"/>
  <c r="BC157" i="14" a="1"/>
  <c r="BC157" i="14" s="1"/>
  <c r="BC161" i="14" a="1"/>
  <c r="BC161" i="14" s="1"/>
  <c r="BC133" i="14" a="1"/>
  <c r="BC133" i="14" s="1"/>
  <c r="BC156" i="14" a="1"/>
  <c r="BC156" i="14" s="1"/>
  <c r="BC145" i="14" a="1"/>
  <c r="BC145" i="14" s="1"/>
  <c r="BC135" i="14" a="1"/>
  <c r="BC135" i="14" s="1"/>
  <c r="BC164" i="14" a="1"/>
  <c r="BC164" i="14" s="1"/>
  <c r="BC165" i="14" a="1"/>
  <c r="BC165" i="14" s="1"/>
  <c r="BC141" i="14" a="1"/>
  <c r="BC141" i="14" s="1"/>
  <c r="BC159" i="14" a="1"/>
  <c r="BC159" i="14" s="1"/>
  <c r="BC121" i="14" a="1"/>
  <c r="BC121" i="14" s="1"/>
  <c r="BC120" i="14" a="1"/>
  <c r="BC120" i="14" s="1"/>
  <c r="BC124" i="14" a="1"/>
  <c r="BC124" i="14" s="1"/>
  <c r="BC122" i="14" a="1"/>
  <c r="BC122" i="14" s="1"/>
  <c r="BC117" i="14" a="1"/>
  <c r="BC117" i="14" s="1"/>
  <c r="BC119" i="14" a="1"/>
  <c r="BC119" i="14" s="1"/>
  <c r="BC118" i="14" a="1"/>
  <c r="BC118" i="14" s="1"/>
  <c r="BC123" i="14" a="1"/>
  <c r="BC123" i="14" s="1"/>
  <c r="BO46" i="14"/>
  <c r="CP157" i="14" s="1" a="1"/>
  <c r="CP157" i="14" s="1"/>
  <c r="BO38" i="14"/>
  <c r="CP149" i="14" s="1" a="1"/>
  <c r="CP149" i="14" s="1"/>
  <c r="BO6" i="14"/>
  <c r="CP117" i="14" s="1" a="1"/>
  <c r="CP117" i="14" s="1"/>
  <c r="BO54" i="14"/>
  <c r="CP165" i="14" s="1" a="1"/>
  <c r="CP165" i="14" s="1"/>
  <c r="BO11" i="14"/>
  <c r="CP122" i="14" s="1" a="1"/>
  <c r="CP122" i="14" s="1"/>
  <c r="BO22" i="14"/>
  <c r="CP133" i="14" s="1" a="1"/>
  <c r="CP133" i="14" s="1"/>
  <c r="BO41" i="14"/>
  <c r="CP152" i="14" s="1" a="1"/>
  <c r="CP152" i="14" s="1"/>
  <c r="BO49" i="14"/>
  <c r="CP160" i="14" s="1" a="1"/>
  <c r="CP160" i="14" s="1"/>
  <c r="BO55" i="14"/>
  <c r="CP166" i="14" s="1" a="1"/>
  <c r="CP166" i="14" s="1"/>
  <c r="BO33" i="14"/>
  <c r="CP144" i="14" s="1" a="1"/>
  <c r="CP144" i="14" s="1"/>
  <c r="BO21" i="14"/>
  <c r="CP132" i="14" s="1" a="1"/>
  <c r="CP132" i="14" s="1"/>
  <c r="BO14" i="14"/>
  <c r="CP125" i="14" s="1" a="1"/>
  <c r="CP125" i="14" s="1"/>
  <c r="BO32" i="14"/>
  <c r="CP143" i="14" s="1" a="1"/>
  <c r="CP143" i="14" s="1"/>
  <c r="BO42" i="14"/>
  <c r="CP153" i="14" s="1" a="1"/>
  <c r="CP153" i="14" s="1"/>
  <c r="BO34" i="14"/>
  <c r="CP145" i="14" s="1" a="1"/>
  <c r="CP145" i="14" s="1"/>
  <c r="BO28" i="14"/>
  <c r="CP139" i="14" s="1" a="1"/>
  <c r="CP139" i="14" s="1"/>
  <c r="BO20" i="14"/>
  <c r="CP131" i="14" s="1" a="1"/>
  <c r="CP131" i="14" s="1"/>
  <c r="BO12" i="14"/>
  <c r="CP123" i="14" s="1" a="1"/>
  <c r="CP123" i="14" s="1"/>
  <c r="BO23" i="14"/>
  <c r="CP134" i="14" s="1" a="1"/>
  <c r="CP134" i="14" s="1"/>
  <c r="BO25" i="14"/>
  <c r="CP136" i="14" s="1" a="1"/>
  <c r="CP136" i="14" s="1"/>
  <c r="BO30" i="14"/>
  <c r="CP141" i="14" s="1" a="1"/>
  <c r="CP141" i="14" s="1"/>
  <c r="BO35" i="14"/>
  <c r="CP146" i="14" s="1" a="1"/>
  <c r="CP146" i="14" s="1"/>
  <c r="BO18" i="14"/>
  <c r="CP129" i="14" s="1" a="1"/>
  <c r="CP129" i="14" s="1"/>
  <c r="BO52" i="14"/>
  <c r="CP163" i="14" s="1" a="1"/>
  <c r="CP163" i="14" s="1"/>
  <c r="BO36" i="14"/>
  <c r="CP147" i="14" s="1" a="1"/>
  <c r="CP147" i="14" s="1"/>
  <c r="BO47" i="14"/>
  <c r="CP158" i="14" s="1" a="1"/>
  <c r="CP158" i="14" s="1"/>
  <c r="BO51" i="14"/>
  <c r="CP162" i="14" s="1" a="1"/>
  <c r="CP162" i="14" s="1"/>
  <c r="BO17" i="14"/>
  <c r="CP128" i="14" s="1" a="1"/>
  <c r="CP128" i="14" s="1"/>
  <c r="BO19" i="14"/>
  <c r="CP130" i="14" s="1" a="1"/>
  <c r="CP130" i="14" s="1"/>
  <c r="BO7" i="14"/>
  <c r="CP118" i="14" s="1" a="1"/>
  <c r="CP118" i="14" s="1"/>
  <c r="BO13" i="14"/>
  <c r="CP124" i="14" s="1" a="1"/>
  <c r="CP124" i="14" s="1"/>
  <c r="BO48" i="14"/>
  <c r="CP159" i="14" s="1" a="1"/>
  <c r="CP159" i="14" s="1"/>
  <c r="BO40" i="14"/>
  <c r="CP151" i="14" s="1" a="1"/>
  <c r="CP151" i="14" s="1"/>
  <c r="BO37" i="14"/>
  <c r="CP148" i="14" s="1" a="1"/>
  <c r="CP148" i="14" s="1"/>
  <c r="BO50" i="14"/>
  <c r="CP161" i="14" s="1" a="1"/>
  <c r="CP161" i="14" s="1"/>
  <c r="BO43" i="14"/>
  <c r="CP154" i="14" s="1" a="1"/>
  <c r="CP154" i="14" s="1"/>
  <c r="BO26" i="14"/>
  <c r="CP137" i="14" s="1" a="1"/>
  <c r="CP137" i="14" s="1"/>
  <c r="BO9" i="14"/>
  <c r="CP120" i="14" s="1" a="1"/>
  <c r="CP120" i="14" s="1"/>
  <c r="BO24" i="14"/>
  <c r="CP135" i="14" s="1" a="1"/>
  <c r="CP135" i="14" s="1"/>
  <c r="BO16" i="14"/>
  <c r="CP127" i="14" s="1" a="1"/>
  <c r="CP127" i="14" s="1"/>
  <c r="BO8" i="14"/>
  <c r="CP119" i="14" s="1" a="1"/>
  <c r="CP119" i="14" s="1"/>
  <c r="BO15" i="14"/>
  <c r="CP126" i="14" s="1" a="1"/>
  <c r="CP126" i="14" s="1"/>
  <c r="BO45" i="14"/>
  <c r="CP156" i="14" s="1" a="1"/>
  <c r="CP156" i="14" s="1"/>
  <c r="BO31" i="14"/>
  <c r="CP142" i="14" s="1" a="1"/>
  <c r="CP142" i="14" s="1"/>
  <c r="BO39" i="14"/>
  <c r="CP150" i="14" s="1" a="1"/>
  <c r="CP150" i="14" s="1"/>
  <c r="BO27" i="14"/>
  <c r="CP138" i="14" s="1" a="1"/>
  <c r="CP138" i="14" s="1"/>
  <c r="BO29" i="14"/>
  <c r="CP140" i="14" s="1" a="1"/>
  <c r="CP140" i="14" s="1"/>
  <c r="BO44" i="14"/>
  <c r="CP155" i="14" s="1" a="1"/>
  <c r="CP155" i="14" s="1"/>
  <c r="BO53" i="14"/>
  <c r="CP164" i="14" s="1" a="1"/>
  <c r="CP164" i="14" s="1"/>
  <c r="BO10" i="14"/>
  <c r="CP121" i="14" s="1" a="1"/>
  <c r="CP121" i="14" s="1"/>
  <c r="BL38" i="11" l="1"/>
  <c r="BC38" i="11"/>
  <c r="BH38" i="11"/>
  <c r="BI38" i="11" s="1"/>
  <c r="Q38" i="11"/>
  <c r="BO38" i="11" s="1" a="1"/>
  <c r="BO38" i="11" s="1"/>
  <c r="BD38" i="11"/>
  <c r="AY38" i="11"/>
  <c r="BL24" i="11"/>
  <c r="Q24" i="11"/>
  <c r="BO24" i="11" s="1" a="1"/>
  <c r="BO24" i="11" s="1"/>
  <c r="AY24" i="11"/>
  <c r="BD24" i="11"/>
  <c r="BH24" i="11"/>
  <c r="BI24" i="11" s="1"/>
  <c r="BC24" i="11"/>
  <c r="BL6" i="11"/>
  <c r="BC6" i="11"/>
  <c r="Q6" i="11"/>
  <c r="BO6" i="11" s="1" a="1"/>
  <c r="BO6" i="11" s="1"/>
  <c r="BD6" i="11"/>
  <c r="AY6" i="11"/>
  <c r="BH6" i="11"/>
  <c r="BI6" i="11" s="1"/>
  <c r="BD4" i="11"/>
  <c r="BL4" i="11"/>
  <c r="AY4" i="11"/>
  <c r="Q4" i="11"/>
  <c r="BO4" i="11" s="1" a="1"/>
  <c r="BO4" i="11" s="1"/>
  <c r="BH4" i="11"/>
  <c r="BI4" i="11" s="1"/>
  <c r="BC4" i="11"/>
  <c r="BL32" i="11"/>
  <c r="BC32" i="11"/>
  <c r="AY32" i="11"/>
  <c r="BD32" i="11"/>
  <c r="BH32" i="11"/>
  <c r="BI32" i="11" s="1"/>
  <c r="Q32" i="11"/>
  <c r="BO32" i="11" s="1" a="1"/>
  <c r="BO32" i="11" s="1"/>
  <c r="BL39" i="11"/>
  <c r="AY39" i="11"/>
  <c r="BC39" i="11"/>
  <c r="BD39" i="11"/>
  <c r="BH39" i="11"/>
  <c r="BI39" i="11" s="1"/>
  <c r="Q39" i="11"/>
  <c r="BO39" i="11" s="1" a="1"/>
  <c r="BO39" i="11" s="1"/>
  <c r="BL19" i="11"/>
  <c r="AY19" i="11"/>
  <c r="Q19" i="11"/>
  <c r="BO19" i="11" s="1" a="1"/>
  <c r="BO19" i="11" s="1"/>
  <c r="BC19" i="11"/>
  <c r="BD19" i="11"/>
  <c r="BH19" i="11"/>
  <c r="BI19" i="11" s="1"/>
  <c r="BL21" i="11"/>
  <c r="BH21" i="11"/>
  <c r="BI21" i="11" s="1"/>
  <c r="Q21" i="11"/>
  <c r="BO21" i="11" s="1" a="1"/>
  <c r="BO21" i="11" s="1"/>
  <c r="BC21" i="11"/>
  <c r="AY21" i="11"/>
  <c r="BD21" i="11"/>
  <c r="BL36" i="11"/>
  <c r="BD36" i="11"/>
  <c r="Q36" i="11"/>
  <c r="BO36" i="11" s="1" a="1"/>
  <c r="BO36" i="11" s="1"/>
  <c r="BC36" i="11"/>
  <c r="BH36" i="11"/>
  <c r="BI36" i="11" s="1"/>
  <c r="AY36" i="11"/>
  <c r="BL16" i="11"/>
  <c r="AY16" i="11"/>
  <c r="Q16" i="11"/>
  <c r="BO16" i="11" s="1" a="1"/>
  <c r="BO16" i="11" s="1"/>
  <c r="BC16" i="11"/>
  <c r="BH16" i="11"/>
  <c r="BI16" i="11" s="1"/>
  <c r="BD16" i="11"/>
  <c r="BL27" i="11"/>
  <c r="BH27" i="11"/>
  <c r="BI27" i="11" s="1"/>
  <c r="BC27" i="11"/>
  <c r="Q27" i="11"/>
  <c r="BO27" i="11" s="1" a="1"/>
  <c r="BO27" i="11" s="1"/>
  <c r="AY27" i="11"/>
  <c r="BD27" i="11"/>
  <c r="BL29" i="11"/>
  <c r="AY29" i="11"/>
  <c r="Q29" i="11"/>
  <c r="BO29" i="11" s="1" a="1"/>
  <c r="BO29" i="11" s="1"/>
  <c r="BH29" i="11"/>
  <c r="BI29" i="11" s="1"/>
  <c r="BC29" i="11"/>
  <c r="BD29" i="11"/>
  <c r="BL8" i="11"/>
  <c r="Q8" i="11"/>
  <c r="BO8" i="11" s="1" a="1"/>
  <c r="BO8" i="11" s="1"/>
  <c r="AY8" i="11"/>
  <c r="BD8" i="11"/>
  <c r="BC8" i="11"/>
  <c r="BH8" i="11"/>
  <c r="BI8" i="11" s="1"/>
  <c r="BL10" i="11"/>
  <c r="Q10" i="11"/>
  <c r="BO10" i="11" s="1" a="1"/>
  <c r="BO10" i="11" s="1"/>
  <c r="BC10" i="11"/>
  <c r="BH10" i="11"/>
  <c r="BI10" i="11" s="1"/>
  <c r="BD10" i="11"/>
  <c r="AY10" i="11"/>
  <c r="BL23" i="11"/>
  <c r="BH23" i="11"/>
  <c r="BI23" i="11" s="1"/>
  <c r="AY23" i="11"/>
  <c r="BD23" i="11"/>
  <c r="Q23" i="11"/>
  <c r="BO23" i="11" s="1" a="1"/>
  <c r="BO23" i="11" s="1"/>
  <c r="BC23" i="11"/>
  <c r="BL28" i="11"/>
  <c r="AY28" i="11"/>
  <c r="Q28" i="11"/>
  <c r="BO28" i="11" s="1" a="1"/>
  <c r="BO28" i="11" s="1"/>
  <c r="BH28" i="11"/>
  <c r="BI28" i="11" s="1"/>
  <c r="BD28" i="11"/>
  <c r="BC28" i="11"/>
  <c r="BL40" i="11"/>
  <c r="BC40" i="11"/>
  <c r="BH40" i="11"/>
  <c r="BI40" i="11" s="1"/>
  <c r="Q40" i="11"/>
  <c r="BO40" i="11" s="1" a="1"/>
  <c r="BO40" i="11" s="1"/>
  <c r="AY40" i="11"/>
  <c r="BD40" i="11"/>
  <c r="BL14" i="11"/>
  <c r="Q14" i="11"/>
  <c r="BO14" i="11" s="1" a="1"/>
  <c r="BO14" i="11" s="1"/>
  <c r="BD14" i="11"/>
  <c r="AY14" i="11"/>
  <c r="BC14" i="11"/>
  <c r="BH14" i="11"/>
  <c r="BI14" i="11" s="1"/>
  <c r="BL22" i="11"/>
  <c r="BD22" i="11"/>
  <c r="Q22" i="11"/>
  <c r="BO22" i="11" s="1" a="1"/>
  <c r="BO22" i="11" s="1"/>
  <c r="AY22" i="11"/>
  <c r="BH22" i="11"/>
  <c r="BI22" i="11" s="1"/>
  <c r="BC22" i="11"/>
  <c r="BL11" i="11"/>
  <c r="BC11" i="11"/>
  <c r="BH11" i="11"/>
  <c r="BI11" i="11" s="1"/>
  <c r="AY11" i="11"/>
  <c r="Q11" i="11"/>
  <c r="BO11" i="11" s="1" a="1"/>
  <c r="BO11" i="11" s="1"/>
  <c r="BD11" i="11"/>
  <c r="BL51" i="11"/>
  <c r="BD51" i="11"/>
  <c r="AY51" i="11"/>
  <c r="Q51" i="11"/>
  <c r="BO51" i="11" s="1" a="1"/>
  <c r="BO51" i="11" s="1"/>
  <c r="BH51" i="11"/>
  <c r="BI51" i="11" s="1"/>
  <c r="BC51" i="11"/>
  <c r="BL15" i="11"/>
  <c r="Q15" i="11"/>
  <c r="BO15" i="11" s="1" a="1"/>
  <c r="BO15" i="11" s="1"/>
  <c r="BC15" i="11"/>
  <c r="BD15" i="11"/>
  <c r="BH15" i="11"/>
  <c r="BI15" i="11" s="1"/>
  <c r="AY15" i="11"/>
  <c r="BL42" i="11"/>
  <c r="BC42" i="11"/>
  <c r="Q42" i="11"/>
  <c r="BO42" i="11" s="1" a="1"/>
  <c r="BO42" i="11" s="1"/>
  <c r="AY42" i="11"/>
  <c r="BD42" i="11"/>
  <c r="BH42" i="11"/>
  <c r="BI42" i="11" s="1"/>
  <c r="BL47" i="11"/>
  <c r="AY47" i="11"/>
  <c r="BH47" i="11"/>
  <c r="BI47" i="11" s="1"/>
  <c r="BD47" i="11"/>
  <c r="BC47" i="11"/>
  <c r="Q47" i="11"/>
  <c r="BO47" i="11" s="1" a="1"/>
  <c r="BO47" i="11" s="1"/>
  <c r="BL48" i="11"/>
  <c r="Q48" i="11"/>
  <c r="BO48" i="11" s="1" a="1"/>
  <c r="BO48" i="11" s="1"/>
  <c r="AY48" i="11"/>
  <c r="BC48" i="11"/>
  <c r="BD48" i="11"/>
  <c r="BH48" i="11"/>
  <c r="BI48" i="11" s="1"/>
  <c r="BL20" i="11"/>
  <c r="Q20" i="11"/>
  <c r="BO20" i="11" s="1" a="1"/>
  <c r="BO20" i="11" s="1"/>
  <c r="BH20" i="11"/>
  <c r="BI20" i="11" s="1"/>
  <c r="BC20" i="11"/>
  <c r="BD20" i="11"/>
  <c r="AY20" i="11"/>
  <c r="BL18" i="11"/>
  <c r="Q18" i="11"/>
  <c r="BO18" i="11" s="1" a="1"/>
  <c r="BO18" i="11" s="1"/>
  <c r="AY18" i="11"/>
  <c r="BD18" i="11"/>
  <c r="BH18" i="11"/>
  <c r="BI18" i="11" s="1"/>
  <c r="BC18" i="11"/>
  <c r="BL3" i="11"/>
  <c r="Q3" i="11"/>
  <c r="BO3" i="11" s="1" a="1"/>
  <c r="BO3" i="11" s="1"/>
  <c r="BH3" i="11"/>
  <c r="BI3" i="11" s="1"/>
  <c r="BC3" i="11"/>
  <c r="AY3" i="11"/>
  <c r="BD3" i="11"/>
  <c r="BL31" i="11"/>
  <c r="BH31" i="11"/>
  <c r="BI31" i="11" s="1"/>
  <c r="BD31" i="11"/>
  <c r="AY31" i="11"/>
  <c r="Q31" i="11"/>
  <c r="BO31" i="11" s="1" a="1"/>
  <c r="BO31" i="11" s="1"/>
  <c r="BC31" i="11"/>
  <c r="BL7" i="11"/>
  <c r="BH7" i="11"/>
  <c r="BI7" i="11" s="1"/>
  <c r="BC7" i="11"/>
  <c r="Q7" i="11"/>
  <c r="BO7" i="11" s="1" a="1"/>
  <c r="BO7" i="11" s="1"/>
  <c r="AY7" i="11"/>
  <c r="BD7" i="11"/>
  <c r="BL12" i="11"/>
  <c r="Q12" i="11"/>
  <c r="BO12" i="11" s="1" a="1"/>
  <c r="BO12" i="11" s="1"/>
  <c r="BH12" i="11"/>
  <c r="BI12" i="11" s="1"/>
  <c r="AY12" i="11"/>
  <c r="BC12" i="11"/>
  <c r="BD12" i="11"/>
  <c r="BL34" i="11"/>
  <c r="BH34" i="11"/>
  <c r="BI34" i="11" s="1"/>
  <c r="BC34" i="11"/>
  <c r="Q34" i="11"/>
  <c r="BO34" i="11" s="1" a="1"/>
  <c r="BO34" i="11" s="1"/>
  <c r="AY34" i="11"/>
  <c r="BD34" i="11"/>
  <c r="BL44" i="11"/>
  <c r="BC44" i="11"/>
  <c r="AY44" i="11"/>
  <c r="BD44" i="11"/>
  <c r="Q44" i="11"/>
  <c r="BO44" i="11" s="1" a="1"/>
  <c r="BO44" i="11" s="1"/>
  <c r="BH44" i="11"/>
  <c r="BI44" i="11" s="1"/>
  <c r="BL9" i="11"/>
  <c r="Q9" i="11"/>
  <c r="BO9" i="11" s="1" a="1"/>
  <c r="BO9" i="11" s="1"/>
  <c r="AY9" i="11"/>
  <c r="BD9" i="11"/>
  <c r="BH9" i="11"/>
  <c r="BI9" i="11" s="1"/>
  <c r="BC9" i="11"/>
  <c r="BL30" i="11"/>
  <c r="BD30" i="11"/>
  <c r="Q30" i="11"/>
  <c r="BO30" i="11" s="1" a="1"/>
  <c r="BO30" i="11" s="1"/>
  <c r="BC30" i="11"/>
  <c r="BH30" i="11"/>
  <c r="BI30" i="11" s="1"/>
  <c r="AY30" i="11"/>
  <c r="BL35" i="11"/>
  <c r="AY35" i="11"/>
  <c r="BD35" i="11"/>
  <c r="BC35" i="11"/>
  <c r="Q35" i="11"/>
  <c r="BO35" i="11" s="1" a="1"/>
  <c r="BO35" i="11" s="1"/>
  <c r="BH35" i="11"/>
  <c r="BI35" i="11" s="1"/>
  <c r="BL50" i="11"/>
  <c r="AY50" i="11"/>
  <c r="BH50" i="11"/>
  <c r="BI50" i="11" s="1"/>
  <c r="BD50" i="11"/>
  <c r="BC50" i="11"/>
  <c r="Q50" i="11"/>
  <c r="BO50" i="11" s="1" a="1"/>
  <c r="BO50" i="11" s="1"/>
  <c r="BL37" i="11"/>
  <c r="Q37" i="11"/>
  <c r="BO37" i="11" s="1" a="1"/>
  <c r="BO37" i="11" s="1"/>
  <c r="BD37" i="11"/>
  <c r="AY37" i="11"/>
  <c r="BH37" i="11"/>
  <c r="BI37" i="11" s="1"/>
  <c r="BC37" i="11"/>
  <c r="BL33" i="11"/>
  <c r="Q33" i="11"/>
  <c r="BO33" i="11" s="1" a="1"/>
  <c r="BO33" i="11" s="1"/>
  <c r="BC33" i="11"/>
  <c r="AY33" i="11"/>
  <c r="BH33" i="11"/>
  <c r="BI33" i="11" s="1"/>
  <c r="BD33" i="11"/>
  <c r="BL17" i="11"/>
  <c r="Q17" i="11"/>
  <c r="BO17" i="11" s="1" a="1"/>
  <c r="BO17" i="11" s="1"/>
  <c r="BH17" i="11"/>
  <c r="BI17" i="11" s="1"/>
  <c r="BC17" i="11"/>
  <c r="AY17" i="11"/>
  <c r="BD17" i="11"/>
  <c r="BL52" i="11"/>
  <c r="Q52" i="11"/>
  <c r="BO52" i="11" s="1" a="1"/>
  <c r="BO52" i="11" s="1"/>
  <c r="AY52" i="11"/>
  <c r="BD52" i="11"/>
  <c r="BC52" i="11"/>
  <c r="BH52" i="11"/>
  <c r="BI52" i="11" s="1"/>
  <c r="BL43" i="11"/>
  <c r="BH43" i="11"/>
  <c r="BI43" i="11" s="1"/>
  <c r="BC43" i="11"/>
  <c r="AY43" i="11"/>
  <c r="BD43" i="11"/>
  <c r="Q43" i="11"/>
  <c r="BO43" i="11" s="1" a="1"/>
  <c r="BO43" i="11" s="1"/>
  <c r="BL26" i="11"/>
  <c r="AY26" i="11"/>
  <c r="Q26" i="11"/>
  <c r="BO26" i="11" s="1" a="1"/>
  <c r="BO26" i="11" s="1"/>
  <c r="BD26" i="11"/>
  <c r="BC26" i="11"/>
  <c r="BH26" i="11"/>
  <c r="BI26" i="11" s="1"/>
  <c r="BL5" i="11"/>
  <c r="BD5" i="11"/>
  <c r="AY5" i="11"/>
  <c r="Q5" i="11"/>
  <c r="BO5" i="11" s="1" a="1"/>
  <c r="BO5" i="11" s="1"/>
  <c r="BH5" i="11"/>
  <c r="BI5" i="11" s="1"/>
  <c r="BC5" i="11"/>
  <c r="BL41" i="11"/>
  <c r="BH41" i="11"/>
  <c r="BI41" i="11" s="1"/>
  <c r="Q41" i="11"/>
  <c r="BO41" i="11" s="1" a="1"/>
  <c r="BO41" i="11" s="1"/>
  <c r="AY41" i="11"/>
  <c r="BC41" i="11"/>
  <c r="BD41" i="11"/>
  <c r="BC13" i="11"/>
  <c r="BD13" i="11"/>
  <c r="BL13" i="11"/>
  <c r="Q13" i="11"/>
  <c r="BO13" i="11" s="1" a="1"/>
  <c r="BO13" i="11" s="1"/>
  <c r="BH13" i="11"/>
  <c r="BI13" i="11" s="1"/>
  <c r="AY13" i="11"/>
  <c r="BL45" i="11"/>
  <c r="BH45" i="11"/>
  <c r="BI45" i="11" s="1"/>
  <c r="BD45" i="11"/>
  <c r="Q45" i="11"/>
  <c r="BO45" i="11" s="1" a="1"/>
  <c r="BO45" i="11" s="1"/>
  <c r="AY45" i="11"/>
  <c r="BC45" i="11"/>
  <c r="BL49" i="11"/>
  <c r="BH49" i="11"/>
  <c r="BI49" i="11" s="1"/>
  <c r="BC49" i="11"/>
  <c r="Q49" i="11"/>
  <c r="BO49" i="11" s="1" a="1"/>
  <c r="BO49" i="11" s="1"/>
  <c r="AY49" i="11"/>
  <c r="BD49" i="11"/>
  <c r="BL25" i="11"/>
  <c r="AY25" i="11"/>
  <c r="Q25" i="11"/>
  <c r="BO25" i="11" s="1" a="1"/>
  <c r="BO25" i="11" s="1"/>
  <c r="BD25" i="11"/>
  <c r="BH25" i="11"/>
  <c r="BI25" i="11" s="1"/>
  <c r="BC25" i="11"/>
  <c r="BL46" i="11"/>
  <c r="AY46" i="11"/>
  <c r="BC46" i="11"/>
  <c r="BD46" i="11"/>
  <c r="Q46" i="11"/>
  <c r="BO46" i="11" s="1" a="1"/>
  <c r="BO46" i="11" s="1"/>
  <c r="BH46" i="11"/>
  <c r="BI46" i="11" s="1"/>
  <c r="BD53" i="11" l="1"/>
  <c r="BL53" i="11"/>
  <c r="BC53" i="11"/>
  <c r="I53" i="13"/>
  <c r="Q5" i="13"/>
  <c r="AC5" i="13" s="1"/>
  <c r="I82" i="13"/>
  <c r="Q34" i="13"/>
  <c r="AC34" i="13" s="1"/>
  <c r="I65" i="13"/>
  <c r="Q17" i="13"/>
  <c r="AC17" i="13" s="1"/>
  <c r="I92" i="13"/>
  <c r="Q44" i="13"/>
  <c r="AC44" i="13" s="1"/>
  <c r="I60" i="13"/>
  <c r="Q12" i="13"/>
  <c r="AC12" i="13" s="1"/>
  <c r="I59" i="13"/>
  <c r="Q11" i="13"/>
  <c r="AC11" i="13" s="1"/>
  <c r="I56" i="13"/>
  <c r="Q8" i="13"/>
  <c r="AC8" i="13" s="1"/>
  <c r="I72" i="13"/>
  <c r="Q24" i="13"/>
  <c r="AC24" i="13" s="1"/>
  <c r="I69" i="13"/>
  <c r="Q21" i="13"/>
  <c r="AC21" i="13" s="1"/>
  <c r="I71" i="13"/>
  <c r="Q23" i="13"/>
  <c r="AC23" i="13" s="1"/>
  <c r="I80" i="13"/>
  <c r="Q32" i="13"/>
  <c r="AC32" i="13" s="1"/>
  <c r="I75" i="13"/>
  <c r="Q27" i="13"/>
  <c r="AC27" i="13" s="1"/>
  <c r="I87" i="13"/>
  <c r="Q39" i="13"/>
  <c r="AC39" i="13" s="1"/>
  <c r="I57" i="13"/>
  <c r="Q9" i="13"/>
  <c r="AC9" i="13" s="1"/>
  <c r="I67" i="13"/>
  <c r="Q19" i="13"/>
  <c r="AC19" i="13" s="1"/>
  <c r="I64" i="13"/>
  <c r="Q16" i="13"/>
  <c r="AC16" i="13" s="1"/>
  <c r="I52" i="13"/>
  <c r="Q4" i="13"/>
  <c r="AC4" i="13" s="1"/>
  <c r="I90" i="13"/>
  <c r="Q42" i="13"/>
  <c r="AC42" i="13" s="1"/>
  <c r="I55" i="13"/>
  <c r="Q7" i="13"/>
  <c r="AC7" i="13" s="1"/>
  <c r="I94" i="13"/>
  <c r="Q46" i="13"/>
  <c r="AC46" i="13" s="1"/>
  <c r="I51" i="13"/>
  <c r="Q3" i="13"/>
  <c r="AC3" i="13" s="1"/>
  <c r="I79" i="13"/>
  <c r="Q31" i="13"/>
  <c r="AC31" i="13" s="1"/>
  <c r="I58" i="13"/>
  <c r="Q10" i="13"/>
  <c r="AC10" i="13" s="1"/>
  <c r="I77" i="13"/>
  <c r="Q29" i="13"/>
  <c r="AC29" i="13" s="1"/>
  <c r="I95" i="13"/>
  <c r="Q47" i="13"/>
  <c r="AC47" i="13" s="1"/>
  <c r="I63" i="13"/>
  <c r="Q15" i="13"/>
  <c r="AC15" i="13" s="1"/>
  <c r="BI56" i="11"/>
  <c r="BI57" i="11"/>
  <c r="I73" i="13"/>
  <c r="Q25" i="13"/>
  <c r="AC25" i="13" s="1"/>
  <c r="I74" i="13"/>
  <c r="Q26" i="13"/>
  <c r="AC26" i="13" s="1"/>
  <c r="I66" i="13"/>
  <c r="Q18" i="13"/>
  <c r="AC18" i="13" s="1"/>
  <c r="I89" i="13"/>
  <c r="Q41" i="13"/>
  <c r="AC41" i="13" s="1"/>
  <c r="I76" i="13"/>
  <c r="Q28" i="13"/>
  <c r="AC28" i="13" s="1"/>
  <c r="I88" i="13"/>
  <c r="Q40" i="13"/>
  <c r="AC40" i="13" s="1"/>
  <c r="I62" i="13"/>
  <c r="Q14" i="13"/>
  <c r="AC14" i="13" s="1"/>
  <c r="I50" i="13"/>
  <c r="Q2" i="13"/>
  <c r="AC2" i="13" s="1"/>
  <c r="I96" i="13"/>
  <c r="Q48" i="13"/>
  <c r="AC48" i="13" s="1"/>
  <c r="I85" i="13"/>
  <c r="Q37" i="13"/>
  <c r="AC37" i="13" s="1"/>
  <c r="I84" i="13"/>
  <c r="Q36" i="13"/>
  <c r="AC36" i="13" s="1"/>
  <c r="I83" i="13"/>
  <c r="Q35" i="13"/>
  <c r="AC35" i="13" s="1"/>
  <c r="I78" i="13"/>
  <c r="Q30" i="13"/>
  <c r="AC30" i="13" s="1"/>
  <c r="I91" i="13"/>
  <c r="Q43" i="13"/>
  <c r="AC43" i="13" s="1"/>
  <c r="I70" i="13"/>
  <c r="Q22" i="13"/>
  <c r="AC22" i="13" s="1"/>
  <c r="I86" i="13"/>
  <c r="Q38" i="13"/>
  <c r="AC38" i="13" s="1"/>
  <c r="B8" i="14"/>
  <c r="I81" i="13"/>
  <c r="Q33" i="13"/>
  <c r="AC33" i="13" s="1"/>
  <c r="I93" i="13"/>
  <c r="Q45" i="13"/>
  <c r="AC45" i="13" s="1"/>
  <c r="I54" i="13"/>
  <c r="Q6" i="13"/>
  <c r="AC6" i="13" s="1"/>
  <c r="I97" i="13"/>
  <c r="Q49" i="13"/>
  <c r="AC49" i="13" s="1"/>
  <c r="I68" i="13"/>
  <c r="Q20" i="13"/>
  <c r="AC20" i="13" s="1"/>
  <c r="I61" i="13"/>
  <c r="Q13" i="13"/>
  <c r="AC13" i="13" s="1"/>
  <c r="AD6" i="13" l="1"/>
  <c r="AD22" i="13"/>
  <c r="AD36" i="13"/>
  <c r="AD14" i="13"/>
  <c r="AD18" i="13"/>
  <c r="AD15" i="13"/>
  <c r="AD31" i="13"/>
  <c r="AD42" i="13"/>
  <c r="AD9" i="13"/>
  <c r="AD23" i="13"/>
  <c r="AD11" i="13"/>
  <c r="AD34" i="13"/>
  <c r="AD13" i="13"/>
  <c r="AD43" i="13"/>
  <c r="AD37" i="13"/>
  <c r="AD40" i="13"/>
  <c r="AD26" i="13"/>
  <c r="AD47" i="13"/>
  <c r="AD3" i="13"/>
  <c r="AD4" i="13"/>
  <c r="AD39" i="13"/>
  <c r="AD21" i="13"/>
  <c r="AD12" i="13"/>
  <c r="AD5" i="13"/>
  <c r="AD20" i="13"/>
  <c r="AD33" i="13"/>
  <c r="AD30" i="13"/>
  <c r="AD28" i="13"/>
  <c r="AD25" i="13"/>
  <c r="AD29" i="13"/>
  <c r="AD46" i="13"/>
  <c r="AD16" i="13"/>
  <c r="AD27" i="13"/>
  <c r="AD24" i="13"/>
  <c r="AD44" i="13"/>
  <c r="AD48" i="13"/>
  <c r="AD49" i="13"/>
  <c r="AD45" i="13"/>
  <c r="AD38" i="13"/>
  <c r="AD35" i="13"/>
  <c r="AD2" i="13"/>
  <c r="AD41" i="13"/>
  <c r="AD10" i="13"/>
  <c r="AD7" i="13"/>
  <c r="AD19" i="13"/>
  <c r="AD32" i="13"/>
  <c r="AD8" i="13"/>
  <c r="AD17" i="13"/>
  <c r="J96" i="13"/>
  <c r="J75" i="13"/>
  <c r="J58" i="13"/>
  <c r="J80" i="13"/>
  <c r="J65" i="13"/>
  <c r="J70" i="13"/>
  <c r="J84" i="13"/>
  <c r="J62" i="13"/>
  <c r="J66" i="13"/>
  <c r="J63" i="13"/>
  <c r="J79" i="13"/>
  <c r="J90" i="13"/>
  <c r="J57" i="13"/>
  <c r="J71" i="13"/>
  <c r="J59" i="13"/>
  <c r="J82" i="13"/>
  <c r="J77" i="13"/>
  <c r="J64" i="13"/>
  <c r="J86" i="13"/>
  <c r="J78" i="13"/>
  <c r="J83" i="13"/>
  <c r="J55" i="13"/>
  <c r="J54" i="13"/>
  <c r="J61" i="13"/>
  <c r="J91" i="13"/>
  <c r="J85" i="13"/>
  <c r="J88" i="13"/>
  <c r="J74" i="13"/>
  <c r="J95" i="13"/>
  <c r="J51" i="13"/>
  <c r="J52" i="13"/>
  <c r="J87" i="13"/>
  <c r="J69" i="13"/>
  <c r="J60" i="13"/>
  <c r="J53" i="13"/>
  <c r="J73" i="13"/>
  <c r="J72" i="13"/>
  <c r="J89" i="13"/>
  <c r="J67" i="13"/>
  <c r="J56" i="13"/>
  <c r="J93" i="13"/>
  <c r="J68" i="13"/>
  <c r="J81" i="13"/>
  <c r="J94" i="13"/>
  <c r="J92" i="13"/>
  <c r="J76" i="13"/>
  <c r="J50" i="13"/>
  <c r="T38" i="13"/>
  <c r="V38" i="13" s="1"/>
  <c r="T35" i="13"/>
  <c r="V35" i="13" s="1"/>
  <c r="T2" i="13"/>
  <c r="V2" i="13" s="1"/>
  <c r="T41" i="13"/>
  <c r="V41" i="13" s="1"/>
  <c r="T10" i="13"/>
  <c r="V10" i="13" s="1"/>
  <c r="T7" i="13"/>
  <c r="V7" i="13" s="1"/>
  <c r="T19" i="13"/>
  <c r="V19" i="13" s="1"/>
  <c r="T32" i="13"/>
  <c r="V32" i="13" s="1"/>
  <c r="T8" i="13"/>
  <c r="V8" i="13" s="1"/>
  <c r="T17" i="13"/>
  <c r="V17" i="13" s="1"/>
  <c r="T6" i="13"/>
  <c r="V6" i="13" s="1"/>
  <c r="T36" i="13"/>
  <c r="V36" i="13" s="1"/>
  <c r="T14" i="13"/>
  <c r="V14" i="13" s="1"/>
  <c r="T18" i="13"/>
  <c r="V18" i="13" s="1"/>
  <c r="T15" i="13"/>
  <c r="V15" i="13" s="1"/>
  <c r="T31" i="13"/>
  <c r="V31" i="13" s="1"/>
  <c r="T42" i="13"/>
  <c r="V42" i="13" s="1"/>
  <c r="T9" i="13"/>
  <c r="V9" i="13" s="1"/>
  <c r="T23" i="13"/>
  <c r="V23" i="13" s="1"/>
  <c r="T11" i="13"/>
  <c r="V11" i="13" s="1"/>
  <c r="T34" i="13"/>
  <c r="V34" i="13" s="1"/>
  <c r="T49" i="13"/>
  <c r="V49" i="13" s="1"/>
  <c r="T22" i="13"/>
  <c r="V22" i="13" s="1"/>
  <c r="T45" i="13"/>
  <c r="V45" i="13" s="1"/>
  <c r="T13" i="13"/>
  <c r="V13" i="13" s="1"/>
  <c r="T43" i="13"/>
  <c r="V43" i="13" s="1"/>
  <c r="T37" i="13"/>
  <c r="V37" i="13" s="1"/>
  <c r="T40" i="13"/>
  <c r="V40" i="13" s="1"/>
  <c r="T26" i="13"/>
  <c r="V26" i="13" s="1"/>
  <c r="T47" i="13"/>
  <c r="V47" i="13" s="1"/>
  <c r="T3" i="13"/>
  <c r="V3" i="13" s="1"/>
  <c r="T4" i="13"/>
  <c r="V4" i="13" s="1"/>
  <c r="T39" i="13"/>
  <c r="V39" i="13" s="1"/>
  <c r="T21" i="13"/>
  <c r="V21" i="13" s="1"/>
  <c r="T12" i="13"/>
  <c r="V12" i="13" s="1"/>
  <c r="T5" i="13"/>
  <c r="V5" i="13" s="1"/>
  <c r="T20" i="13"/>
  <c r="V20" i="13" s="1"/>
  <c r="T33" i="13"/>
  <c r="V33" i="13" s="1"/>
  <c r="T30" i="13"/>
  <c r="V30" i="13" s="1"/>
  <c r="T48" i="13"/>
  <c r="V48" i="13" s="1"/>
  <c r="T28" i="13"/>
  <c r="V28" i="13" s="1"/>
  <c r="T25" i="13"/>
  <c r="V25" i="13" s="1"/>
  <c r="T29" i="13"/>
  <c r="V29" i="13" s="1"/>
  <c r="T46" i="13"/>
  <c r="V46" i="13" s="1"/>
  <c r="T16" i="13"/>
  <c r="V16" i="13" s="1"/>
  <c r="T27" i="13"/>
  <c r="V27" i="13" s="1"/>
  <c r="T24" i="13"/>
  <c r="V24" i="13" s="1"/>
  <c r="T44" i="13"/>
  <c r="V44" i="13" s="1"/>
  <c r="X2" i="13"/>
  <c r="Z10" i="13"/>
  <c r="Z18" i="13"/>
  <c r="Z26" i="13"/>
  <c r="Z34" i="13"/>
  <c r="Z42" i="13"/>
  <c r="Y3" i="13"/>
  <c r="Y11" i="13"/>
  <c r="Y19" i="13"/>
  <c r="Y27" i="13"/>
  <c r="Y35" i="13"/>
  <c r="Y43" i="13"/>
  <c r="Y2" i="13"/>
  <c r="X10" i="13"/>
  <c r="X18" i="13"/>
  <c r="X26" i="13"/>
  <c r="X34" i="13"/>
  <c r="X42" i="13"/>
  <c r="Z12" i="13"/>
  <c r="Y29" i="13"/>
  <c r="X4" i="13"/>
  <c r="X20" i="13"/>
  <c r="X36" i="13"/>
  <c r="Z3" i="13"/>
  <c r="Z11" i="13"/>
  <c r="Z19" i="13"/>
  <c r="Z27" i="13"/>
  <c r="Z35" i="13"/>
  <c r="Z43" i="13"/>
  <c r="Y4" i="13"/>
  <c r="Y12" i="13"/>
  <c r="Y20" i="13"/>
  <c r="Y28" i="13"/>
  <c r="Y36" i="13"/>
  <c r="Y44" i="13"/>
  <c r="X3" i="13"/>
  <c r="X11" i="13"/>
  <c r="X19" i="13"/>
  <c r="X27" i="13"/>
  <c r="X35" i="13"/>
  <c r="X43" i="13"/>
  <c r="Z20" i="13"/>
  <c r="Y21" i="13"/>
  <c r="Y37" i="13"/>
  <c r="Y45" i="13"/>
  <c r="X12" i="13"/>
  <c r="X28" i="13"/>
  <c r="X44" i="13"/>
  <c r="Z4" i="13"/>
  <c r="Z5" i="13"/>
  <c r="Z13" i="13"/>
  <c r="Z21" i="13"/>
  <c r="Z29" i="13"/>
  <c r="Z37" i="13"/>
  <c r="Z45" i="13"/>
  <c r="Y6" i="13"/>
  <c r="Y14" i="13"/>
  <c r="Y22" i="13"/>
  <c r="Y30" i="13"/>
  <c r="Y38" i="13"/>
  <c r="Y46" i="13"/>
  <c r="X5" i="13"/>
  <c r="X13" i="13"/>
  <c r="X21" i="13"/>
  <c r="X29" i="13"/>
  <c r="X37" i="13"/>
  <c r="X45" i="13"/>
  <c r="Z36" i="13"/>
  <c r="Z6" i="13"/>
  <c r="Z14" i="13"/>
  <c r="Z22" i="13"/>
  <c r="Z30" i="13"/>
  <c r="Z38" i="13"/>
  <c r="Z46" i="13"/>
  <c r="Y7" i="13"/>
  <c r="Y15" i="13"/>
  <c r="Y23" i="13"/>
  <c r="Y31" i="13"/>
  <c r="Y39" i="13"/>
  <c r="Y47" i="13"/>
  <c r="X6" i="13"/>
  <c r="X14" i="13"/>
  <c r="X22" i="13"/>
  <c r="X30" i="13"/>
  <c r="X38" i="13"/>
  <c r="X46" i="13"/>
  <c r="Y13" i="13"/>
  <c r="Z7" i="13"/>
  <c r="Z15" i="13"/>
  <c r="Z23" i="13"/>
  <c r="Z31" i="13"/>
  <c r="Z39" i="13"/>
  <c r="Z47" i="13"/>
  <c r="Y8" i="13"/>
  <c r="Y16" i="13"/>
  <c r="Y24" i="13"/>
  <c r="Y32" i="13"/>
  <c r="Y40" i="13"/>
  <c r="Y48" i="13"/>
  <c r="X7" i="13"/>
  <c r="X15" i="13"/>
  <c r="X23" i="13"/>
  <c r="X31" i="13"/>
  <c r="X39" i="13"/>
  <c r="X47" i="13"/>
  <c r="Y5" i="13"/>
  <c r="Z8" i="13"/>
  <c r="Z16" i="13"/>
  <c r="Z24" i="13"/>
  <c r="Z32" i="13"/>
  <c r="Z40" i="13"/>
  <c r="Z48" i="13"/>
  <c r="Y9" i="13"/>
  <c r="Y17" i="13"/>
  <c r="Y25" i="13"/>
  <c r="Y33" i="13"/>
  <c r="Y41" i="13"/>
  <c r="Y49" i="13"/>
  <c r="X8" i="13"/>
  <c r="X16" i="13"/>
  <c r="X24" i="13"/>
  <c r="X32" i="13"/>
  <c r="X40" i="13"/>
  <c r="X48" i="13"/>
  <c r="Z28" i="13"/>
  <c r="Z9" i="13"/>
  <c r="Z17" i="13"/>
  <c r="Z25" i="13"/>
  <c r="Z33" i="13"/>
  <c r="Z41" i="13"/>
  <c r="Z49" i="13"/>
  <c r="Y10" i="13"/>
  <c r="Y18" i="13"/>
  <c r="Y26" i="13"/>
  <c r="Y34" i="13"/>
  <c r="Y42" i="13"/>
  <c r="Z2" i="13"/>
  <c r="X9" i="13"/>
  <c r="X17" i="13"/>
  <c r="X25" i="13"/>
  <c r="X33" i="13"/>
  <c r="X41" i="13"/>
  <c r="X49" i="13"/>
  <c r="Z44" i="13"/>
  <c r="B7" i="14"/>
  <c r="M56" i="17"/>
  <c r="O56" i="17"/>
  <c r="Q56" i="17"/>
  <c r="R56" i="17"/>
  <c r="L4" i="17"/>
  <c r="F56" i="17"/>
  <c r="K56" i="17"/>
  <c r="X56" i="17"/>
  <c r="F55" i="17"/>
  <c r="U56" i="17"/>
  <c r="I56" i="17"/>
  <c r="N56" i="17"/>
  <c r="P55" i="17"/>
  <c r="P56" i="17"/>
  <c r="W56" i="17"/>
  <c r="Z56" i="17"/>
  <c r="S56" i="17"/>
  <c r="X55" i="17"/>
  <c r="X4" i="17" s="1"/>
  <c r="Q55" i="17"/>
  <c r="N55" i="17"/>
  <c r="Z55" i="17"/>
  <c r="AC56" i="17"/>
  <c r="L56" i="17"/>
  <c r="V56" i="17"/>
  <c r="H56" i="17"/>
  <c r="D55" i="17"/>
  <c r="D56" i="17"/>
  <c r="T55" i="17"/>
  <c r="T56" i="17"/>
  <c r="AA55" i="17"/>
  <c r="AA56" i="17"/>
  <c r="H55" i="17"/>
  <c r="M55" i="17"/>
  <c r="L55" i="17"/>
  <c r="V55" i="17"/>
  <c r="U55" i="17"/>
  <c r="R55" i="17"/>
  <c r="S55" i="17"/>
  <c r="W55" i="17"/>
  <c r="O55" i="17"/>
  <c r="K55" i="17"/>
  <c r="I55" i="17"/>
  <c r="I4" i="17" s="1"/>
  <c r="AC55" i="17"/>
  <c r="E55" i="17"/>
  <c r="E56" i="17"/>
  <c r="Y55" i="17"/>
  <c r="Y56" i="17"/>
  <c r="J55" i="17"/>
  <c r="J56" i="17"/>
  <c r="B55" i="17"/>
  <c r="B56" i="17"/>
  <c r="G55" i="17"/>
  <c r="G56" i="17"/>
  <c r="AB55" i="17"/>
  <c r="AB56" i="17"/>
  <c r="C55" i="17"/>
  <c r="C56" i="17"/>
  <c r="M59" i="17"/>
  <c r="B110" i="17"/>
  <c r="V110" i="17"/>
  <c r="V59" i="17" s="1"/>
  <c r="Q110" i="17"/>
  <c r="S110" i="17"/>
  <c r="F110" i="17"/>
  <c r="N110" i="17"/>
  <c r="K110" i="17"/>
  <c r="I110" i="17"/>
  <c r="AA110" i="17"/>
  <c r="C110" i="17"/>
  <c r="U110" i="17"/>
  <c r="D110" i="17"/>
  <c r="Y110" i="17"/>
  <c r="AC110" i="17"/>
  <c r="AB110" i="17"/>
  <c r="E110" i="17"/>
  <c r="L110" i="17"/>
  <c r="M110" i="17"/>
  <c r="T110" i="17"/>
  <c r="W110" i="17"/>
  <c r="W59" i="17" s="1"/>
  <c r="R110" i="17"/>
  <c r="J110" i="17"/>
  <c r="X110" i="17"/>
  <c r="P110" i="17"/>
  <c r="H110" i="17"/>
  <c r="H59" i="17" s="1"/>
  <c r="O110" i="17"/>
  <c r="O59" i="17"/>
  <c r="G110" i="17"/>
  <c r="G59" i="17"/>
  <c r="Z110" i="17"/>
  <c r="Z59" i="17"/>
  <c r="S43" i="13" l="1"/>
  <c r="S35" i="13"/>
  <c r="S31" i="13"/>
  <c r="S32" i="13"/>
  <c r="AB49" i="13"/>
  <c r="S47" i="13"/>
  <c r="S8" i="13"/>
  <c r="S48" i="13"/>
  <c r="S6" i="13"/>
  <c r="S19" i="13"/>
  <c r="S12" i="13"/>
  <c r="S10" i="13"/>
  <c r="S26" i="13"/>
  <c r="S2" i="13"/>
  <c r="S5" i="13"/>
  <c r="S9" i="13"/>
  <c r="S49" i="13"/>
  <c r="S4" i="13"/>
  <c r="S42" i="13"/>
  <c r="S17" i="13"/>
  <c r="S25" i="13"/>
  <c r="S44" i="13"/>
  <c r="S45" i="13"/>
  <c r="S7" i="13"/>
  <c r="S40" i="13"/>
  <c r="S18" i="13"/>
  <c r="S27" i="13"/>
  <c r="S37" i="13"/>
  <c r="S14" i="13"/>
  <c r="S41" i="13"/>
  <c r="S29" i="13"/>
  <c r="S11" i="13"/>
  <c r="AB39" i="13"/>
  <c r="S21" i="13"/>
  <c r="S34" i="13"/>
  <c r="S36" i="13"/>
  <c r="S33" i="13"/>
  <c r="S24" i="13"/>
  <c r="S3" i="13"/>
  <c r="S46" i="13"/>
  <c r="AB19" i="13"/>
  <c r="AB29" i="13"/>
  <c r="AB30" i="13"/>
  <c r="AB12" i="13"/>
  <c r="AB32" i="13"/>
  <c r="AB37" i="13"/>
  <c r="AB6" i="13"/>
  <c r="AB16" i="13"/>
  <c r="AB11" i="13"/>
  <c r="AB28" i="13"/>
  <c r="AB20" i="13"/>
  <c r="AB34" i="13"/>
  <c r="AB42" i="13"/>
  <c r="AB14" i="13"/>
  <c r="AB27" i="13"/>
  <c r="AB45" i="13"/>
  <c r="AB46" i="13"/>
  <c r="AB31" i="13"/>
  <c r="AB3" i="13"/>
  <c r="S39" i="13"/>
  <c r="S15" i="13"/>
  <c r="S38" i="13"/>
  <c r="AB9" i="13"/>
  <c r="AB47" i="13"/>
  <c r="AB40" i="13"/>
  <c r="AB15" i="13"/>
  <c r="AB25" i="13"/>
  <c r="AB33" i="13"/>
  <c r="AB36" i="13"/>
  <c r="AB38" i="13"/>
  <c r="S23" i="13"/>
  <c r="S30" i="13"/>
  <c r="AB44" i="13"/>
  <c r="AB48" i="13"/>
  <c r="AB18" i="13"/>
  <c r="S28" i="13"/>
  <c r="AB43" i="13"/>
  <c r="S20" i="13"/>
  <c r="S22" i="13"/>
  <c r="S13" i="13"/>
  <c r="AB24" i="13"/>
  <c r="AB8" i="13"/>
  <c r="AB35" i="13"/>
  <c r="S16" i="13"/>
  <c r="AB21" i="13"/>
  <c r="V144" i="13"/>
  <c r="S144" i="13"/>
  <c r="V137" i="13"/>
  <c r="S137" i="13"/>
  <c r="V142" i="13"/>
  <c r="S142" i="13"/>
  <c r="V100" i="13"/>
  <c r="S100" i="13"/>
  <c r="V107" i="13"/>
  <c r="S107" i="13"/>
  <c r="AB13" i="13"/>
  <c r="AB7" i="13"/>
  <c r="V120" i="13"/>
  <c r="S120" i="13"/>
  <c r="V125" i="13"/>
  <c r="S125" i="13"/>
  <c r="V126" i="13"/>
  <c r="S126" i="13"/>
  <c r="V108" i="13"/>
  <c r="S108" i="13"/>
  <c r="V99" i="13"/>
  <c r="S99" i="13"/>
  <c r="V133" i="13"/>
  <c r="S133" i="13"/>
  <c r="V118" i="13"/>
  <c r="S118" i="13"/>
  <c r="V119" i="13"/>
  <c r="S119" i="13"/>
  <c r="V111" i="13"/>
  <c r="S111" i="13"/>
  <c r="V102" i="13"/>
  <c r="S102" i="13"/>
  <c r="V115" i="13"/>
  <c r="S115" i="13"/>
  <c r="V98" i="13"/>
  <c r="S98" i="13"/>
  <c r="V132" i="13"/>
  <c r="S132" i="13"/>
  <c r="AB4" i="13"/>
  <c r="AB23" i="13"/>
  <c r="AB10" i="13"/>
  <c r="V101" i="13"/>
  <c r="S101" i="13"/>
  <c r="V136" i="13"/>
  <c r="S136" i="13"/>
  <c r="AB41" i="13"/>
  <c r="V123" i="13"/>
  <c r="S123" i="13"/>
  <c r="V121" i="13"/>
  <c r="S121" i="13"/>
  <c r="V129" i="13"/>
  <c r="S129" i="13"/>
  <c r="V117" i="13"/>
  <c r="S117" i="13"/>
  <c r="V143" i="13"/>
  <c r="S143" i="13"/>
  <c r="V139" i="13"/>
  <c r="S139" i="13"/>
  <c r="V145" i="13"/>
  <c r="S145" i="13"/>
  <c r="V105" i="13"/>
  <c r="S105" i="13"/>
  <c r="V114" i="13"/>
  <c r="S114" i="13"/>
  <c r="V113" i="13"/>
  <c r="S113" i="13"/>
  <c r="V103" i="13"/>
  <c r="S103" i="13"/>
  <c r="V131" i="13"/>
  <c r="S131" i="13"/>
  <c r="V127" i="13"/>
  <c r="S127" i="13"/>
  <c r="AB2" i="13"/>
  <c r="V141" i="13"/>
  <c r="S141" i="13"/>
  <c r="AB22" i="13"/>
  <c r="AB26" i="13"/>
  <c r="AB17" i="13"/>
  <c r="V112" i="13"/>
  <c r="S112" i="13"/>
  <c r="V124" i="13"/>
  <c r="S124" i="13"/>
  <c r="V116" i="13"/>
  <c r="S116" i="13"/>
  <c r="V135" i="13"/>
  <c r="S135" i="13"/>
  <c r="V122" i="13"/>
  <c r="S122" i="13"/>
  <c r="V109" i="13"/>
  <c r="S109" i="13"/>
  <c r="V130" i="13"/>
  <c r="S130" i="13"/>
  <c r="V138" i="13"/>
  <c r="S138" i="13"/>
  <c r="V110" i="13"/>
  <c r="S110" i="13"/>
  <c r="V104" i="13"/>
  <c r="S104" i="13"/>
  <c r="V106" i="13"/>
  <c r="S106" i="13"/>
  <c r="V134" i="13"/>
  <c r="S134" i="13"/>
  <c r="V140" i="13"/>
  <c r="S140" i="13"/>
  <c r="V128" i="13"/>
  <c r="S128" i="13"/>
  <c r="AB5" i="13"/>
  <c r="V4" i="17"/>
  <c r="V6" i="17"/>
  <c r="V7" i="17"/>
  <c r="V8" i="17"/>
  <c r="V12" i="17"/>
  <c r="V16" i="17"/>
  <c r="V20" i="17"/>
  <c r="V24" i="17"/>
  <c r="V28" i="17"/>
  <c r="V32" i="17"/>
  <c r="V36" i="17"/>
  <c r="V40" i="17"/>
  <c r="V44" i="17"/>
  <c r="V48" i="17"/>
  <c r="V52" i="17"/>
  <c r="V9" i="17"/>
  <c r="V13" i="17"/>
  <c r="V17" i="17"/>
  <c r="V21" i="17"/>
  <c r="V25" i="17"/>
  <c r="V29" i="17"/>
  <c r="V33" i="17"/>
  <c r="V37" i="17"/>
  <c r="V41" i="17"/>
  <c r="V45" i="17"/>
  <c r="V49" i="17"/>
  <c r="V53" i="17"/>
  <c r="V5" i="17"/>
  <c r="V10" i="17"/>
  <c r="V14" i="17"/>
  <c r="V18" i="17"/>
  <c r="V22" i="17"/>
  <c r="V26" i="17"/>
  <c r="V30" i="17"/>
  <c r="V34" i="17"/>
  <c r="V38" i="17"/>
  <c r="V42" i="17"/>
  <c r="V46" i="17"/>
  <c r="V50" i="17"/>
  <c r="V11" i="17"/>
  <c r="V15" i="17"/>
  <c r="V19" i="17"/>
  <c r="V23" i="17"/>
  <c r="V27" i="17"/>
  <c r="V31" i="17"/>
  <c r="V35" i="17"/>
  <c r="V39" i="17"/>
  <c r="V43" i="17"/>
  <c r="V47" i="17"/>
  <c r="V51" i="17"/>
  <c r="N4" i="17"/>
  <c r="N6" i="17"/>
  <c r="N7" i="17"/>
  <c r="N8" i="17"/>
  <c r="N12" i="17"/>
  <c r="N16" i="17"/>
  <c r="N20" i="17"/>
  <c r="N24" i="17"/>
  <c r="N28" i="17"/>
  <c r="N32" i="17"/>
  <c r="N36" i="17"/>
  <c r="N40" i="17"/>
  <c r="N44" i="17"/>
  <c r="N48" i="17"/>
  <c r="N52" i="17"/>
  <c r="N5" i="17"/>
  <c r="N9" i="17"/>
  <c r="N13" i="17"/>
  <c r="N17" i="17"/>
  <c r="N21" i="17"/>
  <c r="N25" i="17"/>
  <c r="N29" i="17"/>
  <c r="N33" i="17"/>
  <c r="N37" i="17"/>
  <c r="N41" i="17"/>
  <c r="N45" i="17"/>
  <c r="N49" i="17"/>
  <c r="N53" i="17"/>
  <c r="N10" i="17"/>
  <c r="N14" i="17"/>
  <c r="N18" i="17"/>
  <c r="N22" i="17"/>
  <c r="N26" i="17"/>
  <c r="N30" i="17"/>
  <c r="N34" i="17"/>
  <c r="N38" i="17"/>
  <c r="N42" i="17"/>
  <c r="N46" i="17"/>
  <c r="N50" i="17"/>
  <c r="N11" i="17"/>
  <c r="N15" i="17"/>
  <c r="N19" i="17"/>
  <c r="N23" i="17"/>
  <c r="N27" i="17"/>
  <c r="N31" i="17"/>
  <c r="N35" i="17"/>
  <c r="N39" i="17"/>
  <c r="N43" i="17"/>
  <c r="N47" i="17"/>
  <c r="N51" i="17"/>
  <c r="I8" i="17"/>
  <c r="I5" i="17"/>
  <c r="I9" i="17"/>
  <c r="I6" i="17"/>
  <c r="I7" i="17"/>
  <c r="I11" i="17"/>
  <c r="I15" i="17"/>
  <c r="I19" i="17"/>
  <c r="I23" i="17"/>
  <c r="I27" i="17"/>
  <c r="I31" i="17"/>
  <c r="I35" i="17"/>
  <c r="I39" i="17"/>
  <c r="I43" i="17"/>
  <c r="I47" i="17"/>
  <c r="I51" i="17"/>
  <c r="I10" i="17"/>
  <c r="I14" i="17"/>
  <c r="I12" i="17"/>
  <c r="I16" i="17"/>
  <c r="I20" i="17"/>
  <c r="I24" i="17"/>
  <c r="I28" i="17"/>
  <c r="I32" i="17"/>
  <c r="I36" i="17"/>
  <c r="I40" i="17"/>
  <c r="I44" i="17"/>
  <c r="I48" i="17"/>
  <c r="I52" i="17"/>
  <c r="I13" i="17"/>
  <c r="I17" i="17"/>
  <c r="I21" i="17"/>
  <c r="I25" i="17"/>
  <c r="I29" i="17"/>
  <c r="I33" i="17"/>
  <c r="I37" i="17"/>
  <c r="I41" i="17"/>
  <c r="I45" i="17"/>
  <c r="I49" i="17"/>
  <c r="I53" i="17"/>
  <c r="I18" i="17"/>
  <c r="I22" i="17"/>
  <c r="I34" i="17"/>
  <c r="I42" i="17"/>
  <c r="I46" i="17"/>
  <c r="I30" i="17"/>
  <c r="I50" i="17"/>
  <c r="I38" i="17"/>
  <c r="I26" i="17"/>
  <c r="T4" i="17"/>
  <c r="T7" i="17"/>
  <c r="T8" i="17"/>
  <c r="T5" i="17"/>
  <c r="T9" i="17"/>
  <c r="T13" i="17"/>
  <c r="T17" i="17"/>
  <c r="T21" i="17"/>
  <c r="T25" i="17"/>
  <c r="T29" i="17"/>
  <c r="T33" i="17"/>
  <c r="T37" i="17"/>
  <c r="T41" i="17"/>
  <c r="T45" i="17"/>
  <c r="T49" i="17"/>
  <c r="T53" i="17"/>
  <c r="T10" i="17"/>
  <c r="T14" i="17"/>
  <c r="T18" i="17"/>
  <c r="T22" i="17"/>
  <c r="T26" i="17"/>
  <c r="T30" i="17"/>
  <c r="T34" i="17"/>
  <c r="T38" i="17"/>
  <c r="T42" i="17"/>
  <c r="T46" i="17"/>
  <c r="T50" i="17"/>
  <c r="T11" i="17"/>
  <c r="T15" i="17"/>
  <c r="T19" i="17"/>
  <c r="T23" i="17"/>
  <c r="T27" i="17"/>
  <c r="T31" i="17"/>
  <c r="T35" i="17"/>
  <c r="T39" i="17"/>
  <c r="T43" i="17"/>
  <c r="T47" i="17"/>
  <c r="T51" i="17"/>
  <c r="T6" i="17"/>
  <c r="T12" i="17"/>
  <c r="T16" i="17"/>
  <c r="T20" i="17"/>
  <c r="T24" i="17"/>
  <c r="T28" i="17"/>
  <c r="T32" i="17"/>
  <c r="T36" i="17"/>
  <c r="T40" i="17"/>
  <c r="T44" i="17"/>
  <c r="T48" i="17"/>
  <c r="T52" i="17"/>
  <c r="J4" i="17"/>
  <c r="J8" i="17"/>
  <c r="J5" i="17"/>
  <c r="J9" i="17"/>
  <c r="J6" i="17"/>
  <c r="J7" i="17"/>
  <c r="J10" i="17"/>
  <c r="J14" i="17"/>
  <c r="J18" i="17"/>
  <c r="J22" i="17"/>
  <c r="J26" i="17"/>
  <c r="J30" i="17"/>
  <c r="J34" i="17"/>
  <c r="J38" i="17"/>
  <c r="J42" i="17"/>
  <c r="J46" i="17"/>
  <c r="J50" i="17"/>
  <c r="J11" i="17"/>
  <c r="J15" i="17"/>
  <c r="J19" i="17"/>
  <c r="J23" i="17"/>
  <c r="J27" i="17"/>
  <c r="J31" i="17"/>
  <c r="J35" i="17"/>
  <c r="J39" i="17"/>
  <c r="J43" i="17"/>
  <c r="J47" i="17"/>
  <c r="J51" i="17"/>
  <c r="J12" i="17"/>
  <c r="J16" i="17"/>
  <c r="J20" i="17"/>
  <c r="J24" i="17"/>
  <c r="J28" i="17"/>
  <c r="J32" i="17"/>
  <c r="J36" i="17"/>
  <c r="J40" i="17"/>
  <c r="J44" i="17"/>
  <c r="J48" i="17"/>
  <c r="J52" i="17"/>
  <c r="J13" i="17"/>
  <c r="J17" i="17"/>
  <c r="J21" i="17"/>
  <c r="J25" i="17"/>
  <c r="J29" i="17"/>
  <c r="J33" i="17"/>
  <c r="J37" i="17"/>
  <c r="J41" i="17"/>
  <c r="J45" i="17"/>
  <c r="J49" i="17"/>
  <c r="J53" i="17"/>
  <c r="K4" i="17"/>
  <c r="K7" i="17"/>
  <c r="K8" i="17"/>
  <c r="K5" i="17"/>
  <c r="K6" i="17"/>
  <c r="K21" i="17"/>
  <c r="K10" i="17"/>
  <c r="K14" i="17"/>
  <c r="K18" i="17"/>
  <c r="K22" i="17"/>
  <c r="K26" i="17"/>
  <c r="K30" i="17"/>
  <c r="K34" i="17"/>
  <c r="K38" i="17"/>
  <c r="K42" i="17"/>
  <c r="K46" i="17"/>
  <c r="K50" i="17"/>
  <c r="K13" i="17"/>
  <c r="K11" i="17"/>
  <c r="K15" i="17"/>
  <c r="K19" i="17"/>
  <c r="K23" i="17"/>
  <c r="K27" i="17"/>
  <c r="K31" i="17"/>
  <c r="K35" i="17"/>
  <c r="K39" i="17"/>
  <c r="K43" i="17"/>
  <c r="K47" i="17"/>
  <c r="K51" i="17"/>
  <c r="K12" i="17"/>
  <c r="K16" i="17"/>
  <c r="K20" i="17"/>
  <c r="K24" i="17"/>
  <c r="K28" i="17"/>
  <c r="K32" i="17"/>
  <c r="K36" i="17"/>
  <c r="K40" i="17"/>
  <c r="K44" i="17"/>
  <c r="K48" i="17"/>
  <c r="K52" i="17"/>
  <c r="K9" i="17"/>
  <c r="K17" i="17"/>
  <c r="K29" i="17"/>
  <c r="K49" i="17"/>
  <c r="K41" i="17"/>
  <c r="K37" i="17"/>
  <c r="K25" i="17"/>
  <c r="K45" i="17"/>
  <c r="K33" i="17"/>
  <c r="K53" i="17"/>
  <c r="M4" i="17"/>
  <c r="M6" i="17"/>
  <c r="M7" i="17"/>
  <c r="M8" i="17"/>
  <c r="M5" i="17"/>
  <c r="M12" i="17"/>
  <c r="M16" i="17"/>
  <c r="M9" i="17"/>
  <c r="M13" i="17"/>
  <c r="M17" i="17"/>
  <c r="M21" i="17"/>
  <c r="M25" i="17"/>
  <c r="M29" i="17"/>
  <c r="M33" i="17"/>
  <c r="M37" i="17"/>
  <c r="M41" i="17"/>
  <c r="M45" i="17"/>
  <c r="M49" i="17"/>
  <c r="M53" i="17"/>
  <c r="M10" i="17"/>
  <c r="M14" i="17"/>
  <c r="M18" i="17"/>
  <c r="M22" i="17"/>
  <c r="M26" i="17"/>
  <c r="M30" i="17"/>
  <c r="M34" i="17"/>
  <c r="M38" i="17"/>
  <c r="M42" i="17"/>
  <c r="M46" i="17"/>
  <c r="M50" i="17"/>
  <c r="M11" i="17"/>
  <c r="M15" i="17"/>
  <c r="M19" i="17"/>
  <c r="M23" i="17"/>
  <c r="M27" i="17"/>
  <c r="M31" i="17"/>
  <c r="M35" i="17"/>
  <c r="M39" i="17"/>
  <c r="M43" i="17"/>
  <c r="M47" i="17"/>
  <c r="M51" i="17"/>
  <c r="M24" i="17"/>
  <c r="M20" i="17"/>
  <c r="M44" i="17"/>
  <c r="M32" i="17"/>
  <c r="M36" i="17"/>
  <c r="M52" i="17"/>
  <c r="M40" i="17"/>
  <c r="M28" i="17"/>
  <c r="M48" i="17"/>
  <c r="X5" i="17"/>
  <c r="X6" i="17"/>
  <c r="X7" i="17"/>
  <c r="X11" i="17"/>
  <c r="X15" i="17"/>
  <c r="X19" i="17"/>
  <c r="X23" i="17"/>
  <c r="X27" i="17"/>
  <c r="X31" i="17"/>
  <c r="X35" i="17"/>
  <c r="X39" i="17"/>
  <c r="X43" i="17"/>
  <c r="X47" i="17"/>
  <c r="X51" i="17"/>
  <c r="X12" i="17"/>
  <c r="X16" i="17"/>
  <c r="X20" i="17"/>
  <c r="X24" i="17"/>
  <c r="X28" i="17"/>
  <c r="X32" i="17"/>
  <c r="X36" i="17"/>
  <c r="X40" i="17"/>
  <c r="X44" i="17"/>
  <c r="X48" i="17"/>
  <c r="X52" i="17"/>
  <c r="X9" i="17"/>
  <c r="X13" i="17"/>
  <c r="X17" i="17"/>
  <c r="X21" i="17"/>
  <c r="X25" i="17"/>
  <c r="X29" i="17"/>
  <c r="X33" i="17"/>
  <c r="X37" i="17"/>
  <c r="X41" i="17"/>
  <c r="X45" i="17"/>
  <c r="X49" i="17"/>
  <c r="X53" i="17"/>
  <c r="X8" i="17"/>
  <c r="X10" i="17"/>
  <c r="X14" i="17"/>
  <c r="X18" i="17"/>
  <c r="X22" i="17"/>
  <c r="X26" i="17"/>
  <c r="X30" i="17"/>
  <c r="X34" i="17"/>
  <c r="X38" i="17"/>
  <c r="X42" i="17"/>
  <c r="X46" i="17"/>
  <c r="X50" i="17"/>
  <c r="P4" i="17"/>
  <c r="P5" i="17"/>
  <c r="P6" i="17"/>
  <c r="P7" i="17"/>
  <c r="P11" i="17"/>
  <c r="P15" i="17"/>
  <c r="P19" i="17"/>
  <c r="P23" i="17"/>
  <c r="P27" i="17"/>
  <c r="P31" i="17"/>
  <c r="P35" i="17"/>
  <c r="P39" i="17"/>
  <c r="P43" i="17"/>
  <c r="P47" i="17"/>
  <c r="P51" i="17"/>
  <c r="P12" i="17"/>
  <c r="P16" i="17"/>
  <c r="P20" i="17"/>
  <c r="P24" i="17"/>
  <c r="P28" i="17"/>
  <c r="P32" i="17"/>
  <c r="P36" i="17"/>
  <c r="P40" i="17"/>
  <c r="P44" i="17"/>
  <c r="P48" i="17"/>
  <c r="P52" i="17"/>
  <c r="P8" i="17"/>
  <c r="P9" i="17"/>
  <c r="P13" i="17"/>
  <c r="P17" i="17"/>
  <c r="P21" i="17"/>
  <c r="P25" i="17"/>
  <c r="P29" i="17"/>
  <c r="P33" i="17"/>
  <c r="P37" i="17"/>
  <c r="P41" i="17"/>
  <c r="P45" i="17"/>
  <c r="P49" i="17"/>
  <c r="P53" i="17"/>
  <c r="P10" i="17"/>
  <c r="P14" i="17"/>
  <c r="P18" i="17"/>
  <c r="P22" i="17"/>
  <c r="P26" i="17"/>
  <c r="P30" i="17"/>
  <c r="P34" i="17"/>
  <c r="P38" i="17"/>
  <c r="P42" i="17"/>
  <c r="P46" i="17"/>
  <c r="P50" i="17"/>
  <c r="O4" i="17"/>
  <c r="O5" i="17"/>
  <c r="O6" i="17"/>
  <c r="O7" i="17"/>
  <c r="O8" i="17"/>
  <c r="O12" i="17"/>
  <c r="O16" i="17"/>
  <c r="O20" i="17"/>
  <c r="O24" i="17"/>
  <c r="O28" i="17"/>
  <c r="O32" i="17"/>
  <c r="O36" i="17"/>
  <c r="O40" i="17"/>
  <c r="O44" i="17"/>
  <c r="O48" i="17"/>
  <c r="O52" i="17"/>
  <c r="O11" i="17"/>
  <c r="O9" i="17"/>
  <c r="O13" i="17"/>
  <c r="O17" i="17"/>
  <c r="O21" i="17"/>
  <c r="O25" i="17"/>
  <c r="O29" i="17"/>
  <c r="O33" i="17"/>
  <c r="O37" i="17"/>
  <c r="O41" i="17"/>
  <c r="O45" i="17"/>
  <c r="O49" i="17"/>
  <c r="O53" i="17"/>
  <c r="O10" i="17"/>
  <c r="O14" i="17"/>
  <c r="O18" i="17"/>
  <c r="O22" i="17"/>
  <c r="O26" i="17"/>
  <c r="O30" i="17"/>
  <c r="O34" i="17"/>
  <c r="O38" i="17"/>
  <c r="O42" i="17"/>
  <c r="O46" i="17"/>
  <c r="O50" i="17"/>
  <c r="O19" i="17"/>
  <c r="O23" i="17"/>
  <c r="O51" i="17"/>
  <c r="O39" i="17"/>
  <c r="O15" i="17"/>
  <c r="O27" i="17"/>
  <c r="O47" i="17"/>
  <c r="O31" i="17"/>
  <c r="O35" i="17"/>
  <c r="O43" i="17"/>
  <c r="H4" i="17"/>
  <c r="H5" i="17"/>
  <c r="H9" i="17"/>
  <c r="H6" i="17"/>
  <c r="H7" i="17"/>
  <c r="H11" i="17"/>
  <c r="H15" i="17"/>
  <c r="H19" i="17"/>
  <c r="H23" i="17"/>
  <c r="H27" i="17"/>
  <c r="H31" i="17"/>
  <c r="H35" i="17"/>
  <c r="H39" i="17"/>
  <c r="H43" i="17"/>
  <c r="H47" i="17"/>
  <c r="H51" i="17"/>
  <c r="H12" i="17"/>
  <c r="H16" i="17"/>
  <c r="H20" i="17"/>
  <c r="H24" i="17"/>
  <c r="H28" i="17"/>
  <c r="H32" i="17"/>
  <c r="H36" i="17"/>
  <c r="H40" i="17"/>
  <c r="H44" i="17"/>
  <c r="H48" i="17"/>
  <c r="H52" i="17"/>
  <c r="H8" i="17"/>
  <c r="H13" i="17"/>
  <c r="H17" i="17"/>
  <c r="H21" i="17"/>
  <c r="H25" i="17"/>
  <c r="H29" i="17"/>
  <c r="H33" i="17"/>
  <c r="H37" i="17"/>
  <c r="H41" i="17"/>
  <c r="H45" i="17"/>
  <c r="H49" i="17"/>
  <c r="H53" i="17"/>
  <c r="H10" i="17"/>
  <c r="H14" i="17"/>
  <c r="H18" i="17"/>
  <c r="H22" i="17"/>
  <c r="H26" i="17"/>
  <c r="H30" i="17"/>
  <c r="H34" i="17"/>
  <c r="H38" i="17"/>
  <c r="H42" i="17"/>
  <c r="H46" i="17"/>
  <c r="H50" i="17"/>
  <c r="F6" i="17"/>
  <c r="F7" i="17"/>
  <c r="F8" i="17"/>
  <c r="F12" i="17"/>
  <c r="F16" i="17"/>
  <c r="F20" i="17"/>
  <c r="F24" i="17"/>
  <c r="F28" i="17"/>
  <c r="F32" i="17"/>
  <c r="F36" i="17"/>
  <c r="F40" i="17"/>
  <c r="F44" i="17"/>
  <c r="F48" i="17"/>
  <c r="F52" i="17"/>
  <c r="F5" i="17"/>
  <c r="F13" i="17"/>
  <c r="F17" i="17"/>
  <c r="F21" i="17"/>
  <c r="F25" i="17"/>
  <c r="F29" i="17"/>
  <c r="F33" i="17"/>
  <c r="F37" i="17"/>
  <c r="F41" i="17"/>
  <c r="F45" i="17"/>
  <c r="F49" i="17"/>
  <c r="F53" i="17"/>
  <c r="F10" i="17"/>
  <c r="F14" i="17"/>
  <c r="F18" i="17"/>
  <c r="F22" i="17"/>
  <c r="F26" i="17"/>
  <c r="F30" i="17"/>
  <c r="F34" i="17"/>
  <c r="F38" i="17"/>
  <c r="F42" i="17"/>
  <c r="F46" i="17"/>
  <c r="F50" i="17"/>
  <c r="F9" i="17"/>
  <c r="F11" i="17"/>
  <c r="F15" i="17"/>
  <c r="F19" i="17"/>
  <c r="F23" i="17"/>
  <c r="F27" i="17"/>
  <c r="F31" i="17"/>
  <c r="F35" i="17"/>
  <c r="F39" i="17"/>
  <c r="F43" i="17"/>
  <c r="F47" i="17"/>
  <c r="F51" i="17"/>
  <c r="F4" i="17"/>
  <c r="Z4" i="17"/>
  <c r="Z8" i="17"/>
  <c r="Z5" i="17"/>
  <c r="Z6" i="17"/>
  <c r="Z10" i="17"/>
  <c r="Z14" i="17"/>
  <c r="Z18" i="17"/>
  <c r="Z22" i="17"/>
  <c r="Z26" i="17"/>
  <c r="Z30" i="17"/>
  <c r="Z34" i="17"/>
  <c r="Z38" i="17"/>
  <c r="Z42" i="17"/>
  <c r="Z46" i="17"/>
  <c r="Z50" i="17"/>
  <c r="Z7" i="17"/>
  <c r="Z11" i="17"/>
  <c r="Z15" i="17"/>
  <c r="Z19" i="17"/>
  <c r="Z23" i="17"/>
  <c r="Z27" i="17"/>
  <c r="Z31" i="17"/>
  <c r="Z35" i="17"/>
  <c r="Z39" i="17"/>
  <c r="Z43" i="17"/>
  <c r="Z47" i="17"/>
  <c r="Z51" i="17"/>
  <c r="Z12" i="17"/>
  <c r="Z16" i="17"/>
  <c r="Z20" i="17"/>
  <c r="Z24" i="17"/>
  <c r="Z28" i="17"/>
  <c r="Z32" i="17"/>
  <c r="Z36" i="17"/>
  <c r="Z40" i="17"/>
  <c r="Z44" i="17"/>
  <c r="Z48" i="17"/>
  <c r="Z52" i="17"/>
  <c r="Z9" i="17"/>
  <c r="Z13" i="17"/>
  <c r="Z17" i="17"/>
  <c r="Z21" i="17"/>
  <c r="Z25" i="17"/>
  <c r="Z29" i="17"/>
  <c r="Z33" i="17"/>
  <c r="Z37" i="17"/>
  <c r="Z41" i="17"/>
  <c r="Z45" i="17"/>
  <c r="Z49" i="17"/>
  <c r="Z53" i="17"/>
  <c r="L7" i="17"/>
  <c r="L8" i="17"/>
  <c r="L5" i="17"/>
  <c r="L9" i="17"/>
  <c r="L13" i="17"/>
  <c r="L17" i="17"/>
  <c r="L21" i="17"/>
  <c r="L25" i="17"/>
  <c r="L29" i="17"/>
  <c r="L33" i="17"/>
  <c r="L37" i="17"/>
  <c r="L41" i="17"/>
  <c r="L45" i="17"/>
  <c r="L49" i="17"/>
  <c r="L53" i="17"/>
  <c r="L10" i="17"/>
  <c r="L14" i="17"/>
  <c r="L18" i="17"/>
  <c r="L22" i="17"/>
  <c r="L26" i="17"/>
  <c r="L30" i="17"/>
  <c r="L34" i="17"/>
  <c r="L38" i="17"/>
  <c r="L42" i="17"/>
  <c r="L46" i="17"/>
  <c r="L50" i="17"/>
  <c r="L11" i="17"/>
  <c r="L15" i="17"/>
  <c r="L19" i="17"/>
  <c r="L23" i="17"/>
  <c r="L27" i="17"/>
  <c r="L31" i="17"/>
  <c r="L35" i="17"/>
  <c r="L39" i="17"/>
  <c r="L43" i="17"/>
  <c r="L47" i="17"/>
  <c r="L51" i="17"/>
  <c r="L6" i="17"/>
  <c r="L12" i="17"/>
  <c r="L16" i="17"/>
  <c r="L20" i="17"/>
  <c r="L24" i="17"/>
  <c r="L28" i="17"/>
  <c r="L32" i="17"/>
  <c r="L36" i="17"/>
  <c r="L40" i="17"/>
  <c r="L44" i="17"/>
  <c r="L48" i="17"/>
  <c r="L52" i="17"/>
  <c r="AB4" i="17"/>
  <c r="AB7" i="17"/>
  <c r="AB8" i="17"/>
  <c r="AB5" i="17"/>
  <c r="AB9" i="17"/>
  <c r="AB13" i="17"/>
  <c r="AB17" i="17"/>
  <c r="AB21" i="17"/>
  <c r="AB25" i="17"/>
  <c r="AB29" i="17"/>
  <c r="AB33" i="17"/>
  <c r="AB37" i="17"/>
  <c r="AB41" i="17"/>
  <c r="AB45" i="17"/>
  <c r="AB49" i="17"/>
  <c r="AB53" i="17"/>
  <c r="AB6" i="17"/>
  <c r="AB10" i="17"/>
  <c r="AB14" i="17"/>
  <c r="AB18" i="17"/>
  <c r="AB22" i="17"/>
  <c r="AB26" i="17"/>
  <c r="AB30" i="17"/>
  <c r="AB34" i="17"/>
  <c r="AB38" i="17"/>
  <c r="AB42" i="17"/>
  <c r="AB46" i="17"/>
  <c r="AB50" i="17"/>
  <c r="AB11" i="17"/>
  <c r="AB15" i="17"/>
  <c r="AB19" i="17"/>
  <c r="AB23" i="17"/>
  <c r="AB27" i="17"/>
  <c r="AB31" i="17"/>
  <c r="AB35" i="17"/>
  <c r="AB39" i="17"/>
  <c r="AB43" i="17"/>
  <c r="AB47" i="17"/>
  <c r="AB51" i="17"/>
  <c r="AB12" i="17"/>
  <c r="AB16" i="17"/>
  <c r="AB20" i="17"/>
  <c r="AB24" i="17"/>
  <c r="AB28" i="17"/>
  <c r="AB32" i="17"/>
  <c r="AB36" i="17"/>
  <c r="AB40" i="17"/>
  <c r="AB44" i="17"/>
  <c r="AB48" i="17"/>
  <c r="AB52" i="17"/>
  <c r="Y4" i="17"/>
  <c r="Y8" i="17"/>
  <c r="Y5" i="17"/>
  <c r="Y6" i="17"/>
  <c r="Y7" i="17"/>
  <c r="Y10" i="17"/>
  <c r="Y22" i="17"/>
  <c r="Y11" i="17"/>
  <c r="Y15" i="17"/>
  <c r="Y19" i="17"/>
  <c r="Y23" i="17"/>
  <c r="Y27" i="17"/>
  <c r="Y31" i="17"/>
  <c r="Y35" i="17"/>
  <c r="Y39" i="17"/>
  <c r="Y43" i="17"/>
  <c r="Y47" i="17"/>
  <c r="Y51" i="17"/>
  <c r="Y14" i="17"/>
  <c r="Y18" i="17"/>
  <c r="Y12" i="17"/>
  <c r="Y16" i="17"/>
  <c r="Y20" i="17"/>
  <c r="Y24" i="17"/>
  <c r="Y28" i="17"/>
  <c r="Y32" i="17"/>
  <c r="Y36" i="17"/>
  <c r="Y40" i="17"/>
  <c r="Y44" i="17"/>
  <c r="Y48" i="17"/>
  <c r="Y52" i="17"/>
  <c r="Y9" i="17"/>
  <c r="Y13" i="17"/>
  <c r="Y17" i="17"/>
  <c r="Y21" i="17"/>
  <c r="Y25" i="17"/>
  <c r="Y29" i="17"/>
  <c r="Y33" i="17"/>
  <c r="Y37" i="17"/>
  <c r="Y41" i="17"/>
  <c r="Y45" i="17"/>
  <c r="Y49" i="17"/>
  <c r="Y53" i="17"/>
  <c r="Y26" i="17"/>
  <c r="Y38" i="17"/>
  <c r="Y46" i="17"/>
  <c r="Y34" i="17"/>
  <c r="Y42" i="17"/>
  <c r="Y30" i="17"/>
  <c r="Y50" i="17"/>
  <c r="W4" i="17"/>
  <c r="W5" i="17"/>
  <c r="W6" i="17"/>
  <c r="W7" i="17"/>
  <c r="W8" i="17"/>
  <c r="W12" i="17"/>
  <c r="W16" i="17"/>
  <c r="W20" i="17"/>
  <c r="W24" i="17"/>
  <c r="W28" i="17"/>
  <c r="W32" i="17"/>
  <c r="W36" i="17"/>
  <c r="W40" i="17"/>
  <c r="W44" i="17"/>
  <c r="W48" i="17"/>
  <c r="W52" i="17"/>
  <c r="W15" i="17"/>
  <c r="W19" i="17"/>
  <c r="W23" i="17"/>
  <c r="W9" i="17"/>
  <c r="W13" i="17"/>
  <c r="W17" i="17"/>
  <c r="W21" i="17"/>
  <c r="W25" i="17"/>
  <c r="W29" i="17"/>
  <c r="W33" i="17"/>
  <c r="W37" i="17"/>
  <c r="W41" i="17"/>
  <c r="W45" i="17"/>
  <c r="W49" i="17"/>
  <c r="W53" i="17"/>
  <c r="W10" i="17"/>
  <c r="W14" i="17"/>
  <c r="W18" i="17"/>
  <c r="W22" i="17"/>
  <c r="W26" i="17"/>
  <c r="W30" i="17"/>
  <c r="W34" i="17"/>
  <c r="W38" i="17"/>
  <c r="W42" i="17"/>
  <c r="W46" i="17"/>
  <c r="W50" i="17"/>
  <c r="W11" i="17"/>
  <c r="W31" i="17"/>
  <c r="W51" i="17"/>
  <c r="W39" i="17"/>
  <c r="W27" i="17"/>
  <c r="W47" i="17"/>
  <c r="W35" i="17"/>
  <c r="W43" i="17"/>
  <c r="U4" i="17"/>
  <c r="U6" i="17"/>
  <c r="U7" i="17"/>
  <c r="U8" i="17"/>
  <c r="U5" i="17"/>
  <c r="U20" i="17"/>
  <c r="U9" i="17"/>
  <c r="U13" i="17"/>
  <c r="U17" i="17"/>
  <c r="U21" i="17"/>
  <c r="U25" i="17"/>
  <c r="U29" i="17"/>
  <c r="U33" i="17"/>
  <c r="U37" i="17"/>
  <c r="U41" i="17"/>
  <c r="U45" i="17"/>
  <c r="U49" i="17"/>
  <c r="U53" i="17"/>
  <c r="U16" i="17"/>
  <c r="U24" i="17"/>
  <c r="U10" i="17"/>
  <c r="U14" i="17"/>
  <c r="U18" i="17"/>
  <c r="U22" i="17"/>
  <c r="U26" i="17"/>
  <c r="U30" i="17"/>
  <c r="U34" i="17"/>
  <c r="U38" i="17"/>
  <c r="U42" i="17"/>
  <c r="U46" i="17"/>
  <c r="U50" i="17"/>
  <c r="U11" i="17"/>
  <c r="U15" i="17"/>
  <c r="U19" i="17"/>
  <c r="U23" i="17"/>
  <c r="U27" i="17"/>
  <c r="U31" i="17"/>
  <c r="U35" i="17"/>
  <c r="U39" i="17"/>
  <c r="U43" i="17"/>
  <c r="U47" i="17"/>
  <c r="U51" i="17"/>
  <c r="U12" i="17"/>
  <c r="U36" i="17"/>
  <c r="U44" i="17"/>
  <c r="U32" i="17"/>
  <c r="U52" i="17"/>
  <c r="U40" i="17"/>
  <c r="U28" i="17"/>
  <c r="U48" i="17"/>
  <c r="D7" i="17"/>
  <c r="D8" i="17"/>
  <c r="D5" i="17"/>
  <c r="D9" i="17"/>
  <c r="D13" i="17"/>
  <c r="D17" i="17"/>
  <c r="D21" i="17"/>
  <c r="D25" i="17"/>
  <c r="D29" i="17"/>
  <c r="D33" i="17"/>
  <c r="D37" i="17"/>
  <c r="D41" i="17"/>
  <c r="D45" i="17"/>
  <c r="D49" i="17"/>
  <c r="D53" i="17"/>
  <c r="D10" i="17"/>
  <c r="D14" i="17"/>
  <c r="D18" i="17"/>
  <c r="D22" i="17"/>
  <c r="D26" i="17"/>
  <c r="D30" i="17"/>
  <c r="D34" i="17"/>
  <c r="D38" i="17"/>
  <c r="D42" i="17"/>
  <c r="D46" i="17"/>
  <c r="D50" i="17"/>
  <c r="D6" i="17"/>
  <c r="D11" i="17"/>
  <c r="D15" i="17"/>
  <c r="D19" i="17"/>
  <c r="D23" i="17"/>
  <c r="D27" i="17"/>
  <c r="D31" i="17"/>
  <c r="D35" i="17"/>
  <c r="D39" i="17"/>
  <c r="D43" i="17"/>
  <c r="D47" i="17"/>
  <c r="D51" i="17"/>
  <c r="D12" i="17"/>
  <c r="D16" i="17"/>
  <c r="D20" i="17"/>
  <c r="D24" i="17"/>
  <c r="D28" i="17"/>
  <c r="D32" i="17"/>
  <c r="D36" i="17"/>
  <c r="D40" i="17"/>
  <c r="D44" i="17"/>
  <c r="D48" i="17"/>
  <c r="D52" i="17"/>
  <c r="S4" i="17"/>
  <c r="S7" i="17"/>
  <c r="S8" i="17"/>
  <c r="S5" i="17"/>
  <c r="S6" i="17"/>
  <c r="S10" i="17"/>
  <c r="S14" i="17"/>
  <c r="S18" i="17"/>
  <c r="S22" i="17"/>
  <c r="S26" i="17"/>
  <c r="S30" i="17"/>
  <c r="S34" i="17"/>
  <c r="S38" i="17"/>
  <c r="S42" i="17"/>
  <c r="S46" i="17"/>
  <c r="S50" i="17"/>
  <c r="S9" i="17"/>
  <c r="S21" i="17"/>
  <c r="S17" i="17"/>
  <c r="S11" i="17"/>
  <c r="S15" i="17"/>
  <c r="S19" i="17"/>
  <c r="S23" i="17"/>
  <c r="S27" i="17"/>
  <c r="S31" i="17"/>
  <c r="S35" i="17"/>
  <c r="S39" i="17"/>
  <c r="S43" i="17"/>
  <c r="S47" i="17"/>
  <c r="S51" i="17"/>
  <c r="S12" i="17"/>
  <c r="S16" i="17"/>
  <c r="S20" i="17"/>
  <c r="S24" i="17"/>
  <c r="S28" i="17"/>
  <c r="S32" i="17"/>
  <c r="S36" i="17"/>
  <c r="S40" i="17"/>
  <c r="S44" i="17"/>
  <c r="S48" i="17"/>
  <c r="S52" i="17"/>
  <c r="S13" i="17"/>
  <c r="S41" i="17"/>
  <c r="S29" i="17"/>
  <c r="S49" i="17"/>
  <c r="S37" i="17"/>
  <c r="S25" i="17"/>
  <c r="S45" i="17"/>
  <c r="S53" i="17"/>
  <c r="S33" i="17"/>
  <c r="AA4" i="17"/>
  <c r="AA7" i="17"/>
  <c r="AA8" i="17"/>
  <c r="AA5" i="17"/>
  <c r="AA6" i="17"/>
  <c r="AA13" i="17"/>
  <c r="AA17" i="17"/>
  <c r="AA10" i="17"/>
  <c r="AA14" i="17"/>
  <c r="AA18" i="17"/>
  <c r="AA22" i="17"/>
  <c r="AA26" i="17"/>
  <c r="AA30" i="17"/>
  <c r="AA34" i="17"/>
  <c r="AA38" i="17"/>
  <c r="AA42" i="17"/>
  <c r="AA46" i="17"/>
  <c r="AA50" i="17"/>
  <c r="AA21" i="17"/>
  <c r="AA11" i="17"/>
  <c r="AA15" i="17"/>
  <c r="AA19" i="17"/>
  <c r="AA23" i="17"/>
  <c r="AA27" i="17"/>
  <c r="AA31" i="17"/>
  <c r="AA35" i="17"/>
  <c r="AA39" i="17"/>
  <c r="AA43" i="17"/>
  <c r="AA47" i="17"/>
  <c r="AA51" i="17"/>
  <c r="AA12" i="17"/>
  <c r="AA16" i="17"/>
  <c r="AA20" i="17"/>
  <c r="AA24" i="17"/>
  <c r="AA28" i="17"/>
  <c r="AA32" i="17"/>
  <c r="AA36" i="17"/>
  <c r="AA40" i="17"/>
  <c r="AA44" i="17"/>
  <c r="AA48" i="17"/>
  <c r="AA52" i="17"/>
  <c r="AA9" i="17"/>
  <c r="AA53" i="17"/>
  <c r="AA41" i="17"/>
  <c r="AA29" i="17"/>
  <c r="AA49" i="17"/>
  <c r="AA37" i="17"/>
  <c r="AA25" i="17"/>
  <c r="AA45" i="17"/>
  <c r="AA33" i="17"/>
  <c r="AC4" i="17"/>
  <c r="AC6" i="17"/>
  <c r="AC7" i="17"/>
  <c r="AC8" i="17"/>
  <c r="AC5" i="17"/>
  <c r="AC9" i="17"/>
  <c r="AC13" i="17"/>
  <c r="AC17" i="17"/>
  <c r="AC21" i="17"/>
  <c r="AC25" i="17"/>
  <c r="AC29" i="17"/>
  <c r="AC33" i="17"/>
  <c r="AC37" i="17"/>
  <c r="AC41" i="17"/>
  <c r="AC45" i="17"/>
  <c r="AC49" i="17"/>
  <c r="AC53" i="17"/>
  <c r="AC16" i="17"/>
  <c r="AC12" i="17"/>
  <c r="AC10" i="17"/>
  <c r="AC14" i="17"/>
  <c r="AC18" i="17"/>
  <c r="AC22" i="17"/>
  <c r="AC26" i="17"/>
  <c r="AC30" i="17"/>
  <c r="AC34" i="17"/>
  <c r="AC38" i="17"/>
  <c r="AC42" i="17"/>
  <c r="AC46" i="17"/>
  <c r="AC50" i="17"/>
  <c r="AC11" i="17"/>
  <c r="AC15" i="17"/>
  <c r="AC19" i="17"/>
  <c r="AC23" i="17"/>
  <c r="AC27" i="17"/>
  <c r="AC31" i="17"/>
  <c r="AC35" i="17"/>
  <c r="AC39" i="17"/>
  <c r="AC43" i="17"/>
  <c r="AC47" i="17"/>
  <c r="AC51" i="17"/>
  <c r="AC20" i="17"/>
  <c r="AC24" i="17"/>
  <c r="AC48" i="17"/>
  <c r="AC36" i="17"/>
  <c r="AC44" i="17"/>
  <c r="AC32" i="17"/>
  <c r="AC52" i="17"/>
  <c r="AC28" i="17"/>
  <c r="AC40" i="17"/>
  <c r="Q4" i="17"/>
  <c r="Q8" i="17"/>
  <c r="Q5" i="17"/>
  <c r="Q6" i="17"/>
  <c r="Q7" i="17"/>
  <c r="Q11" i="17"/>
  <c r="Q15" i="17"/>
  <c r="Q19" i="17"/>
  <c r="Q23" i="17"/>
  <c r="Q27" i="17"/>
  <c r="Q31" i="17"/>
  <c r="Q35" i="17"/>
  <c r="Q39" i="17"/>
  <c r="Q43" i="17"/>
  <c r="Q47" i="17"/>
  <c r="Q51" i="17"/>
  <c r="Q10" i="17"/>
  <c r="Q18" i="17"/>
  <c r="Q12" i="17"/>
  <c r="Q16" i="17"/>
  <c r="Q20" i="17"/>
  <c r="Q24" i="17"/>
  <c r="Q28" i="17"/>
  <c r="Q32" i="17"/>
  <c r="Q36" i="17"/>
  <c r="Q40" i="17"/>
  <c r="Q44" i="17"/>
  <c r="Q48" i="17"/>
  <c r="Q52" i="17"/>
  <c r="Q9" i="17"/>
  <c r="Q13" i="17"/>
  <c r="Q17" i="17"/>
  <c r="Q21" i="17"/>
  <c r="Q25" i="17"/>
  <c r="Q29" i="17"/>
  <c r="Q33" i="17"/>
  <c r="Q37" i="17"/>
  <c r="Q41" i="17"/>
  <c r="Q45" i="17"/>
  <c r="Q49" i="17"/>
  <c r="Q53" i="17"/>
  <c r="Q14" i="17"/>
  <c r="Q22" i="17"/>
  <c r="Q46" i="17"/>
  <c r="Q34" i="17"/>
  <c r="Q42" i="17"/>
  <c r="Q30" i="17"/>
  <c r="Q26" i="17"/>
  <c r="Q50" i="17"/>
  <c r="Q38" i="17"/>
  <c r="G4" i="17"/>
  <c r="G5" i="17"/>
  <c r="G9" i="17"/>
  <c r="G6" i="17"/>
  <c r="G7" i="17"/>
  <c r="G8" i="17"/>
  <c r="G19" i="17"/>
  <c r="G12" i="17"/>
  <c r="G16" i="17"/>
  <c r="G20" i="17"/>
  <c r="G24" i="17"/>
  <c r="G28" i="17"/>
  <c r="G32" i="17"/>
  <c r="G36" i="17"/>
  <c r="G40" i="17"/>
  <c r="G44" i="17"/>
  <c r="G48" i="17"/>
  <c r="G52" i="17"/>
  <c r="G23" i="17"/>
  <c r="G13" i="17"/>
  <c r="G17" i="17"/>
  <c r="G21" i="17"/>
  <c r="G25" i="17"/>
  <c r="G29" i="17"/>
  <c r="G33" i="17"/>
  <c r="G37" i="17"/>
  <c r="G41" i="17"/>
  <c r="G45" i="17"/>
  <c r="G49" i="17"/>
  <c r="G53" i="17"/>
  <c r="G10" i="17"/>
  <c r="G14" i="17"/>
  <c r="G18" i="17"/>
  <c r="G22" i="17"/>
  <c r="G26" i="17"/>
  <c r="G30" i="17"/>
  <c r="G34" i="17"/>
  <c r="G38" i="17"/>
  <c r="G42" i="17"/>
  <c r="G46" i="17"/>
  <c r="G50" i="17"/>
  <c r="G11" i="17"/>
  <c r="G39" i="17"/>
  <c r="G15" i="17"/>
  <c r="G27" i="17"/>
  <c r="G47" i="17"/>
  <c r="G35" i="17"/>
  <c r="G51" i="17"/>
  <c r="G43" i="17"/>
  <c r="G31" i="17"/>
  <c r="E4" i="17"/>
  <c r="E6" i="17"/>
  <c r="E7" i="17"/>
  <c r="E8" i="17"/>
  <c r="E5" i="17"/>
  <c r="E9" i="17"/>
  <c r="E24" i="17"/>
  <c r="E13" i="17"/>
  <c r="E17" i="17"/>
  <c r="E21" i="17"/>
  <c r="E25" i="17"/>
  <c r="E29" i="17"/>
  <c r="E33" i="17"/>
  <c r="E37" i="17"/>
  <c r="E41" i="17"/>
  <c r="E45" i="17"/>
  <c r="E49" i="17"/>
  <c r="E53" i="17"/>
  <c r="E12" i="17"/>
  <c r="E20" i="17"/>
  <c r="E10" i="17"/>
  <c r="E14" i="17"/>
  <c r="E18" i="17"/>
  <c r="E22" i="17"/>
  <c r="E26" i="17"/>
  <c r="E30" i="17"/>
  <c r="E34" i="17"/>
  <c r="E38" i="17"/>
  <c r="E42" i="17"/>
  <c r="E46" i="17"/>
  <c r="E50" i="17"/>
  <c r="E11" i="17"/>
  <c r="E15" i="17"/>
  <c r="E19" i="17"/>
  <c r="E23" i="17"/>
  <c r="E27" i="17"/>
  <c r="E31" i="17"/>
  <c r="E35" i="17"/>
  <c r="E39" i="17"/>
  <c r="E43" i="17"/>
  <c r="E47" i="17"/>
  <c r="E51" i="17"/>
  <c r="E16" i="17"/>
  <c r="E44" i="17"/>
  <c r="E32" i="17"/>
  <c r="E52" i="17"/>
  <c r="E40" i="17"/>
  <c r="E28" i="17"/>
  <c r="E48" i="17"/>
  <c r="E36" i="17"/>
  <c r="R4" i="17"/>
  <c r="R8" i="17"/>
  <c r="R5" i="17"/>
  <c r="R6" i="17"/>
  <c r="R10" i="17"/>
  <c r="R14" i="17"/>
  <c r="R18" i="17"/>
  <c r="R22" i="17"/>
  <c r="R26" i="17"/>
  <c r="R30" i="17"/>
  <c r="R34" i="17"/>
  <c r="R38" i="17"/>
  <c r="R42" i="17"/>
  <c r="R46" i="17"/>
  <c r="R50" i="17"/>
  <c r="R7" i="17"/>
  <c r="R11" i="17"/>
  <c r="R15" i="17"/>
  <c r="R19" i="17"/>
  <c r="R23" i="17"/>
  <c r="R27" i="17"/>
  <c r="R31" i="17"/>
  <c r="R35" i="17"/>
  <c r="R39" i="17"/>
  <c r="R43" i="17"/>
  <c r="R47" i="17"/>
  <c r="R51" i="17"/>
  <c r="R12" i="17"/>
  <c r="R16" i="17"/>
  <c r="R20" i="17"/>
  <c r="R24" i="17"/>
  <c r="R28" i="17"/>
  <c r="R32" i="17"/>
  <c r="R36" i="17"/>
  <c r="R40" i="17"/>
  <c r="R44" i="17"/>
  <c r="R48" i="17"/>
  <c r="R52" i="17"/>
  <c r="R9" i="17"/>
  <c r="R13" i="17"/>
  <c r="R17" i="17"/>
  <c r="R21" i="17"/>
  <c r="R25" i="17"/>
  <c r="R29" i="17"/>
  <c r="R33" i="17"/>
  <c r="R37" i="17"/>
  <c r="R41" i="17"/>
  <c r="R45" i="17"/>
  <c r="R49" i="17"/>
  <c r="R53" i="17"/>
  <c r="D4" i="17"/>
  <c r="B4" i="17"/>
  <c r="B5" i="17"/>
  <c r="B7" i="17"/>
  <c r="B9" i="17"/>
  <c r="B11" i="17"/>
  <c r="B13" i="17"/>
  <c r="B15" i="17"/>
  <c r="B17" i="17"/>
  <c r="B19" i="17"/>
  <c r="B21" i="17"/>
  <c r="B23" i="17"/>
  <c r="B25" i="17"/>
  <c r="B27" i="17"/>
  <c r="B29" i="17"/>
  <c r="B31" i="17"/>
  <c r="B33" i="17"/>
  <c r="B35" i="17"/>
  <c r="B37" i="17"/>
  <c r="B39" i="17"/>
  <c r="B41" i="17"/>
  <c r="B43" i="17"/>
  <c r="B45" i="17"/>
  <c r="B47" i="17"/>
  <c r="B49" i="17"/>
  <c r="B51" i="17"/>
  <c r="B53" i="17"/>
  <c r="B8" i="17"/>
  <c r="B18" i="17"/>
  <c r="B24" i="17"/>
  <c r="B30" i="17"/>
  <c r="B36" i="17"/>
  <c r="B40" i="17"/>
  <c r="AD151" i="17" s="1" a="1"/>
  <c r="AD151" i="17" s="1"/>
  <c r="B6" i="17"/>
  <c r="B16" i="17"/>
  <c r="B28" i="17"/>
  <c r="B32" i="17"/>
  <c r="B46" i="17"/>
  <c r="B48" i="17"/>
  <c r="B10" i="17"/>
  <c r="B14" i="17"/>
  <c r="B20" i="17"/>
  <c r="B26" i="17"/>
  <c r="B38" i="17"/>
  <c r="B42" i="17"/>
  <c r="B52" i="17"/>
  <c r="B12" i="17"/>
  <c r="B22" i="17"/>
  <c r="B34" i="17"/>
  <c r="B44" i="17"/>
  <c r="B50" i="17"/>
  <c r="C4" i="17"/>
  <c r="C8" i="17"/>
  <c r="C12" i="17"/>
  <c r="C20" i="17"/>
  <c r="C26" i="17"/>
  <c r="C32" i="17"/>
  <c r="C36" i="17"/>
  <c r="C38" i="17"/>
  <c r="C42" i="17"/>
  <c r="C46" i="17"/>
  <c r="C5" i="17"/>
  <c r="C7" i="17"/>
  <c r="C9" i="17"/>
  <c r="C11" i="17"/>
  <c r="C13" i="17"/>
  <c r="C15" i="17"/>
  <c r="C17" i="17"/>
  <c r="C19" i="17"/>
  <c r="C21" i="17"/>
  <c r="C23" i="17"/>
  <c r="C25" i="17"/>
  <c r="C27" i="17"/>
  <c r="C29" i="17"/>
  <c r="C31" i="17"/>
  <c r="C33" i="17"/>
  <c r="C35" i="17"/>
  <c r="C37" i="17"/>
  <c r="C39" i="17"/>
  <c r="C41" i="17"/>
  <c r="C43" i="17"/>
  <c r="C45" i="17"/>
  <c r="C47" i="17"/>
  <c r="C49" i="17"/>
  <c r="C51" i="17"/>
  <c r="C53" i="17"/>
  <c r="C10" i="17"/>
  <c r="C22" i="17"/>
  <c r="C28" i="17"/>
  <c r="C30" i="17"/>
  <c r="C40" i="17"/>
  <c r="C48" i="17"/>
  <c r="C50" i="17"/>
  <c r="C6" i="17"/>
  <c r="C14" i="17"/>
  <c r="C16" i="17"/>
  <c r="C18" i="17"/>
  <c r="C24" i="17"/>
  <c r="C34" i="17"/>
  <c r="C44" i="17"/>
  <c r="C52" i="17"/>
  <c r="P59" i="17"/>
  <c r="P60" i="17"/>
  <c r="P61" i="17"/>
  <c r="P62" i="17"/>
  <c r="P64" i="17"/>
  <c r="P68" i="17"/>
  <c r="P72" i="17"/>
  <c r="P76" i="17"/>
  <c r="P80" i="17"/>
  <c r="P84" i="17"/>
  <c r="P88" i="17"/>
  <c r="P92" i="17"/>
  <c r="P96" i="17"/>
  <c r="P100" i="17"/>
  <c r="P104" i="17"/>
  <c r="P108" i="17"/>
  <c r="P63" i="17"/>
  <c r="P65" i="17"/>
  <c r="P69" i="17"/>
  <c r="P73" i="17"/>
  <c r="P77" i="17"/>
  <c r="P81" i="17"/>
  <c r="P85" i="17"/>
  <c r="P89" i="17"/>
  <c r="P93" i="17"/>
  <c r="P97" i="17"/>
  <c r="P101" i="17"/>
  <c r="P105" i="17"/>
  <c r="P66" i="17"/>
  <c r="P70" i="17"/>
  <c r="P74" i="17"/>
  <c r="P78" i="17"/>
  <c r="P82" i="17"/>
  <c r="P86" i="17"/>
  <c r="P90" i="17"/>
  <c r="P94" i="17"/>
  <c r="P98" i="17"/>
  <c r="P102" i="17"/>
  <c r="P106" i="17"/>
  <c r="P83" i="17"/>
  <c r="P71" i="17"/>
  <c r="P103" i="17"/>
  <c r="P91" i="17"/>
  <c r="P79" i="17"/>
  <c r="P67" i="17"/>
  <c r="P99" i="17"/>
  <c r="P87" i="17"/>
  <c r="P95" i="17"/>
  <c r="P75" i="17"/>
  <c r="P107" i="17"/>
  <c r="G60" i="17"/>
  <c r="G61" i="17"/>
  <c r="G62" i="17"/>
  <c r="G64" i="17"/>
  <c r="G68" i="17"/>
  <c r="G72" i="17"/>
  <c r="G76" i="17"/>
  <c r="G80" i="17"/>
  <c r="G84" i="17"/>
  <c r="G88" i="17"/>
  <c r="G92" i="17"/>
  <c r="G96" i="17"/>
  <c r="G100" i="17"/>
  <c r="G104" i="17"/>
  <c r="G108" i="17"/>
  <c r="G65" i="17"/>
  <c r="G69" i="17"/>
  <c r="G73" i="17"/>
  <c r="G77" i="17"/>
  <c r="G81" i="17"/>
  <c r="G85" i="17"/>
  <c r="G89" i="17"/>
  <c r="G93" i="17"/>
  <c r="G97" i="17"/>
  <c r="G101" i="17"/>
  <c r="G105" i="17"/>
  <c r="G66" i="17"/>
  <c r="G70" i="17"/>
  <c r="G74" i="17"/>
  <c r="G78" i="17"/>
  <c r="G82" i="17"/>
  <c r="G86" i="17"/>
  <c r="G90" i="17"/>
  <c r="G94" i="17"/>
  <c r="G98" i="17"/>
  <c r="G102" i="17"/>
  <c r="G106" i="17"/>
  <c r="G63" i="17"/>
  <c r="G67" i="17"/>
  <c r="G71" i="17"/>
  <c r="G75" i="17"/>
  <c r="G79" i="17"/>
  <c r="G83" i="17"/>
  <c r="G87" i="17"/>
  <c r="G91" i="17"/>
  <c r="G95" i="17"/>
  <c r="G99" i="17"/>
  <c r="G103" i="17"/>
  <c r="G107" i="17"/>
  <c r="R59" i="17"/>
  <c r="R60" i="17"/>
  <c r="R61" i="17"/>
  <c r="R63" i="17"/>
  <c r="R67" i="17"/>
  <c r="R71" i="17"/>
  <c r="R75" i="17"/>
  <c r="R79" i="17"/>
  <c r="R83" i="17"/>
  <c r="R87" i="17"/>
  <c r="R91" i="17"/>
  <c r="R95" i="17"/>
  <c r="R99" i="17"/>
  <c r="R103" i="17"/>
  <c r="R107" i="17"/>
  <c r="R64" i="17"/>
  <c r="R68" i="17"/>
  <c r="R72" i="17"/>
  <c r="R76" i="17"/>
  <c r="R80" i="17"/>
  <c r="R84" i="17"/>
  <c r="R88" i="17"/>
  <c r="R92" i="17"/>
  <c r="R96" i="17"/>
  <c r="R100" i="17"/>
  <c r="R104" i="17"/>
  <c r="R108" i="17"/>
  <c r="R62" i="17"/>
  <c r="R65" i="17"/>
  <c r="R69" i="17"/>
  <c r="R73" i="17"/>
  <c r="R77" i="17"/>
  <c r="R81" i="17"/>
  <c r="R85" i="17"/>
  <c r="R89" i="17"/>
  <c r="R93" i="17"/>
  <c r="R97" i="17"/>
  <c r="R101" i="17"/>
  <c r="R105" i="17"/>
  <c r="R78" i="17"/>
  <c r="R66" i="17"/>
  <c r="R98" i="17"/>
  <c r="R86" i="17"/>
  <c r="R74" i="17"/>
  <c r="R106" i="17"/>
  <c r="R94" i="17"/>
  <c r="R82" i="17"/>
  <c r="R70" i="17"/>
  <c r="R102" i="17"/>
  <c r="R90" i="17"/>
  <c r="Y59" i="17"/>
  <c r="Y60" i="17"/>
  <c r="Y61" i="17"/>
  <c r="Y62" i="17"/>
  <c r="Y63" i="17"/>
  <c r="Y67" i="17"/>
  <c r="Y71" i="17"/>
  <c r="Y75" i="17"/>
  <c r="Y79" i="17"/>
  <c r="Y83" i="17"/>
  <c r="Y87" i="17"/>
  <c r="Y91" i="17"/>
  <c r="Y95" i="17"/>
  <c r="Y99" i="17"/>
  <c r="Y103" i="17"/>
  <c r="Y107" i="17"/>
  <c r="Y64" i="17"/>
  <c r="Y68" i="17"/>
  <c r="Y72" i="17"/>
  <c r="Y76" i="17"/>
  <c r="Y80" i="17"/>
  <c r="Y84" i="17"/>
  <c r="Y88" i="17"/>
  <c r="Y92" i="17"/>
  <c r="Y96" i="17"/>
  <c r="Y100" i="17"/>
  <c r="Y104" i="17"/>
  <c r="Y108" i="17"/>
  <c r="Y65" i="17"/>
  <c r="Y69" i="17"/>
  <c r="Y73" i="17"/>
  <c r="Y77" i="17"/>
  <c r="Y81" i="17"/>
  <c r="Y85" i="17"/>
  <c r="Y89" i="17"/>
  <c r="Y93" i="17"/>
  <c r="Y97" i="17"/>
  <c r="Y101" i="17"/>
  <c r="Y105" i="17"/>
  <c r="Y66" i="17"/>
  <c r="Y70" i="17"/>
  <c r="Y74" i="17"/>
  <c r="Y78" i="17"/>
  <c r="Y82" i="17"/>
  <c r="Y86" i="17"/>
  <c r="Y90" i="17"/>
  <c r="Y94" i="17"/>
  <c r="Y98" i="17"/>
  <c r="Y102" i="17"/>
  <c r="Y106" i="17"/>
  <c r="F59" i="17"/>
  <c r="F61" i="17"/>
  <c r="F62" i="17"/>
  <c r="F60" i="17"/>
  <c r="F65" i="17"/>
  <c r="F69" i="17"/>
  <c r="F73" i="17"/>
  <c r="F77" i="17"/>
  <c r="F81" i="17"/>
  <c r="F85" i="17"/>
  <c r="F89" i="17"/>
  <c r="F93" i="17"/>
  <c r="F97" i="17"/>
  <c r="F101" i="17"/>
  <c r="F105" i="17"/>
  <c r="F66" i="17"/>
  <c r="F70" i="17"/>
  <c r="F74" i="17"/>
  <c r="F78" i="17"/>
  <c r="F82" i="17"/>
  <c r="F86" i="17"/>
  <c r="F90" i="17"/>
  <c r="F94" i="17"/>
  <c r="F98" i="17"/>
  <c r="F102" i="17"/>
  <c r="F106" i="17"/>
  <c r="F63" i="17"/>
  <c r="F67" i="17"/>
  <c r="F71" i="17"/>
  <c r="F75" i="17"/>
  <c r="F79" i="17"/>
  <c r="F83" i="17"/>
  <c r="F87" i="17"/>
  <c r="F91" i="17"/>
  <c r="F95" i="17"/>
  <c r="F99" i="17"/>
  <c r="F103" i="17"/>
  <c r="F107" i="17"/>
  <c r="F64" i="17"/>
  <c r="F76" i="17"/>
  <c r="F108" i="17"/>
  <c r="F96" i="17"/>
  <c r="F84" i="17"/>
  <c r="F72" i="17"/>
  <c r="F104" i="17"/>
  <c r="F92" i="17"/>
  <c r="F88" i="17"/>
  <c r="F80" i="17"/>
  <c r="F68" i="17"/>
  <c r="F100" i="17"/>
  <c r="Z60" i="17"/>
  <c r="Z61" i="17"/>
  <c r="Z62" i="17"/>
  <c r="Z63" i="17"/>
  <c r="Z67" i="17"/>
  <c r="Z71" i="17"/>
  <c r="Z75" i="17"/>
  <c r="Z79" i="17"/>
  <c r="Z83" i="17"/>
  <c r="Z87" i="17"/>
  <c r="Z91" i="17"/>
  <c r="Z95" i="17"/>
  <c r="Z99" i="17"/>
  <c r="Z103" i="17"/>
  <c r="Z107" i="17"/>
  <c r="Z64" i="17"/>
  <c r="Z68" i="17"/>
  <c r="Z72" i="17"/>
  <c r="Z76" i="17"/>
  <c r="Z80" i="17"/>
  <c r="Z84" i="17"/>
  <c r="Z88" i="17"/>
  <c r="Z92" i="17"/>
  <c r="Z96" i="17"/>
  <c r="Z100" i="17"/>
  <c r="Z104" i="17"/>
  <c r="Z108" i="17"/>
  <c r="Z65" i="17"/>
  <c r="Z69" i="17"/>
  <c r="Z73" i="17"/>
  <c r="Z77" i="17"/>
  <c r="Z81" i="17"/>
  <c r="Z85" i="17"/>
  <c r="Z89" i="17"/>
  <c r="Z93" i="17"/>
  <c r="Z97" i="17"/>
  <c r="Z101" i="17"/>
  <c r="Z105" i="17"/>
  <c r="Z90" i="17"/>
  <c r="Z78" i="17"/>
  <c r="Z66" i="17"/>
  <c r="Z98" i="17"/>
  <c r="Z86" i="17"/>
  <c r="Z74" i="17"/>
  <c r="Z106" i="17"/>
  <c r="Z102" i="17"/>
  <c r="Z94" i="17"/>
  <c r="Z82" i="17"/>
  <c r="Z70" i="17"/>
  <c r="K59" i="17"/>
  <c r="K62" i="17"/>
  <c r="K60" i="17"/>
  <c r="K61" i="17"/>
  <c r="K66" i="17"/>
  <c r="K70" i="17"/>
  <c r="K74" i="17"/>
  <c r="K78" i="17"/>
  <c r="K82" i="17"/>
  <c r="K86" i="17"/>
  <c r="K90" i="17"/>
  <c r="K94" i="17"/>
  <c r="K98" i="17"/>
  <c r="K102" i="17"/>
  <c r="K106" i="17"/>
  <c r="K63" i="17"/>
  <c r="K67" i="17"/>
  <c r="K71" i="17"/>
  <c r="K75" i="17"/>
  <c r="K79" i="17"/>
  <c r="K83" i="17"/>
  <c r="K87" i="17"/>
  <c r="K91" i="17"/>
  <c r="K95" i="17"/>
  <c r="K99" i="17"/>
  <c r="K103" i="17"/>
  <c r="K107" i="17"/>
  <c r="K64" i="17"/>
  <c r="K68" i="17"/>
  <c r="K72" i="17"/>
  <c r="K76" i="17"/>
  <c r="K80" i="17"/>
  <c r="K84" i="17"/>
  <c r="K88" i="17"/>
  <c r="K92" i="17"/>
  <c r="K96" i="17"/>
  <c r="K100" i="17"/>
  <c r="K104" i="17"/>
  <c r="K108" i="17"/>
  <c r="K65" i="17"/>
  <c r="K69" i="17"/>
  <c r="K73" i="17"/>
  <c r="K77" i="17"/>
  <c r="K81" i="17"/>
  <c r="K85" i="17"/>
  <c r="K89" i="17"/>
  <c r="K93" i="17"/>
  <c r="K97" i="17"/>
  <c r="K101" i="17"/>
  <c r="K105" i="17"/>
  <c r="J59" i="17"/>
  <c r="J60" i="17"/>
  <c r="J61" i="17"/>
  <c r="J62" i="17"/>
  <c r="J63" i="17"/>
  <c r="J67" i="17"/>
  <c r="J71" i="17"/>
  <c r="J75" i="17"/>
  <c r="J79" i="17"/>
  <c r="J83" i="17"/>
  <c r="J87" i="17"/>
  <c r="J91" i="17"/>
  <c r="J95" i="17"/>
  <c r="J99" i="17"/>
  <c r="J103" i="17"/>
  <c r="J107" i="17"/>
  <c r="J66" i="17"/>
  <c r="J64" i="17"/>
  <c r="J68" i="17"/>
  <c r="J72" i="17"/>
  <c r="J76" i="17"/>
  <c r="J80" i="17"/>
  <c r="J84" i="17"/>
  <c r="J88" i="17"/>
  <c r="J92" i="17"/>
  <c r="J96" i="17"/>
  <c r="J100" i="17"/>
  <c r="J104" i="17"/>
  <c r="J108" i="17"/>
  <c r="J65" i="17"/>
  <c r="J69" i="17"/>
  <c r="J73" i="17"/>
  <c r="J77" i="17"/>
  <c r="J81" i="17"/>
  <c r="J85" i="17"/>
  <c r="J89" i="17"/>
  <c r="J93" i="17"/>
  <c r="J97" i="17"/>
  <c r="J101" i="17"/>
  <c r="J105" i="17"/>
  <c r="J98" i="17"/>
  <c r="J86" i="17"/>
  <c r="J74" i="17"/>
  <c r="J106" i="17"/>
  <c r="J94" i="17"/>
  <c r="J82" i="17"/>
  <c r="J78" i="17"/>
  <c r="J70" i="17"/>
  <c r="J102" i="17"/>
  <c r="J90" i="17"/>
  <c r="AC59" i="17"/>
  <c r="AC61" i="17"/>
  <c r="AC65" i="17"/>
  <c r="AC69" i="17"/>
  <c r="AC73" i="17"/>
  <c r="AC77" i="17"/>
  <c r="AC81" i="17"/>
  <c r="AC85" i="17"/>
  <c r="AC89" i="17"/>
  <c r="AC93" i="17"/>
  <c r="AC97" i="17"/>
  <c r="AC101" i="17"/>
  <c r="AC105" i="17"/>
  <c r="AC66" i="17"/>
  <c r="AC70" i="17"/>
  <c r="AC74" i="17"/>
  <c r="AC78" i="17"/>
  <c r="AC82" i="17"/>
  <c r="AC86" i="17"/>
  <c r="AC90" i="17"/>
  <c r="AC94" i="17"/>
  <c r="AC98" i="17"/>
  <c r="AC102" i="17"/>
  <c r="AC106" i="17"/>
  <c r="AC62" i="17"/>
  <c r="AC63" i="17"/>
  <c r="AC67" i="17"/>
  <c r="AC71" i="17"/>
  <c r="AC75" i="17"/>
  <c r="AC79" i="17"/>
  <c r="AC83" i="17"/>
  <c r="AC87" i="17"/>
  <c r="AC91" i="17"/>
  <c r="AC95" i="17"/>
  <c r="AC99" i="17"/>
  <c r="AC103" i="17"/>
  <c r="AC107" i="17"/>
  <c r="AC60" i="17"/>
  <c r="AC64" i="17"/>
  <c r="AC68" i="17"/>
  <c r="AC72" i="17"/>
  <c r="AC76" i="17"/>
  <c r="AC80" i="17"/>
  <c r="AC84" i="17"/>
  <c r="AC88" i="17"/>
  <c r="AC92" i="17"/>
  <c r="AC96" i="17"/>
  <c r="AC100" i="17"/>
  <c r="AC104" i="17"/>
  <c r="AC108" i="17"/>
  <c r="N59" i="17"/>
  <c r="N61" i="17"/>
  <c r="N62" i="17"/>
  <c r="N65" i="17"/>
  <c r="N69" i="17"/>
  <c r="N73" i="17"/>
  <c r="N77" i="17"/>
  <c r="N81" i="17"/>
  <c r="N85" i="17"/>
  <c r="N89" i="17"/>
  <c r="N93" i="17"/>
  <c r="N97" i="17"/>
  <c r="N101" i="17"/>
  <c r="N105" i="17"/>
  <c r="N60" i="17"/>
  <c r="N66" i="17"/>
  <c r="N70" i="17"/>
  <c r="N74" i="17"/>
  <c r="N78" i="17"/>
  <c r="N82" i="17"/>
  <c r="N86" i="17"/>
  <c r="N90" i="17"/>
  <c r="N94" i="17"/>
  <c r="N98" i="17"/>
  <c r="N102" i="17"/>
  <c r="N106" i="17"/>
  <c r="N63" i="17"/>
  <c r="N67" i="17"/>
  <c r="N71" i="17"/>
  <c r="N75" i="17"/>
  <c r="N79" i="17"/>
  <c r="N83" i="17"/>
  <c r="N87" i="17"/>
  <c r="N91" i="17"/>
  <c r="N95" i="17"/>
  <c r="N99" i="17"/>
  <c r="N103" i="17"/>
  <c r="N107" i="17"/>
  <c r="N64" i="17"/>
  <c r="N88" i="17"/>
  <c r="N76" i="17"/>
  <c r="N108" i="17"/>
  <c r="N96" i="17"/>
  <c r="N84" i="17"/>
  <c r="N72" i="17"/>
  <c r="N104" i="17"/>
  <c r="N68" i="17"/>
  <c r="N92" i="17"/>
  <c r="N100" i="17"/>
  <c r="N80" i="17"/>
  <c r="D59" i="17"/>
  <c r="D60" i="17"/>
  <c r="D65" i="17"/>
  <c r="D66" i="17"/>
  <c r="D70" i="17"/>
  <c r="D74" i="17"/>
  <c r="D78" i="17"/>
  <c r="D82" i="17"/>
  <c r="D86" i="17"/>
  <c r="D90" i="17"/>
  <c r="D94" i="17"/>
  <c r="D98" i="17"/>
  <c r="D102" i="17"/>
  <c r="D106" i="17"/>
  <c r="D67" i="17"/>
  <c r="D71" i="17"/>
  <c r="D75" i="17"/>
  <c r="D79" i="17"/>
  <c r="D83" i="17"/>
  <c r="D87" i="17"/>
  <c r="D91" i="17"/>
  <c r="D95" i="17"/>
  <c r="D99" i="17"/>
  <c r="D103" i="17"/>
  <c r="D107" i="17"/>
  <c r="D63" i="17"/>
  <c r="D64" i="17"/>
  <c r="D68" i="17"/>
  <c r="D72" i="17"/>
  <c r="D76" i="17"/>
  <c r="D80" i="17"/>
  <c r="D84" i="17"/>
  <c r="D88" i="17"/>
  <c r="D92" i="17"/>
  <c r="D96" i="17"/>
  <c r="D100" i="17"/>
  <c r="D104" i="17"/>
  <c r="D108" i="17"/>
  <c r="D62" i="17"/>
  <c r="D61" i="17"/>
  <c r="D81" i="17"/>
  <c r="D69" i="17"/>
  <c r="D101" i="17"/>
  <c r="D89" i="17"/>
  <c r="D77" i="17"/>
  <c r="D97" i="17"/>
  <c r="D93" i="17"/>
  <c r="D85" i="17"/>
  <c r="D73" i="17"/>
  <c r="D105" i="17"/>
  <c r="O60" i="17"/>
  <c r="O61" i="17"/>
  <c r="O62" i="17"/>
  <c r="O64" i="17"/>
  <c r="O68" i="17"/>
  <c r="O72" i="17"/>
  <c r="O76" i="17"/>
  <c r="O80" i="17"/>
  <c r="O84" i="17"/>
  <c r="O88" i="17"/>
  <c r="O92" i="17"/>
  <c r="O96" i="17"/>
  <c r="O100" i="17"/>
  <c r="O104" i="17"/>
  <c r="O108" i="17"/>
  <c r="O65" i="17"/>
  <c r="O69" i="17"/>
  <c r="O73" i="17"/>
  <c r="O77" i="17"/>
  <c r="O81" i="17"/>
  <c r="O85" i="17"/>
  <c r="O89" i="17"/>
  <c r="O93" i="17"/>
  <c r="O97" i="17"/>
  <c r="O101" i="17"/>
  <c r="O105" i="17"/>
  <c r="O66" i="17"/>
  <c r="O70" i="17"/>
  <c r="O74" i="17"/>
  <c r="O78" i="17"/>
  <c r="O82" i="17"/>
  <c r="O86" i="17"/>
  <c r="O90" i="17"/>
  <c r="O94" i="17"/>
  <c r="O98" i="17"/>
  <c r="O102" i="17"/>
  <c r="O106" i="17"/>
  <c r="O63" i="17"/>
  <c r="O67" i="17"/>
  <c r="O71" i="17"/>
  <c r="O75" i="17"/>
  <c r="O79" i="17"/>
  <c r="O83" i="17"/>
  <c r="O87" i="17"/>
  <c r="O91" i="17"/>
  <c r="O95" i="17"/>
  <c r="O99" i="17"/>
  <c r="O103" i="17"/>
  <c r="O107" i="17"/>
  <c r="T59" i="17"/>
  <c r="T60" i="17"/>
  <c r="T66" i="17"/>
  <c r="T70" i="17"/>
  <c r="T74" i="17"/>
  <c r="T78" i="17"/>
  <c r="T82" i="17"/>
  <c r="T86" i="17"/>
  <c r="T90" i="17"/>
  <c r="T94" i="17"/>
  <c r="T98" i="17"/>
  <c r="T102" i="17"/>
  <c r="T106" i="17"/>
  <c r="T65" i="17"/>
  <c r="T61" i="17"/>
  <c r="T63" i="17"/>
  <c r="T67" i="17"/>
  <c r="T71" i="17"/>
  <c r="T75" i="17"/>
  <c r="T79" i="17"/>
  <c r="T83" i="17"/>
  <c r="T87" i="17"/>
  <c r="T91" i="17"/>
  <c r="T95" i="17"/>
  <c r="T99" i="17"/>
  <c r="T103" i="17"/>
  <c r="T107" i="17"/>
  <c r="T64" i="17"/>
  <c r="T68" i="17"/>
  <c r="T72" i="17"/>
  <c r="T76" i="17"/>
  <c r="T80" i="17"/>
  <c r="T84" i="17"/>
  <c r="T88" i="17"/>
  <c r="T92" i="17"/>
  <c r="T96" i="17"/>
  <c r="T100" i="17"/>
  <c r="T104" i="17"/>
  <c r="T108" i="17"/>
  <c r="T62" i="17"/>
  <c r="T73" i="17"/>
  <c r="T105" i="17"/>
  <c r="T93" i="17"/>
  <c r="T81" i="17"/>
  <c r="T69" i="17"/>
  <c r="T101" i="17"/>
  <c r="T89" i="17"/>
  <c r="T77" i="17"/>
  <c r="T85" i="17"/>
  <c r="T97" i="17"/>
  <c r="U59" i="17"/>
  <c r="U61" i="17"/>
  <c r="U65" i="17"/>
  <c r="U69" i="17"/>
  <c r="U73" i="17"/>
  <c r="U77" i="17"/>
  <c r="U81" i="17"/>
  <c r="U85" i="17"/>
  <c r="U89" i="17"/>
  <c r="U93" i="17"/>
  <c r="U97" i="17"/>
  <c r="U101" i="17"/>
  <c r="U105" i="17"/>
  <c r="U62" i="17"/>
  <c r="U66" i="17"/>
  <c r="U70" i="17"/>
  <c r="U74" i="17"/>
  <c r="U78" i="17"/>
  <c r="U82" i="17"/>
  <c r="U86" i="17"/>
  <c r="U90" i="17"/>
  <c r="U94" i="17"/>
  <c r="U98" i="17"/>
  <c r="U102" i="17"/>
  <c r="U106" i="17"/>
  <c r="U60" i="17"/>
  <c r="U63" i="17"/>
  <c r="U67" i="17"/>
  <c r="U71" i="17"/>
  <c r="U75" i="17"/>
  <c r="U79" i="17"/>
  <c r="U83" i="17"/>
  <c r="U87" i="17"/>
  <c r="U91" i="17"/>
  <c r="U95" i="17"/>
  <c r="U99" i="17"/>
  <c r="U103" i="17"/>
  <c r="U107" i="17"/>
  <c r="U64" i="17"/>
  <c r="U68" i="17"/>
  <c r="U72" i="17"/>
  <c r="U76" i="17"/>
  <c r="U80" i="17"/>
  <c r="U84" i="17"/>
  <c r="U88" i="17"/>
  <c r="U92" i="17"/>
  <c r="U96" i="17"/>
  <c r="U100" i="17"/>
  <c r="U104" i="17"/>
  <c r="U108" i="17"/>
  <c r="Q59" i="17"/>
  <c r="Q60" i="17"/>
  <c r="Q61" i="17"/>
  <c r="Q63" i="17"/>
  <c r="Q67" i="17"/>
  <c r="Q71" i="17"/>
  <c r="Q75" i="17"/>
  <c r="Q79" i="17"/>
  <c r="Q83" i="17"/>
  <c r="Q87" i="17"/>
  <c r="Q91" i="17"/>
  <c r="Q95" i="17"/>
  <c r="Q99" i="17"/>
  <c r="Q103" i="17"/>
  <c r="Q107" i="17"/>
  <c r="Q64" i="17"/>
  <c r="Q68" i="17"/>
  <c r="Q72" i="17"/>
  <c r="Q76" i="17"/>
  <c r="Q80" i="17"/>
  <c r="Q84" i="17"/>
  <c r="Q88" i="17"/>
  <c r="Q92" i="17"/>
  <c r="Q96" i="17"/>
  <c r="Q100" i="17"/>
  <c r="Q104" i="17"/>
  <c r="Q108" i="17"/>
  <c r="Q62" i="17"/>
  <c r="Q65" i="17"/>
  <c r="Q69" i="17"/>
  <c r="Q73" i="17"/>
  <c r="Q77" i="17"/>
  <c r="Q81" i="17"/>
  <c r="Q85" i="17"/>
  <c r="Q89" i="17"/>
  <c r="Q93" i="17"/>
  <c r="Q97" i="17"/>
  <c r="Q101" i="17"/>
  <c r="Q105" i="17"/>
  <c r="Q66" i="17"/>
  <c r="Q70" i="17"/>
  <c r="Q74" i="17"/>
  <c r="Q78" i="17"/>
  <c r="Q82" i="17"/>
  <c r="Q86" i="17"/>
  <c r="Q90" i="17"/>
  <c r="Q94" i="17"/>
  <c r="Q98" i="17"/>
  <c r="Q102" i="17"/>
  <c r="Q106" i="17"/>
  <c r="X59" i="17"/>
  <c r="X60" i="17"/>
  <c r="X61" i="17"/>
  <c r="X62" i="17"/>
  <c r="X64" i="17"/>
  <c r="X68" i="17"/>
  <c r="X72" i="17"/>
  <c r="X76" i="17"/>
  <c r="X80" i="17"/>
  <c r="X84" i="17"/>
  <c r="X88" i="17"/>
  <c r="X92" i="17"/>
  <c r="X96" i="17"/>
  <c r="X100" i="17"/>
  <c r="X104" i="17"/>
  <c r="X108" i="17"/>
  <c r="X63" i="17"/>
  <c r="X65" i="17"/>
  <c r="X69" i="17"/>
  <c r="X73" i="17"/>
  <c r="X77" i="17"/>
  <c r="X81" i="17"/>
  <c r="X85" i="17"/>
  <c r="X89" i="17"/>
  <c r="X93" i="17"/>
  <c r="X97" i="17"/>
  <c r="X101" i="17"/>
  <c r="X105" i="17"/>
  <c r="X66" i="17"/>
  <c r="X70" i="17"/>
  <c r="X74" i="17"/>
  <c r="X78" i="17"/>
  <c r="X82" i="17"/>
  <c r="X86" i="17"/>
  <c r="X90" i="17"/>
  <c r="X94" i="17"/>
  <c r="X98" i="17"/>
  <c r="X102" i="17"/>
  <c r="X106" i="17"/>
  <c r="X95" i="17"/>
  <c r="X83" i="17"/>
  <c r="X71" i="17"/>
  <c r="X103" i="17"/>
  <c r="X91" i="17"/>
  <c r="X79" i="17"/>
  <c r="X107" i="17"/>
  <c r="X67" i="17"/>
  <c r="X99" i="17"/>
  <c r="X75" i="17"/>
  <c r="X87" i="17"/>
  <c r="W60" i="17"/>
  <c r="W61" i="17"/>
  <c r="W62" i="17"/>
  <c r="W64" i="17"/>
  <c r="W68" i="17"/>
  <c r="W72" i="17"/>
  <c r="W76" i="17"/>
  <c r="W80" i="17"/>
  <c r="W84" i="17"/>
  <c r="W88" i="17"/>
  <c r="W92" i="17"/>
  <c r="W96" i="17"/>
  <c r="W100" i="17"/>
  <c r="W104" i="17"/>
  <c r="W108" i="17"/>
  <c r="W65" i="17"/>
  <c r="W69" i="17"/>
  <c r="W73" i="17"/>
  <c r="W77" i="17"/>
  <c r="W81" i="17"/>
  <c r="W85" i="17"/>
  <c r="W89" i="17"/>
  <c r="W93" i="17"/>
  <c r="W97" i="17"/>
  <c r="W101" i="17"/>
  <c r="W105" i="17"/>
  <c r="W66" i="17"/>
  <c r="W70" i="17"/>
  <c r="W74" i="17"/>
  <c r="W78" i="17"/>
  <c r="W82" i="17"/>
  <c r="W86" i="17"/>
  <c r="W90" i="17"/>
  <c r="W94" i="17"/>
  <c r="W98" i="17"/>
  <c r="W102" i="17"/>
  <c r="W106" i="17"/>
  <c r="W63" i="17"/>
  <c r="W67" i="17"/>
  <c r="W71" i="17"/>
  <c r="W75" i="17"/>
  <c r="W79" i="17"/>
  <c r="W83" i="17"/>
  <c r="W87" i="17"/>
  <c r="W91" i="17"/>
  <c r="W95" i="17"/>
  <c r="W99" i="17"/>
  <c r="W103" i="17"/>
  <c r="W107" i="17"/>
  <c r="S59" i="17"/>
  <c r="S62" i="17"/>
  <c r="S60" i="17"/>
  <c r="S66" i="17"/>
  <c r="S70" i="17"/>
  <c r="S74" i="17"/>
  <c r="S78" i="17"/>
  <c r="S82" i="17"/>
  <c r="S86" i="17"/>
  <c r="S90" i="17"/>
  <c r="S94" i="17"/>
  <c r="S98" i="17"/>
  <c r="S102" i="17"/>
  <c r="S106" i="17"/>
  <c r="S61" i="17"/>
  <c r="S63" i="17"/>
  <c r="S67" i="17"/>
  <c r="S71" i="17"/>
  <c r="S75" i="17"/>
  <c r="S79" i="17"/>
  <c r="S83" i="17"/>
  <c r="S87" i="17"/>
  <c r="S91" i="17"/>
  <c r="S95" i="17"/>
  <c r="S99" i="17"/>
  <c r="S103" i="17"/>
  <c r="S107" i="17"/>
  <c r="S64" i="17"/>
  <c r="S68" i="17"/>
  <c r="S72" i="17"/>
  <c r="S76" i="17"/>
  <c r="S80" i="17"/>
  <c r="S84" i="17"/>
  <c r="S88" i="17"/>
  <c r="S92" i="17"/>
  <c r="S96" i="17"/>
  <c r="S100" i="17"/>
  <c r="S104" i="17"/>
  <c r="S108" i="17"/>
  <c r="S65" i="17"/>
  <c r="S69" i="17"/>
  <c r="S73" i="17"/>
  <c r="S77" i="17"/>
  <c r="S81" i="17"/>
  <c r="S85" i="17"/>
  <c r="S89" i="17"/>
  <c r="S93" i="17"/>
  <c r="S97" i="17"/>
  <c r="S101" i="17"/>
  <c r="S105" i="17"/>
  <c r="M61" i="17"/>
  <c r="M65" i="17"/>
  <c r="M69" i="17"/>
  <c r="M73" i="17"/>
  <c r="M77" i="17"/>
  <c r="M81" i="17"/>
  <c r="M85" i="17"/>
  <c r="M89" i="17"/>
  <c r="M93" i="17"/>
  <c r="M97" i="17"/>
  <c r="M101" i="17"/>
  <c r="M105" i="17"/>
  <c r="M60" i="17"/>
  <c r="M66" i="17"/>
  <c r="M70" i="17"/>
  <c r="M74" i="17"/>
  <c r="M78" i="17"/>
  <c r="M82" i="17"/>
  <c r="M86" i="17"/>
  <c r="M90" i="17"/>
  <c r="M94" i="17"/>
  <c r="M98" i="17"/>
  <c r="M102" i="17"/>
  <c r="M106" i="17"/>
  <c r="M62" i="17"/>
  <c r="M63" i="17"/>
  <c r="M67" i="17"/>
  <c r="M71" i="17"/>
  <c r="M75" i="17"/>
  <c r="M79" i="17"/>
  <c r="M83" i="17"/>
  <c r="M87" i="17"/>
  <c r="M91" i="17"/>
  <c r="M95" i="17"/>
  <c r="M99" i="17"/>
  <c r="M103" i="17"/>
  <c r="M107" i="17"/>
  <c r="M64" i="17"/>
  <c r="M68" i="17"/>
  <c r="M72" i="17"/>
  <c r="M76" i="17"/>
  <c r="M80" i="17"/>
  <c r="M84" i="17"/>
  <c r="M88" i="17"/>
  <c r="M92" i="17"/>
  <c r="M96" i="17"/>
  <c r="M100" i="17"/>
  <c r="M104" i="17"/>
  <c r="M108" i="17"/>
  <c r="L59" i="17"/>
  <c r="L60" i="17"/>
  <c r="L61" i="17"/>
  <c r="L66" i="17"/>
  <c r="L70" i="17"/>
  <c r="L74" i="17"/>
  <c r="L78" i="17"/>
  <c r="L82" i="17"/>
  <c r="L86" i="17"/>
  <c r="L90" i="17"/>
  <c r="L94" i="17"/>
  <c r="L98" i="17"/>
  <c r="L102" i="17"/>
  <c r="L106" i="17"/>
  <c r="L62" i="17"/>
  <c r="L63" i="17"/>
  <c r="L67" i="17"/>
  <c r="L71" i="17"/>
  <c r="L75" i="17"/>
  <c r="L79" i="17"/>
  <c r="L83" i="17"/>
  <c r="L87" i="17"/>
  <c r="L91" i="17"/>
  <c r="L95" i="17"/>
  <c r="L99" i="17"/>
  <c r="L103" i="17"/>
  <c r="L107" i="17"/>
  <c r="L65" i="17"/>
  <c r="L64" i="17"/>
  <c r="L68" i="17"/>
  <c r="L72" i="17"/>
  <c r="L76" i="17"/>
  <c r="L80" i="17"/>
  <c r="L84" i="17"/>
  <c r="L88" i="17"/>
  <c r="L92" i="17"/>
  <c r="L96" i="17"/>
  <c r="L100" i="17"/>
  <c r="L104" i="17"/>
  <c r="L108" i="17"/>
  <c r="L93" i="17"/>
  <c r="L81" i="17"/>
  <c r="L69" i="17"/>
  <c r="L101" i="17"/>
  <c r="L89" i="17"/>
  <c r="L77" i="17"/>
  <c r="L73" i="17"/>
  <c r="L97" i="17"/>
  <c r="L105" i="17"/>
  <c r="L85" i="17"/>
  <c r="AA59" i="17"/>
  <c r="AA62" i="17"/>
  <c r="AA60" i="17"/>
  <c r="AA66" i="17"/>
  <c r="AA70" i="17"/>
  <c r="AA74" i="17"/>
  <c r="AA78" i="17"/>
  <c r="AA82" i="17"/>
  <c r="AA86" i="17"/>
  <c r="AA90" i="17"/>
  <c r="AA94" i="17"/>
  <c r="AA98" i="17"/>
  <c r="AA102" i="17"/>
  <c r="AA106" i="17"/>
  <c r="AA63" i="17"/>
  <c r="AA67" i="17"/>
  <c r="AA71" i="17"/>
  <c r="AA75" i="17"/>
  <c r="AA79" i="17"/>
  <c r="AA83" i="17"/>
  <c r="AA87" i="17"/>
  <c r="AA91" i="17"/>
  <c r="AA95" i="17"/>
  <c r="AA99" i="17"/>
  <c r="AA103" i="17"/>
  <c r="AA107" i="17"/>
  <c r="AA64" i="17"/>
  <c r="AA68" i="17"/>
  <c r="AA72" i="17"/>
  <c r="AA76" i="17"/>
  <c r="AA80" i="17"/>
  <c r="AA84" i="17"/>
  <c r="AA88" i="17"/>
  <c r="AA92" i="17"/>
  <c r="AA96" i="17"/>
  <c r="AA100" i="17"/>
  <c r="AA104" i="17"/>
  <c r="AA108" i="17"/>
  <c r="AA61" i="17"/>
  <c r="AA65" i="17"/>
  <c r="AA69" i="17"/>
  <c r="AA73" i="17"/>
  <c r="AA77" i="17"/>
  <c r="AA81" i="17"/>
  <c r="AA85" i="17"/>
  <c r="AA89" i="17"/>
  <c r="AA93" i="17"/>
  <c r="AA97" i="17"/>
  <c r="AA101" i="17"/>
  <c r="AA105" i="17"/>
  <c r="V62" i="17"/>
  <c r="V65" i="17"/>
  <c r="V69" i="17"/>
  <c r="V73" i="17"/>
  <c r="V77" i="17"/>
  <c r="V81" i="17"/>
  <c r="V85" i="17"/>
  <c r="V89" i="17"/>
  <c r="V93" i="17"/>
  <c r="V97" i="17"/>
  <c r="V101" i="17"/>
  <c r="V105" i="17"/>
  <c r="V66" i="17"/>
  <c r="V70" i="17"/>
  <c r="V74" i="17"/>
  <c r="V78" i="17"/>
  <c r="V82" i="17"/>
  <c r="V86" i="17"/>
  <c r="V90" i="17"/>
  <c r="V94" i="17"/>
  <c r="V98" i="17"/>
  <c r="V102" i="17"/>
  <c r="V106" i="17"/>
  <c r="V61" i="17"/>
  <c r="V60" i="17"/>
  <c r="V63" i="17"/>
  <c r="V67" i="17"/>
  <c r="V71" i="17"/>
  <c r="V75" i="17"/>
  <c r="V79" i="17"/>
  <c r="V83" i="17"/>
  <c r="V87" i="17"/>
  <c r="V91" i="17"/>
  <c r="V95" i="17"/>
  <c r="V99" i="17"/>
  <c r="V103" i="17"/>
  <c r="V107" i="17"/>
  <c r="V68" i="17"/>
  <c r="V100" i="17"/>
  <c r="V88" i="17"/>
  <c r="V76" i="17"/>
  <c r="V108" i="17"/>
  <c r="V96" i="17"/>
  <c r="V84" i="17"/>
  <c r="V72" i="17"/>
  <c r="V104" i="17"/>
  <c r="V64" i="17"/>
  <c r="V92" i="17"/>
  <c r="V80" i="17"/>
  <c r="E59" i="17"/>
  <c r="E61" i="17"/>
  <c r="E62" i="17"/>
  <c r="E63" i="17"/>
  <c r="E60" i="17"/>
  <c r="E65" i="17"/>
  <c r="E69" i="17"/>
  <c r="E73" i="17"/>
  <c r="E77" i="17"/>
  <c r="E81" i="17"/>
  <c r="E85" i="17"/>
  <c r="E89" i="17"/>
  <c r="E93" i="17"/>
  <c r="E97" i="17"/>
  <c r="E101" i="17"/>
  <c r="E105" i="17"/>
  <c r="E66" i="17"/>
  <c r="E70" i="17"/>
  <c r="E74" i="17"/>
  <c r="E78" i="17"/>
  <c r="E82" i="17"/>
  <c r="E86" i="17"/>
  <c r="E90" i="17"/>
  <c r="E94" i="17"/>
  <c r="E98" i="17"/>
  <c r="E102" i="17"/>
  <c r="E106" i="17"/>
  <c r="E67" i="17"/>
  <c r="E71" i="17"/>
  <c r="E75" i="17"/>
  <c r="E79" i="17"/>
  <c r="E83" i="17"/>
  <c r="E87" i="17"/>
  <c r="E91" i="17"/>
  <c r="E95" i="17"/>
  <c r="E99" i="17"/>
  <c r="E103" i="17"/>
  <c r="E107" i="17"/>
  <c r="E64" i="17"/>
  <c r="E68" i="17"/>
  <c r="E72" i="17"/>
  <c r="E76" i="17"/>
  <c r="E80" i="17"/>
  <c r="E84" i="17"/>
  <c r="E88" i="17"/>
  <c r="E92" i="17"/>
  <c r="E96" i="17"/>
  <c r="E100" i="17"/>
  <c r="E104" i="17"/>
  <c r="E108" i="17"/>
  <c r="I59" i="17"/>
  <c r="I60" i="17"/>
  <c r="I61" i="17"/>
  <c r="I62" i="17"/>
  <c r="I63" i="17"/>
  <c r="I67" i="17"/>
  <c r="I71" i="17"/>
  <c r="I75" i="17"/>
  <c r="I79" i="17"/>
  <c r="I83" i="17"/>
  <c r="I87" i="17"/>
  <c r="I91" i="17"/>
  <c r="I95" i="17"/>
  <c r="I99" i="17"/>
  <c r="I103" i="17"/>
  <c r="I107" i="17"/>
  <c r="I64" i="17"/>
  <c r="I68" i="17"/>
  <c r="I72" i="17"/>
  <c r="I76" i="17"/>
  <c r="I80" i="17"/>
  <c r="I84" i="17"/>
  <c r="I88" i="17"/>
  <c r="I92" i="17"/>
  <c r="I96" i="17"/>
  <c r="I100" i="17"/>
  <c r="I104" i="17"/>
  <c r="I108" i="17"/>
  <c r="I65" i="17"/>
  <c r="I69" i="17"/>
  <c r="I73" i="17"/>
  <c r="I77" i="17"/>
  <c r="I81" i="17"/>
  <c r="I85" i="17"/>
  <c r="I89" i="17"/>
  <c r="I93" i="17"/>
  <c r="I97" i="17"/>
  <c r="I101" i="17"/>
  <c r="I105" i="17"/>
  <c r="I66" i="17"/>
  <c r="I70" i="17"/>
  <c r="I74" i="17"/>
  <c r="I78" i="17"/>
  <c r="I82" i="17"/>
  <c r="I86" i="17"/>
  <c r="I90" i="17"/>
  <c r="I94" i="17"/>
  <c r="I98" i="17"/>
  <c r="I102" i="17"/>
  <c r="I106" i="17"/>
  <c r="H60" i="17"/>
  <c r="H61" i="17"/>
  <c r="H62" i="17"/>
  <c r="H64" i="17"/>
  <c r="H68" i="17"/>
  <c r="H72" i="17"/>
  <c r="H76" i="17"/>
  <c r="H80" i="17"/>
  <c r="H84" i="17"/>
  <c r="H88" i="17"/>
  <c r="H92" i="17"/>
  <c r="H96" i="17"/>
  <c r="H100" i="17"/>
  <c r="H104" i="17"/>
  <c r="H108" i="17"/>
  <c r="H65" i="17"/>
  <c r="H69" i="17"/>
  <c r="H73" i="17"/>
  <c r="H77" i="17"/>
  <c r="H81" i="17"/>
  <c r="H85" i="17"/>
  <c r="H89" i="17"/>
  <c r="H93" i="17"/>
  <c r="H97" i="17"/>
  <c r="H101" i="17"/>
  <c r="H105" i="17"/>
  <c r="H63" i="17"/>
  <c r="H66" i="17"/>
  <c r="H70" i="17"/>
  <c r="H74" i="17"/>
  <c r="H78" i="17"/>
  <c r="H82" i="17"/>
  <c r="H86" i="17"/>
  <c r="H90" i="17"/>
  <c r="H94" i="17"/>
  <c r="H98" i="17"/>
  <c r="H102" i="17"/>
  <c r="H106" i="17"/>
  <c r="H71" i="17"/>
  <c r="H103" i="17"/>
  <c r="H91" i="17"/>
  <c r="H79" i="17"/>
  <c r="H67" i="17"/>
  <c r="H99" i="17"/>
  <c r="H87" i="17"/>
  <c r="H83" i="17"/>
  <c r="H75" i="17"/>
  <c r="H107" i="17"/>
  <c r="H95" i="17"/>
  <c r="AB60" i="17"/>
  <c r="AB66" i="17"/>
  <c r="AB70" i="17"/>
  <c r="AB74" i="17"/>
  <c r="AB78" i="17"/>
  <c r="AB82" i="17"/>
  <c r="AB86" i="17"/>
  <c r="AB90" i="17"/>
  <c r="AB94" i="17"/>
  <c r="AB98" i="17"/>
  <c r="AB102" i="17"/>
  <c r="AB106" i="17"/>
  <c r="AB62" i="17"/>
  <c r="AB63" i="17"/>
  <c r="AB67" i="17"/>
  <c r="AB71" i="17"/>
  <c r="AB75" i="17"/>
  <c r="AB79" i="17"/>
  <c r="AB83" i="17"/>
  <c r="AB87" i="17"/>
  <c r="AB91" i="17"/>
  <c r="AB95" i="17"/>
  <c r="AB99" i="17"/>
  <c r="AB103" i="17"/>
  <c r="AB107" i="17"/>
  <c r="AB64" i="17"/>
  <c r="AB68" i="17"/>
  <c r="AB72" i="17"/>
  <c r="AB76" i="17"/>
  <c r="AB80" i="17"/>
  <c r="AB84" i="17"/>
  <c r="AB88" i="17"/>
  <c r="AB92" i="17"/>
  <c r="AB96" i="17"/>
  <c r="AB100" i="17"/>
  <c r="AB104" i="17"/>
  <c r="AB108" i="17"/>
  <c r="AB61" i="17"/>
  <c r="AB65" i="17"/>
  <c r="AB85" i="17"/>
  <c r="AB73" i="17"/>
  <c r="AB105" i="17"/>
  <c r="AB93" i="17"/>
  <c r="AB81" i="17"/>
  <c r="AB69" i="17"/>
  <c r="AB101" i="17"/>
  <c r="AB97" i="17"/>
  <c r="AB89" i="17"/>
  <c r="AB77" i="17"/>
  <c r="AB59" i="17"/>
  <c r="C59" i="17"/>
  <c r="C61" i="17"/>
  <c r="C63" i="17"/>
  <c r="C65" i="17"/>
  <c r="C67" i="17"/>
  <c r="C69" i="17"/>
  <c r="C71" i="17"/>
  <c r="C73" i="17"/>
  <c r="C75" i="17"/>
  <c r="C77" i="17"/>
  <c r="C79" i="17"/>
  <c r="C81" i="17"/>
  <c r="C83" i="17"/>
  <c r="C85" i="17"/>
  <c r="C87" i="17"/>
  <c r="C89" i="17"/>
  <c r="C91" i="17"/>
  <c r="C93" i="17"/>
  <c r="C95" i="17"/>
  <c r="C97" i="17"/>
  <c r="C99" i="17"/>
  <c r="C101" i="17"/>
  <c r="C103" i="17"/>
  <c r="C105" i="17"/>
  <c r="C107" i="17"/>
  <c r="C60" i="17"/>
  <c r="C66" i="17"/>
  <c r="C74" i="17"/>
  <c r="C78" i="17"/>
  <c r="C80" i="17"/>
  <c r="C86" i="17"/>
  <c r="C88" i="17"/>
  <c r="C94" i="17"/>
  <c r="C102" i="17"/>
  <c r="C70" i="17"/>
  <c r="C82" i="17"/>
  <c r="C104" i="17"/>
  <c r="C62" i="17"/>
  <c r="C64" i="17"/>
  <c r="C68" i="17"/>
  <c r="C72" i="17"/>
  <c r="C76" i="17"/>
  <c r="C84" i="17"/>
  <c r="C90" i="17"/>
  <c r="C92" i="17"/>
  <c r="C96" i="17"/>
  <c r="C98" i="17"/>
  <c r="C100" i="17"/>
  <c r="C106" i="17"/>
  <c r="C108" i="17"/>
  <c r="B59" i="17"/>
  <c r="AD171" i="17" s="1" a="1"/>
  <c r="AD171" i="17" s="1"/>
  <c r="B60" i="17"/>
  <c r="AD172" i="17" s="1" a="1"/>
  <c r="AD172" i="17" s="1"/>
  <c r="B62" i="17"/>
  <c r="B64" i="17"/>
  <c r="B66" i="17"/>
  <c r="B68" i="17"/>
  <c r="B70" i="17"/>
  <c r="B72" i="17"/>
  <c r="B74" i="17"/>
  <c r="AD186" i="17" s="1" a="1"/>
  <c r="AD186" i="17" s="1"/>
  <c r="B76" i="17"/>
  <c r="B78" i="17"/>
  <c r="B80" i="17"/>
  <c r="AD192" i="17" s="1" a="1"/>
  <c r="AD192" i="17" s="1"/>
  <c r="B82" i="17"/>
  <c r="AD194" i="17" s="1" a="1"/>
  <c r="AD194" i="17" s="1"/>
  <c r="B84" i="17"/>
  <c r="B86" i="17"/>
  <c r="AD198" i="17" s="1" a="1"/>
  <c r="AD198" i="17" s="1"/>
  <c r="B88" i="17"/>
  <c r="B90" i="17"/>
  <c r="AD202" i="17" s="1" a="1"/>
  <c r="AD202" i="17" s="1"/>
  <c r="B92" i="17"/>
  <c r="B94" i="17"/>
  <c r="AD206" i="17" s="1" a="1"/>
  <c r="AD206" i="17" s="1"/>
  <c r="B96" i="17"/>
  <c r="B98" i="17"/>
  <c r="B100" i="17"/>
  <c r="AD212" i="17" s="1" a="1"/>
  <c r="AD212" i="17" s="1"/>
  <c r="B102" i="17"/>
  <c r="B104" i="17"/>
  <c r="B106" i="17"/>
  <c r="AD218" i="17" s="1" a="1"/>
  <c r="AD218" i="17" s="1"/>
  <c r="B108" i="17"/>
  <c r="B71" i="17"/>
  <c r="AD183" i="17" s="1" a="1"/>
  <c r="AD183" i="17" s="1"/>
  <c r="B87" i="17"/>
  <c r="B103" i="17"/>
  <c r="AD215" i="17" s="1" a="1"/>
  <c r="AD215" i="17" s="1"/>
  <c r="B63" i="17"/>
  <c r="B73" i="17"/>
  <c r="B89" i="17"/>
  <c r="B65" i="17"/>
  <c r="AD177" i="17" s="1" a="1"/>
  <c r="AD177" i="17" s="1"/>
  <c r="B81" i="17"/>
  <c r="B97" i="17"/>
  <c r="B95" i="17"/>
  <c r="B67" i="17"/>
  <c r="AD179" i="17" s="1" a="1"/>
  <c r="AD179" i="17" s="1"/>
  <c r="B77" i="17"/>
  <c r="B75" i="17"/>
  <c r="B91" i="17"/>
  <c r="B83" i="17"/>
  <c r="AD195" i="17" s="1" a="1"/>
  <c r="AD195" i="17" s="1"/>
  <c r="B69" i="17"/>
  <c r="AD181" i="17" s="1" a="1"/>
  <c r="AD181" i="17" s="1"/>
  <c r="B85" i="17"/>
  <c r="AD197" i="17" s="1" a="1"/>
  <c r="AD197" i="17" s="1"/>
  <c r="B101" i="17"/>
  <c r="AD213" i="17" s="1" a="1"/>
  <c r="AD213" i="17" s="1"/>
  <c r="B107" i="17"/>
  <c r="B79" i="17"/>
  <c r="B105" i="17"/>
  <c r="B99" i="17"/>
  <c r="AD211" i="17" s="1" a="1"/>
  <c r="AD211" i="17" s="1"/>
  <c r="B61" i="17"/>
  <c r="AD173" i="17" s="1" a="1"/>
  <c r="AD173" i="17" s="1"/>
  <c r="B93" i="17"/>
  <c r="AD205" i="17" s="1" a="1"/>
  <c r="AD205" i="17" s="1"/>
  <c r="AB134" i="13" l="1"/>
  <c r="AB138" i="13"/>
  <c r="AB135" i="13"/>
  <c r="AB131" i="13"/>
  <c r="AB105" i="13"/>
  <c r="AB117" i="13"/>
  <c r="AB132" i="13"/>
  <c r="AB111" i="13"/>
  <c r="AB99" i="13"/>
  <c r="AB120" i="13"/>
  <c r="AB142" i="13"/>
  <c r="AB136" i="13"/>
  <c r="AB116" i="13"/>
  <c r="AB137" i="13"/>
  <c r="AB141" i="13"/>
  <c r="AB101" i="13"/>
  <c r="AB145" i="13"/>
  <c r="AB128" i="13"/>
  <c r="AB104" i="13"/>
  <c r="AB109" i="13"/>
  <c r="AB124" i="13"/>
  <c r="AB113" i="13"/>
  <c r="AB139" i="13"/>
  <c r="AB121" i="13"/>
  <c r="AB115" i="13"/>
  <c r="AB118" i="13"/>
  <c r="AB126" i="13"/>
  <c r="AB107" i="13"/>
  <c r="AB144" i="13"/>
  <c r="AB119" i="13"/>
  <c r="AB106" i="13"/>
  <c r="AB103" i="13"/>
  <c r="AB98" i="13"/>
  <c r="AB140" i="13"/>
  <c r="AB110" i="13"/>
  <c r="AB122" i="13"/>
  <c r="AB112" i="13"/>
  <c r="AB127" i="13"/>
  <c r="AB114" i="13"/>
  <c r="AB143" i="13"/>
  <c r="AB123" i="13"/>
  <c r="AB102" i="13"/>
  <c r="AB133" i="13"/>
  <c r="AB125" i="13"/>
  <c r="AB100" i="13"/>
  <c r="AB130" i="13"/>
  <c r="AB129" i="13"/>
  <c r="AB108" i="13"/>
  <c r="AD155" i="17" a="1"/>
  <c r="AD155" i="17" s="1"/>
  <c r="AD131" i="17" a="1"/>
  <c r="AD131" i="17" s="1"/>
  <c r="AD145" i="17" a="1"/>
  <c r="AD145" i="17" s="1"/>
  <c r="AD125" i="17" a="1"/>
  <c r="AD125" i="17" s="1"/>
  <c r="AD160" i="17" a="1"/>
  <c r="AD160" i="17" s="1"/>
  <c r="AD144" i="17" a="1"/>
  <c r="AD144" i="17" s="1"/>
  <c r="AD128" i="17" a="1"/>
  <c r="AD128" i="17" s="1"/>
  <c r="AD133" i="17" a="1"/>
  <c r="AD133" i="17" s="1"/>
  <c r="AD121" i="17" a="1"/>
  <c r="AD121" i="17" s="1"/>
  <c r="AD147" i="17" a="1"/>
  <c r="AD147" i="17" s="1"/>
  <c r="AD158" i="17" a="1"/>
  <c r="AD158" i="17" s="1"/>
  <c r="AD142" i="17" a="1"/>
  <c r="AD142" i="17" s="1"/>
  <c r="AD126" i="17" a="1"/>
  <c r="AD126" i="17" s="1"/>
  <c r="AD123" i="17" a="1"/>
  <c r="AD123" i="17" s="1"/>
  <c r="AD159" i="17" a="1"/>
  <c r="AD159" i="17" s="1"/>
  <c r="AD141" i="17" a="1"/>
  <c r="AD141" i="17" s="1"/>
  <c r="AD156" i="17" a="1"/>
  <c r="AD156" i="17" s="1"/>
  <c r="AD140" i="17" a="1"/>
  <c r="AD140" i="17" s="1"/>
  <c r="AD124" i="17" a="1"/>
  <c r="AD124" i="17" s="1"/>
  <c r="AD163" i="17" a="1"/>
  <c r="AD163" i="17" s="1"/>
  <c r="AD157" i="17" a="1"/>
  <c r="AD157" i="17" s="1"/>
  <c r="AD135" i="17" a="1"/>
  <c r="AD135" i="17" s="1"/>
  <c r="AD154" i="17" a="1"/>
  <c r="AD154" i="17" s="1"/>
  <c r="AD138" i="17" a="1"/>
  <c r="AD138" i="17" s="1"/>
  <c r="AD122" i="17" a="1"/>
  <c r="AD122" i="17" s="1"/>
  <c r="AD153" i="17" a="1"/>
  <c r="AD153" i="17" s="1"/>
  <c r="AD143" i="17" a="1"/>
  <c r="AD143" i="17" s="1"/>
  <c r="AD129" i="17" a="1"/>
  <c r="AD129" i="17" s="1"/>
  <c r="AD152" i="17" a="1"/>
  <c r="AD152" i="17" s="1"/>
  <c r="AD136" i="17" a="1"/>
  <c r="AD136" i="17" s="1"/>
  <c r="AD120" i="17" a="1"/>
  <c r="AD120" i="17" s="1"/>
  <c r="AD149" i="17" a="1"/>
  <c r="AD149" i="17" s="1"/>
  <c r="AD139" i="17" a="1"/>
  <c r="AD139" i="17" s="1"/>
  <c r="AD119" i="17" a="1"/>
  <c r="AD119" i="17" s="1"/>
  <c r="AD150" i="17" a="1"/>
  <c r="AD150" i="17" s="1"/>
  <c r="AD134" i="17" a="1"/>
  <c r="AD134" i="17" s="1"/>
  <c r="AD118" i="17" a="1"/>
  <c r="AD118" i="17" s="1"/>
  <c r="AD161" i="17" a="1"/>
  <c r="AD161" i="17" s="1"/>
  <c r="AD137" i="17" a="1"/>
  <c r="AD137" i="17" s="1"/>
  <c r="AD127" i="17" a="1"/>
  <c r="AD127" i="17" s="1"/>
  <c r="AD164" i="17" a="1"/>
  <c r="AD164" i="17" s="1"/>
  <c r="AD148" i="17" a="1"/>
  <c r="AD148" i="17" s="1"/>
  <c r="AD132" i="17" a="1"/>
  <c r="AD132" i="17" s="1"/>
  <c r="AD116" i="17" a="1"/>
  <c r="AD116" i="17" s="1"/>
  <c r="AD117" i="17" a="1"/>
  <c r="AD117" i="17" s="1"/>
  <c r="AD162" i="17" a="1"/>
  <c r="AD162" i="17" s="1"/>
  <c r="AD146" i="17" a="1"/>
  <c r="AD146" i="17" s="1"/>
  <c r="AD130" i="17" a="1"/>
  <c r="AD130" i="17" s="1"/>
  <c r="AD115" i="17" a="1"/>
  <c r="AD115" i="17" s="1"/>
  <c r="AD203" i="17" a="1"/>
  <c r="AD203" i="17" s="1"/>
  <c r="AD216" i="17" a="1"/>
  <c r="AD216" i="17" s="1"/>
  <c r="AD184" i="17" a="1"/>
  <c r="AD184" i="17" s="1"/>
  <c r="AD187" i="17" a="1"/>
  <c r="AD187" i="17" s="1"/>
  <c r="AD214" i="17" a="1"/>
  <c r="AD214" i="17" s="1"/>
  <c r="AD182" i="17" a="1"/>
  <c r="AD182" i="17" s="1"/>
  <c r="AD191" i="17" a="1"/>
  <c r="AD191" i="17" s="1"/>
  <c r="AD189" i="17" a="1"/>
  <c r="AD189" i="17" s="1"/>
  <c r="AD175" i="17" a="1"/>
  <c r="AD175" i="17" s="1"/>
  <c r="AD196" i="17" a="1"/>
  <c r="AD196" i="17" s="1"/>
  <c r="AD180" i="17" a="1"/>
  <c r="AD180" i="17" s="1"/>
  <c r="AD219" i="17" a="1"/>
  <c r="AD219" i="17" s="1"/>
  <c r="AD210" i="17" a="1"/>
  <c r="AD210" i="17" s="1"/>
  <c r="AD178" i="17" a="1"/>
  <c r="AD178" i="17" s="1"/>
  <c r="AD207" i="17" a="1"/>
  <c r="AD207" i="17" s="1"/>
  <c r="AD199" i="17" a="1"/>
  <c r="AD199" i="17" s="1"/>
  <c r="AD208" i="17" a="1"/>
  <c r="AD208" i="17" s="1"/>
  <c r="AD176" i="17" a="1"/>
  <c r="AD176" i="17" s="1"/>
  <c r="AD209" i="17" a="1"/>
  <c r="AD209" i="17" s="1"/>
  <c r="AD190" i="17" a="1"/>
  <c r="AD190" i="17" s="1"/>
  <c r="AD174" i="17" a="1"/>
  <c r="AD174" i="17" s="1"/>
  <c r="AD193" i="17" a="1"/>
  <c r="AD193" i="17" s="1"/>
  <c r="AD220" i="17" a="1"/>
  <c r="AD220" i="17" s="1"/>
  <c r="AD204" i="17" a="1"/>
  <c r="AD204" i="17" s="1"/>
  <c r="AD188" i="17" a="1"/>
  <c r="AD188" i="17" s="1"/>
  <c r="AD201" i="17" a="1"/>
  <c r="AD201" i="17" s="1"/>
  <c r="AD200" i="17" a="1"/>
  <c r="AD200" i="17" s="1"/>
  <c r="AD217" i="17" a="1"/>
  <c r="AD217" i="17" s="1"/>
  <c r="AD185" i="17" a="1"/>
  <c r="AD185"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tc={7F1A786F-426E-41CC-B3E3-61AD04A8E1A3}</author>
    <author>tc={8AB1E4E1-96EB-456E-AE4D-891BB6A1DD7C}</author>
    <author>tc={943F4A32-B82B-4284-921E-5CD573A85587}</author>
    <author>tc={9A950915-8C07-4ED7-9CEC-CB204BF71681}</author>
    <author>tc={38F5C9AC-A91D-47FA-AF26-7984739E8FB8}</author>
    <author>tc={C2D224DE-29E7-4825-8840-0C3F8781EA73}</author>
    <author>tc={94C4C3E3-EF0D-4C4F-805A-7DB7B29AE183}</author>
    <author>tc={BD666B12-8354-4094-BA0E-89BE07818F87}</author>
    <author>tc={956ED8E5-02E2-42EF-A733-3CE5B324BCA9}</author>
    <author>tc={92E6F6B4-DE3D-4458-9FB7-B43B9079F62C}</author>
  </authors>
  <commentList>
    <comment ref="AZ23" authorId="0" shapeId="0" xr:uid="{7F1A786F-426E-41CC-B3E3-61AD04A8E1A3}">
      <text>
        <t>[Threaded comment]
Your version of Excel allows you to read this threaded comment; however, any edits to it will get removed if the file is opened in a newer version of Excel. Learn more: https://go.microsoft.com/fwlink/?linkid=870924
Comment:
    ANL report, Eq.3.1</t>
      </text>
    </comment>
    <comment ref="AY37" authorId="1" shapeId="0" xr:uid="{8AB1E4E1-96EB-456E-AE4D-891BB6A1DD7C}">
      <text>
        <t>[Threaded comment]
Your version of Excel allows you to read this threaded comment; however, any edits to it will get removed if the file is opened in a newer version of Excel. Learn more: https://go.microsoft.com/fwlink/?linkid=870924
Comment:
    ANL report</t>
      </text>
    </comment>
    <comment ref="AY47" authorId="2" shapeId="0" xr:uid="{943F4A32-B82B-4284-921E-5CD573A85587}">
      <text>
        <t>[Threaded comment]
Your version of Excel allows you to read this threaded comment; however, any edits to it will get removed if the file is opened in a newer version of Excel. Learn more: https://go.microsoft.com/fwlink/?linkid=870924
Comment:
    ANL report, Table 3.9</t>
      </text>
    </comment>
    <comment ref="AY57" authorId="3" shapeId="0" xr:uid="{9A950915-8C07-4ED7-9CEC-CB204BF71681}">
      <text>
        <t>[Threaded comment]
Your version of Excel allows you to read this threaded comment; however, any edits to it will get removed if the file is opened in a newer version of Excel. Learn more: https://go.microsoft.com/fwlink/?linkid=870924
Comment:
    ANL report, Fig ES4</t>
      </text>
    </comment>
    <comment ref="AZ58" authorId="4" shapeId="0" xr:uid="{38F5C9AC-A91D-47FA-AF26-7984739E8FB8}">
      <text>
        <t xml:space="preserve">[Threaded comment]
Your version of Excel allows you to read this threaded comment; however, any edits to it will get removed if the file is opened in a newer version of Excel. Learn more: https://go.microsoft.com/fwlink/?linkid=870924
Comment:
    https://www.fueleconomy.gov/
</t>
      </text>
    </comment>
    <comment ref="BB59" authorId="5" shapeId="0" xr:uid="{C2D224DE-29E7-4825-8840-0C3F8781EA73}">
      <text>
        <t xml:space="preserve">[Threaded comment]
Your version of Excel allows you to read this threaded comment; however, any edits to it will get removed if the file is opened in a newer version of Excel. Learn more: https://go.microsoft.com/fwlink/?linkid=870924
Comment:
    https://www.fueleconomy.gov/
</t>
      </text>
    </comment>
    <comment ref="BA60" authorId="6" shapeId="0" xr:uid="{94C4C3E3-EF0D-4C4F-805A-7DB7B29AE183}">
      <text>
        <t>[Threaded comment]
Your version of Excel allows you to read this threaded comment; however, any edits to it will get removed if the file is opened in a newer version of Excel. Learn more: https://go.microsoft.com/fwlink/?linkid=870924
Comment:
    https://www.fueleconomy.gov/</t>
      </text>
    </comment>
    <comment ref="AY67" authorId="7" shapeId="0" xr:uid="{BD666B12-8354-4094-BA0E-89BE07818F87}">
      <text>
        <t>[Threaded comment]
Your version of Excel allows you to read this threaded comment; however, any edits to it will get removed if the file is opened in a newer version of Excel. Learn more: https://go.microsoft.com/fwlink/?linkid=870924
Comment:
    ANL report, Table 3.16</t>
      </text>
    </comment>
    <comment ref="AY72" authorId="8" shapeId="0" xr:uid="{956ED8E5-02E2-42EF-A733-3CE5B324BCA9}">
      <text>
        <t>[Threaded comment]
Your version of Excel allows you to read this threaded comment; however, any edits to it will get removed if the file is opened in a newer version of Excel. Learn more: https://go.microsoft.com/fwlink/?linkid=870924
Comment:
    ANL report, Table ES-2</t>
      </text>
    </comment>
    <comment ref="AZ80" authorId="9" shapeId="0" xr:uid="{92E6F6B4-DE3D-4458-9FB7-B43B9079F62C}">
      <text>
        <t>[Threaded comment]
Your version of Excel allows you to read this threaded comment; however, any edits to it will get removed if the file is opened in a newer version of Excel. Learn more: https://go.microsoft.com/fwlink/?linkid=870924
Comment:
    Toyota website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tc={8C5CD650-A13C-474A-89AC-79C866F328F7}</author>
  </authors>
  <commentList>
    <comment ref="AA64" authorId="0" shapeId="0" xr:uid="{00000000-0006-0000-0000-000001000000}">
      <text>
        <t xml:space="preserve">[Threaded comment]
Your version of Excel allows you to read this threaded comment; however, any edits to it will get removed if the file is opened in a newer version of Excel. Learn more: https://go.microsoft.com/fwlink/?linkid=870924
Comment:
    This doesn’t need to be changed as these are formulae and we already did change in the connected sheet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tc={01F7F057-34F6-4393-8BC4-ABB79E4D9394}</author>
    <author>tc={83B02F9C-9D80-4EE8-BCFB-0C08FF555A55}</author>
    <author>tc={90CAC214-9691-4C3D-83D9-596A82B59301}</author>
  </authors>
  <commentList>
    <comment ref="B28" authorId="0" shapeId="0" xr:uid="{01F7F057-34F6-4393-8BC4-ABB79E4D9394}">
      <text>
        <t>[Threaded comment]
Your version of Excel allows you to read this threaded comment; however, any edits to it will get removed if the file is opened in a newer version of Excel. Learn more: https://go.microsoft.com/fwlink/?linkid=870924
Comment:
    Source: https://www.policygenius.com/auto-insurance/car-insurance-for-electric-vehicles/</t>
      </text>
    </comment>
    <comment ref="K28" authorId="1" shapeId="0" xr:uid="{83B02F9C-9D80-4EE8-BCFB-0C08FF555A55}">
      <text>
        <t>[Threaded comment]
Your version of Excel allows you to read this threaded comment; however, any edits to it will get removed if the file is opened in a newer version of Excel. Learn more: https://go.microsoft.com/fwlink/?linkid=870924
Comment:
    Source: https://www.policygenius.com/auto-insurance/auto-tax-rate-by-state/</t>
      </text>
    </comment>
    <comment ref="P29" authorId="2" shapeId="0" xr:uid="{90CAC214-9691-4C3D-83D9-596A82B59301}">
      <text>
        <t>[Threaded comment]
Your version of Excel allows you to read this threaded comment; however, any edits to it will get removed if the file is opened in a newer version of Excel. Learn more: https://go.microsoft.com/fwlink/?linkid=870924
Comment:
    Source: ANL report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tc={14BF7441-7904-4371-AC80-212EFE04384E}</author>
  </authors>
  <commentList>
    <comment ref="F3" authorId="0" shapeId="0" xr:uid="{14BF7441-7904-4371-AC80-212EFE04384E}">
      <text>
        <t xml:space="preserve">[Threaded comment]
Your version of Excel allows you to read this threaded comment; however, any edits to it will get removed if the file is opened in a newer version of Excel. Learn more: https://go.microsoft.com/fwlink/?linkid=870924
Comment:
    Alternative Fuels Data Center: Vehicle Registration Counts by State (energy.gov)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tc={F0010F60-85F6-4EAD-8B96-7F9C8A0D404C}</author>
  </authors>
  <commentList>
    <comment ref="B1" authorId="0" shapeId="0" xr:uid="{F0010F60-85F6-4EAD-8B96-7F9C8A0D404C}">
      <text>
        <t>[Threaded comment]
Your version of Excel allows you to read this threaded comment; however, any edits to it will get removed if the file is opened in a newer version of Excel. Learn more: https://go.microsoft.com/fwlink/?linkid=870924
Comment:
    Source: Burnham, A.; Lu, Z.; Wang,
M.; Elgowainy, A. Regional Emissions
Analysis of Light-Duty Battery
Electric Vehicles. Atmosphere 2021, 12,
1482. https://doi.org/10.3390/
atmos12111482</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tc={9817134E-FFEB-4C90-91E7-1E1FFA077AC1}</author>
    <author>tc={0B4641DE-2EDB-4042-B306-A3FEC2E292C5}</author>
    <author>tc={F510CA05-12C1-4F8F-96FC-CC9D7794F499}</author>
  </authors>
  <commentList>
    <comment ref="AF1" authorId="0" shapeId="0" xr:uid="{9817134E-FFEB-4C90-91E7-1E1FFA077AC1}">
      <text>
        <t>[Threaded comment]
Your version of Excel allows you to read this threaded comment; however, any edits to it will get removed if the file is opened in a newer version of Excel. Learn more: https://go.microsoft.com/fwlink/?linkid=870924
Comment:
    Source: http://www.eia.gov/oil_gas/petroleum/data_publications/wrgp/mogas_history.html</t>
      </text>
    </comment>
    <comment ref="AG1" authorId="1" shapeId="0" xr:uid="{0B4641DE-2EDB-4042-B306-A3FEC2E292C5}">
      <text>
        <t xml:space="preserve">[Threaded comment]
Your version of Excel allows you to read this threaded comment; however, any edits to it will get removed if the file is opened in a newer version of Excel. Learn more: https://go.microsoft.com/fwlink/?linkid=870924
Comment:
    Source: Electricity data browser - Average retail price of electricity (eia.gov) </t>
      </text>
    </comment>
    <comment ref="AR2" authorId="2" shapeId="0" xr:uid="{F510CA05-12C1-4F8F-96FC-CC9D7794F499}">
      <text>
        <t>[Threaded comment]
Your version of Excel allows you to read this threaded comment; however, any edits to it will get removed if the file is opened in a newer version of Excel. Learn more: https://go.microsoft.com/fwlink/?linkid=870924
Comment:
    "Levelized Cost of Charging Electric Vehicles in the United States", 2019, NREL.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<sst xmlns="http://schemas.openxmlformats.org/spreadsheetml/2006/main" count="7686" uniqueCount="637">
  <si>
    <t>Code</t>
  </si>
  <si>
    <t>Name</t>
  </si>
  <si>
    <t>Country Group</t>
  </si>
  <si>
    <t>State</t>
  </si>
  <si>
    <t>Unit</t>
  </si>
  <si>
    <t>BEV-$</t>
  </si>
  <si>
    <t>HEV-$</t>
  </si>
  <si>
    <t>ICEV-$</t>
  </si>
  <si>
    <t>CN</t>
  </si>
  <si>
    <t>China</t>
  </si>
  <si>
    <t>Beijing</t>
  </si>
  <si>
    <t>gCO2/km</t>
  </si>
  <si>
    <t>CN</t>
  </si>
  <si>
    <t>China</t>
  </si>
  <si>
    <t>Tianjin</t>
  </si>
  <si>
    <t>gCO2/km</t>
  </si>
  <si>
    <t>CN</t>
  </si>
  <si>
    <t>China</t>
  </si>
  <si>
    <t>Hebei</t>
  </si>
  <si>
    <t>gCO2/km</t>
  </si>
  <si>
    <t>CN</t>
  </si>
  <si>
    <t>China</t>
  </si>
  <si>
    <t>Shanxi</t>
  </si>
  <si>
    <t>gCO2/km</t>
  </si>
  <si>
    <t>CN</t>
  </si>
  <si>
    <t>China</t>
  </si>
  <si>
    <t>Inner Mongolia</t>
  </si>
  <si>
    <t>gCO2/km</t>
  </si>
  <si>
    <t>CN</t>
  </si>
  <si>
    <t>China</t>
  </si>
  <si>
    <t>Shandong</t>
  </si>
  <si>
    <t>gCO2/km</t>
  </si>
  <si>
    <t>CN</t>
  </si>
  <si>
    <t>China</t>
  </si>
  <si>
    <t>Liaoning</t>
  </si>
  <si>
    <t>gCO2/km</t>
  </si>
  <si>
    <t>CN</t>
  </si>
  <si>
    <t>China</t>
  </si>
  <si>
    <t>Jilin</t>
  </si>
  <si>
    <t>gCO2/km</t>
  </si>
  <si>
    <t>CN</t>
  </si>
  <si>
    <t>China</t>
  </si>
  <si>
    <t>Heilongjiang</t>
  </si>
  <si>
    <t>gCO2/km</t>
  </si>
  <si>
    <t>CN</t>
  </si>
  <si>
    <t>China</t>
  </si>
  <si>
    <t>Shanghai</t>
  </si>
  <si>
    <t>gCO2/km</t>
  </si>
  <si>
    <t>CN</t>
  </si>
  <si>
    <t>China</t>
  </si>
  <si>
    <t>Jiangsu</t>
  </si>
  <si>
    <t>gCO2/km</t>
  </si>
  <si>
    <t>CN</t>
  </si>
  <si>
    <t>China</t>
  </si>
  <si>
    <t>Zhejiang</t>
  </si>
  <si>
    <t>gCO2/km</t>
  </si>
  <si>
    <t>CN</t>
  </si>
  <si>
    <t>China</t>
  </si>
  <si>
    <t>Anhui</t>
  </si>
  <si>
    <t>gCO2/km</t>
  </si>
  <si>
    <t>CN</t>
  </si>
  <si>
    <t>China</t>
  </si>
  <si>
    <t>Fujian</t>
  </si>
  <si>
    <t>gCO2/km</t>
  </si>
  <si>
    <t>CN</t>
  </si>
  <si>
    <t>China</t>
  </si>
  <si>
    <t>Jiangxi</t>
  </si>
  <si>
    <t>gCO2/km</t>
  </si>
  <si>
    <t>CN</t>
  </si>
  <si>
    <t>China</t>
  </si>
  <si>
    <t>Henan</t>
  </si>
  <si>
    <t>gCO2/km</t>
  </si>
  <si>
    <t>CN</t>
  </si>
  <si>
    <t>China</t>
  </si>
  <si>
    <t>Hubei</t>
  </si>
  <si>
    <t>gCO2/km</t>
  </si>
  <si>
    <t>CN</t>
  </si>
  <si>
    <t>China</t>
  </si>
  <si>
    <t>Hunan</t>
  </si>
  <si>
    <t>gCO2/km</t>
  </si>
  <si>
    <t>CN</t>
  </si>
  <si>
    <t>China</t>
  </si>
  <si>
    <t>Chongqing</t>
  </si>
  <si>
    <t>gCO2/km</t>
  </si>
  <si>
    <t>CN</t>
  </si>
  <si>
    <t>China</t>
  </si>
  <si>
    <t>Sichuan</t>
  </si>
  <si>
    <t>gCO2/km</t>
  </si>
  <si>
    <t>CN</t>
  </si>
  <si>
    <t>China</t>
  </si>
  <si>
    <t>Guangdong</t>
  </si>
  <si>
    <t>gCO2/km</t>
  </si>
  <si>
    <t>CN</t>
  </si>
  <si>
    <t>China</t>
  </si>
  <si>
    <t>Guangxi</t>
  </si>
  <si>
    <t>gCO2/km</t>
  </si>
  <si>
    <t>CN</t>
  </si>
  <si>
    <t>China</t>
  </si>
  <si>
    <t>Hainan</t>
  </si>
  <si>
    <t>gCO2/km</t>
  </si>
  <si>
    <t>CN</t>
  </si>
  <si>
    <t>China</t>
  </si>
  <si>
    <t>Guizhou</t>
  </si>
  <si>
    <t>gCO2/km</t>
  </si>
  <si>
    <t>CN</t>
  </si>
  <si>
    <t>China</t>
  </si>
  <si>
    <t>Yunnan</t>
  </si>
  <si>
    <t>gCO2/km</t>
  </si>
  <si>
    <t>CN</t>
  </si>
  <si>
    <t>China</t>
  </si>
  <si>
    <t>Tibet</t>
  </si>
  <si>
    <t>gCO2/km</t>
  </si>
  <si>
    <t>CN</t>
  </si>
  <si>
    <t>China</t>
  </si>
  <si>
    <t>Shaanxi</t>
  </si>
  <si>
    <t>gCO2/km</t>
  </si>
  <si>
    <t>CN</t>
  </si>
  <si>
    <t>China</t>
  </si>
  <si>
    <t>Gansu</t>
  </si>
  <si>
    <t>gCO2/km</t>
  </si>
  <si>
    <t>CN</t>
  </si>
  <si>
    <t>China</t>
  </si>
  <si>
    <t>Qinghai</t>
  </si>
  <si>
    <t>gCO2/km</t>
  </si>
  <si>
    <t>CN</t>
  </si>
  <si>
    <t>China</t>
  </si>
  <si>
    <t>Ningxia</t>
  </si>
  <si>
    <t>gCO2/km</t>
  </si>
  <si>
    <t>CN</t>
  </si>
  <si>
    <t>China</t>
  </si>
  <si>
    <t>Xinjiang</t>
  </si>
  <si>
    <t>gCO2/km</t>
  </si>
  <si>
    <t>CN</t>
  </si>
  <si>
    <t>China</t>
  </si>
  <si>
    <t>National Avg</t>
  </si>
  <si>
    <t>gCO2/km</t>
  </si>
  <si>
    <t>BEV Fuel Cycle</t>
  </si>
  <si>
    <t>HEV Fuel Cycle</t>
  </si>
  <si>
    <t>ICEV Fuel Cycle</t>
  </si>
  <si>
    <t>BEV Vehicle Cycle</t>
  </si>
  <si>
    <t>HEV Vehicle Cycle</t>
  </si>
  <si>
    <t>ICEV Vehicle Cycle</t>
  </si>
  <si>
    <t>HEV Abatement Cost ($/t CO2 eq.)</t>
  </si>
  <si>
    <t>BEV Abatement Cost ($/t CO2 eq.)</t>
  </si>
  <si>
    <t>India</t>
  </si>
  <si>
    <t>Jharkhand</t>
  </si>
  <si>
    <t>Himachal Pradesh</t>
  </si>
  <si>
    <t>Gujarat</t>
  </si>
  <si>
    <t>US</t>
  </si>
  <si>
    <t>California</t>
  </si>
  <si>
    <t>VKT</t>
  </si>
  <si>
    <t>±</t>
  </si>
  <si>
    <t>Vehicle sample size</t>
  </si>
  <si>
    <t>Rank</t>
  </si>
  <si>
    <t>Province</t>
  </si>
  <si>
    <t>Total Vehicle Number (10k)</t>
  </si>
  <si>
    <t>Total Vehicle sales (2022)</t>
  </si>
  <si>
    <t>Kentucky</t>
  </si>
  <si>
    <t>Wisconsin</t>
  </si>
  <si>
    <t>West Virginia</t>
  </si>
  <si>
    <t>Wyoming</t>
  </si>
  <si>
    <t>Andhra Pradesh</t>
  </si>
  <si>
    <t>Arunachal Pradesh</t>
  </si>
  <si>
    <t>Assam</t>
  </si>
  <si>
    <t>Bihar</t>
  </si>
  <si>
    <t>Chhattisgarh</t>
  </si>
  <si>
    <t>Goa</t>
  </si>
  <si>
    <t>Haryana</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</si>
  <si>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</si>
  <si>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</si>
  <si>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</si>
  <si>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</si>
  <si>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</si>
  <si>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</si>
  <si>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</si>
  <si>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</si>
  <si>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</si>
  <si>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</si>
  <si>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</si>
  <si>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</si>
  <si>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</si>
  <si>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</si>
  <si>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</si>
  <si>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</si>
  <si>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</si>
  <si>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</si>
  <si>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Jammu and Kashmir</t>
  </si>
  <si>
    <t>Alabama</t>
  </si>
  <si>
    <t>Arkansas</t>
  </si>
  <si>
    <t>Arizona</t>
  </si>
  <si>
    <t>Colorado</t>
  </si>
  <si>
    <t>Connecticut</t>
  </si>
  <si>
    <t>Delaware</t>
  </si>
  <si>
    <t>Florida</t>
  </si>
  <si>
    <t>Georgia</t>
  </si>
  <si>
    <t>Iowa</t>
  </si>
  <si>
    <t>Idaho</t>
  </si>
  <si>
    <t>Illinois</t>
  </si>
  <si>
    <t>Indiana</t>
  </si>
  <si>
    <t>Kansas</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</si>
  <si>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</si>
  <si>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</si>
  <si>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</si>
  <si>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</si>
  <si>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</si>
  <si>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</si>
  <si>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</si>
  <si>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</si>
  <si>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</si>
  <si>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</si>
  <si>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</si>
  <si>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</si>
  <si>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</si>
  <si>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</si>
  <si>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</si>
  <si>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</si>
  <si>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</si>
  <si>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</si>
  <si>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</si>
  <si>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</si>
  <si>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</si>
  <si>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</si>
  <si>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</si>
  <si>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</si>
  <si>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</si>
  <si>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</si>
  <si>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</si>
  <si>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</si>
  <si>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</si>
  <si>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</si>
  <si>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Average Miles Per Driver</t>
  </si>
  <si>
    <t>Alaska</t>
  </si>
  <si>
    <t>District of Columbia</t>
  </si>
  <si>
    <t>Hawaii</t>
  </si>
  <si>
    <t>Electric (EV)</t>
  </si>
  <si>
    <t>Plug-In Hybrid Electric (PHEV)</t>
  </si>
  <si>
    <t>Hybrid Electric (HEV)</t>
  </si>
  <si>
    <t>Biodiesel</t>
  </si>
  <si>
    <t>Ethanol/Flex (E85)</t>
  </si>
  <si>
    <t>Compressed Natural Gas (CNG)</t>
  </si>
  <si>
    <t>Propane</t>
  </si>
  <si>
    <t>Hydrogen</t>
  </si>
  <si>
    <t>Methanol</t>
  </si>
  <si>
    <t>Gasoline</t>
  </si>
  <si>
    <t>Diesel</t>
  </si>
  <si>
    <t>Unknown Fuel</t>
  </si>
  <si>
    <t>H2ICE Vehicle Cycle</t>
  </si>
  <si>
    <t>H2ICE Fuel Cycle</t>
  </si>
  <si>
    <t>H2ICE-$</t>
  </si>
  <si>
    <t>Count</t>
  </si>
  <si>
    <t>H2ICE Abatement Cost ($/t CO2 eq.)</t>
  </si>
  <si>
    <t>ΔCI BEVs and HEVs</t>
  </si>
  <si>
    <t>ICE</t>
  </si>
  <si>
    <t>H2ICE</t>
  </si>
  <si>
    <t>HEV</t>
  </si>
  <si>
    <t>BEV</t>
  </si>
  <si>
    <t>FCV</t>
  </si>
  <si>
    <t>2020 Oil</t>
  </si>
  <si>
    <t>2020 NG</t>
  </si>
  <si>
    <t>2020 Coal</t>
  </si>
  <si>
    <t>2020 Nuclear</t>
  </si>
  <si>
    <t>Biomass</t>
  </si>
  <si>
    <t>2020 Renew</t>
  </si>
  <si>
    <t>Calc1</t>
  </si>
  <si>
    <t>Calc2</t>
  </si>
  <si>
    <t>Calc3</t>
  </si>
  <si>
    <t>Final Delta Abatement cost</t>
  </si>
  <si>
    <t>Tesla Model Y</t>
  </si>
  <si>
    <t>Tesla Model 3</t>
  </si>
  <si>
    <t>Honda Accord</t>
  </si>
  <si>
    <t>Ram 1500</t>
  </si>
  <si>
    <t>Toyota Corolla</t>
  </si>
  <si>
    <t>Toyota Camry</t>
  </si>
  <si>
    <t>Chevrolet Bolt</t>
  </si>
  <si>
    <t>Honda Civic</t>
  </si>
  <si>
    <t>Nissan Leaf</t>
  </si>
  <si>
    <t>Toyota RAV4</t>
  </si>
  <si>
    <t>Chevrolet Silverado</t>
  </si>
  <si>
    <t>Nissan Rogue</t>
  </si>
  <si>
    <t>Subaru Forester</t>
  </si>
  <si>
    <t>Ford Explorer</t>
  </si>
  <si>
    <t>Jeep Grand Cherokee</t>
  </si>
  <si>
    <t>Toyota Highlander</t>
  </si>
  <si>
    <t>Jeep Wrangler</t>
  </si>
  <si>
    <t>Ford Escape</t>
  </si>
  <si>
    <t>Chevrolet Equinox</t>
  </si>
  <si>
    <t>Subaru Outback</t>
  </si>
  <si>
    <t>Toyota Tacoma</t>
  </si>
  <si>
    <t>GMC Sierra</t>
  </si>
  <si>
    <t>Honda CR-V</t>
  </si>
  <si>
    <t>Ford F-150</t>
  </si>
  <si>
    <t>Vehicle</t>
  </si>
  <si>
    <t>Monthly insurance cost</t>
  </si>
  <si>
    <t>Difference from non-EVs</t>
  </si>
  <si>
    <t>EV Monthly cost</t>
  </si>
  <si>
    <t>Annual insurance cost</t>
  </si>
  <si>
    <t>Car tax rate</t>
  </si>
  <si>
    <t>Inflation rate</t>
  </si>
  <si>
    <t>LDV</t>
  </si>
  <si>
    <t>MHDV</t>
  </si>
  <si>
    <t>Discount rate (nominal)</t>
  </si>
  <si>
    <t>Discount rate (real)</t>
  </si>
  <si>
    <t>APR (nominal)</t>
  </si>
  <si>
    <t>APR (real)</t>
  </si>
  <si>
    <t>Down payment</t>
  </si>
  <si>
    <t>Loan maturity term (years)</t>
  </si>
  <si>
    <t>Parameters</t>
  </si>
  <si>
    <t>MSRP</t>
  </si>
  <si>
    <t>ICEV</t>
  </si>
  <si>
    <t>Net vehicle cost</t>
  </si>
  <si>
    <t>Residual value at the end</t>
  </si>
  <si>
    <t>Fuel cost</t>
  </si>
  <si>
    <t>Maintenance &amp; repair cost</t>
  </si>
  <si>
    <t>Insurance and tax cost</t>
  </si>
  <si>
    <t>Life time (years)</t>
  </si>
  <si>
    <t>Retention rate</t>
  </si>
  <si>
    <t>Financing data</t>
  </si>
  <si>
    <t>Year</t>
  </si>
  <si>
    <t>Per mile</t>
  </si>
  <si>
    <t>Per km</t>
  </si>
  <si>
    <t>Maintenance cost</t>
  </si>
  <si>
    <t>Repair cost</t>
  </si>
  <si>
    <t>Ratio to ICEV repair cost</t>
  </si>
  <si>
    <t>First-Year Value Adjustment</t>
  </si>
  <si>
    <t>Annual Depreciation Rates</t>
  </si>
  <si>
    <t>Midsize sedan (miles per gge)</t>
  </si>
  <si>
    <t xml:space="preserve">Toyota Camry </t>
  </si>
  <si>
    <t>N/A</t>
  </si>
  <si>
    <t>Toyota Camry (hybrid)</t>
  </si>
  <si>
    <t>MPGe to mile/kWh</t>
  </si>
  <si>
    <t>Battery capacity (kWh)</t>
  </si>
  <si>
    <t>Other costs</t>
  </si>
  <si>
    <t>Toyota bZ4X</t>
  </si>
  <si>
    <t>Annual Retention rate</t>
  </si>
  <si>
    <t>Final Retention rate</t>
  </si>
  <si>
    <t>Region</t>
  </si>
  <si>
    <t>U.S. Regular Gasoline Prices  (Dollars per Gallon)</t>
  </si>
  <si>
    <t>East Coast Regular  Gasoline Prices  (Dollars per Gallon)</t>
  </si>
  <si>
    <t xml:space="preserve"> New England (PADD 1A) Regular  Gasoline Prices  (Dollars per Gallon)</t>
  </si>
  <si>
    <t xml:space="preserve"> Central Atlantic (PADD 1B) Regular Gasoline Prices  (Dollars per Gallon)</t>
  </si>
  <si>
    <t xml:space="preserve"> Lower Atlantic (PADD 1C) Regular Gasoline Prices  (Dollars per Gallon)</t>
  </si>
  <si>
    <t xml:space="preserve"> Midwest Regular Gasoline Prices  (Dollars per Gallon)</t>
  </si>
  <si>
    <t>Gulf Coast Regular  Gasoline Prices  (Dollars per Gallon)</t>
  </si>
  <si>
    <t xml:space="preserve"> Rocky Mountain Regular  Gasoline Prices  (Dollars per Gallon)</t>
  </si>
  <si>
    <t>West Coast Regular  Gasoline Prices  (Dollars per Gallon)</t>
  </si>
  <si>
    <t>Annual average</t>
  </si>
  <si>
    <t xml:space="preserve">U.S. </t>
  </si>
  <si>
    <t xml:space="preserve">East Coast   </t>
  </si>
  <si>
    <t xml:space="preserve"> New England (PADD 1A)  </t>
  </si>
  <si>
    <t xml:space="preserve"> Central Atlantic (PADD 1B)  </t>
  </si>
  <si>
    <t xml:space="preserve"> Lower Atlantic (PADD 1C)  </t>
  </si>
  <si>
    <t xml:space="preserve"> Midwest  </t>
  </si>
  <si>
    <t xml:space="preserve">Gulf Coast  </t>
  </si>
  <si>
    <t xml:space="preserve"> Rocky Mountain  </t>
  </si>
  <si>
    <t xml:space="preserve">West Coast  </t>
  </si>
  <si>
    <t>EV charge time ratio</t>
  </si>
  <si>
    <t>Residential</t>
  </si>
  <si>
    <t>Commercial</t>
  </si>
  <si>
    <t>Toyota BEV annual cost</t>
  </si>
  <si>
    <t>Toyota BEV monthly cost</t>
  </si>
  <si>
    <t>Toyota HEV annual cost</t>
  </si>
  <si>
    <t>ICEV monthly cost</t>
  </si>
  <si>
    <t>Toyota ICEV monthly cost</t>
  </si>
  <si>
    <t>Ratio of ICEV insurace to MSRP</t>
  </si>
  <si>
    <t>Toyota ICEV annual cost</t>
  </si>
  <si>
    <t>NPV Scaling factor with constant cash flow</t>
  </si>
  <si>
    <t>TCO</t>
  </si>
  <si>
    <t>Amoritized monthly payment</t>
  </si>
  <si>
    <t>Loan term</t>
  </si>
  <si>
    <t>Loan principal</t>
  </si>
  <si>
    <t>Model</t>
  </si>
  <si>
    <t>Number of payment</t>
  </si>
  <si>
    <t>Total interest</t>
  </si>
  <si>
    <t>Reference battery cost ($/kWh)</t>
  </si>
  <si>
    <t>Estimated battery cost ($/kWh)</t>
  </si>
  <si>
    <t>Reference battery capacity (kWh)</t>
  </si>
  <si>
    <t>Estimated battery capacity (kWh)</t>
  </si>
  <si>
    <t>Battery cost difference ($)</t>
  </si>
  <si>
    <t>Hydrogen prices ($/kg)</t>
  </si>
  <si>
    <t>ICEV efficiency</t>
  </si>
  <si>
    <t>H2ICEV efficiency</t>
  </si>
  <si>
    <t>H2ICE (mile/kg)</t>
  </si>
  <si>
    <t>Toyota bZ4X (mile/kWh)</t>
  </si>
  <si>
    <t>H2 energy content (Gge/kg)</t>
  </si>
  <si>
    <t>BEV life-cycle Abatement Cost ($/t CO2 eq.)</t>
  </si>
  <si>
    <t>HEV life-cycle Abatement Cost ($/t CO2 eq.)</t>
  </si>
  <si>
    <t>H2ICE life-cycle Abatement Cost ($/t CO2 eq.)</t>
  </si>
  <si>
    <t>No</t>
  </si>
  <si>
    <t>Hydrogen price ($/kg)</t>
  </si>
  <si>
    <t>H2ICEV</t>
  </si>
  <si>
    <t>Max</t>
  </si>
  <si>
    <t>Min</t>
  </si>
  <si>
    <t>Range</t>
  </si>
  <si>
    <t>Upper bound Bar</t>
  </si>
  <si>
    <t>Lower bound Bar</t>
  </si>
  <si>
    <r>
      <rPr>
        <b/>
        <sz val="11"/>
        <rFont val="Aptos Narrow"/>
        <family val="2"/>
      </rPr>
      <t>∆</t>
    </r>
    <r>
      <rPr>
        <b/>
        <sz val="11"/>
        <rFont val="Calibri"/>
        <family val="2"/>
      </rPr>
      <t>TCO</t>
    </r>
  </si>
  <si>
    <t>Financing options</t>
  </si>
  <si>
    <t>VMT</t>
  </si>
  <si>
    <t>Gasoline prices</t>
  </si>
  <si>
    <t>Battery cost share of MSRP</t>
  </si>
  <si>
    <t>Battery salvage rate</t>
  </si>
  <si>
    <t xml:space="preserve">Insurance cost </t>
  </si>
  <si>
    <t>Fuel economy (MPGe) in 2024</t>
  </si>
  <si>
    <t>MSRP in 2024</t>
  </si>
  <si>
    <t>2023 gasoline prices ($/gal)</t>
  </si>
  <si>
    <t>2023 residential electricity price (cent/kWh)</t>
  </si>
  <si>
    <t>2023 commercial electricity price</t>
  </si>
  <si>
    <t>2023 Oil</t>
  </si>
  <si>
    <t>2023 NG</t>
  </si>
  <si>
    <t>2023 Coal</t>
  </si>
  <si>
    <t>2023 Nuclear</t>
  </si>
  <si>
    <t>2023 Biomass</t>
  </si>
  <si>
    <t>2023 Renew and others</t>
  </si>
  <si>
    <t>H2ICEV capacity (kg)</t>
  </si>
  <si>
    <t>Cost of H2 tank ($/kg)</t>
  </si>
  <si>
    <t>Electricity emission (g/mmBTU)</t>
  </si>
  <si>
    <t>Electricity emission (g/kWh)</t>
  </si>
  <si>
    <t>EPA eGRID data 2022</t>
  </si>
  <si>
    <t>Difference</t>
  </si>
  <si>
    <t>Electricity emission (lb/MWh)</t>
  </si>
  <si>
    <t>2020 BEV fuel cycle emission</t>
  </si>
  <si>
    <t>2023 BEV fuel cycle emission (gCO2/km)</t>
  </si>
  <si>
    <t>M&amp;R cost</t>
  </si>
  <si>
    <t>Insurance&amp;tax</t>
  </si>
  <si>
    <t>GHG abatment</t>
  </si>
  <si>
    <t>2023 average</t>
  </si>
  <si>
    <t>2019 residential electricity price (cent/kWh)</t>
  </si>
  <si>
    <t>2019 commercial electricity price (cent/kWh)</t>
  </si>
  <si>
    <t>2023 commercial electricity price (cent/kWh)</t>
  </si>
  <si>
    <r>
      <rPr>
        <sz val="11"/>
        <rFont val="Aptos Narrow"/>
        <family val="2"/>
      </rPr>
      <t>∆</t>
    </r>
    <r>
      <rPr>
        <sz val="11"/>
        <rFont val="Calibri"/>
        <family val="2"/>
      </rPr>
      <t xml:space="preserve"> residential </t>
    </r>
  </si>
  <si>
    <t xml:space="preserve">Residential </t>
  </si>
  <si>
    <t>O&amp;M</t>
  </si>
  <si>
    <t>2019$ to 2023$</t>
  </si>
  <si>
    <t>CAPEX for charger ($/plug)</t>
  </si>
  <si>
    <t>Annual energy consumption (kWh)</t>
  </si>
  <si>
    <t>Cost of equipment and operation ($/kWh)</t>
  </si>
  <si>
    <t>2023 residential charging cost (cent/kWh)</t>
  </si>
  <si>
    <t>Lifetime</t>
  </si>
  <si>
    <t>Lifetime vs. abatement cost</t>
  </si>
  <si>
    <t>2023 Light-Duty Vehicle Registration Counts by State and Fuel Type</t>
  </si>
  <si>
    <t>Sensitivity Analysis</t>
  </si>
  <si>
    <t>ΔEmissions BEVs and HEVs (million t)</t>
  </si>
  <si>
    <t>ICEV_Adjusted Fuel economy (mile/gge)</t>
  </si>
  <si>
    <t>BEV_Adjusted Fuel economy (mile/kWh)</t>
  </si>
  <si>
    <t>HEV_Adjusted Fuel economy (mile/gge)</t>
  </si>
  <si>
    <t>ICEV Fuel Cycle (g/km) from GREET</t>
  </si>
  <si>
    <t>HEV Fuel Cycle (g/km) from GREET</t>
  </si>
  <si>
    <t>H2ICEV_Adjusted Fuel economy (mile/kg)</t>
  </si>
  <si>
    <t xml:space="preserve">ICEV </t>
  </si>
  <si>
    <t>Vehicle type</t>
  </si>
  <si>
    <t>Average kilometers Per Driver</t>
  </si>
  <si>
    <t>Milage change</t>
  </si>
  <si>
    <t>Total VMT</t>
  </si>
  <si>
    <t>Total</t>
  </si>
  <si>
    <t>ICEV Fuel cost</t>
  </si>
  <si>
    <t>BEV Fuel cost</t>
  </si>
  <si>
    <t>HEV fuel cost</t>
  </si>
  <si>
    <t>H2ICEV fuel cost</t>
  </si>
  <si>
    <t>ICEV M&amp;R cost</t>
  </si>
  <si>
    <t>BEV M&amp;R cost</t>
  </si>
  <si>
    <t>HEV M&amp;R cost</t>
  </si>
  <si>
    <t>H2ICEV M&amp;R cost</t>
  </si>
  <si>
    <t>Electricity emission projection(g/mmBTU)</t>
  </si>
  <si>
    <t>BEV fuel cycle emission projection(g/km)</t>
  </si>
  <si>
    <t>Total emissions (t)</t>
  </si>
  <si>
    <t>Annual state total emissions (million t in 2023)</t>
  </si>
  <si>
    <t>Annual state total emissions (million t  life cycle)</t>
  </si>
  <si>
    <t xml:space="preserve"> Oil</t>
  </si>
  <si>
    <t>NG</t>
  </si>
  <si>
    <t>Coal</t>
  </si>
  <si>
    <t>Nuclear</t>
  </si>
  <si>
    <t>Renew and others</t>
  </si>
  <si>
    <t>Energy sources for grid electricity</t>
  </si>
  <si>
    <t>Scenario Analysis</t>
  </si>
  <si>
    <t>Case: HighNG &amp; LowRNW</t>
  </si>
  <si>
    <t>Case: LowNG &amp; HighRNW</t>
  </si>
  <si>
    <t>Scenario: HighNG &amp; LowRNW</t>
  </si>
  <si>
    <t>Scenario: LowNG &amp; HighRNW</t>
  </si>
  <si>
    <t>BEVs emissions (million t)</t>
  </si>
  <si>
    <t>BEVs emissions (million t) in 2023</t>
  </si>
  <si>
    <t>Scenario: MaxNG</t>
  </si>
  <si>
    <t>Scenario: MaxRNW</t>
  </si>
  <si>
    <t>Case: MaxNG</t>
  </si>
  <si>
    <t>Case: MaxRNW</t>
  </si>
  <si>
    <r>
      <rPr>
        <sz val="11"/>
        <rFont val="Aptos Narrow"/>
        <family val="2"/>
      </rPr>
      <t>∆</t>
    </r>
    <r>
      <rPr>
        <sz val="9.35"/>
        <rFont val="Calibri"/>
        <family val="2"/>
      </rPr>
      <t xml:space="preserve"> TCO</t>
    </r>
    <r>
      <rPr>
        <sz val="11"/>
        <rFont val="Calibri"/>
        <family val="2"/>
      </rPr>
      <t xml:space="preserve"> ($)</t>
    </r>
  </si>
  <si>
    <r>
      <rPr>
        <sz val="11"/>
        <rFont val="Aptos Narrow"/>
        <family val="2"/>
      </rPr>
      <t>∆</t>
    </r>
    <r>
      <rPr>
        <sz val="9.35"/>
        <rFont val="Calibri"/>
        <family val="2"/>
      </rPr>
      <t xml:space="preserve"> TCO</t>
    </r>
    <r>
      <rPr>
        <sz val="11"/>
        <rFont val="Calibri"/>
        <family val="2"/>
      </rPr>
      <t>($)</t>
    </r>
  </si>
  <si>
    <t>Total Δemissions</t>
  </si>
  <si>
    <t>Changes in BEV GHG abatement</t>
  </si>
  <si>
    <t>Charging price</t>
  </si>
  <si>
    <t>ΔGHG abatement cost BEV and HEV ($/t CO2eq)</t>
  </si>
  <si>
    <t>LDV information</t>
  </si>
  <si>
    <t>GHG abatement</t>
  </si>
  <si>
    <t>Powertrain</t>
  </si>
  <si>
    <t>Fuel economy (mile/gal)</t>
  </si>
  <si>
    <t>USER INUT</t>
  </si>
  <si>
    <t>Model Labels</t>
  </si>
  <si>
    <t>CATEGORY</t>
  </si>
  <si>
    <t>PARAMETER</t>
  </si>
  <si>
    <t>CALCULATED RESULT</t>
  </si>
  <si>
    <t>Total GHG (t per vehicle)</t>
  </si>
  <si>
    <t>Vehicle Information</t>
  </si>
  <si>
    <t>Other Details</t>
  </si>
  <si>
    <t>Scenario 1: Energy sources of electricity</t>
  </si>
  <si>
    <t>Scenario 1 Assumptions</t>
  </si>
  <si>
    <t>Scenario: Reference</t>
  </si>
  <si>
    <t xml:space="preserve">Scenario 2: 2023 Registered Vehicle </t>
  </si>
  <si>
    <t>BEV or HEV</t>
  </si>
  <si>
    <t>Others</t>
  </si>
  <si>
    <t>Fuel cycle emission reference</t>
  </si>
  <si>
    <t>GHG (g/km)</t>
  </si>
  <si>
    <t>The technology discussed in this presentation is currently the subject of a pilot program involving Aramco Americas. While the program is technologically viable, it is not yet commercially viable.</t>
  </si>
  <si>
    <t>Disclaimer for Pilot Program</t>
  </si>
  <si>
    <t>Contributers: Enze Jin, Xin He
Aramco Research Center-Detroit</t>
  </si>
  <si>
    <t xml:space="preserve">Forward-looking statements are based on technological viability, not commercial viability. Aramco Americas makes no promises, representations, or guarantees that the technology discussed can be built to scale or can achieve commercial viability. </t>
  </si>
  <si>
    <t>Residential electricity price</t>
  </si>
  <si>
    <t>Commercial electricity price (cent/kWh)</t>
  </si>
  <si>
    <t>Gasoline price ($/gal)</t>
  </si>
  <si>
    <t>Model Year</t>
  </si>
  <si>
    <t>BEV GHG abatement reference</t>
  </si>
  <si>
    <t>PHEV</t>
  </si>
  <si>
    <t>Electric range (miles)</t>
  </si>
  <si>
    <t>Toyota Prius Prime SE (mpg)</t>
  </si>
  <si>
    <t>Toyota Prius Prime SE (mile/kWh)</t>
  </si>
  <si>
    <t>Fleet utility factor</t>
  </si>
  <si>
    <t>Residual value</t>
  </si>
  <si>
    <t>∆TCO</t>
  </si>
  <si>
    <t>PHEV M&amp;R cost</t>
  </si>
  <si>
    <t>PHEV_Adjusted Fuel economy (mile/gge)</t>
  </si>
  <si>
    <t>PHEV_Adjusted Fuel economy (mile/kWh)</t>
  </si>
  <si>
    <t>PHEV Fuel Cycle (g/km) from GREET</t>
  </si>
  <si>
    <t>PHEV Fuel cost</t>
  </si>
  <si>
    <t>PHEV Vehicle Cycle</t>
  </si>
  <si>
    <t>PHEV Fuel Cycle</t>
  </si>
  <si>
    <t>PHEV fuel cycle emission projection(g/km)</t>
  </si>
  <si>
    <t>Model Year ΔCI BEV and HEV (gCO2/km)</t>
  </si>
  <si>
    <t>Scenario: 100%NG</t>
  </si>
  <si>
    <t>Scenario: 100%RNW</t>
  </si>
  <si>
    <t>Scenario:100%RNW</t>
  </si>
  <si>
    <t>Scenario 3: Methane leaking rate</t>
  </si>
  <si>
    <t>Scenario: CH4 leaking 2%</t>
  </si>
  <si>
    <t>Scenario: CH4 leaking 3%</t>
  </si>
  <si>
    <t>Scenario: CH4 leaking 4%</t>
  </si>
  <si>
    <t>Scenario: CH4 leaking 5%</t>
  </si>
  <si>
    <t>Scenario: CH4 leaking 0.5%</t>
  </si>
  <si>
    <t>CH4 leaking rate</t>
  </si>
  <si>
    <t>Ratio to reference</t>
  </si>
  <si>
    <t>1% (reference)</t>
  </si>
  <si>
    <t>0.5%</t>
  </si>
  <si>
    <t>2%</t>
  </si>
  <si>
    <t>3%</t>
  </si>
  <si>
    <t>4%</t>
  </si>
  <si>
    <t>5%</t>
  </si>
  <si>
    <t>ΔLife-cycle Emissions BEV and HEV per vehicle</t>
  </si>
  <si>
    <t>BEV Fuel use</t>
  </si>
  <si>
    <t>Total (kWh)</t>
  </si>
  <si>
    <t xml:space="preserve">∆ TCO($) between BEV and HEV </t>
  </si>
  <si>
    <t>Marginal emissions baseline (million t CO2eq)</t>
  </si>
  <si>
    <t>Marginal emissions difference ( million t CO2eq)</t>
  </si>
  <si>
    <t>ΔLife-cycle GHG BEV and HEV (million t CO2eq)</t>
  </si>
  <si>
    <t>Marginal emissions difference (million t CO2eq) in 2023</t>
  </si>
  <si>
    <t>HEV abatement cost ($/tCO2)</t>
  </si>
  <si>
    <t>Cost effectiveness</t>
  </si>
  <si>
    <t>HEV better</t>
  </si>
  <si>
    <t>BEV abatement cost</t>
  </si>
  <si>
    <t>HEV abatement cost</t>
  </si>
  <si>
    <t>Abatement cost</t>
  </si>
  <si>
    <t>BEV abatement</t>
  </si>
  <si>
    <t>HEV abatement</t>
  </si>
  <si>
    <t>Scenario_lifespan</t>
  </si>
  <si>
    <t>14 years</t>
  </si>
  <si>
    <t>5 years</t>
  </si>
  <si>
    <t>GHG Difference</t>
  </si>
  <si>
    <t>Marginal change in emissions</t>
  </si>
  <si>
    <t>Refence case</t>
  </si>
  <si>
    <t>GHG reduction contribution_transport</t>
  </si>
  <si>
    <t>GHG reduction contribution_allsectors</t>
  </si>
  <si>
    <t>Total on-road vehicle GHG in 2022</t>
  </si>
  <si>
    <t>Total all sectors GHG in 2022</t>
  </si>
  <si>
    <t>1 year</t>
  </si>
  <si>
    <t>BEV life-cycle CI (g CO2eq/km)</t>
  </si>
  <si>
    <t>HEV life-cycle CI (g CO2eq/km)</t>
  </si>
  <si>
    <t>ICEV life-cycle CI (g CO2eq/km)</t>
  </si>
  <si>
    <t>Ratio to 100%NG base</t>
  </si>
  <si>
    <t>Scenario</t>
  </si>
  <si>
    <t>BEV_ref</t>
  </si>
  <si>
    <t>HEV_ref</t>
  </si>
  <si>
    <t>ICEV_ref</t>
  </si>
  <si>
    <t>Life cycle CI</t>
  </si>
  <si>
    <t>ML%</t>
  </si>
  <si>
    <t>BEV_100%NG</t>
  </si>
  <si>
    <t>Charger efficiency</t>
  </si>
  <si>
    <t>GHG reduction contribution_Global</t>
  </si>
  <si>
    <t>Grid emission factor</t>
  </si>
  <si>
    <t>Total GHG</t>
  </si>
  <si>
    <t>Fuel economy</t>
  </si>
  <si>
    <t>BEV Fuel economy vs. abatement cost</t>
  </si>
  <si>
    <t>Comparison between BEVs and HEVs</t>
  </si>
  <si>
    <t xml:space="preserve"> </t>
  </si>
  <si>
    <t>Total light-duty cars GHG in 2022</t>
  </si>
  <si>
    <t>Adjusted GHG Difference</t>
  </si>
  <si>
    <t>Lifespan</t>
  </si>
  <si>
    <t>Required electricity for BEVs per vehicle</t>
  </si>
  <si>
    <t>Required electricity for BEV total vehicles (million GWh)</t>
  </si>
  <si>
    <t>Country</t>
  </si>
  <si>
    <t>BEV required power (million GWh)</t>
  </si>
  <si>
    <t xml:space="preserve">1 year </t>
  </si>
  <si>
    <t>GHG emission penalty</t>
  </si>
  <si>
    <t>Marginal emissions penalty (million t CO2eq)</t>
  </si>
  <si>
    <t>Total GHG reduced (million t)_BEV vs HEV</t>
  </si>
  <si>
    <t>GHG reduction changes</t>
  </si>
  <si>
    <t>GHG reduced (t)_per vehicle</t>
  </si>
  <si>
    <t>GHG emission penalty (million t)</t>
  </si>
  <si>
    <t>Scenario: 100%Coal</t>
  </si>
  <si>
    <t>Energy mix</t>
  </si>
  <si>
    <t>BEV_100%Coal</t>
  </si>
  <si>
    <t>Reference</t>
  </si>
  <si>
    <t>Total global energy related GHG emissions in 2023</t>
  </si>
  <si>
    <t>Total global GHG emissions (including land-use change)in 2023</t>
  </si>
  <si>
    <t>Vehicle cycle</t>
  </si>
  <si>
    <t>Fuel cycle</t>
  </si>
  <si>
    <t>Total Life cycle CI</t>
  </si>
  <si>
    <t>Life cycle stage</t>
  </si>
  <si>
    <t>Annual GHG reduced (million t) BEV vs HEV</t>
  </si>
  <si>
    <t>Annual GHG emission penalty (million t)</t>
  </si>
  <si>
    <t>Required power to regional power generation</t>
  </si>
  <si>
    <t>BEV required power (billion kWh)</t>
  </si>
  <si>
    <t>Power generation (billion kWh)</t>
  </si>
  <si>
    <t>Annual BEV required power (billion kWh)</t>
  </si>
  <si>
    <t>All three countries</t>
  </si>
  <si>
    <t>Worldwide</t>
  </si>
  <si>
    <t>GHG reduction to worldwide emissions</t>
  </si>
  <si>
    <t>BEV abatement cost index ($/tCO2)</t>
  </si>
  <si>
    <t>Cost difference</t>
  </si>
  <si>
    <t>Adjusted Cost Difference</t>
  </si>
  <si>
    <t>HEV_Aramco</t>
  </si>
  <si>
    <t>HEV_BTE 45%</t>
  </si>
  <si>
    <t>HEV_BTE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</si>
</sst>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quot;$&quot;#,##0.00"/>
    <numFmt numFmtId="166" formatCode="&quot;$&quot;#,##0"/>
    <numFmt numFmtId="167" formatCode="mmm\ dd\,\ yyyy"/>
    <numFmt numFmtId="168" formatCode="0.000"/>
    <numFmt numFmtId="169" formatCode="0.0"/>
    <numFmt numFmtId="170" formatCode="0.0%"/>
  </numFmts>
  <fonts count="12" x14ac:knownFonts="1">
    <font>
      <sz val="11"/>
      <name val="Calibri"/>
    </font>
    <font>
      <sz val="11"/>
      <name val="Calibri"/>
      <family val="2"/>
    </font>
    <font>
      <sz val="11"/>
      <name val="Calibri"/>
      <family val="2"/>
    </font>
    <font>
      <sz val="10"/>
      <name val="Arial"/>
      <family val="2"/>
    </font>
    <font>
      <b/>
      <sz val="11"/>
      <name val="Calibri"/>
      <family val="2"/>
    </font>
    <font>
      <b/>
      <sz val="11"/>
      <name val="Aptos Narrow"/>
      <family val="2"/>
    </font>
    <font>
      <sz val="8"/>
      <name val="Calibri"/>
    </font>
    <font>
      <sz val="11"/>
      <name val="Aptos Narrow"/>
      <family val="2"/>
    </font>
    <font>
      <sz val="11"/>
      <color theme="0"/>
      <name val="Calibri"/>
      <family val="2"/>
    </font>
    <font>
      <sz val="9.35"/>
      <name val="Calibri"/>
      <family val="2"/>
    </font>
    <font>
      <sz val="14"/>
      <name val="Calibri"/>
      <family val="2"/>
    </font>
    <font>
      <b/>
      <sz val="14"/>
      <name val="Calibri"/>
      <family val="2"/>
    </font>
  </fonts>
  <fills count="10">
    <fill>
      <patternFill patternType="none"/>
    </fill>
    <fill>
      <patternFill patternType="gray125"/>
    </fill>
    <fill>
      <patternFill patternType="darkGray">
        <fgColor indexed="42"/>
      </patternFill>
    </fill>
    <fill>
      <patternFill patternType="solid">
        <fgColor theme="5"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rgb="FFFF0000"/>
        <bgColor indexed="64"/>
      </patternFill>
    </fill>
    <fill>
      <patternFill patternType="solid">
        <fgColor rgb="FFFFC000"/>
        <bgColor indexed="64"/>
      </patternFill>
    </fill>
  </fills>
  <borders count="20">
    <border>
      <left/>
      <right/>
      <top/>
      <bottom/>
      <diagonal/>
    </border>
    <border>
      <left/>
      <right/>
      <top/>
      <bottom/>
      <diagonal/>
    </border>
    <border>
      <left/>
      <right/>
      <top/>
      <bottom/>
      <diagonal/>
    </border>
    <border>
      <left/>
      <right/>
      <top/>
      <bottom/>
      <diagonal/>
    </border>
    <border>
      <left/>
      <right/>
      <top/>
      <bottom/>
      <diagonal/>
    </border>
    <border>
      <left style="thin">
        <color auto="1"/>
      </left>
      <right/>
      <top/>
      <bottom/>
      <diagonal/>
    </border>
    <border>
      <left style="thin">
        <color indexed="64"/>
      </left>
      <right/>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2" fillId="0" borderId="0" applyFont="0" applyFill="0" applyBorder="0" applyAlignment="0" applyProtection="0"/>
  </cellStyleXfs>
  <cellXfs count="259">
    <xf numFmtId="0" fontId="0" fillId="0" borderId="0" xfId="0"/>
    <xf numFmtId="0" fontId="0" fillId="2" borderId="2" xfId="0" applyFill="1" applyBorder="1"/>
    <xf numFmtId="44" fontId="1" fillId="0" borderId="0" xfId="0" applyNumberFormat="1" applyFont="1"/>
    <xf numFmtId="0" fontId="1" fillId="0" borderId="0" xfId="0" applyFont="1"/>
    <xf numFmtId="44" fontId="1" fillId="0" borderId="2" xfId="1" applyFont="1" applyFill="1" applyBorder="1"/>
    <xf numFmtId="44" fontId="0" fillId="0" borderId="0" xfId="0" applyNumberFormat="1"/>
    <xf numFmtId="0" fontId="0" fillId="0" borderId="2" xfId="0" applyBorder="1"/>
    <xf numFmtId="1" fontId="0" fillId="0" borderId="4" xfId="0" applyNumberFormat="1" applyBorder="1"/>
    <xf numFmtId="44" fontId="0" fillId="0" borderId="2" xfId="1" applyFont="1" applyFill="1" applyBorder="1"/>
    <xf numFmtId="44" fontId="0" fillId="0" borderId="3" xfId="1" applyFont="1" applyFill="1" applyBorder="1"/>
    <xf numFmtId="1" fontId="0" fillId="0" borderId="0" xfId="0" applyNumberFormat="1"/>
    <xf numFmtId="1" fontId="1" fillId="0" borderId="0" xfId="0" applyNumberFormat="1" applyFont="1"/>
    <xf numFmtId="0" fontId="1" fillId="0" borderId="2" xfId="0" applyFont="1" applyBorder="1"/>
    <xf numFmtId="0" fontId="0" fillId="0" borderId="4" xfId="0" applyBorder="1"/>
    <xf numFmtId="0" fontId="1" fillId="0" borderId="4" xfId="0" applyFont="1" applyBorder="1"/>
    <xf numFmtId="44" fontId="0" fillId="0" borderId="0" xfId="1" applyFont="1" applyFill="1"/>
    <xf numFmtId="0" fontId="1" fillId="3" borderId="1" xfId="0" applyFont="1" applyFill="1" applyBorder="1"/>
    <xf numFmtId="44" fontId="1" fillId="3" borderId="1" xfId="0" applyNumberFormat="1" applyFont="1" applyFill="1" applyBorder="1"/>
    <xf numFmtId="0" fontId="1" fillId="3" borderId="0" xfId="0" applyFont="1" applyFill="1"/>
    <xf numFmtId="0" fontId="1" fillId="3" borderId="4" xfId="0" applyFont="1" applyFill="1" applyBorder="1"/>
    <xf numFmtId="3" fontId="0" fillId="0" borderId="0" xfId="0" applyNumberFormat="1"/>
    <xf numFmtId="1" fontId="1" fillId="4" borderId="0" xfId="0" applyNumberFormat="1" applyFont="1" applyFill="1"/>
    <xf numFmtId="9" fontId="0" fillId="0" borderId="0" xfId="0" applyNumberFormat="1"/>
    <xf numFmtId="9" fontId="0" fillId="5" borderId="0" xfId="0" applyNumberFormat="1" applyFill="1"/>
    <xf numFmtId="9" fontId="3" fillId="0" borderId="5" xfId="2" applyFont="1" applyBorder="1" applyAlignment="1"/>
    <xf numFmtId="164" fontId="0" fillId="0" borderId="0" xfId="0" applyNumberFormat="1"/>
    <xf numFmtId="1" fontId="1" fillId="5" borderId="0" xfId="0" applyNumberFormat="1" applyFont="1" applyFill="1"/>
    <xf numFmtId="0" fontId="1" fillId="6" borderId="1" xfId="0" applyFont="1" applyFill="1" applyBorder="1"/>
    <xf numFmtId="0" fontId="1" fillId="6" borderId="4" xfId="0" applyFont="1" applyFill="1" applyBorder="1"/>
    <xf numFmtId="0" fontId="1" fillId="6" borderId="0" xfId="0" applyFont="1" applyFill="1"/>
    <xf numFmtId="44" fontId="1" fillId="6" borderId="1" xfId="0" applyNumberFormat="1" applyFont="1" applyFill="1" applyBorder="1"/>
    <xf numFmtId="44" fontId="0" fillId="5" borderId="0" xfId="0" applyNumberFormat="1" applyFill="1"/>
    <xf numFmtId="6" fontId="0" fillId="0" borderId="0" xfId="0" applyNumberFormat="1"/>
    <xf numFmtId="0" fontId="4" fillId="0" borderId="0" xfId="0" applyFont="1"/>
    <xf numFmtId="10" fontId="0" fillId="0" borderId="0" xfId="0" applyNumberFormat="1"/>
    <xf numFmtId="0" fontId="0" fillId="0" borderId="7" xfId="0" applyBorder="1"/>
    <xf numFmtId="9" fontId="0" fillId="0" borderId="7" xfId="2" applyFont="1" applyBorder="1"/>
    <xf numFmtId="0" fontId="4" fillId="7" borderId="7" xfId="0" applyFont="1" applyFill="1" applyBorder="1"/>
    <xf numFmtId="0" fontId="1" fillId="5" borderId="7" xfId="0" applyFont="1" applyFill="1" applyBorder="1"/>
    <xf numFmtId="0" fontId="1" fillId="0" borderId="10" xfId="0" applyFont="1" applyBorder="1" applyAlignment="1">
      <alignment horizontal="center"/>
    </xf>
    <xf numFmtId="0" fontId="0" fillId="0" borderId="7" xfId="2" applyNumberFormat="1" applyFont="1" applyBorder="1"/>
    <xf numFmtId="165" fontId="0" fillId="0" borderId="7" xfId="1" applyNumberFormat="1" applyFont="1" applyBorder="1"/>
    <xf numFmtId="165" fontId="0" fillId="0" borderId="7" xfId="2" applyNumberFormat="1" applyFont="1" applyBorder="1"/>
    <xf numFmtId="165" fontId="0" fillId="0" borderId="7" xfId="0" applyNumberFormat="1" applyBorder="1"/>
    <xf numFmtId="10" fontId="0" fillId="0" borderId="7" xfId="1" applyNumberFormat="1" applyFont="1" applyBorder="1"/>
    <xf numFmtId="10" fontId="0" fillId="0" borderId="7" xfId="2" applyNumberFormat="1" applyFont="1" applyBorder="1"/>
    <xf numFmtId="9" fontId="0" fillId="0" borderId="7" xfId="0" applyNumberFormat="1" applyBorder="1"/>
    <xf numFmtId="0" fontId="0" fillId="0" borderId="7" xfId="1" applyNumberFormat="1" applyFont="1" applyBorder="1"/>
    <xf numFmtId="0" fontId="0" fillId="0" borderId="7" xfId="0" applyBorder="1" applyAlignment="1">
      <alignment horizontal="right"/>
    </xf>
    <xf numFmtId="0" fontId="1" fillId="0" borderId="7" xfId="0" applyFont="1" applyBorder="1" applyAlignment="1">
      <alignment horizontal="center"/>
    </xf>
    <xf numFmtId="166" fontId="0" fillId="0" borderId="7" xfId="0" applyNumberFormat="1" applyBorder="1"/>
    <xf numFmtId="0" fontId="4" fillId="5" borderId="7" xfId="0" applyFont="1" applyFill="1" applyBorder="1"/>
    <xf numFmtId="0" fontId="0" fillId="7" borderId="7" xfId="0" applyFill="1" applyBorder="1"/>
    <xf numFmtId="166" fontId="0" fillId="0" borderId="0" xfId="0" applyNumberFormat="1"/>
    <xf numFmtId="9" fontId="0" fillId="0" borderId="0" xfId="2" applyFont="1"/>
    <xf numFmtId="166" fontId="0" fillId="0" borderId="0" xfId="1" applyNumberFormat="1" applyFont="1"/>
    <xf numFmtId="167" fontId="0" fillId="0" borderId="0" xfId="0" applyNumberFormat="1"/>
    <xf numFmtId="0" fontId="0" fillId="0" borderId="0" xfId="0" applyAlignment="1">
      <alignment wrapText="1"/>
    </xf>
    <xf numFmtId="168" fontId="0" fillId="0" borderId="0" xfId="0" applyNumberFormat="1"/>
    <xf numFmtId="0" fontId="4" fillId="7" borderId="0" xfId="0" applyFont="1" applyFill="1"/>
    <xf numFmtId="166" fontId="0" fillId="0" borderId="13" xfId="0" applyNumberFormat="1" applyBorder="1"/>
    <xf numFmtId="0" fontId="4" fillId="0" borderId="8"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166" fontId="0" fillId="0" borderId="15" xfId="0" applyNumberFormat="1" applyBorder="1"/>
    <xf numFmtId="166" fontId="0" fillId="0" borderId="4" xfId="0" applyNumberFormat="1" applyBorder="1"/>
    <xf numFmtId="166" fontId="0" fillId="0" borderId="16" xfId="0" applyNumberFormat="1" applyBorder="1"/>
    <xf numFmtId="8" fontId="0" fillId="0" borderId="7" xfId="0" applyNumberFormat="1" applyBorder="1"/>
    <xf numFmtId="44" fontId="0" fillId="0" borderId="4" xfId="1" applyFont="1" applyFill="1" applyBorder="1"/>
    <xf numFmtId="10" fontId="0" fillId="0" borderId="0" xfId="2" applyNumberFormat="1" applyFont="1"/>
    <xf numFmtId="0" fontId="0" fillId="0" borderId="17" xfId="0" applyBorder="1"/>
    <xf numFmtId="166" fontId="0" fillId="0" borderId="4" xfId="1" applyNumberFormat="1" applyFont="1" applyBorder="1"/>
    <xf numFmtId="0" fontId="1" fillId="0" borderId="7" xfId="0" applyFont="1" applyBorder="1" applyAlignment="1">
      <alignment horizontal="right"/>
    </xf>
    <xf numFmtId="0" fontId="4" fillId="0" borderId="7" xfId="0" applyFont="1" applyBorder="1"/>
    <xf numFmtId="0" fontId="4" fillId="6" borderId="7" xfId="0" applyFont="1" applyFill="1" applyBorder="1"/>
    <xf numFmtId="2" fontId="4" fillId="6" borderId="7" xfId="0" applyNumberFormat="1" applyFont="1" applyFill="1" applyBorder="1"/>
    <xf numFmtId="44" fontId="1" fillId="7" borderId="1" xfId="0" applyNumberFormat="1" applyFont="1" applyFill="1" applyBorder="1"/>
    <xf numFmtId="9" fontId="0" fillId="6" borderId="7" xfId="2" applyFont="1" applyFill="1" applyBorder="1"/>
    <xf numFmtId="0" fontId="0" fillId="6" borderId="7" xfId="0" applyFill="1" applyBorder="1"/>
    <xf numFmtId="169" fontId="0" fillId="0" borderId="0" xfId="0" applyNumberFormat="1"/>
    <xf numFmtId="0" fontId="4" fillId="8" borderId="7" xfId="0" applyFont="1" applyFill="1" applyBorder="1"/>
    <xf numFmtId="9" fontId="0" fillId="8" borderId="7" xfId="2" applyFont="1" applyFill="1" applyBorder="1"/>
    <xf numFmtId="44" fontId="0" fillId="5" borderId="0" xfId="1" applyFont="1" applyFill="1"/>
    <xf numFmtId="0" fontId="0" fillId="0" borderId="8" xfId="0" applyBorder="1"/>
    <xf numFmtId="9" fontId="3" fillId="0" borderId="4" xfId="2" applyFont="1" applyBorder="1" applyAlignment="1"/>
    <xf numFmtId="0" fontId="0" fillId="0" borderId="7" xfId="2" applyNumberFormat="1" applyFont="1" applyFill="1" applyBorder="1"/>
    <xf numFmtId="0" fontId="4" fillId="7" borderId="7" xfId="0" applyFont="1" applyFill="1" applyBorder="1" applyAlignment="1">
      <alignment wrapText="1"/>
    </xf>
    <xf numFmtId="0" fontId="4" fillId="8" borderId="7" xfId="0" applyFont="1" applyFill="1" applyBorder="1" applyAlignment="1">
      <alignment wrapText="1"/>
    </xf>
    <xf numFmtId="0" fontId="1" fillId="6" borderId="7" xfId="0" applyFont="1" applyFill="1" applyBorder="1" applyAlignment="1">
      <alignment wrapText="1"/>
    </xf>
    <xf numFmtId="169" fontId="0" fillId="0" borderId="7" xfId="0" applyNumberFormat="1" applyBorder="1"/>
    <xf numFmtId="0" fontId="4" fillId="5" borderId="7" xfId="0" applyFont="1" applyFill="1" applyBorder="1" applyAlignment="1">
      <alignment wrapText="1"/>
    </xf>
    <xf numFmtId="9" fontId="0" fillId="0" borderId="7" xfId="2" applyFont="1" applyFill="1" applyBorder="1"/>
    <xf numFmtId="0" fontId="0" fillId="0" borderId="13" xfId="0" applyBorder="1"/>
    <xf numFmtId="0" fontId="0" fillId="0" borderId="14" xfId="0" applyBorder="1"/>
    <xf numFmtId="0" fontId="0" fillId="5" borderId="7" xfId="0" applyFill="1" applyBorder="1"/>
    <xf numFmtId="169" fontId="0" fillId="0" borderId="4" xfId="0" applyNumberFormat="1" applyBorder="1"/>
    <xf numFmtId="169" fontId="0" fillId="0" borderId="13" xfId="0" applyNumberFormat="1" applyBorder="1"/>
    <xf numFmtId="0" fontId="1" fillId="7" borderId="7" xfId="0" applyFont="1" applyFill="1" applyBorder="1"/>
    <xf numFmtId="2" fontId="0" fillId="0" borderId="7" xfId="0" applyNumberFormat="1" applyBorder="1"/>
    <xf numFmtId="2" fontId="0" fillId="0" borderId="0" xfId="0" applyNumberFormat="1"/>
    <xf numFmtId="1" fontId="4" fillId="6" borderId="7" xfId="0" applyNumberFormat="1" applyFont="1" applyFill="1" applyBorder="1" applyAlignment="1">
      <alignment horizontal="right"/>
    </xf>
    <xf numFmtId="0" fontId="0" fillId="7" borderId="8" xfId="0" applyFill="1" applyBorder="1"/>
    <xf numFmtId="0" fontId="0" fillId="0" borderId="5" xfId="0" applyBorder="1"/>
    <xf numFmtId="0" fontId="0" fillId="0" borderId="6" xfId="0" applyBorder="1"/>
    <xf numFmtId="0" fontId="4" fillId="5" borderId="0" xfId="0" applyFont="1" applyFill="1"/>
    <xf numFmtId="0" fontId="4" fillId="5" borderId="0" xfId="0" applyFont="1" applyFill="1" applyAlignment="1">
      <alignment horizontal="center"/>
    </xf>
    <xf numFmtId="2" fontId="0" fillId="0" borderId="19" xfId="0" applyNumberFormat="1" applyBorder="1"/>
    <xf numFmtId="2" fontId="0" fillId="0" borderId="6" xfId="0" applyNumberFormat="1" applyBorder="1"/>
    <xf numFmtId="2" fontId="0" fillId="0" borderId="12" xfId="0" applyNumberFormat="1" applyBorder="1"/>
    <xf numFmtId="2" fontId="0" fillId="0" borderId="17" xfId="0" applyNumberFormat="1" applyBorder="1"/>
    <xf numFmtId="2" fontId="0" fillId="0" borderId="11" xfId="0" applyNumberFormat="1" applyBorder="1"/>
    <xf numFmtId="2" fontId="0" fillId="0" borderId="18" xfId="0" applyNumberFormat="1" applyBorder="1"/>
    <xf numFmtId="0" fontId="4" fillId="5" borderId="5" xfId="0" applyFont="1" applyFill="1" applyBorder="1"/>
    <xf numFmtId="2" fontId="0" fillId="0" borderId="8" xfId="0" applyNumberFormat="1" applyBorder="1"/>
    <xf numFmtId="0" fontId="0" fillId="0" borderId="19" xfId="0" applyBorder="1"/>
    <xf numFmtId="0" fontId="0" fillId="0" borderId="15" xfId="0" applyBorder="1"/>
    <xf numFmtId="1" fontId="0" fillId="0" borderId="15" xfId="0" applyNumberFormat="1" applyBorder="1"/>
    <xf numFmtId="1" fontId="0" fillId="0" borderId="16" xfId="0" applyNumberFormat="1" applyBorder="1"/>
    <xf numFmtId="1" fontId="0" fillId="0" borderId="13" xfId="0" applyNumberFormat="1" applyBorder="1"/>
    <xf numFmtId="0" fontId="0" fillId="0" borderId="12" xfId="0" applyBorder="1"/>
    <xf numFmtId="0" fontId="1" fillId="0" borderId="7" xfId="0" applyFont="1" applyBorder="1" applyAlignment="1">
      <alignment wrapText="1"/>
    </xf>
    <xf numFmtId="0" fontId="4" fillId="5" borderId="17" xfId="0" applyFont="1" applyFill="1" applyBorder="1"/>
    <xf numFmtId="0" fontId="4" fillId="7" borderId="17" xfId="0" applyFont="1" applyFill="1" applyBorder="1"/>
    <xf numFmtId="0" fontId="0" fillId="0" borderId="11" xfId="0" applyBorder="1"/>
    <xf numFmtId="0" fontId="0" fillId="0" borderId="18" xfId="0" applyBorder="1"/>
    <xf numFmtId="169" fontId="0" fillId="0" borderId="15" xfId="0" applyNumberFormat="1" applyBorder="1"/>
    <xf numFmtId="169" fontId="0" fillId="0" borderId="14" xfId="0" applyNumberFormat="1" applyBorder="1"/>
    <xf numFmtId="0" fontId="4" fillId="7" borderId="18" xfId="0" applyFont="1" applyFill="1" applyBorder="1"/>
    <xf numFmtId="9" fontId="0" fillId="0" borderId="4" xfId="0" applyNumberFormat="1" applyBorder="1"/>
    <xf numFmtId="9" fontId="0" fillId="0" borderId="19" xfId="0" applyNumberFormat="1" applyBorder="1"/>
    <xf numFmtId="9" fontId="0" fillId="0" borderId="15" xfId="0" applyNumberFormat="1" applyBorder="1"/>
    <xf numFmtId="9" fontId="0" fillId="0" borderId="16" xfId="0" applyNumberFormat="1" applyBorder="1"/>
    <xf numFmtId="9" fontId="0" fillId="5" borderId="5" xfId="2" applyFont="1" applyFill="1" applyBorder="1"/>
    <xf numFmtId="9" fontId="0" fillId="5" borderId="4" xfId="2" applyFont="1" applyFill="1" applyBorder="1"/>
    <xf numFmtId="9" fontId="0" fillId="0" borderId="13" xfId="0" applyNumberFormat="1" applyBorder="1"/>
    <xf numFmtId="9" fontId="0" fillId="0" borderId="5" xfId="0" applyNumberFormat="1" applyBorder="1"/>
    <xf numFmtId="9" fontId="0" fillId="0" borderId="6" xfId="0" applyNumberFormat="1" applyBorder="1"/>
    <xf numFmtId="9" fontId="0" fillId="0" borderId="12" xfId="0" applyNumberFormat="1" applyBorder="1"/>
    <xf numFmtId="9" fontId="0" fillId="0" borderId="14" xfId="0" applyNumberFormat="1" applyBorder="1"/>
    <xf numFmtId="0" fontId="0" fillId="0" borderId="7" xfId="0" applyBorder="1" applyAlignment="1">
      <alignment horizontal="center"/>
    </xf>
    <xf numFmtId="0" fontId="0" fillId="6" borderId="18" xfId="0" applyFill="1" applyBorder="1"/>
    <xf numFmtId="0" fontId="4" fillId="5" borderId="6" xfId="0" applyFont="1" applyFill="1" applyBorder="1"/>
    <xf numFmtId="9" fontId="0" fillId="6" borderId="14" xfId="2" applyFont="1" applyFill="1" applyBorder="1"/>
    <xf numFmtId="0" fontId="1" fillId="0" borderId="4" xfId="0" applyFont="1" applyBorder="1" applyAlignment="1">
      <alignment horizontal="center"/>
    </xf>
    <xf numFmtId="166" fontId="0" fillId="0" borderId="5" xfId="0" applyNumberFormat="1" applyBorder="1"/>
    <xf numFmtId="166" fontId="0" fillId="0" borderId="12" xfId="0" applyNumberFormat="1" applyBorder="1"/>
    <xf numFmtId="166" fontId="0" fillId="0" borderId="14" xfId="0" applyNumberFormat="1" applyBorder="1"/>
    <xf numFmtId="0" fontId="4" fillId="7" borderId="9" xfId="0" applyFont="1" applyFill="1" applyBorder="1"/>
    <xf numFmtId="0" fontId="4" fillId="7" borderId="15" xfId="0" applyFont="1" applyFill="1" applyBorder="1"/>
    <xf numFmtId="0" fontId="8" fillId="0" borderId="0" xfId="0" applyFont="1"/>
    <xf numFmtId="166" fontId="0" fillId="0" borderId="5" xfId="1" applyNumberFormat="1" applyFont="1" applyBorder="1"/>
    <xf numFmtId="166" fontId="0" fillId="0" borderId="6" xfId="1" applyNumberFormat="1" applyFont="1" applyBorder="1"/>
    <xf numFmtId="166" fontId="0" fillId="0" borderId="12" xfId="1" applyNumberFormat="1" applyFont="1" applyBorder="1"/>
    <xf numFmtId="0" fontId="4" fillId="7" borderId="16" xfId="0" applyFont="1" applyFill="1" applyBorder="1"/>
    <xf numFmtId="0" fontId="4" fillId="5" borderId="7" xfId="0" applyFont="1" applyFill="1" applyBorder="1" applyAlignment="1">
      <alignment horizontal="center"/>
    </xf>
    <xf numFmtId="0" fontId="4" fillId="7" borderId="7" xfId="0" applyFont="1" applyFill="1" applyBorder="1" applyAlignment="1">
      <alignment horizontal="center"/>
    </xf>
    <xf numFmtId="166" fontId="1" fillId="6" borderId="7" xfId="0" applyNumberFormat="1" applyFont="1" applyFill="1" applyBorder="1"/>
    <xf numFmtId="166" fontId="0" fillId="6" borderId="7" xfId="0" applyNumberFormat="1" applyFill="1" applyBorder="1"/>
    <xf numFmtId="1" fontId="0" fillId="6" borderId="7" xfId="0" applyNumberFormat="1" applyFill="1" applyBorder="1"/>
    <xf numFmtId="0" fontId="4" fillId="5" borderId="18" xfId="0" applyFont="1" applyFill="1" applyBorder="1"/>
    <xf numFmtId="169" fontId="0" fillId="0" borderId="12" xfId="0" applyNumberFormat="1" applyBorder="1"/>
    <xf numFmtId="166" fontId="0" fillId="0" borderId="6" xfId="0" applyNumberFormat="1" applyBorder="1"/>
    <xf numFmtId="1" fontId="0" fillId="0" borderId="12" xfId="0" applyNumberFormat="1" applyBorder="1"/>
    <xf numFmtId="1" fontId="0" fillId="0" borderId="14" xfId="0" applyNumberFormat="1" applyBorder="1"/>
    <xf numFmtId="169" fontId="0" fillId="0" borderId="6" xfId="0" applyNumberFormat="1" applyBorder="1"/>
    <xf numFmtId="169" fontId="0" fillId="0" borderId="16" xfId="0" applyNumberFormat="1" applyBorder="1"/>
    <xf numFmtId="0" fontId="4" fillId="6" borderId="17" xfId="0" applyFont="1" applyFill="1" applyBorder="1"/>
    <xf numFmtId="0" fontId="4" fillId="8" borderId="17" xfId="0" applyFont="1" applyFill="1" applyBorder="1"/>
    <xf numFmtId="0" fontId="4" fillId="0" borderId="4" xfId="0" applyFont="1" applyBorder="1" applyAlignment="1">
      <alignment horizontal="center"/>
    </xf>
    <xf numFmtId="0" fontId="4" fillId="0" borderId="19" xfId="0" applyFont="1" applyBorder="1" applyAlignment="1">
      <alignment horizontal="center"/>
    </xf>
    <xf numFmtId="9" fontId="4" fillId="8" borderId="7" xfId="0" applyNumberFormat="1" applyFont="1" applyFill="1" applyBorder="1"/>
    <xf numFmtId="9" fontId="0" fillId="0" borderId="5" xfId="2" applyFont="1" applyFill="1" applyBorder="1"/>
    <xf numFmtId="9" fontId="0" fillId="0" borderId="4" xfId="2" applyFont="1" applyFill="1" applyBorder="1"/>
    <xf numFmtId="0" fontId="4" fillId="7" borderId="11" xfId="0" applyFont="1" applyFill="1" applyBorder="1"/>
    <xf numFmtId="0" fontId="11" fillId="7" borderId="17" xfId="0" applyFont="1" applyFill="1" applyBorder="1" applyAlignment="1">
      <alignment wrapText="1"/>
    </xf>
    <xf numFmtId="0" fontId="10" fillId="0" borderId="11" xfId="0" applyFont="1" applyBorder="1" applyAlignment="1">
      <alignment vertical="center" wrapText="1"/>
    </xf>
    <xf numFmtId="0" fontId="10" fillId="0" borderId="18" xfId="0" applyFont="1" applyBorder="1" applyAlignment="1">
      <alignment vertical="center" wrapText="1"/>
    </xf>
    <xf numFmtId="1" fontId="4" fillId="0" borderId="0" xfId="0" applyNumberFormat="1" applyFont="1"/>
    <xf numFmtId="9" fontId="0" fillId="6" borderId="7" xfId="0" applyNumberFormat="1" applyFill="1" applyBorder="1"/>
    <xf numFmtId="1" fontId="0" fillId="6" borderId="18" xfId="0" applyNumberFormat="1" applyFill="1" applyBorder="1"/>
    <xf numFmtId="0" fontId="0" fillId="0" borderId="7" xfId="0" applyBorder="1" applyAlignment="1">
      <alignment horizontal="right" vertical="center"/>
    </xf>
    <xf numFmtId="2" fontId="4" fillId="6" borderId="7" xfId="0" applyNumberFormat="1" applyFont="1" applyFill="1" applyBorder="1" applyAlignment="1">
      <alignment horizontal="right"/>
    </xf>
    <xf numFmtId="1" fontId="1" fillId="0" borderId="7" xfId="0" applyNumberFormat="1" applyFont="1" applyBorder="1" applyAlignment="1">
      <alignment horizontal="right"/>
    </xf>
    <xf numFmtId="0" fontId="4" fillId="7" borderId="10" xfId="0" applyFont="1" applyFill="1" applyBorder="1" applyAlignment="1">
      <alignment horizontal="center"/>
    </xf>
    <xf numFmtId="0" fontId="1" fillId="0" borderId="17" xfId="0" applyFont="1" applyBorder="1" applyAlignment="1">
      <alignment horizontal="center"/>
    </xf>
    <xf numFmtId="0" fontId="0" fillId="7" borderId="11" xfId="0" applyFill="1" applyBorder="1"/>
    <xf numFmtId="164" fontId="0" fillId="0" borderId="13" xfId="1" applyNumberFormat="1" applyFont="1" applyBorder="1"/>
    <xf numFmtId="164" fontId="0" fillId="0" borderId="14" xfId="1" applyNumberFormat="1" applyFont="1" applyBorder="1"/>
    <xf numFmtId="166" fontId="0" fillId="0" borderId="13" xfId="1" applyNumberFormat="1" applyFont="1" applyBorder="1"/>
    <xf numFmtId="166" fontId="0" fillId="0" borderId="18" xfId="1" applyNumberFormat="1" applyFont="1" applyBorder="1"/>
    <xf numFmtId="166" fontId="0" fillId="0" borderId="14" xfId="1" applyNumberFormat="1" applyFont="1" applyBorder="1"/>
    <xf numFmtId="169" fontId="0" fillId="0" borderId="11" xfId="0" applyNumberFormat="1" applyBorder="1"/>
    <xf numFmtId="169" fontId="0" fillId="0" borderId="18" xfId="0" applyNumberFormat="1" applyBorder="1"/>
    <xf numFmtId="169" fontId="0" fillId="0" borderId="17" xfId="0" applyNumberFormat="1" applyBorder="1"/>
    <xf numFmtId="2" fontId="0" fillId="0" borderId="4" xfId="0" applyNumberFormat="1" applyBorder="1"/>
    <xf numFmtId="170" fontId="4" fillId="8" borderId="7" xfId="2" applyNumberFormat="1" applyFont="1" applyFill="1" applyBorder="1"/>
    <xf numFmtId="170" fontId="0" fillId="0" borderId="0" xfId="2" applyNumberFormat="1" applyFont="1"/>
    <xf numFmtId="170" fontId="0" fillId="0" borderId="7" xfId="2" applyNumberFormat="1" applyFont="1" applyBorder="1"/>
    <xf numFmtId="49" fontId="4" fillId="5" borderId="7" xfId="0" applyNumberFormat="1" applyFont="1" applyFill="1" applyBorder="1"/>
    <xf numFmtId="0" fontId="0" fillId="7" borderId="4" xfId="0" applyFill="1" applyBorder="1" applyAlignment="1">
      <alignment horizontal="center" wrapText="1"/>
    </xf>
    <xf numFmtId="0" fontId="4" fillId="5" borderId="7" xfId="0" applyFont="1" applyFill="1" applyBorder="1" applyAlignment="1">
      <alignment horizontal="center" wrapText="1"/>
    </xf>
    <xf numFmtId="1" fontId="4" fillId="8" borderId="7" xfId="0" applyNumberFormat="1" applyFont="1" applyFill="1" applyBorder="1" applyAlignment="1">
      <alignment horizontal="right" vertical="center"/>
    </xf>
    <xf numFmtId="1" fontId="4" fillId="8" borderId="7" xfId="2" applyNumberFormat="1" applyFont="1" applyFill="1" applyBorder="1" applyAlignment="1">
      <alignment horizontal="right" vertical="center"/>
    </xf>
    <xf numFmtId="0" fontId="4" fillId="5" borderId="7" xfId="0" applyFont="1" applyFill="1" applyBorder="1" applyAlignment="1">
      <alignment horizontal="center" vertical="center" wrapText="1"/>
    </xf>
    <xf numFmtId="2" fontId="0" fillId="6" borderId="7" xfId="0" applyNumberFormat="1" applyFill="1" applyBorder="1"/>
    <xf numFmtId="169" fontId="0" fillId="5" borderId="7" xfId="0" applyNumberFormat="1" applyFill="1" applyBorder="1"/>
    <xf numFmtId="0" fontId="0" fillId="7" borderId="11" xfId="0" applyFill="1" applyBorder="1" applyAlignment="1">
      <alignment horizontal="center" wrapText="1"/>
    </xf>
    <xf numFmtId="0" fontId="0" fillId="7" borderId="7" xfId="0" applyFill="1" applyBorder="1" applyAlignment="1">
      <alignment wrapText="1"/>
    </xf>
    <xf numFmtId="0" fontId="0" fillId="7" borderId="17" xfId="0" applyFill="1" applyBorder="1" applyAlignment="1">
      <alignment wrapText="1"/>
    </xf>
    <xf numFmtId="0" fontId="0" fillId="7" borderId="11" xfId="0" applyFill="1" applyBorder="1" applyAlignment="1">
      <alignment wrapText="1"/>
    </xf>
    <xf numFmtId="0" fontId="1" fillId="7" borderId="7" xfId="0" applyFont="1" applyFill="1" applyBorder="1" applyAlignment="1">
      <alignment wrapText="1"/>
    </xf>
    <xf numFmtId="168" fontId="0" fillId="0" borderId="11" xfId="0" applyNumberFormat="1" applyBorder="1"/>
    <xf numFmtId="1" fontId="0" fillId="0" borderId="11" xfId="0" applyNumberFormat="1" applyBorder="1"/>
    <xf numFmtId="0" fontId="4" fillId="7" borderId="7" xfId="0" applyFont="1" applyFill="1" applyBorder="1" applyAlignment="1">
      <alignment horizontal="center"/>
    </xf>
    <xf numFmtId="0" fontId="4" fillId="7" borderId="17" xfId="0" applyFont="1" applyFill="1" applyBorder="1" applyAlignment="1">
      <alignment horizontal="center"/>
    </xf>
    <xf numFmtId="0" fontId="4" fillId="7" borderId="18" xfId="0" applyFont="1" applyFill="1" applyBorder="1" applyAlignment="1">
      <alignment horizontal="center"/>
    </xf>
    <xf numFmtId="0" fontId="4" fillId="0" borderId="7" xfId="0" applyFont="1" applyBorder="1" applyAlignment="1">
      <alignment horizontal="center"/>
    </xf>
    <xf numFmtId="0" fontId="4" fillId="0" borderId="5"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vertical="center" wrapText="1"/>
    </xf>
    <xf numFmtId="166" fontId="1" fillId="6" borderId="7" xfId="0" applyNumberFormat="1" applyFont="1" applyFill="1" applyBorder="1" applyAlignment="1">
      <alignment horizontal="center"/>
    </xf>
    <xf numFmtId="0" fontId="0" fillId="6" borderId="8" xfId="0" applyFill="1" applyBorder="1" applyAlignment="1">
      <alignment horizontal="center"/>
    </xf>
    <xf numFmtId="0" fontId="0" fillId="6" borderId="10" xfId="0" applyFill="1" applyBorder="1" applyAlignment="1">
      <alignment horizontal="center"/>
    </xf>
    <xf numFmtId="0" fontId="0" fillId="8" borderId="8" xfId="0" applyFill="1" applyBorder="1" applyAlignment="1">
      <alignment horizontal="center"/>
    </xf>
    <xf numFmtId="0" fontId="0" fillId="8" borderId="10" xfId="0" applyFill="1" applyBorder="1" applyAlignment="1">
      <alignment horizontal="center"/>
    </xf>
    <xf numFmtId="0" fontId="4" fillId="0" borderId="19"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5"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4" xfId="0" applyFont="1" applyBorder="1" applyAlignment="1">
      <alignment horizontal="center" vertical="center" wrapText="1"/>
    </xf>
    <xf numFmtId="0" fontId="4" fillId="7" borderId="6" xfId="0" applyFont="1" applyFill="1" applyBorder="1" applyAlignment="1">
      <alignment horizontal="center"/>
    </xf>
    <xf numFmtId="0" fontId="4" fillId="7" borderId="12" xfId="0" applyFont="1" applyFill="1" applyBorder="1" applyAlignment="1">
      <alignment horizontal="center"/>
    </xf>
    <xf numFmtId="0" fontId="4" fillId="7" borderId="14" xfId="0" applyFont="1" applyFill="1" applyBorder="1" applyAlignment="1">
      <alignment horizontal="center"/>
    </xf>
    <xf numFmtId="0" fontId="4" fillId="7" borderId="8" xfId="0" applyFont="1" applyFill="1" applyBorder="1" applyAlignment="1">
      <alignment horizontal="center"/>
    </xf>
    <xf numFmtId="0" fontId="4" fillId="7" borderId="9" xfId="0" applyFont="1" applyFill="1" applyBorder="1" applyAlignment="1">
      <alignment horizontal="center"/>
    </xf>
    <xf numFmtId="0" fontId="4" fillId="7" borderId="10" xfId="0" applyFont="1" applyFill="1" applyBorder="1" applyAlignment="1">
      <alignment horizontal="center"/>
    </xf>
    <xf numFmtId="0" fontId="4" fillId="9" borderId="5" xfId="0" applyFont="1" applyFill="1" applyBorder="1" applyAlignment="1">
      <alignment horizontal="center"/>
    </xf>
    <xf numFmtId="0" fontId="4" fillId="9" borderId="4" xfId="0" applyFont="1" applyFill="1" applyBorder="1" applyAlignment="1">
      <alignment horizontal="center"/>
    </xf>
    <xf numFmtId="0" fontId="4" fillId="9" borderId="13" xfId="0" applyFont="1" applyFill="1" applyBorder="1" applyAlignment="1">
      <alignment horizontal="center"/>
    </xf>
    <xf numFmtId="0" fontId="0" fillId="7" borderId="7" xfId="0" applyFill="1" applyBorder="1" applyAlignment="1">
      <alignment horizontal="center"/>
    </xf>
    <xf numFmtId="0" fontId="4" fillId="7" borderId="4" xfId="0" applyFont="1" applyFill="1" applyBorder="1" applyAlignment="1">
      <alignment horizontal="center"/>
    </xf>
    <xf numFmtId="0" fontId="0" fillId="7" borderId="8" xfId="0" applyFill="1" applyBorder="1" applyAlignment="1">
      <alignment horizontal="center"/>
    </xf>
    <xf numFmtId="0" fontId="0" fillId="7" borderId="9" xfId="0" applyFill="1" applyBorder="1" applyAlignment="1">
      <alignment horizontal="center"/>
    </xf>
    <xf numFmtId="0" fontId="0" fillId="7" borderId="10" xfId="0"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4" fillId="5" borderId="10" xfId="0" applyFont="1" applyFill="1" applyBorder="1" applyAlignment="1">
      <alignment horizontal="center"/>
    </xf>
    <xf numFmtId="0" fontId="0" fillId="7" borderId="12" xfId="0" applyFill="1" applyBorder="1" applyAlignment="1">
      <alignment horizontal="center"/>
    </xf>
    <xf numFmtId="0" fontId="4" fillId="6" borderId="7" xfId="0" applyFont="1" applyFill="1" applyBorder="1" applyAlignment="1">
      <alignment horizontal="center"/>
    </xf>
    <xf numFmtId="0" fontId="4" fillId="5" borderId="19" xfId="0" applyFont="1" applyFill="1" applyBorder="1" applyAlignment="1">
      <alignment horizontal="center"/>
    </xf>
    <xf numFmtId="0" fontId="4" fillId="5" borderId="15" xfId="0" applyFont="1" applyFill="1" applyBorder="1" applyAlignment="1">
      <alignment horizontal="center"/>
    </xf>
    <xf numFmtId="0" fontId="4" fillId="5" borderId="16" xfId="0" applyFont="1" applyFill="1" applyBorder="1" applyAlignment="1">
      <alignment horizontal="center"/>
    </xf>
    <xf numFmtId="0" fontId="4" fillId="7" borderId="5" xfId="0" applyFont="1" applyFill="1" applyBorder="1" applyAlignment="1">
      <alignment horizontal="center"/>
    </xf>
    <xf numFmtId="49" fontId="4" fillId="6" borderId="7" xfId="0" applyNumberFormat="1" applyFont="1" applyFill="1" applyBorder="1" applyAlignment="1">
      <alignment horizontal="center"/>
    </xf>
    <xf numFmtId="0" fontId="4" fillId="7" borderId="0" xfId="0" applyFont="1" applyFill="1" applyAlignment="1">
      <alignment horizontal="center"/>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ICEV TCO</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US_Results!$B$2</c:f>
              <c:strCache>
                <c:ptCount val="1"/>
                <c:pt idx="0">
                  <c:v>Net vehicle cost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US_Results!$B$3:$B$52</c:f>
              <c:numCache>
                <c:formatCode>"$"#,##0</c:formatCode>
                <c:ptCount val="50"/>
                <c:pt idx="0">
                  <c:v>23731.611795719989</c:v>
                </c:pt>
                <c:pt idx="1">
                  <c:v>23731.611795719989</c:v>
                </c:pt>
                <c:pt idx="2">
                  <c:v>23731.611795719989</c:v>
                </c:pt>
                <c:pt idx="3">
                  <c:v>23731.611795719989</c:v>
                </c:pt>
                <c:pt idx="4">
                  <c:v>23731.611795719989</c:v>
                </c:pt>
                <c:pt idx="5">
                  <c:v>23731.611795719989</c:v>
                </c:pt>
                <c:pt idx="6">
                  <c:v>23731.611795719989</c:v>
                </c:pt>
                <c:pt idx="7">
                  <c:v>23731.611795719989</c:v>
                </c:pt>
                <c:pt idx="8">
                  <c:v>23731.611795719989</c:v>
                </c:pt>
                <c:pt idx="9">
                  <c:v>23731.611795719989</c:v>
                </c:pt>
                <c:pt idx="10">
                  <c:v>23731.611795719989</c:v>
                </c:pt>
                <c:pt idx="11">
                  <c:v>23731.611795719989</c:v>
                </c:pt>
                <c:pt idx="12">
                  <c:v>23731.611795719989</c:v>
                </c:pt>
                <c:pt idx="13">
                  <c:v>23731.611795719989</c:v>
                </c:pt>
                <c:pt idx="14">
                  <c:v>23731.611795719989</c:v>
                </c:pt>
                <c:pt idx="15">
                  <c:v>23731.611795719989</c:v>
                </c:pt>
                <c:pt idx="16">
                  <c:v>23731.611795719989</c:v>
                </c:pt>
                <c:pt idx="17">
                  <c:v>23731.611795719989</c:v>
                </c:pt>
                <c:pt idx="18">
                  <c:v>23731.611795719989</c:v>
                </c:pt>
                <c:pt idx="19">
                  <c:v>23731.611795719989</c:v>
                </c:pt>
                <c:pt idx="20">
                  <c:v>23731.611795719989</c:v>
                </c:pt>
                <c:pt idx="21">
                  <c:v>23731.611795719989</c:v>
                </c:pt>
                <c:pt idx="22">
                  <c:v>23731.611795719989</c:v>
                </c:pt>
                <c:pt idx="23">
                  <c:v>23731.611795719989</c:v>
                </c:pt>
                <c:pt idx="24">
                  <c:v>23731.611795719989</c:v>
                </c:pt>
                <c:pt idx="25">
                  <c:v>23731.611795719989</c:v>
                </c:pt>
                <c:pt idx="26">
                  <c:v>23731.611795719989</c:v>
                </c:pt>
                <c:pt idx="27">
                  <c:v>23731.611795719989</c:v>
                </c:pt>
                <c:pt idx="28">
                  <c:v>23731.611795719989</c:v>
                </c:pt>
                <c:pt idx="29">
                  <c:v>23731.611795719989</c:v>
                </c:pt>
                <c:pt idx="30">
                  <c:v>23731.611795719989</c:v>
                </c:pt>
                <c:pt idx="31">
                  <c:v>23731.611795719989</c:v>
                </c:pt>
                <c:pt idx="32">
                  <c:v>23731.611795719989</c:v>
                </c:pt>
                <c:pt idx="33">
                  <c:v>23731.611795719989</c:v>
                </c:pt>
                <c:pt idx="34">
                  <c:v>23731.611795719989</c:v>
                </c:pt>
                <c:pt idx="35">
                  <c:v>23731.611795719989</c:v>
                </c:pt>
                <c:pt idx="36">
                  <c:v>23731.611795719989</c:v>
                </c:pt>
                <c:pt idx="37">
                  <c:v>23731.611795719989</c:v>
                </c:pt>
                <c:pt idx="38">
                  <c:v>23731.611795719989</c:v>
                </c:pt>
                <c:pt idx="39">
                  <c:v>23731.611795719989</c:v>
                </c:pt>
                <c:pt idx="40">
                  <c:v>23731.611795719989</c:v>
                </c:pt>
                <c:pt idx="41">
                  <c:v>23731.611795719989</c:v>
                </c:pt>
                <c:pt idx="42">
                  <c:v>23731.611795719989</c:v>
                </c:pt>
                <c:pt idx="43">
                  <c:v>23731.611795719989</c:v>
                </c:pt>
                <c:pt idx="44">
                  <c:v>23731.611795719989</c:v>
                </c:pt>
                <c:pt idx="45">
                  <c:v>23731.611795719989</c:v>
                </c:pt>
                <c:pt idx="46">
                  <c:v>23731.611795719989</c:v>
                </c:pt>
                <c:pt idx="47">
                  <c:v>23731.611795719989</c:v>
                </c:pt>
                <c:pt idx="48">
                  <c:v>23731.611795719989</c:v>
                </c:pt>
                <c:pt idx="49">
                  <c:v>23731.611795719989</c:v>
                </c:pt>
              </c:numCache>
            </c:numRef>
          </c:val>
          <c:extLst>
            <c:ext xmlns:c16="http://schemas.microsoft.com/office/drawing/2014/chart" uri="{C3380CC4-5D6E-409C-BE32-E72D297353CC}">
              <c16:uniqueId val="{00000000-C2A4-4D0D-B67D-3BEC9F45BA34}"/>
            </c:ext>
          </c:extLst>
        </c:ser>
        <c:ser>
          <c:idx val="1"/>
          <c:order val="1"/>
          <c:tx>
            <c:strRef>
              <c:f>US_Results!$C$2</c:f>
              <c:strCache>
                <c:ptCount val="1"/>
                <c:pt idx="0">
                  <c:v>Fuel cost</c:v>
                </c:pt>
              </c:strCache>
            </c:strRef>
          </c:tx>
          <c:spPr>
            <a:solidFill>
              <a:schemeClr val="accent2"/>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US_Results!$C$3:$C$52</c:f>
              <c:numCache>
                <c:formatCode>"$"#,##0</c:formatCode>
                <c:ptCount val="50"/>
                <c:pt idx="0">
                  <c:v>21182.345434986637</c:v>
                </c:pt>
                <c:pt idx="1">
                  <c:v>22740.385756005438</c:v>
                </c:pt>
                <c:pt idx="2">
                  <c:v>22995.364881085901</c:v>
                </c:pt>
                <c:pt idx="3">
                  <c:v>20598.028824524059</c:v>
                </c:pt>
                <c:pt idx="4">
                  <c:v>21830.18361794564</c:v>
                </c:pt>
                <c:pt idx="5">
                  <c:v>18444.456944455058</c:v>
                </c:pt>
                <c:pt idx="6">
                  <c:v>16539.187970706462</c:v>
                </c:pt>
                <c:pt idx="7">
                  <c:v>17479.546995978206</c:v>
                </c:pt>
                <c:pt idx="8">
                  <c:v>18377.405329824462</c:v>
                </c:pt>
                <c:pt idx="9">
                  <c:v>23100.230217836837</c:v>
                </c:pt>
                <c:pt idx="10">
                  <c:v>20333.109927887934</c:v>
                </c:pt>
                <c:pt idx="11">
                  <c:v>20752.238448240365</c:v>
                </c:pt>
                <c:pt idx="12">
                  <c:v>16628.885496526425</c:v>
                </c:pt>
                <c:pt idx="13">
                  <c:v>23777.334825147595</c:v>
                </c:pt>
                <c:pt idx="14">
                  <c:v>19695.278854197299</c:v>
                </c:pt>
                <c:pt idx="15">
                  <c:v>19517.941220017299</c:v>
                </c:pt>
                <c:pt idx="16">
                  <c:v>21323.12334407412</c:v>
                </c:pt>
                <c:pt idx="17">
                  <c:v>17792.464729765517</c:v>
                </c:pt>
                <c:pt idx="18">
                  <c:v>19812.919463886941</c:v>
                </c:pt>
                <c:pt idx="19">
                  <c:v>18719.011827273484</c:v>
                </c:pt>
                <c:pt idx="20">
                  <c:v>17927.602636829703</c:v>
                </c:pt>
                <c:pt idx="21">
                  <c:v>19201.145410626566</c:v>
                </c:pt>
                <c:pt idx="22">
                  <c:v>24353.969361789608</c:v>
                </c:pt>
                <c:pt idx="23">
                  <c:v>23760.574596648941</c:v>
                </c:pt>
                <c:pt idx="24">
                  <c:v>24362.363719330016</c:v>
                </c:pt>
                <c:pt idx="25">
                  <c:v>22944.460632832452</c:v>
                </c:pt>
                <c:pt idx="26">
                  <c:v>19754.715480857769</c:v>
                </c:pt>
                <c:pt idx="27">
                  <c:v>24837.224925723975</c:v>
                </c:pt>
                <c:pt idx="28">
                  <c:v>16020.114759342798</c:v>
                </c:pt>
                <c:pt idx="29">
                  <c:v>17065.914706884349</c:v>
                </c:pt>
                <c:pt idx="30">
                  <c:v>23088.668303807346</c:v>
                </c:pt>
                <c:pt idx="31">
                  <c:v>14381.621124210398</c:v>
                </c:pt>
                <c:pt idx="32">
                  <c:v>20331.097120598588</c:v>
                </c:pt>
                <c:pt idx="33">
                  <c:v>24052.777779784366</c:v>
                </c:pt>
                <c:pt idx="34">
                  <c:v>18853.742286679317</c:v>
                </c:pt>
                <c:pt idx="35">
                  <c:v>23168.64286615896</c:v>
                </c:pt>
                <c:pt idx="36">
                  <c:v>21755.248749453764</c:v>
                </c:pt>
                <c:pt idx="37">
                  <c:v>16050.768084013602</c:v>
                </c:pt>
                <c:pt idx="38">
                  <c:v>13557.157430748486</c:v>
                </c:pt>
                <c:pt idx="39">
                  <c:v>18843.673552606928</c:v>
                </c:pt>
                <c:pt idx="40">
                  <c:v>20896.775131960676</c:v>
                </c:pt>
                <c:pt idx="41">
                  <c:v>19914.104059542962</c:v>
                </c:pt>
                <c:pt idx="42">
                  <c:v>19339.951355678299</c:v>
                </c:pt>
                <c:pt idx="43">
                  <c:v>22060.001915427776</c:v>
                </c:pt>
                <c:pt idx="44">
                  <c:v>18056.819908625432</c:v>
                </c:pt>
                <c:pt idx="45">
                  <c:v>19140.205652477536</c:v>
                </c:pt>
                <c:pt idx="46">
                  <c:v>19533.028072035126</c:v>
                </c:pt>
                <c:pt idx="47">
                  <c:v>21618.630743892809</c:v>
                </c:pt>
                <c:pt idx="48">
                  <c:v>20842.159065201908</c:v>
                </c:pt>
                <c:pt idx="49">
                  <c:v>34841.893189087554</c:v>
                </c:pt>
              </c:numCache>
            </c:numRef>
          </c:val>
          <c:extLst>
            <c:ext xmlns:c16="http://schemas.microsoft.com/office/drawing/2014/chart" uri="{C3380CC4-5D6E-409C-BE32-E72D297353CC}">
              <c16:uniqueId val="{00000001-C2A4-4D0D-B67D-3BEC9F45BA34}"/>
            </c:ext>
          </c:extLst>
        </c:ser>
        <c:ser>
          <c:idx val="2"/>
          <c:order val="2"/>
          <c:tx>
            <c:strRef>
              <c:f>US_Results!$D$2</c:f>
              <c:strCache>
                <c:ptCount val="1"/>
                <c:pt idx="0">
                  <c:v>M&amp;R cost</c:v>
                </c:pt>
              </c:strCache>
            </c:strRef>
          </c:tx>
          <c:spPr>
            <a:solidFill>
              <a:schemeClr val="accent3"/>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US_Results!$D$3:$D$52</c:f>
              <c:numCache>
                <c:formatCode>"$"#,##0</c:formatCode>
                <c:ptCount val="50"/>
                <c:pt idx="0">
                  <c:v>30378.519953460178</c:v>
                </c:pt>
                <c:pt idx="1">
                  <c:v>18944.588606549703</c:v>
                </c:pt>
                <c:pt idx="2">
                  <c:v>22318.843025806462</c:v>
                </c:pt>
                <c:pt idx="3">
                  <c:v>29367.437148700574</c:v>
                </c:pt>
                <c:pt idx="4">
                  <c:v>21353.796031718874</c:v>
                </c:pt>
                <c:pt idx="5">
                  <c:v>21993.182291052519</c:v>
                </c:pt>
                <c:pt idx="6">
                  <c:v>20659.848811588759</c:v>
                </c:pt>
                <c:pt idx="7">
                  <c:v>21498.723583834504</c:v>
                </c:pt>
                <c:pt idx="8">
                  <c:v>24820.122072319682</c:v>
                </c:pt>
                <c:pt idx="9">
                  <c:v>31260.020476328158</c:v>
                </c:pt>
                <c:pt idx="10">
                  <c:v>19928.390930911071</c:v>
                </c:pt>
                <c:pt idx="11">
                  <c:v>24581.417868835124</c:v>
                </c:pt>
                <c:pt idx="12">
                  <c:v>21450.982743137592</c:v>
                </c:pt>
                <c:pt idx="13">
                  <c:v>30731.46116861235</c:v>
                </c:pt>
                <c:pt idx="14">
                  <c:v>25140.667716998956</c:v>
                </c:pt>
                <c:pt idx="15">
                  <c:v>25202.048797894982</c:v>
                </c:pt>
                <c:pt idx="16">
                  <c:v>27800.514555826918</c:v>
                </c:pt>
                <c:pt idx="17">
                  <c:v>25491.903902126236</c:v>
                </c:pt>
                <c:pt idx="18">
                  <c:v>24237.00180380739</c:v>
                </c:pt>
                <c:pt idx="19">
                  <c:v>23000.855035762343</c:v>
                </c:pt>
                <c:pt idx="20">
                  <c:v>22351.238596279367</c:v>
                </c:pt>
                <c:pt idx="21">
                  <c:v>24393.864566097251</c:v>
                </c:pt>
                <c:pt idx="22">
                  <c:v>30535.382715750024</c:v>
                </c:pt>
                <c:pt idx="23">
                  <c:v>34042.629476948183</c:v>
                </c:pt>
                <c:pt idx="24">
                  <c:v>31578.861090982547</c:v>
                </c:pt>
                <c:pt idx="25">
                  <c:v>27075.876795248783</c:v>
                </c:pt>
                <c:pt idx="26">
                  <c:v>25312.875749512812</c:v>
                </c:pt>
                <c:pt idx="27">
                  <c:v>23897.70082885434</c:v>
                </c:pt>
                <c:pt idx="28">
                  <c:v>19727.19738797408</c:v>
                </c:pt>
                <c:pt idx="29">
                  <c:v>20908.783195222659</c:v>
                </c:pt>
                <c:pt idx="30">
                  <c:v>32663.260186812404</c:v>
                </c:pt>
                <c:pt idx="31">
                  <c:v>17335.040263053805</c:v>
                </c:pt>
                <c:pt idx="32">
                  <c:v>27404.947590052499</c:v>
                </c:pt>
                <c:pt idx="33">
                  <c:v>30129.585569826279</c:v>
                </c:pt>
                <c:pt idx="34">
                  <c:v>24344.418695375447</c:v>
                </c:pt>
                <c:pt idx="35">
                  <c:v>30177.326410523186</c:v>
                </c:pt>
                <c:pt idx="36">
                  <c:v>20832.056844102623</c:v>
                </c:pt>
                <c:pt idx="37">
                  <c:v>19514.068634862866</c:v>
                </c:pt>
                <c:pt idx="38">
                  <c:v>16983.804077926521</c:v>
                </c:pt>
                <c:pt idx="39">
                  <c:v>25474.853601877334</c:v>
                </c:pt>
                <c:pt idx="40">
                  <c:v>26497.871616811171</c:v>
                </c:pt>
                <c:pt idx="41">
                  <c:v>26064.793990489179</c:v>
                </c:pt>
                <c:pt idx="42">
                  <c:v>27573.745562516582</c:v>
                </c:pt>
                <c:pt idx="43">
                  <c:v>26455.245866188925</c:v>
                </c:pt>
                <c:pt idx="44">
                  <c:v>22172.210443665947</c:v>
                </c:pt>
                <c:pt idx="45">
                  <c:v>24738.280631124973</c:v>
                </c:pt>
                <c:pt idx="46">
                  <c:v>18668.373742517571</c:v>
                </c:pt>
                <c:pt idx="47">
                  <c:v>28774.086700038948</c:v>
                </c:pt>
                <c:pt idx="48">
                  <c:v>26329.073644347081</c:v>
                </c:pt>
                <c:pt idx="49">
                  <c:v>41038.367669070722</c:v>
                </c:pt>
              </c:numCache>
            </c:numRef>
          </c:val>
          <c:extLst>
            <c:ext xmlns:c16="http://schemas.microsoft.com/office/drawing/2014/chart" uri="{C3380CC4-5D6E-409C-BE32-E72D297353CC}">
              <c16:uniqueId val="{00000002-C2A4-4D0D-B67D-3BEC9F45BA34}"/>
            </c:ext>
          </c:extLst>
        </c:ser>
        <c:ser>
          <c:idx val="3"/>
          <c:order val="3"/>
          <c:tx>
            <c:strRef>
              <c:f>US_Results!$E$2</c:f>
              <c:strCache>
                <c:ptCount val="1"/>
                <c:pt idx="0">
                  <c:v>Insurance&amp;tax</c:v>
                </c:pt>
              </c:strCache>
            </c:strRef>
          </c:tx>
          <c:spPr>
            <a:solidFill>
              <a:schemeClr val="accent4"/>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US_Results!$E$3:$E$52</c:f>
              <c:numCache>
                <c:formatCode>"$"#,##0</c:formatCode>
                <c:ptCount val="50"/>
                <c:pt idx="0">
                  <c:v>31184.607825597031</c:v>
                </c:pt>
                <c:pt idx="1">
                  <c:v>24164.59292800496</c:v>
                </c:pt>
                <c:pt idx="2">
                  <c:v>29860.242477743468</c:v>
                </c:pt>
                <c:pt idx="3">
                  <c:v>33425.460117534276</c:v>
                </c:pt>
                <c:pt idx="4">
                  <c:v>34130.536263502894</c:v>
                </c:pt>
                <c:pt idx="5">
                  <c:v>31765.418589576111</c:v>
                </c:pt>
                <c:pt idx="6">
                  <c:v>32389.122825597031</c:v>
                </c:pt>
                <c:pt idx="7">
                  <c:v>33615.214701408753</c:v>
                </c:pt>
                <c:pt idx="8">
                  <c:v>44395.635710833471</c:v>
                </c:pt>
                <c:pt idx="9">
                  <c:v>31740.105915649328</c:v>
                </c:pt>
                <c:pt idx="10">
                  <c:v>21458.784142245531</c:v>
                </c:pt>
                <c:pt idx="11">
                  <c:v>22509.985288214157</c:v>
                </c:pt>
                <c:pt idx="12">
                  <c:v>26669.519073973581</c:v>
                </c:pt>
                <c:pt idx="13">
                  <c:v>25439.691400046799</c:v>
                </c:pt>
                <c:pt idx="14">
                  <c:v>23891.089108109558</c:v>
                </c:pt>
                <c:pt idx="15">
                  <c:v>31767.45629763887</c:v>
                </c:pt>
                <c:pt idx="16">
                  <c:v>38592.622341199567</c:v>
                </c:pt>
                <c:pt idx="17">
                  <c:v>43634.839946854394</c:v>
                </c:pt>
                <c:pt idx="18">
                  <c:v>23034.736816172317</c:v>
                </c:pt>
                <c:pt idx="19">
                  <c:v>33287.010117534272</c:v>
                </c:pt>
                <c:pt idx="20">
                  <c:v>29211.225567795766</c:v>
                </c:pt>
                <c:pt idx="21">
                  <c:v>40748.027307063589</c:v>
                </c:pt>
                <c:pt idx="22">
                  <c:v>27561.868365910825</c:v>
                </c:pt>
                <c:pt idx="23">
                  <c:v>31849.50744360749</c:v>
                </c:pt>
                <c:pt idx="24">
                  <c:v>30641.492151670249</c:v>
                </c:pt>
                <c:pt idx="25">
                  <c:v>28807.003623712088</c:v>
                </c:pt>
                <c:pt idx="26">
                  <c:v>33977.562027481974</c:v>
                </c:pt>
                <c:pt idx="27">
                  <c:v>38055.044667272785</c:v>
                </c:pt>
                <c:pt idx="28">
                  <c:v>22506.589108109558</c:v>
                </c:pt>
                <c:pt idx="29">
                  <c:v>37606.466667272784</c:v>
                </c:pt>
                <c:pt idx="30">
                  <c:v>28256.599803816684</c:v>
                </c:pt>
                <c:pt idx="31">
                  <c:v>37375.620813241403</c:v>
                </c:pt>
                <c:pt idx="32">
                  <c:v>20187.081850308292</c:v>
                </c:pt>
                <c:pt idx="33">
                  <c:v>27704.497893868986</c:v>
                </c:pt>
                <c:pt idx="34">
                  <c:v>21445.957996276913</c:v>
                </c:pt>
                <c:pt idx="35">
                  <c:v>33188.736645492434</c:v>
                </c:pt>
                <c:pt idx="36">
                  <c:v>24661.994073973579</c:v>
                </c:pt>
                <c:pt idx="37">
                  <c:v>31297.405533659792</c:v>
                </c:pt>
                <c:pt idx="38">
                  <c:v>34392.912027481972</c:v>
                </c:pt>
                <c:pt idx="39">
                  <c:v>34004.912409471515</c:v>
                </c:pt>
                <c:pt idx="40">
                  <c:v>29748.803241722548</c:v>
                </c:pt>
                <c:pt idx="41">
                  <c:v>26268.693309994498</c:v>
                </c:pt>
                <c:pt idx="42">
                  <c:v>33024.634353555193</c:v>
                </c:pt>
                <c:pt idx="43">
                  <c:v>28714.164039837604</c:v>
                </c:pt>
                <c:pt idx="44">
                  <c:v>23504.787580151398</c:v>
                </c:pt>
                <c:pt idx="45">
                  <c:v>25645.328691984039</c:v>
                </c:pt>
                <c:pt idx="46">
                  <c:v>29777.851713764387</c:v>
                </c:pt>
                <c:pt idx="47">
                  <c:v>31131.60515167025</c:v>
                </c:pt>
                <c:pt idx="48">
                  <c:v>23062.087198161855</c:v>
                </c:pt>
                <c:pt idx="49">
                  <c:v>28256.599803816684</c:v>
                </c:pt>
              </c:numCache>
            </c:numRef>
          </c:val>
          <c:extLst>
            <c:ext xmlns:c16="http://schemas.microsoft.com/office/drawing/2014/chart" uri="{C3380CC4-5D6E-409C-BE32-E72D297353CC}">
              <c16:uniqueId val="{00000003-C2A4-4D0D-B67D-3BEC9F45BA34}"/>
            </c:ext>
          </c:extLst>
        </c:ser>
        <c:ser>
          <c:idx val="4"/>
          <c:order val="4"/>
          <c:tx>
            <c:strRef>
              <c:f>US_Results!$F$2</c:f>
              <c:strCache>
                <c:ptCount val="1"/>
                <c:pt idx="0">
                  <c:v>Other costs</c:v>
                </c:pt>
              </c:strCache>
            </c:strRef>
          </c:tx>
          <c:spPr>
            <a:solidFill>
              <a:schemeClr val="accent5"/>
            </a:solidFill>
            <a:ln>
              <a:no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US_Results!$F$3:$F$52</c:f>
              <c:numCache>
                <c:formatCode>"$"#,##0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extLst>
            <c:ext xmlns:c16="http://schemas.microsoft.com/office/drawing/2014/chart" uri="{C3380CC4-5D6E-409C-BE32-E72D297353CC}">
              <c16:uniqueId val="{00000004-C2A4-4D0D-B67D-3BEC9F45BA34}"/>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5"/>
          <c:tx>
            <c:strRef>
              <c:f>US_Results!$A$53</c:f>
              <c:strCache>
                <c:ptCount val="1"/>
                <c:pt idx="0">
                  <c:v>National Avg</c:v>
                </c:pt>
              </c:strCache>
            </c:strRef>
          </c:tx>
          <c:spPr>
            <a:ln w="28575" cap="rnd">
              <a:solidFill>
                <a:schemeClr val="accent6"/>
              </a:solidFill>
              <a:round/>
            </a:ln>
            <a:effectLst/>
          </c:spPr>
          <c:marker>
            <c:symbol val="none"/>
          </c:marker>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US_Results!$BU$3:$BU$52</c:f>
              <c:numCache>
                <c:formatCode>0</c:formatCode>
                <c:ptCount val="50"/>
                <c:pt idx="0">
                  <c:v>98050.523542576251</c:v>
                </c:pt>
                <c:pt idx="1">
                  <c:v>98050.523542576251</c:v>
                </c:pt>
                <c:pt idx="2">
                  <c:v>98050.523542576251</c:v>
                </c:pt>
                <c:pt idx="3">
                  <c:v>98050.523542576251</c:v>
                </c:pt>
                <c:pt idx="4">
                  <c:v>98050.523542576251</c:v>
                </c:pt>
                <c:pt idx="5">
                  <c:v>98050.523542576251</c:v>
                </c:pt>
                <c:pt idx="6">
                  <c:v>98050.523542576251</c:v>
                </c:pt>
                <c:pt idx="7">
                  <c:v>98050.523542576251</c:v>
                </c:pt>
                <c:pt idx="8">
                  <c:v>98050.523542576251</c:v>
                </c:pt>
                <c:pt idx="9">
                  <c:v>98050.523542576251</c:v>
                </c:pt>
                <c:pt idx="10">
                  <c:v>98050.523542576251</c:v>
                </c:pt>
                <c:pt idx="11">
                  <c:v>98050.523542576251</c:v>
                </c:pt>
                <c:pt idx="12">
                  <c:v>98050.523542576251</c:v>
                </c:pt>
                <c:pt idx="13">
                  <c:v>98050.523542576251</c:v>
                </c:pt>
                <c:pt idx="14">
                  <c:v>98050.523542576251</c:v>
                </c:pt>
                <c:pt idx="15">
                  <c:v>98050.523542576251</c:v>
                </c:pt>
                <c:pt idx="16">
                  <c:v>98050.523542576251</c:v>
                </c:pt>
                <c:pt idx="17">
                  <c:v>98050.523542576251</c:v>
                </c:pt>
                <c:pt idx="18">
                  <c:v>98050.523542576251</c:v>
                </c:pt>
                <c:pt idx="19">
                  <c:v>98050.523542576251</c:v>
                </c:pt>
                <c:pt idx="20">
                  <c:v>98050.523542576251</c:v>
                </c:pt>
                <c:pt idx="21">
                  <c:v>98050.523542576251</c:v>
                </c:pt>
                <c:pt idx="22">
                  <c:v>98050.523542576251</c:v>
                </c:pt>
                <c:pt idx="23">
                  <c:v>98050.523542576251</c:v>
                </c:pt>
                <c:pt idx="24">
                  <c:v>98050.523542576251</c:v>
                </c:pt>
                <c:pt idx="25">
                  <c:v>98050.523542576251</c:v>
                </c:pt>
                <c:pt idx="26">
                  <c:v>98050.523542576251</c:v>
                </c:pt>
                <c:pt idx="27">
                  <c:v>98050.523542576251</c:v>
                </c:pt>
                <c:pt idx="28">
                  <c:v>98050.523542576251</c:v>
                </c:pt>
                <c:pt idx="29">
                  <c:v>98050.523542576251</c:v>
                </c:pt>
                <c:pt idx="30">
                  <c:v>98050.523542576251</c:v>
                </c:pt>
                <c:pt idx="31">
                  <c:v>98050.523542576251</c:v>
                </c:pt>
                <c:pt idx="32">
                  <c:v>98050.523542576251</c:v>
                </c:pt>
                <c:pt idx="33">
                  <c:v>98050.523542576251</c:v>
                </c:pt>
                <c:pt idx="34">
                  <c:v>98050.523542576251</c:v>
                </c:pt>
                <c:pt idx="35">
                  <c:v>98050.523542576251</c:v>
                </c:pt>
                <c:pt idx="36">
                  <c:v>98050.523542576251</c:v>
                </c:pt>
                <c:pt idx="37">
                  <c:v>98050.523542576251</c:v>
                </c:pt>
                <c:pt idx="38">
                  <c:v>98050.523542576251</c:v>
                </c:pt>
                <c:pt idx="39">
                  <c:v>98050.523542576251</c:v>
                </c:pt>
                <c:pt idx="40">
                  <c:v>98050.523542576251</c:v>
                </c:pt>
                <c:pt idx="41">
                  <c:v>98050.523542576251</c:v>
                </c:pt>
                <c:pt idx="42">
                  <c:v>98050.523542576251</c:v>
                </c:pt>
                <c:pt idx="43">
                  <c:v>98050.523542576251</c:v>
                </c:pt>
                <c:pt idx="44">
                  <c:v>98050.523542576251</c:v>
                </c:pt>
                <c:pt idx="45">
                  <c:v>98050.523542576251</c:v>
                </c:pt>
                <c:pt idx="46">
                  <c:v>98050.523542576251</c:v>
                </c:pt>
                <c:pt idx="47">
                  <c:v>98050.523542576251</c:v>
                </c:pt>
                <c:pt idx="48">
                  <c:v>98050.523542576251</c:v>
                </c:pt>
                <c:pt idx="49">
                  <c:v>98050.523542576251</c:v>
                </c:pt>
              </c:numCache>
            </c:numRef>
          </c:val>
          <c:smooth val="0"/>
          <c:extLst>
            <c:ext xmlns:c16="http://schemas.microsoft.com/office/drawing/2014/chart" uri="{C3380CC4-5D6E-409C-BE32-E72D297353CC}">
              <c16:uniqueId val="{00000007-C2A4-4D0D-B67D-3BEC9F45BA34}"/>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accent6"/>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BEV TCO</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US_Results!$J$2</c:f>
              <c:strCache>
                <c:ptCount val="1"/>
                <c:pt idx="0">
                  <c:v>Net vehicle cost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US_Results!$J$3:$J$52</c:f>
              <c:numCache>
                <c:formatCode>"$"#,##0</c:formatCode>
                <c:ptCount val="50"/>
                <c:pt idx="0">
                  <c:v>40967.546942691188</c:v>
                </c:pt>
                <c:pt idx="1">
                  <c:v>40967.546942691188</c:v>
                </c:pt>
                <c:pt idx="2">
                  <c:v>40967.546942691188</c:v>
                </c:pt>
                <c:pt idx="3">
                  <c:v>40967.546942691188</c:v>
                </c:pt>
                <c:pt idx="4">
                  <c:v>40967.546942691188</c:v>
                </c:pt>
                <c:pt idx="5">
                  <c:v>40967.546942691188</c:v>
                </c:pt>
                <c:pt idx="6">
                  <c:v>40967.546942691188</c:v>
                </c:pt>
                <c:pt idx="7">
                  <c:v>40967.546942691188</c:v>
                </c:pt>
                <c:pt idx="8">
                  <c:v>40967.546942691188</c:v>
                </c:pt>
                <c:pt idx="9">
                  <c:v>40967.546942691188</c:v>
                </c:pt>
                <c:pt idx="10">
                  <c:v>40967.546942691188</c:v>
                </c:pt>
                <c:pt idx="11">
                  <c:v>40967.546942691188</c:v>
                </c:pt>
                <c:pt idx="12">
                  <c:v>40967.546942691188</c:v>
                </c:pt>
                <c:pt idx="13">
                  <c:v>40967.546942691188</c:v>
                </c:pt>
                <c:pt idx="14">
                  <c:v>40967.546942691188</c:v>
                </c:pt>
                <c:pt idx="15">
                  <c:v>40967.546942691188</c:v>
                </c:pt>
                <c:pt idx="16">
                  <c:v>40967.546942691188</c:v>
                </c:pt>
                <c:pt idx="17">
                  <c:v>40967.546942691188</c:v>
                </c:pt>
                <c:pt idx="18">
                  <c:v>40967.546942691188</c:v>
                </c:pt>
                <c:pt idx="19">
                  <c:v>40967.546942691188</c:v>
                </c:pt>
                <c:pt idx="20">
                  <c:v>40967.546942691188</c:v>
                </c:pt>
                <c:pt idx="21">
                  <c:v>40967.546942691188</c:v>
                </c:pt>
                <c:pt idx="22">
                  <c:v>40967.546942691188</c:v>
                </c:pt>
                <c:pt idx="23">
                  <c:v>40967.546942691188</c:v>
                </c:pt>
                <c:pt idx="24">
                  <c:v>40967.546942691188</c:v>
                </c:pt>
                <c:pt idx="25">
                  <c:v>40967.546942691188</c:v>
                </c:pt>
                <c:pt idx="26">
                  <c:v>40967.546942691188</c:v>
                </c:pt>
                <c:pt idx="27">
                  <c:v>40967.546942691188</c:v>
                </c:pt>
                <c:pt idx="28">
                  <c:v>40967.546942691188</c:v>
                </c:pt>
                <c:pt idx="29">
                  <c:v>40967.546942691188</c:v>
                </c:pt>
                <c:pt idx="30">
                  <c:v>40967.546942691188</c:v>
                </c:pt>
                <c:pt idx="31">
                  <c:v>40967.546942691188</c:v>
                </c:pt>
                <c:pt idx="32">
                  <c:v>40967.546942691188</c:v>
                </c:pt>
                <c:pt idx="33">
                  <c:v>40967.546942691188</c:v>
                </c:pt>
                <c:pt idx="34">
                  <c:v>40967.546942691188</c:v>
                </c:pt>
                <c:pt idx="35">
                  <c:v>40967.546942691188</c:v>
                </c:pt>
                <c:pt idx="36">
                  <c:v>40967.546942691188</c:v>
                </c:pt>
                <c:pt idx="37">
                  <c:v>40967.546942691188</c:v>
                </c:pt>
                <c:pt idx="38">
                  <c:v>40967.546942691188</c:v>
                </c:pt>
                <c:pt idx="39">
                  <c:v>40967.546942691188</c:v>
                </c:pt>
                <c:pt idx="40">
                  <c:v>40967.546942691188</c:v>
                </c:pt>
                <c:pt idx="41">
                  <c:v>40967.546942691188</c:v>
                </c:pt>
                <c:pt idx="42">
                  <c:v>40967.546942691188</c:v>
                </c:pt>
                <c:pt idx="43">
                  <c:v>40967.546942691188</c:v>
                </c:pt>
                <c:pt idx="44">
                  <c:v>40967.546942691188</c:v>
                </c:pt>
                <c:pt idx="45">
                  <c:v>40967.546942691188</c:v>
                </c:pt>
                <c:pt idx="46">
                  <c:v>40967.546942691188</c:v>
                </c:pt>
                <c:pt idx="47">
                  <c:v>40967.546942691188</c:v>
                </c:pt>
                <c:pt idx="48">
                  <c:v>40967.546942691188</c:v>
                </c:pt>
                <c:pt idx="49">
                  <c:v>40967.546942691188</c:v>
                </c:pt>
              </c:numCache>
            </c:numRef>
          </c:val>
          <c:extLst>
            <c:ext xmlns:c16="http://schemas.microsoft.com/office/drawing/2014/chart" uri="{C3380CC4-5D6E-409C-BE32-E72D297353CC}">
              <c16:uniqueId val="{00000000-11B5-4C7D-A7BF-838F06F3E51C}"/>
            </c:ext>
          </c:extLst>
        </c:ser>
        <c:ser>
          <c:idx val="1"/>
          <c:order val="1"/>
          <c:tx>
            <c:strRef>
              <c:f>US_Results!$K$2</c:f>
              <c:strCache>
                <c:ptCount val="1"/>
                <c:pt idx="0">
                  <c:v>Fuel cost</c:v>
                </c:pt>
              </c:strCache>
            </c:strRef>
          </c:tx>
          <c:spPr>
            <a:solidFill>
              <a:schemeClr val="accent2"/>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US_Results!$K$3:$K$52</c:f>
              <c:numCache>
                <c:formatCode>"$"#,##0</c:formatCode>
                <c:ptCount val="50"/>
                <c:pt idx="0">
                  <c:v>14769.476918898186</c:v>
                </c:pt>
                <c:pt idx="1">
                  <c:v>22472.309466161507</c:v>
                </c:pt>
                <c:pt idx="2">
                  <c:v>10832.584538825424</c:v>
                </c:pt>
                <c:pt idx="3">
                  <c:v>12915.809927283542</c:v>
                </c:pt>
                <c:pt idx="4">
                  <c:v>16498.107386033953</c:v>
                </c:pt>
                <c:pt idx="5">
                  <c:v>11888.971984222351</c:v>
                </c:pt>
                <c:pt idx="6">
                  <c:v>17463.258312405156</c:v>
                </c:pt>
                <c:pt idx="7">
                  <c:v>11071.916383954363</c:v>
                </c:pt>
                <c:pt idx="8">
                  <c:v>11736.445892362304</c:v>
                </c:pt>
                <c:pt idx="9">
                  <c:v>14383.856747221771</c:v>
                </c:pt>
                <c:pt idx="10">
                  <c:v>20636.796898384873</c:v>
                </c:pt>
                <c:pt idx="11">
                  <c:v>11538.118984631934</c:v>
                </c:pt>
                <c:pt idx="12">
                  <c:v>11465.750283842508</c:v>
                </c:pt>
                <c:pt idx="13">
                  <c:v>16306.972359132653</c:v>
                </c:pt>
                <c:pt idx="14">
                  <c:v>12922.507693619138</c:v>
                </c:pt>
                <c:pt idx="15">
                  <c:v>12570.919836385438</c:v>
                </c:pt>
                <c:pt idx="16">
                  <c:v>12934.246869360666</c:v>
                </c:pt>
                <c:pt idx="17">
                  <c:v>10610.485726310199</c:v>
                </c:pt>
                <c:pt idx="18">
                  <c:v>20149.817564391313</c:v>
                </c:pt>
                <c:pt idx="19">
                  <c:v>12312.964204782291</c:v>
                </c:pt>
                <c:pt idx="20">
                  <c:v>18862.787725423172</c:v>
                </c:pt>
                <c:pt idx="21">
                  <c:v>15518.35641277682</c:v>
                </c:pt>
                <c:pt idx="22">
                  <c:v>17571.750717115723</c:v>
                </c:pt>
                <c:pt idx="23">
                  <c:v>15679.645165818385</c:v>
                </c:pt>
                <c:pt idx="24">
                  <c:v>14870.354926124579</c:v>
                </c:pt>
                <c:pt idx="25">
                  <c:v>14137.09668616968</c:v>
                </c:pt>
                <c:pt idx="26">
                  <c:v>11744.492860495777</c:v>
                </c:pt>
                <c:pt idx="27">
                  <c:v>12966.752251545513</c:v>
                </c:pt>
                <c:pt idx="28">
                  <c:v>16841.415970617243</c:v>
                </c:pt>
                <c:pt idx="29">
                  <c:v>12094.71151549338</c:v>
                </c:pt>
                <c:pt idx="30">
                  <c:v>16239.590688889051</c:v>
                </c:pt>
                <c:pt idx="31">
                  <c:v>12352.677166593661</c:v>
                </c:pt>
                <c:pt idx="32">
                  <c:v>12439.892647144588</c:v>
                </c:pt>
                <c:pt idx="33">
                  <c:v>14897.086028813781</c:v>
                </c:pt>
                <c:pt idx="34">
                  <c:v>12935.080347317693</c:v>
                </c:pt>
                <c:pt idx="35">
                  <c:v>13328.223268699909</c:v>
                </c:pt>
                <c:pt idx="36">
                  <c:v>10108.217643092512</c:v>
                </c:pt>
                <c:pt idx="37">
                  <c:v>11277.885067746691</c:v>
                </c:pt>
                <c:pt idx="38">
                  <c:v>13607.002010605915</c:v>
                </c:pt>
                <c:pt idx="39">
                  <c:v>12015.173264349492</c:v>
                </c:pt>
                <c:pt idx="40">
                  <c:v>13354.516341819499</c:v>
                </c:pt>
                <c:pt idx="41">
                  <c:v>11910.806215762674</c:v>
                </c:pt>
                <c:pt idx="42">
                  <c:v>12739.392772603383</c:v>
                </c:pt>
                <c:pt idx="43">
                  <c:v>12073.862605143129</c:v>
                </c:pt>
                <c:pt idx="44">
                  <c:v>15932.079571720024</c:v>
                </c:pt>
                <c:pt idx="45">
                  <c:v>11868.479420502354</c:v>
                </c:pt>
                <c:pt idx="46">
                  <c:v>8505.6772639848987</c:v>
                </c:pt>
                <c:pt idx="47">
                  <c:v>14234.201221789541</c:v>
                </c:pt>
                <c:pt idx="48">
                  <c:v>15943.357962817798</c:v>
                </c:pt>
                <c:pt idx="49">
                  <c:v>20555.465256071479</c:v>
                </c:pt>
              </c:numCache>
            </c:numRef>
          </c:val>
          <c:extLst>
            <c:ext xmlns:c16="http://schemas.microsoft.com/office/drawing/2014/chart" uri="{C3380CC4-5D6E-409C-BE32-E72D297353CC}">
              <c16:uniqueId val="{00000001-11B5-4C7D-A7BF-838F06F3E51C}"/>
            </c:ext>
          </c:extLst>
        </c:ser>
        <c:ser>
          <c:idx val="2"/>
          <c:order val="2"/>
          <c:tx>
            <c:strRef>
              <c:f>US_Results!$L$2</c:f>
              <c:strCache>
                <c:ptCount val="1"/>
                <c:pt idx="0">
                  <c:v>M&amp;R cost</c:v>
                </c:pt>
              </c:strCache>
            </c:strRef>
          </c:tx>
          <c:spPr>
            <a:solidFill>
              <a:schemeClr val="accent3"/>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US_Results!$L$3:$L$52</c:f>
              <c:numCache>
                <c:formatCode>"$"#,##0</c:formatCode>
                <c:ptCount val="50"/>
                <c:pt idx="0">
                  <c:v>18916.553559672364</c:v>
                </c:pt>
                <c:pt idx="1">
                  <c:v>11796.701274149387</c:v>
                </c:pt>
                <c:pt idx="2">
                  <c:v>13897.832749402885</c:v>
                </c:pt>
                <c:pt idx="3">
                  <c:v>18286.957316708584</c:v>
                </c:pt>
                <c:pt idx="4">
                  <c:v>13296.902777197996</c:v>
                </c:pt>
                <c:pt idx="5">
                  <c:v>13695.045426627032</c:v>
                </c:pt>
                <c:pt idx="6">
                  <c:v>12864.785288351013</c:v>
                </c:pt>
                <c:pt idx="7">
                  <c:v>13387.14844440191</c:v>
                </c:pt>
                <c:pt idx="8">
                  <c:v>15455.366793969277</c:v>
                </c:pt>
                <c:pt idx="9">
                  <c:v>19465.459559018524</c:v>
                </c:pt>
                <c:pt idx="10">
                  <c:v>12409.310097404199</c:v>
                </c:pt>
                <c:pt idx="11">
                  <c:v>15306.726871515768</c:v>
                </c:pt>
                <c:pt idx="12">
                  <c:v>13357.420459911211</c:v>
                </c:pt>
                <c:pt idx="13">
                  <c:v>19136.328302157188</c:v>
                </c:pt>
                <c:pt idx="14">
                  <c:v>15654.968975549698</c:v>
                </c:pt>
                <c:pt idx="15">
                  <c:v>15693.190669894886</c:v>
                </c:pt>
                <c:pt idx="16">
                  <c:v>17311.24239717449</c:v>
                </c:pt>
                <c:pt idx="17">
                  <c:v>15873.682004302715</c:v>
                </c:pt>
                <c:pt idx="18">
                  <c:v>15092.260697689995</c:v>
                </c:pt>
                <c:pt idx="19">
                  <c:v>14322.518242127193</c:v>
                </c:pt>
                <c:pt idx="20">
                  <c:v>13918.005310307288</c:v>
                </c:pt>
                <c:pt idx="21">
                  <c:v>15189.938361016584</c:v>
                </c:pt>
                <c:pt idx="22">
                  <c:v>19014.231222998958</c:v>
                </c:pt>
                <c:pt idx="23">
                  <c:v>21198.176369333691</c:v>
                </c:pt>
                <c:pt idx="24">
                  <c:v>19664.000026867139</c:v>
                </c:pt>
                <c:pt idx="25">
                  <c:v>16860.014061154918</c:v>
                </c:pt>
                <c:pt idx="26">
                  <c:v>15762.202062462586</c:v>
                </c:pt>
                <c:pt idx="27">
                  <c:v>14880.979665059651</c:v>
                </c:pt>
                <c:pt idx="28">
                  <c:v>12284.027877050527</c:v>
                </c:pt>
                <c:pt idx="29">
                  <c:v>13019.795493195386</c:v>
                </c:pt>
                <c:pt idx="30">
                  <c:v>20339.249960298788</c:v>
                </c:pt>
                <c:pt idx="31">
                  <c:v>10794.443511320027</c:v>
                </c:pt>
                <c:pt idx="32">
                  <c:v>17064.92481139439</c:v>
                </c:pt>
                <c:pt idx="33">
                  <c:v>18761.543354827994</c:v>
                </c:pt>
                <c:pt idx="34">
                  <c:v>15159.148662794076</c:v>
                </c:pt>
                <c:pt idx="35">
                  <c:v>18791.27133931869</c:v>
                </c:pt>
                <c:pt idx="36">
                  <c:v>12972.018375263902</c:v>
                </c:pt>
                <c:pt idx="37">
                  <c:v>12151.313660574182</c:v>
                </c:pt>
                <c:pt idx="38">
                  <c:v>10575.730482567009</c:v>
                </c:pt>
                <c:pt idx="39">
                  <c:v>15863.06486698461</c:v>
                </c:pt>
                <c:pt idx="40">
                  <c:v>16500.093106071068</c:v>
                </c:pt>
                <c:pt idx="41">
                  <c:v>16230.417818191134</c:v>
                </c:pt>
                <c:pt idx="42">
                  <c:v>17170.034470843657</c:v>
                </c:pt>
                <c:pt idx="43">
                  <c:v>16473.5502627758</c:v>
                </c:pt>
                <c:pt idx="44">
                  <c:v>13806.525368467162</c:v>
                </c:pt>
                <c:pt idx="45">
                  <c:v>15404.404534842361</c:v>
                </c:pt>
                <c:pt idx="46">
                  <c:v>11624.703649596044</c:v>
                </c:pt>
                <c:pt idx="47">
                  <c:v>17917.480938038439</c:v>
                </c:pt>
                <c:pt idx="48">
                  <c:v>16394.983446621802</c:v>
                </c:pt>
                <c:pt idx="49">
                  <c:v>25554.387810953252</c:v>
                </c:pt>
              </c:numCache>
            </c:numRef>
          </c:val>
          <c:extLst>
            <c:ext xmlns:c16="http://schemas.microsoft.com/office/drawing/2014/chart" uri="{C3380CC4-5D6E-409C-BE32-E72D297353CC}">
              <c16:uniqueId val="{00000002-11B5-4C7D-A7BF-838F06F3E51C}"/>
            </c:ext>
          </c:extLst>
        </c:ser>
        <c:ser>
          <c:idx val="3"/>
          <c:order val="3"/>
          <c:tx>
            <c:strRef>
              <c:f>US_Results!$M$2</c:f>
              <c:strCache>
                <c:ptCount val="1"/>
                <c:pt idx="0">
                  <c:v>Insurance&amp;tax</c:v>
                </c:pt>
              </c:strCache>
            </c:strRef>
          </c:tx>
          <c:spPr>
            <a:solidFill>
              <a:schemeClr val="accent4"/>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US_Results!$M$3:$M$52</c:f>
              <c:numCache>
                <c:formatCode>"$"#,##0</c:formatCode>
                <c:ptCount val="50"/>
                <c:pt idx="0">
                  <c:v>36963.62043125186</c:v>
                </c:pt>
                <c:pt idx="1">
                  <c:v>30630.807825597032</c:v>
                </c:pt>
                <c:pt idx="2">
                  <c:v>36358.735465387836</c:v>
                </c:pt>
                <c:pt idx="3">
                  <c:v>43544.181126958989</c:v>
                </c:pt>
                <c:pt idx="4">
                  <c:v>42872.403835021745</c:v>
                </c:pt>
                <c:pt idx="5">
                  <c:v>39838.256161094963</c:v>
                </c:pt>
                <c:pt idx="6">
                  <c:v>43645.376508948531</c:v>
                </c:pt>
                <c:pt idx="7">
                  <c:v>40081.429599000825</c:v>
                </c:pt>
                <c:pt idx="8">
                  <c:v>58250.86550601761</c:v>
                </c:pt>
                <c:pt idx="9">
                  <c:v>36795.9150833983</c:v>
                </c:pt>
                <c:pt idx="10">
                  <c:v>25555.792164025879</c:v>
                </c:pt>
                <c:pt idx="11">
                  <c:v>26582.992546015419</c:v>
                </c:pt>
                <c:pt idx="12">
                  <c:v>33090.181297638868</c:v>
                </c:pt>
                <c:pt idx="13">
                  <c:v>31158.702095753928</c:v>
                </c:pt>
                <c:pt idx="14">
                  <c:v>29965.701331774846</c:v>
                </c:pt>
                <c:pt idx="15">
                  <c:v>40228.173487168184</c:v>
                </c:pt>
                <c:pt idx="16">
                  <c:v>47308.040294707949</c:v>
                </c:pt>
                <c:pt idx="17">
                  <c:v>54598.87363020589</c:v>
                </c:pt>
                <c:pt idx="18">
                  <c:v>27694.045601931739</c:v>
                </c:pt>
                <c:pt idx="19">
                  <c:v>41007.625779105423</c:v>
                </c:pt>
                <c:pt idx="20">
                  <c:v>35312.287409471515</c:v>
                </c:pt>
                <c:pt idx="21">
                  <c:v>50126.646788530139</c:v>
                </c:pt>
                <c:pt idx="22">
                  <c:v>33262.423061617948</c:v>
                </c:pt>
                <c:pt idx="23">
                  <c:v>45716.737620781176</c:v>
                </c:pt>
                <c:pt idx="24">
                  <c:v>39084.68410517864</c:v>
                </c:pt>
                <c:pt idx="25">
                  <c:v>35936.42004926232</c:v>
                </c:pt>
                <c:pt idx="26">
                  <c:v>42284.479217011285</c:v>
                </c:pt>
                <c:pt idx="27">
                  <c:v>46287.510710833471</c:v>
                </c:pt>
                <c:pt idx="28">
                  <c:v>28641.203241722549</c:v>
                </c:pt>
                <c:pt idx="29">
                  <c:v>44097.573272927606</c:v>
                </c:pt>
                <c:pt idx="30">
                  <c:v>34011.611645492434</c:v>
                </c:pt>
                <c:pt idx="31">
                  <c:v>42467.431126958989</c:v>
                </c:pt>
                <c:pt idx="32">
                  <c:v>22472.286052193234</c:v>
                </c:pt>
                <c:pt idx="33">
                  <c:v>33613.309735544732</c:v>
                </c:pt>
                <c:pt idx="34">
                  <c:v>25977.916400046801</c:v>
                </c:pt>
                <c:pt idx="35">
                  <c:v>39657.400397115889</c:v>
                </c:pt>
                <c:pt idx="36">
                  <c:v>28807.003623712088</c:v>
                </c:pt>
                <c:pt idx="37">
                  <c:v>38354.819667272779</c:v>
                </c:pt>
                <c:pt idx="38">
                  <c:v>43925.331508948533</c:v>
                </c:pt>
                <c:pt idx="39">
                  <c:v>40742.726161094964</c:v>
                </c:pt>
                <c:pt idx="40">
                  <c:v>36001.216229366917</c:v>
                </c:pt>
                <c:pt idx="41">
                  <c:v>33645.707825597034</c:v>
                </c:pt>
                <c:pt idx="42">
                  <c:v>38959.895813241405</c:v>
                </c:pt>
                <c:pt idx="43">
                  <c:v>35239.106645492437</c:v>
                </c:pt>
                <c:pt idx="44">
                  <c:v>29733.199803816686</c:v>
                </c:pt>
                <c:pt idx="45">
                  <c:v>37558.024667272781</c:v>
                </c:pt>
                <c:pt idx="46">
                  <c:v>36414.764701408756</c:v>
                </c:pt>
                <c:pt idx="47">
                  <c:v>39349.621959210017</c:v>
                </c:pt>
                <c:pt idx="48">
                  <c:v>27810.296365910825</c:v>
                </c:pt>
                <c:pt idx="49">
                  <c:v>33680.010881513357</c:v>
                </c:pt>
              </c:numCache>
            </c:numRef>
          </c:val>
          <c:extLst>
            <c:ext xmlns:c16="http://schemas.microsoft.com/office/drawing/2014/chart" uri="{C3380CC4-5D6E-409C-BE32-E72D297353CC}">
              <c16:uniqueId val="{00000003-11B5-4C7D-A7BF-838F06F3E51C}"/>
            </c:ext>
          </c:extLst>
        </c:ser>
        <c:ser>
          <c:idx val="4"/>
          <c:order val="4"/>
          <c:tx>
            <c:strRef>
              <c:f>US_Results!$N$2</c:f>
              <c:strCache>
                <c:ptCount val="1"/>
                <c:pt idx="0">
                  <c:v>Other costs</c:v>
                </c:pt>
              </c:strCache>
            </c:strRef>
          </c:tx>
          <c:spPr>
            <a:solidFill>
              <a:schemeClr val="accent5"/>
            </a:solidFill>
            <a:ln>
              <a:no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US_Results!$N$3:$N$52</c:f>
              <c:numCache>
                <c:formatCode>"$"#,##0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extLst>
            <c:ext xmlns:c16="http://schemas.microsoft.com/office/drawing/2014/chart" uri="{C3380CC4-5D6E-409C-BE32-E72D297353CC}">
              <c16:uniqueId val="{00000004-11B5-4C7D-A7BF-838F06F3E51C}"/>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5"/>
          <c:tx>
            <c:strRef>
              <c:f>US_Results!$A$53</c:f>
              <c:strCache>
                <c:ptCount val="1"/>
                <c:pt idx="0">
                  <c:v>National Avg</c:v>
                </c:pt>
              </c:strCache>
            </c:strRef>
          </c:tx>
          <c:spPr>
            <a:ln w="28575" cap="rnd">
              <a:solidFill>
                <a:schemeClr val="accent6"/>
              </a:solidFill>
              <a:round/>
            </a:ln>
            <a:effectLst/>
          </c:spPr>
          <c:marker>
            <c:symbol val="none"/>
          </c:marker>
          <c:val>
            <c:numRef>
              <c:f>US_Results!$BV$3:$BV$52</c:f>
              <c:numCache>
                <c:formatCode>0</c:formatCode>
                <c:ptCount val="50"/>
                <c:pt idx="0">
                  <c:v>107341.56748661415</c:v>
                </c:pt>
                <c:pt idx="1">
                  <c:v>107341.56748661415</c:v>
                </c:pt>
                <c:pt idx="2">
                  <c:v>107341.56748661415</c:v>
                </c:pt>
                <c:pt idx="3">
                  <c:v>107341.56748661415</c:v>
                </c:pt>
                <c:pt idx="4">
                  <c:v>107341.56748661415</c:v>
                </c:pt>
                <c:pt idx="5">
                  <c:v>107341.56748661415</c:v>
                </c:pt>
                <c:pt idx="6">
                  <c:v>107341.56748661415</c:v>
                </c:pt>
                <c:pt idx="7">
                  <c:v>107341.56748661415</c:v>
                </c:pt>
                <c:pt idx="8">
                  <c:v>107341.56748661415</c:v>
                </c:pt>
                <c:pt idx="9">
                  <c:v>107341.56748661415</c:v>
                </c:pt>
                <c:pt idx="10">
                  <c:v>107341.56748661415</c:v>
                </c:pt>
                <c:pt idx="11">
                  <c:v>107341.56748661415</c:v>
                </c:pt>
                <c:pt idx="12">
                  <c:v>107341.56748661415</c:v>
                </c:pt>
                <c:pt idx="13">
                  <c:v>107341.56748661415</c:v>
                </c:pt>
                <c:pt idx="14">
                  <c:v>107341.56748661415</c:v>
                </c:pt>
                <c:pt idx="15">
                  <c:v>107341.56748661415</c:v>
                </c:pt>
                <c:pt idx="16">
                  <c:v>107341.56748661415</c:v>
                </c:pt>
                <c:pt idx="17">
                  <c:v>107341.56748661415</c:v>
                </c:pt>
                <c:pt idx="18">
                  <c:v>107341.56748661415</c:v>
                </c:pt>
                <c:pt idx="19">
                  <c:v>107341.56748661415</c:v>
                </c:pt>
                <c:pt idx="20">
                  <c:v>107341.56748661415</c:v>
                </c:pt>
                <c:pt idx="21">
                  <c:v>107341.56748661415</c:v>
                </c:pt>
                <c:pt idx="22">
                  <c:v>107341.56748661415</c:v>
                </c:pt>
                <c:pt idx="23">
                  <c:v>107341.56748661415</c:v>
                </c:pt>
                <c:pt idx="24">
                  <c:v>107341.56748661415</c:v>
                </c:pt>
                <c:pt idx="25">
                  <c:v>107341.56748661415</c:v>
                </c:pt>
                <c:pt idx="26">
                  <c:v>107341.56748661415</c:v>
                </c:pt>
                <c:pt idx="27">
                  <c:v>107341.56748661415</c:v>
                </c:pt>
                <c:pt idx="28">
                  <c:v>107341.56748661415</c:v>
                </c:pt>
                <c:pt idx="29">
                  <c:v>107341.56748661415</c:v>
                </c:pt>
                <c:pt idx="30">
                  <c:v>107341.56748661415</c:v>
                </c:pt>
                <c:pt idx="31">
                  <c:v>107341.56748661415</c:v>
                </c:pt>
                <c:pt idx="32">
                  <c:v>107341.56748661415</c:v>
                </c:pt>
                <c:pt idx="33">
                  <c:v>107341.56748661415</c:v>
                </c:pt>
                <c:pt idx="34">
                  <c:v>107341.56748661415</c:v>
                </c:pt>
                <c:pt idx="35">
                  <c:v>107341.56748661415</c:v>
                </c:pt>
                <c:pt idx="36">
                  <c:v>107341.56748661415</c:v>
                </c:pt>
                <c:pt idx="37">
                  <c:v>107341.56748661415</c:v>
                </c:pt>
                <c:pt idx="38">
                  <c:v>107341.56748661415</c:v>
                </c:pt>
                <c:pt idx="39">
                  <c:v>107341.56748661415</c:v>
                </c:pt>
                <c:pt idx="40">
                  <c:v>107341.56748661415</c:v>
                </c:pt>
                <c:pt idx="41">
                  <c:v>107341.56748661415</c:v>
                </c:pt>
                <c:pt idx="42">
                  <c:v>107341.56748661415</c:v>
                </c:pt>
                <c:pt idx="43">
                  <c:v>107341.56748661415</c:v>
                </c:pt>
                <c:pt idx="44">
                  <c:v>107341.56748661415</c:v>
                </c:pt>
                <c:pt idx="45">
                  <c:v>107341.56748661415</c:v>
                </c:pt>
                <c:pt idx="46">
                  <c:v>107341.56748661415</c:v>
                </c:pt>
                <c:pt idx="47">
                  <c:v>107341.56748661415</c:v>
                </c:pt>
                <c:pt idx="48">
                  <c:v>107341.56748661415</c:v>
                </c:pt>
                <c:pt idx="49">
                  <c:v>107341.56748661415</c:v>
                </c:pt>
              </c:numCache>
            </c:numRef>
          </c:val>
          <c:smooth val="0"/>
          <c:extLst>
            <c:ext xmlns:c16="http://schemas.microsoft.com/office/drawing/2014/chart" uri="{C3380CC4-5D6E-409C-BE32-E72D297353CC}">
              <c16:uniqueId val="{00000006-11B5-4C7D-A7BF-838F06F3E51C}"/>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HEV TCO</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US_Results!$S$2</c:f>
              <c:strCache>
                <c:ptCount val="1"/>
                <c:pt idx="0">
                  <c:v>Net vehicle cost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US_Results!$S$3:$S$52</c:f>
              <c:numCache>
                <c:formatCode>"$"#,##0</c:formatCode>
                <c:ptCount val="50"/>
                <c:pt idx="0">
                  <c:v>25202.087524607668</c:v>
                </c:pt>
                <c:pt idx="1">
                  <c:v>25202.087524607668</c:v>
                </c:pt>
                <c:pt idx="2">
                  <c:v>25202.087524607668</c:v>
                </c:pt>
                <c:pt idx="3">
                  <c:v>25202.087524607668</c:v>
                </c:pt>
                <c:pt idx="4">
                  <c:v>25202.087524607668</c:v>
                </c:pt>
                <c:pt idx="5">
                  <c:v>25202.087524607668</c:v>
                </c:pt>
                <c:pt idx="6">
                  <c:v>25202.087524607668</c:v>
                </c:pt>
                <c:pt idx="7">
                  <c:v>25202.087524607668</c:v>
                </c:pt>
                <c:pt idx="8">
                  <c:v>25202.087524607668</c:v>
                </c:pt>
                <c:pt idx="9">
                  <c:v>25202.087524607668</c:v>
                </c:pt>
                <c:pt idx="10">
                  <c:v>25202.087524607668</c:v>
                </c:pt>
                <c:pt idx="11">
                  <c:v>25202.087524607668</c:v>
                </c:pt>
                <c:pt idx="12">
                  <c:v>25202.087524607668</c:v>
                </c:pt>
                <c:pt idx="13">
                  <c:v>25202.087524607668</c:v>
                </c:pt>
                <c:pt idx="14">
                  <c:v>25202.087524607668</c:v>
                </c:pt>
                <c:pt idx="15">
                  <c:v>25202.087524607668</c:v>
                </c:pt>
                <c:pt idx="16">
                  <c:v>25202.087524607668</c:v>
                </c:pt>
                <c:pt idx="17">
                  <c:v>25202.087524607668</c:v>
                </c:pt>
                <c:pt idx="18">
                  <c:v>25202.087524607668</c:v>
                </c:pt>
                <c:pt idx="19">
                  <c:v>25202.087524607668</c:v>
                </c:pt>
                <c:pt idx="20">
                  <c:v>25202.087524607668</c:v>
                </c:pt>
                <c:pt idx="21">
                  <c:v>25202.087524607668</c:v>
                </c:pt>
                <c:pt idx="22">
                  <c:v>25202.087524607668</c:v>
                </c:pt>
                <c:pt idx="23">
                  <c:v>25202.087524607668</c:v>
                </c:pt>
                <c:pt idx="24">
                  <c:v>25202.087524607668</c:v>
                </c:pt>
                <c:pt idx="25">
                  <c:v>25202.087524607668</c:v>
                </c:pt>
                <c:pt idx="26">
                  <c:v>25202.087524607668</c:v>
                </c:pt>
                <c:pt idx="27">
                  <c:v>25202.087524607668</c:v>
                </c:pt>
                <c:pt idx="28">
                  <c:v>25202.087524607668</c:v>
                </c:pt>
                <c:pt idx="29">
                  <c:v>25202.087524607668</c:v>
                </c:pt>
                <c:pt idx="30">
                  <c:v>25202.087524607668</c:v>
                </c:pt>
                <c:pt idx="31">
                  <c:v>25202.087524607668</c:v>
                </c:pt>
                <c:pt idx="32">
                  <c:v>25202.087524607668</c:v>
                </c:pt>
                <c:pt idx="33">
                  <c:v>25202.087524607668</c:v>
                </c:pt>
                <c:pt idx="34">
                  <c:v>25202.087524607668</c:v>
                </c:pt>
                <c:pt idx="35">
                  <c:v>25202.087524607668</c:v>
                </c:pt>
                <c:pt idx="36">
                  <c:v>25202.087524607668</c:v>
                </c:pt>
                <c:pt idx="37">
                  <c:v>25202.087524607668</c:v>
                </c:pt>
                <c:pt idx="38">
                  <c:v>25202.087524607668</c:v>
                </c:pt>
                <c:pt idx="39">
                  <c:v>25202.087524607668</c:v>
                </c:pt>
                <c:pt idx="40">
                  <c:v>25202.087524607668</c:v>
                </c:pt>
                <c:pt idx="41">
                  <c:v>25202.087524607668</c:v>
                </c:pt>
                <c:pt idx="42">
                  <c:v>25202.087524607668</c:v>
                </c:pt>
                <c:pt idx="43">
                  <c:v>25202.087524607668</c:v>
                </c:pt>
                <c:pt idx="44">
                  <c:v>25202.087524607668</c:v>
                </c:pt>
                <c:pt idx="45">
                  <c:v>25202.087524607668</c:v>
                </c:pt>
                <c:pt idx="46">
                  <c:v>25202.087524607668</c:v>
                </c:pt>
                <c:pt idx="47">
                  <c:v>25202.087524607668</c:v>
                </c:pt>
                <c:pt idx="48">
                  <c:v>25202.087524607668</c:v>
                </c:pt>
                <c:pt idx="49">
                  <c:v>25202.087524607668</c:v>
                </c:pt>
              </c:numCache>
            </c:numRef>
          </c:val>
          <c:extLst>
            <c:ext xmlns:c16="http://schemas.microsoft.com/office/drawing/2014/chart" uri="{C3380CC4-5D6E-409C-BE32-E72D297353CC}">
              <c16:uniqueId val="{00000000-84A5-40B3-898B-B7EEEFF6760D}"/>
            </c:ext>
          </c:extLst>
        </c:ser>
        <c:ser>
          <c:idx val="1"/>
          <c:order val="1"/>
          <c:tx>
            <c:strRef>
              <c:f>US_Results!$T$2</c:f>
              <c:strCache>
                <c:ptCount val="1"/>
                <c:pt idx="0">
                  <c:v>Fuel cost</c:v>
                </c:pt>
              </c:strCache>
            </c:strRef>
          </c:tx>
          <c:spPr>
            <a:solidFill>
              <a:schemeClr val="accent2"/>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US_Results!$T$3:$T$52</c:f>
              <c:numCache>
                <c:formatCode>"$"#,##0</c:formatCode>
                <c:ptCount val="50"/>
                <c:pt idx="0">
                  <c:v>13035.289498453316</c:v>
                </c:pt>
                <c:pt idx="1">
                  <c:v>13994.083542157192</c:v>
                </c:pt>
                <c:pt idx="2">
                  <c:v>14150.99377297594</c:v>
                </c:pt>
                <c:pt idx="3">
                  <c:v>12675.710045860955</c:v>
                </c:pt>
                <c:pt idx="4">
                  <c:v>13433.959149505008</c:v>
                </c:pt>
                <c:pt idx="5">
                  <c:v>11350.43504274157</c:v>
                </c:pt>
                <c:pt idx="6">
                  <c:v>10177.96182812705</c:v>
                </c:pt>
                <c:pt idx="7">
                  <c:v>10756.644305217356</c:v>
                </c:pt>
                <c:pt idx="8">
                  <c:v>11309.172510661208</c:v>
                </c:pt>
                <c:pt idx="9">
                  <c:v>14215.526287899591</c:v>
                </c:pt>
                <c:pt idx="10">
                  <c:v>12512.683032546422</c:v>
                </c:pt>
                <c:pt idx="11">
                  <c:v>12770.608275840228</c:v>
                </c:pt>
                <c:pt idx="12">
                  <c:v>10233.16030555472</c:v>
                </c:pt>
                <c:pt idx="13">
                  <c:v>14632.206046244673</c:v>
                </c:pt>
                <c:pt idx="14">
                  <c:v>12120.17160258295</c:v>
                </c:pt>
                <c:pt idx="15">
                  <c:v>12011.040750779874</c:v>
                </c:pt>
                <c:pt idx="16">
                  <c:v>13121.922057891763</c:v>
                </c:pt>
                <c:pt idx="17">
                  <c:v>10949.209064471092</c:v>
                </c:pt>
                <c:pt idx="18">
                  <c:v>12192.565823930425</c:v>
                </c:pt>
                <c:pt idx="19">
                  <c:v>11519.391893706757</c:v>
                </c:pt>
                <c:pt idx="20">
                  <c:v>11032.370853433666</c:v>
                </c:pt>
                <c:pt idx="21">
                  <c:v>11816.089483462501</c:v>
                </c:pt>
                <c:pt idx="22">
                  <c:v>14987.058068793605</c:v>
                </c:pt>
                <c:pt idx="23">
                  <c:v>14621.892059476269</c:v>
                </c:pt>
                <c:pt idx="24">
                  <c:v>14992.22382728001</c:v>
                </c:pt>
                <c:pt idx="25">
                  <c:v>14119.668081743048</c:v>
                </c:pt>
                <c:pt idx="26">
                  <c:v>12156.747988220168</c:v>
                </c:pt>
                <c:pt idx="27">
                  <c:v>15284.446108137834</c:v>
                </c:pt>
                <c:pt idx="28">
                  <c:v>9858.5321595955684</c:v>
                </c:pt>
                <c:pt idx="29">
                  <c:v>10502.101358082677</c:v>
                </c:pt>
                <c:pt idx="30">
                  <c:v>14208.411263881444</c:v>
                </c:pt>
                <c:pt idx="31">
                  <c:v>8850.2283841294775</c:v>
                </c:pt>
                <c:pt idx="32">
                  <c:v>12511.444381906826</c:v>
                </c:pt>
                <c:pt idx="33">
                  <c:v>14801.709402944225</c:v>
                </c:pt>
                <c:pt idx="34">
                  <c:v>11602.302945648811</c:v>
                </c:pt>
                <c:pt idx="35">
                  <c:v>14257.626379174748</c:v>
                </c:pt>
                <c:pt idx="36">
                  <c:v>13387.845384279241</c:v>
                </c:pt>
                <c:pt idx="37">
                  <c:v>9877.3957440083705</c:v>
                </c:pt>
                <c:pt idx="38">
                  <c:v>8342.866111229836</c:v>
                </c:pt>
                <c:pt idx="39">
                  <c:v>11596.106801604263</c:v>
                </c:pt>
                <c:pt idx="40">
                  <c:v>12859.553927360415</c:v>
                </c:pt>
                <c:pt idx="41">
                  <c:v>12254.833267411052</c:v>
                </c:pt>
                <c:pt idx="42">
                  <c:v>11901.508526571259</c:v>
                </c:pt>
                <c:pt idx="43">
                  <c:v>13575.385794109399</c:v>
                </c:pt>
                <c:pt idx="44">
                  <c:v>11111.88917453873</c:v>
                </c:pt>
                <c:pt idx="45">
                  <c:v>11778.58809383233</c:v>
                </c:pt>
                <c:pt idx="46">
                  <c:v>12020.324967406232</c:v>
                </c:pt>
                <c:pt idx="47">
                  <c:v>13303.772765472499</c:v>
                </c:pt>
                <c:pt idx="48">
                  <c:v>12825.94404012425</c:v>
                </c:pt>
                <c:pt idx="49">
                  <c:v>21441.165039438496</c:v>
                </c:pt>
              </c:numCache>
            </c:numRef>
          </c:val>
          <c:extLst>
            <c:ext xmlns:c16="http://schemas.microsoft.com/office/drawing/2014/chart" uri="{C3380CC4-5D6E-409C-BE32-E72D297353CC}">
              <c16:uniqueId val="{00000001-84A5-40B3-898B-B7EEEFF6760D}"/>
            </c:ext>
          </c:extLst>
        </c:ser>
        <c:ser>
          <c:idx val="2"/>
          <c:order val="2"/>
          <c:tx>
            <c:strRef>
              <c:f>US_Results!$U$2</c:f>
              <c:strCache>
                <c:ptCount val="1"/>
                <c:pt idx="0">
                  <c:v>M&amp;R cost</c:v>
                </c:pt>
              </c:strCache>
            </c:strRef>
          </c:tx>
          <c:spPr>
            <a:solidFill>
              <a:schemeClr val="accent3"/>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US_Results!$U$3:$U$52</c:f>
              <c:numCache>
                <c:formatCode>"$"#,##0</c:formatCode>
                <c:ptCount val="50"/>
                <c:pt idx="0">
                  <c:v>27922.384297648496</c:v>
                </c:pt>
                <c:pt idx="1">
                  <c:v>17412.898463892492</c:v>
                </c:pt>
                <c:pt idx="2">
                  <c:v>20514.340823719976</c:v>
                </c:pt>
                <c:pt idx="3">
                  <c:v>26993.048613273706</c:v>
                </c:pt>
                <c:pt idx="4">
                  <c:v>19627.318905750115</c:v>
                </c:pt>
                <c:pt idx="5">
                  <c:v>20215.010105818488</c:v>
                </c:pt>
                <c:pt idx="6">
                  <c:v>18989.478056609241</c:v>
                </c:pt>
                <c:pt idx="7">
                  <c:v>19760.52891109894</c:v>
                </c:pt>
                <c:pt idx="8">
                  <c:v>22813.388798387445</c:v>
                </c:pt>
                <c:pt idx="9">
                  <c:v>28732.614565476091</c:v>
                </c:pt>
                <c:pt idx="10">
                  <c:v>18317.159323731019</c:v>
                </c:pt>
                <c:pt idx="11">
                  <c:v>22593.984083695257</c:v>
                </c:pt>
                <c:pt idx="12">
                  <c:v>19716.647968160501</c:v>
                </c:pt>
                <c:pt idx="13">
                  <c:v>28246.789840086229</c:v>
                </c:pt>
                <c:pt idx="14">
                  <c:v>23108.017986688392</c:v>
                </c:pt>
                <c:pt idx="15">
                  <c:v>23164.436341894958</c:v>
                </c:pt>
                <c:pt idx="16">
                  <c:v>25552.81337897282</c:v>
                </c:pt>
                <c:pt idx="17">
                  <c:v>23430.856352592618</c:v>
                </c:pt>
                <c:pt idx="18">
                  <c:v>22277.414423925093</c:v>
                </c:pt>
                <c:pt idx="19">
                  <c:v>21141.211437126243</c:v>
                </c:pt>
                <c:pt idx="20">
                  <c:v>20544.117177856773</c:v>
                </c:pt>
                <c:pt idx="21">
                  <c:v>22421.594665008535</c:v>
                </c:pt>
                <c:pt idx="22">
                  <c:v>28066.564538731938</c:v>
                </c:pt>
                <c:pt idx="23">
                  <c:v>31290.246668173641</c:v>
                </c:pt>
                <c:pt idx="24">
                  <c:v>29025.676577243517</c:v>
                </c:pt>
                <c:pt idx="25">
                  <c:v>24886.763352228663</c:v>
                </c:pt>
                <c:pt idx="26">
                  <c:v>23266.302816573476</c:v>
                </c:pt>
                <c:pt idx="27">
                  <c:v>21965.54629375548</c:v>
                </c:pt>
                <c:pt idx="28">
                  <c:v>18132.232492776173</c:v>
                </c:pt>
                <c:pt idx="29">
                  <c:v>19218.285830502526</c:v>
                </c:pt>
                <c:pt idx="30">
                  <c:v>30022.400852559476</c:v>
                </c:pt>
                <c:pt idx="31">
                  <c:v>15933.483816253705</c:v>
                </c:pt>
                <c:pt idx="32">
                  <c:v>25189.228423197183</c:v>
                </c:pt>
                <c:pt idx="33">
                  <c:v>27693.576523755215</c:v>
                </c:pt>
                <c:pt idx="34">
                  <c:v>22376.146545536583</c:v>
                </c:pt>
                <c:pt idx="35">
                  <c:v>27737.457466693653</c:v>
                </c:pt>
                <c:pt idx="36">
                  <c:v>19147.762886494322</c:v>
                </c:pt>
                <c:pt idx="37">
                  <c:v>17936.33542608672</c:v>
                </c:pt>
                <c:pt idx="38">
                  <c:v>15610.645450349479</c:v>
                </c:pt>
                <c:pt idx="39">
                  <c:v>23415.184587257463</c:v>
                </c:pt>
                <c:pt idx="40">
                  <c:v>24355.49050736686</c:v>
                </c:pt>
                <c:pt idx="41">
                  <c:v>23957.427667853881</c:v>
                </c:pt>
                <c:pt idx="42">
                  <c:v>25344.378900015236</c:v>
                </c:pt>
                <c:pt idx="43">
                  <c:v>24316.31109402897</c:v>
                </c:pt>
                <c:pt idx="44">
                  <c:v>20379.563641837634</c:v>
                </c:pt>
                <c:pt idx="45">
                  <c:v>22738.164324778692</c:v>
                </c:pt>
                <c:pt idx="46">
                  <c:v>17159.015865462952</c:v>
                </c:pt>
                <c:pt idx="47">
                  <c:v>26447.671179610272</c:v>
                </c:pt>
                <c:pt idx="48">
                  <c:v>24200.34003054881</c:v>
                </c:pt>
                <c:pt idx="49">
                  <c:v>37720.371985188394</c:v>
                </c:pt>
              </c:numCache>
            </c:numRef>
          </c:val>
          <c:extLst>
            <c:ext xmlns:c16="http://schemas.microsoft.com/office/drawing/2014/chart" uri="{C3380CC4-5D6E-409C-BE32-E72D297353CC}">
              <c16:uniqueId val="{00000002-84A5-40B3-898B-B7EEEFF6760D}"/>
            </c:ext>
          </c:extLst>
        </c:ser>
        <c:ser>
          <c:idx val="3"/>
          <c:order val="3"/>
          <c:tx>
            <c:strRef>
              <c:f>US_Results!$V$2</c:f>
              <c:strCache>
                <c:ptCount val="1"/>
                <c:pt idx="0">
                  <c:v>Insurance&amp;tax</c:v>
                </c:pt>
              </c:strCache>
            </c:strRef>
          </c:tx>
          <c:spPr>
            <a:solidFill>
              <a:schemeClr val="accent4"/>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US_Results!$V$3:$V$52</c:f>
              <c:numCache>
                <c:formatCode>"$"#,##0</c:formatCode>
                <c:ptCount val="50"/>
                <c:pt idx="0">
                  <c:v>32496.636287742946</c:v>
                </c:pt>
                <c:pt idx="1">
                  <c:v>25181.26865068917</c:v>
                </c:pt>
                <c:pt idx="2">
                  <c:v>31116.550982133904</c:v>
                </c:pt>
                <c:pt idx="3">
                  <c:v>34831.767847289688</c:v>
                </c:pt>
                <c:pt idx="4">
                  <c:v>35566.508627063056</c:v>
                </c:pt>
                <c:pt idx="5">
                  <c:v>33101.883474258531</c:v>
                </c:pt>
                <c:pt idx="6">
                  <c:v>33751.828787742947</c:v>
                </c:pt>
                <c:pt idx="7">
                  <c:v>35029.505966383156</c:v>
                </c:pt>
                <c:pt idx="8">
                  <c:v>46263.491095561571</c:v>
                </c:pt>
                <c:pt idx="9">
                  <c:v>33075.505821454004</c:v>
                </c:pt>
                <c:pt idx="10">
                  <c:v>22361.61850576002</c:v>
                </c:pt>
                <c:pt idx="11">
                  <c:v>23457.046785533385</c:v>
                </c:pt>
                <c:pt idx="12">
                  <c:v>27791.584430462535</c:v>
                </c:pt>
                <c:pt idx="13">
                  <c:v>26510.014277658011</c:v>
                </c:pt>
                <c:pt idx="14">
                  <c:v>24896.257718111279</c:v>
                </c:pt>
                <c:pt idx="15">
                  <c:v>33104.006914711797</c:v>
                </c:pt>
                <c:pt idx="16">
                  <c:v>40216.327831538954</c:v>
                </c:pt>
                <c:pt idx="17">
                  <c:v>45470.686409045986</c:v>
                </c:pt>
                <c:pt idx="18">
                  <c:v>24003.876158564544</c:v>
                </c:pt>
                <c:pt idx="19">
                  <c:v>34687.492847289694</c:v>
                </c:pt>
                <c:pt idx="20">
                  <c:v>30440.228015844958</c:v>
                </c:pt>
                <c:pt idx="21">
                  <c:v>42462.417043890207</c:v>
                </c:pt>
                <c:pt idx="22">
                  <c:v>28721.477490009274</c:v>
                </c:pt>
                <c:pt idx="23">
                  <c:v>33189.510194485163</c:v>
                </c:pt>
                <c:pt idx="24">
                  <c:v>31930.670134938424</c:v>
                </c:pt>
                <c:pt idx="25">
                  <c:v>30018.999261907265</c:v>
                </c:pt>
                <c:pt idx="26">
                  <c:v>35407.098313578637</c:v>
                </c:pt>
                <c:pt idx="27">
                  <c:v>39656.132678734415</c:v>
                </c:pt>
                <c:pt idx="28">
                  <c:v>23453.507718111279</c:v>
                </c:pt>
                <c:pt idx="29">
                  <c:v>39188.681678734414</c:v>
                </c:pt>
                <c:pt idx="30">
                  <c:v>29445.438329329376</c:v>
                </c:pt>
                <c:pt idx="31">
                  <c:v>38948.123458507784</c:v>
                </c:pt>
                <c:pt idx="32">
                  <c:v>21036.411946213284</c:v>
                </c:pt>
                <c:pt idx="33">
                  <c:v>28870.10786304043</c:v>
                </c:pt>
                <c:pt idx="34">
                  <c:v>22348.252725986644</c:v>
                </c:pt>
                <c:pt idx="35">
                  <c:v>34585.08472032084</c:v>
                </c:pt>
                <c:pt idx="36">
                  <c:v>25699.596930462536</c:v>
                </c:pt>
                <c:pt idx="37">
                  <c:v>32614.179728196217</c:v>
                </c:pt>
                <c:pt idx="38">
                  <c:v>35839.923313578634</c:v>
                </c:pt>
                <c:pt idx="39">
                  <c:v>35435.599406836423</c:v>
                </c:pt>
                <c:pt idx="40">
                  <c:v>31000.423168649482</c:v>
                </c:pt>
                <c:pt idx="41">
                  <c:v>27373.894743946959</c:v>
                </c:pt>
                <c:pt idx="42">
                  <c:v>34414.078160774108</c:v>
                </c:pt>
                <c:pt idx="43">
                  <c:v>29922.253642813801</c:v>
                </c:pt>
                <c:pt idx="44">
                  <c:v>24493.703345080121</c:v>
                </c:pt>
                <c:pt idx="45">
                  <c:v>26724.30333720475</c:v>
                </c:pt>
                <c:pt idx="46">
                  <c:v>31030.693795618325</c:v>
                </c:pt>
                <c:pt idx="47">
                  <c:v>32441.403634938422</c:v>
                </c:pt>
                <c:pt idx="48">
                  <c:v>24032.37725182233</c:v>
                </c:pt>
                <c:pt idx="49">
                  <c:v>29445.438329329376</c:v>
                </c:pt>
              </c:numCache>
            </c:numRef>
          </c:val>
          <c:extLst>
            <c:ext xmlns:c16="http://schemas.microsoft.com/office/drawing/2014/chart" uri="{C3380CC4-5D6E-409C-BE32-E72D297353CC}">
              <c16:uniqueId val="{00000003-84A5-40B3-898B-B7EEEFF6760D}"/>
            </c:ext>
          </c:extLst>
        </c:ser>
        <c:ser>
          <c:idx val="4"/>
          <c:order val="4"/>
          <c:tx>
            <c:strRef>
              <c:f>US_Results!$W$2</c:f>
              <c:strCache>
                <c:ptCount val="1"/>
                <c:pt idx="0">
                  <c:v>Other costs</c:v>
                </c:pt>
              </c:strCache>
            </c:strRef>
          </c:tx>
          <c:spPr>
            <a:solidFill>
              <a:schemeClr val="accent5"/>
            </a:solidFill>
            <a:ln>
              <a:no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US_Results!$W$3:$W$52</c:f>
              <c:numCache>
                <c:formatCode>"$"#,##0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extLst>
            <c:ext xmlns:c16="http://schemas.microsoft.com/office/drawing/2014/chart" uri="{C3380CC4-5D6E-409C-BE32-E72D297353CC}">
              <c16:uniqueId val="{00000004-84A5-40B3-898B-B7EEEFF6760D}"/>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5"/>
          <c:tx>
            <c:strRef>
              <c:f>US_Results!$A$53</c:f>
              <c:strCache>
                <c:ptCount val="1"/>
                <c:pt idx="0">
                  <c:v>National Avg</c:v>
                </c:pt>
              </c:strCache>
            </c:strRef>
          </c:tx>
          <c:spPr>
            <a:ln w="28575" cap="rnd">
              <a:solidFill>
                <a:schemeClr val="accent6"/>
              </a:solidFill>
              <a:round/>
            </a:ln>
            <a:effectLst/>
          </c:spPr>
          <c:marker>
            <c:symbol val="none"/>
          </c:marker>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US_Results!$BW$3:$BW$52</c:f>
              <c:numCache>
                <c:formatCode>0</c:formatCode>
                <c:ptCount val="50"/>
                <c:pt idx="0">
                  <c:v>91222.648207705992</c:v>
                </c:pt>
                <c:pt idx="1">
                  <c:v>91222.648207705992</c:v>
                </c:pt>
                <c:pt idx="2">
                  <c:v>91222.648207705992</c:v>
                </c:pt>
                <c:pt idx="3">
                  <c:v>91222.648207705992</c:v>
                </c:pt>
                <c:pt idx="4">
                  <c:v>91222.648207705992</c:v>
                </c:pt>
                <c:pt idx="5">
                  <c:v>91222.648207705992</c:v>
                </c:pt>
                <c:pt idx="6">
                  <c:v>91222.648207705992</c:v>
                </c:pt>
                <c:pt idx="7">
                  <c:v>91222.648207705992</c:v>
                </c:pt>
                <c:pt idx="8">
                  <c:v>91222.648207705992</c:v>
                </c:pt>
                <c:pt idx="9">
                  <c:v>91222.648207705992</c:v>
                </c:pt>
                <c:pt idx="10">
                  <c:v>91222.648207705992</c:v>
                </c:pt>
                <c:pt idx="11">
                  <c:v>91222.648207705992</c:v>
                </c:pt>
                <c:pt idx="12">
                  <c:v>91222.648207705992</c:v>
                </c:pt>
                <c:pt idx="13">
                  <c:v>91222.648207705992</c:v>
                </c:pt>
                <c:pt idx="14">
                  <c:v>91222.648207705992</c:v>
                </c:pt>
                <c:pt idx="15">
                  <c:v>91222.648207705992</c:v>
                </c:pt>
                <c:pt idx="16">
                  <c:v>91222.648207705992</c:v>
                </c:pt>
                <c:pt idx="17">
                  <c:v>91222.648207705992</c:v>
                </c:pt>
                <c:pt idx="18">
                  <c:v>91222.648207705992</c:v>
                </c:pt>
                <c:pt idx="19">
                  <c:v>91222.648207705992</c:v>
                </c:pt>
                <c:pt idx="20">
                  <c:v>91222.648207705992</c:v>
                </c:pt>
                <c:pt idx="21">
                  <c:v>91222.648207705992</c:v>
                </c:pt>
                <c:pt idx="22">
                  <c:v>91222.648207705992</c:v>
                </c:pt>
                <c:pt idx="23">
                  <c:v>91222.648207705992</c:v>
                </c:pt>
                <c:pt idx="24">
                  <c:v>91222.648207705992</c:v>
                </c:pt>
                <c:pt idx="25">
                  <c:v>91222.648207705992</c:v>
                </c:pt>
                <c:pt idx="26">
                  <c:v>91222.648207705992</c:v>
                </c:pt>
                <c:pt idx="27">
                  <c:v>91222.648207705992</c:v>
                </c:pt>
                <c:pt idx="28">
                  <c:v>91222.648207705992</c:v>
                </c:pt>
                <c:pt idx="29">
                  <c:v>91222.648207705992</c:v>
                </c:pt>
                <c:pt idx="30">
                  <c:v>91222.648207705992</c:v>
                </c:pt>
                <c:pt idx="31">
                  <c:v>91222.648207705992</c:v>
                </c:pt>
                <c:pt idx="32">
                  <c:v>91222.648207705992</c:v>
                </c:pt>
                <c:pt idx="33">
                  <c:v>91222.648207705992</c:v>
                </c:pt>
                <c:pt idx="34">
                  <c:v>91222.648207705992</c:v>
                </c:pt>
                <c:pt idx="35">
                  <c:v>91222.648207705992</c:v>
                </c:pt>
                <c:pt idx="36">
                  <c:v>91222.648207705992</c:v>
                </c:pt>
                <c:pt idx="37">
                  <c:v>91222.648207705992</c:v>
                </c:pt>
                <c:pt idx="38">
                  <c:v>91222.648207705992</c:v>
                </c:pt>
                <c:pt idx="39">
                  <c:v>91222.648207705992</c:v>
                </c:pt>
                <c:pt idx="40">
                  <c:v>91222.648207705992</c:v>
                </c:pt>
                <c:pt idx="41">
                  <c:v>91222.648207705992</c:v>
                </c:pt>
                <c:pt idx="42">
                  <c:v>91222.648207705992</c:v>
                </c:pt>
                <c:pt idx="43">
                  <c:v>91222.648207705992</c:v>
                </c:pt>
                <c:pt idx="44">
                  <c:v>91222.648207705992</c:v>
                </c:pt>
                <c:pt idx="45">
                  <c:v>91222.648207705992</c:v>
                </c:pt>
                <c:pt idx="46">
                  <c:v>91222.648207705992</c:v>
                </c:pt>
                <c:pt idx="47">
                  <c:v>91222.648207705992</c:v>
                </c:pt>
                <c:pt idx="48">
                  <c:v>91222.648207705992</c:v>
                </c:pt>
                <c:pt idx="49">
                  <c:v>91222.648207705992</c:v>
                </c:pt>
              </c:numCache>
            </c:numRef>
          </c:val>
          <c:smooth val="0"/>
          <c:extLst>
            <c:ext xmlns:c16="http://schemas.microsoft.com/office/drawing/2014/chart" uri="{C3380CC4-5D6E-409C-BE32-E72D297353CC}">
              <c16:uniqueId val="{00000005-84A5-40B3-898B-B7EEEFF6760D}"/>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max val="14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H2ICEV TCO</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US_Results!$AB$2</c:f>
              <c:strCache>
                <c:ptCount val="1"/>
                <c:pt idx="0">
                  <c:v>Net vehicle cost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US_Results!$AB$3:$AB$52</c:f>
              <c:numCache>
                <c:formatCode>"$"#,##0</c:formatCode>
                <c:ptCount val="50"/>
                <c:pt idx="0">
                  <c:v>28460.759801658827</c:v>
                </c:pt>
                <c:pt idx="1">
                  <c:v>28460.759801658827</c:v>
                </c:pt>
                <c:pt idx="2">
                  <c:v>28460.759801658827</c:v>
                </c:pt>
                <c:pt idx="3">
                  <c:v>28460.759801658827</c:v>
                </c:pt>
                <c:pt idx="4">
                  <c:v>28460.759801658827</c:v>
                </c:pt>
                <c:pt idx="5">
                  <c:v>28460.759801658827</c:v>
                </c:pt>
                <c:pt idx="6">
                  <c:v>28460.759801658827</c:v>
                </c:pt>
                <c:pt idx="7">
                  <c:v>28460.759801658827</c:v>
                </c:pt>
                <c:pt idx="8">
                  <c:v>28460.759801658827</c:v>
                </c:pt>
                <c:pt idx="9">
                  <c:v>28460.759801658827</c:v>
                </c:pt>
                <c:pt idx="10">
                  <c:v>28460.759801658827</c:v>
                </c:pt>
                <c:pt idx="11">
                  <c:v>28460.759801658827</c:v>
                </c:pt>
                <c:pt idx="12">
                  <c:v>28460.759801658827</c:v>
                </c:pt>
                <c:pt idx="13">
                  <c:v>28460.759801658827</c:v>
                </c:pt>
                <c:pt idx="14">
                  <c:v>28460.759801658827</c:v>
                </c:pt>
                <c:pt idx="15">
                  <c:v>28460.759801658827</c:v>
                </c:pt>
                <c:pt idx="16">
                  <c:v>28460.759801658827</c:v>
                </c:pt>
                <c:pt idx="17">
                  <c:v>28460.759801658827</c:v>
                </c:pt>
                <c:pt idx="18">
                  <c:v>28460.759801658827</c:v>
                </c:pt>
                <c:pt idx="19">
                  <c:v>28460.759801658827</c:v>
                </c:pt>
                <c:pt idx="20">
                  <c:v>28460.759801658827</c:v>
                </c:pt>
                <c:pt idx="21">
                  <c:v>28460.759801658827</c:v>
                </c:pt>
                <c:pt idx="22">
                  <c:v>28460.759801658827</c:v>
                </c:pt>
                <c:pt idx="23">
                  <c:v>28460.759801658827</c:v>
                </c:pt>
                <c:pt idx="24">
                  <c:v>28460.759801658827</c:v>
                </c:pt>
                <c:pt idx="25">
                  <c:v>28460.759801658827</c:v>
                </c:pt>
                <c:pt idx="26">
                  <c:v>28460.759801658827</c:v>
                </c:pt>
                <c:pt idx="27">
                  <c:v>28460.759801658827</c:v>
                </c:pt>
                <c:pt idx="28">
                  <c:v>28460.759801658827</c:v>
                </c:pt>
                <c:pt idx="29">
                  <c:v>28460.759801658827</c:v>
                </c:pt>
                <c:pt idx="30">
                  <c:v>28460.759801658827</c:v>
                </c:pt>
                <c:pt idx="31">
                  <c:v>28460.759801658827</c:v>
                </c:pt>
                <c:pt idx="32">
                  <c:v>28460.759801658827</c:v>
                </c:pt>
                <c:pt idx="33">
                  <c:v>28460.759801658827</c:v>
                </c:pt>
                <c:pt idx="34">
                  <c:v>28460.759801658827</c:v>
                </c:pt>
                <c:pt idx="35">
                  <c:v>28460.759801658827</c:v>
                </c:pt>
                <c:pt idx="36">
                  <c:v>28460.759801658827</c:v>
                </c:pt>
                <c:pt idx="37">
                  <c:v>28460.759801658827</c:v>
                </c:pt>
                <c:pt idx="38">
                  <c:v>28460.759801658827</c:v>
                </c:pt>
                <c:pt idx="39">
                  <c:v>28460.759801658827</c:v>
                </c:pt>
                <c:pt idx="40">
                  <c:v>28460.759801658827</c:v>
                </c:pt>
                <c:pt idx="41">
                  <c:v>28460.759801658827</c:v>
                </c:pt>
                <c:pt idx="42">
                  <c:v>28460.759801658827</c:v>
                </c:pt>
                <c:pt idx="43">
                  <c:v>28460.759801658827</c:v>
                </c:pt>
                <c:pt idx="44">
                  <c:v>28460.759801658827</c:v>
                </c:pt>
                <c:pt idx="45">
                  <c:v>28460.759801658827</c:v>
                </c:pt>
                <c:pt idx="46">
                  <c:v>28460.759801658827</c:v>
                </c:pt>
                <c:pt idx="47">
                  <c:v>28460.759801658827</c:v>
                </c:pt>
                <c:pt idx="48">
                  <c:v>28460.759801658827</c:v>
                </c:pt>
                <c:pt idx="49">
                  <c:v>28460.759801658827</c:v>
                </c:pt>
              </c:numCache>
            </c:numRef>
          </c:val>
          <c:extLst>
            <c:ext xmlns:c16="http://schemas.microsoft.com/office/drawing/2014/chart" uri="{C3380CC4-5D6E-409C-BE32-E72D297353CC}">
              <c16:uniqueId val="{00000000-E064-439F-B8EF-9B1AF098880A}"/>
            </c:ext>
          </c:extLst>
        </c:ser>
        <c:ser>
          <c:idx val="1"/>
          <c:order val="1"/>
          <c:tx>
            <c:strRef>
              <c:f>US_Results!$AC$2</c:f>
              <c:strCache>
                <c:ptCount val="1"/>
                <c:pt idx="0">
                  <c:v>Fuel cost</c:v>
                </c:pt>
              </c:strCache>
            </c:strRef>
          </c:tx>
          <c:spPr>
            <a:solidFill>
              <a:schemeClr val="accent2"/>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US_Results!$AC$3:$AC$52</c:f>
              <c:numCache>
                <c:formatCode>"$"#,##0</c:formatCode>
                <c:ptCount val="50"/>
                <c:pt idx="0">
                  <c:v>21089.288947505764</c:v>
                </c:pt>
                <c:pt idx="1">
                  <c:v>15502.936666570948</c:v>
                </c:pt>
                <c:pt idx="2">
                  <c:v>15676.765082229029</c:v>
                </c:pt>
                <c:pt idx="3">
                  <c:v>20507.539307330455</c:v>
                </c:pt>
                <c:pt idx="4">
                  <c:v>14882.419220142316</c:v>
                </c:pt>
                <c:pt idx="5">
                  <c:v>15777.978566685248</c:v>
                </c:pt>
                <c:pt idx="6">
                  <c:v>14666.463865837351</c:v>
                </c:pt>
                <c:pt idx="7">
                  <c:v>15100.712828252546</c:v>
                </c:pt>
                <c:pt idx="8">
                  <c:v>17247.479808847347</c:v>
                </c:pt>
                <c:pt idx="9">
                  <c:v>21679.92418468749</c:v>
                </c:pt>
                <c:pt idx="10">
                  <c:v>13861.810385658273</c:v>
                </c:pt>
                <c:pt idx="11">
                  <c:v>17752.128698238128</c:v>
                </c:pt>
                <c:pt idx="12">
                  <c:v>15213.462938395454</c:v>
                </c:pt>
                <c:pt idx="13">
                  <c:v>21753.448372217415</c:v>
                </c:pt>
                <c:pt idx="14">
                  <c:v>18018.850089038384</c:v>
                </c:pt>
                <c:pt idx="15">
                  <c:v>17856.607133805835</c:v>
                </c:pt>
                <c:pt idx="16">
                  <c:v>19508.135214092941</c:v>
                </c:pt>
                <c:pt idx="17">
                  <c:v>17714.300379341676</c:v>
                </c:pt>
                <c:pt idx="18">
                  <c:v>17569.512355051327</c:v>
                </c:pt>
                <c:pt idx="19">
                  <c:v>16171.495868706339</c:v>
                </c:pt>
                <c:pt idx="20">
                  <c:v>15897.669023403831</c:v>
                </c:pt>
                <c:pt idx="21">
                  <c:v>17566.776446944008</c:v>
                </c:pt>
                <c:pt idx="22">
                  <c:v>22281.000754127475</c:v>
                </c:pt>
                <c:pt idx="23">
                  <c:v>23656.191650988949</c:v>
                </c:pt>
                <c:pt idx="24">
                  <c:v>22288.680598177118</c:v>
                </c:pt>
                <c:pt idx="25">
                  <c:v>19627.425691045726</c:v>
                </c:pt>
                <c:pt idx="26">
                  <c:v>18073.227570744617</c:v>
                </c:pt>
                <c:pt idx="27">
                  <c:v>16932.427142102872</c:v>
                </c:pt>
                <c:pt idx="28">
                  <c:v>14206.165058442873</c:v>
                </c:pt>
                <c:pt idx="29">
                  <c:v>14743.37276586213</c:v>
                </c:pt>
                <c:pt idx="30">
                  <c:v>22987.237120015274</c:v>
                </c:pt>
                <c:pt idx="31">
                  <c:v>12424.391241454954</c:v>
                </c:pt>
                <c:pt idx="32">
                  <c:v>19081.04984277386</c:v>
                </c:pt>
                <c:pt idx="33">
                  <c:v>22005.446089255274</c:v>
                </c:pt>
                <c:pt idx="34">
                  <c:v>17248.943688280884</c:v>
                </c:pt>
                <c:pt idx="35">
                  <c:v>21196.567241434044</c:v>
                </c:pt>
                <c:pt idx="36">
                  <c:v>14831.333432380752</c:v>
                </c:pt>
                <c:pt idx="37">
                  <c:v>13866.37992193611</c:v>
                </c:pt>
                <c:pt idx="38">
                  <c:v>12022.087174637021</c:v>
                </c:pt>
                <c:pt idx="39">
                  <c:v>17685.079764532959</c:v>
                </c:pt>
                <c:pt idx="40">
                  <c:v>19118.077039406853</c:v>
                </c:pt>
                <c:pt idx="41">
                  <c:v>18219.0492636739</c:v>
                </c:pt>
                <c:pt idx="42">
                  <c:v>19254.988717960296</c:v>
                </c:pt>
                <c:pt idx="43">
                  <c:v>18870.831407551566</c:v>
                </c:pt>
                <c:pt idx="44">
                  <c:v>16012.255087181007</c:v>
                </c:pt>
                <c:pt idx="45">
                  <c:v>17325.568881727595</c:v>
                </c:pt>
                <c:pt idx="46">
                  <c:v>13316.365885620138</c:v>
                </c:pt>
                <c:pt idx="47">
                  <c:v>20289.420109001821</c:v>
                </c:pt>
                <c:pt idx="48">
                  <c:v>19068.109799711267</c:v>
                </c:pt>
                <c:pt idx="49">
                  <c:v>29804.87013608859</c:v>
                </c:pt>
              </c:numCache>
            </c:numRef>
          </c:val>
          <c:extLst>
            <c:ext xmlns:c16="http://schemas.microsoft.com/office/drawing/2014/chart" uri="{C3380CC4-5D6E-409C-BE32-E72D297353CC}">
              <c16:uniqueId val="{00000001-E064-439F-B8EF-9B1AF098880A}"/>
            </c:ext>
          </c:extLst>
        </c:ser>
        <c:ser>
          <c:idx val="2"/>
          <c:order val="2"/>
          <c:tx>
            <c:strRef>
              <c:f>US_Results!$AD$2</c:f>
              <c:strCache>
                <c:ptCount val="1"/>
                <c:pt idx="0">
                  <c:v>M&amp;R cost</c:v>
                </c:pt>
              </c:strCache>
            </c:strRef>
          </c:tx>
          <c:spPr>
            <a:solidFill>
              <a:schemeClr val="accent3"/>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US_Results!$AD$3:$AD$52</c:f>
              <c:numCache>
                <c:formatCode>"$"#,##0</c:formatCode>
                <c:ptCount val="50"/>
                <c:pt idx="0">
                  <c:v>27922.384297648496</c:v>
                </c:pt>
                <c:pt idx="1">
                  <c:v>17412.898463892492</c:v>
                </c:pt>
                <c:pt idx="2">
                  <c:v>20514.340823719976</c:v>
                </c:pt>
                <c:pt idx="3">
                  <c:v>26993.048613273706</c:v>
                </c:pt>
                <c:pt idx="4">
                  <c:v>19627.318905750115</c:v>
                </c:pt>
                <c:pt idx="5">
                  <c:v>20215.010105818488</c:v>
                </c:pt>
                <c:pt idx="6">
                  <c:v>18989.478056609241</c:v>
                </c:pt>
                <c:pt idx="7">
                  <c:v>19760.52891109894</c:v>
                </c:pt>
                <c:pt idx="8">
                  <c:v>22813.388798387445</c:v>
                </c:pt>
                <c:pt idx="9">
                  <c:v>28732.614565476091</c:v>
                </c:pt>
                <c:pt idx="10">
                  <c:v>18317.159323731019</c:v>
                </c:pt>
                <c:pt idx="11">
                  <c:v>22593.984083695257</c:v>
                </c:pt>
                <c:pt idx="12">
                  <c:v>19716.647968160501</c:v>
                </c:pt>
                <c:pt idx="13">
                  <c:v>28246.789840086229</c:v>
                </c:pt>
                <c:pt idx="14">
                  <c:v>23108.017986688392</c:v>
                </c:pt>
                <c:pt idx="15">
                  <c:v>23164.436341894958</c:v>
                </c:pt>
                <c:pt idx="16">
                  <c:v>25552.81337897282</c:v>
                </c:pt>
                <c:pt idx="17">
                  <c:v>23430.856352592618</c:v>
                </c:pt>
                <c:pt idx="18">
                  <c:v>22277.414423925093</c:v>
                </c:pt>
                <c:pt idx="19">
                  <c:v>21141.211437126243</c:v>
                </c:pt>
                <c:pt idx="20">
                  <c:v>20544.117177856773</c:v>
                </c:pt>
                <c:pt idx="21">
                  <c:v>22421.594665008535</c:v>
                </c:pt>
                <c:pt idx="22">
                  <c:v>28066.564538731938</c:v>
                </c:pt>
                <c:pt idx="23">
                  <c:v>31290.246668173641</c:v>
                </c:pt>
                <c:pt idx="24">
                  <c:v>29025.676577243517</c:v>
                </c:pt>
                <c:pt idx="25">
                  <c:v>24886.763352228663</c:v>
                </c:pt>
                <c:pt idx="26">
                  <c:v>23266.302816573476</c:v>
                </c:pt>
                <c:pt idx="27">
                  <c:v>21965.54629375548</c:v>
                </c:pt>
                <c:pt idx="28">
                  <c:v>18132.232492776173</c:v>
                </c:pt>
                <c:pt idx="29">
                  <c:v>19218.285830502526</c:v>
                </c:pt>
                <c:pt idx="30">
                  <c:v>30022.400852559476</c:v>
                </c:pt>
                <c:pt idx="31">
                  <c:v>15933.483816253705</c:v>
                </c:pt>
                <c:pt idx="32">
                  <c:v>25189.228423197183</c:v>
                </c:pt>
                <c:pt idx="33">
                  <c:v>27693.576523755215</c:v>
                </c:pt>
                <c:pt idx="34">
                  <c:v>22376.146545536583</c:v>
                </c:pt>
                <c:pt idx="35">
                  <c:v>27737.457466693653</c:v>
                </c:pt>
                <c:pt idx="36">
                  <c:v>19147.762886494322</c:v>
                </c:pt>
                <c:pt idx="37">
                  <c:v>17936.33542608672</c:v>
                </c:pt>
                <c:pt idx="38">
                  <c:v>15610.645450349479</c:v>
                </c:pt>
                <c:pt idx="39">
                  <c:v>23415.184587257463</c:v>
                </c:pt>
                <c:pt idx="40">
                  <c:v>24355.49050736686</c:v>
                </c:pt>
                <c:pt idx="41">
                  <c:v>23957.427667853881</c:v>
                </c:pt>
                <c:pt idx="42">
                  <c:v>25344.378900015236</c:v>
                </c:pt>
                <c:pt idx="43">
                  <c:v>24316.31109402897</c:v>
                </c:pt>
                <c:pt idx="44">
                  <c:v>20379.563641837634</c:v>
                </c:pt>
                <c:pt idx="45">
                  <c:v>22738.164324778692</c:v>
                </c:pt>
                <c:pt idx="46">
                  <c:v>17159.015865462952</c:v>
                </c:pt>
                <c:pt idx="47">
                  <c:v>26447.671179610272</c:v>
                </c:pt>
                <c:pt idx="48">
                  <c:v>24200.34003054881</c:v>
                </c:pt>
                <c:pt idx="49">
                  <c:v>37720.371985188394</c:v>
                </c:pt>
              </c:numCache>
            </c:numRef>
          </c:val>
          <c:extLst>
            <c:ext xmlns:c16="http://schemas.microsoft.com/office/drawing/2014/chart" uri="{C3380CC4-5D6E-409C-BE32-E72D297353CC}">
              <c16:uniqueId val="{00000002-E064-439F-B8EF-9B1AF098880A}"/>
            </c:ext>
          </c:extLst>
        </c:ser>
        <c:ser>
          <c:idx val="3"/>
          <c:order val="3"/>
          <c:tx>
            <c:strRef>
              <c:f>US_Results!$AE$2</c:f>
              <c:strCache>
                <c:ptCount val="1"/>
                <c:pt idx="0">
                  <c:v>Insurance&amp;tax</c:v>
                </c:pt>
              </c:strCache>
            </c:strRef>
          </c:tx>
          <c:spPr>
            <a:solidFill>
              <a:schemeClr val="accent4"/>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US_Results!$AE$3:$AE$52</c:f>
              <c:numCache>
                <c:formatCode>"$"#,##0</c:formatCode>
                <c:ptCount val="50"/>
                <c:pt idx="0">
                  <c:v>32571.256287742948</c:v>
                </c:pt>
                <c:pt idx="1">
                  <c:v>25181.26865068917</c:v>
                </c:pt>
                <c:pt idx="2">
                  <c:v>31325.486982133902</c:v>
                </c:pt>
                <c:pt idx="3">
                  <c:v>35074.282847289694</c:v>
                </c:pt>
                <c:pt idx="4">
                  <c:v>35837.006127063054</c:v>
                </c:pt>
                <c:pt idx="5">
                  <c:v>33210.082474258532</c:v>
                </c:pt>
                <c:pt idx="6">
                  <c:v>33988.747287742946</c:v>
                </c:pt>
                <c:pt idx="7">
                  <c:v>35029.505966383156</c:v>
                </c:pt>
                <c:pt idx="8">
                  <c:v>46487.351095561564</c:v>
                </c:pt>
                <c:pt idx="9">
                  <c:v>33336.675821454002</c:v>
                </c:pt>
                <c:pt idx="10">
                  <c:v>22510.858505760018</c:v>
                </c:pt>
                <c:pt idx="11">
                  <c:v>23680.906785533385</c:v>
                </c:pt>
                <c:pt idx="12">
                  <c:v>28062.081930462537</c:v>
                </c:pt>
                <c:pt idx="13">
                  <c:v>26771.184277658012</c:v>
                </c:pt>
                <c:pt idx="14">
                  <c:v>25082.807718111279</c:v>
                </c:pt>
                <c:pt idx="15">
                  <c:v>33346.521914711797</c:v>
                </c:pt>
                <c:pt idx="16">
                  <c:v>40440.187831538948</c:v>
                </c:pt>
                <c:pt idx="17">
                  <c:v>45636.715909045983</c:v>
                </c:pt>
                <c:pt idx="18">
                  <c:v>24209.081158564542</c:v>
                </c:pt>
                <c:pt idx="19">
                  <c:v>34911.352847289687</c:v>
                </c:pt>
                <c:pt idx="20">
                  <c:v>30673.415515844958</c:v>
                </c:pt>
                <c:pt idx="21">
                  <c:v>42686.277043890208</c:v>
                </c:pt>
                <c:pt idx="22">
                  <c:v>28978.170290009275</c:v>
                </c:pt>
                <c:pt idx="23">
                  <c:v>33376.060194485159</c:v>
                </c:pt>
                <c:pt idx="24">
                  <c:v>32088.491434938423</c:v>
                </c:pt>
                <c:pt idx="25">
                  <c:v>30018.999261907265</c:v>
                </c:pt>
                <c:pt idx="26">
                  <c:v>35612.303313578639</c:v>
                </c:pt>
                <c:pt idx="27">
                  <c:v>39963.940178734418</c:v>
                </c:pt>
                <c:pt idx="28">
                  <c:v>23453.507718111279</c:v>
                </c:pt>
                <c:pt idx="29">
                  <c:v>39436.046978734419</c:v>
                </c:pt>
                <c:pt idx="30">
                  <c:v>29594.678329329374</c:v>
                </c:pt>
                <c:pt idx="31">
                  <c:v>39097.363458507789</c:v>
                </c:pt>
                <c:pt idx="32">
                  <c:v>21148.341946213281</c:v>
                </c:pt>
                <c:pt idx="33">
                  <c:v>29056.657863040429</c:v>
                </c:pt>
                <c:pt idx="34">
                  <c:v>22562.785225986645</c:v>
                </c:pt>
                <c:pt idx="35">
                  <c:v>34706.342220320839</c:v>
                </c:pt>
                <c:pt idx="36">
                  <c:v>25699.596930462536</c:v>
                </c:pt>
                <c:pt idx="37">
                  <c:v>32838.039728196221</c:v>
                </c:pt>
                <c:pt idx="38">
                  <c:v>36101.093313578633</c:v>
                </c:pt>
                <c:pt idx="39">
                  <c:v>35622.149406836426</c:v>
                </c:pt>
                <c:pt idx="40">
                  <c:v>31149.66316864948</c:v>
                </c:pt>
                <c:pt idx="41">
                  <c:v>27635.064743946961</c:v>
                </c:pt>
                <c:pt idx="42">
                  <c:v>34647.265660774108</c:v>
                </c:pt>
                <c:pt idx="43">
                  <c:v>30177.8271428138</c:v>
                </c:pt>
                <c:pt idx="44">
                  <c:v>24717.563345080122</c:v>
                </c:pt>
                <c:pt idx="45">
                  <c:v>26879.139837204748</c:v>
                </c:pt>
                <c:pt idx="46">
                  <c:v>31273.208795618324</c:v>
                </c:pt>
                <c:pt idx="47">
                  <c:v>32665.263634938423</c:v>
                </c:pt>
                <c:pt idx="48">
                  <c:v>24218.92725182233</c:v>
                </c:pt>
                <c:pt idx="49">
                  <c:v>29594.678329329374</c:v>
                </c:pt>
              </c:numCache>
            </c:numRef>
          </c:val>
          <c:extLst>
            <c:ext xmlns:c16="http://schemas.microsoft.com/office/drawing/2014/chart" uri="{C3380CC4-5D6E-409C-BE32-E72D297353CC}">
              <c16:uniqueId val="{00000003-E064-439F-B8EF-9B1AF098880A}"/>
            </c:ext>
          </c:extLst>
        </c:ser>
        <c:ser>
          <c:idx val="4"/>
          <c:order val="4"/>
          <c:tx>
            <c:strRef>
              <c:f>US_Results!$AF$2</c:f>
              <c:strCache>
                <c:ptCount val="1"/>
                <c:pt idx="0">
                  <c:v>Other costs</c:v>
                </c:pt>
              </c:strCache>
            </c:strRef>
          </c:tx>
          <c:spPr>
            <a:solidFill>
              <a:schemeClr val="accent5"/>
            </a:solidFill>
            <a:ln>
              <a:no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US_Results!$AF$3:$AF$52</c:f>
              <c:numCache>
                <c:formatCode>"$"#,##0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extLst>
            <c:ext xmlns:c16="http://schemas.microsoft.com/office/drawing/2014/chart" uri="{C3380CC4-5D6E-409C-BE32-E72D297353CC}">
              <c16:uniqueId val="{00000004-E064-439F-B8EF-9B1AF098880A}"/>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5"/>
          <c:tx>
            <c:strRef>
              <c:f>US_Results!$A$53</c:f>
              <c:strCache>
                <c:ptCount val="1"/>
                <c:pt idx="0">
                  <c:v>National Avg</c:v>
                </c:pt>
              </c:strCache>
            </c:strRef>
          </c:tx>
          <c:spPr>
            <a:ln w="28575" cap="rnd">
              <a:solidFill>
                <a:schemeClr val="accent6"/>
              </a:solidFill>
              <a:round/>
            </a:ln>
            <a:effectLst/>
          </c:spPr>
          <c:marker>
            <c:symbol val="none"/>
          </c:marker>
          <c:val>
            <c:numRef>
              <c:f>US_Results!$BX$3:$BX$53</c:f>
              <c:numCache>
                <c:formatCode>0</c:formatCode>
                <c:ptCount val="51"/>
                <c:pt idx="0">
                  <c:v>99790.149589169916</c:v>
                </c:pt>
                <c:pt idx="1">
                  <c:v>99790.149589169916</c:v>
                </c:pt>
                <c:pt idx="2">
                  <c:v>99790.149589169916</c:v>
                </c:pt>
                <c:pt idx="3">
                  <c:v>99790.149589169916</c:v>
                </c:pt>
                <c:pt idx="4">
                  <c:v>99790.149589169916</c:v>
                </c:pt>
                <c:pt idx="5">
                  <c:v>99790.149589169916</c:v>
                </c:pt>
                <c:pt idx="6">
                  <c:v>99790.149589169916</c:v>
                </c:pt>
                <c:pt idx="7">
                  <c:v>99790.149589169916</c:v>
                </c:pt>
                <c:pt idx="8">
                  <c:v>99790.149589169916</c:v>
                </c:pt>
                <c:pt idx="9">
                  <c:v>99790.149589169916</c:v>
                </c:pt>
                <c:pt idx="10">
                  <c:v>99790.149589169916</c:v>
                </c:pt>
                <c:pt idx="11">
                  <c:v>99790.149589169916</c:v>
                </c:pt>
                <c:pt idx="12">
                  <c:v>99790.149589169916</c:v>
                </c:pt>
                <c:pt idx="13">
                  <c:v>99790.149589169916</c:v>
                </c:pt>
                <c:pt idx="14">
                  <c:v>99790.149589169916</c:v>
                </c:pt>
                <c:pt idx="15">
                  <c:v>99790.149589169916</c:v>
                </c:pt>
                <c:pt idx="16">
                  <c:v>99790.149589169916</c:v>
                </c:pt>
                <c:pt idx="17">
                  <c:v>99790.149589169916</c:v>
                </c:pt>
                <c:pt idx="18">
                  <c:v>99790.149589169916</c:v>
                </c:pt>
                <c:pt idx="19">
                  <c:v>99790.149589169916</c:v>
                </c:pt>
                <c:pt idx="20">
                  <c:v>99790.149589169916</c:v>
                </c:pt>
                <c:pt idx="21">
                  <c:v>99790.149589169916</c:v>
                </c:pt>
                <c:pt idx="22">
                  <c:v>99790.149589169916</c:v>
                </c:pt>
                <c:pt idx="23">
                  <c:v>99790.149589169916</c:v>
                </c:pt>
                <c:pt idx="24">
                  <c:v>99790.149589169916</c:v>
                </c:pt>
                <c:pt idx="25">
                  <c:v>99790.149589169916</c:v>
                </c:pt>
                <c:pt idx="26">
                  <c:v>99790.149589169916</c:v>
                </c:pt>
                <c:pt idx="27">
                  <c:v>99790.149589169916</c:v>
                </c:pt>
                <c:pt idx="28">
                  <c:v>99790.149589169916</c:v>
                </c:pt>
                <c:pt idx="29">
                  <c:v>99790.149589169916</c:v>
                </c:pt>
                <c:pt idx="30">
                  <c:v>99790.149589169916</c:v>
                </c:pt>
                <c:pt idx="31">
                  <c:v>99790.149589169916</c:v>
                </c:pt>
                <c:pt idx="32">
                  <c:v>99790.149589169916</c:v>
                </c:pt>
                <c:pt idx="33">
                  <c:v>99790.149589169916</c:v>
                </c:pt>
                <c:pt idx="34">
                  <c:v>99790.149589169916</c:v>
                </c:pt>
                <c:pt idx="35">
                  <c:v>99790.149589169916</c:v>
                </c:pt>
                <c:pt idx="36">
                  <c:v>99790.149589169916</c:v>
                </c:pt>
                <c:pt idx="37">
                  <c:v>99790.149589169916</c:v>
                </c:pt>
                <c:pt idx="38">
                  <c:v>99790.149589169916</c:v>
                </c:pt>
                <c:pt idx="39">
                  <c:v>99790.149589169916</c:v>
                </c:pt>
                <c:pt idx="40">
                  <c:v>99790.149589169916</c:v>
                </c:pt>
                <c:pt idx="41">
                  <c:v>99790.149589169916</c:v>
                </c:pt>
                <c:pt idx="42">
                  <c:v>99790.149589169916</c:v>
                </c:pt>
                <c:pt idx="43">
                  <c:v>99790.149589169916</c:v>
                </c:pt>
                <c:pt idx="44">
                  <c:v>99790.149589169916</c:v>
                </c:pt>
                <c:pt idx="45">
                  <c:v>99790.149589169916</c:v>
                </c:pt>
                <c:pt idx="46">
                  <c:v>99790.149589169916</c:v>
                </c:pt>
                <c:pt idx="47">
                  <c:v>99790.149589169916</c:v>
                </c:pt>
                <c:pt idx="48">
                  <c:v>99790.149589169916</c:v>
                </c:pt>
                <c:pt idx="49">
                  <c:v>99790.149589169916</c:v>
                </c:pt>
                <c:pt idx="50">
                  <c:v>99790.149589169916</c:v>
                </c:pt>
              </c:numCache>
            </c:numRef>
          </c:val>
          <c:smooth val="0"/>
          <c:extLst>
            <c:ext xmlns:c16="http://schemas.microsoft.com/office/drawing/2014/chart" uri="{C3380CC4-5D6E-409C-BE32-E72D297353CC}">
              <c16:uniqueId val="{00000005-E064-439F-B8EF-9B1AF098880A}"/>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State TCO Comparison</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US_Results!$B$1</c:f>
              <c:strCache>
                <c:ptCount val="1"/>
                <c:pt idx="0">
                  <c:v>ICEV</c:v>
                </c:pt>
              </c:strCache>
            </c:strRef>
          </c:tx>
          <c:spPr>
            <a:solidFill>
              <a:schemeClr val="accent6">
                <a:lumMod val="50000"/>
              </a:schemeClr>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US_Results!$G$3:$G$52</c:f>
              <c:numCache>
                <c:formatCode>"$"#,##0</c:formatCode>
                <c:ptCount val="50"/>
                <c:pt idx="0">
                  <c:v>106477.08500976385</c:v>
                </c:pt>
                <c:pt idx="1">
                  <c:v>89581.179086280084</c:v>
                </c:pt>
                <c:pt idx="2">
                  <c:v>98906.062180355817</c:v>
                </c:pt>
                <c:pt idx="3">
                  <c:v>107122.53788647891</c:v>
                </c:pt>
                <c:pt idx="4">
                  <c:v>101046.12770888739</c:v>
                </c:pt>
                <c:pt idx="5">
                  <c:v>95934.669620803674</c:v>
                </c:pt>
                <c:pt idx="6">
                  <c:v>93319.771403612249</c:v>
                </c:pt>
                <c:pt idx="7">
                  <c:v>96325.097076941456</c:v>
                </c:pt>
                <c:pt idx="8">
                  <c:v>111324.77490869761</c:v>
                </c:pt>
                <c:pt idx="9">
                  <c:v>109831.96840553431</c:v>
                </c:pt>
                <c:pt idx="10">
                  <c:v>85451.896796764515</c:v>
                </c:pt>
                <c:pt idx="11">
                  <c:v>91575.253401009642</c:v>
                </c:pt>
                <c:pt idx="12">
                  <c:v>88480.999109357595</c:v>
                </c:pt>
                <c:pt idx="13">
                  <c:v>103680.09918952674</c:v>
                </c:pt>
                <c:pt idx="14">
                  <c:v>92458.647475025806</c:v>
                </c:pt>
                <c:pt idx="15">
                  <c:v>100219.05811127114</c:v>
                </c:pt>
                <c:pt idx="16">
                  <c:v>111447.8720368206</c:v>
                </c:pt>
                <c:pt idx="17">
                  <c:v>110650.82037446613</c:v>
                </c:pt>
                <c:pt idx="18">
                  <c:v>90816.269879586631</c:v>
                </c:pt>
                <c:pt idx="19">
                  <c:v>98738.488776290091</c:v>
                </c:pt>
                <c:pt idx="20">
                  <c:v>93221.678596624814</c:v>
                </c:pt>
                <c:pt idx="21">
                  <c:v>108074.64907950739</c:v>
                </c:pt>
                <c:pt idx="22">
                  <c:v>106182.83223917044</c:v>
                </c:pt>
                <c:pt idx="23">
                  <c:v>113384.32331292461</c:v>
                </c:pt>
                <c:pt idx="24">
                  <c:v>110314.32875770279</c:v>
                </c:pt>
                <c:pt idx="25">
                  <c:v>102558.95284751331</c:v>
                </c:pt>
                <c:pt idx="26">
                  <c:v>102776.76505357254</c:v>
                </c:pt>
                <c:pt idx="27">
                  <c:v>110521.58221757109</c:v>
                </c:pt>
                <c:pt idx="28">
                  <c:v>81985.513051146423</c:v>
                </c:pt>
                <c:pt idx="29">
                  <c:v>99312.776365099766</c:v>
                </c:pt>
                <c:pt idx="30">
                  <c:v>107740.14009015642</c:v>
                </c:pt>
                <c:pt idx="31">
                  <c:v>92823.893996225597</c:v>
                </c:pt>
                <c:pt idx="32">
                  <c:v>91654.738356679358</c:v>
                </c:pt>
                <c:pt idx="33">
                  <c:v>105618.47303919963</c:v>
                </c:pt>
                <c:pt idx="34">
                  <c:v>88375.730774051655</c:v>
                </c:pt>
                <c:pt idx="35">
                  <c:v>110266.31771789456</c:v>
                </c:pt>
                <c:pt idx="36">
                  <c:v>90980.911463249955</c:v>
                </c:pt>
                <c:pt idx="37">
                  <c:v>90593.854048256253</c:v>
                </c:pt>
                <c:pt idx="38">
                  <c:v>88665.48533187696</c:v>
                </c:pt>
                <c:pt idx="39">
                  <c:v>102055.05135967577</c:v>
                </c:pt>
                <c:pt idx="40">
                  <c:v>100875.06178621438</c:v>
                </c:pt>
                <c:pt idx="41">
                  <c:v>95979.20315574664</c:v>
                </c:pt>
                <c:pt idx="42">
                  <c:v>103669.94306747007</c:v>
                </c:pt>
                <c:pt idx="43">
                  <c:v>100961.0236171743</c:v>
                </c:pt>
                <c:pt idx="44">
                  <c:v>87465.429728162766</c:v>
                </c:pt>
                <c:pt idx="45">
                  <c:v>93255.426771306549</c:v>
                </c:pt>
                <c:pt idx="46">
                  <c:v>91710.865324037077</c:v>
                </c:pt>
                <c:pt idx="47">
                  <c:v>105255.93439132199</c:v>
                </c:pt>
                <c:pt idx="48">
                  <c:v>93964.931703430833</c:v>
                </c:pt>
                <c:pt idx="49">
                  <c:v>127868.47245769495</c:v>
                </c:pt>
              </c:numCache>
            </c:numRef>
          </c:val>
          <c:extLst>
            <c:ext xmlns:c16="http://schemas.microsoft.com/office/drawing/2014/chart" uri="{C3380CC4-5D6E-409C-BE32-E72D297353CC}">
              <c16:uniqueId val="{00000000-AF8F-4DAA-B70F-F48813AB1C17}"/>
            </c:ext>
          </c:extLst>
        </c:ser>
        <c:ser>
          <c:idx val="1"/>
          <c:order val="1"/>
          <c:tx>
            <c:strRef>
              <c:f>US_Results!$J$1</c:f>
              <c:strCache>
                <c:ptCount val="1"/>
                <c:pt idx="0">
                  <c:v>BEV</c:v>
                </c:pt>
              </c:strCache>
            </c:strRef>
          </c:tx>
          <c:spPr>
            <a:solidFill>
              <a:schemeClr val="accent6">
                <a:lumMod val="75000"/>
              </a:schemeClr>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US_Results!$O$3:$O$52</c:f>
              <c:numCache>
                <c:formatCode>"$"#,##0</c:formatCode>
                <c:ptCount val="50"/>
                <c:pt idx="0">
                  <c:v>111617.19785251361</c:v>
                </c:pt>
                <c:pt idx="1">
                  <c:v>105867.3655085991</c:v>
                </c:pt>
                <c:pt idx="2">
                  <c:v>102056.69969630733</c:v>
                </c:pt>
                <c:pt idx="3">
                  <c:v>115714.49531364228</c:v>
                </c:pt>
                <c:pt idx="4">
                  <c:v>113634.96094094487</c:v>
                </c:pt>
                <c:pt idx="5">
                  <c:v>106389.82051463553</c:v>
                </c:pt>
                <c:pt idx="6">
                  <c:v>114940.96705239589</c:v>
                </c:pt>
                <c:pt idx="7">
                  <c:v>105508.04137004827</c:v>
                </c:pt>
                <c:pt idx="8">
                  <c:v>126410.22513504038</c:v>
                </c:pt>
                <c:pt idx="9">
                  <c:v>111612.77833232978</c:v>
                </c:pt>
                <c:pt idx="10">
                  <c:v>99569.446102506132</c:v>
                </c:pt>
                <c:pt idx="11">
                  <c:v>94395.385344854309</c:v>
                </c:pt>
                <c:pt idx="12">
                  <c:v>98880.89898408376</c:v>
                </c:pt>
                <c:pt idx="13">
                  <c:v>107569.54969973495</c:v>
                </c:pt>
                <c:pt idx="14">
                  <c:v>99510.724943634879</c:v>
                </c:pt>
                <c:pt idx="15">
                  <c:v>109459.8309361397</c:v>
                </c:pt>
                <c:pt idx="16">
                  <c:v>118521.07650393428</c:v>
                </c:pt>
                <c:pt idx="17">
                  <c:v>122050.58830350998</c:v>
                </c:pt>
                <c:pt idx="18">
                  <c:v>103903.67080670423</c:v>
                </c:pt>
                <c:pt idx="19">
                  <c:v>108610.6551687061</c:v>
                </c:pt>
                <c:pt idx="20">
                  <c:v>109060.62738789315</c:v>
                </c:pt>
                <c:pt idx="21">
                  <c:v>121802.48850501473</c:v>
                </c:pt>
                <c:pt idx="22">
                  <c:v>110815.95194442381</c:v>
                </c:pt>
                <c:pt idx="23">
                  <c:v>123562.10609862444</c:v>
                </c:pt>
                <c:pt idx="24">
                  <c:v>114586.58600086154</c:v>
                </c:pt>
                <c:pt idx="25">
                  <c:v>107901.0777392781</c:v>
                </c:pt>
                <c:pt idx="26">
                  <c:v>110758.72108266084</c:v>
                </c:pt>
                <c:pt idx="27">
                  <c:v>115102.78957012983</c:v>
                </c:pt>
                <c:pt idx="28">
                  <c:v>98734.194032081519</c:v>
                </c:pt>
                <c:pt idx="29">
                  <c:v>110179.62722430757</c:v>
                </c:pt>
                <c:pt idx="30">
                  <c:v>111557.99923737146</c:v>
                </c:pt>
                <c:pt idx="31">
                  <c:v>106582.09874756387</c:v>
                </c:pt>
                <c:pt idx="32">
                  <c:v>92944.650453423397</c:v>
                </c:pt>
                <c:pt idx="33">
                  <c:v>108239.48606187769</c:v>
                </c:pt>
                <c:pt idx="34">
                  <c:v>95039.692352849757</c:v>
                </c:pt>
                <c:pt idx="35">
                  <c:v>112744.44194782566</c:v>
                </c:pt>
                <c:pt idx="36">
                  <c:v>92854.786584759684</c:v>
                </c:pt>
                <c:pt idx="37">
                  <c:v>102751.56533828484</c:v>
                </c:pt>
                <c:pt idx="38">
                  <c:v>109075.61094481265</c:v>
                </c:pt>
                <c:pt idx="39">
                  <c:v>109588.51123512026</c:v>
                </c:pt>
                <c:pt idx="40">
                  <c:v>106823.37261994867</c:v>
                </c:pt>
                <c:pt idx="41">
                  <c:v>102754.47880224203</c:v>
                </c:pt>
                <c:pt idx="42">
                  <c:v>109836.86999937965</c:v>
                </c:pt>
                <c:pt idx="43">
                  <c:v>104754.06645610256</c:v>
                </c:pt>
                <c:pt idx="44">
                  <c:v>100439.35168669507</c:v>
                </c:pt>
                <c:pt idx="45">
                  <c:v>105798.45556530869</c:v>
                </c:pt>
                <c:pt idx="46">
                  <c:v>97512.692557680886</c:v>
                </c:pt>
                <c:pt idx="47">
                  <c:v>112468.85106172919</c:v>
                </c:pt>
                <c:pt idx="48">
                  <c:v>101116.18471804161</c:v>
                </c:pt>
                <c:pt idx="49">
                  <c:v>120757.41089122927</c:v>
                </c:pt>
              </c:numCache>
            </c:numRef>
          </c:val>
          <c:extLst>
            <c:ext xmlns:c16="http://schemas.microsoft.com/office/drawing/2014/chart" uri="{C3380CC4-5D6E-409C-BE32-E72D297353CC}">
              <c16:uniqueId val="{00000001-AF8F-4DAA-B70F-F48813AB1C17}"/>
            </c:ext>
          </c:extLst>
        </c:ser>
        <c:ser>
          <c:idx val="2"/>
          <c:order val="2"/>
          <c:tx>
            <c:strRef>
              <c:f>US_Results!$S$1</c:f>
              <c:strCache>
                <c:ptCount val="1"/>
                <c:pt idx="0">
                  <c:v>HEV</c:v>
                </c:pt>
              </c:strCache>
            </c:strRef>
          </c:tx>
          <c:spPr>
            <a:solidFill>
              <a:schemeClr val="accent6">
                <a:lumMod val="60000"/>
                <a:lumOff val="40000"/>
              </a:schemeClr>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US_Results!$X$3:$X$52</c:f>
              <c:numCache>
                <c:formatCode>"$"#,##0</c:formatCode>
                <c:ptCount val="50"/>
                <c:pt idx="0">
                  <c:v>98656.397608452433</c:v>
                </c:pt>
                <c:pt idx="1">
                  <c:v>81790.338181346509</c:v>
                </c:pt>
                <c:pt idx="2">
                  <c:v>90983.973103437485</c:v>
                </c:pt>
                <c:pt idx="3">
                  <c:v>99702.614031032019</c:v>
                </c:pt>
                <c:pt idx="4">
                  <c:v>93829.874206925844</c:v>
                </c:pt>
                <c:pt idx="5">
                  <c:v>89869.416147426266</c:v>
                </c:pt>
                <c:pt idx="6">
                  <c:v>88121.35619708692</c:v>
                </c:pt>
                <c:pt idx="7">
                  <c:v>90748.766707307121</c:v>
                </c:pt>
                <c:pt idx="8">
                  <c:v>105588.1399292179</c:v>
                </c:pt>
                <c:pt idx="9">
                  <c:v>101225.73419943736</c:v>
                </c:pt>
                <c:pt idx="10">
                  <c:v>78393.548386645125</c:v>
                </c:pt>
                <c:pt idx="11">
                  <c:v>84023.726669676544</c:v>
                </c:pt>
                <c:pt idx="12">
                  <c:v>82943.480228785425</c:v>
                </c:pt>
                <c:pt idx="13">
                  <c:v>94591.097688596579</c:v>
                </c:pt>
                <c:pt idx="14">
                  <c:v>85326.534831990284</c:v>
                </c:pt>
                <c:pt idx="15">
                  <c:v>93481.571531994297</c:v>
                </c:pt>
                <c:pt idx="16">
                  <c:v>104093.15079301121</c:v>
                </c:pt>
                <c:pt idx="17">
                  <c:v>105052.83935071736</c:v>
                </c:pt>
                <c:pt idx="18">
                  <c:v>83675.943931027723</c:v>
                </c:pt>
                <c:pt idx="19">
                  <c:v>92550.18370273037</c:v>
                </c:pt>
                <c:pt idx="20">
                  <c:v>87218.803571743076</c:v>
                </c:pt>
                <c:pt idx="21">
                  <c:v>101902.18871696891</c:v>
                </c:pt>
                <c:pt idx="22">
                  <c:v>96977.18762214249</c:v>
                </c:pt>
                <c:pt idx="23">
                  <c:v>104303.73644674274</c:v>
                </c:pt>
                <c:pt idx="24">
                  <c:v>101150.65806406962</c:v>
                </c:pt>
                <c:pt idx="25">
                  <c:v>94227.518220486643</c:v>
                </c:pt>
                <c:pt idx="26">
                  <c:v>96032.236642979944</c:v>
                </c:pt>
                <c:pt idx="27">
                  <c:v>102108.2126052354</c:v>
                </c:pt>
                <c:pt idx="28">
                  <c:v>76646.359895090689</c:v>
                </c:pt>
                <c:pt idx="29">
                  <c:v>94111.156391927288</c:v>
                </c:pt>
                <c:pt idx="30">
                  <c:v>98878.337970377979</c:v>
                </c:pt>
                <c:pt idx="31">
                  <c:v>88933.923183498642</c:v>
                </c:pt>
                <c:pt idx="32">
                  <c:v>83939.172275924953</c:v>
                </c:pt>
                <c:pt idx="33">
                  <c:v>96567.481314347533</c:v>
                </c:pt>
                <c:pt idx="34">
                  <c:v>81528.789741779707</c:v>
                </c:pt>
                <c:pt idx="35">
                  <c:v>101782.25609079692</c:v>
                </c:pt>
                <c:pt idx="36">
                  <c:v>83437.29272584377</c:v>
                </c:pt>
                <c:pt idx="37">
                  <c:v>85629.998422898978</c:v>
                </c:pt>
                <c:pt idx="38">
                  <c:v>84995.522399765614</c:v>
                </c:pt>
                <c:pt idx="39">
                  <c:v>95648.978320305818</c:v>
                </c:pt>
                <c:pt idx="40">
                  <c:v>93417.555127984437</c:v>
                </c:pt>
                <c:pt idx="41">
                  <c:v>88788.243203819555</c:v>
                </c:pt>
                <c:pt idx="42">
                  <c:v>96862.053111968271</c:v>
                </c:pt>
                <c:pt idx="43">
                  <c:v>93016.038055559839</c:v>
                </c:pt>
                <c:pt idx="44">
                  <c:v>81187.243686064161</c:v>
                </c:pt>
                <c:pt idx="45">
                  <c:v>86443.14328042345</c:v>
                </c:pt>
                <c:pt idx="46">
                  <c:v>85412.122153095173</c:v>
                </c:pt>
                <c:pt idx="47">
                  <c:v>97394.935104628865</c:v>
                </c:pt>
                <c:pt idx="48">
                  <c:v>86260.748847103067</c:v>
                </c:pt>
                <c:pt idx="49">
                  <c:v>113809.06287856394</c:v>
                </c:pt>
              </c:numCache>
            </c:numRef>
          </c:val>
          <c:extLst>
            <c:ext xmlns:c16="http://schemas.microsoft.com/office/drawing/2014/chart" uri="{C3380CC4-5D6E-409C-BE32-E72D297353CC}">
              <c16:uniqueId val="{00000002-AF8F-4DAA-B70F-F48813AB1C17}"/>
            </c:ext>
          </c:extLst>
        </c:ser>
        <c:dLbls>
          <c:showLegendKey val="0"/>
          <c:showVal val="0"/>
          <c:showCatName val="0"/>
          <c:showSerName val="0"/>
          <c:showPercent val="0"/>
          <c:showBubbleSize val="0"/>
        </c:dLbls>
        <c:gapWidth val="219"/>
        <c:overlap val="-27"/>
        <c:axId val="1379351504"/>
        <c:axId val="1379351024"/>
        <c:extLst>
          <c:ext xmlns:c15="http://schemas.microsoft.com/office/drawing/2012/chart" uri="{02D57815-91ED-43cb-92C2-25804820EDAC}">
            <c15:filteredBarSeries>
              <c15:ser>
                <c:idx val="4"/>
                <c:order val="3"/>
                <c:tx>
                  <c:strRef>
                    <c:extLst>
                      <c:ext uri="{02D57815-91ED-43cb-92C2-25804820EDAC}">
                        <c15:formulaRef>
                          <c15:sqref>US_Results!$AK$1</c15:sqref>
                        </c15:formulaRef>
                      </c:ext>
                    </c:extLst>
                    <c:strCache>
                      <c:ptCount val="1"/>
                      <c:pt idx="0">
                        <c:v>PHEV</c:v>
                      </c:pt>
                    </c:strCache>
                  </c:strRef>
                </c:tx>
                <c:spPr>
                  <a:solidFill>
                    <a:schemeClr val="accent6">
                      <a:lumMod val="40000"/>
                      <a:lumOff val="60000"/>
                    </a:schemeClr>
                  </a:solidFill>
                  <a:ln>
                    <a:solidFill>
                      <a:schemeClr val="tx1"/>
                    </a:solidFill>
                  </a:ln>
                  <a:effectLst/>
                </c:spPr>
                <c:invertIfNegative val="0"/>
                <c:cat>
                  <c:strRef>
                    <c:extLst>
                      <c:ext uri="{02D57815-91ED-43cb-92C2-25804820EDAC}">
                        <c15:formulaRef>
                          <c15:sqref>US_Results!$A$3:$A$52</c15:sqref>
                        </c15:formulaRef>
                      </c:ext>
                    </c:extLst>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extLst>
                      <c:ext uri="{02D57815-91ED-43cb-92C2-25804820EDAC}">
                        <c15:formulaRef>
                          <c15:sqref>US_Results!$AP$3:$AP$52</c15:sqref>
                        </c15:formulaRef>
                      </c:ext>
                    </c:extLst>
                    <c:numCache>
                      <c:formatCode>"$"#,##0</c:formatCode>
                      <c:ptCount val="50"/>
                      <c:pt idx="0">
                        <c:v>107162.97084272606</c:v>
                      </c:pt>
                      <c:pt idx="1">
                        <c:v>95031.222707199311</c:v>
                      </c:pt>
                      <c:pt idx="2">
                        <c:v>97755.301476183668</c:v>
                      </c:pt>
                      <c:pt idx="3">
                        <c:v>111335.50160107051</c:v>
                      </c:pt>
                      <c:pt idx="4">
                        <c:v>105598.3524622259</c:v>
                      </c:pt>
                      <c:pt idx="5">
                        <c:v>100366.62261427833</c:v>
                      </c:pt>
                      <c:pt idx="6">
                        <c:v>104737.65326610659</c:v>
                      </c:pt>
                      <c:pt idx="7">
                        <c:v>99799.562855688651</c:v>
                      </c:pt>
                      <c:pt idx="8">
                        <c:v>120875.79794946364</c:v>
                      </c:pt>
                      <c:pt idx="9">
                        <c:v>107646.1036798264</c:v>
                      </c:pt>
                      <c:pt idx="10">
                        <c:v>88900.014601543022</c:v>
                      </c:pt>
                      <c:pt idx="11">
                        <c:v>89582.787021675103</c:v>
                      </c:pt>
                      <c:pt idx="12">
                        <c:v>91963.535203472537</c:v>
                      </c:pt>
                      <c:pt idx="13">
                        <c:v>102644.52968178547</c:v>
                      </c:pt>
                      <c:pt idx="14">
                        <c:v>93912.714465618483</c:v>
                      </c:pt>
                      <c:pt idx="15">
                        <c:v>103865.80806203341</c:v>
                      </c:pt>
                      <c:pt idx="16">
                        <c:v>113994.70148066193</c:v>
                      </c:pt>
                      <c:pt idx="17">
                        <c:v>117267.6389107953</c:v>
                      </c:pt>
                      <c:pt idx="18">
                        <c:v>94240.630368696715</c:v>
                      </c:pt>
                      <c:pt idx="19">
                        <c:v>102396.95052645708</c:v>
                      </c:pt>
                      <c:pt idx="20">
                        <c:v>98977.549137527909</c:v>
                      </c:pt>
                      <c:pt idx="21">
                        <c:v>114395.27093960834</c:v>
                      </c:pt>
                      <c:pt idx="22">
                        <c:v>105337.76123319473</c:v>
                      </c:pt>
                      <c:pt idx="23">
                        <c:v>120031.77441203625</c:v>
                      </c:pt>
                      <c:pt idx="24">
                        <c:v>111084.69069904306</c:v>
                      </c:pt>
                      <c:pt idx="25">
                        <c:v>103625.02534281832</c:v>
                      </c:pt>
                      <c:pt idx="26">
                        <c:v>105791.60553041346</c:v>
                      </c:pt>
                      <c:pt idx="27">
                        <c:v>110344.36273452925</c:v>
                      </c:pt>
                      <c:pt idx="28">
                        <c:v>89099.057991915499</c:v>
                      </c:pt>
                      <c:pt idx="29">
                        <c:v>102994.10882160586</c:v>
                      </c:pt>
                      <c:pt idx="30">
                        <c:v>107264.63116004849</c:v>
                      </c:pt>
                      <c:pt idx="31">
                        <c:v>97806.485277089174</c:v>
                      </c:pt>
                      <c:pt idx="32">
                        <c:v>88583.603234919516</c:v>
                      </c:pt>
                      <c:pt idx="33">
                        <c:v>104164.26294993088</c:v>
                      </c:pt>
                      <c:pt idx="34">
                        <c:v>88906.619604817213</c:v>
                      </c:pt>
                      <c:pt idx="35">
                        <c:v>109438.8645340061</c:v>
                      </c:pt>
                      <c:pt idx="36">
                        <c:v>88739.3404128814</c:v>
                      </c:pt>
                      <c:pt idx="37">
                        <c:v>95384.791910042899</c:v>
                      </c:pt>
                      <c:pt idx="38">
                        <c:v>99007.710670615357</c:v>
                      </c:pt>
                      <c:pt idx="39">
                        <c:v>104319.40476639394</c:v>
                      </c:pt>
                      <c:pt idx="40">
                        <c:v>101800.31269855401</c:v>
                      </c:pt>
                      <c:pt idx="41">
                        <c:v>97805.808532266819</c:v>
                      </c:pt>
                      <c:pt idx="42">
                        <c:v>104737.69207121627</c:v>
                      </c:pt>
                      <c:pt idx="43">
                        <c:v>100450.71084851724</c:v>
                      </c:pt>
                      <c:pt idx="44">
                        <c:v>91917.895804863045</c:v>
                      </c:pt>
                      <c:pt idx="45">
                        <c:v>100575.06544289239</c:v>
                      </c:pt>
                      <c:pt idx="46">
                        <c:v>92371.400597528031</c:v>
                      </c:pt>
                      <c:pt idx="47">
                        <c:v>107587.45817347534</c:v>
                      </c:pt>
                      <c:pt idx="48">
                        <c:v>94566.795632449866</c:v>
                      </c:pt>
                      <c:pt idx="49">
                        <c:v>119807.27237335133</c:v>
                      </c:pt>
                    </c:numCache>
                  </c:numRef>
                </c:val>
                <c:extLst>
                  <c:ext xmlns:c16="http://schemas.microsoft.com/office/drawing/2014/chart" uri="{C3380CC4-5D6E-409C-BE32-E72D297353CC}">
                    <c16:uniqueId val="{00000004-AF8F-4DAA-B70F-F48813AB1C17}"/>
                  </c:ext>
                </c:extLst>
              </c15:ser>
            </c15:filteredBarSeries>
            <c15:filteredBarSeries>
              <c15:ser>
                <c:idx val="3"/>
                <c:order val="4"/>
                <c:tx>
                  <c:strRef>
                    <c:extLst xmlns:c15="http://schemas.microsoft.com/office/drawing/2012/chart">
                      <c:ext xmlns:c15="http://schemas.microsoft.com/office/drawing/2012/chart" uri="{02D57815-91ED-43cb-92C2-25804820EDAC}">
                        <c15:formulaRef>
                          <c15:sqref>US_Results!$AB$1</c15:sqref>
                        </c15:formulaRef>
                      </c:ext>
                    </c:extLst>
                    <c:strCache>
                      <c:ptCount val="1"/>
                      <c:pt idx="0">
                        <c:v>H2ICEV</c:v>
                      </c:pt>
                    </c:strCache>
                  </c:strRef>
                </c:tx>
                <c:spPr>
                  <a:solidFill>
                    <a:schemeClr val="accent6">
                      <a:lumMod val="20000"/>
                      <a:lumOff val="80000"/>
                    </a:schemeClr>
                  </a:solid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US_Results!$A$3:$A$52</c15:sqref>
                        </c15:formulaRef>
                      </c:ext>
                    </c:extLst>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extLst xmlns:c15="http://schemas.microsoft.com/office/drawing/2012/chart">
                      <c:ext xmlns:c15="http://schemas.microsoft.com/office/drawing/2012/chart" uri="{02D57815-91ED-43cb-92C2-25804820EDAC}">
                        <c15:formulaRef>
                          <c15:sqref>US_Results!$AG$3:$AG$52</c15:sqref>
                        </c15:formulaRef>
                      </c:ext>
                    </c:extLst>
                    <c:numCache>
                      <c:formatCode>"$"#,##0</c:formatCode>
                      <c:ptCount val="50"/>
                      <c:pt idx="0">
                        <c:v>110043.68933455604</c:v>
                      </c:pt>
                      <c:pt idx="1">
                        <c:v>86557.863582811435</c:v>
                      </c:pt>
                      <c:pt idx="2">
                        <c:v>95977.352689741732</c:v>
                      </c:pt>
                      <c:pt idx="3">
                        <c:v>111035.63056955268</c:v>
                      </c:pt>
                      <c:pt idx="4">
                        <c:v>98807.504054614314</c:v>
                      </c:pt>
                      <c:pt idx="5">
                        <c:v>97663.830948421091</c:v>
                      </c:pt>
                      <c:pt idx="6">
                        <c:v>96105.449011848366</c:v>
                      </c:pt>
                      <c:pt idx="7">
                        <c:v>98351.507507393471</c:v>
                      </c:pt>
                      <c:pt idx="8">
                        <c:v>115008.97950445519</c:v>
                      </c:pt>
                      <c:pt idx="9">
                        <c:v>112209.9743732764</c:v>
                      </c:pt>
                      <c:pt idx="10">
                        <c:v>83150.588016808135</c:v>
                      </c:pt>
                      <c:pt idx="11">
                        <c:v>92487.779369125608</c:v>
                      </c:pt>
                      <c:pt idx="12">
                        <c:v>91452.952638677321</c:v>
                      </c:pt>
                      <c:pt idx="13">
                        <c:v>105232.18229162048</c:v>
                      </c:pt>
                      <c:pt idx="14">
                        <c:v>94670.435595496878</c:v>
                      </c:pt>
                      <c:pt idx="15">
                        <c:v>102828.32519207141</c:v>
                      </c:pt>
                      <c:pt idx="16">
                        <c:v>113961.89622626353</c:v>
                      </c:pt>
                      <c:pt idx="17">
                        <c:v>115242.63244263909</c:v>
                      </c:pt>
                      <c:pt idx="18">
                        <c:v>92516.767739199786</c:v>
                      </c:pt>
                      <c:pt idx="19">
                        <c:v>100684.81995478109</c:v>
                      </c:pt>
                      <c:pt idx="20">
                        <c:v>95575.961518764379</c:v>
                      </c:pt>
                      <c:pt idx="21">
                        <c:v>111135.40795750158</c:v>
                      </c:pt>
                      <c:pt idx="22">
                        <c:v>107786.49538452752</c:v>
                      </c:pt>
                      <c:pt idx="23">
                        <c:v>116783.25831530656</c:v>
                      </c:pt>
                      <c:pt idx="24">
                        <c:v>111863.60841201789</c:v>
                      </c:pt>
                      <c:pt idx="25">
                        <c:v>102993.94810684049</c:v>
                      </c:pt>
                      <c:pt idx="26">
                        <c:v>105412.59350255555</c:v>
                      </c:pt>
                      <c:pt idx="27">
                        <c:v>107322.67341625161</c:v>
                      </c:pt>
                      <c:pt idx="28">
                        <c:v>84252.665070989155</c:v>
                      </c:pt>
                      <c:pt idx="29">
                        <c:v>101858.4653767579</c:v>
                      </c:pt>
                      <c:pt idx="30">
                        <c:v>111065.07610356294</c:v>
                      </c:pt>
                      <c:pt idx="31">
                        <c:v>95915.998317875274</c:v>
                      </c:pt>
                      <c:pt idx="32">
                        <c:v>93879.380013843154</c:v>
                      </c:pt>
                      <c:pt idx="33">
                        <c:v>107216.44027770974</c:v>
                      </c:pt>
                      <c:pt idx="34">
                        <c:v>90648.635261462943</c:v>
                      </c:pt>
                      <c:pt idx="35">
                        <c:v>112101.12673010735</c:v>
                      </c:pt>
                      <c:pt idx="36">
                        <c:v>88139.453050996439</c:v>
                      </c:pt>
                      <c:pt idx="37">
                        <c:v>93101.514877877882</c:v>
                      </c:pt>
                      <c:pt idx="38">
                        <c:v>92194.585740223964</c:v>
                      </c:pt>
                      <c:pt idx="39">
                        <c:v>105183.17356028568</c:v>
                      </c:pt>
                      <c:pt idx="40">
                        <c:v>103083.99051708203</c:v>
                      </c:pt>
                      <c:pt idx="41">
                        <c:v>98272.301477133573</c:v>
                      </c:pt>
                      <c:pt idx="42">
                        <c:v>107707.39308040847</c:v>
                      </c:pt>
                      <c:pt idx="43">
                        <c:v>101825.72944605316</c:v>
                      </c:pt>
                      <c:pt idx="44">
                        <c:v>89570.141875757588</c:v>
                      </c:pt>
                      <c:pt idx="45">
                        <c:v>95403.632845369866</c:v>
                      </c:pt>
                      <c:pt idx="46">
                        <c:v>90209.35034836024</c:v>
                      </c:pt>
                      <c:pt idx="47">
                        <c:v>107863.11472520935</c:v>
                      </c:pt>
                      <c:pt idx="48">
                        <c:v>95948.13688374123</c:v>
                      </c:pt>
                      <c:pt idx="49">
                        <c:v>125580.68025226519</c:v>
                      </c:pt>
                    </c:numCache>
                  </c:numRef>
                </c:val>
                <c:extLst xmlns:c15="http://schemas.microsoft.com/office/drawing/2012/chart">
                  <c:ext xmlns:c16="http://schemas.microsoft.com/office/drawing/2014/chart" uri="{C3380CC4-5D6E-409C-BE32-E72D297353CC}">
                    <c16:uniqueId val="{00000003-AF8F-4DAA-B70F-F48813AB1C17}"/>
                  </c:ext>
                </c:extLst>
              </c15:ser>
            </c15:filteredBarSeries>
          </c:ext>
        </c:extLst>
      </c:barChart>
      <c:catAx>
        <c:axId val="137935150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79351024"/>
        <c:crosses val="autoZero"/>
        <c:auto val="1"/>
        <c:lblAlgn val="ctr"/>
        <c:lblOffset val="100"/>
        <c:noMultiLvlLbl val="0"/>
      </c:catAx>
      <c:valAx>
        <c:axId val="1379351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79351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PHEV TCO</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US_Results!$S$2</c:f>
              <c:strCache>
                <c:ptCount val="1"/>
                <c:pt idx="0">
                  <c:v>Net vehicle cost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US_Results!$AK$3:$AK$52</c:f>
              <c:numCache>
                <c:formatCode>"$"#,##0</c:formatCode>
                <c:ptCount val="50"/>
                <c:pt idx="0">
                  <c:v>30376.676612640622</c:v>
                </c:pt>
                <c:pt idx="1">
                  <c:v>30376.676612640622</c:v>
                </c:pt>
                <c:pt idx="2">
                  <c:v>30376.676612640622</c:v>
                </c:pt>
                <c:pt idx="3">
                  <c:v>30376.676612640622</c:v>
                </c:pt>
                <c:pt idx="4">
                  <c:v>30376.676612640622</c:v>
                </c:pt>
                <c:pt idx="5">
                  <c:v>30376.676612640622</c:v>
                </c:pt>
                <c:pt idx="6">
                  <c:v>30376.676612640622</c:v>
                </c:pt>
                <c:pt idx="7">
                  <c:v>30376.676612640622</c:v>
                </c:pt>
                <c:pt idx="8">
                  <c:v>30376.676612640622</c:v>
                </c:pt>
                <c:pt idx="9">
                  <c:v>30376.676612640622</c:v>
                </c:pt>
                <c:pt idx="10">
                  <c:v>30376.676612640622</c:v>
                </c:pt>
                <c:pt idx="11">
                  <c:v>30376.676612640622</c:v>
                </c:pt>
                <c:pt idx="12">
                  <c:v>30376.676612640622</c:v>
                </c:pt>
                <c:pt idx="13">
                  <c:v>30376.676612640622</c:v>
                </c:pt>
                <c:pt idx="14">
                  <c:v>30376.676612640622</c:v>
                </c:pt>
                <c:pt idx="15">
                  <c:v>30376.676612640622</c:v>
                </c:pt>
                <c:pt idx="16">
                  <c:v>30376.676612640622</c:v>
                </c:pt>
                <c:pt idx="17">
                  <c:v>30376.676612640622</c:v>
                </c:pt>
                <c:pt idx="18">
                  <c:v>30376.676612640622</c:v>
                </c:pt>
                <c:pt idx="19">
                  <c:v>30376.676612640622</c:v>
                </c:pt>
                <c:pt idx="20">
                  <c:v>30376.676612640622</c:v>
                </c:pt>
                <c:pt idx="21">
                  <c:v>30376.676612640622</c:v>
                </c:pt>
                <c:pt idx="22">
                  <c:v>30376.676612640622</c:v>
                </c:pt>
                <c:pt idx="23">
                  <c:v>30376.676612640622</c:v>
                </c:pt>
                <c:pt idx="24">
                  <c:v>30376.676612640622</c:v>
                </c:pt>
                <c:pt idx="25">
                  <c:v>30376.676612640622</c:v>
                </c:pt>
                <c:pt idx="26">
                  <c:v>30376.676612640622</c:v>
                </c:pt>
                <c:pt idx="27">
                  <c:v>30376.676612640622</c:v>
                </c:pt>
                <c:pt idx="28">
                  <c:v>30376.676612640622</c:v>
                </c:pt>
                <c:pt idx="29">
                  <c:v>30376.676612640622</c:v>
                </c:pt>
                <c:pt idx="30">
                  <c:v>30376.676612640622</c:v>
                </c:pt>
                <c:pt idx="31">
                  <c:v>30376.676612640622</c:v>
                </c:pt>
                <c:pt idx="32">
                  <c:v>30376.676612640622</c:v>
                </c:pt>
                <c:pt idx="33">
                  <c:v>30376.676612640622</c:v>
                </c:pt>
                <c:pt idx="34">
                  <c:v>30376.676612640622</c:v>
                </c:pt>
                <c:pt idx="35">
                  <c:v>30376.676612640622</c:v>
                </c:pt>
                <c:pt idx="36">
                  <c:v>30376.676612640622</c:v>
                </c:pt>
                <c:pt idx="37">
                  <c:v>30376.676612640622</c:v>
                </c:pt>
                <c:pt idx="38">
                  <c:v>30376.676612640622</c:v>
                </c:pt>
                <c:pt idx="39">
                  <c:v>30376.676612640622</c:v>
                </c:pt>
                <c:pt idx="40">
                  <c:v>30376.676612640622</c:v>
                </c:pt>
                <c:pt idx="41">
                  <c:v>30376.676612640622</c:v>
                </c:pt>
                <c:pt idx="42">
                  <c:v>30376.676612640622</c:v>
                </c:pt>
                <c:pt idx="43">
                  <c:v>30376.676612640622</c:v>
                </c:pt>
                <c:pt idx="44">
                  <c:v>30376.676612640622</c:v>
                </c:pt>
                <c:pt idx="45">
                  <c:v>30376.676612640622</c:v>
                </c:pt>
                <c:pt idx="46">
                  <c:v>30376.676612640622</c:v>
                </c:pt>
                <c:pt idx="47">
                  <c:v>30376.676612640622</c:v>
                </c:pt>
                <c:pt idx="48">
                  <c:v>30376.676612640622</c:v>
                </c:pt>
                <c:pt idx="49">
                  <c:v>30376.676612640622</c:v>
                </c:pt>
              </c:numCache>
            </c:numRef>
          </c:val>
          <c:extLst>
            <c:ext xmlns:c16="http://schemas.microsoft.com/office/drawing/2014/chart" uri="{C3380CC4-5D6E-409C-BE32-E72D297353CC}">
              <c16:uniqueId val="{00000000-AF7C-4906-9C93-3B4B1BA22F5F}"/>
            </c:ext>
          </c:extLst>
        </c:ser>
        <c:ser>
          <c:idx val="1"/>
          <c:order val="1"/>
          <c:tx>
            <c:strRef>
              <c:f>US_Results!$AL$2</c:f>
              <c:strCache>
                <c:ptCount val="1"/>
                <c:pt idx="0">
                  <c:v>Fuel cost</c:v>
                </c:pt>
              </c:strCache>
            </c:strRef>
          </c:tx>
          <c:spPr>
            <a:solidFill>
              <a:schemeClr val="accent2"/>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US_Results!$AL$3:$AL$52</c:f>
              <c:numCache>
                <c:formatCode>"$"#,##0</c:formatCode>
                <c:ptCount val="50"/>
                <c:pt idx="0">
                  <c:v>13119.296338400329</c:v>
                </c:pt>
                <c:pt idx="1">
                  <c:v>17245.125827873144</c:v>
                </c:pt>
                <c:pt idx="2">
                  <c:v>11818.12841049897</c:v>
                </c:pt>
                <c:pt idx="3">
                  <c:v>12061.024901853552</c:v>
                </c:pt>
                <c:pt idx="4">
                  <c:v>14168.78959176699</c:v>
                </c:pt>
                <c:pt idx="5">
                  <c:v>10965.791085021123</c:v>
                </c:pt>
                <c:pt idx="6">
                  <c:v>13058.869441505165</c:v>
                </c:pt>
                <c:pt idx="7">
                  <c:v>10300.72905249965</c:v>
                </c:pt>
                <c:pt idx="8">
                  <c:v>10871.57248952872</c:v>
                </c:pt>
                <c:pt idx="9">
                  <c:v>13494.167879303932</c:v>
                </c:pt>
                <c:pt idx="10">
                  <c:v>15721.41132650172</c:v>
                </c:pt>
                <c:pt idx="11">
                  <c:v>11457.8471526264</c:v>
                </c:pt>
                <c:pt idx="12">
                  <c:v>10230.119727822297</c:v>
                </c:pt>
                <c:pt idx="13">
                  <c:v>14597.93483729344</c:v>
                </c:pt>
                <c:pt idx="14">
                  <c:v>11808.806218453496</c:v>
                </c:pt>
                <c:pt idx="15">
                  <c:v>11596.489411533479</c:v>
                </c:pt>
                <c:pt idx="16">
                  <c:v>12293.663526427579</c:v>
                </c:pt>
                <c:pt idx="17">
                  <c:v>10163.957279755636</c:v>
                </c:pt>
                <c:pt idx="18">
                  <c:v>15259.200668292911</c:v>
                </c:pt>
                <c:pt idx="19">
                  <c:v>11247.231058814719</c:v>
                </c:pt>
                <c:pt idx="20">
                  <c:v>14123.749913568121</c:v>
                </c:pt>
                <c:pt idx="21">
                  <c:v>12892.786752310925</c:v>
                </c:pt>
                <c:pt idx="22">
                  <c:v>15348.991798207704</c:v>
                </c:pt>
                <c:pt idx="23">
                  <c:v>14292.648834111433</c:v>
                </c:pt>
                <c:pt idx="24">
                  <c:v>14081.96750548801</c:v>
                </c:pt>
                <c:pt idx="25">
                  <c:v>13331.695977784662</c:v>
                </c:pt>
                <c:pt idx="26">
                  <c:v>11266.875285731412</c:v>
                </c:pt>
                <c:pt idx="27">
                  <c:v>13347.58837912315</c:v>
                </c:pt>
                <c:pt idx="28">
                  <c:v>12609.434285208363</c:v>
                </c:pt>
                <c:pt idx="29">
                  <c:v>10670.921060817729</c:v>
                </c:pt>
                <c:pt idx="30">
                  <c:v>14351.344545877953</c:v>
                </c:pt>
                <c:pt idx="31">
                  <c:v>10013.090264647619</c:v>
                </c:pt>
                <c:pt idx="32">
                  <c:v>11765.810454379107</c:v>
                </c:pt>
                <c:pt idx="33">
                  <c:v>13994.222313519915</c:v>
                </c:pt>
                <c:pt idx="34">
                  <c:v>11571.420922400561</c:v>
                </c:pt>
                <c:pt idx="35">
                  <c:v>13005.788209847164</c:v>
                </c:pt>
                <c:pt idx="36">
                  <c:v>11105.377861235793</c:v>
                </c:pt>
                <c:pt idx="37">
                  <c:v>9976.0130553605304</c:v>
                </c:pt>
                <c:pt idx="38">
                  <c:v>10370.343861627904</c:v>
                </c:pt>
                <c:pt idx="39">
                  <c:v>11142.494006671193</c:v>
                </c:pt>
                <c:pt idx="40">
                  <c:v>12357.907738199219</c:v>
                </c:pt>
                <c:pt idx="41">
                  <c:v>11405.324891714352</c:v>
                </c:pt>
                <c:pt idx="42">
                  <c:v>11610.878097788283</c:v>
                </c:pt>
                <c:pt idx="43">
                  <c:v>12095.875227551911</c:v>
                </c:pt>
                <c:pt idx="44">
                  <c:v>12776.506159721119</c:v>
                </c:pt>
                <c:pt idx="45">
                  <c:v>11149.407652291096</c:v>
                </c:pt>
                <c:pt idx="46">
                  <c:v>9702.1564581273742</c:v>
                </c:pt>
                <c:pt idx="47">
                  <c:v>12982.577038776237</c:v>
                </c:pt>
                <c:pt idx="48">
                  <c:v>13565.759467390577</c:v>
                </c:pt>
                <c:pt idx="49">
                  <c:v>19808.023359571842</c:v>
                </c:pt>
              </c:numCache>
            </c:numRef>
          </c:val>
          <c:extLst>
            <c:ext xmlns:c16="http://schemas.microsoft.com/office/drawing/2014/chart" uri="{C3380CC4-5D6E-409C-BE32-E72D297353CC}">
              <c16:uniqueId val="{00000001-AF7C-4906-9C93-3B4B1BA22F5F}"/>
            </c:ext>
          </c:extLst>
        </c:ser>
        <c:ser>
          <c:idx val="2"/>
          <c:order val="2"/>
          <c:tx>
            <c:strRef>
              <c:f>US_Results!$U$2</c:f>
              <c:strCache>
                <c:ptCount val="1"/>
                <c:pt idx="0">
                  <c:v>M&amp;R cost</c:v>
                </c:pt>
              </c:strCache>
            </c:strRef>
          </c:tx>
          <c:spPr>
            <a:solidFill>
              <a:schemeClr val="accent3"/>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US_Results!$AM$3:$AM$52</c:f>
              <c:numCache>
                <c:formatCode>"$"#,##0</c:formatCode>
                <c:ptCount val="50"/>
                <c:pt idx="0">
                  <c:v>26905.277460433248</c:v>
                </c:pt>
                <c:pt idx="1">
                  <c:v>16778.612441088502</c:v>
                </c:pt>
                <c:pt idx="2">
                  <c:v>19767.080987656238</c:v>
                </c:pt>
                <c:pt idx="3">
                  <c:v>26009.793959617346</c:v>
                </c:pt>
                <c:pt idx="4">
                  <c:v>18912.369922796541</c:v>
                </c:pt>
                <c:pt idx="5">
                  <c:v>19478.653755521613</c:v>
                </c:pt>
                <c:pt idx="6">
                  <c:v>18297.763203012277</c:v>
                </c:pt>
                <c:pt idx="7">
                  <c:v>19040.727591547555</c:v>
                </c:pt>
                <c:pt idx="8">
                  <c:v>21982.383341276687</c:v>
                </c:pt>
                <c:pt idx="9">
                  <c:v>27685.994104483543</c:v>
                </c:pt>
                <c:pt idx="10">
                  <c:v>17649.934498374801</c:v>
                </c:pt>
                <c:pt idx="11">
                  <c:v>21770.970710392667</c:v>
                </c:pt>
                <c:pt idx="12">
                  <c:v>18998.44506537075</c:v>
                </c:pt>
                <c:pt idx="13">
                  <c:v>27217.866136097484</c:v>
                </c:pt>
                <c:pt idx="14">
                  <c:v>22266.280302749525</c:v>
                </c:pt>
                <c:pt idx="15">
                  <c:v>22320.643550691129</c:v>
                </c:pt>
                <c:pt idx="16">
                  <c:v>24622.021046885788</c:v>
                </c:pt>
                <c:pt idx="17">
                  <c:v>22577.358888193157</c:v>
                </c:pt>
                <c:pt idx="18">
                  <c:v>21465.932485831432</c:v>
                </c:pt>
                <c:pt idx="19">
                  <c:v>20371.117075896309</c:v>
                </c:pt>
                <c:pt idx="20">
                  <c:v>19795.772701847647</c:v>
                </c:pt>
                <c:pt idx="21">
                  <c:v>21604.860786126643</c:v>
                </c:pt>
                <c:pt idx="22">
                  <c:v>27044.205760728466</c:v>
                </c:pt>
                <c:pt idx="23">
                  <c:v>30150.461344503019</c:v>
                </c:pt>
                <c:pt idx="24">
                  <c:v>27968.380975735774</c:v>
                </c:pt>
                <c:pt idx="25">
                  <c:v>23980.23270313071</c:v>
                </c:pt>
                <c:pt idx="26">
                  <c:v>22418.799415030142</c:v>
                </c:pt>
                <c:pt idx="27">
                  <c:v>21165.424531932</c:v>
                </c:pt>
                <c:pt idx="28">
                  <c:v>17471.743852343974</c:v>
                </c:pt>
                <c:pt idx="29">
                  <c:v>18518.236375219894</c:v>
                </c:pt>
                <c:pt idx="30">
                  <c:v>28928.798356037478</c:v>
                </c:pt>
                <c:pt idx="31">
                  <c:v>15353.087272841938</c:v>
                </c:pt>
                <c:pt idx="32">
                  <c:v>24271.680115706553</c:v>
                </c:pt>
                <c:pt idx="33">
                  <c:v>26684.804288225623</c:v>
                </c:pt>
                <c:pt idx="34">
                  <c:v>21561.068169729242</c:v>
                </c:pt>
                <c:pt idx="35">
                  <c:v>26727.086814402428</c:v>
                </c:pt>
                <c:pt idx="36">
                  <c:v>18450.282315292894</c:v>
                </c:pt>
                <c:pt idx="37">
                  <c:v>17282.982574768957</c:v>
                </c:pt>
                <c:pt idx="38">
                  <c:v>15042.008687398304</c:v>
                </c:pt>
                <c:pt idx="39">
                  <c:v>22562.257985987158</c:v>
                </c:pt>
                <c:pt idx="40">
                  <c:v>23468.312118347261</c:v>
                </c:pt>
                <c:pt idx="41">
                  <c:v>23084.749202314815</c:v>
                </c:pt>
                <c:pt idx="42">
                  <c:v>24421.179047545971</c:v>
                </c:pt>
                <c:pt idx="43">
                  <c:v>23430.559862832259</c:v>
                </c:pt>
                <c:pt idx="44">
                  <c:v>19637.213228684624</c:v>
                </c:pt>
                <c:pt idx="45">
                  <c:v>21909.899010687885</c:v>
                </c:pt>
                <c:pt idx="46">
                  <c:v>16533.977825351274</c:v>
                </c:pt>
                <c:pt idx="47">
                  <c:v>25484.282562848479</c:v>
                </c:pt>
                <c:pt idx="48">
                  <c:v>23318.813186507843</c:v>
                </c:pt>
                <c:pt idx="49">
                  <c:v>36346.361519625512</c:v>
                </c:pt>
              </c:numCache>
            </c:numRef>
          </c:val>
          <c:extLst>
            <c:ext xmlns:c16="http://schemas.microsoft.com/office/drawing/2014/chart" uri="{C3380CC4-5D6E-409C-BE32-E72D297353CC}">
              <c16:uniqueId val="{00000002-AF7C-4906-9C93-3B4B1BA22F5F}"/>
            </c:ext>
          </c:extLst>
        </c:ser>
        <c:ser>
          <c:idx val="3"/>
          <c:order val="3"/>
          <c:tx>
            <c:strRef>
              <c:f>US_Results!$V$2</c:f>
              <c:strCache>
                <c:ptCount val="1"/>
                <c:pt idx="0">
                  <c:v>Insurance&amp;tax</c:v>
                </c:pt>
              </c:strCache>
            </c:strRef>
          </c:tx>
          <c:spPr>
            <a:solidFill>
              <a:schemeClr val="accent4"/>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US_Results!$AN$3:$AN$52</c:f>
              <c:numCache>
                <c:formatCode>"$"#,##0</c:formatCode>
                <c:ptCount val="50"/>
                <c:pt idx="0">
                  <c:v>36761.720431251859</c:v>
                </c:pt>
                <c:pt idx="1">
                  <c:v>30630.807825597032</c:v>
                </c:pt>
                <c:pt idx="2">
                  <c:v>35793.415465387836</c:v>
                </c:pt>
                <c:pt idx="3">
                  <c:v>42888.006126958986</c:v>
                </c:pt>
                <c:pt idx="4">
                  <c:v>42140.516335021748</c:v>
                </c:pt>
                <c:pt idx="5">
                  <c:v>39545.501161094966</c:v>
                </c:pt>
                <c:pt idx="6">
                  <c:v>43004.34400894853</c:v>
                </c:pt>
                <c:pt idx="7">
                  <c:v>40081.429599000825</c:v>
                </c:pt>
                <c:pt idx="8">
                  <c:v>57645.165506017613</c:v>
                </c:pt>
                <c:pt idx="9">
                  <c:v>36089.265083398299</c:v>
                </c:pt>
                <c:pt idx="10">
                  <c:v>25151.99216402588</c:v>
                </c:pt>
                <c:pt idx="11">
                  <c:v>25977.292546015418</c:v>
                </c:pt>
                <c:pt idx="12">
                  <c:v>32358.293797638871</c:v>
                </c:pt>
                <c:pt idx="13">
                  <c:v>30452.052095753927</c:v>
                </c:pt>
                <c:pt idx="14">
                  <c:v>29460.951331774846</c:v>
                </c:pt>
                <c:pt idx="15">
                  <c:v>39571.998487168181</c:v>
                </c:pt>
                <c:pt idx="16">
                  <c:v>46702.340294707952</c:v>
                </c:pt>
                <c:pt idx="17">
                  <c:v>54149.646130205889</c:v>
                </c:pt>
                <c:pt idx="18">
                  <c:v>27138.82060193174</c:v>
                </c:pt>
                <c:pt idx="19">
                  <c:v>40401.925779105426</c:v>
                </c:pt>
                <c:pt idx="20">
                  <c:v>34681.349909471515</c:v>
                </c:pt>
                <c:pt idx="21">
                  <c:v>49520.946788530142</c:v>
                </c:pt>
                <c:pt idx="22">
                  <c:v>32567.887061617952</c:v>
                </c:pt>
                <c:pt idx="23">
                  <c:v>45211.987620781176</c:v>
                </c:pt>
                <c:pt idx="24">
                  <c:v>38657.665605178641</c:v>
                </c:pt>
                <c:pt idx="25">
                  <c:v>35936.42004926232</c:v>
                </c:pt>
                <c:pt idx="26">
                  <c:v>41729.254217011287</c:v>
                </c:pt>
                <c:pt idx="27">
                  <c:v>45454.673210833469</c:v>
                </c:pt>
                <c:pt idx="28">
                  <c:v>28641.203241722549</c:v>
                </c:pt>
                <c:pt idx="29">
                  <c:v>43428.274772927609</c:v>
                </c:pt>
                <c:pt idx="30">
                  <c:v>33607.811645492431</c:v>
                </c:pt>
                <c:pt idx="31">
                  <c:v>42063.631126958986</c:v>
                </c:pt>
                <c:pt idx="32">
                  <c:v>22169.436052193236</c:v>
                </c:pt>
                <c:pt idx="33">
                  <c:v>33108.559735544732</c:v>
                </c:pt>
                <c:pt idx="34">
                  <c:v>25397.453900046799</c:v>
                </c:pt>
                <c:pt idx="35">
                  <c:v>39329.312897115888</c:v>
                </c:pt>
                <c:pt idx="36">
                  <c:v>28807.003623712088</c:v>
                </c:pt>
                <c:pt idx="37">
                  <c:v>37749.119667272782</c:v>
                </c:pt>
                <c:pt idx="38">
                  <c:v>43218.681508948532</c:v>
                </c:pt>
                <c:pt idx="39">
                  <c:v>40237.976161094964</c:v>
                </c:pt>
                <c:pt idx="40">
                  <c:v>35597.416229366914</c:v>
                </c:pt>
                <c:pt idx="41">
                  <c:v>32939.057825597032</c:v>
                </c:pt>
                <c:pt idx="42">
                  <c:v>38328.958313241405</c:v>
                </c:pt>
                <c:pt idx="43">
                  <c:v>34547.599145492437</c:v>
                </c:pt>
                <c:pt idx="44">
                  <c:v>29127.499803816685</c:v>
                </c:pt>
                <c:pt idx="45">
                  <c:v>37139.082167272783</c:v>
                </c:pt>
                <c:pt idx="46">
                  <c:v>35758.589701408753</c:v>
                </c:pt>
                <c:pt idx="47">
                  <c:v>38743.92195921002</c:v>
                </c:pt>
                <c:pt idx="48">
                  <c:v>27305.546365910825</c:v>
                </c:pt>
                <c:pt idx="49">
                  <c:v>33276.210881513354</c:v>
                </c:pt>
              </c:numCache>
            </c:numRef>
          </c:val>
          <c:extLst>
            <c:ext xmlns:c16="http://schemas.microsoft.com/office/drawing/2014/chart" uri="{C3380CC4-5D6E-409C-BE32-E72D297353CC}">
              <c16:uniqueId val="{00000003-AF7C-4906-9C93-3B4B1BA22F5F}"/>
            </c:ext>
          </c:extLst>
        </c:ser>
        <c:ser>
          <c:idx val="4"/>
          <c:order val="4"/>
          <c:tx>
            <c:strRef>
              <c:f>US_Results!$W$2</c:f>
              <c:strCache>
                <c:ptCount val="1"/>
                <c:pt idx="0">
                  <c:v>Other costs</c:v>
                </c:pt>
              </c:strCache>
            </c:strRef>
          </c:tx>
          <c:spPr>
            <a:solidFill>
              <a:schemeClr val="accent5"/>
            </a:solidFill>
            <a:ln>
              <a:no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US_Results!$AO$3:$AO$52</c:f>
              <c:numCache>
                <c:formatCode>"$"#,##0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extLst>
            <c:ext xmlns:c16="http://schemas.microsoft.com/office/drawing/2014/chart" uri="{C3380CC4-5D6E-409C-BE32-E72D297353CC}">
              <c16:uniqueId val="{00000004-AF7C-4906-9C93-3B4B1BA22F5F}"/>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5"/>
          <c:tx>
            <c:strRef>
              <c:f>US_Results!$A$53</c:f>
              <c:strCache>
                <c:ptCount val="1"/>
                <c:pt idx="0">
                  <c:v>National Avg</c:v>
                </c:pt>
              </c:strCache>
            </c:strRef>
          </c:tx>
          <c:spPr>
            <a:ln w="28575" cap="rnd">
              <a:solidFill>
                <a:schemeClr val="accent6"/>
              </a:solidFill>
              <a:round/>
            </a:ln>
            <a:effectLst/>
          </c:spPr>
          <c:marker>
            <c:symbol val="none"/>
          </c:marker>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US_Results!$BY$3:$BY$52</c:f>
              <c:numCache>
                <c:formatCode>"$"#,##0</c:formatCode>
                <c:ptCount val="50"/>
                <c:pt idx="0">
                  <c:v>101100.40929383134</c:v>
                </c:pt>
                <c:pt idx="1">
                  <c:v>101100.40929383134</c:v>
                </c:pt>
                <c:pt idx="2">
                  <c:v>101100.40929383134</c:v>
                </c:pt>
                <c:pt idx="3">
                  <c:v>101100.40929383134</c:v>
                </c:pt>
                <c:pt idx="4">
                  <c:v>101100.40929383134</c:v>
                </c:pt>
                <c:pt idx="5">
                  <c:v>101100.40929383134</c:v>
                </c:pt>
                <c:pt idx="6">
                  <c:v>101100.40929383134</c:v>
                </c:pt>
                <c:pt idx="7">
                  <c:v>101100.40929383134</c:v>
                </c:pt>
                <c:pt idx="8">
                  <c:v>101100.40929383134</c:v>
                </c:pt>
                <c:pt idx="9">
                  <c:v>101100.40929383134</c:v>
                </c:pt>
                <c:pt idx="10">
                  <c:v>101100.40929383134</c:v>
                </c:pt>
                <c:pt idx="11">
                  <c:v>101100.40929383134</c:v>
                </c:pt>
                <c:pt idx="12">
                  <c:v>101100.40929383134</c:v>
                </c:pt>
                <c:pt idx="13">
                  <c:v>101100.40929383134</c:v>
                </c:pt>
                <c:pt idx="14">
                  <c:v>101100.40929383134</c:v>
                </c:pt>
                <c:pt idx="15">
                  <c:v>101100.40929383134</c:v>
                </c:pt>
                <c:pt idx="16">
                  <c:v>101100.40929383134</c:v>
                </c:pt>
                <c:pt idx="17">
                  <c:v>101100.40929383134</c:v>
                </c:pt>
                <c:pt idx="18">
                  <c:v>101100.40929383134</c:v>
                </c:pt>
                <c:pt idx="19">
                  <c:v>101100.40929383134</c:v>
                </c:pt>
                <c:pt idx="20">
                  <c:v>101100.40929383134</c:v>
                </c:pt>
                <c:pt idx="21">
                  <c:v>101100.40929383134</c:v>
                </c:pt>
                <c:pt idx="22">
                  <c:v>101100.40929383134</c:v>
                </c:pt>
                <c:pt idx="23">
                  <c:v>101100.40929383134</c:v>
                </c:pt>
                <c:pt idx="24">
                  <c:v>101100.40929383134</c:v>
                </c:pt>
                <c:pt idx="25">
                  <c:v>101100.40929383134</c:v>
                </c:pt>
                <c:pt idx="26">
                  <c:v>101100.40929383134</c:v>
                </c:pt>
                <c:pt idx="27">
                  <c:v>101100.40929383134</c:v>
                </c:pt>
                <c:pt idx="28">
                  <c:v>101100.40929383134</c:v>
                </c:pt>
                <c:pt idx="29">
                  <c:v>101100.40929383134</c:v>
                </c:pt>
                <c:pt idx="30">
                  <c:v>101100.40929383134</c:v>
                </c:pt>
                <c:pt idx="31">
                  <c:v>101100.40929383134</c:v>
                </c:pt>
                <c:pt idx="32">
                  <c:v>101100.40929383134</c:v>
                </c:pt>
                <c:pt idx="33">
                  <c:v>101100.40929383134</c:v>
                </c:pt>
                <c:pt idx="34">
                  <c:v>101100.40929383134</c:v>
                </c:pt>
                <c:pt idx="35">
                  <c:v>101100.40929383134</c:v>
                </c:pt>
                <c:pt idx="36">
                  <c:v>101100.40929383134</c:v>
                </c:pt>
                <c:pt idx="37">
                  <c:v>101100.40929383134</c:v>
                </c:pt>
                <c:pt idx="38">
                  <c:v>101100.40929383134</c:v>
                </c:pt>
                <c:pt idx="39">
                  <c:v>101100.40929383134</c:v>
                </c:pt>
                <c:pt idx="40">
                  <c:v>101100.40929383134</c:v>
                </c:pt>
                <c:pt idx="41">
                  <c:v>101100.40929383134</c:v>
                </c:pt>
                <c:pt idx="42">
                  <c:v>101100.40929383134</c:v>
                </c:pt>
                <c:pt idx="43">
                  <c:v>101100.40929383134</c:v>
                </c:pt>
                <c:pt idx="44">
                  <c:v>101100.40929383134</c:v>
                </c:pt>
                <c:pt idx="45">
                  <c:v>101100.40929383134</c:v>
                </c:pt>
                <c:pt idx="46">
                  <c:v>101100.40929383134</c:v>
                </c:pt>
                <c:pt idx="47">
                  <c:v>101100.40929383134</c:v>
                </c:pt>
                <c:pt idx="48">
                  <c:v>101100.40929383134</c:v>
                </c:pt>
                <c:pt idx="49">
                  <c:v>101100.40929383134</c:v>
                </c:pt>
              </c:numCache>
            </c:numRef>
          </c:val>
          <c:smooth val="0"/>
          <c:extLst>
            <c:ext xmlns:c16="http://schemas.microsoft.com/office/drawing/2014/chart" uri="{C3380CC4-5D6E-409C-BE32-E72D297353CC}">
              <c16:uniqueId val="{00000005-AF7C-4906-9C93-3B4B1BA22F5F}"/>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max val="14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6"/>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Life cycle emissions</a:t>
            </a:r>
            <a:r>
              <a:rPr lang="en-US" baseline="0"/>
              <a:t> (t CO2eq)</a:t>
            </a:r>
            <a:endParaRPr lang="en-US"/>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US_Results!$J$1</c:f>
              <c:strCache>
                <c:ptCount val="1"/>
                <c:pt idx="0">
                  <c:v>BEV</c:v>
                </c:pt>
              </c:strCache>
            </c:strRef>
          </c:tx>
          <c:spPr>
            <a:solidFill>
              <a:schemeClr val="accent1"/>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US_Results!$P$3:$P$52</c15:sqref>
                  </c15:fullRef>
                </c:ext>
              </c:extLst>
              <c:f>(US_Results!$P$3,US_Results!$P$5:$P$12,US_Results!$P$14:$P$52)</c:f>
              <c:numCache>
                <c:formatCode>0</c:formatCode>
                <c:ptCount val="48"/>
                <c:pt idx="0">
                  <c:v>37.168801967569827</c:v>
                </c:pt>
                <c:pt idx="1">
                  <c:v>27.073708240871571</c:v>
                </c:pt>
                <c:pt idx="2">
                  <c:v>44.423688691656189</c:v>
                </c:pt>
                <c:pt idx="3">
                  <c:v>19.252662043639923</c:v>
                </c:pt>
                <c:pt idx="4">
                  <c:v>36.015301882118379</c:v>
                </c:pt>
                <c:pt idx="5">
                  <c:v>23.648506319461397</c:v>
                </c:pt>
                <c:pt idx="6">
                  <c:v>32.113003416850937</c:v>
                </c:pt>
                <c:pt idx="7">
                  <c:v>33.703296877011461</c:v>
                </c:pt>
                <c:pt idx="8">
                  <c:v>38.797570544861593</c:v>
                </c:pt>
                <c:pt idx="9">
                  <c:v>21.136598175004703</c:v>
                </c:pt>
                <c:pt idx="10">
                  <c:v>21.103183692834492</c:v>
                </c:pt>
                <c:pt idx="11">
                  <c:v>62.686557990553453</c:v>
                </c:pt>
                <c:pt idx="12">
                  <c:v>29.72163320526073</c:v>
                </c:pt>
                <c:pt idx="13">
                  <c:v>30.654779079113545</c:v>
                </c:pt>
                <c:pt idx="14">
                  <c:v>64.084978557539259</c:v>
                </c:pt>
                <c:pt idx="15">
                  <c:v>35.197090979428992</c:v>
                </c:pt>
                <c:pt idx="16">
                  <c:v>21.193838510207684</c:v>
                </c:pt>
                <c:pt idx="17">
                  <c:v>23.787373770587489</c:v>
                </c:pt>
                <c:pt idx="18">
                  <c:v>30.880021055130534</c:v>
                </c:pt>
                <c:pt idx="19">
                  <c:v>37.429646240370978</c:v>
                </c:pt>
                <c:pt idx="20">
                  <c:v>41.981127011257463</c:v>
                </c:pt>
                <c:pt idx="21">
                  <c:v>47.520200918076796</c:v>
                </c:pt>
                <c:pt idx="22">
                  <c:v>63.639901228254118</c:v>
                </c:pt>
                <c:pt idx="23">
                  <c:v>46.900896586488216</c:v>
                </c:pt>
                <c:pt idx="24">
                  <c:v>40.856316160062043</c:v>
                </c:pt>
                <c:pt idx="25">
                  <c:v>29.823954553593865</c:v>
                </c:pt>
                <c:pt idx="26">
                  <c:v>15.723291129646082</c:v>
                </c:pt>
                <c:pt idx="27">
                  <c:v>21.655196257233996</c:v>
                </c:pt>
                <c:pt idx="28">
                  <c:v>42.406857116648368</c:v>
                </c:pt>
                <c:pt idx="29">
                  <c:v>17.895338085375986</c:v>
                </c:pt>
                <c:pt idx="30">
                  <c:v>31.516891364758436</c:v>
                </c:pt>
                <c:pt idx="31">
                  <c:v>59.849072601494505</c:v>
                </c:pt>
                <c:pt idx="32">
                  <c:v>42.09849866285272</c:v>
                </c:pt>
                <c:pt idx="33">
                  <c:v>34.567030174308385</c:v>
                </c:pt>
                <c:pt idx="34">
                  <c:v>18.958958841388053</c:v>
                </c:pt>
                <c:pt idx="35">
                  <c:v>24.545192672323981</c:v>
                </c:pt>
                <c:pt idx="36">
                  <c:v>25.10796855540346</c:v>
                </c:pt>
                <c:pt idx="37">
                  <c:v>26.279526812390046</c:v>
                </c:pt>
                <c:pt idx="38">
                  <c:v>22.871602959817281</c:v>
                </c:pt>
                <c:pt idx="39">
                  <c:v>28.714900440302152</c:v>
                </c:pt>
                <c:pt idx="40">
                  <c:v>34.919648521711167</c:v>
                </c:pt>
                <c:pt idx="41">
                  <c:v>54.194105232111355</c:v>
                </c:pt>
                <c:pt idx="42">
                  <c:v>10.813366064288488</c:v>
                </c:pt>
                <c:pt idx="43">
                  <c:v>27.291810198026717</c:v>
                </c:pt>
                <c:pt idx="44">
                  <c:v>14.24567275305758</c:v>
                </c:pt>
                <c:pt idx="45">
                  <c:v>74.76677664111584</c:v>
                </c:pt>
                <c:pt idx="46">
                  <c:v>48.452607939322121</c:v>
                </c:pt>
                <c:pt idx="47">
                  <c:v>99.177438824284408</c:v>
                </c:pt>
              </c:numCache>
            </c:numRef>
          </c:val>
          <c:extLst>
            <c:ext xmlns:c16="http://schemas.microsoft.com/office/drawing/2014/chart" uri="{C3380CC4-5D6E-409C-BE32-E72D297353CC}">
              <c16:uniqueId val="{00000000-B0A1-4953-A472-44785DAE4E0B}"/>
            </c:ext>
          </c:extLst>
        </c:ser>
        <c:ser>
          <c:idx val="1"/>
          <c:order val="1"/>
          <c:tx>
            <c:strRef>
              <c:f>US_Results!$S$1</c:f>
              <c:strCache>
                <c:ptCount val="1"/>
                <c:pt idx="0">
                  <c:v>HEV</c:v>
                </c:pt>
              </c:strCache>
            </c:strRef>
          </c:tx>
          <c:spPr>
            <a:solidFill>
              <a:schemeClr val="accent2"/>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US_Results!$Y$3:$Y$52</c15:sqref>
                  </c15:fullRef>
                </c:ext>
              </c:extLst>
              <c:f>(US_Results!$Y$3,US_Results!$Y$5:$Y$12,US_Results!$Y$14:$Y$52)</c:f>
              <c:numCache>
                <c:formatCode>0</c:formatCode>
                <c:ptCount val="48"/>
                <c:pt idx="0">
                  <c:v>58.647582054766019</c:v>
                </c:pt>
                <c:pt idx="1">
                  <c:v>43.511721217779517</c:v>
                </c:pt>
                <c:pt idx="2">
                  <c:v>56.974469804378494</c:v>
                </c:pt>
                <c:pt idx="3">
                  <c:v>41.359973081133518</c:v>
                </c:pt>
                <c:pt idx="4">
                  <c:v>43.642523971132626</c:v>
                </c:pt>
                <c:pt idx="5">
                  <c:v>40.637064900428101</c:v>
                </c:pt>
                <c:pt idx="6">
                  <c:v>41.912856595491363</c:v>
                </c:pt>
                <c:pt idx="7">
                  <c:v>47.956034540381808</c:v>
                </c:pt>
                <c:pt idx="8">
                  <c:v>60.29990334423087</c:v>
                </c:pt>
                <c:pt idx="9">
                  <c:v>49.050832220596547</c:v>
                </c:pt>
                <c:pt idx="10">
                  <c:v>42.15924621696329</c:v>
                </c:pt>
                <c:pt idx="11">
                  <c:v>60.301610224467439</c:v>
                </c:pt>
                <c:pt idx="12">
                  <c:v>49.848501924294013</c:v>
                </c:pt>
                <c:pt idx="13">
                  <c:v>49.491618975902384</c:v>
                </c:pt>
                <c:pt idx="14">
                  <c:v>54.15452461050166</c:v>
                </c:pt>
                <c:pt idx="15">
                  <c:v>49.254013355310057</c:v>
                </c:pt>
                <c:pt idx="16">
                  <c:v>48.516990080754901</c:v>
                </c:pt>
                <c:pt idx="17">
                  <c:v>44.877737329758219</c:v>
                </c:pt>
                <c:pt idx="18">
                  <c:v>44.034700270090326</c:v>
                </c:pt>
                <c:pt idx="19">
                  <c:v>48.56076996865395</c:v>
                </c:pt>
                <c:pt idx="20">
                  <c:v>61.46317936045191</c:v>
                </c:pt>
                <c:pt idx="21">
                  <c:v>65.775241164612439</c:v>
                </c:pt>
                <c:pt idx="22">
                  <c:v>61.814466554472801</c:v>
                </c:pt>
                <c:pt idx="23">
                  <c:v>54.199775060315702</c:v>
                </c:pt>
                <c:pt idx="24">
                  <c:v>50.029722190221626</c:v>
                </c:pt>
                <c:pt idx="25">
                  <c:v>46.93014894569027</c:v>
                </c:pt>
                <c:pt idx="26">
                  <c:v>39.270854025115419</c:v>
                </c:pt>
                <c:pt idx="27">
                  <c:v>40.895090756487321</c:v>
                </c:pt>
                <c:pt idx="28">
                  <c:v>63.782068862131482</c:v>
                </c:pt>
                <c:pt idx="29">
                  <c:v>34.37163235430976</c:v>
                </c:pt>
                <c:pt idx="30">
                  <c:v>53.037024971380646</c:v>
                </c:pt>
                <c:pt idx="31">
                  <c:v>60.694050332405283</c:v>
                </c:pt>
                <c:pt idx="32">
                  <c:v>47.807410576952471</c:v>
                </c:pt>
                <c:pt idx="33">
                  <c:v>58.832234823031293</c:v>
                </c:pt>
                <c:pt idx="34">
                  <c:v>41.074691438059901</c:v>
                </c:pt>
                <c:pt idx="35">
                  <c:v>38.414243967296741</c:v>
                </c:pt>
                <c:pt idx="36">
                  <c:v>33.325806671433661</c:v>
                </c:pt>
                <c:pt idx="37">
                  <c:v>49.180755653603825</c:v>
                </c:pt>
                <c:pt idx="38">
                  <c:v>52.833074520797147</c:v>
                </c:pt>
                <c:pt idx="39">
                  <c:v>50.608405109313544</c:v>
                </c:pt>
                <c:pt idx="40">
                  <c:v>53.494607853948516</c:v>
                </c:pt>
                <c:pt idx="41">
                  <c:v>52.245698067682547</c:v>
                </c:pt>
                <c:pt idx="42">
                  <c:v>44.243394755957389</c:v>
                </c:pt>
                <c:pt idx="43">
                  <c:v>48.111092715473866</c:v>
                </c:pt>
                <c:pt idx="44">
                  <c:v>36.867630068513549</c:v>
                </c:pt>
                <c:pt idx="45">
                  <c:v>56.278688054022673</c:v>
                </c:pt>
                <c:pt idx="46">
                  <c:v>52.663178352622644</c:v>
                </c:pt>
                <c:pt idx="47">
                  <c:v>82.279407348314066</c:v>
                </c:pt>
              </c:numCache>
            </c:numRef>
          </c:val>
          <c:extLst>
            <c:ext xmlns:c16="http://schemas.microsoft.com/office/drawing/2014/chart" uri="{C3380CC4-5D6E-409C-BE32-E72D297353CC}">
              <c16:uniqueId val="{00000001-B0A1-4953-A472-44785DAE4E0B}"/>
            </c:ext>
          </c:extLst>
        </c:ser>
        <c:dLbls>
          <c:showLegendKey val="0"/>
          <c:showVal val="0"/>
          <c:showCatName val="0"/>
          <c:showSerName val="0"/>
          <c:showPercent val="0"/>
          <c:showBubbleSize val="0"/>
        </c:dLbls>
        <c:gapWidth val="219"/>
        <c:overlap val="-27"/>
        <c:axId val="269098415"/>
        <c:axId val="269096975"/>
        <c:extLst>
          <c:ext xmlns:c15="http://schemas.microsoft.com/office/drawing/2012/chart" uri="{02D57815-91ED-43cb-92C2-25804820EDAC}">
            <c15:filteredBarSeries>
              <c15:ser>
                <c:idx val="2"/>
                <c:order val="2"/>
                <c:tx>
                  <c:strRef>
                    <c:extLst>
                      <c:ext uri="{02D57815-91ED-43cb-92C2-25804820EDAC}">
                        <c15:formulaRef>
                          <c15:sqref>US_Results!$AK$1</c15:sqref>
                        </c15:formulaRef>
                      </c:ext>
                    </c:extLst>
                    <c:strCache>
                      <c:ptCount val="1"/>
                      <c:pt idx="0">
                        <c:v>PHEV</c:v>
                      </c:pt>
                    </c:strCache>
                  </c:strRef>
                </c:tx>
                <c:spPr>
                  <a:solidFill>
                    <a:schemeClr val="accent3"/>
                  </a:solidFill>
                  <a:ln>
                    <a:noFill/>
                  </a:ln>
                  <a:effectLst/>
                </c:spPr>
                <c:invertIfNegative val="0"/>
                <c:cat>
                  <c:strRef>
                    <c:extLst>
                      <c:ext uri="{02D57815-91ED-43cb-92C2-25804820EDAC}">
                        <c15:fullRef>
                          <c15:sqref>US_Results!$A$3:$A$52</c15:sqref>
                        </c15:fullRef>
                        <c15:formulaRef>
                          <c15:sqref>(US_Results!$A$3,US_Results!$A$5:$A$12,US_Results!$A$14:$A$52)</c15:sqref>
                        </c15:formulaRef>
                      </c:ext>
                    </c:extLst>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uri="{02D57815-91ED-43cb-92C2-25804820EDAC}">
                        <c15:fullRef>
                          <c15:sqref>US_Results!$AQ$3:$AQ$52</c15:sqref>
                        </c15:fullRef>
                        <c15:formulaRef>
                          <c15:sqref>(US_Results!$AQ$3,US_Results!$AQ$5:$AQ$12,US_Results!$AQ$14:$AQ$52)</c15:sqref>
                        </c15:formulaRef>
                      </c:ext>
                    </c:extLst>
                    <c:numCache>
                      <c:formatCode>0.0</c:formatCode>
                      <c:ptCount val="48"/>
                      <c:pt idx="0">
                        <c:v>45.557551758221848</c:v>
                      </c:pt>
                      <c:pt idx="1">
                        <c:v>33.552084913640186</c:v>
                      </c:pt>
                      <c:pt idx="2">
                        <c:v>48.590621944038652</c:v>
                      </c:pt>
                      <c:pt idx="3">
                        <c:v>28.513655630892149</c:v>
                      </c:pt>
                      <c:pt idx="4">
                        <c:v>38.284233636863362</c:v>
                      </c:pt>
                      <c:pt idx="5">
                        <c:v>30.495684449479274</c:v>
                      </c:pt>
                      <c:pt idx="6">
                        <c:v>35.456943390767933</c:v>
                      </c:pt>
                      <c:pt idx="7">
                        <c:v>38.975001600077427</c:v>
                      </c:pt>
                      <c:pt idx="8">
                        <c:v>47.141937629471364</c:v>
                      </c:pt>
                      <c:pt idx="9">
                        <c:v>32.979156233672192</c:v>
                      </c:pt>
                      <c:pt idx="10">
                        <c:v>29.852740133179871</c:v>
                      </c:pt>
                      <c:pt idx="11">
                        <c:v>59.597298816427497</c:v>
                      </c:pt>
                      <c:pt idx="12">
                        <c:v>37.791209334413814</c:v>
                      </c:pt>
                      <c:pt idx="13">
                        <c:v>38.101797619801033</c:v>
                      </c:pt>
                      <c:pt idx="14">
                        <c:v>57.559775363804754</c:v>
                      </c:pt>
                      <c:pt idx="15">
                        <c:v>40.332321292025789</c:v>
                      </c:pt>
                      <c:pt idx="16">
                        <c:v>32.774308731262856</c:v>
                      </c:pt>
                      <c:pt idx="17">
                        <c:v>32.455694087073319</c:v>
                      </c:pt>
                      <c:pt idx="18">
                        <c:v>35.779827974665523</c:v>
                      </c:pt>
                      <c:pt idx="19">
                        <c:v>41.228316560216527</c:v>
                      </c:pt>
                      <c:pt idx="20">
                        <c:v>49.398684973671422</c:v>
                      </c:pt>
                      <c:pt idx="21">
                        <c:v>54.129785147525112</c:v>
                      </c:pt>
                      <c:pt idx="22">
                        <c:v>60.765760075993882</c:v>
                      </c:pt>
                      <c:pt idx="23">
                        <c:v>48.689963359730335</c:v>
                      </c:pt>
                      <c:pt idx="24">
                        <c:v>43.657511283473781</c:v>
                      </c:pt>
                      <c:pt idx="25">
                        <c:v>36.522796127103405</c:v>
                      </c:pt>
                      <c:pt idx="26">
                        <c:v>25.777278575585211</c:v>
                      </c:pt>
                      <c:pt idx="27">
                        <c:v>29.567525411939563</c:v>
                      </c:pt>
                      <c:pt idx="28">
                        <c:v>50.600593887198087</c:v>
                      </c:pt>
                      <c:pt idx="29">
                        <c:v>24.70670879917915</c:v>
                      </c:pt>
                      <c:pt idx="30">
                        <c:v>40.113385221747933</c:v>
                      </c:pt>
                      <c:pt idx="31">
                        <c:v>58.346480220072863</c:v>
                      </c:pt>
                      <c:pt idx="32">
                        <c:v>43.298378485787268</c:v>
                      </c:pt>
                      <c:pt idx="33">
                        <c:v>44.305338392383746</c:v>
                      </c:pt>
                      <c:pt idx="34">
                        <c:v>28.256171491093447</c:v>
                      </c:pt>
                      <c:pt idx="35">
                        <c:v>29.967475936389768</c:v>
                      </c:pt>
                      <c:pt idx="36">
                        <c:v>27.977907705379081</c:v>
                      </c:pt>
                      <c:pt idx="37">
                        <c:v>35.661148089432388</c:v>
                      </c:pt>
                      <c:pt idx="38">
                        <c:v>35.575549854129569</c:v>
                      </c:pt>
                      <c:pt idx="39">
                        <c:v>37.575181033920423</c:v>
                      </c:pt>
                      <c:pt idx="40">
                        <c:v>42.091635336714326</c:v>
                      </c:pt>
                      <c:pt idx="41">
                        <c:v>51.584577330917035</c:v>
                      </c:pt>
                      <c:pt idx="42">
                        <c:v>25.456034897748346</c:v>
                      </c:pt>
                      <c:pt idx="43">
                        <c:v>35.720277719824068</c:v>
                      </c:pt>
                      <c:pt idx="44">
                        <c:v>23.922733264129853</c:v>
                      </c:pt>
                      <c:pt idx="45">
                        <c:v>64.072065694088877</c:v>
                      </c:pt>
                      <c:pt idx="46">
                        <c:v>48.806620190213067</c:v>
                      </c:pt>
                      <c:pt idx="47">
                        <c:v>88.46776253857557</c:v>
                      </c:pt>
                    </c:numCache>
                  </c:numRef>
                </c:val>
                <c:extLst>
                  <c:ext xmlns:c16="http://schemas.microsoft.com/office/drawing/2014/chart" uri="{C3380CC4-5D6E-409C-BE32-E72D297353CC}">
                    <c16:uniqueId val="{00000002-B0A1-4953-A472-44785DAE4E0B}"/>
                  </c:ext>
                </c:extLst>
              </c15:ser>
            </c15:filteredBarSeries>
          </c:ext>
        </c:extLst>
      </c:barChart>
      <c:catAx>
        <c:axId val="26909841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9096975"/>
        <c:crosses val="autoZero"/>
        <c:auto val="1"/>
        <c:lblAlgn val="ctr"/>
        <c:lblOffset val="100"/>
        <c:noMultiLvlLbl val="0"/>
      </c:catAx>
      <c:valAx>
        <c:axId val="2690969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9098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Life cycle CI</a:t>
            </a:r>
          </a:p>
        </c:rich>
      </c:tx>
      <c:overlay val="0"/>
      <c:spPr>
        <a:noFill/>
        <a:ln>
          <a:noFill/>
        </a:ln>
        <a:effectLst/>
      </c:spPr>
      <c:txPr>
        <a:bodyPr rot="0" spcFirstLastPara="1" vertOverflow="ellipsis" vert="horz" wrap="square" anchor="ctr" anchorCtr="1"/>
        <a:lstStyle/>
        <a:p>
          <a:pPr>
            <a:defRPr sz="192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v>BEV</c:v>
          </c:tx>
          <c:spPr>
            <a:solidFill>
              <a:schemeClr val="accent1"/>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US_Results!$BQ$3:$BQ$52</c15:sqref>
                  </c15:fullRef>
                </c:ext>
              </c:extLst>
              <c:f>(US_Results!$BQ$3,US_Results!$BQ$5:$BQ$12,US_Results!$BQ$14:$BQ$52)</c:f>
              <c:numCache>
                <c:formatCode>0.0</c:formatCode>
                <c:ptCount val="48"/>
                <c:pt idx="0">
                  <c:v>98.683101704927722</c:v>
                </c:pt>
                <c:pt idx="1">
                  <c:v>97.837851285232531</c:v>
                </c:pt>
                <c:pt idx="2">
                  <c:v>122.00549984177988</c:v>
                </c:pt>
                <c:pt idx="3">
                  <c:v>72.718772061673121</c:v>
                </c:pt>
                <c:pt idx="4">
                  <c:v>132.07779956938947</c:v>
                </c:pt>
                <c:pt idx="5">
                  <c:v>92.322470090723314</c:v>
                </c:pt>
                <c:pt idx="6">
                  <c:v>120.47559755206186</c:v>
                </c:pt>
                <c:pt idx="7">
                  <c:v>109.52148207683001</c:v>
                </c:pt>
                <c:pt idx="8">
                  <c:v>100.10277402775255</c:v>
                </c:pt>
                <c:pt idx="9">
                  <c:v>69.352001762876199</c:v>
                </c:pt>
                <c:pt idx="10">
                  <c:v>79.347203506980861</c:v>
                </c:pt>
                <c:pt idx="11">
                  <c:v>164.5212701393134</c:v>
                </c:pt>
                <c:pt idx="12">
                  <c:v>95.351318250777297</c:v>
                </c:pt>
                <c:pt idx="13">
                  <c:v>98.105460780558772</c:v>
                </c:pt>
                <c:pt idx="14">
                  <c:v>185.92348377908178</c:v>
                </c:pt>
                <c:pt idx="15">
                  <c:v>111.36156806421234</c:v>
                </c:pt>
                <c:pt idx="16">
                  <c:v>70.52799944471775</c:v>
                </c:pt>
                <c:pt idx="17">
                  <c:v>83.412925889544809</c:v>
                </c:pt>
                <c:pt idx="18">
                  <c:v>111.43120644965688</c:v>
                </c:pt>
                <c:pt idx="19">
                  <c:v>123.75591160473292</c:v>
                </c:pt>
                <c:pt idx="20">
                  <c:v>110.88723774940249</c:v>
                </c:pt>
                <c:pt idx="21">
                  <c:v>112.58641998610214</c:v>
                </c:pt>
                <c:pt idx="22">
                  <c:v>162.54135410361846</c:v>
                </c:pt>
                <c:pt idx="23">
                  <c:v>139.71063134628687</c:v>
                </c:pt>
                <c:pt idx="24">
                  <c:v>130.18128606390007</c:v>
                </c:pt>
                <c:pt idx="25">
                  <c:v>100.656065009344</c:v>
                </c:pt>
                <c:pt idx="26">
                  <c:v>64.284890004276605</c:v>
                </c:pt>
                <c:pt idx="27">
                  <c:v>83.534178123072209</c:v>
                </c:pt>
                <c:pt idx="28">
                  <c:v>104.71463806723769</c:v>
                </c:pt>
                <c:pt idx="29">
                  <c:v>83.261818576803478</c:v>
                </c:pt>
                <c:pt idx="30">
                  <c:v>92.756689096004493</c:v>
                </c:pt>
                <c:pt idx="31">
                  <c:v>160.21202381998424</c:v>
                </c:pt>
                <c:pt idx="32">
                  <c:v>139.47553589490792</c:v>
                </c:pt>
                <c:pt idx="33">
                  <c:v>92.38727290449259</c:v>
                </c:pt>
                <c:pt idx="34">
                  <c:v>73.402892034455718</c:v>
                </c:pt>
                <c:pt idx="35">
                  <c:v>101.4493939149056</c:v>
                </c:pt>
                <c:pt idx="36">
                  <c:v>119.23601259808535</c:v>
                </c:pt>
                <c:pt idx="37">
                  <c:v>83.2025589666261</c:v>
                </c:pt>
                <c:pt idx="38">
                  <c:v>69.617183825208969</c:v>
                </c:pt>
                <c:pt idx="39">
                  <c:v>88.855406395536036</c:v>
                </c:pt>
                <c:pt idx="40">
                  <c:v>102.14213688059465</c:v>
                </c:pt>
                <c:pt idx="41">
                  <c:v>165.22322222780898</c:v>
                </c:pt>
                <c:pt idx="42">
                  <c:v>39.335325909713937</c:v>
                </c:pt>
                <c:pt idx="43">
                  <c:v>88.980259886260555</c:v>
                </c:pt>
                <c:pt idx="44">
                  <c:v>61.547060554266167</c:v>
                </c:pt>
                <c:pt idx="45">
                  <c:v>209.57426379976494</c:v>
                </c:pt>
                <c:pt idx="46">
                  <c:v>148.4268319435738</c:v>
                </c:pt>
                <c:pt idx="47">
                  <c:v>194.91876460070819</c:v>
                </c:pt>
              </c:numCache>
            </c:numRef>
          </c:val>
          <c:extLst>
            <c:ext xmlns:c16="http://schemas.microsoft.com/office/drawing/2014/chart" uri="{C3380CC4-5D6E-409C-BE32-E72D297353CC}">
              <c16:uniqueId val="{00000000-3B42-4E30-B615-B057B2D40C92}"/>
            </c:ext>
          </c:extLst>
        </c:ser>
        <c:ser>
          <c:idx val="1"/>
          <c:order val="1"/>
          <c:tx>
            <c:v>HEV</c:v>
          </c:tx>
          <c:spPr>
            <a:solidFill>
              <a:schemeClr val="accent2"/>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US_Results!$BR$3:$BR$52</c15:sqref>
                  </c15:fullRef>
                </c:ext>
              </c:extLst>
              <c:f>(US_Results!$BR$3,US_Results!$BR$5:$BR$12,US_Results!$BR$14:$BR$52)</c:f>
              <c:numCache>
                <c:formatCode>0.0</c:formatCode>
                <c:ptCount val="48"/>
                <c:pt idx="0">
                  <c:v>155.70922381916549</c:v>
                </c:pt>
                <c:pt idx="1">
                  <c:v>157.24086526288735</c:v>
                </c:pt>
                <c:pt idx="2">
                  <c:v>156.47504454102642</c:v>
                </c:pt>
                <c:pt idx="3">
                  <c:v>156.21977096707278</c:v>
                </c:pt>
                <c:pt idx="4">
                  <c:v>160.04887457637733</c:v>
                </c:pt>
                <c:pt idx="5">
                  <c:v>158.6448699196323</c:v>
                </c:pt>
                <c:pt idx="6">
                  <c:v>157.24086526288735</c:v>
                </c:pt>
                <c:pt idx="7">
                  <c:v>155.8368606061423</c:v>
                </c:pt>
                <c:pt idx="8">
                  <c:v>155.58158703218865</c:v>
                </c:pt>
                <c:pt idx="9">
                  <c:v>160.94233208521501</c:v>
                </c:pt>
                <c:pt idx="10">
                  <c:v>158.51723313265552</c:v>
                </c:pt>
                <c:pt idx="11">
                  <c:v>158.2619595587019</c:v>
                </c:pt>
                <c:pt idx="12">
                  <c:v>159.92123778940046</c:v>
                </c:pt>
                <c:pt idx="13">
                  <c:v>158.38959634567865</c:v>
                </c:pt>
                <c:pt idx="14">
                  <c:v>157.11322847591049</c:v>
                </c:pt>
                <c:pt idx="15">
                  <c:v>155.83686060614232</c:v>
                </c:pt>
                <c:pt idx="16">
                  <c:v>161.45287923312233</c:v>
                </c:pt>
                <c:pt idx="17">
                  <c:v>157.36850204986411</c:v>
                </c:pt>
                <c:pt idx="18">
                  <c:v>158.90014349358594</c:v>
                </c:pt>
                <c:pt idx="19">
                  <c:v>160.55942172428456</c:v>
                </c:pt>
                <c:pt idx="20">
                  <c:v>162.34633674196004</c:v>
                </c:pt>
                <c:pt idx="21">
                  <c:v>155.83686060614232</c:v>
                </c:pt>
                <c:pt idx="22">
                  <c:v>157.87904919777139</c:v>
                </c:pt>
                <c:pt idx="23">
                  <c:v>161.4528792331223</c:v>
                </c:pt>
                <c:pt idx="24">
                  <c:v>159.41069064149323</c:v>
                </c:pt>
                <c:pt idx="25">
                  <c:v>158.38959634567865</c:v>
                </c:pt>
                <c:pt idx="26">
                  <c:v>160.55942172428456</c:v>
                </c:pt>
                <c:pt idx="27">
                  <c:v>157.75141241079459</c:v>
                </c:pt>
                <c:pt idx="28">
                  <c:v>157.49613883684097</c:v>
                </c:pt>
                <c:pt idx="29">
                  <c:v>159.92123778940049</c:v>
                </c:pt>
                <c:pt idx="30">
                  <c:v>156.09213418009594</c:v>
                </c:pt>
                <c:pt idx="31">
                  <c:v>162.47397352893685</c:v>
                </c:pt>
                <c:pt idx="32">
                  <c:v>158.38959634567865</c:v>
                </c:pt>
                <c:pt idx="33">
                  <c:v>157.24086526288733</c:v>
                </c:pt>
                <c:pt idx="34">
                  <c:v>159.02778028056284</c:v>
                </c:pt>
                <c:pt idx="35">
                  <c:v>158.77250670660916</c:v>
                </c:pt>
                <c:pt idx="36">
                  <c:v>158.26195955870188</c:v>
                </c:pt>
                <c:pt idx="37">
                  <c:v>155.70922381916549</c:v>
                </c:pt>
                <c:pt idx="38">
                  <c:v>160.81469529823823</c:v>
                </c:pt>
                <c:pt idx="39">
                  <c:v>156.60268132800323</c:v>
                </c:pt>
                <c:pt idx="40">
                  <c:v>156.47504454102645</c:v>
                </c:pt>
                <c:pt idx="41">
                  <c:v>159.28305385451642</c:v>
                </c:pt>
                <c:pt idx="42">
                  <c:v>160.94233208521501</c:v>
                </c:pt>
                <c:pt idx="43">
                  <c:v>156.8579549019569</c:v>
                </c:pt>
                <c:pt idx="44">
                  <c:v>159.2830538545164</c:v>
                </c:pt>
                <c:pt idx="45">
                  <c:v>157.75141241079456</c:v>
                </c:pt>
                <c:pt idx="46">
                  <c:v>161.3252424461455</c:v>
                </c:pt>
                <c:pt idx="47">
                  <c:v>161.70815280707595</c:v>
                </c:pt>
              </c:numCache>
            </c:numRef>
          </c:val>
          <c:extLst>
            <c:ext xmlns:c16="http://schemas.microsoft.com/office/drawing/2014/chart" uri="{C3380CC4-5D6E-409C-BE32-E72D297353CC}">
              <c16:uniqueId val="{00000001-3B42-4E30-B615-B057B2D40C92}"/>
            </c:ext>
          </c:extLst>
        </c:ser>
        <c:ser>
          <c:idx val="2"/>
          <c:order val="2"/>
          <c:tx>
            <c:v>ICEV</c:v>
          </c:tx>
          <c:spPr>
            <a:solidFill>
              <a:schemeClr val="accent3"/>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US_Results!$BS$3:$BS$52</c15:sqref>
                  </c15:fullRef>
                </c:ext>
              </c:extLst>
              <c:f>(US_Results!$BS$3,US_Results!$BS$5:$BS$12,US_Results!$BS$14:$BS$52)</c:f>
              <c:numCache>
                <c:formatCode>0.0</c:formatCode>
                <c:ptCount val="48"/>
                <c:pt idx="0">
                  <c:v>235.86121172177965</c:v>
                </c:pt>
                <c:pt idx="1">
                  <c:v>238.34426258914772</c:v>
                </c:pt>
                <c:pt idx="2">
                  <c:v>237.10273715546367</c:v>
                </c:pt>
                <c:pt idx="3">
                  <c:v>236.68889534423568</c:v>
                </c:pt>
                <c:pt idx="4">
                  <c:v>242.89652251265562</c:v>
                </c:pt>
                <c:pt idx="5">
                  <c:v>240.62039255090156</c:v>
                </c:pt>
                <c:pt idx="6">
                  <c:v>238.34426258914769</c:v>
                </c:pt>
                <c:pt idx="7">
                  <c:v>236.06813262739365</c:v>
                </c:pt>
                <c:pt idx="8">
                  <c:v>235.65429081616563</c:v>
                </c:pt>
                <c:pt idx="9">
                  <c:v>244.34496885195364</c:v>
                </c:pt>
                <c:pt idx="10">
                  <c:v>240.41347164528761</c:v>
                </c:pt>
                <c:pt idx="11">
                  <c:v>239.99962983405968</c:v>
                </c:pt>
                <c:pt idx="12">
                  <c:v>242.6896016070416</c:v>
                </c:pt>
                <c:pt idx="13">
                  <c:v>240.20655073967359</c:v>
                </c:pt>
                <c:pt idx="14">
                  <c:v>238.13734168353369</c:v>
                </c:pt>
                <c:pt idx="15">
                  <c:v>236.06813262739362</c:v>
                </c:pt>
                <c:pt idx="16">
                  <c:v>245.17265247440957</c:v>
                </c:pt>
                <c:pt idx="17">
                  <c:v>238.55118349476163</c:v>
                </c:pt>
                <c:pt idx="18">
                  <c:v>241.03423436212955</c:v>
                </c:pt>
                <c:pt idx="19">
                  <c:v>243.72420613511164</c:v>
                </c:pt>
                <c:pt idx="20">
                  <c:v>246.62109881370759</c:v>
                </c:pt>
                <c:pt idx="21">
                  <c:v>236.06813262739362</c:v>
                </c:pt>
                <c:pt idx="22">
                  <c:v>239.3788671172176</c:v>
                </c:pt>
                <c:pt idx="23">
                  <c:v>245.17265247440952</c:v>
                </c:pt>
                <c:pt idx="24">
                  <c:v>241.8619179845856</c:v>
                </c:pt>
                <c:pt idx="25">
                  <c:v>240.20655073967359</c:v>
                </c:pt>
                <c:pt idx="26">
                  <c:v>243.72420613511167</c:v>
                </c:pt>
                <c:pt idx="27">
                  <c:v>239.17194621160363</c:v>
                </c:pt>
                <c:pt idx="28">
                  <c:v>238.75810440037569</c:v>
                </c:pt>
                <c:pt idx="29">
                  <c:v>242.68960160704162</c:v>
                </c:pt>
                <c:pt idx="30">
                  <c:v>236.48197443862165</c:v>
                </c:pt>
                <c:pt idx="31">
                  <c:v>246.82801971932162</c:v>
                </c:pt>
                <c:pt idx="32">
                  <c:v>240.20655073967362</c:v>
                </c:pt>
                <c:pt idx="33">
                  <c:v>238.34426258914766</c:v>
                </c:pt>
                <c:pt idx="34">
                  <c:v>241.24115526774364</c:v>
                </c:pt>
                <c:pt idx="35">
                  <c:v>240.82731345651567</c:v>
                </c:pt>
                <c:pt idx="36">
                  <c:v>239.99962983405965</c:v>
                </c:pt>
                <c:pt idx="37">
                  <c:v>235.86121172177963</c:v>
                </c:pt>
                <c:pt idx="38">
                  <c:v>244.13804794633961</c:v>
                </c:pt>
                <c:pt idx="39">
                  <c:v>237.30965806107764</c:v>
                </c:pt>
                <c:pt idx="40">
                  <c:v>237.10273715546364</c:v>
                </c:pt>
                <c:pt idx="41">
                  <c:v>241.6549970789716</c:v>
                </c:pt>
                <c:pt idx="42">
                  <c:v>244.34496885195358</c:v>
                </c:pt>
                <c:pt idx="43">
                  <c:v>237.72349987230567</c:v>
                </c:pt>
                <c:pt idx="44">
                  <c:v>241.65499707897163</c:v>
                </c:pt>
                <c:pt idx="45">
                  <c:v>239.17194621160365</c:v>
                </c:pt>
                <c:pt idx="46">
                  <c:v>244.96573156879563</c:v>
                </c:pt>
                <c:pt idx="47">
                  <c:v>245.58649428563757</c:v>
                </c:pt>
              </c:numCache>
            </c:numRef>
          </c:val>
          <c:extLst>
            <c:ext xmlns:c16="http://schemas.microsoft.com/office/drawing/2014/chart" uri="{C3380CC4-5D6E-409C-BE32-E72D297353CC}">
              <c16:uniqueId val="{00000002-3B42-4E30-B615-B057B2D40C92}"/>
            </c:ext>
          </c:extLst>
        </c:ser>
        <c:dLbls>
          <c:showLegendKey val="0"/>
          <c:showVal val="0"/>
          <c:showCatName val="0"/>
          <c:showSerName val="0"/>
          <c:showPercent val="0"/>
          <c:showBubbleSize val="0"/>
        </c:dLbls>
        <c:gapWidth val="219"/>
        <c:overlap val="-27"/>
        <c:axId val="556097839"/>
        <c:axId val="556100719"/>
      </c:barChart>
      <c:catAx>
        <c:axId val="55609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100719"/>
        <c:crosses val="autoZero"/>
        <c:auto val="1"/>
        <c:lblAlgn val="ctr"/>
        <c:lblOffset val="100"/>
        <c:noMultiLvlLbl val="0"/>
      </c:catAx>
      <c:valAx>
        <c:axId val="556100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gCO2eq/km</a:t>
                </a:r>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097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Scenario 1&amp;3:GHG abatment between BEV and ICEV</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US_Results!$Q$2</c:f>
              <c:strCache>
                <c:ptCount val="1"/>
                <c:pt idx="0">
                  <c:v>GHG abatment</c:v>
                </c:pt>
              </c:strCache>
            </c:strRef>
          </c:tx>
          <c:spPr>
            <a:solidFill>
              <a:schemeClr val="accent1"/>
            </a:solidFill>
            <a:ln>
              <a:solidFill>
                <a:schemeClr val="tx1"/>
              </a:solidFill>
            </a:ln>
            <a:effectLst/>
          </c:spPr>
          <c:invertIfNegative val="0"/>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US_Results!$Q$3:$Q$52</c:f>
              <c:numCache>
                <c:formatCode>0.0</c:formatCode>
                <c:ptCount val="50"/>
                <c:pt idx="0">
                  <c:v>51.667873398909101</c:v>
                </c:pt>
                <c:pt idx="1">
                  <c:v>20.419979077059565</c:v>
                </c:pt>
                <c:pt idx="2">
                  <c:v>38.880960033801074</c:v>
                </c:pt>
                <c:pt idx="3">
                  <c:v>41.908306152784085</c:v>
                </c:pt>
                <c:pt idx="4">
                  <c:v>43.411917986401122</c:v>
                </c:pt>
                <c:pt idx="5">
                  <c:v>30.218324154436985</c:v>
                </c:pt>
                <c:pt idx="6">
                  <c:v>37.986682473034399</c:v>
                </c:pt>
                <c:pt idx="7">
                  <c:v>31.418120515566734</c:v>
                </c:pt>
                <c:pt idx="8">
                  <c:v>38.942491020210262</c:v>
                </c:pt>
                <c:pt idx="9">
                  <c:v>52.536701266674378</c:v>
                </c:pt>
                <c:pt idx="10">
                  <c:v>15.142801863928959</c:v>
                </c:pt>
                <c:pt idx="11">
                  <c:v>53.333082460405322</c:v>
                </c:pt>
                <c:pt idx="12">
                  <c:v>42.837187613587197</c:v>
                </c:pt>
                <c:pt idx="13">
                  <c:v>28.759069073743717</c:v>
                </c:pt>
                <c:pt idx="14">
                  <c:v>45.926312245525367</c:v>
                </c:pt>
                <c:pt idx="15">
                  <c:v>44.401988278119724</c:v>
                </c:pt>
                <c:pt idx="16">
                  <c:v>17.997317478135997</c:v>
                </c:pt>
                <c:pt idx="17">
                  <c:v>39.414929000742902</c:v>
                </c:pt>
                <c:pt idx="18">
                  <c:v>52.48115077876011</c:v>
                </c:pt>
                <c:pt idx="19">
                  <c:v>44.241724893569938</c:v>
                </c:pt>
                <c:pt idx="20">
                  <c:v>35.915829669796686</c:v>
                </c:pt>
                <c:pt idx="21">
                  <c:v>36.284091532327075</c:v>
                </c:pt>
                <c:pt idx="22">
                  <c:v>51.387883553801224</c:v>
                </c:pt>
                <c:pt idx="23">
                  <c:v>52.118859407260089</c:v>
                </c:pt>
                <c:pt idx="24">
                  <c:v>30.084231583876544</c:v>
                </c:pt>
                <c:pt idx="25">
                  <c:v>35.403628908327704</c:v>
                </c:pt>
                <c:pt idx="26">
                  <c:v>35.050039407871161</c:v>
                </c:pt>
                <c:pt idx="27">
                  <c:v>41.348202355883274</c:v>
                </c:pt>
                <c:pt idx="28">
                  <c:v>43.888643310146804</c:v>
                </c:pt>
                <c:pt idx="29">
                  <c:v>40.34715476615338</c:v>
                </c:pt>
                <c:pt idx="30">
                  <c:v>54.284312385816563</c:v>
                </c:pt>
                <c:pt idx="31">
                  <c:v>34.265574861259665</c:v>
                </c:pt>
                <c:pt idx="32">
                  <c:v>48.835013934399839</c:v>
                </c:pt>
                <c:pt idx="33">
                  <c:v>32.35641684955467</c:v>
                </c:pt>
                <c:pt idx="34">
                  <c:v>30.404073850953992</c:v>
                </c:pt>
                <c:pt idx="35">
                  <c:v>54.610332223967461</c:v>
                </c:pt>
                <c:pt idx="36">
                  <c:v>43.350318174879177</c:v>
                </c:pt>
                <c:pt idx="37">
                  <c:v>33.721816931563197</c:v>
                </c:pt>
                <c:pt idx="38">
                  <c:v>25.429641918823364</c:v>
                </c:pt>
                <c:pt idx="39">
                  <c:v>48.217232835730385</c:v>
                </c:pt>
                <c:pt idx="40">
                  <c:v>57.336015234464838</c:v>
                </c:pt>
                <c:pt idx="41">
                  <c:v>47.975123061614248</c:v>
                </c:pt>
                <c:pt idx="42">
                  <c:v>46.139398193586572</c:v>
                </c:pt>
                <c:pt idx="43">
                  <c:v>25.070033095285922</c:v>
                </c:pt>
                <c:pt idx="44">
                  <c:v>56.357593704239775</c:v>
                </c:pt>
                <c:pt idx="45">
                  <c:v>45.622166974199907</c:v>
                </c:pt>
                <c:pt idx="46">
                  <c:v>41.687754067429211</c:v>
                </c:pt>
                <c:pt idx="47">
                  <c:v>10.559136746365652</c:v>
                </c:pt>
                <c:pt idx="48">
                  <c:v>31.514257854756835</c:v>
                </c:pt>
                <c:pt idx="49">
                  <c:v>25.78046126798715</c:v>
                </c:pt>
              </c:numCache>
            </c:numRef>
          </c:val>
          <c:extLst>
            <c:ext xmlns:c16="http://schemas.microsoft.com/office/drawing/2014/chart" uri="{C3380CC4-5D6E-409C-BE32-E72D297353CC}">
              <c16:uniqueId val="{00000000-4AD1-469E-B182-9A10CB7D3D9F}"/>
            </c:ext>
          </c:extLst>
        </c:ser>
        <c:dLbls>
          <c:showLegendKey val="0"/>
          <c:showVal val="0"/>
          <c:showCatName val="0"/>
          <c:showSerName val="0"/>
          <c:showPercent val="0"/>
          <c:showBubbleSize val="0"/>
        </c:dLbls>
        <c:gapWidth val="150"/>
        <c:overlap val="100"/>
        <c:axId val="400429264"/>
        <c:axId val="400436464"/>
      </c:barChart>
      <c:lineChart>
        <c:grouping val="standard"/>
        <c:varyColors val="0"/>
        <c:ser>
          <c:idx val="5"/>
          <c:order val="1"/>
          <c:tx>
            <c:strRef>
              <c:f>US_Results!$A$53</c:f>
              <c:strCache>
                <c:ptCount val="1"/>
                <c:pt idx="0">
                  <c:v>National Avg</c:v>
                </c:pt>
              </c:strCache>
            </c:strRef>
          </c:tx>
          <c:spPr>
            <a:ln w="28575" cap="rnd">
              <a:solidFill>
                <a:schemeClr val="accent6"/>
              </a:solidFill>
              <a:round/>
            </a:ln>
            <a:effectLst/>
          </c:spPr>
          <c:marker>
            <c:symbol val="none"/>
          </c:marker>
          <c:dLbls>
            <c:dLbl>
              <c:idx val="47"/>
              <c:layout>
                <c:manualLayout>
                  <c:x val="-1.1124117035706108E-2"/>
                  <c:y val="-8.99765529308836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1D-474E-97D1-549248FE216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US_Results!$A$3:$A$52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US_Results!$BZ$3:$BZ$52</c:f>
              <c:numCache>
                <c:formatCode>0.0</c:formatCode>
                <c:ptCount val="50"/>
                <c:pt idx="0">
                  <c:v>38.44404962980262</c:v>
                </c:pt>
                <c:pt idx="1">
                  <c:v>38.44404962980262</c:v>
                </c:pt>
                <c:pt idx="2">
                  <c:v>38.44404962980262</c:v>
                </c:pt>
                <c:pt idx="3">
                  <c:v>38.44404962980262</c:v>
                </c:pt>
                <c:pt idx="4">
                  <c:v>38.44404962980262</c:v>
                </c:pt>
                <c:pt idx="5">
                  <c:v>38.44404962980262</c:v>
                </c:pt>
                <c:pt idx="6">
                  <c:v>38.44404962980262</c:v>
                </c:pt>
                <c:pt idx="7">
                  <c:v>38.44404962980262</c:v>
                </c:pt>
                <c:pt idx="8">
                  <c:v>38.44404962980262</c:v>
                </c:pt>
                <c:pt idx="9">
                  <c:v>38.44404962980262</c:v>
                </c:pt>
                <c:pt idx="10">
                  <c:v>38.44404962980262</c:v>
                </c:pt>
                <c:pt idx="11">
                  <c:v>38.44404962980262</c:v>
                </c:pt>
                <c:pt idx="12">
                  <c:v>38.44404962980262</c:v>
                </c:pt>
                <c:pt idx="13">
                  <c:v>38.44404962980262</c:v>
                </c:pt>
                <c:pt idx="14">
                  <c:v>38.44404962980262</c:v>
                </c:pt>
                <c:pt idx="15">
                  <c:v>38.44404962980262</c:v>
                </c:pt>
                <c:pt idx="16">
                  <c:v>38.44404962980262</c:v>
                </c:pt>
                <c:pt idx="17">
                  <c:v>38.44404962980262</c:v>
                </c:pt>
                <c:pt idx="18">
                  <c:v>38.44404962980262</c:v>
                </c:pt>
                <c:pt idx="19">
                  <c:v>38.44404962980262</c:v>
                </c:pt>
                <c:pt idx="20">
                  <c:v>38.44404962980262</c:v>
                </c:pt>
                <c:pt idx="21">
                  <c:v>38.44404962980262</c:v>
                </c:pt>
                <c:pt idx="22">
                  <c:v>38.44404962980262</c:v>
                </c:pt>
                <c:pt idx="23">
                  <c:v>38.44404962980262</c:v>
                </c:pt>
                <c:pt idx="24">
                  <c:v>38.44404962980262</c:v>
                </c:pt>
                <c:pt idx="25">
                  <c:v>38.44404962980262</c:v>
                </c:pt>
                <c:pt idx="26">
                  <c:v>38.44404962980262</c:v>
                </c:pt>
                <c:pt idx="27">
                  <c:v>38.44404962980262</c:v>
                </c:pt>
                <c:pt idx="28">
                  <c:v>38.44404962980262</c:v>
                </c:pt>
                <c:pt idx="29">
                  <c:v>38.44404962980262</c:v>
                </c:pt>
                <c:pt idx="30">
                  <c:v>38.44404962980262</c:v>
                </c:pt>
                <c:pt idx="31">
                  <c:v>38.44404962980262</c:v>
                </c:pt>
                <c:pt idx="32">
                  <c:v>38.44404962980262</c:v>
                </c:pt>
                <c:pt idx="33">
                  <c:v>38.44404962980262</c:v>
                </c:pt>
                <c:pt idx="34">
                  <c:v>38.44404962980262</c:v>
                </c:pt>
                <c:pt idx="35">
                  <c:v>38.44404962980262</c:v>
                </c:pt>
                <c:pt idx="36">
                  <c:v>38.44404962980262</c:v>
                </c:pt>
                <c:pt idx="37">
                  <c:v>38.44404962980262</c:v>
                </c:pt>
                <c:pt idx="38">
                  <c:v>38.44404962980262</c:v>
                </c:pt>
                <c:pt idx="39">
                  <c:v>38.44404962980262</c:v>
                </c:pt>
                <c:pt idx="40">
                  <c:v>38.44404962980262</c:v>
                </c:pt>
                <c:pt idx="41">
                  <c:v>38.44404962980262</c:v>
                </c:pt>
                <c:pt idx="42">
                  <c:v>38.44404962980262</c:v>
                </c:pt>
                <c:pt idx="43">
                  <c:v>38.44404962980262</c:v>
                </c:pt>
                <c:pt idx="44">
                  <c:v>38.44404962980262</c:v>
                </c:pt>
                <c:pt idx="45">
                  <c:v>38.44404962980262</c:v>
                </c:pt>
                <c:pt idx="46">
                  <c:v>38.44404962980262</c:v>
                </c:pt>
                <c:pt idx="47">
                  <c:v>38.44404962980262</c:v>
                </c:pt>
                <c:pt idx="48">
                  <c:v>38.44404962980262</c:v>
                </c:pt>
                <c:pt idx="49">
                  <c:v>38.44404962980262</c:v>
                </c:pt>
              </c:numCache>
            </c:numRef>
          </c:val>
          <c:smooth val="0"/>
          <c:extLst>
            <c:ext xmlns:c16="http://schemas.microsoft.com/office/drawing/2014/chart" uri="{C3380CC4-5D6E-409C-BE32-E72D297353CC}">
              <c16:uniqueId val="{00000005-4AD1-469E-B182-9A10CB7D3D9F}"/>
            </c:ext>
          </c:extLst>
        </c:ser>
        <c:dLbls>
          <c:showLegendKey val="0"/>
          <c:showVal val="0"/>
          <c:showCatName val="0"/>
          <c:showSerName val="0"/>
          <c:showPercent val="0"/>
          <c:showBubbleSize val="0"/>
        </c:dLbls>
        <c:marker val="1"/>
        <c:smooth val="0"/>
        <c:axId val="400429264"/>
        <c:axId val="400436464"/>
      </c:lineChart>
      <c:catAx>
        <c:axId val="400429264"/>
        <c:scaling>
          <c:orientation val="minMax"/>
        </c:scaling>
        <c:delete val="0"/>
        <c:axPos val="b"/>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Life cycle GHG abatement (t CO</a:t>
                </a:r>
                <a:r>
                  <a:rPr lang="en-US" baseline="-25000"/>
                  <a:t>2eq</a:t>
                </a:r>
                <a:r>
                  <a:rPr lang="en-US"/>
                  <a:t>)</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solidFill>
            <a:sysClr val="windowText" lastClr="000000"/>
          </a:solid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Scenario 2: 2023 GHG</a:t>
            </a:r>
            <a:r>
              <a:rPr lang="en-US" baseline="0"/>
              <a:t> emissions: BEVs vs. HEVs</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v>BEVs</c:v>
          </c:tx>
          <c:spPr>
            <a:ln w="28575" cap="rnd">
              <a:solidFill>
                <a:schemeClr val="tx1"/>
              </a:solidFill>
              <a:round/>
            </a:ln>
            <a:effectLst/>
          </c:spPr>
          <c:marker>
            <c:symbol val="none"/>
          </c:marker>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US_Results!$BF$3:$BF$52</c15:sqref>
                  </c15:fullRef>
                </c:ext>
              </c:extLst>
              <c:f>(US_Results!$BF$3,US_Results!$BF$5:$BF$12,US_Results!$BF$14:$BF$52)</c:f>
              <c:numCache>
                <c:formatCode>0.0</c:formatCode>
                <c:ptCount val="48"/>
                <c:pt idx="0">
                  <c:v>18.94504933013194</c:v>
                </c:pt>
                <c:pt idx="1">
                  <c:v>18.61428782983289</c:v>
                </c:pt>
                <c:pt idx="2">
                  <c:v>12.931404649488822</c:v>
                </c:pt>
                <c:pt idx="3">
                  <c:v>72.018869820095688</c:v>
                </c:pt>
                <c:pt idx="4">
                  <c:v>21.196777346139722</c:v>
                </c:pt>
                <c:pt idx="5">
                  <c:v>7.2900314592812361</c:v>
                </c:pt>
                <c:pt idx="6">
                  <c:v>3.1538547925333242</c:v>
                </c:pt>
                <c:pt idx="7">
                  <c:v>66.688507243505668</c:v>
                </c:pt>
                <c:pt idx="8">
                  <c:v>39.488031621682971</c:v>
                </c:pt>
                <c:pt idx="9">
                  <c:v>4.2067652989363449</c:v>
                </c:pt>
                <c:pt idx="10">
                  <c:v>21.77633004867721</c:v>
                </c:pt>
                <c:pt idx="11">
                  <c:v>42.466221952887523</c:v>
                </c:pt>
                <c:pt idx="12">
                  <c:v>9.8425355226504614</c:v>
                </c:pt>
                <c:pt idx="13">
                  <c:v>8.4636432591653694</c:v>
                </c:pt>
                <c:pt idx="14">
                  <c:v>28.609274995236429</c:v>
                </c:pt>
                <c:pt idx="15">
                  <c:v>14.166110516217191</c:v>
                </c:pt>
                <c:pt idx="16">
                  <c:v>2.6471226966815879</c:v>
                </c:pt>
                <c:pt idx="17">
                  <c:v>12.446384524605627</c:v>
                </c:pt>
                <c:pt idx="18">
                  <c:v>18.083414894769756</c:v>
                </c:pt>
                <c:pt idx="19">
                  <c:v>34.337442111252791</c:v>
                </c:pt>
                <c:pt idx="20">
                  <c:v>22.90591218633352</c:v>
                </c:pt>
                <c:pt idx="21">
                  <c:v>13.814019748689702</c:v>
                </c:pt>
                <c:pt idx="22">
                  <c:v>39.269060270295824</c:v>
                </c:pt>
                <c:pt idx="23">
                  <c:v>5.2038670164663321</c:v>
                </c:pt>
                <c:pt idx="24">
                  <c:v>8.7006926539594982</c:v>
                </c:pt>
                <c:pt idx="25">
                  <c:v>8.0512187043144721</c:v>
                </c:pt>
                <c:pt idx="26">
                  <c:v>2.1663282559252086</c:v>
                </c:pt>
                <c:pt idx="27">
                  <c:v>16.403673969862183</c:v>
                </c:pt>
                <c:pt idx="28">
                  <c:v>8.7785305752877036</c:v>
                </c:pt>
                <c:pt idx="29">
                  <c:v>20.940189296602281</c:v>
                </c:pt>
                <c:pt idx="30">
                  <c:v>29.981645963773133</c:v>
                </c:pt>
                <c:pt idx="31">
                  <c:v>5.229668017444717</c:v>
                </c:pt>
                <c:pt idx="32">
                  <c:v>47.163112923275641</c:v>
                </c:pt>
                <c:pt idx="33">
                  <c:v>15.512356394158768</c:v>
                </c:pt>
                <c:pt idx="34">
                  <c:v>7.3862277950125446</c:v>
                </c:pt>
                <c:pt idx="35">
                  <c:v>26.490885786529436</c:v>
                </c:pt>
                <c:pt idx="36">
                  <c:v>2.3638232593304731</c:v>
                </c:pt>
                <c:pt idx="37">
                  <c:v>13.698221910041319</c:v>
                </c:pt>
                <c:pt idx="38">
                  <c:v>2.1175204242378318</c:v>
                </c:pt>
                <c:pt idx="39">
                  <c:v>19.563810053318207</c:v>
                </c:pt>
                <c:pt idx="40">
                  <c:v>95.277247829739323</c:v>
                </c:pt>
                <c:pt idx="41">
                  <c:v>18.302594807463702</c:v>
                </c:pt>
                <c:pt idx="42">
                  <c:v>0.57059114095035857</c:v>
                </c:pt>
                <c:pt idx="43">
                  <c:v>21.966724045422271</c:v>
                </c:pt>
                <c:pt idx="44">
                  <c:v>9.5962597400010186</c:v>
                </c:pt>
                <c:pt idx="45">
                  <c:v>12.557463811405052</c:v>
                </c:pt>
                <c:pt idx="46">
                  <c:v>29.213807862523986</c:v>
                </c:pt>
                <c:pt idx="47">
                  <c:v>7.1731205922340013</c:v>
                </c:pt>
              </c:numCache>
            </c:numRef>
          </c:val>
          <c:smooth val="0"/>
          <c:extLst>
            <c:ext xmlns:c16="http://schemas.microsoft.com/office/drawing/2014/chart" uri="{C3380CC4-5D6E-409C-BE32-E72D297353CC}">
              <c16:uniqueId val="{00000000-F2C1-49B1-8FE9-8B27177D569C}"/>
            </c:ext>
          </c:extLst>
        </c:ser>
        <c:ser>
          <c:idx val="1"/>
          <c:order val="1"/>
          <c:tx>
            <c:v>HEVs</c:v>
          </c:tx>
          <c:spPr>
            <a:ln w="28575" cap="rnd">
              <a:solidFill>
                <a:srgbClr val="A5A5A5"/>
              </a:solidFill>
              <a:round/>
            </a:ln>
            <a:effectLst/>
          </c:spPr>
          <c:marker>
            <c:symbol val="none"/>
          </c:marker>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US_Results!$BG$3:$BG$52</c15:sqref>
                  </c15:fullRef>
                </c:ext>
              </c:extLst>
              <c:f>(US_Results!$BG$3,US_Results!$BG$5:$BG$12,US_Results!$BG$14:$BG$52)</c:f>
              <c:numCache>
                <c:formatCode>0.0</c:formatCode>
                <c:ptCount val="48"/>
                <c:pt idx="0">
                  <c:v>24.347070446621036</c:v>
                </c:pt>
                <c:pt idx="1">
                  <c:v>24.387777325797654</c:v>
                </c:pt>
                <c:pt idx="2">
                  <c:v>13.246353822372715</c:v>
                </c:pt>
                <c:pt idx="3">
                  <c:v>130.84000871888787</c:v>
                </c:pt>
                <c:pt idx="4">
                  <c:v>20.387863843835849</c:v>
                </c:pt>
                <c:pt idx="5">
                  <c:v>10.276142935772102</c:v>
                </c:pt>
                <c:pt idx="6">
                  <c:v>3.2911314576888473</c:v>
                </c:pt>
                <c:pt idx="7">
                  <c:v>76.503808284589297</c:v>
                </c:pt>
                <c:pt idx="8">
                  <c:v>49.913847603572272</c:v>
                </c:pt>
                <c:pt idx="9">
                  <c:v>8.3146658803676718</c:v>
                </c:pt>
                <c:pt idx="10">
                  <c:v>36.348311211207061</c:v>
                </c:pt>
                <c:pt idx="11">
                  <c:v>31.950756997732174</c:v>
                </c:pt>
                <c:pt idx="12">
                  <c:v>13.493875259792285</c:v>
                </c:pt>
                <c:pt idx="13">
                  <c:v>11.136136363999922</c:v>
                </c:pt>
                <c:pt idx="14">
                  <c:v>18.780327059986686</c:v>
                </c:pt>
                <c:pt idx="15">
                  <c:v>15.958270535217292</c:v>
                </c:pt>
                <c:pt idx="16">
                  <c:v>5.1479178750233352</c:v>
                </c:pt>
                <c:pt idx="17">
                  <c:v>19.493990868241394</c:v>
                </c:pt>
                <c:pt idx="18">
                  <c:v>20.757434996688399</c:v>
                </c:pt>
                <c:pt idx="19">
                  <c:v>35.540179585914885</c:v>
                </c:pt>
                <c:pt idx="20">
                  <c:v>27.007041911664462</c:v>
                </c:pt>
                <c:pt idx="21">
                  <c:v>15.377198631493973</c:v>
                </c:pt>
                <c:pt idx="22">
                  <c:v>29.854454674042643</c:v>
                </c:pt>
                <c:pt idx="23">
                  <c:v>4.7537919037750198</c:v>
                </c:pt>
                <c:pt idx="24">
                  <c:v>8.4659962336074592</c:v>
                </c:pt>
                <c:pt idx="25">
                  <c:v>10.297909291273079</c:v>
                </c:pt>
                <c:pt idx="26">
                  <c:v>4.6647844003617838</c:v>
                </c:pt>
                <c:pt idx="27">
                  <c:v>25.712525228039492</c:v>
                </c:pt>
                <c:pt idx="28">
                  <c:v>10.690221165137901</c:v>
                </c:pt>
                <c:pt idx="29">
                  <c:v>33.397361630513153</c:v>
                </c:pt>
                <c:pt idx="30">
                  <c:v>41.366357113695784</c:v>
                </c:pt>
                <c:pt idx="31">
                  <c:v>4.1547188554840506</c:v>
                </c:pt>
                <c:pt idx="32">
                  <c:v>42.342897125420556</c:v>
                </c:pt>
                <c:pt idx="33">
                  <c:v>21.65605189851329</c:v>
                </c:pt>
                <c:pt idx="34">
                  <c:v>13.514451544095355</c:v>
                </c:pt>
                <c:pt idx="35">
                  <c:v>33.672848437451449</c:v>
                </c:pt>
                <c:pt idx="36">
                  <c:v>2.5107101268199772</c:v>
                </c:pt>
                <c:pt idx="37">
                  <c:v>21.288829343555072</c:v>
                </c:pt>
                <c:pt idx="38">
                  <c:v>4.163589021403153</c:v>
                </c:pt>
                <c:pt idx="39">
                  <c:v>28.407956489456758</c:v>
                </c:pt>
                <c:pt idx="40">
                  <c:v>118.46546595708639</c:v>
                </c:pt>
                <c:pt idx="41">
                  <c:v>13.796991388857712</c:v>
                </c:pt>
                <c:pt idx="42">
                  <c:v>2.2526600432390658</c:v>
                </c:pt>
                <c:pt idx="43">
                  <c:v>31.899116954074177</c:v>
                </c:pt>
                <c:pt idx="44">
                  <c:v>21.57249930434654</c:v>
                </c:pt>
                <c:pt idx="45">
                  <c:v>7.2995985312499352</c:v>
                </c:pt>
                <c:pt idx="46">
                  <c:v>24.99613982500254</c:v>
                </c:pt>
                <c:pt idx="47">
                  <c:v>4.6116582124297869</c:v>
                </c:pt>
              </c:numCache>
            </c:numRef>
          </c:val>
          <c:smooth val="0"/>
          <c:extLst>
            <c:ext xmlns:c16="http://schemas.microsoft.com/office/drawing/2014/chart" uri="{C3380CC4-5D6E-409C-BE32-E72D297353CC}">
              <c16:uniqueId val="{00000002-F2C1-49B1-8FE9-8B27177D569C}"/>
            </c:ext>
          </c:extLst>
        </c:ser>
        <c:ser>
          <c:idx val="2"/>
          <c:order val="2"/>
          <c:tx>
            <c:strRef>
              <c:f>US_Results!$BE$2</c:f>
              <c:strCache>
                <c:ptCount val="1"/>
                <c:pt idx="0">
                  <c:v>ΔEmissions BEVs and HEVs (million t) in 2023</c:v>
                </c:pt>
              </c:strCache>
            </c:strRef>
          </c:tx>
          <c:spPr>
            <a:ln w="28575" cap="rnd">
              <a:solidFill>
                <a:srgbClr val="ED7D31"/>
              </a:solidFill>
              <a:round/>
            </a:ln>
            <a:effectLst/>
          </c:spPr>
          <c:marker>
            <c:symbol val="none"/>
          </c:marker>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US_Results!$BE$3:$BE$52</c15:sqref>
                  </c15:fullRef>
                </c:ext>
              </c:extLst>
              <c:f>(US_Results!$BE$3,US_Results!$BE$5:$BE$12,US_Results!$BE$14:$BE$52)</c:f>
              <c:numCache>
                <c:formatCode>0.0</c:formatCode>
                <c:ptCount val="48"/>
                <c:pt idx="0">
                  <c:v>5.4020211164890926</c:v>
                </c:pt>
                <c:pt idx="1">
                  <c:v>5.7734894959647631</c:v>
                </c:pt>
                <c:pt idx="2">
                  <c:v>0.31494917288389318</c:v>
                </c:pt>
                <c:pt idx="3">
                  <c:v>58.821138898792192</c:v>
                </c:pt>
                <c:pt idx="4">
                  <c:v>-0.80891350230386827</c:v>
                </c:pt>
                <c:pt idx="5">
                  <c:v>2.9861114764908665</c:v>
                </c:pt>
                <c:pt idx="6">
                  <c:v>0.13727666515552292</c:v>
                </c:pt>
                <c:pt idx="7">
                  <c:v>9.815301041083627</c:v>
                </c:pt>
                <c:pt idx="8">
                  <c:v>10.425815981889304</c:v>
                </c:pt>
                <c:pt idx="9">
                  <c:v>4.1079005814313252</c:v>
                </c:pt>
                <c:pt idx="10">
                  <c:v>14.571981162529855</c:v>
                </c:pt>
                <c:pt idx="11">
                  <c:v>-10.515464955155348</c:v>
                </c:pt>
                <c:pt idx="12">
                  <c:v>3.6513397371418228</c:v>
                </c:pt>
                <c:pt idx="13">
                  <c:v>2.6724931048345515</c:v>
                </c:pt>
                <c:pt idx="14">
                  <c:v>-9.8289479352497473</c:v>
                </c:pt>
                <c:pt idx="15">
                  <c:v>1.7921600190000988</c:v>
                </c:pt>
                <c:pt idx="16">
                  <c:v>2.5007951783417472</c:v>
                </c:pt>
                <c:pt idx="17">
                  <c:v>7.0476063436357697</c:v>
                </c:pt>
                <c:pt idx="18">
                  <c:v>2.6740201019186403</c:v>
                </c:pt>
                <c:pt idx="19">
                  <c:v>1.2027374746621047</c:v>
                </c:pt>
                <c:pt idx="20">
                  <c:v>4.101129725330944</c:v>
                </c:pt>
                <c:pt idx="21">
                  <c:v>1.5631788828042681</c:v>
                </c:pt>
                <c:pt idx="22">
                  <c:v>-9.4146055962531836</c:v>
                </c:pt>
                <c:pt idx="23">
                  <c:v>-0.45007511269131234</c:v>
                </c:pt>
                <c:pt idx="24">
                  <c:v>-0.23469642035203636</c:v>
                </c:pt>
                <c:pt idx="25">
                  <c:v>2.2466905869586076</c:v>
                </c:pt>
                <c:pt idx="26">
                  <c:v>2.4984561444365756</c:v>
                </c:pt>
                <c:pt idx="27">
                  <c:v>9.308851258177306</c:v>
                </c:pt>
                <c:pt idx="28">
                  <c:v>1.911690589850197</c:v>
                </c:pt>
                <c:pt idx="29">
                  <c:v>12.457172333910885</c:v>
                </c:pt>
                <c:pt idx="30">
                  <c:v>11.384711149922657</c:v>
                </c:pt>
                <c:pt idx="31">
                  <c:v>-1.0749491619606668</c:v>
                </c:pt>
                <c:pt idx="32">
                  <c:v>-4.820215797855087</c:v>
                </c:pt>
                <c:pt idx="33">
                  <c:v>6.1436955043545254</c:v>
                </c:pt>
                <c:pt idx="34">
                  <c:v>6.1282237490828093</c:v>
                </c:pt>
                <c:pt idx="35">
                  <c:v>7.1819626509220109</c:v>
                </c:pt>
                <c:pt idx="36">
                  <c:v>0.14688686748950408</c:v>
                </c:pt>
                <c:pt idx="37">
                  <c:v>7.5906074335137514</c:v>
                </c:pt>
                <c:pt idx="38">
                  <c:v>2.0460685971653216</c:v>
                </c:pt>
                <c:pt idx="39">
                  <c:v>8.8441464361385531</c:v>
                </c:pt>
                <c:pt idx="40">
                  <c:v>23.18821812734711</c:v>
                </c:pt>
                <c:pt idx="41">
                  <c:v>-4.5056034186059888</c:v>
                </c:pt>
                <c:pt idx="42">
                  <c:v>1.6820689022887072</c:v>
                </c:pt>
                <c:pt idx="43">
                  <c:v>9.9323929086519076</c:v>
                </c:pt>
                <c:pt idx="44">
                  <c:v>11.976239564345521</c:v>
                </c:pt>
                <c:pt idx="45">
                  <c:v>-5.2578652801551158</c:v>
                </c:pt>
                <c:pt idx="46">
                  <c:v>-4.2176680375214444</c:v>
                </c:pt>
                <c:pt idx="47">
                  <c:v>-2.5614623798042153</c:v>
                </c:pt>
              </c:numCache>
            </c:numRef>
          </c:val>
          <c:smooth val="0"/>
          <c:extLst>
            <c:ext xmlns:c16="http://schemas.microsoft.com/office/drawing/2014/chart" uri="{C3380CC4-5D6E-409C-BE32-E72D297353CC}">
              <c16:uniqueId val="{00000003-F2C1-49B1-8FE9-8B27177D569C}"/>
            </c:ext>
          </c:extLst>
        </c:ser>
        <c:dLbls>
          <c:showLegendKey val="0"/>
          <c:showVal val="0"/>
          <c:showCatName val="0"/>
          <c:showSerName val="0"/>
          <c:showPercent val="0"/>
          <c:showBubbleSize val="0"/>
        </c:dLbls>
        <c:smooth val="0"/>
        <c:axId val="400429264"/>
        <c:axId val="400436464"/>
      </c:lineChart>
      <c:catAx>
        <c:axId val="400429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36464"/>
        <c:crosses val="autoZero"/>
        <c:auto val="1"/>
        <c:lblAlgn val="ctr"/>
        <c:lblOffset val="100"/>
        <c:noMultiLvlLbl val="0"/>
      </c:catAx>
      <c:valAx>
        <c:axId val="400436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Life cycle GHG abatement (t CO</a:t>
                </a:r>
                <a:r>
                  <a:rPr lang="en-US" baseline="-25000"/>
                  <a:t>2eq</a:t>
                </a:r>
                <a:r>
                  <a:rPr lang="en-US"/>
                  <a:t>)</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00429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Scenario 1&amp;3 :GHG</a:t>
            </a:r>
            <a:r>
              <a:rPr lang="en-US" baseline="0"/>
              <a:t> reductions between BEVs and HEVs</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bar"/>
        <c:grouping val="clustered"/>
        <c:varyColors val="0"/>
        <c:ser>
          <c:idx val="0"/>
          <c:order val="0"/>
          <c:spPr>
            <a:solidFill>
              <a:schemeClr val="accent6"/>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'Scenario analysis'!$A$7:$A$8</c:f>
              <c:strCache>
                <c:ptCount val="2"/>
                <c:pt idx="0">
                  <c:v>ΔLife-cycle GHG BEV and HEV (million t CO2eq)</c:v>
                </c:pt>
                <c:pt idx="1">
                  <c:v>Marginal emissions penalty (million t CO2eq)</c:v>
                </c:pt>
              </c:strCache>
            </c:strRef>
          </c:cat>
          <c:val>
            <c:numRef>
              <c:f>'Scenario analysis'!$B$7:$B$8</c:f>
              <c:numCache>
                <c:formatCode>0</c:formatCode>
                <c:ptCount val="2"/>
                <c:pt idx="0">
                  <c:v>4599.1497935483994</c:v>
                </c:pt>
                <c:pt idx="1">
                  <c:v>0</c:v>
                </c:pt>
              </c:numCache>
            </c:numRef>
          </c:val>
          <c:extLst>
            <c:ext xmlns:c16="http://schemas.microsoft.com/office/drawing/2014/chart" uri="{C3380CC4-5D6E-409C-BE32-E72D297353CC}">
              <c16:uniqueId val="{00000000-3FF2-4C50-B800-DAF579F2C098}"/>
            </c:ext>
          </c:extLst>
        </c:ser>
        <c:dLbls>
          <c:showLegendKey val="0"/>
          <c:showVal val="0"/>
          <c:showCatName val="0"/>
          <c:showSerName val="0"/>
          <c:showPercent val="0"/>
          <c:showBubbleSize val="0"/>
        </c:dLbls>
        <c:gapWidth val="182"/>
        <c:axId val="393856655"/>
        <c:axId val="393857615"/>
      </c:barChart>
      <c:catAx>
        <c:axId val="393856655"/>
        <c:scaling>
          <c:orientation val="maxMin"/>
        </c:scaling>
        <c:delete val="0"/>
        <c:axPos val="l"/>
        <c:numFmt formatCode="General" sourceLinked="1"/>
        <c:majorTickMark val="none"/>
        <c:minorTickMark val="none"/>
        <c:tickLblPos val="low"/>
        <c:spPr>
          <a:noFill/>
          <a:ln w="9525" cap="flat" cmpd="sng" algn="ctr">
            <a:solidFill>
              <a:sysClr val="windowText" lastClr="000000"/>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93857615"/>
        <c:crosses val="autoZero"/>
        <c:auto val="1"/>
        <c:lblAlgn val="ctr"/>
        <c:lblOffset val="100"/>
        <c:noMultiLvlLbl val="0"/>
      </c:catAx>
      <c:valAx>
        <c:axId val="393857615"/>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93856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Life cycle CI (gCO2eq/km)</a:t>
            </a:r>
          </a:p>
        </c:rich>
      </c:tx>
      <c:overlay val="0"/>
      <c:spPr>
        <a:noFill/>
        <a:ln>
          <a:noFill/>
        </a:ln>
        <a:effectLst/>
      </c:spPr>
      <c:txPr>
        <a:bodyPr rot="0" spcFirstLastPara="1" vertOverflow="ellipsis" vert="horz" wrap="square" anchor="ctr" anchorCtr="1"/>
        <a:lstStyle/>
        <a:p>
          <a:pPr>
            <a:defRPr sz="192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v>BEV</c:v>
          </c:tx>
          <c:spPr>
            <a:solidFill>
              <a:schemeClr val="accent1"/>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US_Results!$BQ$3:$BQ$52</c15:sqref>
                  </c15:fullRef>
                </c:ext>
              </c:extLst>
              <c:f>(US_Results!$BQ$3,US_Results!$BQ$5:$BQ$12,US_Results!$BQ$14:$BQ$52)</c:f>
              <c:numCache>
                <c:formatCode>0.0</c:formatCode>
                <c:ptCount val="48"/>
                <c:pt idx="0">
                  <c:v>98.683101704927722</c:v>
                </c:pt>
                <c:pt idx="1">
                  <c:v>97.837851285232531</c:v>
                </c:pt>
                <c:pt idx="2">
                  <c:v>122.00549984177988</c:v>
                </c:pt>
                <c:pt idx="3">
                  <c:v>72.718772061673121</c:v>
                </c:pt>
                <c:pt idx="4">
                  <c:v>132.07779956938947</c:v>
                </c:pt>
                <c:pt idx="5">
                  <c:v>92.322470090723314</c:v>
                </c:pt>
                <c:pt idx="6">
                  <c:v>120.47559755206186</c:v>
                </c:pt>
                <c:pt idx="7">
                  <c:v>109.52148207683001</c:v>
                </c:pt>
                <c:pt idx="8">
                  <c:v>100.10277402775255</c:v>
                </c:pt>
                <c:pt idx="9">
                  <c:v>69.352001762876199</c:v>
                </c:pt>
                <c:pt idx="10">
                  <c:v>79.347203506980861</c:v>
                </c:pt>
                <c:pt idx="11">
                  <c:v>164.5212701393134</c:v>
                </c:pt>
                <c:pt idx="12">
                  <c:v>95.351318250777297</c:v>
                </c:pt>
                <c:pt idx="13">
                  <c:v>98.105460780558772</c:v>
                </c:pt>
                <c:pt idx="14">
                  <c:v>185.92348377908178</c:v>
                </c:pt>
                <c:pt idx="15">
                  <c:v>111.36156806421234</c:v>
                </c:pt>
                <c:pt idx="16">
                  <c:v>70.52799944471775</c:v>
                </c:pt>
                <c:pt idx="17">
                  <c:v>83.412925889544809</c:v>
                </c:pt>
                <c:pt idx="18">
                  <c:v>111.43120644965688</c:v>
                </c:pt>
                <c:pt idx="19">
                  <c:v>123.75591160473292</c:v>
                </c:pt>
                <c:pt idx="20">
                  <c:v>110.88723774940249</c:v>
                </c:pt>
                <c:pt idx="21">
                  <c:v>112.58641998610214</c:v>
                </c:pt>
                <c:pt idx="22">
                  <c:v>162.54135410361846</c:v>
                </c:pt>
                <c:pt idx="23">
                  <c:v>139.71063134628687</c:v>
                </c:pt>
                <c:pt idx="24">
                  <c:v>130.18128606390007</c:v>
                </c:pt>
                <c:pt idx="25">
                  <c:v>100.656065009344</c:v>
                </c:pt>
                <c:pt idx="26">
                  <c:v>64.284890004276605</c:v>
                </c:pt>
                <c:pt idx="27">
                  <c:v>83.534178123072209</c:v>
                </c:pt>
                <c:pt idx="28">
                  <c:v>104.71463806723769</c:v>
                </c:pt>
                <c:pt idx="29">
                  <c:v>83.261818576803478</c:v>
                </c:pt>
                <c:pt idx="30">
                  <c:v>92.756689096004493</c:v>
                </c:pt>
                <c:pt idx="31">
                  <c:v>160.21202381998424</c:v>
                </c:pt>
                <c:pt idx="32">
                  <c:v>139.47553589490792</c:v>
                </c:pt>
                <c:pt idx="33">
                  <c:v>92.38727290449259</c:v>
                </c:pt>
                <c:pt idx="34">
                  <c:v>73.402892034455718</c:v>
                </c:pt>
                <c:pt idx="35">
                  <c:v>101.4493939149056</c:v>
                </c:pt>
                <c:pt idx="36">
                  <c:v>119.23601259808535</c:v>
                </c:pt>
                <c:pt idx="37">
                  <c:v>83.2025589666261</c:v>
                </c:pt>
                <c:pt idx="38">
                  <c:v>69.617183825208969</c:v>
                </c:pt>
                <c:pt idx="39">
                  <c:v>88.855406395536036</c:v>
                </c:pt>
                <c:pt idx="40">
                  <c:v>102.14213688059465</c:v>
                </c:pt>
                <c:pt idx="41">
                  <c:v>165.22322222780898</c:v>
                </c:pt>
                <c:pt idx="42">
                  <c:v>39.335325909713937</c:v>
                </c:pt>
                <c:pt idx="43">
                  <c:v>88.980259886260555</c:v>
                </c:pt>
                <c:pt idx="44">
                  <c:v>61.547060554266167</c:v>
                </c:pt>
                <c:pt idx="45">
                  <c:v>209.57426379976494</c:v>
                </c:pt>
                <c:pt idx="46">
                  <c:v>148.4268319435738</c:v>
                </c:pt>
                <c:pt idx="47">
                  <c:v>194.91876460070819</c:v>
                </c:pt>
              </c:numCache>
            </c:numRef>
          </c:val>
          <c:extLst>
            <c:ext xmlns:c16="http://schemas.microsoft.com/office/drawing/2014/chart" uri="{C3380CC4-5D6E-409C-BE32-E72D297353CC}">
              <c16:uniqueId val="{00000000-2A9F-4776-A361-068EA2F47656}"/>
            </c:ext>
          </c:extLst>
        </c:ser>
        <c:ser>
          <c:idx val="1"/>
          <c:order val="1"/>
          <c:tx>
            <c:v>HEV</c:v>
          </c:tx>
          <c:spPr>
            <a:solidFill>
              <a:schemeClr val="accent2"/>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US_Results!$BR$3:$BR$52</c15:sqref>
                  </c15:fullRef>
                </c:ext>
              </c:extLst>
              <c:f>(US_Results!$BR$3,US_Results!$BR$5:$BR$12,US_Results!$BR$14:$BR$52)</c:f>
              <c:numCache>
                <c:formatCode>0.0</c:formatCode>
                <c:ptCount val="48"/>
                <c:pt idx="0">
                  <c:v>155.70922381916549</c:v>
                </c:pt>
                <c:pt idx="1">
                  <c:v>157.24086526288735</c:v>
                </c:pt>
                <c:pt idx="2">
                  <c:v>156.47504454102642</c:v>
                </c:pt>
                <c:pt idx="3">
                  <c:v>156.21977096707278</c:v>
                </c:pt>
                <c:pt idx="4">
                  <c:v>160.04887457637733</c:v>
                </c:pt>
                <c:pt idx="5">
                  <c:v>158.6448699196323</c:v>
                </c:pt>
                <c:pt idx="6">
                  <c:v>157.24086526288735</c:v>
                </c:pt>
                <c:pt idx="7">
                  <c:v>155.8368606061423</c:v>
                </c:pt>
                <c:pt idx="8">
                  <c:v>155.58158703218865</c:v>
                </c:pt>
                <c:pt idx="9">
                  <c:v>160.94233208521501</c:v>
                </c:pt>
                <c:pt idx="10">
                  <c:v>158.51723313265552</c:v>
                </c:pt>
                <c:pt idx="11">
                  <c:v>158.2619595587019</c:v>
                </c:pt>
                <c:pt idx="12">
                  <c:v>159.92123778940046</c:v>
                </c:pt>
                <c:pt idx="13">
                  <c:v>158.38959634567865</c:v>
                </c:pt>
                <c:pt idx="14">
                  <c:v>157.11322847591049</c:v>
                </c:pt>
                <c:pt idx="15">
                  <c:v>155.83686060614232</c:v>
                </c:pt>
                <c:pt idx="16">
                  <c:v>161.45287923312233</c:v>
                </c:pt>
                <c:pt idx="17">
                  <c:v>157.36850204986411</c:v>
                </c:pt>
                <c:pt idx="18">
                  <c:v>158.90014349358594</c:v>
                </c:pt>
                <c:pt idx="19">
                  <c:v>160.55942172428456</c:v>
                </c:pt>
                <c:pt idx="20">
                  <c:v>162.34633674196004</c:v>
                </c:pt>
                <c:pt idx="21">
                  <c:v>155.83686060614232</c:v>
                </c:pt>
                <c:pt idx="22">
                  <c:v>157.87904919777139</c:v>
                </c:pt>
                <c:pt idx="23">
                  <c:v>161.4528792331223</c:v>
                </c:pt>
                <c:pt idx="24">
                  <c:v>159.41069064149323</c:v>
                </c:pt>
                <c:pt idx="25">
                  <c:v>158.38959634567865</c:v>
                </c:pt>
                <c:pt idx="26">
                  <c:v>160.55942172428456</c:v>
                </c:pt>
                <c:pt idx="27">
                  <c:v>157.75141241079459</c:v>
                </c:pt>
                <c:pt idx="28">
                  <c:v>157.49613883684097</c:v>
                </c:pt>
                <c:pt idx="29">
                  <c:v>159.92123778940049</c:v>
                </c:pt>
                <c:pt idx="30">
                  <c:v>156.09213418009594</c:v>
                </c:pt>
                <c:pt idx="31">
                  <c:v>162.47397352893685</c:v>
                </c:pt>
                <c:pt idx="32">
                  <c:v>158.38959634567865</c:v>
                </c:pt>
                <c:pt idx="33">
                  <c:v>157.24086526288733</c:v>
                </c:pt>
                <c:pt idx="34">
                  <c:v>159.02778028056284</c:v>
                </c:pt>
                <c:pt idx="35">
                  <c:v>158.77250670660916</c:v>
                </c:pt>
                <c:pt idx="36">
                  <c:v>158.26195955870188</c:v>
                </c:pt>
                <c:pt idx="37">
                  <c:v>155.70922381916549</c:v>
                </c:pt>
                <c:pt idx="38">
                  <c:v>160.81469529823823</c:v>
                </c:pt>
                <c:pt idx="39">
                  <c:v>156.60268132800323</c:v>
                </c:pt>
                <c:pt idx="40">
                  <c:v>156.47504454102645</c:v>
                </c:pt>
                <c:pt idx="41">
                  <c:v>159.28305385451642</c:v>
                </c:pt>
                <c:pt idx="42">
                  <c:v>160.94233208521501</c:v>
                </c:pt>
                <c:pt idx="43">
                  <c:v>156.8579549019569</c:v>
                </c:pt>
                <c:pt idx="44">
                  <c:v>159.2830538545164</c:v>
                </c:pt>
                <c:pt idx="45">
                  <c:v>157.75141241079456</c:v>
                </c:pt>
                <c:pt idx="46">
                  <c:v>161.3252424461455</c:v>
                </c:pt>
                <c:pt idx="47">
                  <c:v>161.70815280707595</c:v>
                </c:pt>
              </c:numCache>
            </c:numRef>
          </c:val>
          <c:extLst>
            <c:ext xmlns:c16="http://schemas.microsoft.com/office/drawing/2014/chart" uri="{C3380CC4-5D6E-409C-BE32-E72D297353CC}">
              <c16:uniqueId val="{00000001-2A9F-4776-A361-068EA2F47656}"/>
            </c:ext>
          </c:extLst>
        </c:ser>
        <c:ser>
          <c:idx val="2"/>
          <c:order val="2"/>
          <c:tx>
            <c:v>ICEV</c:v>
          </c:tx>
          <c:spPr>
            <a:solidFill>
              <a:schemeClr val="accent3"/>
            </a:solidFill>
            <a:ln>
              <a:noFill/>
            </a:ln>
            <a:effectLst/>
          </c:spPr>
          <c:invertIfNegative val="0"/>
          <c:cat>
            <c:strRef>
              <c:extLst>
                <c:ext xmlns:c15="http://schemas.microsoft.com/office/drawing/2012/chart" uri="{02D57815-91ED-43cb-92C2-25804820EDAC}">
                  <c15:fullRef>
                    <c15:sqref>US_Results!$A$3:$A$52</c15:sqref>
                  </c15:fullRef>
                </c:ext>
              </c:extLst>
              <c:f>(US_Results!$A$3,US_Results!$A$5:$A$12,US_Results!$A$14:$A$52)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extLst>
                <c:ext xmlns:c15="http://schemas.microsoft.com/office/drawing/2012/chart" uri="{02D57815-91ED-43cb-92C2-25804820EDAC}">
                  <c15:fullRef>
                    <c15:sqref>US_Results!$BS$3:$BS$52</c15:sqref>
                  </c15:fullRef>
                </c:ext>
              </c:extLst>
              <c:f>(US_Results!$BS$3,US_Results!$BS$5:$BS$12,US_Results!$BS$14:$BS$52)</c:f>
              <c:numCache>
                <c:formatCode>0.0</c:formatCode>
                <c:ptCount val="48"/>
                <c:pt idx="0">
                  <c:v>235.86121172177965</c:v>
                </c:pt>
                <c:pt idx="1">
                  <c:v>238.34426258914772</c:v>
                </c:pt>
                <c:pt idx="2">
                  <c:v>237.10273715546367</c:v>
                </c:pt>
                <c:pt idx="3">
                  <c:v>236.68889534423568</c:v>
                </c:pt>
                <c:pt idx="4">
                  <c:v>242.89652251265562</c:v>
                </c:pt>
                <c:pt idx="5">
                  <c:v>240.62039255090156</c:v>
                </c:pt>
                <c:pt idx="6">
                  <c:v>238.34426258914769</c:v>
                </c:pt>
                <c:pt idx="7">
                  <c:v>236.06813262739365</c:v>
                </c:pt>
                <c:pt idx="8">
                  <c:v>235.65429081616563</c:v>
                </c:pt>
                <c:pt idx="9">
                  <c:v>244.34496885195364</c:v>
                </c:pt>
                <c:pt idx="10">
                  <c:v>240.41347164528761</c:v>
                </c:pt>
                <c:pt idx="11">
                  <c:v>239.99962983405968</c:v>
                </c:pt>
                <c:pt idx="12">
                  <c:v>242.6896016070416</c:v>
                </c:pt>
                <c:pt idx="13">
                  <c:v>240.20655073967359</c:v>
                </c:pt>
                <c:pt idx="14">
                  <c:v>238.13734168353369</c:v>
                </c:pt>
                <c:pt idx="15">
                  <c:v>236.06813262739362</c:v>
                </c:pt>
                <c:pt idx="16">
                  <c:v>245.17265247440957</c:v>
                </c:pt>
                <c:pt idx="17">
                  <c:v>238.55118349476163</c:v>
                </c:pt>
                <c:pt idx="18">
                  <c:v>241.03423436212955</c:v>
                </c:pt>
                <c:pt idx="19">
                  <c:v>243.72420613511164</c:v>
                </c:pt>
                <c:pt idx="20">
                  <c:v>246.62109881370759</c:v>
                </c:pt>
                <c:pt idx="21">
                  <c:v>236.06813262739362</c:v>
                </c:pt>
                <c:pt idx="22">
                  <c:v>239.3788671172176</c:v>
                </c:pt>
                <c:pt idx="23">
                  <c:v>245.17265247440952</c:v>
                </c:pt>
                <c:pt idx="24">
                  <c:v>241.8619179845856</c:v>
                </c:pt>
                <c:pt idx="25">
                  <c:v>240.20655073967359</c:v>
                </c:pt>
                <c:pt idx="26">
                  <c:v>243.72420613511167</c:v>
                </c:pt>
                <c:pt idx="27">
                  <c:v>239.17194621160363</c:v>
                </c:pt>
                <c:pt idx="28">
                  <c:v>238.75810440037569</c:v>
                </c:pt>
                <c:pt idx="29">
                  <c:v>242.68960160704162</c:v>
                </c:pt>
                <c:pt idx="30">
                  <c:v>236.48197443862165</c:v>
                </c:pt>
                <c:pt idx="31">
                  <c:v>246.82801971932162</c:v>
                </c:pt>
                <c:pt idx="32">
                  <c:v>240.20655073967362</c:v>
                </c:pt>
                <c:pt idx="33">
                  <c:v>238.34426258914766</c:v>
                </c:pt>
                <c:pt idx="34">
                  <c:v>241.24115526774364</c:v>
                </c:pt>
                <c:pt idx="35">
                  <c:v>240.82731345651567</c:v>
                </c:pt>
                <c:pt idx="36">
                  <c:v>239.99962983405965</c:v>
                </c:pt>
                <c:pt idx="37">
                  <c:v>235.86121172177963</c:v>
                </c:pt>
                <c:pt idx="38">
                  <c:v>244.13804794633961</c:v>
                </c:pt>
                <c:pt idx="39">
                  <c:v>237.30965806107764</c:v>
                </c:pt>
                <c:pt idx="40">
                  <c:v>237.10273715546364</c:v>
                </c:pt>
                <c:pt idx="41">
                  <c:v>241.6549970789716</c:v>
                </c:pt>
                <c:pt idx="42">
                  <c:v>244.34496885195358</c:v>
                </c:pt>
                <c:pt idx="43">
                  <c:v>237.72349987230567</c:v>
                </c:pt>
                <c:pt idx="44">
                  <c:v>241.65499707897163</c:v>
                </c:pt>
                <c:pt idx="45">
                  <c:v>239.17194621160365</c:v>
                </c:pt>
                <c:pt idx="46">
                  <c:v>244.96573156879563</c:v>
                </c:pt>
                <c:pt idx="47">
                  <c:v>245.58649428563757</c:v>
                </c:pt>
              </c:numCache>
            </c:numRef>
          </c:val>
          <c:extLst>
            <c:ext xmlns:c16="http://schemas.microsoft.com/office/drawing/2014/chart" uri="{C3380CC4-5D6E-409C-BE32-E72D297353CC}">
              <c16:uniqueId val="{00000002-2A9F-4776-A361-068EA2F47656}"/>
            </c:ext>
          </c:extLst>
        </c:ser>
        <c:dLbls>
          <c:showLegendKey val="0"/>
          <c:showVal val="0"/>
          <c:showCatName val="0"/>
          <c:showSerName val="0"/>
          <c:showPercent val="0"/>
          <c:showBubbleSize val="0"/>
        </c:dLbls>
        <c:gapWidth val="219"/>
        <c:overlap val="-27"/>
        <c:axId val="556097839"/>
        <c:axId val="556100719"/>
      </c:barChart>
      <c:catAx>
        <c:axId val="55609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100719"/>
        <c:crosses val="autoZero"/>
        <c:auto val="1"/>
        <c:lblAlgn val="ctr"/>
        <c:lblOffset val="100"/>
        <c:noMultiLvlLbl val="0"/>
      </c:catAx>
      <c:valAx>
        <c:axId val="55610071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60978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TCO </a:t>
            </a:r>
            <a:r>
              <a:rPr lang="en-US" baseline="0"/>
              <a:t>vs. VMT</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Sensitivity!$B$1</c:f>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Sensitivity!$E$2:$E$49</c:f>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f>Sensitivity!$B$2:$B$49</c:f>
              <c:numCache>
                <c:formatCode>0</c:formatCode>
                <c:ptCount val="48"/>
                <c:pt idx="0">
                  <c:v>111617.19785251361</c:v>
                </c:pt>
                <c:pt idx="1">
                  <c:v>102056.69969630733</c:v>
                </c:pt>
                <c:pt idx="2">
                  <c:v>115714.49531364228</c:v>
                </c:pt>
                <c:pt idx="3">
                  <c:v>113634.96094094487</c:v>
                </c:pt>
                <c:pt idx="4">
                  <c:v>106389.82051463553</c:v>
                </c:pt>
                <c:pt idx="5">
                  <c:v>114940.96705239589</c:v>
                </c:pt>
                <c:pt idx="6">
                  <c:v>105508.04137004827</c:v>
                </c:pt>
                <c:pt idx="7">
                  <c:v>126410.22513504038</c:v>
                </c:pt>
                <c:pt idx="8">
                  <c:v>111612.77833232978</c:v>
                </c:pt>
                <c:pt idx="9">
                  <c:v>94395.385344854309</c:v>
                </c:pt>
                <c:pt idx="10">
                  <c:v>98880.89898408376</c:v>
                </c:pt>
                <c:pt idx="11">
                  <c:v>107569.54969973495</c:v>
                </c:pt>
                <c:pt idx="12">
                  <c:v>99510.724943634879</c:v>
                </c:pt>
                <c:pt idx="13">
                  <c:v>109459.8309361397</c:v>
                </c:pt>
                <c:pt idx="14">
                  <c:v>118521.07650393428</c:v>
                </c:pt>
                <c:pt idx="15">
                  <c:v>122050.58830350998</c:v>
                </c:pt>
                <c:pt idx="16">
                  <c:v>103903.67080670423</c:v>
                </c:pt>
                <c:pt idx="17">
                  <c:v>108610.6551687061</c:v>
                </c:pt>
                <c:pt idx="18">
                  <c:v>109060.62738789315</c:v>
                </c:pt>
                <c:pt idx="19">
                  <c:v>121802.48850501473</c:v>
                </c:pt>
                <c:pt idx="20">
                  <c:v>110815.95194442381</c:v>
                </c:pt>
                <c:pt idx="21">
                  <c:v>123562.10609862444</c:v>
                </c:pt>
                <c:pt idx="22">
                  <c:v>114586.58600086154</c:v>
                </c:pt>
                <c:pt idx="23">
                  <c:v>107901.0777392781</c:v>
                </c:pt>
                <c:pt idx="24">
                  <c:v>110758.72108266084</c:v>
                </c:pt>
                <c:pt idx="25">
                  <c:v>115102.78957012983</c:v>
                </c:pt>
                <c:pt idx="26">
                  <c:v>98734.194032081519</c:v>
                </c:pt>
                <c:pt idx="27">
                  <c:v>110179.62722430757</c:v>
                </c:pt>
                <c:pt idx="28">
                  <c:v>111557.99923737146</c:v>
                </c:pt>
                <c:pt idx="29">
                  <c:v>106582.09874756387</c:v>
                </c:pt>
                <c:pt idx="30">
                  <c:v>92944.650453423397</c:v>
                </c:pt>
                <c:pt idx="31">
                  <c:v>108239.48606187769</c:v>
                </c:pt>
                <c:pt idx="32">
                  <c:v>95039.692352849757</c:v>
                </c:pt>
                <c:pt idx="33">
                  <c:v>112744.44194782566</c:v>
                </c:pt>
                <c:pt idx="34">
                  <c:v>92854.786584759684</c:v>
                </c:pt>
                <c:pt idx="35">
                  <c:v>102751.56533828484</c:v>
                </c:pt>
                <c:pt idx="36">
                  <c:v>109075.61094481265</c:v>
                </c:pt>
                <c:pt idx="37">
                  <c:v>109588.51123512026</c:v>
                </c:pt>
                <c:pt idx="38">
                  <c:v>106823.37261994867</c:v>
                </c:pt>
                <c:pt idx="39">
                  <c:v>102754.47880224203</c:v>
                </c:pt>
                <c:pt idx="40">
                  <c:v>109836.86999937965</c:v>
                </c:pt>
                <c:pt idx="41">
                  <c:v>104754.06645610256</c:v>
                </c:pt>
                <c:pt idx="42">
                  <c:v>100439.35168669507</c:v>
                </c:pt>
                <c:pt idx="43">
                  <c:v>105798.45556530869</c:v>
                </c:pt>
                <c:pt idx="44">
                  <c:v>97512.692557680886</c:v>
                </c:pt>
                <c:pt idx="45">
                  <c:v>112468.85106172919</c:v>
                </c:pt>
                <c:pt idx="46">
                  <c:v>101116.18471804161</c:v>
                </c:pt>
                <c:pt idx="47">
                  <c:v>120757.41089122927</c:v>
                </c:pt>
              </c:numCache>
            </c:numRef>
          </c:yVal>
          <c:smooth val="0"/>
          <c:extLst>
            <c:ext xmlns:c16="http://schemas.microsoft.com/office/drawing/2014/chart" uri="{C3380CC4-5D6E-409C-BE32-E72D297353CC}">
              <c16:uniqueId val="{00000000-1033-4528-9FBF-E40EABE37115}"/>
            </c:ext>
          </c:extLst>
        </c:ser>
        <c:ser>
          <c:idx val="1"/>
          <c:order val="1"/>
          <c:tx>
            <c:strRef>
              <c:f>Sensitivity!$C$1</c:f>
              <c:strCache>
                <c:ptCount val="1"/>
                <c:pt idx="0">
                  <c:v>HEV</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Sensitivity!$E$2:$E$49</c:f>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f>Sensitivity!$C$2:$C$49</c:f>
              <c:numCache>
                <c:formatCode>0</c:formatCode>
                <c:ptCount val="48"/>
                <c:pt idx="0">
                  <c:v>98656.397608452433</c:v>
                </c:pt>
                <c:pt idx="1">
                  <c:v>90983.973103437485</c:v>
                </c:pt>
                <c:pt idx="2">
                  <c:v>99702.614031032019</c:v>
                </c:pt>
                <c:pt idx="3">
                  <c:v>93829.874206925844</c:v>
                </c:pt>
                <c:pt idx="4">
                  <c:v>89869.416147426266</c:v>
                </c:pt>
                <c:pt idx="5">
                  <c:v>88121.35619708692</c:v>
                </c:pt>
                <c:pt idx="6">
                  <c:v>90748.766707307121</c:v>
                </c:pt>
                <c:pt idx="7">
                  <c:v>105588.1399292179</c:v>
                </c:pt>
                <c:pt idx="8">
                  <c:v>101225.73419943736</c:v>
                </c:pt>
                <c:pt idx="9">
                  <c:v>84023.726669676544</c:v>
                </c:pt>
                <c:pt idx="10">
                  <c:v>82943.480228785425</c:v>
                </c:pt>
                <c:pt idx="11">
                  <c:v>94591.097688596579</c:v>
                </c:pt>
                <c:pt idx="12">
                  <c:v>85326.534831990284</c:v>
                </c:pt>
                <c:pt idx="13">
                  <c:v>93481.571531994297</c:v>
                </c:pt>
                <c:pt idx="14">
                  <c:v>104093.15079301121</c:v>
                </c:pt>
                <c:pt idx="15">
                  <c:v>105052.83935071736</c:v>
                </c:pt>
                <c:pt idx="16">
                  <c:v>83675.943931027723</c:v>
                </c:pt>
                <c:pt idx="17">
                  <c:v>92550.18370273037</c:v>
                </c:pt>
                <c:pt idx="18">
                  <c:v>87218.803571743076</c:v>
                </c:pt>
                <c:pt idx="19">
                  <c:v>101902.18871696891</c:v>
                </c:pt>
                <c:pt idx="20">
                  <c:v>96977.18762214249</c:v>
                </c:pt>
                <c:pt idx="21">
                  <c:v>104303.73644674274</c:v>
                </c:pt>
                <c:pt idx="22">
                  <c:v>101150.65806406962</c:v>
                </c:pt>
                <c:pt idx="23">
                  <c:v>94227.518220486643</c:v>
                </c:pt>
                <c:pt idx="24">
                  <c:v>96032.236642979944</c:v>
                </c:pt>
                <c:pt idx="25">
                  <c:v>102108.2126052354</c:v>
                </c:pt>
                <c:pt idx="26">
                  <c:v>76646.359895090689</c:v>
                </c:pt>
                <c:pt idx="27">
                  <c:v>94111.156391927288</c:v>
                </c:pt>
                <c:pt idx="28">
                  <c:v>98878.337970377979</c:v>
                </c:pt>
                <c:pt idx="29">
                  <c:v>88933.923183498642</c:v>
                </c:pt>
                <c:pt idx="30">
                  <c:v>83939.172275924953</c:v>
                </c:pt>
                <c:pt idx="31">
                  <c:v>96567.481314347533</c:v>
                </c:pt>
                <c:pt idx="32">
                  <c:v>81528.789741779707</c:v>
                </c:pt>
                <c:pt idx="33">
                  <c:v>101782.25609079692</c:v>
                </c:pt>
                <c:pt idx="34">
                  <c:v>83437.29272584377</c:v>
                </c:pt>
                <c:pt idx="35">
                  <c:v>85629.998422898978</c:v>
                </c:pt>
                <c:pt idx="36">
                  <c:v>84995.522399765614</c:v>
                </c:pt>
                <c:pt idx="37">
                  <c:v>95648.978320305818</c:v>
                </c:pt>
                <c:pt idx="38">
                  <c:v>93417.555127984437</c:v>
                </c:pt>
                <c:pt idx="39">
                  <c:v>88788.243203819555</c:v>
                </c:pt>
                <c:pt idx="40">
                  <c:v>96862.053111968271</c:v>
                </c:pt>
                <c:pt idx="41">
                  <c:v>93016.038055559839</c:v>
                </c:pt>
                <c:pt idx="42">
                  <c:v>81187.243686064161</c:v>
                </c:pt>
                <c:pt idx="43">
                  <c:v>86443.14328042345</c:v>
                </c:pt>
                <c:pt idx="44">
                  <c:v>85412.122153095173</c:v>
                </c:pt>
                <c:pt idx="45">
                  <c:v>97394.935104628865</c:v>
                </c:pt>
                <c:pt idx="46">
                  <c:v>86260.748847103067</c:v>
                </c:pt>
                <c:pt idx="47">
                  <c:v>113809.06287856394</c:v>
                </c:pt>
              </c:numCache>
            </c:numRef>
          </c:yVal>
          <c:smooth val="0"/>
          <c:extLst>
            <c:ext xmlns:c16="http://schemas.microsoft.com/office/drawing/2014/chart" uri="{C3380CC4-5D6E-409C-BE32-E72D297353CC}">
              <c16:uniqueId val="{00000002-1033-4528-9FBF-E40EABE37115}"/>
            </c:ext>
          </c:extLst>
        </c:ser>
        <c:dLbls>
          <c:showLegendKey val="0"/>
          <c:showVal val="0"/>
          <c:showCatName val="0"/>
          <c:showSerName val="0"/>
          <c:showPercent val="0"/>
          <c:showBubbleSize val="0"/>
        </c:dLbls>
        <c:axId val="1445690064"/>
        <c:axId val="1445711664"/>
        <c:extLst>
          <c:ext xmlns:c15="http://schemas.microsoft.com/office/drawing/2012/chart" uri="{02D57815-91ED-43cb-92C2-25804820EDAC}">
            <c15:filteredScatterSeries>
              <c15:ser>
                <c:idx val="2"/>
                <c:order val="2"/>
                <c:tx>
                  <c:strRef>
                    <c:extLst>
                      <c:ext uri="{02D57815-91ED-43cb-92C2-25804820EDAC}">
                        <c15:formulaRef>
                          <c15:sqref>Sensitivity!$D$1</c15:sqref>
                        </c15:formulaRef>
                      </c:ext>
                    </c:extLst>
                    <c:strCache>
                      <c:ptCount val="1"/>
                      <c:pt idx="0">
                        <c:v>H2ICEV</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extLst>
                      <c:ext uri="{02D57815-91ED-43cb-92C2-25804820EDAC}">
                        <c15:formulaRef>
                          <c15:sqref>Sensitivity!$E$2:$E$49</c15:sqref>
                        </c15:formulaRef>
                      </c:ext>
                    </c:extLst>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extLst>
                      <c:ext uri="{02D57815-91ED-43cb-92C2-25804820EDAC}">
                        <c15:formulaRef>
                          <c15:sqref>Sensitivity!$D$2:$D$49</c15:sqref>
                        </c15:formulaRef>
                      </c:ext>
                    </c:extLst>
                    <c:numCache>
                      <c:formatCode>0</c:formatCode>
                      <c:ptCount val="48"/>
                      <c:pt idx="0">
                        <c:v>110043.68933455604</c:v>
                      </c:pt>
                      <c:pt idx="1">
                        <c:v>95977.352689741732</c:v>
                      </c:pt>
                      <c:pt idx="2">
                        <c:v>111035.63056955268</c:v>
                      </c:pt>
                      <c:pt idx="3">
                        <c:v>98807.504054614314</c:v>
                      </c:pt>
                      <c:pt idx="4">
                        <c:v>97663.830948421091</c:v>
                      </c:pt>
                      <c:pt idx="5">
                        <c:v>96105.449011848366</c:v>
                      </c:pt>
                      <c:pt idx="6">
                        <c:v>98351.507507393471</c:v>
                      </c:pt>
                      <c:pt idx="7">
                        <c:v>115008.97950445519</c:v>
                      </c:pt>
                      <c:pt idx="8">
                        <c:v>112209.9743732764</c:v>
                      </c:pt>
                      <c:pt idx="9">
                        <c:v>92487.779369125608</c:v>
                      </c:pt>
                      <c:pt idx="10">
                        <c:v>91452.952638677321</c:v>
                      </c:pt>
                      <c:pt idx="11">
                        <c:v>105232.18229162048</c:v>
                      </c:pt>
                      <c:pt idx="12">
                        <c:v>94670.435595496878</c:v>
                      </c:pt>
                      <c:pt idx="13">
                        <c:v>102828.32519207141</c:v>
                      </c:pt>
                      <c:pt idx="14">
                        <c:v>113961.89622626353</c:v>
                      </c:pt>
                      <c:pt idx="15">
                        <c:v>115242.63244263909</c:v>
                      </c:pt>
                      <c:pt idx="16">
                        <c:v>92516.767739199786</c:v>
                      </c:pt>
                      <c:pt idx="17">
                        <c:v>100684.81995478109</c:v>
                      </c:pt>
                      <c:pt idx="18">
                        <c:v>95575.961518764379</c:v>
                      </c:pt>
                      <c:pt idx="19">
                        <c:v>111135.40795750158</c:v>
                      </c:pt>
                      <c:pt idx="20">
                        <c:v>107786.49538452752</c:v>
                      </c:pt>
                      <c:pt idx="21">
                        <c:v>116783.25831530656</c:v>
                      </c:pt>
                      <c:pt idx="22">
                        <c:v>111863.60841201789</c:v>
                      </c:pt>
                      <c:pt idx="23">
                        <c:v>102993.94810684049</c:v>
                      </c:pt>
                      <c:pt idx="24">
                        <c:v>105412.59350255555</c:v>
                      </c:pt>
                      <c:pt idx="25">
                        <c:v>107322.67341625161</c:v>
                      </c:pt>
                      <c:pt idx="26">
                        <c:v>84252.665070989155</c:v>
                      </c:pt>
                      <c:pt idx="27">
                        <c:v>101858.4653767579</c:v>
                      </c:pt>
                      <c:pt idx="28">
                        <c:v>111065.07610356294</c:v>
                      </c:pt>
                      <c:pt idx="29">
                        <c:v>95915.998317875274</c:v>
                      </c:pt>
                      <c:pt idx="30">
                        <c:v>93879.380013843154</c:v>
                      </c:pt>
                      <c:pt idx="31">
                        <c:v>107216.44027770974</c:v>
                      </c:pt>
                      <c:pt idx="32">
                        <c:v>90648.635261462943</c:v>
                      </c:pt>
                      <c:pt idx="33">
                        <c:v>112101.12673010735</c:v>
                      </c:pt>
                      <c:pt idx="34">
                        <c:v>88139.453050996439</c:v>
                      </c:pt>
                      <c:pt idx="35">
                        <c:v>93101.514877877882</c:v>
                      </c:pt>
                      <c:pt idx="36">
                        <c:v>92194.585740223964</c:v>
                      </c:pt>
                      <c:pt idx="37">
                        <c:v>105183.17356028568</c:v>
                      </c:pt>
                      <c:pt idx="38">
                        <c:v>103083.99051708203</c:v>
                      </c:pt>
                      <c:pt idx="39">
                        <c:v>98272.301477133573</c:v>
                      </c:pt>
                      <c:pt idx="40">
                        <c:v>107707.39308040847</c:v>
                      </c:pt>
                      <c:pt idx="41">
                        <c:v>101825.72944605316</c:v>
                      </c:pt>
                      <c:pt idx="42">
                        <c:v>89570.141875757588</c:v>
                      </c:pt>
                      <c:pt idx="43">
                        <c:v>95403.632845369866</c:v>
                      </c:pt>
                      <c:pt idx="44">
                        <c:v>90209.35034836024</c:v>
                      </c:pt>
                      <c:pt idx="45">
                        <c:v>107863.11472520935</c:v>
                      </c:pt>
                      <c:pt idx="46">
                        <c:v>95948.13688374123</c:v>
                      </c:pt>
                      <c:pt idx="47">
                        <c:v>125580.68025226519</c:v>
                      </c:pt>
                    </c:numCache>
                  </c:numRef>
                </c:yVal>
                <c:smooth val="0"/>
                <c:extLst>
                  <c:ext xmlns:c16="http://schemas.microsoft.com/office/drawing/2014/chart" uri="{C3380CC4-5D6E-409C-BE32-E72D297353CC}">
                    <c16:uniqueId val="{00000003-1033-4528-9FBF-E40EABE37115}"/>
                  </c:ext>
                </c:extLst>
              </c15:ser>
            </c15:filteredScatterSeries>
          </c:ext>
        </c:extLst>
      </c:scatterChart>
      <c:valAx>
        <c:axId val="1445690064"/>
        <c:scaling>
          <c:orientation val="minMax"/>
          <c:max val="320000"/>
          <c:min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Travel</a:t>
                </a:r>
                <a:r>
                  <a:rPr lang="en-US" baseline="0"/>
                  <a:t> mileage (k miles)</a:t>
                </a:r>
                <a:endParaRPr lang="en-US"/>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711664"/>
        <c:crosses val="autoZero"/>
        <c:crossBetween val="midCat"/>
        <c:dispUnits>
          <c:builtInUnit val="thousands"/>
        </c:dispUnits>
      </c:valAx>
      <c:valAx>
        <c:axId val="1445711664"/>
        <c:scaling>
          <c:orientation val="minMax"/>
          <c:min val="7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690064"/>
        <c:crosses val="autoZero"/>
        <c:crossBetween val="midCat"/>
      </c:valAx>
      <c:spPr>
        <a:noFill/>
        <a:ln>
          <a:solidFill>
            <a:schemeClr val="tx1"/>
          </a:solid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680" b="0" i="0" u="none" strike="noStrike" kern="1200" spc="0" baseline="0">
                <a:solidFill>
                  <a:sysClr val="windowText" lastClr="000000"/>
                </a:solidFill>
                <a:latin typeface="Arial" panose="020B0604020202020204" pitchFamily="34" charset="0"/>
                <a:cs typeface="Arial" panose="020B0604020202020204" pitchFamily="34" charset="0"/>
              </a:rPr>
              <a:t>TCO vs. Charging price</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Sensitivity!$B$1</c:f>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Sensitivity!$F$2:$F$49</c:f>
              <c:numCache>
                <c:formatCode>0.0</c:formatCode>
                <c:ptCount val="48"/>
                <c:pt idx="0">
                  <c:v>18.685013881995122</c:v>
                </c:pt>
                <c:pt idx="1">
                  <c:v>18.115013881995122</c:v>
                </c:pt>
                <c:pt idx="2">
                  <c:v>16.33501388199512</c:v>
                </c:pt>
                <c:pt idx="3">
                  <c:v>33.025013881995122</c:v>
                </c:pt>
                <c:pt idx="4">
                  <c:v>18.42501388199512</c:v>
                </c:pt>
                <c:pt idx="5">
                  <c:v>33.96501388199512</c:v>
                </c:pt>
                <c:pt idx="6">
                  <c:v>19.85501388199512</c:v>
                </c:pt>
                <c:pt idx="7">
                  <c:v>19.345013881995122</c:v>
                </c:pt>
                <c:pt idx="8">
                  <c:v>17.83501388199512</c:v>
                </c:pt>
                <c:pt idx="9">
                  <c:v>15.225013881995121</c:v>
                </c:pt>
                <c:pt idx="10">
                  <c:v>19.92501388199512</c:v>
                </c:pt>
                <c:pt idx="11">
                  <c:v>19.045013881995121</c:v>
                </c:pt>
                <c:pt idx="12">
                  <c:v>17.315013881995121</c:v>
                </c:pt>
                <c:pt idx="13">
                  <c:v>17.725013881995121</c:v>
                </c:pt>
                <c:pt idx="14">
                  <c:v>16.595013881995122</c:v>
                </c:pt>
                <c:pt idx="15">
                  <c:v>15.635013881995121</c:v>
                </c:pt>
                <c:pt idx="16">
                  <c:v>31.565013881995121</c:v>
                </c:pt>
                <c:pt idx="17">
                  <c:v>20.69501388199512</c:v>
                </c:pt>
                <c:pt idx="18">
                  <c:v>33.505013881995119</c:v>
                </c:pt>
                <c:pt idx="19">
                  <c:v>22.805013881995119</c:v>
                </c:pt>
                <c:pt idx="20">
                  <c:v>18.67501388199512</c:v>
                </c:pt>
                <c:pt idx="21">
                  <c:v>17.525013881995122</c:v>
                </c:pt>
                <c:pt idx="22">
                  <c:v>16.87501388199512</c:v>
                </c:pt>
                <c:pt idx="23">
                  <c:v>16.53501388199512</c:v>
                </c:pt>
                <c:pt idx="24">
                  <c:v>15.395013881995119</c:v>
                </c:pt>
                <c:pt idx="25">
                  <c:v>20.775013881995122</c:v>
                </c:pt>
                <c:pt idx="26">
                  <c:v>32.415013881995122</c:v>
                </c:pt>
                <c:pt idx="27">
                  <c:v>21.83501388199512</c:v>
                </c:pt>
                <c:pt idx="28">
                  <c:v>18.26501388199512</c:v>
                </c:pt>
                <c:pt idx="29">
                  <c:v>26.35501388199512</c:v>
                </c:pt>
                <c:pt idx="30">
                  <c:v>17.345013881995122</c:v>
                </c:pt>
                <c:pt idx="31">
                  <c:v>15.075013881995122</c:v>
                </c:pt>
                <c:pt idx="32">
                  <c:v>19.565013881995121</c:v>
                </c:pt>
                <c:pt idx="33">
                  <c:v>16.385013881995121</c:v>
                </c:pt>
                <c:pt idx="34">
                  <c:v>16.78501388199512</c:v>
                </c:pt>
                <c:pt idx="35">
                  <c:v>22.205013881995121</c:v>
                </c:pt>
                <c:pt idx="36">
                  <c:v>32.085013881995124</c:v>
                </c:pt>
                <c:pt idx="37">
                  <c:v>18.205013881995121</c:v>
                </c:pt>
                <c:pt idx="38">
                  <c:v>16.35501388199512</c:v>
                </c:pt>
                <c:pt idx="39">
                  <c:v>16.37501388199512</c:v>
                </c:pt>
                <c:pt idx="40">
                  <c:v>18.42501388199512</c:v>
                </c:pt>
                <c:pt idx="41">
                  <c:v>15.305013881995119</c:v>
                </c:pt>
                <c:pt idx="42">
                  <c:v>24.915013881995119</c:v>
                </c:pt>
                <c:pt idx="43">
                  <c:v>18.44501388199512</c:v>
                </c:pt>
                <c:pt idx="44">
                  <c:v>15.08501388199512</c:v>
                </c:pt>
                <c:pt idx="45">
                  <c:v>18.17501388199512</c:v>
                </c:pt>
                <c:pt idx="46">
                  <c:v>20.87501388199512</c:v>
                </c:pt>
                <c:pt idx="47">
                  <c:v>15.555013881995119</c:v>
                </c:pt>
              </c:numCache>
            </c:numRef>
          </c:xVal>
          <c:yVal>
            <c:numRef>
              <c:f>Sensitivity!$B$2:$B$49</c:f>
              <c:numCache>
                <c:formatCode>0</c:formatCode>
                <c:ptCount val="48"/>
                <c:pt idx="0">
                  <c:v>111617.19785251361</c:v>
                </c:pt>
                <c:pt idx="1">
                  <c:v>102056.69969630733</c:v>
                </c:pt>
                <c:pt idx="2">
                  <c:v>115714.49531364228</c:v>
                </c:pt>
                <c:pt idx="3">
                  <c:v>113634.96094094487</c:v>
                </c:pt>
                <c:pt idx="4">
                  <c:v>106389.82051463553</c:v>
                </c:pt>
                <c:pt idx="5">
                  <c:v>114940.96705239589</c:v>
                </c:pt>
                <c:pt idx="6">
                  <c:v>105508.04137004827</c:v>
                </c:pt>
                <c:pt idx="7">
                  <c:v>126410.22513504038</c:v>
                </c:pt>
                <c:pt idx="8">
                  <c:v>111612.77833232978</c:v>
                </c:pt>
                <c:pt idx="9">
                  <c:v>94395.385344854309</c:v>
                </c:pt>
                <c:pt idx="10">
                  <c:v>98880.89898408376</c:v>
                </c:pt>
                <c:pt idx="11">
                  <c:v>107569.54969973495</c:v>
                </c:pt>
                <c:pt idx="12">
                  <c:v>99510.724943634879</c:v>
                </c:pt>
                <c:pt idx="13">
                  <c:v>109459.8309361397</c:v>
                </c:pt>
                <c:pt idx="14">
                  <c:v>118521.07650393428</c:v>
                </c:pt>
                <c:pt idx="15">
                  <c:v>122050.58830350998</c:v>
                </c:pt>
                <c:pt idx="16">
                  <c:v>103903.67080670423</c:v>
                </c:pt>
                <c:pt idx="17">
                  <c:v>108610.6551687061</c:v>
                </c:pt>
                <c:pt idx="18">
                  <c:v>109060.62738789315</c:v>
                </c:pt>
                <c:pt idx="19">
                  <c:v>121802.48850501473</c:v>
                </c:pt>
                <c:pt idx="20">
                  <c:v>110815.95194442381</c:v>
                </c:pt>
                <c:pt idx="21">
                  <c:v>123562.10609862444</c:v>
                </c:pt>
                <c:pt idx="22">
                  <c:v>114586.58600086154</c:v>
                </c:pt>
                <c:pt idx="23">
                  <c:v>107901.0777392781</c:v>
                </c:pt>
                <c:pt idx="24">
                  <c:v>110758.72108266084</c:v>
                </c:pt>
                <c:pt idx="25">
                  <c:v>115102.78957012983</c:v>
                </c:pt>
                <c:pt idx="26">
                  <c:v>98734.194032081519</c:v>
                </c:pt>
                <c:pt idx="27">
                  <c:v>110179.62722430757</c:v>
                </c:pt>
                <c:pt idx="28">
                  <c:v>111557.99923737146</c:v>
                </c:pt>
                <c:pt idx="29">
                  <c:v>106582.09874756387</c:v>
                </c:pt>
                <c:pt idx="30">
                  <c:v>92944.650453423397</c:v>
                </c:pt>
                <c:pt idx="31">
                  <c:v>108239.48606187769</c:v>
                </c:pt>
                <c:pt idx="32">
                  <c:v>95039.692352849757</c:v>
                </c:pt>
                <c:pt idx="33">
                  <c:v>112744.44194782566</c:v>
                </c:pt>
                <c:pt idx="34">
                  <c:v>92854.786584759684</c:v>
                </c:pt>
                <c:pt idx="35">
                  <c:v>102751.56533828484</c:v>
                </c:pt>
                <c:pt idx="36">
                  <c:v>109075.61094481265</c:v>
                </c:pt>
                <c:pt idx="37">
                  <c:v>109588.51123512026</c:v>
                </c:pt>
                <c:pt idx="38">
                  <c:v>106823.37261994867</c:v>
                </c:pt>
                <c:pt idx="39">
                  <c:v>102754.47880224203</c:v>
                </c:pt>
                <c:pt idx="40">
                  <c:v>109836.86999937965</c:v>
                </c:pt>
                <c:pt idx="41">
                  <c:v>104754.06645610256</c:v>
                </c:pt>
                <c:pt idx="42">
                  <c:v>100439.35168669507</c:v>
                </c:pt>
                <c:pt idx="43">
                  <c:v>105798.45556530869</c:v>
                </c:pt>
                <c:pt idx="44">
                  <c:v>97512.692557680886</c:v>
                </c:pt>
                <c:pt idx="45">
                  <c:v>112468.85106172919</c:v>
                </c:pt>
                <c:pt idx="46">
                  <c:v>101116.18471804161</c:v>
                </c:pt>
                <c:pt idx="47">
                  <c:v>120757.41089122927</c:v>
                </c:pt>
              </c:numCache>
            </c:numRef>
          </c:yVal>
          <c:smooth val="0"/>
          <c:extLst>
            <c:ext xmlns:c16="http://schemas.microsoft.com/office/drawing/2014/chart" uri="{C3380CC4-5D6E-409C-BE32-E72D297353CC}">
              <c16:uniqueId val="{00000001-79B0-4DBB-845C-96B9EDFC862E}"/>
            </c:ext>
          </c:extLst>
        </c:ser>
        <c:dLbls>
          <c:showLegendKey val="0"/>
          <c:showVal val="0"/>
          <c:showCatName val="0"/>
          <c:showSerName val="0"/>
          <c:showPercent val="0"/>
          <c:showBubbleSize val="0"/>
        </c:dLbls>
        <c:axId val="1445690064"/>
        <c:axId val="1445711664"/>
        <c:extLst>
          <c:ext xmlns:c15="http://schemas.microsoft.com/office/drawing/2012/chart" uri="{02D57815-91ED-43cb-92C2-25804820EDAC}">
            <c15:filteredScatterSeries>
              <c15:ser>
                <c:idx val="1"/>
                <c:order val="1"/>
                <c:tx>
                  <c:strRef>
                    <c:extLst>
                      <c:ext uri="{02D57815-91ED-43cb-92C2-25804820EDAC}">
                        <c15:formulaRef>
                          <c15:sqref>Sensitivity!$C$1</c15:sqref>
                        </c15:formulaRef>
                      </c:ext>
                    </c:extLst>
                    <c:strCache>
                      <c:ptCount val="1"/>
                      <c:pt idx="0">
                        <c:v>HEV</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extLst>
                      <c:ext uri="{02D57815-91ED-43cb-92C2-25804820EDAC}">
                        <c15:formulaRef>
                          <c15:sqref>Sensitivity!$F$2:$F$49</c15:sqref>
                        </c15:formulaRef>
                      </c:ext>
                    </c:extLst>
                    <c:numCache>
                      <c:formatCode>0.0</c:formatCode>
                      <c:ptCount val="48"/>
                      <c:pt idx="0">
                        <c:v>18.685013881995122</c:v>
                      </c:pt>
                      <c:pt idx="1">
                        <c:v>18.115013881995122</c:v>
                      </c:pt>
                      <c:pt idx="2">
                        <c:v>16.33501388199512</c:v>
                      </c:pt>
                      <c:pt idx="3">
                        <c:v>33.025013881995122</c:v>
                      </c:pt>
                      <c:pt idx="4">
                        <c:v>18.42501388199512</c:v>
                      </c:pt>
                      <c:pt idx="5">
                        <c:v>33.96501388199512</c:v>
                      </c:pt>
                      <c:pt idx="6">
                        <c:v>19.85501388199512</c:v>
                      </c:pt>
                      <c:pt idx="7">
                        <c:v>19.345013881995122</c:v>
                      </c:pt>
                      <c:pt idx="8">
                        <c:v>17.83501388199512</c:v>
                      </c:pt>
                      <c:pt idx="9">
                        <c:v>15.225013881995121</c:v>
                      </c:pt>
                      <c:pt idx="10">
                        <c:v>19.92501388199512</c:v>
                      </c:pt>
                      <c:pt idx="11">
                        <c:v>19.045013881995121</c:v>
                      </c:pt>
                      <c:pt idx="12">
                        <c:v>17.315013881995121</c:v>
                      </c:pt>
                      <c:pt idx="13">
                        <c:v>17.725013881995121</c:v>
                      </c:pt>
                      <c:pt idx="14">
                        <c:v>16.595013881995122</c:v>
                      </c:pt>
                      <c:pt idx="15">
                        <c:v>15.635013881995121</c:v>
                      </c:pt>
                      <c:pt idx="16">
                        <c:v>31.565013881995121</c:v>
                      </c:pt>
                      <c:pt idx="17">
                        <c:v>20.69501388199512</c:v>
                      </c:pt>
                      <c:pt idx="18">
                        <c:v>33.505013881995119</c:v>
                      </c:pt>
                      <c:pt idx="19">
                        <c:v>22.805013881995119</c:v>
                      </c:pt>
                      <c:pt idx="20">
                        <c:v>18.67501388199512</c:v>
                      </c:pt>
                      <c:pt idx="21">
                        <c:v>17.525013881995122</c:v>
                      </c:pt>
                      <c:pt idx="22">
                        <c:v>16.87501388199512</c:v>
                      </c:pt>
                      <c:pt idx="23">
                        <c:v>16.53501388199512</c:v>
                      </c:pt>
                      <c:pt idx="24">
                        <c:v>15.395013881995119</c:v>
                      </c:pt>
                      <c:pt idx="25">
                        <c:v>20.775013881995122</c:v>
                      </c:pt>
                      <c:pt idx="26">
                        <c:v>32.415013881995122</c:v>
                      </c:pt>
                      <c:pt idx="27">
                        <c:v>21.83501388199512</c:v>
                      </c:pt>
                      <c:pt idx="28">
                        <c:v>18.26501388199512</c:v>
                      </c:pt>
                      <c:pt idx="29">
                        <c:v>26.35501388199512</c:v>
                      </c:pt>
                      <c:pt idx="30">
                        <c:v>17.345013881995122</c:v>
                      </c:pt>
                      <c:pt idx="31">
                        <c:v>15.075013881995122</c:v>
                      </c:pt>
                      <c:pt idx="32">
                        <c:v>19.565013881995121</c:v>
                      </c:pt>
                      <c:pt idx="33">
                        <c:v>16.385013881995121</c:v>
                      </c:pt>
                      <c:pt idx="34">
                        <c:v>16.78501388199512</c:v>
                      </c:pt>
                      <c:pt idx="35">
                        <c:v>22.205013881995121</c:v>
                      </c:pt>
                      <c:pt idx="36">
                        <c:v>32.085013881995124</c:v>
                      </c:pt>
                      <c:pt idx="37">
                        <c:v>18.205013881995121</c:v>
                      </c:pt>
                      <c:pt idx="38">
                        <c:v>16.35501388199512</c:v>
                      </c:pt>
                      <c:pt idx="39">
                        <c:v>16.37501388199512</c:v>
                      </c:pt>
                      <c:pt idx="40">
                        <c:v>18.42501388199512</c:v>
                      </c:pt>
                      <c:pt idx="41">
                        <c:v>15.305013881995119</c:v>
                      </c:pt>
                      <c:pt idx="42">
                        <c:v>24.915013881995119</c:v>
                      </c:pt>
                      <c:pt idx="43">
                        <c:v>18.44501388199512</c:v>
                      </c:pt>
                      <c:pt idx="44">
                        <c:v>15.08501388199512</c:v>
                      </c:pt>
                      <c:pt idx="45">
                        <c:v>18.17501388199512</c:v>
                      </c:pt>
                      <c:pt idx="46">
                        <c:v>20.87501388199512</c:v>
                      </c:pt>
                      <c:pt idx="47">
                        <c:v>15.555013881995119</c:v>
                      </c:pt>
                    </c:numCache>
                  </c:numRef>
                </c:xVal>
                <c:yVal>
                  <c:numRef>
                    <c:extLst>
                      <c:ext uri="{02D57815-91ED-43cb-92C2-25804820EDAC}">
                        <c15:formulaRef>
                          <c15:sqref>Sensitivity!$C$2:$C$49</c15:sqref>
                        </c15:formulaRef>
                      </c:ext>
                    </c:extLst>
                    <c:numCache>
                      <c:formatCode>0</c:formatCode>
                      <c:ptCount val="48"/>
                      <c:pt idx="0">
                        <c:v>98656.397608452433</c:v>
                      </c:pt>
                      <c:pt idx="1">
                        <c:v>90983.973103437485</c:v>
                      </c:pt>
                      <c:pt idx="2">
                        <c:v>99702.614031032019</c:v>
                      </c:pt>
                      <c:pt idx="3">
                        <c:v>93829.874206925844</c:v>
                      </c:pt>
                      <c:pt idx="4">
                        <c:v>89869.416147426266</c:v>
                      </c:pt>
                      <c:pt idx="5">
                        <c:v>88121.35619708692</c:v>
                      </c:pt>
                      <c:pt idx="6">
                        <c:v>90748.766707307121</c:v>
                      </c:pt>
                      <c:pt idx="7">
                        <c:v>105588.1399292179</c:v>
                      </c:pt>
                      <c:pt idx="8">
                        <c:v>101225.73419943736</c:v>
                      </c:pt>
                      <c:pt idx="9">
                        <c:v>84023.726669676544</c:v>
                      </c:pt>
                      <c:pt idx="10">
                        <c:v>82943.480228785425</c:v>
                      </c:pt>
                      <c:pt idx="11">
                        <c:v>94591.097688596579</c:v>
                      </c:pt>
                      <c:pt idx="12">
                        <c:v>85326.534831990284</c:v>
                      </c:pt>
                      <c:pt idx="13">
                        <c:v>93481.571531994297</c:v>
                      </c:pt>
                      <c:pt idx="14">
                        <c:v>104093.15079301121</c:v>
                      </c:pt>
                      <c:pt idx="15">
                        <c:v>105052.83935071736</c:v>
                      </c:pt>
                      <c:pt idx="16">
                        <c:v>83675.943931027723</c:v>
                      </c:pt>
                      <c:pt idx="17">
                        <c:v>92550.18370273037</c:v>
                      </c:pt>
                      <c:pt idx="18">
                        <c:v>87218.803571743076</c:v>
                      </c:pt>
                      <c:pt idx="19">
                        <c:v>101902.18871696891</c:v>
                      </c:pt>
                      <c:pt idx="20">
                        <c:v>96977.18762214249</c:v>
                      </c:pt>
                      <c:pt idx="21">
                        <c:v>104303.73644674274</c:v>
                      </c:pt>
                      <c:pt idx="22">
                        <c:v>101150.65806406962</c:v>
                      </c:pt>
                      <c:pt idx="23">
                        <c:v>94227.518220486643</c:v>
                      </c:pt>
                      <c:pt idx="24">
                        <c:v>96032.236642979944</c:v>
                      </c:pt>
                      <c:pt idx="25">
                        <c:v>102108.2126052354</c:v>
                      </c:pt>
                      <c:pt idx="26">
                        <c:v>76646.359895090689</c:v>
                      </c:pt>
                      <c:pt idx="27">
                        <c:v>94111.156391927288</c:v>
                      </c:pt>
                      <c:pt idx="28">
                        <c:v>98878.337970377979</c:v>
                      </c:pt>
                      <c:pt idx="29">
                        <c:v>88933.923183498642</c:v>
                      </c:pt>
                      <c:pt idx="30">
                        <c:v>83939.172275924953</c:v>
                      </c:pt>
                      <c:pt idx="31">
                        <c:v>96567.481314347533</c:v>
                      </c:pt>
                      <c:pt idx="32">
                        <c:v>81528.789741779707</c:v>
                      </c:pt>
                      <c:pt idx="33">
                        <c:v>101782.25609079692</c:v>
                      </c:pt>
                      <c:pt idx="34">
                        <c:v>83437.29272584377</c:v>
                      </c:pt>
                      <c:pt idx="35">
                        <c:v>85629.998422898978</c:v>
                      </c:pt>
                      <c:pt idx="36">
                        <c:v>84995.522399765614</c:v>
                      </c:pt>
                      <c:pt idx="37">
                        <c:v>95648.978320305818</c:v>
                      </c:pt>
                      <c:pt idx="38">
                        <c:v>93417.555127984437</c:v>
                      </c:pt>
                      <c:pt idx="39">
                        <c:v>88788.243203819555</c:v>
                      </c:pt>
                      <c:pt idx="40">
                        <c:v>96862.053111968271</c:v>
                      </c:pt>
                      <c:pt idx="41">
                        <c:v>93016.038055559839</c:v>
                      </c:pt>
                      <c:pt idx="42">
                        <c:v>81187.243686064161</c:v>
                      </c:pt>
                      <c:pt idx="43">
                        <c:v>86443.14328042345</c:v>
                      </c:pt>
                      <c:pt idx="44">
                        <c:v>85412.122153095173</c:v>
                      </c:pt>
                      <c:pt idx="45">
                        <c:v>97394.935104628865</c:v>
                      </c:pt>
                      <c:pt idx="46">
                        <c:v>86260.748847103067</c:v>
                      </c:pt>
                      <c:pt idx="47">
                        <c:v>113809.06287856394</c:v>
                      </c:pt>
                    </c:numCache>
                  </c:numRef>
                </c:yVal>
                <c:smooth val="0"/>
                <c:extLst>
                  <c:ext xmlns:c16="http://schemas.microsoft.com/office/drawing/2014/chart" uri="{C3380CC4-5D6E-409C-BE32-E72D297353CC}">
                    <c16:uniqueId val="{00000003-79B0-4DBB-845C-96B9EDFC862E}"/>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Sensitivity!$D$1</c15:sqref>
                        </c15:formulaRef>
                      </c:ext>
                    </c:extLst>
                    <c:strCache>
                      <c:ptCount val="1"/>
                      <c:pt idx="0">
                        <c:v>H2ICEV</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extLst xmlns:c15="http://schemas.microsoft.com/office/drawing/2012/chart">
                      <c:ext xmlns:c15="http://schemas.microsoft.com/office/drawing/2012/chart" uri="{02D57815-91ED-43cb-92C2-25804820EDAC}">
                        <c15:formulaRef>
                          <c15:sqref>Sensitivity!$F$2:$F$49</c15:sqref>
                        </c15:formulaRef>
                      </c:ext>
                    </c:extLst>
                    <c:numCache>
                      <c:formatCode>0.0</c:formatCode>
                      <c:ptCount val="48"/>
                      <c:pt idx="0">
                        <c:v>18.685013881995122</c:v>
                      </c:pt>
                      <c:pt idx="1">
                        <c:v>18.115013881995122</c:v>
                      </c:pt>
                      <c:pt idx="2">
                        <c:v>16.33501388199512</c:v>
                      </c:pt>
                      <c:pt idx="3">
                        <c:v>33.025013881995122</c:v>
                      </c:pt>
                      <c:pt idx="4">
                        <c:v>18.42501388199512</c:v>
                      </c:pt>
                      <c:pt idx="5">
                        <c:v>33.96501388199512</c:v>
                      </c:pt>
                      <c:pt idx="6">
                        <c:v>19.85501388199512</c:v>
                      </c:pt>
                      <c:pt idx="7">
                        <c:v>19.345013881995122</c:v>
                      </c:pt>
                      <c:pt idx="8">
                        <c:v>17.83501388199512</c:v>
                      </c:pt>
                      <c:pt idx="9">
                        <c:v>15.225013881995121</c:v>
                      </c:pt>
                      <c:pt idx="10">
                        <c:v>19.92501388199512</c:v>
                      </c:pt>
                      <c:pt idx="11">
                        <c:v>19.045013881995121</c:v>
                      </c:pt>
                      <c:pt idx="12">
                        <c:v>17.315013881995121</c:v>
                      </c:pt>
                      <c:pt idx="13">
                        <c:v>17.725013881995121</c:v>
                      </c:pt>
                      <c:pt idx="14">
                        <c:v>16.595013881995122</c:v>
                      </c:pt>
                      <c:pt idx="15">
                        <c:v>15.635013881995121</c:v>
                      </c:pt>
                      <c:pt idx="16">
                        <c:v>31.565013881995121</c:v>
                      </c:pt>
                      <c:pt idx="17">
                        <c:v>20.69501388199512</c:v>
                      </c:pt>
                      <c:pt idx="18">
                        <c:v>33.505013881995119</c:v>
                      </c:pt>
                      <c:pt idx="19">
                        <c:v>22.805013881995119</c:v>
                      </c:pt>
                      <c:pt idx="20">
                        <c:v>18.67501388199512</c:v>
                      </c:pt>
                      <c:pt idx="21">
                        <c:v>17.525013881995122</c:v>
                      </c:pt>
                      <c:pt idx="22">
                        <c:v>16.87501388199512</c:v>
                      </c:pt>
                      <c:pt idx="23">
                        <c:v>16.53501388199512</c:v>
                      </c:pt>
                      <c:pt idx="24">
                        <c:v>15.395013881995119</c:v>
                      </c:pt>
                      <c:pt idx="25">
                        <c:v>20.775013881995122</c:v>
                      </c:pt>
                      <c:pt idx="26">
                        <c:v>32.415013881995122</c:v>
                      </c:pt>
                      <c:pt idx="27">
                        <c:v>21.83501388199512</c:v>
                      </c:pt>
                      <c:pt idx="28">
                        <c:v>18.26501388199512</c:v>
                      </c:pt>
                      <c:pt idx="29">
                        <c:v>26.35501388199512</c:v>
                      </c:pt>
                      <c:pt idx="30">
                        <c:v>17.345013881995122</c:v>
                      </c:pt>
                      <c:pt idx="31">
                        <c:v>15.075013881995122</c:v>
                      </c:pt>
                      <c:pt idx="32">
                        <c:v>19.565013881995121</c:v>
                      </c:pt>
                      <c:pt idx="33">
                        <c:v>16.385013881995121</c:v>
                      </c:pt>
                      <c:pt idx="34">
                        <c:v>16.78501388199512</c:v>
                      </c:pt>
                      <c:pt idx="35">
                        <c:v>22.205013881995121</c:v>
                      </c:pt>
                      <c:pt idx="36">
                        <c:v>32.085013881995124</c:v>
                      </c:pt>
                      <c:pt idx="37">
                        <c:v>18.205013881995121</c:v>
                      </c:pt>
                      <c:pt idx="38">
                        <c:v>16.35501388199512</c:v>
                      </c:pt>
                      <c:pt idx="39">
                        <c:v>16.37501388199512</c:v>
                      </c:pt>
                      <c:pt idx="40">
                        <c:v>18.42501388199512</c:v>
                      </c:pt>
                      <c:pt idx="41">
                        <c:v>15.305013881995119</c:v>
                      </c:pt>
                      <c:pt idx="42">
                        <c:v>24.915013881995119</c:v>
                      </c:pt>
                      <c:pt idx="43">
                        <c:v>18.44501388199512</c:v>
                      </c:pt>
                      <c:pt idx="44">
                        <c:v>15.08501388199512</c:v>
                      </c:pt>
                      <c:pt idx="45">
                        <c:v>18.17501388199512</c:v>
                      </c:pt>
                      <c:pt idx="46">
                        <c:v>20.87501388199512</c:v>
                      </c:pt>
                      <c:pt idx="47">
                        <c:v>15.555013881995119</c:v>
                      </c:pt>
                    </c:numCache>
                  </c:numRef>
                </c:xVal>
                <c:yVal>
                  <c:numRef>
                    <c:extLst xmlns:c15="http://schemas.microsoft.com/office/drawing/2012/chart">
                      <c:ext xmlns:c15="http://schemas.microsoft.com/office/drawing/2012/chart" uri="{02D57815-91ED-43cb-92C2-25804820EDAC}">
                        <c15:formulaRef>
                          <c15:sqref>Sensitivity!$D$2:$D$49</c15:sqref>
                        </c15:formulaRef>
                      </c:ext>
                    </c:extLst>
                    <c:numCache>
                      <c:formatCode>0</c:formatCode>
                      <c:ptCount val="48"/>
                      <c:pt idx="0">
                        <c:v>110043.68933455604</c:v>
                      </c:pt>
                      <c:pt idx="1">
                        <c:v>95977.352689741732</c:v>
                      </c:pt>
                      <c:pt idx="2">
                        <c:v>111035.63056955268</c:v>
                      </c:pt>
                      <c:pt idx="3">
                        <c:v>98807.504054614314</c:v>
                      </c:pt>
                      <c:pt idx="4">
                        <c:v>97663.830948421091</c:v>
                      </c:pt>
                      <c:pt idx="5">
                        <c:v>96105.449011848366</c:v>
                      </c:pt>
                      <c:pt idx="6">
                        <c:v>98351.507507393471</c:v>
                      </c:pt>
                      <c:pt idx="7">
                        <c:v>115008.97950445519</c:v>
                      </c:pt>
                      <c:pt idx="8">
                        <c:v>112209.9743732764</c:v>
                      </c:pt>
                      <c:pt idx="9">
                        <c:v>92487.779369125608</c:v>
                      </c:pt>
                      <c:pt idx="10">
                        <c:v>91452.952638677321</c:v>
                      </c:pt>
                      <c:pt idx="11">
                        <c:v>105232.18229162048</c:v>
                      </c:pt>
                      <c:pt idx="12">
                        <c:v>94670.435595496878</c:v>
                      </c:pt>
                      <c:pt idx="13">
                        <c:v>102828.32519207141</c:v>
                      </c:pt>
                      <c:pt idx="14">
                        <c:v>113961.89622626353</c:v>
                      </c:pt>
                      <c:pt idx="15">
                        <c:v>115242.63244263909</c:v>
                      </c:pt>
                      <c:pt idx="16">
                        <c:v>92516.767739199786</c:v>
                      </c:pt>
                      <c:pt idx="17">
                        <c:v>100684.81995478109</c:v>
                      </c:pt>
                      <c:pt idx="18">
                        <c:v>95575.961518764379</c:v>
                      </c:pt>
                      <c:pt idx="19">
                        <c:v>111135.40795750158</c:v>
                      </c:pt>
                      <c:pt idx="20">
                        <c:v>107786.49538452752</c:v>
                      </c:pt>
                      <c:pt idx="21">
                        <c:v>116783.25831530656</c:v>
                      </c:pt>
                      <c:pt idx="22">
                        <c:v>111863.60841201789</c:v>
                      </c:pt>
                      <c:pt idx="23">
                        <c:v>102993.94810684049</c:v>
                      </c:pt>
                      <c:pt idx="24">
                        <c:v>105412.59350255555</c:v>
                      </c:pt>
                      <c:pt idx="25">
                        <c:v>107322.67341625161</c:v>
                      </c:pt>
                      <c:pt idx="26">
                        <c:v>84252.665070989155</c:v>
                      </c:pt>
                      <c:pt idx="27">
                        <c:v>101858.4653767579</c:v>
                      </c:pt>
                      <c:pt idx="28">
                        <c:v>111065.07610356294</c:v>
                      </c:pt>
                      <c:pt idx="29">
                        <c:v>95915.998317875274</c:v>
                      </c:pt>
                      <c:pt idx="30">
                        <c:v>93879.380013843154</c:v>
                      </c:pt>
                      <c:pt idx="31">
                        <c:v>107216.44027770974</c:v>
                      </c:pt>
                      <c:pt idx="32">
                        <c:v>90648.635261462943</c:v>
                      </c:pt>
                      <c:pt idx="33">
                        <c:v>112101.12673010735</c:v>
                      </c:pt>
                      <c:pt idx="34">
                        <c:v>88139.453050996439</c:v>
                      </c:pt>
                      <c:pt idx="35">
                        <c:v>93101.514877877882</c:v>
                      </c:pt>
                      <c:pt idx="36">
                        <c:v>92194.585740223964</c:v>
                      </c:pt>
                      <c:pt idx="37">
                        <c:v>105183.17356028568</c:v>
                      </c:pt>
                      <c:pt idx="38">
                        <c:v>103083.99051708203</c:v>
                      </c:pt>
                      <c:pt idx="39">
                        <c:v>98272.301477133573</c:v>
                      </c:pt>
                      <c:pt idx="40">
                        <c:v>107707.39308040847</c:v>
                      </c:pt>
                      <c:pt idx="41">
                        <c:v>101825.72944605316</c:v>
                      </c:pt>
                      <c:pt idx="42">
                        <c:v>89570.141875757588</c:v>
                      </c:pt>
                      <c:pt idx="43">
                        <c:v>95403.632845369866</c:v>
                      </c:pt>
                      <c:pt idx="44">
                        <c:v>90209.35034836024</c:v>
                      </c:pt>
                      <c:pt idx="45">
                        <c:v>107863.11472520935</c:v>
                      </c:pt>
                      <c:pt idx="46">
                        <c:v>95948.13688374123</c:v>
                      </c:pt>
                      <c:pt idx="47">
                        <c:v>125580.68025226519</c:v>
                      </c:pt>
                    </c:numCache>
                  </c:numRef>
                </c:yVal>
                <c:smooth val="0"/>
                <c:extLst xmlns:c15="http://schemas.microsoft.com/office/drawing/2012/chart">
                  <c:ext xmlns:c16="http://schemas.microsoft.com/office/drawing/2014/chart" uri="{C3380CC4-5D6E-409C-BE32-E72D297353CC}">
                    <c16:uniqueId val="{00000005-79B0-4DBB-845C-96B9EDFC862E}"/>
                  </c:ext>
                </c:extLst>
              </c15:ser>
            </c15:filteredScatterSeries>
          </c:ext>
        </c:extLst>
      </c:scatterChart>
      <c:valAx>
        <c:axId val="1445690064"/>
        <c:scaling>
          <c:orientation val="minMax"/>
          <c:max val="35"/>
          <c:min val="1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Charging</a:t>
                </a:r>
                <a:r>
                  <a:rPr lang="en-US" baseline="0"/>
                  <a:t> price (cent/kWh)</a:t>
                </a:r>
                <a:endParaRPr lang="en-US"/>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711664"/>
        <c:crosses val="autoZero"/>
        <c:crossBetween val="midCat"/>
      </c:valAx>
      <c:valAx>
        <c:axId val="1445711664"/>
        <c:scaling>
          <c:orientation val="minMax"/>
          <c:min val="70000"/>
        </c:scaling>
        <c:delete val="1"/>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445690064"/>
        <c:crosses val="autoZero"/>
        <c:crossBetween val="midCat"/>
      </c:valAx>
      <c:spPr>
        <a:noFill/>
        <a:ln>
          <a:solidFill>
            <a:schemeClr val="tx1"/>
          </a:solid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680" b="0" i="0" u="none" strike="noStrike" kern="1200" spc="0" baseline="0">
                <a:solidFill>
                  <a:sysClr val="windowText" lastClr="000000"/>
                </a:solidFill>
                <a:latin typeface="Arial" panose="020B0604020202020204" pitchFamily="34" charset="0"/>
                <a:cs typeface="Arial" panose="020B0604020202020204" pitchFamily="34" charset="0"/>
              </a:rPr>
              <a:t>TCO vs. Gasoline price</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1"/>
          <c:order val="1"/>
          <c:tx>
            <c:strRef>
              <c:f>Sensitivity!$C$1</c:f>
              <c:strCache>
                <c:ptCount val="1"/>
                <c:pt idx="0">
                  <c:v>HEV</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Sensitivity!$G$2:$G$49</c:f>
              <c:numCache>
                <c:formatCode>0.0</c:formatCode>
                <c:ptCount val="48"/>
                <c:pt idx="0">
                  <c:v>3.0905000000000005</c:v>
                </c:pt>
                <c:pt idx="1">
                  <c:v>4.5133653846153869</c:v>
                </c:pt>
                <c:pt idx="2">
                  <c:v>3.0905000000000005</c:v>
                </c:pt>
                <c:pt idx="3">
                  <c:v>4.5133653846153869</c:v>
                </c:pt>
                <c:pt idx="4">
                  <c:v>3.5969230769230762</c:v>
                </c:pt>
                <c:pt idx="5">
                  <c:v>3.4698076923076924</c:v>
                </c:pt>
                <c:pt idx="6">
                  <c:v>3.561634615384615</c:v>
                </c:pt>
                <c:pt idx="7">
                  <c:v>3.2785000000000006</c:v>
                </c:pt>
                <c:pt idx="8">
                  <c:v>3.2785000000000006</c:v>
                </c:pt>
                <c:pt idx="9">
                  <c:v>3.5969230769230762</c:v>
                </c:pt>
                <c:pt idx="10">
                  <c:v>3.3631923076923078</c:v>
                </c:pt>
                <c:pt idx="11">
                  <c:v>3.3631923076923078</c:v>
                </c:pt>
                <c:pt idx="12">
                  <c:v>3.3631923076923078</c:v>
                </c:pt>
                <c:pt idx="13">
                  <c:v>3.3631923076923078</c:v>
                </c:pt>
                <c:pt idx="14">
                  <c:v>3.3631923076923078</c:v>
                </c:pt>
                <c:pt idx="15">
                  <c:v>3.0905000000000005</c:v>
                </c:pt>
                <c:pt idx="16">
                  <c:v>3.4698076923076924</c:v>
                </c:pt>
                <c:pt idx="17">
                  <c:v>3.561634615384615</c:v>
                </c:pt>
                <c:pt idx="18">
                  <c:v>3.4698076923076924</c:v>
                </c:pt>
                <c:pt idx="19">
                  <c:v>3.3631923076923078</c:v>
                </c:pt>
                <c:pt idx="20">
                  <c:v>3.3631923076923078</c:v>
                </c:pt>
                <c:pt idx="21">
                  <c:v>3.0905000000000005</c:v>
                </c:pt>
                <c:pt idx="22">
                  <c:v>3.3631923076923078</c:v>
                </c:pt>
                <c:pt idx="23">
                  <c:v>3.5969230769230762</c:v>
                </c:pt>
                <c:pt idx="24">
                  <c:v>3.3631923076923078</c:v>
                </c:pt>
                <c:pt idx="25">
                  <c:v>4.5133653846153869</c:v>
                </c:pt>
                <c:pt idx="26">
                  <c:v>3.4698076923076924</c:v>
                </c:pt>
                <c:pt idx="27">
                  <c:v>3.561634615384615</c:v>
                </c:pt>
                <c:pt idx="28">
                  <c:v>3.0905000000000005</c:v>
                </c:pt>
                <c:pt idx="29">
                  <c:v>3.561634615384615</c:v>
                </c:pt>
                <c:pt idx="30">
                  <c:v>3.2785000000000006</c:v>
                </c:pt>
                <c:pt idx="31">
                  <c:v>3.3631923076923078</c:v>
                </c:pt>
                <c:pt idx="32">
                  <c:v>3.3631923076923078</c:v>
                </c:pt>
                <c:pt idx="33">
                  <c:v>3.3631923076923078</c:v>
                </c:pt>
                <c:pt idx="34">
                  <c:v>4.5133653846153869</c:v>
                </c:pt>
                <c:pt idx="35">
                  <c:v>3.561634615384615</c:v>
                </c:pt>
                <c:pt idx="36">
                  <c:v>3.4698076923076924</c:v>
                </c:pt>
                <c:pt idx="37">
                  <c:v>3.2785000000000006</c:v>
                </c:pt>
                <c:pt idx="38">
                  <c:v>3.3631923076923078</c:v>
                </c:pt>
                <c:pt idx="39">
                  <c:v>3.3631923076923078</c:v>
                </c:pt>
                <c:pt idx="40">
                  <c:v>3.0905000000000005</c:v>
                </c:pt>
                <c:pt idx="41">
                  <c:v>3.5969230769230762</c:v>
                </c:pt>
                <c:pt idx="42">
                  <c:v>3.4698076923076924</c:v>
                </c:pt>
                <c:pt idx="43">
                  <c:v>3.3991923076923074</c:v>
                </c:pt>
                <c:pt idx="44">
                  <c:v>4.5133653846153869</c:v>
                </c:pt>
                <c:pt idx="45">
                  <c:v>3.2785000000000006</c:v>
                </c:pt>
                <c:pt idx="46">
                  <c:v>3.3631923076923078</c:v>
                </c:pt>
                <c:pt idx="47">
                  <c:v>3.5969230769230762</c:v>
                </c:pt>
              </c:numCache>
            </c:numRef>
          </c:xVal>
          <c:yVal>
            <c:numRef>
              <c:f>Sensitivity!$C$2:$C$49</c:f>
              <c:numCache>
                <c:formatCode>0</c:formatCode>
                <c:ptCount val="48"/>
                <c:pt idx="0">
                  <c:v>98656.397608452433</c:v>
                </c:pt>
                <c:pt idx="1">
                  <c:v>90983.973103437485</c:v>
                </c:pt>
                <c:pt idx="2">
                  <c:v>99702.614031032019</c:v>
                </c:pt>
                <c:pt idx="3">
                  <c:v>93829.874206925844</c:v>
                </c:pt>
                <c:pt idx="4">
                  <c:v>89869.416147426266</c:v>
                </c:pt>
                <c:pt idx="5">
                  <c:v>88121.35619708692</c:v>
                </c:pt>
                <c:pt idx="6">
                  <c:v>90748.766707307121</c:v>
                </c:pt>
                <c:pt idx="7">
                  <c:v>105588.1399292179</c:v>
                </c:pt>
                <c:pt idx="8">
                  <c:v>101225.73419943736</c:v>
                </c:pt>
                <c:pt idx="9">
                  <c:v>84023.726669676544</c:v>
                </c:pt>
                <c:pt idx="10">
                  <c:v>82943.480228785425</c:v>
                </c:pt>
                <c:pt idx="11">
                  <c:v>94591.097688596579</c:v>
                </c:pt>
                <c:pt idx="12">
                  <c:v>85326.534831990284</c:v>
                </c:pt>
                <c:pt idx="13">
                  <c:v>93481.571531994297</c:v>
                </c:pt>
                <c:pt idx="14">
                  <c:v>104093.15079301121</c:v>
                </c:pt>
                <c:pt idx="15">
                  <c:v>105052.83935071736</c:v>
                </c:pt>
                <c:pt idx="16">
                  <c:v>83675.943931027723</c:v>
                </c:pt>
                <c:pt idx="17">
                  <c:v>92550.18370273037</c:v>
                </c:pt>
                <c:pt idx="18">
                  <c:v>87218.803571743076</c:v>
                </c:pt>
                <c:pt idx="19">
                  <c:v>101902.18871696891</c:v>
                </c:pt>
                <c:pt idx="20">
                  <c:v>96977.18762214249</c:v>
                </c:pt>
                <c:pt idx="21">
                  <c:v>104303.73644674274</c:v>
                </c:pt>
                <c:pt idx="22">
                  <c:v>101150.65806406962</c:v>
                </c:pt>
                <c:pt idx="23">
                  <c:v>94227.518220486643</c:v>
                </c:pt>
                <c:pt idx="24">
                  <c:v>96032.236642979944</c:v>
                </c:pt>
                <c:pt idx="25">
                  <c:v>102108.2126052354</c:v>
                </c:pt>
                <c:pt idx="26">
                  <c:v>76646.359895090689</c:v>
                </c:pt>
                <c:pt idx="27">
                  <c:v>94111.156391927288</c:v>
                </c:pt>
                <c:pt idx="28">
                  <c:v>98878.337970377979</c:v>
                </c:pt>
                <c:pt idx="29">
                  <c:v>88933.923183498642</c:v>
                </c:pt>
                <c:pt idx="30">
                  <c:v>83939.172275924953</c:v>
                </c:pt>
                <c:pt idx="31">
                  <c:v>96567.481314347533</c:v>
                </c:pt>
                <c:pt idx="32">
                  <c:v>81528.789741779707</c:v>
                </c:pt>
                <c:pt idx="33">
                  <c:v>101782.25609079692</c:v>
                </c:pt>
                <c:pt idx="34">
                  <c:v>83437.29272584377</c:v>
                </c:pt>
                <c:pt idx="35">
                  <c:v>85629.998422898978</c:v>
                </c:pt>
                <c:pt idx="36">
                  <c:v>84995.522399765614</c:v>
                </c:pt>
                <c:pt idx="37">
                  <c:v>95648.978320305818</c:v>
                </c:pt>
                <c:pt idx="38">
                  <c:v>93417.555127984437</c:v>
                </c:pt>
                <c:pt idx="39">
                  <c:v>88788.243203819555</c:v>
                </c:pt>
                <c:pt idx="40">
                  <c:v>96862.053111968271</c:v>
                </c:pt>
                <c:pt idx="41">
                  <c:v>93016.038055559839</c:v>
                </c:pt>
                <c:pt idx="42">
                  <c:v>81187.243686064161</c:v>
                </c:pt>
                <c:pt idx="43">
                  <c:v>86443.14328042345</c:v>
                </c:pt>
                <c:pt idx="44">
                  <c:v>85412.122153095173</c:v>
                </c:pt>
                <c:pt idx="45">
                  <c:v>97394.935104628865</c:v>
                </c:pt>
                <c:pt idx="46">
                  <c:v>86260.748847103067</c:v>
                </c:pt>
                <c:pt idx="47">
                  <c:v>113809.06287856394</c:v>
                </c:pt>
              </c:numCache>
            </c:numRef>
          </c:yVal>
          <c:smooth val="0"/>
          <c:extLst>
            <c:ext xmlns:c16="http://schemas.microsoft.com/office/drawing/2014/chart" uri="{C3380CC4-5D6E-409C-BE32-E72D297353CC}">
              <c16:uniqueId val="{00000003-1402-413C-BCFA-E13A31422704}"/>
            </c:ext>
          </c:extLst>
        </c:ser>
        <c:dLbls>
          <c:showLegendKey val="0"/>
          <c:showVal val="0"/>
          <c:showCatName val="0"/>
          <c:showSerName val="0"/>
          <c:showPercent val="0"/>
          <c:showBubbleSize val="0"/>
        </c:dLbls>
        <c:axId val="1445690064"/>
        <c:axId val="1445711664"/>
        <c:extLst>
          <c:ext xmlns:c15="http://schemas.microsoft.com/office/drawing/2012/chart" uri="{02D57815-91ED-43cb-92C2-25804820EDAC}">
            <c15:filteredScatterSeries>
              <c15:ser>
                <c:idx val="0"/>
                <c:order val="0"/>
                <c:tx>
                  <c:strRef>
                    <c:extLst>
                      <c:ext uri="{02D57815-91ED-43cb-92C2-25804820EDAC}">
                        <c15:formulaRef>
                          <c15:sqref>Sensitivity!$B$1</c15:sqref>
                        </c15:formulaRef>
                      </c:ext>
                    </c:extLst>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extLst>
                      <c:ext uri="{02D57815-91ED-43cb-92C2-25804820EDAC}">
                        <c15:formulaRef>
                          <c15:sqref>Sensitivity!$G$2:$G$49</c15:sqref>
                        </c15:formulaRef>
                      </c:ext>
                    </c:extLst>
                    <c:numCache>
                      <c:formatCode>0.0</c:formatCode>
                      <c:ptCount val="48"/>
                      <c:pt idx="0">
                        <c:v>3.0905000000000005</c:v>
                      </c:pt>
                      <c:pt idx="1">
                        <c:v>4.5133653846153869</c:v>
                      </c:pt>
                      <c:pt idx="2">
                        <c:v>3.0905000000000005</c:v>
                      </c:pt>
                      <c:pt idx="3">
                        <c:v>4.5133653846153869</c:v>
                      </c:pt>
                      <c:pt idx="4">
                        <c:v>3.5969230769230762</c:v>
                      </c:pt>
                      <c:pt idx="5">
                        <c:v>3.4698076923076924</c:v>
                      </c:pt>
                      <c:pt idx="6">
                        <c:v>3.561634615384615</c:v>
                      </c:pt>
                      <c:pt idx="7">
                        <c:v>3.2785000000000006</c:v>
                      </c:pt>
                      <c:pt idx="8">
                        <c:v>3.2785000000000006</c:v>
                      </c:pt>
                      <c:pt idx="9">
                        <c:v>3.5969230769230762</c:v>
                      </c:pt>
                      <c:pt idx="10">
                        <c:v>3.3631923076923078</c:v>
                      </c:pt>
                      <c:pt idx="11">
                        <c:v>3.3631923076923078</c:v>
                      </c:pt>
                      <c:pt idx="12">
                        <c:v>3.3631923076923078</c:v>
                      </c:pt>
                      <c:pt idx="13">
                        <c:v>3.3631923076923078</c:v>
                      </c:pt>
                      <c:pt idx="14">
                        <c:v>3.3631923076923078</c:v>
                      </c:pt>
                      <c:pt idx="15">
                        <c:v>3.0905000000000005</c:v>
                      </c:pt>
                      <c:pt idx="16">
                        <c:v>3.4698076923076924</c:v>
                      </c:pt>
                      <c:pt idx="17">
                        <c:v>3.561634615384615</c:v>
                      </c:pt>
                      <c:pt idx="18">
                        <c:v>3.4698076923076924</c:v>
                      </c:pt>
                      <c:pt idx="19">
                        <c:v>3.3631923076923078</c:v>
                      </c:pt>
                      <c:pt idx="20">
                        <c:v>3.3631923076923078</c:v>
                      </c:pt>
                      <c:pt idx="21">
                        <c:v>3.0905000000000005</c:v>
                      </c:pt>
                      <c:pt idx="22">
                        <c:v>3.3631923076923078</c:v>
                      </c:pt>
                      <c:pt idx="23">
                        <c:v>3.5969230769230762</c:v>
                      </c:pt>
                      <c:pt idx="24">
                        <c:v>3.3631923076923078</c:v>
                      </c:pt>
                      <c:pt idx="25">
                        <c:v>4.5133653846153869</c:v>
                      </c:pt>
                      <c:pt idx="26">
                        <c:v>3.4698076923076924</c:v>
                      </c:pt>
                      <c:pt idx="27">
                        <c:v>3.561634615384615</c:v>
                      </c:pt>
                      <c:pt idx="28">
                        <c:v>3.0905000000000005</c:v>
                      </c:pt>
                      <c:pt idx="29">
                        <c:v>3.561634615384615</c:v>
                      </c:pt>
                      <c:pt idx="30">
                        <c:v>3.2785000000000006</c:v>
                      </c:pt>
                      <c:pt idx="31">
                        <c:v>3.3631923076923078</c:v>
                      </c:pt>
                      <c:pt idx="32">
                        <c:v>3.3631923076923078</c:v>
                      </c:pt>
                      <c:pt idx="33">
                        <c:v>3.3631923076923078</c:v>
                      </c:pt>
                      <c:pt idx="34">
                        <c:v>4.5133653846153869</c:v>
                      </c:pt>
                      <c:pt idx="35">
                        <c:v>3.561634615384615</c:v>
                      </c:pt>
                      <c:pt idx="36">
                        <c:v>3.4698076923076924</c:v>
                      </c:pt>
                      <c:pt idx="37">
                        <c:v>3.2785000000000006</c:v>
                      </c:pt>
                      <c:pt idx="38">
                        <c:v>3.3631923076923078</c:v>
                      </c:pt>
                      <c:pt idx="39">
                        <c:v>3.3631923076923078</c:v>
                      </c:pt>
                      <c:pt idx="40">
                        <c:v>3.0905000000000005</c:v>
                      </c:pt>
                      <c:pt idx="41">
                        <c:v>3.5969230769230762</c:v>
                      </c:pt>
                      <c:pt idx="42">
                        <c:v>3.4698076923076924</c:v>
                      </c:pt>
                      <c:pt idx="43">
                        <c:v>3.3991923076923074</c:v>
                      </c:pt>
                      <c:pt idx="44">
                        <c:v>4.5133653846153869</c:v>
                      </c:pt>
                      <c:pt idx="45">
                        <c:v>3.2785000000000006</c:v>
                      </c:pt>
                      <c:pt idx="46">
                        <c:v>3.3631923076923078</c:v>
                      </c:pt>
                      <c:pt idx="47">
                        <c:v>3.5969230769230762</c:v>
                      </c:pt>
                    </c:numCache>
                  </c:numRef>
                </c:xVal>
                <c:yVal>
                  <c:numRef>
                    <c:extLst>
                      <c:ext uri="{02D57815-91ED-43cb-92C2-25804820EDAC}">
                        <c15:formulaRef>
                          <c15:sqref>Sensitivity!$B$2:$B$49</c15:sqref>
                        </c15:formulaRef>
                      </c:ext>
                    </c:extLst>
                    <c:numCache>
                      <c:formatCode>0</c:formatCode>
                      <c:ptCount val="48"/>
                      <c:pt idx="0">
                        <c:v>111617.19785251361</c:v>
                      </c:pt>
                      <c:pt idx="1">
                        <c:v>102056.69969630733</c:v>
                      </c:pt>
                      <c:pt idx="2">
                        <c:v>115714.49531364228</c:v>
                      </c:pt>
                      <c:pt idx="3">
                        <c:v>113634.96094094487</c:v>
                      </c:pt>
                      <c:pt idx="4">
                        <c:v>106389.82051463553</c:v>
                      </c:pt>
                      <c:pt idx="5">
                        <c:v>114940.96705239589</c:v>
                      </c:pt>
                      <c:pt idx="6">
                        <c:v>105508.04137004827</c:v>
                      </c:pt>
                      <c:pt idx="7">
                        <c:v>126410.22513504038</c:v>
                      </c:pt>
                      <c:pt idx="8">
                        <c:v>111612.77833232978</c:v>
                      </c:pt>
                      <c:pt idx="9">
                        <c:v>94395.385344854309</c:v>
                      </c:pt>
                      <c:pt idx="10">
                        <c:v>98880.89898408376</c:v>
                      </c:pt>
                      <c:pt idx="11">
                        <c:v>107569.54969973495</c:v>
                      </c:pt>
                      <c:pt idx="12">
                        <c:v>99510.724943634879</c:v>
                      </c:pt>
                      <c:pt idx="13">
                        <c:v>109459.8309361397</c:v>
                      </c:pt>
                      <c:pt idx="14">
                        <c:v>118521.07650393428</c:v>
                      </c:pt>
                      <c:pt idx="15">
                        <c:v>122050.58830350998</c:v>
                      </c:pt>
                      <c:pt idx="16">
                        <c:v>103903.67080670423</c:v>
                      </c:pt>
                      <c:pt idx="17">
                        <c:v>108610.6551687061</c:v>
                      </c:pt>
                      <c:pt idx="18">
                        <c:v>109060.62738789315</c:v>
                      </c:pt>
                      <c:pt idx="19">
                        <c:v>121802.48850501473</c:v>
                      </c:pt>
                      <c:pt idx="20">
                        <c:v>110815.95194442381</c:v>
                      </c:pt>
                      <c:pt idx="21">
                        <c:v>123562.10609862444</c:v>
                      </c:pt>
                      <c:pt idx="22">
                        <c:v>114586.58600086154</c:v>
                      </c:pt>
                      <c:pt idx="23">
                        <c:v>107901.0777392781</c:v>
                      </c:pt>
                      <c:pt idx="24">
                        <c:v>110758.72108266084</c:v>
                      </c:pt>
                      <c:pt idx="25">
                        <c:v>115102.78957012983</c:v>
                      </c:pt>
                      <c:pt idx="26">
                        <c:v>98734.194032081519</c:v>
                      </c:pt>
                      <c:pt idx="27">
                        <c:v>110179.62722430757</c:v>
                      </c:pt>
                      <c:pt idx="28">
                        <c:v>111557.99923737146</c:v>
                      </c:pt>
                      <c:pt idx="29">
                        <c:v>106582.09874756387</c:v>
                      </c:pt>
                      <c:pt idx="30">
                        <c:v>92944.650453423397</c:v>
                      </c:pt>
                      <c:pt idx="31">
                        <c:v>108239.48606187769</c:v>
                      </c:pt>
                      <c:pt idx="32">
                        <c:v>95039.692352849757</c:v>
                      </c:pt>
                      <c:pt idx="33">
                        <c:v>112744.44194782566</c:v>
                      </c:pt>
                      <c:pt idx="34">
                        <c:v>92854.786584759684</c:v>
                      </c:pt>
                      <c:pt idx="35">
                        <c:v>102751.56533828484</c:v>
                      </c:pt>
                      <c:pt idx="36">
                        <c:v>109075.61094481265</c:v>
                      </c:pt>
                      <c:pt idx="37">
                        <c:v>109588.51123512026</c:v>
                      </c:pt>
                      <c:pt idx="38">
                        <c:v>106823.37261994867</c:v>
                      </c:pt>
                      <c:pt idx="39">
                        <c:v>102754.47880224203</c:v>
                      </c:pt>
                      <c:pt idx="40">
                        <c:v>109836.86999937965</c:v>
                      </c:pt>
                      <c:pt idx="41">
                        <c:v>104754.06645610256</c:v>
                      </c:pt>
                      <c:pt idx="42">
                        <c:v>100439.35168669507</c:v>
                      </c:pt>
                      <c:pt idx="43">
                        <c:v>105798.45556530869</c:v>
                      </c:pt>
                      <c:pt idx="44">
                        <c:v>97512.692557680886</c:v>
                      </c:pt>
                      <c:pt idx="45">
                        <c:v>112468.85106172919</c:v>
                      </c:pt>
                      <c:pt idx="46">
                        <c:v>101116.18471804161</c:v>
                      </c:pt>
                      <c:pt idx="47">
                        <c:v>120757.41089122927</c:v>
                      </c:pt>
                    </c:numCache>
                  </c:numRef>
                </c:yVal>
                <c:smooth val="0"/>
                <c:extLst>
                  <c:ext xmlns:c16="http://schemas.microsoft.com/office/drawing/2014/chart" uri="{C3380CC4-5D6E-409C-BE32-E72D297353CC}">
                    <c16:uniqueId val="{00000001-1402-413C-BCFA-E13A31422704}"/>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Sensitivity!$D$1</c15:sqref>
                        </c15:formulaRef>
                      </c:ext>
                    </c:extLst>
                    <c:strCache>
                      <c:ptCount val="1"/>
                      <c:pt idx="0">
                        <c:v>H2ICEV</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extLst xmlns:c15="http://schemas.microsoft.com/office/drawing/2012/chart">
                      <c:ext xmlns:c15="http://schemas.microsoft.com/office/drawing/2012/chart" uri="{02D57815-91ED-43cb-92C2-25804820EDAC}">
                        <c15:formulaRef>
                          <c15:sqref>Sensitivity!$G$2:$G$49</c15:sqref>
                        </c15:formulaRef>
                      </c:ext>
                    </c:extLst>
                    <c:numCache>
                      <c:formatCode>0.0</c:formatCode>
                      <c:ptCount val="48"/>
                      <c:pt idx="0">
                        <c:v>3.0905000000000005</c:v>
                      </c:pt>
                      <c:pt idx="1">
                        <c:v>4.5133653846153869</c:v>
                      </c:pt>
                      <c:pt idx="2">
                        <c:v>3.0905000000000005</c:v>
                      </c:pt>
                      <c:pt idx="3">
                        <c:v>4.5133653846153869</c:v>
                      </c:pt>
                      <c:pt idx="4">
                        <c:v>3.5969230769230762</c:v>
                      </c:pt>
                      <c:pt idx="5">
                        <c:v>3.4698076923076924</c:v>
                      </c:pt>
                      <c:pt idx="6">
                        <c:v>3.561634615384615</c:v>
                      </c:pt>
                      <c:pt idx="7">
                        <c:v>3.2785000000000006</c:v>
                      </c:pt>
                      <c:pt idx="8">
                        <c:v>3.2785000000000006</c:v>
                      </c:pt>
                      <c:pt idx="9">
                        <c:v>3.5969230769230762</c:v>
                      </c:pt>
                      <c:pt idx="10">
                        <c:v>3.3631923076923078</c:v>
                      </c:pt>
                      <c:pt idx="11">
                        <c:v>3.3631923076923078</c:v>
                      </c:pt>
                      <c:pt idx="12">
                        <c:v>3.3631923076923078</c:v>
                      </c:pt>
                      <c:pt idx="13">
                        <c:v>3.3631923076923078</c:v>
                      </c:pt>
                      <c:pt idx="14">
                        <c:v>3.3631923076923078</c:v>
                      </c:pt>
                      <c:pt idx="15">
                        <c:v>3.0905000000000005</c:v>
                      </c:pt>
                      <c:pt idx="16">
                        <c:v>3.4698076923076924</c:v>
                      </c:pt>
                      <c:pt idx="17">
                        <c:v>3.561634615384615</c:v>
                      </c:pt>
                      <c:pt idx="18">
                        <c:v>3.4698076923076924</c:v>
                      </c:pt>
                      <c:pt idx="19">
                        <c:v>3.3631923076923078</c:v>
                      </c:pt>
                      <c:pt idx="20">
                        <c:v>3.3631923076923078</c:v>
                      </c:pt>
                      <c:pt idx="21">
                        <c:v>3.0905000000000005</c:v>
                      </c:pt>
                      <c:pt idx="22">
                        <c:v>3.3631923076923078</c:v>
                      </c:pt>
                      <c:pt idx="23">
                        <c:v>3.5969230769230762</c:v>
                      </c:pt>
                      <c:pt idx="24">
                        <c:v>3.3631923076923078</c:v>
                      </c:pt>
                      <c:pt idx="25">
                        <c:v>4.5133653846153869</c:v>
                      </c:pt>
                      <c:pt idx="26">
                        <c:v>3.4698076923076924</c:v>
                      </c:pt>
                      <c:pt idx="27">
                        <c:v>3.561634615384615</c:v>
                      </c:pt>
                      <c:pt idx="28">
                        <c:v>3.0905000000000005</c:v>
                      </c:pt>
                      <c:pt idx="29">
                        <c:v>3.561634615384615</c:v>
                      </c:pt>
                      <c:pt idx="30">
                        <c:v>3.2785000000000006</c:v>
                      </c:pt>
                      <c:pt idx="31">
                        <c:v>3.3631923076923078</c:v>
                      </c:pt>
                      <c:pt idx="32">
                        <c:v>3.3631923076923078</c:v>
                      </c:pt>
                      <c:pt idx="33">
                        <c:v>3.3631923076923078</c:v>
                      </c:pt>
                      <c:pt idx="34">
                        <c:v>4.5133653846153869</c:v>
                      </c:pt>
                      <c:pt idx="35">
                        <c:v>3.561634615384615</c:v>
                      </c:pt>
                      <c:pt idx="36">
                        <c:v>3.4698076923076924</c:v>
                      </c:pt>
                      <c:pt idx="37">
                        <c:v>3.2785000000000006</c:v>
                      </c:pt>
                      <c:pt idx="38">
                        <c:v>3.3631923076923078</c:v>
                      </c:pt>
                      <c:pt idx="39">
                        <c:v>3.3631923076923078</c:v>
                      </c:pt>
                      <c:pt idx="40">
                        <c:v>3.0905000000000005</c:v>
                      </c:pt>
                      <c:pt idx="41">
                        <c:v>3.5969230769230762</c:v>
                      </c:pt>
                      <c:pt idx="42">
                        <c:v>3.4698076923076924</c:v>
                      </c:pt>
                      <c:pt idx="43">
                        <c:v>3.3991923076923074</c:v>
                      </c:pt>
                      <c:pt idx="44">
                        <c:v>4.5133653846153869</c:v>
                      </c:pt>
                      <c:pt idx="45">
                        <c:v>3.2785000000000006</c:v>
                      </c:pt>
                      <c:pt idx="46">
                        <c:v>3.3631923076923078</c:v>
                      </c:pt>
                      <c:pt idx="47">
                        <c:v>3.5969230769230762</c:v>
                      </c:pt>
                    </c:numCache>
                  </c:numRef>
                </c:xVal>
                <c:yVal>
                  <c:numRef>
                    <c:extLst xmlns:c15="http://schemas.microsoft.com/office/drawing/2012/chart">
                      <c:ext xmlns:c15="http://schemas.microsoft.com/office/drawing/2012/chart" uri="{02D57815-91ED-43cb-92C2-25804820EDAC}">
                        <c15:formulaRef>
                          <c15:sqref>Sensitivity!$D$2:$D$49</c15:sqref>
                        </c15:formulaRef>
                      </c:ext>
                    </c:extLst>
                    <c:numCache>
                      <c:formatCode>0</c:formatCode>
                      <c:ptCount val="48"/>
                      <c:pt idx="0">
                        <c:v>110043.68933455604</c:v>
                      </c:pt>
                      <c:pt idx="1">
                        <c:v>95977.352689741732</c:v>
                      </c:pt>
                      <c:pt idx="2">
                        <c:v>111035.63056955268</c:v>
                      </c:pt>
                      <c:pt idx="3">
                        <c:v>98807.504054614314</c:v>
                      </c:pt>
                      <c:pt idx="4">
                        <c:v>97663.830948421091</c:v>
                      </c:pt>
                      <c:pt idx="5">
                        <c:v>96105.449011848366</c:v>
                      </c:pt>
                      <c:pt idx="6">
                        <c:v>98351.507507393471</c:v>
                      </c:pt>
                      <c:pt idx="7">
                        <c:v>115008.97950445519</c:v>
                      </c:pt>
                      <c:pt idx="8">
                        <c:v>112209.9743732764</c:v>
                      </c:pt>
                      <c:pt idx="9">
                        <c:v>92487.779369125608</c:v>
                      </c:pt>
                      <c:pt idx="10">
                        <c:v>91452.952638677321</c:v>
                      </c:pt>
                      <c:pt idx="11">
                        <c:v>105232.18229162048</c:v>
                      </c:pt>
                      <c:pt idx="12">
                        <c:v>94670.435595496878</c:v>
                      </c:pt>
                      <c:pt idx="13">
                        <c:v>102828.32519207141</c:v>
                      </c:pt>
                      <c:pt idx="14">
                        <c:v>113961.89622626353</c:v>
                      </c:pt>
                      <c:pt idx="15">
                        <c:v>115242.63244263909</c:v>
                      </c:pt>
                      <c:pt idx="16">
                        <c:v>92516.767739199786</c:v>
                      </c:pt>
                      <c:pt idx="17">
                        <c:v>100684.81995478109</c:v>
                      </c:pt>
                      <c:pt idx="18">
                        <c:v>95575.961518764379</c:v>
                      </c:pt>
                      <c:pt idx="19">
                        <c:v>111135.40795750158</c:v>
                      </c:pt>
                      <c:pt idx="20">
                        <c:v>107786.49538452752</c:v>
                      </c:pt>
                      <c:pt idx="21">
                        <c:v>116783.25831530656</c:v>
                      </c:pt>
                      <c:pt idx="22">
                        <c:v>111863.60841201789</c:v>
                      </c:pt>
                      <c:pt idx="23">
                        <c:v>102993.94810684049</c:v>
                      </c:pt>
                      <c:pt idx="24">
                        <c:v>105412.59350255555</c:v>
                      </c:pt>
                      <c:pt idx="25">
                        <c:v>107322.67341625161</c:v>
                      </c:pt>
                      <c:pt idx="26">
                        <c:v>84252.665070989155</c:v>
                      </c:pt>
                      <c:pt idx="27">
                        <c:v>101858.4653767579</c:v>
                      </c:pt>
                      <c:pt idx="28">
                        <c:v>111065.07610356294</c:v>
                      </c:pt>
                      <c:pt idx="29">
                        <c:v>95915.998317875274</c:v>
                      </c:pt>
                      <c:pt idx="30">
                        <c:v>93879.380013843154</c:v>
                      </c:pt>
                      <c:pt idx="31">
                        <c:v>107216.44027770974</c:v>
                      </c:pt>
                      <c:pt idx="32">
                        <c:v>90648.635261462943</c:v>
                      </c:pt>
                      <c:pt idx="33">
                        <c:v>112101.12673010735</c:v>
                      </c:pt>
                      <c:pt idx="34">
                        <c:v>88139.453050996439</c:v>
                      </c:pt>
                      <c:pt idx="35">
                        <c:v>93101.514877877882</c:v>
                      </c:pt>
                      <c:pt idx="36">
                        <c:v>92194.585740223964</c:v>
                      </c:pt>
                      <c:pt idx="37">
                        <c:v>105183.17356028568</c:v>
                      </c:pt>
                      <c:pt idx="38">
                        <c:v>103083.99051708203</c:v>
                      </c:pt>
                      <c:pt idx="39">
                        <c:v>98272.301477133573</c:v>
                      </c:pt>
                      <c:pt idx="40">
                        <c:v>107707.39308040847</c:v>
                      </c:pt>
                      <c:pt idx="41">
                        <c:v>101825.72944605316</c:v>
                      </c:pt>
                      <c:pt idx="42">
                        <c:v>89570.141875757588</c:v>
                      </c:pt>
                      <c:pt idx="43">
                        <c:v>95403.632845369866</c:v>
                      </c:pt>
                      <c:pt idx="44">
                        <c:v>90209.35034836024</c:v>
                      </c:pt>
                      <c:pt idx="45">
                        <c:v>107863.11472520935</c:v>
                      </c:pt>
                      <c:pt idx="46">
                        <c:v>95948.13688374123</c:v>
                      </c:pt>
                      <c:pt idx="47">
                        <c:v>125580.68025226519</c:v>
                      </c:pt>
                    </c:numCache>
                  </c:numRef>
                </c:yVal>
                <c:smooth val="0"/>
                <c:extLst xmlns:c15="http://schemas.microsoft.com/office/drawing/2012/chart">
                  <c:ext xmlns:c16="http://schemas.microsoft.com/office/drawing/2014/chart" uri="{C3380CC4-5D6E-409C-BE32-E72D297353CC}">
                    <c16:uniqueId val="{00000005-1402-413C-BCFA-E13A31422704}"/>
                  </c:ext>
                </c:extLst>
              </c15:ser>
            </c15:filteredScatterSeries>
          </c:ext>
        </c:extLst>
      </c:scatterChart>
      <c:valAx>
        <c:axId val="1445690064"/>
        <c:scaling>
          <c:orientation val="minMax"/>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Gasoline price ($/gal)</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711664"/>
        <c:crosses val="autoZero"/>
        <c:crossBetween val="midCat"/>
      </c:valAx>
      <c:valAx>
        <c:axId val="1445711664"/>
        <c:scaling>
          <c:orientation val="minMax"/>
          <c:min val="70000"/>
        </c:scaling>
        <c:delete val="1"/>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445690064"/>
        <c:crosses val="autoZero"/>
        <c:crossBetween val="midCat"/>
      </c:valAx>
      <c:spPr>
        <a:noFill/>
        <a:ln>
          <a:solidFill>
            <a:schemeClr val="tx1"/>
          </a:solid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National Avarage</a:t>
            </a:r>
            <a:r>
              <a:rPr lang="en-US" baseline="0"/>
              <a:t> vehicle a</a:t>
            </a:r>
            <a:r>
              <a:rPr lang="en-US"/>
              <a:t>batement cost ($/CO</a:t>
            </a:r>
            <a:r>
              <a:rPr lang="en-US" baseline="-25000"/>
              <a:t>2eq</a:t>
            </a:r>
            <a:r>
              <a:rPr lang="en-US"/>
              <a:t>)</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Sensitivity!$C$56</c:f>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Sensitivity!$B$57:$B$67</c:f>
              <c:numCache>
                <c:formatCode>General</c:formatCode>
                <c:ptCount val="11"/>
                <c:pt idx="0">
                  <c:v>5</c:v>
                </c:pt>
                <c:pt idx="1">
                  <c:v>6</c:v>
                </c:pt>
                <c:pt idx="2">
                  <c:v>7</c:v>
                </c:pt>
                <c:pt idx="3">
                  <c:v>8</c:v>
                </c:pt>
                <c:pt idx="4">
                  <c:v>9</c:v>
                </c:pt>
                <c:pt idx="5">
                  <c:v>10</c:v>
                </c:pt>
                <c:pt idx="6">
                  <c:v>11</c:v>
                </c:pt>
                <c:pt idx="7">
                  <c:v>12</c:v>
                </c:pt>
                <c:pt idx="8">
                  <c:v>13</c:v>
                </c:pt>
                <c:pt idx="9">
                  <c:v>14</c:v>
                </c:pt>
                <c:pt idx="10">
                  <c:v>15</c:v>
                </c:pt>
              </c:numCache>
            </c:numRef>
          </c:xVal>
          <c:yVal>
            <c:numRef>
              <c:f>Sensitivity!$C$57:$C$67</c:f>
              <c:numCache>
                <c:formatCode>0.0</c:formatCode>
                <c:ptCount val="11"/>
                <c:pt idx="0">
                  <c:v>653.2538456073836</c:v>
                </c:pt>
                <c:pt idx="1">
                  <c:v>595.34673501388863</c:v>
                </c:pt>
                <c:pt idx="2">
                  <c:v>533.57466834898594</c:v>
                </c:pt>
                <c:pt idx="3">
                  <c:v>456.72537666570145</c:v>
                </c:pt>
                <c:pt idx="4">
                  <c:v>392.38423492834767</c:v>
                </c:pt>
                <c:pt idx="5">
                  <c:v>337.93310072455705</c:v>
                </c:pt>
                <c:pt idx="6">
                  <c:v>291.70115576107531</c:v>
                </c:pt>
                <c:pt idx="7">
                  <c:v>252.19316236469007</c:v>
                </c:pt>
                <c:pt idx="8">
                  <c:v>217.51948328414574</c:v>
                </c:pt>
                <c:pt idx="9">
                  <c:v>187.81232229338246</c:v>
                </c:pt>
                <c:pt idx="10">
                  <c:v>162.27657726993422</c:v>
                </c:pt>
              </c:numCache>
            </c:numRef>
          </c:yVal>
          <c:smooth val="0"/>
          <c:extLst>
            <c:ext xmlns:c16="http://schemas.microsoft.com/office/drawing/2014/chart" uri="{C3380CC4-5D6E-409C-BE32-E72D297353CC}">
              <c16:uniqueId val="{00000000-A721-414B-91BF-7306436D5C7A}"/>
            </c:ext>
          </c:extLst>
        </c:ser>
        <c:ser>
          <c:idx val="1"/>
          <c:order val="1"/>
          <c:tx>
            <c:strRef>
              <c:f>Sensitivity!$D$56</c:f>
              <c:strCache>
                <c:ptCount val="1"/>
                <c:pt idx="0">
                  <c:v>HEV</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Sensitivity!$B$57:$B$67</c:f>
              <c:numCache>
                <c:formatCode>General</c:formatCode>
                <c:ptCount val="11"/>
                <c:pt idx="0">
                  <c:v>5</c:v>
                </c:pt>
                <c:pt idx="1">
                  <c:v>6</c:v>
                </c:pt>
                <c:pt idx="2">
                  <c:v>7</c:v>
                </c:pt>
                <c:pt idx="3">
                  <c:v>8</c:v>
                </c:pt>
                <c:pt idx="4">
                  <c:v>9</c:v>
                </c:pt>
                <c:pt idx="5">
                  <c:v>10</c:v>
                </c:pt>
                <c:pt idx="6">
                  <c:v>11</c:v>
                </c:pt>
                <c:pt idx="7">
                  <c:v>12</c:v>
                </c:pt>
                <c:pt idx="8">
                  <c:v>13</c:v>
                </c:pt>
                <c:pt idx="9">
                  <c:v>14</c:v>
                </c:pt>
                <c:pt idx="10">
                  <c:v>15</c:v>
                </c:pt>
              </c:numCache>
            </c:numRef>
          </c:xVal>
          <c:yVal>
            <c:numRef>
              <c:f>Sensitivity!$D$57:$D$67</c:f>
              <c:numCache>
                <c:formatCode>0.0</c:formatCode>
                <c:ptCount val="11"/>
                <c:pt idx="0">
                  <c:v>-233.89351993704207</c:v>
                </c:pt>
                <c:pt idx="1">
                  <c:v>-242.42327657847159</c:v>
                </c:pt>
                <c:pt idx="2">
                  <c:v>-249.52248483903728</c:v>
                </c:pt>
                <c:pt idx="3">
                  <c:v>-255.48854450608678</c:v>
                </c:pt>
                <c:pt idx="4">
                  <c:v>-260.52074691695503</c:v>
                </c:pt>
                <c:pt idx="5">
                  <c:v>-264.7649632467531</c:v>
                </c:pt>
                <c:pt idx="6">
                  <c:v>-268.33373238260828</c:v>
                </c:pt>
                <c:pt idx="7">
                  <c:v>-271.31891064816585</c:v>
                </c:pt>
                <c:pt idx="8">
                  <c:v>-273.79614209051874</c:v>
                </c:pt>
                <c:pt idx="9">
                  <c:v>-275.83002729457758</c:v>
                </c:pt>
                <c:pt idx="10">
                  <c:v>-277.47540344539732</c:v>
                </c:pt>
              </c:numCache>
            </c:numRef>
          </c:yVal>
          <c:smooth val="0"/>
          <c:extLst>
            <c:ext xmlns:c16="http://schemas.microsoft.com/office/drawing/2014/chart" uri="{C3380CC4-5D6E-409C-BE32-E72D297353CC}">
              <c16:uniqueId val="{00000001-A721-414B-91BF-7306436D5C7A}"/>
            </c:ext>
          </c:extLst>
        </c:ser>
        <c:dLbls>
          <c:showLegendKey val="0"/>
          <c:showVal val="0"/>
          <c:showCatName val="0"/>
          <c:showSerName val="0"/>
          <c:showPercent val="0"/>
          <c:showBubbleSize val="0"/>
        </c:dLbls>
        <c:axId val="2140103056"/>
        <c:axId val="2140104496"/>
        <c:extLst>
          <c:ext xmlns:c15="http://schemas.microsoft.com/office/drawing/2012/chart" uri="{02D57815-91ED-43cb-92C2-25804820EDAC}">
            <c15:filteredScatterSeries>
              <c15:ser>
                <c:idx val="2"/>
                <c:order val="2"/>
                <c:tx>
                  <c:strRef>
                    <c:extLst>
                      <c:ext uri="{02D57815-91ED-43cb-92C2-25804820EDAC}">
                        <c15:formulaRef>
                          <c15:sqref>Sensitivity!$E$56</c15:sqref>
                        </c15:formulaRef>
                      </c:ext>
                    </c:extLst>
                    <c:strCache>
                      <c:ptCount val="1"/>
                    </c:strCache>
                  </c:strRef>
                </c:tx>
                <c:spPr>
                  <a:ln w="1905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extLst>
                      <c:ext uri="{02D57815-91ED-43cb-92C2-25804820EDAC}">
                        <c15:formulaRef>
                          <c15:sqref>Sensitivity!$B$57:$B$67</c15:sqref>
                        </c15:formulaRef>
                      </c:ext>
                    </c:extLst>
                    <c:numCache>
                      <c:formatCode>General</c:formatCode>
                      <c:ptCount val="11"/>
                      <c:pt idx="0">
                        <c:v>5</c:v>
                      </c:pt>
                      <c:pt idx="1">
                        <c:v>6</c:v>
                      </c:pt>
                      <c:pt idx="2">
                        <c:v>7</c:v>
                      </c:pt>
                      <c:pt idx="3">
                        <c:v>8</c:v>
                      </c:pt>
                      <c:pt idx="4">
                        <c:v>9</c:v>
                      </c:pt>
                      <c:pt idx="5">
                        <c:v>10</c:v>
                      </c:pt>
                      <c:pt idx="6">
                        <c:v>11</c:v>
                      </c:pt>
                      <c:pt idx="7">
                        <c:v>12</c:v>
                      </c:pt>
                      <c:pt idx="8">
                        <c:v>13</c:v>
                      </c:pt>
                      <c:pt idx="9">
                        <c:v>14</c:v>
                      </c:pt>
                      <c:pt idx="10">
                        <c:v>15</c:v>
                      </c:pt>
                    </c:numCache>
                  </c:numRef>
                </c:xVal>
                <c:yVal>
                  <c:numRef>
                    <c:extLst>
                      <c:ext uri="{02D57815-91ED-43cb-92C2-25804820EDAC}">
                        <c15:formulaRef>
                          <c15:sqref>Sensitivity!$E$57:$E$67</c15:sqref>
                        </c15:formulaRef>
                      </c:ext>
                    </c:extLst>
                    <c:numCache>
                      <c:formatCode>General</c:formatCode>
                      <c:ptCount val="11"/>
                    </c:numCache>
                  </c:numRef>
                </c:yVal>
                <c:smooth val="0"/>
                <c:extLst>
                  <c:ext xmlns:c16="http://schemas.microsoft.com/office/drawing/2014/chart" uri="{C3380CC4-5D6E-409C-BE32-E72D297353CC}">
                    <c16:uniqueId val="{00000002-A721-414B-91BF-7306436D5C7A}"/>
                  </c:ext>
                </c:extLst>
              </c15:ser>
            </c15:filteredScatterSeries>
          </c:ext>
        </c:extLst>
      </c:scatterChart>
      <c:valAx>
        <c:axId val="2140103056"/>
        <c:scaling>
          <c:orientation val="minMax"/>
          <c:max val="15"/>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Life span (years)</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0104496"/>
        <c:crosses val="autoZero"/>
        <c:crossBetween val="midCat"/>
      </c:valAx>
      <c:valAx>
        <c:axId val="21401044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0103056"/>
        <c:crosses val="autoZero"/>
        <c:crossBetween val="midCat"/>
      </c:val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Life</a:t>
            </a:r>
            <a:r>
              <a:rPr lang="en-US" baseline="0"/>
              <a:t> cycle emissions</a:t>
            </a:r>
            <a:r>
              <a:rPr lang="en-US"/>
              <a:t> </a:t>
            </a:r>
            <a:r>
              <a:rPr lang="en-US" baseline="0"/>
              <a:t>vs. VMT</a:t>
            </a:r>
            <a:endParaRPr lang="en-US"/>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Sensitivity!$B$1</c:f>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Sensitivity!$E$2:$E$49</c:f>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f>(US_Results!$P$3,US_Results!$P$5:$P$12,US_Results!$P$14:$P$52)</c:f>
              <c:numCache>
                <c:formatCode>0</c:formatCode>
                <c:ptCount val="48"/>
                <c:pt idx="0">
                  <c:v>37.168801967569827</c:v>
                </c:pt>
                <c:pt idx="1">
                  <c:v>27.073708240871571</c:v>
                </c:pt>
                <c:pt idx="2">
                  <c:v>44.423688691656189</c:v>
                </c:pt>
                <c:pt idx="3">
                  <c:v>19.252662043639923</c:v>
                </c:pt>
                <c:pt idx="4">
                  <c:v>36.015301882118379</c:v>
                </c:pt>
                <c:pt idx="5">
                  <c:v>23.648506319461397</c:v>
                </c:pt>
                <c:pt idx="6">
                  <c:v>32.113003416850937</c:v>
                </c:pt>
                <c:pt idx="7">
                  <c:v>33.703296877011461</c:v>
                </c:pt>
                <c:pt idx="8">
                  <c:v>38.797570544861593</c:v>
                </c:pt>
                <c:pt idx="9">
                  <c:v>21.136598175004703</c:v>
                </c:pt>
                <c:pt idx="10">
                  <c:v>21.103183692834492</c:v>
                </c:pt>
                <c:pt idx="11">
                  <c:v>62.686557990553453</c:v>
                </c:pt>
                <c:pt idx="12">
                  <c:v>29.72163320526073</c:v>
                </c:pt>
                <c:pt idx="13">
                  <c:v>30.654779079113545</c:v>
                </c:pt>
                <c:pt idx="14">
                  <c:v>64.084978557539259</c:v>
                </c:pt>
                <c:pt idx="15">
                  <c:v>35.197090979428992</c:v>
                </c:pt>
                <c:pt idx="16">
                  <c:v>21.193838510207684</c:v>
                </c:pt>
                <c:pt idx="17">
                  <c:v>23.787373770587489</c:v>
                </c:pt>
                <c:pt idx="18">
                  <c:v>30.880021055130534</c:v>
                </c:pt>
                <c:pt idx="19">
                  <c:v>37.429646240370978</c:v>
                </c:pt>
                <c:pt idx="20">
                  <c:v>41.981127011257463</c:v>
                </c:pt>
                <c:pt idx="21">
                  <c:v>47.520200918076796</c:v>
                </c:pt>
                <c:pt idx="22">
                  <c:v>63.639901228254118</c:v>
                </c:pt>
                <c:pt idx="23">
                  <c:v>46.900896586488216</c:v>
                </c:pt>
                <c:pt idx="24">
                  <c:v>40.856316160062043</c:v>
                </c:pt>
                <c:pt idx="25">
                  <c:v>29.823954553593865</c:v>
                </c:pt>
                <c:pt idx="26">
                  <c:v>15.723291129646082</c:v>
                </c:pt>
                <c:pt idx="27">
                  <c:v>21.655196257233996</c:v>
                </c:pt>
                <c:pt idx="28">
                  <c:v>42.406857116648368</c:v>
                </c:pt>
                <c:pt idx="29">
                  <c:v>17.895338085375986</c:v>
                </c:pt>
                <c:pt idx="30">
                  <c:v>31.516891364758436</c:v>
                </c:pt>
                <c:pt idx="31">
                  <c:v>59.849072601494505</c:v>
                </c:pt>
                <c:pt idx="32">
                  <c:v>42.09849866285272</c:v>
                </c:pt>
                <c:pt idx="33">
                  <c:v>34.567030174308385</c:v>
                </c:pt>
                <c:pt idx="34">
                  <c:v>18.958958841388053</c:v>
                </c:pt>
                <c:pt idx="35">
                  <c:v>24.545192672323981</c:v>
                </c:pt>
                <c:pt idx="36">
                  <c:v>25.10796855540346</c:v>
                </c:pt>
                <c:pt idx="37">
                  <c:v>26.279526812390046</c:v>
                </c:pt>
                <c:pt idx="38">
                  <c:v>22.871602959817281</c:v>
                </c:pt>
                <c:pt idx="39">
                  <c:v>28.714900440302152</c:v>
                </c:pt>
                <c:pt idx="40">
                  <c:v>34.919648521711167</c:v>
                </c:pt>
                <c:pt idx="41">
                  <c:v>54.194105232111355</c:v>
                </c:pt>
                <c:pt idx="42">
                  <c:v>10.813366064288488</c:v>
                </c:pt>
                <c:pt idx="43">
                  <c:v>27.291810198026717</c:v>
                </c:pt>
                <c:pt idx="44">
                  <c:v>14.24567275305758</c:v>
                </c:pt>
                <c:pt idx="45">
                  <c:v>74.76677664111584</c:v>
                </c:pt>
                <c:pt idx="46">
                  <c:v>48.452607939322121</c:v>
                </c:pt>
                <c:pt idx="47">
                  <c:v>99.177438824284408</c:v>
                </c:pt>
              </c:numCache>
            </c:numRef>
          </c:yVal>
          <c:smooth val="0"/>
          <c:extLst>
            <c:ext xmlns:c16="http://schemas.microsoft.com/office/drawing/2014/chart" uri="{C3380CC4-5D6E-409C-BE32-E72D297353CC}">
              <c16:uniqueId val="{00000001-DA28-45DF-9F75-A7740AFCF1DC}"/>
            </c:ext>
          </c:extLst>
        </c:ser>
        <c:ser>
          <c:idx val="1"/>
          <c:order val="1"/>
          <c:tx>
            <c:strRef>
              <c:f>Sensitivity!$C$1</c:f>
              <c:strCache>
                <c:ptCount val="1"/>
                <c:pt idx="0">
                  <c:v>HEV</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Sensitivity!$E$2:$E$49</c:f>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f>(US_Results!$Y$3,US_Results!$Y$5:$Y$12,US_Results!$Y$14:$Y$52)</c:f>
              <c:numCache>
                <c:formatCode>0</c:formatCode>
                <c:ptCount val="48"/>
                <c:pt idx="0">
                  <c:v>58.647582054766019</c:v>
                </c:pt>
                <c:pt idx="1">
                  <c:v>43.511721217779517</c:v>
                </c:pt>
                <c:pt idx="2">
                  <c:v>56.974469804378494</c:v>
                </c:pt>
                <c:pt idx="3">
                  <c:v>41.359973081133518</c:v>
                </c:pt>
                <c:pt idx="4">
                  <c:v>43.642523971132626</c:v>
                </c:pt>
                <c:pt idx="5">
                  <c:v>40.637064900428101</c:v>
                </c:pt>
                <c:pt idx="6">
                  <c:v>41.912856595491363</c:v>
                </c:pt>
                <c:pt idx="7">
                  <c:v>47.956034540381808</c:v>
                </c:pt>
                <c:pt idx="8">
                  <c:v>60.29990334423087</c:v>
                </c:pt>
                <c:pt idx="9">
                  <c:v>49.050832220596547</c:v>
                </c:pt>
                <c:pt idx="10">
                  <c:v>42.15924621696329</c:v>
                </c:pt>
                <c:pt idx="11">
                  <c:v>60.301610224467439</c:v>
                </c:pt>
                <c:pt idx="12">
                  <c:v>49.848501924294013</c:v>
                </c:pt>
                <c:pt idx="13">
                  <c:v>49.491618975902384</c:v>
                </c:pt>
                <c:pt idx="14">
                  <c:v>54.15452461050166</c:v>
                </c:pt>
                <c:pt idx="15">
                  <c:v>49.254013355310057</c:v>
                </c:pt>
                <c:pt idx="16">
                  <c:v>48.516990080754901</c:v>
                </c:pt>
                <c:pt idx="17">
                  <c:v>44.877737329758219</c:v>
                </c:pt>
                <c:pt idx="18">
                  <c:v>44.034700270090326</c:v>
                </c:pt>
                <c:pt idx="19">
                  <c:v>48.56076996865395</c:v>
                </c:pt>
                <c:pt idx="20">
                  <c:v>61.46317936045191</c:v>
                </c:pt>
                <c:pt idx="21">
                  <c:v>65.775241164612439</c:v>
                </c:pt>
                <c:pt idx="22">
                  <c:v>61.814466554472801</c:v>
                </c:pt>
                <c:pt idx="23">
                  <c:v>54.199775060315702</c:v>
                </c:pt>
                <c:pt idx="24">
                  <c:v>50.029722190221626</c:v>
                </c:pt>
                <c:pt idx="25">
                  <c:v>46.93014894569027</c:v>
                </c:pt>
                <c:pt idx="26">
                  <c:v>39.270854025115419</c:v>
                </c:pt>
                <c:pt idx="27">
                  <c:v>40.895090756487321</c:v>
                </c:pt>
                <c:pt idx="28">
                  <c:v>63.782068862131482</c:v>
                </c:pt>
                <c:pt idx="29">
                  <c:v>34.37163235430976</c:v>
                </c:pt>
                <c:pt idx="30">
                  <c:v>53.037024971380646</c:v>
                </c:pt>
                <c:pt idx="31">
                  <c:v>60.694050332405283</c:v>
                </c:pt>
                <c:pt idx="32">
                  <c:v>47.807410576952471</c:v>
                </c:pt>
                <c:pt idx="33">
                  <c:v>58.832234823031293</c:v>
                </c:pt>
                <c:pt idx="34">
                  <c:v>41.074691438059901</c:v>
                </c:pt>
                <c:pt idx="35">
                  <c:v>38.414243967296741</c:v>
                </c:pt>
                <c:pt idx="36">
                  <c:v>33.325806671433661</c:v>
                </c:pt>
                <c:pt idx="37">
                  <c:v>49.180755653603825</c:v>
                </c:pt>
                <c:pt idx="38">
                  <c:v>52.833074520797147</c:v>
                </c:pt>
                <c:pt idx="39">
                  <c:v>50.608405109313544</c:v>
                </c:pt>
                <c:pt idx="40">
                  <c:v>53.494607853948516</c:v>
                </c:pt>
                <c:pt idx="41">
                  <c:v>52.245698067682547</c:v>
                </c:pt>
                <c:pt idx="42">
                  <c:v>44.243394755957389</c:v>
                </c:pt>
                <c:pt idx="43">
                  <c:v>48.111092715473866</c:v>
                </c:pt>
                <c:pt idx="44">
                  <c:v>36.867630068513549</c:v>
                </c:pt>
                <c:pt idx="45">
                  <c:v>56.278688054022673</c:v>
                </c:pt>
                <c:pt idx="46">
                  <c:v>52.663178352622644</c:v>
                </c:pt>
                <c:pt idx="47">
                  <c:v>82.279407348314066</c:v>
                </c:pt>
              </c:numCache>
            </c:numRef>
          </c:yVal>
          <c:smooth val="0"/>
          <c:extLst>
            <c:ext xmlns:c16="http://schemas.microsoft.com/office/drawing/2014/chart" uri="{C3380CC4-5D6E-409C-BE32-E72D297353CC}">
              <c16:uniqueId val="{00000003-DA28-45DF-9F75-A7740AFCF1DC}"/>
            </c:ext>
          </c:extLst>
        </c:ser>
        <c:dLbls>
          <c:showLegendKey val="0"/>
          <c:showVal val="0"/>
          <c:showCatName val="0"/>
          <c:showSerName val="0"/>
          <c:showPercent val="0"/>
          <c:showBubbleSize val="0"/>
        </c:dLbls>
        <c:axId val="1445690064"/>
        <c:axId val="1445711664"/>
        <c:extLst>
          <c:ext xmlns:c15="http://schemas.microsoft.com/office/drawing/2012/chart" uri="{02D57815-91ED-43cb-92C2-25804820EDAC}">
            <c15:filteredScatterSeries>
              <c15:ser>
                <c:idx val="2"/>
                <c:order val="2"/>
                <c:tx>
                  <c:strRef>
                    <c:extLst>
                      <c:ext uri="{02D57815-91ED-43cb-92C2-25804820EDAC}">
                        <c15:formulaRef>
                          <c15:sqref>Sensitivity!$D$1</c15:sqref>
                        </c15:formulaRef>
                      </c:ext>
                    </c:extLst>
                    <c:strCache>
                      <c:ptCount val="1"/>
                      <c:pt idx="0">
                        <c:v>H2ICEV</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numRef>
                    <c:extLst>
                      <c:ext uri="{02D57815-91ED-43cb-92C2-25804820EDAC}">
                        <c15:formulaRef>
                          <c15:sqref>Sensitivity!$E$2:$E$49</c15:sqref>
                        </c15:formulaRef>
                      </c:ext>
                    </c:extLst>
                    <c:numCache>
                      <c:formatCode>0</c:formatCode>
                      <c:ptCount val="48"/>
                      <c:pt idx="0">
                        <c:v>234038.85566590686</c:v>
                      </c:pt>
                      <c:pt idx="1">
                        <c:v>171946.378215565</c:v>
                      </c:pt>
                      <c:pt idx="2">
                        <c:v>226249.38261152719</c:v>
                      </c:pt>
                      <c:pt idx="3">
                        <c:v>164511.56919570174</c:v>
                      </c:pt>
                      <c:pt idx="4">
                        <c:v>169437.45856398568</c:v>
                      </c:pt>
                      <c:pt idx="5">
                        <c:v>159165.33726799089</c:v>
                      </c:pt>
                      <c:pt idx="6">
                        <c:v>165628.10411917945</c:v>
                      </c:pt>
                      <c:pt idx="7">
                        <c:v>191216.45742429176</c:v>
                      </c:pt>
                      <c:pt idx="8">
                        <c:v>240830.01514164766</c:v>
                      </c:pt>
                      <c:pt idx="9">
                        <c:v>189377.45872679906</c:v>
                      </c:pt>
                      <c:pt idx="10">
                        <c:v>165260.30437968092</c:v>
                      </c:pt>
                      <c:pt idx="11">
                        <c:v>236757.9465971996</c:v>
                      </c:pt>
                      <c:pt idx="12">
                        <c:v>193685.96996092476</c:v>
                      </c:pt>
                      <c:pt idx="13">
                        <c:v>194158.85534028005</c:v>
                      </c:pt>
                      <c:pt idx="14">
                        <c:v>214177.66973298602</c:v>
                      </c:pt>
                      <c:pt idx="15">
                        <c:v>196391.92518723547</c:v>
                      </c:pt>
                      <c:pt idx="16">
                        <c:v>186724.04632041685</c:v>
                      </c:pt>
                      <c:pt idx="17">
                        <c:v>177200.66020840118</c:v>
                      </c:pt>
                      <c:pt idx="18">
                        <c:v>172195.95661022473</c:v>
                      </c:pt>
                      <c:pt idx="19">
                        <c:v>187932.53117876913</c:v>
                      </c:pt>
                      <c:pt idx="20">
                        <c:v>235247.34052425917</c:v>
                      </c:pt>
                      <c:pt idx="21">
                        <c:v>262267.48567241943</c:v>
                      </c:pt>
                      <c:pt idx="22">
                        <c:v>243286.39197329865</c:v>
                      </c:pt>
                      <c:pt idx="23">
                        <c:v>208594.99511559756</c:v>
                      </c:pt>
                      <c:pt idx="24">
                        <c:v>195012.6761641159</c:v>
                      </c:pt>
                      <c:pt idx="25">
                        <c:v>184110.04102898081</c:v>
                      </c:pt>
                      <c:pt idx="26">
                        <c:v>151980.1066427874</c:v>
                      </c:pt>
                      <c:pt idx="27">
                        <c:v>161083.1501953761</c:v>
                      </c:pt>
                      <c:pt idx="28">
                        <c:v>251640.7003419082</c:v>
                      </c:pt>
                      <c:pt idx="29">
                        <c:v>133550.7125529144</c:v>
                      </c:pt>
                      <c:pt idx="30">
                        <c:v>211130.186177141</c:v>
                      </c:pt>
                      <c:pt idx="31">
                        <c:v>232121.04273852165</c:v>
                      </c:pt>
                      <c:pt idx="32">
                        <c:v>187551.59573428857</c:v>
                      </c:pt>
                      <c:pt idx="33">
                        <c:v>232488.84247802023</c:v>
                      </c:pt>
                      <c:pt idx="34">
                        <c:v>160492.043471182</c:v>
                      </c:pt>
                      <c:pt idx="35">
                        <c:v>150338.14352002606</c:v>
                      </c:pt>
                      <c:pt idx="36">
                        <c:v>130844.75732660374</c:v>
                      </c:pt>
                      <c:pt idx="37">
                        <c:v>196260.56813741455</c:v>
                      </c:pt>
                      <c:pt idx="38">
                        <c:v>204141.99112666884</c:v>
                      </c:pt>
                      <c:pt idx="39">
                        <c:v>200805.52206121784</c:v>
                      </c:pt>
                      <c:pt idx="40">
                        <c:v>212430.62097036801</c:v>
                      </c:pt>
                      <c:pt idx="41">
                        <c:v>203813.5985021166</c:v>
                      </c:pt>
                      <c:pt idx="42">
                        <c:v>170816.70758710516</c:v>
                      </c:pt>
                      <c:pt idx="43">
                        <c:v>190585.94358515143</c:v>
                      </c:pt>
                      <c:pt idx="44">
                        <c:v>143822.83384890918</c:v>
                      </c:pt>
                      <c:pt idx="45">
                        <c:v>221678.15727775972</c:v>
                      </c:pt>
                      <c:pt idx="46">
                        <c:v>202841.5563334419</c:v>
                      </c:pt>
                      <c:pt idx="47">
                        <c:v>316163.28321393684</c:v>
                      </c:pt>
                    </c:numCache>
                  </c:numRef>
                </c:xVal>
                <c:yVal>
                  <c:numRef>
                    <c:extLst>
                      <c:ext uri="{02D57815-91ED-43cb-92C2-25804820EDAC}">
                        <c15:formulaRef>
                          <c15:sqref>Sensitivity!$D$2:$D$49</c15:sqref>
                        </c15:formulaRef>
                      </c:ext>
                    </c:extLst>
                    <c:numCache>
                      <c:formatCode>0</c:formatCode>
                      <c:ptCount val="48"/>
                      <c:pt idx="0">
                        <c:v>110043.68933455604</c:v>
                      </c:pt>
                      <c:pt idx="1">
                        <c:v>95977.352689741732</c:v>
                      </c:pt>
                      <c:pt idx="2">
                        <c:v>111035.63056955268</c:v>
                      </c:pt>
                      <c:pt idx="3">
                        <c:v>98807.504054614314</c:v>
                      </c:pt>
                      <c:pt idx="4">
                        <c:v>97663.830948421091</c:v>
                      </c:pt>
                      <c:pt idx="5">
                        <c:v>96105.449011848366</c:v>
                      </c:pt>
                      <c:pt idx="6">
                        <c:v>98351.507507393471</c:v>
                      </c:pt>
                      <c:pt idx="7">
                        <c:v>115008.97950445519</c:v>
                      </c:pt>
                      <c:pt idx="8">
                        <c:v>112209.9743732764</c:v>
                      </c:pt>
                      <c:pt idx="9">
                        <c:v>92487.779369125608</c:v>
                      </c:pt>
                      <c:pt idx="10">
                        <c:v>91452.952638677321</c:v>
                      </c:pt>
                      <c:pt idx="11">
                        <c:v>105232.18229162048</c:v>
                      </c:pt>
                      <c:pt idx="12">
                        <c:v>94670.435595496878</c:v>
                      </c:pt>
                      <c:pt idx="13">
                        <c:v>102828.32519207141</c:v>
                      </c:pt>
                      <c:pt idx="14">
                        <c:v>113961.89622626353</c:v>
                      </c:pt>
                      <c:pt idx="15">
                        <c:v>115242.63244263909</c:v>
                      </c:pt>
                      <c:pt idx="16">
                        <c:v>92516.767739199786</c:v>
                      </c:pt>
                      <c:pt idx="17">
                        <c:v>100684.81995478109</c:v>
                      </c:pt>
                      <c:pt idx="18">
                        <c:v>95575.961518764379</c:v>
                      </c:pt>
                      <c:pt idx="19">
                        <c:v>111135.40795750158</c:v>
                      </c:pt>
                      <c:pt idx="20">
                        <c:v>107786.49538452752</c:v>
                      </c:pt>
                      <c:pt idx="21">
                        <c:v>116783.25831530656</c:v>
                      </c:pt>
                      <c:pt idx="22">
                        <c:v>111863.60841201789</c:v>
                      </c:pt>
                      <c:pt idx="23">
                        <c:v>102993.94810684049</c:v>
                      </c:pt>
                      <c:pt idx="24">
                        <c:v>105412.59350255555</c:v>
                      </c:pt>
                      <c:pt idx="25">
                        <c:v>107322.67341625161</c:v>
                      </c:pt>
                      <c:pt idx="26">
                        <c:v>84252.665070989155</c:v>
                      </c:pt>
                      <c:pt idx="27">
                        <c:v>101858.4653767579</c:v>
                      </c:pt>
                      <c:pt idx="28">
                        <c:v>111065.07610356294</c:v>
                      </c:pt>
                      <c:pt idx="29">
                        <c:v>95915.998317875274</c:v>
                      </c:pt>
                      <c:pt idx="30">
                        <c:v>93879.380013843154</c:v>
                      </c:pt>
                      <c:pt idx="31">
                        <c:v>107216.44027770974</c:v>
                      </c:pt>
                      <c:pt idx="32">
                        <c:v>90648.635261462943</c:v>
                      </c:pt>
                      <c:pt idx="33">
                        <c:v>112101.12673010735</c:v>
                      </c:pt>
                      <c:pt idx="34">
                        <c:v>88139.453050996439</c:v>
                      </c:pt>
                      <c:pt idx="35">
                        <c:v>93101.514877877882</c:v>
                      </c:pt>
                      <c:pt idx="36">
                        <c:v>92194.585740223964</c:v>
                      </c:pt>
                      <c:pt idx="37">
                        <c:v>105183.17356028568</c:v>
                      </c:pt>
                      <c:pt idx="38">
                        <c:v>103083.99051708203</c:v>
                      </c:pt>
                      <c:pt idx="39">
                        <c:v>98272.301477133573</c:v>
                      </c:pt>
                      <c:pt idx="40">
                        <c:v>107707.39308040847</c:v>
                      </c:pt>
                      <c:pt idx="41">
                        <c:v>101825.72944605316</c:v>
                      </c:pt>
                      <c:pt idx="42">
                        <c:v>89570.141875757588</c:v>
                      </c:pt>
                      <c:pt idx="43">
                        <c:v>95403.632845369866</c:v>
                      </c:pt>
                      <c:pt idx="44">
                        <c:v>90209.35034836024</c:v>
                      </c:pt>
                      <c:pt idx="45">
                        <c:v>107863.11472520935</c:v>
                      </c:pt>
                      <c:pt idx="46">
                        <c:v>95948.13688374123</c:v>
                      </c:pt>
                      <c:pt idx="47">
                        <c:v>125580.68025226519</c:v>
                      </c:pt>
                    </c:numCache>
                  </c:numRef>
                </c:yVal>
                <c:smooth val="0"/>
                <c:extLst>
                  <c:ext xmlns:c16="http://schemas.microsoft.com/office/drawing/2014/chart" uri="{C3380CC4-5D6E-409C-BE32-E72D297353CC}">
                    <c16:uniqueId val="{00000005-DA28-45DF-9F75-A7740AFCF1DC}"/>
                  </c:ext>
                </c:extLst>
              </c15:ser>
            </c15:filteredScatterSeries>
          </c:ext>
        </c:extLst>
      </c:scatterChart>
      <c:valAx>
        <c:axId val="1445690064"/>
        <c:scaling>
          <c:orientation val="minMax"/>
          <c:max val="320000"/>
          <c:min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Travel</a:t>
                </a:r>
                <a:r>
                  <a:rPr lang="en-US" baseline="0"/>
                  <a:t> mileage (k miles)</a:t>
                </a:r>
                <a:endParaRPr lang="en-US"/>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711664"/>
        <c:crosses val="autoZero"/>
        <c:crossBetween val="midCat"/>
        <c:dispUnits>
          <c:builtInUnit val="thousands"/>
        </c:dispUnits>
      </c:valAx>
      <c:valAx>
        <c:axId val="144571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45690064"/>
        <c:crosses val="autoZero"/>
        <c:crossBetween val="midCat"/>
      </c:valAx>
      <c:spPr>
        <a:noFill/>
        <a:ln>
          <a:solidFill>
            <a:schemeClr val="tx1"/>
          </a:solid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Life cycle emissions vs. Grid</a:t>
            </a:r>
            <a:r>
              <a:rPr lang="en-US" baseline="0"/>
              <a:t> electricity CI</a:t>
            </a:r>
            <a:endParaRPr lang="en-US"/>
          </a:p>
        </c:rich>
      </c:tx>
      <c:overlay val="0"/>
      <c:spPr>
        <a:noFill/>
        <a:ln>
          <a:noFill/>
        </a:ln>
        <a:effectLst/>
      </c:spPr>
      <c:txPr>
        <a:bodyPr rot="0" spcFirstLastPara="1" vertOverflow="ellipsis" vert="horz" wrap="square" anchor="ctr" anchorCtr="1"/>
        <a:lstStyle/>
        <a:p>
          <a:pPr>
            <a:defRPr lang="en-US"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v>BEV</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Sensitivity!$H$2:$H$49</c:f>
              <c:numCache>
                <c:formatCode>0.0</c:formatCode>
                <c:ptCount val="48"/>
                <c:pt idx="0">
                  <c:v>394.2334595830348</c:v>
                </c:pt>
                <c:pt idx="1">
                  <c:v>375.41542976080802</c:v>
                </c:pt>
                <c:pt idx="2">
                  <c:v>526.77858532091307</c:v>
                </c:pt>
                <c:pt idx="3">
                  <c:v>227.33476643805236</c:v>
                </c:pt>
                <c:pt idx="4">
                  <c:v>528.58702699013884</c:v>
                </c:pt>
                <c:pt idx="5">
                  <c:v>323.32207322482685</c:v>
                </c:pt>
                <c:pt idx="6">
                  <c:v>506.20329614085375</c:v>
                </c:pt>
                <c:pt idx="7">
                  <c:v>470.59405602757022</c:v>
                </c:pt>
                <c:pt idx="8">
                  <c:v>404.98856928378888</c:v>
                </c:pt>
                <c:pt idx="9">
                  <c:v>182.33186610707341</c:v>
                </c:pt>
                <c:pt idx="10">
                  <c:v>251.27443955369026</c:v>
                </c:pt>
                <c:pt idx="11">
                  <c:v>740.39990445968544</c:v>
                </c:pt>
                <c:pt idx="12">
                  <c:v>329.64138260483844</c:v>
                </c:pt>
                <c:pt idx="13">
                  <c:v>362.07390725765174</c:v>
                </c:pt>
                <c:pt idx="14">
                  <c:v>891.92684341624874</c:v>
                </c:pt>
                <c:pt idx="15">
                  <c:v>476.26164397584193</c:v>
                </c:pt>
                <c:pt idx="16">
                  <c:v>185.89074282594603</c:v>
                </c:pt>
                <c:pt idx="17">
                  <c:v>284.38598287098648</c:v>
                </c:pt>
                <c:pt idx="18">
                  <c:v>428.33111543317295</c:v>
                </c:pt>
                <c:pt idx="19">
                  <c:v>477.94724809772413</c:v>
                </c:pt>
                <c:pt idx="20">
                  <c:v>390.67117071006925</c:v>
                </c:pt>
                <c:pt idx="21">
                  <c:v>480.71109291295596</c:v>
                </c:pt>
                <c:pt idx="22">
                  <c:v>740.07233766676904</c:v>
                </c:pt>
                <c:pt idx="23">
                  <c:v>551.85109359538683</c:v>
                </c:pt>
                <c:pt idx="24">
                  <c:v>527.47466475586043</c:v>
                </c:pt>
                <c:pt idx="25">
                  <c:v>372.51168662776814</c:v>
                </c:pt>
                <c:pt idx="26">
                  <c:v>156.22206298836457</c:v>
                </c:pt>
                <c:pt idx="27">
                  <c:v>281.29115910874538</c:v>
                </c:pt>
                <c:pt idx="28">
                  <c:v>406.26130276043267</c:v>
                </c:pt>
                <c:pt idx="29">
                  <c:v>263.05660763640088</c:v>
                </c:pt>
                <c:pt idx="30">
                  <c:v>351.35974340601223</c:v>
                </c:pt>
                <c:pt idx="31">
                  <c:v>645.09844064557956</c:v>
                </c:pt>
                <c:pt idx="32">
                  <c:v>595.85082062305935</c:v>
                </c:pt>
                <c:pt idx="33">
                  <c:v>341.75452963455831</c:v>
                </c:pt>
                <c:pt idx="34">
                  <c:v>213.6383799092367</c:v>
                </c:pt>
                <c:pt idx="35">
                  <c:v>373.77759579622619</c:v>
                </c:pt>
                <c:pt idx="36">
                  <c:v>480.50636366738325</c:v>
                </c:pt>
                <c:pt idx="37">
                  <c:v>298.22909202579586</c:v>
                </c:pt>
                <c:pt idx="38">
                  <c:v>184.35527348415056</c:v>
                </c:pt>
                <c:pt idx="39">
                  <c:v>322.67717610127272</c:v>
                </c:pt>
                <c:pt idx="40">
                  <c:v>413.00030709386834</c:v>
                </c:pt>
                <c:pt idx="41">
                  <c:v>724.74835363565023</c:v>
                </c:pt>
                <c:pt idx="42">
                  <c:v>21.568226021087114</c:v>
                </c:pt>
                <c:pt idx="43">
                  <c:v>320.18630361347118</c:v>
                </c:pt>
                <c:pt idx="44">
                  <c:v>146.53495751868155</c:v>
                </c:pt>
                <c:pt idx="45">
                  <c:v>1012.7307469205309</c:v>
                </c:pt>
                <c:pt idx="46">
                  <c:v>600.34462756338075</c:v>
                </c:pt>
                <c:pt idx="47">
                  <c:v>837.56099225441028</c:v>
                </c:pt>
              </c:numCache>
            </c:numRef>
          </c:xVal>
          <c:yVal>
            <c:numRef>
              <c:f>Sensitivity!$I$2:$I$49</c:f>
              <c:numCache>
                <c:formatCode>General</c:formatCode>
                <c:ptCount val="48"/>
                <c:pt idx="0">
                  <c:v>37.168801967569827</c:v>
                </c:pt>
                <c:pt idx="1">
                  <c:v>27.073708240871571</c:v>
                </c:pt>
                <c:pt idx="2">
                  <c:v>44.423688691656189</c:v>
                </c:pt>
                <c:pt idx="3">
                  <c:v>19.252662043639923</c:v>
                </c:pt>
                <c:pt idx="4">
                  <c:v>36.015301882118379</c:v>
                </c:pt>
                <c:pt idx="5">
                  <c:v>23.648506319461397</c:v>
                </c:pt>
                <c:pt idx="6">
                  <c:v>32.113003416850937</c:v>
                </c:pt>
                <c:pt idx="7">
                  <c:v>33.703296877011461</c:v>
                </c:pt>
                <c:pt idx="8">
                  <c:v>38.797570544861593</c:v>
                </c:pt>
                <c:pt idx="9">
                  <c:v>21.136598175004703</c:v>
                </c:pt>
                <c:pt idx="10">
                  <c:v>21.103183692834492</c:v>
                </c:pt>
                <c:pt idx="11">
                  <c:v>62.686557990553453</c:v>
                </c:pt>
                <c:pt idx="12">
                  <c:v>29.72163320526073</c:v>
                </c:pt>
                <c:pt idx="13">
                  <c:v>30.654779079113545</c:v>
                </c:pt>
                <c:pt idx="14">
                  <c:v>64.084978557539259</c:v>
                </c:pt>
                <c:pt idx="15">
                  <c:v>35.197090979428992</c:v>
                </c:pt>
                <c:pt idx="16">
                  <c:v>21.193838510207684</c:v>
                </c:pt>
                <c:pt idx="17">
                  <c:v>23.787373770587489</c:v>
                </c:pt>
                <c:pt idx="18">
                  <c:v>30.880021055130534</c:v>
                </c:pt>
                <c:pt idx="19">
                  <c:v>37.429646240370978</c:v>
                </c:pt>
                <c:pt idx="20">
                  <c:v>41.981127011257463</c:v>
                </c:pt>
                <c:pt idx="21">
                  <c:v>47.520200918076796</c:v>
                </c:pt>
                <c:pt idx="22">
                  <c:v>63.639901228254118</c:v>
                </c:pt>
                <c:pt idx="23">
                  <c:v>46.900896586488216</c:v>
                </c:pt>
                <c:pt idx="24">
                  <c:v>40.856316160062043</c:v>
                </c:pt>
                <c:pt idx="25">
                  <c:v>29.823954553593865</c:v>
                </c:pt>
                <c:pt idx="26">
                  <c:v>15.723291129646082</c:v>
                </c:pt>
                <c:pt idx="27">
                  <c:v>21.655196257233996</c:v>
                </c:pt>
                <c:pt idx="28">
                  <c:v>42.406857116648368</c:v>
                </c:pt>
                <c:pt idx="29">
                  <c:v>17.895338085375986</c:v>
                </c:pt>
                <c:pt idx="30">
                  <c:v>31.516891364758436</c:v>
                </c:pt>
                <c:pt idx="31">
                  <c:v>59.849072601494505</c:v>
                </c:pt>
                <c:pt idx="32">
                  <c:v>42.09849866285272</c:v>
                </c:pt>
                <c:pt idx="33">
                  <c:v>34.567030174308385</c:v>
                </c:pt>
                <c:pt idx="34">
                  <c:v>18.958958841388053</c:v>
                </c:pt>
                <c:pt idx="35">
                  <c:v>24.545192672323981</c:v>
                </c:pt>
                <c:pt idx="36">
                  <c:v>25.10796855540346</c:v>
                </c:pt>
                <c:pt idx="37">
                  <c:v>26.279526812390046</c:v>
                </c:pt>
                <c:pt idx="38">
                  <c:v>22.871602959817281</c:v>
                </c:pt>
                <c:pt idx="39">
                  <c:v>28.714900440302152</c:v>
                </c:pt>
                <c:pt idx="40">
                  <c:v>34.919648521711167</c:v>
                </c:pt>
                <c:pt idx="41">
                  <c:v>54.194105232111355</c:v>
                </c:pt>
                <c:pt idx="42">
                  <c:v>10.813366064288488</c:v>
                </c:pt>
                <c:pt idx="43">
                  <c:v>27.291810198026717</c:v>
                </c:pt>
                <c:pt idx="44">
                  <c:v>14.24567275305758</c:v>
                </c:pt>
                <c:pt idx="45">
                  <c:v>74.76677664111584</c:v>
                </c:pt>
                <c:pt idx="46">
                  <c:v>48.452607939322121</c:v>
                </c:pt>
                <c:pt idx="47">
                  <c:v>99.177438824284408</c:v>
                </c:pt>
              </c:numCache>
            </c:numRef>
          </c:yVal>
          <c:smooth val="0"/>
          <c:extLst>
            <c:ext xmlns:c16="http://schemas.microsoft.com/office/drawing/2014/chart" uri="{C3380CC4-5D6E-409C-BE32-E72D297353CC}">
              <c16:uniqueId val="{00000000-ADA8-476D-A956-C7CE14E16F50}"/>
            </c:ext>
          </c:extLst>
        </c:ser>
        <c:dLbls>
          <c:showLegendKey val="0"/>
          <c:showVal val="0"/>
          <c:showCatName val="0"/>
          <c:showSerName val="0"/>
          <c:showPercent val="0"/>
          <c:showBubbleSize val="0"/>
        </c:dLbls>
        <c:axId val="1430241295"/>
        <c:axId val="1430242255"/>
      </c:scatterChart>
      <c:valAx>
        <c:axId val="14302412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CI (g/kWh)</a:t>
                </a:r>
              </a:p>
            </c:rich>
          </c:tx>
          <c:overlay val="0"/>
          <c:spPr>
            <a:noFill/>
            <a:ln>
              <a:noFill/>
            </a:ln>
            <a:effectLst/>
          </c:spPr>
          <c:txPr>
            <a:bodyPr rot="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30242255"/>
        <c:crosses val="autoZero"/>
        <c:crossBetween val="midCat"/>
      </c:valAx>
      <c:valAx>
        <c:axId val="143024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30241295"/>
        <c:crosses val="autoZero"/>
        <c:crossBetween val="midCat"/>
      </c:valAx>
      <c:spPr>
        <a:noFill/>
        <a:ln>
          <a:solidFill>
            <a:schemeClr val="tx1"/>
          </a:solid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National Avarage</a:t>
            </a:r>
            <a:r>
              <a:rPr lang="en-US" baseline="0"/>
              <a:t> vehicle a</a:t>
            </a:r>
            <a:r>
              <a:rPr lang="en-US"/>
              <a:t>batement cost ($/CO</a:t>
            </a:r>
            <a:r>
              <a:rPr lang="en-US" baseline="-25000"/>
              <a:t>2eq</a:t>
            </a:r>
            <a:r>
              <a:rPr lang="en-US"/>
              <a:t>)</a:t>
            </a:r>
          </a:p>
        </c:rich>
      </c:tx>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Sensitivity!$C$56</c:f>
              <c:strCache>
                <c:ptCount val="1"/>
                <c:pt idx="0">
                  <c:v>BEV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Sensitivity!$B$83:$B$87</c:f>
              <c:numCache>
                <c:formatCode>General</c:formatCode>
                <c:ptCount val="5"/>
                <c:pt idx="0">
                  <c:v>120</c:v>
                </c:pt>
                <c:pt idx="1">
                  <c:v>130</c:v>
                </c:pt>
                <c:pt idx="2">
                  <c:v>140</c:v>
                </c:pt>
                <c:pt idx="3">
                  <c:v>150</c:v>
                </c:pt>
                <c:pt idx="4">
                  <c:v>160</c:v>
                </c:pt>
              </c:numCache>
            </c:numRef>
          </c:xVal>
          <c:yVal>
            <c:numRef>
              <c:f>Sensitivity!$C$83:$C$87</c:f>
              <c:numCache>
                <c:formatCode>General</c:formatCode>
                <c:ptCount val="5"/>
                <c:pt idx="0">
                  <c:v>188</c:v>
                </c:pt>
                <c:pt idx="1">
                  <c:v>162</c:v>
                </c:pt>
                <c:pt idx="2">
                  <c:v>144</c:v>
                </c:pt>
                <c:pt idx="3">
                  <c:v>129</c:v>
                </c:pt>
                <c:pt idx="4">
                  <c:v>117</c:v>
                </c:pt>
              </c:numCache>
            </c:numRef>
          </c:yVal>
          <c:smooth val="0"/>
          <c:extLst>
            <c:ext xmlns:c16="http://schemas.microsoft.com/office/drawing/2014/chart" uri="{C3380CC4-5D6E-409C-BE32-E72D297353CC}">
              <c16:uniqueId val="{00000001-078C-45E4-8024-9D3CB41E3E7A}"/>
            </c:ext>
          </c:extLst>
        </c:ser>
        <c:dLbls>
          <c:showLegendKey val="0"/>
          <c:showVal val="0"/>
          <c:showCatName val="0"/>
          <c:showSerName val="0"/>
          <c:showPercent val="0"/>
          <c:showBubbleSize val="0"/>
        </c:dLbls>
        <c:axId val="2140103056"/>
        <c:axId val="2140104496"/>
        <c:extLst/>
      </c:scatterChart>
      <c:valAx>
        <c:axId val="2140103056"/>
        <c:scaling>
          <c:orientation val="minMax"/>
          <c:min val="1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Fuel economy</a:t>
                </a:r>
                <a:r>
                  <a:rPr lang="en-US" baseline="0"/>
                  <a:t> (MPGe)</a:t>
                </a:r>
                <a:endParaRPr lang="en-US"/>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0104496"/>
        <c:crosses val="autoZero"/>
        <c:crossBetween val="midCat"/>
      </c:valAx>
      <c:valAx>
        <c:axId val="2140104496"/>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40103056"/>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spPr>
            <a:solidFill>
              <a:schemeClr val="accent2"/>
            </a:solidFill>
            <a:ln>
              <a:noFill/>
            </a:ln>
            <a:effectLst/>
          </c:spPr>
          <c:invertIfNegative val="0"/>
          <c:dPt>
            <c:idx val="0"/>
            <c:invertIfNegative val="0"/>
            <c:bubble3D val="0"/>
            <c:spPr>
              <a:solidFill>
                <a:schemeClr val="accent2"/>
              </a:solidFill>
              <a:ln>
                <a:solidFill>
                  <a:schemeClr val="tx1"/>
                </a:solidFill>
              </a:ln>
              <a:effectLst/>
            </c:spPr>
            <c:extLst>
              <c:ext xmlns:c16="http://schemas.microsoft.com/office/drawing/2014/chart" uri="{C3380CC4-5D6E-409C-BE32-E72D297353CC}">
                <c16:uniqueId val="{00000007-BF3C-4035-B68B-F4ADCC0BAC94}"/>
              </c:ext>
            </c:extLst>
          </c:dPt>
          <c:dPt>
            <c:idx val="1"/>
            <c:invertIfNegative val="0"/>
            <c:bubble3D val="0"/>
            <c:spPr>
              <a:noFill/>
              <a:ln>
                <a:noFill/>
              </a:ln>
              <a:effectLst/>
            </c:spPr>
            <c:extLst>
              <c:ext xmlns:c16="http://schemas.microsoft.com/office/drawing/2014/chart" uri="{C3380CC4-5D6E-409C-BE32-E72D297353CC}">
                <c16:uniqueId val="{00000006-BF3C-4035-B68B-F4ADCC0BAC94}"/>
              </c:ext>
            </c:extLst>
          </c:dPt>
          <c:dLbls>
            <c:dLbl>
              <c:idx val="0"/>
              <c:layout>
                <c:manualLayout>
                  <c:x val="-2.1431497620660919E-2"/>
                  <c:y val="0.11285487751531059"/>
                </c:manualLayout>
              </c:layout>
              <c:tx>
                <c:rich>
                  <a:bodyPr/>
                  <a:lstStyle/>
                  <a:p>
                    <a:fld id="{A44D5FBE-C560-4F3A-B37A-48323014F5D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F3C-4035-B68B-F4ADCC0BAC94}"/>
                </c:ext>
              </c:extLst>
            </c:dLbl>
            <c:dLbl>
              <c:idx val="1"/>
              <c:layout>
                <c:manualLayout>
                  <c:x val="-0.18326144691854171"/>
                  <c:y val="0.12943268810148731"/>
                </c:manualLayout>
              </c:layout>
              <c:tx>
                <c:rich>
                  <a:bodyPr/>
                  <a:lstStyle/>
                  <a:p>
                    <a:fld id="{4742F0A6-C2E7-4D05-8EED-87BECF10B01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F3C-4035-B68B-F4ADCC0BAC94}"/>
                </c:ext>
              </c:extLst>
            </c:dLbl>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extLst>
                <c:ext xmlns:c15="http://schemas.microsoft.com/office/drawing/2012/chart" uri="{02D57815-91ED-43cb-92C2-25804820EDAC}">
                  <c15:fullRef>
                    <c15:sqref>Data!$B$118:$B$120</c15:sqref>
                  </c15:fullRef>
                </c:ext>
              </c:extLst>
              <c:f>Data!$B$118:$B$119</c:f>
              <c:strCache>
                <c:ptCount val="2"/>
                <c:pt idx="0">
                  <c:v>BEV</c:v>
                </c:pt>
                <c:pt idx="1">
                  <c:v>HEV</c:v>
                </c:pt>
              </c:strCache>
            </c:strRef>
          </c:cat>
          <c:val>
            <c:numRef>
              <c:extLst>
                <c:ext xmlns:c15="http://schemas.microsoft.com/office/drawing/2012/chart" uri="{02D57815-91ED-43cb-92C2-25804820EDAC}">
                  <c15:fullRef>
                    <c15:sqref>Data!$G$118:$G$120</c15:sqref>
                  </c15:fullRef>
                </c:ext>
              </c:extLst>
              <c:f>Data!$G$118:$G$119</c:f>
              <c:numCache>
                <c:formatCode>0</c:formatCode>
                <c:ptCount val="2"/>
                <c:pt idx="0">
                  <c:v>-7111.0615664656798</c:v>
                </c:pt>
                <c:pt idx="1">
                  <c:v>-3669.9629321113462</c:v>
                </c:pt>
              </c:numCache>
            </c:numRef>
          </c:val>
          <c:extLst>
            <c:ext xmlns:c15="http://schemas.microsoft.com/office/drawing/2012/chart" uri="{02D57815-91ED-43cb-92C2-25804820EDAC}">
              <c15:datalabelsRange>
                <c15:f>Data!$D$118:$D$120</c15:f>
                <c15:dlblRangeCache>
                  <c:ptCount val="3"/>
                  <c:pt idx="0">
                    <c:v>-$7,111</c:v>
                  </c:pt>
                  <c:pt idx="1">
                    <c:v>-$14,059</c:v>
                  </c:pt>
                  <c:pt idx="2">
                    <c:v>-72</c:v>
                  </c:pt>
                </c15:dlblRangeCache>
              </c15:datalabelsRange>
            </c:ext>
            <c:ext xmlns:c15="http://schemas.microsoft.com/office/drawing/2012/chart" uri="{02D57815-91ED-43cb-92C2-25804820EDAC}">
              <c15:categoryFilterExceptions>
                <c15:categoryFilterException>
                  <c15:sqref>Data!$G$120</c15:sqref>
                  <c15:spPr xmlns:c15="http://schemas.microsoft.com/office/drawing/2012/chart">
                    <a:solidFill>
                      <a:schemeClr val="accent2"/>
                    </a:solidFill>
                    <a:ln>
                      <a:solidFill>
                        <a:schemeClr val="tx1"/>
                      </a:solidFill>
                    </a:ln>
                    <a:effectLst/>
                  </c15:spPr>
                  <c15:invertIfNegative val="0"/>
                  <c15:bubble3D val="0"/>
                  <c15:dLbl>
                    <c:idx val="1"/>
                    <c:layout>
                      <c:manualLayout>
                        <c:x val="-9.4191522762951341E-2"/>
                        <c:y val="-7.0808727034120892E-3"/>
                      </c:manualLayout>
                    </c:layout>
                    <c:dLblPos val="ctr"/>
                    <c:showLegendKey val="0"/>
                    <c:showVal val="0"/>
                    <c:showCatName val="0"/>
                    <c:showSerName val="0"/>
                    <c:showPercent val="0"/>
                    <c:showBubbleSize val="0"/>
                    <c:extLst>
                      <c:ext uri="{CE6537A1-D6FC-4f65-9D91-7224C49458BB}">
                        <c15:dlblFieldTable/>
                        <c15:showDataLabelsRange val="1"/>
                      </c:ext>
                      <c:ext xmlns:c16="http://schemas.microsoft.com/office/drawing/2014/chart" uri="{C3380CC4-5D6E-409C-BE32-E72D297353CC}">
                        <c16:uniqueId val="{00000005-E34D-42AE-83DD-3808B74D6F19}"/>
                      </c:ext>
                    </c:extLst>
                  </c15:dLbl>
                </c15:categoryFilterException>
              </c15:categoryFilterExceptions>
            </c:ext>
            <c:ext xmlns:c16="http://schemas.microsoft.com/office/drawing/2014/chart" uri="{C3380CC4-5D6E-409C-BE32-E72D297353CC}">
              <c16:uniqueId val="{00000001-BF3C-4035-B68B-F4ADCC0BAC94}"/>
            </c:ext>
          </c:extLst>
        </c:ser>
        <c:ser>
          <c:idx val="0"/>
          <c:order val="1"/>
          <c:spPr>
            <a:solidFill>
              <a:schemeClr val="accent2"/>
            </a:solidFill>
            <a:ln>
              <a:solidFill>
                <a:schemeClr val="tx1"/>
              </a:solidFill>
            </a:ln>
            <a:effectLst/>
          </c:spPr>
          <c:invertIfNegative val="0"/>
          <c:dLbls>
            <c:dLbl>
              <c:idx val="0"/>
              <c:layout>
                <c:manualLayout>
                  <c:x val="0.14380273682406911"/>
                  <c:y val="-0.11805555555555555"/>
                </c:manualLayout>
              </c:layout>
              <c:tx>
                <c:rich>
                  <a:bodyPr/>
                  <a:lstStyle/>
                  <a:p>
                    <a:fld id="{45E753F0-7C40-4666-A3D8-B775E29499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F3C-4035-B68B-F4ADCC0BAC94}"/>
                </c:ext>
              </c:extLst>
            </c:dLbl>
            <c:dLbl>
              <c:idx val="1"/>
              <c:layout>
                <c:manualLayout>
                  <c:x val="0.16190347126490495"/>
                  <c:y val="0.13194635826771653"/>
                </c:manualLayout>
              </c:layout>
              <c:tx>
                <c:rich>
                  <a:bodyPr/>
                  <a:lstStyle/>
                  <a:p>
                    <a:fld id="{85081730-4DC9-4CBB-A163-16091964F8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F3C-4035-B68B-F4ADCC0BAC94}"/>
                </c:ext>
              </c:extLst>
            </c:dLbl>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extLst>
                <c:ext xmlns:c15="http://schemas.microsoft.com/office/drawing/2012/chart" uri="{02D57815-91ED-43cb-92C2-25804820EDAC}">
                  <c15:fullRef>
                    <c15:sqref>Data!$B$118:$B$120</c15:sqref>
                  </c15:fullRef>
                </c:ext>
              </c:extLst>
              <c:f>Data!$B$118:$B$119</c:f>
              <c:strCache>
                <c:ptCount val="2"/>
                <c:pt idx="0">
                  <c:v>BEV</c:v>
                </c:pt>
                <c:pt idx="1">
                  <c:v>HEV</c:v>
                </c:pt>
              </c:strCache>
            </c:strRef>
          </c:cat>
          <c:val>
            <c:numRef>
              <c:extLst>
                <c:ext xmlns:c15="http://schemas.microsoft.com/office/drawing/2012/chart" uri="{02D57815-91ED-43cb-92C2-25804820EDAC}">
                  <c15:fullRef>
                    <c15:sqref>Data!$F$118:$F$120</c15:sqref>
                  </c15:fullRef>
                </c:ext>
              </c:extLst>
              <c:f>Data!$F$118:$F$119</c:f>
              <c:numCache>
                <c:formatCode>0</c:formatCode>
                <c:ptCount val="2"/>
                <c:pt idx="0">
                  <c:v>21621.195648783643</c:v>
                </c:pt>
                <c:pt idx="1">
                  <c:v>-10389.446647019664</c:v>
                </c:pt>
              </c:numCache>
            </c:numRef>
          </c:val>
          <c:extLst>
            <c:ext xmlns:c15="http://schemas.microsoft.com/office/drawing/2012/chart" uri="{02D57815-91ED-43cb-92C2-25804820EDAC}">
              <c15:datalabelsRange>
                <c15:f>Data!$C$118:$C$120</c15:f>
                <c15:dlblRangeCache>
                  <c:ptCount val="3"/>
                  <c:pt idx="0">
                    <c:v>$21,621</c:v>
                  </c:pt>
                  <c:pt idx="1">
                    <c:v>-$3,670</c:v>
                  </c:pt>
                  <c:pt idx="2">
                    <c:v>111</c:v>
                  </c:pt>
                </c15:dlblRangeCache>
              </c15:datalabelsRange>
            </c:ext>
            <c:ext xmlns:c15="http://schemas.microsoft.com/office/drawing/2012/chart" uri="{02D57815-91ED-43cb-92C2-25804820EDAC}">
              <c15:categoryFilterExceptions>
                <c15:categoryFilterException>
                  <c15:sqref>Data!$F$120</c15:sqref>
                  <c15:dLbl>
                    <c:idx val="1"/>
                    <c:layout>
                      <c:manualLayout>
                        <c:x val="9.0005232862375717E-2"/>
                        <c:y val="3.472222222222222E-3"/>
                      </c:manualLayout>
                    </c:layout>
                    <c:showLegendKey val="0"/>
                    <c:showVal val="0"/>
                    <c:showCatName val="0"/>
                    <c:showSerName val="0"/>
                    <c:showPercent val="0"/>
                    <c:showBubbleSize val="0"/>
                    <c:extLst>
                      <c:ext uri="{CE6537A1-D6FC-4f65-9D91-7224C49458BB}">
                        <c15:dlblFieldTable/>
                        <c15:showDataLabelsRange val="1"/>
                      </c:ext>
                      <c:ext xmlns:c16="http://schemas.microsoft.com/office/drawing/2014/chart" uri="{C3380CC4-5D6E-409C-BE32-E72D297353CC}">
                        <c16:uniqueId val="{00000006-E34D-42AE-83DD-3808B74D6F19}"/>
                      </c:ext>
                    </c:extLst>
                  </c15:dLbl>
                </c15:categoryFilterException>
              </c15:categoryFilterExceptions>
            </c:ext>
            <c:ext xmlns:c16="http://schemas.microsoft.com/office/drawing/2014/chart" uri="{C3380CC4-5D6E-409C-BE32-E72D297353CC}">
              <c16:uniqueId val="{00000000-BF3C-4035-B68B-F4ADCC0BAC94}"/>
            </c:ext>
          </c:extLst>
        </c:ser>
        <c:dLbls>
          <c:showLegendKey val="0"/>
          <c:showVal val="0"/>
          <c:showCatName val="0"/>
          <c:showSerName val="0"/>
          <c:showPercent val="0"/>
          <c:showBubbleSize val="0"/>
        </c:dLbls>
        <c:gapWidth val="150"/>
        <c:overlap val="100"/>
        <c:axId val="1725358032"/>
        <c:axId val="1725356592"/>
      </c:barChart>
      <c:catAx>
        <c:axId val="1725358032"/>
        <c:scaling>
          <c:orientation val="minMax"/>
        </c:scaling>
        <c:delete val="0"/>
        <c:axPos val="l"/>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725356592"/>
        <c:crosses val="autoZero"/>
        <c:auto val="1"/>
        <c:lblAlgn val="ctr"/>
        <c:lblOffset val="100"/>
        <c:noMultiLvlLbl val="0"/>
      </c:catAx>
      <c:valAx>
        <c:axId val="1725356592"/>
        <c:scaling>
          <c:orientation val="minMax"/>
          <c:max val="30000"/>
          <c:min val="-20000"/>
        </c:scaling>
        <c:delete val="0"/>
        <c:axPos val="b"/>
        <c:majorGridlines>
          <c:spPr>
            <a:ln w="9525" cap="flat" cmpd="sng" algn="ctr">
              <a:solidFill>
                <a:schemeClr val="bg1">
                  <a:lumMod val="75000"/>
                </a:schemeClr>
              </a:solidFill>
              <a:round/>
            </a:ln>
            <a:effectLst/>
          </c:spPr>
        </c:majorGridlines>
        <c:title>
          <c:tx>
            <c:rich>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∆TCO</a:t>
                </a:r>
              </a:p>
            </c:rich>
          </c:tx>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725358032"/>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ML% vs. GHG reduction changes</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Comparison!$C$2</c:f>
              <c:strCache>
                <c:ptCount val="1"/>
                <c:pt idx="0">
                  <c:v>1 year </c:v>
                </c:pt>
              </c:strCache>
            </c:strRef>
          </c:tx>
          <c:spPr>
            <a:ln w="19050" cap="rnd">
              <a:noFill/>
              <a:round/>
            </a:ln>
            <a:effectLst/>
          </c:spPr>
          <c:marker>
            <c:symbol val="circle"/>
            <c:size val="5"/>
            <c:spPr>
              <a:solidFill>
                <a:schemeClr val="accent1"/>
              </a:solidFill>
              <a:ln w="9525">
                <a:solidFill>
                  <a:schemeClr val="accent1"/>
                </a:solidFill>
              </a:ln>
              <a:effectLst/>
            </c:spPr>
          </c:marker>
          <c:xVal>
            <c:numRef>
              <c:f>Comparison!$B$2:$B$6</c:f>
              <c:numCache>
                <c:formatCode>0%</c:formatCode>
                <c:ptCount val="5"/>
                <c:pt idx="0">
                  <c:v>0.01</c:v>
                </c:pt>
                <c:pt idx="1">
                  <c:v>0.02</c:v>
                </c:pt>
                <c:pt idx="2">
                  <c:v>0.03</c:v>
                </c:pt>
                <c:pt idx="3">
                  <c:v>0.04</c:v>
                </c:pt>
                <c:pt idx="4">
                  <c:v>0.05</c:v>
                </c:pt>
              </c:numCache>
            </c:numRef>
          </c:xVal>
          <c:yVal>
            <c:numRef>
              <c:f>Comparison!$H$2:$H$6</c:f>
              <c:numCache>
                <c:formatCode>0%</c:formatCode>
                <c:ptCount val="5"/>
                <c:pt idx="0">
                  <c:v>0</c:v>
                </c:pt>
                <c:pt idx="1">
                  <c:v>-0.28003955155933069</c:v>
                </c:pt>
                <c:pt idx="2">
                  <c:v>-0.54574056170691376</c:v>
                </c:pt>
                <c:pt idx="3">
                  <c:v>-0.81015064208109322</c:v>
                </c:pt>
                <c:pt idx="4">
                  <c:v>-1.0746068270900349</c:v>
                </c:pt>
              </c:numCache>
            </c:numRef>
          </c:yVal>
          <c:smooth val="0"/>
          <c:extLst>
            <c:ext xmlns:c16="http://schemas.microsoft.com/office/drawing/2014/chart" uri="{C3380CC4-5D6E-409C-BE32-E72D297353CC}">
              <c16:uniqueId val="{00000000-9E60-4993-AA2B-5EA7BF357046}"/>
            </c:ext>
          </c:extLst>
        </c:ser>
        <c:ser>
          <c:idx val="1"/>
          <c:order val="1"/>
          <c:tx>
            <c:strRef>
              <c:f>Comparison!$C$7</c:f>
              <c:strCache>
                <c:ptCount val="1"/>
                <c:pt idx="0">
                  <c:v>5 years</c:v>
                </c:pt>
              </c:strCache>
            </c:strRef>
          </c:tx>
          <c:spPr>
            <a:ln w="25400" cap="rnd">
              <a:noFill/>
              <a:round/>
            </a:ln>
            <a:effectLst/>
          </c:spPr>
          <c:marker>
            <c:symbol val="circle"/>
            <c:size val="5"/>
            <c:spPr>
              <a:solidFill>
                <a:schemeClr val="accent2"/>
              </a:solidFill>
              <a:ln w="9525">
                <a:solidFill>
                  <a:schemeClr val="accent2"/>
                </a:solidFill>
              </a:ln>
              <a:effectLst/>
            </c:spPr>
          </c:marker>
          <c:xVal>
            <c:numRef>
              <c:f>Comparison!$B$7:$B$11</c:f>
              <c:numCache>
                <c:formatCode>0%</c:formatCode>
                <c:ptCount val="5"/>
                <c:pt idx="0">
                  <c:v>0.01</c:v>
                </c:pt>
                <c:pt idx="1">
                  <c:v>0.02</c:v>
                </c:pt>
                <c:pt idx="2">
                  <c:v>0.03</c:v>
                </c:pt>
                <c:pt idx="3">
                  <c:v>0.04</c:v>
                </c:pt>
                <c:pt idx="4">
                  <c:v>0.05</c:v>
                </c:pt>
              </c:numCache>
            </c:numRef>
          </c:xVal>
          <c:yVal>
            <c:numRef>
              <c:f>Comparison!$H$7:$H$11</c:f>
              <c:numCache>
                <c:formatCode>0%</c:formatCode>
                <c:ptCount val="5"/>
                <c:pt idx="0">
                  <c:v>0</c:v>
                </c:pt>
                <c:pt idx="1">
                  <c:v>-0.17786799437255357</c:v>
                </c:pt>
                <c:pt idx="2">
                  <c:v>-0.34661922033828058</c:v>
                </c:pt>
                <c:pt idx="3">
                  <c:v>-0.51455734434621825</c:v>
                </c:pt>
                <c:pt idx="4">
                  <c:v>-0.6825090182413075</c:v>
                </c:pt>
              </c:numCache>
            </c:numRef>
          </c:yVal>
          <c:smooth val="0"/>
          <c:extLst>
            <c:ext xmlns:c16="http://schemas.microsoft.com/office/drawing/2014/chart" uri="{C3380CC4-5D6E-409C-BE32-E72D297353CC}">
              <c16:uniqueId val="{00000001-9E60-4993-AA2B-5EA7BF357046}"/>
            </c:ext>
          </c:extLst>
        </c:ser>
        <c:dLbls>
          <c:showLegendKey val="0"/>
          <c:showVal val="0"/>
          <c:showCatName val="0"/>
          <c:showSerName val="0"/>
          <c:showPercent val="0"/>
          <c:showBubbleSize val="0"/>
        </c:dLbls>
        <c:axId val="502649232"/>
        <c:axId val="502651152"/>
      </c:scatterChart>
      <c:valAx>
        <c:axId val="5026492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02651152"/>
        <c:crosses val="autoZero"/>
        <c:crossBetween val="midCat"/>
      </c:valAx>
      <c:valAx>
        <c:axId val="50265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02649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F$5" horiz="1" inc="10" max="100" page="10" val="100"/>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76200</xdr:colOff>
      <xdr:row>54</xdr:row>
      <xdr:rowOff>176210</xdr:rowOff>
    </xdr:from>
    <xdr:to>
      <xdr:col>8</xdr:col>
      <xdr:colOff>1042147</xdr:colOff>
      <xdr:row>84</xdr:row>
      <xdr:rowOff>56029</xdr:rowOff>
    </xdr:to>
    <xdr:graphicFrame macro="">
      <xdr:nvGraphicFramePr>
        <xdr:cNvPr id="2" name="Chart 1">
          <a:extLst>
            <a:ext uri="{FF2B5EF4-FFF2-40B4-BE49-F238E27FC236}">
              <a16:creationId xmlns:a16="http://schemas.microsoft.com/office/drawing/2014/main" id="{61EC4277-B777-BA59-B59B-867F15C70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134470</xdr:colOff>
      <xdr:row>54</xdr:row>
      <xdr:rowOff>182656</xdr:rowOff>
    </xdr:from>
    <xdr:to>
      <xdr:col>19</xdr:col>
      <xdr:colOff>819150</xdr:colOff>
      <xdr:row>84</xdr:row>
      <xdr:rowOff>49306</xdr:rowOff>
    </xdr:to>
    <xdr:graphicFrame macro="">
      <xdr:nvGraphicFramePr>
        <xdr:cNvPr id="4" name="Chart 3">
          <a:extLst>
            <a:ext uri="{FF2B5EF4-FFF2-40B4-BE49-F238E27FC236}">
              <a16:creationId xmlns:a16="http://schemas.microsoft.com/office/drawing/2014/main" id="{F259B5BF-A072-43EF-B1DA-AB034773D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54</xdr:row>
      <xdr:rowOff>180975</xdr:rowOff>
    </xdr:from>
    <xdr:to>
      <xdr:col>31</xdr:col>
      <xdr:colOff>9525</xdr:colOff>
      <xdr:row>84</xdr:row>
      <xdr:rowOff>9525</xdr:rowOff>
    </xdr:to>
    <xdr:graphicFrame macro="">
      <xdr:nvGraphicFramePr>
        <xdr:cNvPr id="5" name="Chart 4">
          <a:extLst>
            <a:ext uri="{FF2B5EF4-FFF2-40B4-BE49-F238E27FC236}">
              <a16:creationId xmlns:a16="http://schemas.microsoft.com/office/drawing/2014/main" id="{BE120D13-9123-47C3-A817-3BC75D421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57712</xdr:colOff>
      <xdr:row>54</xdr:row>
      <xdr:rowOff>180975</xdr:rowOff>
    </xdr:from>
    <xdr:to>
      <xdr:col>53</xdr:col>
      <xdr:colOff>33618</xdr:colOff>
      <xdr:row>83</xdr:row>
      <xdr:rowOff>179295</xdr:rowOff>
    </xdr:to>
    <xdr:graphicFrame macro="">
      <xdr:nvGraphicFramePr>
        <xdr:cNvPr id="6" name="Chart 5">
          <a:extLst>
            <a:ext uri="{FF2B5EF4-FFF2-40B4-BE49-F238E27FC236}">
              <a16:creationId xmlns:a16="http://schemas.microsoft.com/office/drawing/2014/main" id="{E8811D32-7672-49FE-93E6-755C329CC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537882</xdr:colOff>
      <xdr:row>88</xdr:row>
      <xdr:rowOff>12325</xdr:rowOff>
    </xdr:from>
    <xdr:to>
      <xdr:col>36</xdr:col>
      <xdr:colOff>33618</xdr:colOff>
      <xdr:row>129</xdr:row>
      <xdr:rowOff>123264</xdr:rowOff>
    </xdr:to>
    <xdr:graphicFrame macro="">
      <xdr:nvGraphicFramePr>
        <xdr:cNvPr id="10" name="Chart 9">
          <a:extLst>
            <a:ext uri="{FF2B5EF4-FFF2-40B4-BE49-F238E27FC236}">
              <a16:creationId xmlns:a16="http://schemas.microsoft.com/office/drawing/2014/main" id="{DF8FB8BC-140C-0BDD-4E33-72B30D53E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190500</xdr:colOff>
      <xdr:row>54</xdr:row>
      <xdr:rowOff>168089</xdr:rowOff>
    </xdr:from>
    <xdr:to>
      <xdr:col>41</xdr:col>
      <xdr:colOff>1040466</xdr:colOff>
      <xdr:row>83</xdr:row>
      <xdr:rowOff>187139</xdr:rowOff>
    </xdr:to>
    <xdr:graphicFrame macro="">
      <xdr:nvGraphicFramePr>
        <xdr:cNvPr id="3" name="Chart 2">
          <a:extLst>
            <a:ext uri="{FF2B5EF4-FFF2-40B4-BE49-F238E27FC236}">
              <a16:creationId xmlns:a16="http://schemas.microsoft.com/office/drawing/2014/main" id="{540D9A52-056B-4643-A119-24914EA5B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184896</xdr:colOff>
      <xdr:row>88</xdr:row>
      <xdr:rowOff>23532</xdr:rowOff>
    </xdr:from>
    <xdr:to>
      <xdr:col>56</xdr:col>
      <xdr:colOff>145677</xdr:colOff>
      <xdr:row>129</xdr:row>
      <xdr:rowOff>33618</xdr:rowOff>
    </xdr:to>
    <xdr:graphicFrame macro="">
      <xdr:nvGraphicFramePr>
        <xdr:cNvPr id="7" name="Chart 6">
          <a:extLst>
            <a:ext uri="{FF2B5EF4-FFF2-40B4-BE49-F238E27FC236}">
              <a16:creationId xmlns:a16="http://schemas.microsoft.com/office/drawing/2014/main" id="{20C32C1D-4BCB-DB00-478A-4BAD148E0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64</xdr:col>
      <xdr:colOff>705969</xdr:colOff>
      <xdr:row>65</xdr:row>
      <xdr:rowOff>22411</xdr:rowOff>
    </xdr:from>
    <xdr:to>
      <xdr:col>71</xdr:col>
      <xdr:colOff>1221440</xdr:colOff>
      <xdr:row>100</xdr:row>
      <xdr:rowOff>78440</xdr:rowOff>
    </xdr:to>
    <xdr:graphicFrame macro="">
      <xdr:nvGraphicFramePr>
        <xdr:cNvPr id="8" name="Chart 7">
          <a:extLst>
            <a:ext uri="{FF2B5EF4-FFF2-40B4-BE49-F238E27FC236}">
              <a16:creationId xmlns:a16="http://schemas.microsoft.com/office/drawing/2014/main" id="{36152051-5923-6ECF-5B23-9D5A87444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14</xdr:row>
      <xdr:rowOff>76200</xdr:rowOff>
    </xdr:from>
    <xdr:to>
      <xdr:col>15</xdr:col>
      <xdr:colOff>638176</xdr:colOff>
      <xdr:row>36</xdr:row>
      <xdr:rowOff>171450</xdr:rowOff>
    </xdr:to>
    <xdr:graphicFrame macro="">
      <xdr:nvGraphicFramePr>
        <xdr:cNvPr id="7" name="Chart 6">
          <a:extLst>
            <a:ext uri="{FF2B5EF4-FFF2-40B4-BE49-F238E27FC236}">
              <a16:creationId xmlns:a16="http://schemas.microsoft.com/office/drawing/2014/main" id="{254B78CA-1E66-4BE9-AA21-EB993E6DF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62</xdr:row>
      <xdr:rowOff>152400</xdr:rowOff>
    </xdr:from>
    <xdr:to>
      <xdr:col>15</xdr:col>
      <xdr:colOff>28575</xdr:colOff>
      <xdr:row>89</xdr:row>
      <xdr:rowOff>76200</xdr:rowOff>
    </xdr:to>
    <xdr:graphicFrame macro="">
      <xdr:nvGraphicFramePr>
        <xdr:cNvPr id="9" name="Chart 8">
          <a:extLst>
            <a:ext uri="{FF2B5EF4-FFF2-40B4-BE49-F238E27FC236}">
              <a16:creationId xmlns:a16="http://schemas.microsoft.com/office/drawing/2014/main" id="{71A0B165-F4F1-41A6-9095-FE855923F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2</xdr:row>
          <xdr:rowOff>190500</xdr:rowOff>
        </xdr:from>
        <xdr:to>
          <xdr:col>6</xdr:col>
          <xdr:colOff>38100</xdr:colOff>
          <xdr:row>4</xdr:row>
          <xdr:rowOff>28575</xdr:rowOff>
        </xdr:to>
        <xdr:sp macro="" textlink="">
          <xdr:nvSpPr>
            <xdr:cNvPr id="15374" name="Scroll Bar 14" hidden="1">
              <a:extLst>
                <a:ext uri="{63B3BB69-23CF-44E3-9099-C40C66FF867C}">
                  <a14:compatExt spid="_x0000_s15374"/>
                </a:ext>
                <a:ext uri="{FF2B5EF4-FFF2-40B4-BE49-F238E27FC236}">
                  <a16:creationId xmlns:a16="http://schemas.microsoft.com/office/drawing/2014/main" id="{00000000-0008-0000-0300-00000E3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576261</xdr:colOff>
      <xdr:row>40</xdr:row>
      <xdr:rowOff>42862</xdr:rowOff>
    </xdr:from>
    <xdr:to>
      <xdr:col>15</xdr:col>
      <xdr:colOff>495300</xdr:colOff>
      <xdr:row>60</xdr:row>
      <xdr:rowOff>19050</xdr:rowOff>
    </xdr:to>
    <xdr:graphicFrame macro="">
      <xdr:nvGraphicFramePr>
        <xdr:cNvPr id="3" name="Chart 2">
          <a:extLst>
            <a:ext uri="{FF2B5EF4-FFF2-40B4-BE49-F238E27FC236}">
              <a16:creationId xmlns:a16="http://schemas.microsoft.com/office/drawing/2014/main" id="{53A1EC23-BF8D-9DFC-93C5-57289CCD9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57150</xdr:colOff>
      <xdr:row>91</xdr:row>
      <xdr:rowOff>57150</xdr:rowOff>
    </xdr:from>
    <xdr:to>
      <xdr:col>15</xdr:col>
      <xdr:colOff>1543050</xdr:colOff>
      <xdr:row>126</xdr:row>
      <xdr:rowOff>113179</xdr:rowOff>
    </xdr:to>
    <xdr:graphicFrame macro="">
      <xdr:nvGraphicFramePr>
        <xdr:cNvPr id="2" name="Chart 1">
          <a:extLst>
            <a:ext uri="{FF2B5EF4-FFF2-40B4-BE49-F238E27FC236}">
              <a16:creationId xmlns:a16="http://schemas.microsoft.com/office/drawing/2014/main" id="{3EAEC4AF-76DC-4A06-ACF5-33DB23668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242886</xdr:colOff>
      <xdr:row>0</xdr:row>
      <xdr:rowOff>33336</xdr:rowOff>
    </xdr:from>
    <xdr:to>
      <xdr:col>22</xdr:col>
      <xdr:colOff>457200</xdr:colOff>
      <xdr:row>25</xdr:row>
      <xdr:rowOff>0</xdr:rowOff>
    </xdr:to>
    <xdr:graphicFrame macro="">
      <xdr:nvGraphicFramePr>
        <xdr:cNvPr id="4" name="Chart 3">
          <a:extLst>
            <a:ext uri="{FF2B5EF4-FFF2-40B4-BE49-F238E27FC236}">
              <a16:creationId xmlns:a16="http://schemas.microsoft.com/office/drawing/2014/main" id="{56A0B9B9-17EF-020D-FDD1-ADB68C609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47625</xdr:rowOff>
    </xdr:from>
    <xdr:to>
      <xdr:col>36</xdr:col>
      <xdr:colOff>214314</xdr:colOff>
      <xdr:row>25</xdr:row>
      <xdr:rowOff>14289</xdr:rowOff>
    </xdr:to>
    <xdr:graphicFrame macro="">
      <xdr:nvGraphicFramePr>
        <xdr:cNvPr id="5" name="Chart 4">
          <a:extLst>
            <a:ext uri="{FF2B5EF4-FFF2-40B4-BE49-F238E27FC236}">
              <a16:creationId xmlns:a16="http://schemas.microsoft.com/office/drawing/2014/main" id="{86FA442E-4FFB-4389-A16C-86F65CAED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142875</xdr:colOff>
      <xdr:row>0</xdr:row>
      <xdr:rowOff>123825</xdr:rowOff>
    </xdr:from>
    <xdr:to>
      <xdr:col>49</xdr:col>
      <xdr:colOff>357189</xdr:colOff>
      <xdr:row>24</xdr:row>
      <xdr:rowOff>152400</xdr:rowOff>
    </xdr:to>
    <xdr:graphicFrame macro="">
      <xdr:nvGraphicFramePr>
        <xdr:cNvPr id="7" name="Chart 6">
          <a:extLst>
            <a:ext uri="{FF2B5EF4-FFF2-40B4-BE49-F238E27FC236}">
              <a16:creationId xmlns:a16="http://schemas.microsoft.com/office/drawing/2014/main" id="{0F01DCD3-56A4-436B-9CCB-1725CB3C1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1295399</xdr:colOff>
      <xdr:row>52</xdr:row>
      <xdr:rowOff>128586</xdr:rowOff>
    </xdr:from>
    <xdr:to>
      <xdr:col>20</xdr:col>
      <xdr:colOff>600074</xdr:colOff>
      <xdr:row>75</xdr:row>
      <xdr:rowOff>38100</xdr:rowOff>
    </xdr:to>
    <xdr:graphicFrame macro="">
      <xdr:nvGraphicFramePr>
        <xdr:cNvPr id="3" name="Chart 2">
          <a:extLst>
            <a:ext uri="{FF2B5EF4-FFF2-40B4-BE49-F238E27FC236}">
              <a16:creationId xmlns:a16="http://schemas.microsoft.com/office/drawing/2014/main" id="{C17C1187-E03F-D54D-9620-46657381A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371475</xdr:colOff>
      <xdr:row>25</xdr:row>
      <xdr:rowOff>9525</xdr:rowOff>
    </xdr:from>
    <xdr:to>
      <xdr:col>22</xdr:col>
      <xdr:colOff>585789</xdr:colOff>
      <xdr:row>49</xdr:row>
      <xdr:rowOff>166689</xdr:rowOff>
    </xdr:to>
    <xdr:graphicFrame macro="">
      <xdr:nvGraphicFramePr>
        <xdr:cNvPr id="6" name="Chart 5">
          <a:extLst>
            <a:ext uri="{FF2B5EF4-FFF2-40B4-BE49-F238E27FC236}">
              <a16:creationId xmlns:a16="http://schemas.microsoft.com/office/drawing/2014/main" id="{DD729C1E-CB47-4EA9-9F4C-FEE6B23F3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176210</xdr:colOff>
      <xdr:row>25</xdr:row>
      <xdr:rowOff>100011</xdr:rowOff>
    </xdr:from>
    <xdr:to>
      <xdr:col>36</xdr:col>
      <xdr:colOff>171449</xdr:colOff>
      <xdr:row>50</xdr:row>
      <xdr:rowOff>123825</xdr:rowOff>
    </xdr:to>
    <xdr:graphicFrame macro="">
      <xdr:nvGraphicFramePr>
        <xdr:cNvPr id="10" name="Chart 9">
          <a:extLst>
            <a:ext uri="{FF2B5EF4-FFF2-40B4-BE49-F238E27FC236}">
              <a16:creationId xmlns:a16="http://schemas.microsoft.com/office/drawing/2014/main" id="{C0B92611-50CF-1F21-377B-D6794C45D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9525</xdr:colOff>
      <xdr:row>78</xdr:row>
      <xdr:rowOff>95250</xdr:rowOff>
    </xdr:from>
    <xdr:to>
      <xdr:col>21</xdr:col>
      <xdr:colOff>0</xdr:colOff>
      <xdr:row>101</xdr:row>
      <xdr:rowOff>4764</xdr:rowOff>
    </xdr:to>
    <xdr:graphicFrame macro="">
      <xdr:nvGraphicFramePr>
        <xdr:cNvPr id="12" name="Chart 11">
          <a:extLst>
            <a:ext uri="{FF2B5EF4-FFF2-40B4-BE49-F238E27FC236}">
              <a16:creationId xmlns:a16="http://schemas.microsoft.com/office/drawing/2014/main" id="{EDCF1B39-FD28-4672-AF88-40829D8EC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761999</xdr:colOff>
      <xdr:row>122</xdr:row>
      <xdr:rowOff>66675</xdr:rowOff>
    </xdr:from>
    <xdr:to>
      <xdr:col>10</xdr:col>
      <xdr:colOff>914399</xdr:colOff>
      <xdr:row>141</xdr:row>
      <xdr:rowOff>104775</xdr:rowOff>
    </xdr:to>
    <xdr:graphicFrame macro="">
      <xdr:nvGraphicFramePr>
        <xdr:cNvPr id="5" name="Chart 4">
          <a:extLst>
            <a:ext uri="{FF2B5EF4-FFF2-40B4-BE49-F238E27FC236}">
              <a16:creationId xmlns:a16="http://schemas.microsoft.com/office/drawing/2014/main" id="{39C774F9-F208-1F12-595F-F722B1CFE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0.60462</cdr:x>
      <cdr:y>0.4349</cdr:y>
    </cdr:from>
    <cdr:to>
      <cdr:x>0.71514</cdr:x>
      <cdr:y>0.51042</cdr:y>
    </cdr:to>
    <cdr:sp macro="" textlink="">
      <cdr:nvSpPr>
        <cdr:cNvPr id="2" name="TextBox 1">
          <a:extLst xmlns:a="http://schemas.openxmlformats.org/drawingml/2006/main">
            <a:ext uri="{FF2B5EF4-FFF2-40B4-BE49-F238E27FC236}">
              <a16:creationId xmlns:a16="http://schemas.microsoft.com/office/drawing/2014/main" id="{04580EDD-3ABC-E5B6-9960-25B68EC7C7B5}"/>
            </a:ext>
          </a:extLst>
        </cdr:cNvPr>
        <cdr:cNvSpPr txBox="1"/>
      </cdr:nvSpPr>
      <cdr:spPr>
        <a:xfrm xmlns:a="http://schemas.openxmlformats.org/drawingml/2006/main">
          <a:off x="3881544" y="1590690"/>
          <a:ext cx="709521" cy="27622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a:latin typeface="Arial" panose="020B0604020202020204" pitchFamily="34" charset="0"/>
              <a:cs typeface="Arial" panose="020B0604020202020204" pitchFamily="34" charset="0"/>
            </a:rPr>
            <a:t>ME:</a:t>
          </a:r>
        </a:p>
      </cdr:txBody>
    </cdr:sp>
  </cdr:relSizeAnchor>
  <cdr:relSizeAnchor xmlns:cdr="http://schemas.openxmlformats.org/drawingml/2006/chartDrawing">
    <cdr:from>
      <cdr:x>0.08047</cdr:x>
      <cdr:y>0.05136</cdr:y>
    </cdr:from>
    <cdr:to>
      <cdr:x>0.17257</cdr:x>
      <cdr:y>0.13541</cdr:y>
    </cdr:to>
    <cdr:sp macro="" textlink="">
      <cdr:nvSpPr>
        <cdr:cNvPr id="3" name="TextBox 1">
          <a:extLst xmlns:a="http://schemas.openxmlformats.org/drawingml/2006/main">
            <a:ext uri="{FF2B5EF4-FFF2-40B4-BE49-F238E27FC236}">
              <a16:creationId xmlns:a16="http://schemas.microsoft.com/office/drawing/2014/main" id="{C365B2A2-DA56-2ABD-DA0F-81A8386165D2}"/>
            </a:ext>
          </a:extLst>
        </cdr:cNvPr>
        <cdr:cNvSpPr txBox="1"/>
      </cdr:nvSpPr>
      <cdr:spPr>
        <a:xfrm xmlns:a="http://schemas.openxmlformats.org/drawingml/2006/main">
          <a:off x="516606" y="187870"/>
          <a:ext cx="591268" cy="3074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a:latin typeface="Arial" panose="020B0604020202020204" pitchFamily="34" charset="0"/>
              <a:cs typeface="Arial" panose="020B0604020202020204" pitchFamily="34" charset="0"/>
            </a:rPr>
            <a:t>WY:</a:t>
          </a:r>
        </a:p>
      </cdr:txBody>
    </cdr:sp>
  </cdr:relSizeAnchor>
  <cdr:relSizeAnchor xmlns:cdr="http://schemas.openxmlformats.org/drawingml/2006/chartDrawing">
    <cdr:from>
      <cdr:x>0.21694</cdr:x>
      <cdr:y>0.44425</cdr:y>
    </cdr:from>
    <cdr:to>
      <cdr:x>0.33383</cdr:x>
      <cdr:y>0.51302</cdr:y>
    </cdr:to>
    <cdr:sp macro="" textlink="">
      <cdr:nvSpPr>
        <cdr:cNvPr id="5" name="TextBox 1">
          <a:extLst xmlns:a="http://schemas.openxmlformats.org/drawingml/2006/main">
            <a:ext uri="{FF2B5EF4-FFF2-40B4-BE49-F238E27FC236}">
              <a16:creationId xmlns:a16="http://schemas.microsoft.com/office/drawing/2014/main" id="{C365B2A2-DA56-2ABD-DA0F-81A8386165D2}"/>
            </a:ext>
          </a:extLst>
        </cdr:cNvPr>
        <cdr:cNvSpPr txBox="1"/>
      </cdr:nvSpPr>
      <cdr:spPr>
        <a:xfrm xmlns:a="http://schemas.openxmlformats.org/drawingml/2006/main">
          <a:off x="1392693" y="1624898"/>
          <a:ext cx="750416" cy="2515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a:latin typeface="Arial" panose="020B0604020202020204" pitchFamily="34" charset="0"/>
              <a:cs typeface="Arial" panose="020B0604020202020204" pitchFamily="34" charset="0"/>
            </a:rPr>
            <a:t>WY:</a:t>
          </a:r>
        </a:p>
      </cdr:txBody>
    </cdr:sp>
  </cdr:relSizeAnchor>
  <cdr:relSizeAnchor xmlns:cdr="http://schemas.openxmlformats.org/drawingml/2006/chartDrawing">
    <cdr:from>
      <cdr:x>0.33003</cdr:x>
      <cdr:y>0.05295</cdr:y>
    </cdr:from>
    <cdr:to>
      <cdr:x>0.4305</cdr:x>
      <cdr:y>0.1224</cdr:y>
    </cdr:to>
    <cdr:sp macro="" textlink="">
      <cdr:nvSpPr>
        <cdr:cNvPr id="7" name="TextBox 1">
          <a:extLst xmlns:a="http://schemas.openxmlformats.org/drawingml/2006/main">
            <a:ext uri="{FF2B5EF4-FFF2-40B4-BE49-F238E27FC236}">
              <a16:creationId xmlns:a16="http://schemas.microsoft.com/office/drawing/2014/main" id="{C365B2A2-DA56-2ABD-DA0F-81A8386165D2}"/>
            </a:ext>
          </a:extLst>
        </cdr:cNvPr>
        <cdr:cNvSpPr txBox="1"/>
      </cdr:nvSpPr>
      <cdr:spPr>
        <a:xfrm xmlns:a="http://schemas.openxmlformats.org/drawingml/2006/main">
          <a:off x="2118733" y="193664"/>
          <a:ext cx="645003" cy="25402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b="1">
              <a:latin typeface="Arial" panose="020B0604020202020204" pitchFamily="34" charset="0"/>
              <a:cs typeface="Arial" panose="020B0604020202020204" pitchFamily="34" charset="0"/>
            </a:rPr>
            <a:t>NY:</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42</xdr:col>
      <xdr:colOff>493866</xdr:colOff>
      <xdr:row>23</xdr:row>
      <xdr:rowOff>46189</xdr:rowOff>
    </xdr:from>
    <xdr:to>
      <xdr:col>47</xdr:col>
      <xdr:colOff>1235732</xdr:colOff>
      <xdr:row>53</xdr:row>
      <xdr:rowOff>49184</xdr:rowOff>
    </xdr:to>
    <xdr:pic>
      <xdr:nvPicPr>
        <xdr:cNvPr id="3" name="Picture 2">
          <a:extLst>
            <a:ext uri="{FF2B5EF4-FFF2-40B4-BE49-F238E27FC236}">
              <a16:creationId xmlns:a16="http://schemas.microsoft.com/office/drawing/2014/main" id="{BEC8C479-B910-EE36-0CF6-9D0106C0F059}"/>
            </a:ext>
          </a:extLst>
        </xdr:cNvPr>
        <xdr:cNvPicPr>
          <a:picLocks noChangeAspect="1"/>
        </xdr:cNvPicPr>
      </xdr:nvPicPr>
      <xdr:blipFill>
        <a:blip xmlns:r="http://schemas.openxmlformats.org/officeDocument/2006/relationships" r:embed="rId1"/>
        <a:stretch>
          <a:fillRect/>
        </a:stretch>
      </xdr:blipFill>
      <xdr:spPr>
        <a:xfrm>
          <a:off x="44299341" y="4427689"/>
          <a:ext cx="7152191" cy="57179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1204911</xdr:colOff>
      <xdr:row>38</xdr:row>
      <xdr:rowOff>100011</xdr:rowOff>
    </xdr:from>
    <xdr:to>
      <xdr:col>6</xdr:col>
      <xdr:colOff>485775</xdr:colOff>
      <xdr:row>59</xdr:row>
      <xdr:rowOff>76200</xdr:rowOff>
    </xdr:to>
    <xdr:graphicFrame macro="">
      <xdr:nvGraphicFramePr>
        <xdr:cNvPr id="2" name="Chart 1">
          <a:extLst>
            <a:ext uri="{FF2B5EF4-FFF2-40B4-BE49-F238E27FC236}">
              <a16:creationId xmlns:a16="http://schemas.microsoft.com/office/drawing/2014/main" id="{F8C9120D-D1E2-BC8B-77CD-82FD58272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in, Enze" id="{1F3936D0-4001-4B91-9F9E-5FFC070F6E27}" userId="S::Enze.Jin@aramcoamericas.com::080242e7-3cc4-4a0c-9b5c-3a8ccbe2782a" providerId="AD"/>
  <person displayName="Ankathi, Sharath K" id="{09F313D1-8879-436A-83FE-8C1755B2085B}" userId="S::Sharath.Ankathi@aramcoamericas.com::9193a1bc-0095-4f2f-8ef8-f44d663e446d"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AZ23" dT="2025-02-26T15:09:16.74" personId="{1F3936D0-4001-4B91-9F9E-5FFC070F6E27}" id="{7F1A786F-426E-41CC-B3E3-61AD04A8E1A3}">
    <text>ANL report, Eq.3.1</text>
  </threadedComment>
  <threadedComment ref="AY37" dT="2024-09-24T15:05:54.82" personId="{1F3936D0-4001-4B91-9F9E-5FFC070F6E27}" id="{8AB1E4E1-96EB-456E-AE4D-891BB6A1DD7C}">
    <text>ANL report</text>
  </threadedComment>
  <threadedComment ref="AY47" dT="2024-09-24T15:06:09.56" personId="{1F3936D0-4001-4B91-9F9E-5FFC070F6E27}" id="{943F4A32-B82B-4284-921E-5CD573A85587}">
    <text>ANL report, Table 3.9</text>
  </threadedComment>
  <threadedComment ref="AY57" dT="2024-09-24T19:52:47.36" personId="{1F3936D0-4001-4B91-9F9E-5FFC070F6E27}" id="{9A950915-8C07-4ED7-9CEC-CB204BF71681}">
    <text>ANL report, Fig ES4</text>
  </threadedComment>
  <threadedComment ref="AZ58" dT="2024-09-24T19:53:24.95" personId="{1F3936D0-4001-4B91-9F9E-5FFC070F6E27}" id="{38F5C9AC-A91D-47FA-AF26-7984739E8FB8}">
    <text xml:space="preserve">https://www.fueleconomy.gov/
</text>
    <extLst>
      <x:ext xmlns:xltc2="http://schemas.microsoft.com/office/spreadsheetml/2020/threadedcomments2" uri="{F7C98A9C-CBB3-438F-8F68-D28B6AF4A901}">
        <xltc2:checksum>1783917868</xltc2:checksum>
        <xltc2:hyperlink startIndex="0" length="28" url="https://www.fueleconomy.gov/"/>
      </x:ext>
    </extLst>
  </threadedComment>
  <threadedComment ref="BB59" dT="2024-09-24T19:53:32.14" personId="{1F3936D0-4001-4B91-9F9E-5FFC070F6E27}" id="{C2D224DE-29E7-4825-8840-0C3F8781EA73}">
    <text xml:space="preserve">https://www.fueleconomy.gov/
</text>
    <extLst>
      <x:ext xmlns:xltc2="http://schemas.microsoft.com/office/spreadsheetml/2020/threadedcomments2" uri="{F7C98A9C-CBB3-438F-8F68-D28B6AF4A901}">
        <xltc2:checksum>1783917868</xltc2:checksum>
        <xltc2:hyperlink startIndex="0" length="28" url="https://www.fueleconomy.gov/"/>
      </x:ext>
    </extLst>
  </threadedComment>
  <threadedComment ref="BA60" dT="2024-09-24T19:41:57.72" personId="{1F3936D0-4001-4B91-9F9E-5FFC070F6E27}" id="{94C4C3E3-EF0D-4C4F-805A-7DB7B29AE183}">
    <text>https://www.fueleconomy.gov/</text>
    <extLst>
      <x:ext xmlns:xltc2="http://schemas.microsoft.com/office/spreadsheetml/2020/threadedcomments2" uri="{F7C98A9C-CBB3-438F-8F68-D28B6AF4A901}">
        <xltc2:checksum>330590811</xltc2:checksum>
        <xltc2:hyperlink startIndex="0" length="28" url="https://www.fueleconomy.gov/"/>
      </x:ext>
    </extLst>
  </threadedComment>
  <threadedComment ref="AY67" dT="2024-09-24T15:06:20.37" personId="{1F3936D0-4001-4B91-9F9E-5FFC070F6E27}" id="{BD666B12-8354-4094-BA0E-89BE07818F87}">
    <text>ANL report, Table 3.16</text>
  </threadedComment>
  <threadedComment ref="AY72" dT="2024-09-24T15:06:20.37" personId="{1F3936D0-4001-4B91-9F9E-5FFC070F6E27}" id="{956ED8E5-02E2-42EF-A733-3CE5B324BCA9}">
    <text>ANL report, Table ES-2</text>
  </threadedComment>
  <threadedComment ref="AZ80" dT="2024-09-26T12:47:25.42" personId="{1F3936D0-4001-4B91-9F9E-5FFC070F6E27}" id="{92E6F6B4-DE3D-4458-9FB7-B43B9079F62C}">
    <text>Toyota website</text>
  </threadedComment>
</ThreadedComments>
</file>

<file path=xl/threadedComments/threadedComment2.xml><?xml version="1.0" encoding="utf-8"?>
<ThreadedComments xmlns="http://schemas.microsoft.com/office/spreadsheetml/2018/threadedcomments" xmlns:x="http://schemas.openxmlformats.org/spreadsheetml/2006/main">
  <threadedComment ref="AA64" dT="2024-03-12T12:30:22.09" personId="{09F313D1-8879-436A-83FE-8C1755B2085B}" id="{8C5CD650-A13C-474A-89AC-79C866F328F7}">
    <text xml:space="preserve">This doesn’t need to be changed as these are formulae and we already did change in the connected sheet
</text>
  </threadedComment>
</ThreadedComments>
</file>

<file path=xl/threadedComments/threadedComment3.xml><?xml version="1.0" encoding="utf-8"?>
<ThreadedComments xmlns="http://schemas.microsoft.com/office/spreadsheetml/2018/threadedcomments" xmlns:x="http://schemas.openxmlformats.org/spreadsheetml/2006/main">
  <threadedComment ref="B28" dT="2024-09-23T18:21:00.51" personId="{1F3936D0-4001-4B91-9F9E-5FFC070F6E27}" id="{01F7F057-34F6-4393-8BC4-ABB79E4D9394}">
    <text>Source: https://www.policygenius.com/auto-insurance/car-insurance-for-electric-vehicles/</text>
    <extLst>
      <x:ext xmlns:xltc2="http://schemas.microsoft.com/office/spreadsheetml/2020/threadedcomments2" uri="{F7C98A9C-CBB3-438F-8F68-D28B6AF4A901}">
        <xltc2:checksum>3757392906</xltc2:checksum>
        <xltc2:hyperlink startIndex="8" length="80" url="https://www.policygenius.com/auto-insurance/car-insurance-for-electric-vehicles/"/>
      </x:ext>
    </extLst>
  </threadedComment>
  <threadedComment ref="K28" dT="2024-09-23T18:20:02.39" personId="{1F3936D0-4001-4B91-9F9E-5FFC070F6E27}" id="{83B02F9C-9D80-4EE8-BCFB-0C08FF555A55}">
    <text>Source: https://www.policygenius.com/auto-insurance/auto-tax-rate-by-state/</text>
    <extLst>
      <x:ext xmlns:xltc2="http://schemas.microsoft.com/office/spreadsheetml/2020/threadedcomments2" uri="{F7C98A9C-CBB3-438F-8F68-D28B6AF4A901}">
        <xltc2:checksum>967982027</xltc2:checksum>
        <xltc2:hyperlink startIndex="8" length="67" url="https://www.policygenius.com/auto-insurance/auto-tax-rate-by-state/"/>
      </x:ext>
    </extLst>
  </threadedComment>
  <threadedComment ref="P29" dT="2024-09-30T15:56:09.11" personId="{1F3936D0-4001-4B91-9F9E-5FFC070F6E27}" id="{90CAC214-9691-4C3D-83D9-596A82B59301}">
    <text>Source: ANL report</text>
  </threadedComment>
</ThreadedComments>
</file>

<file path=xl/threadedComments/threadedComment4.xml><?xml version="1.0" encoding="utf-8"?>
<ThreadedComments xmlns="http://schemas.microsoft.com/office/spreadsheetml/2018/threadedcomments" xmlns:x="http://schemas.openxmlformats.org/spreadsheetml/2006/main">
  <threadedComment ref="F3" dT="2024-10-09T19:57:11.32" personId="{1F3936D0-4001-4B91-9F9E-5FFC070F6E27}" id="{14BF7441-7904-4371-AC80-212EFE04384E}">
    <text xml:space="preserve">Alternative Fuels Data Center: Vehicle Registration Counts by State (energy.gov) </text>
    <extLst>
      <x:ext xmlns:xltc2="http://schemas.microsoft.com/office/spreadsheetml/2020/threadedcomments2" uri="{F7C98A9C-CBB3-438F-8F68-D28B6AF4A901}">
        <xltc2:checksum>1644031215</xltc2:checksum>
        <xltc2:hyperlink startIndex="0" length="80" url="https://afdc.energy.gov/vehicle-registration"/>
      </x:ext>
    </extLst>
  </threadedComment>
</ThreadedComments>
</file>

<file path=xl/threadedComments/threadedComment5.xml><?xml version="1.0" encoding="utf-8"?>
<ThreadedComments xmlns="http://schemas.microsoft.com/office/spreadsheetml/2018/threadedcomments" xmlns:x="http://schemas.openxmlformats.org/spreadsheetml/2006/main">
  <threadedComment ref="B1" dT="2024-10-10T20:37:26.54" personId="{1F3936D0-4001-4B91-9F9E-5FFC070F6E27}" id="{F0010F60-85F6-4EAD-8B96-7F9C8A0D404C}">
    <text>Source: Burnham, A.; Lu, Z.; Wang,
M.; Elgowainy, A. Regional Emissions
Analysis of Light-Duty Battery
Electric Vehicles. Atmosphere 2021, 12,
1482. https://doi.org/10.3390/
atmos12111482</text>
    <extLst>
      <x:ext xmlns:xltc2="http://schemas.microsoft.com/office/spreadsheetml/2020/threadedcomments2" uri="{F7C98A9C-CBB3-438F-8F68-D28B6AF4A901}">
        <xltc2:checksum>3159033704</xltc2:checksum>
        <xltc2:hyperlink startIndex="149" length="24" url="https://doi.org/10.3390/"/>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AF1" dT="2024-09-30T12:23:02.80" personId="{1F3936D0-4001-4B91-9F9E-5FFC070F6E27}" id="{9817134E-FFEB-4C90-91E7-1E1FFA077AC1}">
    <text>Source: http://www.eia.gov/oil_gas/petroleum/data_publications/wrgp/mogas_history.html</text>
    <extLst>
      <x:ext xmlns:xltc2="http://schemas.microsoft.com/office/spreadsheetml/2020/threadedcomments2" uri="{F7C98A9C-CBB3-438F-8F68-D28B6AF4A901}">
        <xltc2:checksum>78580824</xltc2:checksum>
        <xltc2:hyperlink startIndex="8" length="78" url="http://www.eia.gov/oil_gas/petroleum/data_publications/wrgp/mogas_history.html"/>
      </x:ext>
    </extLst>
  </threadedComment>
  <threadedComment ref="AG1" dT="2024-09-30T12:25:11.62" personId="{1F3936D0-4001-4B91-9F9E-5FFC070F6E27}" id="{0B4641DE-2EDB-4042-B306-A3FEC2E292C5}">
    <text xml:space="preserve">Source: Electricity data browser - Average retail price of electricity (eia.gov) </text>
    <extLst>
      <x:ext xmlns:xltc2="http://schemas.microsoft.com/office/spreadsheetml/2020/threadedcomments2" uri="{F7C98A9C-CBB3-438F-8F68-D28B6AF4A901}">
        <xltc2:checksum>3199535190</xltc2:checksum>
        <xltc2:hyperlink startIndex="8" length="72" url="https://www.eia.gov/electricity/data/browser/#/topic/7?agg=2,0,1&amp;geo=g&amp;freq=M&amp;start=200101&amp;end=202407&amp;ctype=linechart&amp;ltype=pin&amp;rtype=s&amp;maptype=0&amp;rse=0&amp;pin="/>
      </x:ext>
    </extLst>
  </threadedComment>
  <threadedComment ref="AR2" dT="2024-10-07T14:28:51.67" personId="{1F3936D0-4001-4B91-9F9E-5FFC070F6E27}" id="{F510CA05-12C1-4F8F-96FC-CC9D7794F499}">
    <text>"Levelized Cost of Charging Electric Vehicles in the United States", 2019, NREL.</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6.xml"/><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921B6-3718-4B9D-B422-9B0EC7DCAEFB}">
  <sheetPr>
    <tabColor theme="6"/>
  </sheetPr>
  <dimension ref="A1:A4"/>
  <sheetViews>
    <sheetView showGridLines="0" workbookViewId="0">
      <selection activeCell="A3" sqref="A3"/>
    </sheetView>
  </sheetViews>
  <sheetFormatPr defaultRowHeight="15" x14ac:dyDescent="0.25"/>
  <cols>
    <col min="1" max="1" width="83.42578125" customWidth="1"/>
  </cols>
  <sheetData>
    <row r="1" spans="1:1" ht="18.75" x14ac:dyDescent="0.3">
      <c r="A1" s="174" t="s">
        <v>511</v>
      </c>
    </row>
    <row r="2" spans="1:1" ht="72" customHeight="1" x14ac:dyDescent="0.25">
      <c r="A2" s="175" t="s">
        <v>510</v>
      </c>
    </row>
    <row r="3" spans="1:1" ht="87" customHeight="1" x14ac:dyDescent="0.25">
      <c r="A3" s="175" t="s">
        <v>513</v>
      </c>
    </row>
    <row r="4" spans="1:1" ht="38.25" customHeight="1" x14ac:dyDescent="0.25">
      <c r="A4" s="176" t="s">
        <v>512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4B6EF-7CD2-40F8-AEB4-755D8087E39C}">
  <sheetPr codeName="Sheet6">
    <tabColor rgb="FFFFFF00"/>
  </sheetPr>
  <dimension ref="A1:BF609"/>
  <sheetViews>
    <sheetView showGridLines="0" zoomScaleNormal="100" workbookViewId="0">
      <pane xSplit="1" ySplit="2" topLeftCell="P6" activePane="bottomRight" state="frozen"/>
      <selection pane="topRight" activeCell="B1" sqref="B1"/>
      <selection pane="bottomLeft" activeCell="A3" sqref="A3"/>
      <selection pane="bottomRight" activeCell="AZ13" sqref="AZ13"/>
    </sheetView>
  </sheetViews>
  <sheetFormatPr defaultRowHeight="15" outlineLevelRow="1" outlineLevelCol="1" x14ac:dyDescent="0.25"/>
  <cols>
    <col min="1" max="1" width="22.5703125" hidden="1" customWidth="1" outlineLevel="1"/>
    <col min="2" max="2" width="16.28515625" hidden="1" customWidth="1" outlineLevel="1"/>
    <col min="3" max="3" width="15.85546875" hidden="1" customWidth="1" outlineLevel="1"/>
    <col min="4" max="4" width="16.28515625" hidden="1" customWidth="1" outlineLevel="1"/>
    <col min="5" max="5" width="16.140625" hidden="1" customWidth="1" outlineLevel="1"/>
    <col min="6" max="6" width="12" hidden="1" customWidth="1" outlineLevel="1"/>
    <col min="7" max="7" width="14.28515625" hidden="1" customWidth="1" outlineLevel="1"/>
    <col min="8" max="9" width="18.42578125" hidden="1" customWidth="1" outlineLevel="1"/>
    <col min="10" max="10" width="13.85546875" hidden="1" customWidth="1" outlineLevel="1"/>
    <col min="11" max="11" width="15.85546875" hidden="1" customWidth="1" outlineLevel="1"/>
    <col min="12" max="12" width="15.5703125" hidden="1" customWidth="1" outlineLevel="1"/>
    <col min="13" max="13" width="15.28515625" hidden="1" customWidth="1" outlineLevel="1"/>
    <col min="14" max="14" width="16.42578125" hidden="1" customWidth="1" outlineLevel="1"/>
    <col min="15" max="15" width="15" hidden="1" customWidth="1" outlineLevel="1"/>
    <col min="16" max="16" width="13.42578125" hidden="1" customWidth="1" outlineLevel="1"/>
    <col min="17" max="17" width="14.28515625" hidden="1" customWidth="1" outlineLevel="1"/>
    <col min="18" max="18" width="11.7109375" hidden="1" customWidth="1" outlineLevel="1"/>
    <col min="19" max="19" width="12.85546875" hidden="1" customWidth="1" outlineLevel="1"/>
    <col min="20" max="21" width="11.85546875" hidden="1" customWidth="1" outlineLevel="1"/>
    <col min="22" max="22" width="16.85546875" hidden="1" customWidth="1" outlineLevel="1"/>
    <col min="23" max="23" width="12.85546875" hidden="1" customWidth="1" outlineLevel="1"/>
    <col min="24" max="24" width="11.140625" hidden="1" customWidth="1" outlineLevel="1"/>
    <col min="25" max="25" width="10.140625" hidden="1" customWidth="1" outlineLevel="1"/>
    <col min="26" max="26" width="11.42578125" hidden="1" customWidth="1" outlineLevel="1"/>
    <col min="27" max="29" width="10.140625" hidden="1" customWidth="1" outlineLevel="1"/>
    <col min="30" max="37" width="9.140625" hidden="1" customWidth="1" outlineLevel="1"/>
    <col min="38" max="38" width="10.85546875" hidden="1" customWidth="1" outlineLevel="1"/>
    <col min="39" max="39" width="15.42578125" hidden="1" customWidth="1" outlineLevel="1"/>
    <col min="40" max="40" width="18.5703125" hidden="1" customWidth="1" outlineLevel="1"/>
    <col min="41" max="41" width="12.42578125" hidden="1" customWidth="1" outlineLevel="1"/>
    <col min="42" max="42" width="24.42578125" hidden="1" customWidth="1" outlineLevel="1"/>
    <col min="43" max="43" width="21.5703125" hidden="1" customWidth="1" outlineLevel="1"/>
    <col min="44" max="44" width="14.140625" hidden="1" customWidth="1" outlineLevel="1"/>
    <col min="45" max="45" width="12.140625" hidden="1" customWidth="1" outlineLevel="1"/>
    <col min="46" max="46" width="13.140625" hidden="1" customWidth="1" outlineLevel="1"/>
    <col min="47" max="47" width="16.85546875" hidden="1" customWidth="1" outlineLevel="1"/>
    <col min="48" max="48" width="9.140625" customWidth="1" collapsed="1"/>
    <col min="51" max="51" width="37.5703125" customWidth="1"/>
    <col min="52" max="52" width="22.42578125" customWidth="1"/>
    <col min="53" max="53" width="16.42578125" customWidth="1"/>
    <col min="54" max="54" width="20" customWidth="1"/>
    <col min="55" max="55" width="14.7109375" customWidth="1"/>
    <col min="56" max="56" width="16.85546875" customWidth="1"/>
    <col min="57" max="57" width="11.140625" customWidth="1"/>
    <col min="58" max="58" width="12" customWidth="1"/>
  </cols>
  <sheetData>
    <row r="1" spans="1:57" x14ac:dyDescent="0.25">
      <c r="A1" s="35"/>
      <c r="B1" s="237" t="s">
        <v>307</v>
      </c>
      <c r="C1" s="238"/>
      <c r="D1" s="238"/>
      <c r="E1" s="239"/>
      <c r="F1" s="237" t="s">
        <v>310</v>
      </c>
      <c r="G1" s="238"/>
      <c r="H1" s="238"/>
      <c r="I1" s="239"/>
      <c r="J1" s="213" t="s">
        <v>309</v>
      </c>
      <c r="K1" s="213"/>
      <c r="L1" s="213"/>
      <c r="M1" s="213"/>
      <c r="N1" s="213" t="s">
        <v>311</v>
      </c>
      <c r="O1" s="213"/>
      <c r="P1" s="213"/>
      <c r="Q1" s="213"/>
      <c r="R1" s="213" t="s">
        <v>312</v>
      </c>
      <c r="S1" s="213"/>
      <c r="T1" s="213"/>
      <c r="U1" s="213"/>
      <c r="V1" s="213" t="s">
        <v>313</v>
      </c>
      <c r="W1" s="213"/>
      <c r="X1" s="213"/>
      <c r="Y1" s="213"/>
      <c r="Z1" s="213" t="s">
        <v>331</v>
      </c>
      <c r="AA1" s="213"/>
      <c r="AB1" s="213"/>
      <c r="AC1" s="213"/>
      <c r="AD1" s="234" t="s">
        <v>366</v>
      </c>
      <c r="AE1" s="235"/>
      <c r="AF1" s="235"/>
      <c r="AG1" s="236"/>
      <c r="AH1" s="237" t="s">
        <v>395</v>
      </c>
      <c r="AI1" s="238"/>
      <c r="AJ1" s="238"/>
      <c r="AK1" s="239"/>
      <c r="AL1" s="237" t="s">
        <v>519</v>
      </c>
      <c r="AM1" s="238"/>
      <c r="AN1" s="238"/>
      <c r="AO1" s="238"/>
      <c r="AP1" s="238"/>
      <c r="AQ1" s="239"/>
      <c r="AR1" s="183"/>
      <c r="AS1" s="183"/>
      <c r="AT1" s="183"/>
      <c r="AU1" s="183"/>
      <c r="AV1" s="216" t="s">
        <v>495</v>
      </c>
      <c r="AW1" s="216"/>
      <c r="AX1" s="216"/>
      <c r="AY1" s="166" t="s">
        <v>494</v>
      </c>
      <c r="AZ1" s="121" t="s">
        <v>497</v>
      </c>
      <c r="BA1" s="122" t="s">
        <v>496</v>
      </c>
      <c r="BB1" s="167" t="s">
        <v>498</v>
      </c>
      <c r="BC1" s="13"/>
      <c r="BD1" s="13"/>
      <c r="BE1" s="13"/>
    </row>
    <row r="2" spans="1:57" x14ac:dyDescent="0.25">
      <c r="A2" s="59" t="s">
        <v>3</v>
      </c>
      <c r="B2" s="49" t="s">
        <v>308</v>
      </c>
      <c r="C2" s="49" t="s">
        <v>255</v>
      </c>
      <c r="D2" s="49" t="s">
        <v>254</v>
      </c>
      <c r="E2" s="49" t="s">
        <v>253</v>
      </c>
      <c r="F2" s="49" t="s">
        <v>308</v>
      </c>
      <c r="G2" s="49" t="s">
        <v>255</v>
      </c>
      <c r="H2" s="49" t="s">
        <v>254</v>
      </c>
      <c r="I2" s="49" t="s">
        <v>253</v>
      </c>
      <c r="J2" s="49" t="s">
        <v>308</v>
      </c>
      <c r="K2" s="49" t="s">
        <v>255</v>
      </c>
      <c r="L2" s="49" t="s">
        <v>254</v>
      </c>
      <c r="M2" s="49" t="s">
        <v>253</v>
      </c>
      <c r="N2" s="49" t="s">
        <v>308</v>
      </c>
      <c r="O2" s="49" t="s">
        <v>255</v>
      </c>
      <c r="P2" s="49" t="s">
        <v>254</v>
      </c>
      <c r="Q2" s="49" t="s">
        <v>253</v>
      </c>
      <c r="R2" s="49" t="s">
        <v>308</v>
      </c>
      <c r="S2" s="49" t="s">
        <v>255</v>
      </c>
      <c r="T2" s="49" t="s">
        <v>254</v>
      </c>
      <c r="U2" s="49" t="s">
        <v>253</v>
      </c>
      <c r="V2" s="49" t="s">
        <v>308</v>
      </c>
      <c r="W2" s="49" t="s">
        <v>255</v>
      </c>
      <c r="X2" s="49" t="s">
        <v>254</v>
      </c>
      <c r="Y2" s="49" t="s">
        <v>253</v>
      </c>
      <c r="Z2" s="49" t="s">
        <v>308</v>
      </c>
      <c r="AA2" s="49" t="s">
        <v>255</v>
      </c>
      <c r="AB2" s="49" t="s">
        <v>254</v>
      </c>
      <c r="AC2" s="39" t="s">
        <v>253</v>
      </c>
      <c r="AD2" s="49" t="s">
        <v>308</v>
      </c>
      <c r="AE2" s="49" t="s">
        <v>255</v>
      </c>
      <c r="AF2" s="49" t="s">
        <v>254</v>
      </c>
      <c r="AG2" s="49" t="s">
        <v>253</v>
      </c>
      <c r="AH2" s="49" t="s">
        <v>308</v>
      </c>
      <c r="AI2" s="49" t="s">
        <v>255</v>
      </c>
      <c r="AJ2" s="49" t="s">
        <v>254</v>
      </c>
      <c r="AK2" s="49" t="s">
        <v>253</v>
      </c>
      <c r="AL2" s="184" t="s">
        <v>307</v>
      </c>
      <c r="AM2" s="184" t="s">
        <v>524</v>
      </c>
      <c r="AN2" s="184" t="s">
        <v>309</v>
      </c>
      <c r="AO2" s="184" t="s">
        <v>311</v>
      </c>
      <c r="AP2" s="184" t="s">
        <v>312</v>
      </c>
      <c r="AQ2" s="184" t="s">
        <v>313</v>
      </c>
      <c r="AR2" s="184" t="s">
        <v>331</v>
      </c>
      <c r="AS2" s="184" t="s">
        <v>366</v>
      </c>
      <c r="AT2" s="184" t="s">
        <v>525</v>
      </c>
      <c r="AU2" s="143"/>
      <c r="AV2" s="143"/>
      <c r="AW2" s="143"/>
      <c r="AX2" s="143"/>
      <c r="AY2" s="169"/>
      <c r="AZ2" s="168"/>
      <c r="BA2" s="168"/>
      <c r="BB2" s="168"/>
      <c r="BC2" s="168"/>
      <c r="BD2" s="168"/>
      <c r="BE2" s="168"/>
    </row>
    <row r="3" spans="1:57" ht="15" customHeight="1" x14ac:dyDescent="0.25">
      <c r="A3" s="35" t="s">
        <v>187</v>
      </c>
      <c r="B3" s="53">
        <f t="shared" ref="B3:B34" si="0">$AZ$29</f>
        <v>27690</v>
      </c>
      <c r="C3" s="53">
        <f t="shared" ref="C3:C34" si="1">$BA$29+$AZ$21</f>
        <v>43070</v>
      </c>
      <c r="D3" s="53">
        <f t="shared" ref="D3:D34" si="2">$BB$29</f>
        <v>28855</v>
      </c>
      <c r="E3" s="53">
        <f t="shared" ref="E3:E34" si="3">$BC$29</f>
        <v>32586</v>
      </c>
      <c r="F3" s="53">
        <f t="shared" ref="F3:F34" si="4">$AZ$29*$AZ$53/((1+$AZ$41)^$AZ$52)</f>
        <v>3958.3882042800105</v>
      </c>
      <c r="G3" s="53">
        <f t="shared" ref="G3:G34" si="5">$BA$29*$BA$53/((1+$AZ$41)^$BA$52)</f>
        <v>2102.4530573088114</v>
      </c>
      <c r="H3" s="53">
        <f t="shared" ref="H3:H34" si="6">$BB$29*$BB$53/((1+$AZ$41)^$BB$52)</f>
        <v>3652.9124753923325</v>
      </c>
      <c r="I3" s="53">
        <f t="shared" ref="I3:I34" si="7">$BC$29*$BC$53/((1+$AZ$41)^$BC$52)</f>
        <v>4125.2401983411737</v>
      </c>
      <c r="J3" s="55">
        <f t="shared" ref="J3:J34" si="8">B3-F3</f>
        <v>23731.611795719989</v>
      </c>
      <c r="K3" s="55">
        <f t="shared" ref="K3:K34" si="9">C3-G3</f>
        <v>40967.546942691188</v>
      </c>
      <c r="L3" s="55">
        <f t="shared" ref="L3:L34" si="10">D3-H3</f>
        <v>25202.087524607668</v>
      </c>
      <c r="M3" s="53">
        <f t="shared" ref="M3:M34" si="11">E3-I3</f>
        <v>28460.759801658827</v>
      </c>
      <c r="N3" s="53">
        <f t="shared" ref="N3:N34" si="12">VLOOKUP($A3,$A$60:$V$110,22,FALSE)</f>
        <v>21182.345434986637</v>
      </c>
      <c r="O3" s="53">
        <f t="shared" ref="O3:O34" si="13">VLOOKUP($A3,$A$114:$V$164,22,FALSE)</f>
        <v>14769.476918898186</v>
      </c>
      <c r="P3" s="53">
        <f t="shared" ref="P3:P34" si="14">VLOOKUP($A3,$A$169:$V$219,22,FALSE)</f>
        <v>13035.289498453316</v>
      </c>
      <c r="Q3" s="53">
        <f t="shared" ref="Q3:Q34" si="15">VLOOKUP($A3,$A$224:$V$274,22,FALSE)</f>
        <v>21089.288947505764</v>
      </c>
      <c r="R3" s="53">
        <f t="shared" ref="R3:R34" si="16">VLOOKUP($A3,$A$281:$V$331,22,FALSE)</f>
        <v>30378.519953460178</v>
      </c>
      <c r="S3" s="53">
        <f t="shared" ref="S3:S34" si="17">VLOOKUP($A3,$A$337:$V$387,22,FALSE)</f>
        <v>18916.553559672364</v>
      </c>
      <c r="T3" s="53">
        <f t="shared" ref="T3:T34" si="18">VLOOKUP($A3,$A$393:$V$443,22,FALSE)</f>
        <v>27922.384297648496</v>
      </c>
      <c r="U3" s="53">
        <f t="shared" ref="U3:U34" si="19">VLOOKUP($A3,$A$449:$V$499,22,FALSE)</f>
        <v>27922.384297648496</v>
      </c>
      <c r="V3" s="55">
        <f>VLOOKUP($A3,'Car insurance'!$A$29:$K$80,6,FALSE)*$AZ$78+$AZ$29*VLOOKUP($A3,'Car insurance'!$A$29:$K$80,11,FALSE)</f>
        <v>31184.607825597031</v>
      </c>
      <c r="W3" s="53">
        <f>VLOOKUP($A3,'Car insurance'!$A$29:$K$80,8,FALSE)*$AZ$78+VLOOKUP('TCO Inputs'!A3,'Car insurance'!$A$29:$K$80,11,FALSE)*'TCO Inputs'!$BA$29</f>
        <v>36963.62043125186</v>
      </c>
      <c r="X3" s="53">
        <f>VLOOKUP($A3,'Car insurance'!$A$29:$K$80,10,FALSE)*$AZ$78+VLOOKUP($A3,'Car insurance'!$A$29:$K$80,11,FALSE)*'TCO Inputs'!$BB$29</f>
        <v>32496.636287742946</v>
      </c>
      <c r="Y3" s="53">
        <f>VLOOKUP($A3,'Car insurance'!$A$29:$K$80,10,FALSE)*$AZ$78+VLOOKUP($A3,'Car insurance'!$A$29:$K$80,11,FALSE)*'TCO Inputs'!$BC$29</f>
        <v>32571.256287742948</v>
      </c>
      <c r="Z3" s="53">
        <f t="shared" ref="Z3:Z34" si="20">IF($AZ$26="Yes",$AZ$34,0)</f>
        <v>0</v>
      </c>
      <c r="AA3" s="53">
        <f t="shared" ref="AA3:AA34" si="21">IF($AZ$26="Yes",$BA$34,0)</f>
        <v>0</v>
      </c>
      <c r="AB3" s="53">
        <f t="shared" ref="AB3:AB34" si="22">IF($AZ$26="Yes",$BB$34,0)</f>
        <v>0</v>
      </c>
      <c r="AC3" s="53">
        <f t="shared" ref="AC3:AC34" si="23">IF($AZ$26="Yes",$BC$34,0)</f>
        <v>0</v>
      </c>
      <c r="AD3" s="64">
        <f>SUM(J3,N3,R3,V3,Z3)</f>
        <v>106477.08500976385</v>
      </c>
      <c r="AE3" s="64">
        <f>SUM(K3,O3,S3,W3,AA3)</f>
        <v>111617.19785251361</v>
      </c>
      <c r="AF3" s="64">
        <f>SUM(L3,P3,T3,X3,AB3)</f>
        <v>98656.397608452433</v>
      </c>
      <c r="AG3" s="66">
        <f>SUM(M3,Q3,U3,Y3,AC3)</f>
        <v>110043.68933455604</v>
      </c>
      <c r="AH3" s="144">
        <f>AD3-$AD3</f>
        <v>0</v>
      </c>
      <c r="AI3" s="65">
        <f>AE3-$AD3</f>
        <v>5140.1128427497606</v>
      </c>
      <c r="AJ3" s="65">
        <f>AF3-$AD3</f>
        <v>-7820.6874013114139</v>
      </c>
      <c r="AK3" s="66">
        <f>AG3-$AD3</f>
        <v>3566.6043247921916</v>
      </c>
      <c r="AL3" s="65">
        <f>$BD$4</f>
        <v>32975</v>
      </c>
      <c r="AM3" s="65">
        <f>AL3*$BD$53/((1+$AZ$41)^$BD$52)</f>
        <v>2598.3233873593772</v>
      </c>
      <c r="AN3" s="65">
        <f>AL3-AM3</f>
        <v>30376.676612640622</v>
      </c>
      <c r="AO3" s="65">
        <f>VLOOKUP($A3,$A$559:$V$609,22,FALSE)</f>
        <v>13119.296338400329</v>
      </c>
      <c r="AP3" s="65">
        <f>VLOOKUP($A3,$A$504:$V$554,22,FALSE)</f>
        <v>26905.277460433248</v>
      </c>
      <c r="AQ3" s="65">
        <f>VLOOKUP($A3,'Car insurance'!$A$29:$K$80,8,FALSE)*$AZ$78+VLOOKUP('TCO Inputs'!A3,'Car insurance'!$A$29:$K$80,11,FALSE)*$BD$4</f>
        <v>36761.720431251859</v>
      </c>
      <c r="AR3" s="65">
        <v>0</v>
      </c>
      <c r="AS3" s="65">
        <f>SUM(AN3:AR3)</f>
        <v>107162.97084272606</v>
      </c>
      <c r="AT3" s="60">
        <f>AS3-AD3</f>
        <v>685.88583296221623</v>
      </c>
      <c r="AU3" s="60"/>
      <c r="AV3" s="219" t="s">
        <v>500</v>
      </c>
      <c r="AW3" s="219"/>
      <c r="AX3" s="219"/>
      <c r="AY3" s="37" t="s">
        <v>490</v>
      </c>
      <c r="AZ3" s="155" t="s">
        <v>308</v>
      </c>
      <c r="BA3" s="155" t="s">
        <v>255</v>
      </c>
      <c r="BB3" s="155" t="s">
        <v>254</v>
      </c>
      <c r="BC3" s="155" t="s">
        <v>253</v>
      </c>
      <c r="BD3" s="213" t="s">
        <v>519</v>
      </c>
      <c r="BE3" s="213"/>
    </row>
    <row r="4" spans="1:57" x14ac:dyDescent="0.25">
      <c r="A4" s="35" t="s">
        <v>231</v>
      </c>
      <c r="B4" s="53">
        <f t="shared" si="0"/>
        <v>27690</v>
      </c>
      <c r="C4" s="53">
        <f t="shared" si="1"/>
        <v>43070</v>
      </c>
      <c r="D4" s="53">
        <f t="shared" si="2"/>
        <v>28855</v>
      </c>
      <c r="E4" s="53">
        <f t="shared" si="3"/>
        <v>32586</v>
      </c>
      <c r="F4" s="53">
        <f t="shared" si="4"/>
        <v>3958.3882042800105</v>
      </c>
      <c r="G4" s="53">
        <f t="shared" si="5"/>
        <v>2102.4530573088114</v>
      </c>
      <c r="H4" s="53">
        <f t="shared" si="6"/>
        <v>3652.9124753923325</v>
      </c>
      <c r="I4" s="53">
        <f t="shared" si="7"/>
        <v>4125.2401983411737</v>
      </c>
      <c r="J4" s="55">
        <f t="shared" si="8"/>
        <v>23731.611795719989</v>
      </c>
      <c r="K4" s="55">
        <f t="shared" si="9"/>
        <v>40967.546942691188</v>
      </c>
      <c r="L4" s="55">
        <f t="shared" si="10"/>
        <v>25202.087524607668</v>
      </c>
      <c r="M4" s="53">
        <f t="shared" si="11"/>
        <v>28460.759801658827</v>
      </c>
      <c r="N4" s="53">
        <f t="shared" si="12"/>
        <v>22740.385756005438</v>
      </c>
      <c r="O4" s="53">
        <f t="shared" si="13"/>
        <v>22472.309466161507</v>
      </c>
      <c r="P4" s="53">
        <f t="shared" si="14"/>
        <v>13994.083542157192</v>
      </c>
      <c r="Q4" s="53">
        <f t="shared" si="15"/>
        <v>15502.936666570948</v>
      </c>
      <c r="R4" s="53">
        <f t="shared" si="16"/>
        <v>18944.588606549703</v>
      </c>
      <c r="S4" s="53">
        <f t="shared" si="17"/>
        <v>11796.701274149387</v>
      </c>
      <c r="T4" s="53">
        <f t="shared" si="18"/>
        <v>17412.898463892492</v>
      </c>
      <c r="U4" s="53">
        <f t="shared" si="19"/>
        <v>17412.898463892492</v>
      </c>
      <c r="V4" s="55">
        <f>VLOOKUP($A4,'Car insurance'!$A$29:$K$80,6,FALSE)*$AZ$78+$AZ$29*VLOOKUP($A4,'Car insurance'!$A$29:$K$80,11,FALSE)</f>
        <v>24164.59292800496</v>
      </c>
      <c r="W4" s="53">
        <f>VLOOKUP($A4,'Car insurance'!$A$29:$K$80,8,FALSE)*$AZ$78+VLOOKUP('TCO Inputs'!A4,'Car insurance'!$A$29:$K$80,11,FALSE)*'TCO Inputs'!$BA$29</f>
        <v>30630.807825597032</v>
      </c>
      <c r="X4" s="53">
        <f>VLOOKUP($A4,'Car insurance'!$A$29:$K$80,10,FALSE)*$AZ$78+VLOOKUP($A4,'Car insurance'!$A$29:$K$80,11,FALSE)*'TCO Inputs'!$BB$29</f>
        <v>25181.26865068917</v>
      </c>
      <c r="Y4" s="53">
        <f>VLOOKUP($A4,'Car insurance'!$A$29:$K$80,10,FALSE)*$AZ$78+VLOOKUP($A4,'Car insurance'!$A$29:$K$80,11,FALSE)*'TCO Inputs'!$BC$29</f>
        <v>25181.26865068917</v>
      </c>
      <c r="Z4" s="53">
        <f t="shared" si="20"/>
        <v>0</v>
      </c>
      <c r="AA4" s="53">
        <f t="shared" si="21"/>
        <v>0</v>
      </c>
      <c r="AB4" s="53">
        <f t="shared" si="22"/>
        <v>0</v>
      </c>
      <c r="AC4" s="53">
        <f t="shared" si="23"/>
        <v>0</v>
      </c>
      <c r="AD4" s="65">
        <f t="shared" ref="AD4:AD53" si="24">SUM(J4,N4,R4,V4,Z4)</f>
        <v>89581.179086280084</v>
      </c>
      <c r="AE4" s="65">
        <f t="shared" ref="AE4:AE53" si="25">SUM(K4,O4,S4,W4,AA4)</f>
        <v>105867.3655085991</v>
      </c>
      <c r="AF4" s="65">
        <f t="shared" ref="AF4:AF53" si="26">SUM(L4,P4,T4,X4,AB4)</f>
        <v>81790.338181346509</v>
      </c>
      <c r="AG4" s="60">
        <f t="shared" ref="AG4:AG53" si="27">SUM(M4,Q4,U4,Y4,AC4)</f>
        <v>86557.863582811435</v>
      </c>
      <c r="AH4" s="144">
        <f t="shared" ref="AH4:AH53" si="28">AD4-$AD4</f>
        <v>0</v>
      </c>
      <c r="AI4" s="65">
        <f t="shared" ref="AI4:AI53" si="29">AE4-$AD4</f>
        <v>16286.18642231902</v>
      </c>
      <c r="AJ4" s="65">
        <f t="shared" ref="AJ4:AJ53" si="30">AF4-$AD4</f>
        <v>-7790.8409049335751</v>
      </c>
      <c r="AK4" s="60">
        <f t="shared" ref="AK4:AK53" si="31">AG4-$AD4</f>
        <v>-3023.3155034686497</v>
      </c>
      <c r="AL4" s="65">
        <f t="shared" ref="AL4:AL53" si="32">$BD$4</f>
        <v>32975</v>
      </c>
      <c r="AM4" s="65">
        <f t="shared" ref="AM4:AM53" si="33">AL4*$BD$53/((1+$AZ$41)^$BD$52)</f>
        <v>2598.3233873593772</v>
      </c>
      <c r="AN4" s="65">
        <f t="shared" ref="AN4:AN53" si="34">AL4-AM4</f>
        <v>30376.676612640622</v>
      </c>
      <c r="AO4" s="65">
        <f t="shared" ref="AO4:AO53" si="35">VLOOKUP($A4,$A$559:$V$609,22,FALSE)</f>
        <v>17245.125827873144</v>
      </c>
      <c r="AP4" s="65">
        <f t="shared" ref="AP4:AP53" si="36">VLOOKUP($A4,$A$504:$V$554,22,FALSE)</f>
        <v>16778.612441088502</v>
      </c>
      <c r="AQ4" s="65">
        <f>VLOOKUP($A4,'Car insurance'!$A$29:$K$80,8,FALSE)*$AZ$78+VLOOKUP('TCO Inputs'!A4,'Car insurance'!$A$29:$K$80,11,FALSE)*$BD$4</f>
        <v>30630.807825597032</v>
      </c>
      <c r="AR4" s="65">
        <v>0</v>
      </c>
      <c r="AS4" s="65">
        <f t="shared" ref="AS4:AS53" si="37">SUM(AN4:AR4)</f>
        <v>95031.222707199311</v>
      </c>
      <c r="AT4" s="60">
        <f t="shared" ref="AT4:AT53" si="38">AS4-AD4</f>
        <v>5450.0436209192267</v>
      </c>
      <c r="AU4" s="60"/>
      <c r="AV4" s="219"/>
      <c r="AW4" s="219"/>
      <c r="AX4" s="219"/>
      <c r="AY4" s="51" t="s">
        <v>307</v>
      </c>
      <c r="AZ4" s="157">
        <v>27690</v>
      </c>
      <c r="BA4" s="157">
        <v>43070</v>
      </c>
      <c r="BB4" s="157">
        <v>28855</v>
      </c>
      <c r="BC4" s="156">
        <f>BC29</f>
        <v>32586</v>
      </c>
      <c r="BD4" s="220">
        <v>32975</v>
      </c>
      <c r="BE4" s="220"/>
    </row>
    <row r="5" spans="1:57" x14ac:dyDescent="0.25">
      <c r="A5" s="35" t="s">
        <v>189</v>
      </c>
      <c r="B5" s="53">
        <f t="shared" si="0"/>
        <v>27690</v>
      </c>
      <c r="C5" s="53">
        <f t="shared" si="1"/>
        <v>43070</v>
      </c>
      <c r="D5" s="53">
        <f t="shared" si="2"/>
        <v>28855</v>
      </c>
      <c r="E5" s="53">
        <f t="shared" si="3"/>
        <v>32586</v>
      </c>
      <c r="F5" s="53">
        <f t="shared" si="4"/>
        <v>3958.3882042800105</v>
      </c>
      <c r="G5" s="53">
        <f t="shared" si="5"/>
        <v>2102.4530573088114</v>
      </c>
      <c r="H5" s="53">
        <f t="shared" si="6"/>
        <v>3652.9124753923325</v>
      </c>
      <c r="I5" s="53">
        <f t="shared" si="7"/>
        <v>4125.2401983411737</v>
      </c>
      <c r="J5" s="55">
        <f t="shared" si="8"/>
        <v>23731.611795719989</v>
      </c>
      <c r="K5" s="55">
        <f t="shared" si="9"/>
        <v>40967.546942691188</v>
      </c>
      <c r="L5" s="55">
        <f t="shared" si="10"/>
        <v>25202.087524607668</v>
      </c>
      <c r="M5" s="53">
        <f t="shared" si="11"/>
        <v>28460.759801658827</v>
      </c>
      <c r="N5" s="53">
        <f t="shared" si="12"/>
        <v>22995.364881085901</v>
      </c>
      <c r="O5" s="53">
        <f t="shared" si="13"/>
        <v>10832.584538825424</v>
      </c>
      <c r="P5" s="53">
        <f t="shared" si="14"/>
        <v>14150.99377297594</v>
      </c>
      <c r="Q5" s="53">
        <f t="shared" si="15"/>
        <v>15676.765082229029</v>
      </c>
      <c r="R5" s="53">
        <f t="shared" si="16"/>
        <v>22318.843025806462</v>
      </c>
      <c r="S5" s="53">
        <f t="shared" si="17"/>
        <v>13897.832749402885</v>
      </c>
      <c r="T5" s="53">
        <f t="shared" si="18"/>
        <v>20514.340823719976</v>
      </c>
      <c r="U5" s="53">
        <f t="shared" si="19"/>
        <v>20514.340823719976</v>
      </c>
      <c r="V5" s="55">
        <f>VLOOKUP($A5,'Car insurance'!$A$29:$K$80,6,FALSE)*$AZ$78+$AZ$29*VLOOKUP($A5,'Car insurance'!$A$29:$K$80,11,FALSE)</f>
        <v>29860.242477743468</v>
      </c>
      <c r="W5" s="53">
        <f>VLOOKUP($A5,'Car insurance'!$A$29:$K$80,8,FALSE)*$AZ$78+VLOOKUP('TCO Inputs'!A5,'Car insurance'!$A$29:$K$80,11,FALSE)*'TCO Inputs'!$BA$29</f>
        <v>36358.735465387836</v>
      </c>
      <c r="X5" s="53">
        <f>VLOOKUP($A5,'Car insurance'!$A$29:$K$80,10,FALSE)*$AZ$78+VLOOKUP($A5,'Car insurance'!$A$29:$K$80,11,FALSE)*'TCO Inputs'!$BB$29</f>
        <v>31116.550982133904</v>
      </c>
      <c r="Y5" s="53">
        <f>VLOOKUP($A5,'Car insurance'!$A$29:$K$80,10,FALSE)*$AZ$78+VLOOKUP($A5,'Car insurance'!$A$29:$K$80,11,FALSE)*'TCO Inputs'!$BC$29</f>
        <v>31325.486982133902</v>
      </c>
      <c r="Z5" s="53">
        <f t="shared" si="20"/>
        <v>0</v>
      </c>
      <c r="AA5" s="53">
        <f t="shared" si="21"/>
        <v>0</v>
      </c>
      <c r="AB5" s="53">
        <f t="shared" si="22"/>
        <v>0</v>
      </c>
      <c r="AC5" s="53">
        <f t="shared" si="23"/>
        <v>0</v>
      </c>
      <c r="AD5" s="65">
        <f t="shared" si="24"/>
        <v>98906.062180355817</v>
      </c>
      <c r="AE5" s="65">
        <f t="shared" si="25"/>
        <v>102056.69969630733</v>
      </c>
      <c r="AF5" s="65">
        <f t="shared" si="26"/>
        <v>90983.973103437485</v>
      </c>
      <c r="AG5" s="60">
        <f t="shared" si="27"/>
        <v>95977.352689741732</v>
      </c>
      <c r="AH5" s="144">
        <f t="shared" si="28"/>
        <v>0</v>
      </c>
      <c r="AI5" s="65">
        <f t="shared" si="29"/>
        <v>3150.6375159515155</v>
      </c>
      <c r="AJ5" s="65">
        <f t="shared" si="30"/>
        <v>-7922.0890769183316</v>
      </c>
      <c r="AK5" s="60">
        <f t="shared" si="31"/>
        <v>-2928.7094906140846</v>
      </c>
      <c r="AL5" s="65">
        <f t="shared" si="32"/>
        <v>32975</v>
      </c>
      <c r="AM5" s="65">
        <f t="shared" si="33"/>
        <v>2598.3233873593772</v>
      </c>
      <c r="AN5" s="65">
        <f t="shared" si="34"/>
        <v>30376.676612640622</v>
      </c>
      <c r="AO5" s="65">
        <f t="shared" si="35"/>
        <v>11818.12841049897</v>
      </c>
      <c r="AP5" s="65">
        <f t="shared" si="36"/>
        <v>19767.080987656238</v>
      </c>
      <c r="AQ5" s="65">
        <f>VLOOKUP($A5,'Car insurance'!$A$29:$K$80,8,FALSE)*$AZ$78+VLOOKUP('TCO Inputs'!A5,'Car insurance'!$A$29:$K$80,11,FALSE)*$BD$4</f>
        <v>35793.415465387836</v>
      </c>
      <c r="AR5" s="65">
        <v>0</v>
      </c>
      <c r="AS5" s="65">
        <f t="shared" si="37"/>
        <v>97755.301476183668</v>
      </c>
      <c r="AT5" s="60">
        <f t="shared" si="38"/>
        <v>-1150.7607041721494</v>
      </c>
      <c r="AU5" s="60"/>
      <c r="AV5" s="219"/>
      <c r="AW5" s="219"/>
      <c r="AX5" s="219"/>
      <c r="AY5" s="51" t="s">
        <v>493</v>
      </c>
      <c r="AZ5" s="78">
        <v>32</v>
      </c>
      <c r="BA5" s="158">
        <v>119</v>
      </c>
      <c r="BB5" s="78">
        <v>52</v>
      </c>
      <c r="BC5" s="158">
        <v>52</v>
      </c>
      <c r="BD5" s="179">
        <v>52</v>
      </c>
      <c r="BE5" s="179">
        <v>119</v>
      </c>
    </row>
    <row r="6" spans="1:57" x14ac:dyDescent="0.25">
      <c r="A6" s="35" t="s">
        <v>188</v>
      </c>
      <c r="B6" s="53">
        <f t="shared" si="0"/>
        <v>27690</v>
      </c>
      <c r="C6" s="53">
        <f t="shared" si="1"/>
        <v>43070</v>
      </c>
      <c r="D6" s="53">
        <f t="shared" si="2"/>
        <v>28855</v>
      </c>
      <c r="E6" s="53">
        <f t="shared" si="3"/>
        <v>32586</v>
      </c>
      <c r="F6" s="53">
        <f t="shared" si="4"/>
        <v>3958.3882042800105</v>
      </c>
      <c r="G6" s="53">
        <f t="shared" si="5"/>
        <v>2102.4530573088114</v>
      </c>
      <c r="H6" s="53">
        <f t="shared" si="6"/>
        <v>3652.9124753923325</v>
      </c>
      <c r="I6" s="53">
        <f t="shared" si="7"/>
        <v>4125.2401983411737</v>
      </c>
      <c r="J6" s="55">
        <f t="shared" si="8"/>
        <v>23731.611795719989</v>
      </c>
      <c r="K6" s="55">
        <f t="shared" si="9"/>
        <v>40967.546942691188</v>
      </c>
      <c r="L6" s="55">
        <f t="shared" si="10"/>
        <v>25202.087524607668</v>
      </c>
      <c r="M6" s="53">
        <f t="shared" si="11"/>
        <v>28460.759801658827</v>
      </c>
      <c r="N6" s="53">
        <f t="shared" si="12"/>
        <v>20598.028824524059</v>
      </c>
      <c r="O6" s="53">
        <f t="shared" si="13"/>
        <v>12915.809927283542</v>
      </c>
      <c r="P6" s="53">
        <f t="shared" si="14"/>
        <v>12675.710045860955</v>
      </c>
      <c r="Q6" s="53">
        <f t="shared" si="15"/>
        <v>20507.539307330455</v>
      </c>
      <c r="R6" s="53">
        <f t="shared" si="16"/>
        <v>29367.437148700574</v>
      </c>
      <c r="S6" s="53">
        <f t="shared" si="17"/>
        <v>18286.957316708584</v>
      </c>
      <c r="T6" s="53">
        <f t="shared" si="18"/>
        <v>26993.048613273706</v>
      </c>
      <c r="U6" s="53">
        <f t="shared" si="19"/>
        <v>26993.048613273706</v>
      </c>
      <c r="V6" s="55">
        <f>VLOOKUP($A6,'Car insurance'!$A$29:$K$80,6,FALSE)*$AZ$78+$AZ$29*VLOOKUP($A6,'Car insurance'!$A$29:$K$80,11,FALSE)</f>
        <v>33425.460117534276</v>
      </c>
      <c r="W6" s="53">
        <f>VLOOKUP($A6,'Car insurance'!$A$29:$K$80,8,FALSE)*$AZ$78+VLOOKUP('TCO Inputs'!A6,'Car insurance'!$A$29:$K$80,11,FALSE)*'TCO Inputs'!$BA$29</f>
        <v>43544.181126958989</v>
      </c>
      <c r="X6" s="53">
        <f>VLOOKUP($A6,'Car insurance'!$A$29:$K$80,10,FALSE)*$AZ$78+VLOOKUP($A6,'Car insurance'!$A$29:$K$80,11,FALSE)*'TCO Inputs'!$BB$29</f>
        <v>34831.767847289688</v>
      </c>
      <c r="Y6" s="53">
        <f>VLOOKUP($A6,'Car insurance'!$A$29:$K$80,10,FALSE)*$AZ$78+VLOOKUP($A6,'Car insurance'!$A$29:$K$80,11,FALSE)*'TCO Inputs'!$BC$29</f>
        <v>35074.282847289694</v>
      </c>
      <c r="Z6" s="53">
        <f t="shared" si="20"/>
        <v>0</v>
      </c>
      <c r="AA6" s="53">
        <f t="shared" si="21"/>
        <v>0</v>
      </c>
      <c r="AB6" s="53">
        <f t="shared" si="22"/>
        <v>0</v>
      </c>
      <c r="AC6" s="53">
        <f t="shared" si="23"/>
        <v>0</v>
      </c>
      <c r="AD6" s="65">
        <f t="shared" si="24"/>
        <v>107122.53788647891</v>
      </c>
      <c r="AE6" s="65">
        <f t="shared" si="25"/>
        <v>115714.49531364228</v>
      </c>
      <c r="AF6" s="65">
        <f t="shared" si="26"/>
        <v>99702.614031032019</v>
      </c>
      <c r="AG6" s="60">
        <f t="shared" si="27"/>
        <v>111035.63056955268</v>
      </c>
      <c r="AH6" s="144">
        <f t="shared" si="28"/>
        <v>0</v>
      </c>
      <c r="AI6" s="65">
        <f t="shared" si="29"/>
        <v>8591.9574271633755</v>
      </c>
      <c r="AJ6" s="65">
        <f t="shared" si="30"/>
        <v>-7419.9238554468902</v>
      </c>
      <c r="AK6" s="60">
        <f t="shared" si="31"/>
        <v>3913.0926830737735</v>
      </c>
      <c r="AL6" s="65">
        <f t="shared" si="32"/>
        <v>32975</v>
      </c>
      <c r="AM6" s="65">
        <f t="shared" si="33"/>
        <v>2598.3233873593772</v>
      </c>
      <c r="AN6" s="65">
        <f t="shared" si="34"/>
        <v>30376.676612640622</v>
      </c>
      <c r="AO6" s="65">
        <f t="shared" si="35"/>
        <v>12061.024901853552</v>
      </c>
      <c r="AP6" s="65">
        <f t="shared" si="36"/>
        <v>26009.793959617346</v>
      </c>
      <c r="AQ6" s="65">
        <f>VLOOKUP($A6,'Car insurance'!$A$29:$K$80,8,FALSE)*$AZ$78+VLOOKUP('TCO Inputs'!A6,'Car insurance'!$A$29:$K$80,11,FALSE)*$BD$4</f>
        <v>42888.006126958986</v>
      </c>
      <c r="AR6" s="65">
        <v>0</v>
      </c>
      <c r="AS6" s="65">
        <f t="shared" si="37"/>
        <v>111335.50160107051</v>
      </c>
      <c r="AT6" s="60">
        <f t="shared" si="38"/>
        <v>4212.9637145916058</v>
      </c>
      <c r="AU6" s="60"/>
      <c r="AV6" s="219"/>
      <c r="AW6" s="219"/>
      <c r="AX6" s="219"/>
      <c r="AY6" s="51" t="s">
        <v>413</v>
      </c>
      <c r="AZ6" s="180" t="s">
        <v>327</v>
      </c>
      <c r="BA6" s="180" t="s">
        <v>327</v>
      </c>
      <c r="BB6" s="180" t="s">
        <v>327</v>
      </c>
      <c r="BC6" s="78">
        <v>7</v>
      </c>
      <c r="BD6" s="48" t="s">
        <v>327</v>
      </c>
      <c r="BE6" s="48" t="s">
        <v>327</v>
      </c>
    </row>
    <row r="7" spans="1:57" x14ac:dyDescent="0.25">
      <c r="A7" s="35" t="s">
        <v>149</v>
      </c>
      <c r="B7" s="53">
        <f t="shared" si="0"/>
        <v>27690</v>
      </c>
      <c r="C7" s="53">
        <f t="shared" si="1"/>
        <v>43070</v>
      </c>
      <c r="D7" s="53">
        <f t="shared" si="2"/>
        <v>28855</v>
      </c>
      <c r="E7" s="53">
        <f t="shared" si="3"/>
        <v>32586</v>
      </c>
      <c r="F7" s="53">
        <f t="shared" si="4"/>
        <v>3958.3882042800105</v>
      </c>
      <c r="G7" s="53">
        <f t="shared" si="5"/>
        <v>2102.4530573088114</v>
      </c>
      <c r="H7" s="53">
        <f t="shared" si="6"/>
        <v>3652.9124753923325</v>
      </c>
      <c r="I7" s="53">
        <f t="shared" si="7"/>
        <v>4125.2401983411737</v>
      </c>
      <c r="J7" s="55">
        <f t="shared" si="8"/>
        <v>23731.611795719989</v>
      </c>
      <c r="K7" s="55">
        <f t="shared" si="9"/>
        <v>40967.546942691188</v>
      </c>
      <c r="L7" s="55">
        <f t="shared" si="10"/>
        <v>25202.087524607668</v>
      </c>
      <c r="M7" s="53">
        <f t="shared" si="11"/>
        <v>28460.759801658827</v>
      </c>
      <c r="N7" s="53">
        <f t="shared" si="12"/>
        <v>21830.18361794564</v>
      </c>
      <c r="O7" s="53">
        <f t="shared" si="13"/>
        <v>16498.107386033953</v>
      </c>
      <c r="P7" s="53">
        <f t="shared" si="14"/>
        <v>13433.959149505008</v>
      </c>
      <c r="Q7" s="53">
        <f t="shared" si="15"/>
        <v>14882.419220142316</v>
      </c>
      <c r="R7" s="53">
        <f t="shared" si="16"/>
        <v>21353.796031718874</v>
      </c>
      <c r="S7" s="53">
        <f t="shared" si="17"/>
        <v>13296.902777197996</v>
      </c>
      <c r="T7" s="53">
        <f t="shared" si="18"/>
        <v>19627.318905750115</v>
      </c>
      <c r="U7" s="53">
        <f t="shared" si="19"/>
        <v>19627.318905750115</v>
      </c>
      <c r="V7" s="55">
        <f>VLOOKUP($A7,'Car insurance'!$A$29:$K$80,6,FALSE)*$AZ$78+$AZ$29*VLOOKUP($A7,'Car insurance'!$A$29:$K$80,11,FALSE)</f>
        <v>34130.536263502894</v>
      </c>
      <c r="W7" s="53">
        <f>VLOOKUP($A7,'Car insurance'!$A$29:$K$80,8,FALSE)*$AZ$78+VLOOKUP('TCO Inputs'!A7,'Car insurance'!$A$29:$K$80,11,FALSE)*'TCO Inputs'!$BA$29</f>
        <v>42872.403835021745</v>
      </c>
      <c r="X7" s="53">
        <f>VLOOKUP($A7,'Car insurance'!$A$29:$K$80,10,FALSE)*$AZ$78+VLOOKUP($A7,'Car insurance'!$A$29:$K$80,11,FALSE)*'TCO Inputs'!$BB$29</f>
        <v>35566.508627063056</v>
      </c>
      <c r="Y7" s="53">
        <f>VLOOKUP($A7,'Car insurance'!$A$29:$K$80,10,FALSE)*$AZ$78+VLOOKUP($A7,'Car insurance'!$A$29:$K$80,11,FALSE)*'TCO Inputs'!$BC$29</f>
        <v>35837.006127063054</v>
      </c>
      <c r="Z7" s="53">
        <f t="shared" si="20"/>
        <v>0</v>
      </c>
      <c r="AA7" s="53">
        <f t="shared" si="21"/>
        <v>0</v>
      </c>
      <c r="AB7" s="53">
        <f t="shared" si="22"/>
        <v>0</v>
      </c>
      <c r="AC7" s="53">
        <f t="shared" si="23"/>
        <v>0</v>
      </c>
      <c r="AD7" s="65">
        <f t="shared" si="24"/>
        <v>101046.12770888739</v>
      </c>
      <c r="AE7" s="65">
        <f t="shared" si="25"/>
        <v>113634.96094094487</v>
      </c>
      <c r="AF7" s="65">
        <f t="shared" si="26"/>
        <v>93829.874206925844</v>
      </c>
      <c r="AG7" s="60">
        <f t="shared" si="27"/>
        <v>98807.504054614314</v>
      </c>
      <c r="AH7" s="144">
        <f t="shared" si="28"/>
        <v>0</v>
      </c>
      <c r="AI7" s="65">
        <f t="shared" si="29"/>
        <v>12588.833232057485</v>
      </c>
      <c r="AJ7" s="65">
        <f t="shared" si="30"/>
        <v>-7216.2535019615461</v>
      </c>
      <c r="AK7" s="60">
        <f t="shared" si="31"/>
        <v>-2238.6236542730767</v>
      </c>
      <c r="AL7" s="65">
        <f t="shared" si="32"/>
        <v>32975</v>
      </c>
      <c r="AM7" s="65">
        <f t="shared" si="33"/>
        <v>2598.3233873593772</v>
      </c>
      <c r="AN7" s="65">
        <f t="shared" si="34"/>
        <v>30376.676612640622</v>
      </c>
      <c r="AO7" s="65">
        <f t="shared" si="35"/>
        <v>14168.78959176699</v>
      </c>
      <c r="AP7" s="65">
        <f t="shared" si="36"/>
        <v>18912.369922796541</v>
      </c>
      <c r="AQ7" s="65">
        <f>VLOOKUP($A7,'Car insurance'!$A$29:$K$80,8,FALSE)*$AZ$78+VLOOKUP('TCO Inputs'!A7,'Car insurance'!$A$29:$K$80,11,FALSE)*$BD$4</f>
        <v>42140.516335021748</v>
      </c>
      <c r="AR7" s="65">
        <v>0</v>
      </c>
      <c r="AS7" s="65">
        <f t="shared" si="37"/>
        <v>105598.3524622259</v>
      </c>
      <c r="AT7" s="60">
        <f t="shared" si="38"/>
        <v>4552.2247533385089</v>
      </c>
      <c r="AU7" s="60"/>
      <c r="AV7" s="219"/>
      <c r="AW7" s="219"/>
      <c r="AX7" s="219"/>
      <c r="AY7" s="51" t="s">
        <v>414</v>
      </c>
      <c r="AZ7" s="180" t="s">
        <v>327</v>
      </c>
      <c r="BA7" s="180" t="s">
        <v>327</v>
      </c>
      <c r="BB7" s="180" t="s">
        <v>327</v>
      </c>
      <c r="BC7" s="78">
        <v>533</v>
      </c>
      <c r="BD7" s="48" t="s">
        <v>327</v>
      </c>
      <c r="BE7" s="48" t="s">
        <v>327</v>
      </c>
    </row>
    <row r="8" spans="1:57" x14ac:dyDescent="0.25">
      <c r="A8" s="35" t="s">
        <v>190</v>
      </c>
      <c r="B8" s="53">
        <f t="shared" si="0"/>
        <v>27690</v>
      </c>
      <c r="C8" s="53">
        <f t="shared" si="1"/>
        <v>43070</v>
      </c>
      <c r="D8" s="53">
        <f t="shared" si="2"/>
        <v>28855</v>
      </c>
      <c r="E8" s="53">
        <f t="shared" si="3"/>
        <v>32586</v>
      </c>
      <c r="F8" s="53">
        <f t="shared" si="4"/>
        <v>3958.3882042800105</v>
      </c>
      <c r="G8" s="53">
        <f t="shared" si="5"/>
        <v>2102.4530573088114</v>
      </c>
      <c r="H8" s="53">
        <f t="shared" si="6"/>
        <v>3652.9124753923325</v>
      </c>
      <c r="I8" s="53">
        <f t="shared" si="7"/>
        <v>4125.2401983411737</v>
      </c>
      <c r="J8" s="55">
        <f t="shared" si="8"/>
        <v>23731.611795719989</v>
      </c>
      <c r="K8" s="55">
        <f t="shared" si="9"/>
        <v>40967.546942691188</v>
      </c>
      <c r="L8" s="55">
        <f t="shared" si="10"/>
        <v>25202.087524607668</v>
      </c>
      <c r="M8" s="53">
        <f t="shared" si="11"/>
        <v>28460.759801658827</v>
      </c>
      <c r="N8" s="53">
        <f t="shared" si="12"/>
        <v>18444.456944455058</v>
      </c>
      <c r="O8" s="53">
        <f t="shared" si="13"/>
        <v>11888.971984222351</v>
      </c>
      <c r="P8" s="53">
        <f t="shared" si="14"/>
        <v>11350.43504274157</v>
      </c>
      <c r="Q8" s="53">
        <f t="shared" si="15"/>
        <v>15777.978566685248</v>
      </c>
      <c r="R8" s="53">
        <f t="shared" si="16"/>
        <v>21993.182291052519</v>
      </c>
      <c r="S8" s="53">
        <f t="shared" si="17"/>
        <v>13695.045426627032</v>
      </c>
      <c r="T8" s="53">
        <f t="shared" si="18"/>
        <v>20215.010105818488</v>
      </c>
      <c r="U8" s="53">
        <f t="shared" si="19"/>
        <v>20215.010105818488</v>
      </c>
      <c r="V8" s="55">
        <f>VLOOKUP($A8,'Car insurance'!$A$29:$K$80,6,FALSE)*$AZ$78+$AZ$29*VLOOKUP($A8,'Car insurance'!$A$29:$K$80,11,FALSE)</f>
        <v>31765.418589576111</v>
      </c>
      <c r="W8" s="53">
        <f>VLOOKUP($A8,'Car insurance'!$A$29:$K$80,8,FALSE)*$AZ$78+VLOOKUP('TCO Inputs'!A8,'Car insurance'!$A$29:$K$80,11,FALSE)*'TCO Inputs'!$BA$29</f>
        <v>39838.256161094963</v>
      </c>
      <c r="X8" s="53">
        <f>VLOOKUP($A8,'Car insurance'!$A$29:$K$80,10,FALSE)*$AZ$78+VLOOKUP($A8,'Car insurance'!$A$29:$K$80,11,FALSE)*'TCO Inputs'!$BB$29</f>
        <v>33101.883474258531</v>
      </c>
      <c r="Y8" s="53">
        <f>VLOOKUP($A8,'Car insurance'!$A$29:$K$80,10,FALSE)*$AZ$78+VLOOKUP($A8,'Car insurance'!$A$29:$K$80,11,FALSE)*'TCO Inputs'!$BC$29</f>
        <v>33210.082474258532</v>
      </c>
      <c r="Z8" s="53">
        <f t="shared" si="20"/>
        <v>0</v>
      </c>
      <c r="AA8" s="53">
        <f t="shared" si="21"/>
        <v>0</v>
      </c>
      <c r="AB8" s="53">
        <f t="shared" si="22"/>
        <v>0</v>
      </c>
      <c r="AC8" s="53">
        <f t="shared" si="23"/>
        <v>0</v>
      </c>
      <c r="AD8" s="65">
        <f t="shared" si="24"/>
        <v>95934.669620803674</v>
      </c>
      <c r="AE8" s="65">
        <f t="shared" si="25"/>
        <v>106389.82051463553</v>
      </c>
      <c r="AF8" s="65">
        <f t="shared" si="26"/>
        <v>89869.416147426266</v>
      </c>
      <c r="AG8" s="60">
        <f t="shared" si="27"/>
        <v>97663.830948421091</v>
      </c>
      <c r="AH8" s="144">
        <f t="shared" si="28"/>
        <v>0</v>
      </c>
      <c r="AI8" s="65">
        <f t="shared" si="29"/>
        <v>10455.150893831858</v>
      </c>
      <c r="AJ8" s="65">
        <f t="shared" si="30"/>
        <v>-6065.2534733774082</v>
      </c>
      <c r="AK8" s="60">
        <f t="shared" si="31"/>
        <v>1729.1613276174176</v>
      </c>
      <c r="AL8" s="65">
        <f t="shared" si="32"/>
        <v>32975</v>
      </c>
      <c r="AM8" s="65">
        <f t="shared" si="33"/>
        <v>2598.3233873593772</v>
      </c>
      <c r="AN8" s="65">
        <f t="shared" si="34"/>
        <v>30376.676612640622</v>
      </c>
      <c r="AO8" s="65">
        <f t="shared" si="35"/>
        <v>10965.791085021123</v>
      </c>
      <c r="AP8" s="65">
        <f t="shared" si="36"/>
        <v>19478.653755521613</v>
      </c>
      <c r="AQ8" s="65">
        <f>VLOOKUP($A8,'Car insurance'!$A$29:$K$80,8,FALSE)*$AZ$78+VLOOKUP('TCO Inputs'!A8,'Car insurance'!$A$29:$K$80,11,FALSE)*$BD$4</f>
        <v>39545.501161094966</v>
      </c>
      <c r="AR8" s="65">
        <v>0</v>
      </c>
      <c r="AS8" s="65">
        <f t="shared" si="37"/>
        <v>100366.62261427833</v>
      </c>
      <c r="AT8" s="60">
        <f t="shared" si="38"/>
        <v>4431.9529934746533</v>
      </c>
      <c r="AU8" s="60"/>
      <c r="AV8" s="219"/>
      <c r="AW8" s="219"/>
      <c r="AX8" s="219"/>
      <c r="AY8" s="51" t="s">
        <v>520</v>
      </c>
      <c r="AZ8" s="48" t="s">
        <v>327</v>
      </c>
      <c r="BA8" s="48">
        <v>252</v>
      </c>
      <c r="BB8" s="48" t="s">
        <v>327</v>
      </c>
      <c r="BC8" s="48" t="s">
        <v>327</v>
      </c>
      <c r="BD8" s="221">
        <v>44</v>
      </c>
      <c r="BE8" s="222"/>
    </row>
    <row r="9" spans="1:57" ht="15" customHeight="1" x14ac:dyDescent="0.25">
      <c r="A9" s="35" t="s">
        <v>191</v>
      </c>
      <c r="B9" s="53">
        <f t="shared" si="0"/>
        <v>27690</v>
      </c>
      <c r="C9" s="53">
        <f t="shared" si="1"/>
        <v>43070</v>
      </c>
      <c r="D9" s="53">
        <f t="shared" si="2"/>
        <v>28855</v>
      </c>
      <c r="E9" s="53">
        <f t="shared" si="3"/>
        <v>32586</v>
      </c>
      <c r="F9" s="53">
        <f t="shared" si="4"/>
        <v>3958.3882042800105</v>
      </c>
      <c r="G9" s="53">
        <f t="shared" si="5"/>
        <v>2102.4530573088114</v>
      </c>
      <c r="H9" s="53">
        <f t="shared" si="6"/>
        <v>3652.9124753923325</v>
      </c>
      <c r="I9" s="53">
        <f t="shared" si="7"/>
        <v>4125.2401983411737</v>
      </c>
      <c r="J9" s="55">
        <f t="shared" si="8"/>
        <v>23731.611795719989</v>
      </c>
      <c r="K9" s="55">
        <f t="shared" si="9"/>
        <v>40967.546942691188</v>
      </c>
      <c r="L9" s="55">
        <f t="shared" si="10"/>
        <v>25202.087524607668</v>
      </c>
      <c r="M9" s="53">
        <f t="shared" si="11"/>
        <v>28460.759801658827</v>
      </c>
      <c r="N9" s="53">
        <f t="shared" si="12"/>
        <v>16539.187970706462</v>
      </c>
      <c r="O9" s="53">
        <f t="shared" si="13"/>
        <v>17463.258312405156</v>
      </c>
      <c r="P9" s="53">
        <f t="shared" si="14"/>
        <v>10177.96182812705</v>
      </c>
      <c r="Q9" s="53">
        <f t="shared" si="15"/>
        <v>14666.463865837351</v>
      </c>
      <c r="R9" s="53">
        <f t="shared" si="16"/>
        <v>20659.848811588759</v>
      </c>
      <c r="S9" s="53">
        <f t="shared" si="17"/>
        <v>12864.785288351013</v>
      </c>
      <c r="T9" s="53">
        <f t="shared" si="18"/>
        <v>18989.478056609241</v>
      </c>
      <c r="U9" s="53">
        <f t="shared" si="19"/>
        <v>18989.478056609241</v>
      </c>
      <c r="V9" s="55">
        <f>VLOOKUP($A9,'Car insurance'!$A$29:$K$80,6,FALSE)*$AZ$78+$AZ$29*VLOOKUP($A9,'Car insurance'!$A$29:$K$80,11,FALSE)</f>
        <v>32389.122825597031</v>
      </c>
      <c r="W9" s="53">
        <f>VLOOKUP($A9,'Car insurance'!$A$29:$K$80,8,FALSE)*$AZ$78+VLOOKUP('TCO Inputs'!A9,'Car insurance'!$A$29:$K$80,11,FALSE)*'TCO Inputs'!$BA$29</f>
        <v>43645.376508948531</v>
      </c>
      <c r="X9" s="53">
        <f>VLOOKUP($A9,'Car insurance'!$A$29:$K$80,10,FALSE)*$AZ$78+VLOOKUP($A9,'Car insurance'!$A$29:$K$80,11,FALSE)*'TCO Inputs'!$BB$29</f>
        <v>33751.828787742947</v>
      </c>
      <c r="Y9" s="53">
        <f>VLOOKUP($A9,'Car insurance'!$A$29:$K$80,10,FALSE)*$AZ$78+VLOOKUP($A9,'Car insurance'!$A$29:$K$80,11,FALSE)*'TCO Inputs'!$BC$29</f>
        <v>33988.747287742946</v>
      </c>
      <c r="Z9" s="53">
        <f t="shared" si="20"/>
        <v>0</v>
      </c>
      <c r="AA9" s="53">
        <f t="shared" si="21"/>
        <v>0</v>
      </c>
      <c r="AB9" s="53">
        <f t="shared" si="22"/>
        <v>0</v>
      </c>
      <c r="AC9" s="53">
        <f t="shared" si="23"/>
        <v>0</v>
      </c>
      <c r="AD9" s="65">
        <f t="shared" si="24"/>
        <v>93319.771403612249</v>
      </c>
      <c r="AE9" s="65">
        <f t="shared" si="25"/>
        <v>114940.96705239589</v>
      </c>
      <c r="AF9" s="65">
        <f t="shared" si="26"/>
        <v>88121.35619708692</v>
      </c>
      <c r="AG9" s="60">
        <f t="shared" si="27"/>
        <v>96105.449011848366</v>
      </c>
      <c r="AH9" s="144">
        <f t="shared" si="28"/>
        <v>0</v>
      </c>
      <c r="AI9" s="65">
        <f t="shared" si="29"/>
        <v>21621.195648783643</v>
      </c>
      <c r="AJ9" s="65">
        <f t="shared" si="30"/>
        <v>-5198.4152065253293</v>
      </c>
      <c r="AK9" s="60">
        <f t="shared" si="31"/>
        <v>2785.6776082361175</v>
      </c>
      <c r="AL9" s="65">
        <f t="shared" si="32"/>
        <v>32975</v>
      </c>
      <c r="AM9" s="65">
        <f t="shared" si="33"/>
        <v>2598.3233873593772</v>
      </c>
      <c r="AN9" s="65">
        <f t="shared" si="34"/>
        <v>30376.676612640622</v>
      </c>
      <c r="AO9" s="65">
        <f t="shared" si="35"/>
        <v>13058.869441505165</v>
      </c>
      <c r="AP9" s="65">
        <f t="shared" si="36"/>
        <v>18297.763203012277</v>
      </c>
      <c r="AQ9" s="65">
        <f>VLOOKUP($A9,'Car insurance'!$A$29:$K$80,8,FALSE)*$AZ$78+VLOOKUP('TCO Inputs'!A9,'Car insurance'!$A$29:$K$80,11,FALSE)*$BD$4</f>
        <v>43004.34400894853</v>
      </c>
      <c r="AR9" s="65">
        <v>0</v>
      </c>
      <c r="AS9" s="65">
        <f t="shared" si="37"/>
        <v>104737.65326610659</v>
      </c>
      <c r="AT9" s="60">
        <f t="shared" si="38"/>
        <v>11417.881862494338</v>
      </c>
      <c r="AU9" s="60"/>
      <c r="AV9" s="219"/>
      <c r="AW9" s="219"/>
      <c r="AX9" s="219"/>
      <c r="AY9" s="51" t="s">
        <v>523</v>
      </c>
      <c r="AZ9" s="48" t="s">
        <v>327</v>
      </c>
      <c r="BA9" s="48" t="s">
        <v>327</v>
      </c>
      <c r="BB9" s="48" t="s">
        <v>327</v>
      </c>
      <c r="BC9" s="48" t="s">
        <v>327</v>
      </c>
      <c r="BD9" s="223" cm="1">
        <f t="array" ref="BD9">_xlfn.IFS(AND(BD8&gt;=40,BD8&lt;=60),(BD8-40)*0.005+0.5,AND(BD8&lt;40,BD8&gt;=20),(BD8-20)*0.01+0.3,BD8&lt;20,0.1,BD8&gt;60,0.7)</f>
        <v>0.52</v>
      </c>
      <c r="BE9" s="224"/>
    </row>
    <row r="10" spans="1:57" ht="15" customHeight="1" x14ac:dyDescent="0.25">
      <c r="A10" s="35" t="s">
        <v>192</v>
      </c>
      <c r="B10" s="53">
        <f t="shared" si="0"/>
        <v>27690</v>
      </c>
      <c r="C10" s="53">
        <f t="shared" si="1"/>
        <v>43070</v>
      </c>
      <c r="D10" s="53">
        <f t="shared" si="2"/>
        <v>28855</v>
      </c>
      <c r="E10" s="53">
        <f t="shared" si="3"/>
        <v>32586</v>
      </c>
      <c r="F10" s="53">
        <f t="shared" si="4"/>
        <v>3958.3882042800105</v>
      </c>
      <c r="G10" s="53">
        <f t="shared" si="5"/>
        <v>2102.4530573088114</v>
      </c>
      <c r="H10" s="53">
        <f t="shared" si="6"/>
        <v>3652.9124753923325</v>
      </c>
      <c r="I10" s="53">
        <f t="shared" si="7"/>
        <v>4125.2401983411737</v>
      </c>
      <c r="J10" s="55">
        <f t="shared" si="8"/>
        <v>23731.611795719989</v>
      </c>
      <c r="K10" s="55">
        <f t="shared" si="9"/>
        <v>40967.546942691188</v>
      </c>
      <c r="L10" s="55">
        <f t="shared" si="10"/>
        <v>25202.087524607668</v>
      </c>
      <c r="M10" s="53">
        <f t="shared" si="11"/>
        <v>28460.759801658827</v>
      </c>
      <c r="N10" s="53">
        <f t="shared" si="12"/>
        <v>17479.546995978206</v>
      </c>
      <c r="O10" s="53">
        <f t="shared" si="13"/>
        <v>11071.916383954363</v>
      </c>
      <c r="P10" s="53">
        <f t="shared" si="14"/>
        <v>10756.644305217356</v>
      </c>
      <c r="Q10" s="53">
        <f t="shared" si="15"/>
        <v>15100.712828252546</v>
      </c>
      <c r="R10" s="53">
        <f t="shared" si="16"/>
        <v>21498.723583834504</v>
      </c>
      <c r="S10" s="53">
        <f t="shared" si="17"/>
        <v>13387.14844440191</v>
      </c>
      <c r="T10" s="53">
        <f t="shared" si="18"/>
        <v>19760.52891109894</v>
      </c>
      <c r="U10" s="53">
        <f t="shared" si="19"/>
        <v>19760.52891109894</v>
      </c>
      <c r="V10" s="55">
        <f>VLOOKUP($A10,'Car insurance'!$A$29:$K$80,6,FALSE)*$AZ$78+$AZ$29*VLOOKUP($A10,'Car insurance'!$A$29:$K$80,11,FALSE)</f>
        <v>33615.214701408753</v>
      </c>
      <c r="W10" s="53">
        <f>VLOOKUP($A10,'Car insurance'!$A$29:$K$80,8,FALSE)*$AZ$78+VLOOKUP('TCO Inputs'!A10,'Car insurance'!$A$29:$K$80,11,FALSE)*'TCO Inputs'!$BA$29</f>
        <v>40081.429599000825</v>
      </c>
      <c r="X10" s="53">
        <f>VLOOKUP($A10,'Car insurance'!$A$29:$K$80,10,FALSE)*$AZ$78+VLOOKUP($A10,'Car insurance'!$A$29:$K$80,11,FALSE)*'TCO Inputs'!$BB$29</f>
        <v>35029.505966383156</v>
      </c>
      <c r="Y10" s="53">
        <f>VLOOKUP($A10,'Car insurance'!$A$29:$K$80,10,FALSE)*$AZ$78+VLOOKUP($A10,'Car insurance'!$A$29:$K$80,11,FALSE)*'TCO Inputs'!$BC$29</f>
        <v>35029.505966383156</v>
      </c>
      <c r="Z10" s="53">
        <f t="shared" si="20"/>
        <v>0</v>
      </c>
      <c r="AA10" s="53">
        <f t="shared" si="21"/>
        <v>0</v>
      </c>
      <c r="AB10" s="53">
        <f t="shared" si="22"/>
        <v>0</v>
      </c>
      <c r="AC10" s="53">
        <f t="shared" si="23"/>
        <v>0</v>
      </c>
      <c r="AD10" s="65">
        <f t="shared" si="24"/>
        <v>96325.097076941456</v>
      </c>
      <c r="AE10" s="65">
        <f t="shared" si="25"/>
        <v>105508.04137004827</v>
      </c>
      <c r="AF10" s="65">
        <f t="shared" si="26"/>
        <v>90748.766707307121</v>
      </c>
      <c r="AG10" s="60">
        <f t="shared" si="27"/>
        <v>98351.507507393471</v>
      </c>
      <c r="AH10" s="144">
        <f t="shared" si="28"/>
        <v>0</v>
      </c>
      <c r="AI10" s="65">
        <f t="shared" si="29"/>
        <v>9182.9442931068188</v>
      </c>
      <c r="AJ10" s="65">
        <f t="shared" si="30"/>
        <v>-5576.3303696343355</v>
      </c>
      <c r="AK10" s="60">
        <f t="shared" si="31"/>
        <v>2026.4104304520151</v>
      </c>
      <c r="AL10" s="65">
        <f t="shared" si="32"/>
        <v>32975</v>
      </c>
      <c r="AM10" s="65">
        <f t="shared" si="33"/>
        <v>2598.3233873593772</v>
      </c>
      <c r="AN10" s="65">
        <f t="shared" si="34"/>
        <v>30376.676612640622</v>
      </c>
      <c r="AO10" s="65">
        <f t="shared" si="35"/>
        <v>10300.72905249965</v>
      </c>
      <c r="AP10" s="65">
        <f t="shared" si="36"/>
        <v>19040.727591547555</v>
      </c>
      <c r="AQ10" s="65">
        <f>VLOOKUP($A10,'Car insurance'!$A$29:$K$80,8,FALSE)*$AZ$78+VLOOKUP('TCO Inputs'!A10,'Car insurance'!$A$29:$K$80,11,FALSE)*$BD$4</f>
        <v>40081.429599000825</v>
      </c>
      <c r="AR10" s="65">
        <v>0</v>
      </c>
      <c r="AS10" s="65">
        <f t="shared" si="37"/>
        <v>99799.562855688651</v>
      </c>
      <c r="AT10" s="60">
        <f t="shared" si="38"/>
        <v>3474.4657787471951</v>
      </c>
      <c r="AU10" s="65"/>
    </row>
    <row r="11" spans="1:57" x14ac:dyDescent="0.25">
      <c r="A11" s="35" t="s">
        <v>193</v>
      </c>
      <c r="B11" s="53">
        <f t="shared" si="0"/>
        <v>27690</v>
      </c>
      <c r="C11" s="53">
        <f t="shared" si="1"/>
        <v>43070</v>
      </c>
      <c r="D11" s="53">
        <f t="shared" si="2"/>
        <v>28855</v>
      </c>
      <c r="E11" s="53">
        <f t="shared" si="3"/>
        <v>32586</v>
      </c>
      <c r="F11" s="53">
        <f t="shared" si="4"/>
        <v>3958.3882042800105</v>
      </c>
      <c r="G11" s="53">
        <f t="shared" si="5"/>
        <v>2102.4530573088114</v>
      </c>
      <c r="H11" s="53">
        <f t="shared" si="6"/>
        <v>3652.9124753923325</v>
      </c>
      <c r="I11" s="53">
        <f t="shared" si="7"/>
        <v>4125.2401983411737</v>
      </c>
      <c r="J11" s="55">
        <f t="shared" si="8"/>
        <v>23731.611795719989</v>
      </c>
      <c r="K11" s="55">
        <f t="shared" si="9"/>
        <v>40967.546942691188</v>
      </c>
      <c r="L11" s="55">
        <f t="shared" si="10"/>
        <v>25202.087524607668</v>
      </c>
      <c r="M11" s="53">
        <f t="shared" si="11"/>
        <v>28460.759801658827</v>
      </c>
      <c r="N11" s="53">
        <f t="shared" si="12"/>
        <v>18377.405329824462</v>
      </c>
      <c r="O11" s="53">
        <f t="shared" si="13"/>
        <v>11736.445892362304</v>
      </c>
      <c r="P11" s="53">
        <f t="shared" si="14"/>
        <v>11309.172510661208</v>
      </c>
      <c r="Q11" s="53">
        <f t="shared" si="15"/>
        <v>17247.479808847347</v>
      </c>
      <c r="R11" s="53">
        <f t="shared" si="16"/>
        <v>24820.122072319682</v>
      </c>
      <c r="S11" s="53">
        <f t="shared" si="17"/>
        <v>15455.366793969277</v>
      </c>
      <c r="T11" s="53">
        <f t="shared" si="18"/>
        <v>22813.388798387445</v>
      </c>
      <c r="U11" s="53">
        <f t="shared" si="19"/>
        <v>22813.388798387445</v>
      </c>
      <c r="V11" s="55">
        <f>VLOOKUP($A11,'Car insurance'!$A$29:$K$80,6,FALSE)*$AZ$78+$AZ$29*VLOOKUP($A11,'Car insurance'!$A$29:$K$80,11,FALSE)</f>
        <v>44395.635710833471</v>
      </c>
      <c r="W11" s="53">
        <f>VLOOKUP($A11,'Car insurance'!$A$29:$K$80,8,FALSE)*$AZ$78+VLOOKUP('TCO Inputs'!A11,'Car insurance'!$A$29:$K$80,11,FALSE)*'TCO Inputs'!$BA$29</f>
        <v>58250.86550601761</v>
      </c>
      <c r="X11" s="53">
        <f>VLOOKUP($A11,'Car insurance'!$A$29:$K$80,10,FALSE)*$AZ$78+VLOOKUP($A11,'Car insurance'!$A$29:$K$80,11,FALSE)*'TCO Inputs'!$BB$29</f>
        <v>46263.491095561571</v>
      </c>
      <c r="Y11" s="53">
        <f>VLOOKUP($A11,'Car insurance'!$A$29:$K$80,10,FALSE)*$AZ$78+VLOOKUP($A11,'Car insurance'!$A$29:$K$80,11,FALSE)*'TCO Inputs'!$BC$29</f>
        <v>46487.351095561564</v>
      </c>
      <c r="Z11" s="53">
        <f t="shared" si="20"/>
        <v>0</v>
      </c>
      <c r="AA11" s="53">
        <f t="shared" si="21"/>
        <v>0</v>
      </c>
      <c r="AB11" s="53">
        <f t="shared" si="22"/>
        <v>0</v>
      </c>
      <c r="AC11" s="53">
        <f t="shared" si="23"/>
        <v>0</v>
      </c>
      <c r="AD11" s="65">
        <f t="shared" si="24"/>
        <v>111324.77490869761</v>
      </c>
      <c r="AE11" s="65">
        <f t="shared" si="25"/>
        <v>126410.22513504038</v>
      </c>
      <c r="AF11" s="65">
        <f t="shared" si="26"/>
        <v>105588.1399292179</v>
      </c>
      <c r="AG11" s="60">
        <f t="shared" si="27"/>
        <v>115008.97950445519</v>
      </c>
      <c r="AH11" s="144">
        <f t="shared" si="28"/>
        <v>0</v>
      </c>
      <c r="AI11" s="65">
        <f t="shared" si="29"/>
        <v>15085.450226342771</v>
      </c>
      <c r="AJ11" s="65">
        <f t="shared" si="30"/>
        <v>-5736.6349794797134</v>
      </c>
      <c r="AK11" s="60">
        <f t="shared" si="31"/>
        <v>3684.2045957575756</v>
      </c>
      <c r="AL11" s="65">
        <f t="shared" si="32"/>
        <v>32975</v>
      </c>
      <c r="AM11" s="65">
        <f t="shared" si="33"/>
        <v>2598.3233873593772</v>
      </c>
      <c r="AN11" s="65">
        <f t="shared" si="34"/>
        <v>30376.676612640622</v>
      </c>
      <c r="AO11" s="65">
        <f t="shared" si="35"/>
        <v>10871.57248952872</v>
      </c>
      <c r="AP11" s="65">
        <f t="shared" si="36"/>
        <v>21982.383341276687</v>
      </c>
      <c r="AQ11" s="65">
        <f>VLOOKUP($A11,'Car insurance'!$A$29:$K$80,8,FALSE)*$AZ$78+VLOOKUP('TCO Inputs'!A11,'Car insurance'!$A$29:$K$80,11,FALSE)*$BD$4</f>
        <v>57645.165506017613</v>
      </c>
      <c r="AR11" s="65">
        <v>0</v>
      </c>
      <c r="AS11" s="65">
        <f t="shared" si="37"/>
        <v>120875.79794946364</v>
      </c>
      <c r="AT11" s="60">
        <f t="shared" si="38"/>
        <v>9551.0230407660274</v>
      </c>
      <c r="AU11" s="65"/>
    </row>
    <row r="12" spans="1:57" ht="15.75" customHeight="1" x14ac:dyDescent="0.25">
      <c r="A12" s="35" t="s">
        <v>194</v>
      </c>
      <c r="B12" s="53">
        <f t="shared" si="0"/>
        <v>27690</v>
      </c>
      <c r="C12" s="53">
        <f t="shared" si="1"/>
        <v>43070</v>
      </c>
      <c r="D12" s="53">
        <f t="shared" si="2"/>
        <v>28855</v>
      </c>
      <c r="E12" s="53">
        <f t="shared" si="3"/>
        <v>32586</v>
      </c>
      <c r="F12" s="53">
        <f t="shared" si="4"/>
        <v>3958.3882042800105</v>
      </c>
      <c r="G12" s="53">
        <f t="shared" si="5"/>
        <v>2102.4530573088114</v>
      </c>
      <c r="H12" s="53">
        <f t="shared" si="6"/>
        <v>3652.9124753923325</v>
      </c>
      <c r="I12" s="53">
        <f t="shared" si="7"/>
        <v>4125.2401983411737</v>
      </c>
      <c r="J12" s="55">
        <f t="shared" si="8"/>
        <v>23731.611795719989</v>
      </c>
      <c r="K12" s="55">
        <f t="shared" si="9"/>
        <v>40967.546942691188</v>
      </c>
      <c r="L12" s="55">
        <f t="shared" si="10"/>
        <v>25202.087524607668</v>
      </c>
      <c r="M12" s="53">
        <f t="shared" si="11"/>
        <v>28460.759801658827</v>
      </c>
      <c r="N12" s="53">
        <f t="shared" si="12"/>
        <v>23100.230217836837</v>
      </c>
      <c r="O12" s="53">
        <f t="shared" si="13"/>
        <v>14383.856747221771</v>
      </c>
      <c r="P12" s="53">
        <f t="shared" si="14"/>
        <v>14215.526287899591</v>
      </c>
      <c r="Q12" s="53">
        <f t="shared" si="15"/>
        <v>21679.92418468749</v>
      </c>
      <c r="R12" s="53">
        <f t="shared" si="16"/>
        <v>31260.020476328158</v>
      </c>
      <c r="S12" s="53">
        <f t="shared" si="17"/>
        <v>19465.459559018524</v>
      </c>
      <c r="T12" s="53">
        <f t="shared" si="18"/>
        <v>28732.614565476091</v>
      </c>
      <c r="U12" s="53">
        <f t="shared" si="19"/>
        <v>28732.614565476091</v>
      </c>
      <c r="V12" s="55">
        <f>VLOOKUP($A12,'Car insurance'!$A$29:$K$80,6,FALSE)*$AZ$78+$AZ$29*VLOOKUP($A12,'Car insurance'!$A$29:$K$80,11,FALSE)</f>
        <v>31740.105915649328</v>
      </c>
      <c r="W12" s="53">
        <f>VLOOKUP($A12,'Car insurance'!$A$29:$K$80,8,FALSE)*$AZ$78+VLOOKUP('TCO Inputs'!A12,'Car insurance'!$A$29:$K$80,11,FALSE)*'TCO Inputs'!$BA$29</f>
        <v>36795.9150833983</v>
      </c>
      <c r="X12" s="53">
        <f>VLOOKUP($A12,'Car insurance'!$A$29:$K$80,10,FALSE)*$AZ$78+VLOOKUP($A12,'Car insurance'!$A$29:$K$80,11,FALSE)*'TCO Inputs'!$BB$29</f>
        <v>33075.505821454004</v>
      </c>
      <c r="Y12" s="53">
        <f>VLOOKUP($A12,'Car insurance'!$A$29:$K$80,10,FALSE)*$AZ$78+VLOOKUP($A12,'Car insurance'!$A$29:$K$80,11,FALSE)*'TCO Inputs'!$BC$29</f>
        <v>33336.675821454002</v>
      </c>
      <c r="Z12" s="53">
        <f t="shared" si="20"/>
        <v>0</v>
      </c>
      <c r="AA12" s="53">
        <f t="shared" si="21"/>
        <v>0</v>
      </c>
      <c r="AB12" s="53">
        <f t="shared" si="22"/>
        <v>0</v>
      </c>
      <c r="AC12" s="53">
        <f t="shared" si="23"/>
        <v>0</v>
      </c>
      <c r="AD12" s="65">
        <f t="shared" si="24"/>
        <v>109831.96840553431</v>
      </c>
      <c r="AE12" s="65">
        <f t="shared" si="25"/>
        <v>111612.77833232978</v>
      </c>
      <c r="AF12" s="65">
        <f t="shared" si="26"/>
        <v>101225.73419943736</v>
      </c>
      <c r="AG12" s="60">
        <f t="shared" si="27"/>
        <v>112209.9743732764</v>
      </c>
      <c r="AH12" s="144">
        <f t="shared" si="28"/>
        <v>0</v>
      </c>
      <c r="AI12" s="65">
        <f t="shared" si="29"/>
        <v>1780.8099267954676</v>
      </c>
      <c r="AJ12" s="65">
        <f t="shared" si="30"/>
        <v>-8606.2342060969531</v>
      </c>
      <c r="AK12" s="60">
        <f t="shared" si="31"/>
        <v>2378.0059677420941</v>
      </c>
      <c r="AL12" s="65">
        <f t="shared" si="32"/>
        <v>32975</v>
      </c>
      <c r="AM12" s="65">
        <f t="shared" si="33"/>
        <v>2598.3233873593772</v>
      </c>
      <c r="AN12" s="65">
        <f t="shared" si="34"/>
        <v>30376.676612640622</v>
      </c>
      <c r="AO12" s="65">
        <f t="shared" si="35"/>
        <v>13494.167879303932</v>
      </c>
      <c r="AP12" s="65">
        <f t="shared" si="36"/>
        <v>27685.994104483543</v>
      </c>
      <c r="AQ12" s="65">
        <f>VLOOKUP($A12,'Car insurance'!$A$29:$K$80,8,FALSE)*$AZ$78+VLOOKUP('TCO Inputs'!A12,'Car insurance'!$A$29:$K$80,11,FALSE)*$BD$4</f>
        <v>36089.265083398299</v>
      </c>
      <c r="AR12" s="65">
        <v>0</v>
      </c>
      <c r="AS12" s="65">
        <f t="shared" si="37"/>
        <v>107646.1036798264</v>
      </c>
      <c r="AT12" s="60">
        <f t="shared" si="38"/>
        <v>-2185.8647257079137</v>
      </c>
      <c r="AU12" s="65"/>
      <c r="AV12" s="225" t="s">
        <v>501</v>
      </c>
      <c r="AW12" s="226"/>
      <c r="AX12" s="227"/>
      <c r="AY12" s="51" t="s">
        <v>517</v>
      </c>
      <c r="AZ12" s="78">
        <v>2023</v>
      </c>
    </row>
    <row r="13" spans="1:57" x14ac:dyDescent="0.25">
      <c r="A13" s="35" t="s">
        <v>233</v>
      </c>
      <c r="B13" s="53">
        <f t="shared" si="0"/>
        <v>27690</v>
      </c>
      <c r="C13" s="53">
        <f t="shared" si="1"/>
        <v>43070</v>
      </c>
      <c r="D13" s="53">
        <f t="shared" si="2"/>
        <v>28855</v>
      </c>
      <c r="E13" s="53">
        <f t="shared" si="3"/>
        <v>32586</v>
      </c>
      <c r="F13" s="53">
        <f t="shared" si="4"/>
        <v>3958.3882042800105</v>
      </c>
      <c r="G13" s="53">
        <f t="shared" si="5"/>
        <v>2102.4530573088114</v>
      </c>
      <c r="H13" s="53">
        <f t="shared" si="6"/>
        <v>3652.9124753923325</v>
      </c>
      <c r="I13" s="53">
        <f t="shared" si="7"/>
        <v>4125.2401983411737</v>
      </c>
      <c r="J13" s="55">
        <f t="shared" si="8"/>
        <v>23731.611795719989</v>
      </c>
      <c r="K13" s="55">
        <f t="shared" si="9"/>
        <v>40967.546942691188</v>
      </c>
      <c r="L13" s="55">
        <f t="shared" si="10"/>
        <v>25202.087524607668</v>
      </c>
      <c r="M13" s="53">
        <f t="shared" si="11"/>
        <v>28460.759801658827</v>
      </c>
      <c r="N13" s="53">
        <f t="shared" si="12"/>
        <v>20333.109927887934</v>
      </c>
      <c r="O13" s="53">
        <f t="shared" si="13"/>
        <v>20636.796898384873</v>
      </c>
      <c r="P13" s="53">
        <f t="shared" si="14"/>
        <v>12512.683032546422</v>
      </c>
      <c r="Q13" s="53">
        <f t="shared" si="15"/>
        <v>13861.810385658273</v>
      </c>
      <c r="R13" s="53">
        <f t="shared" si="16"/>
        <v>19928.390930911071</v>
      </c>
      <c r="S13" s="53">
        <f t="shared" si="17"/>
        <v>12409.310097404199</v>
      </c>
      <c r="T13" s="53">
        <f t="shared" si="18"/>
        <v>18317.159323731019</v>
      </c>
      <c r="U13" s="53">
        <f t="shared" si="19"/>
        <v>18317.159323731019</v>
      </c>
      <c r="V13" s="55">
        <f>VLOOKUP($A13,'Car insurance'!$A$29:$K$80,6,FALSE)*$AZ$78+$AZ$29*VLOOKUP($A13,'Car insurance'!$A$29:$K$80,11,FALSE)</f>
        <v>21458.784142245531</v>
      </c>
      <c r="W13" s="53">
        <f>VLOOKUP($A13,'Car insurance'!$A$29:$K$80,8,FALSE)*$AZ$78+VLOOKUP('TCO Inputs'!A13,'Car insurance'!$A$29:$K$80,11,FALSE)*'TCO Inputs'!$BA$29</f>
        <v>25555.792164025879</v>
      </c>
      <c r="X13" s="53">
        <f>VLOOKUP($A13,'Car insurance'!$A$29:$K$80,10,FALSE)*$AZ$78+VLOOKUP($A13,'Car insurance'!$A$29:$K$80,11,FALSE)*'TCO Inputs'!$BB$29</f>
        <v>22361.61850576002</v>
      </c>
      <c r="Y13" s="53">
        <f>VLOOKUP($A13,'Car insurance'!$A$29:$K$80,10,FALSE)*$AZ$78+VLOOKUP($A13,'Car insurance'!$A$29:$K$80,11,FALSE)*'TCO Inputs'!$BC$29</f>
        <v>22510.858505760018</v>
      </c>
      <c r="Z13" s="53">
        <f t="shared" si="20"/>
        <v>0</v>
      </c>
      <c r="AA13" s="53">
        <f t="shared" si="21"/>
        <v>0</v>
      </c>
      <c r="AB13" s="53">
        <f t="shared" si="22"/>
        <v>0</v>
      </c>
      <c r="AC13" s="53">
        <f t="shared" si="23"/>
        <v>0</v>
      </c>
      <c r="AD13" s="65">
        <f t="shared" si="24"/>
        <v>85451.896796764515</v>
      </c>
      <c r="AE13" s="65">
        <f t="shared" si="25"/>
        <v>99569.446102506132</v>
      </c>
      <c r="AF13" s="65">
        <f t="shared" si="26"/>
        <v>78393.548386645125</v>
      </c>
      <c r="AG13" s="60">
        <f t="shared" si="27"/>
        <v>83150.588016808135</v>
      </c>
      <c r="AH13" s="144">
        <f t="shared" si="28"/>
        <v>0</v>
      </c>
      <c r="AI13" s="65">
        <f t="shared" si="29"/>
        <v>14117.549305741617</v>
      </c>
      <c r="AJ13" s="65">
        <f t="shared" si="30"/>
        <v>-7058.3484101193899</v>
      </c>
      <c r="AK13" s="60">
        <f t="shared" si="31"/>
        <v>-2301.30877995638</v>
      </c>
      <c r="AL13" s="65">
        <f t="shared" si="32"/>
        <v>32975</v>
      </c>
      <c r="AM13" s="65">
        <f t="shared" si="33"/>
        <v>2598.3233873593772</v>
      </c>
      <c r="AN13" s="65">
        <f t="shared" si="34"/>
        <v>30376.676612640622</v>
      </c>
      <c r="AO13" s="65">
        <f t="shared" si="35"/>
        <v>15721.41132650172</v>
      </c>
      <c r="AP13" s="65">
        <f t="shared" si="36"/>
        <v>17649.934498374801</v>
      </c>
      <c r="AQ13" s="65">
        <f>VLOOKUP($A13,'Car insurance'!$A$29:$K$80,8,FALSE)*$AZ$78+VLOOKUP('TCO Inputs'!A13,'Car insurance'!$A$29:$K$80,11,FALSE)*$BD$4</f>
        <v>25151.99216402588</v>
      </c>
      <c r="AR13" s="65">
        <v>0</v>
      </c>
      <c r="AS13" s="65">
        <f t="shared" si="37"/>
        <v>88900.014601543022</v>
      </c>
      <c r="AT13" s="60">
        <f t="shared" si="38"/>
        <v>3448.117804778507</v>
      </c>
      <c r="AU13" s="65"/>
      <c r="AV13" s="228"/>
      <c r="AW13" s="229"/>
      <c r="AX13" s="230"/>
      <c r="AY13" s="51" t="s">
        <v>314</v>
      </c>
      <c r="AZ13" s="78">
        <v>14</v>
      </c>
      <c r="BA13" s="13"/>
    </row>
    <row r="14" spans="1:57" x14ac:dyDescent="0.25">
      <c r="A14" s="35" t="s">
        <v>196</v>
      </c>
      <c r="B14" s="53">
        <f t="shared" si="0"/>
        <v>27690</v>
      </c>
      <c r="C14" s="53">
        <f t="shared" si="1"/>
        <v>43070</v>
      </c>
      <c r="D14" s="53">
        <f t="shared" si="2"/>
        <v>28855</v>
      </c>
      <c r="E14" s="53">
        <f t="shared" si="3"/>
        <v>32586</v>
      </c>
      <c r="F14" s="53">
        <f t="shared" si="4"/>
        <v>3958.3882042800105</v>
      </c>
      <c r="G14" s="53">
        <f t="shared" si="5"/>
        <v>2102.4530573088114</v>
      </c>
      <c r="H14" s="53">
        <f t="shared" si="6"/>
        <v>3652.9124753923325</v>
      </c>
      <c r="I14" s="53">
        <f t="shared" si="7"/>
        <v>4125.2401983411737</v>
      </c>
      <c r="J14" s="55">
        <f t="shared" si="8"/>
        <v>23731.611795719989</v>
      </c>
      <c r="K14" s="55">
        <f t="shared" si="9"/>
        <v>40967.546942691188</v>
      </c>
      <c r="L14" s="55">
        <f t="shared" si="10"/>
        <v>25202.087524607668</v>
      </c>
      <c r="M14" s="53">
        <f t="shared" si="11"/>
        <v>28460.759801658827</v>
      </c>
      <c r="N14" s="53">
        <f t="shared" si="12"/>
        <v>20752.238448240365</v>
      </c>
      <c r="O14" s="53">
        <f t="shared" si="13"/>
        <v>11538.118984631934</v>
      </c>
      <c r="P14" s="53">
        <f t="shared" si="14"/>
        <v>12770.608275840228</v>
      </c>
      <c r="Q14" s="53">
        <f t="shared" si="15"/>
        <v>17752.128698238128</v>
      </c>
      <c r="R14" s="53">
        <f t="shared" si="16"/>
        <v>24581.417868835124</v>
      </c>
      <c r="S14" s="53">
        <f t="shared" si="17"/>
        <v>15306.726871515768</v>
      </c>
      <c r="T14" s="53">
        <f t="shared" si="18"/>
        <v>22593.984083695257</v>
      </c>
      <c r="U14" s="53">
        <f t="shared" si="19"/>
        <v>22593.984083695257</v>
      </c>
      <c r="V14" s="55">
        <f>VLOOKUP($A14,'Car insurance'!$A$29:$K$80,6,FALSE)*$AZ$78+$AZ$29*VLOOKUP($A14,'Car insurance'!$A$29:$K$80,11,FALSE)</f>
        <v>22509.985288214157</v>
      </c>
      <c r="W14" s="53">
        <f>VLOOKUP($A14,'Car insurance'!$A$29:$K$80,8,FALSE)*$AZ$78+VLOOKUP('TCO Inputs'!A14,'Car insurance'!$A$29:$K$80,11,FALSE)*'TCO Inputs'!$BA$29</f>
        <v>26582.992546015419</v>
      </c>
      <c r="X14" s="53">
        <f>VLOOKUP($A14,'Car insurance'!$A$29:$K$80,10,FALSE)*$AZ$78+VLOOKUP($A14,'Car insurance'!$A$29:$K$80,11,FALSE)*'TCO Inputs'!$BB$29</f>
        <v>23457.046785533385</v>
      </c>
      <c r="Y14" s="53">
        <f>VLOOKUP($A14,'Car insurance'!$A$29:$K$80,10,FALSE)*$AZ$78+VLOOKUP($A14,'Car insurance'!$A$29:$K$80,11,FALSE)*'TCO Inputs'!$BC$29</f>
        <v>23680.906785533385</v>
      </c>
      <c r="Z14" s="53">
        <f t="shared" si="20"/>
        <v>0</v>
      </c>
      <c r="AA14" s="53">
        <f t="shared" si="21"/>
        <v>0</v>
      </c>
      <c r="AB14" s="53">
        <f t="shared" si="22"/>
        <v>0</v>
      </c>
      <c r="AC14" s="53">
        <f t="shared" si="23"/>
        <v>0</v>
      </c>
      <c r="AD14" s="65">
        <f t="shared" si="24"/>
        <v>91575.253401009642</v>
      </c>
      <c r="AE14" s="65">
        <f t="shared" si="25"/>
        <v>94395.385344854309</v>
      </c>
      <c r="AF14" s="65">
        <f t="shared" si="26"/>
        <v>84023.726669676544</v>
      </c>
      <c r="AG14" s="60">
        <f t="shared" si="27"/>
        <v>92487.779369125608</v>
      </c>
      <c r="AH14" s="144">
        <f t="shared" si="28"/>
        <v>0</v>
      </c>
      <c r="AI14" s="65">
        <f t="shared" si="29"/>
        <v>2820.1319438446662</v>
      </c>
      <c r="AJ14" s="65">
        <f t="shared" si="30"/>
        <v>-7551.5267313330987</v>
      </c>
      <c r="AK14" s="60">
        <f t="shared" si="31"/>
        <v>912.52596811596595</v>
      </c>
      <c r="AL14" s="65">
        <f t="shared" si="32"/>
        <v>32975</v>
      </c>
      <c r="AM14" s="65">
        <f t="shared" si="33"/>
        <v>2598.3233873593772</v>
      </c>
      <c r="AN14" s="65">
        <f t="shared" si="34"/>
        <v>30376.676612640622</v>
      </c>
      <c r="AO14" s="65">
        <f t="shared" si="35"/>
        <v>11457.8471526264</v>
      </c>
      <c r="AP14" s="65">
        <f t="shared" si="36"/>
        <v>21770.970710392667</v>
      </c>
      <c r="AQ14" s="65">
        <f>VLOOKUP($A14,'Car insurance'!$A$29:$K$80,8,FALSE)*$AZ$78+VLOOKUP('TCO Inputs'!A14,'Car insurance'!$A$29:$K$80,11,FALSE)*$BD$4</f>
        <v>25977.292546015418</v>
      </c>
      <c r="AR14" s="65">
        <v>0</v>
      </c>
      <c r="AS14" s="65">
        <f t="shared" si="37"/>
        <v>89582.787021675103</v>
      </c>
      <c r="AT14" s="60">
        <f t="shared" si="38"/>
        <v>-1992.4663793345389</v>
      </c>
      <c r="AU14" s="65"/>
      <c r="AV14" s="228"/>
      <c r="AW14" s="229"/>
      <c r="AX14" s="230"/>
      <c r="AY14" s="101"/>
      <c r="AZ14" s="147" t="s">
        <v>356</v>
      </c>
      <c r="BA14" s="37" t="s">
        <v>357</v>
      </c>
    </row>
    <row r="15" spans="1:57" x14ac:dyDescent="0.25">
      <c r="A15" s="35" t="s">
        <v>197</v>
      </c>
      <c r="B15" s="53">
        <f t="shared" si="0"/>
        <v>27690</v>
      </c>
      <c r="C15" s="53">
        <f t="shared" si="1"/>
        <v>43070</v>
      </c>
      <c r="D15" s="53">
        <f t="shared" si="2"/>
        <v>28855</v>
      </c>
      <c r="E15" s="53">
        <f t="shared" si="3"/>
        <v>32586</v>
      </c>
      <c r="F15" s="53">
        <f t="shared" si="4"/>
        <v>3958.3882042800105</v>
      </c>
      <c r="G15" s="53">
        <f t="shared" si="5"/>
        <v>2102.4530573088114</v>
      </c>
      <c r="H15" s="53">
        <f t="shared" si="6"/>
        <v>3652.9124753923325</v>
      </c>
      <c r="I15" s="53">
        <f t="shared" si="7"/>
        <v>4125.2401983411737</v>
      </c>
      <c r="J15" s="55">
        <f t="shared" si="8"/>
        <v>23731.611795719989</v>
      </c>
      <c r="K15" s="55">
        <f t="shared" si="9"/>
        <v>40967.546942691188</v>
      </c>
      <c r="L15" s="55">
        <f t="shared" si="10"/>
        <v>25202.087524607668</v>
      </c>
      <c r="M15" s="53">
        <f t="shared" si="11"/>
        <v>28460.759801658827</v>
      </c>
      <c r="N15" s="53">
        <f t="shared" si="12"/>
        <v>16628.885496526425</v>
      </c>
      <c r="O15" s="53">
        <f t="shared" si="13"/>
        <v>11465.750283842508</v>
      </c>
      <c r="P15" s="53">
        <f t="shared" si="14"/>
        <v>10233.16030555472</v>
      </c>
      <c r="Q15" s="53">
        <f t="shared" si="15"/>
        <v>15213.462938395454</v>
      </c>
      <c r="R15" s="53">
        <f t="shared" si="16"/>
        <v>21450.982743137592</v>
      </c>
      <c r="S15" s="53">
        <f t="shared" si="17"/>
        <v>13357.420459911211</v>
      </c>
      <c r="T15" s="53">
        <f t="shared" si="18"/>
        <v>19716.647968160501</v>
      </c>
      <c r="U15" s="53">
        <f t="shared" si="19"/>
        <v>19716.647968160501</v>
      </c>
      <c r="V15" s="55">
        <f>VLOOKUP($A15,'Car insurance'!$A$29:$K$80,6,FALSE)*$AZ$78+$AZ$29*VLOOKUP($A15,'Car insurance'!$A$29:$K$80,11,FALSE)</f>
        <v>26669.519073973581</v>
      </c>
      <c r="W15" s="53">
        <f>VLOOKUP($A15,'Car insurance'!$A$29:$K$80,8,FALSE)*$AZ$78+VLOOKUP('TCO Inputs'!A15,'Car insurance'!$A$29:$K$80,11,FALSE)*'TCO Inputs'!$BA$29</f>
        <v>33090.181297638868</v>
      </c>
      <c r="X15" s="53">
        <f>VLOOKUP($A15,'Car insurance'!$A$29:$K$80,10,FALSE)*$AZ$78+VLOOKUP($A15,'Car insurance'!$A$29:$K$80,11,FALSE)*'TCO Inputs'!$BB$29</f>
        <v>27791.584430462535</v>
      </c>
      <c r="Y15" s="53">
        <f>VLOOKUP($A15,'Car insurance'!$A$29:$K$80,10,FALSE)*$AZ$78+VLOOKUP($A15,'Car insurance'!$A$29:$K$80,11,FALSE)*'TCO Inputs'!$BC$29</f>
        <v>28062.081930462537</v>
      </c>
      <c r="Z15" s="53">
        <f t="shared" si="20"/>
        <v>0</v>
      </c>
      <c r="AA15" s="53">
        <f t="shared" si="21"/>
        <v>0</v>
      </c>
      <c r="AB15" s="53">
        <f t="shared" si="22"/>
        <v>0</v>
      </c>
      <c r="AC15" s="53">
        <f t="shared" si="23"/>
        <v>0</v>
      </c>
      <c r="AD15" s="65">
        <f t="shared" si="24"/>
        <v>88480.999109357595</v>
      </c>
      <c r="AE15" s="65">
        <f t="shared" si="25"/>
        <v>98880.89898408376</v>
      </c>
      <c r="AF15" s="65">
        <f t="shared" si="26"/>
        <v>82943.480228785425</v>
      </c>
      <c r="AG15" s="60">
        <f t="shared" si="27"/>
        <v>91452.952638677321</v>
      </c>
      <c r="AH15" s="144">
        <f t="shared" si="28"/>
        <v>0</v>
      </c>
      <c r="AI15" s="65">
        <f t="shared" si="29"/>
        <v>10399.899874726165</v>
      </c>
      <c r="AJ15" s="65">
        <f t="shared" si="30"/>
        <v>-5537.51888057217</v>
      </c>
      <c r="AK15" s="60">
        <f t="shared" si="31"/>
        <v>2971.9535293197259</v>
      </c>
      <c r="AL15" s="65">
        <f t="shared" si="32"/>
        <v>32975</v>
      </c>
      <c r="AM15" s="65">
        <f t="shared" si="33"/>
        <v>2598.3233873593772</v>
      </c>
      <c r="AN15" s="65">
        <f t="shared" si="34"/>
        <v>30376.676612640622</v>
      </c>
      <c r="AO15" s="65">
        <f t="shared" si="35"/>
        <v>10230.119727822297</v>
      </c>
      <c r="AP15" s="65">
        <f t="shared" si="36"/>
        <v>18998.44506537075</v>
      </c>
      <c r="AQ15" s="65">
        <f>VLOOKUP($A15,'Car insurance'!$A$29:$K$80,8,FALSE)*$AZ$78+VLOOKUP('TCO Inputs'!A15,'Car insurance'!$A$29:$K$80,11,FALSE)*$BD$4</f>
        <v>32358.293797638871</v>
      </c>
      <c r="AR15" s="65">
        <v>0</v>
      </c>
      <c r="AS15" s="65">
        <f t="shared" si="37"/>
        <v>91963.535203472537</v>
      </c>
      <c r="AT15" s="60">
        <f t="shared" si="38"/>
        <v>3482.5360941149411</v>
      </c>
      <c r="AU15" s="65"/>
      <c r="AV15" s="228"/>
      <c r="AW15" s="229"/>
      <c r="AX15" s="230"/>
      <c r="AY15" s="141" t="s">
        <v>355</v>
      </c>
      <c r="AZ15" s="77">
        <v>0.7</v>
      </c>
      <c r="BA15" s="142">
        <f>1-AZ15</f>
        <v>0.30000000000000004</v>
      </c>
    </row>
    <row r="16" spans="1:57" x14ac:dyDescent="0.25">
      <c r="A16" s="35" t="s">
        <v>198</v>
      </c>
      <c r="B16" s="53">
        <f t="shared" si="0"/>
        <v>27690</v>
      </c>
      <c r="C16" s="53">
        <f t="shared" si="1"/>
        <v>43070</v>
      </c>
      <c r="D16" s="53">
        <f t="shared" si="2"/>
        <v>28855</v>
      </c>
      <c r="E16" s="53">
        <f t="shared" si="3"/>
        <v>32586</v>
      </c>
      <c r="F16" s="53">
        <f t="shared" si="4"/>
        <v>3958.3882042800105</v>
      </c>
      <c r="G16" s="53">
        <f t="shared" si="5"/>
        <v>2102.4530573088114</v>
      </c>
      <c r="H16" s="53">
        <f t="shared" si="6"/>
        <v>3652.9124753923325</v>
      </c>
      <c r="I16" s="53">
        <f t="shared" si="7"/>
        <v>4125.2401983411737</v>
      </c>
      <c r="J16" s="55">
        <f t="shared" si="8"/>
        <v>23731.611795719989</v>
      </c>
      <c r="K16" s="55">
        <f t="shared" si="9"/>
        <v>40967.546942691188</v>
      </c>
      <c r="L16" s="55">
        <f t="shared" si="10"/>
        <v>25202.087524607668</v>
      </c>
      <c r="M16" s="53">
        <f t="shared" si="11"/>
        <v>28460.759801658827</v>
      </c>
      <c r="N16" s="53">
        <f t="shared" si="12"/>
        <v>23777.334825147595</v>
      </c>
      <c r="O16" s="53">
        <f t="shared" si="13"/>
        <v>16306.972359132653</v>
      </c>
      <c r="P16" s="53">
        <f t="shared" si="14"/>
        <v>14632.206046244673</v>
      </c>
      <c r="Q16" s="53">
        <f t="shared" si="15"/>
        <v>21753.448372217415</v>
      </c>
      <c r="R16" s="53">
        <f t="shared" si="16"/>
        <v>30731.46116861235</v>
      </c>
      <c r="S16" s="53">
        <f t="shared" si="17"/>
        <v>19136.328302157188</v>
      </c>
      <c r="T16" s="53">
        <f t="shared" si="18"/>
        <v>28246.789840086229</v>
      </c>
      <c r="U16" s="53">
        <f t="shared" si="19"/>
        <v>28246.789840086229</v>
      </c>
      <c r="V16" s="55">
        <f>VLOOKUP($A16,'Car insurance'!$A$29:$K$80,6,FALSE)*$AZ$78+$AZ$29*VLOOKUP($A16,'Car insurance'!$A$29:$K$80,11,FALSE)</f>
        <v>25439.691400046799</v>
      </c>
      <c r="W16" s="53">
        <f>VLOOKUP($A16,'Car insurance'!$A$29:$K$80,8,FALSE)*$AZ$78+VLOOKUP('TCO Inputs'!A16,'Car insurance'!$A$29:$K$80,11,FALSE)*'TCO Inputs'!$BA$29</f>
        <v>31158.702095753928</v>
      </c>
      <c r="X16" s="53">
        <f>VLOOKUP($A16,'Car insurance'!$A$29:$K$80,10,FALSE)*$AZ$78+VLOOKUP($A16,'Car insurance'!$A$29:$K$80,11,FALSE)*'TCO Inputs'!$BB$29</f>
        <v>26510.014277658011</v>
      </c>
      <c r="Y16" s="53">
        <f>VLOOKUP($A16,'Car insurance'!$A$29:$K$80,10,FALSE)*$AZ$78+VLOOKUP($A16,'Car insurance'!$A$29:$K$80,11,FALSE)*'TCO Inputs'!$BC$29</f>
        <v>26771.184277658012</v>
      </c>
      <c r="Z16" s="53">
        <f t="shared" si="20"/>
        <v>0</v>
      </c>
      <c r="AA16" s="53">
        <f t="shared" si="21"/>
        <v>0</v>
      </c>
      <c r="AB16" s="53">
        <f t="shared" si="22"/>
        <v>0</v>
      </c>
      <c r="AC16" s="53">
        <f t="shared" si="23"/>
        <v>0</v>
      </c>
      <c r="AD16" s="65">
        <f t="shared" si="24"/>
        <v>103680.09918952674</v>
      </c>
      <c r="AE16" s="65">
        <f t="shared" si="25"/>
        <v>107569.54969973495</v>
      </c>
      <c r="AF16" s="65">
        <f t="shared" si="26"/>
        <v>94591.097688596579</v>
      </c>
      <c r="AG16" s="60">
        <f t="shared" si="27"/>
        <v>105232.18229162048</v>
      </c>
      <c r="AH16" s="144">
        <f t="shared" si="28"/>
        <v>0</v>
      </c>
      <c r="AI16" s="65">
        <f t="shared" si="29"/>
        <v>3889.4505102082185</v>
      </c>
      <c r="AJ16" s="65">
        <f t="shared" si="30"/>
        <v>-9089.0015009301569</v>
      </c>
      <c r="AK16" s="60">
        <f t="shared" si="31"/>
        <v>1552.0831020937476</v>
      </c>
      <c r="AL16" s="65">
        <f t="shared" si="32"/>
        <v>32975</v>
      </c>
      <c r="AM16" s="65">
        <f t="shared" si="33"/>
        <v>2598.3233873593772</v>
      </c>
      <c r="AN16" s="65">
        <f t="shared" si="34"/>
        <v>30376.676612640622</v>
      </c>
      <c r="AO16" s="65">
        <f t="shared" si="35"/>
        <v>14597.93483729344</v>
      </c>
      <c r="AP16" s="65">
        <f t="shared" si="36"/>
        <v>27217.866136097484</v>
      </c>
      <c r="AQ16" s="65">
        <f>VLOOKUP($A16,'Car insurance'!$A$29:$K$80,8,FALSE)*$AZ$78+VLOOKUP('TCO Inputs'!A16,'Car insurance'!$A$29:$K$80,11,FALSE)*$BD$4</f>
        <v>30452.052095753927</v>
      </c>
      <c r="AR16" s="65">
        <v>0</v>
      </c>
      <c r="AS16" s="65">
        <f t="shared" si="37"/>
        <v>102644.52968178547</v>
      </c>
      <c r="AT16" s="60">
        <f t="shared" si="38"/>
        <v>-1035.5695077412674</v>
      </c>
      <c r="AU16" s="65"/>
      <c r="AV16" s="228"/>
      <c r="AW16" s="229"/>
      <c r="AX16" s="230"/>
      <c r="AY16" s="159" t="s">
        <v>388</v>
      </c>
      <c r="AZ16" s="140">
        <v>5</v>
      </c>
    </row>
    <row r="17" spans="1:58" x14ac:dyDescent="0.25">
      <c r="A17" s="35" t="s">
        <v>195</v>
      </c>
      <c r="B17" s="53">
        <f t="shared" si="0"/>
        <v>27690</v>
      </c>
      <c r="C17" s="53">
        <f t="shared" si="1"/>
        <v>43070</v>
      </c>
      <c r="D17" s="53">
        <f t="shared" si="2"/>
        <v>28855</v>
      </c>
      <c r="E17" s="53">
        <f t="shared" si="3"/>
        <v>32586</v>
      </c>
      <c r="F17" s="53">
        <f t="shared" si="4"/>
        <v>3958.3882042800105</v>
      </c>
      <c r="G17" s="53">
        <f t="shared" si="5"/>
        <v>2102.4530573088114</v>
      </c>
      <c r="H17" s="53">
        <f t="shared" si="6"/>
        <v>3652.9124753923325</v>
      </c>
      <c r="I17" s="53">
        <f t="shared" si="7"/>
        <v>4125.2401983411737</v>
      </c>
      <c r="J17" s="55">
        <f t="shared" si="8"/>
        <v>23731.611795719989</v>
      </c>
      <c r="K17" s="55">
        <f t="shared" si="9"/>
        <v>40967.546942691188</v>
      </c>
      <c r="L17" s="55">
        <f t="shared" si="10"/>
        <v>25202.087524607668</v>
      </c>
      <c r="M17" s="53">
        <f t="shared" si="11"/>
        <v>28460.759801658827</v>
      </c>
      <c r="N17" s="53">
        <f t="shared" si="12"/>
        <v>19695.278854197299</v>
      </c>
      <c r="O17" s="53">
        <f t="shared" si="13"/>
        <v>12922.507693619138</v>
      </c>
      <c r="P17" s="53">
        <f t="shared" si="14"/>
        <v>12120.17160258295</v>
      </c>
      <c r="Q17" s="53">
        <f t="shared" si="15"/>
        <v>18018.850089038384</v>
      </c>
      <c r="R17" s="53">
        <f t="shared" si="16"/>
        <v>25140.667716998956</v>
      </c>
      <c r="S17" s="53">
        <f t="shared" si="17"/>
        <v>15654.968975549698</v>
      </c>
      <c r="T17" s="53">
        <f t="shared" si="18"/>
        <v>23108.017986688392</v>
      </c>
      <c r="U17" s="53">
        <f t="shared" si="19"/>
        <v>23108.017986688392</v>
      </c>
      <c r="V17" s="55">
        <f>VLOOKUP($A17,'Car insurance'!$A$29:$K$80,6,FALSE)*$AZ$78+$AZ$29*VLOOKUP($A17,'Car insurance'!$A$29:$K$80,11,FALSE)</f>
        <v>23891.089108109558</v>
      </c>
      <c r="W17" s="53">
        <f>VLOOKUP($A17,'Car insurance'!$A$29:$K$80,8,FALSE)*$AZ$78+VLOOKUP('TCO Inputs'!A17,'Car insurance'!$A$29:$K$80,11,FALSE)*'TCO Inputs'!$BA$29</f>
        <v>29965.701331774846</v>
      </c>
      <c r="X17" s="53">
        <f>VLOOKUP($A17,'Car insurance'!$A$29:$K$80,10,FALSE)*$AZ$78+VLOOKUP($A17,'Car insurance'!$A$29:$K$80,11,FALSE)*'TCO Inputs'!$BB$29</f>
        <v>24896.257718111279</v>
      </c>
      <c r="Y17" s="53">
        <f>VLOOKUP($A17,'Car insurance'!$A$29:$K$80,10,FALSE)*$AZ$78+VLOOKUP($A17,'Car insurance'!$A$29:$K$80,11,FALSE)*'TCO Inputs'!$BC$29</f>
        <v>25082.807718111279</v>
      </c>
      <c r="Z17" s="53">
        <f t="shared" si="20"/>
        <v>0</v>
      </c>
      <c r="AA17" s="53">
        <f t="shared" si="21"/>
        <v>0</v>
      </c>
      <c r="AB17" s="53">
        <f t="shared" si="22"/>
        <v>0</v>
      </c>
      <c r="AC17" s="53">
        <f t="shared" si="23"/>
        <v>0</v>
      </c>
      <c r="AD17" s="65">
        <f t="shared" si="24"/>
        <v>92458.647475025806</v>
      </c>
      <c r="AE17" s="65">
        <f t="shared" si="25"/>
        <v>99510.724943634879</v>
      </c>
      <c r="AF17" s="65">
        <f t="shared" si="26"/>
        <v>85326.534831990284</v>
      </c>
      <c r="AG17" s="60">
        <f t="shared" si="27"/>
        <v>94670.435595496878</v>
      </c>
      <c r="AH17" s="144">
        <f t="shared" si="28"/>
        <v>0</v>
      </c>
      <c r="AI17" s="65">
        <f t="shared" si="29"/>
        <v>7052.0774686090735</v>
      </c>
      <c r="AJ17" s="65">
        <f t="shared" si="30"/>
        <v>-7132.1126430355216</v>
      </c>
      <c r="AK17" s="60">
        <f t="shared" si="31"/>
        <v>2211.788120471072</v>
      </c>
      <c r="AL17" s="65">
        <f t="shared" si="32"/>
        <v>32975</v>
      </c>
      <c r="AM17" s="65">
        <f t="shared" si="33"/>
        <v>2598.3233873593772</v>
      </c>
      <c r="AN17" s="65">
        <f t="shared" si="34"/>
        <v>30376.676612640622</v>
      </c>
      <c r="AO17" s="65">
        <f t="shared" si="35"/>
        <v>11808.806218453496</v>
      </c>
      <c r="AP17" s="65">
        <f t="shared" si="36"/>
        <v>22266.280302749525</v>
      </c>
      <c r="AQ17" s="65">
        <f>VLOOKUP($A17,'Car insurance'!$A$29:$K$80,8,FALSE)*$AZ$78+VLOOKUP('TCO Inputs'!A17,'Car insurance'!$A$29:$K$80,11,FALSE)*$BD$4</f>
        <v>29460.951331774846</v>
      </c>
      <c r="AR17" s="65">
        <v>0</v>
      </c>
      <c r="AS17" s="65">
        <f t="shared" si="37"/>
        <v>93912.714465618483</v>
      </c>
      <c r="AT17" s="60">
        <f t="shared" si="38"/>
        <v>1454.066990592677</v>
      </c>
      <c r="AU17" s="65"/>
      <c r="AV17" s="228"/>
      <c r="AW17" s="229"/>
      <c r="AX17" s="230"/>
      <c r="AY17" s="51" t="s">
        <v>373</v>
      </c>
      <c r="AZ17" s="78">
        <v>185</v>
      </c>
    </row>
    <row r="18" spans="1:58" x14ac:dyDescent="0.25">
      <c r="A18" s="35" t="s">
        <v>199</v>
      </c>
      <c r="B18" s="53">
        <f t="shared" si="0"/>
        <v>27690</v>
      </c>
      <c r="C18" s="53">
        <f t="shared" si="1"/>
        <v>43070</v>
      </c>
      <c r="D18" s="53">
        <f t="shared" si="2"/>
        <v>28855</v>
      </c>
      <c r="E18" s="53">
        <f t="shared" si="3"/>
        <v>32586</v>
      </c>
      <c r="F18" s="53">
        <f t="shared" si="4"/>
        <v>3958.3882042800105</v>
      </c>
      <c r="G18" s="53">
        <f t="shared" si="5"/>
        <v>2102.4530573088114</v>
      </c>
      <c r="H18" s="53">
        <f t="shared" si="6"/>
        <v>3652.9124753923325</v>
      </c>
      <c r="I18" s="53">
        <f t="shared" si="7"/>
        <v>4125.2401983411737</v>
      </c>
      <c r="J18" s="55">
        <f t="shared" si="8"/>
        <v>23731.611795719989</v>
      </c>
      <c r="K18" s="55">
        <f t="shared" si="9"/>
        <v>40967.546942691188</v>
      </c>
      <c r="L18" s="55">
        <f t="shared" si="10"/>
        <v>25202.087524607668</v>
      </c>
      <c r="M18" s="53">
        <f t="shared" si="11"/>
        <v>28460.759801658827</v>
      </c>
      <c r="N18" s="53">
        <f t="shared" si="12"/>
        <v>19517.941220017299</v>
      </c>
      <c r="O18" s="53">
        <f t="shared" si="13"/>
        <v>12570.919836385438</v>
      </c>
      <c r="P18" s="53">
        <f t="shared" si="14"/>
        <v>12011.040750779874</v>
      </c>
      <c r="Q18" s="53">
        <f t="shared" si="15"/>
        <v>17856.607133805835</v>
      </c>
      <c r="R18" s="53">
        <f t="shared" si="16"/>
        <v>25202.048797894982</v>
      </c>
      <c r="S18" s="53">
        <f t="shared" si="17"/>
        <v>15693.190669894886</v>
      </c>
      <c r="T18" s="53">
        <f t="shared" si="18"/>
        <v>23164.436341894958</v>
      </c>
      <c r="U18" s="53">
        <f t="shared" si="19"/>
        <v>23164.436341894958</v>
      </c>
      <c r="V18" s="55">
        <f>VLOOKUP($A18,'Car insurance'!$A$29:$K$80,6,FALSE)*$AZ$78+$AZ$29*VLOOKUP($A18,'Car insurance'!$A$29:$K$80,11,FALSE)</f>
        <v>31767.45629763887</v>
      </c>
      <c r="W18" s="53">
        <f>VLOOKUP($A18,'Car insurance'!$A$29:$K$80,8,FALSE)*$AZ$78+VLOOKUP('TCO Inputs'!A18,'Car insurance'!$A$29:$K$80,11,FALSE)*'TCO Inputs'!$BA$29</f>
        <v>40228.173487168184</v>
      </c>
      <c r="X18" s="53">
        <f>VLOOKUP($A18,'Car insurance'!$A$29:$K$80,10,FALSE)*$AZ$78+VLOOKUP($A18,'Car insurance'!$A$29:$K$80,11,FALSE)*'TCO Inputs'!$BB$29</f>
        <v>33104.006914711797</v>
      </c>
      <c r="Y18" s="53">
        <f>VLOOKUP($A18,'Car insurance'!$A$29:$K$80,10,FALSE)*$AZ$78+VLOOKUP($A18,'Car insurance'!$A$29:$K$80,11,FALSE)*'TCO Inputs'!$BC$29</f>
        <v>33346.521914711797</v>
      </c>
      <c r="Z18" s="53">
        <f t="shared" si="20"/>
        <v>0</v>
      </c>
      <c r="AA18" s="53">
        <f t="shared" si="21"/>
        <v>0</v>
      </c>
      <c r="AB18" s="53">
        <f t="shared" si="22"/>
        <v>0</v>
      </c>
      <c r="AC18" s="53">
        <f t="shared" si="23"/>
        <v>0</v>
      </c>
      <c r="AD18" s="65">
        <f t="shared" si="24"/>
        <v>100219.05811127114</v>
      </c>
      <c r="AE18" s="65">
        <f t="shared" si="25"/>
        <v>109459.8309361397</v>
      </c>
      <c r="AF18" s="65">
        <f t="shared" si="26"/>
        <v>93481.571531994297</v>
      </c>
      <c r="AG18" s="60">
        <f t="shared" si="27"/>
        <v>102828.32519207141</v>
      </c>
      <c r="AH18" s="144">
        <f t="shared" si="28"/>
        <v>0</v>
      </c>
      <c r="AI18" s="65">
        <f t="shared" si="29"/>
        <v>9240.7728248685598</v>
      </c>
      <c r="AJ18" s="65">
        <f t="shared" si="30"/>
        <v>-6737.4865792768396</v>
      </c>
      <c r="AK18" s="60">
        <f t="shared" si="31"/>
        <v>2609.2670808002731</v>
      </c>
      <c r="AL18" s="65">
        <f t="shared" si="32"/>
        <v>32975</v>
      </c>
      <c r="AM18" s="65">
        <f t="shared" si="33"/>
        <v>2598.3233873593772</v>
      </c>
      <c r="AN18" s="65">
        <f t="shared" si="34"/>
        <v>30376.676612640622</v>
      </c>
      <c r="AO18" s="65">
        <f t="shared" si="35"/>
        <v>11596.489411533479</v>
      </c>
      <c r="AP18" s="65">
        <f t="shared" si="36"/>
        <v>22320.643550691129</v>
      </c>
      <c r="AQ18" s="65">
        <f>VLOOKUP($A18,'Car insurance'!$A$29:$K$80,8,FALSE)*$AZ$78+VLOOKUP('TCO Inputs'!A18,'Car insurance'!$A$29:$K$80,11,FALSE)*$BD$4</f>
        <v>39571.998487168181</v>
      </c>
      <c r="AR18" s="65">
        <v>0</v>
      </c>
      <c r="AS18" s="65">
        <f t="shared" si="37"/>
        <v>103865.80806203341</v>
      </c>
      <c r="AT18" s="60">
        <f t="shared" si="38"/>
        <v>3646.7499507622706</v>
      </c>
      <c r="AU18" s="65"/>
      <c r="AV18" s="228"/>
      <c r="AW18" s="229"/>
      <c r="AX18" s="230"/>
      <c r="AY18" s="51" t="s">
        <v>374</v>
      </c>
      <c r="AZ18" s="78">
        <v>185</v>
      </c>
      <c r="BF18" s="13"/>
    </row>
    <row r="19" spans="1:58" x14ac:dyDescent="0.25">
      <c r="A19" s="35" t="s">
        <v>157</v>
      </c>
      <c r="B19" s="53">
        <f t="shared" si="0"/>
        <v>27690</v>
      </c>
      <c r="C19" s="53">
        <f t="shared" si="1"/>
        <v>43070</v>
      </c>
      <c r="D19" s="53">
        <f t="shared" si="2"/>
        <v>28855</v>
      </c>
      <c r="E19" s="53">
        <f t="shared" si="3"/>
        <v>32586</v>
      </c>
      <c r="F19" s="53">
        <f t="shared" si="4"/>
        <v>3958.3882042800105</v>
      </c>
      <c r="G19" s="53">
        <f t="shared" si="5"/>
        <v>2102.4530573088114</v>
      </c>
      <c r="H19" s="53">
        <f t="shared" si="6"/>
        <v>3652.9124753923325</v>
      </c>
      <c r="I19" s="53">
        <f t="shared" si="7"/>
        <v>4125.2401983411737</v>
      </c>
      <c r="J19" s="55">
        <f t="shared" si="8"/>
        <v>23731.611795719989</v>
      </c>
      <c r="K19" s="55">
        <f t="shared" si="9"/>
        <v>40967.546942691188</v>
      </c>
      <c r="L19" s="55">
        <f t="shared" si="10"/>
        <v>25202.087524607668</v>
      </c>
      <c r="M19" s="53">
        <f t="shared" si="11"/>
        <v>28460.759801658827</v>
      </c>
      <c r="N19" s="53">
        <f t="shared" si="12"/>
        <v>21323.12334407412</v>
      </c>
      <c r="O19" s="53">
        <f t="shared" si="13"/>
        <v>12934.246869360666</v>
      </c>
      <c r="P19" s="53">
        <f t="shared" si="14"/>
        <v>13121.922057891763</v>
      </c>
      <c r="Q19" s="53">
        <f t="shared" si="15"/>
        <v>19508.135214092941</v>
      </c>
      <c r="R19" s="53">
        <f t="shared" si="16"/>
        <v>27800.514555826918</v>
      </c>
      <c r="S19" s="53">
        <f t="shared" si="17"/>
        <v>17311.24239717449</v>
      </c>
      <c r="T19" s="53">
        <f t="shared" si="18"/>
        <v>25552.81337897282</v>
      </c>
      <c r="U19" s="53">
        <f t="shared" si="19"/>
        <v>25552.81337897282</v>
      </c>
      <c r="V19" s="55">
        <f>VLOOKUP($A19,'Car insurance'!$A$29:$K$80,6,FALSE)*$AZ$78+$AZ$29*VLOOKUP($A19,'Car insurance'!$A$29:$K$80,11,FALSE)</f>
        <v>38592.622341199567</v>
      </c>
      <c r="W19" s="53">
        <f>VLOOKUP($A19,'Car insurance'!$A$29:$K$80,8,FALSE)*$AZ$78+VLOOKUP('TCO Inputs'!A19,'Car insurance'!$A$29:$K$80,11,FALSE)*'TCO Inputs'!$BA$29</f>
        <v>47308.040294707949</v>
      </c>
      <c r="X19" s="53">
        <f>VLOOKUP($A19,'Car insurance'!$A$29:$K$80,10,FALSE)*$AZ$78+VLOOKUP($A19,'Car insurance'!$A$29:$K$80,11,FALSE)*'TCO Inputs'!$BB$29</f>
        <v>40216.327831538954</v>
      </c>
      <c r="Y19" s="53">
        <f>VLOOKUP($A19,'Car insurance'!$A$29:$K$80,10,FALSE)*$AZ$78+VLOOKUP($A19,'Car insurance'!$A$29:$K$80,11,FALSE)*'TCO Inputs'!$BC$29</f>
        <v>40440.187831538948</v>
      </c>
      <c r="Z19" s="53">
        <f t="shared" si="20"/>
        <v>0</v>
      </c>
      <c r="AA19" s="53">
        <f t="shared" si="21"/>
        <v>0</v>
      </c>
      <c r="AB19" s="53">
        <f t="shared" si="22"/>
        <v>0</v>
      </c>
      <c r="AC19" s="53">
        <f t="shared" si="23"/>
        <v>0</v>
      </c>
      <c r="AD19" s="65">
        <f t="shared" si="24"/>
        <v>111447.8720368206</v>
      </c>
      <c r="AE19" s="65">
        <f t="shared" si="25"/>
        <v>118521.07650393428</v>
      </c>
      <c r="AF19" s="65">
        <f t="shared" si="26"/>
        <v>104093.15079301121</v>
      </c>
      <c r="AG19" s="60">
        <f t="shared" si="27"/>
        <v>113961.89622626353</v>
      </c>
      <c r="AH19" s="144">
        <f t="shared" si="28"/>
        <v>0</v>
      </c>
      <c r="AI19" s="65">
        <f t="shared" si="29"/>
        <v>7073.2044671136828</v>
      </c>
      <c r="AJ19" s="65">
        <f t="shared" si="30"/>
        <v>-7354.7212438093848</v>
      </c>
      <c r="AK19" s="60">
        <f t="shared" si="31"/>
        <v>2514.0241894429346</v>
      </c>
      <c r="AL19" s="65">
        <f t="shared" si="32"/>
        <v>32975</v>
      </c>
      <c r="AM19" s="65">
        <f t="shared" si="33"/>
        <v>2598.3233873593772</v>
      </c>
      <c r="AN19" s="65">
        <f t="shared" si="34"/>
        <v>30376.676612640622</v>
      </c>
      <c r="AO19" s="65">
        <f t="shared" si="35"/>
        <v>12293.663526427579</v>
      </c>
      <c r="AP19" s="65">
        <f t="shared" si="36"/>
        <v>24622.021046885788</v>
      </c>
      <c r="AQ19" s="65">
        <f>VLOOKUP($A19,'Car insurance'!$A$29:$K$80,8,FALSE)*$AZ$78+VLOOKUP('TCO Inputs'!A19,'Car insurance'!$A$29:$K$80,11,FALSE)*$BD$4</f>
        <v>46702.340294707952</v>
      </c>
      <c r="AR19" s="65">
        <v>0</v>
      </c>
      <c r="AS19" s="65">
        <f t="shared" si="37"/>
        <v>113994.70148066193</v>
      </c>
      <c r="AT19" s="60">
        <f t="shared" si="38"/>
        <v>2546.8294438413286</v>
      </c>
      <c r="AU19" s="65"/>
      <c r="AV19" s="228"/>
      <c r="AW19" s="229"/>
      <c r="AX19" s="230"/>
      <c r="AY19" s="51" t="s">
        <v>375</v>
      </c>
      <c r="AZ19" s="78">
        <v>71.400000000000006</v>
      </c>
    </row>
    <row r="20" spans="1:58" x14ac:dyDescent="0.25">
      <c r="A20" s="35" t="s">
        <v>200</v>
      </c>
      <c r="B20" s="53">
        <f t="shared" si="0"/>
        <v>27690</v>
      </c>
      <c r="C20" s="53">
        <f t="shared" si="1"/>
        <v>43070</v>
      </c>
      <c r="D20" s="53">
        <f t="shared" si="2"/>
        <v>28855</v>
      </c>
      <c r="E20" s="53">
        <f t="shared" si="3"/>
        <v>32586</v>
      </c>
      <c r="F20" s="53">
        <f t="shared" si="4"/>
        <v>3958.3882042800105</v>
      </c>
      <c r="G20" s="53">
        <f t="shared" si="5"/>
        <v>2102.4530573088114</v>
      </c>
      <c r="H20" s="53">
        <f t="shared" si="6"/>
        <v>3652.9124753923325</v>
      </c>
      <c r="I20" s="53">
        <f t="shared" si="7"/>
        <v>4125.2401983411737</v>
      </c>
      <c r="J20" s="55">
        <f t="shared" si="8"/>
        <v>23731.611795719989</v>
      </c>
      <c r="K20" s="55">
        <f t="shared" si="9"/>
        <v>40967.546942691188</v>
      </c>
      <c r="L20" s="55">
        <f t="shared" si="10"/>
        <v>25202.087524607668</v>
      </c>
      <c r="M20" s="53">
        <f t="shared" si="11"/>
        <v>28460.759801658827</v>
      </c>
      <c r="N20" s="53">
        <f t="shared" si="12"/>
        <v>17792.464729765517</v>
      </c>
      <c r="O20" s="53">
        <f t="shared" si="13"/>
        <v>10610.485726310199</v>
      </c>
      <c r="P20" s="53">
        <f t="shared" si="14"/>
        <v>10949.209064471092</v>
      </c>
      <c r="Q20" s="53">
        <f t="shared" si="15"/>
        <v>17714.300379341676</v>
      </c>
      <c r="R20" s="53">
        <f t="shared" si="16"/>
        <v>25491.903902126236</v>
      </c>
      <c r="S20" s="53">
        <f t="shared" si="17"/>
        <v>15873.682004302715</v>
      </c>
      <c r="T20" s="53">
        <f t="shared" si="18"/>
        <v>23430.856352592618</v>
      </c>
      <c r="U20" s="53">
        <f t="shared" si="19"/>
        <v>23430.856352592618</v>
      </c>
      <c r="V20" s="55">
        <f>VLOOKUP($A20,'Car insurance'!$A$29:$K$80,6,FALSE)*$AZ$78+$AZ$29*VLOOKUP($A20,'Car insurance'!$A$29:$K$80,11,FALSE)</f>
        <v>43634.839946854394</v>
      </c>
      <c r="W20" s="53">
        <f>VLOOKUP($A20,'Car insurance'!$A$29:$K$80,8,FALSE)*$AZ$78+VLOOKUP('TCO Inputs'!A20,'Car insurance'!$A$29:$K$80,11,FALSE)*'TCO Inputs'!$BA$29</f>
        <v>54598.87363020589</v>
      </c>
      <c r="X20" s="53">
        <f>VLOOKUP($A20,'Car insurance'!$A$29:$K$80,10,FALSE)*$AZ$78+VLOOKUP($A20,'Car insurance'!$A$29:$K$80,11,FALSE)*'TCO Inputs'!$BB$29</f>
        <v>45470.686409045986</v>
      </c>
      <c r="Y20" s="53">
        <f>VLOOKUP($A20,'Car insurance'!$A$29:$K$80,10,FALSE)*$AZ$78+VLOOKUP($A20,'Car insurance'!$A$29:$K$80,11,FALSE)*'TCO Inputs'!$BC$29</f>
        <v>45636.715909045983</v>
      </c>
      <c r="Z20" s="53">
        <f t="shared" si="20"/>
        <v>0</v>
      </c>
      <c r="AA20" s="53">
        <f t="shared" si="21"/>
        <v>0</v>
      </c>
      <c r="AB20" s="53">
        <f t="shared" si="22"/>
        <v>0</v>
      </c>
      <c r="AC20" s="53">
        <f t="shared" si="23"/>
        <v>0</v>
      </c>
      <c r="AD20" s="65">
        <f t="shared" si="24"/>
        <v>110650.82037446613</v>
      </c>
      <c r="AE20" s="65">
        <f t="shared" si="25"/>
        <v>122050.58830350998</v>
      </c>
      <c r="AF20" s="65">
        <f t="shared" si="26"/>
        <v>105052.83935071736</v>
      </c>
      <c r="AG20" s="60">
        <f t="shared" si="27"/>
        <v>115242.63244263909</v>
      </c>
      <c r="AH20" s="144">
        <f t="shared" si="28"/>
        <v>0</v>
      </c>
      <c r="AI20" s="65">
        <f t="shared" si="29"/>
        <v>11399.767929043854</v>
      </c>
      <c r="AJ20" s="65">
        <f t="shared" si="30"/>
        <v>-5597.9810237487691</v>
      </c>
      <c r="AK20" s="60">
        <f t="shared" si="31"/>
        <v>4591.8120681729633</v>
      </c>
      <c r="AL20" s="65">
        <f t="shared" si="32"/>
        <v>32975</v>
      </c>
      <c r="AM20" s="65">
        <f t="shared" si="33"/>
        <v>2598.3233873593772</v>
      </c>
      <c r="AN20" s="65">
        <f t="shared" si="34"/>
        <v>30376.676612640622</v>
      </c>
      <c r="AO20" s="65">
        <f t="shared" si="35"/>
        <v>10163.957279755636</v>
      </c>
      <c r="AP20" s="65">
        <f t="shared" si="36"/>
        <v>22577.358888193157</v>
      </c>
      <c r="AQ20" s="65">
        <f>VLOOKUP($A20,'Car insurance'!$A$29:$K$80,8,FALSE)*$AZ$78+VLOOKUP('TCO Inputs'!A20,'Car insurance'!$A$29:$K$80,11,FALSE)*$BD$4</f>
        <v>54149.646130205889</v>
      </c>
      <c r="AR20" s="65">
        <v>0</v>
      </c>
      <c r="AS20" s="65">
        <f t="shared" si="37"/>
        <v>117267.6389107953</v>
      </c>
      <c r="AT20" s="60">
        <f t="shared" si="38"/>
        <v>6616.8185363291705</v>
      </c>
      <c r="AU20" s="65"/>
      <c r="AV20" s="228"/>
      <c r="AW20" s="229"/>
      <c r="AX20" s="230"/>
      <c r="AY20" s="51" t="s">
        <v>376</v>
      </c>
      <c r="AZ20" s="78">
        <v>71.400000000000006</v>
      </c>
    </row>
    <row r="21" spans="1:58" x14ac:dyDescent="0.25">
      <c r="A21" s="35" t="s">
        <v>203</v>
      </c>
      <c r="B21" s="53">
        <f t="shared" si="0"/>
        <v>27690</v>
      </c>
      <c r="C21" s="53">
        <f t="shared" si="1"/>
        <v>43070</v>
      </c>
      <c r="D21" s="53">
        <f t="shared" si="2"/>
        <v>28855</v>
      </c>
      <c r="E21" s="53">
        <f t="shared" si="3"/>
        <v>32586</v>
      </c>
      <c r="F21" s="53">
        <f t="shared" si="4"/>
        <v>3958.3882042800105</v>
      </c>
      <c r="G21" s="53">
        <f t="shared" si="5"/>
        <v>2102.4530573088114</v>
      </c>
      <c r="H21" s="53">
        <f t="shared" si="6"/>
        <v>3652.9124753923325</v>
      </c>
      <c r="I21" s="53">
        <f t="shared" si="7"/>
        <v>4125.2401983411737</v>
      </c>
      <c r="J21" s="55">
        <f t="shared" si="8"/>
        <v>23731.611795719989</v>
      </c>
      <c r="K21" s="55">
        <f t="shared" si="9"/>
        <v>40967.546942691188</v>
      </c>
      <c r="L21" s="55">
        <f t="shared" si="10"/>
        <v>25202.087524607668</v>
      </c>
      <c r="M21" s="53">
        <f t="shared" si="11"/>
        <v>28460.759801658827</v>
      </c>
      <c r="N21" s="53">
        <f t="shared" si="12"/>
        <v>19812.919463886941</v>
      </c>
      <c r="O21" s="53">
        <f t="shared" si="13"/>
        <v>20149.817564391313</v>
      </c>
      <c r="P21" s="53">
        <f t="shared" si="14"/>
        <v>12192.565823930425</v>
      </c>
      <c r="Q21" s="53">
        <f t="shared" si="15"/>
        <v>17569.512355051327</v>
      </c>
      <c r="R21" s="53">
        <f t="shared" si="16"/>
        <v>24237.00180380739</v>
      </c>
      <c r="S21" s="53">
        <f t="shared" si="17"/>
        <v>15092.260697689995</v>
      </c>
      <c r="T21" s="53">
        <f t="shared" si="18"/>
        <v>22277.414423925093</v>
      </c>
      <c r="U21" s="53">
        <f t="shared" si="19"/>
        <v>22277.414423925093</v>
      </c>
      <c r="V21" s="55">
        <f>VLOOKUP($A21,'Car insurance'!$A$29:$K$80,6,FALSE)*$AZ$78+$AZ$29*VLOOKUP($A21,'Car insurance'!$A$29:$K$80,11,FALSE)</f>
        <v>23034.736816172317</v>
      </c>
      <c r="W21" s="53">
        <f>VLOOKUP($A21,'Car insurance'!$A$29:$K$80,8,FALSE)*$AZ$78+VLOOKUP('TCO Inputs'!A21,'Car insurance'!$A$29:$K$80,11,FALSE)*'TCO Inputs'!$BA$29</f>
        <v>27694.045601931739</v>
      </c>
      <c r="X21" s="53">
        <f>VLOOKUP($A21,'Car insurance'!$A$29:$K$80,10,FALSE)*$AZ$78+VLOOKUP($A21,'Car insurance'!$A$29:$K$80,11,FALSE)*'TCO Inputs'!$BB$29</f>
        <v>24003.876158564544</v>
      </c>
      <c r="Y21" s="53">
        <f>VLOOKUP($A21,'Car insurance'!$A$29:$K$80,10,FALSE)*$AZ$78+VLOOKUP($A21,'Car insurance'!$A$29:$K$80,11,FALSE)*'TCO Inputs'!$BC$29</f>
        <v>24209.081158564542</v>
      </c>
      <c r="Z21" s="53">
        <f t="shared" si="20"/>
        <v>0</v>
      </c>
      <c r="AA21" s="53">
        <f t="shared" si="21"/>
        <v>0</v>
      </c>
      <c r="AB21" s="53">
        <f t="shared" si="22"/>
        <v>0</v>
      </c>
      <c r="AC21" s="53">
        <f t="shared" si="23"/>
        <v>0</v>
      </c>
      <c r="AD21" s="65">
        <f t="shared" si="24"/>
        <v>90816.269879586631</v>
      </c>
      <c r="AE21" s="65">
        <f t="shared" si="25"/>
        <v>103903.67080670423</v>
      </c>
      <c r="AF21" s="65">
        <f t="shared" si="26"/>
        <v>83675.943931027723</v>
      </c>
      <c r="AG21" s="60">
        <f t="shared" si="27"/>
        <v>92516.767739199786</v>
      </c>
      <c r="AH21" s="144">
        <f t="shared" si="28"/>
        <v>0</v>
      </c>
      <c r="AI21" s="65">
        <f t="shared" si="29"/>
        <v>13087.400927117604</v>
      </c>
      <c r="AJ21" s="65">
        <f t="shared" si="30"/>
        <v>-7140.3259485589078</v>
      </c>
      <c r="AK21" s="60">
        <f t="shared" si="31"/>
        <v>1700.497859613155</v>
      </c>
      <c r="AL21" s="65">
        <f t="shared" si="32"/>
        <v>32975</v>
      </c>
      <c r="AM21" s="65">
        <f t="shared" si="33"/>
        <v>2598.3233873593772</v>
      </c>
      <c r="AN21" s="65">
        <f t="shared" si="34"/>
        <v>30376.676612640622</v>
      </c>
      <c r="AO21" s="65">
        <f t="shared" si="35"/>
        <v>15259.200668292911</v>
      </c>
      <c r="AP21" s="65">
        <f t="shared" si="36"/>
        <v>21465.932485831432</v>
      </c>
      <c r="AQ21" s="65">
        <f>VLOOKUP($A21,'Car insurance'!$A$29:$K$80,8,FALSE)*$AZ$78+VLOOKUP('TCO Inputs'!A21,'Car insurance'!$A$29:$K$80,11,FALSE)*$BD$4</f>
        <v>27138.82060193174</v>
      </c>
      <c r="AR21" s="65">
        <v>0</v>
      </c>
      <c r="AS21" s="65">
        <f t="shared" si="37"/>
        <v>94240.630368696715</v>
      </c>
      <c r="AT21" s="60">
        <f t="shared" si="38"/>
        <v>3424.360489110084</v>
      </c>
      <c r="AU21" s="65"/>
      <c r="AV21" s="228"/>
      <c r="AW21" s="229"/>
      <c r="AX21" s="230"/>
      <c r="AY21" s="51" t="s">
        <v>377</v>
      </c>
      <c r="AZ21" s="78">
        <f>AZ18*AZ20-AZ17*AZ19</f>
        <v>0</v>
      </c>
      <c r="BA21" t="s">
        <v>597</v>
      </c>
    </row>
    <row r="22" spans="1:58" x14ac:dyDescent="0.25">
      <c r="A22" s="35" t="s">
        <v>202</v>
      </c>
      <c r="B22" s="53">
        <f t="shared" si="0"/>
        <v>27690</v>
      </c>
      <c r="C22" s="53">
        <f t="shared" si="1"/>
        <v>43070</v>
      </c>
      <c r="D22" s="53">
        <f t="shared" si="2"/>
        <v>28855</v>
      </c>
      <c r="E22" s="53">
        <f t="shared" si="3"/>
        <v>32586</v>
      </c>
      <c r="F22" s="53">
        <f t="shared" si="4"/>
        <v>3958.3882042800105</v>
      </c>
      <c r="G22" s="53">
        <f t="shared" si="5"/>
        <v>2102.4530573088114</v>
      </c>
      <c r="H22" s="53">
        <f t="shared" si="6"/>
        <v>3652.9124753923325</v>
      </c>
      <c r="I22" s="53">
        <f t="shared" si="7"/>
        <v>4125.2401983411737</v>
      </c>
      <c r="J22" s="55">
        <f t="shared" si="8"/>
        <v>23731.611795719989</v>
      </c>
      <c r="K22" s="55">
        <f t="shared" si="9"/>
        <v>40967.546942691188</v>
      </c>
      <c r="L22" s="55">
        <f t="shared" si="10"/>
        <v>25202.087524607668</v>
      </c>
      <c r="M22" s="53">
        <f t="shared" si="11"/>
        <v>28460.759801658827</v>
      </c>
      <c r="N22" s="53">
        <f t="shared" si="12"/>
        <v>18719.011827273484</v>
      </c>
      <c r="O22" s="53">
        <f t="shared" si="13"/>
        <v>12312.964204782291</v>
      </c>
      <c r="P22" s="53">
        <f t="shared" si="14"/>
        <v>11519.391893706757</v>
      </c>
      <c r="Q22" s="53">
        <f t="shared" si="15"/>
        <v>16171.495868706339</v>
      </c>
      <c r="R22" s="53">
        <f t="shared" si="16"/>
        <v>23000.855035762343</v>
      </c>
      <c r="S22" s="53">
        <f t="shared" si="17"/>
        <v>14322.518242127193</v>
      </c>
      <c r="T22" s="53">
        <f t="shared" si="18"/>
        <v>21141.211437126243</v>
      </c>
      <c r="U22" s="53">
        <f t="shared" si="19"/>
        <v>21141.211437126243</v>
      </c>
      <c r="V22" s="55">
        <f>VLOOKUP($A22,'Car insurance'!$A$29:$K$80,6,FALSE)*$AZ$78+$AZ$29*VLOOKUP($A22,'Car insurance'!$A$29:$K$80,11,FALSE)</f>
        <v>33287.010117534272</v>
      </c>
      <c r="W22" s="53">
        <f>VLOOKUP($A22,'Car insurance'!$A$29:$K$80,8,FALSE)*$AZ$78+VLOOKUP('TCO Inputs'!A22,'Car insurance'!$A$29:$K$80,11,FALSE)*'TCO Inputs'!$BA$29</f>
        <v>41007.625779105423</v>
      </c>
      <c r="X22" s="53">
        <f>VLOOKUP($A22,'Car insurance'!$A$29:$K$80,10,FALSE)*$AZ$78+VLOOKUP($A22,'Car insurance'!$A$29:$K$80,11,FALSE)*'TCO Inputs'!$BB$29</f>
        <v>34687.492847289694</v>
      </c>
      <c r="Y22" s="53">
        <f>VLOOKUP($A22,'Car insurance'!$A$29:$K$80,10,FALSE)*$AZ$78+VLOOKUP($A22,'Car insurance'!$A$29:$K$80,11,FALSE)*'TCO Inputs'!$BC$29</f>
        <v>34911.352847289687</v>
      </c>
      <c r="Z22" s="53">
        <f t="shared" si="20"/>
        <v>0</v>
      </c>
      <c r="AA22" s="53">
        <f t="shared" si="21"/>
        <v>0</v>
      </c>
      <c r="AB22" s="53">
        <f t="shared" si="22"/>
        <v>0</v>
      </c>
      <c r="AC22" s="53">
        <f t="shared" si="23"/>
        <v>0</v>
      </c>
      <c r="AD22" s="65">
        <f t="shared" si="24"/>
        <v>98738.488776290091</v>
      </c>
      <c r="AE22" s="65">
        <f t="shared" si="25"/>
        <v>108610.6551687061</v>
      </c>
      <c r="AF22" s="65">
        <f t="shared" si="26"/>
        <v>92550.18370273037</v>
      </c>
      <c r="AG22" s="60">
        <f t="shared" si="27"/>
        <v>100684.81995478109</v>
      </c>
      <c r="AH22" s="144">
        <f t="shared" si="28"/>
        <v>0</v>
      </c>
      <c r="AI22" s="65">
        <f t="shared" si="29"/>
        <v>9872.1663924160093</v>
      </c>
      <c r="AJ22" s="65">
        <f t="shared" si="30"/>
        <v>-6188.3050735597208</v>
      </c>
      <c r="AK22" s="60">
        <f t="shared" si="31"/>
        <v>1946.3311784910038</v>
      </c>
      <c r="AL22" s="65">
        <f t="shared" si="32"/>
        <v>32975</v>
      </c>
      <c r="AM22" s="65">
        <f t="shared" si="33"/>
        <v>2598.3233873593772</v>
      </c>
      <c r="AN22" s="65">
        <f t="shared" si="34"/>
        <v>30376.676612640622</v>
      </c>
      <c r="AO22" s="65">
        <f t="shared" si="35"/>
        <v>11247.231058814719</v>
      </c>
      <c r="AP22" s="65">
        <f t="shared" si="36"/>
        <v>20371.117075896309</v>
      </c>
      <c r="AQ22" s="65">
        <f>VLOOKUP($A22,'Car insurance'!$A$29:$K$80,8,FALSE)*$AZ$78+VLOOKUP('TCO Inputs'!A22,'Car insurance'!$A$29:$K$80,11,FALSE)*$BD$4</f>
        <v>40401.925779105426</v>
      </c>
      <c r="AR22" s="65">
        <v>0</v>
      </c>
      <c r="AS22" s="65">
        <f t="shared" si="37"/>
        <v>102396.95052645708</v>
      </c>
      <c r="AT22" s="60">
        <f t="shared" si="38"/>
        <v>3658.4617501669854</v>
      </c>
      <c r="AU22" s="65"/>
      <c r="AV22" s="228"/>
      <c r="AW22" s="229"/>
      <c r="AX22" s="230"/>
      <c r="AY22" s="80" t="s">
        <v>399</v>
      </c>
      <c r="AZ22" s="81">
        <f>AZ17*AZ19*1.5/BA29</f>
        <v>0.46003018342233581</v>
      </c>
    </row>
    <row r="23" spans="1:58" x14ac:dyDescent="0.25">
      <c r="A23" s="35" t="s">
        <v>201</v>
      </c>
      <c r="B23" s="53">
        <f t="shared" si="0"/>
        <v>27690</v>
      </c>
      <c r="C23" s="53">
        <f t="shared" si="1"/>
        <v>43070</v>
      </c>
      <c r="D23" s="53">
        <f t="shared" si="2"/>
        <v>28855</v>
      </c>
      <c r="E23" s="53">
        <f t="shared" si="3"/>
        <v>32586</v>
      </c>
      <c r="F23" s="53">
        <f t="shared" si="4"/>
        <v>3958.3882042800105</v>
      </c>
      <c r="G23" s="53">
        <f t="shared" si="5"/>
        <v>2102.4530573088114</v>
      </c>
      <c r="H23" s="53">
        <f t="shared" si="6"/>
        <v>3652.9124753923325</v>
      </c>
      <c r="I23" s="53">
        <f t="shared" si="7"/>
        <v>4125.2401983411737</v>
      </c>
      <c r="J23" s="55">
        <f t="shared" si="8"/>
        <v>23731.611795719989</v>
      </c>
      <c r="K23" s="55">
        <f t="shared" si="9"/>
        <v>40967.546942691188</v>
      </c>
      <c r="L23" s="55">
        <f t="shared" si="10"/>
        <v>25202.087524607668</v>
      </c>
      <c r="M23" s="53">
        <f t="shared" si="11"/>
        <v>28460.759801658827</v>
      </c>
      <c r="N23" s="53">
        <f t="shared" si="12"/>
        <v>17927.602636829703</v>
      </c>
      <c r="O23" s="53">
        <f t="shared" si="13"/>
        <v>18862.787725423172</v>
      </c>
      <c r="P23" s="53">
        <f t="shared" si="14"/>
        <v>11032.370853433666</v>
      </c>
      <c r="Q23" s="53">
        <f t="shared" si="15"/>
        <v>15897.669023403831</v>
      </c>
      <c r="R23" s="53">
        <f t="shared" si="16"/>
        <v>22351.238596279367</v>
      </c>
      <c r="S23" s="53">
        <f t="shared" si="17"/>
        <v>13918.005310307288</v>
      </c>
      <c r="T23" s="53">
        <f t="shared" si="18"/>
        <v>20544.117177856773</v>
      </c>
      <c r="U23" s="53">
        <f t="shared" si="19"/>
        <v>20544.117177856773</v>
      </c>
      <c r="V23" s="55">
        <f>VLOOKUP($A23,'Car insurance'!$A$29:$K$80,6,FALSE)*$AZ$78+$AZ$29*VLOOKUP($A23,'Car insurance'!$A$29:$K$80,11,FALSE)</f>
        <v>29211.225567795766</v>
      </c>
      <c r="W23" s="53">
        <f>VLOOKUP($A23,'Car insurance'!$A$29:$K$80,8,FALSE)*$AZ$78+VLOOKUP('TCO Inputs'!A23,'Car insurance'!$A$29:$K$80,11,FALSE)*'TCO Inputs'!$BA$29</f>
        <v>35312.287409471515</v>
      </c>
      <c r="X23" s="53">
        <f>VLOOKUP($A23,'Car insurance'!$A$29:$K$80,10,FALSE)*$AZ$78+VLOOKUP($A23,'Car insurance'!$A$29:$K$80,11,FALSE)*'TCO Inputs'!$BB$29</f>
        <v>30440.228015844958</v>
      </c>
      <c r="Y23" s="53">
        <f>VLOOKUP($A23,'Car insurance'!$A$29:$K$80,10,FALSE)*$AZ$78+VLOOKUP($A23,'Car insurance'!$A$29:$K$80,11,FALSE)*'TCO Inputs'!$BC$29</f>
        <v>30673.415515844958</v>
      </c>
      <c r="Z23" s="53">
        <f t="shared" si="20"/>
        <v>0</v>
      </c>
      <c r="AA23" s="53">
        <f t="shared" si="21"/>
        <v>0</v>
      </c>
      <c r="AB23" s="53">
        <f t="shared" si="22"/>
        <v>0</v>
      </c>
      <c r="AC23" s="53">
        <f t="shared" si="23"/>
        <v>0</v>
      </c>
      <c r="AD23" s="65">
        <f t="shared" si="24"/>
        <v>93221.678596624814</v>
      </c>
      <c r="AE23" s="65">
        <f t="shared" si="25"/>
        <v>109060.62738789315</v>
      </c>
      <c r="AF23" s="65">
        <f t="shared" si="26"/>
        <v>87218.803571743076</v>
      </c>
      <c r="AG23" s="60">
        <f t="shared" si="27"/>
        <v>95575.961518764379</v>
      </c>
      <c r="AH23" s="144">
        <f t="shared" si="28"/>
        <v>0</v>
      </c>
      <c r="AI23" s="65">
        <f t="shared" si="29"/>
        <v>15838.94879126834</v>
      </c>
      <c r="AJ23" s="65">
        <f t="shared" si="30"/>
        <v>-6002.8750248817378</v>
      </c>
      <c r="AK23" s="60">
        <f t="shared" si="31"/>
        <v>2354.2829221395659</v>
      </c>
      <c r="AL23" s="65">
        <f t="shared" si="32"/>
        <v>32975</v>
      </c>
      <c r="AM23" s="65">
        <f t="shared" si="33"/>
        <v>2598.3233873593772</v>
      </c>
      <c r="AN23" s="65">
        <f t="shared" si="34"/>
        <v>30376.676612640622</v>
      </c>
      <c r="AO23" s="65">
        <f t="shared" si="35"/>
        <v>14123.749913568121</v>
      </c>
      <c r="AP23" s="65">
        <f t="shared" si="36"/>
        <v>19795.772701847647</v>
      </c>
      <c r="AQ23" s="65">
        <f>VLOOKUP($A23,'Car insurance'!$A$29:$K$80,8,FALSE)*$AZ$78+VLOOKUP('TCO Inputs'!A23,'Car insurance'!$A$29:$K$80,11,FALSE)*$BD$4</f>
        <v>34681.349909471515</v>
      </c>
      <c r="AR23" s="65">
        <v>0</v>
      </c>
      <c r="AS23" s="65">
        <f t="shared" si="37"/>
        <v>98977.549137527909</v>
      </c>
      <c r="AT23" s="60">
        <f t="shared" si="38"/>
        <v>5755.8705409030954</v>
      </c>
      <c r="AU23" s="65"/>
      <c r="AV23" s="231"/>
      <c r="AW23" s="232"/>
      <c r="AX23" s="233"/>
      <c r="AY23" s="80" t="s">
        <v>400</v>
      </c>
      <c r="AZ23" s="81">
        <f>(1-0.15-0.15)*(1-0.03*AZ13)</f>
        <v>0.40600000000000003</v>
      </c>
    </row>
    <row r="24" spans="1:58" x14ac:dyDescent="0.25">
      <c r="A24" s="35" t="s">
        <v>204</v>
      </c>
      <c r="B24" s="53">
        <f t="shared" si="0"/>
        <v>27690</v>
      </c>
      <c r="C24" s="53">
        <f t="shared" si="1"/>
        <v>43070</v>
      </c>
      <c r="D24" s="53">
        <f t="shared" si="2"/>
        <v>28855</v>
      </c>
      <c r="E24" s="53">
        <f t="shared" si="3"/>
        <v>32586</v>
      </c>
      <c r="F24" s="53">
        <f t="shared" si="4"/>
        <v>3958.3882042800105</v>
      </c>
      <c r="G24" s="53">
        <f t="shared" si="5"/>
        <v>2102.4530573088114</v>
      </c>
      <c r="H24" s="53">
        <f t="shared" si="6"/>
        <v>3652.9124753923325</v>
      </c>
      <c r="I24" s="53">
        <f t="shared" si="7"/>
        <v>4125.2401983411737</v>
      </c>
      <c r="J24" s="55">
        <f t="shared" si="8"/>
        <v>23731.611795719989</v>
      </c>
      <c r="K24" s="55">
        <f t="shared" si="9"/>
        <v>40967.546942691188</v>
      </c>
      <c r="L24" s="55">
        <f t="shared" si="10"/>
        <v>25202.087524607668</v>
      </c>
      <c r="M24" s="53">
        <f t="shared" si="11"/>
        <v>28460.759801658827</v>
      </c>
      <c r="N24" s="53">
        <f t="shared" si="12"/>
        <v>19201.145410626566</v>
      </c>
      <c r="O24" s="53">
        <f t="shared" si="13"/>
        <v>15518.35641277682</v>
      </c>
      <c r="P24" s="53">
        <f t="shared" si="14"/>
        <v>11816.089483462501</v>
      </c>
      <c r="Q24" s="53">
        <f t="shared" si="15"/>
        <v>17566.776446944008</v>
      </c>
      <c r="R24" s="53">
        <f t="shared" si="16"/>
        <v>24393.864566097251</v>
      </c>
      <c r="S24" s="53">
        <f t="shared" si="17"/>
        <v>15189.938361016584</v>
      </c>
      <c r="T24" s="53">
        <f t="shared" si="18"/>
        <v>22421.594665008535</v>
      </c>
      <c r="U24" s="53">
        <f t="shared" si="19"/>
        <v>22421.594665008535</v>
      </c>
      <c r="V24" s="55">
        <f>VLOOKUP($A24,'Car insurance'!$A$29:$K$80,6,FALSE)*$AZ$78+$AZ$29*VLOOKUP($A24,'Car insurance'!$A$29:$K$80,11,FALSE)</f>
        <v>40748.027307063589</v>
      </c>
      <c r="W24" s="53">
        <f>VLOOKUP($A24,'Car insurance'!$A$29:$K$80,8,FALSE)*$AZ$78+VLOOKUP('TCO Inputs'!A24,'Car insurance'!$A$29:$K$80,11,FALSE)*'TCO Inputs'!$BA$29</f>
        <v>50126.646788530139</v>
      </c>
      <c r="X24" s="53">
        <f>VLOOKUP($A24,'Car insurance'!$A$29:$K$80,10,FALSE)*$AZ$78+VLOOKUP($A24,'Car insurance'!$A$29:$K$80,11,FALSE)*'TCO Inputs'!$BB$29</f>
        <v>42462.417043890207</v>
      </c>
      <c r="Y24" s="53">
        <f>VLOOKUP($A24,'Car insurance'!$A$29:$K$80,10,FALSE)*$AZ$78+VLOOKUP($A24,'Car insurance'!$A$29:$K$80,11,FALSE)*'TCO Inputs'!$BC$29</f>
        <v>42686.277043890208</v>
      </c>
      <c r="Z24" s="53">
        <f t="shared" si="20"/>
        <v>0</v>
      </c>
      <c r="AA24" s="53">
        <f t="shared" si="21"/>
        <v>0</v>
      </c>
      <c r="AB24" s="53">
        <f t="shared" si="22"/>
        <v>0</v>
      </c>
      <c r="AC24" s="53">
        <f t="shared" si="23"/>
        <v>0</v>
      </c>
      <c r="AD24" s="65">
        <f t="shared" si="24"/>
        <v>108074.64907950739</v>
      </c>
      <c r="AE24" s="65">
        <f t="shared" si="25"/>
        <v>121802.48850501473</v>
      </c>
      <c r="AF24" s="65">
        <f t="shared" si="26"/>
        <v>101902.18871696891</v>
      </c>
      <c r="AG24" s="60">
        <f t="shared" si="27"/>
        <v>111135.40795750158</v>
      </c>
      <c r="AH24" s="144">
        <f t="shared" si="28"/>
        <v>0</v>
      </c>
      <c r="AI24" s="65">
        <f t="shared" si="29"/>
        <v>13727.839425507336</v>
      </c>
      <c r="AJ24" s="65">
        <f t="shared" si="30"/>
        <v>-6172.4603625384771</v>
      </c>
      <c r="AK24" s="60">
        <f t="shared" si="31"/>
        <v>3060.7588779941871</v>
      </c>
      <c r="AL24" s="65">
        <f t="shared" si="32"/>
        <v>32975</v>
      </c>
      <c r="AM24" s="65">
        <f t="shared" si="33"/>
        <v>2598.3233873593772</v>
      </c>
      <c r="AN24" s="65">
        <f t="shared" si="34"/>
        <v>30376.676612640622</v>
      </c>
      <c r="AO24" s="65">
        <f t="shared" si="35"/>
        <v>12892.786752310925</v>
      </c>
      <c r="AP24" s="65">
        <f t="shared" si="36"/>
        <v>21604.860786126643</v>
      </c>
      <c r="AQ24" s="65">
        <f>VLOOKUP($A24,'Car insurance'!$A$29:$K$80,8,FALSE)*$AZ$78+VLOOKUP('TCO Inputs'!A24,'Car insurance'!$A$29:$K$80,11,FALSE)*$BD$4</f>
        <v>49520.946788530142</v>
      </c>
      <c r="AR24" s="65">
        <v>0</v>
      </c>
      <c r="AS24" s="65">
        <f t="shared" si="37"/>
        <v>114395.27093960834</v>
      </c>
      <c r="AT24" s="60">
        <f t="shared" si="38"/>
        <v>6320.6218601009459</v>
      </c>
      <c r="AU24" s="65"/>
    </row>
    <row r="25" spans="1:58" hidden="1" outlineLevel="1" x14ac:dyDescent="0.25">
      <c r="A25" s="35" t="s">
        <v>205</v>
      </c>
      <c r="B25" s="53">
        <f t="shared" si="0"/>
        <v>27690</v>
      </c>
      <c r="C25" s="53">
        <f t="shared" si="1"/>
        <v>43070</v>
      </c>
      <c r="D25" s="53">
        <f t="shared" si="2"/>
        <v>28855</v>
      </c>
      <c r="E25" s="53">
        <f t="shared" si="3"/>
        <v>32586</v>
      </c>
      <c r="F25" s="53">
        <f t="shared" si="4"/>
        <v>3958.3882042800105</v>
      </c>
      <c r="G25" s="53">
        <f t="shared" si="5"/>
        <v>2102.4530573088114</v>
      </c>
      <c r="H25" s="53">
        <f t="shared" si="6"/>
        <v>3652.9124753923325</v>
      </c>
      <c r="I25" s="53">
        <f t="shared" si="7"/>
        <v>4125.2401983411737</v>
      </c>
      <c r="J25" s="55">
        <f t="shared" si="8"/>
        <v>23731.611795719989</v>
      </c>
      <c r="K25" s="55">
        <f t="shared" si="9"/>
        <v>40967.546942691188</v>
      </c>
      <c r="L25" s="55">
        <f t="shared" si="10"/>
        <v>25202.087524607668</v>
      </c>
      <c r="M25" s="53">
        <f t="shared" si="11"/>
        <v>28460.759801658827</v>
      </c>
      <c r="N25" s="53">
        <f t="shared" si="12"/>
        <v>24353.969361789608</v>
      </c>
      <c r="O25" s="53">
        <f t="shared" si="13"/>
        <v>17571.750717115723</v>
      </c>
      <c r="P25" s="53">
        <f t="shared" si="14"/>
        <v>14987.058068793605</v>
      </c>
      <c r="Q25" s="53">
        <f t="shared" si="15"/>
        <v>22281.000754127475</v>
      </c>
      <c r="R25" s="53">
        <f t="shared" si="16"/>
        <v>30535.382715750024</v>
      </c>
      <c r="S25" s="53">
        <f t="shared" si="17"/>
        <v>19014.231222998958</v>
      </c>
      <c r="T25" s="53">
        <f t="shared" si="18"/>
        <v>28066.564538731938</v>
      </c>
      <c r="U25" s="53">
        <f t="shared" si="19"/>
        <v>28066.564538731938</v>
      </c>
      <c r="V25" s="55">
        <f>VLOOKUP($A25,'Car insurance'!$A$29:$K$80,6,FALSE)*$AZ$78+$AZ$29*VLOOKUP($A25,'Car insurance'!$A$29:$K$80,11,FALSE)</f>
        <v>27561.868365910825</v>
      </c>
      <c r="W25" s="53">
        <f>VLOOKUP($A25,'Car insurance'!$A$29:$K$80,8,FALSE)*$AZ$78+VLOOKUP('TCO Inputs'!A25,'Car insurance'!$A$29:$K$80,11,FALSE)*'TCO Inputs'!$BA$29</f>
        <v>33262.423061617948</v>
      </c>
      <c r="X25" s="53">
        <f>VLOOKUP($A25,'Car insurance'!$A$29:$K$80,10,FALSE)*$AZ$78+VLOOKUP($A25,'Car insurance'!$A$29:$K$80,11,FALSE)*'TCO Inputs'!$BB$29</f>
        <v>28721.477490009274</v>
      </c>
      <c r="Y25" s="53">
        <f>VLOOKUP($A25,'Car insurance'!$A$29:$K$80,10,FALSE)*$AZ$78+VLOOKUP($A25,'Car insurance'!$A$29:$K$80,11,FALSE)*'TCO Inputs'!$BC$29</f>
        <v>28978.170290009275</v>
      </c>
      <c r="Z25" s="53">
        <f t="shared" si="20"/>
        <v>0</v>
      </c>
      <c r="AA25" s="53">
        <f t="shared" si="21"/>
        <v>0</v>
      </c>
      <c r="AB25" s="53">
        <f t="shared" si="22"/>
        <v>0</v>
      </c>
      <c r="AC25" s="53">
        <f t="shared" si="23"/>
        <v>0</v>
      </c>
      <c r="AD25" s="65">
        <f t="shared" si="24"/>
        <v>106182.83223917044</v>
      </c>
      <c r="AE25" s="65">
        <f t="shared" si="25"/>
        <v>110815.95194442381</v>
      </c>
      <c r="AF25" s="65">
        <f t="shared" si="26"/>
        <v>96977.18762214249</v>
      </c>
      <c r="AG25" s="60">
        <f t="shared" si="27"/>
        <v>107786.49538452752</v>
      </c>
      <c r="AH25" s="144">
        <f t="shared" si="28"/>
        <v>0</v>
      </c>
      <c r="AI25" s="65">
        <f t="shared" si="29"/>
        <v>4633.119705253368</v>
      </c>
      <c r="AJ25" s="65">
        <f t="shared" si="30"/>
        <v>-9205.6446170279523</v>
      </c>
      <c r="AK25" s="60">
        <f t="shared" si="31"/>
        <v>1603.6631453570735</v>
      </c>
      <c r="AL25" s="65">
        <f t="shared" si="32"/>
        <v>32975</v>
      </c>
      <c r="AM25" s="65">
        <f t="shared" si="33"/>
        <v>2598.3233873593772</v>
      </c>
      <c r="AN25" s="65">
        <f t="shared" si="34"/>
        <v>30376.676612640622</v>
      </c>
      <c r="AO25" s="65">
        <f t="shared" si="35"/>
        <v>15348.991798207704</v>
      </c>
      <c r="AP25" s="65">
        <f t="shared" si="36"/>
        <v>27044.205760728466</v>
      </c>
      <c r="AQ25" s="65">
        <f>VLOOKUP($A25,'Car insurance'!$A$29:$K$80,8,FALSE)*$AZ$78+VLOOKUP('TCO Inputs'!A25,'Car insurance'!$A$29:$K$80,11,FALSE)*$BD$4</f>
        <v>32567.887061617952</v>
      </c>
      <c r="AR25" s="65">
        <v>0</v>
      </c>
      <c r="AS25" s="65">
        <f t="shared" si="37"/>
        <v>105337.76123319473</v>
      </c>
      <c r="AT25" s="60">
        <f t="shared" si="38"/>
        <v>-845.07100597571116</v>
      </c>
      <c r="AU25" s="65"/>
    </row>
    <row r="26" spans="1:58" hidden="1" outlineLevel="1" x14ac:dyDescent="0.25">
      <c r="A26" s="35" t="s">
        <v>207</v>
      </c>
      <c r="B26" s="53">
        <f t="shared" si="0"/>
        <v>27690</v>
      </c>
      <c r="C26" s="53">
        <f t="shared" si="1"/>
        <v>43070</v>
      </c>
      <c r="D26" s="53">
        <f t="shared" si="2"/>
        <v>28855</v>
      </c>
      <c r="E26" s="53">
        <f t="shared" si="3"/>
        <v>32586</v>
      </c>
      <c r="F26" s="53">
        <f t="shared" si="4"/>
        <v>3958.3882042800105</v>
      </c>
      <c r="G26" s="53">
        <f t="shared" si="5"/>
        <v>2102.4530573088114</v>
      </c>
      <c r="H26" s="53">
        <f t="shared" si="6"/>
        <v>3652.9124753923325</v>
      </c>
      <c r="I26" s="53">
        <f t="shared" si="7"/>
        <v>4125.2401983411737</v>
      </c>
      <c r="J26" s="55">
        <f t="shared" si="8"/>
        <v>23731.611795719989</v>
      </c>
      <c r="K26" s="55">
        <f t="shared" si="9"/>
        <v>40967.546942691188</v>
      </c>
      <c r="L26" s="55">
        <f t="shared" si="10"/>
        <v>25202.087524607668</v>
      </c>
      <c r="M26" s="53">
        <f t="shared" si="11"/>
        <v>28460.759801658827</v>
      </c>
      <c r="N26" s="53">
        <f t="shared" si="12"/>
        <v>23760.574596648941</v>
      </c>
      <c r="O26" s="53">
        <f t="shared" si="13"/>
        <v>15679.645165818385</v>
      </c>
      <c r="P26" s="53">
        <f t="shared" si="14"/>
        <v>14621.892059476269</v>
      </c>
      <c r="Q26" s="53">
        <f t="shared" si="15"/>
        <v>23656.191650988949</v>
      </c>
      <c r="R26" s="53">
        <f t="shared" si="16"/>
        <v>34042.629476948183</v>
      </c>
      <c r="S26" s="53">
        <f t="shared" si="17"/>
        <v>21198.176369333691</v>
      </c>
      <c r="T26" s="53">
        <f t="shared" si="18"/>
        <v>31290.246668173641</v>
      </c>
      <c r="U26" s="53">
        <f t="shared" si="19"/>
        <v>31290.246668173641</v>
      </c>
      <c r="V26" s="55">
        <f>VLOOKUP($A26,'Car insurance'!$A$29:$K$80,6,FALSE)*$AZ$78+$AZ$29*VLOOKUP($A26,'Car insurance'!$A$29:$K$80,11,FALSE)</f>
        <v>31849.50744360749</v>
      </c>
      <c r="W26" s="53">
        <f>VLOOKUP($A26,'Car insurance'!$A$29:$K$80,8,FALSE)*$AZ$78+VLOOKUP('TCO Inputs'!A26,'Car insurance'!$A$29:$K$80,11,FALSE)*'TCO Inputs'!$BA$29</f>
        <v>45716.737620781176</v>
      </c>
      <c r="X26" s="53">
        <f>VLOOKUP($A26,'Car insurance'!$A$29:$K$80,10,FALSE)*$AZ$78+VLOOKUP($A26,'Car insurance'!$A$29:$K$80,11,FALSE)*'TCO Inputs'!$BB$29</f>
        <v>33189.510194485163</v>
      </c>
      <c r="Y26" s="53">
        <f>VLOOKUP($A26,'Car insurance'!$A$29:$K$80,10,FALSE)*$AZ$78+VLOOKUP($A26,'Car insurance'!$A$29:$K$80,11,FALSE)*'TCO Inputs'!$BC$29</f>
        <v>33376.060194485159</v>
      </c>
      <c r="Z26" s="53">
        <f t="shared" si="20"/>
        <v>0</v>
      </c>
      <c r="AA26" s="53">
        <f t="shared" si="21"/>
        <v>0</v>
      </c>
      <c r="AB26" s="53">
        <f t="shared" si="22"/>
        <v>0</v>
      </c>
      <c r="AC26" s="53">
        <f t="shared" si="23"/>
        <v>0</v>
      </c>
      <c r="AD26" s="65">
        <f t="shared" si="24"/>
        <v>113384.32331292461</v>
      </c>
      <c r="AE26" s="65">
        <f t="shared" si="25"/>
        <v>123562.10609862444</v>
      </c>
      <c r="AF26" s="65">
        <f t="shared" si="26"/>
        <v>104303.73644674274</v>
      </c>
      <c r="AG26" s="60">
        <f t="shared" si="27"/>
        <v>116783.25831530656</v>
      </c>
      <c r="AH26" s="144">
        <f t="shared" si="28"/>
        <v>0</v>
      </c>
      <c r="AI26" s="65">
        <f t="shared" si="29"/>
        <v>10177.782785699834</v>
      </c>
      <c r="AJ26" s="65">
        <f t="shared" si="30"/>
        <v>-9080.5868661818677</v>
      </c>
      <c r="AK26" s="60">
        <f t="shared" si="31"/>
        <v>3398.935002381957</v>
      </c>
      <c r="AL26" s="65">
        <f t="shared" si="32"/>
        <v>32975</v>
      </c>
      <c r="AM26" s="65">
        <f t="shared" si="33"/>
        <v>2598.3233873593772</v>
      </c>
      <c r="AN26" s="65">
        <f t="shared" si="34"/>
        <v>30376.676612640622</v>
      </c>
      <c r="AO26" s="65">
        <f t="shared" si="35"/>
        <v>14292.648834111433</v>
      </c>
      <c r="AP26" s="65">
        <f t="shared" si="36"/>
        <v>30150.461344503019</v>
      </c>
      <c r="AQ26" s="65">
        <f>VLOOKUP($A26,'Car insurance'!$A$29:$K$80,8,FALSE)*$AZ$78+VLOOKUP('TCO Inputs'!A26,'Car insurance'!$A$29:$K$80,11,FALSE)*$BD$4</f>
        <v>45211.987620781176</v>
      </c>
      <c r="AR26" s="65">
        <v>0</v>
      </c>
      <c r="AS26" s="65">
        <f t="shared" si="37"/>
        <v>120031.77441203625</v>
      </c>
      <c r="AT26" s="60">
        <f t="shared" si="38"/>
        <v>6647.4510991116404</v>
      </c>
      <c r="AU26" s="65"/>
      <c r="AY26" s="37" t="s">
        <v>396</v>
      </c>
      <c r="AZ26" s="94" t="s">
        <v>387</v>
      </c>
    </row>
    <row r="27" spans="1:58" hidden="1" outlineLevel="1" x14ac:dyDescent="0.25">
      <c r="A27" s="35" t="s">
        <v>206</v>
      </c>
      <c r="B27" s="53">
        <f t="shared" si="0"/>
        <v>27690</v>
      </c>
      <c r="C27" s="53">
        <f t="shared" si="1"/>
        <v>43070</v>
      </c>
      <c r="D27" s="53">
        <f t="shared" si="2"/>
        <v>28855</v>
      </c>
      <c r="E27" s="53">
        <f t="shared" si="3"/>
        <v>32586</v>
      </c>
      <c r="F27" s="53">
        <f t="shared" si="4"/>
        <v>3958.3882042800105</v>
      </c>
      <c r="G27" s="53">
        <f t="shared" si="5"/>
        <v>2102.4530573088114</v>
      </c>
      <c r="H27" s="53">
        <f t="shared" si="6"/>
        <v>3652.9124753923325</v>
      </c>
      <c r="I27" s="53">
        <f t="shared" si="7"/>
        <v>4125.2401983411737</v>
      </c>
      <c r="J27" s="55">
        <f t="shared" si="8"/>
        <v>23731.611795719989</v>
      </c>
      <c r="K27" s="55">
        <f t="shared" si="9"/>
        <v>40967.546942691188</v>
      </c>
      <c r="L27" s="55">
        <f t="shared" si="10"/>
        <v>25202.087524607668</v>
      </c>
      <c r="M27" s="53">
        <f t="shared" si="11"/>
        <v>28460.759801658827</v>
      </c>
      <c r="N27" s="53">
        <f t="shared" si="12"/>
        <v>24362.363719330016</v>
      </c>
      <c r="O27" s="53">
        <f t="shared" si="13"/>
        <v>14870.354926124579</v>
      </c>
      <c r="P27" s="53">
        <f t="shared" si="14"/>
        <v>14992.22382728001</v>
      </c>
      <c r="Q27" s="53">
        <f t="shared" si="15"/>
        <v>22288.680598177118</v>
      </c>
      <c r="R27" s="53">
        <f t="shared" si="16"/>
        <v>31578.861090982547</v>
      </c>
      <c r="S27" s="53">
        <f t="shared" si="17"/>
        <v>19664.000026867139</v>
      </c>
      <c r="T27" s="53">
        <f t="shared" si="18"/>
        <v>29025.676577243517</v>
      </c>
      <c r="U27" s="53">
        <f t="shared" si="19"/>
        <v>29025.676577243517</v>
      </c>
      <c r="V27" s="55">
        <f>VLOOKUP($A27,'Car insurance'!$A$29:$K$80,6,FALSE)*$AZ$78+$AZ$29*VLOOKUP($A27,'Car insurance'!$A$29:$K$80,11,FALSE)</f>
        <v>30641.492151670249</v>
      </c>
      <c r="W27" s="53">
        <f>VLOOKUP($A27,'Car insurance'!$A$29:$K$80,8,FALSE)*$AZ$78+VLOOKUP('TCO Inputs'!A27,'Car insurance'!$A$29:$K$80,11,FALSE)*'TCO Inputs'!$BA$29</f>
        <v>39084.68410517864</v>
      </c>
      <c r="X27" s="53">
        <f>VLOOKUP($A27,'Car insurance'!$A$29:$K$80,10,FALSE)*$AZ$78+VLOOKUP($A27,'Car insurance'!$A$29:$K$80,11,FALSE)*'TCO Inputs'!$BB$29</f>
        <v>31930.670134938424</v>
      </c>
      <c r="Y27" s="53">
        <f>VLOOKUP($A27,'Car insurance'!$A$29:$K$80,10,FALSE)*$AZ$78+VLOOKUP($A27,'Car insurance'!$A$29:$K$80,11,FALSE)*'TCO Inputs'!$BC$29</f>
        <v>32088.491434938423</v>
      </c>
      <c r="Z27" s="53">
        <f t="shared" si="20"/>
        <v>0</v>
      </c>
      <c r="AA27" s="53">
        <f t="shared" si="21"/>
        <v>0</v>
      </c>
      <c r="AB27" s="53">
        <f t="shared" si="22"/>
        <v>0</v>
      </c>
      <c r="AC27" s="53">
        <f t="shared" si="23"/>
        <v>0</v>
      </c>
      <c r="AD27" s="65">
        <f t="shared" si="24"/>
        <v>110314.32875770279</v>
      </c>
      <c r="AE27" s="65">
        <f t="shared" si="25"/>
        <v>114586.58600086154</v>
      </c>
      <c r="AF27" s="65">
        <f t="shared" si="26"/>
        <v>101150.65806406962</v>
      </c>
      <c r="AG27" s="60">
        <f t="shared" si="27"/>
        <v>111863.60841201789</v>
      </c>
      <c r="AH27" s="144">
        <f t="shared" si="28"/>
        <v>0</v>
      </c>
      <c r="AI27" s="65">
        <f t="shared" si="29"/>
        <v>4272.2572431587469</v>
      </c>
      <c r="AJ27" s="65">
        <f t="shared" si="30"/>
        <v>-9163.6706936331757</v>
      </c>
      <c r="AK27" s="60">
        <f t="shared" si="31"/>
        <v>1549.2796543150907</v>
      </c>
      <c r="AL27" s="65">
        <f t="shared" si="32"/>
        <v>32975</v>
      </c>
      <c r="AM27" s="65">
        <f t="shared" si="33"/>
        <v>2598.3233873593772</v>
      </c>
      <c r="AN27" s="65">
        <f t="shared" si="34"/>
        <v>30376.676612640622</v>
      </c>
      <c r="AO27" s="65">
        <f t="shared" si="35"/>
        <v>14081.96750548801</v>
      </c>
      <c r="AP27" s="65">
        <f t="shared" si="36"/>
        <v>27968.380975735774</v>
      </c>
      <c r="AQ27" s="65">
        <f>VLOOKUP($A27,'Car insurance'!$A$29:$K$80,8,FALSE)*$AZ$78+VLOOKUP('TCO Inputs'!A27,'Car insurance'!$A$29:$K$80,11,FALSE)*$BD$4</f>
        <v>38657.665605178641</v>
      </c>
      <c r="AR27" s="65">
        <v>0</v>
      </c>
      <c r="AS27" s="65">
        <f t="shared" si="37"/>
        <v>111084.69069904306</v>
      </c>
      <c r="AT27" s="60">
        <f t="shared" si="38"/>
        <v>770.361941340263</v>
      </c>
      <c r="AU27" s="65"/>
      <c r="AY27" s="37" t="s">
        <v>490</v>
      </c>
      <c r="AZ27" s="155" t="s">
        <v>308</v>
      </c>
      <c r="BA27" s="155" t="s">
        <v>255</v>
      </c>
      <c r="BB27" s="155" t="s">
        <v>254</v>
      </c>
      <c r="BC27" s="155" t="s">
        <v>253</v>
      </c>
    </row>
    <row r="28" spans="1:58" hidden="1" outlineLevel="1" x14ac:dyDescent="0.25">
      <c r="A28" s="35" t="s">
        <v>208</v>
      </c>
      <c r="B28" s="53">
        <f t="shared" si="0"/>
        <v>27690</v>
      </c>
      <c r="C28" s="53">
        <f t="shared" si="1"/>
        <v>43070</v>
      </c>
      <c r="D28" s="53">
        <f t="shared" si="2"/>
        <v>28855</v>
      </c>
      <c r="E28" s="53">
        <f t="shared" si="3"/>
        <v>32586</v>
      </c>
      <c r="F28" s="53">
        <f t="shared" si="4"/>
        <v>3958.3882042800105</v>
      </c>
      <c r="G28" s="53">
        <f t="shared" si="5"/>
        <v>2102.4530573088114</v>
      </c>
      <c r="H28" s="53">
        <f t="shared" si="6"/>
        <v>3652.9124753923325</v>
      </c>
      <c r="I28" s="53">
        <f t="shared" si="7"/>
        <v>4125.2401983411737</v>
      </c>
      <c r="J28" s="55">
        <f t="shared" si="8"/>
        <v>23731.611795719989</v>
      </c>
      <c r="K28" s="55">
        <f t="shared" si="9"/>
        <v>40967.546942691188</v>
      </c>
      <c r="L28" s="55">
        <f t="shared" si="10"/>
        <v>25202.087524607668</v>
      </c>
      <c r="M28" s="53">
        <f t="shared" si="11"/>
        <v>28460.759801658827</v>
      </c>
      <c r="N28" s="53">
        <f t="shared" si="12"/>
        <v>22944.460632832452</v>
      </c>
      <c r="O28" s="53">
        <f t="shared" si="13"/>
        <v>14137.09668616968</v>
      </c>
      <c r="P28" s="53">
        <f t="shared" si="14"/>
        <v>14119.668081743048</v>
      </c>
      <c r="Q28" s="53">
        <f t="shared" si="15"/>
        <v>19627.425691045726</v>
      </c>
      <c r="R28" s="53">
        <f t="shared" si="16"/>
        <v>27075.876795248783</v>
      </c>
      <c r="S28" s="53">
        <f t="shared" si="17"/>
        <v>16860.014061154918</v>
      </c>
      <c r="T28" s="53">
        <f t="shared" si="18"/>
        <v>24886.763352228663</v>
      </c>
      <c r="U28" s="53">
        <f t="shared" si="19"/>
        <v>24886.763352228663</v>
      </c>
      <c r="V28" s="55">
        <f>VLOOKUP($A28,'Car insurance'!$A$29:$K$80,6,FALSE)*$AZ$78+$AZ$29*VLOOKUP($A28,'Car insurance'!$A$29:$K$80,11,FALSE)</f>
        <v>28807.003623712088</v>
      </c>
      <c r="W28" s="53">
        <f>VLOOKUP($A28,'Car insurance'!$A$29:$K$80,8,FALSE)*$AZ$78+VLOOKUP('TCO Inputs'!A28,'Car insurance'!$A$29:$K$80,11,FALSE)*'TCO Inputs'!$BA$29</f>
        <v>35936.42004926232</v>
      </c>
      <c r="X28" s="53">
        <f>VLOOKUP($A28,'Car insurance'!$A$29:$K$80,10,FALSE)*$AZ$78+VLOOKUP($A28,'Car insurance'!$A$29:$K$80,11,FALSE)*'TCO Inputs'!$BB$29</f>
        <v>30018.999261907265</v>
      </c>
      <c r="Y28" s="53">
        <f>VLOOKUP($A28,'Car insurance'!$A$29:$K$80,10,FALSE)*$AZ$78+VLOOKUP($A28,'Car insurance'!$A$29:$K$80,11,FALSE)*'TCO Inputs'!$BC$29</f>
        <v>30018.999261907265</v>
      </c>
      <c r="Z28" s="53">
        <f t="shared" si="20"/>
        <v>0</v>
      </c>
      <c r="AA28" s="53">
        <f t="shared" si="21"/>
        <v>0</v>
      </c>
      <c r="AB28" s="53">
        <f t="shared" si="22"/>
        <v>0</v>
      </c>
      <c r="AC28" s="53">
        <f t="shared" si="23"/>
        <v>0</v>
      </c>
      <c r="AD28" s="65">
        <f t="shared" si="24"/>
        <v>102558.95284751331</v>
      </c>
      <c r="AE28" s="65">
        <f t="shared" si="25"/>
        <v>107901.0777392781</v>
      </c>
      <c r="AF28" s="65">
        <f t="shared" si="26"/>
        <v>94227.518220486643</v>
      </c>
      <c r="AG28" s="60">
        <f t="shared" si="27"/>
        <v>102993.94810684049</v>
      </c>
      <c r="AH28" s="144">
        <f t="shared" si="28"/>
        <v>0</v>
      </c>
      <c r="AI28" s="65">
        <f t="shared" si="29"/>
        <v>5342.1248917647899</v>
      </c>
      <c r="AJ28" s="65">
        <f t="shared" si="30"/>
        <v>-8331.4346270266687</v>
      </c>
      <c r="AK28" s="60">
        <f t="shared" si="31"/>
        <v>434.9952593271737</v>
      </c>
      <c r="AL28" s="65">
        <f t="shared" si="32"/>
        <v>32975</v>
      </c>
      <c r="AM28" s="65">
        <f t="shared" si="33"/>
        <v>2598.3233873593772</v>
      </c>
      <c r="AN28" s="65">
        <f t="shared" si="34"/>
        <v>30376.676612640622</v>
      </c>
      <c r="AO28" s="65">
        <f t="shared" si="35"/>
        <v>13331.695977784662</v>
      </c>
      <c r="AP28" s="65">
        <f t="shared" si="36"/>
        <v>23980.23270313071</v>
      </c>
      <c r="AQ28" s="65">
        <f>VLOOKUP($A28,'Car insurance'!$A$29:$K$80,8,FALSE)*$AZ$78+VLOOKUP('TCO Inputs'!A28,'Car insurance'!$A$29:$K$80,11,FALSE)*$BD$4</f>
        <v>35936.42004926232</v>
      </c>
      <c r="AR28" s="65">
        <v>0</v>
      </c>
      <c r="AS28" s="65">
        <f t="shared" si="37"/>
        <v>103625.02534281832</v>
      </c>
      <c r="AT28" s="60">
        <f t="shared" si="38"/>
        <v>1066.0724953050085</v>
      </c>
      <c r="AU28" s="65"/>
      <c r="AY28" s="51" t="s">
        <v>370</v>
      </c>
      <c r="AZ28" s="139" t="s">
        <v>326</v>
      </c>
      <c r="BA28" s="139" t="s">
        <v>332</v>
      </c>
      <c r="BB28" s="49" t="s">
        <v>272</v>
      </c>
      <c r="BC28" s="35"/>
    </row>
    <row r="29" spans="1:58" hidden="1" outlineLevel="1" x14ac:dyDescent="0.25">
      <c r="A29" s="35" t="s">
        <v>211</v>
      </c>
      <c r="B29" s="53">
        <f t="shared" si="0"/>
        <v>27690</v>
      </c>
      <c r="C29" s="53">
        <f t="shared" si="1"/>
        <v>43070</v>
      </c>
      <c r="D29" s="53">
        <f t="shared" si="2"/>
        <v>28855</v>
      </c>
      <c r="E29" s="53">
        <f t="shared" si="3"/>
        <v>32586</v>
      </c>
      <c r="F29" s="53">
        <f t="shared" si="4"/>
        <v>3958.3882042800105</v>
      </c>
      <c r="G29" s="53">
        <f t="shared" si="5"/>
        <v>2102.4530573088114</v>
      </c>
      <c r="H29" s="53">
        <f t="shared" si="6"/>
        <v>3652.9124753923325</v>
      </c>
      <c r="I29" s="53">
        <f t="shared" si="7"/>
        <v>4125.2401983411737</v>
      </c>
      <c r="J29" s="55">
        <f t="shared" si="8"/>
        <v>23731.611795719989</v>
      </c>
      <c r="K29" s="55">
        <f t="shared" si="9"/>
        <v>40967.546942691188</v>
      </c>
      <c r="L29" s="55">
        <f t="shared" si="10"/>
        <v>25202.087524607668</v>
      </c>
      <c r="M29" s="53">
        <f t="shared" si="11"/>
        <v>28460.759801658827</v>
      </c>
      <c r="N29" s="53">
        <f t="shared" si="12"/>
        <v>19754.715480857769</v>
      </c>
      <c r="O29" s="53">
        <f t="shared" si="13"/>
        <v>11744.492860495777</v>
      </c>
      <c r="P29" s="53">
        <f t="shared" si="14"/>
        <v>12156.747988220168</v>
      </c>
      <c r="Q29" s="53">
        <f t="shared" si="15"/>
        <v>18073.227570744617</v>
      </c>
      <c r="R29" s="53">
        <f t="shared" si="16"/>
        <v>25312.875749512812</v>
      </c>
      <c r="S29" s="53">
        <f t="shared" si="17"/>
        <v>15762.202062462586</v>
      </c>
      <c r="T29" s="53">
        <f t="shared" si="18"/>
        <v>23266.302816573476</v>
      </c>
      <c r="U29" s="53">
        <f t="shared" si="19"/>
        <v>23266.302816573476</v>
      </c>
      <c r="V29" s="55">
        <f>VLOOKUP($A29,'Car insurance'!$A$29:$K$80,6,FALSE)*$AZ$78+$AZ$29*VLOOKUP($A29,'Car insurance'!$A$29:$K$80,11,FALSE)</f>
        <v>33977.562027481974</v>
      </c>
      <c r="W29" s="53">
        <f>VLOOKUP($A29,'Car insurance'!$A$29:$K$80,8,FALSE)*$AZ$78+VLOOKUP('TCO Inputs'!A29,'Car insurance'!$A$29:$K$80,11,FALSE)*'TCO Inputs'!$BA$29</f>
        <v>42284.479217011285</v>
      </c>
      <c r="X29" s="53">
        <f>VLOOKUP($A29,'Car insurance'!$A$29:$K$80,10,FALSE)*$AZ$78+VLOOKUP($A29,'Car insurance'!$A$29:$K$80,11,FALSE)*'TCO Inputs'!$BB$29</f>
        <v>35407.098313578637</v>
      </c>
      <c r="Y29" s="53">
        <f>VLOOKUP($A29,'Car insurance'!$A$29:$K$80,10,FALSE)*$AZ$78+VLOOKUP($A29,'Car insurance'!$A$29:$K$80,11,FALSE)*'TCO Inputs'!$BC$29</f>
        <v>35612.303313578639</v>
      </c>
      <c r="Z29" s="53">
        <f t="shared" si="20"/>
        <v>0</v>
      </c>
      <c r="AA29" s="53">
        <f t="shared" si="21"/>
        <v>0</v>
      </c>
      <c r="AB29" s="53">
        <f t="shared" si="22"/>
        <v>0</v>
      </c>
      <c r="AC29" s="53">
        <f t="shared" si="23"/>
        <v>0</v>
      </c>
      <c r="AD29" s="65">
        <f t="shared" si="24"/>
        <v>102776.76505357254</v>
      </c>
      <c r="AE29" s="65">
        <f t="shared" si="25"/>
        <v>110758.72108266084</v>
      </c>
      <c r="AF29" s="65">
        <f t="shared" si="26"/>
        <v>96032.236642979944</v>
      </c>
      <c r="AG29" s="60">
        <f t="shared" si="27"/>
        <v>105412.59350255555</v>
      </c>
      <c r="AH29" s="144">
        <f t="shared" si="28"/>
        <v>0</v>
      </c>
      <c r="AI29" s="65">
        <f t="shared" si="29"/>
        <v>7981.9560290882946</v>
      </c>
      <c r="AJ29" s="65">
        <f t="shared" si="30"/>
        <v>-6744.5284105925966</v>
      </c>
      <c r="AK29" s="60">
        <f t="shared" si="31"/>
        <v>2635.8284489830112</v>
      </c>
      <c r="AL29" s="65">
        <f t="shared" si="32"/>
        <v>32975</v>
      </c>
      <c r="AM29" s="65">
        <f t="shared" si="33"/>
        <v>2598.3233873593772</v>
      </c>
      <c r="AN29" s="65">
        <f t="shared" si="34"/>
        <v>30376.676612640622</v>
      </c>
      <c r="AO29" s="65">
        <f t="shared" si="35"/>
        <v>11266.875285731412</v>
      </c>
      <c r="AP29" s="65">
        <f t="shared" si="36"/>
        <v>22418.799415030142</v>
      </c>
      <c r="AQ29" s="65">
        <f>VLOOKUP($A29,'Car insurance'!$A$29:$K$80,8,FALSE)*$AZ$78+VLOOKUP('TCO Inputs'!A29,'Car insurance'!$A$29:$K$80,11,FALSE)*$BD$4</f>
        <v>41729.254217011287</v>
      </c>
      <c r="AR29" s="65">
        <v>0</v>
      </c>
      <c r="AS29" s="65">
        <f t="shared" si="37"/>
        <v>105791.60553041346</v>
      </c>
      <c r="AT29" s="60">
        <f t="shared" si="38"/>
        <v>3014.8404768409237</v>
      </c>
      <c r="AU29" s="65"/>
      <c r="AY29" s="51" t="s">
        <v>403</v>
      </c>
      <c r="AZ29" s="50">
        <f>AZ4</f>
        <v>27690</v>
      </c>
      <c r="BA29" s="50">
        <f>BA4</f>
        <v>43070</v>
      </c>
      <c r="BB29" s="50">
        <f>BB4</f>
        <v>28855</v>
      </c>
      <c r="BC29" s="50">
        <f>BB29+BC6*BC7</f>
        <v>32586</v>
      </c>
    </row>
    <row r="30" spans="1:58" hidden="1" outlineLevel="1" x14ac:dyDescent="0.25">
      <c r="A30" s="35" t="s">
        <v>215</v>
      </c>
      <c r="B30" s="53">
        <f t="shared" si="0"/>
        <v>27690</v>
      </c>
      <c r="C30" s="53">
        <f t="shared" si="1"/>
        <v>43070</v>
      </c>
      <c r="D30" s="53">
        <f t="shared" si="2"/>
        <v>28855</v>
      </c>
      <c r="E30" s="53">
        <f t="shared" si="3"/>
        <v>32586</v>
      </c>
      <c r="F30" s="53">
        <f t="shared" si="4"/>
        <v>3958.3882042800105</v>
      </c>
      <c r="G30" s="53">
        <f t="shared" si="5"/>
        <v>2102.4530573088114</v>
      </c>
      <c r="H30" s="53">
        <f t="shared" si="6"/>
        <v>3652.9124753923325</v>
      </c>
      <c r="I30" s="53">
        <f t="shared" si="7"/>
        <v>4125.2401983411737</v>
      </c>
      <c r="J30" s="55">
        <f t="shared" si="8"/>
        <v>23731.611795719989</v>
      </c>
      <c r="K30" s="55">
        <f t="shared" si="9"/>
        <v>40967.546942691188</v>
      </c>
      <c r="L30" s="55">
        <f t="shared" si="10"/>
        <v>25202.087524607668</v>
      </c>
      <c r="M30" s="53">
        <f t="shared" si="11"/>
        <v>28460.759801658827</v>
      </c>
      <c r="N30" s="53">
        <f t="shared" si="12"/>
        <v>24837.224925723975</v>
      </c>
      <c r="O30" s="53">
        <f t="shared" si="13"/>
        <v>12966.752251545513</v>
      </c>
      <c r="P30" s="53">
        <f t="shared" si="14"/>
        <v>15284.446108137834</v>
      </c>
      <c r="Q30" s="53">
        <f t="shared" si="15"/>
        <v>16932.427142102872</v>
      </c>
      <c r="R30" s="53">
        <f t="shared" si="16"/>
        <v>23897.70082885434</v>
      </c>
      <c r="S30" s="53">
        <f t="shared" si="17"/>
        <v>14880.979665059651</v>
      </c>
      <c r="T30" s="53">
        <f t="shared" si="18"/>
        <v>21965.54629375548</v>
      </c>
      <c r="U30" s="53">
        <f t="shared" si="19"/>
        <v>21965.54629375548</v>
      </c>
      <c r="V30" s="55">
        <f>VLOOKUP($A30,'Car insurance'!$A$29:$K$80,6,FALSE)*$AZ$78+$AZ$29*VLOOKUP($A30,'Car insurance'!$A$29:$K$80,11,FALSE)</f>
        <v>38055.044667272785</v>
      </c>
      <c r="W30" s="53">
        <f>VLOOKUP($A30,'Car insurance'!$A$29:$K$80,8,FALSE)*$AZ$78+VLOOKUP('TCO Inputs'!A30,'Car insurance'!$A$29:$K$80,11,FALSE)*'TCO Inputs'!$BA$29</f>
        <v>46287.510710833471</v>
      </c>
      <c r="X30" s="53">
        <f>VLOOKUP($A30,'Car insurance'!$A$29:$K$80,10,FALSE)*$AZ$78+VLOOKUP($A30,'Car insurance'!$A$29:$K$80,11,FALSE)*'TCO Inputs'!$BB$29</f>
        <v>39656.132678734415</v>
      </c>
      <c r="Y30" s="53">
        <f>VLOOKUP($A30,'Car insurance'!$A$29:$K$80,10,FALSE)*$AZ$78+VLOOKUP($A30,'Car insurance'!$A$29:$K$80,11,FALSE)*'TCO Inputs'!$BC$29</f>
        <v>39963.940178734418</v>
      </c>
      <c r="Z30" s="53">
        <f t="shared" si="20"/>
        <v>0</v>
      </c>
      <c r="AA30" s="53">
        <f t="shared" si="21"/>
        <v>0</v>
      </c>
      <c r="AB30" s="53">
        <f t="shared" si="22"/>
        <v>0</v>
      </c>
      <c r="AC30" s="53">
        <f t="shared" si="23"/>
        <v>0</v>
      </c>
      <c r="AD30" s="65">
        <f t="shared" si="24"/>
        <v>110521.58221757109</v>
      </c>
      <c r="AE30" s="65">
        <f t="shared" si="25"/>
        <v>115102.78957012983</v>
      </c>
      <c r="AF30" s="65">
        <f t="shared" si="26"/>
        <v>102108.2126052354</v>
      </c>
      <c r="AG30" s="60">
        <f t="shared" si="27"/>
        <v>107322.67341625161</v>
      </c>
      <c r="AH30" s="144">
        <f t="shared" si="28"/>
        <v>0</v>
      </c>
      <c r="AI30" s="65">
        <f t="shared" si="29"/>
        <v>4581.207352558733</v>
      </c>
      <c r="AJ30" s="65">
        <f t="shared" si="30"/>
        <v>-8413.3696123356931</v>
      </c>
      <c r="AK30" s="60">
        <f t="shared" si="31"/>
        <v>-3198.9088013194851</v>
      </c>
      <c r="AL30" s="65">
        <f t="shared" si="32"/>
        <v>32975</v>
      </c>
      <c r="AM30" s="65">
        <f t="shared" si="33"/>
        <v>2598.3233873593772</v>
      </c>
      <c r="AN30" s="65">
        <f t="shared" si="34"/>
        <v>30376.676612640622</v>
      </c>
      <c r="AO30" s="65">
        <f t="shared" si="35"/>
        <v>13347.58837912315</v>
      </c>
      <c r="AP30" s="65">
        <f t="shared" si="36"/>
        <v>21165.424531932</v>
      </c>
      <c r="AQ30" s="65">
        <f>VLOOKUP($A30,'Car insurance'!$A$29:$K$80,8,FALSE)*$AZ$78+VLOOKUP('TCO Inputs'!A30,'Car insurance'!$A$29:$K$80,11,FALSE)*$BD$4</f>
        <v>45454.673210833469</v>
      </c>
      <c r="AR30" s="65">
        <v>0</v>
      </c>
      <c r="AS30" s="65">
        <f t="shared" si="37"/>
        <v>110344.36273452925</v>
      </c>
      <c r="AT30" s="60">
        <f t="shared" si="38"/>
        <v>-177.2194830418448</v>
      </c>
      <c r="AU30" s="65"/>
      <c r="AY30" s="51" t="s">
        <v>369</v>
      </c>
      <c r="AZ30" s="50">
        <f>AZ29*(1-$AZ$45)</f>
        <v>24367.200000000001</v>
      </c>
      <c r="BA30" s="50">
        <f>BA29*(1-$AZ$45)</f>
        <v>37901.599999999999</v>
      </c>
      <c r="BB30" s="50">
        <f>BB29*(1-$AZ$45)</f>
        <v>25392.400000000001</v>
      </c>
      <c r="BC30" s="50">
        <f>BC29*(1-$AZ$45)</f>
        <v>28675.68</v>
      </c>
    </row>
    <row r="31" spans="1:58" hidden="1" outlineLevel="1" x14ac:dyDescent="0.25">
      <c r="A31" s="35" t="s">
        <v>212</v>
      </c>
      <c r="B31" s="53">
        <f t="shared" si="0"/>
        <v>27690</v>
      </c>
      <c r="C31" s="53">
        <f t="shared" si="1"/>
        <v>43070</v>
      </c>
      <c r="D31" s="53">
        <f t="shared" si="2"/>
        <v>28855</v>
      </c>
      <c r="E31" s="53">
        <f t="shared" si="3"/>
        <v>32586</v>
      </c>
      <c r="F31" s="53">
        <f t="shared" si="4"/>
        <v>3958.3882042800105</v>
      </c>
      <c r="G31" s="53">
        <f t="shared" si="5"/>
        <v>2102.4530573088114</v>
      </c>
      <c r="H31" s="53">
        <f t="shared" si="6"/>
        <v>3652.9124753923325</v>
      </c>
      <c r="I31" s="53">
        <f t="shared" si="7"/>
        <v>4125.2401983411737</v>
      </c>
      <c r="J31" s="55">
        <f t="shared" si="8"/>
        <v>23731.611795719989</v>
      </c>
      <c r="K31" s="55">
        <f t="shared" si="9"/>
        <v>40967.546942691188</v>
      </c>
      <c r="L31" s="55">
        <f t="shared" si="10"/>
        <v>25202.087524607668</v>
      </c>
      <c r="M31" s="53">
        <f t="shared" si="11"/>
        <v>28460.759801658827</v>
      </c>
      <c r="N31" s="53">
        <f t="shared" si="12"/>
        <v>16020.114759342798</v>
      </c>
      <c r="O31" s="53">
        <f t="shared" si="13"/>
        <v>16841.415970617243</v>
      </c>
      <c r="P31" s="53">
        <f t="shared" si="14"/>
        <v>9858.5321595955684</v>
      </c>
      <c r="Q31" s="53">
        <f t="shared" si="15"/>
        <v>14206.165058442873</v>
      </c>
      <c r="R31" s="53">
        <f t="shared" si="16"/>
        <v>19727.19738797408</v>
      </c>
      <c r="S31" s="53">
        <f t="shared" si="17"/>
        <v>12284.027877050527</v>
      </c>
      <c r="T31" s="53">
        <f t="shared" si="18"/>
        <v>18132.232492776173</v>
      </c>
      <c r="U31" s="53">
        <f t="shared" si="19"/>
        <v>18132.232492776173</v>
      </c>
      <c r="V31" s="55">
        <f>VLOOKUP($A31,'Car insurance'!$A$29:$K$80,6,FALSE)*$AZ$78+$AZ$29*VLOOKUP($A31,'Car insurance'!$A$29:$K$80,11,FALSE)</f>
        <v>22506.589108109558</v>
      </c>
      <c r="W31" s="53">
        <f>VLOOKUP($A31,'Car insurance'!$A$29:$K$80,8,FALSE)*$AZ$78+VLOOKUP('TCO Inputs'!A31,'Car insurance'!$A$29:$K$80,11,FALSE)*'TCO Inputs'!$BA$29</f>
        <v>28641.203241722549</v>
      </c>
      <c r="X31" s="53">
        <f>VLOOKUP($A31,'Car insurance'!$A$29:$K$80,10,FALSE)*$AZ$78+VLOOKUP($A31,'Car insurance'!$A$29:$K$80,11,FALSE)*'TCO Inputs'!$BB$29</f>
        <v>23453.507718111279</v>
      </c>
      <c r="Y31" s="53">
        <f>VLOOKUP($A31,'Car insurance'!$A$29:$K$80,10,FALSE)*$AZ$78+VLOOKUP($A31,'Car insurance'!$A$29:$K$80,11,FALSE)*'TCO Inputs'!$BC$29</f>
        <v>23453.507718111279</v>
      </c>
      <c r="Z31" s="53">
        <f t="shared" si="20"/>
        <v>0</v>
      </c>
      <c r="AA31" s="53">
        <f t="shared" si="21"/>
        <v>0</v>
      </c>
      <c r="AB31" s="53">
        <f t="shared" si="22"/>
        <v>0</v>
      </c>
      <c r="AC31" s="53">
        <f t="shared" si="23"/>
        <v>0</v>
      </c>
      <c r="AD31" s="65">
        <f t="shared" si="24"/>
        <v>81985.513051146423</v>
      </c>
      <c r="AE31" s="65">
        <f t="shared" si="25"/>
        <v>98734.194032081519</v>
      </c>
      <c r="AF31" s="65">
        <f t="shared" si="26"/>
        <v>76646.359895090689</v>
      </c>
      <c r="AG31" s="60">
        <f t="shared" si="27"/>
        <v>84252.665070989155</v>
      </c>
      <c r="AH31" s="144">
        <f t="shared" si="28"/>
        <v>0</v>
      </c>
      <c r="AI31" s="65">
        <f t="shared" si="29"/>
        <v>16748.680980935096</v>
      </c>
      <c r="AJ31" s="65">
        <f t="shared" si="30"/>
        <v>-5339.1531560557341</v>
      </c>
      <c r="AK31" s="60">
        <f t="shared" si="31"/>
        <v>2267.1520198427315</v>
      </c>
      <c r="AL31" s="65">
        <f t="shared" si="32"/>
        <v>32975</v>
      </c>
      <c r="AM31" s="65">
        <f t="shared" si="33"/>
        <v>2598.3233873593772</v>
      </c>
      <c r="AN31" s="65">
        <f t="shared" si="34"/>
        <v>30376.676612640622</v>
      </c>
      <c r="AO31" s="65">
        <f t="shared" si="35"/>
        <v>12609.434285208363</v>
      </c>
      <c r="AP31" s="65">
        <f t="shared" si="36"/>
        <v>17471.743852343974</v>
      </c>
      <c r="AQ31" s="65">
        <f>VLOOKUP($A31,'Car insurance'!$A$29:$K$80,8,FALSE)*$AZ$78+VLOOKUP('TCO Inputs'!A31,'Car insurance'!$A$29:$K$80,11,FALSE)*$BD$4</f>
        <v>28641.203241722549</v>
      </c>
      <c r="AR31" s="65">
        <v>0</v>
      </c>
      <c r="AS31" s="65">
        <f t="shared" si="37"/>
        <v>89099.057991915499</v>
      </c>
      <c r="AT31" s="60">
        <f t="shared" si="38"/>
        <v>7113.5449407690758</v>
      </c>
      <c r="AU31" s="65"/>
      <c r="AY31" s="51" t="s">
        <v>368</v>
      </c>
      <c r="AZ31" s="35">
        <v>5</v>
      </c>
      <c r="BA31" s="35">
        <v>5</v>
      </c>
      <c r="BB31" s="35">
        <v>5</v>
      </c>
      <c r="BC31" s="35">
        <v>5</v>
      </c>
    </row>
    <row r="32" spans="1:58" hidden="1" outlineLevel="1" x14ac:dyDescent="0.25">
      <c r="A32" s="35" t="s">
        <v>213</v>
      </c>
      <c r="B32" s="53">
        <f t="shared" si="0"/>
        <v>27690</v>
      </c>
      <c r="C32" s="53">
        <f t="shared" si="1"/>
        <v>43070</v>
      </c>
      <c r="D32" s="53">
        <f t="shared" si="2"/>
        <v>28855</v>
      </c>
      <c r="E32" s="53">
        <f t="shared" si="3"/>
        <v>32586</v>
      </c>
      <c r="F32" s="53">
        <f t="shared" si="4"/>
        <v>3958.3882042800105</v>
      </c>
      <c r="G32" s="53">
        <f t="shared" si="5"/>
        <v>2102.4530573088114</v>
      </c>
      <c r="H32" s="53">
        <f t="shared" si="6"/>
        <v>3652.9124753923325</v>
      </c>
      <c r="I32" s="53">
        <f t="shared" si="7"/>
        <v>4125.2401983411737</v>
      </c>
      <c r="J32" s="55">
        <f t="shared" si="8"/>
        <v>23731.611795719989</v>
      </c>
      <c r="K32" s="55">
        <f t="shared" si="9"/>
        <v>40967.546942691188</v>
      </c>
      <c r="L32" s="55">
        <f t="shared" si="10"/>
        <v>25202.087524607668</v>
      </c>
      <c r="M32" s="53">
        <f t="shared" si="11"/>
        <v>28460.759801658827</v>
      </c>
      <c r="N32" s="53">
        <f t="shared" si="12"/>
        <v>17065.914706884349</v>
      </c>
      <c r="O32" s="53">
        <f t="shared" si="13"/>
        <v>12094.71151549338</v>
      </c>
      <c r="P32" s="53">
        <f t="shared" si="14"/>
        <v>10502.101358082677</v>
      </c>
      <c r="Q32" s="53">
        <f t="shared" si="15"/>
        <v>14743.37276586213</v>
      </c>
      <c r="R32" s="53">
        <f t="shared" si="16"/>
        <v>20908.783195222659</v>
      </c>
      <c r="S32" s="53">
        <f t="shared" si="17"/>
        <v>13019.795493195386</v>
      </c>
      <c r="T32" s="53">
        <f t="shared" si="18"/>
        <v>19218.285830502526</v>
      </c>
      <c r="U32" s="53">
        <f t="shared" si="19"/>
        <v>19218.285830502526</v>
      </c>
      <c r="V32" s="55">
        <f>VLOOKUP($A32,'Car insurance'!$A$29:$K$80,6,FALSE)*$AZ$78+$AZ$29*VLOOKUP($A32,'Car insurance'!$A$29:$K$80,11,FALSE)</f>
        <v>37606.466667272784</v>
      </c>
      <c r="W32" s="53">
        <f>VLOOKUP($A32,'Car insurance'!$A$29:$K$80,8,FALSE)*$AZ$78+VLOOKUP('TCO Inputs'!A32,'Car insurance'!$A$29:$K$80,11,FALSE)*'TCO Inputs'!$BA$29</f>
        <v>44097.573272927606</v>
      </c>
      <c r="X32" s="53">
        <f>VLOOKUP($A32,'Car insurance'!$A$29:$K$80,10,FALSE)*$AZ$78+VLOOKUP($A32,'Car insurance'!$A$29:$K$80,11,FALSE)*'TCO Inputs'!$BB$29</f>
        <v>39188.681678734414</v>
      </c>
      <c r="Y32" s="53">
        <f>VLOOKUP($A32,'Car insurance'!$A$29:$K$80,10,FALSE)*$AZ$78+VLOOKUP($A32,'Car insurance'!$A$29:$K$80,11,FALSE)*'TCO Inputs'!$BC$29</f>
        <v>39436.046978734419</v>
      </c>
      <c r="Z32" s="53">
        <f t="shared" si="20"/>
        <v>0</v>
      </c>
      <c r="AA32" s="53">
        <f t="shared" si="21"/>
        <v>0</v>
      </c>
      <c r="AB32" s="53">
        <f t="shared" si="22"/>
        <v>0</v>
      </c>
      <c r="AC32" s="53">
        <f t="shared" si="23"/>
        <v>0</v>
      </c>
      <c r="AD32" s="65">
        <f t="shared" si="24"/>
        <v>99312.776365099766</v>
      </c>
      <c r="AE32" s="65">
        <f t="shared" si="25"/>
        <v>110179.62722430757</v>
      </c>
      <c r="AF32" s="65">
        <f t="shared" si="26"/>
        <v>94111.156391927288</v>
      </c>
      <c r="AG32" s="60">
        <f t="shared" si="27"/>
        <v>101858.4653767579</v>
      </c>
      <c r="AH32" s="144">
        <f t="shared" si="28"/>
        <v>0</v>
      </c>
      <c r="AI32" s="65">
        <f t="shared" si="29"/>
        <v>10866.8508592078</v>
      </c>
      <c r="AJ32" s="65">
        <f t="shared" si="30"/>
        <v>-5201.6199731724773</v>
      </c>
      <c r="AK32" s="60">
        <f t="shared" si="31"/>
        <v>2545.6890116581344</v>
      </c>
      <c r="AL32" s="65">
        <f t="shared" si="32"/>
        <v>32975</v>
      </c>
      <c r="AM32" s="65">
        <f t="shared" si="33"/>
        <v>2598.3233873593772</v>
      </c>
      <c r="AN32" s="65">
        <f t="shared" si="34"/>
        <v>30376.676612640622</v>
      </c>
      <c r="AO32" s="65">
        <f t="shared" si="35"/>
        <v>10670.921060817729</v>
      </c>
      <c r="AP32" s="65">
        <f t="shared" si="36"/>
        <v>18518.236375219894</v>
      </c>
      <c r="AQ32" s="65">
        <f>VLOOKUP($A32,'Car insurance'!$A$29:$K$80,8,FALSE)*$AZ$78+VLOOKUP('TCO Inputs'!A32,'Car insurance'!$A$29:$K$80,11,FALSE)*$BD$4</f>
        <v>43428.274772927609</v>
      </c>
      <c r="AR32" s="65">
        <v>0</v>
      </c>
      <c r="AS32" s="65">
        <f t="shared" si="37"/>
        <v>102994.10882160586</v>
      </c>
      <c r="AT32" s="60">
        <f t="shared" si="38"/>
        <v>3681.3324565060902</v>
      </c>
      <c r="AU32" s="65"/>
      <c r="AY32" s="51" t="s">
        <v>371</v>
      </c>
      <c r="AZ32" s="35">
        <f>AZ31*12</f>
        <v>60</v>
      </c>
      <c r="BA32" s="35">
        <f>BA31*12</f>
        <v>60</v>
      </c>
      <c r="BB32" s="35">
        <f>BB31*12</f>
        <v>60</v>
      </c>
      <c r="BC32" s="35">
        <f>BC31*12</f>
        <v>60</v>
      </c>
    </row>
    <row r="33" spans="1:56" hidden="1" outlineLevel="1" x14ac:dyDescent="0.25">
      <c r="A33" s="35" t="s">
        <v>214</v>
      </c>
      <c r="B33" s="53">
        <f t="shared" si="0"/>
        <v>27690</v>
      </c>
      <c r="C33" s="53">
        <f t="shared" si="1"/>
        <v>43070</v>
      </c>
      <c r="D33" s="53">
        <f t="shared" si="2"/>
        <v>28855</v>
      </c>
      <c r="E33" s="53">
        <f t="shared" si="3"/>
        <v>32586</v>
      </c>
      <c r="F33" s="53">
        <f t="shared" si="4"/>
        <v>3958.3882042800105</v>
      </c>
      <c r="G33" s="53">
        <f t="shared" si="5"/>
        <v>2102.4530573088114</v>
      </c>
      <c r="H33" s="53">
        <f t="shared" si="6"/>
        <v>3652.9124753923325</v>
      </c>
      <c r="I33" s="53">
        <f t="shared" si="7"/>
        <v>4125.2401983411737</v>
      </c>
      <c r="J33" s="55">
        <f t="shared" si="8"/>
        <v>23731.611795719989</v>
      </c>
      <c r="K33" s="55">
        <f t="shared" si="9"/>
        <v>40967.546942691188</v>
      </c>
      <c r="L33" s="55">
        <f t="shared" si="10"/>
        <v>25202.087524607668</v>
      </c>
      <c r="M33" s="53">
        <f t="shared" si="11"/>
        <v>28460.759801658827</v>
      </c>
      <c r="N33" s="53">
        <f t="shared" si="12"/>
        <v>23088.668303807346</v>
      </c>
      <c r="O33" s="53">
        <f t="shared" si="13"/>
        <v>16239.590688889051</v>
      </c>
      <c r="P33" s="53">
        <f t="shared" si="14"/>
        <v>14208.411263881444</v>
      </c>
      <c r="Q33" s="53">
        <f t="shared" si="15"/>
        <v>22987.237120015274</v>
      </c>
      <c r="R33" s="53">
        <f t="shared" si="16"/>
        <v>32663.260186812404</v>
      </c>
      <c r="S33" s="53">
        <f t="shared" si="17"/>
        <v>20339.249960298788</v>
      </c>
      <c r="T33" s="53">
        <f t="shared" si="18"/>
        <v>30022.400852559476</v>
      </c>
      <c r="U33" s="53">
        <f t="shared" si="19"/>
        <v>30022.400852559476</v>
      </c>
      <c r="V33" s="55">
        <f>VLOOKUP($A33,'Car insurance'!$A$29:$K$80,6,FALSE)*$AZ$78+$AZ$29*VLOOKUP($A33,'Car insurance'!$A$29:$K$80,11,FALSE)</f>
        <v>28256.599803816684</v>
      </c>
      <c r="W33" s="53">
        <f>VLOOKUP($A33,'Car insurance'!$A$29:$K$80,8,FALSE)*$AZ$78+VLOOKUP('TCO Inputs'!A33,'Car insurance'!$A$29:$K$80,11,FALSE)*'TCO Inputs'!$BA$29</f>
        <v>34011.611645492434</v>
      </c>
      <c r="X33" s="53">
        <f>VLOOKUP($A33,'Car insurance'!$A$29:$K$80,10,FALSE)*$AZ$78+VLOOKUP($A33,'Car insurance'!$A$29:$K$80,11,FALSE)*'TCO Inputs'!$BB$29</f>
        <v>29445.438329329376</v>
      </c>
      <c r="Y33" s="53">
        <f>VLOOKUP($A33,'Car insurance'!$A$29:$K$80,10,FALSE)*$AZ$78+VLOOKUP($A33,'Car insurance'!$A$29:$K$80,11,FALSE)*'TCO Inputs'!$BC$29</f>
        <v>29594.678329329374</v>
      </c>
      <c r="Z33" s="53">
        <f t="shared" si="20"/>
        <v>0</v>
      </c>
      <c r="AA33" s="53">
        <f t="shared" si="21"/>
        <v>0</v>
      </c>
      <c r="AB33" s="53">
        <f t="shared" si="22"/>
        <v>0</v>
      </c>
      <c r="AC33" s="53">
        <f t="shared" si="23"/>
        <v>0</v>
      </c>
      <c r="AD33" s="65">
        <f t="shared" si="24"/>
        <v>107740.14009015642</v>
      </c>
      <c r="AE33" s="65">
        <f t="shared" si="25"/>
        <v>111557.99923737146</v>
      </c>
      <c r="AF33" s="65">
        <f t="shared" si="26"/>
        <v>98878.337970377979</v>
      </c>
      <c r="AG33" s="60">
        <f t="shared" si="27"/>
        <v>111065.07610356294</v>
      </c>
      <c r="AH33" s="144">
        <f t="shared" si="28"/>
        <v>0</v>
      </c>
      <c r="AI33" s="65">
        <f t="shared" si="29"/>
        <v>3817.8591472150438</v>
      </c>
      <c r="AJ33" s="65">
        <f t="shared" si="30"/>
        <v>-8861.8021197784401</v>
      </c>
      <c r="AK33" s="60">
        <f t="shared" si="31"/>
        <v>3324.9360134065209</v>
      </c>
      <c r="AL33" s="65">
        <f t="shared" si="32"/>
        <v>32975</v>
      </c>
      <c r="AM33" s="65">
        <f t="shared" si="33"/>
        <v>2598.3233873593772</v>
      </c>
      <c r="AN33" s="65">
        <f t="shared" si="34"/>
        <v>30376.676612640622</v>
      </c>
      <c r="AO33" s="65">
        <f t="shared" si="35"/>
        <v>14351.344545877953</v>
      </c>
      <c r="AP33" s="65">
        <f t="shared" si="36"/>
        <v>28928.798356037478</v>
      </c>
      <c r="AQ33" s="65">
        <f>VLOOKUP($A33,'Car insurance'!$A$29:$K$80,8,FALSE)*$AZ$78+VLOOKUP('TCO Inputs'!A33,'Car insurance'!$A$29:$K$80,11,FALSE)*$BD$4</f>
        <v>33607.811645492431</v>
      </c>
      <c r="AR33" s="65">
        <v>0</v>
      </c>
      <c r="AS33" s="65">
        <f t="shared" si="37"/>
        <v>107264.63116004849</v>
      </c>
      <c r="AT33" s="60">
        <f t="shared" si="38"/>
        <v>-475.50893010792788</v>
      </c>
      <c r="AU33" s="65"/>
      <c r="AY33" s="51" t="s">
        <v>367</v>
      </c>
      <c r="AZ33" s="67">
        <f>PMT($AZ$43/12,AZ32,-AZ30,0)</f>
        <v>448.75907622508629</v>
      </c>
      <c r="BA33" s="67">
        <f>PMT($AZ$43/12,BA32,-BA30,0)</f>
        <v>698.01565232988321</v>
      </c>
      <c r="BB33" s="67">
        <f>PMT($AZ$43/12,BB32,-BB30,0)</f>
        <v>467.63969463614535</v>
      </c>
      <c r="BC33" s="67">
        <f>PMT($AZ$43/12,BC32,-BC30,0)</f>
        <v>528.10629316976019</v>
      </c>
    </row>
    <row r="34" spans="1:56" hidden="1" outlineLevel="1" x14ac:dyDescent="0.25">
      <c r="A34" s="35" t="s">
        <v>216</v>
      </c>
      <c r="B34" s="53">
        <f t="shared" si="0"/>
        <v>27690</v>
      </c>
      <c r="C34" s="53">
        <f t="shared" si="1"/>
        <v>43070</v>
      </c>
      <c r="D34" s="53">
        <f t="shared" si="2"/>
        <v>28855</v>
      </c>
      <c r="E34" s="53">
        <f t="shared" si="3"/>
        <v>32586</v>
      </c>
      <c r="F34" s="53">
        <f t="shared" si="4"/>
        <v>3958.3882042800105</v>
      </c>
      <c r="G34" s="53">
        <f t="shared" si="5"/>
        <v>2102.4530573088114</v>
      </c>
      <c r="H34" s="53">
        <f t="shared" si="6"/>
        <v>3652.9124753923325</v>
      </c>
      <c r="I34" s="53">
        <f t="shared" si="7"/>
        <v>4125.2401983411737</v>
      </c>
      <c r="J34" s="55">
        <f t="shared" si="8"/>
        <v>23731.611795719989</v>
      </c>
      <c r="K34" s="55">
        <f t="shared" si="9"/>
        <v>40967.546942691188</v>
      </c>
      <c r="L34" s="55">
        <f t="shared" si="10"/>
        <v>25202.087524607668</v>
      </c>
      <c r="M34" s="53">
        <f t="shared" si="11"/>
        <v>28460.759801658827</v>
      </c>
      <c r="N34" s="53">
        <f t="shared" si="12"/>
        <v>14381.621124210398</v>
      </c>
      <c r="O34" s="53">
        <f t="shared" si="13"/>
        <v>12352.677166593661</v>
      </c>
      <c r="P34" s="53">
        <f t="shared" si="14"/>
        <v>8850.2283841294775</v>
      </c>
      <c r="Q34" s="53">
        <f t="shared" si="15"/>
        <v>12424.391241454954</v>
      </c>
      <c r="R34" s="53">
        <f t="shared" si="16"/>
        <v>17335.040263053805</v>
      </c>
      <c r="S34" s="53">
        <f t="shared" si="17"/>
        <v>10794.443511320027</v>
      </c>
      <c r="T34" s="53">
        <f t="shared" si="18"/>
        <v>15933.483816253705</v>
      </c>
      <c r="U34" s="53">
        <f t="shared" si="19"/>
        <v>15933.483816253705</v>
      </c>
      <c r="V34" s="55">
        <f>VLOOKUP($A34,'Car insurance'!$A$29:$K$80,6,FALSE)*$AZ$78+$AZ$29*VLOOKUP($A34,'Car insurance'!$A$29:$K$80,11,FALSE)</f>
        <v>37375.620813241403</v>
      </c>
      <c r="W34" s="53">
        <f>VLOOKUP($A34,'Car insurance'!$A$29:$K$80,8,FALSE)*$AZ$78+VLOOKUP('TCO Inputs'!A34,'Car insurance'!$A$29:$K$80,11,FALSE)*'TCO Inputs'!$BA$29</f>
        <v>42467.431126958989</v>
      </c>
      <c r="X34" s="53">
        <f>VLOOKUP($A34,'Car insurance'!$A$29:$K$80,10,FALSE)*$AZ$78+VLOOKUP($A34,'Car insurance'!$A$29:$K$80,11,FALSE)*'TCO Inputs'!$BB$29</f>
        <v>38948.123458507784</v>
      </c>
      <c r="Y34" s="53">
        <f>VLOOKUP($A34,'Car insurance'!$A$29:$K$80,10,FALSE)*$AZ$78+VLOOKUP($A34,'Car insurance'!$A$29:$K$80,11,FALSE)*'TCO Inputs'!$BC$29</f>
        <v>39097.363458507789</v>
      </c>
      <c r="Z34" s="53">
        <f t="shared" si="20"/>
        <v>0</v>
      </c>
      <c r="AA34" s="53">
        <f t="shared" si="21"/>
        <v>0</v>
      </c>
      <c r="AB34" s="53">
        <f t="shared" si="22"/>
        <v>0</v>
      </c>
      <c r="AC34" s="53">
        <f t="shared" si="23"/>
        <v>0</v>
      </c>
      <c r="AD34" s="65">
        <f t="shared" si="24"/>
        <v>92823.893996225597</v>
      </c>
      <c r="AE34" s="65">
        <f t="shared" si="25"/>
        <v>106582.09874756387</v>
      </c>
      <c r="AF34" s="65">
        <f t="shared" si="26"/>
        <v>88933.923183498642</v>
      </c>
      <c r="AG34" s="60">
        <f t="shared" si="27"/>
        <v>95915.998317875274</v>
      </c>
      <c r="AH34" s="144">
        <f t="shared" si="28"/>
        <v>0</v>
      </c>
      <c r="AI34" s="65">
        <f t="shared" si="29"/>
        <v>13758.204751338271</v>
      </c>
      <c r="AJ34" s="65">
        <f t="shared" si="30"/>
        <v>-3889.970812726955</v>
      </c>
      <c r="AK34" s="60">
        <f t="shared" si="31"/>
        <v>3092.1043216496764</v>
      </c>
      <c r="AL34" s="65">
        <f t="shared" si="32"/>
        <v>32975</v>
      </c>
      <c r="AM34" s="65">
        <f t="shared" si="33"/>
        <v>2598.3233873593772</v>
      </c>
      <c r="AN34" s="65">
        <f t="shared" si="34"/>
        <v>30376.676612640622</v>
      </c>
      <c r="AO34" s="65">
        <f t="shared" si="35"/>
        <v>10013.090264647619</v>
      </c>
      <c r="AP34" s="65">
        <f t="shared" si="36"/>
        <v>15353.087272841938</v>
      </c>
      <c r="AQ34" s="65">
        <f>VLOOKUP($A34,'Car insurance'!$A$29:$K$80,8,FALSE)*$AZ$78+VLOOKUP('TCO Inputs'!A34,'Car insurance'!$A$29:$K$80,11,FALSE)*$BD$4</f>
        <v>42063.631126958986</v>
      </c>
      <c r="AR34" s="65">
        <v>0</v>
      </c>
      <c r="AS34" s="65">
        <f t="shared" si="37"/>
        <v>97806.485277089174</v>
      </c>
      <c r="AT34" s="60">
        <f t="shared" si="38"/>
        <v>4982.5912808635767</v>
      </c>
      <c r="AU34" s="65"/>
      <c r="AY34" s="51" t="s">
        <v>372</v>
      </c>
      <c r="AZ34" s="67">
        <f>AZ33*AZ32-AZ30</f>
        <v>2558.3445735051755</v>
      </c>
      <c r="BA34" s="67">
        <f>BA33*BA32-BA30</f>
        <v>3979.3391397929954</v>
      </c>
      <c r="BB34" s="67">
        <f>BB33*BB32-BB30</f>
        <v>2665.9816781687186</v>
      </c>
      <c r="BC34" s="67">
        <f>BC33*BC32-BC30</f>
        <v>3010.6975901856131</v>
      </c>
    </row>
    <row r="35" spans="1:56" hidden="1" outlineLevel="1" x14ac:dyDescent="0.25">
      <c r="A35" s="35" t="s">
        <v>209</v>
      </c>
      <c r="B35" s="53">
        <f t="shared" ref="B35:B53" si="39">$AZ$29</f>
        <v>27690</v>
      </c>
      <c r="C35" s="53">
        <f t="shared" ref="C35:C53" si="40">$BA$29+$AZ$21</f>
        <v>43070</v>
      </c>
      <c r="D35" s="53">
        <f t="shared" ref="D35:D53" si="41">$BB$29</f>
        <v>28855</v>
      </c>
      <c r="E35" s="53">
        <f t="shared" ref="E35:E53" si="42">$BC$29</f>
        <v>32586</v>
      </c>
      <c r="F35" s="53">
        <f t="shared" ref="F35:F53" si="43">$AZ$29*$AZ$53/((1+$AZ$41)^$AZ$52)</f>
        <v>3958.3882042800105</v>
      </c>
      <c r="G35" s="53">
        <f t="shared" ref="G35:G53" si="44">$BA$29*$BA$53/((1+$AZ$41)^$BA$52)</f>
        <v>2102.4530573088114</v>
      </c>
      <c r="H35" s="53">
        <f t="shared" ref="H35:H53" si="45">$BB$29*$BB$53/((1+$AZ$41)^$BB$52)</f>
        <v>3652.9124753923325</v>
      </c>
      <c r="I35" s="53">
        <f t="shared" ref="I35:I53" si="46">$BC$29*$BC$53/((1+$AZ$41)^$BC$52)</f>
        <v>4125.2401983411737</v>
      </c>
      <c r="J35" s="55">
        <f t="shared" ref="J35:J53" si="47">B35-F35</f>
        <v>23731.611795719989</v>
      </c>
      <c r="K35" s="55">
        <f t="shared" ref="K35:K53" si="48">C35-G35</f>
        <v>40967.546942691188</v>
      </c>
      <c r="L35" s="55">
        <f t="shared" ref="L35:L53" si="49">D35-H35</f>
        <v>25202.087524607668</v>
      </c>
      <c r="M35" s="53">
        <f t="shared" ref="M35:M53" si="50">E35-I35</f>
        <v>28460.759801658827</v>
      </c>
      <c r="N35" s="53">
        <f t="shared" ref="N35:N53" si="51">VLOOKUP($A35,$A$60:$V$110,22,FALSE)</f>
        <v>20331.097120598588</v>
      </c>
      <c r="O35" s="53">
        <f t="shared" ref="O35:O53" si="52">VLOOKUP($A35,$A$114:$V$164,22,FALSE)</f>
        <v>12439.892647144588</v>
      </c>
      <c r="P35" s="53">
        <f t="shared" ref="P35:P53" si="53">VLOOKUP($A35,$A$169:$V$219,22,FALSE)</f>
        <v>12511.444381906826</v>
      </c>
      <c r="Q35" s="53">
        <f t="shared" ref="Q35:Q53" si="54">VLOOKUP($A35,$A$224:$V$274,22,FALSE)</f>
        <v>19081.04984277386</v>
      </c>
      <c r="R35" s="53">
        <f t="shared" ref="R35:R53" si="55">VLOOKUP($A35,$A$281:$V$331,22,FALSE)</f>
        <v>27404.947590052499</v>
      </c>
      <c r="S35" s="53">
        <f t="shared" ref="S35:S53" si="56">VLOOKUP($A35,$A$337:$V$387,22,FALSE)</f>
        <v>17064.92481139439</v>
      </c>
      <c r="T35" s="53">
        <f t="shared" ref="T35:T53" si="57">VLOOKUP($A35,$A$393:$V$443,22,FALSE)</f>
        <v>25189.228423197183</v>
      </c>
      <c r="U35" s="53">
        <f t="shared" ref="U35:U53" si="58">VLOOKUP($A35,$A$449:$V$499,22,FALSE)</f>
        <v>25189.228423197183</v>
      </c>
      <c r="V35" s="55">
        <f>VLOOKUP($A35,'Car insurance'!$A$29:$K$80,6,FALSE)*$AZ$78+$AZ$29*VLOOKUP($A35,'Car insurance'!$A$29:$K$80,11,FALSE)</f>
        <v>20187.081850308292</v>
      </c>
      <c r="W35" s="53">
        <f>VLOOKUP($A35,'Car insurance'!$A$29:$K$80,8,FALSE)*$AZ$78+VLOOKUP('TCO Inputs'!A35,'Car insurance'!$A$29:$K$80,11,FALSE)*'TCO Inputs'!$BA$29</f>
        <v>22472.286052193234</v>
      </c>
      <c r="X35" s="53">
        <f>VLOOKUP($A35,'Car insurance'!$A$29:$K$80,10,FALSE)*$AZ$78+VLOOKUP($A35,'Car insurance'!$A$29:$K$80,11,FALSE)*'TCO Inputs'!$BB$29</f>
        <v>21036.411946213284</v>
      </c>
      <c r="Y35" s="53">
        <f>VLOOKUP($A35,'Car insurance'!$A$29:$K$80,10,FALSE)*$AZ$78+VLOOKUP($A35,'Car insurance'!$A$29:$K$80,11,FALSE)*'TCO Inputs'!$BC$29</f>
        <v>21148.341946213281</v>
      </c>
      <c r="Z35" s="53">
        <f t="shared" ref="Z35:Z53" si="59">IF($AZ$26="Yes",$AZ$34,0)</f>
        <v>0</v>
      </c>
      <c r="AA35" s="53">
        <f t="shared" ref="AA35:AA53" si="60">IF($AZ$26="Yes",$BA$34,0)</f>
        <v>0</v>
      </c>
      <c r="AB35" s="53">
        <f t="shared" ref="AB35:AB53" si="61">IF($AZ$26="Yes",$BB$34,0)</f>
        <v>0</v>
      </c>
      <c r="AC35" s="53">
        <f t="shared" ref="AC35:AC53" si="62">IF($AZ$26="Yes",$BC$34,0)</f>
        <v>0</v>
      </c>
      <c r="AD35" s="65">
        <f t="shared" si="24"/>
        <v>91654.738356679358</v>
      </c>
      <c r="AE35" s="65">
        <f t="shared" si="25"/>
        <v>92944.650453423397</v>
      </c>
      <c r="AF35" s="65">
        <f t="shared" si="26"/>
        <v>83939.172275924953</v>
      </c>
      <c r="AG35" s="60">
        <f t="shared" si="27"/>
        <v>93879.380013843154</v>
      </c>
      <c r="AH35" s="144">
        <f t="shared" si="28"/>
        <v>0</v>
      </c>
      <c r="AI35" s="65">
        <f t="shared" si="29"/>
        <v>1289.9120967440394</v>
      </c>
      <c r="AJ35" s="65">
        <f t="shared" si="30"/>
        <v>-7715.5660807544045</v>
      </c>
      <c r="AK35" s="60">
        <f t="shared" si="31"/>
        <v>2224.6416571637965</v>
      </c>
      <c r="AL35" s="65">
        <f t="shared" si="32"/>
        <v>32975</v>
      </c>
      <c r="AM35" s="65">
        <f t="shared" si="33"/>
        <v>2598.3233873593772</v>
      </c>
      <c r="AN35" s="65">
        <f t="shared" si="34"/>
        <v>30376.676612640622</v>
      </c>
      <c r="AO35" s="65">
        <f t="shared" si="35"/>
        <v>11765.810454379107</v>
      </c>
      <c r="AP35" s="65">
        <f t="shared" si="36"/>
        <v>24271.680115706553</v>
      </c>
      <c r="AQ35" s="65">
        <f>VLOOKUP($A35,'Car insurance'!$A$29:$K$80,8,FALSE)*$AZ$78+VLOOKUP('TCO Inputs'!A35,'Car insurance'!$A$29:$K$80,11,FALSE)*$BD$4</f>
        <v>22169.436052193236</v>
      </c>
      <c r="AR35" s="65">
        <v>0</v>
      </c>
      <c r="AS35" s="65">
        <f t="shared" si="37"/>
        <v>88583.603234919516</v>
      </c>
      <c r="AT35" s="60">
        <f t="shared" si="38"/>
        <v>-3071.1351217598421</v>
      </c>
      <c r="AU35" s="65"/>
    </row>
    <row r="36" spans="1:56" hidden="1" outlineLevel="1" x14ac:dyDescent="0.25">
      <c r="A36" s="35" t="s">
        <v>210</v>
      </c>
      <c r="B36" s="53">
        <f t="shared" si="39"/>
        <v>27690</v>
      </c>
      <c r="C36" s="53">
        <f t="shared" si="40"/>
        <v>43070</v>
      </c>
      <c r="D36" s="53">
        <f t="shared" si="41"/>
        <v>28855</v>
      </c>
      <c r="E36" s="53">
        <f t="shared" si="42"/>
        <v>32586</v>
      </c>
      <c r="F36" s="53">
        <f t="shared" si="43"/>
        <v>3958.3882042800105</v>
      </c>
      <c r="G36" s="53">
        <f t="shared" si="44"/>
        <v>2102.4530573088114</v>
      </c>
      <c r="H36" s="53">
        <f t="shared" si="45"/>
        <v>3652.9124753923325</v>
      </c>
      <c r="I36" s="53">
        <f t="shared" si="46"/>
        <v>4125.2401983411737</v>
      </c>
      <c r="J36" s="55">
        <f t="shared" si="47"/>
        <v>23731.611795719989</v>
      </c>
      <c r="K36" s="55">
        <f t="shared" si="48"/>
        <v>40967.546942691188</v>
      </c>
      <c r="L36" s="55">
        <f t="shared" si="49"/>
        <v>25202.087524607668</v>
      </c>
      <c r="M36" s="53">
        <f t="shared" si="50"/>
        <v>28460.759801658827</v>
      </c>
      <c r="N36" s="53">
        <f t="shared" si="51"/>
        <v>24052.777779784366</v>
      </c>
      <c r="O36" s="53">
        <f t="shared" si="52"/>
        <v>14897.086028813781</v>
      </c>
      <c r="P36" s="53">
        <f t="shared" si="53"/>
        <v>14801.709402944225</v>
      </c>
      <c r="Q36" s="53">
        <f t="shared" si="54"/>
        <v>22005.446089255274</v>
      </c>
      <c r="R36" s="53">
        <f t="shared" si="55"/>
        <v>30129.585569826279</v>
      </c>
      <c r="S36" s="53">
        <f t="shared" si="56"/>
        <v>18761.543354827994</v>
      </c>
      <c r="T36" s="53">
        <f t="shared" si="57"/>
        <v>27693.576523755215</v>
      </c>
      <c r="U36" s="53">
        <f t="shared" si="58"/>
        <v>27693.576523755215</v>
      </c>
      <c r="V36" s="55">
        <f>VLOOKUP($A36,'Car insurance'!$A$29:$K$80,6,FALSE)*$AZ$78+$AZ$29*VLOOKUP($A36,'Car insurance'!$A$29:$K$80,11,FALSE)</f>
        <v>27704.497893868986</v>
      </c>
      <c r="W36" s="53">
        <f>VLOOKUP($A36,'Car insurance'!$A$29:$K$80,8,FALSE)*$AZ$78+VLOOKUP('TCO Inputs'!A36,'Car insurance'!$A$29:$K$80,11,FALSE)*'TCO Inputs'!$BA$29</f>
        <v>33613.309735544732</v>
      </c>
      <c r="X36" s="53">
        <f>VLOOKUP($A36,'Car insurance'!$A$29:$K$80,10,FALSE)*$AZ$78+VLOOKUP($A36,'Car insurance'!$A$29:$K$80,11,FALSE)*'TCO Inputs'!$BB$29</f>
        <v>28870.10786304043</v>
      </c>
      <c r="Y36" s="53">
        <f>VLOOKUP($A36,'Car insurance'!$A$29:$K$80,10,FALSE)*$AZ$78+VLOOKUP($A36,'Car insurance'!$A$29:$K$80,11,FALSE)*'TCO Inputs'!$BC$29</f>
        <v>29056.657863040429</v>
      </c>
      <c r="Z36" s="53">
        <f t="shared" si="59"/>
        <v>0</v>
      </c>
      <c r="AA36" s="53">
        <f t="shared" si="60"/>
        <v>0</v>
      </c>
      <c r="AB36" s="53">
        <f t="shared" si="61"/>
        <v>0</v>
      </c>
      <c r="AC36" s="53">
        <f t="shared" si="62"/>
        <v>0</v>
      </c>
      <c r="AD36" s="65">
        <f t="shared" si="24"/>
        <v>105618.47303919963</v>
      </c>
      <c r="AE36" s="65">
        <f t="shared" si="25"/>
        <v>108239.48606187769</v>
      </c>
      <c r="AF36" s="65">
        <f t="shared" si="26"/>
        <v>96567.481314347533</v>
      </c>
      <c r="AG36" s="60">
        <f t="shared" si="27"/>
        <v>107216.44027770974</v>
      </c>
      <c r="AH36" s="144">
        <f t="shared" si="28"/>
        <v>0</v>
      </c>
      <c r="AI36" s="65">
        <f t="shared" si="29"/>
        <v>2621.0130226780602</v>
      </c>
      <c r="AJ36" s="65">
        <f t="shared" si="30"/>
        <v>-9050.9917248520942</v>
      </c>
      <c r="AK36" s="60">
        <f t="shared" si="31"/>
        <v>1597.9672385101148</v>
      </c>
      <c r="AL36" s="65">
        <f t="shared" si="32"/>
        <v>32975</v>
      </c>
      <c r="AM36" s="65">
        <f t="shared" si="33"/>
        <v>2598.3233873593772</v>
      </c>
      <c r="AN36" s="65">
        <f t="shared" si="34"/>
        <v>30376.676612640622</v>
      </c>
      <c r="AO36" s="65">
        <f t="shared" si="35"/>
        <v>13994.222313519915</v>
      </c>
      <c r="AP36" s="65">
        <f t="shared" si="36"/>
        <v>26684.804288225623</v>
      </c>
      <c r="AQ36" s="65">
        <f>VLOOKUP($A36,'Car insurance'!$A$29:$K$80,8,FALSE)*$AZ$78+VLOOKUP('TCO Inputs'!A36,'Car insurance'!$A$29:$K$80,11,FALSE)*$BD$4</f>
        <v>33108.559735544732</v>
      </c>
      <c r="AR36" s="65">
        <v>0</v>
      </c>
      <c r="AS36" s="65">
        <f t="shared" si="37"/>
        <v>104164.26294993088</v>
      </c>
      <c r="AT36" s="60">
        <f t="shared" si="38"/>
        <v>-1454.2100892687449</v>
      </c>
      <c r="AU36" s="65"/>
    </row>
    <row r="37" spans="1:56" hidden="1" outlineLevel="1" x14ac:dyDescent="0.25">
      <c r="A37" s="35" t="s">
        <v>217</v>
      </c>
      <c r="B37" s="53">
        <f t="shared" si="39"/>
        <v>27690</v>
      </c>
      <c r="C37" s="53">
        <f t="shared" si="40"/>
        <v>43070</v>
      </c>
      <c r="D37" s="53">
        <f t="shared" si="41"/>
        <v>28855</v>
      </c>
      <c r="E37" s="53">
        <f t="shared" si="42"/>
        <v>32586</v>
      </c>
      <c r="F37" s="53">
        <f t="shared" si="43"/>
        <v>3958.3882042800105</v>
      </c>
      <c r="G37" s="53">
        <f t="shared" si="44"/>
        <v>2102.4530573088114</v>
      </c>
      <c r="H37" s="53">
        <f t="shared" si="45"/>
        <v>3652.9124753923325</v>
      </c>
      <c r="I37" s="53">
        <f t="shared" si="46"/>
        <v>4125.2401983411737</v>
      </c>
      <c r="J37" s="55">
        <f t="shared" si="47"/>
        <v>23731.611795719989</v>
      </c>
      <c r="K37" s="55">
        <f t="shared" si="48"/>
        <v>40967.546942691188</v>
      </c>
      <c r="L37" s="55">
        <f t="shared" si="49"/>
        <v>25202.087524607668</v>
      </c>
      <c r="M37" s="53">
        <f t="shared" si="50"/>
        <v>28460.759801658827</v>
      </c>
      <c r="N37" s="53">
        <f t="shared" si="51"/>
        <v>18853.742286679317</v>
      </c>
      <c r="O37" s="53">
        <f t="shared" si="52"/>
        <v>12935.080347317693</v>
      </c>
      <c r="P37" s="53">
        <f t="shared" si="53"/>
        <v>11602.302945648811</v>
      </c>
      <c r="Q37" s="53">
        <f t="shared" si="54"/>
        <v>17248.943688280884</v>
      </c>
      <c r="R37" s="53">
        <f t="shared" si="55"/>
        <v>24344.418695375447</v>
      </c>
      <c r="S37" s="53">
        <f t="shared" si="56"/>
        <v>15159.148662794076</v>
      </c>
      <c r="T37" s="53">
        <f t="shared" si="57"/>
        <v>22376.146545536583</v>
      </c>
      <c r="U37" s="53">
        <f t="shared" si="58"/>
        <v>22376.146545536583</v>
      </c>
      <c r="V37" s="55">
        <f>VLOOKUP($A37,'Car insurance'!$A$29:$K$80,6,FALSE)*$AZ$78+$AZ$29*VLOOKUP($A37,'Car insurance'!$A$29:$K$80,11,FALSE)</f>
        <v>21445.957996276913</v>
      </c>
      <c r="W37" s="53">
        <f>VLOOKUP($A37,'Car insurance'!$A$29:$K$80,8,FALSE)*$AZ$78+VLOOKUP('TCO Inputs'!A37,'Car insurance'!$A$29:$K$80,11,FALSE)*'TCO Inputs'!$BA$29</f>
        <v>25977.916400046801</v>
      </c>
      <c r="X37" s="53">
        <f>VLOOKUP($A37,'Car insurance'!$A$29:$K$80,10,FALSE)*$AZ$78+VLOOKUP($A37,'Car insurance'!$A$29:$K$80,11,FALSE)*'TCO Inputs'!$BB$29</f>
        <v>22348.252725986644</v>
      </c>
      <c r="Y37" s="53">
        <f>VLOOKUP($A37,'Car insurance'!$A$29:$K$80,10,FALSE)*$AZ$78+VLOOKUP($A37,'Car insurance'!$A$29:$K$80,11,FALSE)*'TCO Inputs'!$BC$29</f>
        <v>22562.785225986645</v>
      </c>
      <c r="Z37" s="53">
        <f t="shared" si="59"/>
        <v>0</v>
      </c>
      <c r="AA37" s="53">
        <f t="shared" si="60"/>
        <v>0</v>
      </c>
      <c r="AB37" s="53">
        <f t="shared" si="61"/>
        <v>0</v>
      </c>
      <c r="AC37" s="53">
        <f t="shared" si="62"/>
        <v>0</v>
      </c>
      <c r="AD37" s="65">
        <f t="shared" si="24"/>
        <v>88375.730774051655</v>
      </c>
      <c r="AE37" s="65">
        <f t="shared" si="25"/>
        <v>95039.692352849757</v>
      </c>
      <c r="AF37" s="65">
        <f t="shared" si="26"/>
        <v>81528.789741779707</v>
      </c>
      <c r="AG37" s="60">
        <f t="shared" si="27"/>
        <v>90648.635261462943</v>
      </c>
      <c r="AH37" s="144">
        <f t="shared" si="28"/>
        <v>0</v>
      </c>
      <c r="AI37" s="65">
        <f t="shared" si="29"/>
        <v>6663.961578798102</v>
      </c>
      <c r="AJ37" s="65">
        <f t="shared" si="30"/>
        <v>-6846.9410322719486</v>
      </c>
      <c r="AK37" s="60">
        <f t="shared" si="31"/>
        <v>2272.9044874112878</v>
      </c>
      <c r="AL37" s="65">
        <f t="shared" si="32"/>
        <v>32975</v>
      </c>
      <c r="AM37" s="65">
        <f t="shared" si="33"/>
        <v>2598.3233873593772</v>
      </c>
      <c r="AN37" s="65">
        <f t="shared" si="34"/>
        <v>30376.676612640622</v>
      </c>
      <c r="AO37" s="65">
        <f t="shared" si="35"/>
        <v>11571.420922400561</v>
      </c>
      <c r="AP37" s="65">
        <f t="shared" si="36"/>
        <v>21561.068169729242</v>
      </c>
      <c r="AQ37" s="65">
        <f>VLOOKUP($A37,'Car insurance'!$A$29:$K$80,8,FALSE)*$AZ$78+VLOOKUP('TCO Inputs'!A37,'Car insurance'!$A$29:$K$80,11,FALSE)*$BD$4</f>
        <v>25397.453900046799</v>
      </c>
      <c r="AR37" s="65">
        <v>0</v>
      </c>
      <c r="AS37" s="65">
        <f t="shared" si="37"/>
        <v>88906.619604817213</v>
      </c>
      <c r="AT37" s="60">
        <f t="shared" si="38"/>
        <v>530.88883076555794</v>
      </c>
      <c r="AU37" s="65"/>
      <c r="AY37" s="61" t="s">
        <v>316</v>
      </c>
      <c r="AZ37" s="62"/>
      <c r="BA37" s="63"/>
    </row>
    <row r="38" spans="1:56" hidden="1" outlineLevel="1" x14ac:dyDescent="0.25">
      <c r="A38" s="35" t="s">
        <v>218</v>
      </c>
      <c r="B38" s="53">
        <f t="shared" si="39"/>
        <v>27690</v>
      </c>
      <c r="C38" s="53">
        <f t="shared" si="40"/>
        <v>43070</v>
      </c>
      <c r="D38" s="53">
        <f t="shared" si="41"/>
        <v>28855</v>
      </c>
      <c r="E38" s="53">
        <f t="shared" si="42"/>
        <v>32586</v>
      </c>
      <c r="F38" s="53">
        <f t="shared" si="43"/>
        <v>3958.3882042800105</v>
      </c>
      <c r="G38" s="53">
        <f t="shared" si="44"/>
        <v>2102.4530573088114</v>
      </c>
      <c r="H38" s="53">
        <f t="shared" si="45"/>
        <v>3652.9124753923325</v>
      </c>
      <c r="I38" s="53">
        <f t="shared" si="46"/>
        <v>4125.2401983411737</v>
      </c>
      <c r="J38" s="55">
        <f t="shared" si="47"/>
        <v>23731.611795719989</v>
      </c>
      <c r="K38" s="55">
        <f t="shared" si="48"/>
        <v>40967.546942691188</v>
      </c>
      <c r="L38" s="55">
        <f t="shared" si="49"/>
        <v>25202.087524607668</v>
      </c>
      <c r="M38" s="53">
        <f t="shared" si="50"/>
        <v>28460.759801658827</v>
      </c>
      <c r="N38" s="53">
        <f t="shared" si="51"/>
        <v>23168.64286615896</v>
      </c>
      <c r="O38" s="53">
        <f t="shared" si="52"/>
        <v>13328.223268699909</v>
      </c>
      <c r="P38" s="53">
        <f t="shared" si="53"/>
        <v>14257.626379174748</v>
      </c>
      <c r="Q38" s="53">
        <f t="shared" si="54"/>
        <v>21196.567241434044</v>
      </c>
      <c r="R38" s="53">
        <f t="shared" si="55"/>
        <v>30177.326410523186</v>
      </c>
      <c r="S38" s="53">
        <f t="shared" si="56"/>
        <v>18791.27133931869</v>
      </c>
      <c r="T38" s="53">
        <f t="shared" si="57"/>
        <v>27737.457466693653</v>
      </c>
      <c r="U38" s="53">
        <f t="shared" si="58"/>
        <v>27737.457466693653</v>
      </c>
      <c r="V38" s="55">
        <f>VLOOKUP($A38,'Car insurance'!$A$29:$K$80,6,FALSE)*$AZ$78+$AZ$29*VLOOKUP($A38,'Car insurance'!$A$29:$K$80,11,FALSE)</f>
        <v>33188.736645492434</v>
      </c>
      <c r="W38" s="53">
        <f>VLOOKUP($A38,'Car insurance'!$A$29:$K$80,8,FALSE)*$AZ$78+VLOOKUP('TCO Inputs'!A38,'Car insurance'!$A$29:$K$80,11,FALSE)*'TCO Inputs'!$BA$29</f>
        <v>39657.400397115889</v>
      </c>
      <c r="X38" s="53">
        <f>VLOOKUP($A38,'Car insurance'!$A$29:$K$80,10,FALSE)*$AZ$78+VLOOKUP($A38,'Car insurance'!$A$29:$K$80,11,FALSE)*'TCO Inputs'!$BB$29</f>
        <v>34585.08472032084</v>
      </c>
      <c r="Y38" s="53">
        <f>VLOOKUP($A38,'Car insurance'!$A$29:$K$80,10,FALSE)*$AZ$78+VLOOKUP($A38,'Car insurance'!$A$29:$K$80,11,FALSE)*'TCO Inputs'!$BC$29</f>
        <v>34706.342220320839</v>
      </c>
      <c r="Z38" s="53">
        <f t="shared" si="59"/>
        <v>0</v>
      </c>
      <c r="AA38" s="53">
        <f t="shared" si="60"/>
        <v>0</v>
      </c>
      <c r="AB38" s="53">
        <f t="shared" si="61"/>
        <v>0</v>
      </c>
      <c r="AC38" s="53">
        <f t="shared" si="62"/>
        <v>0</v>
      </c>
      <c r="AD38" s="65">
        <f t="shared" si="24"/>
        <v>110266.31771789456</v>
      </c>
      <c r="AE38" s="65">
        <f t="shared" si="25"/>
        <v>112744.44194782566</v>
      </c>
      <c r="AF38" s="65">
        <f t="shared" si="26"/>
        <v>101782.25609079692</v>
      </c>
      <c r="AG38" s="60">
        <f t="shared" si="27"/>
        <v>112101.12673010735</v>
      </c>
      <c r="AH38" s="144">
        <f t="shared" si="28"/>
        <v>0</v>
      </c>
      <c r="AI38" s="65">
        <f t="shared" si="29"/>
        <v>2478.1242299310979</v>
      </c>
      <c r="AJ38" s="65">
        <f t="shared" si="30"/>
        <v>-8484.0616270976461</v>
      </c>
      <c r="AK38" s="60">
        <f t="shared" si="31"/>
        <v>1834.8090122127905</v>
      </c>
      <c r="AL38" s="65">
        <f t="shared" si="32"/>
        <v>32975</v>
      </c>
      <c r="AM38" s="65">
        <f t="shared" si="33"/>
        <v>2598.3233873593772</v>
      </c>
      <c r="AN38" s="65">
        <f t="shared" si="34"/>
        <v>30376.676612640622</v>
      </c>
      <c r="AO38" s="65">
        <f t="shared" si="35"/>
        <v>13005.788209847164</v>
      </c>
      <c r="AP38" s="65">
        <f t="shared" si="36"/>
        <v>26727.086814402428</v>
      </c>
      <c r="AQ38" s="65">
        <f>VLOOKUP($A38,'Car insurance'!$A$29:$K$80,8,FALSE)*$AZ$78+VLOOKUP('TCO Inputs'!A38,'Car insurance'!$A$29:$K$80,11,FALSE)*$BD$4</f>
        <v>39329.312897115888</v>
      </c>
      <c r="AR38" s="65">
        <v>0</v>
      </c>
      <c r="AS38" s="65">
        <f t="shared" si="37"/>
        <v>109438.8645340061</v>
      </c>
      <c r="AT38" s="60">
        <f t="shared" si="38"/>
        <v>-827.45318388845772</v>
      </c>
      <c r="AU38" s="65"/>
      <c r="AY38" s="37" t="s">
        <v>306</v>
      </c>
      <c r="AZ38" s="37" t="s">
        <v>298</v>
      </c>
      <c r="BA38" s="37" t="s">
        <v>299</v>
      </c>
    </row>
    <row r="39" spans="1:56" hidden="1" outlineLevel="1" x14ac:dyDescent="0.25">
      <c r="A39" s="35" t="s">
        <v>219</v>
      </c>
      <c r="B39" s="53">
        <f t="shared" si="39"/>
        <v>27690</v>
      </c>
      <c r="C39" s="53">
        <f t="shared" si="40"/>
        <v>43070</v>
      </c>
      <c r="D39" s="53">
        <f t="shared" si="41"/>
        <v>28855</v>
      </c>
      <c r="E39" s="53">
        <f t="shared" si="42"/>
        <v>32586</v>
      </c>
      <c r="F39" s="53">
        <f t="shared" si="43"/>
        <v>3958.3882042800105</v>
      </c>
      <c r="G39" s="53">
        <f t="shared" si="44"/>
        <v>2102.4530573088114</v>
      </c>
      <c r="H39" s="53">
        <f t="shared" si="45"/>
        <v>3652.9124753923325</v>
      </c>
      <c r="I39" s="53">
        <f t="shared" si="46"/>
        <v>4125.2401983411737</v>
      </c>
      <c r="J39" s="55">
        <f t="shared" si="47"/>
        <v>23731.611795719989</v>
      </c>
      <c r="K39" s="55">
        <f t="shared" si="48"/>
        <v>40967.546942691188</v>
      </c>
      <c r="L39" s="55">
        <f t="shared" si="49"/>
        <v>25202.087524607668</v>
      </c>
      <c r="M39" s="53">
        <f t="shared" si="50"/>
        <v>28460.759801658827</v>
      </c>
      <c r="N39" s="53">
        <f t="shared" si="51"/>
        <v>21755.248749453764</v>
      </c>
      <c r="O39" s="53">
        <f t="shared" si="52"/>
        <v>10108.217643092512</v>
      </c>
      <c r="P39" s="53">
        <f t="shared" si="53"/>
        <v>13387.845384279241</v>
      </c>
      <c r="Q39" s="53">
        <f t="shared" si="54"/>
        <v>14831.333432380752</v>
      </c>
      <c r="R39" s="53">
        <f t="shared" si="55"/>
        <v>20832.056844102623</v>
      </c>
      <c r="S39" s="53">
        <f t="shared" si="56"/>
        <v>12972.018375263902</v>
      </c>
      <c r="T39" s="53">
        <f t="shared" si="57"/>
        <v>19147.762886494322</v>
      </c>
      <c r="U39" s="53">
        <f t="shared" si="58"/>
        <v>19147.762886494322</v>
      </c>
      <c r="V39" s="55">
        <f>VLOOKUP($A39,'Car insurance'!$A$29:$K$80,6,FALSE)*$AZ$78+$AZ$29*VLOOKUP($A39,'Car insurance'!$A$29:$K$80,11,FALSE)</f>
        <v>24661.994073973579</v>
      </c>
      <c r="W39" s="53">
        <f>VLOOKUP($A39,'Car insurance'!$A$29:$K$80,8,FALSE)*$AZ$78+VLOOKUP('TCO Inputs'!A39,'Car insurance'!$A$29:$K$80,11,FALSE)*'TCO Inputs'!$BA$29</f>
        <v>28807.003623712088</v>
      </c>
      <c r="X39" s="53">
        <f>VLOOKUP($A39,'Car insurance'!$A$29:$K$80,10,FALSE)*$AZ$78+VLOOKUP($A39,'Car insurance'!$A$29:$K$80,11,FALSE)*'TCO Inputs'!$BB$29</f>
        <v>25699.596930462536</v>
      </c>
      <c r="Y39" s="53">
        <f>VLOOKUP($A39,'Car insurance'!$A$29:$K$80,10,FALSE)*$AZ$78+VLOOKUP($A39,'Car insurance'!$A$29:$K$80,11,FALSE)*'TCO Inputs'!$BC$29</f>
        <v>25699.596930462536</v>
      </c>
      <c r="Z39" s="53">
        <f t="shared" si="59"/>
        <v>0</v>
      </c>
      <c r="AA39" s="53">
        <f t="shared" si="60"/>
        <v>0</v>
      </c>
      <c r="AB39" s="53">
        <f t="shared" si="61"/>
        <v>0</v>
      </c>
      <c r="AC39" s="53">
        <f t="shared" si="62"/>
        <v>0</v>
      </c>
      <c r="AD39" s="65">
        <f t="shared" si="24"/>
        <v>90980.911463249955</v>
      </c>
      <c r="AE39" s="65">
        <f t="shared" si="25"/>
        <v>92854.786584759684</v>
      </c>
      <c r="AF39" s="65">
        <f t="shared" si="26"/>
        <v>83437.29272584377</v>
      </c>
      <c r="AG39" s="60">
        <f t="shared" si="27"/>
        <v>88139.453050996439</v>
      </c>
      <c r="AH39" s="144">
        <f t="shared" si="28"/>
        <v>0</v>
      </c>
      <c r="AI39" s="65">
        <f t="shared" si="29"/>
        <v>1873.8751215097291</v>
      </c>
      <c r="AJ39" s="65">
        <f t="shared" si="30"/>
        <v>-7543.6187374061847</v>
      </c>
      <c r="AK39" s="60">
        <f t="shared" si="31"/>
        <v>-2841.4584122535161</v>
      </c>
      <c r="AL39" s="65">
        <f t="shared" si="32"/>
        <v>32975</v>
      </c>
      <c r="AM39" s="65">
        <f t="shared" si="33"/>
        <v>2598.3233873593772</v>
      </c>
      <c r="AN39" s="65">
        <f t="shared" si="34"/>
        <v>30376.676612640622</v>
      </c>
      <c r="AO39" s="65">
        <f t="shared" si="35"/>
        <v>11105.377861235793</v>
      </c>
      <c r="AP39" s="65">
        <f t="shared" si="36"/>
        <v>18450.282315292894</v>
      </c>
      <c r="AQ39" s="65">
        <f>VLOOKUP($A39,'Car insurance'!$A$29:$K$80,8,FALSE)*$AZ$78+VLOOKUP('TCO Inputs'!A39,'Car insurance'!$A$29:$K$80,11,FALSE)*$BD$4</f>
        <v>28807.003623712088</v>
      </c>
      <c r="AR39" s="65">
        <v>0</v>
      </c>
      <c r="AS39" s="65">
        <f t="shared" si="37"/>
        <v>88739.3404128814</v>
      </c>
      <c r="AT39" s="60">
        <f t="shared" si="38"/>
        <v>-2241.571050368555</v>
      </c>
      <c r="AU39" s="65"/>
      <c r="AY39" s="38" t="s">
        <v>297</v>
      </c>
      <c r="AZ39" s="36">
        <v>0.02</v>
      </c>
      <c r="BA39" s="36">
        <v>0.02</v>
      </c>
    </row>
    <row r="40" spans="1:56" hidden="1" outlineLevel="1" x14ac:dyDescent="0.25">
      <c r="A40" s="35" t="s">
        <v>220</v>
      </c>
      <c r="B40" s="53">
        <f t="shared" si="39"/>
        <v>27690</v>
      </c>
      <c r="C40" s="53">
        <f t="shared" si="40"/>
        <v>43070</v>
      </c>
      <c r="D40" s="53">
        <f t="shared" si="41"/>
        <v>28855</v>
      </c>
      <c r="E40" s="53">
        <f t="shared" si="42"/>
        <v>32586</v>
      </c>
      <c r="F40" s="53">
        <f t="shared" si="43"/>
        <v>3958.3882042800105</v>
      </c>
      <c r="G40" s="53">
        <f t="shared" si="44"/>
        <v>2102.4530573088114</v>
      </c>
      <c r="H40" s="53">
        <f t="shared" si="45"/>
        <v>3652.9124753923325</v>
      </c>
      <c r="I40" s="53">
        <f t="shared" si="46"/>
        <v>4125.2401983411737</v>
      </c>
      <c r="J40" s="55">
        <f t="shared" si="47"/>
        <v>23731.611795719989</v>
      </c>
      <c r="K40" s="55">
        <f t="shared" si="48"/>
        <v>40967.546942691188</v>
      </c>
      <c r="L40" s="55">
        <f t="shared" si="49"/>
        <v>25202.087524607668</v>
      </c>
      <c r="M40" s="53">
        <f t="shared" si="50"/>
        <v>28460.759801658827</v>
      </c>
      <c r="N40" s="53">
        <f t="shared" si="51"/>
        <v>16050.768084013602</v>
      </c>
      <c r="O40" s="53">
        <f t="shared" si="52"/>
        <v>11277.885067746691</v>
      </c>
      <c r="P40" s="53">
        <f t="shared" si="53"/>
        <v>9877.3957440083705</v>
      </c>
      <c r="Q40" s="53">
        <f t="shared" si="54"/>
        <v>13866.37992193611</v>
      </c>
      <c r="R40" s="53">
        <f t="shared" si="55"/>
        <v>19514.068634862866</v>
      </c>
      <c r="S40" s="53">
        <f t="shared" si="56"/>
        <v>12151.313660574182</v>
      </c>
      <c r="T40" s="53">
        <f t="shared" si="57"/>
        <v>17936.33542608672</v>
      </c>
      <c r="U40" s="53">
        <f t="shared" si="58"/>
        <v>17936.33542608672</v>
      </c>
      <c r="V40" s="55">
        <f>VLOOKUP($A40,'Car insurance'!$A$29:$K$80,6,FALSE)*$AZ$78+$AZ$29*VLOOKUP($A40,'Car insurance'!$A$29:$K$80,11,FALSE)</f>
        <v>31297.405533659792</v>
      </c>
      <c r="W40" s="53">
        <f>VLOOKUP($A40,'Car insurance'!$A$29:$K$80,8,FALSE)*$AZ$78+VLOOKUP('TCO Inputs'!A40,'Car insurance'!$A$29:$K$80,11,FALSE)*'TCO Inputs'!$BA$29</f>
        <v>38354.819667272779</v>
      </c>
      <c r="X40" s="53">
        <f>VLOOKUP($A40,'Car insurance'!$A$29:$K$80,10,FALSE)*$AZ$78+VLOOKUP($A40,'Car insurance'!$A$29:$K$80,11,FALSE)*'TCO Inputs'!$BB$29</f>
        <v>32614.179728196217</v>
      </c>
      <c r="Y40" s="53">
        <f>VLOOKUP($A40,'Car insurance'!$A$29:$K$80,10,FALSE)*$AZ$78+VLOOKUP($A40,'Car insurance'!$A$29:$K$80,11,FALSE)*'TCO Inputs'!$BC$29</f>
        <v>32838.039728196221</v>
      </c>
      <c r="Z40" s="53">
        <f t="shared" si="59"/>
        <v>0</v>
      </c>
      <c r="AA40" s="53">
        <f t="shared" si="60"/>
        <v>0</v>
      </c>
      <c r="AB40" s="53">
        <f t="shared" si="61"/>
        <v>0</v>
      </c>
      <c r="AC40" s="53">
        <f t="shared" si="62"/>
        <v>0</v>
      </c>
      <c r="AD40" s="65">
        <f t="shared" si="24"/>
        <v>90593.854048256253</v>
      </c>
      <c r="AE40" s="65">
        <f t="shared" si="25"/>
        <v>102751.56533828484</v>
      </c>
      <c r="AF40" s="65">
        <f t="shared" si="26"/>
        <v>85629.998422898978</v>
      </c>
      <c r="AG40" s="60">
        <f t="shared" si="27"/>
        <v>93101.514877877882</v>
      </c>
      <c r="AH40" s="144">
        <f t="shared" si="28"/>
        <v>0</v>
      </c>
      <c r="AI40" s="65">
        <f t="shared" si="29"/>
        <v>12157.711290028587</v>
      </c>
      <c r="AJ40" s="65">
        <f t="shared" si="30"/>
        <v>-4963.8556253572751</v>
      </c>
      <c r="AK40" s="60">
        <f t="shared" si="31"/>
        <v>2507.6608296216291</v>
      </c>
      <c r="AL40" s="65">
        <f t="shared" si="32"/>
        <v>32975</v>
      </c>
      <c r="AM40" s="65">
        <f t="shared" si="33"/>
        <v>2598.3233873593772</v>
      </c>
      <c r="AN40" s="65">
        <f t="shared" si="34"/>
        <v>30376.676612640622</v>
      </c>
      <c r="AO40" s="65">
        <f t="shared" si="35"/>
        <v>9976.0130553605304</v>
      </c>
      <c r="AP40" s="65">
        <f t="shared" si="36"/>
        <v>17282.982574768957</v>
      </c>
      <c r="AQ40" s="65">
        <f>VLOOKUP($A40,'Car insurance'!$A$29:$K$80,8,FALSE)*$AZ$78+VLOOKUP('TCO Inputs'!A40,'Car insurance'!$A$29:$K$80,11,FALSE)*$BD$4</f>
        <v>37749.119667272782</v>
      </c>
      <c r="AR40" s="65">
        <v>0</v>
      </c>
      <c r="AS40" s="65">
        <f t="shared" si="37"/>
        <v>95384.791910042899</v>
      </c>
      <c r="AT40" s="60">
        <f t="shared" si="38"/>
        <v>4790.937861786646</v>
      </c>
      <c r="AU40" s="65"/>
      <c r="AY40" s="38" t="s">
        <v>300</v>
      </c>
      <c r="AZ40" s="36">
        <v>3.2000000000000001E-2</v>
      </c>
      <c r="BA40" s="36">
        <v>0.05</v>
      </c>
    </row>
    <row r="41" spans="1:56" hidden="1" outlineLevel="1" x14ac:dyDescent="0.25">
      <c r="A41" s="35" t="s">
        <v>221</v>
      </c>
      <c r="B41" s="53">
        <f t="shared" si="39"/>
        <v>27690</v>
      </c>
      <c r="C41" s="53">
        <f t="shared" si="40"/>
        <v>43070</v>
      </c>
      <c r="D41" s="53">
        <f t="shared" si="41"/>
        <v>28855</v>
      </c>
      <c r="E41" s="53">
        <f t="shared" si="42"/>
        <v>32586</v>
      </c>
      <c r="F41" s="53">
        <f t="shared" si="43"/>
        <v>3958.3882042800105</v>
      </c>
      <c r="G41" s="53">
        <f t="shared" si="44"/>
        <v>2102.4530573088114</v>
      </c>
      <c r="H41" s="53">
        <f t="shared" si="45"/>
        <v>3652.9124753923325</v>
      </c>
      <c r="I41" s="53">
        <f t="shared" si="46"/>
        <v>4125.2401983411737</v>
      </c>
      <c r="J41" s="55">
        <f t="shared" si="47"/>
        <v>23731.611795719989</v>
      </c>
      <c r="K41" s="55">
        <f t="shared" si="48"/>
        <v>40967.546942691188</v>
      </c>
      <c r="L41" s="55">
        <f t="shared" si="49"/>
        <v>25202.087524607668</v>
      </c>
      <c r="M41" s="53">
        <f t="shared" si="50"/>
        <v>28460.759801658827</v>
      </c>
      <c r="N41" s="53">
        <f t="shared" si="51"/>
        <v>13557.157430748486</v>
      </c>
      <c r="O41" s="53">
        <f t="shared" si="52"/>
        <v>13607.002010605915</v>
      </c>
      <c r="P41" s="53">
        <f t="shared" si="53"/>
        <v>8342.866111229836</v>
      </c>
      <c r="Q41" s="53">
        <f t="shared" si="54"/>
        <v>12022.087174637021</v>
      </c>
      <c r="R41" s="53">
        <f t="shared" si="55"/>
        <v>16983.804077926521</v>
      </c>
      <c r="S41" s="53">
        <f t="shared" si="56"/>
        <v>10575.730482567009</v>
      </c>
      <c r="T41" s="53">
        <f t="shared" si="57"/>
        <v>15610.645450349479</v>
      </c>
      <c r="U41" s="53">
        <f t="shared" si="58"/>
        <v>15610.645450349479</v>
      </c>
      <c r="V41" s="55">
        <f>VLOOKUP($A41,'Car insurance'!$A$29:$K$80,6,FALSE)*$AZ$78+$AZ$29*VLOOKUP($A41,'Car insurance'!$A$29:$K$80,11,FALSE)</f>
        <v>34392.912027481972</v>
      </c>
      <c r="W41" s="53">
        <f>VLOOKUP($A41,'Car insurance'!$A$29:$K$80,8,FALSE)*$AZ$78+VLOOKUP('TCO Inputs'!A41,'Car insurance'!$A$29:$K$80,11,FALSE)*'TCO Inputs'!$BA$29</f>
        <v>43925.331508948533</v>
      </c>
      <c r="X41" s="53">
        <f>VLOOKUP($A41,'Car insurance'!$A$29:$K$80,10,FALSE)*$AZ$78+VLOOKUP($A41,'Car insurance'!$A$29:$K$80,11,FALSE)*'TCO Inputs'!$BB$29</f>
        <v>35839.923313578634</v>
      </c>
      <c r="Y41" s="53">
        <f>VLOOKUP($A41,'Car insurance'!$A$29:$K$80,10,FALSE)*$AZ$78+VLOOKUP($A41,'Car insurance'!$A$29:$K$80,11,FALSE)*'TCO Inputs'!$BC$29</f>
        <v>36101.093313578633</v>
      </c>
      <c r="Z41" s="53">
        <f t="shared" si="59"/>
        <v>0</v>
      </c>
      <c r="AA41" s="53">
        <f t="shared" si="60"/>
        <v>0</v>
      </c>
      <c r="AB41" s="53">
        <f t="shared" si="61"/>
        <v>0</v>
      </c>
      <c r="AC41" s="53">
        <f t="shared" si="62"/>
        <v>0</v>
      </c>
      <c r="AD41" s="65">
        <f t="shared" si="24"/>
        <v>88665.48533187696</v>
      </c>
      <c r="AE41" s="65">
        <f t="shared" si="25"/>
        <v>109075.61094481265</v>
      </c>
      <c r="AF41" s="65">
        <f t="shared" si="26"/>
        <v>84995.522399765614</v>
      </c>
      <c r="AG41" s="60">
        <f t="shared" si="27"/>
        <v>92194.585740223964</v>
      </c>
      <c r="AH41" s="144">
        <f t="shared" si="28"/>
        <v>0</v>
      </c>
      <c r="AI41" s="65">
        <f t="shared" si="29"/>
        <v>20410.125612935692</v>
      </c>
      <c r="AJ41" s="65">
        <f t="shared" si="30"/>
        <v>-3669.9629321113462</v>
      </c>
      <c r="AK41" s="60">
        <f t="shared" si="31"/>
        <v>3529.1004083470034</v>
      </c>
      <c r="AL41" s="65">
        <f t="shared" si="32"/>
        <v>32975</v>
      </c>
      <c r="AM41" s="65">
        <f t="shared" si="33"/>
        <v>2598.3233873593772</v>
      </c>
      <c r="AN41" s="65">
        <f t="shared" si="34"/>
        <v>30376.676612640622</v>
      </c>
      <c r="AO41" s="65">
        <f t="shared" si="35"/>
        <v>10370.343861627904</v>
      </c>
      <c r="AP41" s="65">
        <f t="shared" si="36"/>
        <v>15042.008687398304</v>
      </c>
      <c r="AQ41" s="65">
        <f>VLOOKUP($A41,'Car insurance'!$A$29:$K$80,8,FALSE)*$AZ$78+VLOOKUP('TCO Inputs'!A41,'Car insurance'!$A$29:$K$80,11,FALSE)*$BD$4</f>
        <v>43218.681508948532</v>
      </c>
      <c r="AR41" s="65">
        <v>0</v>
      </c>
      <c r="AS41" s="65">
        <f t="shared" si="37"/>
        <v>99007.710670615357</v>
      </c>
      <c r="AT41" s="60">
        <f t="shared" si="38"/>
        <v>10342.225338738397</v>
      </c>
      <c r="AU41" s="65"/>
      <c r="AY41" s="38" t="s">
        <v>301</v>
      </c>
      <c r="AZ41" s="77">
        <f>AZ40-AZ39</f>
        <v>1.2E-2</v>
      </c>
      <c r="BA41" s="77">
        <f>BA40-BA39</f>
        <v>3.0000000000000002E-2</v>
      </c>
    </row>
    <row r="42" spans="1:56" hidden="1" outlineLevel="1" x14ac:dyDescent="0.25">
      <c r="A42" s="35" t="s">
        <v>222</v>
      </c>
      <c r="B42" s="53">
        <f t="shared" si="39"/>
        <v>27690</v>
      </c>
      <c r="C42" s="53">
        <f t="shared" si="40"/>
        <v>43070</v>
      </c>
      <c r="D42" s="53">
        <f t="shared" si="41"/>
        <v>28855</v>
      </c>
      <c r="E42" s="53">
        <f t="shared" si="42"/>
        <v>32586</v>
      </c>
      <c r="F42" s="53">
        <f t="shared" si="43"/>
        <v>3958.3882042800105</v>
      </c>
      <c r="G42" s="53">
        <f t="shared" si="44"/>
        <v>2102.4530573088114</v>
      </c>
      <c r="H42" s="53">
        <f t="shared" si="45"/>
        <v>3652.9124753923325</v>
      </c>
      <c r="I42" s="53">
        <f t="shared" si="46"/>
        <v>4125.2401983411737</v>
      </c>
      <c r="J42" s="55">
        <f t="shared" si="47"/>
        <v>23731.611795719989</v>
      </c>
      <c r="K42" s="55">
        <f t="shared" si="48"/>
        <v>40967.546942691188</v>
      </c>
      <c r="L42" s="55">
        <f t="shared" si="49"/>
        <v>25202.087524607668</v>
      </c>
      <c r="M42" s="53">
        <f t="shared" si="50"/>
        <v>28460.759801658827</v>
      </c>
      <c r="N42" s="53">
        <f t="shared" si="51"/>
        <v>18843.673552606928</v>
      </c>
      <c r="O42" s="53">
        <f t="shared" si="52"/>
        <v>12015.173264349492</v>
      </c>
      <c r="P42" s="53">
        <f t="shared" si="53"/>
        <v>11596.106801604263</v>
      </c>
      <c r="Q42" s="53">
        <f t="shared" si="54"/>
        <v>17685.079764532959</v>
      </c>
      <c r="R42" s="53">
        <f t="shared" si="55"/>
        <v>25474.853601877334</v>
      </c>
      <c r="S42" s="53">
        <f t="shared" si="56"/>
        <v>15863.06486698461</v>
      </c>
      <c r="T42" s="53">
        <f t="shared" si="57"/>
        <v>23415.184587257463</v>
      </c>
      <c r="U42" s="53">
        <f t="shared" si="58"/>
        <v>23415.184587257463</v>
      </c>
      <c r="V42" s="55">
        <f>VLOOKUP($A42,'Car insurance'!$A$29:$K$80,6,FALSE)*$AZ$78+$AZ$29*VLOOKUP($A42,'Car insurance'!$A$29:$K$80,11,FALSE)</f>
        <v>34004.912409471515</v>
      </c>
      <c r="W42" s="53">
        <f>VLOOKUP($A42,'Car insurance'!$A$29:$K$80,8,FALSE)*$AZ$78+VLOOKUP('TCO Inputs'!A42,'Car insurance'!$A$29:$K$80,11,FALSE)*'TCO Inputs'!$BA$29</f>
        <v>40742.726161094964</v>
      </c>
      <c r="X42" s="53">
        <f>VLOOKUP($A42,'Car insurance'!$A$29:$K$80,10,FALSE)*$AZ$78+VLOOKUP($A42,'Car insurance'!$A$29:$K$80,11,FALSE)*'TCO Inputs'!$BB$29</f>
        <v>35435.599406836423</v>
      </c>
      <c r="Y42" s="53">
        <f>VLOOKUP($A42,'Car insurance'!$A$29:$K$80,10,FALSE)*$AZ$78+VLOOKUP($A42,'Car insurance'!$A$29:$K$80,11,FALSE)*'TCO Inputs'!$BC$29</f>
        <v>35622.149406836426</v>
      </c>
      <c r="Z42" s="53">
        <f t="shared" si="59"/>
        <v>0</v>
      </c>
      <c r="AA42" s="53">
        <f t="shared" si="60"/>
        <v>0</v>
      </c>
      <c r="AB42" s="53">
        <f t="shared" si="61"/>
        <v>0</v>
      </c>
      <c r="AC42" s="53">
        <f t="shared" si="62"/>
        <v>0</v>
      </c>
      <c r="AD42" s="65">
        <f t="shared" si="24"/>
        <v>102055.05135967577</v>
      </c>
      <c r="AE42" s="65">
        <f t="shared" si="25"/>
        <v>109588.51123512026</v>
      </c>
      <c r="AF42" s="65">
        <f t="shared" si="26"/>
        <v>95648.978320305818</v>
      </c>
      <c r="AG42" s="60">
        <f t="shared" si="27"/>
        <v>105183.17356028568</v>
      </c>
      <c r="AH42" s="144">
        <f t="shared" si="28"/>
        <v>0</v>
      </c>
      <c r="AI42" s="65">
        <f t="shared" si="29"/>
        <v>7533.4598754444887</v>
      </c>
      <c r="AJ42" s="65">
        <f t="shared" si="30"/>
        <v>-6406.0730393699487</v>
      </c>
      <c r="AK42" s="60">
        <f t="shared" si="31"/>
        <v>3128.1222006099124</v>
      </c>
      <c r="AL42" s="65">
        <f t="shared" si="32"/>
        <v>32975</v>
      </c>
      <c r="AM42" s="65">
        <f t="shared" si="33"/>
        <v>2598.3233873593772</v>
      </c>
      <c r="AN42" s="65">
        <f t="shared" si="34"/>
        <v>30376.676612640622</v>
      </c>
      <c r="AO42" s="65">
        <f t="shared" si="35"/>
        <v>11142.494006671193</v>
      </c>
      <c r="AP42" s="65">
        <f t="shared" si="36"/>
        <v>22562.257985987158</v>
      </c>
      <c r="AQ42" s="65">
        <f>VLOOKUP($A42,'Car insurance'!$A$29:$K$80,8,FALSE)*$AZ$78+VLOOKUP('TCO Inputs'!A42,'Car insurance'!$A$29:$K$80,11,FALSE)*$BD$4</f>
        <v>40237.976161094964</v>
      </c>
      <c r="AR42" s="65">
        <v>0</v>
      </c>
      <c r="AS42" s="65">
        <f t="shared" si="37"/>
        <v>104319.40476639394</v>
      </c>
      <c r="AT42" s="60">
        <f t="shared" si="38"/>
        <v>2264.3534067181754</v>
      </c>
      <c r="AU42" s="65"/>
      <c r="AY42" s="38" t="s">
        <v>302</v>
      </c>
      <c r="AZ42" s="36">
        <v>0.06</v>
      </c>
      <c r="BA42" s="36">
        <v>0.06</v>
      </c>
    </row>
    <row r="43" spans="1:56" hidden="1" outlineLevel="1" x14ac:dyDescent="0.25">
      <c r="A43" s="35" t="s">
        <v>223</v>
      </c>
      <c r="B43" s="53">
        <f t="shared" si="39"/>
        <v>27690</v>
      </c>
      <c r="C43" s="53">
        <f t="shared" si="40"/>
        <v>43070</v>
      </c>
      <c r="D43" s="53">
        <f t="shared" si="41"/>
        <v>28855</v>
      </c>
      <c r="E43" s="53">
        <f t="shared" si="42"/>
        <v>32586</v>
      </c>
      <c r="F43" s="53">
        <f t="shared" si="43"/>
        <v>3958.3882042800105</v>
      </c>
      <c r="G43" s="53">
        <f t="shared" si="44"/>
        <v>2102.4530573088114</v>
      </c>
      <c r="H43" s="53">
        <f t="shared" si="45"/>
        <v>3652.9124753923325</v>
      </c>
      <c r="I43" s="53">
        <f t="shared" si="46"/>
        <v>4125.2401983411737</v>
      </c>
      <c r="J43" s="55">
        <f t="shared" si="47"/>
        <v>23731.611795719989</v>
      </c>
      <c r="K43" s="55">
        <f t="shared" si="48"/>
        <v>40967.546942691188</v>
      </c>
      <c r="L43" s="55">
        <f t="shared" si="49"/>
        <v>25202.087524607668</v>
      </c>
      <c r="M43" s="53">
        <f t="shared" si="50"/>
        <v>28460.759801658827</v>
      </c>
      <c r="N43" s="53">
        <f t="shared" si="51"/>
        <v>20896.775131960676</v>
      </c>
      <c r="O43" s="53">
        <f t="shared" si="52"/>
        <v>13354.516341819499</v>
      </c>
      <c r="P43" s="53">
        <f t="shared" si="53"/>
        <v>12859.553927360415</v>
      </c>
      <c r="Q43" s="53">
        <f t="shared" si="54"/>
        <v>19118.077039406853</v>
      </c>
      <c r="R43" s="53">
        <f t="shared" si="55"/>
        <v>26497.871616811171</v>
      </c>
      <c r="S43" s="53">
        <f t="shared" si="56"/>
        <v>16500.093106071068</v>
      </c>
      <c r="T43" s="53">
        <f t="shared" si="57"/>
        <v>24355.49050736686</v>
      </c>
      <c r="U43" s="53">
        <f t="shared" si="58"/>
        <v>24355.49050736686</v>
      </c>
      <c r="V43" s="55">
        <f>VLOOKUP($A43,'Car insurance'!$A$29:$K$80,6,FALSE)*$AZ$78+$AZ$29*VLOOKUP($A43,'Car insurance'!$A$29:$K$80,11,FALSE)</f>
        <v>29748.803241722548</v>
      </c>
      <c r="W43" s="53">
        <f>VLOOKUP($A43,'Car insurance'!$A$29:$K$80,8,FALSE)*$AZ$78+VLOOKUP('TCO Inputs'!A43,'Car insurance'!$A$29:$K$80,11,FALSE)*'TCO Inputs'!$BA$29</f>
        <v>36001.216229366917</v>
      </c>
      <c r="X43" s="53">
        <f>VLOOKUP($A43,'Car insurance'!$A$29:$K$80,10,FALSE)*$AZ$78+VLOOKUP($A43,'Car insurance'!$A$29:$K$80,11,FALSE)*'TCO Inputs'!$BB$29</f>
        <v>31000.423168649482</v>
      </c>
      <c r="Y43" s="53">
        <f>VLOOKUP($A43,'Car insurance'!$A$29:$K$80,10,FALSE)*$AZ$78+VLOOKUP($A43,'Car insurance'!$A$29:$K$80,11,FALSE)*'TCO Inputs'!$BC$29</f>
        <v>31149.66316864948</v>
      </c>
      <c r="Z43" s="53">
        <f t="shared" si="59"/>
        <v>0</v>
      </c>
      <c r="AA43" s="53">
        <f t="shared" si="60"/>
        <v>0</v>
      </c>
      <c r="AB43" s="53">
        <f t="shared" si="61"/>
        <v>0</v>
      </c>
      <c r="AC43" s="53">
        <f t="shared" si="62"/>
        <v>0</v>
      </c>
      <c r="AD43" s="65">
        <f t="shared" si="24"/>
        <v>100875.06178621438</v>
      </c>
      <c r="AE43" s="65">
        <f t="shared" si="25"/>
        <v>106823.37261994867</v>
      </c>
      <c r="AF43" s="65">
        <f t="shared" si="26"/>
        <v>93417.555127984437</v>
      </c>
      <c r="AG43" s="60">
        <f t="shared" si="27"/>
        <v>103083.99051708203</v>
      </c>
      <c r="AH43" s="144">
        <f t="shared" si="28"/>
        <v>0</v>
      </c>
      <c r="AI43" s="65">
        <f t="shared" si="29"/>
        <v>5948.3108337342856</v>
      </c>
      <c r="AJ43" s="65">
        <f t="shared" si="30"/>
        <v>-7457.5066582299478</v>
      </c>
      <c r="AK43" s="60">
        <f t="shared" si="31"/>
        <v>2208.928730867643</v>
      </c>
      <c r="AL43" s="65">
        <f t="shared" si="32"/>
        <v>32975</v>
      </c>
      <c r="AM43" s="65">
        <f t="shared" si="33"/>
        <v>2598.3233873593772</v>
      </c>
      <c r="AN43" s="65">
        <f t="shared" si="34"/>
        <v>30376.676612640622</v>
      </c>
      <c r="AO43" s="65">
        <f t="shared" si="35"/>
        <v>12357.907738199219</v>
      </c>
      <c r="AP43" s="65">
        <f t="shared" si="36"/>
        <v>23468.312118347261</v>
      </c>
      <c r="AQ43" s="65">
        <f>VLOOKUP($A43,'Car insurance'!$A$29:$K$80,8,FALSE)*$AZ$78+VLOOKUP('TCO Inputs'!A43,'Car insurance'!$A$29:$K$80,11,FALSE)*$BD$4</f>
        <v>35597.416229366914</v>
      </c>
      <c r="AR43" s="65">
        <v>0</v>
      </c>
      <c r="AS43" s="65">
        <f t="shared" si="37"/>
        <v>101800.31269855401</v>
      </c>
      <c r="AT43" s="60">
        <f t="shared" si="38"/>
        <v>925.2509123396303</v>
      </c>
      <c r="AU43" s="65"/>
      <c r="AY43" s="38" t="s">
        <v>303</v>
      </c>
      <c r="AZ43" s="36">
        <f>AZ42-AZ39</f>
        <v>3.9999999999999994E-2</v>
      </c>
      <c r="BA43" s="36">
        <f>BA42-BA39</f>
        <v>3.9999999999999994E-2</v>
      </c>
    </row>
    <row r="44" spans="1:56" hidden="1" outlineLevel="1" x14ac:dyDescent="0.25">
      <c r="A44" s="35" t="s">
        <v>224</v>
      </c>
      <c r="B44" s="53">
        <f t="shared" si="39"/>
        <v>27690</v>
      </c>
      <c r="C44" s="53">
        <f t="shared" si="40"/>
        <v>43070</v>
      </c>
      <c r="D44" s="53">
        <f t="shared" si="41"/>
        <v>28855</v>
      </c>
      <c r="E44" s="53">
        <f t="shared" si="42"/>
        <v>32586</v>
      </c>
      <c r="F44" s="53">
        <f t="shared" si="43"/>
        <v>3958.3882042800105</v>
      </c>
      <c r="G44" s="53">
        <f t="shared" si="44"/>
        <v>2102.4530573088114</v>
      </c>
      <c r="H44" s="53">
        <f t="shared" si="45"/>
        <v>3652.9124753923325</v>
      </c>
      <c r="I44" s="53">
        <f t="shared" si="46"/>
        <v>4125.2401983411737</v>
      </c>
      <c r="J44" s="55">
        <f t="shared" si="47"/>
        <v>23731.611795719989</v>
      </c>
      <c r="K44" s="55">
        <f t="shared" si="48"/>
        <v>40967.546942691188</v>
      </c>
      <c r="L44" s="55">
        <f t="shared" si="49"/>
        <v>25202.087524607668</v>
      </c>
      <c r="M44" s="53">
        <f t="shared" si="50"/>
        <v>28460.759801658827</v>
      </c>
      <c r="N44" s="53">
        <f t="shared" si="51"/>
        <v>19914.104059542962</v>
      </c>
      <c r="O44" s="53">
        <f t="shared" si="52"/>
        <v>11910.806215762674</v>
      </c>
      <c r="P44" s="53">
        <f t="shared" si="53"/>
        <v>12254.833267411052</v>
      </c>
      <c r="Q44" s="53">
        <f t="shared" si="54"/>
        <v>18219.0492636739</v>
      </c>
      <c r="R44" s="53">
        <f t="shared" si="55"/>
        <v>26064.793990489179</v>
      </c>
      <c r="S44" s="53">
        <f t="shared" si="56"/>
        <v>16230.417818191134</v>
      </c>
      <c r="T44" s="53">
        <f t="shared" si="57"/>
        <v>23957.427667853881</v>
      </c>
      <c r="U44" s="53">
        <f t="shared" si="58"/>
        <v>23957.427667853881</v>
      </c>
      <c r="V44" s="55">
        <f>VLOOKUP($A44,'Car insurance'!$A$29:$K$80,6,FALSE)*$AZ$78+$AZ$29*VLOOKUP($A44,'Car insurance'!$A$29:$K$80,11,FALSE)</f>
        <v>26268.693309994498</v>
      </c>
      <c r="W44" s="53">
        <f>VLOOKUP($A44,'Car insurance'!$A$29:$K$80,8,FALSE)*$AZ$78+VLOOKUP('TCO Inputs'!A44,'Car insurance'!$A$29:$K$80,11,FALSE)*'TCO Inputs'!$BA$29</f>
        <v>33645.707825597034</v>
      </c>
      <c r="X44" s="53">
        <f>VLOOKUP($A44,'Car insurance'!$A$29:$K$80,10,FALSE)*$AZ$78+VLOOKUP($A44,'Car insurance'!$A$29:$K$80,11,FALSE)*'TCO Inputs'!$BB$29</f>
        <v>27373.894743946959</v>
      </c>
      <c r="Y44" s="53">
        <f>VLOOKUP($A44,'Car insurance'!$A$29:$K$80,10,FALSE)*$AZ$78+VLOOKUP($A44,'Car insurance'!$A$29:$K$80,11,FALSE)*'TCO Inputs'!$BC$29</f>
        <v>27635.064743946961</v>
      </c>
      <c r="Z44" s="53">
        <f t="shared" si="59"/>
        <v>0</v>
      </c>
      <c r="AA44" s="53">
        <f t="shared" si="60"/>
        <v>0</v>
      </c>
      <c r="AB44" s="53">
        <f t="shared" si="61"/>
        <v>0</v>
      </c>
      <c r="AC44" s="53">
        <f t="shared" si="62"/>
        <v>0</v>
      </c>
      <c r="AD44" s="65">
        <f t="shared" si="24"/>
        <v>95979.20315574664</v>
      </c>
      <c r="AE44" s="65">
        <f t="shared" si="25"/>
        <v>102754.47880224203</v>
      </c>
      <c r="AF44" s="65">
        <f t="shared" si="26"/>
        <v>88788.243203819555</v>
      </c>
      <c r="AG44" s="60">
        <f t="shared" si="27"/>
        <v>98272.301477133573</v>
      </c>
      <c r="AH44" s="144">
        <f t="shared" si="28"/>
        <v>0</v>
      </c>
      <c r="AI44" s="65">
        <f t="shared" si="29"/>
        <v>6775.2756464953854</v>
      </c>
      <c r="AJ44" s="65">
        <f t="shared" si="30"/>
        <v>-7190.9599519270851</v>
      </c>
      <c r="AK44" s="60">
        <f t="shared" si="31"/>
        <v>2293.0983213869331</v>
      </c>
      <c r="AL44" s="65">
        <f t="shared" si="32"/>
        <v>32975</v>
      </c>
      <c r="AM44" s="65">
        <f t="shared" si="33"/>
        <v>2598.3233873593772</v>
      </c>
      <c r="AN44" s="65">
        <f t="shared" si="34"/>
        <v>30376.676612640622</v>
      </c>
      <c r="AO44" s="65">
        <f t="shared" si="35"/>
        <v>11405.324891714352</v>
      </c>
      <c r="AP44" s="65">
        <f t="shared" si="36"/>
        <v>23084.749202314815</v>
      </c>
      <c r="AQ44" s="65">
        <f>VLOOKUP($A44,'Car insurance'!$A$29:$K$80,8,FALSE)*$AZ$78+VLOOKUP('TCO Inputs'!A44,'Car insurance'!$A$29:$K$80,11,FALSE)*$BD$4</f>
        <v>32939.057825597032</v>
      </c>
      <c r="AR44" s="65">
        <v>0</v>
      </c>
      <c r="AS44" s="65">
        <f t="shared" si="37"/>
        <v>97805.808532266819</v>
      </c>
      <c r="AT44" s="60">
        <f t="shared" si="38"/>
        <v>1826.6053765201796</v>
      </c>
      <c r="AU44" s="65"/>
      <c r="AY44" s="38" t="s">
        <v>305</v>
      </c>
      <c r="AZ44" s="35">
        <v>5.25</v>
      </c>
      <c r="BA44" s="35">
        <v>5.25</v>
      </c>
    </row>
    <row r="45" spans="1:56" hidden="1" outlineLevel="1" x14ac:dyDescent="0.25">
      <c r="A45" s="35" t="s">
        <v>225</v>
      </c>
      <c r="B45" s="53">
        <f t="shared" si="39"/>
        <v>27690</v>
      </c>
      <c r="C45" s="53">
        <f t="shared" si="40"/>
        <v>43070</v>
      </c>
      <c r="D45" s="53">
        <f t="shared" si="41"/>
        <v>28855</v>
      </c>
      <c r="E45" s="53">
        <f t="shared" si="42"/>
        <v>32586</v>
      </c>
      <c r="F45" s="53">
        <f t="shared" si="43"/>
        <v>3958.3882042800105</v>
      </c>
      <c r="G45" s="53">
        <f t="shared" si="44"/>
        <v>2102.4530573088114</v>
      </c>
      <c r="H45" s="53">
        <f t="shared" si="45"/>
        <v>3652.9124753923325</v>
      </c>
      <c r="I45" s="53">
        <f t="shared" si="46"/>
        <v>4125.2401983411737</v>
      </c>
      <c r="J45" s="55">
        <f t="shared" si="47"/>
        <v>23731.611795719989</v>
      </c>
      <c r="K45" s="55">
        <f t="shared" si="48"/>
        <v>40967.546942691188</v>
      </c>
      <c r="L45" s="55">
        <f t="shared" si="49"/>
        <v>25202.087524607668</v>
      </c>
      <c r="M45" s="53">
        <f t="shared" si="50"/>
        <v>28460.759801658827</v>
      </c>
      <c r="N45" s="53">
        <f t="shared" si="51"/>
        <v>19339.951355678299</v>
      </c>
      <c r="O45" s="53">
        <f t="shared" si="52"/>
        <v>12739.392772603383</v>
      </c>
      <c r="P45" s="53">
        <f t="shared" si="53"/>
        <v>11901.508526571259</v>
      </c>
      <c r="Q45" s="53">
        <f t="shared" si="54"/>
        <v>19254.988717960296</v>
      </c>
      <c r="R45" s="53">
        <f t="shared" si="55"/>
        <v>27573.745562516582</v>
      </c>
      <c r="S45" s="53">
        <f t="shared" si="56"/>
        <v>17170.034470843657</v>
      </c>
      <c r="T45" s="53">
        <f t="shared" si="57"/>
        <v>25344.378900015236</v>
      </c>
      <c r="U45" s="53">
        <f t="shared" si="58"/>
        <v>25344.378900015236</v>
      </c>
      <c r="V45" s="55">
        <f>VLOOKUP($A45,'Car insurance'!$A$29:$K$80,6,FALSE)*$AZ$78+$AZ$29*VLOOKUP($A45,'Car insurance'!$A$29:$K$80,11,FALSE)</f>
        <v>33024.634353555193</v>
      </c>
      <c r="W45" s="53">
        <f>VLOOKUP($A45,'Car insurance'!$A$29:$K$80,8,FALSE)*$AZ$78+VLOOKUP('TCO Inputs'!A45,'Car insurance'!$A$29:$K$80,11,FALSE)*'TCO Inputs'!$BA$29</f>
        <v>38959.895813241405</v>
      </c>
      <c r="X45" s="53">
        <f>VLOOKUP($A45,'Car insurance'!$A$29:$K$80,10,FALSE)*$AZ$78+VLOOKUP($A45,'Car insurance'!$A$29:$K$80,11,FALSE)*'TCO Inputs'!$BB$29</f>
        <v>34414.078160774108</v>
      </c>
      <c r="Y45" s="53">
        <f>VLOOKUP($A45,'Car insurance'!$A$29:$K$80,10,FALSE)*$AZ$78+VLOOKUP($A45,'Car insurance'!$A$29:$K$80,11,FALSE)*'TCO Inputs'!$BC$29</f>
        <v>34647.265660774108</v>
      </c>
      <c r="Z45" s="53">
        <f t="shared" si="59"/>
        <v>0</v>
      </c>
      <c r="AA45" s="53">
        <f t="shared" si="60"/>
        <v>0</v>
      </c>
      <c r="AB45" s="53">
        <f t="shared" si="61"/>
        <v>0</v>
      </c>
      <c r="AC45" s="53">
        <f t="shared" si="62"/>
        <v>0</v>
      </c>
      <c r="AD45" s="65">
        <f t="shared" si="24"/>
        <v>103669.94306747007</v>
      </c>
      <c r="AE45" s="65">
        <f t="shared" si="25"/>
        <v>109836.86999937965</v>
      </c>
      <c r="AF45" s="65">
        <f t="shared" si="26"/>
        <v>96862.053111968271</v>
      </c>
      <c r="AG45" s="60">
        <f t="shared" si="27"/>
        <v>107707.39308040847</v>
      </c>
      <c r="AH45" s="144">
        <f t="shared" si="28"/>
        <v>0</v>
      </c>
      <c r="AI45" s="65">
        <f t="shared" si="29"/>
        <v>6166.9269319095765</v>
      </c>
      <c r="AJ45" s="65">
        <f t="shared" si="30"/>
        <v>-6807.8899555017997</v>
      </c>
      <c r="AK45" s="60">
        <f t="shared" si="31"/>
        <v>4037.450012938396</v>
      </c>
      <c r="AL45" s="65">
        <f t="shared" si="32"/>
        <v>32975</v>
      </c>
      <c r="AM45" s="65">
        <f t="shared" si="33"/>
        <v>2598.3233873593772</v>
      </c>
      <c r="AN45" s="65">
        <f t="shared" si="34"/>
        <v>30376.676612640622</v>
      </c>
      <c r="AO45" s="65">
        <f t="shared" si="35"/>
        <v>11610.878097788283</v>
      </c>
      <c r="AP45" s="65">
        <f t="shared" si="36"/>
        <v>24421.179047545971</v>
      </c>
      <c r="AQ45" s="65">
        <f>VLOOKUP($A45,'Car insurance'!$A$29:$K$80,8,FALSE)*$AZ$78+VLOOKUP('TCO Inputs'!A45,'Car insurance'!$A$29:$K$80,11,FALSE)*$BD$4</f>
        <v>38328.958313241405</v>
      </c>
      <c r="AR45" s="65">
        <v>0</v>
      </c>
      <c r="AS45" s="65">
        <f t="shared" si="37"/>
        <v>104737.69207121627</v>
      </c>
      <c r="AT45" s="60">
        <f t="shared" si="38"/>
        <v>1067.7490037461976</v>
      </c>
      <c r="AU45" s="65"/>
      <c r="AY45" s="38" t="s">
        <v>304</v>
      </c>
      <c r="AZ45" s="36">
        <v>0.12</v>
      </c>
      <c r="BA45" s="36">
        <v>0.12</v>
      </c>
    </row>
    <row r="46" spans="1:56" hidden="1" outlineLevel="1" x14ac:dyDescent="0.25">
      <c r="A46" s="35" t="s">
        <v>226</v>
      </c>
      <c r="B46" s="53">
        <f t="shared" si="39"/>
        <v>27690</v>
      </c>
      <c r="C46" s="53">
        <f t="shared" si="40"/>
        <v>43070</v>
      </c>
      <c r="D46" s="53">
        <f t="shared" si="41"/>
        <v>28855</v>
      </c>
      <c r="E46" s="53">
        <f t="shared" si="42"/>
        <v>32586</v>
      </c>
      <c r="F46" s="53">
        <f t="shared" si="43"/>
        <v>3958.3882042800105</v>
      </c>
      <c r="G46" s="53">
        <f t="shared" si="44"/>
        <v>2102.4530573088114</v>
      </c>
      <c r="H46" s="53">
        <f t="shared" si="45"/>
        <v>3652.9124753923325</v>
      </c>
      <c r="I46" s="53">
        <f t="shared" si="46"/>
        <v>4125.2401983411737</v>
      </c>
      <c r="J46" s="55">
        <f t="shared" si="47"/>
        <v>23731.611795719989</v>
      </c>
      <c r="K46" s="55">
        <f t="shared" si="48"/>
        <v>40967.546942691188</v>
      </c>
      <c r="L46" s="55">
        <f t="shared" si="49"/>
        <v>25202.087524607668</v>
      </c>
      <c r="M46" s="53">
        <f t="shared" si="50"/>
        <v>28460.759801658827</v>
      </c>
      <c r="N46" s="53">
        <f t="shared" si="51"/>
        <v>22060.001915427776</v>
      </c>
      <c r="O46" s="53">
        <f t="shared" si="52"/>
        <v>12073.862605143129</v>
      </c>
      <c r="P46" s="53">
        <f t="shared" si="53"/>
        <v>13575.385794109399</v>
      </c>
      <c r="Q46" s="53">
        <f t="shared" si="54"/>
        <v>18870.831407551566</v>
      </c>
      <c r="R46" s="53">
        <f t="shared" si="55"/>
        <v>26455.245866188925</v>
      </c>
      <c r="S46" s="53">
        <f t="shared" si="56"/>
        <v>16473.5502627758</v>
      </c>
      <c r="T46" s="53">
        <f t="shared" si="57"/>
        <v>24316.31109402897</v>
      </c>
      <c r="U46" s="53">
        <f t="shared" si="58"/>
        <v>24316.31109402897</v>
      </c>
      <c r="V46" s="55">
        <f>VLOOKUP($A46,'Car insurance'!$A$29:$K$80,6,FALSE)*$AZ$78+$AZ$29*VLOOKUP($A46,'Car insurance'!$A$29:$K$80,11,FALSE)</f>
        <v>28714.164039837604</v>
      </c>
      <c r="W46" s="53">
        <f>VLOOKUP($A46,'Car insurance'!$A$29:$K$80,8,FALSE)*$AZ$78+VLOOKUP('TCO Inputs'!A46,'Car insurance'!$A$29:$K$80,11,FALSE)*'TCO Inputs'!$BA$29</f>
        <v>35239.106645492437</v>
      </c>
      <c r="X46" s="53">
        <f>VLOOKUP($A46,'Car insurance'!$A$29:$K$80,10,FALSE)*$AZ$78+VLOOKUP($A46,'Car insurance'!$A$29:$K$80,11,FALSE)*'TCO Inputs'!$BB$29</f>
        <v>29922.253642813801</v>
      </c>
      <c r="Y46" s="53">
        <f>VLOOKUP($A46,'Car insurance'!$A$29:$K$80,10,FALSE)*$AZ$78+VLOOKUP($A46,'Car insurance'!$A$29:$K$80,11,FALSE)*'TCO Inputs'!$BC$29</f>
        <v>30177.8271428138</v>
      </c>
      <c r="Z46" s="53">
        <f t="shared" si="59"/>
        <v>0</v>
      </c>
      <c r="AA46" s="53">
        <f t="shared" si="60"/>
        <v>0</v>
      </c>
      <c r="AB46" s="53">
        <f t="shared" si="61"/>
        <v>0</v>
      </c>
      <c r="AC46" s="53">
        <f t="shared" si="62"/>
        <v>0</v>
      </c>
      <c r="AD46" s="65">
        <f t="shared" si="24"/>
        <v>100961.0236171743</v>
      </c>
      <c r="AE46" s="65">
        <f t="shared" si="25"/>
        <v>104754.06645610256</v>
      </c>
      <c r="AF46" s="65">
        <f t="shared" si="26"/>
        <v>93016.038055559839</v>
      </c>
      <c r="AG46" s="60">
        <f t="shared" si="27"/>
        <v>101825.72944605316</v>
      </c>
      <c r="AH46" s="144">
        <f t="shared" si="28"/>
        <v>0</v>
      </c>
      <c r="AI46" s="65">
        <f t="shared" si="29"/>
        <v>3793.0428389282606</v>
      </c>
      <c r="AJ46" s="65">
        <f t="shared" si="30"/>
        <v>-7944.9855616144632</v>
      </c>
      <c r="AK46" s="60">
        <f t="shared" si="31"/>
        <v>864.70582887885394</v>
      </c>
      <c r="AL46" s="65">
        <f t="shared" si="32"/>
        <v>32975</v>
      </c>
      <c r="AM46" s="65">
        <f t="shared" si="33"/>
        <v>2598.3233873593772</v>
      </c>
      <c r="AN46" s="65">
        <f t="shared" si="34"/>
        <v>30376.676612640622</v>
      </c>
      <c r="AO46" s="65">
        <f t="shared" si="35"/>
        <v>12095.875227551911</v>
      </c>
      <c r="AP46" s="65">
        <f t="shared" si="36"/>
        <v>23430.559862832259</v>
      </c>
      <c r="AQ46" s="65">
        <f>VLOOKUP($A46,'Car insurance'!$A$29:$K$80,8,FALSE)*$AZ$78+VLOOKUP('TCO Inputs'!A46,'Car insurance'!$A$29:$K$80,11,FALSE)*$BD$4</f>
        <v>34547.599145492437</v>
      </c>
      <c r="AR46" s="65">
        <v>0</v>
      </c>
      <c r="AS46" s="65">
        <f t="shared" si="37"/>
        <v>100450.71084851724</v>
      </c>
      <c r="AT46" s="60">
        <f t="shared" si="38"/>
        <v>-510.31276865706604</v>
      </c>
      <c r="AU46" s="65"/>
    </row>
    <row r="47" spans="1:56" hidden="1" outlineLevel="1" x14ac:dyDescent="0.25">
      <c r="A47" s="35" t="s">
        <v>228</v>
      </c>
      <c r="B47" s="53">
        <f t="shared" si="39"/>
        <v>27690</v>
      </c>
      <c r="C47" s="53">
        <f t="shared" si="40"/>
        <v>43070</v>
      </c>
      <c r="D47" s="53">
        <f t="shared" si="41"/>
        <v>28855</v>
      </c>
      <c r="E47" s="53">
        <f t="shared" si="42"/>
        <v>32586</v>
      </c>
      <c r="F47" s="53">
        <f t="shared" si="43"/>
        <v>3958.3882042800105</v>
      </c>
      <c r="G47" s="53">
        <f t="shared" si="44"/>
        <v>2102.4530573088114</v>
      </c>
      <c r="H47" s="53">
        <f t="shared" si="45"/>
        <v>3652.9124753923325</v>
      </c>
      <c r="I47" s="53">
        <f t="shared" si="46"/>
        <v>4125.2401983411737</v>
      </c>
      <c r="J47" s="55">
        <f t="shared" si="47"/>
        <v>23731.611795719989</v>
      </c>
      <c r="K47" s="55">
        <f t="shared" si="48"/>
        <v>40967.546942691188</v>
      </c>
      <c r="L47" s="55">
        <f t="shared" si="49"/>
        <v>25202.087524607668</v>
      </c>
      <c r="M47" s="53">
        <f t="shared" si="50"/>
        <v>28460.759801658827</v>
      </c>
      <c r="N47" s="53">
        <f t="shared" si="51"/>
        <v>18056.819908625432</v>
      </c>
      <c r="O47" s="53">
        <f t="shared" si="52"/>
        <v>15932.079571720024</v>
      </c>
      <c r="P47" s="53">
        <f t="shared" si="53"/>
        <v>11111.88917453873</v>
      </c>
      <c r="Q47" s="53">
        <f t="shared" si="54"/>
        <v>16012.255087181007</v>
      </c>
      <c r="R47" s="53">
        <f t="shared" si="55"/>
        <v>22172.210443665947</v>
      </c>
      <c r="S47" s="53">
        <f t="shared" si="56"/>
        <v>13806.525368467162</v>
      </c>
      <c r="T47" s="53">
        <f t="shared" si="57"/>
        <v>20379.563641837634</v>
      </c>
      <c r="U47" s="53">
        <f t="shared" si="58"/>
        <v>20379.563641837634</v>
      </c>
      <c r="V47" s="55">
        <f>VLOOKUP($A47,'Car insurance'!$A$29:$K$80,6,FALSE)*$AZ$78+$AZ$29*VLOOKUP($A47,'Car insurance'!$A$29:$K$80,11,FALSE)</f>
        <v>23504.787580151398</v>
      </c>
      <c r="W47" s="53">
        <f>VLOOKUP($A47,'Car insurance'!$A$29:$K$80,8,FALSE)*$AZ$78+VLOOKUP('TCO Inputs'!A47,'Car insurance'!$A$29:$K$80,11,FALSE)*'TCO Inputs'!$BA$29</f>
        <v>29733.199803816686</v>
      </c>
      <c r="X47" s="53">
        <f>VLOOKUP($A47,'Car insurance'!$A$29:$K$80,10,FALSE)*$AZ$78+VLOOKUP($A47,'Car insurance'!$A$29:$K$80,11,FALSE)*'TCO Inputs'!$BB$29</f>
        <v>24493.703345080121</v>
      </c>
      <c r="Y47" s="53">
        <f>VLOOKUP($A47,'Car insurance'!$A$29:$K$80,10,FALSE)*$AZ$78+VLOOKUP($A47,'Car insurance'!$A$29:$K$80,11,FALSE)*'TCO Inputs'!$BC$29</f>
        <v>24717.563345080122</v>
      </c>
      <c r="Z47" s="53">
        <f t="shared" si="59"/>
        <v>0</v>
      </c>
      <c r="AA47" s="53">
        <f t="shared" si="60"/>
        <v>0</v>
      </c>
      <c r="AB47" s="53">
        <f t="shared" si="61"/>
        <v>0</v>
      </c>
      <c r="AC47" s="53">
        <f t="shared" si="62"/>
        <v>0</v>
      </c>
      <c r="AD47" s="65">
        <f t="shared" si="24"/>
        <v>87465.429728162766</v>
      </c>
      <c r="AE47" s="65">
        <f t="shared" si="25"/>
        <v>100439.35168669507</v>
      </c>
      <c r="AF47" s="65">
        <f t="shared" si="26"/>
        <v>81187.243686064161</v>
      </c>
      <c r="AG47" s="60">
        <f t="shared" si="27"/>
        <v>89570.141875757588</v>
      </c>
      <c r="AH47" s="144">
        <f t="shared" si="28"/>
        <v>0</v>
      </c>
      <c r="AI47" s="65">
        <f t="shared" si="29"/>
        <v>12973.921958532301</v>
      </c>
      <c r="AJ47" s="65">
        <f t="shared" si="30"/>
        <v>-6278.186042098605</v>
      </c>
      <c r="AK47" s="60">
        <f t="shared" si="31"/>
        <v>2104.7121475948225</v>
      </c>
      <c r="AL47" s="65">
        <f t="shared" si="32"/>
        <v>32975</v>
      </c>
      <c r="AM47" s="65">
        <f t="shared" si="33"/>
        <v>2598.3233873593772</v>
      </c>
      <c r="AN47" s="65">
        <f t="shared" si="34"/>
        <v>30376.676612640622</v>
      </c>
      <c r="AO47" s="65">
        <f t="shared" si="35"/>
        <v>12776.506159721119</v>
      </c>
      <c r="AP47" s="65">
        <f t="shared" si="36"/>
        <v>19637.213228684624</v>
      </c>
      <c r="AQ47" s="65">
        <f>VLOOKUP($A47,'Car insurance'!$A$29:$K$80,8,FALSE)*$AZ$78+VLOOKUP('TCO Inputs'!A47,'Car insurance'!$A$29:$K$80,11,FALSE)*$BD$4</f>
        <v>29127.499803816685</v>
      </c>
      <c r="AR47" s="65">
        <v>0</v>
      </c>
      <c r="AS47" s="65">
        <f t="shared" si="37"/>
        <v>91917.895804863045</v>
      </c>
      <c r="AT47" s="60">
        <f t="shared" si="38"/>
        <v>4452.4660767002788</v>
      </c>
      <c r="AU47" s="65"/>
      <c r="AY47" s="216" t="s">
        <v>315</v>
      </c>
      <c r="AZ47" s="216"/>
      <c r="BA47" s="216"/>
      <c r="BB47" s="216"/>
      <c r="BC47" s="216"/>
      <c r="BD47" s="216"/>
    </row>
    <row r="48" spans="1:56" hidden="1" outlineLevel="1" x14ac:dyDescent="0.25">
      <c r="A48" s="35" t="s">
        <v>227</v>
      </c>
      <c r="B48" s="53">
        <f t="shared" si="39"/>
        <v>27690</v>
      </c>
      <c r="C48" s="53">
        <f t="shared" si="40"/>
        <v>43070</v>
      </c>
      <c r="D48" s="53">
        <f t="shared" si="41"/>
        <v>28855</v>
      </c>
      <c r="E48" s="53">
        <f t="shared" si="42"/>
        <v>32586</v>
      </c>
      <c r="F48" s="53">
        <f t="shared" si="43"/>
        <v>3958.3882042800105</v>
      </c>
      <c r="G48" s="53">
        <f t="shared" si="44"/>
        <v>2102.4530573088114</v>
      </c>
      <c r="H48" s="53">
        <f t="shared" si="45"/>
        <v>3652.9124753923325</v>
      </c>
      <c r="I48" s="53">
        <f t="shared" si="46"/>
        <v>4125.2401983411737</v>
      </c>
      <c r="J48" s="55">
        <f t="shared" si="47"/>
        <v>23731.611795719989</v>
      </c>
      <c r="K48" s="55">
        <f t="shared" si="48"/>
        <v>40967.546942691188</v>
      </c>
      <c r="L48" s="55">
        <f t="shared" si="49"/>
        <v>25202.087524607668</v>
      </c>
      <c r="M48" s="53">
        <f t="shared" si="50"/>
        <v>28460.759801658827</v>
      </c>
      <c r="N48" s="53">
        <f t="shared" si="51"/>
        <v>19140.205652477536</v>
      </c>
      <c r="O48" s="53">
        <f t="shared" si="52"/>
        <v>11868.479420502354</v>
      </c>
      <c r="P48" s="53">
        <f t="shared" si="53"/>
        <v>11778.58809383233</v>
      </c>
      <c r="Q48" s="53">
        <f t="shared" si="54"/>
        <v>17325.568881727595</v>
      </c>
      <c r="R48" s="53">
        <f t="shared" si="55"/>
        <v>24738.280631124973</v>
      </c>
      <c r="S48" s="53">
        <f t="shared" si="56"/>
        <v>15404.404534842361</v>
      </c>
      <c r="T48" s="53">
        <f t="shared" si="57"/>
        <v>22738.164324778692</v>
      </c>
      <c r="U48" s="53">
        <f t="shared" si="58"/>
        <v>22738.164324778692</v>
      </c>
      <c r="V48" s="55">
        <f>VLOOKUP($A48,'Car insurance'!$A$29:$K$80,6,FALSE)*$AZ$78+$AZ$29*VLOOKUP($A48,'Car insurance'!$A$29:$K$80,11,FALSE)</f>
        <v>25645.328691984039</v>
      </c>
      <c r="W48" s="53">
        <f>VLOOKUP($A48,'Car insurance'!$A$29:$K$80,8,FALSE)*$AZ$78+VLOOKUP('TCO Inputs'!A48,'Car insurance'!$A$29:$K$80,11,FALSE)*'TCO Inputs'!$BA$29</f>
        <v>37558.024667272781</v>
      </c>
      <c r="X48" s="53">
        <f>VLOOKUP($A48,'Car insurance'!$A$29:$K$80,10,FALSE)*$AZ$78+VLOOKUP($A48,'Car insurance'!$A$29:$K$80,11,FALSE)*'TCO Inputs'!$BB$29</f>
        <v>26724.30333720475</v>
      </c>
      <c r="Y48" s="53">
        <f>VLOOKUP($A48,'Car insurance'!$A$29:$K$80,10,FALSE)*$AZ$78+VLOOKUP($A48,'Car insurance'!$A$29:$K$80,11,FALSE)*'TCO Inputs'!$BC$29</f>
        <v>26879.139837204748</v>
      </c>
      <c r="Z48" s="53">
        <f t="shared" si="59"/>
        <v>0</v>
      </c>
      <c r="AA48" s="53">
        <f t="shared" si="60"/>
        <v>0</v>
      </c>
      <c r="AB48" s="53">
        <f t="shared" si="61"/>
        <v>0</v>
      </c>
      <c r="AC48" s="53">
        <f t="shared" si="62"/>
        <v>0</v>
      </c>
      <c r="AD48" s="65">
        <f t="shared" si="24"/>
        <v>93255.426771306549</v>
      </c>
      <c r="AE48" s="65">
        <f t="shared" si="25"/>
        <v>105798.45556530869</v>
      </c>
      <c r="AF48" s="65">
        <f t="shared" si="26"/>
        <v>86443.14328042345</v>
      </c>
      <c r="AG48" s="60">
        <f t="shared" si="27"/>
        <v>95403.632845369866</v>
      </c>
      <c r="AH48" s="144">
        <f t="shared" si="28"/>
        <v>0</v>
      </c>
      <c r="AI48" s="65">
        <f t="shared" si="29"/>
        <v>12543.028794002137</v>
      </c>
      <c r="AJ48" s="65">
        <f t="shared" si="30"/>
        <v>-6812.2834908830991</v>
      </c>
      <c r="AK48" s="60">
        <f t="shared" si="31"/>
        <v>2148.2060740633169</v>
      </c>
      <c r="AL48" s="65">
        <f t="shared" si="32"/>
        <v>32975</v>
      </c>
      <c r="AM48" s="65">
        <f t="shared" si="33"/>
        <v>2598.3233873593772</v>
      </c>
      <c r="AN48" s="65">
        <f t="shared" si="34"/>
        <v>30376.676612640622</v>
      </c>
      <c r="AO48" s="65">
        <f t="shared" si="35"/>
        <v>11149.407652291096</v>
      </c>
      <c r="AP48" s="65">
        <f t="shared" si="36"/>
        <v>21909.899010687885</v>
      </c>
      <c r="AQ48" s="65">
        <f>VLOOKUP($A48,'Car insurance'!$A$29:$K$80,8,FALSE)*$AZ$78+VLOOKUP('TCO Inputs'!A48,'Car insurance'!$A$29:$K$80,11,FALSE)*$BD$4</f>
        <v>37139.082167272783</v>
      </c>
      <c r="AR48" s="65">
        <v>0</v>
      </c>
      <c r="AS48" s="65">
        <f t="shared" si="37"/>
        <v>100575.06544289239</v>
      </c>
      <c r="AT48" s="60">
        <f t="shared" si="38"/>
        <v>7319.6386715858389</v>
      </c>
      <c r="AU48" s="65"/>
      <c r="AY48" s="127" t="s">
        <v>317</v>
      </c>
      <c r="AZ48" s="127" t="s">
        <v>308</v>
      </c>
      <c r="BA48" s="127" t="s">
        <v>255</v>
      </c>
      <c r="BB48" s="127" t="s">
        <v>254</v>
      </c>
      <c r="BC48" s="127" t="s">
        <v>253</v>
      </c>
      <c r="BD48" s="173" t="s">
        <v>519</v>
      </c>
    </row>
    <row r="49" spans="1:56" hidden="1" outlineLevel="1" x14ac:dyDescent="0.25">
      <c r="A49" s="35" t="s">
        <v>229</v>
      </c>
      <c r="B49" s="53">
        <f t="shared" si="39"/>
        <v>27690</v>
      </c>
      <c r="C49" s="53">
        <f t="shared" si="40"/>
        <v>43070</v>
      </c>
      <c r="D49" s="53">
        <f t="shared" si="41"/>
        <v>28855</v>
      </c>
      <c r="E49" s="53">
        <f t="shared" si="42"/>
        <v>32586</v>
      </c>
      <c r="F49" s="53">
        <f t="shared" si="43"/>
        <v>3958.3882042800105</v>
      </c>
      <c r="G49" s="53">
        <f t="shared" si="44"/>
        <v>2102.4530573088114</v>
      </c>
      <c r="H49" s="53">
        <f t="shared" si="45"/>
        <v>3652.9124753923325</v>
      </c>
      <c r="I49" s="53">
        <f t="shared" si="46"/>
        <v>4125.2401983411737</v>
      </c>
      <c r="J49" s="55">
        <f t="shared" si="47"/>
        <v>23731.611795719989</v>
      </c>
      <c r="K49" s="55">
        <f t="shared" si="48"/>
        <v>40967.546942691188</v>
      </c>
      <c r="L49" s="55">
        <f t="shared" si="49"/>
        <v>25202.087524607668</v>
      </c>
      <c r="M49" s="53">
        <f t="shared" si="50"/>
        <v>28460.759801658827</v>
      </c>
      <c r="N49" s="53">
        <f t="shared" si="51"/>
        <v>19533.028072035126</v>
      </c>
      <c r="O49" s="53">
        <f t="shared" si="52"/>
        <v>8505.6772639848987</v>
      </c>
      <c r="P49" s="53">
        <f t="shared" si="53"/>
        <v>12020.324967406232</v>
      </c>
      <c r="Q49" s="53">
        <f t="shared" si="54"/>
        <v>13316.365885620138</v>
      </c>
      <c r="R49" s="53">
        <f t="shared" si="55"/>
        <v>18668.373742517571</v>
      </c>
      <c r="S49" s="53">
        <f t="shared" si="56"/>
        <v>11624.703649596044</v>
      </c>
      <c r="T49" s="53">
        <f t="shared" si="57"/>
        <v>17159.015865462952</v>
      </c>
      <c r="U49" s="53">
        <f t="shared" si="58"/>
        <v>17159.015865462952</v>
      </c>
      <c r="V49" s="55">
        <f>VLOOKUP($A49,'Car insurance'!$A$29:$K$80,6,FALSE)*$AZ$78+$AZ$29*VLOOKUP($A49,'Car insurance'!$A$29:$K$80,11,FALSE)</f>
        <v>29777.851713764387</v>
      </c>
      <c r="W49" s="53">
        <f>VLOOKUP($A49,'Car insurance'!$A$29:$K$80,8,FALSE)*$AZ$78+VLOOKUP('TCO Inputs'!A49,'Car insurance'!$A$29:$K$80,11,FALSE)*'TCO Inputs'!$BA$29</f>
        <v>36414.764701408756</v>
      </c>
      <c r="X49" s="53">
        <f>VLOOKUP($A49,'Car insurance'!$A$29:$K$80,10,FALSE)*$AZ$78+VLOOKUP($A49,'Car insurance'!$A$29:$K$80,11,FALSE)*'TCO Inputs'!$BB$29</f>
        <v>31030.693795618325</v>
      </c>
      <c r="Y49" s="53">
        <f>VLOOKUP($A49,'Car insurance'!$A$29:$K$80,10,FALSE)*$AZ$78+VLOOKUP($A49,'Car insurance'!$A$29:$K$80,11,FALSE)*'TCO Inputs'!$BC$29</f>
        <v>31273.208795618324</v>
      </c>
      <c r="Z49" s="53">
        <f t="shared" si="59"/>
        <v>0</v>
      </c>
      <c r="AA49" s="53">
        <f t="shared" si="60"/>
        <v>0</v>
      </c>
      <c r="AB49" s="53">
        <f t="shared" si="61"/>
        <v>0</v>
      </c>
      <c r="AC49" s="53">
        <f t="shared" si="62"/>
        <v>0</v>
      </c>
      <c r="AD49" s="65">
        <f t="shared" si="24"/>
        <v>91710.865324037077</v>
      </c>
      <c r="AE49" s="65">
        <f t="shared" si="25"/>
        <v>97512.692557680886</v>
      </c>
      <c r="AF49" s="65">
        <f t="shared" si="26"/>
        <v>85412.122153095173</v>
      </c>
      <c r="AG49" s="60">
        <f t="shared" si="27"/>
        <v>90209.35034836024</v>
      </c>
      <c r="AH49" s="144">
        <f t="shared" si="28"/>
        <v>0</v>
      </c>
      <c r="AI49" s="65">
        <f t="shared" si="29"/>
        <v>5801.8272336438094</v>
      </c>
      <c r="AJ49" s="65">
        <f t="shared" si="30"/>
        <v>-6298.7431709419034</v>
      </c>
      <c r="AK49" s="60">
        <f t="shared" si="31"/>
        <v>-1501.5149756768369</v>
      </c>
      <c r="AL49" s="65">
        <f t="shared" si="32"/>
        <v>32975</v>
      </c>
      <c r="AM49" s="65">
        <f t="shared" si="33"/>
        <v>2598.3233873593772</v>
      </c>
      <c r="AN49" s="65">
        <f t="shared" si="34"/>
        <v>30376.676612640622</v>
      </c>
      <c r="AO49" s="65">
        <f t="shared" si="35"/>
        <v>9702.1564581273742</v>
      </c>
      <c r="AP49" s="65">
        <f t="shared" si="36"/>
        <v>16533.977825351274</v>
      </c>
      <c r="AQ49" s="65">
        <f>VLOOKUP($A49,'Car insurance'!$A$29:$K$80,8,FALSE)*$AZ$78+VLOOKUP('TCO Inputs'!A49,'Car insurance'!$A$29:$K$80,11,FALSE)*$BD$4</f>
        <v>35758.589701408753</v>
      </c>
      <c r="AR49" s="65">
        <v>0</v>
      </c>
      <c r="AS49" s="65">
        <f t="shared" si="37"/>
        <v>92371.400597528031</v>
      </c>
      <c r="AT49" s="60">
        <f t="shared" si="38"/>
        <v>660.53527349095384</v>
      </c>
      <c r="AU49" s="65"/>
      <c r="AY49" s="38" t="s">
        <v>323</v>
      </c>
      <c r="AZ49" s="36">
        <v>0.80300000000000005</v>
      </c>
      <c r="BA49" s="36">
        <v>0.92200000000000004</v>
      </c>
      <c r="BB49" s="36">
        <v>0.8</v>
      </c>
      <c r="BC49" s="36">
        <f>BB49</f>
        <v>0.8</v>
      </c>
      <c r="BD49" s="36">
        <v>0.98599999999999999</v>
      </c>
    </row>
    <row r="50" spans="1:56" hidden="1" outlineLevel="1" x14ac:dyDescent="0.25">
      <c r="A50" s="35" t="s">
        <v>159</v>
      </c>
      <c r="B50" s="53">
        <f t="shared" si="39"/>
        <v>27690</v>
      </c>
      <c r="C50" s="53">
        <f t="shared" si="40"/>
        <v>43070</v>
      </c>
      <c r="D50" s="53">
        <f t="shared" si="41"/>
        <v>28855</v>
      </c>
      <c r="E50" s="53">
        <f t="shared" si="42"/>
        <v>32586</v>
      </c>
      <c r="F50" s="53">
        <f t="shared" si="43"/>
        <v>3958.3882042800105</v>
      </c>
      <c r="G50" s="53">
        <f t="shared" si="44"/>
        <v>2102.4530573088114</v>
      </c>
      <c r="H50" s="53">
        <f t="shared" si="45"/>
        <v>3652.9124753923325</v>
      </c>
      <c r="I50" s="53">
        <f t="shared" si="46"/>
        <v>4125.2401983411737</v>
      </c>
      <c r="J50" s="55">
        <f t="shared" si="47"/>
        <v>23731.611795719989</v>
      </c>
      <c r="K50" s="55">
        <f t="shared" si="48"/>
        <v>40967.546942691188</v>
      </c>
      <c r="L50" s="55">
        <f t="shared" si="49"/>
        <v>25202.087524607668</v>
      </c>
      <c r="M50" s="53">
        <f t="shared" si="50"/>
        <v>28460.759801658827</v>
      </c>
      <c r="N50" s="53">
        <f t="shared" si="51"/>
        <v>21618.630743892809</v>
      </c>
      <c r="O50" s="53">
        <f t="shared" si="52"/>
        <v>14234.201221789541</v>
      </c>
      <c r="P50" s="53">
        <f t="shared" si="53"/>
        <v>13303.772765472499</v>
      </c>
      <c r="Q50" s="53">
        <f t="shared" si="54"/>
        <v>20289.420109001821</v>
      </c>
      <c r="R50" s="53">
        <f t="shared" si="55"/>
        <v>28774.086700038948</v>
      </c>
      <c r="S50" s="53">
        <f t="shared" si="56"/>
        <v>17917.480938038439</v>
      </c>
      <c r="T50" s="53">
        <f t="shared" si="57"/>
        <v>26447.671179610272</v>
      </c>
      <c r="U50" s="53">
        <f t="shared" si="58"/>
        <v>26447.671179610272</v>
      </c>
      <c r="V50" s="55">
        <f>VLOOKUP($A50,'Car insurance'!$A$29:$K$80,6,FALSE)*$AZ$78+$AZ$29*VLOOKUP($A50,'Car insurance'!$A$29:$K$80,11,FALSE)</f>
        <v>31131.60515167025</v>
      </c>
      <c r="W50" s="53">
        <f>VLOOKUP($A50,'Car insurance'!$A$29:$K$80,8,FALSE)*$AZ$78+VLOOKUP('TCO Inputs'!A50,'Car insurance'!$A$29:$K$80,11,FALSE)*'TCO Inputs'!$BA$29</f>
        <v>39349.621959210017</v>
      </c>
      <c r="X50" s="53">
        <f>VLOOKUP($A50,'Car insurance'!$A$29:$K$80,10,FALSE)*$AZ$78+VLOOKUP($A50,'Car insurance'!$A$29:$K$80,11,FALSE)*'TCO Inputs'!$BB$29</f>
        <v>32441.403634938422</v>
      </c>
      <c r="Y50" s="53">
        <f>VLOOKUP($A50,'Car insurance'!$A$29:$K$80,10,FALSE)*$AZ$78+VLOOKUP($A50,'Car insurance'!$A$29:$K$80,11,FALSE)*'TCO Inputs'!$BC$29</f>
        <v>32665.263634938423</v>
      </c>
      <c r="Z50" s="53">
        <f t="shared" si="59"/>
        <v>0</v>
      </c>
      <c r="AA50" s="53">
        <f t="shared" si="60"/>
        <v>0</v>
      </c>
      <c r="AB50" s="53">
        <f t="shared" si="61"/>
        <v>0</v>
      </c>
      <c r="AC50" s="53">
        <f t="shared" si="62"/>
        <v>0</v>
      </c>
      <c r="AD50" s="65">
        <f t="shared" si="24"/>
        <v>105255.93439132199</v>
      </c>
      <c r="AE50" s="65">
        <f t="shared" si="25"/>
        <v>112468.85106172919</v>
      </c>
      <c r="AF50" s="65">
        <f t="shared" si="26"/>
        <v>97394.935104628865</v>
      </c>
      <c r="AG50" s="60">
        <f t="shared" si="27"/>
        <v>107863.11472520935</v>
      </c>
      <c r="AH50" s="144">
        <f t="shared" si="28"/>
        <v>0</v>
      </c>
      <c r="AI50" s="65">
        <f t="shared" si="29"/>
        <v>7212.9166704071977</v>
      </c>
      <c r="AJ50" s="65">
        <f t="shared" si="30"/>
        <v>-7860.9992866931279</v>
      </c>
      <c r="AK50" s="60">
        <f t="shared" si="31"/>
        <v>2607.1803338873578</v>
      </c>
      <c r="AL50" s="65">
        <f t="shared" si="32"/>
        <v>32975</v>
      </c>
      <c r="AM50" s="65">
        <f t="shared" si="33"/>
        <v>2598.3233873593772</v>
      </c>
      <c r="AN50" s="65">
        <f t="shared" si="34"/>
        <v>30376.676612640622</v>
      </c>
      <c r="AO50" s="65">
        <f t="shared" si="35"/>
        <v>12982.577038776237</v>
      </c>
      <c r="AP50" s="65">
        <f t="shared" si="36"/>
        <v>25484.282562848479</v>
      </c>
      <c r="AQ50" s="65">
        <f>VLOOKUP($A50,'Car insurance'!$A$29:$K$80,8,FALSE)*$AZ$78+VLOOKUP('TCO Inputs'!A50,'Car insurance'!$A$29:$K$80,11,FALSE)*$BD$4</f>
        <v>38743.92195921002</v>
      </c>
      <c r="AR50" s="65">
        <v>0</v>
      </c>
      <c r="AS50" s="65">
        <f t="shared" si="37"/>
        <v>107587.45817347534</v>
      </c>
      <c r="AT50" s="60">
        <f t="shared" si="38"/>
        <v>2331.5237821533519</v>
      </c>
      <c r="AU50" s="65"/>
      <c r="AY50" s="38" t="s">
        <v>324</v>
      </c>
      <c r="AZ50" s="36">
        <v>0.113</v>
      </c>
      <c r="BA50" s="36">
        <v>0.192</v>
      </c>
      <c r="BB50" s="36">
        <v>0.121</v>
      </c>
      <c r="BC50" s="36">
        <f>BB50</f>
        <v>0.121</v>
      </c>
      <c r="BD50" s="36">
        <v>0.16600000000000001</v>
      </c>
    </row>
    <row r="51" spans="1:56" hidden="1" outlineLevel="1" x14ac:dyDescent="0.25">
      <c r="A51" s="35" t="s">
        <v>158</v>
      </c>
      <c r="B51" s="53">
        <f t="shared" si="39"/>
        <v>27690</v>
      </c>
      <c r="C51" s="53">
        <f t="shared" si="40"/>
        <v>43070</v>
      </c>
      <c r="D51" s="53">
        <f t="shared" si="41"/>
        <v>28855</v>
      </c>
      <c r="E51" s="53">
        <f t="shared" si="42"/>
        <v>32586</v>
      </c>
      <c r="F51" s="53">
        <f t="shared" si="43"/>
        <v>3958.3882042800105</v>
      </c>
      <c r="G51" s="53">
        <f t="shared" si="44"/>
        <v>2102.4530573088114</v>
      </c>
      <c r="H51" s="53">
        <f t="shared" si="45"/>
        <v>3652.9124753923325</v>
      </c>
      <c r="I51" s="53">
        <f t="shared" si="46"/>
        <v>4125.2401983411737</v>
      </c>
      <c r="J51" s="55">
        <f t="shared" si="47"/>
        <v>23731.611795719989</v>
      </c>
      <c r="K51" s="55">
        <f t="shared" si="48"/>
        <v>40967.546942691188</v>
      </c>
      <c r="L51" s="55">
        <f t="shared" si="49"/>
        <v>25202.087524607668</v>
      </c>
      <c r="M51" s="53">
        <f t="shared" si="50"/>
        <v>28460.759801658827</v>
      </c>
      <c r="N51" s="53">
        <f t="shared" si="51"/>
        <v>20842.159065201908</v>
      </c>
      <c r="O51" s="53">
        <f t="shared" si="52"/>
        <v>15943.357962817798</v>
      </c>
      <c r="P51" s="53">
        <f t="shared" si="53"/>
        <v>12825.94404012425</v>
      </c>
      <c r="Q51" s="53">
        <f t="shared" si="54"/>
        <v>19068.109799711267</v>
      </c>
      <c r="R51" s="53">
        <f t="shared" si="55"/>
        <v>26329.073644347081</v>
      </c>
      <c r="S51" s="53">
        <f t="shared" si="56"/>
        <v>16394.983446621802</v>
      </c>
      <c r="T51" s="53">
        <f t="shared" si="57"/>
        <v>24200.34003054881</v>
      </c>
      <c r="U51" s="53">
        <f t="shared" si="58"/>
        <v>24200.34003054881</v>
      </c>
      <c r="V51" s="55">
        <f>VLOOKUP($A51,'Car insurance'!$A$29:$K$80,6,FALSE)*$AZ$78+$AZ$29*VLOOKUP($A51,'Car insurance'!$A$29:$K$80,11,FALSE)</f>
        <v>23062.087198161855</v>
      </c>
      <c r="W51" s="53">
        <f>VLOOKUP($A51,'Car insurance'!$A$29:$K$80,8,FALSE)*$AZ$78+VLOOKUP('TCO Inputs'!A51,'Car insurance'!$A$29:$K$80,11,FALSE)*'TCO Inputs'!$BA$29</f>
        <v>27810.296365910825</v>
      </c>
      <c r="X51" s="53">
        <f>VLOOKUP($A51,'Car insurance'!$A$29:$K$80,10,FALSE)*$AZ$78+VLOOKUP($A51,'Car insurance'!$A$29:$K$80,11,FALSE)*'TCO Inputs'!$BB$29</f>
        <v>24032.37725182233</v>
      </c>
      <c r="Y51" s="53">
        <f>VLOOKUP($A51,'Car insurance'!$A$29:$K$80,10,FALSE)*$AZ$78+VLOOKUP($A51,'Car insurance'!$A$29:$K$80,11,FALSE)*'TCO Inputs'!$BC$29</f>
        <v>24218.92725182233</v>
      </c>
      <c r="Z51" s="53">
        <f t="shared" si="59"/>
        <v>0</v>
      </c>
      <c r="AA51" s="53">
        <f t="shared" si="60"/>
        <v>0</v>
      </c>
      <c r="AB51" s="53">
        <f t="shared" si="61"/>
        <v>0</v>
      </c>
      <c r="AC51" s="53">
        <f t="shared" si="62"/>
        <v>0</v>
      </c>
      <c r="AD51" s="65">
        <f t="shared" si="24"/>
        <v>93964.931703430833</v>
      </c>
      <c r="AE51" s="65">
        <f t="shared" si="25"/>
        <v>101116.18471804161</v>
      </c>
      <c r="AF51" s="65">
        <f t="shared" si="26"/>
        <v>86260.748847103067</v>
      </c>
      <c r="AG51" s="60">
        <f t="shared" si="27"/>
        <v>95948.13688374123</v>
      </c>
      <c r="AH51" s="144">
        <f t="shared" si="28"/>
        <v>0</v>
      </c>
      <c r="AI51" s="65">
        <f t="shared" si="29"/>
        <v>7151.2530146107747</v>
      </c>
      <c r="AJ51" s="65">
        <f t="shared" si="30"/>
        <v>-7704.1828563277668</v>
      </c>
      <c r="AK51" s="60">
        <f t="shared" si="31"/>
        <v>1983.2051803103968</v>
      </c>
      <c r="AL51" s="65">
        <f t="shared" si="32"/>
        <v>32975</v>
      </c>
      <c r="AM51" s="65">
        <f t="shared" si="33"/>
        <v>2598.3233873593772</v>
      </c>
      <c r="AN51" s="65">
        <f t="shared" si="34"/>
        <v>30376.676612640622</v>
      </c>
      <c r="AO51" s="65">
        <f t="shared" si="35"/>
        <v>13565.759467390577</v>
      </c>
      <c r="AP51" s="65">
        <f t="shared" si="36"/>
        <v>23318.813186507843</v>
      </c>
      <c r="AQ51" s="65">
        <f>VLOOKUP($A51,'Car insurance'!$A$29:$K$80,8,FALSE)*$AZ$78+VLOOKUP('TCO Inputs'!A51,'Car insurance'!$A$29:$K$80,11,FALSE)*$BD$4</f>
        <v>27305.546365910825</v>
      </c>
      <c r="AR51" s="65">
        <v>0</v>
      </c>
      <c r="AS51" s="65">
        <f t="shared" si="37"/>
        <v>94566.795632449866</v>
      </c>
      <c r="AT51" s="60">
        <f t="shared" si="38"/>
        <v>601.86392901903309</v>
      </c>
      <c r="AU51" s="65"/>
      <c r="AY51" s="38" t="s">
        <v>333</v>
      </c>
      <c r="AZ51" s="46">
        <f>1-AZ50</f>
        <v>0.88700000000000001</v>
      </c>
      <c r="BA51" s="46">
        <f>1-BA50</f>
        <v>0.80800000000000005</v>
      </c>
      <c r="BB51" s="46">
        <f>1-BB50</f>
        <v>0.879</v>
      </c>
      <c r="BC51" s="46">
        <f>BB51</f>
        <v>0.879</v>
      </c>
      <c r="BD51" s="46">
        <f>1-BD50</f>
        <v>0.83399999999999996</v>
      </c>
    </row>
    <row r="52" spans="1:56" hidden="1" outlineLevel="1" x14ac:dyDescent="0.25">
      <c r="A52" s="35" t="s">
        <v>160</v>
      </c>
      <c r="B52" s="65">
        <f t="shared" si="39"/>
        <v>27690</v>
      </c>
      <c r="C52" s="65">
        <f t="shared" si="40"/>
        <v>43070</v>
      </c>
      <c r="D52" s="65">
        <f t="shared" si="41"/>
        <v>28855</v>
      </c>
      <c r="E52" s="65">
        <f t="shared" si="42"/>
        <v>32586</v>
      </c>
      <c r="F52" s="65">
        <f t="shared" si="43"/>
        <v>3958.3882042800105</v>
      </c>
      <c r="G52" s="65">
        <f t="shared" si="44"/>
        <v>2102.4530573088114</v>
      </c>
      <c r="H52" s="65">
        <f t="shared" si="45"/>
        <v>3652.9124753923325</v>
      </c>
      <c r="I52" s="65">
        <f t="shared" si="46"/>
        <v>4125.2401983411737</v>
      </c>
      <c r="J52" s="71">
        <f t="shared" si="47"/>
        <v>23731.611795719989</v>
      </c>
      <c r="K52" s="71">
        <f t="shared" si="48"/>
        <v>40967.546942691188</v>
      </c>
      <c r="L52" s="71">
        <f t="shared" si="49"/>
        <v>25202.087524607668</v>
      </c>
      <c r="M52" s="65">
        <f t="shared" si="50"/>
        <v>28460.759801658827</v>
      </c>
      <c r="N52" s="53">
        <f t="shared" si="51"/>
        <v>34841.893189087554</v>
      </c>
      <c r="O52" s="53">
        <f t="shared" si="52"/>
        <v>20555.465256071479</v>
      </c>
      <c r="P52" s="53">
        <f t="shared" si="53"/>
        <v>21441.165039438496</v>
      </c>
      <c r="Q52" s="53">
        <f t="shared" si="54"/>
        <v>29804.87013608859</v>
      </c>
      <c r="R52" s="53">
        <f t="shared" si="55"/>
        <v>41038.367669070722</v>
      </c>
      <c r="S52" s="53">
        <f t="shared" si="56"/>
        <v>25554.387810953252</v>
      </c>
      <c r="T52" s="53">
        <f t="shared" si="57"/>
        <v>37720.371985188394</v>
      </c>
      <c r="U52" s="53">
        <f t="shared" si="58"/>
        <v>37720.371985188394</v>
      </c>
      <c r="V52" s="71">
        <f>VLOOKUP($A52,'Car insurance'!$A$29:$K$80,6,FALSE)*$AZ$78+$AZ$29*VLOOKUP($A52,'Car insurance'!$A$29:$K$80,11,FALSE)</f>
        <v>28256.599803816684</v>
      </c>
      <c r="W52" s="65">
        <f>VLOOKUP($A52,'Car insurance'!$A$29:$K$80,8,FALSE)*$AZ$78+VLOOKUP('TCO Inputs'!A52,'Car insurance'!$A$29:$K$80,11,FALSE)*'TCO Inputs'!$BA$29</f>
        <v>33680.010881513357</v>
      </c>
      <c r="X52" s="53">
        <f>VLOOKUP($A52,'Car insurance'!$A$29:$K$80,10,FALSE)*$AZ$78+VLOOKUP($A52,'Car insurance'!$A$29:$K$80,11,FALSE)*'TCO Inputs'!$BB$29</f>
        <v>29445.438329329376</v>
      </c>
      <c r="Y52" s="53">
        <f>VLOOKUP($A52,'Car insurance'!$A$29:$K$80,10,FALSE)*$AZ$78+VLOOKUP($A52,'Car insurance'!$A$29:$K$80,11,FALSE)*'TCO Inputs'!$BC$29</f>
        <v>29594.678329329374</v>
      </c>
      <c r="Z52" s="53">
        <f t="shared" si="59"/>
        <v>0</v>
      </c>
      <c r="AA52" s="53">
        <f t="shared" si="60"/>
        <v>0</v>
      </c>
      <c r="AB52" s="53">
        <f t="shared" si="61"/>
        <v>0</v>
      </c>
      <c r="AC52" s="53">
        <f t="shared" si="62"/>
        <v>0</v>
      </c>
      <c r="AD52" s="65">
        <f t="shared" si="24"/>
        <v>127868.47245769495</v>
      </c>
      <c r="AE52" s="65">
        <f t="shared" si="25"/>
        <v>120757.41089122927</v>
      </c>
      <c r="AF52" s="65">
        <f t="shared" si="26"/>
        <v>113809.06287856394</v>
      </c>
      <c r="AG52" s="60">
        <f t="shared" si="27"/>
        <v>125580.68025226519</v>
      </c>
      <c r="AH52" s="144">
        <f t="shared" si="28"/>
        <v>0</v>
      </c>
      <c r="AI52" s="65">
        <f t="shared" si="29"/>
        <v>-7111.0615664656798</v>
      </c>
      <c r="AJ52" s="65">
        <f t="shared" si="30"/>
        <v>-14059.40957913101</v>
      </c>
      <c r="AK52" s="60">
        <f t="shared" si="31"/>
        <v>-2287.7922054297669</v>
      </c>
      <c r="AL52" s="65">
        <f t="shared" si="32"/>
        <v>32975</v>
      </c>
      <c r="AM52" s="65">
        <f t="shared" si="33"/>
        <v>2598.3233873593772</v>
      </c>
      <c r="AN52" s="65">
        <f t="shared" si="34"/>
        <v>30376.676612640622</v>
      </c>
      <c r="AO52" s="65">
        <f t="shared" si="35"/>
        <v>19808.023359571842</v>
      </c>
      <c r="AP52" s="65">
        <f t="shared" si="36"/>
        <v>36346.361519625512</v>
      </c>
      <c r="AQ52" s="65">
        <f>VLOOKUP($A52,'Car insurance'!$A$29:$K$80,8,FALSE)*$AZ$78+VLOOKUP('TCO Inputs'!A52,'Car insurance'!$A$29:$K$80,11,FALSE)*$BD$4</f>
        <v>33276.210881513354</v>
      </c>
      <c r="AR52" s="65">
        <v>0</v>
      </c>
      <c r="AS52" s="65">
        <f t="shared" si="37"/>
        <v>119807.27237335133</v>
      </c>
      <c r="AT52" s="60">
        <f t="shared" si="38"/>
        <v>-8061.2000843436253</v>
      </c>
      <c r="AU52" s="65"/>
      <c r="AY52" s="38" t="s">
        <v>314</v>
      </c>
      <c r="AZ52" s="35">
        <f>$AZ$13</f>
        <v>14</v>
      </c>
      <c r="BA52" s="35">
        <f>$AZ$13</f>
        <v>14</v>
      </c>
      <c r="BB52" s="35">
        <f>$AZ$13</f>
        <v>14</v>
      </c>
      <c r="BC52" s="35">
        <f>$AZ$13</f>
        <v>14</v>
      </c>
      <c r="BD52" s="35">
        <f>$AZ$13</f>
        <v>14</v>
      </c>
    </row>
    <row r="53" spans="1:56" hidden="1" outlineLevel="1" x14ac:dyDescent="0.25">
      <c r="A53" s="119" t="s">
        <v>134</v>
      </c>
      <c r="B53" s="145">
        <f t="shared" si="39"/>
        <v>27690</v>
      </c>
      <c r="C53" s="145">
        <f t="shared" si="40"/>
        <v>43070</v>
      </c>
      <c r="D53" s="145">
        <f t="shared" si="41"/>
        <v>28855</v>
      </c>
      <c r="E53" s="145">
        <f t="shared" si="42"/>
        <v>32586</v>
      </c>
      <c r="F53" s="145">
        <f t="shared" si="43"/>
        <v>3958.3882042800105</v>
      </c>
      <c r="G53" s="145">
        <f t="shared" si="44"/>
        <v>2102.4530573088114</v>
      </c>
      <c r="H53" s="145">
        <f t="shared" si="45"/>
        <v>3652.9124753923325</v>
      </c>
      <c r="I53" s="145">
        <f t="shared" si="46"/>
        <v>4125.2401983411737</v>
      </c>
      <c r="J53" s="152">
        <f t="shared" si="47"/>
        <v>23731.611795719989</v>
      </c>
      <c r="K53" s="152">
        <f t="shared" si="48"/>
        <v>40967.546942691188</v>
      </c>
      <c r="L53" s="152">
        <f t="shared" si="49"/>
        <v>25202.087524607668</v>
      </c>
      <c r="M53" s="145">
        <f t="shared" si="50"/>
        <v>28460.759801658827</v>
      </c>
      <c r="N53" s="145">
        <f t="shared" si="51"/>
        <v>19771.590550195309</v>
      </c>
      <c r="O53" s="145">
        <f t="shared" si="52"/>
        <v>13805.184698017487</v>
      </c>
      <c r="P53" s="145">
        <f t="shared" si="53"/>
        <v>12167.132646274036</v>
      </c>
      <c r="Q53" s="145">
        <f t="shared" si="54"/>
        <v>17289.565380098546</v>
      </c>
      <c r="R53" s="145">
        <f t="shared" si="55"/>
        <v>24314.694906951539</v>
      </c>
      <c r="S53" s="145">
        <f t="shared" si="56"/>
        <v>15140.639807307416</v>
      </c>
      <c r="T53" s="145">
        <f t="shared" si="57"/>
        <v>22348.825957027795</v>
      </c>
      <c r="U53" s="145">
        <f t="shared" si="58"/>
        <v>22348.825957027795</v>
      </c>
      <c r="V53" s="152">
        <f>VLOOKUP($A53,'Car insurance'!$A$29:$K$80,6,FALSE)*$AZ$78+$AZ$29*VLOOKUP($A53,'Car insurance'!$A$29:$K$80,11,FALSE)</f>
        <v>30232.626289709417</v>
      </c>
      <c r="W53" s="145">
        <f>VLOOKUP($A53,'Car insurance'!$A$29:$K$80,8,FALSE)*$AZ$78+VLOOKUP('TCO Inputs'!A53,'Car insurance'!$A$29:$K$80,11,FALSE)*'TCO Inputs'!$BA$29</f>
        <v>37428.196038598064</v>
      </c>
      <c r="X53" s="145">
        <f>VLOOKUP($A53,'Car insurance'!$A$29:$K$80,10,FALSE)*$AZ$78+VLOOKUP($A53,'Car insurance'!$A$29:$K$80,11,FALSE)*'TCO Inputs'!$BB$29</f>
        <v>31504.602079796503</v>
      </c>
      <c r="Y53" s="145">
        <f>VLOOKUP($A53,'Car insurance'!$A$29:$K$80,10,FALSE)*$AZ$78+VLOOKUP($A53,'Car insurance'!$A$29:$K$80,11,FALSE)*'TCO Inputs'!$BC$29</f>
        <v>31690.998450384737</v>
      </c>
      <c r="Z53" s="145">
        <f t="shared" si="59"/>
        <v>0</v>
      </c>
      <c r="AA53" s="145">
        <f t="shared" si="60"/>
        <v>0</v>
      </c>
      <c r="AB53" s="145">
        <f t="shared" si="61"/>
        <v>0</v>
      </c>
      <c r="AC53" s="145">
        <f t="shared" si="62"/>
        <v>0</v>
      </c>
      <c r="AD53" s="145">
        <f t="shared" si="24"/>
        <v>98050.523542576251</v>
      </c>
      <c r="AE53" s="145">
        <f t="shared" si="25"/>
        <v>107341.56748661415</v>
      </c>
      <c r="AF53" s="145">
        <f t="shared" si="26"/>
        <v>91222.648207705992</v>
      </c>
      <c r="AG53" s="146">
        <f t="shared" si="27"/>
        <v>99790.149589169916</v>
      </c>
      <c r="AH53" s="145">
        <f t="shared" si="28"/>
        <v>0</v>
      </c>
      <c r="AI53" s="145">
        <f t="shared" si="29"/>
        <v>9291.0439440378977</v>
      </c>
      <c r="AJ53" s="145">
        <f t="shared" si="30"/>
        <v>-6827.8753348702594</v>
      </c>
      <c r="AK53" s="146">
        <f t="shared" si="31"/>
        <v>1739.6260465936648</v>
      </c>
      <c r="AL53" s="161">
        <f t="shared" si="32"/>
        <v>32975</v>
      </c>
      <c r="AM53" s="145">
        <f t="shared" si="33"/>
        <v>2598.3233873593772</v>
      </c>
      <c r="AN53" s="145">
        <f t="shared" si="34"/>
        <v>30376.676612640622</v>
      </c>
      <c r="AO53" s="145">
        <f t="shared" si="35"/>
        <v>12265.128199208546</v>
      </c>
      <c r="AP53" s="145">
        <f t="shared" si="36"/>
        <v>21534.742766913518</v>
      </c>
      <c r="AQ53" s="145">
        <f>VLOOKUP($A53,'Car insurance'!$A$29:$K$80,8,FALSE)*$AZ$78+VLOOKUP('TCO Inputs'!A53,'Car insurance'!$A$29:$K$80,11,FALSE)*$BD$4</f>
        <v>36923.861715068648</v>
      </c>
      <c r="AR53" s="145">
        <v>0</v>
      </c>
      <c r="AS53" s="145">
        <f t="shared" si="37"/>
        <v>101100.40929383134</v>
      </c>
      <c r="AT53" s="146">
        <f t="shared" si="38"/>
        <v>3049.8857512550894</v>
      </c>
      <c r="AU53" s="65"/>
      <c r="AY53" s="38" t="s">
        <v>334</v>
      </c>
      <c r="AZ53" s="36">
        <f>AZ49*(AZ51^(AZ52-1))</f>
        <v>0.1689361541084855</v>
      </c>
      <c r="BA53" s="36">
        <f>BA49*(BA51^(BA52-1))</f>
        <v>5.7687087264719238E-2</v>
      </c>
      <c r="BB53" s="36">
        <f>BB49*(BB51^(BB52-1))</f>
        <v>0.14960474318314521</v>
      </c>
      <c r="BC53" s="36">
        <f>BC49*(BC51^(BC52-1))</f>
        <v>0.14960474318314521</v>
      </c>
      <c r="BD53" s="36">
        <f>BD49*(BD51^(BD52-1))</f>
        <v>9.3118414600373303E-2</v>
      </c>
    </row>
    <row r="54" spans="1:56" hidden="1" outlineLevel="1" x14ac:dyDescent="0.25"/>
    <row r="55" spans="1:56" hidden="1" outlineLevel="1" x14ac:dyDescent="0.25">
      <c r="AY55" s="216" t="s">
        <v>402</v>
      </c>
      <c r="AZ55" s="216"/>
      <c r="BA55" s="216"/>
      <c r="BB55" s="216"/>
      <c r="BC55" s="216"/>
      <c r="BD55" s="216"/>
    </row>
    <row r="56" spans="1:56" hidden="1" outlineLevel="1" x14ac:dyDescent="0.25">
      <c r="AY56" s="37"/>
      <c r="AZ56" s="37" t="s">
        <v>308</v>
      </c>
      <c r="BA56" s="37" t="s">
        <v>255</v>
      </c>
      <c r="BB56" s="37" t="s">
        <v>254</v>
      </c>
      <c r="BC56" s="37" t="s">
        <v>253</v>
      </c>
      <c r="BD56" s="37" t="s">
        <v>519</v>
      </c>
    </row>
    <row r="57" spans="1:56" hidden="1" outlineLevel="1" x14ac:dyDescent="0.25">
      <c r="A57" s="105" t="s">
        <v>454</v>
      </c>
      <c r="AY57" s="38" t="s">
        <v>325</v>
      </c>
      <c r="AZ57" s="47">
        <v>24.29</v>
      </c>
      <c r="BA57" s="47">
        <v>85.04</v>
      </c>
      <c r="BB57" s="47">
        <v>35.92</v>
      </c>
      <c r="BC57" s="40">
        <f>BB57</f>
        <v>35.92</v>
      </c>
      <c r="BD57" s="40"/>
    </row>
    <row r="58" spans="1:56" hidden="1" outlineLevel="1" x14ac:dyDescent="0.25">
      <c r="A58" s="213" t="s">
        <v>3</v>
      </c>
      <c r="B58" s="216" t="s">
        <v>317</v>
      </c>
      <c r="C58" s="216"/>
      <c r="D58" s="216"/>
      <c r="E58" s="216"/>
      <c r="F58" s="216"/>
      <c r="G58" s="216"/>
      <c r="H58" s="216"/>
      <c r="I58" s="216"/>
      <c r="J58" s="216"/>
      <c r="K58" s="216"/>
      <c r="L58" s="216"/>
      <c r="M58" s="216"/>
      <c r="N58" s="216"/>
      <c r="O58" s="216"/>
      <c r="P58" s="216"/>
      <c r="Q58" s="216"/>
      <c r="R58" s="216"/>
      <c r="S58" s="216"/>
      <c r="T58" s="216"/>
      <c r="U58" s="216"/>
      <c r="V58" s="214" t="s">
        <v>453</v>
      </c>
      <c r="AY58" s="38" t="s">
        <v>326</v>
      </c>
      <c r="AZ58" s="74">
        <f>AZ5</f>
        <v>32</v>
      </c>
      <c r="BA58" s="48" t="s">
        <v>327</v>
      </c>
      <c r="BB58" s="48" t="s">
        <v>327</v>
      </c>
      <c r="BC58" s="48" t="s">
        <v>327</v>
      </c>
      <c r="BD58" s="48" t="s">
        <v>327</v>
      </c>
    </row>
    <row r="59" spans="1:56" hidden="1" outlineLevel="1" x14ac:dyDescent="0.25">
      <c r="A59" s="213"/>
      <c r="B59" s="35">
        <v>1</v>
      </c>
      <c r="C59" s="35">
        <v>2</v>
      </c>
      <c r="D59" s="35">
        <v>3</v>
      </c>
      <c r="E59" s="35">
        <v>4</v>
      </c>
      <c r="F59" s="35">
        <v>5</v>
      </c>
      <c r="G59" s="35">
        <v>6</v>
      </c>
      <c r="H59" s="35">
        <v>7</v>
      </c>
      <c r="I59" s="35">
        <v>8</v>
      </c>
      <c r="J59" s="35">
        <v>9</v>
      </c>
      <c r="K59" s="35">
        <v>10</v>
      </c>
      <c r="L59" s="35">
        <v>11</v>
      </c>
      <c r="M59" s="35">
        <v>12</v>
      </c>
      <c r="N59" s="35">
        <v>13</v>
      </c>
      <c r="O59" s="35">
        <v>14</v>
      </c>
      <c r="P59" s="35">
        <v>15</v>
      </c>
      <c r="Q59" s="35">
        <v>16</v>
      </c>
      <c r="R59" s="35">
        <v>17</v>
      </c>
      <c r="S59" s="35">
        <v>18</v>
      </c>
      <c r="T59" s="35">
        <v>19</v>
      </c>
      <c r="U59" s="35">
        <v>20</v>
      </c>
      <c r="V59" s="215"/>
      <c r="AY59" s="38" t="s">
        <v>328</v>
      </c>
      <c r="AZ59" s="48" t="s">
        <v>327</v>
      </c>
      <c r="BA59" s="48" t="s">
        <v>327</v>
      </c>
      <c r="BB59" s="74">
        <f>BB5</f>
        <v>52</v>
      </c>
      <c r="BC59" s="48" t="s">
        <v>327</v>
      </c>
      <c r="BD59" s="48" t="s">
        <v>327</v>
      </c>
    </row>
    <row r="60" spans="1:56" hidden="1" outlineLevel="1" x14ac:dyDescent="0.25">
      <c r="A60" s="102" t="s">
        <v>187</v>
      </c>
      <c r="B60" s="113">
        <f>VLOOKUP($A60,'VKT US'!$B$63:$AA$113,(B$59+1),FALSE)/VLOOKUP($A60,'Fuel economy adjusted factor'!$A$2:$F$52,4,FALSE)*INDEX('Year data'!$B$111:$AC$161,MATCH($A60,'Year data'!$A$111:$A$161,0),MATCH('TCO Inputs'!$AZ$12,'Year data'!$B$110:$AC$110,0))/(1+$AZ$41)^B$59</f>
        <v>1951.8807915901305</v>
      </c>
      <c r="C60" s="113">
        <f>VLOOKUP($A60,'VKT US'!$B$63:$AA$113,(C$59+1),FALSE)/VLOOKUP($A60,'Fuel economy adjusted factor'!$A$2:$F$52,4,FALSE)*INDEX('Year data'!$B$111:$AC$161,MATCH($A60,'Year data'!$A$111:$A$161,0),MATCH('TCO Inputs'!$AZ$12,'Year data'!$B$110:$AC$110,0))/(1+$AZ$41)^C$59</f>
        <v>1871.3695714215546</v>
      </c>
      <c r="D60" s="113">
        <f>VLOOKUP($A60,'VKT US'!$B$63:$AA$113,(D$59+1),FALSE)/VLOOKUP($A60,'Fuel economy adjusted factor'!$A$2:$F$52,4,FALSE)*INDEX('Year data'!$B$111:$AC$161,MATCH($A60,'Year data'!$A$111:$A$161,0),MATCH('TCO Inputs'!$AZ$12,'Year data'!$B$110:$AC$110,0))/(1+$AZ$41)^D$59</f>
        <v>1794.2819044169735</v>
      </c>
      <c r="E60" s="113">
        <f>VLOOKUP($A60,'VKT US'!$B$63:$AA$113,(E$59+1),FALSE)/VLOOKUP($A60,'Fuel economy adjusted factor'!$A$2:$F$52,4,FALSE)*INDEX('Year data'!$B$111:$AC$161,MATCH($A60,'Year data'!$A$111:$A$161,0),MATCH('TCO Inputs'!$AZ$12,'Year data'!$B$110:$AC$110,0))/(1+$AZ$41)^E$59</f>
        <v>1720.6626669901541</v>
      </c>
      <c r="F60" s="113">
        <f>VLOOKUP($A60,'VKT US'!$B$63:$AA$113,(F$59+1),FALSE)/VLOOKUP($A60,'Fuel economy adjusted factor'!$A$2:$F$52,4,FALSE)*INDEX('Year data'!$B$111:$AC$161,MATCH($A60,'Year data'!$A$111:$A$161,0),MATCH('TCO Inputs'!$AZ$12,'Year data'!$B$110:$AC$110,0))/(1+$AZ$41)^F$59</f>
        <v>1650.283528856866</v>
      </c>
      <c r="G60" s="113">
        <f>VLOOKUP($A60,'VKT US'!$B$63:$AA$113,(G$59+1),FALSE)/VLOOKUP($A60,'Fuel economy adjusted factor'!$A$2:$F$52,4,FALSE)*INDEX('Year data'!$B$111:$AC$161,MATCH($A60,'Year data'!$A$111:$A$161,0),MATCH('TCO Inputs'!$AZ$12,'Year data'!$B$110:$AC$110,0))/(1+$AZ$41)^G$59</f>
        <v>1583.3227940612876</v>
      </c>
      <c r="H60" s="113">
        <f>VLOOKUP($A60,'VKT US'!$B$63:$AA$113,(H$59+1),FALSE)/VLOOKUP($A60,'Fuel economy adjusted factor'!$A$2:$F$52,4,FALSE)*INDEX('Year data'!$B$111:$AC$161,MATCH($A60,'Year data'!$A$111:$A$161,0),MATCH('TCO Inputs'!$AZ$12,'Year data'!$B$110:$AC$110,0))/(1+$AZ$41)^H$59</f>
        <v>1519.2921465278928</v>
      </c>
      <c r="I60" s="113">
        <f>VLOOKUP($A60,'VKT US'!$B$63:$AA$113,(I$59+1),FALSE)/VLOOKUP($A60,'Fuel economy adjusted factor'!$A$2:$F$52,4,FALSE)*INDEX('Year data'!$B$111:$AC$161,MATCH($A60,'Year data'!$A$111:$A$161,0),MATCH('TCO Inputs'!$AZ$12,'Year data'!$B$110:$AC$110,0))/(1+$AZ$41)^I$59</f>
        <v>1458.3720906525698</v>
      </c>
      <c r="J60" s="113">
        <f>VLOOKUP($A60,'VKT US'!$B$63:$AA$113,(J$59+1),FALSE)/VLOOKUP($A60,'Fuel economy adjusted factor'!$A$2:$F$52,4,FALSE)*INDEX('Year data'!$B$111:$AC$161,MATCH($A60,'Year data'!$A$111:$A$161,0),MATCH('TCO Inputs'!$AZ$12,'Year data'!$B$110:$AC$110,0))/(1+$AZ$41)^J$59</f>
        <v>1400.4763423045049</v>
      </c>
      <c r="K60" s="113">
        <f>VLOOKUP($A60,'VKT US'!$B$63:$AA$113,(K$59+1),FALSE)/VLOOKUP($A60,'Fuel economy adjusted factor'!$A$2:$F$52,4,FALSE)*INDEX('Year data'!$B$111:$AC$161,MATCH($A60,'Year data'!$A$111:$A$161,0),MATCH('TCO Inputs'!$AZ$12,'Year data'!$B$110:$AC$110,0))/(1+$AZ$41)^K$59</f>
        <v>1345.5204814079582</v>
      </c>
      <c r="L60" s="113">
        <f>VLOOKUP($A60,'VKT US'!$B$63:$AA$113,(L$59+1),FALSE)/VLOOKUP($A60,'Fuel economy adjusted factor'!$A$2:$F$52,4,FALSE)*INDEX('Year data'!$B$111:$AC$161,MATCH($A60,'Year data'!$A$111:$A$161,0),MATCH('TCO Inputs'!$AZ$12,'Year data'!$B$110:$AC$110,0))/(1+$AZ$41)^L$59</f>
        <v>1293.2968518721345</v>
      </c>
      <c r="M60" s="113">
        <f>VLOOKUP($A60,'VKT US'!$B$63:$AA$113,(M$59+1),FALSE)/VLOOKUP($A60,'Fuel economy adjusted factor'!$A$2:$F$52,4,FALSE)*INDEX('Year data'!$B$111:$AC$161,MATCH($A60,'Year data'!$A$111:$A$161,0),MATCH('TCO Inputs'!$AZ$12,'Year data'!$B$110:$AC$110,0))/(1+$AZ$41)^M$59</f>
        <v>1243.8526879737929</v>
      </c>
      <c r="N60" s="113">
        <f>VLOOKUP($A60,'VKT US'!$B$63:$AA$113,(N$59+1),FALSE)/VLOOKUP($A60,'Fuel economy adjusted factor'!$A$2:$F$52,4,FALSE)*INDEX('Year data'!$B$111:$AC$161,MATCH($A60,'Year data'!$A$111:$A$161,0),MATCH('TCO Inputs'!$AZ$12,'Year data'!$B$110:$AC$110,0))/(1+$AZ$41)^N$59</f>
        <v>1196.9867842736755</v>
      </c>
      <c r="O60" s="113">
        <f>VLOOKUP($A60,'VKT US'!$B$63:$AA$113,(O$59+1),FALSE)/VLOOKUP($A60,'Fuel economy adjusted factor'!$A$2:$F$52,4,FALSE)*INDEX('Year data'!$B$111:$AC$161,MATCH($A60,'Year data'!$A$111:$A$161,0),MATCH('TCO Inputs'!$AZ$12,'Year data'!$B$110:$AC$110,0))/(1+$AZ$41)^O$59</f>
        <v>1152.7467926371426</v>
      </c>
      <c r="P60" s="113">
        <f>VLOOKUP($A60,'VKT US'!$B$63:$AA$113,(P$59+1),FALSE)/VLOOKUP($A60,'Fuel economy adjusted factor'!$A$2:$F$52,4,FALSE)*INDEX('Year data'!$B$111:$AC$161,MATCH($A60,'Year data'!$A$111:$A$161,0),MATCH('TCO Inputs'!$AZ$12,'Year data'!$B$110:$AC$110,0))/(1+$AZ$41)^P$59</f>
        <v>1110.937758413769</v>
      </c>
      <c r="Q60" s="113">
        <f>VLOOKUP($A60,'VKT US'!$B$63:$AA$113,(Q$59+1),FALSE)/VLOOKUP($A60,'Fuel economy adjusted factor'!$A$2:$F$52,4,FALSE)*INDEX('Year data'!$B$111:$AC$161,MATCH($A60,'Year data'!$A$111:$A$161,0),MATCH('TCO Inputs'!$AZ$12,'Year data'!$B$110:$AC$110,0))/(1+$AZ$41)^Q$59</f>
        <v>1071.7255179481556</v>
      </c>
      <c r="R60" s="113">
        <f>VLOOKUP($A60,'VKT US'!$B$63:$AA$113,(R$59+1),FALSE)/VLOOKUP($A60,'Fuel economy adjusted factor'!$A$2:$F$52,4,FALSE)*INDEX('Year data'!$B$111:$AC$161,MATCH($A60,'Year data'!$A$111:$A$161,0),MATCH('TCO Inputs'!$AZ$12,'Year data'!$B$110:$AC$110,0))/(1+$AZ$41)^R$59</f>
        <v>1034.68412884494</v>
      </c>
      <c r="S60" s="113">
        <f>VLOOKUP($A60,'VKT US'!$B$63:$AA$113,(S$59+1),FALSE)/VLOOKUP($A60,'Fuel economy adjusted factor'!$A$2:$F$52,4,FALSE)*INDEX('Year data'!$B$111:$AC$161,MATCH($A60,'Year data'!$A$111:$A$161,0),MATCH('TCO Inputs'!$AZ$12,'Year data'!$B$110:$AC$110,0))/(1+$AZ$41)^S$59</f>
        <v>1000.0961937173705</v>
      </c>
      <c r="T60" s="113">
        <f>VLOOKUP($A60,'VKT US'!$B$63:$AA$113,(T$59+1),FALSE)/VLOOKUP($A60,'Fuel economy adjusted factor'!$A$2:$F$52,4,FALSE)*INDEX('Year data'!$B$111:$AC$161,MATCH($A60,'Year data'!$A$111:$A$161,0),MATCH('TCO Inputs'!$AZ$12,'Year data'!$B$110:$AC$110,0))/(1+$AZ$41)^T$59</f>
        <v>967.54722744170363</v>
      </c>
      <c r="U60" s="113">
        <f>VLOOKUP($A60,'VKT US'!$B$63:$AA$113,(U$59+1),FALSE)/VLOOKUP($A60,'Fuel economy adjusted factor'!$A$2:$F$52,4,FALSE)*INDEX('Year data'!$B$111:$AC$161,MATCH($A60,'Year data'!$A$111:$A$161,0),MATCH('TCO Inputs'!$AZ$12,'Year data'!$B$110:$AC$110,0))/(1+$AZ$41)^U$59</f>
        <v>937.31456406027166</v>
      </c>
      <c r="V60" s="109" cm="1">
        <f t="array" ref="V60">SUMPRODUCT(INDEX(B60:U60,,_xlfn.SEQUENCE($AZ$13)))</f>
        <v>21182.345434986637</v>
      </c>
      <c r="AY60" s="38" t="s">
        <v>382</v>
      </c>
      <c r="AZ60" s="48" t="s">
        <v>327</v>
      </c>
      <c r="BA60" s="75">
        <f>BA5*AZ79</f>
        <v>3.5311572700296732</v>
      </c>
      <c r="BB60" s="35" t="s">
        <v>327</v>
      </c>
      <c r="BC60" s="48" t="s">
        <v>327</v>
      </c>
      <c r="BD60" s="48" t="s">
        <v>327</v>
      </c>
    </row>
    <row r="61" spans="1:56" hidden="1" outlineLevel="1" x14ac:dyDescent="0.25">
      <c r="A61" s="102" t="s">
        <v>231</v>
      </c>
      <c r="B61" s="113">
        <f>VLOOKUP($A61,'VKT US'!$B$63:$AA$113,(B$59+1),FALSE)/VLOOKUP($A61,'Fuel economy adjusted factor'!$A$2:$F$52,4,FALSE)*INDEX('Year data'!$B$111:$AC$161,MATCH($A61,'Year data'!$A$111:$A$161,0),MATCH('TCO Inputs'!$AZ$12,'Year data'!$B$110:$AC$110,0))/(1+$AZ$41)^B$59</f>
        <v>2095.4488862779153</v>
      </c>
      <c r="C61" s="113">
        <f>VLOOKUP($A61,'VKT US'!$B$63:$AA$113,(C$59+1),FALSE)/VLOOKUP($A61,'Fuel economy adjusted factor'!$A$2:$F$52,4,FALSE)*INDEX('Year data'!$B$111:$AC$161,MATCH($A61,'Year data'!$A$111:$A$161,0),MATCH('TCO Inputs'!$AZ$12,'Year data'!$B$110:$AC$110,0))/(1+$AZ$41)^C$59</f>
        <v>2009.0157663035757</v>
      </c>
      <c r="D61" s="113">
        <f>VLOOKUP($A61,'VKT US'!$B$63:$AA$113,(D$59+1),FALSE)/VLOOKUP($A61,'Fuel economy adjusted factor'!$A$2:$F$52,4,FALSE)*INDEX('Year data'!$B$111:$AC$161,MATCH($A61,'Year data'!$A$111:$A$161,0),MATCH('TCO Inputs'!$AZ$12,'Year data'!$B$110:$AC$110,0))/(1+$AZ$41)^D$59</f>
        <v>1926.2580145666386</v>
      </c>
      <c r="E61" s="113">
        <f>VLOOKUP($A61,'VKT US'!$B$63:$AA$113,(E$59+1),FALSE)/VLOOKUP($A61,'Fuel economy adjusted factor'!$A$2:$F$52,4,FALSE)*INDEX('Year data'!$B$111:$AC$161,MATCH($A61,'Year data'!$A$111:$A$161,0),MATCH('TCO Inputs'!$AZ$12,'Year data'!$B$110:$AC$110,0))/(1+$AZ$41)^E$59</f>
        <v>1847.223808308077</v>
      </c>
      <c r="F61" s="113">
        <f>VLOOKUP($A61,'VKT US'!$B$63:$AA$113,(F$59+1),FALSE)/VLOOKUP($A61,'Fuel economy adjusted factor'!$A$2:$F$52,4,FALSE)*INDEX('Year data'!$B$111:$AC$161,MATCH($A61,'Year data'!$A$111:$A$161,0),MATCH('TCO Inputs'!$AZ$12,'Year data'!$B$110:$AC$110,0))/(1+$AZ$41)^F$59</f>
        <v>1771.6680227016959</v>
      </c>
      <c r="G61" s="113">
        <f>VLOOKUP($A61,'VKT US'!$B$63:$AA$113,(G$59+1),FALSE)/VLOOKUP($A61,'Fuel economy adjusted factor'!$A$2:$F$52,4,FALSE)*INDEX('Year data'!$B$111:$AC$161,MATCH($A61,'Year data'!$A$111:$A$161,0),MATCH('TCO Inputs'!$AZ$12,'Year data'!$B$110:$AC$110,0))/(1+$AZ$41)^G$59</f>
        <v>1699.7820767175474</v>
      </c>
      <c r="H61" s="113">
        <f>VLOOKUP($A61,'VKT US'!$B$63:$AA$113,(H$59+1),FALSE)/VLOOKUP($A61,'Fuel economy adjusted factor'!$A$2:$F$52,4,FALSE)*INDEX('Year data'!$B$111:$AC$161,MATCH($A61,'Year data'!$A$111:$A$161,0),MATCH('TCO Inputs'!$AZ$12,'Year data'!$B$110:$AC$110,0))/(1+$AZ$41)^H$59</f>
        <v>1631.0417368158462</v>
      </c>
      <c r="I61" s="113">
        <f>VLOOKUP($A61,'VKT US'!$B$63:$AA$113,(I$59+1),FALSE)/VLOOKUP($A61,'Fuel economy adjusted factor'!$A$2:$F$52,4,FALSE)*INDEX('Year data'!$B$111:$AC$161,MATCH($A61,'Year data'!$A$111:$A$161,0),MATCH('TCO Inputs'!$AZ$12,'Year data'!$B$110:$AC$110,0))/(1+$AZ$41)^I$59</f>
        <v>1565.6407841624123</v>
      </c>
      <c r="J61" s="113">
        <f>VLOOKUP($A61,'VKT US'!$B$63:$AA$113,(J$59+1),FALSE)/VLOOKUP($A61,'Fuel economy adjusted factor'!$A$2:$F$52,4,FALSE)*INDEX('Year data'!$B$111:$AC$161,MATCH($A61,'Year data'!$A$111:$A$161,0),MATCH('TCO Inputs'!$AZ$12,'Year data'!$B$110:$AC$110,0))/(1+$AZ$41)^J$59</f>
        <v>1503.4865881075671</v>
      </c>
      <c r="K61" s="113">
        <f>VLOOKUP($A61,'VKT US'!$B$63:$AA$113,(K$59+1),FALSE)/VLOOKUP($A61,'Fuel economy adjusted factor'!$A$2:$F$52,4,FALSE)*INDEX('Year data'!$B$111:$AC$161,MATCH($A61,'Year data'!$A$111:$A$161,0),MATCH('TCO Inputs'!$AZ$12,'Year data'!$B$110:$AC$110,0))/(1+$AZ$41)^K$59</f>
        <v>1444.4885191648946</v>
      </c>
      <c r="L61" s="113">
        <f>VLOOKUP($A61,'VKT US'!$B$63:$AA$113,(L$59+1),FALSE)/VLOOKUP($A61,'Fuel economy adjusted factor'!$A$2:$F$52,4,FALSE)*INDEX('Year data'!$B$111:$AC$161,MATCH($A61,'Year data'!$A$111:$A$161,0),MATCH('TCO Inputs'!$AZ$12,'Year data'!$B$110:$AC$110,0))/(1+$AZ$41)^L$59</f>
        <v>1388.4236473654846</v>
      </c>
      <c r="M61" s="113">
        <f>VLOOKUP($A61,'VKT US'!$B$63:$AA$113,(M$59+1),FALSE)/VLOOKUP($A61,'Fuel economy adjusted factor'!$A$2:$F$52,4,FALSE)*INDEX('Year data'!$B$111:$AC$161,MATCH($A61,'Year data'!$A$111:$A$161,0),MATCH('TCO Inputs'!$AZ$12,'Year data'!$B$110:$AC$110,0))/(1+$AZ$41)^M$59</f>
        <v>1335.3426812428979</v>
      </c>
      <c r="N61" s="113">
        <f>VLOOKUP($A61,'VKT US'!$B$63:$AA$113,(N$59+1),FALSE)/VLOOKUP($A61,'Fuel economy adjusted factor'!$A$2:$F$52,4,FALSE)*INDEX('Year data'!$B$111:$AC$161,MATCH($A61,'Year data'!$A$111:$A$161,0),MATCH('TCO Inputs'!$AZ$12,'Year data'!$B$110:$AC$110,0))/(1+$AZ$41)^N$59</f>
        <v>1285.029615949185</v>
      </c>
      <c r="O61" s="113">
        <f>VLOOKUP($A61,'VKT US'!$B$63:$AA$113,(O$59+1),FALSE)/VLOOKUP($A61,'Fuel economy adjusted factor'!$A$2:$F$52,4,FALSE)*INDEX('Year data'!$B$111:$AC$161,MATCH($A61,'Year data'!$A$111:$A$161,0),MATCH('TCO Inputs'!$AZ$12,'Year data'!$B$110:$AC$110,0))/(1+$AZ$41)^O$59</f>
        <v>1237.5356083217027</v>
      </c>
      <c r="P61" s="113">
        <f>VLOOKUP($A61,'VKT US'!$B$63:$AA$113,(P$59+1),FALSE)/VLOOKUP($A61,'Fuel economy adjusted factor'!$A$2:$F$52,4,FALSE)*INDEX('Year data'!$B$111:$AC$161,MATCH($A61,'Year data'!$A$111:$A$161,0),MATCH('TCO Inputs'!$AZ$12,'Year data'!$B$110:$AC$110,0))/(1+$AZ$41)^P$59</f>
        <v>1192.6513640701098</v>
      </c>
      <c r="Q61" s="113">
        <f>VLOOKUP($A61,'VKT US'!$B$63:$AA$113,(Q$59+1),FALSE)/VLOOKUP($A61,'Fuel economy adjusted factor'!$A$2:$F$52,4,FALSE)*INDEX('Year data'!$B$111:$AC$161,MATCH($A61,'Year data'!$A$111:$A$161,0),MATCH('TCO Inputs'!$AZ$12,'Year data'!$B$110:$AC$110,0))/(1+$AZ$41)^Q$59</f>
        <v>1150.5549174191892</v>
      </c>
      <c r="R61" s="113">
        <f>VLOOKUP($A61,'VKT US'!$B$63:$AA$113,(R$59+1),FALSE)/VLOOKUP($A61,'Fuel economy adjusted factor'!$A$2:$F$52,4,FALSE)*INDEX('Year data'!$B$111:$AC$161,MATCH($A61,'Year data'!$A$111:$A$161,0),MATCH('TCO Inputs'!$AZ$12,'Year data'!$B$110:$AC$110,0))/(1+$AZ$41)^R$59</f>
        <v>1110.7889963255718</v>
      </c>
      <c r="S61" s="113">
        <f>VLOOKUP($A61,'VKT US'!$B$63:$AA$113,(S$59+1),FALSE)/VLOOKUP($A61,'Fuel economy adjusted factor'!$A$2:$F$52,4,FALSE)*INDEX('Year data'!$B$111:$AC$161,MATCH($A61,'Year data'!$A$111:$A$161,0),MATCH('TCO Inputs'!$AZ$12,'Year data'!$B$110:$AC$110,0))/(1+$AZ$41)^S$59</f>
        <v>1073.6569898762059</v>
      </c>
      <c r="T61" s="113">
        <f>VLOOKUP($A61,'VKT US'!$B$63:$AA$113,(T$59+1),FALSE)/VLOOKUP($A61,'Fuel economy adjusted factor'!$A$2:$F$52,4,FALSE)*INDEX('Year data'!$B$111:$AC$161,MATCH($A61,'Year data'!$A$111:$A$161,0),MATCH('TCO Inputs'!$AZ$12,'Year data'!$B$110:$AC$110,0))/(1+$AZ$41)^T$59</f>
        <v>1038.7139260242996</v>
      </c>
      <c r="U61" s="113">
        <f>VLOOKUP($A61,'VKT US'!$B$63:$AA$113,(U$59+1),FALSE)/VLOOKUP($A61,'Fuel economy adjusted factor'!$A$2:$F$52,4,FALSE)*INDEX('Year data'!$B$111:$AC$161,MATCH($A61,'Year data'!$A$111:$A$161,0),MATCH('TCO Inputs'!$AZ$12,'Year data'!$B$110:$AC$110,0))/(1+$AZ$41)^U$59</f>
        <v>1006.25753776289</v>
      </c>
      <c r="V61" s="110" cm="1">
        <f t="array" ref="V61">SUMPRODUCT(INDEX(B61:U61,,_xlfn.SEQUENCE($AZ$13)))</f>
        <v>22740.385756005438</v>
      </c>
      <c r="AY61" s="38" t="s">
        <v>381</v>
      </c>
      <c r="AZ61" s="72" t="s">
        <v>327</v>
      </c>
      <c r="BA61" s="72" t="s">
        <v>327</v>
      </c>
      <c r="BB61" s="72" t="s">
        <v>327</v>
      </c>
      <c r="BC61" s="100">
        <f>BC5</f>
        <v>52</v>
      </c>
      <c r="BD61" s="48" t="s">
        <v>327</v>
      </c>
    </row>
    <row r="62" spans="1:56" hidden="1" outlineLevel="1" x14ac:dyDescent="0.25">
      <c r="A62" s="102" t="s">
        <v>189</v>
      </c>
      <c r="B62" s="113">
        <f>VLOOKUP($A62,'VKT US'!$B$63:$AA$113,(B$59+1),FALSE)/VLOOKUP($A62,'Fuel economy adjusted factor'!$A$2:$F$52,4,FALSE)*INDEX('Year data'!$B$111:$AC$161,MATCH($A62,'Year data'!$A$111:$A$161,0),MATCH('TCO Inputs'!$AZ$12,'Year data'!$B$110:$AC$110,0))/(1+$AZ$41)^B$59</f>
        <v>2118.944341869862</v>
      </c>
      <c r="C62" s="113">
        <f>VLOOKUP($A62,'VKT US'!$B$63:$AA$113,(C$59+1),FALSE)/VLOOKUP($A62,'Fuel economy adjusted factor'!$A$2:$F$52,4,FALSE)*INDEX('Year data'!$B$111:$AC$161,MATCH($A62,'Year data'!$A$111:$A$161,0),MATCH('TCO Inputs'!$AZ$12,'Year data'!$B$110:$AC$110,0))/(1+$AZ$41)^C$59</f>
        <v>2031.5420808464</v>
      </c>
      <c r="D62" s="113">
        <f>VLOOKUP($A62,'VKT US'!$B$63:$AA$113,(D$59+1),FALSE)/VLOOKUP($A62,'Fuel economy adjusted factor'!$A$2:$F$52,4,FALSE)*INDEX('Year data'!$B$111:$AC$161,MATCH($A62,'Year data'!$A$111:$A$161,0),MATCH('TCO Inputs'!$AZ$12,'Year data'!$B$110:$AC$110,0))/(1+$AZ$41)^D$59</f>
        <v>1947.8563985388068</v>
      </c>
      <c r="E62" s="113">
        <f>VLOOKUP($A62,'VKT US'!$B$63:$AA$113,(E$59+1),FALSE)/VLOOKUP($A62,'Fuel economy adjusted factor'!$A$2:$F$52,4,FALSE)*INDEX('Year data'!$B$111:$AC$161,MATCH($A62,'Year data'!$A$111:$A$161,0),MATCH('TCO Inputs'!$AZ$12,'Year data'!$B$110:$AC$110,0))/(1+$AZ$41)^E$59</f>
        <v>1867.9360123807719</v>
      </c>
      <c r="F62" s="113">
        <f>VLOOKUP($A62,'VKT US'!$B$63:$AA$113,(F$59+1),FALSE)/VLOOKUP($A62,'Fuel economy adjusted factor'!$A$2:$F$52,4,FALSE)*INDEX('Year data'!$B$111:$AC$161,MATCH($A62,'Year data'!$A$111:$A$161,0),MATCH('TCO Inputs'!$AZ$12,'Year data'!$B$110:$AC$110,0))/(1+$AZ$41)^F$59</f>
        <v>1791.5330490565025</v>
      </c>
      <c r="G62" s="113">
        <f>VLOOKUP($A62,'VKT US'!$B$63:$AA$113,(G$59+1),FALSE)/VLOOKUP($A62,'Fuel economy adjusted factor'!$A$2:$F$52,4,FALSE)*INDEX('Year data'!$B$111:$AC$161,MATCH($A62,'Year data'!$A$111:$A$161,0),MATCH('TCO Inputs'!$AZ$12,'Year data'!$B$110:$AC$110,0))/(1+$AZ$41)^G$59</f>
        <v>1718.8410738427142</v>
      </c>
      <c r="H62" s="113">
        <f>VLOOKUP($A62,'VKT US'!$B$63:$AA$113,(H$59+1),FALSE)/VLOOKUP($A62,'Fuel economy adjusted factor'!$A$2:$F$52,4,FALSE)*INDEX('Year data'!$B$111:$AC$161,MATCH($A62,'Year data'!$A$111:$A$161,0),MATCH('TCO Inputs'!$AZ$12,'Year data'!$B$110:$AC$110,0))/(1+$AZ$41)^H$59</f>
        <v>1649.3299751722775</v>
      </c>
      <c r="I62" s="113">
        <f>VLOOKUP($A62,'VKT US'!$B$63:$AA$113,(I$59+1),FALSE)/VLOOKUP($A62,'Fuel economy adjusted factor'!$A$2:$F$52,4,FALSE)*INDEX('Year data'!$B$111:$AC$161,MATCH($A62,'Year data'!$A$111:$A$161,0),MATCH('TCO Inputs'!$AZ$12,'Year data'!$B$110:$AC$110,0))/(1+$AZ$41)^I$59</f>
        <v>1583.1957070040621</v>
      </c>
      <c r="J62" s="113">
        <f>VLOOKUP($A62,'VKT US'!$B$63:$AA$113,(J$59+1),FALSE)/VLOOKUP($A62,'Fuel economy adjusted factor'!$A$2:$F$52,4,FALSE)*INDEX('Year data'!$B$111:$AC$161,MATCH($A62,'Year data'!$A$111:$A$161,0),MATCH('TCO Inputs'!$AZ$12,'Year data'!$B$110:$AC$110,0))/(1+$AZ$41)^J$59</f>
        <v>1520.3446000568429</v>
      </c>
      <c r="K62" s="113">
        <f>VLOOKUP($A62,'VKT US'!$B$63:$AA$113,(K$59+1),FALSE)/VLOOKUP($A62,'Fuel economy adjusted factor'!$A$2:$F$52,4,FALSE)*INDEX('Year data'!$B$111:$AC$161,MATCH($A62,'Year data'!$A$111:$A$161,0),MATCH('TCO Inputs'!$AZ$12,'Year data'!$B$110:$AC$110,0))/(1+$AZ$41)^K$59</f>
        <v>1460.685008650926</v>
      </c>
      <c r="L62" s="113">
        <f>VLOOKUP($A62,'VKT US'!$B$63:$AA$113,(L$59+1),FALSE)/VLOOKUP($A62,'Fuel economy adjusted factor'!$A$2:$F$52,4,FALSE)*INDEX('Year data'!$B$111:$AC$161,MATCH($A62,'Year data'!$A$111:$A$161,0),MATCH('TCO Inputs'!$AZ$12,'Year data'!$B$110:$AC$110,0))/(1+$AZ$41)^L$59</f>
        <v>1403.9915031901282</v>
      </c>
      <c r="M62" s="113">
        <f>VLOOKUP($A62,'VKT US'!$B$63:$AA$113,(M$59+1),FALSE)/VLOOKUP($A62,'Fuel economy adjusted factor'!$A$2:$F$52,4,FALSE)*INDEX('Year data'!$B$111:$AC$161,MATCH($A62,'Year data'!$A$111:$A$161,0),MATCH('TCO Inputs'!$AZ$12,'Year data'!$B$110:$AC$110,0))/(1+$AZ$41)^M$59</f>
        <v>1350.3153607831296</v>
      </c>
      <c r="N62" s="113">
        <f>VLOOKUP($A62,'VKT US'!$B$63:$AA$113,(N$59+1),FALSE)/VLOOKUP($A62,'Fuel economy adjusted factor'!$A$2:$F$52,4,FALSE)*INDEX('Year data'!$B$111:$AC$161,MATCH($A62,'Year data'!$A$111:$A$161,0),MATCH('TCO Inputs'!$AZ$12,'Year data'!$B$110:$AC$110,0))/(1+$AZ$41)^N$59</f>
        <v>1299.4381546034017</v>
      </c>
      <c r="O62" s="113">
        <f>VLOOKUP($A62,'VKT US'!$B$63:$AA$113,(O$59+1),FALSE)/VLOOKUP($A62,'Fuel economy adjusted factor'!$A$2:$F$52,4,FALSE)*INDEX('Year data'!$B$111:$AC$161,MATCH($A62,'Year data'!$A$111:$A$161,0),MATCH('TCO Inputs'!$AZ$12,'Year data'!$B$110:$AC$110,0))/(1+$AZ$41)^O$59</f>
        <v>1251.4116150900777</v>
      </c>
      <c r="P62" s="113">
        <f>VLOOKUP($A62,'VKT US'!$B$63:$AA$113,(P$59+1),FALSE)/VLOOKUP($A62,'Fuel economy adjusted factor'!$A$2:$F$52,4,FALSE)*INDEX('Year data'!$B$111:$AC$161,MATCH($A62,'Year data'!$A$111:$A$161,0),MATCH('TCO Inputs'!$AZ$12,'Year data'!$B$110:$AC$110,0))/(1+$AZ$41)^P$59</f>
        <v>1206.0241012171173</v>
      </c>
      <c r="Q62" s="113">
        <f>VLOOKUP($A62,'VKT US'!$B$63:$AA$113,(Q$59+1),FALSE)/VLOOKUP($A62,'Fuel economy adjusted factor'!$A$2:$F$52,4,FALSE)*INDEX('Year data'!$B$111:$AC$161,MATCH($A62,'Year data'!$A$111:$A$161,0),MATCH('TCO Inputs'!$AZ$12,'Year data'!$B$110:$AC$110,0))/(1+$AZ$41)^Q$59</f>
        <v>1163.455643438012</v>
      </c>
      <c r="R62" s="113">
        <f>VLOOKUP($A62,'VKT US'!$B$63:$AA$113,(R$59+1),FALSE)/VLOOKUP($A62,'Fuel economy adjusted factor'!$A$2:$F$52,4,FALSE)*INDEX('Year data'!$B$111:$AC$161,MATCH($A62,'Year data'!$A$111:$A$161,0),MATCH('TCO Inputs'!$AZ$12,'Year data'!$B$110:$AC$110,0))/(1+$AZ$41)^R$59</f>
        <v>1123.2438424953345</v>
      </c>
      <c r="S62" s="113">
        <f>VLOOKUP($A62,'VKT US'!$B$63:$AA$113,(S$59+1),FALSE)/VLOOKUP($A62,'Fuel economy adjusted factor'!$A$2:$F$52,4,FALSE)*INDEX('Year data'!$B$111:$AC$161,MATCH($A62,'Year data'!$A$111:$A$161,0),MATCH('TCO Inputs'!$AZ$12,'Year data'!$B$110:$AC$110,0))/(1+$AZ$41)^S$59</f>
        <v>1085.6954892601868</v>
      </c>
      <c r="T62" s="113">
        <f>VLOOKUP($A62,'VKT US'!$B$63:$AA$113,(T$59+1),FALSE)/VLOOKUP($A62,'Fuel economy adjusted factor'!$A$2:$F$52,4,FALSE)*INDEX('Year data'!$B$111:$AC$161,MATCH($A62,'Year data'!$A$111:$A$161,0),MATCH('TCO Inputs'!$AZ$12,'Year data'!$B$110:$AC$110,0))/(1+$AZ$41)^T$59</f>
        <v>1050.3606223868107</v>
      </c>
      <c r="U62" s="113">
        <f>VLOOKUP($A62,'VKT US'!$B$63:$AA$113,(U$59+1),FALSE)/VLOOKUP($A62,'Fuel economy adjusted factor'!$A$2:$F$52,4,FALSE)*INDEX('Year data'!$B$111:$AC$161,MATCH($A62,'Year data'!$A$111:$A$161,0),MATCH('TCO Inputs'!$AZ$12,'Year data'!$B$110:$AC$110,0))/(1+$AZ$41)^U$59</f>
        <v>1017.5403132328112</v>
      </c>
      <c r="V62" s="110" cm="1">
        <f t="array" ref="V62">SUMPRODUCT(INDEX(B62:U62,,_xlfn.SEQUENCE($AZ$13)))</f>
        <v>22995.364881085901</v>
      </c>
      <c r="AY62" s="38" t="s">
        <v>521</v>
      </c>
      <c r="AZ62" s="72" t="s">
        <v>327</v>
      </c>
      <c r="BA62" s="72" t="s">
        <v>327</v>
      </c>
      <c r="BB62" s="72" t="s">
        <v>327</v>
      </c>
      <c r="BC62" s="182" t="s">
        <v>327</v>
      </c>
      <c r="BD62" s="100">
        <f>BD5</f>
        <v>52</v>
      </c>
    </row>
    <row r="63" spans="1:56" hidden="1" outlineLevel="1" x14ac:dyDescent="0.25">
      <c r="A63" s="102" t="s">
        <v>188</v>
      </c>
      <c r="B63" s="113">
        <f>VLOOKUP($A63,'VKT US'!$B$63:$AA$113,(B$59+1),FALSE)/VLOOKUP($A63,'Fuel economy adjusted factor'!$A$2:$F$52,4,FALSE)*INDEX('Year data'!$B$111:$AC$161,MATCH($A63,'Year data'!$A$111:$A$161,0),MATCH('TCO Inputs'!$AZ$12,'Year data'!$B$110:$AC$110,0))/(1+$AZ$41)^B$59</f>
        <v>1898.0380114471354</v>
      </c>
      <c r="C63" s="113">
        <f>VLOOKUP($A63,'VKT US'!$B$63:$AA$113,(C$59+1),FALSE)/VLOOKUP($A63,'Fuel economy adjusted factor'!$A$2:$F$52,4,FALSE)*INDEX('Year data'!$B$111:$AC$161,MATCH($A63,'Year data'!$A$111:$A$161,0),MATCH('TCO Inputs'!$AZ$12,'Year data'!$B$110:$AC$110,0))/(1+$AZ$41)^C$59</f>
        <v>1819.7476994125284</v>
      </c>
      <c r="D63" s="113">
        <f>VLOOKUP($A63,'VKT US'!$B$63:$AA$113,(D$59+1),FALSE)/VLOOKUP($A63,'Fuel economy adjusted factor'!$A$2:$F$52,4,FALSE)*INDEX('Year data'!$B$111:$AC$161,MATCH($A63,'Year data'!$A$111:$A$161,0),MATCH('TCO Inputs'!$AZ$12,'Year data'!$B$110:$AC$110,0))/(1+$AZ$41)^D$59</f>
        <v>1744.7865015674101</v>
      </c>
      <c r="E63" s="113">
        <f>VLOOKUP($A63,'VKT US'!$B$63:$AA$113,(E$59+1),FALSE)/VLOOKUP($A63,'Fuel economy adjusted factor'!$A$2:$F$52,4,FALSE)*INDEX('Year data'!$B$111:$AC$161,MATCH($A63,'Year data'!$A$111:$A$161,0),MATCH('TCO Inputs'!$AZ$12,'Year data'!$B$110:$AC$110,0))/(1+$AZ$41)^E$59</f>
        <v>1673.1980564062585</v>
      </c>
      <c r="F63" s="113">
        <f>VLOOKUP($A63,'VKT US'!$B$63:$AA$113,(F$59+1),FALSE)/VLOOKUP($A63,'Fuel economy adjusted factor'!$A$2:$F$52,4,FALSE)*INDEX('Year data'!$B$111:$AC$161,MATCH($A63,'Year data'!$A$111:$A$161,0),MATCH('TCO Inputs'!$AZ$12,'Year data'!$B$110:$AC$110,0))/(1+$AZ$41)^F$59</f>
        <v>1604.7603321531069</v>
      </c>
      <c r="G63" s="113">
        <f>VLOOKUP($A63,'VKT US'!$B$63:$AA$113,(G$59+1),FALSE)/VLOOKUP($A63,'Fuel economy adjusted factor'!$A$2:$F$52,4,FALSE)*INDEX('Year data'!$B$111:$AC$161,MATCH($A63,'Year data'!$A$111:$A$161,0),MATCH('TCO Inputs'!$AZ$12,'Year data'!$B$110:$AC$110,0))/(1+$AZ$41)^G$59</f>
        <v>1539.6467143215079</v>
      </c>
      <c r="H63" s="113">
        <f>VLOOKUP($A63,'VKT US'!$B$63:$AA$113,(H$59+1),FALSE)/VLOOKUP($A63,'Fuel economy adjusted factor'!$A$2:$F$52,4,FALSE)*INDEX('Year data'!$B$111:$AC$161,MATCH($A63,'Year data'!$A$111:$A$161,0),MATCH('TCO Inputs'!$AZ$12,'Year data'!$B$110:$AC$110,0))/(1+$AZ$41)^H$59</f>
        <v>1477.3823570720319</v>
      </c>
      <c r="I63" s="113">
        <f>VLOOKUP($A63,'VKT US'!$B$63:$AA$113,(I$59+1),FALSE)/VLOOKUP($A63,'Fuel economy adjusted factor'!$A$2:$F$52,4,FALSE)*INDEX('Year data'!$B$111:$AC$161,MATCH($A63,'Year data'!$A$111:$A$161,0),MATCH('TCO Inputs'!$AZ$12,'Year data'!$B$110:$AC$110,0))/(1+$AZ$41)^I$59</f>
        <v>1418.1427855730742</v>
      </c>
      <c r="J63" s="113">
        <f>VLOOKUP($A63,'VKT US'!$B$63:$AA$113,(J$59+1),FALSE)/VLOOKUP($A63,'Fuel economy adjusted factor'!$A$2:$F$52,4,FALSE)*INDEX('Year data'!$B$111:$AC$161,MATCH($A63,'Year data'!$A$111:$A$161,0),MATCH('TCO Inputs'!$AZ$12,'Year data'!$B$110:$AC$110,0))/(1+$AZ$41)^J$59</f>
        <v>1361.8440958481331</v>
      </c>
      <c r="K63" s="113">
        <f>VLOOKUP($A63,'VKT US'!$B$63:$AA$113,(K$59+1),FALSE)/VLOOKUP($A63,'Fuel economy adjusted factor'!$A$2:$F$52,4,FALSE)*INDEX('Year data'!$B$111:$AC$161,MATCH($A63,'Year data'!$A$111:$A$161,0),MATCH('TCO Inputs'!$AZ$12,'Year data'!$B$110:$AC$110,0))/(1+$AZ$41)^K$59</f>
        <v>1308.4041965556817</v>
      </c>
      <c r="L63" s="113">
        <f>VLOOKUP($A63,'VKT US'!$B$63:$AA$113,(L$59+1),FALSE)/VLOOKUP($A63,'Fuel economy adjusted factor'!$A$2:$F$52,4,FALSE)*INDEX('Year data'!$B$111:$AC$161,MATCH($A63,'Year data'!$A$111:$A$161,0),MATCH('TCO Inputs'!$AZ$12,'Year data'!$B$110:$AC$110,0))/(1+$AZ$41)^L$59</f>
        <v>1257.6211598139887</v>
      </c>
      <c r="M63" s="113">
        <f>VLOOKUP($A63,'VKT US'!$B$63:$AA$113,(M$59+1),FALSE)/VLOOKUP($A63,'Fuel economy adjusted factor'!$A$2:$F$52,4,FALSE)*INDEX('Year data'!$B$111:$AC$161,MATCH($A63,'Year data'!$A$111:$A$161,0),MATCH('TCO Inputs'!$AZ$12,'Year data'!$B$110:$AC$110,0))/(1+$AZ$41)^M$59</f>
        <v>1209.5409169386944</v>
      </c>
      <c r="N63" s="113">
        <f>VLOOKUP($A63,'VKT US'!$B$63:$AA$113,(N$59+1),FALSE)/VLOOKUP($A63,'Fuel economy adjusted factor'!$A$2:$F$52,4,FALSE)*INDEX('Year data'!$B$111:$AC$161,MATCH($A63,'Year data'!$A$111:$A$161,0),MATCH('TCO Inputs'!$AZ$12,'Year data'!$B$110:$AC$110,0))/(1+$AZ$41)^N$59</f>
        <v>1163.9678127578925</v>
      </c>
      <c r="O63" s="113">
        <f>VLOOKUP($A63,'VKT US'!$B$63:$AA$113,(O$59+1),FALSE)/VLOOKUP($A63,'Fuel economy adjusted factor'!$A$2:$F$52,4,FALSE)*INDEX('Year data'!$B$111:$AC$161,MATCH($A63,'Year data'!$A$111:$A$161,0),MATCH('TCO Inputs'!$AZ$12,'Year data'!$B$110:$AC$110,0))/(1+$AZ$41)^O$59</f>
        <v>1120.9481846566107</v>
      </c>
      <c r="P63" s="113">
        <f>VLOOKUP($A63,'VKT US'!$B$63:$AA$113,(P$59+1),FALSE)/VLOOKUP($A63,'Fuel economy adjusted factor'!$A$2:$F$52,4,FALSE)*INDEX('Year data'!$B$111:$AC$161,MATCH($A63,'Year data'!$A$111:$A$161,0),MATCH('TCO Inputs'!$AZ$12,'Year data'!$B$110:$AC$110,0))/(1+$AZ$41)^P$59</f>
        <v>1080.2924558232889</v>
      </c>
      <c r="Q63" s="113">
        <f>VLOOKUP($A63,'VKT US'!$B$63:$AA$113,(Q$59+1),FALSE)/VLOOKUP($A63,'Fuel economy adjusted factor'!$A$2:$F$52,4,FALSE)*INDEX('Year data'!$B$111:$AC$161,MATCH($A63,'Year data'!$A$111:$A$161,0),MATCH('TCO Inputs'!$AZ$12,'Year data'!$B$110:$AC$110,0))/(1+$AZ$41)^Q$59</f>
        <v>1042.1618879943455</v>
      </c>
      <c r="R63" s="113">
        <f>VLOOKUP($A63,'VKT US'!$B$63:$AA$113,(R$59+1),FALSE)/VLOOKUP($A63,'Fuel economy adjusted factor'!$A$2:$F$52,4,FALSE)*INDEX('Year data'!$B$111:$AC$161,MATCH($A63,'Year data'!$A$111:$A$161,0),MATCH('TCO Inputs'!$AZ$12,'Year data'!$B$110:$AC$110,0))/(1+$AZ$41)^R$59</f>
        <v>1006.1422884278006</v>
      </c>
      <c r="S63" s="113">
        <f>VLOOKUP($A63,'VKT US'!$B$63:$AA$113,(S$59+1),FALSE)/VLOOKUP($A63,'Fuel economy adjusted factor'!$A$2:$F$52,4,FALSE)*INDEX('Year data'!$B$111:$AC$161,MATCH($A63,'Year data'!$A$111:$A$161,0),MATCH('TCO Inputs'!$AZ$12,'Year data'!$B$110:$AC$110,0))/(1+$AZ$41)^S$59</f>
        <v>972.50846412231499</v>
      </c>
      <c r="T63" s="113">
        <f>VLOOKUP($A63,'VKT US'!$B$63:$AA$113,(T$59+1),FALSE)/VLOOKUP($A63,'Fuel economy adjusted factor'!$A$2:$F$52,4,FALSE)*INDEX('Year data'!$B$111:$AC$161,MATCH($A63,'Year data'!$A$111:$A$161,0),MATCH('TCO Inputs'!$AZ$12,'Year data'!$B$110:$AC$110,0))/(1+$AZ$41)^T$59</f>
        <v>940.85736355781967</v>
      </c>
      <c r="U63" s="113">
        <f>VLOOKUP($A63,'VKT US'!$B$63:$AA$113,(U$59+1),FALSE)/VLOOKUP($A63,'Fuel economy adjusted factor'!$A$2:$F$52,4,FALSE)*INDEX('Year data'!$B$111:$AC$161,MATCH($A63,'Year data'!$A$111:$A$161,0),MATCH('TCO Inputs'!$AZ$12,'Year data'!$B$110:$AC$110,0))/(1+$AZ$41)^U$59</f>
        <v>911.45867049598769</v>
      </c>
      <c r="V63" s="110" cm="1">
        <f t="array" ref="V63">SUMPRODUCT(INDEX(B63:U63,,_xlfn.SEQUENCE($AZ$13)))</f>
        <v>20598.028824524059</v>
      </c>
      <c r="AY63" s="38" t="s">
        <v>522</v>
      </c>
      <c r="AZ63" s="72" t="s">
        <v>327</v>
      </c>
      <c r="BA63" s="72" t="s">
        <v>327</v>
      </c>
      <c r="BB63" s="72" t="s">
        <v>327</v>
      </c>
      <c r="BC63" s="182" t="s">
        <v>327</v>
      </c>
      <c r="BD63" s="181">
        <f>BE5*AZ79</f>
        <v>3.5311572700296732</v>
      </c>
    </row>
    <row r="64" spans="1:56" hidden="1" outlineLevel="1" x14ac:dyDescent="0.25">
      <c r="A64" s="102" t="s">
        <v>149</v>
      </c>
      <c r="B64" s="113">
        <f>VLOOKUP($A64,'VKT US'!$B$63:$AA$113,(B$59+1),FALSE)/VLOOKUP($A64,'Fuel economy adjusted factor'!$A$2:$F$52,4,FALSE)*INDEX('Year data'!$B$111:$AC$161,MATCH($A64,'Year data'!$A$111:$A$161,0),MATCH('TCO Inputs'!$AZ$12,'Year data'!$B$110:$AC$110,0))/(1+$AZ$41)^B$59</f>
        <v>2011.5768677049011</v>
      </c>
      <c r="C64" s="113">
        <f>VLOOKUP($A64,'VKT US'!$B$63:$AA$113,(C$59+1),FALSE)/VLOOKUP($A64,'Fuel economy adjusted factor'!$A$2:$F$52,4,FALSE)*INDEX('Year data'!$B$111:$AC$161,MATCH($A64,'Year data'!$A$111:$A$161,0),MATCH('TCO Inputs'!$AZ$12,'Year data'!$B$110:$AC$110,0))/(1+$AZ$41)^C$59</f>
        <v>1928.6033025263309</v>
      </c>
      <c r="D64" s="113">
        <f>VLOOKUP($A64,'VKT US'!$B$63:$AA$113,(D$59+1),FALSE)/VLOOKUP($A64,'Fuel economy adjusted factor'!$A$2:$F$52,4,FALSE)*INDEX('Year data'!$B$111:$AC$161,MATCH($A64,'Year data'!$A$111:$A$161,0),MATCH('TCO Inputs'!$AZ$12,'Year data'!$B$110:$AC$110,0))/(1+$AZ$41)^D$59</f>
        <v>1849.1579960302179</v>
      </c>
      <c r="E64" s="113">
        <f>VLOOKUP($A64,'VKT US'!$B$63:$AA$113,(E$59+1),FALSE)/VLOOKUP($A64,'Fuel economy adjusted factor'!$A$2:$F$52,4,FALSE)*INDEX('Year data'!$B$111:$AC$161,MATCH($A64,'Year data'!$A$111:$A$161,0),MATCH('TCO Inputs'!$AZ$12,'Year data'!$B$110:$AC$110,0))/(1+$AZ$41)^E$59</f>
        <v>1773.287197124911</v>
      </c>
      <c r="F64" s="113">
        <f>VLOOKUP($A64,'VKT US'!$B$63:$AA$113,(F$59+1),FALSE)/VLOOKUP($A64,'Fuel economy adjusted factor'!$A$2:$F$52,4,FALSE)*INDEX('Year data'!$B$111:$AC$161,MATCH($A64,'Year data'!$A$111:$A$161,0),MATCH('TCO Inputs'!$AZ$12,'Year data'!$B$110:$AC$110,0))/(1+$AZ$41)^F$59</f>
        <v>1700.7555923015475</v>
      </c>
      <c r="G64" s="113">
        <f>VLOOKUP($A64,'VKT US'!$B$63:$AA$113,(G$59+1),FALSE)/VLOOKUP($A64,'Fuel economy adjusted factor'!$A$2:$F$52,4,FALSE)*INDEX('Year data'!$B$111:$AC$161,MATCH($A64,'Year data'!$A$111:$A$161,0),MATCH('TCO Inputs'!$AZ$12,'Year data'!$B$110:$AC$110,0))/(1+$AZ$41)^G$59</f>
        <v>1631.7469388327179</v>
      </c>
      <c r="H64" s="113">
        <f>VLOOKUP($A64,'VKT US'!$B$63:$AA$113,(H$59+1),FALSE)/VLOOKUP($A64,'Fuel economy adjusted factor'!$A$2:$F$52,4,FALSE)*INDEX('Year data'!$B$111:$AC$161,MATCH($A64,'Year data'!$A$111:$A$161,0),MATCH('TCO Inputs'!$AZ$12,'Year data'!$B$110:$AC$110,0))/(1+$AZ$41)^H$59</f>
        <v>1565.7579860455899</v>
      </c>
      <c r="I64" s="113">
        <f>VLOOKUP($A64,'VKT US'!$B$63:$AA$113,(I$59+1),FALSE)/VLOOKUP($A64,'Fuel economy adjusted factor'!$A$2:$F$52,4,FALSE)*INDEX('Year data'!$B$111:$AC$161,MATCH($A64,'Year data'!$A$111:$A$161,0),MATCH('TCO Inputs'!$AZ$12,'Year data'!$B$110:$AC$110,0))/(1+$AZ$41)^I$59</f>
        <v>1502.9747588597452</v>
      </c>
      <c r="J64" s="113">
        <f>VLOOKUP($A64,'VKT US'!$B$63:$AA$113,(J$59+1),FALSE)/VLOOKUP($A64,'Fuel economy adjusted factor'!$A$2:$F$52,4,FALSE)*INDEX('Year data'!$B$111:$AC$161,MATCH($A64,'Year data'!$A$111:$A$161,0),MATCH('TCO Inputs'!$AZ$12,'Year data'!$B$110:$AC$110,0))/(1+$AZ$41)^J$59</f>
        <v>1443.3083342413879</v>
      </c>
      <c r="K64" s="113">
        <f>VLOOKUP($A64,'VKT US'!$B$63:$AA$113,(K$59+1),FALSE)/VLOOKUP($A64,'Fuel economy adjusted factor'!$A$2:$F$52,4,FALSE)*INDEX('Year data'!$B$111:$AC$161,MATCH($A64,'Year data'!$A$111:$A$161,0),MATCH('TCO Inputs'!$AZ$12,'Year data'!$B$110:$AC$110,0))/(1+$AZ$41)^K$59</f>
        <v>1386.6717102218231</v>
      </c>
      <c r="L64" s="113">
        <f>VLOOKUP($A64,'VKT US'!$B$63:$AA$113,(L$59+1),FALSE)/VLOOKUP($A64,'Fuel economy adjusted factor'!$A$2:$F$52,4,FALSE)*INDEX('Year data'!$B$111:$AC$161,MATCH($A64,'Year data'!$A$111:$A$161,0),MATCH('TCO Inputs'!$AZ$12,'Year data'!$B$110:$AC$110,0))/(1+$AZ$41)^L$59</f>
        <v>1332.8508797825464</v>
      </c>
      <c r="M64" s="113">
        <f>VLOOKUP($A64,'VKT US'!$B$63:$AA$113,(M$59+1),FALSE)/VLOOKUP($A64,'Fuel economy adjusted factor'!$A$2:$F$52,4,FALSE)*INDEX('Year data'!$B$111:$AC$161,MATCH($A64,'Year data'!$A$111:$A$161,0),MATCH('TCO Inputs'!$AZ$12,'Year data'!$B$110:$AC$110,0))/(1+$AZ$41)^M$59</f>
        <v>1281.8945218074844</v>
      </c>
      <c r="N64" s="113">
        <f>VLOOKUP($A64,'VKT US'!$B$63:$AA$113,(N$59+1),FALSE)/VLOOKUP($A64,'Fuel economy adjusted factor'!$A$2:$F$52,4,FALSE)*INDEX('Year data'!$B$111:$AC$161,MATCH($A64,'Year data'!$A$111:$A$161,0),MATCH('TCO Inputs'!$AZ$12,'Year data'!$B$110:$AC$110,0))/(1+$AZ$41)^N$59</f>
        <v>1233.5952772155849</v>
      </c>
      <c r="O64" s="113">
        <f>VLOOKUP($A64,'VKT US'!$B$63:$AA$113,(O$59+1),FALSE)/VLOOKUP($A64,'Fuel economy adjusted factor'!$A$2:$F$52,4,FALSE)*INDEX('Year data'!$B$111:$AC$161,MATCH($A64,'Year data'!$A$111:$A$161,0),MATCH('TCO Inputs'!$AZ$12,'Year data'!$B$110:$AC$110,0))/(1+$AZ$41)^O$59</f>
        <v>1188.0022552508528</v>
      </c>
      <c r="P64" s="113">
        <f>VLOOKUP($A64,'VKT US'!$B$63:$AA$113,(P$59+1),FALSE)/VLOOKUP($A64,'Fuel economy adjusted factor'!$A$2:$F$52,4,FALSE)*INDEX('Year data'!$B$111:$AC$161,MATCH($A64,'Year data'!$A$111:$A$161,0),MATCH('TCO Inputs'!$AZ$12,'Year data'!$B$110:$AC$110,0))/(1+$AZ$41)^P$59</f>
        <v>1144.9145387944054</v>
      </c>
      <c r="Q64" s="113">
        <f>VLOOKUP($A64,'VKT US'!$B$63:$AA$113,(Q$59+1),FALSE)/VLOOKUP($A64,'Fuel economy adjusted factor'!$A$2:$F$52,4,FALSE)*INDEX('Year data'!$B$111:$AC$161,MATCH($A64,'Year data'!$A$111:$A$161,0),MATCH('TCO Inputs'!$AZ$12,'Year data'!$B$110:$AC$110,0))/(1+$AZ$41)^Q$59</f>
        <v>1104.5030361087061</v>
      </c>
      <c r="R64" s="113">
        <f>VLOOKUP($A64,'VKT US'!$B$63:$AA$113,(R$59+1),FALSE)/VLOOKUP($A64,'Fuel economy adjusted factor'!$A$2:$F$52,4,FALSE)*INDEX('Year data'!$B$111:$AC$161,MATCH($A64,'Year data'!$A$111:$A$161,0),MATCH('TCO Inputs'!$AZ$12,'Year data'!$B$110:$AC$110,0))/(1+$AZ$41)^R$59</f>
        <v>1066.3287778298577</v>
      </c>
      <c r="S64" s="113">
        <f>VLOOKUP($A64,'VKT US'!$B$63:$AA$113,(S$59+1),FALSE)/VLOOKUP($A64,'Fuel economy adjusted factor'!$A$2:$F$52,4,FALSE)*INDEX('Year data'!$B$111:$AC$161,MATCH($A64,'Year data'!$A$111:$A$161,0),MATCH('TCO Inputs'!$AZ$12,'Year data'!$B$110:$AC$110,0))/(1+$AZ$41)^S$59</f>
        <v>1030.6830096538129</v>
      </c>
      <c r="T64" s="113">
        <f>VLOOKUP($A64,'VKT US'!$B$63:$AA$113,(T$59+1),FALSE)/VLOOKUP($A64,'Fuel economy adjusted factor'!$A$2:$F$52,4,FALSE)*INDEX('Year data'!$B$111:$AC$161,MATCH($A64,'Year data'!$A$111:$A$161,0),MATCH('TCO Inputs'!$AZ$12,'Year data'!$B$110:$AC$110,0))/(1+$AZ$41)^T$59</f>
        <v>997.13856989604551</v>
      </c>
      <c r="U64" s="113">
        <f>VLOOKUP($A64,'VKT US'!$B$63:$AA$113,(U$59+1),FALSE)/VLOOKUP($A64,'Fuel economy adjusted factor'!$A$2:$F$52,4,FALSE)*INDEX('Year data'!$B$111:$AC$161,MATCH($A64,'Year data'!$A$111:$A$161,0),MATCH('TCO Inputs'!$AZ$12,'Year data'!$B$110:$AC$110,0))/(1+$AZ$41)^U$59</f>
        <v>965.98127454828318</v>
      </c>
      <c r="V64" s="110" cm="1">
        <f t="array" ref="V64">SUMPRODUCT(INDEX(B64:U64,,_xlfn.SEQUENCE($AZ$13)))</f>
        <v>21830.18361794564</v>
      </c>
    </row>
    <row r="65" spans="1:56" hidden="1" outlineLevel="1" x14ac:dyDescent="0.25">
      <c r="A65" s="102" t="s">
        <v>190</v>
      </c>
      <c r="B65" s="113">
        <f>VLOOKUP($A65,'VKT US'!$B$63:$AA$113,(B$59+1),FALSE)/VLOOKUP($A65,'Fuel economy adjusted factor'!$A$2:$F$52,4,FALSE)*INDEX('Year data'!$B$111:$AC$161,MATCH($A65,'Year data'!$A$111:$A$161,0),MATCH('TCO Inputs'!$AZ$12,'Year data'!$B$110:$AC$110,0))/(1+$AZ$41)^B$59</f>
        <v>1699.5937174043977</v>
      </c>
      <c r="C65" s="113">
        <f>VLOOKUP($A65,'VKT US'!$B$63:$AA$113,(C$59+1),FALSE)/VLOOKUP($A65,'Fuel economy adjusted factor'!$A$2:$F$52,4,FALSE)*INDEX('Year data'!$B$111:$AC$161,MATCH($A65,'Year data'!$A$111:$A$161,0),MATCH('TCO Inputs'!$AZ$12,'Year data'!$B$110:$AC$110,0))/(1+$AZ$41)^C$59</f>
        <v>1629.4888398070329</v>
      </c>
      <c r="D65" s="113">
        <f>VLOOKUP($A65,'VKT US'!$B$63:$AA$113,(D$59+1),FALSE)/VLOOKUP($A65,'Fuel economy adjusted factor'!$A$2:$F$52,4,FALSE)*INDEX('Year data'!$B$111:$AC$161,MATCH($A65,'Year data'!$A$111:$A$161,0),MATCH('TCO Inputs'!$AZ$12,'Year data'!$B$110:$AC$110,0))/(1+$AZ$41)^D$59</f>
        <v>1562.3650097581635</v>
      </c>
      <c r="E65" s="113">
        <f>VLOOKUP($A65,'VKT US'!$B$63:$AA$113,(E$59+1),FALSE)/VLOOKUP($A65,'Fuel economy adjusted factor'!$A$2:$F$52,4,FALSE)*INDEX('Year data'!$B$111:$AC$161,MATCH($A65,'Year data'!$A$111:$A$161,0),MATCH('TCO Inputs'!$AZ$12,'Year data'!$B$110:$AC$110,0))/(1+$AZ$41)^E$59</f>
        <v>1498.2613032460499</v>
      </c>
      <c r="F65" s="113">
        <f>VLOOKUP($A65,'VKT US'!$B$63:$AA$113,(F$59+1),FALSE)/VLOOKUP($A65,'Fuel economy adjusted factor'!$A$2:$F$52,4,FALSE)*INDEX('Year data'!$B$111:$AC$161,MATCH($A65,'Year data'!$A$111:$A$161,0),MATCH('TCO Inputs'!$AZ$12,'Year data'!$B$110:$AC$110,0))/(1+$AZ$41)^F$59</f>
        <v>1436.9789024339468</v>
      </c>
      <c r="G65" s="113">
        <f>VLOOKUP($A65,'VKT US'!$B$63:$AA$113,(G$59+1),FALSE)/VLOOKUP($A65,'Fuel economy adjusted factor'!$A$2:$F$52,4,FALSE)*INDEX('Year data'!$B$111:$AC$161,MATCH($A65,'Year data'!$A$111:$A$161,0),MATCH('TCO Inputs'!$AZ$12,'Year data'!$B$110:$AC$110,0))/(1+$AZ$41)^G$59</f>
        <v>1378.6730649762028</v>
      </c>
      <c r="H65" s="113">
        <f>VLOOKUP($A65,'VKT US'!$B$63:$AA$113,(H$59+1),FALSE)/VLOOKUP($A65,'Fuel economy adjusted factor'!$A$2:$F$52,4,FALSE)*INDEX('Year data'!$B$111:$AC$161,MATCH($A65,'Year data'!$A$111:$A$161,0),MATCH('TCO Inputs'!$AZ$12,'Year data'!$B$110:$AC$110,0))/(1+$AZ$41)^H$59</f>
        <v>1322.9185912716703</v>
      </c>
      <c r="I65" s="113">
        <f>VLOOKUP($A65,'VKT US'!$B$63:$AA$113,(I$59+1),FALSE)/VLOOKUP($A65,'Fuel economy adjusted factor'!$A$2:$F$52,4,FALSE)*INDEX('Year data'!$B$111:$AC$161,MATCH($A65,'Year data'!$A$111:$A$161,0),MATCH('TCO Inputs'!$AZ$12,'Year data'!$B$110:$AC$110,0))/(1+$AZ$41)^I$59</f>
        <v>1269.8726549236449</v>
      </c>
      <c r="J65" s="113">
        <f>VLOOKUP($A65,'VKT US'!$B$63:$AA$113,(J$59+1),FALSE)/VLOOKUP($A65,'Fuel economy adjusted factor'!$A$2:$F$52,4,FALSE)*INDEX('Year data'!$B$111:$AC$161,MATCH($A65,'Year data'!$A$111:$A$161,0),MATCH('TCO Inputs'!$AZ$12,'Year data'!$B$110:$AC$110,0))/(1+$AZ$41)^J$59</f>
        <v>1219.460124311755</v>
      </c>
      <c r="K65" s="113">
        <f>VLOOKUP($A65,'VKT US'!$B$63:$AA$113,(K$59+1),FALSE)/VLOOKUP($A65,'Fuel economy adjusted factor'!$A$2:$F$52,4,FALSE)*INDEX('Year data'!$B$111:$AC$161,MATCH($A65,'Year data'!$A$111:$A$161,0),MATCH('TCO Inputs'!$AZ$12,'Year data'!$B$110:$AC$110,0))/(1+$AZ$41)^K$59</f>
        <v>1171.6074909353956</v>
      </c>
      <c r="L65" s="113">
        <f>VLOOKUP($A65,'VKT US'!$B$63:$AA$113,(L$59+1),FALSE)/VLOOKUP($A65,'Fuel economy adjusted factor'!$A$2:$F$52,4,FALSE)*INDEX('Year data'!$B$111:$AC$161,MATCH($A65,'Year data'!$A$111:$A$161,0),MATCH('TCO Inputs'!$AZ$12,'Year data'!$B$110:$AC$110,0))/(1+$AZ$41)^L$59</f>
        <v>1126.1339389430982</v>
      </c>
      <c r="M65" s="113">
        <f>VLOOKUP($A65,'VKT US'!$B$63:$AA$113,(M$59+1),FALSE)/VLOOKUP($A65,'Fuel economy adjusted factor'!$A$2:$F$52,4,FALSE)*INDEX('Year data'!$B$111:$AC$161,MATCH($A65,'Year data'!$A$111:$A$161,0),MATCH('TCO Inputs'!$AZ$12,'Year data'!$B$110:$AC$110,0))/(1+$AZ$41)^M$59</f>
        <v>1083.0805974244929</v>
      </c>
      <c r="N65" s="113">
        <f>VLOOKUP($A65,'VKT US'!$B$63:$AA$113,(N$59+1),FALSE)/VLOOKUP($A65,'Fuel economy adjusted factor'!$A$2:$F$52,4,FALSE)*INDEX('Year data'!$B$111:$AC$161,MATCH($A65,'Year data'!$A$111:$A$161,0),MATCH('TCO Inputs'!$AZ$12,'Year data'!$B$110:$AC$110,0))/(1+$AZ$41)^N$59</f>
        <v>1042.2722674115171</v>
      </c>
      <c r="O65" s="113">
        <f>VLOOKUP($A65,'VKT US'!$B$63:$AA$113,(O$59+1),FALSE)/VLOOKUP($A65,'Fuel economy adjusted factor'!$A$2:$F$52,4,FALSE)*INDEX('Year data'!$B$111:$AC$161,MATCH($A65,'Year data'!$A$111:$A$161,0),MATCH('TCO Inputs'!$AZ$12,'Year data'!$B$110:$AC$110,0))/(1+$AZ$41)^O$59</f>
        <v>1003.7504416076883</v>
      </c>
      <c r="P65" s="113">
        <f>VLOOKUP($A65,'VKT US'!$B$63:$AA$113,(P$59+1),FALSE)/VLOOKUP($A65,'Fuel economy adjusted factor'!$A$2:$F$52,4,FALSE)*INDEX('Year data'!$B$111:$AC$161,MATCH($A65,'Year data'!$A$111:$A$161,0),MATCH('TCO Inputs'!$AZ$12,'Year data'!$B$110:$AC$110,0))/(1+$AZ$41)^P$59</f>
        <v>967.345363898561</v>
      </c>
      <c r="Q65" s="113">
        <f>VLOOKUP($A65,'VKT US'!$B$63:$AA$113,(Q$59+1),FALSE)/VLOOKUP($A65,'Fuel economy adjusted factor'!$A$2:$F$52,4,FALSE)*INDEX('Year data'!$B$111:$AC$161,MATCH($A65,'Year data'!$A$111:$A$161,0),MATCH('TCO Inputs'!$AZ$12,'Year data'!$B$110:$AC$110,0))/(1+$AZ$41)^Q$59</f>
        <v>933.20143573048188</v>
      </c>
      <c r="R65" s="113">
        <f>VLOOKUP($A65,'VKT US'!$B$63:$AA$113,(R$59+1),FALSE)/VLOOKUP($A65,'Fuel economy adjusted factor'!$A$2:$F$52,4,FALSE)*INDEX('Year data'!$B$111:$AC$161,MATCH($A65,'Year data'!$A$111:$A$161,0),MATCH('TCO Inputs'!$AZ$12,'Year data'!$B$110:$AC$110,0))/(1+$AZ$41)^R$59</f>
        <v>900.94776917717297</v>
      </c>
      <c r="S65" s="113">
        <f>VLOOKUP($A65,'VKT US'!$B$63:$AA$113,(S$59+1),FALSE)/VLOOKUP($A65,'Fuel economy adjusted factor'!$A$2:$F$52,4,FALSE)*INDEX('Year data'!$B$111:$AC$161,MATCH($A65,'Year data'!$A$111:$A$161,0),MATCH('TCO Inputs'!$AZ$12,'Year data'!$B$110:$AC$110,0))/(1+$AZ$41)^S$59</f>
        <v>870.83043952564344</v>
      </c>
      <c r="T65" s="113">
        <f>VLOOKUP($A65,'VKT US'!$B$63:$AA$113,(T$59+1),FALSE)/VLOOKUP($A65,'Fuel economy adjusted factor'!$A$2:$F$52,4,FALSE)*INDEX('Year data'!$B$111:$AC$161,MATCH($A65,'Year data'!$A$111:$A$161,0),MATCH('TCO Inputs'!$AZ$12,'Year data'!$B$110:$AC$110,0))/(1+$AZ$41)^T$59</f>
        <v>842.48853523083073</v>
      </c>
      <c r="U65" s="113">
        <f>VLOOKUP($A65,'VKT US'!$B$63:$AA$113,(U$59+1),FALSE)/VLOOKUP($A65,'Fuel economy adjusted factor'!$A$2:$F$52,4,FALSE)*INDEX('Year data'!$B$111:$AC$161,MATCH($A65,'Year data'!$A$111:$A$161,0),MATCH('TCO Inputs'!$AZ$12,'Year data'!$B$110:$AC$110,0))/(1+$AZ$41)^U$59</f>
        <v>816.16354398911483</v>
      </c>
      <c r="V65" s="110" cm="1">
        <f t="array" ref="V65">SUMPRODUCT(INDEX(B65:U65,,_xlfn.SEQUENCE($AZ$13)))</f>
        <v>18444.456944455058</v>
      </c>
    </row>
    <row r="66" spans="1:56" hidden="1" outlineLevel="1" x14ac:dyDescent="0.25">
      <c r="A66" s="102" t="s">
        <v>191</v>
      </c>
      <c r="B66" s="113">
        <f>VLOOKUP($A66,'VKT US'!$B$63:$AA$113,(B$59+1),FALSE)/VLOOKUP($A66,'Fuel economy adjusted factor'!$A$2:$F$52,4,FALSE)*INDEX('Year data'!$B$111:$AC$161,MATCH($A66,'Year data'!$A$111:$A$161,0),MATCH('TCO Inputs'!$AZ$12,'Year data'!$B$110:$AC$110,0))/(1+$AZ$41)^B$59</f>
        <v>1524.0296881949539</v>
      </c>
      <c r="C66" s="113">
        <f>VLOOKUP($A66,'VKT US'!$B$63:$AA$113,(C$59+1),FALSE)/VLOOKUP($A66,'Fuel economy adjusted factor'!$A$2:$F$52,4,FALSE)*INDEX('Year data'!$B$111:$AC$161,MATCH($A66,'Year data'!$A$111:$A$161,0),MATCH('TCO Inputs'!$AZ$12,'Year data'!$B$110:$AC$110,0))/(1+$AZ$41)^C$59</f>
        <v>1461.1664793871305</v>
      </c>
      <c r="D66" s="113">
        <f>VLOOKUP($A66,'VKT US'!$B$63:$AA$113,(D$59+1),FALSE)/VLOOKUP($A66,'Fuel economy adjusted factor'!$A$2:$F$52,4,FALSE)*INDEX('Year data'!$B$111:$AC$161,MATCH($A66,'Year data'!$A$111:$A$161,0),MATCH('TCO Inputs'!$AZ$12,'Year data'!$B$110:$AC$110,0))/(1+$AZ$41)^D$59</f>
        <v>1400.9763829351036</v>
      </c>
      <c r="E66" s="113">
        <f>VLOOKUP($A66,'VKT US'!$B$63:$AA$113,(E$59+1),FALSE)/VLOOKUP($A66,'Fuel economy adjusted factor'!$A$2:$F$52,4,FALSE)*INDEX('Year data'!$B$111:$AC$161,MATCH($A66,'Year data'!$A$111:$A$161,0),MATCH('TCO Inputs'!$AZ$12,'Year data'!$B$110:$AC$110,0))/(1+$AZ$41)^E$59</f>
        <v>1343.4944383695533</v>
      </c>
      <c r="F66" s="113">
        <f>VLOOKUP($A66,'VKT US'!$B$63:$AA$113,(F$59+1),FALSE)/VLOOKUP($A66,'Fuel economy adjusted factor'!$A$2:$F$52,4,FALSE)*INDEX('Year data'!$B$111:$AC$161,MATCH($A66,'Year data'!$A$111:$A$161,0),MATCH('TCO Inputs'!$AZ$12,'Year data'!$B$110:$AC$110,0))/(1+$AZ$41)^F$59</f>
        <v>1288.5423652681409</v>
      </c>
      <c r="G66" s="113">
        <f>VLOOKUP($A66,'VKT US'!$B$63:$AA$113,(G$59+1),FALSE)/VLOOKUP($A66,'Fuel economy adjusted factor'!$A$2:$F$52,4,FALSE)*INDEX('Year data'!$B$111:$AC$161,MATCH($A66,'Year data'!$A$111:$A$161,0),MATCH('TCO Inputs'!$AZ$12,'Year data'!$B$110:$AC$110,0))/(1+$AZ$41)^G$59</f>
        <v>1236.2593835350847</v>
      </c>
      <c r="H66" s="113">
        <f>VLOOKUP($A66,'VKT US'!$B$63:$AA$113,(H$59+1),FALSE)/VLOOKUP($A66,'Fuel economy adjusted factor'!$A$2:$F$52,4,FALSE)*INDEX('Year data'!$B$111:$AC$161,MATCH($A66,'Year data'!$A$111:$A$161,0),MATCH('TCO Inputs'!$AZ$12,'Year data'!$B$110:$AC$110,0))/(1+$AZ$41)^H$59</f>
        <v>1186.2642156868769</v>
      </c>
      <c r="I66" s="113">
        <f>VLOOKUP($A66,'VKT US'!$B$63:$AA$113,(I$59+1),FALSE)/VLOOKUP($A66,'Fuel economy adjusted factor'!$A$2:$F$52,4,FALSE)*INDEX('Year data'!$B$111:$AC$161,MATCH($A66,'Year data'!$A$111:$A$161,0),MATCH('TCO Inputs'!$AZ$12,'Year data'!$B$110:$AC$110,0))/(1+$AZ$41)^I$59</f>
        <v>1138.6977996636676</v>
      </c>
      <c r="J66" s="113">
        <f>VLOOKUP($A66,'VKT US'!$B$63:$AA$113,(J$59+1),FALSE)/VLOOKUP($A66,'Fuel economy adjusted factor'!$A$2:$F$52,4,FALSE)*INDEX('Year data'!$B$111:$AC$161,MATCH($A66,'Year data'!$A$111:$A$161,0),MATCH('TCO Inputs'!$AZ$12,'Year data'!$B$110:$AC$110,0))/(1+$AZ$41)^J$59</f>
        <v>1093.4927647645673</v>
      </c>
      <c r="K66" s="113">
        <f>VLOOKUP($A66,'VKT US'!$B$63:$AA$113,(K$59+1),FALSE)/VLOOKUP($A66,'Fuel economy adjusted factor'!$A$2:$F$52,4,FALSE)*INDEX('Year data'!$B$111:$AC$161,MATCH($A66,'Year data'!$A$111:$A$161,0),MATCH('TCO Inputs'!$AZ$12,'Year data'!$B$110:$AC$110,0))/(1+$AZ$41)^K$59</f>
        <v>1050.5831957440037</v>
      </c>
      <c r="L66" s="113">
        <f>VLOOKUP($A66,'VKT US'!$B$63:$AA$113,(L$59+1),FALSE)/VLOOKUP($A66,'Fuel economy adjusted factor'!$A$2:$F$52,4,FALSE)*INDEX('Year data'!$B$111:$AC$161,MATCH($A66,'Year data'!$A$111:$A$161,0),MATCH('TCO Inputs'!$AZ$12,'Year data'!$B$110:$AC$110,0))/(1+$AZ$41)^L$59</f>
        <v>1009.8069546022223</v>
      </c>
      <c r="M66" s="113">
        <f>VLOOKUP($A66,'VKT US'!$B$63:$AA$113,(M$59+1),FALSE)/VLOOKUP($A66,'Fuel economy adjusted factor'!$A$2:$F$52,4,FALSE)*INDEX('Year data'!$B$111:$AC$161,MATCH($A66,'Year data'!$A$111:$A$161,0),MATCH('TCO Inputs'!$AZ$12,'Year data'!$B$110:$AC$110,0))/(1+$AZ$41)^M$59</f>
        <v>971.20092189073614</v>
      </c>
      <c r="N66" s="113">
        <f>VLOOKUP($A66,'VKT US'!$B$63:$AA$113,(N$59+1),FALSE)/VLOOKUP($A66,'Fuel economy adjusted factor'!$A$2:$F$52,4,FALSE)*INDEX('Year data'!$B$111:$AC$161,MATCH($A66,'Year data'!$A$111:$A$161,0),MATCH('TCO Inputs'!$AZ$12,'Year data'!$B$110:$AC$110,0))/(1+$AZ$41)^N$59</f>
        <v>934.60799628236589</v>
      </c>
      <c r="O66" s="113">
        <f>VLOOKUP($A66,'VKT US'!$B$63:$AA$113,(O$59+1),FALSE)/VLOOKUP($A66,'Fuel economy adjusted factor'!$A$2:$F$52,4,FALSE)*INDEX('Year data'!$B$111:$AC$161,MATCH($A66,'Year data'!$A$111:$A$161,0),MATCH('TCO Inputs'!$AZ$12,'Year data'!$B$110:$AC$110,0))/(1+$AZ$41)^O$59</f>
        <v>900.06538438205337</v>
      </c>
      <c r="P66" s="113">
        <f>VLOOKUP($A66,'VKT US'!$B$63:$AA$113,(P$59+1),FALSE)/VLOOKUP($A66,'Fuel economy adjusted factor'!$A$2:$F$52,4,FALSE)*INDEX('Year data'!$B$111:$AC$161,MATCH($A66,'Year data'!$A$111:$A$161,0),MATCH('TCO Inputs'!$AZ$12,'Year data'!$B$110:$AC$110,0))/(1+$AZ$41)^P$59</f>
        <v>867.42086548227405</v>
      </c>
      <c r="Q66" s="113">
        <f>VLOOKUP($A66,'VKT US'!$B$63:$AA$113,(Q$59+1),FALSE)/VLOOKUP($A66,'Fuel economy adjusted factor'!$A$2:$F$52,4,FALSE)*INDEX('Year data'!$B$111:$AC$161,MATCH($A66,'Year data'!$A$111:$A$161,0),MATCH('TCO Inputs'!$AZ$12,'Year data'!$B$110:$AC$110,0))/(1+$AZ$41)^Q$59</f>
        <v>836.80392469996866</v>
      </c>
      <c r="R66" s="113">
        <f>VLOOKUP($A66,'VKT US'!$B$63:$AA$113,(R$59+1),FALSE)/VLOOKUP($A66,'Fuel economy adjusted factor'!$A$2:$F$52,4,FALSE)*INDEX('Year data'!$B$111:$AC$161,MATCH($A66,'Year data'!$A$111:$A$161,0),MATCH('TCO Inputs'!$AZ$12,'Year data'!$B$110:$AC$110,0))/(1+$AZ$41)^R$59</f>
        <v>807.8819859583657</v>
      </c>
      <c r="S66" s="113">
        <f>VLOOKUP($A66,'VKT US'!$B$63:$AA$113,(S$59+1),FALSE)/VLOOKUP($A66,'Fuel economy adjusted factor'!$A$2:$F$52,4,FALSE)*INDEX('Year data'!$B$111:$AC$161,MATCH($A66,'Year data'!$A$111:$A$161,0),MATCH('TCO Inputs'!$AZ$12,'Year data'!$B$110:$AC$110,0))/(1+$AZ$41)^S$59</f>
        <v>780.8757055467255</v>
      </c>
      <c r="T66" s="113">
        <f>VLOOKUP($A66,'VKT US'!$B$63:$AA$113,(T$59+1),FALSE)/VLOOKUP($A66,'Fuel economy adjusted factor'!$A$2:$F$52,4,FALSE)*INDEX('Year data'!$B$111:$AC$161,MATCH($A66,'Year data'!$A$111:$A$161,0),MATCH('TCO Inputs'!$AZ$12,'Year data'!$B$110:$AC$110,0))/(1+$AZ$41)^T$59</f>
        <v>755.46145323280189</v>
      </c>
      <c r="U66" s="113">
        <f>VLOOKUP($A66,'VKT US'!$B$63:$AA$113,(U$59+1),FALSE)/VLOOKUP($A66,'Fuel economy adjusted factor'!$A$2:$F$52,4,FALSE)*INDEX('Year data'!$B$111:$AC$161,MATCH($A66,'Year data'!$A$111:$A$161,0),MATCH('TCO Inputs'!$AZ$12,'Year data'!$B$110:$AC$110,0))/(1+$AZ$41)^U$59</f>
        <v>731.85577160253661</v>
      </c>
      <c r="V66" s="110" cm="1">
        <f t="array" ref="V66">SUMPRODUCT(INDEX(B66:U66,,_xlfn.SEQUENCE($AZ$13)))</f>
        <v>16539.187970706462</v>
      </c>
    </row>
    <row r="67" spans="1:56" hidden="1" outlineLevel="1" x14ac:dyDescent="0.25">
      <c r="A67" s="102" t="s">
        <v>192</v>
      </c>
      <c r="B67" s="113">
        <f>VLOOKUP($A67,'VKT US'!$B$63:$AA$113,(B$59+1),FALSE)/VLOOKUP($A67,'Fuel economy adjusted factor'!$A$2:$F$52,4,FALSE)*INDEX('Year data'!$B$111:$AC$161,MATCH($A67,'Year data'!$A$111:$A$161,0),MATCH('TCO Inputs'!$AZ$12,'Year data'!$B$110:$AC$110,0))/(1+$AZ$41)^B$59</f>
        <v>1610.6805609351707</v>
      </c>
      <c r="C67" s="113">
        <f>VLOOKUP($A67,'VKT US'!$B$63:$AA$113,(C$59+1),FALSE)/VLOOKUP($A67,'Fuel economy adjusted factor'!$A$2:$F$52,4,FALSE)*INDEX('Year data'!$B$111:$AC$161,MATCH($A67,'Year data'!$A$111:$A$161,0),MATCH('TCO Inputs'!$AZ$12,'Year data'!$B$110:$AC$110,0))/(1+$AZ$41)^C$59</f>
        <v>1544.2431750961241</v>
      </c>
      <c r="D67" s="113">
        <f>VLOOKUP($A67,'VKT US'!$B$63:$AA$113,(D$59+1),FALSE)/VLOOKUP($A67,'Fuel economy adjusted factor'!$A$2:$F$52,4,FALSE)*INDEX('Year data'!$B$111:$AC$161,MATCH($A67,'Year data'!$A$111:$A$161,0),MATCH('TCO Inputs'!$AZ$12,'Year data'!$B$110:$AC$110,0))/(1+$AZ$41)^D$59</f>
        <v>1480.6308852129032</v>
      </c>
      <c r="E67" s="113">
        <f>VLOOKUP($A67,'VKT US'!$B$63:$AA$113,(E$59+1),FALSE)/VLOOKUP($A67,'Fuel economy adjusted factor'!$A$2:$F$52,4,FALSE)*INDEX('Year data'!$B$111:$AC$161,MATCH($A67,'Year data'!$A$111:$A$161,0),MATCH('TCO Inputs'!$AZ$12,'Year data'!$B$110:$AC$110,0))/(1+$AZ$41)^E$59</f>
        <v>1419.8807230384759</v>
      </c>
      <c r="F67" s="113">
        <f>VLOOKUP($A67,'VKT US'!$B$63:$AA$113,(F$59+1),FALSE)/VLOOKUP($A67,'Fuel economy adjusted factor'!$A$2:$F$52,4,FALSE)*INDEX('Year data'!$B$111:$AC$161,MATCH($A67,'Year data'!$A$111:$A$161,0),MATCH('TCO Inputs'!$AZ$12,'Year data'!$B$110:$AC$110,0))/(1+$AZ$41)^F$59</f>
        <v>1361.8042717638527</v>
      </c>
      <c r="G67" s="113">
        <f>VLOOKUP($A67,'VKT US'!$B$63:$AA$113,(G$59+1),FALSE)/VLOOKUP($A67,'Fuel economy adjusted factor'!$A$2:$F$52,4,FALSE)*INDEX('Year data'!$B$111:$AC$161,MATCH($A67,'Year data'!$A$111:$A$161,0),MATCH('TCO Inputs'!$AZ$12,'Year data'!$B$110:$AC$110,0))/(1+$AZ$41)^G$59</f>
        <v>1306.5486668386613</v>
      </c>
      <c r="H67" s="113">
        <f>VLOOKUP($A67,'VKT US'!$B$63:$AA$113,(H$59+1),FALSE)/VLOOKUP($A67,'Fuel economy adjusted factor'!$A$2:$F$52,4,FALSE)*INDEX('Year data'!$B$111:$AC$161,MATCH($A67,'Year data'!$A$111:$A$161,0),MATCH('TCO Inputs'!$AZ$12,'Year data'!$B$110:$AC$110,0))/(1+$AZ$41)^H$59</f>
        <v>1253.7109527064824</v>
      </c>
      <c r="I67" s="113">
        <f>VLOOKUP($A67,'VKT US'!$B$63:$AA$113,(I$59+1),FALSE)/VLOOKUP($A67,'Fuel economy adjusted factor'!$A$2:$F$52,4,FALSE)*INDEX('Year data'!$B$111:$AC$161,MATCH($A67,'Year data'!$A$111:$A$161,0),MATCH('TCO Inputs'!$AZ$12,'Year data'!$B$110:$AC$110,0))/(1+$AZ$41)^I$59</f>
        <v>1203.4400805342482</v>
      </c>
      <c r="J67" s="113">
        <f>VLOOKUP($A67,'VKT US'!$B$63:$AA$113,(J$59+1),FALSE)/VLOOKUP($A67,'Fuel economy adjusted factor'!$A$2:$F$52,4,FALSE)*INDEX('Year data'!$B$111:$AC$161,MATCH($A67,'Year data'!$A$111:$A$161,0),MATCH('TCO Inputs'!$AZ$12,'Year data'!$B$110:$AC$110,0))/(1+$AZ$41)^J$59</f>
        <v>1155.6648491641733</v>
      </c>
      <c r="K67" s="113">
        <f>VLOOKUP($A67,'VKT US'!$B$63:$AA$113,(K$59+1),FALSE)/VLOOKUP($A67,'Fuel economy adjusted factor'!$A$2:$F$52,4,FALSE)*INDEX('Year data'!$B$111:$AC$161,MATCH($A67,'Year data'!$A$111:$A$161,0),MATCH('TCO Inputs'!$AZ$12,'Year data'!$B$110:$AC$110,0))/(1+$AZ$41)^K$59</f>
        <v>1110.315595645769</v>
      </c>
      <c r="L67" s="113">
        <f>VLOOKUP($A67,'VKT US'!$B$63:$AA$113,(L$59+1),FALSE)/VLOOKUP($A67,'Fuel economy adjusted factor'!$A$2:$F$52,4,FALSE)*INDEX('Year data'!$B$111:$AC$161,MATCH($A67,'Year data'!$A$111:$A$161,0),MATCH('TCO Inputs'!$AZ$12,'Year data'!$B$110:$AC$110,0))/(1+$AZ$41)^L$59</f>
        <v>1067.2209633929949</v>
      </c>
      <c r="M67" s="113">
        <f>VLOOKUP($A67,'VKT US'!$B$63:$AA$113,(M$59+1),FALSE)/VLOOKUP($A67,'Fuel economy adjusted factor'!$A$2:$F$52,4,FALSE)*INDEX('Year data'!$B$111:$AC$161,MATCH($A67,'Year data'!$A$111:$A$161,0),MATCH('TCO Inputs'!$AZ$12,'Year data'!$B$110:$AC$110,0))/(1+$AZ$41)^M$59</f>
        <v>1026.4199298535066</v>
      </c>
      <c r="N67" s="113">
        <f>VLOOKUP($A67,'VKT US'!$B$63:$AA$113,(N$59+1),FALSE)/VLOOKUP($A67,'Fuel economy adjusted factor'!$A$2:$F$52,4,FALSE)*INDEX('Year data'!$B$111:$AC$161,MATCH($A67,'Year data'!$A$111:$A$161,0),MATCH('TCO Inputs'!$AZ$12,'Year data'!$B$110:$AC$110,0))/(1+$AZ$41)^N$59</f>
        <v>987.74646148101283</v>
      </c>
      <c r="O67" s="113">
        <f>VLOOKUP($A67,'VKT US'!$B$63:$AA$113,(O$59+1),FALSE)/VLOOKUP($A67,'Fuel economy adjusted factor'!$A$2:$F$52,4,FALSE)*INDEX('Year data'!$B$111:$AC$161,MATCH($A67,'Year data'!$A$111:$A$161,0),MATCH('TCO Inputs'!$AZ$12,'Year data'!$B$110:$AC$110,0))/(1+$AZ$41)^O$59</f>
        <v>951.2398803148302</v>
      </c>
      <c r="P67" s="113">
        <f>VLOOKUP($A67,'VKT US'!$B$63:$AA$113,(P$59+1),FALSE)/VLOOKUP($A67,'Fuel economy adjusted factor'!$A$2:$F$52,4,FALSE)*INDEX('Year data'!$B$111:$AC$161,MATCH($A67,'Year data'!$A$111:$A$161,0),MATCH('TCO Inputs'!$AZ$12,'Year data'!$B$110:$AC$110,0))/(1+$AZ$41)^P$59</f>
        <v>916.73931092288433</v>
      </c>
      <c r="Q67" s="113">
        <f>VLOOKUP($A67,'VKT US'!$B$63:$AA$113,(Q$59+1),FALSE)/VLOOKUP($A67,'Fuel economy adjusted factor'!$A$2:$F$52,4,FALSE)*INDEX('Year data'!$B$111:$AC$161,MATCH($A67,'Year data'!$A$111:$A$161,0),MATCH('TCO Inputs'!$AZ$12,'Year data'!$B$110:$AC$110,0))/(1+$AZ$41)^Q$59</f>
        <v>884.3816004823683</v>
      </c>
      <c r="R67" s="113">
        <f>VLOOKUP($A67,'VKT US'!$B$63:$AA$113,(R$59+1),FALSE)/VLOOKUP($A67,'Fuel economy adjusted factor'!$A$2:$F$52,4,FALSE)*INDEX('Year data'!$B$111:$AC$161,MATCH($A67,'Year data'!$A$111:$A$161,0),MATCH('TCO Inputs'!$AZ$12,'Year data'!$B$110:$AC$110,0))/(1+$AZ$41)^R$59</f>
        <v>853.81526383125515</v>
      </c>
      <c r="S67" s="113">
        <f>VLOOKUP($A67,'VKT US'!$B$63:$AA$113,(S$59+1),FALSE)/VLOOKUP($A67,'Fuel economy adjusted factor'!$A$2:$F$52,4,FALSE)*INDEX('Year data'!$B$111:$AC$161,MATCH($A67,'Year data'!$A$111:$A$161,0),MATCH('TCO Inputs'!$AZ$12,'Year data'!$B$110:$AC$110,0))/(1+$AZ$41)^S$59</f>
        <v>825.27350298556428</v>
      </c>
      <c r="T67" s="113">
        <f>VLOOKUP($A67,'VKT US'!$B$63:$AA$113,(T$59+1),FALSE)/VLOOKUP($A67,'Fuel economy adjusted factor'!$A$2:$F$52,4,FALSE)*INDEX('Year data'!$B$111:$AC$161,MATCH($A67,'Year data'!$A$111:$A$161,0),MATCH('TCO Inputs'!$AZ$12,'Year data'!$B$110:$AC$110,0))/(1+$AZ$41)^T$59</f>
        <v>798.41428725649234</v>
      </c>
      <c r="U67" s="113">
        <f>VLOOKUP($A67,'VKT US'!$B$63:$AA$113,(U$59+1),FALSE)/VLOOKUP($A67,'Fuel economy adjusted factor'!$A$2:$F$52,4,FALSE)*INDEX('Year data'!$B$111:$AC$161,MATCH($A67,'Year data'!$A$111:$A$161,0),MATCH('TCO Inputs'!$AZ$12,'Year data'!$B$110:$AC$110,0))/(1+$AZ$41)^U$59</f>
        <v>773.46647106629439</v>
      </c>
      <c r="V67" s="110" cm="1">
        <f t="array" ref="V67">SUMPRODUCT(INDEX(B67:U67,,_xlfn.SEQUENCE($AZ$13)))</f>
        <v>17479.546995978206</v>
      </c>
      <c r="AY67" s="216" t="s">
        <v>320</v>
      </c>
      <c r="AZ67" s="216"/>
      <c r="BA67" s="216"/>
      <c r="BB67" s="216"/>
      <c r="BC67" s="216"/>
      <c r="BD67" s="216"/>
    </row>
    <row r="68" spans="1:56" hidden="1" outlineLevel="1" x14ac:dyDescent="0.25">
      <c r="A68" s="102" t="s">
        <v>193</v>
      </c>
      <c r="B68" s="113">
        <f>VLOOKUP($A68,'VKT US'!$B$63:$AA$113,(B$59+1),FALSE)/VLOOKUP($A68,'Fuel economy adjusted factor'!$A$2:$F$52,4,FALSE)*INDEX('Year data'!$B$111:$AC$161,MATCH($A68,'Year data'!$A$111:$A$161,0),MATCH('TCO Inputs'!$AZ$12,'Year data'!$B$110:$AC$110,0))/(1+$AZ$41)^B$59</f>
        <v>1693.4151401054744</v>
      </c>
      <c r="C68" s="113">
        <f>VLOOKUP($A68,'VKT US'!$B$63:$AA$113,(C$59+1),FALSE)/VLOOKUP($A68,'Fuel economy adjusted factor'!$A$2:$F$52,4,FALSE)*INDEX('Year data'!$B$111:$AC$161,MATCH($A68,'Year data'!$A$111:$A$161,0),MATCH('TCO Inputs'!$AZ$12,'Year data'!$B$110:$AC$110,0))/(1+$AZ$41)^C$59</f>
        <v>1623.5651165951958</v>
      </c>
      <c r="D68" s="113">
        <f>VLOOKUP($A68,'VKT US'!$B$63:$AA$113,(D$59+1),FALSE)/VLOOKUP($A68,'Fuel economy adjusted factor'!$A$2:$F$52,4,FALSE)*INDEX('Year data'!$B$111:$AC$161,MATCH($A68,'Year data'!$A$111:$A$161,0),MATCH('TCO Inputs'!$AZ$12,'Year data'!$B$110:$AC$110,0))/(1+$AZ$41)^D$59</f>
        <v>1556.6853035536326</v>
      </c>
      <c r="E68" s="113">
        <f>VLOOKUP($A68,'VKT US'!$B$63:$AA$113,(E$59+1),FALSE)/VLOOKUP($A68,'Fuel economy adjusted factor'!$A$2:$F$52,4,FALSE)*INDEX('Year data'!$B$111:$AC$161,MATCH($A68,'Year data'!$A$111:$A$161,0),MATCH('TCO Inputs'!$AZ$12,'Year data'!$B$110:$AC$110,0))/(1+$AZ$41)^E$59</f>
        <v>1492.8146349150866</v>
      </c>
      <c r="F68" s="113">
        <f>VLOOKUP($A68,'VKT US'!$B$63:$AA$113,(F$59+1),FALSE)/VLOOKUP($A68,'Fuel economy adjusted factor'!$A$2:$F$52,4,FALSE)*INDEX('Year data'!$B$111:$AC$161,MATCH($A68,'Year data'!$A$111:$A$161,0),MATCH('TCO Inputs'!$AZ$12,'Year data'!$B$110:$AC$110,0))/(1+$AZ$41)^F$59</f>
        <v>1431.7550156104717</v>
      </c>
      <c r="G68" s="113">
        <f>VLOOKUP($A68,'VKT US'!$B$63:$AA$113,(G$59+1),FALSE)/VLOOKUP($A68,'Fuel economy adjusted factor'!$A$2:$F$52,4,FALSE)*INDEX('Year data'!$B$111:$AC$161,MATCH($A68,'Year data'!$A$111:$A$161,0),MATCH('TCO Inputs'!$AZ$12,'Year data'!$B$110:$AC$110,0))/(1+$AZ$41)^G$59</f>
        <v>1373.6611388819431</v>
      </c>
      <c r="H68" s="113">
        <f>VLOOKUP($A68,'VKT US'!$B$63:$AA$113,(H$59+1),FALSE)/VLOOKUP($A68,'Fuel economy adjusted factor'!$A$2:$F$52,4,FALSE)*INDEX('Year data'!$B$111:$AC$161,MATCH($A68,'Year data'!$A$111:$A$161,0),MATCH('TCO Inputs'!$AZ$12,'Year data'!$B$110:$AC$110,0))/(1+$AZ$41)^H$59</f>
        <v>1318.1093508675353</v>
      </c>
      <c r="I68" s="113">
        <f>VLOOKUP($A68,'VKT US'!$B$63:$AA$113,(I$59+1),FALSE)/VLOOKUP($A68,'Fuel economy adjusted factor'!$A$2:$F$52,4,FALSE)*INDEX('Year data'!$B$111:$AC$161,MATCH($A68,'Year data'!$A$111:$A$161,0),MATCH('TCO Inputs'!$AZ$12,'Year data'!$B$110:$AC$110,0))/(1+$AZ$41)^I$59</f>
        <v>1265.256253793252</v>
      </c>
      <c r="J68" s="113">
        <f>VLOOKUP($A68,'VKT US'!$B$63:$AA$113,(J$59+1),FALSE)/VLOOKUP($A68,'Fuel economy adjusted factor'!$A$2:$F$52,4,FALSE)*INDEX('Year data'!$B$111:$AC$161,MATCH($A68,'Year data'!$A$111:$A$161,0),MATCH('TCO Inputs'!$AZ$12,'Year data'!$B$110:$AC$110,0))/(1+$AZ$41)^J$59</f>
        <v>1215.0269891666558</v>
      </c>
      <c r="K68" s="113">
        <f>VLOOKUP($A68,'VKT US'!$B$63:$AA$113,(K$59+1),FALSE)/VLOOKUP($A68,'Fuel economy adjusted factor'!$A$2:$F$52,4,FALSE)*INDEX('Year data'!$B$111:$AC$161,MATCH($A68,'Year data'!$A$111:$A$161,0),MATCH('TCO Inputs'!$AZ$12,'Year data'!$B$110:$AC$110,0))/(1+$AZ$41)^K$59</f>
        <v>1167.3483157145097</v>
      </c>
      <c r="L68" s="113">
        <f>VLOOKUP($A68,'VKT US'!$B$63:$AA$113,(L$59+1),FALSE)/VLOOKUP($A68,'Fuel economy adjusted factor'!$A$2:$F$52,4,FALSE)*INDEX('Year data'!$B$111:$AC$161,MATCH($A68,'Year data'!$A$111:$A$161,0),MATCH('TCO Inputs'!$AZ$12,'Year data'!$B$110:$AC$110,0))/(1+$AZ$41)^L$59</f>
        <v>1122.0400749099181</v>
      </c>
      <c r="M68" s="113">
        <f>VLOOKUP($A68,'VKT US'!$B$63:$AA$113,(M$59+1),FALSE)/VLOOKUP($A68,'Fuel economy adjusted factor'!$A$2:$F$52,4,FALSE)*INDEX('Year data'!$B$111:$AC$161,MATCH($A68,'Year data'!$A$111:$A$161,0),MATCH('TCO Inputs'!$AZ$12,'Year data'!$B$110:$AC$110,0))/(1+$AZ$41)^M$59</f>
        <v>1079.1432463248602</v>
      </c>
      <c r="N68" s="113">
        <f>VLOOKUP($A68,'VKT US'!$B$63:$AA$113,(N$59+1),FALSE)/VLOOKUP($A68,'Fuel economy adjusted factor'!$A$2:$F$52,4,FALSE)*INDEX('Year data'!$B$111:$AC$161,MATCH($A68,'Year data'!$A$111:$A$161,0),MATCH('TCO Inputs'!$AZ$12,'Year data'!$B$110:$AC$110,0))/(1+$AZ$41)^N$59</f>
        <v>1038.4832678966443</v>
      </c>
      <c r="O68" s="113">
        <f>VLOOKUP($A68,'VKT US'!$B$63:$AA$113,(O$59+1),FALSE)/VLOOKUP($A68,'Fuel economy adjusted factor'!$A$2:$F$52,4,FALSE)*INDEX('Year data'!$B$111:$AC$161,MATCH($A68,'Year data'!$A$111:$A$161,0),MATCH('TCO Inputs'!$AZ$12,'Year data'!$B$110:$AC$110,0))/(1+$AZ$41)^O$59</f>
        <v>1000.1014814892825</v>
      </c>
      <c r="P68" s="113">
        <f>VLOOKUP($A68,'VKT US'!$B$63:$AA$113,(P$59+1),FALSE)/VLOOKUP($A68,'Fuel economy adjusted factor'!$A$2:$F$52,4,FALSE)*INDEX('Year data'!$B$111:$AC$161,MATCH($A68,'Year data'!$A$111:$A$161,0),MATCH('TCO Inputs'!$AZ$12,'Year data'!$B$110:$AC$110,0))/(1+$AZ$41)^P$59</f>
        <v>963.82874810715271</v>
      </c>
      <c r="Q68" s="113">
        <f>VLOOKUP($A68,'VKT US'!$B$63:$AA$113,(Q$59+1),FALSE)/VLOOKUP($A68,'Fuel economy adjusted factor'!$A$2:$F$52,4,FALSE)*INDEX('Year data'!$B$111:$AC$161,MATCH($A68,'Year data'!$A$111:$A$161,0),MATCH('TCO Inputs'!$AZ$12,'Year data'!$B$110:$AC$110,0))/(1+$AZ$41)^Q$59</f>
        <v>929.80894425026349</v>
      </c>
      <c r="R68" s="113">
        <f>VLOOKUP($A68,'VKT US'!$B$63:$AA$113,(R$59+1),FALSE)/VLOOKUP($A68,'Fuel economy adjusted factor'!$A$2:$F$52,4,FALSE)*INDEX('Year data'!$B$111:$AC$161,MATCH($A68,'Year data'!$A$111:$A$161,0),MATCH('TCO Inputs'!$AZ$12,'Year data'!$B$110:$AC$110,0))/(1+$AZ$41)^R$59</f>
        <v>897.67253029087317</v>
      </c>
      <c r="S68" s="113">
        <f>VLOOKUP($A68,'VKT US'!$B$63:$AA$113,(S$59+1),FALSE)/VLOOKUP($A68,'Fuel economy adjusted factor'!$A$2:$F$52,4,FALSE)*INDEX('Year data'!$B$111:$AC$161,MATCH($A68,'Year data'!$A$111:$A$161,0),MATCH('TCO Inputs'!$AZ$12,'Year data'!$B$110:$AC$110,0))/(1+$AZ$41)^S$59</f>
        <v>867.66468695209232</v>
      </c>
      <c r="T68" s="113">
        <f>VLOOKUP($A68,'VKT US'!$B$63:$AA$113,(T$59+1),FALSE)/VLOOKUP($A68,'Fuel economy adjusted factor'!$A$2:$F$52,4,FALSE)*INDEX('Year data'!$B$111:$AC$161,MATCH($A68,'Year data'!$A$111:$A$161,0),MATCH('TCO Inputs'!$AZ$12,'Year data'!$B$110:$AC$110,0))/(1+$AZ$41)^T$59</f>
        <v>839.42581471999597</v>
      </c>
      <c r="U68" s="113">
        <f>VLOOKUP($A68,'VKT US'!$B$63:$AA$113,(U$59+1),FALSE)/VLOOKUP($A68,'Fuel economy adjusted factor'!$A$2:$F$52,4,FALSE)*INDEX('Year data'!$B$111:$AC$161,MATCH($A68,'Year data'!$A$111:$A$161,0),MATCH('TCO Inputs'!$AZ$12,'Year data'!$B$110:$AC$110,0))/(1+$AZ$41)^U$59</f>
        <v>813.1965234044535</v>
      </c>
      <c r="V68" s="110" cm="1">
        <f t="array" ref="V68">SUMPRODUCT(INDEX(B68:U68,,_xlfn.SEQUENCE($AZ$13)))</f>
        <v>18377.405329824462</v>
      </c>
      <c r="AY68" s="37"/>
      <c r="AZ68" s="37" t="s">
        <v>308</v>
      </c>
      <c r="BA68" s="37" t="s">
        <v>255</v>
      </c>
      <c r="BB68" s="37" t="s">
        <v>254</v>
      </c>
      <c r="BC68" s="37" t="s">
        <v>253</v>
      </c>
      <c r="BD68" s="37" t="s">
        <v>519</v>
      </c>
    </row>
    <row r="69" spans="1:56" hidden="1" outlineLevel="1" x14ac:dyDescent="0.25">
      <c r="A69" s="102" t="s">
        <v>194</v>
      </c>
      <c r="B69" s="113">
        <f>VLOOKUP($A69,'VKT US'!$B$63:$AA$113,(B$59+1),FALSE)/VLOOKUP($A69,'Fuel economy adjusted factor'!$A$2:$F$52,4,FALSE)*INDEX('Year data'!$B$111:$AC$161,MATCH($A69,'Year data'!$A$111:$A$161,0),MATCH('TCO Inputs'!$AZ$12,'Year data'!$B$110:$AC$110,0))/(1+$AZ$41)^B$59</f>
        <v>2128.607324523789</v>
      </c>
      <c r="C69" s="113">
        <f>VLOOKUP($A69,'VKT US'!$B$63:$AA$113,(C$59+1),FALSE)/VLOOKUP($A69,'Fuel economy adjusted factor'!$A$2:$F$52,4,FALSE)*INDEX('Year data'!$B$111:$AC$161,MATCH($A69,'Year data'!$A$111:$A$161,0),MATCH('TCO Inputs'!$AZ$12,'Year data'!$B$110:$AC$110,0))/(1+$AZ$41)^C$59</f>
        <v>2040.8064845874715</v>
      </c>
      <c r="D69" s="113">
        <f>VLOOKUP($A69,'VKT US'!$B$63:$AA$113,(D$59+1),FALSE)/VLOOKUP($A69,'Fuel economy adjusted factor'!$A$2:$F$52,4,FALSE)*INDEX('Year data'!$B$111:$AC$161,MATCH($A69,'Year data'!$A$111:$A$161,0),MATCH('TCO Inputs'!$AZ$12,'Year data'!$B$110:$AC$110,0))/(1+$AZ$41)^D$59</f>
        <v>1956.7391720121354</v>
      </c>
      <c r="E69" s="113">
        <f>VLOOKUP($A69,'VKT US'!$B$63:$AA$113,(E$59+1),FALSE)/VLOOKUP($A69,'Fuel economy adjusted factor'!$A$2:$F$52,4,FALSE)*INDEX('Year data'!$B$111:$AC$161,MATCH($A69,'Year data'!$A$111:$A$161,0),MATCH('TCO Inputs'!$AZ$12,'Year data'!$B$110:$AC$110,0))/(1+$AZ$41)^E$59</f>
        <v>1876.4543263966814</v>
      </c>
      <c r="F69" s="113">
        <f>VLOOKUP($A69,'VKT US'!$B$63:$AA$113,(F$59+1),FALSE)/VLOOKUP($A69,'Fuel economy adjusted factor'!$A$2:$F$52,4,FALSE)*INDEX('Year data'!$B$111:$AC$161,MATCH($A69,'Year data'!$A$111:$A$161,0),MATCH('TCO Inputs'!$AZ$12,'Year data'!$B$110:$AC$110,0))/(1+$AZ$41)^F$59</f>
        <v>1799.7029440532224</v>
      </c>
      <c r="G69" s="113">
        <f>VLOOKUP($A69,'VKT US'!$B$63:$AA$113,(G$59+1),FALSE)/VLOOKUP($A69,'Fuel economy adjusted factor'!$A$2:$F$52,4,FALSE)*INDEX('Year data'!$B$111:$AC$161,MATCH($A69,'Year data'!$A$111:$A$161,0),MATCH('TCO Inputs'!$AZ$12,'Year data'!$B$110:$AC$110,0))/(1+$AZ$41)^G$59</f>
        <v>1726.6794729706226</v>
      </c>
      <c r="H69" s="113">
        <f>VLOOKUP($A69,'VKT US'!$B$63:$AA$113,(H$59+1),FALSE)/VLOOKUP($A69,'Fuel economy adjusted factor'!$A$2:$F$52,4,FALSE)*INDEX('Year data'!$B$111:$AC$161,MATCH($A69,'Year data'!$A$111:$A$161,0),MATCH('TCO Inputs'!$AZ$12,'Year data'!$B$110:$AC$110,0))/(1+$AZ$41)^H$59</f>
        <v>1656.851384123788</v>
      </c>
      <c r="I69" s="113">
        <f>VLOOKUP($A69,'VKT US'!$B$63:$AA$113,(I$59+1),FALSE)/VLOOKUP($A69,'Fuel economy adjusted factor'!$A$2:$F$52,4,FALSE)*INDEX('Year data'!$B$111:$AC$161,MATCH($A69,'Year data'!$A$111:$A$161,0),MATCH('TCO Inputs'!$AZ$12,'Year data'!$B$110:$AC$110,0))/(1+$AZ$41)^I$59</f>
        <v>1590.4155250767972</v>
      </c>
      <c r="J69" s="113">
        <f>VLOOKUP($A69,'VKT US'!$B$63:$AA$113,(J$59+1),FALSE)/VLOOKUP($A69,'Fuel economy adjusted factor'!$A$2:$F$52,4,FALSE)*INDEX('Year data'!$B$111:$AC$161,MATCH($A69,'Year data'!$A$111:$A$161,0),MATCH('TCO Inputs'!$AZ$12,'Year data'!$B$110:$AC$110,0))/(1+$AZ$41)^J$59</f>
        <v>1527.2777993901377</v>
      </c>
      <c r="K69" s="113">
        <f>VLOOKUP($A69,'VKT US'!$B$63:$AA$113,(K$59+1),FALSE)/VLOOKUP($A69,'Fuel economy adjusted factor'!$A$2:$F$52,4,FALSE)*INDEX('Year data'!$B$111:$AC$161,MATCH($A69,'Year data'!$A$111:$A$161,0),MATCH('TCO Inputs'!$AZ$12,'Year data'!$B$110:$AC$110,0))/(1+$AZ$41)^K$59</f>
        <v>1467.3461434540188</v>
      </c>
      <c r="L69" s="113">
        <f>VLOOKUP($A69,'VKT US'!$B$63:$AA$113,(L$59+1),FALSE)/VLOOKUP($A69,'Fuel economy adjusted factor'!$A$2:$F$52,4,FALSE)*INDEX('Year data'!$B$111:$AC$161,MATCH($A69,'Year data'!$A$111:$A$161,0),MATCH('TCO Inputs'!$AZ$12,'Year data'!$B$110:$AC$110,0))/(1+$AZ$41)^L$59</f>
        <v>1410.3940996498427</v>
      </c>
      <c r="M69" s="113">
        <f>VLOOKUP($A69,'VKT US'!$B$63:$AA$113,(M$59+1),FALSE)/VLOOKUP($A69,'Fuel economy adjusted factor'!$A$2:$F$52,4,FALSE)*INDEX('Year data'!$B$111:$AC$161,MATCH($A69,'Year data'!$A$111:$A$161,0),MATCH('TCO Inputs'!$AZ$12,'Year data'!$B$110:$AC$110,0))/(1+$AZ$41)^M$59</f>
        <v>1356.4731789243385</v>
      </c>
      <c r="N69" s="113">
        <f>VLOOKUP($A69,'VKT US'!$B$63:$AA$113,(N$59+1),FALSE)/VLOOKUP($A69,'Fuel economy adjusted factor'!$A$2:$F$52,4,FALSE)*INDEX('Year data'!$B$111:$AC$161,MATCH($A69,'Year data'!$A$111:$A$161,0),MATCH('TCO Inputs'!$AZ$12,'Year data'!$B$110:$AC$110,0))/(1+$AZ$41)^N$59</f>
        <v>1305.3639583631659</v>
      </c>
      <c r="O69" s="113">
        <f>VLOOKUP($A69,'VKT US'!$B$63:$AA$113,(O$59+1),FALSE)/VLOOKUP($A69,'Fuel economy adjusted factor'!$A$2:$F$52,4,FALSE)*INDEX('Year data'!$B$111:$AC$161,MATCH($A69,'Year data'!$A$111:$A$161,0),MATCH('TCO Inputs'!$AZ$12,'Year data'!$B$110:$AC$110,0))/(1+$AZ$41)^O$59</f>
        <v>1257.1184043108212</v>
      </c>
      <c r="P69" s="113">
        <f>VLOOKUP($A69,'VKT US'!$B$63:$AA$113,(P$59+1),FALSE)/VLOOKUP($A69,'Fuel economy adjusted factor'!$A$2:$F$52,4,FALSE)*INDEX('Year data'!$B$111:$AC$161,MATCH($A69,'Year data'!$A$111:$A$161,0),MATCH('TCO Inputs'!$AZ$12,'Year data'!$B$110:$AC$110,0))/(1+$AZ$41)^P$59</f>
        <v>1211.5239105986113</v>
      </c>
      <c r="Q69" s="113">
        <f>VLOOKUP($A69,'VKT US'!$B$63:$AA$113,(Q$59+1),FALSE)/VLOOKUP($A69,'Fuel economy adjusted factor'!$A$2:$F$52,4,FALSE)*INDEX('Year data'!$B$111:$AC$161,MATCH($A69,'Year data'!$A$111:$A$161,0),MATCH('TCO Inputs'!$AZ$12,'Year data'!$B$110:$AC$110,0))/(1+$AZ$41)^Q$59</f>
        <v>1168.7613286695716</v>
      </c>
      <c r="R69" s="113">
        <f>VLOOKUP($A69,'VKT US'!$B$63:$AA$113,(R$59+1),FALSE)/VLOOKUP($A69,'Fuel economy adjusted factor'!$A$2:$F$52,4,FALSE)*INDEX('Year data'!$B$111:$AC$161,MATCH($A69,'Year data'!$A$111:$A$161,0),MATCH('TCO Inputs'!$AZ$12,'Year data'!$B$110:$AC$110,0))/(1+$AZ$41)^R$59</f>
        <v>1128.3661505955013</v>
      </c>
      <c r="S69" s="113">
        <f>VLOOKUP($A69,'VKT US'!$B$63:$AA$113,(S$59+1),FALSE)/VLOOKUP($A69,'Fuel economy adjusted factor'!$A$2:$F$52,4,FALSE)*INDEX('Year data'!$B$111:$AC$161,MATCH($A69,'Year data'!$A$111:$A$161,0),MATCH('TCO Inputs'!$AZ$12,'Year data'!$B$110:$AC$110,0))/(1+$AZ$41)^S$59</f>
        <v>1090.6465663002332</v>
      </c>
      <c r="T69" s="113">
        <f>VLOOKUP($A69,'VKT US'!$B$63:$AA$113,(T$59+1),FALSE)/VLOOKUP($A69,'Fuel economy adjusted factor'!$A$2:$F$52,4,FALSE)*INDEX('Year data'!$B$111:$AC$161,MATCH($A69,'Year data'!$A$111:$A$161,0),MATCH('TCO Inputs'!$AZ$12,'Year data'!$B$110:$AC$110,0))/(1+$AZ$41)^T$59</f>
        <v>1055.1505624876138</v>
      </c>
      <c r="U69" s="113">
        <f>VLOOKUP($A69,'VKT US'!$B$63:$AA$113,(U$59+1),FALSE)/VLOOKUP($A69,'Fuel economy adjusted factor'!$A$2:$F$52,4,FALSE)*INDEX('Year data'!$B$111:$AC$161,MATCH($A69,'Year data'!$A$111:$A$161,0),MATCH('TCO Inputs'!$AZ$12,'Year data'!$B$110:$AC$110,0))/(1+$AZ$41)^U$59</f>
        <v>1022.1805834853859</v>
      </c>
      <c r="V69" s="110" cm="1">
        <f t="array" ref="V69">SUMPRODUCT(INDEX(B69:U69,,_xlfn.SEQUENCE($AZ$13)))</f>
        <v>23100.230217836837</v>
      </c>
      <c r="AY69" s="38" t="s">
        <v>318</v>
      </c>
      <c r="AZ69" s="41">
        <v>0.10100000000000001</v>
      </c>
      <c r="BA69" s="41">
        <v>6.0999999999999999E-2</v>
      </c>
      <c r="BB69" s="41">
        <v>9.4E-2</v>
      </c>
      <c r="BC69" s="42">
        <f>BB69</f>
        <v>9.4E-2</v>
      </c>
      <c r="BD69" s="35">
        <v>0.09</v>
      </c>
    </row>
    <row r="70" spans="1:56" hidden="1" outlineLevel="1" x14ac:dyDescent="0.25">
      <c r="A70" s="102" t="s">
        <v>233</v>
      </c>
      <c r="B70" s="113">
        <f>VLOOKUP($A70,'VKT US'!$B$63:$AA$113,(B$59+1),FALSE)/VLOOKUP($A70,'Fuel economy adjusted factor'!$A$2:$F$52,4,FALSE)*INDEX('Year data'!$B$111:$AC$161,MATCH($A70,'Year data'!$A$111:$A$161,0),MATCH('TCO Inputs'!$AZ$12,'Year data'!$B$110:$AC$110,0))/(1+$AZ$41)^B$59</f>
        <v>1873.6266398518435</v>
      </c>
      <c r="C70" s="113">
        <f>VLOOKUP($A70,'VKT US'!$B$63:$AA$113,(C$59+1),FALSE)/VLOOKUP($A70,'Fuel economy adjusted factor'!$A$2:$F$52,4,FALSE)*INDEX('Year data'!$B$111:$AC$161,MATCH($A70,'Year data'!$A$111:$A$161,0),MATCH('TCO Inputs'!$AZ$12,'Year data'!$B$110:$AC$110,0))/(1+$AZ$41)^C$59</f>
        <v>1796.3432485890346</v>
      </c>
      <c r="D70" s="113">
        <f>VLOOKUP($A70,'VKT US'!$B$63:$AA$113,(D$59+1),FALSE)/VLOOKUP($A70,'Fuel economy adjusted factor'!$A$2:$F$52,4,FALSE)*INDEX('Year data'!$B$111:$AC$161,MATCH($A70,'Year data'!$A$111:$A$161,0),MATCH('TCO Inputs'!$AZ$12,'Year data'!$B$110:$AC$110,0))/(1+$AZ$41)^D$59</f>
        <v>1722.3461545420432</v>
      </c>
      <c r="E70" s="113">
        <f>VLOOKUP($A70,'VKT US'!$B$63:$AA$113,(E$59+1),FALSE)/VLOOKUP($A70,'Fuel economy adjusted factor'!$A$2:$F$52,4,FALSE)*INDEX('Year data'!$B$111:$AC$161,MATCH($A70,'Year data'!$A$111:$A$161,0),MATCH('TCO Inputs'!$AZ$12,'Year data'!$B$110:$AC$110,0))/(1+$AZ$41)^E$59</f>
        <v>1651.6784349544673</v>
      </c>
      <c r="F70" s="113">
        <f>VLOOKUP($A70,'VKT US'!$B$63:$AA$113,(F$59+1),FALSE)/VLOOKUP($A70,'Fuel economy adjusted factor'!$A$2:$F$52,4,FALSE)*INDEX('Year data'!$B$111:$AC$161,MATCH($A70,'Year data'!$A$111:$A$161,0),MATCH('TCO Inputs'!$AZ$12,'Year data'!$B$110:$AC$110,0))/(1+$AZ$41)^F$59</f>
        <v>1584.1209136834498</v>
      </c>
      <c r="G70" s="113">
        <f>VLOOKUP($A70,'VKT US'!$B$63:$AA$113,(G$59+1),FALSE)/VLOOKUP($A70,'Fuel economy adjusted factor'!$A$2:$F$52,4,FALSE)*INDEX('Year data'!$B$111:$AC$161,MATCH($A70,'Year data'!$A$111:$A$161,0),MATCH('TCO Inputs'!$AZ$12,'Year data'!$B$110:$AC$110,0))/(1+$AZ$41)^G$59</f>
        <v>1519.8447462670767</v>
      </c>
      <c r="H70" s="113">
        <f>VLOOKUP($A70,'VKT US'!$B$63:$AA$113,(H$59+1),FALSE)/VLOOKUP($A70,'Fuel economy adjusted factor'!$A$2:$F$52,4,FALSE)*INDEX('Year data'!$B$111:$AC$161,MATCH($A70,'Year data'!$A$111:$A$161,0),MATCH('TCO Inputs'!$AZ$12,'Year data'!$B$110:$AC$110,0))/(1+$AZ$41)^H$59</f>
        <v>1458.381194034567</v>
      </c>
      <c r="I70" s="113">
        <f>VLOOKUP($A70,'VKT US'!$B$63:$AA$113,(I$59+1),FALSE)/VLOOKUP($A70,'Fuel economy adjusted factor'!$A$2:$F$52,4,FALSE)*INDEX('Year data'!$B$111:$AC$161,MATCH($A70,'Year data'!$A$111:$A$161,0),MATCH('TCO Inputs'!$AZ$12,'Year data'!$B$110:$AC$110,0))/(1+$AZ$41)^I$59</f>
        <v>1399.9035246599528</v>
      </c>
      <c r="J70" s="113">
        <f>VLOOKUP($A70,'VKT US'!$B$63:$AA$113,(J$59+1),FALSE)/VLOOKUP($A70,'Fuel economy adjusted factor'!$A$2:$F$52,4,FALSE)*INDEX('Year data'!$B$111:$AC$161,MATCH($A70,'Year data'!$A$111:$A$161,0),MATCH('TCO Inputs'!$AZ$12,'Year data'!$B$110:$AC$110,0))/(1+$AZ$41)^J$59</f>
        <v>1344.3289132869281</v>
      </c>
      <c r="K70" s="113">
        <f>VLOOKUP($A70,'VKT US'!$B$63:$AA$113,(K$59+1),FALSE)/VLOOKUP($A70,'Fuel economy adjusted factor'!$A$2:$F$52,4,FALSE)*INDEX('Year data'!$B$111:$AC$161,MATCH($A70,'Year data'!$A$111:$A$161,0),MATCH('TCO Inputs'!$AZ$12,'Year data'!$B$110:$AC$110,0))/(1+$AZ$41)^K$59</f>
        <v>1291.5763243811896</v>
      </c>
      <c r="L70" s="113">
        <f>VLOOKUP($A70,'VKT US'!$B$63:$AA$113,(L$59+1),FALSE)/VLOOKUP($A70,'Fuel economy adjusted factor'!$A$2:$F$52,4,FALSE)*INDEX('Year data'!$B$111:$AC$161,MATCH($A70,'Year data'!$A$111:$A$161,0),MATCH('TCO Inputs'!$AZ$12,'Year data'!$B$110:$AC$110,0))/(1+$AZ$41)^L$59</f>
        <v>1241.4464271304669</v>
      </c>
      <c r="M70" s="113">
        <f>VLOOKUP($A70,'VKT US'!$B$63:$AA$113,(M$59+1),FALSE)/VLOOKUP($A70,'Fuel economy adjusted factor'!$A$2:$F$52,4,FALSE)*INDEX('Year data'!$B$111:$AC$161,MATCH($A70,'Year data'!$A$111:$A$161,0),MATCH('TCO Inputs'!$AZ$12,'Year data'!$B$110:$AC$110,0))/(1+$AZ$41)^M$59</f>
        <v>1193.9845621106961</v>
      </c>
      <c r="N70" s="113">
        <f>VLOOKUP($A70,'VKT US'!$B$63:$AA$113,(N$59+1),FALSE)/VLOOKUP($A70,'Fuel economy adjusted factor'!$A$2:$F$52,4,FALSE)*INDEX('Year data'!$B$111:$AC$161,MATCH($A70,'Year data'!$A$111:$A$161,0),MATCH('TCO Inputs'!$AZ$12,'Year data'!$B$110:$AC$110,0))/(1+$AZ$41)^N$59</f>
        <v>1148.9975905437821</v>
      </c>
      <c r="O70" s="113">
        <f>VLOOKUP($A70,'VKT US'!$B$63:$AA$113,(O$59+1),FALSE)/VLOOKUP($A70,'Fuel economy adjusted factor'!$A$2:$F$52,4,FALSE)*INDEX('Year data'!$B$111:$AC$161,MATCH($A70,'Year data'!$A$111:$A$161,0),MATCH('TCO Inputs'!$AZ$12,'Year data'!$B$110:$AC$110,0))/(1+$AZ$41)^O$59</f>
        <v>1106.5312538524395</v>
      </c>
      <c r="P70" s="113">
        <f>VLOOKUP($A70,'VKT US'!$B$63:$AA$113,(P$59+1),FALSE)/VLOOKUP($A70,'Fuel economy adjusted factor'!$A$2:$F$52,4,FALSE)*INDEX('Year data'!$B$111:$AC$161,MATCH($A70,'Year data'!$A$111:$A$161,0),MATCH('TCO Inputs'!$AZ$12,'Year data'!$B$110:$AC$110,0))/(1+$AZ$41)^P$59</f>
        <v>1066.3984134428699</v>
      </c>
      <c r="Q70" s="113">
        <f>VLOOKUP($A70,'VKT US'!$B$63:$AA$113,(Q$59+1),FALSE)/VLOOKUP($A70,'Fuel economy adjusted factor'!$A$2:$F$52,4,FALSE)*INDEX('Year data'!$B$111:$AC$161,MATCH($A70,'Year data'!$A$111:$A$161,0),MATCH('TCO Inputs'!$AZ$12,'Year data'!$B$110:$AC$110,0))/(1+$AZ$41)^Q$59</f>
        <v>1028.7582570044246</v>
      </c>
      <c r="R70" s="113">
        <f>VLOOKUP($A70,'VKT US'!$B$63:$AA$113,(R$59+1),FALSE)/VLOOKUP($A70,'Fuel economy adjusted factor'!$A$2:$F$52,4,FALSE)*INDEX('Year data'!$B$111:$AC$161,MATCH($A70,'Year data'!$A$111:$A$161,0),MATCH('TCO Inputs'!$AZ$12,'Year data'!$B$110:$AC$110,0))/(1+$AZ$41)^R$59</f>
        <v>993.20191888176544</v>
      </c>
      <c r="S70" s="113">
        <f>VLOOKUP($A70,'VKT US'!$B$63:$AA$113,(S$59+1),FALSE)/VLOOKUP($A70,'Fuel economy adjusted factor'!$A$2:$F$52,4,FALSE)*INDEX('Year data'!$B$111:$AC$161,MATCH($A70,'Year data'!$A$111:$A$161,0),MATCH('TCO Inputs'!$AZ$12,'Year data'!$B$110:$AC$110,0))/(1+$AZ$41)^S$59</f>
        <v>960.00067167870873</v>
      </c>
      <c r="T70" s="113">
        <f>VLOOKUP($A70,'VKT US'!$B$63:$AA$113,(T$59+1),FALSE)/VLOOKUP($A70,'Fuel economy adjusted factor'!$A$2:$F$52,4,FALSE)*INDEX('Year data'!$B$111:$AC$161,MATCH($A70,'Year data'!$A$111:$A$161,0),MATCH('TCO Inputs'!$AZ$12,'Year data'!$B$110:$AC$110,0))/(1+$AZ$41)^T$59</f>
        <v>928.75664767043588</v>
      </c>
      <c r="U70" s="113">
        <f>VLOOKUP($A70,'VKT US'!$B$63:$AA$113,(U$59+1),FALSE)/VLOOKUP($A70,'Fuel economy adjusted factor'!$A$2:$F$52,4,FALSE)*INDEX('Year data'!$B$111:$AC$161,MATCH($A70,'Year data'!$A$111:$A$161,0),MATCH('TCO Inputs'!$AZ$12,'Year data'!$B$110:$AC$110,0))/(1+$AZ$41)^U$59</f>
        <v>899.73606211562969</v>
      </c>
      <c r="V70" s="110" cm="1">
        <f t="array" ref="V70">SUMPRODUCT(INDEX(B70:U70,,_xlfn.SEQUENCE($AZ$13)))</f>
        <v>20333.109927887934</v>
      </c>
      <c r="AY70" s="38" t="s">
        <v>319</v>
      </c>
      <c r="AZ70" s="43">
        <f>AZ69/m2k</f>
        <v>6.275864640163048E-2</v>
      </c>
      <c r="BA70" s="43">
        <f>BA69/m2k</f>
        <v>3.7903736935638213E-2</v>
      </c>
      <c r="BB70" s="43">
        <f>BB69/m2k</f>
        <v>5.8409037245081834E-2</v>
      </c>
      <c r="BC70" s="43">
        <f>BC69/m2k</f>
        <v>5.8409037245081834E-2</v>
      </c>
      <c r="BD70" s="43">
        <f>BD69/m2k</f>
        <v>5.5923546298482604E-2</v>
      </c>
    </row>
    <row r="71" spans="1:56" hidden="1" outlineLevel="1" x14ac:dyDescent="0.25">
      <c r="A71" s="102" t="s">
        <v>196</v>
      </c>
      <c r="B71" s="113">
        <f>VLOOKUP($A71,'VKT US'!$B$63:$AA$113,(B$59+1),FALSE)/VLOOKUP($A71,'Fuel economy adjusted factor'!$A$2:$F$52,4,FALSE)*INDEX('Year data'!$B$111:$AC$161,MATCH($A71,'Year data'!$A$111:$A$161,0),MATCH('TCO Inputs'!$AZ$12,'Year data'!$B$110:$AC$110,0))/(1+$AZ$41)^B$59</f>
        <v>1912.2479016282787</v>
      </c>
      <c r="C71" s="113">
        <f>VLOOKUP($A71,'VKT US'!$B$63:$AA$113,(C$59+1),FALSE)/VLOOKUP($A71,'Fuel economy adjusted factor'!$A$2:$F$52,4,FALSE)*INDEX('Year data'!$B$111:$AC$161,MATCH($A71,'Year data'!$A$111:$A$161,0),MATCH('TCO Inputs'!$AZ$12,'Year data'!$B$110:$AC$110,0))/(1+$AZ$41)^C$59</f>
        <v>1833.3714597429791</v>
      </c>
      <c r="D71" s="113">
        <f>VLOOKUP($A71,'VKT US'!$B$63:$AA$113,(D$59+1),FALSE)/VLOOKUP($A71,'Fuel economy adjusted factor'!$A$2:$F$52,4,FALSE)*INDEX('Year data'!$B$111:$AC$161,MATCH($A71,'Year data'!$A$111:$A$161,0),MATCH('TCO Inputs'!$AZ$12,'Year data'!$B$110:$AC$110,0))/(1+$AZ$41)^D$59</f>
        <v>1757.849055861521</v>
      </c>
      <c r="E71" s="113">
        <f>VLOOKUP($A71,'VKT US'!$B$63:$AA$113,(E$59+1),FALSE)/VLOOKUP($A71,'Fuel economy adjusted factor'!$A$2:$F$52,4,FALSE)*INDEX('Year data'!$B$111:$AC$161,MATCH($A71,'Year data'!$A$111:$A$161,0),MATCH('TCO Inputs'!$AZ$12,'Year data'!$B$110:$AC$110,0))/(1+$AZ$41)^E$59</f>
        <v>1685.7246551832282</v>
      </c>
      <c r="F71" s="113">
        <f>VLOOKUP($A71,'VKT US'!$B$63:$AA$113,(F$59+1),FALSE)/VLOOKUP($A71,'Fuel economy adjusted factor'!$A$2:$F$52,4,FALSE)*INDEX('Year data'!$B$111:$AC$161,MATCH($A71,'Year data'!$A$111:$A$161,0),MATCH('TCO Inputs'!$AZ$12,'Year data'!$B$110:$AC$110,0))/(1+$AZ$41)^F$59</f>
        <v>1616.7745636645006</v>
      </c>
      <c r="G71" s="113">
        <f>VLOOKUP($A71,'VKT US'!$B$63:$AA$113,(G$59+1),FALSE)/VLOOKUP($A71,'Fuel economy adjusted factor'!$A$2:$F$52,4,FALSE)*INDEX('Year data'!$B$111:$AC$161,MATCH($A71,'Year data'!$A$111:$A$161,0),MATCH('TCO Inputs'!$AZ$12,'Year data'!$B$110:$AC$110,0))/(1+$AZ$41)^G$59</f>
        <v>1551.1734648904212</v>
      </c>
      <c r="H71" s="113">
        <f>VLOOKUP($A71,'VKT US'!$B$63:$AA$113,(H$59+1),FALSE)/VLOOKUP($A71,'Fuel economy adjusted factor'!$A$2:$F$52,4,FALSE)*INDEX('Year data'!$B$111:$AC$161,MATCH($A71,'Year data'!$A$111:$A$161,0),MATCH('TCO Inputs'!$AZ$12,'Year data'!$B$110:$AC$110,0))/(1+$AZ$41)^H$59</f>
        <v>1488.4429580309907</v>
      </c>
      <c r="I71" s="113">
        <f>VLOOKUP($A71,'VKT US'!$B$63:$AA$113,(I$59+1),FALSE)/VLOOKUP($A71,'Fuel economy adjusted factor'!$A$2:$F$52,4,FALSE)*INDEX('Year data'!$B$111:$AC$161,MATCH($A71,'Year data'!$A$111:$A$161,0),MATCH('TCO Inputs'!$AZ$12,'Year data'!$B$110:$AC$110,0))/(1+$AZ$41)^I$59</f>
        <v>1428.7598823449191</v>
      </c>
      <c r="J71" s="113">
        <f>VLOOKUP($A71,'VKT US'!$B$63:$AA$113,(J$59+1),FALSE)/VLOOKUP($A71,'Fuel economy adjusted factor'!$A$2:$F$52,4,FALSE)*INDEX('Year data'!$B$111:$AC$161,MATCH($A71,'Year data'!$A$111:$A$161,0),MATCH('TCO Inputs'!$AZ$12,'Year data'!$B$110:$AC$110,0))/(1+$AZ$41)^J$59</f>
        <v>1372.0397056984784</v>
      </c>
      <c r="K71" s="113">
        <f>VLOOKUP($A71,'VKT US'!$B$63:$AA$113,(K$59+1),FALSE)/VLOOKUP($A71,'Fuel economy adjusted factor'!$A$2:$F$52,4,FALSE)*INDEX('Year data'!$B$111:$AC$161,MATCH($A71,'Year data'!$A$111:$A$161,0),MATCH('TCO Inputs'!$AZ$12,'Year data'!$B$110:$AC$110,0))/(1+$AZ$41)^K$59</f>
        <v>1318.1997221634269</v>
      </c>
      <c r="L71" s="113">
        <f>VLOOKUP($A71,'VKT US'!$B$63:$AA$113,(L$59+1),FALSE)/VLOOKUP($A71,'Fuel economy adjusted factor'!$A$2:$F$52,4,FALSE)*INDEX('Year data'!$B$111:$AC$161,MATCH($A71,'Year data'!$A$111:$A$161,0),MATCH('TCO Inputs'!$AZ$12,'Year data'!$B$110:$AC$110,0))/(1+$AZ$41)^L$59</f>
        <v>1267.0364921006242</v>
      </c>
      <c r="M71" s="113">
        <f>VLOOKUP($A71,'VKT US'!$B$63:$AA$113,(M$59+1),FALSE)/VLOOKUP($A71,'Fuel economy adjusted factor'!$A$2:$F$52,4,FALSE)*INDEX('Year data'!$B$111:$AC$161,MATCH($A71,'Year data'!$A$111:$A$161,0),MATCH('TCO Inputs'!$AZ$12,'Year data'!$B$110:$AC$110,0))/(1+$AZ$41)^M$59</f>
        <v>1218.5962906960381</v>
      </c>
      <c r="N71" s="113">
        <f>VLOOKUP($A71,'VKT US'!$B$63:$AA$113,(N$59+1),FALSE)/VLOOKUP($A71,'Fuel economy adjusted factor'!$A$2:$F$52,4,FALSE)*INDEX('Year data'!$B$111:$AC$161,MATCH($A71,'Year data'!$A$111:$A$161,0),MATCH('TCO Inputs'!$AZ$12,'Year data'!$B$110:$AC$110,0))/(1+$AZ$41)^N$59</f>
        <v>1172.6819979817515</v>
      </c>
      <c r="O71" s="113">
        <f>VLOOKUP($A71,'VKT US'!$B$63:$AA$113,(O$59+1),FALSE)/VLOOKUP($A71,'Fuel economy adjusted factor'!$A$2:$F$52,4,FALSE)*INDEX('Year data'!$B$111:$AC$161,MATCH($A71,'Year data'!$A$111:$A$161,0),MATCH('TCO Inputs'!$AZ$12,'Year data'!$B$110:$AC$110,0))/(1+$AZ$41)^O$59</f>
        <v>1129.3402982532073</v>
      </c>
      <c r="P71" s="113">
        <f>VLOOKUP($A71,'VKT US'!$B$63:$AA$113,(P$59+1),FALSE)/VLOOKUP($A71,'Fuel economy adjusted factor'!$A$2:$F$52,4,FALSE)*INDEX('Year data'!$B$111:$AC$161,MATCH($A71,'Year data'!$A$111:$A$161,0),MATCH('TCO Inputs'!$AZ$12,'Year data'!$B$110:$AC$110,0))/(1+$AZ$41)^P$59</f>
        <v>1088.3801954092116</v>
      </c>
      <c r="Q71" s="113">
        <f>VLOOKUP($A71,'VKT US'!$B$63:$AA$113,(Q$59+1),FALSE)/VLOOKUP($A71,'Fuel economy adjusted factor'!$A$2:$F$52,4,FALSE)*INDEX('Year data'!$B$111:$AC$161,MATCH($A71,'Year data'!$A$111:$A$161,0),MATCH('TCO Inputs'!$AZ$12,'Year data'!$B$110:$AC$110,0))/(1+$AZ$41)^Q$59</f>
        <v>1049.9641584915955</v>
      </c>
      <c r="R71" s="113">
        <f>VLOOKUP($A71,'VKT US'!$B$63:$AA$113,(R$59+1),FALSE)/VLOOKUP($A71,'Fuel economy adjusted factor'!$A$2:$F$52,4,FALSE)*INDEX('Year data'!$B$111:$AC$161,MATCH($A71,'Year data'!$A$111:$A$161,0),MATCH('TCO Inputs'!$AZ$12,'Year data'!$B$110:$AC$110,0))/(1+$AZ$41)^R$59</f>
        <v>1013.6748938545293</v>
      </c>
      <c r="S71" s="113">
        <f>VLOOKUP($A71,'VKT US'!$B$63:$AA$113,(S$59+1),FALSE)/VLOOKUP($A71,'Fuel economy adjusted factor'!$A$2:$F$52,4,FALSE)*INDEX('Year data'!$B$111:$AC$161,MATCH($A71,'Year data'!$A$111:$A$161,0),MATCH('TCO Inputs'!$AZ$12,'Year data'!$B$110:$AC$110,0))/(1+$AZ$41)^S$59</f>
        <v>979.78926587236776</v>
      </c>
      <c r="T71" s="113">
        <f>VLOOKUP($A71,'VKT US'!$B$63:$AA$113,(T$59+1),FALSE)/VLOOKUP($A71,'Fuel economy adjusted factor'!$A$2:$F$52,4,FALSE)*INDEX('Year data'!$B$111:$AC$161,MATCH($A71,'Year data'!$A$111:$A$161,0),MATCH('TCO Inputs'!$AZ$12,'Year data'!$B$110:$AC$110,0))/(1+$AZ$41)^T$59</f>
        <v>947.90120553129179</v>
      </c>
      <c r="U71" s="113">
        <f>VLOOKUP($A71,'VKT US'!$B$63:$AA$113,(U$59+1),FALSE)/VLOOKUP($A71,'Fuel economy adjusted factor'!$A$2:$F$52,4,FALSE)*INDEX('Year data'!$B$111:$AC$161,MATCH($A71,'Year data'!$A$111:$A$161,0),MATCH('TCO Inputs'!$AZ$12,'Year data'!$B$110:$AC$110,0))/(1+$AZ$41)^U$59</f>
        <v>918.28241561293817</v>
      </c>
      <c r="V71" s="110" cm="1">
        <f t="array" ref="V71">SUMPRODUCT(INDEX(B71:U71,,_xlfn.SEQUENCE($AZ$13)))</f>
        <v>20752.238448240365</v>
      </c>
    </row>
    <row r="72" spans="1:56" hidden="1" outlineLevel="1" x14ac:dyDescent="0.25">
      <c r="A72" s="102" t="s">
        <v>197</v>
      </c>
      <c r="B72" s="113">
        <f>VLOOKUP($A72,'VKT US'!$B$63:$AA$113,(B$59+1),FALSE)/VLOOKUP($A72,'Fuel economy adjusted factor'!$A$2:$F$52,4,FALSE)*INDEX('Year data'!$B$111:$AC$161,MATCH($A72,'Year data'!$A$111:$A$161,0),MATCH('TCO Inputs'!$AZ$12,'Year data'!$B$110:$AC$110,0))/(1+$AZ$41)^B$59</f>
        <v>1532.2950088714813</v>
      </c>
      <c r="C72" s="113">
        <f>VLOOKUP($A72,'VKT US'!$B$63:$AA$113,(C$59+1),FALSE)/VLOOKUP($A72,'Fuel economy adjusted factor'!$A$2:$F$52,4,FALSE)*INDEX('Year data'!$B$111:$AC$161,MATCH($A72,'Year data'!$A$111:$A$161,0),MATCH('TCO Inputs'!$AZ$12,'Year data'!$B$110:$AC$110,0))/(1+$AZ$41)^C$59</f>
        <v>1469.0908719416034</v>
      </c>
      <c r="D72" s="113">
        <f>VLOOKUP($A72,'VKT US'!$B$63:$AA$113,(D$59+1),FALSE)/VLOOKUP($A72,'Fuel economy adjusted factor'!$A$2:$F$52,4,FALSE)*INDEX('Year data'!$B$111:$AC$161,MATCH($A72,'Year data'!$A$111:$A$161,0),MATCH('TCO Inputs'!$AZ$12,'Year data'!$B$110:$AC$110,0))/(1+$AZ$41)^D$59</f>
        <v>1408.5743445462815</v>
      </c>
      <c r="E72" s="113">
        <f>VLOOKUP($A72,'VKT US'!$B$63:$AA$113,(E$59+1),FALSE)/VLOOKUP($A72,'Fuel economy adjusted factor'!$A$2:$F$52,4,FALSE)*INDEX('Year data'!$B$111:$AC$161,MATCH($A72,'Year data'!$A$111:$A$161,0),MATCH('TCO Inputs'!$AZ$12,'Year data'!$B$110:$AC$110,0))/(1+$AZ$41)^E$59</f>
        <v>1350.7806562472429</v>
      </c>
      <c r="F72" s="113">
        <f>VLOOKUP($A72,'VKT US'!$B$63:$AA$113,(F$59+1),FALSE)/VLOOKUP($A72,'Fuel economy adjusted factor'!$A$2:$F$52,4,FALSE)*INDEX('Year data'!$B$111:$AC$161,MATCH($A72,'Year data'!$A$111:$A$161,0),MATCH('TCO Inputs'!$AZ$12,'Year data'!$B$110:$AC$110,0))/(1+$AZ$41)^F$59</f>
        <v>1295.530559748031</v>
      </c>
      <c r="G72" s="113">
        <f>VLOOKUP($A72,'VKT US'!$B$63:$AA$113,(G$59+1),FALSE)/VLOOKUP($A72,'Fuel economy adjusted factor'!$A$2:$F$52,4,FALSE)*INDEX('Year data'!$B$111:$AC$161,MATCH($A72,'Year data'!$A$111:$A$161,0),MATCH('TCO Inputs'!$AZ$12,'Year data'!$B$110:$AC$110,0))/(1+$AZ$41)^G$59</f>
        <v>1242.9640299887808</v>
      </c>
      <c r="H72" s="113">
        <f>VLOOKUP($A72,'VKT US'!$B$63:$AA$113,(H$59+1),FALSE)/VLOOKUP($A72,'Fuel economy adjusted factor'!$A$2:$F$52,4,FALSE)*INDEX('Year data'!$B$111:$AC$161,MATCH($A72,'Year data'!$A$111:$A$161,0),MATCH('TCO Inputs'!$AZ$12,'Year data'!$B$110:$AC$110,0))/(1+$AZ$41)^H$59</f>
        <v>1192.6977216911819</v>
      </c>
      <c r="I72" s="113">
        <f>VLOOKUP($A72,'VKT US'!$B$63:$AA$113,(I$59+1),FALSE)/VLOOKUP($A72,'Fuel economy adjusted factor'!$A$2:$F$52,4,FALSE)*INDEX('Year data'!$B$111:$AC$161,MATCH($A72,'Year data'!$A$111:$A$161,0),MATCH('TCO Inputs'!$AZ$12,'Year data'!$B$110:$AC$110,0))/(1+$AZ$41)^I$59</f>
        <v>1144.8733371487826</v>
      </c>
      <c r="J72" s="113">
        <f>VLOOKUP($A72,'VKT US'!$B$63:$AA$113,(J$59+1),FALSE)/VLOOKUP($A72,'Fuel economy adjusted factor'!$A$2:$F$52,4,FALSE)*INDEX('Year data'!$B$111:$AC$161,MATCH($A72,'Year data'!$A$111:$A$161,0),MATCH('TCO Inputs'!$AZ$12,'Year data'!$B$110:$AC$110,0))/(1+$AZ$41)^J$59</f>
        <v>1099.4231402869407</v>
      </c>
      <c r="K72" s="113">
        <f>VLOOKUP($A72,'VKT US'!$B$63:$AA$113,(K$59+1),FALSE)/VLOOKUP($A72,'Fuel economy adjusted factor'!$A$2:$F$52,4,FALSE)*INDEX('Year data'!$B$111:$AC$161,MATCH($A72,'Year data'!$A$111:$A$161,0),MATCH('TCO Inputs'!$AZ$12,'Year data'!$B$110:$AC$110,0))/(1+$AZ$41)^K$59</f>
        <v>1056.2808583797491</v>
      </c>
      <c r="L72" s="113">
        <f>VLOOKUP($A72,'VKT US'!$B$63:$AA$113,(L$59+1),FALSE)/VLOOKUP($A72,'Fuel economy adjusted factor'!$A$2:$F$52,4,FALSE)*INDEX('Year data'!$B$111:$AC$161,MATCH($A72,'Year data'!$A$111:$A$161,0),MATCH('TCO Inputs'!$AZ$12,'Year data'!$B$110:$AC$110,0))/(1+$AZ$41)^L$59</f>
        <v>1015.2834740990705</v>
      </c>
      <c r="M72" s="113">
        <f>VLOOKUP($A72,'VKT US'!$B$63:$AA$113,(M$59+1),FALSE)/VLOOKUP($A72,'Fuel economy adjusted factor'!$A$2:$F$52,4,FALSE)*INDEX('Year data'!$B$111:$AC$161,MATCH($A72,'Year data'!$A$111:$A$161,0),MATCH('TCO Inputs'!$AZ$12,'Year data'!$B$110:$AC$110,0))/(1+$AZ$41)^M$59</f>
        <v>976.46806801193395</v>
      </c>
      <c r="N72" s="113">
        <f>VLOOKUP($A72,'VKT US'!$B$63:$AA$113,(N$59+1),FALSE)/VLOOKUP($A72,'Fuel economy adjusted factor'!$A$2:$F$52,4,FALSE)*INDEX('Year data'!$B$111:$AC$161,MATCH($A72,'Year data'!$A$111:$A$161,0),MATCH('TCO Inputs'!$AZ$12,'Year data'!$B$110:$AC$110,0))/(1+$AZ$41)^N$59</f>
        <v>939.67668677832989</v>
      </c>
      <c r="O72" s="113">
        <f>VLOOKUP($A72,'VKT US'!$B$63:$AA$113,(O$59+1),FALSE)/VLOOKUP($A72,'Fuel economy adjusted factor'!$A$2:$F$52,4,FALSE)*INDEX('Year data'!$B$111:$AC$161,MATCH($A72,'Year data'!$A$111:$A$161,0),MATCH('TCO Inputs'!$AZ$12,'Year data'!$B$110:$AC$110,0))/(1+$AZ$41)^O$59</f>
        <v>904.94673878701292</v>
      </c>
      <c r="P72" s="113">
        <f>VLOOKUP($A72,'VKT US'!$B$63:$AA$113,(P$59+1),FALSE)/VLOOKUP($A72,'Fuel economy adjusted factor'!$A$2:$F$52,4,FALSE)*INDEX('Year data'!$B$111:$AC$161,MATCH($A72,'Year data'!$A$111:$A$161,0),MATCH('TCO Inputs'!$AZ$12,'Year data'!$B$110:$AC$110,0))/(1+$AZ$41)^P$59</f>
        <v>872.12517778685481</v>
      </c>
      <c r="Q72" s="113">
        <f>VLOOKUP($A72,'VKT US'!$B$63:$AA$113,(Q$59+1),FALSE)/VLOOKUP($A72,'Fuel economy adjusted factor'!$A$2:$F$52,4,FALSE)*INDEX('Year data'!$B$111:$AC$161,MATCH($A72,'Year data'!$A$111:$A$161,0),MATCH('TCO Inputs'!$AZ$12,'Year data'!$B$110:$AC$110,0))/(1+$AZ$41)^Q$59</f>
        <v>841.34219113571885</v>
      </c>
      <c r="R72" s="113">
        <f>VLOOKUP($A72,'VKT US'!$B$63:$AA$113,(R$59+1),FALSE)/VLOOKUP($A72,'Fuel economy adjusted factor'!$A$2:$F$52,4,FALSE)*INDEX('Year data'!$B$111:$AC$161,MATCH($A72,'Year data'!$A$111:$A$161,0),MATCH('TCO Inputs'!$AZ$12,'Year data'!$B$110:$AC$110,0))/(1+$AZ$41)^R$59</f>
        <v>812.26339908598288</v>
      </c>
      <c r="S72" s="113">
        <f>VLOOKUP($A72,'VKT US'!$B$63:$AA$113,(S$59+1),FALSE)/VLOOKUP($A72,'Fuel economy adjusted factor'!$A$2:$F$52,4,FALSE)*INDEX('Year data'!$B$111:$AC$161,MATCH($A72,'Year data'!$A$111:$A$161,0),MATCH('TCO Inputs'!$AZ$12,'Year data'!$B$110:$AC$110,0))/(1+$AZ$41)^S$59</f>
        <v>785.11065461946816</v>
      </c>
      <c r="T72" s="113">
        <f>VLOOKUP($A72,'VKT US'!$B$63:$AA$113,(T$59+1),FALSE)/VLOOKUP($A72,'Fuel economy adjusted factor'!$A$2:$F$52,4,FALSE)*INDEX('Year data'!$B$111:$AC$161,MATCH($A72,'Year data'!$A$111:$A$161,0),MATCH('TCO Inputs'!$AZ$12,'Year data'!$B$110:$AC$110,0))/(1+$AZ$41)^T$59</f>
        <v>759.55857234937241</v>
      </c>
      <c r="U72" s="113">
        <f>VLOOKUP($A72,'VKT US'!$B$63:$AA$113,(U$59+1),FALSE)/VLOOKUP($A72,'Fuel economy adjusted factor'!$A$2:$F$52,4,FALSE)*INDEX('Year data'!$B$111:$AC$161,MATCH($A72,'Year data'!$A$111:$A$161,0),MATCH('TCO Inputs'!$AZ$12,'Year data'!$B$110:$AC$110,0))/(1+$AZ$41)^U$59</f>
        <v>735.82486924421494</v>
      </c>
      <c r="V72" s="110" cm="1">
        <f t="array" ref="V72">SUMPRODUCT(INDEX(B72:U72,,_xlfn.SEQUENCE($AZ$13)))</f>
        <v>16628.885496526425</v>
      </c>
      <c r="AY72" s="217" t="s">
        <v>321</v>
      </c>
      <c r="AZ72" s="218"/>
      <c r="BA72" s="218"/>
      <c r="BB72" s="218"/>
      <c r="BC72" s="218"/>
      <c r="BD72" s="218"/>
    </row>
    <row r="73" spans="1:56" hidden="1" outlineLevel="1" x14ac:dyDescent="0.25">
      <c r="A73" s="102" t="s">
        <v>198</v>
      </c>
      <c r="B73" s="113">
        <f>VLOOKUP($A73,'VKT US'!$B$63:$AA$113,(B$59+1),FALSE)/VLOOKUP($A73,'Fuel economy adjusted factor'!$A$2:$F$52,4,FALSE)*INDEX('Year data'!$B$111:$AC$161,MATCH($A73,'Year data'!$A$111:$A$161,0),MATCH('TCO Inputs'!$AZ$12,'Year data'!$B$110:$AC$110,0))/(1+$AZ$41)^B$59</f>
        <v>2191.000201694234</v>
      </c>
      <c r="C73" s="113">
        <f>VLOOKUP($A73,'VKT US'!$B$63:$AA$113,(C$59+1),FALSE)/VLOOKUP($A73,'Fuel economy adjusted factor'!$A$2:$F$52,4,FALSE)*INDEX('Year data'!$B$111:$AC$161,MATCH($A73,'Year data'!$A$111:$A$161,0),MATCH('TCO Inputs'!$AZ$12,'Year data'!$B$110:$AC$110,0))/(1+$AZ$41)^C$59</f>
        <v>2100.6257790409472</v>
      </c>
      <c r="D73" s="113">
        <f>VLOOKUP($A73,'VKT US'!$B$63:$AA$113,(D$59+1),FALSE)/VLOOKUP($A73,'Fuel economy adjusted factor'!$A$2:$F$52,4,FALSE)*INDEX('Year data'!$B$111:$AC$161,MATCH($A73,'Year data'!$A$111:$A$161,0),MATCH('TCO Inputs'!$AZ$12,'Year data'!$B$110:$AC$110,0))/(1+$AZ$41)^D$59</f>
        <v>2014.0943193929536</v>
      </c>
      <c r="E73" s="113">
        <f>VLOOKUP($A73,'VKT US'!$B$63:$AA$113,(E$59+1),FALSE)/VLOOKUP($A73,'Fuel economy adjusted factor'!$A$2:$F$52,4,FALSE)*INDEX('Year data'!$B$111:$AC$161,MATCH($A73,'Year data'!$A$111:$A$161,0),MATCH('TCO Inputs'!$AZ$12,'Year data'!$B$110:$AC$110,0))/(1+$AZ$41)^E$59</f>
        <v>1931.4561968468872</v>
      </c>
      <c r="F73" s="113">
        <f>VLOOKUP($A73,'VKT US'!$B$63:$AA$113,(F$59+1),FALSE)/VLOOKUP($A73,'Fuel economy adjusted factor'!$A$2:$F$52,4,FALSE)*INDEX('Year data'!$B$111:$AC$161,MATCH($A73,'Year data'!$A$111:$A$161,0),MATCH('TCO Inputs'!$AZ$12,'Year data'!$B$110:$AC$110,0))/(1+$AZ$41)^F$59</f>
        <v>1852.4551090194502</v>
      </c>
      <c r="G73" s="113">
        <f>VLOOKUP($A73,'VKT US'!$B$63:$AA$113,(G$59+1),FALSE)/VLOOKUP($A73,'Fuel economy adjusted factor'!$A$2:$F$52,4,FALSE)*INDEX('Year data'!$B$111:$AC$161,MATCH($A73,'Year data'!$A$111:$A$161,0),MATCH('TCO Inputs'!$AZ$12,'Year data'!$B$110:$AC$110,0))/(1+$AZ$41)^G$59</f>
        <v>1777.2912034803285</v>
      </c>
      <c r="H73" s="113">
        <f>VLOOKUP($A73,'VKT US'!$B$63:$AA$113,(H$59+1),FALSE)/VLOOKUP($A73,'Fuel economy adjusted factor'!$A$2:$F$52,4,FALSE)*INDEX('Year data'!$B$111:$AC$161,MATCH($A73,'Year data'!$A$111:$A$161,0),MATCH('TCO Inputs'!$AZ$12,'Year data'!$B$110:$AC$110,0))/(1+$AZ$41)^H$59</f>
        <v>1705.4163419289778</v>
      </c>
      <c r="I73" s="113">
        <f>VLOOKUP($A73,'VKT US'!$B$63:$AA$113,(I$59+1),FALSE)/VLOOKUP($A73,'Fuel economy adjusted factor'!$A$2:$F$52,4,FALSE)*INDEX('Year data'!$B$111:$AC$161,MATCH($A73,'Year data'!$A$111:$A$161,0),MATCH('TCO Inputs'!$AZ$12,'Year data'!$B$110:$AC$110,0))/(1+$AZ$41)^I$59</f>
        <v>1637.033141845679</v>
      </c>
      <c r="J73" s="113">
        <f>VLOOKUP($A73,'VKT US'!$B$63:$AA$113,(J$59+1),FALSE)/VLOOKUP($A73,'Fuel economy adjusted factor'!$A$2:$F$52,4,FALSE)*INDEX('Year data'!$B$111:$AC$161,MATCH($A73,'Year data'!$A$111:$A$161,0),MATCH('TCO Inputs'!$AZ$12,'Year data'!$B$110:$AC$110,0))/(1+$AZ$41)^J$59</f>
        <v>1572.0447486741321</v>
      </c>
      <c r="K73" s="113">
        <f>VLOOKUP($A73,'VKT US'!$B$63:$AA$113,(K$59+1),FALSE)/VLOOKUP($A73,'Fuel economy adjusted factor'!$A$2:$F$52,4,FALSE)*INDEX('Year data'!$B$111:$AC$161,MATCH($A73,'Year data'!$A$111:$A$161,0),MATCH('TCO Inputs'!$AZ$12,'Year data'!$B$110:$AC$110,0))/(1+$AZ$41)^K$59</f>
        <v>1510.3564002732439</v>
      </c>
      <c r="L73" s="113">
        <f>VLOOKUP($A73,'VKT US'!$B$63:$AA$113,(L$59+1),FALSE)/VLOOKUP($A73,'Fuel economy adjusted factor'!$A$2:$F$52,4,FALSE)*INDEX('Year data'!$B$111:$AC$161,MATCH($A73,'Year data'!$A$111:$A$161,0),MATCH('TCO Inputs'!$AZ$12,'Year data'!$B$110:$AC$110,0))/(1+$AZ$41)^L$59</f>
        <v>1451.7350011902709</v>
      </c>
      <c r="M73" s="113">
        <f>VLOOKUP($A73,'VKT US'!$B$63:$AA$113,(M$59+1),FALSE)/VLOOKUP($A73,'Fuel economy adjusted factor'!$A$2:$F$52,4,FALSE)*INDEX('Year data'!$B$111:$AC$161,MATCH($A73,'Year data'!$A$111:$A$161,0),MATCH('TCO Inputs'!$AZ$12,'Year data'!$B$110:$AC$110,0))/(1+$AZ$41)^M$59</f>
        <v>1396.2335722399837</v>
      </c>
      <c r="N73" s="113">
        <f>VLOOKUP($A73,'VKT US'!$B$63:$AA$113,(N$59+1),FALSE)/VLOOKUP($A73,'Fuel economy adjusted factor'!$A$2:$F$52,4,FALSE)*INDEX('Year data'!$B$111:$AC$161,MATCH($A73,'Year data'!$A$111:$A$161,0),MATCH('TCO Inputs'!$AZ$12,'Year data'!$B$110:$AC$110,0))/(1+$AZ$41)^N$59</f>
        <v>1343.6262588723025</v>
      </c>
      <c r="O73" s="113">
        <f>VLOOKUP($A73,'VKT US'!$B$63:$AA$113,(O$59+1),FALSE)/VLOOKUP($A73,'Fuel economy adjusted factor'!$A$2:$F$52,4,FALSE)*INDEX('Year data'!$B$111:$AC$161,MATCH($A73,'Year data'!$A$111:$A$161,0),MATCH('TCO Inputs'!$AZ$12,'Year data'!$B$110:$AC$110,0))/(1+$AZ$41)^O$59</f>
        <v>1293.9665506482006</v>
      </c>
      <c r="P73" s="113">
        <f>VLOOKUP($A73,'VKT US'!$B$63:$AA$113,(P$59+1),FALSE)/VLOOKUP($A73,'Fuel economy adjusted factor'!$A$2:$F$52,4,FALSE)*INDEX('Year data'!$B$111:$AC$161,MATCH($A73,'Year data'!$A$111:$A$161,0),MATCH('TCO Inputs'!$AZ$12,'Year data'!$B$110:$AC$110,0))/(1+$AZ$41)^P$59</f>
        <v>1247.035609572938</v>
      </c>
      <c r="Q73" s="113">
        <f>VLOOKUP($A73,'VKT US'!$B$63:$AA$113,(Q$59+1),FALSE)/VLOOKUP($A73,'Fuel economy adjusted factor'!$A$2:$F$52,4,FALSE)*INDEX('Year data'!$B$111:$AC$161,MATCH($A73,'Year data'!$A$111:$A$161,0),MATCH('TCO Inputs'!$AZ$12,'Year data'!$B$110:$AC$110,0))/(1+$AZ$41)^Q$59</f>
        <v>1203.0195881339187</v>
      </c>
      <c r="R73" s="113">
        <f>VLOOKUP($A73,'VKT US'!$B$63:$AA$113,(R$59+1),FALSE)/VLOOKUP($A73,'Fuel economy adjusted factor'!$A$2:$F$52,4,FALSE)*INDEX('Year data'!$B$111:$AC$161,MATCH($A73,'Year data'!$A$111:$A$161,0),MATCH('TCO Inputs'!$AZ$12,'Year data'!$B$110:$AC$110,0))/(1+$AZ$41)^R$59</f>
        <v>1161.4403629343801</v>
      </c>
      <c r="S73" s="113">
        <f>VLOOKUP($A73,'VKT US'!$B$63:$AA$113,(S$59+1),FALSE)/VLOOKUP($A73,'Fuel economy adjusted factor'!$A$2:$F$52,4,FALSE)*INDEX('Year data'!$B$111:$AC$161,MATCH($A73,'Year data'!$A$111:$A$161,0),MATCH('TCO Inputs'!$AZ$12,'Year data'!$B$110:$AC$110,0))/(1+$AZ$41)^S$59</f>
        <v>1122.6151574365817</v>
      </c>
      <c r="T73" s="113">
        <f>VLOOKUP($A73,'VKT US'!$B$63:$AA$113,(T$59+1),FALSE)/VLOOKUP($A73,'Fuel economy adjusted factor'!$A$2:$F$52,4,FALSE)*INDEX('Year data'!$B$111:$AC$161,MATCH($A73,'Year data'!$A$111:$A$161,0),MATCH('TCO Inputs'!$AZ$12,'Year data'!$B$110:$AC$110,0))/(1+$AZ$41)^T$59</f>
        <v>1086.0787091134098</v>
      </c>
      <c r="U73" s="113">
        <f>VLOOKUP($A73,'VKT US'!$B$63:$AA$113,(U$59+1),FALSE)/VLOOKUP($A73,'Fuel economy adjusted factor'!$A$2:$F$52,4,FALSE)*INDEX('Year data'!$B$111:$AC$161,MATCH($A73,'Year data'!$A$111:$A$161,0),MATCH('TCO Inputs'!$AZ$12,'Year data'!$B$110:$AC$110,0))/(1+$AZ$41)^U$59</f>
        <v>1052.1423274184458</v>
      </c>
      <c r="V73" s="110" cm="1">
        <f t="array" ref="V73">SUMPRODUCT(INDEX(B73:U73,,_xlfn.SEQUENCE($AZ$13)))</f>
        <v>23777.334825147595</v>
      </c>
      <c r="AY73" s="37"/>
      <c r="AZ73" s="37" t="s">
        <v>308</v>
      </c>
      <c r="BA73" s="37" t="s">
        <v>255</v>
      </c>
      <c r="BB73" s="37" t="s">
        <v>254</v>
      </c>
      <c r="BC73" s="37" t="s">
        <v>253</v>
      </c>
      <c r="BD73" s="37" t="s">
        <v>519</v>
      </c>
    </row>
    <row r="74" spans="1:56" hidden="1" outlineLevel="1" x14ac:dyDescent="0.25">
      <c r="A74" s="102" t="s">
        <v>195</v>
      </c>
      <c r="B74" s="113">
        <f>VLOOKUP($A74,'VKT US'!$B$63:$AA$113,(B$59+1),FALSE)/VLOOKUP($A74,'Fuel economy adjusted factor'!$A$2:$F$52,4,FALSE)*INDEX('Year data'!$B$111:$AC$161,MATCH($A74,'Year data'!$A$111:$A$161,0),MATCH('TCO Inputs'!$AZ$12,'Year data'!$B$110:$AC$110,0))/(1+$AZ$41)^B$59</f>
        <v>1814.8526846806767</v>
      </c>
      <c r="C74" s="113">
        <f>VLOOKUP($A74,'VKT US'!$B$63:$AA$113,(C$59+1),FALSE)/VLOOKUP($A74,'Fuel economy adjusted factor'!$A$2:$F$52,4,FALSE)*INDEX('Year data'!$B$111:$AC$161,MATCH($A74,'Year data'!$A$111:$A$161,0),MATCH('TCO Inputs'!$AZ$12,'Year data'!$B$110:$AC$110,0))/(1+$AZ$41)^C$59</f>
        <v>1739.9936027636807</v>
      </c>
      <c r="D74" s="113">
        <f>VLOOKUP($A74,'VKT US'!$B$63:$AA$113,(D$59+1),FALSE)/VLOOKUP($A74,'Fuel economy adjusted factor'!$A$2:$F$52,4,FALSE)*INDEX('Year data'!$B$111:$AC$161,MATCH($A74,'Year data'!$A$111:$A$161,0),MATCH('TCO Inputs'!$AZ$12,'Year data'!$B$110:$AC$110,0))/(1+$AZ$41)^D$59</f>
        <v>1668.3177299225629</v>
      </c>
      <c r="E74" s="113">
        <f>VLOOKUP($A74,'VKT US'!$B$63:$AA$113,(E$59+1),FALSE)/VLOOKUP($A74,'Fuel economy adjusted factor'!$A$2:$F$52,4,FALSE)*INDEX('Year data'!$B$111:$AC$161,MATCH($A74,'Year data'!$A$111:$A$161,0),MATCH('TCO Inputs'!$AZ$12,'Year data'!$B$110:$AC$110,0))/(1+$AZ$41)^E$59</f>
        <v>1599.866792107164</v>
      </c>
      <c r="F74" s="113">
        <f>VLOOKUP($A74,'VKT US'!$B$63:$AA$113,(F$59+1),FALSE)/VLOOKUP($A74,'Fuel economy adjusted factor'!$A$2:$F$52,4,FALSE)*INDEX('Year data'!$B$111:$AC$161,MATCH($A74,'Year data'!$A$111:$A$161,0),MATCH('TCO Inputs'!$AZ$12,'Year data'!$B$110:$AC$110,0))/(1+$AZ$41)^F$59</f>
        <v>1534.428488529898</v>
      </c>
      <c r="G74" s="113">
        <f>VLOOKUP($A74,'VKT US'!$B$63:$AA$113,(G$59+1),FALSE)/VLOOKUP($A74,'Fuel economy adjusted factor'!$A$2:$F$52,4,FALSE)*INDEX('Year data'!$B$111:$AC$161,MATCH($A74,'Year data'!$A$111:$A$161,0),MATCH('TCO Inputs'!$AZ$12,'Year data'!$B$110:$AC$110,0))/(1+$AZ$41)^G$59</f>
        <v>1472.1686057360596</v>
      </c>
      <c r="H74" s="113">
        <f>VLOOKUP($A74,'VKT US'!$B$63:$AA$113,(H$59+1),FALSE)/VLOOKUP($A74,'Fuel economy adjusted factor'!$A$2:$F$52,4,FALSE)*INDEX('Year data'!$B$111:$AC$161,MATCH($A74,'Year data'!$A$111:$A$161,0),MATCH('TCO Inputs'!$AZ$12,'Year data'!$B$110:$AC$110,0))/(1+$AZ$41)^H$59</f>
        <v>1412.6331089585358</v>
      </c>
      <c r="I74" s="113">
        <f>VLOOKUP($A74,'VKT US'!$B$63:$AA$113,(I$59+1),FALSE)/VLOOKUP($A74,'Fuel economy adjusted factor'!$A$2:$F$52,4,FALSE)*INDEX('Year data'!$B$111:$AC$161,MATCH($A74,'Year data'!$A$111:$A$161,0),MATCH('TCO Inputs'!$AZ$12,'Year data'!$B$110:$AC$110,0))/(1+$AZ$41)^I$59</f>
        <v>1355.9898306227949</v>
      </c>
      <c r="J74" s="113">
        <f>VLOOKUP($A74,'VKT US'!$B$63:$AA$113,(J$59+1),FALSE)/VLOOKUP($A74,'Fuel economy adjusted factor'!$A$2:$F$52,4,FALSE)*INDEX('Year data'!$B$111:$AC$161,MATCH($A74,'Year data'!$A$111:$A$161,0),MATCH('TCO Inputs'!$AZ$12,'Year data'!$B$110:$AC$110,0))/(1+$AZ$41)^J$59</f>
        <v>1302.1585440125691</v>
      </c>
      <c r="K74" s="113">
        <f>VLOOKUP($A74,'VKT US'!$B$63:$AA$113,(K$59+1),FALSE)/VLOOKUP($A74,'Fuel economy adjusted factor'!$A$2:$F$52,4,FALSE)*INDEX('Year data'!$B$111:$AC$161,MATCH($A74,'Year data'!$A$111:$A$161,0),MATCH('TCO Inputs'!$AZ$12,'Year data'!$B$110:$AC$110,0))/(1+$AZ$41)^K$59</f>
        <v>1251.0607556041984</v>
      </c>
      <c r="L74" s="113">
        <f>VLOOKUP($A74,'VKT US'!$B$63:$AA$113,(L$59+1),FALSE)/VLOOKUP($A74,'Fuel economy adjusted factor'!$A$2:$F$52,4,FALSE)*INDEX('Year data'!$B$111:$AC$161,MATCH($A74,'Year data'!$A$111:$A$161,0),MATCH('TCO Inputs'!$AZ$12,'Year data'!$B$110:$AC$110,0))/(1+$AZ$41)^L$59</f>
        <v>1202.503387410803</v>
      </c>
      <c r="M74" s="113">
        <f>VLOOKUP($A74,'VKT US'!$B$63:$AA$113,(M$59+1),FALSE)/VLOOKUP($A74,'Fuel economy adjusted factor'!$A$2:$F$52,4,FALSE)*INDEX('Year data'!$B$111:$AC$161,MATCH($A74,'Year data'!$A$111:$A$161,0),MATCH('TCO Inputs'!$AZ$12,'Year data'!$B$110:$AC$110,0))/(1+$AZ$41)^M$59</f>
        <v>1156.5303577158929</v>
      </c>
      <c r="N74" s="113">
        <f>VLOOKUP($A74,'VKT US'!$B$63:$AA$113,(N$59+1),FALSE)/VLOOKUP($A74,'Fuel economy adjusted factor'!$A$2:$F$52,4,FALSE)*INDEX('Year data'!$B$111:$AC$161,MATCH($A74,'Year data'!$A$111:$A$161,0),MATCH('TCO Inputs'!$AZ$12,'Year data'!$B$110:$AC$110,0))/(1+$AZ$41)^N$59</f>
        <v>1112.9545863283111</v>
      </c>
      <c r="O74" s="113">
        <f>VLOOKUP($A74,'VKT US'!$B$63:$AA$113,(O$59+1),FALSE)/VLOOKUP($A74,'Fuel economy adjusted factor'!$A$2:$F$52,4,FALSE)*INDEX('Year data'!$B$111:$AC$161,MATCH($A74,'Year data'!$A$111:$A$161,0),MATCH('TCO Inputs'!$AZ$12,'Year data'!$B$110:$AC$110,0))/(1+$AZ$41)^O$59</f>
        <v>1071.8203798041495</v>
      </c>
      <c r="P74" s="113">
        <f>VLOOKUP($A74,'VKT US'!$B$63:$AA$113,(P$59+1),FALSE)/VLOOKUP($A74,'Fuel economy adjusted factor'!$A$2:$F$52,4,FALSE)*INDEX('Year data'!$B$111:$AC$161,MATCH($A74,'Year data'!$A$111:$A$161,0),MATCH('TCO Inputs'!$AZ$12,'Year data'!$B$110:$AC$110,0))/(1+$AZ$41)^P$59</f>
        <v>1032.9464699162502</v>
      </c>
      <c r="Q74" s="113">
        <f>VLOOKUP($A74,'VKT US'!$B$63:$AA$113,(Q$59+1),FALSE)/VLOOKUP($A74,'Fuel economy adjusted factor'!$A$2:$F$52,4,FALSE)*INDEX('Year data'!$B$111:$AC$161,MATCH($A74,'Year data'!$A$111:$A$161,0),MATCH('TCO Inputs'!$AZ$12,'Year data'!$B$110:$AC$110,0))/(1+$AZ$41)^Q$59</f>
        <v>996.48705078164869</v>
      </c>
      <c r="R74" s="113">
        <f>VLOOKUP($A74,'VKT US'!$B$63:$AA$113,(R$59+1),FALSE)/VLOOKUP($A74,'Fuel economy adjusted factor'!$A$2:$F$52,4,FALSE)*INDEX('Year data'!$B$111:$AC$161,MATCH($A74,'Year data'!$A$111:$A$161,0),MATCH('TCO Inputs'!$AZ$12,'Year data'!$B$110:$AC$110,0))/(1+$AZ$41)^R$59</f>
        <v>962.04608248690624</v>
      </c>
      <c r="S74" s="113">
        <f>VLOOKUP($A74,'VKT US'!$B$63:$AA$113,(S$59+1),FALSE)/VLOOKUP($A74,'Fuel economy adjusted factor'!$A$2:$F$52,4,FALSE)*INDEX('Year data'!$B$111:$AC$161,MATCH($A74,'Year data'!$A$111:$A$161,0),MATCH('TCO Inputs'!$AZ$12,'Year data'!$B$110:$AC$110,0))/(1+$AZ$41)^S$59</f>
        <v>929.88632806220471</v>
      </c>
      <c r="T74" s="113">
        <f>VLOOKUP($A74,'VKT US'!$B$63:$AA$113,(T$59+1),FALSE)/VLOOKUP($A74,'Fuel economy adjusted factor'!$A$2:$F$52,4,FALSE)*INDEX('Year data'!$B$111:$AC$161,MATCH($A74,'Year data'!$A$111:$A$161,0),MATCH('TCO Inputs'!$AZ$12,'Year data'!$B$110:$AC$110,0))/(1+$AZ$41)^T$59</f>
        <v>899.62240052959589</v>
      </c>
      <c r="U74" s="113">
        <f>VLOOKUP($A74,'VKT US'!$B$63:$AA$113,(U$59+1),FALSE)/VLOOKUP($A74,'Fuel economy adjusted factor'!$A$2:$F$52,4,FALSE)*INDEX('Year data'!$B$111:$AC$161,MATCH($A74,'Year data'!$A$111:$A$161,0),MATCH('TCO Inputs'!$AZ$12,'Year data'!$B$110:$AC$110,0))/(1+$AZ$41)^U$59</f>
        <v>871.51216421842241</v>
      </c>
      <c r="V74" s="110" cm="1">
        <f t="array" ref="V74">SUMPRODUCT(INDEX(B74:U74,,_xlfn.SEQUENCE($AZ$13)))</f>
        <v>19695.278854197299</v>
      </c>
      <c r="AY74" s="38" t="s">
        <v>322</v>
      </c>
      <c r="AZ74" s="44">
        <v>1</v>
      </c>
      <c r="BA74" s="44">
        <v>0.67</v>
      </c>
      <c r="BB74" s="44">
        <v>0.89</v>
      </c>
      <c r="BC74" s="45">
        <f>BB74</f>
        <v>0.89</v>
      </c>
      <c r="BD74" s="46">
        <v>0.86</v>
      </c>
    </row>
    <row r="75" spans="1:56" hidden="1" outlineLevel="1" x14ac:dyDescent="0.25">
      <c r="A75" s="102" t="s">
        <v>199</v>
      </c>
      <c r="B75" s="113">
        <f>VLOOKUP($A75,'VKT US'!$B$63:$AA$113,(B$59+1),FALSE)/VLOOKUP($A75,'Fuel economy adjusted factor'!$A$2:$F$52,4,FALSE)*INDEX('Year data'!$B$111:$AC$161,MATCH($A75,'Year data'!$A$111:$A$161,0),MATCH('TCO Inputs'!$AZ$12,'Year data'!$B$110:$AC$110,0))/(1+$AZ$41)^B$59</f>
        <v>1798.5116273202268</v>
      </c>
      <c r="C75" s="113">
        <f>VLOOKUP($A75,'VKT US'!$B$63:$AA$113,(C$59+1),FALSE)/VLOOKUP($A75,'Fuel economy adjusted factor'!$A$2:$F$52,4,FALSE)*INDEX('Year data'!$B$111:$AC$161,MATCH($A75,'Year data'!$A$111:$A$161,0),MATCH('TCO Inputs'!$AZ$12,'Year data'!$B$110:$AC$110,0))/(1+$AZ$41)^C$59</f>
        <v>1724.3265816828048</v>
      </c>
      <c r="D75" s="113">
        <f>VLOOKUP($A75,'VKT US'!$B$63:$AA$113,(D$59+1),FALSE)/VLOOKUP($A75,'Fuel economy adjusted factor'!$A$2:$F$52,4,FALSE)*INDEX('Year data'!$B$111:$AC$161,MATCH($A75,'Year data'!$A$111:$A$161,0),MATCH('TCO Inputs'!$AZ$12,'Year data'!$B$110:$AC$110,0))/(1+$AZ$41)^D$59</f>
        <v>1653.2960832896208</v>
      </c>
      <c r="E75" s="113">
        <f>VLOOKUP($A75,'VKT US'!$B$63:$AA$113,(E$59+1),FALSE)/VLOOKUP($A75,'Fuel economy adjusted factor'!$A$2:$F$52,4,FALSE)*INDEX('Year data'!$B$111:$AC$161,MATCH($A75,'Year data'!$A$111:$A$161,0),MATCH('TCO Inputs'!$AZ$12,'Year data'!$B$110:$AC$110,0))/(1+$AZ$41)^E$59</f>
        <v>1585.4614823872175</v>
      </c>
      <c r="F75" s="113">
        <f>VLOOKUP($A75,'VKT US'!$B$63:$AA$113,(F$59+1),FALSE)/VLOOKUP($A75,'Fuel economy adjusted factor'!$A$2:$F$52,4,FALSE)*INDEX('Year data'!$B$111:$AC$161,MATCH($A75,'Year data'!$A$111:$A$161,0),MATCH('TCO Inputs'!$AZ$12,'Year data'!$B$110:$AC$110,0))/(1+$AZ$41)^F$59</f>
        <v>1520.6123897587809</v>
      </c>
      <c r="G75" s="113">
        <f>VLOOKUP($A75,'VKT US'!$B$63:$AA$113,(G$59+1),FALSE)/VLOOKUP($A75,'Fuel economy adjusted factor'!$A$2:$F$52,4,FALSE)*INDEX('Year data'!$B$111:$AC$161,MATCH($A75,'Year data'!$A$111:$A$161,0),MATCH('TCO Inputs'!$AZ$12,'Year data'!$B$110:$AC$110,0))/(1+$AZ$41)^G$59</f>
        <v>1458.9130991962443</v>
      </c>
      <c r="H75" s="113">
        <f>VLOOKUP($A75,'VKT US'!$B$63:$AA$113,(H$59+1),FALSE)/VLOOKUP($A75,'Fuel economy adjusted factor'!$A$2:$F$52,4,FALSE)*INDEX('Year data'!$B$111:$AC$161,MATCH($A75,'Year data'!$A$111:$A$161,0),MATCH('TCO Inputs'!$AZ$12,'Year data'!$B$110:$AC$110,0))/(1+$AZ$41)^H$59</f>
        <v>1399.9136640925062</v>
      </c>
      <c r="I75" s="113">
        <f>VLOOKUP($A75,'VKT US'!$B$63:$AA$113,(I$59+1),FALSE)/VLOOKUP($A75,'Fuel economy adjusted factor'!$A$2:$F$52,4,FALSE)*INDEX('Year data'!$B$111:$AC$161,MATCH($A75,'Year data'!$A$111:$A$161,0),MATCH('TCO Inputs'!$AZ$12,'Year data'!$B$110:$AC$110,0))/(1+$AZ$41)^I$59</f>
        <v>1343.7804056984287</v>
      </c>
      <c r="J75" s="113">
        <f>VLOOKUP($A75,'VKT US'!$B$63:$AA$113,(J$59+1),FALSE)/VLOOKUP($A75,'Fuel economy adjusted factor'!$A$2:$F$52,4,FALSE)*INDEX('Year data'!$B$111:$AC$161,MATCH($A75,'Year data'!$A$111:$A$161,0),MATCH('TCO Inputs'!$AZ$12,'Year data'!$B$110:$AC$110,0))/(1+$AZ$41)^J$59</f>
        <v>1290.433819664569</v>
      </c>
      <c r="K75" s="113">
        <f>VLOOKUP($A75,'VKT US'!$B$63:$AA$113,(K$59+1),FALSE)/VLOOKUP($A75,'Fuel economy adjusted factor'!$A$2:$F$52,4,FALSE)*INDEX('Year data'!$B$111:$AC$161,MATCH($A75,'Year data'!$A$111:$A$161,0),MATCH('TCO Inputs'!$AZ$12,'Year data'!$B$110:$AC$110,0))/(1+$AZ$41)^K$59</f>
        <v>1239.7961192283083</v>
      </c>
      <c r="L75" s="113">
        <f>VLOOKUP($A75,'VKT US'!$B$63:$AA$113,(L$59+1),FALSE)/VLOOKUP($A75,'Fuel economy adjusted factor'!$A$2:$F$52,4,FALSE)*INDEX('Year data'!$B$111:$AC$161,MATCH($A75,'Year data'!$A$111:$A$161,0),MATCH('TCO Inputs'!$AZ$12,'Year data'!$B$110:$AC$110,0))/(1+$AZ$41)^L$59</f>
        <v>1191.67596489013</v>
      </c>
      <c r="M75" s="113">
        <f>VLOOKUP($A75,'VKT US'!$B$63:$AA$113,(M$59+1),FALSE)/VLOOKUP($A75,'Fuel economy adjusted factor'!$A$2:$F$52,4,FALSE)*INDEX('Year data'!$B$111:$AC$161,MATCH($A75,'Year data'!$A$111:$A$161,0),MATCH('TCO Inputs'!$AZ$12,'Year data'!$B$110:$AC$110,0))/(1+$AZ$41)^M$59</f>
        <v>1146.1168794903247</v>
      </c>
      <c r="N75" s="113">
        <f>VLOOKUP($A75,'VKT US'!$B$63:$AA$113,(N$59+1),FALSE)/VLOOKUP($A75,'Fuel economy adjusted factor'!$A$2:$F$52,4,FALSE)*INDEX('Year data'!$B$111:$AC$161,MATCH($A75,'Year data'!$A$111:$A$161,0),MATCH('TCO Inputs'!$AZ$12,'Year data'!$B$110:$AC$110,0))/(1+$AZ$41)^N$59</f>
        <v>1102.9334673205353</v>
      </c>
      <c r="O75" s="113">
        <f>VLOOKUP($A75,'VKT US'!$B$63:$AA$113,(O$59+1),FALSE)/VLOOKUP($A75,'Fuel economy adjusted factor'!$A$2:$F$52,4,FALSE)*INDEX('Year data'!$B$111:$AC$161,MATCH($A75,'Year data'!$A$111:$A$161,0),MATCH('TCO Inputs'!$AZ$12,'Year data'!$B$110:$AC$110,0))/(1+$AZ$41)^O$59</f>
        <v>1062.169635997602</v>
      </c>
      <c r="P75" s="113">
        <f>VLOOKUP($A75,'VKT US'!$B$63:$AA$113,(P$59+1),FALSE)/VLOOKUP($A75,'Fuel economy adjusted factor'!$A$2:$F$52,4,FALSE)*INDEX('Year data'!$B$111:$AC$161,MATCH($A75,'Year data'!$A$111:$A$161,0),MATCH('TCO Inputs'!$AZ$12,'Year data'!$B$110:$AC$110,0))/(1+$AZ$41)^P$59</f>
        <v>1023.6457494458472</v>
      </c>
      <c r="Q75" s="113">
        <f>VLOOKUP($A75,'VKT US'!$B$63:$AA$113,(Q$59+1),FALSE)/VLOOKUP($A75,'Fuel economy adjusted factor'!$A$2:$F$52,4,FALSE)*INDEX('Year data'!$B$111:$AC$161,MATCH($A75,'Year data'!$A$111:$A$161,0),MATCH('TCO Inputs'!$AZ$12,'Year data'!$B$110:$AC$110,0))/(1+$AZ$41)^Q$59</f>
        <v>987.51461340795981</v>
      </c>
      <c r="R75" s="113">
        <f>VLOOKUP($A75,'VKT US'!$B$63:$AA$113,(R$59+1),FALSE)/VLOOKUP($A75,'Fuel economy adjusted factor'!$A$2:$F$52,4,FALSE)*INDEX('Year data'!$B$111:$AC$161,MATCH($A75,'Year data'!$A$111:$A$161,0),MATCH('TCO Inputs'!$AZ$12,'Year data'!$B$110:$AC$110,0))/(1+$AZ$41)^R$59</f>
        <v>953.3837539408953</v>
      </c>
      <c r="S75" s="113">
        <f>VLOOKUP($A75,'VKT US'!$B$63:$AA$113,(S$59+1),FALSE)/VLOOKUP($A75,'Fuel economy adjusted factor'!$A$2:$F$52,4,FALSE)*INDEX('Year data'!$B$111:$AC$161,MATCH($A75,'Year data'!$A$111:$A$161,0),MATCH('TCO Inputs'!$AZ$12,'Year data'!$B$110:$AC$110,0))/(1+$AZ$41)^S$59</f>
        <v>921.51356813858808</v>
      </c>
      <c r="T75" s="113">
        <f>VLOOKUP($A75,'VKT US'!$B$63:$AA$113,(T$59+1),FALSE)/VLOOKUP($A75,'Fuel economy adjusted factor'!$A$2:$F$52,4,FALSE)*INDEX('Year data'!$B$111:$AC$161,MATCH($A75,'Year data'!$A$111:$A$161,0),MATCH('TCO Inputs'!$AZ$12,'Year data'!$B$110:$AC$110,0))/(1+$AZ$41)^T$59</f>
        <v>891.52213907372675</v>
      </c>
      <c r="U75" s="113">
        <f>VLOOKUP($A75,'VKT US'!$B$63:$AA$113,(U$59+1),FALSE)/VLOOKUP($A75,'Fuel economy adjusted factor'!$A$2:$F$52,4,FALSE)*INDEX('Year data'!$B$111:$AC$161,MATCH($A75,'Year data'!$A$111:$A$161,0),MATCH('TCO Inputs'!$AZ$12,'Year data'!$B$110:$AC$110,0))/(1+$AZ$41)^U$59</f>
        <v>863.66500924764398</v>
      </c>
      <c r="V75" s="110" cm="1">
        <f t="array" ref="V75">SUMPRODUCT(INDEX(B75:U75,,_xlfn.SEQUENCE($AZ$13)))</f>
        <v>19517.941220017299</v>
      </c>
      <c r="AY75" s="38" t="s">
        <v>318</v>
      </c>
      <c r="AZ75" s="43">
        <v>0.04</v>
      </c>
      <c r="BA75" s="43">
        <f>$AZ$75*BA74</f>
        <v>2.6800000000000001E-2</v>
      </c>
      <c r="BB75" s="43">
        <f>$AZ$75*BB74</f>
        <v>3.56E-2</v>
      </c>
      <c r="BC75" s="43">
        <f>$AZ$75*BC74</f>
        <v>3.56E-2</v>
      </c>
      <c r="BD75" s="43">
        <f>$AZ$75*BD74</f>
        <v>3.44E-2</v>
      </c>
    </row>
    <row r="76" spans="1:56" hidden="1" outlineLevel="1" x14ac:dyDescent="0.25">
      <c r="A76" s="102" t="s">
        <v>157</v>
      </c>
      <c r="B76" s="113">
        <f>VLOOKUP($A76,'VKT US'!$B$63:$AA$113,(B$59+1),FALSE)/VLOOKUP($A76,'Fuel economy adjusted factor'!$A$2:$F$52,4,FALSE)*INDEX('Year data'!$B$111:$AC$161,MATCH($A76,'Year data'!$A$111:$A$161,0),MATCH('TCO Inputs'!$AZ$12,'Year data'!$B$110:$AC$110,0))/(1+$AZ$41)^B$59</f>
        <v>1964.8529951391397</v>
      </c>
      <c r="C76" s="113">
        <f>VLOOKUP($A76,'VKT US'!$B$63:$AA$113,(C$59+1),FALSE)/VLOOKUP($A76,'Fuel economy adjusted factor'!$A$2:$F$52,4,FALSE)*INDEX('Year data'!$B$111:$AC$161,MATCH($A76,'Year data'!$A$111:$A$161,0),MATCH('TCO Inputs'!$AZ$12,'Year data'!$B$110:$AC$110,0))/(1+$AZ$41)^C$59</f>
        <v>1883.8066972442468</v>
      </c>
      <c r="D76" s="113">
        <f>VLOOKUP($A76,'VKT US'!$B$63:$AA$113,(D$59+1),FALSE)/VLOOKUP($A76,'Fuel economy adjusted factor'!$A$2:$F$52,4,FALSE)*INDEX('Year data'!$B$111:$AC$161,MATCH($A76,'Year data'!$A$111:$A$161,0),MATCH('TCO Inputs'!$AZ$12,'Year data'!$B$110:$AC$110,0))/(1+$AZ$41)^D$59</f>
        <v>1806.2067054543561</v>
      </c>
      <c r="E76" s="113">
        <f>VLOOKUP($A76,'VKT US'!$B$63:$AA$113,(E$59+1),FALSE)/VLOOKUP($A76,'Fuel economy adjusted factor'!$A$2:$F$52,4,FALSE)*INDEX('Year data'!$B$111:$AC$161,MATCH($A76,'Year data'!$A$111:$A$161,0),MATCH('TCO Inputs'!$AZ$12,'Year data'!$B$110:$AC$110,0))/(1+$AZ$41)^E$59</f>
        <v>1732.0981944319672</v>
      </c>
      <c r="F76" s="113">
        <f>VLOOKUP($A76,'VKT US'!$B$63:$AA$113,(F$59+1),FALSE)/VLOOKUP($A76,'Fuel economy adjusted factor'!$A$2:$F$52,4,FALSE)*INDEX('Year data'!$B$111:$AC$161,MATCH($A76,'Year data'!$A$111:$A$161,0),MATCH('TCO Inputs'!$AZ$12,'Year data'!$B$110:$AC$110,0))/(1+$AZ$41)^F$59</f>
        <v>1661.2513164093364</v>
      </c>
      <c r="G76" s="113">
        <f>VLOOKUP($A76,'VKT US'!$B$63:$AA$113,(G$59+1),FALSE)/VLOOKUP($A76,'Fuel economy adjusted factor'!$A$2:$F$52,4,FALSE)*INDEX('Year data'!$B$111:$AC$161,MATCH($A76,'Year data'!$A$111:$A$161,0),MATCH('TCO Inputs'!$AZ$12,'Year data'!$B$110:$AC$110,0))/(1+$AZ$41)^G$59</f>
        <v>1593.845560439667</v>
      </c>
      <c r="H76" s="113">
        <f>VLOOKUP($A76,'VKT US'!$B$63:$AA$113,(H$59+1),FALSE)/VLOOKUP($A76,'Fuel economy adjusted factor'!$A$2:$F$52,4,FALSE)*INDEX('Year data'!$B$111:$AC$161,MATCH($A76,'Year data'!$A$111:$A$161,0),MATCH('TCO Inputs'!$AZ$12,'Year data'!$B$110:$AC$110,0))/(1+$AZ$41)^H$59</f>
        <v>1529.3893650978416</v>
      </c>
      <c r="I76" s="113">
        <f>VLOOKUP($A76,'VKT US'!$B$63:$AA$113,(I$59+1),FALSE)/VLOOKUP($A76,'Fuel economy adjusted factor'!$A$2:$F$52,4,FALSE)*INDEX('Year data'!$B$111:$AC$161,MATCH($A76,'Year data'!$A$111:$A$161,0),MATCH('TCO Inputs'!$AZ$12,'Year data'!$B$110:$AC$110,0))/(1+$AZ$41)^I$59</f>
        <v>1468.064434412317</v>
      </c>
      <c r="J76" s="113">
        <f>VLOOKUP($A76,'VKT US'!$B$63:$AA$113,(J$59+1),FALSE)/VLOOKUP($A76,'Fuel economy adjusted factor'!$A$2:$F$52,4,FALSE)*INDEX('Year data'!$B$111:$AC$161,MATCH($A76,'Year data'!$A$111:$A$161,0),MATCH('TCO Inputs'!$AZ$12,'Year data'!$B$110:$AC$110,0))/(1+$AZ$41)^J$59</f>
        <v>1409.7839108077767</v>
      </c>
      <c r="K76" s="113">
        <f>VLOOKUP($A76,'VKT US'!$B$63:$AA$113,(K$59+1),FALSE)/VLOOKUP($A76,'Fuel economy adjusted factor'!$A$2:$F$52,4,FALSE)*INDEX('Year data'!$B$111:$AC$161,MATCH($A76,'Year data'!$A$111:$A$161,0),MATCH('TCO Inputs'!$AZ$12,'Year data'!$B$110:$AC$110,0))/(1+$AZ$41)^K$59</f>
        <v>1354.4628131524933</v>
      </c>
      <c r="L76" s="113">
        <f>VLOOKUP($A76,'VKT US'!$B$63:$AA$113,(L$59+1),FALSE)/VLOOKUP($A76,'Fuel economy adjusted factor'!$A$2:$F$52,4,FALSE)*INDEX('Year data'!$B$111:$AC$161,MATCH($A76,'Year data'!$A$111:$A$161,0),MATCH('TCO Inputs'!$AZ$12,'Year data'!$B$110:$AC$110,0))/(1+$AZ$41)^L$59</f>
        <v>1301.892105272887</v>
      </c>
      <c r="M76" s="113">
        <f>VLOOKUP($A76,'VKT US'!$B$63:$AA$113,(M$59+1),FALSE)/VLOOKUP($A76,'Fuel economy adjusted factor'!$A$2:$F$52,4,FALSE)*INDEX('Year data'!$B$111:$AC$161,MATCH($A76,'Year data'!$A$111:$A$161,0),MATCH('TCO Inputs'!$AZ$12,'Year data'!$B$110:$AC$110,0))/(1+$AZ$41)^M$59</f>
        <v>1252.1193353648116</v>
      </c>
      <c r="N76" s="113">
        <f>VLOOKUP($A76,'VKT US'!$B$63:$AA$113,(N$59+1),FALSE)/VLOOKUP($A76,'Fuel economy adjusted factor'!$A$2:$F$52,4,FALSE)*INDEX('Year data'!$B$111:$AC$161,MATCH($A76,'Year data'!$A$111:$A$161,0),MATCH('TCO Inputs'!$AZ$12,'Year data'!$B$110:$AC$110,0))/(1+$AZ$41)^N$59</f>
        <v>1204.9419607772684</v>
      </c>
      <c r="O76" s="113">
        <f>VLOOKUP($A76,'VKT US'!$B$63:$AA$113,(O$59+1),FALSE)/VLOOKUP($A76,'Fuel economy adjusted factor'!$A$2:$F$52,4,FALSE)*INDEX('Year data'!$B$111:$AC$161,MATCH($A76,'Year data'!$A$111:$A$161,0),MATCH('TCO Inputs'!$AZ$12,'Year data'!$B$110:$AC$110,0))/(1+$AZ$41)^O$59</f>
        <v>1160.407950070007</v>
      </c>
      <c r="P76" s="113">
        <f>VLOOKUP($A76,'VKT US'!$B$63:$AA$113,(P$59+1),FALSE)/VLOOKUP($A76,'Fuel economy adjusted factor'!$A$2:$F$52,4,FALSE)*INDEX('Year data'!$B$111:$AC$161,MATCH($A76,'Year data'!$A$111:$A$161,0),MATCH('TCO Inputs'!$AZ$12,'Year data'!$B$110:$AC$110,0))/(1+$AZ$41)^P$59</f>
        <v>1118.3210529236158</v>
      </c>
      <c r="Q76" s="113">
        <f>VLOOKUP($A76,'VKT US'!$B$63:$AA$113,(Q$59+1),FALSE)/VLOOKUP($A76,'Fuel economy adjusted factor'!$A$2:$F$52,4,FALSE)*INDEX('Year data'!$B$111:$AC$161,MATCH($A76,'Year data'!$A$111:$A$161,0),MATCH('TCO Inputs'!$AZ$12,'Year data'!$B$110:$AC$110,0))/(1+$AZ$41)^Q$59</f>
        <v>1078.8482078313655</v>
      </c>
      <c r="R76" s="113">
        <f>VLOOKUP($A76,'VKT US'!$B$63:$AA$113,(R$59+1),FALSE)/VLOOKUP($A76,'Fuel economy adjusted factor'!$A$2:$F$52,4,FALSE)*INDEX('Year data'!$B$111:$AC$161,MATCH($A76,'Year data'!$A$111:$A$161,0),MATCH('TCO Inputs'!$AZ$12,'Year data'!$B$110:$AC$110,0))/(1+$AZ$41)^R$59</f>
        <v>1041.5606415839025</v>
      </c>
      <c r="S76" s="113">
        <f>VLOOKUP($A76,'VKT US'!$B$63:$AA$113,(S$59+1),FALSE)/VLOOKUP($A76,'Fuel economy adjusted factor'!$A$2:$F$52,4,FALSE)*INDEX('Year data'!$B$111:$AC$161,MATCH($A76,'Year data'!$A$111:$A$161,0),MATCH('TCO Inputs'!$AZ$12,'Year data'!$B$110:$AC$110,0))/(1+$AZ$41)^S$59</f>
        <v>1006.7428349719944</v>
      </c>
      <c r="T76" s="113">
        <f>VLOOKUP($A76,'VKT US'!$B$63:$AA$113,(T$59+1),FALSE)/VLOOKUP($A76,'Fuel economy adjusted factor'!$A$2:$F$52,4,FALSE)*INDEX('Year data'!$B$111:$AC$161,MATCH($A76,'Year data'!$A$111:$A$161,0),MATCH('TCO Inputs'!$AZ$12,'Year data'!$B$110:$AC$110,0))/(1+$AZ$41)^T$59</f>
        <v>973.97754820295688</v>
      </c>
      <c r="U76" s="113">
        <f>VLOOKUP($A76,'VKT US'!$B$63:$AA$113,(U$59+1),FALSE)/VLOOKUP($A76,'Fuel economy adjusted factor'!$A$2:$F$52,4,FALSE)*INDEX('Year data'!$B$111:$AC$161,MATCH($A76,'Year data'!$A$111:$A$161,0),MATCH('TCO Inputs'!$AZ$12,'Year data'!$B$110:$AC$110,0))/(1+$AZ$41)^U$59</f>
        <v>943.54395848170793</v>
      </c>
      <c r="V76" s="110" cm="1">
        <f t="array" ref="V76">SUMPRODUCT(INDEX(B76:U76,,_xlfn.SEQUENCE($AZ$13)))</f>
        <v>21323.12334407412</v>
      </c>
    </row>
    <row r="77" spans="1:56" hidden="1" outlineLevel="1" x14ac:dyDescent="0.25">
      <c r="A77" s="102" t="s">
        <v>200</v>
      </c>
      <c r="B77" s="113">
        <f>VLOOKUP($A77,'VKT US'!$B$63:$AA$113,(B$59+1),FALSE)/VLOOKUP($A77,'Fuel economy adjusted factor'!$A$2:$F$52,4,FALSE)*INDEX('Year data'!$B$111:$AC$161,MATCH($A77,'Year data'!$A$111:$A$161,0),MATCH('TCO Inputs'!$AZ$12,'Year data'!$B$110:$AC$110,0))/(1+$AZ$41)^B$59</f>
        <v>1639.5148614521736</v>
      </c>
      <c r="C77" s="113">
        <f>VLOOKUP($A77,'VKT US'!$B$63:$AA$113,(C$59+1),FALSE)/VLOOKUP($A77,'Fuel economy adjusted factor'!$A$2:$F$52,4,FALSE)*INDEX('Year data'!$B$111:$AC$161,MATCH($A77,'Year data'!$A$111:$A$161,0),MATCH('TCO Inputs'!$AZ$12,'Year data'!$B$110:$AC$110,0))/(1+$AZ$41)^C$59</f>
        <v>1571.8881177756332</v>
      </c>
      <c r="D77" s="113">
        <f>VLOOKUP($A77,'VKT US'!$B$63:$AA$113,(D$59+1),FALSE)/VLOOKUP($A77,'Fuel economy adjusted factor'!$A$2:$F$52,4,FALSE)*INDEX('Year data'!$B$111:$AC$161,MATCH($A77,'Year data'!$A$111:$A$161,0),MATCH('TCO Inputs'!$AZ$12,'Year data'!$B$110:$AC$110,0))/(1+$AZ$41)^D$59</f>
        <v>1507.1370447422621</v>
      </c>
      <c r="E77" s="113">
        <f>VLOOKUP($A77,'VKT US'!$B$63:$AA$113,(E$59+1),FALSE)/VLOOKUP($A77,'Fuel economy adjusted factor'!$A$2:$F$52,4,FALSE)*INDEX('Year data'!$B$111:$AC$161,MATCH($A77,'Year data'!$A$111:$A$161,0),MATCH('TCO Inputs'!$AZ$12,'Year data'!$B$110:$AC$110,0))/(1+$AZ$41)^E$59</f>
        <v>1445.2993370451045</v>
      </c>
      <c r="F77" s="113">
        <f>VLOOKUP($A77,'VKT US'!$B$63:$AA$113,(F$59+1),FALSE)/VLOOKUP($A77,'Fuel economy adjusted factor'!$A$2:$F$52,4,FALSE)*INDEX('Year data'!$B$111:$AC$161,MATCH($A77,'Year data'!$A$111:$A$161,0),MATCH('TCO Inputs'!$AZ$12,'Year data'!$B$110:$AC$110,0))/(1+$AZ$41)^F$59</f>
        <v>1386.1832048494909</v>
      </c>
      <c r="G77" s="113">
        <f>VLOOKUP($A77,'VKT US'!$B$63:$AA$113,(G$59+1),FALSE)/VLOOKUP($A77,'Fuel economy adjusted factor'!$A$2:$F$52,4,FALSE)*INDEX('Year data'!$B$111:$AC$161,MATCH($A77,'Year data'!$A$111:$A$161,0),MATCH('TCO Inputs'!$AZ$12,'Year data'!$B$110:$AC$110,0))/(1+$AZ$41)^G$59</f>
        <v>1329.9384176144715</v>
      </c>
      <c r="H77" s="113">
        <f>VLOOKUP($A77,'VKT US'!$B$63:$AA$113,(H$59+1),FALSE)/VLOOKUP($A77,'Fuel economy adjusted factor'!$A$2:$F$52,4,FALSE)*INDEX('Year data'!$B$111:$AC$161,MATCH($A77,'Year data'!$A$111:$A$161,0),MATCH('TCO Inputs'!$AZ$12,'Year data'!$B$110:$AC$110,0))/(1+$AZ$41)^H$59</f>
        <v>1276.1548060989935</v>
      </c>
      <c r="I77" s="113">
        <f>VLOOKUP($A77,'VKT US'!$B$63:$AA$113,(I$59+1),FALSE)/VLOOKUP($A77,'Fuel economy adjusted factor'!$A$2:$F$52,4,FALSE)*INDEX('Year data'!$B$111:$AC$161,MATCH($A77,'Year data'!$A$111:$A$161,0),MATCH('TCO Inputs'!$AZ$12,'Year data'!$B$110:$AC$110,0))/(1+$AZ$41)^I$59</f>
        <v>1224.9839879842664</v>
      </c>
      <c r="J77" s="113">
        <f>VLOOKUP($A77,'VKT US'!$B$63:$AA$113,(J$59+1),FALSE)/VLOOKUP($A77,'Fuel economy adjusted factor'!$A$2:$F$52,4,FALSE)*INDEX('Year data'!$B$111:$AC$161,MATCH($A77,'Year data'!$A$111:$A$161,0),MATCH('TCO Inputs'!$AZ$12,'Year data'!$B$110:$AC$110,0))/(1+$AZ$41)^J$59</f>
        <v>1176.3534874739255</v>
      </c>
      <c r="K77" s="113">
        <f>VLOOKUP($A77,'VKT US'!$B$63:$AA$113,(K$59+1),FALSE)/VLOOKUP($A77,'Fuel economy adjusted factor'!$A$2:$F$52,4,FALSE)*INDEX('Year data'!$B$111:$AC$161,MATCH($A77,'Year data'!$A$111:$A$161,0),MATCH('TCO Inputs'!$AZ$12,'Year data'!$B$110:$AC$110,0))/(1+$AZ$41)^K$59</f>
        <v>1130.1923945157928</v>
      </c>
      <c r="L77" s="113">
        <f>VLOOKUP($A77,'VKT US'!$B$63:$AA$113,(L$59+1),FALSE)/VLOOKUP($A77,'Fuel economy adjusted factor'!$A$2:$F$52,4,FALSE)*INDEX('Year data'!$B$111:$AC$161,MATCH($A77,'Year data'!$A$111:$A$161,0),MATCH('TCO Inputs'!$AZ$12,'Year data'!$B$110:$AC$110,0))/(1+$AZ$41)^L$59</f>
        <v>1086.3262849091691</v>
      </c>
      <c r="M77" s="113">
        <f>VLOOKUP($A77,'VKT US'!$B$63:$AA$113,(M$59+1),FALSE)/VLOOKUP($A77,'Fuel economy adjusted factor'!$A$2:$F$52,4,FALSE)*INDEX('Year data'!$B$111:$AC$161,MATCH($A77,'Year data'!$A$111:$A$161,0),MATCH('TCO Inputs'!$AZ$12,'Year data'!$B$110:$AC$110,0))/(1+$AZ$41)^M$59</f>
        <v>1044.79483387349</v>
      </c>
      <c r="N77" s="113">
        <f>VLOOKUP($A77,'VKT US'!$B$63:$AA$113,(N$59+1),FALSE)/VLOOKUP($A77,'Fuel economy adjusted factor'!$A$2:$F$52,4,FALSE)*INDEX('Year data'!$B$111:$AC$161,MATCH($A77,'Year data'!$A$111:$A$161,0),MATCH('TCO Inputs'!$AZ$12,'Year data'!$B$110:$AC$110,0))/(1+$AZ$41)^N$59</f>
        <v>1005.4290355405233</v>
      </c>
      <c r="O77" s="113">
        <f>VLOOKUP($A77,'VKT US'!$B$63:$AA$113,(O$59+1),FALSE)/VLOOKUP($A77,'Fuel economy adjusted factor'!$A$2:$F$52,4,FALSE)*INDEX('Year data'!$B$111:$AC$161,MATCH($A77,'Year data'!$A$111:$A$161,0),MATCH('TCO Inputs'!$AZ$12,'Year data'!$B$110:$AC$110,0))/(1+$AZ$41)^O$59</f>
        <v>968.26891589022091</v>
      </c>
      <c r="P77" s="113">
        <f>VLOOKUP($A77,'VKT US'!$B$63:$AA$113,(P$59+1),FALSE)/VLOOKUP($A77,'Fuel economy adjusted factor'!$A$2:$F$52,4,FALSE)*INDEX('Year data'!$B$111:$AC$161,MATCH($A77,'Year data'!$A$111:$A$161,0),MATCH('TCO Inputs'!$AZ$12,'Year data'!$B$110:$AC$110,0))/(1+$AZ$41)^P$59</f>
        <v>933.1507195088011</v>
      </c>
      <c r="Q77" s="113">
        <f>VLOOKUP($A77,'VKT US'!$B$63:$AA$113,(Q$59+1),FALSE)/VLOOKUP($A77,'Fuel economy adjusted factor'!$A$2:$F$52,4,FALSE)*INDEX('Year data'!$B$111:$AC$161,MATCH($A77,'Year data'!$A$111:$A$161,0),MATCH('TCO Inputs'!$AZ$12,'Year data'!$B$110:$AC$110,0))/(1+$AZ$41)^Q$59</f>
        <v>900.21374340288037</v>
      </c>
      <c r="R77" s="113">
        <f>VLOOKUP($A77,'VKT US'!$B$63:$AA$113,(R$59+1),FALSE)/VLOOKUP($A77,'Fuel economy adjusted factor'!$A$2:$F$52,4,FALSE)*INDEX('Year data'!$B$111:$AC$161,MATCH($A77,'Year data'!$A$111:$A$161,0),MATCH('TCO Inputs'!$AZ$12,'Year data'!$B$110:$AC$110,0))/(1+$AZ$41)^R$59</f>
        <v>869.10021014551387</v>
      </c>
      <c r="S77" s="113">
        <f>VLOOKUP($A77,'VKT US'!$B$63:$AA$113,(S$59+1),FALSE)/VLOOKUP($A77,'Fuel economy adjusted factor'!$A$2:$F$52,4,FALSE)*INDEX('Year data'!$B$111:$AC$161,MATCH($A77,'Year data'!$A$111:$A$161,0),MATCH('TCO Inputs'!$AZ$12,'Year data'!$B$110:$AC$110,0))/(1+$AZ$41)^S$59</f>
        <v>840.04749652031546</v>
      </c>
      <c r="T77" s="113">
        <f>VLOOKUP($A77,'VKT US'!$B$63:$AA$113,(T$59+1),FALSE)/VLOOKUP($A77,'Fuel economy adjusted factor'!$A$2:$F$52,4,FALSE)*INDEX('Year data'!$B$111:$AC$161,MATCH($A77,'Year data'!$A$111:$A$161,0),MATCH('TCO Inputs'!$AZ$12,'Year data'!$B$110:$AC$110,0))/(1+$AZ$41)^T$59</f>
        <v>812.70744882693805</v>
      </c>
      <c r="U77" s="113">
        <f>VLOOKUP($A77,'VKT US'!$B$63:$AA$113,(U$59+1),FALSE)/VLOOKUP($A77,'Fuel economy adjusted factor'!$A$2:$F$52,4,FALSE)*INDEX('Year data'!$B$111:$AC$161,MATCH($A77,'Year data'!$A$111:$A$161,0),MATCH('TCO Inputs'!$AZ$12,'Year data'!$B$110:$AC$110,0))/(1+$AZ$41)^U$59</f>
        <v>787.31301842488551</v>
      </c>
      <c r="V77" s="110" cm="1">
        <f t="array" ref="V77">SUMPRODUCT(INDEX(B77:U77,,_xlfn.SEQUENCE($AZ$13)))</f>
        <v>17792.464729765517</v>
      </c>
      <c r="AY77" s="33"/>
    </row>
    <row r="78" spans="1:56" hidden="1" outlineLevel="1" x14ac:dyDescent="0.25">
      <c r="A78" s="102" t="s">
        <v>203</v>
      </c>
      <c r="B78" s="113">
        <f>VLOOKUP($A78,'VKT US'!$B$63:$AA$113,(B$59+1),FALSE)/VLOOKUP($A78,'Fuel economy adjusted factor'!$A$2:$F$52,4,FALSE)*INDEX('Year data'!$B$111:$AC$161,MATCH($A78,'Year data'!$A$111:$A$161,0),MATCH('TCO Inputs'!$AZ$12,'Year data'!$B$110:$AC$110,0))/(1+$AZ$41)^B$59</f>
        <v>1825.6928651068208</v>
      </c>
      <c r="C78" s="113">
        <f>VLOOKUP($A78,'VKT US'!$B$63:$AA$113,(C$59+1),FALSE)/VLOOKUP($A78,'Fuel economy adjusted factor'!$A$2:$F$52,4,FALSE)*INDEX('Year data'!$B$111:$AC$161,MATCH($A78,'Year data'!$A$111:$A$161,0),MATCH('TCO Inputs'!$AZ$12,'Year data'!$B$110:$AC$110,0))/(1+$AZ$41)^C$59</f>
        <v>1750.3866471983665</v>
      </c>
      <c r="D78" s="113">
        <f>VLOOKUP($A78,'VKT US'!$B$63:$AA$113,(D$59+1),FALSE)/VLOOKUP($A78,'Fuel economy adjusted factor'!$A$2:$F$52,4,FALSE)*INDEX('Year data'!$B$111:$AC$161,MATCH($A78,'Year data'!$A$111:$A$161,0),MATCH('TCO Inputs'!$AZ$12,'Year data'!$B$110:$AC$110,0))/(1+$AZ$41)^D$59</f>
        <v>1678.2826517882063</v>
      </c>
      <c r="E78" s="113">
        <f>VLOOKUP($A78,'VKT US'!$B$63:$AA$113,(E$59+1),FALSE)/VLOOKUP($A78,'Fuel economy adjusted factor'!$A$2:$F$52,4,FALSE)*INDEX('Year data'!$B$111:$AC$161,MATCH($A78,'Year data'!$A$111:$A$161,0),MATCH('TCO Inputs'!$AZ$12,'Year data'!$B$110:$AC$110,0))/(1+$AZ$41)^E$59</f>
        <v>1609.4228540567813</v>
      </c>
      <c r="F78" s="113">
        <f>VLOOKUP($A78,'VKT US'!$B$63:$AA$113,(F$59+1),FALSE)/VLOOKUP($A78,'Fuel economy adjusted factor'!$A$2:$F$52,4,FALSE)*INDEX('Year data'!$B$111:$AC$161,MATCH($A78,'Year data'!$A$111:$A$161,0),MATCH('TCO Inputs'!$AZ$12,'Year data'!$B$110:$AC$110,0))/(1+$AZ$41)^F$59</f>
        <v>1543.5936851362585</v>
      </c>
      <c r="G78" s="113">
        <f>VLOOKUP($A78,'VKT US'!$B$63:$AA$113,(G$59+1),FALSE)/VLOOKUP($A78,'Fuel economy adjusted factor'!$A$2:$F$52,4,FALSE)*INDEX('Year data'!$B$111:$AC$161,MATCH($A78,'Year data'!$A$111:$A$161,0),MATCH('TCO Inputs'!$AZ$12,'Year data'!$B$110:$AC$110,0))/(1+$AZ$41)^G$59</f>
        <v>1480.9619218209359</v>
      </c>
      <c r="H78" s="113">
        <f>VLOOKUP($A78,'VKT US'!$B$63:$AA$113,(H$59+1),FALSE)/VLOOKUP($A78,'Fuel economy adjusted factor'!$A$2:$F$52,4,FALSE)*INDEX('Year data'!$B$111:$AC$161,MATCH($A78,'Year data'!$A$111:$A$161,0),MATCH('TCO Inputs'!$AZ$12,'Year data'!$B$110:$AC$110,0))/(1+$AZ$41)^H$59</f>
        <v>1421.0708173776904</v>
      </c>
      <c r="I78" s="113">
        <f>VLOOKUP($A78,'VKT US'!$B$63:$AA$113,(I$59+1),FALSE)/VLOOKUP($A78,'Fuel economy adjusted factor'!$A$2:$F$52,4,FALSE)*INDEX('Year data'!$B$111:$AC$161,MATCH($A78,'Year data'!$A$111:$A$161,0),MATCH('TCO Inputs'!$AZ$12,'Year data'!$B$110:$AC$110,0))/(1+$AZ$41)^I$59</f>
        <v>1364.0892067011091</v>
      </c>
      <c r="J78" s="113">
        <f>VLOOKUP($A78,'VKT US'!$B$63:$AA$113,(J$59+1),FALSE)/VLOOKUP($A78,'Fuel economy adjusted factor'!$A$2:$F$52,4,FALSE)*INDEX('Year data'!$B$111:$AC$161,MATCH($A78,'Year data'!$A$111:$A$161,0),MATCH('TCO Inputs'!$AZ$12,'Year data'!$B$110:$AC$110,0))/(1+$AZ$41)^J$59</f>
        <v>1309.9363838778606</v>
      </c>
      <c r="K78" s="113">
        <f>VLOOKUP($A78,'VKT US'!$B$63:$AA$113,(K$59+1),FALSE)/VLOOKUP($A78,'Fuel economy adjusted factor'!$A$2:$F$52,4,FALSE)*INDEX('Year data'!$B$111:$AC$161,MATCH($A78,'Year data'!$A$111:$A$161,0),MATCH('TCO Inputs'!$AZ$12,'Year data'!$B$110:$AC$110,0))/(1+$AZ$41)^K$59</f>
        <v>1258.5333865396422</v>
      </c>
      <c r="L78" s="113">
        <f>VLOOKUP($A78,'VKT US'!$B$63:$AA$113,(L$59+1),FALSE)/VLOOKUP($A78,'Fuel economy adjusted factor'!$A$2:$F$52,4,FALSE)*INDEX('Year data'!$B$111:$AC$161,MATCH($A78,'Year data'!$A$111:$A$161,0),MATCH('TCO Inputs'!$AZ$12,'Year data'!$B$110:$AC$110,0))/(1+$AZ$41)^L$59</f>
        <v>1209.6859834378054</v>
      </c>
      <c r="M78" s="113">
        <f>VLOOKUP($A78,'VKT US'!$B$63:$AA$113,(M$59+1),FALSE)/VLOOKUP($A78,'Fuel economy adjusted factor'!$A$2:$F$52,4,FALSE)*INDEX('Year data'!$B$111:$AC$161,MATCH($A78,'Year data'!$A$111:$A$161,0),MATCH('TCO Inputs'!$AZ$12,'Year data'!$B$110:$AC$110,0))/(1+$AZ$41)^M$59</f>
        <v>1163.4383551813507</v>
      </c>
      <c r="N78" s="113">
        <f>VLOOKUP($A78,'VKT US'!$B$63:$AA$113,(N$59+1),FALSE)/VLOOKUP($A78,'Fuel economy adjusted factor'!$A$2:$F$52,4,FALSE)*INDEX('Year data'!$B$111:$AC$161,MATCH($A78,'Year data'!$A$111:$A$161,0),MATCH('TCO Inputs'!$AZ$12,'Year data'!$B$110:$AC$110,0))/(1+$AZ$41)^N$59</f>
        <v>1119.6023041424025</v>
      </c>
      <c r="O78" s="113">
        <f>VLOOKUP($A78,'VKT US'!$B$63:$AA$113,(O$59+1),FALSE)/VLOOKUP($A78,'Fuel economy adjusted factor'!$A$2:$F$52,4,FALSE)*INDEX('Year data'!$B$111:$AC$161,MATCH($A78,'Year data'!$A$111:$A$161,0),MATCH('TCO Inputs'!$AZ$12,'Year data'!$B$110:$AC$110,0))/(1+$AZ$41)^O$59</f>
        <v>1078.222401521708</v>
      </c>
      <c r="P78" s="113">
        <f>VLOOKUP($A78,'VKT US'!$B$63:$AA$113,(P$59+1),FALSE)/VLOOKUP($A78,'Fuel economy adjusted factor'!$A$2:$F$52,4,FALSE)*INDEX('Year data'!$B$111:$AC$161,MATCH($A78,'Year data'!$A$111:$A$161,0),MATCH('TCO Inputs'!$AZ$12,'Year data'!$B$110:$AC$110,0))/(1+$AZ$41)^P$59</f>
        <v>1039.1162963704624</v>
      </c>
      <c r="Q78" s="113">
        <f>VLOOKUP($A78,'VKT US'!$B$63:$AA$113,(Q$59+1),FALSE)/VLOOKUP($A78,'Fuel economy adjusted factor'!$A$2:$F$52,4,FALSE)*INDEX('Year data'!$B$111:$AC$161,MATCH($A78,'Year data'!$A$111:$A$161,0),MATCH('TCO Inputs'!$AZ$12,'Year data'!$B$110:$AC$110,0))/(1+$AZ$41)^Q$59</f>
        <v>1002.4391038127133</v>
      </c>
      <c r="R78" s="113">
        <f>VLOOKUP($A78,'VKT US'!$B$63:$AA$113,(R$59+1),FALSE)/VLOOKUP($A78,'Fuel economy adjusted factor'!$A$2:$F$52,4,FALSE)*INDEX('Year data'!$B$111:$AC$161,MATCH($A78,'Year data'!$A$111:$A$161,0),MATCH('TCO Inputs'!$AZ$12,'Year data'!$B$110:$AC$110,0))/(1+$AZ$41)^R$59</f>
        <v>967.79241837436041</v>
      </c>
      <c r="S78" s="113">
        <f>VLOOKUP($A78,'VKT US'!$B$63:$AA$113,(S$59+1),FALSE)/VLOOKUP($A78,'Fuel economy adjusted factor'!$A$2:$F$52,4,FALSE)*INDEX('Year data'!$B$111:$AC$161,MATCH($A78,'Year data'!$A$111:$A$161,0),MATCH('TCO Inputs'!$AZ$12,'Year data'!$B$110:$AC$110,0))/(1+$AZ$41)^S$59</f>
        <v>935.44057257862539</v>
      </c>
      <c r="T78" s="113">
        <f>VLOOKUP($A78,'VKT US'!$B$63:$AA$113,(T$59+1),FALSE)/VLOOKUP($A78,'Fuel economy adjusted factor'!$A$2:$F$52,4,FALSE)*INDEX('Year data'!$B$111:$AC$161,MATCH($A78,'Year data'!$A$111:$A$161,0),MATCH('TCO Inputs'!$AZ$12,'Year data'!$B$110:$AC$110,0))/(1+$AZ$41)^T$59</f>
        <v>904.99587751726551</v>
      </c>
      <c r="U78" s="113">
        <f>VLOOKUP($A78,'VKT US'!$B$63:$AA$113,(U$59+1),FALSE)/VLOOKUP($A78,'Fuel economy adjusted factor'!$A$2:$F$52,4,FALSE)*INDEX('Year data'!$B$111:$AC$161,MATCH($A78,'Year data'!$A$111:$A$161,0),MATCH('TCO Inputs'!$AZ$12,'Year data'!$B$110:$AC$110,0))/(1+$AZ$41)^U$59</f>
        <v>876.7177377525461</v>
      </c>
      <c r="V78" s="110" cm="1">
        <f t="array" ref="V78">SUMPRODUCT(INDEX(B78:U78,,_xlfn.SEQUENCE($AZ$13)))</f>
        <v>19812.919463886941</v>
      </c>
      <c r="AY78" s="73" t="s">
        <v>365</v>
      </c>
      <c r="AZ78" s="35">
        <f>(1-(1/(1+AZ41))^(AZ13+1))/(1-(1/(1+AZ41)))</f>
        <v>13.816698499128357</v>
      </c>
    </row>
    <row r="79" spans="1:56" hidden="1" outlineLevel="1" x14ac:dyDescent="0.25">
      <c r="A79" s="102" t="s">
        <v>202</v>
      </c>
      <c r="B79" s="113">
        <f>VLOOKUP($A79,'VKT US'!$B$63:$AA$113,(B$59+1),FALSE)/VLOOKUP($A79,'Fuel economy adjusted factor'!$A$2:$F$52,4,FALSE)*INDEX('Year data'!$B$111:$AC$161,MATCH($A79,'Year data'!$A$111:$A$161,0),MATCH('TCO Inputs'!$AZ$12,'Year data'!$B$110:$AC$110,0))/(1+$AZ$41)^B$59</f>
        <v>1724.8930122183435</v>
      </c>
      <c r="C79" s="113">
        <f>VLOOKUP($A79,'VKT US'!$B$63:$AA$113,(C$59+1),FALSE)/VLOOKUP($A79,'Fuel economy adjusted factor'!$A$2:$F$52,4,FALSE)*INDEX('Year data'!$B$111:$AC$161,MATCH($A79,'Year data'!$A$111:$A$161,0),MATCH('TCO Inputs'!$AZ$12,'Year data'!$B$110:$AC$110,0))/(1+$AZ$41)^C$59</f>
        <v>1653.7445887734805</v>
      </c>
      <c r="D79" s="113">
        <f>VLOOKUP($A79,'VKT US'!$B$63:$AA$113,(D$59+1),FALSE)/VLOOKUP($A79,'Fuel economy adjusted factor'!$A$2:$F$52,4,FALSE)*INDEX('Year data'!$B$111:$AC$161,MATCH($A79,'Year data'!$A$111:$A$161,0),MATCH('TCO Inputs'!$AZ$12,'Year data'!$B$110:$AC$110,0))/(1+$AZ$41)^D$59</f>
        <v>1585.6215872473003</v>
      </c>
      <c r="E79" s="113">
        <f>VLOOKUP($A79,'VKT US'!$B$63:$AA$113,(E$59+1),FALSE)/VLOOKUP($A79,'Fuel economy adjusted factor'!$A$2:$F$52,4,FALSE)*INDEX('Year data'!$B$111:$AC$161,MATCH($A79,'Year data'!$A$111:$A$161,0),MATCH('TCO Inputs'!$AZ$12,'Year data'!$B$110:$AC$110,0))/(1+$AZ$41)^E$59</f>
        <v>1520.5636652935145</v>
      </c>
      <c r="F79" s="113">
        <f>VLOOKUP($A79,'VKT US'!$B$63:$AA$113,(F$59+1),FALSE)/VLOOKUP($A79,'Fuel economy adjusted factor'!$A$2:$F$52,4,FALSE)*INDEX('Year data'!$B$111:$AC$161,MATCH($A79,'Year data'!$A$111:$A$161,0),MATCH('TCO Inputs'!$AZ$12,'Year data'!$B$110:$AC$110,0))/(1+$AZ$41)^F$59</f>
        <v>1458.369045573342</v>
      </c>
      <c r="G79" s="113">
        <f>VLOOKUP($A79,'VKT US'!$B$63:$AA$113,(G$59+1),FALSE)/VLOOKUP($A79,'Fuel economy adjusted factor'!$A$2:$F$52,4,FALSE)*INDEX('Year data'!$B$111:$AC$161,MATCH($A79,'Year data'!$A$111:$A$161,0),MATCH('TCO Inputs'!$AZ$12,'Year data'!$B$110:$AC$110,0))/(1+$AZ$41)^G$59</f>
        <v>1399.1952968282637</v>
      </c>
      <c r="H79" s="113">
        <f>VLOOKUP($A79,'VKT US'!$B$63:$AA$113,(H$59+1),FALSE)/VLOOKUP($A79,'Fuel economy adjusted factor'!$A$2:$F$52,4,FALSE)*INDEX('Year data'!$B$111:$AC$161,MATCH($A79,'Year data'!$A$111:$A$161,0),MATCH('TCO Inputs'!$AZ$12,'Year data'!$B$110:$AC$110,0))/(1+$AZ$41)^H$59</f>
        <v>1342.6108901503369</v>
      </c>
      <c r="I79" s="113">
        <f>VLOOKUP($A79,'VKT US'!$B$63:$AA$113,(I$59+1),FALSE)/VLOOKUP($A79,'Fuel economy adjusted factor'!$A$2:$F$52,4,FALSE)*INDEX('Year data'!$B$111:$AC$161,MATCH($A79,'Year data'!$A$111:$A$161,0),MATCH('TCO Inputs'!$AZ$12,'Year data'!$B$110:$AC$110,0))/(1+$AZ$41)^I$59</f>
        <v>1288.775338749839</v>
      </c>
      <c r="J79" s="113">
        <f>VLOOKUP($A79,'VKT US'!$B$63:$AA$113,(J$59+1),FALSE)/VLOOKUP($A79,'Fuel economy adjusted factor'!$A$2:$F$52,4,FALSE)*INDEX('Year data'!$B$111:$AC$161,MATCH($A79,'Year data'!$A$111:$A$161,0),MATCH('TCO Inputs'!$AZ$12,'Year data'!$B$110:$AC$110,0))/(1+$AZ$41)^J$59</f>
        <v>1237.6123926349928</v>
      </c>
      <c r="K79" s="113">
        <f>VLOOKUP($A79,'VKT US'!$B$63:$AA$113,(K$59+1),FALSE)/VLOOKUP($A79,'Fuel economy adjusted factor'!$A$2:$F$52,4,FALSE)*INDEX('Year data'!$B$111:$AC$161,MATCH($A79,'Year data'!$A$111:$A$161,0),MATCH('TCO Inputs'!$AZ$12,'Year data'!$B$110:$AC$110,0))/(1+$AZ$41)^K$59</f>
        <v>1189.0474490947308</v>
      </c>
      <c r="L79" s="113">
        <f>VLOOKUP($A79,'VKT US'!$B$63:$AA$113,(L$59+1),FALSE)/VLOOKUP($A79,'Fuel economy adjusted factor'!$A$2:$F$52,4,FALSE)*INDEX('Year data'!$B$111:$AC$161,MATCH($A79,'Year data'!$A$111:$A$161,0),MATCH('TCO Inputs'!$AZ$12,'Year data'!$B$110:$AC$110,0))/(1+$AZ$41)^L$59</f>
        <v>1142.8970007440219</v>
      </c>
      <c r="M79" s="113">
        <f>VLOOKUP($A79,'VKT US'!$B$63:$AA$113,(M$59+1),FALSE)/VLOOKUP($A79,'Fuel economy adjusted factor'!$A$2:$F$52,4,FALSE)*INDEX('Year data'!$B$111:$AC$161,MATCH($A79,'Year data'!$A$111:$A$161,0),MATCH('TCO Inputs'!$AZ$12,'Year data'!$B$110:$AC$110,0))/(1+$AZ$41)^M$59</f>
        <v>1099.2027888993789</v>
      </c>
      <c r="N79" s="113">
        <f>VLOOKUP($A79,'VKT US'!$B$63:$AA$113,(N$59+1),FALSE)/VLOOKUP($A79,'Fuel economy adjusted factor'!$A$2:$F$52,4,FALSE)*INDEX('Year data'!$B$111:$AC$161,MATCH($A79,'Year data'!$A$111:$A$161,0),MATCH('TCO Inputs'!$AZ$12,'Year data'!$B$110:$AC$110,0))/(1+$AZ$41)^N$59</f>
        <v>1057.7870066692697</v>
      </c>
      <c r="O79" s="113">
        <f>VLOOKUP($A79,'VKT US'!$B$63:$AA$113,(O$59+1),FALSE)/VLOOKUP($A79,'Fuel economy adjusted factor'!$A$2:$F$52,4,FALSE)*INDEX('Year data'!$B$111:$AC$161,MATCH($A79,'Year data'!$A$111:$A$161,0),MATCH('TCO Inputs'!$AZ$12,'Year data'!$B$110:$AC$110,0))/(1+$AZ$41)^O$59</f>
        <v>1018.691764396668</v>
      </c>
      <c r="P79" s="113">
        <f>VLOOKUP($A79,'VKT US'!$B$63:$AA$113,(P$59+1),FALSE)/VLOOKUP($A79,'Fuel economy adjusted factor'!$A$2:$F$52,4,FALSE)*INDEX('Year data'!$B$111:$AC$161,MATCH($A79,'Year data'!$A$111:$A$161,0),MATCH('TCO Inputs'!$AZ$12,'Year data'!$B$110:$AC$110,0))/(1+$AZ$41)^P$59</f>
        <v>981.74477906323261</v>
      </c>
      <c r="Q79" s="113">
        <f>VLOOKUP($A79,'VKT US'!$B$63:$AA$113,(Q$59+1),FALSE)/VLOOKUP($A79,'Fuel economy adjusted factor'!$A$2:$F$52,4,FALSE)*INDEX('Year data'!$B$111:$AC$161,MATCH($A79,'Year data'!$A$111:$A$161,0),MATCH('TCO Inputs'!$AZ$12,'Year data'!$B$110:$AC$110,0))/(1+$AZ$41)^Q$59</f>
        <v>947.0926016024049</v>
      </c>
      <c r="R79" s="113">
        <f>VLOOKUP($A79,'VKT US'!$B$63:$AA$113,(R$59+1),FALSE)/VLOOKUP($A79,'Fuel economy adjusted factor'!$A$2:$F$52,4,FALSE)*INDEX('Year data'!$B$111:$AC$161,MATCH($A79,'Year data'!$A$111:$A$161,0),MATCH('TCO Inputs'!$AZ$12,'Year data'!$B$110:$AC$110,0))/(1+$AZ$41)^R$59</f>
        <v>914.35882323731028</v>
      </c>
      <c r="S79" s="113">
        <f>VLOOKUP($A79,'VKT US'!$B$63:$AA$113,(S$59+1),FALSE)/VLOOKUP($A79,'Fuel economy adjusted factor'!$A$2:$F$52,4,FALSE)*INDEX('Year data'!$B$111:$AC$161,MATCH($A79,'Year data'!$A$111:$A$161,0),MATCH('TCO Inputs'!$AZ$12,'Year data'!$B$110:$AC$110,0))/(1+$AZ$41)^S$59</f>
        <v>883.79318220756124</v>
      </c>
      <c r="T79" s="113">
        <f>VLOOKUP($A79,'VKT US'!$B$63:$AA$113,(T$59+1),FALSE)/VLOOKUP($A79,'Fuel economy adjusted factor'!$A$2:$F$52,4,FALSE)*INDEX('Year data'!$B$111:$AC$161,MATCH($A79,'Year data'!$A$111:$A$161,0),MATCH('TCO Inputs'!$AZ$12,'Year data'!$B$110:$AC$110,0))/(1+$AZ$41)^T$59</f>
        <v>855.0293946208767</v>
      </c>
      <c r="U79" s="113">
        <f>VLOOKUP($A79,'VKT US'!$B$63:$AA$113,(U$59+1),FALSE)/VLOOKUP($A79,'Fuel economy adjusted factor'!$A$2:$F$52,4,FALSE)*INDEX('Year data'!$B$111:$AC$161,MATCH($A79,'Year data'!$A$111:$A$161,0),MATCH('TCO Inputs'!$AZ$12,'Year data'!$B$110:$AC$110,0))/(1+$AZ$41)^U$59</f>
        <v>828.31254283768044</v>
      </c>
      <c r="V79" s="110" cm="1">
        <f t="array" ref="V79">SUMPRODUCT(INDEX(B79:U79,,_xlfn.SEQUENCE($AZ$13)))</f>
        <v>18719.011827273484</v>
      </c>
      <c r="AY79" s="73" t="s">
        <v>329</v>
      </c>
      <c r="AZ79" s="35">
        <f>1/33.7</f>
        <v>2.9673590504451036E-2</v>
      </c>
    </row>
    <row r="80" spans="1:56" hidden="1" outlineLevel="1" x14ac:dyDescent="0.25">
      <c r="A80" s="102" t="s">
        <v>201</v>
      </c>
      <c r="B80" s="113">
        <f>VLOOKUP($A80,'VKT US'!$B$63:$AA$113,(B$59+1),FALSE)/VLOOKUP($A80,'Fuel economy adjusted factor'!$A$2:$F$52,4,FALSE)*INDEX('Year data'!$B$111:$AC$161,MATCH($A80,'Year data'!$A$111:$A$161,0),MATCH('TCO Inputs'!$AZ$12,'Year data'!$B$110:$AC$110,0))/(1+$AZ$41)^B$59</f>
        <v>1651.9673580760179</v>
      </c>
      <c r="C80" s="113">
        <f>VLOOKUP($A80,'VKT US'!$B$63:$AA$113,(C$59+1),FALSE)/VLOOKUP($A80,'Fuel economy adjusted factor'!$A$2:$F$52,4,FALSE)*INDEX('Year data'!$B$111:$AC$161,MATCH($A80,'Year data'!$A$111:$A$161,0),MATCH('TCO Inputs'!$AZ$12,'Year data'!$B$110:$AC$110,0))/(1+$AZ$41)^C$59</f>
        <v>1583.8269735554004</v>
      </c>
      <c r="D80" s="113">
        <f>VLOOKUP($A80,'VKT US'!$B$63:$AA$113,(D$59+1),FALSE)/VLOOKUP($A80,'Fuel economy adjusted factor'!$A$2:$F$52,4,FALSE)*INDEX('Year data'!$B$111:$AC$161,MATCH($A80,'Year data'!$A$111:$A$161,0),MATCH('TCO Inputs'!$AZ$12,'Year data'!$B$110:$AC$110,0))/(1+$AZ$41)^D$59</f>
        <v>1518.5841010651923</v>
      </c>
      <c r="E80" s="113">
        <f>VLOOKUP($A80,'VKT US'!$B$63:$AA$113,(E$59+1),FALSE)/VLOOKUP($A80,'Fuel economy adjusted factor'!$A$2:$F$52,4,FALSE)*INDEX('Year data'!$B$111:$AC$161,MATCH($A80,'Year data'!$A$111:$A$161,0),MATCH('TCO Inputs'!$AZ$12,'Year data'!$B$110:$AC$110,0))/(1+$AZ$41)^E$59</f>
        <v>1456.276721598397</v>
      </c>
      <c r="F80" s="113">
        <f>VLOOKUP($A80,'VKT US'!$B$63:$AA$113,(F$59+1),FALSE)/VLOOKUP($A80,'Fuel economy adjusted factor'!$A$2:$F$52,4,FALSE)*INDEX('Year data'!$B$111:$AC$161,MATCH($A80,'Year data'!$A$111:$A$161,0),MATCH('TCO Inputs'!$AZ$12,'Year data'!$B$110:$AC$110,0))/(1+$AZ$41)^F$59</f>
        <v>1396.711588631953</v>
      </c>
      <c r="G80" s="113">
        <f>VLOOKUP($A80,'VKT US'!$B$63:$AA$113,(G$59+1),FALSE)/VLOOKUP($A80,'Fuel economy adjusted factor'!$A$2:$F$52,4,FALSE)*INDEX('Year data'!$B$111:$AC$161,MATCH($A80,'Year data'!$A$111:$A$161,0),MATCH('TCO Inputs'!$AZ$12,'Year data'!$B$110:$AC$110,0))/(1+$AZ$41)^G$59</f>
        <v>1340.0396091587779</v>
      </c>
      <c r="H80" s="113">
        <f>VLOOKUP($A80,'VKT US'!$B$63:$AA$113,(H$59+1),FALSE)/VLOOKUP($A80,'Fuel economy adjusted factor'!$A$2:$F$52,4,FALSE)*INDEX('Year data'!$B$111:$AC$161,MATCH($A80,'Year data'!$A$111:$A$161,0),MATCH('TCO Inputs'!$AZ$12,'Year data'!$B$110:$AC$110,0))/(1+$AZ$41)^H$59</f>
        <v>1285.8474986070539</v>
      </c>
      <c r="I80" s="113">
        <f>VLOOKUP($A80,'VKT US'!$B$63:$AA$113,(I$59+1),FALSE)/VLOOKUP($A80,'Fuel economy adjusted factor'!$A$2:$F$52,4,FALSE)*INDEX('Year data'!$B$111:$AC$161,MATCH($A80,'Year data'!$A$111:$A$161,0),MATCH('TCO Inputs'!$AZ$12,'Year data'!$B$110:$AC$110,0))/(1+$AZ$41)^I$59</f>
        <v>1234.288026229535</v>
      </c>
      <c r="J80" s="113">
        <f>VLOOKUP($A80,'VKT US'!$B$63:$AA$113,(J$59+1),FALSE)/VLOOKUP($A80,'Fuel economy adjusted factor'!$A$2:$F$52,4,FALSE)*INDEX('Year data'!$B$111:$AC$161,MATCH($A80,'Year data'!$A$111:$A$161,0),MATCH('TCO Inputs'!$AZ$12,'Year data'!$B$110:$AC$110,0))/(1+$AZ$41)^J$59</f>
        <v>1185.2881657593314</v>
      </c>
      <c r="K80" s="113">
        <f>VLOOKUP($A80,'VKT US'!$B$63:$AA$113,(K$59+1),FALSE)/VLOOKUP($A80,'Fuel economy adjusted factor'!$A$2:$F$52,4,FALSE)*INDEX('Year data'!$B$111:$AC$161,MATCH($A80,'Year data'!$A$111:$A$161,0),MATCH('TCO Inputs'!$AZ$12,'Year data'!$B$110:$AC$110,0))/(1+$AZ$41)^K$59</f>
        <v>1138.7764685659279</v>
      </c>
      <c r="L80" s="113">
        <f>VLOOKUP($A80,'VKT US'!$B$63:$AA$113,(L$59+1),FALSE)/VLOOKUP($A80,'Fuel economy adjusted factor'!$A$2:$F$52,4,FALSE)*INDEX('Year data'!$B$111:$AC$161,MATCH($A80,'Year data'!$A$111:$A$161,0),MATCH('TCO Inputs'!$AZ$12,'Year data'!$B$110:$AC$110,0))/(1+$AZ$41)^L$59</f>
        <v>1094.5771856562619</v>
      </c>
      <c r="M80" s="113">
        <f>VLOOKUP($A80,'VKT US'!$B$63:$AA$113,(M$59+1),FALSE)/VLOOKUP($A80,'Fuel economy adjusted factor'!$A$2:$F$52,4,FALSE)*INDEX('Year data'!$B$111:$AC$161,MATCH($A80,'Year data'!$A$111:$A$161,0),MATCH('TCO Inputs'!$AZ$12,'Year data'!$B$110:$AC$110,0))/(1+$AZ$41)^M$59</f>
        <v>1052.7302935922851</v>
      </c>
      <c r="N80" s="113">
        <f>VLOOKUP($A80,'VKT US'!$B$63:$AA$113,(N$59+1),FALSE)/VLOOKUP($A80,'Fuel economy adjusted factor'!$A$2:$F$52,4,FALSE)*INDEX('Year data'!$B$111:$AC$161,MATCH($A80,'Year data'!$A$111:$A$161,0),MATCH('TCO Inputs'!$AZ$12,'Year data'!$B$110:$AC$110,0))/(1+$AZ$41)^N$59</f>
        <v>1013.065502866897</v>
      </c>
      <c r="O80" s="113">
        <f>VLOOKUP($A80,'VKT US'!$B$63:$AA$113,(O$59+1),FALSE)/VLOOKUP($A80,'Fuel economy adjusted factor'!$A$2:$F$52,4,FALSE)*INDEX('Year data'!$B$111:$AC$161,MATCH($A80,'Year data'!$A$111:$A$161,0),MATCH('TCO Inputs'!$AZ$12,'Year data'!$B$110:$AC$110,0))/(1+$AZ$41)^O$59</f>
        <v>975.62314346667438</v>
      </c>
      <c r="P80" s="113">
        <f>VLOOKUP($A80,'VKT US'!$B$63:$AA$113,(P$59+1),FALSE)/VLOOKUP($A80,'Fuel economy adjusted factor'!$A$2:$F$52,4,FALSE)*INDEX('Year data'!$B$111:$AC$161,MATCH($A80,'Year data'!$A$111:$A$161,0),MATCH('TCO Inputs'!$AZ$12,'Year data'!$B$110:$AC$110,0))/(1+$AZ$41)^P$59</f>
        <v>940.23821621738784</v>
      </c>
      <c r="Q80" s="113">
        <f>VLOOKUP($A80,'VKT US'!$B$63:$AA$113,(Q$59+1),FALSE)/VLOOKUP($A80,'Fuel economy adjusted factor'!$A$2:$F$52,4,FALSE)*INDEX('Year data'!$B$111:$AC$161,MATCH($A80,'Year data'!$A$111:$A$161,0),MATCH('TCO Inputs'!$AZ$12,'Year data'!$B$110:$AC$110,0))/(1+$AZ$41)^Q$59</f>
        <v>907.05107611881203</v>
      </c>
      <c r="R80" s="113">
        <f>VLOOKUP($A80,'VKT US'!$B$63:$AA$113,(R$59+1),FALSE)/VLOOKUP($A80,'Fuel economy adjusted factor'!$A$2:$F$52,4,FALSE)*INDEX('Year data'!$B$111:$AC$161,MATCH($A80,'Year data'!$A$111:$A$161,0),MATCH('TCO Inputs'!$AZ$12,'Year data'!$B$110:$AC$110,0))/(1+$AZ$41)^R$59</f>
        <v>875.70122834124652</v>
      </c>
      <c r="S80" s="113">
        <f>VLOOKUP($A80,'VKT US'!$B$63:$AA$113,(S$59+1),FALSE)/VLOOKUP($A80,'Fuel economy adjusted factor'!$A$2:$F$52,4,FALSE)*INDEX('Year data'!$B$111:$AC$161,MATCH($A80,'Year data'!$A$111:$A$161,0),MATCH('TCO Inputs'!$AZ$12,'Year data'!$B$110:$AC$110,0))/(1+$AZ$41)^S$59</f>
        <v>846.42785260017615</v>
      </c>
      <c r="T80" s="113">
        <f>VLOOKUP($A80,'VKT US'!$B$63:$AA$113,(T$59+1),FALSE)/VLOOKUP($A80,'Fuel economy adjusted factor'!$A$2:$F$52,4,FALSE)*INDEX('Year data'!$B$111:$AC$161,MATCH($A80,'Year data'!$A$111:$A$161,0),MATCH('TCO Inputs'!$AZ$12,'Year data'!$B$110:$AC$110,0))/(1+$AZ$41)^T$59</f>
        <v>818.88015088694056</v>
      </c>
      <c r="U80" s="113">
        <f>VLOOKUP($A80,'VKT US'!$B$63:$AA$113,(U$59+1),FALSE)/VLOOKUP($A80,'Fuel economy adjusted factor'!$A$2:$F$52,4,FALSE)*INDEX('Year data'!$B$111:$AC$161,MATCH($A80,'Year data'!$A$111:$A$161,0),MATCH('TCO Inputs'!$AZ$12,'Year data'!$B$110:$AC$110,0))/(1+$AZ$41)^U$59</f>
        <v>793.29284388078963</v>
      </c>
      <c r="V80" s="110" cm="1">
        <f t="array" ref="V80">SUMPRODUCT(INDEX(B80:U80,,_xlfn.SEQUENCE($AZ$13)))</f>
        <v>17927.602636829703</v>
      </c>
      <c r="AY80" s="73" t="s">
        <v>330</v>
      </c>
      <c r="AZ80" s="35">
        <f>AZ19</f>
        <v>71.400000000000006</v>
      </c>
    </row>
    <row r="81" spans="1:52" hidden="1" outlineLevel="1" x14ac:dyDescent="0.25">
      <c r="A81" s="102" t="s">
        <v>204</v>
      </c>
      <c r="B81" s="113">
        <f>VLOOKUP($A81,'VKT US'!$B$63:$AA$113,(B$59+1),FALSE)/VLOOKUP($A81,'Fuel economy adjusted factor'!$A$2:$F$52,4,FALSE)*INDEX('Year data'!$B$111:$AC$161,MATCH($A81,'Year data'!$A$111:$A$161,0),MATCH('TCO Inputs'!$AZ$12,'Year data'!$B$110:$AC$110,0))/(1+$AZ$41)^B$59</f>
        <v>1769.3199753804608</v>
      </c>
      <c r="C81" s="113">
        <f>VLOOKUP($A81,'VKT US'!$B$63:$AA$113,(C$59+1),FALSE)/VLOOKUP($A81,'Fuel economy adjusted factor'!$A$2:$F$52,4,FALSE)*INDEX('Year data'!$B$111:$AC$161,MATCH($A81,'Year data'!$A$111:$A$161,0),MATCH('TCO Inputs'!$AZ$12,'Year data'!$B$110:$AC$110,0))/(1+$AZ$41)^C$59</f>
        <v>1696.3390276195755</v>
      </c>
      <c r="D81" s="113">
        <f>VLOOKUP($A81,'VKT US'!$B$63:$AA$113,(D$59+1),FALSE)/VLOOKUP($A81,'Fuel economy adjusted factor'!$A$2:$F$52,4,FALSE)*INDEX('Year data'!$B$111:$AC$161,MATCH($A81,'Year data'!$A$111:$A$161,0),MATCH('TCO Inputs'!$AZ$12,'Year data'!$B$110:$AC$110,0))/(1+$AZ$41)^D$59</f>
        <v>1626.4614256295645</v>
      </c>
      <c r="E81" s="113">
        <f>VLOOKUP($A81,'VKT US'!$B$63:$AA$113,(E$59+1),FALSE)/VLOOKUP($A81,'Fuel economy adjusted factor'!$A$2:$F$52,4,FALSE)*INDEX('Year data'!$B$111:$AC$161,MATCH($A81,'Year data'!$A$111:$A$161,0),MATCH('TCO Inputs'!$AZ$12,'Year data'!$B$110:$AC$110,0))/(1+$AZ$41)^E$59</f>
        <v>1559.7278485008947</v>
      </c>
      <c r="F81" s="113">
        <f>VLOOKUP($A81,'VKT US'!$B$63:$AA$113,(F$59+1),FALSE)/VLOOKUP($A81,'Fuel economy adjusted factor'!$A$2:$F$52,4,FALSE)*INDEX('Year data'!$B$111:$AC$161,MATCH($A81,'Year data'!$A$111:$A$161,0),MATCH('TCO Inputs'!$AZ$12,'Year data'!$B$110:$AC$110,0))/(1+$AZ$41)^F$59</f>
        <v>1495.9313218452673</v>
      </c>
      <c r="G81" s="113">
        <f>VLOOKUP($A81,'VKT US'!$B$63:$AA$113,(G$59+1),FALSE)/VLOOKUP($A81,'Fuel economy adjusted factor'!$A$2:$F$52,4,FALSE)*INDEX('Year data'!$B$111:$AC$161,MATCH($A81,'Year data'!$A$111:$A$161,0),MATCH('TCO Inputs'!$AZ$12,'Year data'!$B$110:$AC$110,0))/(1+$AZ$41)^G$59</f>
        <v>1435.2334728011911</v>
      </c>
      <c r="H81" s="113">
        <f>VLOOKUP($A81,'VKT US'!$B$63:$AA$113,(H$59+1),FALSE)/VLOOKUP($A81,'Fuel economy adjusted factor'!$A$2:$F$52,4,FALSE)*INDEX('Year data'!$B$111:$AC$161,MATCH($A81,'Year data'!$A$111:$A$161,0),MATCH('TCO Inputs'!$AZ$12,'Year data'!$B$110:$AC$110,0))/(1+$AZ$41)^H$59</f>
        <v>1377.1916578473754</v>
      </c>
      <c r="I81" s="113">
        <f>VLOOKUP($A81,'VKT US'!$B$63:$AA$113,(I$59+1),FALSE)/VLOOKUP($A81,'Fuel economy adjusted factor'!$A$2:$F$52,4,FALSE)*INDEX('Year data'!$B$111:$AC$161,MATCH($A81,'Year data'!$A$111:$A$161,0),MATCH('TCO Inputs'!$AZ$12,'Year data'!$B$110:$AC$110,0))/(1+$AZ$41)^I$59</f>
        <v>1321.9694986735599</v>
      </c>
      <c r="J81" s="113">
        <f>VLOOKUP($A81,'VKT US'!$B$63:$AA$113,(J$59+1),FALSE)/VLOOKUP($A81,'Fuel economy adjusted factor'!$A$2:$F$52,4,FALSE)*INDEX('Year data'!$B$111:$AC$161,MATCH($A81,'Year data'!$A$111:$A$161,0),MATCH('TCO Inputs'!$AZ$12,'Year data'!$B$110:$AC$110,0))/(1+$AZ$41)^J$59</f>
        <v>1269.488781365829</v>
      </c>
      <c r="K81" s="113">
        <f>VLOOKUP($A81,'VKT US'!$B$63:$AA$113,(K$59+1),FALSE)/VLOOKUP($A81,'Fuel economy adjusted factor'!$A$2:$F$52,4,FALSE)*INDEX('Year data'!$B$111:$AC$161,MATCH($A81,'Year data'!$A$111:$A$161,0),MATCH('TCO Inputs'!$AZ$12,'Year data'!$B$110:$AC$110,0))/(1+$AZ$41)^K$59</f>
        <v>1219.6729817189273</v>
      </c>
      <c r="L81" s="113">
        <f>VLOOKUP($A81,'VKT US'!$B$63:$AA$113,(L$59+1),FALSE)/VLOOKUP($A81,'Fuel economy adjusted factor'!$A$2:$F$52,4,FALSE)*INDEX('Year data'!$B$111:$AC$161,MATCH($A81,'Year data'!$A$111:$A$161,0),MATCH('TCO Inputs'!$AZ$12,'Year data'!$B$110:$AC$110,0))/(1+$AZ$41)^L$59</f>
        <v>1172.3338658657888</v>
      </c>
      <c r="M81" s="113">
        <f>VLOOKUP($A81,'VKT US'!$B$63:$AA$113,(M$59+1),FALSE)/VLOOKUP($A81,'Fuel economy adjusted factor'!$A$2:$F$52,4,FALSE)*INDEX('Year data'!$B$111:$AC$161,MATCH($A81,'Year data'!$A$111:$A$161,0),MATCH('TCO Inputs'!$AZ$12,'Year data'!$B$110:$AC$110,0))/(1+$AZ$41)^M$59</f>
        <v>1127.5142502272472</v>
      </c>
      <c r="N81" s="113">
        <f>VLOOKUP($A81,'VKT US'!$B$63:$AA$113,(N$59+1),FALSE)/VLOOKUP($A81,'Fuel economy adjusted factor'!$A$2:$F$52,4,FALSE)*INDEX('Year data'!$B$111:$AC$161,MATCH($A81,'Year data'!$A$111:$A$161,0),MATCH('TCO Inputs'!$AZ$12,'Year data'!$B$110:$AC$110,0))/(1+$AZ$41)^N$59</f>
        <v>1085.0317482536907</v>
      </c>
      <c r="O81" s="113">
        <f>VLOOKUP($A81,'VKT US'!$B$63:$AA$113,(O$59+1),FALSE)/VLOOKUP($A81,'Fuel economy adjusted factor'!$A$2:$F$52,4,FALSE)*INDEX('Year data'!$B$111:$AC$161,MATCH($A81,'Year data'!$A$111:$A$161,0),MATCH('TCO Inputs'!$AZ$12,'Year data'!$B$110:$AC$110,0))/(1+$AZ$41)^O$59</f>
        <v>1044.9295548971925</v>
      </c>
      <c r="P81" s="113">
        <f>VLOOKUP($A81,'VKT US'!$B$63:$AA$113,(P$59+1),FALSE)/VLOOKUP($A81,'Fuel economy adjusted factor'!$A$2:$F$52,4,FALSE)*INDEX('Year data'!$B$111:$AC$161,MATCH($A81,'Year data'!$A$111:$A$161,0),MATCH('TCO Inputs'!$AZ$12,'Year data'!$B$110:$AC$110,0))/(1+$AZ$41)^P$59</f>
        <v>1007.0309497561905</v>
      </c>
      <c r="Q81" s="113">
        <f>VLOOKUP($A81,'VKT US'!$B$63:$AA$113,(Q$59+1),FALSE)/VLOOKUP($A81,'Fuel economy adjusted factor'!$A$2:$F$52,4,FALSE)*INDEX('Year data'!$B$111:$AC$161,MATCH($A81,'Year data'!$A$111:$A$161,0),MATCH('TCO Inputs'!$AZ$12,'Year data'!$B$110:$AC$110,0))/(1+$AZ$41)^Q$59</f>
        <v>971.48625838253815</v>
      </c>
      <c r="R81" s="113">
        <f>VLOOKUP($A81,'VKT US'!$B$63:$AA$113,(R$59+1),FALSE)/VLOOKUP($A81,'Fuel economy adjusted factor'!$A$2:$F$52,4,FALSE)*INDEX('Year data'!$B$111:$AC$161,MATCH($A81,'Year data'!$A$111:$A$161,0),MATCH('TCO Inputs'!$AZ$12,'Year data'!$B$110:$AC$110,0))/(1+$AZ$41)^R$59</f>
        <v>937.90937707988041</v>
      </c>
      <c r="S81" s="113">
        <f>VLOOKUP($A81,'VKT US'!$B$63:$AA$113,(S$59+1),FALSE)/VLOOKUP($A81,'Fuel economy adjusted factor'!$A$2:$F$52,4,FALSE)*INDEX('Year data'!$B$111:$AC$161,MATCH($A81,'Year data'!$A$111:$A$161,0),MATCH('TCO Inputs'!$AZ$12,'Year data'!$B$110:$AC$110,0))/(1+$AZ$41)^S$59</f>
        <v>906.55647643551401</v>
      </c>
      <c r="T81" s="113">
        <f>VLOOKUP($A81,'VKT US'!$B$63:$AA$113,(T$59+1),FALSE)/VLOOKUP($A81,'Fuel economy adjusted factor'!$A$2:$F$52,4,FALSE)*INDEX('Year data'!$B$111:$AC$161,MATCH($A81,'Year data'!$A$111:$A$161,0),MATCH('TCO Inputs'!$AZ$12,'Year data'!$B$110:$AC$110,0))/(1+$AZ$41)^T$59</f>
        <v>877.05183841783776</v>
      </c>
      <c r="U81" s="113">
        <f>VLOOKUP($A81,'VKT US'!$B$63:$AA$113,(U$59+1),FALSE)/VLOOKUP($A81,'Fuel economy adjusted factor'!$A$2:$F$52,4,FALSE)*INDEX('Year data'!$B$111:$AC$161,MATCH($A81,'Year data'!$A$111:$A$161,0),MATCH('TCO Inputs'!$AZ$12,'Year data'!$B$110:$AC$110,0))/(1+$AZ$41)^U$59</f>
        <v>849.64685781646438</v>
      </c>
      <c r="V81" s="110" cm="1">
        <f t="array" ref="V81">SUMPRODUCT(INDEX(B81:U81,,_xlfn.SEQUENCE($AZ$13)))</f>
        <v>19201.145410626566</v>
      </c>
      <c r="AY81" s="73" t="s">
        <v>383</v>
      </c>
      <c r="AZ81" s="35">
        <v>1</v>
      </c>
    </row>
    <row r="82" spans="1:52" hidden="1" outlineLevel="1" x14ac:dyDescent="0.25">
      <c r="A82" s="102" t="s">
        <v>205</v>
      </c>
      <c r="B82" s="113">
        <f>VLOOKUP($A82,'VKT US'!$B$63:$AA$113,(B$59+1),FALSE)/VLOOKUP($A82,'Fuel economy adjusted factor'!$A$2:$F$52,4,FALSE)*INDEX('Year data'!$B$111:$AC$161,MATCH($A82,'Year data'!$A$111:$A$161,0),MATCH('TCO Inputs'!$AZ$12,'Year data'!$B$110:$AC$110,0))/(1+$AZ$41)^B$59</f>
        <v>2244.1351049698656</v>
      </c>
      <c r="C82" s="113">
        <f>VLOOKUP($A82,'VKT US'!$B$63:$AA$113,(C$59+1),FALSE)/VLOOKUP($A82,'Fuel economy adjusted factor'!$A$2:$F$52,4,FALSE)*INDEX('Year data'!$B$111:$AC$161,MATCH($A82,'Year data'!$A$111:$A$161,0),MATCH('TCO Inputs'!$AZ$12,'Year data'!$B$110:$AC$110,0))/(1+$AZ$41)^C$59</f>
        <v>2151.5689727026038</v>
      </c>
      <c r="D82" s="113">
        <f>VLOOKUP($A82,'VKT US'!$B$63:$AA$113,(D$59+1),FALSE)/VLOOKUP($A82,'Fuel economy adjusted factor'!$A$2:$F$52,4,FALSE)*INDEX('Year data'!$B$111:$AC$161,MATCH($A82,'Year data'!$A$111:$A$161,0),MATCH('TCO Inputs'!$AZ$12,'Year data'!$B$110:$AC$110,0))/(1+$AZ$41)^D$59</f>
        <v>2062.939000815707</v>
      </c>
      <c r="E82" s="113">
        <f>VLOOKUP($A82,'VKT US'!$B$63:$AA$113,(E$59+1),FALSE)/VLOOKUP($A82,'Fuel economy adjusted factor'!$A$2:$F$52,4,FALSE)*INDEX('Year data'!$B$111:$AC$161,MATCH($A82,'Year data'!$A$111:$A$161,0),MATCH('TCO Inputs'!$AZ$12,'Year data'!$B$110:$AC$110,0))/(1+$AZ$41)^E$59</f>
        <v>1978.2967850500374</v>
      </c>
      <c r="F82" s="113">
        <f>VLOOKUP($A82,'VKT US'!$B$63:$AA$113,(F$59+1),FALSE)/VLOOKUP($A82,'Fuel economy adjusted factor'!$A$2:$F$52,4,FALSE)*INDEX('Year data'!$B$111:$AC$161,MATCH($A82,'Year data'!$A$111:$A$161,0),MATCH('TCO Inputs'!$AZ$12,'Year data'!$B$110:$AC$110,0))/(1+$AZ$41)^F$59</f>
        <v>1897.3798073212054</v>
      </c>
      <c r="G82" s="113">
        <f>VLOOKUP($A82,'VKT US'!$B$63:$AA$113,(G$59+1),FALSE)/VLOOKUP($A82,'Fuel economy adjusted factor'!$A$2:$F$52,4,FALSE)*INDEX('Year data'!$B$111:$AC$161,MATCH($A82,'Year data'!$A$111:$A$161,0),MATCH('TCO Inputs'!$AZ$12,'Year data'!$B$110:$AC$110,0))/(1+$AZ$41)^G$59</f>
        <v>1820.3930690650664</v>
      </c>
      <c r="H82" s="113">
        <f>VLOOKUP($A82,'VKT US'!$B$63:$AA$113,(H$59+1),FALSE)/VLOOKUP($A82,'Fuel economy adjusted factor'!$A$2:$F$52,4,FALSE)*INDEX('Year data'!$B$111:$AC$161,MATCH($A82,'Year data'!$A$111:$A$161,0),MATCH('TCO Inputs'!$AZ$12,'Year data'!$B$110:$AC$110,0))/(1+$AZ$41)^H$59</f>
        <v>1746.7751388396339</v>
      </c>
      <c r="I82" s="113">
        <f>VLOOKUP($A82,'VKT US'!$B$63:$AA$113,(I$59+1),FALSE)/VLOOKUP($A82,'Fuel economy adjusted factor'!$A$2:$F$52,4,FALSE)*INDEX('Year data'!$B$111:$AC$161,MATCH($A82,'Year data'!$A$111:$A$161,0),MATCH('TCO Inputs'!$AZ$12,'Year data'!$B$110:$AC$110,0))/(1+$AZ$41)^I$59</f>
        <v>1676.7335478902387</v>
      </c>
      <c r="J82" s="113">
        <f>VLOOKUP($A82,'VKT US'!$B$63:$AA$113,(J$59+1),FALSE)/VLOOKUP($A82,'Fuel economy adjusted factor'!$A$2:$F$52,4,FALSE)*INDEX('Year data'!$B$111:$AC$161,MATCH($A82,'Year data'!$A$111:$A$161,0),MATCH('TCO Inputs'!$AZ$12,'Year data'!$B$110:$AC$110,0))/(1+$AZ$41)^J$59</f>
        <v>1610.1690927984152</v>
      </c>
      <c r="K82" s="113">
        <f>VLOOKUP($A82,'VKT US'!$B$63:$AA$113,(K$59+1),FALSE)/VLOOKUP($A82,'Fuel economy adjusted factor'!$A$2:$F$52,4,FALSE)*INDEX('Year data'!$B$111:$AC$161,MATCH($A82,'Year data'!$A$111:$A$161,0),MATCH('TCO Inputs'!$AZ$12,'Year data'!$B$110:$AC$110,0))/(1+$AZ$41)^K$59</f>
        <v>1546.9847133049784</v>
      </c>
      <c r="L82" s="113">
        <f>VLOOKUP($A82,'VKT US'!$B$63:$AA$113,(L$59+1),FALSE)/VLOOKUP($A82,'Fuel economy adjusted factor'!$A$2:$F$52,4,FALSE)*INDEX('Year data'!$B$111:$AC$161,MATCH($A82,'Year data'!$A$111:$A$161,0),MATCH('TCO Inputs'!$AZ$12,'Year data'!$B$110:$AC$110,0))/(1+$AZ$41)^L$59</f>
        <v>1486.9416610575065</v>
      </c>
      <c r="M82" s="113">
        <f>VLOOKUP($A82,'VKT US'!$B$63:$AA$113,(M$59+1),FALSE)/VLOOKUP($A82,'Fuel economy adjusted factor'!$A$2:$F$52,4,FALSE)*INDEX('Year data'!$B$111:$AC$161,MATCH($A82,'Year data'!$A$111:$A$161,0),MATCH('TCO Inputs'!$AZ$12,'Year data'!$B$110:$AC$110,0))/(1+$AZ$41)^M$59</f>
        <v>1430.0942427017176</v>
      </c>
      <c r="N82" s="113">
        <f>VLOOKUP($A82,'VKT US'!$B$63:$AA$113,(N$59+1),FALSE)/VLOOKUP($A82,'Fuel economy adjusted factor'!$A$2:$F$52,4,FALSE)*INDEX('Year data'!$B$111:$AC$161,MATCH($A82,'Year data'!$A$111:$A$161,0),MATCH('TCO Inputs'!$AZ$12,'Year data'!$B$110:$AC$110,0))/(1+$AZ$41)^N$59</f>
        <v>1376.2111263901477</v>
      </c>
      <c r="O82" s="113">
        <f>VLOOKUP($A82,'VKT US'!$B$63:$AA$113,(O$59+1),FALSE)/VLOOKUP($A82,'Fuel economy adjusted factor'!$A$2:$F$52,4,FALSE)*INDEX('Year data'!$B$111:$AC$161,MATCH($A82,'Year data'!$A$111:$A$161,0),MATCH('TCO Inputs'!$AZ$12,'Year data'!$B$110:$AC$110,0))/(1+$AZ$41)^O$59</f>
        <v>1325.3470988824861</v>
      </c>
      <c r="P82" s="113">
        <f>VLOOKUP($A82,'VKT US'!$B$63:$AA$113,(P$59+1),FALSE)/VLOOKUP($A82,'Fuel economy adjusted factor'!$A$2:$F$52,4,FALSE)*INDEX('Year data'!$B$111:$AC$161,MATCH($A82,'Year data'!$A$111:$A$161,0),MATCH('TCO Inputs'!$AZ$12,'Year data'!$B$110:$AC$110,0))/(1+$AZ$41)^P$59</f>
        <v>1277.2780150481585</v>
      </c>
      <c r="Q82" s="113">
        <f>VLOOKUP($A82,'VKT US'!$B$63:$AA$113,(Q$59+1),FALSE)/VLOOKUP($A82,'Fuel economy adjusted factor'!$A$2:$F$52,4,FALSE)*INDEX('Year data'!$B$111:$AC$161,MATCH($A82,'Year data'!$A$111:$A$161,0),MATCH('TCO Inputs'!$AZ$12,'Year data'!$B$110:$AC$110,0))/(1+$AZ$41)^Q$59</f>
        <v>1232.1945418398823</v>
      </c>
      <c r="R82" s="113">
        <f>VLOOKUP($A82,'VKT US'!$B$63:$AA$113,(R$59+1),FALSE)/VLOOKUP($A82,'Fuel economy adjusted factor'!$A$2:$F$52,4,FALSE)*INDEX('Year data'!$B$111:$AC$161,MATCH($A82,'Year data'!$A$111:$A$161,0),MATCH('TCO Inputs'!$AZ$12,'Year data'!$B$110:$AC$110,0))/(1+$AZ$41)^R$59</f>
        <v>1189.6069606814783</v>
      </c>
      <c r="S82" s="113">
        <f>VLOOKUP($A82,'VKT US'!$B$63:$AA$113,(S$59+1),FALSE)/VLOOKUP($A82,'Fuel economy adjusted factor'!$A$2:$F$52,4,FALSE)*INDEX('Year data'!$B$111:$AC$161,MATCH($A82,'Year data'!$A$111:$A$161,0),MATCH('TCO Inputs'!$AZ$12,'Year data'!$B$110:$AC$110,0))/(1+$AZ$41)^S$59</f>
        <v>1149.8401881600043</v>
      </c>
      <c r="T82" s="113">
        <f>VLOOKUP($A82,'VKT US'!$B$63:$AA$113,(T$59+1),FALSE)/VLOOKUP($A82,'Fuel economy adjusted factor'!$A$2:$F$52,4,FALSE)*INDEX('Year data'!$B$111:$AC$161,MATCH($A82,'Year data'!$A$111:$A$161,0),MATCH('TCO Inputs'!$AZ$12,'Year data'!$B$110:$AC$110,0))/(1+$AZ$41)^T$59</f>
        <v>1112.417678463499</v>
      </c>
      <c r="U82" s="113">
        <f>VLOOKUP($A82,'VKT US'!$B$63:$AA$113,(U$59+1),FALSE)/VLOOKUP($A82,'Fuel economy adjusted factor'!$A$2:$F$52,4,FALSE)*INDEX('Year data'!$B$111:$AC$161,MATCH($A82,'Year data'!$A$111:$A$161,0),MATCH('TCO Inputs'!$AZ$12,'Year data'!$B$110:$AC$110,0))/(1+$AZ$41)^U$59</f>
        <v>1077.6582907471334</v>
      </c>
      <c r="V82" s="110" cm="1">
        <f t="array" ref="V82">SUMPRODUCT(INDEX(B82:U82,,_xlfn.SEQUENCE($AZ$13)))</f>
        <v>24353.969361789608</v>
      </c>
      <c r="AY82" s="73" t="s">
        <v>379</v>
      </c>
      <c r="AZ82" s="46">
        <v>0.3</v>
      </c>
    </row>
    <row r="83" spans="1:52" hidden="1" outlineLevel="1" x14ac:dyDescent="0.25">
      <c r="A83" s="102" t="s">
        <v>207</v>
      </c>
      <c r="B83" s="113">
        <f>VLOOKUP($A83,'VKT US'!$B$63:$AA$113,(B$59+1),FALSE)/VLOOKUP($A83,'Fuel economy adjusted factor'!$A$2:$F$52,4,FALSE)*INDEX('Year data'!$B$111:$AC$161,MATCH($A83,'Year data'!$A$111:$A$161,0),MATCH('TCO Inputs'!$AZ$12,'Year data'!$B$110:$AC$110,0))/(1+$AZ$41)^B$59</f>
        <v>2189.4558038762689</v>
      </c>
      <c r="C83" s="113">
        <f>VLOOKUP($A83,'VKT US'!$B$63:$AA$113,(C$59+1),FALSE)/VLOOKUP($A83,'Fuel economy adjusted factor'!$A$2:$F$52,4,FALSE)*INDEX('Year data'!$B$111:$AC$161,MATCH($A83,'Year data'!$A$111:$A$161,0),MATCH('TCO Inputs'!$AZ$12,'Year data'!$B$110:$AC$110,0))/(1+$AZ$41)^C$59</f>
        <v>2099.1450845768372</v>
      </c>
      <c r="D83" s="113">
        <f>VLOOKUP($A83,'VKT US'!$B$63:$AA$113,(D$59+1),FALSE)/VLOOKUP($A83,'Fuel economy adjusted factor'!$A$2:$F$52,4,FALSE)*INDEX('Year data'!$B$111:$AC$161,MATCH($A83,'Year data'!$A$111:$A$161,0),MATCH('TCO Inputs'!$AZ$12,'Year data'!$B$110:$AC$110,0))/(1+$AZ$41)^D$59</f>
        <v>2012.6746194451214</v>
      </c>
      <c r="E83" s="113">
        <f>VLOOKUP($A83,'VKT US'!$B$63:$AA$113,(E$59+1),FALSE)/VLOOKUP($A83,'Fuel economy adjusted factor'!$A$2:$F$52,4,FALSE)*INDEX('Year data'!$B$111:$AC$161,MATCH($A83,'Year data'!$A$111:$A$161,0),MATCH('TCO Inputs'!$AZ$12,'Year data'!$B$110:$AC$110,0))/(1+$AZ$41)^E$59</f>
        <v>1930.0947470699325</v>
      </c>
      <c r="F83" s="113">
        <f>VLOOKUP($A83,'VKT US'!$B$63:$AA$113,(F$59+1),FALSE)/VLOOKUP($A83,'Fuel economy adjusted factor'!$A$2:$F$52,4,FALSE)*INDEX('Year data'!$B$111:$AC$161,MATCH($A83,'Year data'!$A$111:$A$161,0),MATCH('TCO Inputs'!$AZ$12,'Year data'!$B$110:$AC$110,0))/(1+$AZ$41)^F$59</f>
        <v>1851.1493457310507</v>
      </c>
      <c r="G83" s="113">
        <f>VLOOKUP($A83,'VKT US'!$B$63:$AA$113,(G$59+1),FALSE)/VLOOKUP($A83,'Fuel economy adjusted factor'!$A$2:$F$52,4,FALSE)*INDEX('Year data'!$B$111:$AC$161,MATCH($A83,'Year data'!$A$111:$A$161,0),MATCH('TCO Inputs'!$AZ$12,'Year data'!$B$110:$AC$110,0))/(1+$AZ$41)^G$59</f>
        <v>1776.0384219176337</v>
      </c>
      <c r="H83" s="113">
        <f>VLOOKUP($A83,'VKT US'!$B$63:$AA$113,(H$59+1),FALSE)/VLOOKUP($A83,'Fuel economy adjusted factor'!$A$2:$F$52,4,FALSE)*INDEX('Year data'!$B$111:$AC$161,MATCH($A83,'Year data'!$A$111:$A$161,0),MATCH('TCO Inputs'!$AZ$12,'Year data'!$B$110:$AC$110,0))/(1+$AZ$41)^H$59</f>
        <v>1704.2142237022613</v>
      </c>
      <c r="I83" s="113">
        <f>VLOOKUP($A83,'VKT US'!$B$63:$AA$113,(I$59+1),FALSE)/VLOOKUP($A83,'Fuel economy adjusted factor'!$A$2:$F$52,4,FALSE)*INDEX('Year data'!$B$111:$AC$161,MATCH($A83,'Year data'!$A$111:$A$161,0),MATCH('TCO Inputs'!$AZ$12,'Year data'!$B$110:$AC$110,0))/(1+$AZ$41)^I$59</f>
        <v>1635.8792257436864</v>
      </c>
      <c r="J83" s="113">
        <f>VLOOKUP($A83,'VKT US'!$B$63:$AA$113,(J$59+1),FALSE)/VLOOKUP($A83,'Fuel economy adjusted factor'!$A$2:$F$52,4,FALSE)*INDEX('Year data'!$B$111:$AC$161,MATCH($A83,'Year data'!$A$111:$A$161,0),MATCH('TCO Inputs'!$AZ$12,'Year data'!$B$110:$AC$110,0))/(1+$AZ$41)^J$59</f>
        <v>1570.9366417566989</v>
      </c>
      <c r="K83" s="113">
        <f>VLOOKUP($A83,'VKT US'!$B$63:$AA$113,(K$59+1),FALSE)/VLOOKUP($A83,'Fuel economy adjusted factor'!$A$2:$F$52,4,FALSE)*INDEX('Year data'!$B$111:$AC$161,MATCH($A83,'Year data'!$A$111:$A$161,0),MATCH('TCO Inputs'!$AZ$12,'Year data'!$B$110:$AC$110,0))/(1+$AZ$41)^K$59</f>
        <v>1509.2917763963824</v>
      </c>
      <c r="L83" s="113">
        <f>VLOOKUP($A83,'VKT US'!$B$63:$AA$113,(L$59+1),FALSE)/VLOOKUP($A83,'Fuel economy adjusted factor'!$A$2:$F$52,4,FALSE)*INDEX('Year data'!$B$111:$AC$161,MATCH($A83,'Year data'!$A$111:$A$161,0),MATCH('TCO Inputs'!$AZ$12,'Year data'!$B$110:$AC$110,0))/(1+$AZ$41)^L$59</f>
        <v>1450.7116985149137</v>
      </c>
      <c r="M83" s="113">
        <f>VLOOKUP($A83,'VKT US'!$B$63:$AA$113,(M$59+1),FALSE)/VLOOKUP($A83,'Fuel economy adjusted factor'!$A$2:$F$52,4,FALSE)*INDEX('Year data'!$B$111:$AC$161,MATCH($A83,'Year data'!$A$111:$A$161,0),MATCH('TCO Inputs'!$AZ$12,'Year data'!$B$110:$AC$110,0))/(1+$AZ$41)^M$59</f>
        <v>1395.2493915536149</v>
      </c>
      <c r="N83" s="113">
        <f>VLOOKUP($A83,'VKT US'!$B$63:$AA$113,(N$59+1),FALSE)/VLOOKUP($A83,'Fuel economy adjusted factor'!$A$2:$F$52,4,FALSE)*INDEX('Year data'!$B$111:$AC$161,MATCH($A83,'Year data'!$A$111:$A$161,0),MATCH('TCO Inputs'!$AZ$12,'Year data'!$B$110:$AC$110,0))/(1+$AZ$41)^N$59</f>
        <v>1342.6791601633392</v>
      </c>
      <c r="O83" s="113">
        <f>VLOOKUP($A83,'VKT US'!$B$63:$AA$113,(O$59+1),FALSE)/VLOOKUP($A83,'Fuel economy adjusted factor'!$A$2:$F$52,4,FALSE)*INDEX('Year data'!$B$111:$AC$161,MATCH($A83,'Year data'!$A$111:$A$161,0),MATCH('TCO Inputs'!$AZ$12,'Year data'!$B$110:$AC$110,0))/(1+$AZ$41)^O$59</f>
        <v>1293.0544562012008</v>
      </c>
      <c r="P83" s="113">
        <f>VLOOKUP($A83,'VKT US'!$B$63:$AA$113,(P$59+1),FALSE)/VLOOKUP($A83,'Fuel economy adjusted factor'!$A$2:$F$52,4,FALSE)*INDEX('Year data'!$B$111:$AC$161,MATCH($A83,'Year data'!$A$111:$A$161,0),MATCH('TCO Inputs'!$AZ$12,'Year data'!$B$110:$AC$110,0))/(1+$AZ$41)^P$59</f>
        <v>1246.1565959275447</v>
      </c>
      <c r="Q83" s="113">
        <f>VLOOKUP($A83,'VKT US'!$B$63:$AA$113,(Q$59+1),FALSE)/VLOOKUP($A83,'Fuel economy adjusted factor'!$A$2:$F$52,4,FALSE)*INDEX('Year data'!$B$111:$AC$161,MATCH($A83,'Year data'!$A$111:$A$161,0),MATCH('TCO Inputs'!$AZ$12,'Year data'!$B$110:$AC$110,0))/(1+$AZ$41)^Q$59</f>
        <v>1202.1716006141339</v>
      </c>
      <c r="R83" s="113">
        <f>VLOOKUP($A83,'VKT US'!$B$63:$AA$113,(R$59+1),FALSE)/VLOOKUP($A83,'Fuel economy adjusted factor'!$A$2:$F$52,4,FALSE)*INDEX('Year data'!$B$111:$AC$161,MATCH($A83,'Year data'!$A$111:$A$161,0),MATCH('TCO Inputs'!$AZ$12,'Year data'!$B$110:$AC$110,0))/(1+$AZ$41)^R$59</f>
        <v>1160.6216838850467</v>
      </c>
      <c r="S83" s="113">
        <f>VLOOKUP($A83,'VKT US'!$B$63:$AA$113,(S$59+1),FALSE)/VLOOKUP($A83,'Fuel economy adjusted factor'!$A$2:$F$52,4,FALSE)*INDEX('Year data'!$B$111:$AC$161,MATCH($A83,'Year data'!$A$111:$A$161,0),MATCH('TCO Inputs'!$AZ$12,'Year data'!$B$110:$AC$110,0))/(1+$AZ$41)^S$59</f>
        <v>1121.8238455972587</v>
      </c>
      <c r="T83" s="113">
        <f>VLOOKUP($A83,'VKT US'!$B$63:$AA$113,(T$59+1),FALSE)/VLOOKUP($A83,'Fuel economy adjusted factor'!$A$2:$F$52,4,FALSE)*INDEX('Year data'!$B$111:$AC$161,MATCH($A83,'Year data'!$A$111:$A$161,0),MATCH('TCO Inputs'!$AZ$12,'Year data'!$B$110:$AC$110,0))/(1+$AZ$41)^T$59</f>
        <v>1085.3131511790946</v>
      </c>
      <c r="U83" s="113">
        <f>VLOOKUP($A83,'VKT US'!$B$63:$AA$113,(U$59+1),FALSE)/VLOOKUP($A83,'Fuel economy adjusted factor'!$A$2:$F$52,4,FALSE)*INDEX('Year data'!$B$111:$AC$161,MATCH($A83,'Year data'!$A$111:$A$161,0),MATCH('TCO Inputs'!$AZ$12,'Year data'!$B$110:$AC$110,0))/(1+$AZ$41)^U$59</f>
        <v>1051.4006906475329</v>
      </c>
      <c r="V83" s="110" cm="1">
        <f t="array" ref="V83">SUMPRODUCT(INDEX(B83:U83,,_xlfn.SEQUENCE($AZ$13)))</f>
        <v>23760.574596648941</v>
      </c>
      <c r="AY83" s="73" t="s">
        <v>380</v>
      </c>
      <c r="AZ83" s="46">
        <v>0.3</v>
      </c>
    </row>
    <row r="84" spans="1:52" hidden="1" outlineLevel="1" x14ac:dyDescent="0.25">
      <c r="A84" s="102" t="s">
        <v>206</v>
      </c>
      <c r="B84" s="113">
        <f>VLOOKUP($A84,'VKT US'!$B$63:$AA$113,(B$59+1),FALSE)/VLOOKUP($A84,'Fuel economy adjusted factor'!$A$2:$F$52,4,FALSE)*INDEX('Year data'!$B$111:$AC$161,MATCH($A84,'Year data'!$A$111:$A$161,0),MATCH('TCO Inputs'!$AZ$12,'Year data'!$B$110:$AC$110,0))/(1+$AZ$41)^B$59</f>
        <v>2244.908616349479</v>
      </c>
      <c r="C84" s="113">
        <f>VLOOKUP($A84,'VKT US'!$B$63:$AA$113,(C$59+1),FALSE)/VLOOKUP($A84,'Fuel economy adjusted factor'!$A$2:$F$52,4,FALSE)*INDEX('Year data'!$B$111:$AC$161,MATCH($A84,'Year data'!$A$111:$A$161,0),MATCH('TCO Inputs'!$AZ$12,'Year data'!$B$110:$AC$110,0))/(1+$AZ$41)^C$59</f>
        <v>2152.3105782684738</v>
      </c>
      <c r="D84" s="113">
        <f>VLOOKUP($A84,'VKT US'!$B$63:$AA$113,(D$59+1),FALSE)/VLOOKUP($A84,'Fuel economy adjusted factor'!$A$2:$F$52,4,FALSE)*INDEX('Year data'!$B$111:$AC$161,MATCH($A84,'Year data'!$A$111:$A$161,0),MATCH('TCO Inputs'!$AZ$12,'Year data'!$B$110:$AC$110,0))/(1+$AZ$41)^D$59</f>
        <v>2063.6500572886648</v>
      </c>
      <c r="E84" s="113">
        <f>VLOOKUP($A84,'VKT US'!$B$63:$AA$113,(E$59+1),FALSE)/VLOOKUP($A84,'Fuel economy adjusted factor'!$A$2:$F$52,4,FALSE)*INDEX('Year data'!$B$111:$AC$161,MATCH($A84,'Year data'!$A$111:$A$161,0),MATCH('TCO Inputs'!$AZ$12,'Year data'!$B$110:$AC$110,0))/(1+$AZ$41)^E$59</f>
        <v>1978.9786669350008</v>
      </c>
      <c r="F84" s="113">
        <f>VLOOKUP($A84,'VKT US'!$B$63:$AA$113,(F$59+1),FALSE)/VLOOKUP($A84,'Fuel economy adjusted factor'!$A$2:$F$52,4,FALSE)*INDEX('Year data'!$B$111:$AC$161,MATCH($A84,'Year data'!$A$111:$A$161,0),MATCH('TCO Inputs'!$AZ$12,'Year data'!$B$110:$AC$110,0))/(1+$AZ$41)^F$59</f>
        <v>1898.0337986380209</v>
      </c>
      <c r="G84" s="113">
        <f>VLOOKUP($A84,'VKT US'!$B$63:$AA$113,(G$59+1),FALSE)/VLOOKUP($A84,'Fuel economy adjusted factor'!$A$2:$F$52,4,FALSE)*INDEX('Year data'!$B$111:$AC$161,MATCH($A84,'Year data'!$A$111:$A$161,0),MATCH('TCO Inputs'!$AZ$12,'Year data'!$B$110:$AC$110,0))/(1+$AZ$41)^G$59</f>
        <v>1821.0205244937406</v>
      </c>
      <c r="H84" s="113">
        <f>VLOOKUP($A84,'VKT US'!$B$63:$AA$113,(H$59+1),FALSE)/VLOOKUP($A84,'Fuel economy adjusted factor'!$A$2:$F$52,4,FALSE)*INDEX('Year data'!$B$111:$AC$161,MATCH($A84,'Year data'!$A$111:$A$161,0),MATCH('TCO Inputs'!$AZ$12,'Year data'!$B$110:$AC$110,0))/(1+$AZ$41)^H$59</f>
        <v>1747.3772195452589</v>
      </c>
      <c r="I84" s="113">
        <f>VLOOKUP($A84,'VKT US'!$B$63:$AA$113,(I$59+1),FALSE)/VLOOKUP($A84,'Fuel economy adjusted factor'!$A$2:$F$52,4,FALSE)*INDEX('Year data'!$B$111:$AC$161,MATCH($A84,'Year data'!$A$111:$A$161,0),MATCH('TCO Inputs'!$AZ$12,'Year data'!$B$110:$AC$110,0))/(1+$AZ$41)^I$59</f>
        <v>1677.3114865700452</v>
      </c>
      <c r="J84" s="113">
        <f>VLOOKUP($A84,'VKT US'!$B$63:$AA$113,(J$59+1),FALSE)/VLOOKUP($A84,'Fuel economy adjusted factor'!$A$2:$F$52,4,FALSE)*INDEX('Year data'!$B$111:$AC$161,MATCH($A84,'Year data'!$A$111:$A$161,0),MATCH('TCO Inputs'!$AZ$12,'Year data'!$B$110:$AC$110,0))/(1+$AZ$41)^J$59</f>
        <v>1610.7240879560702</v>
      </c>
      <c r="K84" s="113">
        <f>VLOOKUP($A84,'VKT US'!$B$63:$AA$113,(K$59+1),FALSE)/VLOOKUP($A84,'Fuel economy adjusted factor'!$A$2:$F$52,4,FALSE)*INDEX('Year data'!$B$111:$AC$161,MATCH($A84,'Year data'!$A$111:$A$161,0),MATCH('TCO Inputs'!$AZ$12,'Year data'!$B$110:$AC$110,0))/(1+$AZ$41)^K$59</f>
        <v>1547.5179299892948</v>
      </c>
      <c r="L84" s="113">
        <f>VLOOKUP($A84,'VKT US'!$B$63:$AA$113,(L$59+1),FALSE)/VLOOKUP($A84,'Fuel economy adjusted factor'!$A$2:$F$52,4,FALSE)*INDEX('Year data'!$B$111:$AC$161,MATCH($A84,'Year data'!$A$111:$A$161,0),MATCH('TCO Inputs'!$AZ$12,'Year data'!$B$110:$AC$110,0))/(1+$AZ$41)^L$59</f>
        <v>1487.4541820252068</v>
      </c>
      <c r="M84" s="113">
        <f>VLOOKUP($A84,'VKT US'!$B$63:$AA$113,(M$59+1),FALSE)/VLOOKUP($A84,'Fuel economy adjusted factor'!$A$2:$F$52,4,FALSE)*INDEX('Year data'!$B$111:$AC$161,MATCH($A84,'Year data'!$A$111:$A$161,0),MATCH('TCO Inputs'!$AZ$12,'Year data'!$B$110:$AC$110,0))/(1+$AZ$41)^M$59</f>
        <v>1430.5871694280097</v>
      </c>
      <c r="N84" s="113">
        <f>VLOOKUP($A84,'VKT US'!$B$63:$AA$113,(N$59+1),FALSE)/VLOOKUP($A84,'Fuel economy adjusted factor'!$A$2:$F$52,4,FALSE)*INDEX('Year data'!$B$111:$AC$161,MATCH($A84,'Year data'!$A$111:$A$161,0),MATCH('TCO Inputs'!$AZ$12,'Year data'!$B$110:$AC$110,0))/(1+$AZ$41)^N$59</f>
        <v>1376.6854806144795</v>
      </c>
      <c r="O84" s="113">
        <f>VLOOKUP($A84,'VKT US'!$B$63:$AA$113,(O$59+1),FALSE)/VLOOKUP($A84,'Fuel economy adjusted factor'!$A$2:$F$52,4,FALSE)*INDEX('Year data'!$B$111:$AC$161,MATCH($A84,'Year data'!$A$111:$A$161,0),MATCH('TCO Inputs'!$AZ$12,'Year data'!$B$110:$AC$110,0))/(1+$AZ$41)^O$59</f>
        <v>1325.8039212282765</v>
      </c>
      <c r="P84" s="113">
        <f>VLOOKUP($A84,'VKT US'!$B$63:$AA$113,(P$59+1),FALSE)/VLOOKUP($A84,'Fuel economy adjusted factor'!$A$2:$F$52,4,FALSE)*INDEX('Year data'!$B$111:$AC$161,MATCH($A84,'Year data'!$A$111:$A$161,0),MATCH('TCO Inputs'!$AZ$12,'Year data'!$B$110:$AC$110,0))/(1+$AZ$41)^P$59</f>
        <v>1277.7182688801947</v>
      </c>
      <c r="Q84" s="113">
        <f>VLOOKUP($A84,'VKT US'!$B$63:$AA$113,(Q$59+1),FALSE)/VLOOKUP($A84,'Fuel economy adjusted factor'!$A$2:$F$52,4,FALSE)*INDEX('Year data'!$B$111:$AC$161,MATCH($A84,'Year data'!$A$111:$A$161,0),MATCH('TCO Inputs'!$AZ$12,'Year data'!$B$110:$AC$110,0))/(1+$AZ$41)^Q$59</f>
        <v>1232.6192562422816</v>
      </c>
      <c r="R84" s="113">
        <f>VLOOKUP($A84,'VKT US'!$B$63:$AA$113,(R$59+1),FALSE)/VLOOKUP($A84,'Fuel economy adjusted factor'!$A$2:$F$52,4,FALSE)*INDEX('Year data'!$B$111:$AC$161,MATCH($A84,'Year data'!$A$111:$A$161,0),MATCH('TCO Inputs'!$AZ$12,'Year data'!$B$110:$AC$110,0))/(1+$AZ$41)^R$59</f>
        <v>1190.0169959415289</v>
      </c>
      <c r="S84" s="113">
        <f>VLOOKUP($A84,'VKT US'!$B$63:$AA$113,(S$59+1),FALSE)/VLOOKUP($A84,'Fuel economy adjusted factor'!$A$2:$F$52,4,FALSE)*INDEX('Year data'!$B$111:$AC$161,MATCH($A84,'Year data'!$A$111:$A$161,0),MATCH('TCO Inputs'!$AZ$12,'Year data'!$B$110:$AC$110,0))/(1+$AZ$41)^S$59</f>
        <v>1150.2365165576614</v>
      </c>
      <c r="T84" s="113">
        <f>VLOOKUP($A84,'VKT US'!$B$63:$AA$113,(T$59+1),FALSE)/VLOOKUP($A84,'Fuel economy adjusted factor'!$A$2:$F$52,4,FALSE)*INDEX('Year data'!$B$111:$AC$161,MATCH($A84,'Year data'!$A$111:$A$161,0),MATCH('TCO Inputs'!$AZ$12,'Year data'!$B$110:$AC$110,0))/(1+$AZ$41)^T$59</f>
        <v>1112.8011080222939</v>
      </c>
      <c r="U84" s="113">
        <f>VLOOKUP($A84,'VKT US'!$B$63:$AA$113,(U$59+1),FALSE)/VLOOKUP($A84,'Fuel economy adjusted factor'!$A$2:$F$52,4,FALSE)*INDEX('Year data'!$B$111:$AC$161,MATCH($A84,'Year data'!$A$111:$A$161,0),MATCH('TCO Inputs'!$AZ$12,'Year data'!$B$110:$AC$110,0))/(1+$AZ$41)^U$59</f>
        <v>1078.0297393953815</v>
      </c>
      <c r="V84" s="110" cm="1">
        <f t="array" ref="V84">SUMPRODUCT(INDEX(B84:U84,,_xlfn.SEQUENCE($AZ$13)))</f>
        <v>24362.363719330016</v>
      </c>
      <c r="AY84" s="73" t="s">
        <v>590</v>
      </c>
      <c r="AZ84" s="46">
        <v>0.85</v>
      </c>
    </row>
    <row r="85" spans="1:52" hidden="1" outlineLevel="1" x14ac:dyDescent="0.25">
      <c r="A85" s="102" t="s">
        <v>208</v>
      </c>
      <c r="B85" s="113">
        <f>VLOOKUP($A85,'VKT US'!$B$63:$AA$113,(B$59+1),FALSE)/VLOOKUP($A85,'Fuel economy adjusted factor'!$A$2:$F$52,4,FALSE)*INDEX('Year data'!$B$111:$AC$161,MATCH($A85,'Year data'!$A$111:$A$161,0),MATCH('TCO Inputs'!$AZ$12,'Year data'!$B$110:$AC$110,0))/(1+$AZ$41)^B$59</f>
        <v>2114.2536892374046</v>
      </c>
      <c r="C85" s="113">
        <f>VLOOKUP($A85,'VKT US'!$B$63:$AA$113,(C$59+1),FALSE)/VLOOKUP($A85,'Fuel economy adjusted factor'!$A$2:$F$52,4,FALSE)*INDEX('Year data'!$B$111:$AC$161,MATCH($A85,'Year data'!$A$111:$A$161,0),MATCH('TCO Inputs'!$AZ$12,'Year data'!$B$110:$AC$110,0))/(1+$AZ$41)^C$59</f>
        <v>2027.0449083529204</v>
      </c>
      <c r="D85" s="113">
        <f>VLOOKUP($A85,'VKT US'!$B$63:$AA$113,(D$59+1),FALSE)/VLOOKUP($A85,'Fuel economy adjusted factor'!$A$2:$F$52,4,FALSE)*INDEX('Year data'!$B$111:$AC$161,MATCH($A85,'Year data'!$A$111:$A$161,0),MATCH('TCO Inputs'!$AZ$12,'Year data'!$B$110:$AC$110,0))/(1+$AZ$41)^D$59</f>
        <v>1943.544478889519</v>
      </c>
      <c r="E85" s="113">
        <f>VLOOKUP($A85,'VKT US'!$B$63:$AA$113,(E$59+1),FALSE)/VLOOKUP($A85,'Fuel economy adjusted factor'!$A$2:$F$52,4,FALSE)*INDEX('Year data'!$B$111:$AC$161,MATCH($A85,'Year data'!$A$111:$A$161,0),MATCH('TCO Inputs'!$AZ$12,'Year data'!$B$110:$AC$110,0))/(1+$AZ$41)^E$59</f>
        <v>1863.8010104363582</v>
      </c>
      <c r="F85" s="113">
        <f>VLOOKUP($A85,'VKT US'!$B$63:$AA$113,(F$59+1),FALSE)/VLOOKUP($A85,'Fuel economy adjusted factor'!$A$2:$F$52,4,FALSE)*INDEX('Year data'!$B$111:$AC$161,MATCH($A85,'Year data'!$A$111:$A$161,0),MATCH('TCO Inputs'!$AZ$12,'Year data'!$B$110:$AC$110,0))/(1+$AZ$41)^F$59</f>
        <v>1787.5671783884336</v>
      </c>
      <c r="G85" s="113">
        <f>VLOOKUP($A85,'VKT US'!$B$63:$AA$113,(G$59+1),FALSE)/VLOOKUP($A85,'Fuel economy adjusted factor'!$A$2:$F$52,4,FALSE)*INDEX('Year data'!$B$111:$AC$161,MATCH($A85,'Year data'!$A$111:$A$161,0),MATCH('TCO Inputs'!$AZ$12,'Year data'!$B$110:$AC$110,0))/(1+$AZ$41)^G$59</f>
        <v>1715.0361195319829</v>
      </c>
      <c r="H85" s="113">
        <f>VLOOKUP($A85,'VKT US'!$B$63:$AA$113,(H$59+1),FALSE)/VLOOKUP($A85,'Fuel economy adjusted factor'!$A$2:$F$52,4,FALSE)*INDEX('Year data'!$B$111:$AC$161,MATCH($A85,'Year data'!$A$111:$A$161,0),MATCH('TCO Inputs'!$AZ$12,'Year data'!$B$110:$AC$110,0))/(1+$AZ$41)^H$59</f>
        <v>1645.6788957942292</v>
      </c>
      <c r="I85" s="113">
        <f>VLOOKUP($A85,'VKT US'!$B$63:$AA$113,(I$59+1),FALSE)/VLOOKUP($A85,'Fuel economy adjusted factor'!$A$2:$F$52,4,FALSE)*INDEX('Year data'!$B$111:$AC$161,MATCH($A85,'Year data'!$A$111:$A$161,0),MATCH('TCO Inputs'!$AZ$12,'Year data'!$B$110:$AC$110,0))/(1+$AZ$41)^I$59</f>
        <v>1579.6910273557983</v>
      </c>
      <c r="J85" s="113">
        <f>VLOOKUP($A85,'VKT US'!$B$63:$AA$113,(J$59+1),FALSE)/VLOOKUP($A85,'Fuel economy adjusted factor'!$A$2:$F$52,4,FALSE)*INDEX('Year data'!$B$111:$AC$161,MATCH($A85,'Year data'!$A$111:$A$161,0),MATCH('TCO Inputs'!$AZ$12,'Year data'!$B$110:$AC$110,0))/(1+$AZ$41)^J$59</f>
        <v>1516.9790522887467</v>
      </c>
      <c r="K85" s="113">
        <f>VLOOKUP($A85,'VKT US'!$B$63:$AA$113,(K$59+1),FALSE)/VLOOKUP($A85,'Fuel economy adjusted factor'!$A$2:$F$52,4,FALSE)*INDEX('Year data'!$B$111:$AC$161,MATCH($A85,'Year data'!$A$111:$A$161,0),MATCH('TCO Inputs'!$AZ$12,'Year data'!$B$110:$AC$110,0))/(1+$AZ$41)^K$59</f>
        <v>1457.4515277870662</v>
      </c>
      <c r="L85" s="113">
        <f>VLOOKUP($A85,'VKT US'!$B$63:$AA$113,(L$59+1),FALSE)/VLOOKUP($A85,'Fuel economy adjusted factor'!$A$2:$F$52,4,FALSE)*INDEX('Year data'!$B$111:$AC$161,MATCH($A85,'Year data'!$A$111:$A$161,0),MATCH('TCO Inputs'!$AZ$12,'Year data'!$B$110:$AC$110,0))/(1+$AZ$41)^L$59</f>
        <v>1400.8835232822769</v>
      </c>
      <c r="M85" s="113">
        <f>VLOOKUP($A85,'VKT US'!$B$63:$AA$113,(M$59+1),FALSE)/VLOOKUP($A85,'Fuel economy adjusted factor'!$A$2:$F$52,4,FALSE)*INDEX('Year data'!$B$111:$AC$161,MATCH($A85,'Year data'!$A$111:$A$161,0),MATCH('TCO Inputs'!$AZ$12,'Year data'!$B$110:$AC$110,0))/(1+$AZ$41)^M$59</f>
        <v>1347.3262023722407</v>
      </c>
      <c r="N85" s="113">
        <f>VLOOKUP($A85,'VKT US'!$B$63:$AA$113,(N$59+1),FALSE)/VLOOKUP($A85,'Fuel economy adjusted factor'!$A$2:$F$52,4,FALSE)*INDEX('Year data'!$B$111:$AC$161,MATCH($A85,'Year data'!$A$111:$A$161,0),MATCH('TCO Inputs'!$AZ$12,'Year data'!$B$110:$AC$110,0))/(1+$AZ$41)^N$59</f>
        <v>1296.561621756282</v>
      </c>
      <c r="O85" s="113">
        <f>VLOOKUP($A85,'VKT US'!$B$63:$AA$113,(O$59+1),FALSE)/VLOOKUP($A85,'Fuel economy adjusted factor'!$A$2:$F$52,4,FALSE)*INDEX('Year data'!$B$111:$AC$161,MATCH($A85,'Year data'!$A$111:$A$161,0),MATCH('TCO Inputs'!$AZ$12,'Year data'!$B$110:$AC$110,0))/(1+$AZ$41)^O$59</f>
        <v>1248.6413973591905</v>
      </c>
      <c r="P85" s="113">
        <f>VLOOKUP($A85,'VKT US'!$B$63:$AA$113,(P$59+1),FALSE)/VLOOKUP($A85,'Fuel economy adjusted factor'!$A$2:$F$52,4,FALSE)*INDEX('Year data'!$B$111:$AC$161,MATCH($A85,'Year data'!$A$111:$A$161,0),MATCH('TCO Inputs'!$AZ$12,'Year data'!$B$110:$AC$110,0))/(1+$AZ$41)^P$59</f>
        <v>1203.3543566592261</v>
      </c>
      <c r="Q85" s="113">
        <f>VLOOKUP($A85,'VKT US'!$B$63:$AA$113,(Q$59+1),FALSE)/VLOOKUP($A85,'Fuel economy adjusted factor'!$A$2:$F$52,4,FALSE)*INDEX('Year data'!$B$111:$AC$161,MATCH($A85,'Year data'!$A$111:$A$161,0),MATCH('TCO Inputs'!$AZ$12,'Year data'!$B$110:$AC$110,0))/(1+$AZ$41)^Q$59</f>
        <v>1160.8801315810915</v>
      </c>
      <c r="R85" s="113">
        <f>VLOOKUP($A85,'VKT US'!$B$63:$AA$113,(R$59+1),FALSE)/VLOOKUP($A85,'Fuel economy adjusted factor'!$A$2:$F$52,4,FALSE)*INDEX('Year data'!$B$111:$AC$161,MATCH($A85,'Year data'!$A$111:$A$161,0),MATCH('TCO Inputs'!$AZ$12,'Year data'!$B$110:$AC$110,0))/(1+$AZ$41)^R$59</f>
        <v>1120.7573464687123</v>
      </c>
      <c r="S85" s="113">
        <f>VLOOKUP($A85,'VKT US'!$B$63:$AA$113,(S$59+1),FALSE)/VLOOKUP($A85,'Fuel economy adjusted factor'!$A$2:$F$52,4,FALSE)*INDEX('Year data'!$B$111:$AC$161,MATCH($A85,'Year data'!$A$111:$A$161,0),MATCH('TCO Inputs'!$AZ$12,'Year data'!$B$110:$AC$110,0))/(1+$AZ$41)^S$59</f>
        <v>1083.2921130581237</v>
      </c>
      <c r="T85" s="113">
        <f>VLOOKUP($A85,'VKT US'!$B$63:$AA$113,(T$59+1),FALSE)/VLOOKUP($A85,'Fuel economy adjusted factor'!$A$2:$F$52,4,FALSE)*INDEX('Year data'!$B$111:$AC$161,MATCH($A85,'Year data'!$A$111:$A$161,0),MATCH('TCO Inputs'!$AZ$12,'Year data'!$B$110:$AC$110,0))/(1+$AZ$41)^T$59</f>
        <v>1048.0354660714347</v>
      </c>
      <c r="U85" s="113">
        <f>VLOOKUP($A85,'VKT US'!$B$63:$AA$113,(U$59+1),FALSE)/VLOOKUP($A85,'Fuel economy adjusted factor'!$A$2:$F$52,4,FALSE)*INDEX('Year data'!$B$111:$AC$161,MATCH($A85,'Year data'!$A$111:$A$161,0),MATCH('TCO Inputs'!$AZ$12,'Year data'!$B$110:$AC$110,0))/(1+$AZ$41)^U$59</f>
        <v>1015.2878103923235</v>
      </c>
      <c r="V85" s="110" cm="1">
        <f t="array" ref="V85">SUMPRODUCT(INDEX(B85:U85,,_xlfn.SEQUENCE($AZ$13)))</f>
        <v>22944.460632832452</v>
      </c>
    </row>
    <row r="86" spans="1:52" collapsed="1" x14ac:dyDescent="0.25">
      <c r="A86" s="102" t="s">
        <v>211</v>
      </c>
      <c r="B86" s="113">
        <f>VLOOKUP($A86,'VKT US'!$B$63:$AA$113,(B$59+1),FALSE)/VLOOKUP($A86,'Fuel economy adjusted factor'!$A$2:$F$52,4,FALSE)*INDEX('Year data'!$B$111:$AC$161,MATCH($A86,'Year data'!$A$111:$A$161,0),MATCH('TCO Inputs'!$AZ$12,'Year data'!$B$110:$AC$110,0))/(1+$AZ$41)^B$59</f>
        <v>1820.3295668442486</v>
      </c>
      <c r="C86" s="113">
        <f>VLOOKUP($A86,'VKT US'!$B$63:$AA$113,(C$59+1),FALSE)/VLOOKUP($A86,'Fuel economy adjusted factor'!$A$2:$F$52,4,FALSE)*INDEX('Year data'!$B$111:$AC$161,MATCH($A86,'Year data'!$A$111:$A$161,0),MATCH('TCO Inputs'!$AZ$12,'Year data'!$B$110:$AC$110,0))/(1+$AZ$41)^C$59</f>
        <v>1745.2445743759483</v>
      </c>
      <c r="D86" s="113">
        <f>VLOOKUP($A86,'VKT US'!$B$63:$AA$113,(D$59+1),FALSE)/VLOOKUP($A86,'Fuel economy adjusted factor'!$A$2:$F$52,4,FALSE)*INDEX('Year data'!$B$111:$AC$161,MATCH($A86,'Year data'!$A$111:$A$161,0),MATCH('TCO Inputs'!$AZ$12,'Year data'!$B$110:$AC$110,0))/(1+$AZ$41)^D$59</f>
        <v>1673.3523973064844</v>
      </c>
      <c r="E86" s="113">
        <f>VLOOKUP($A86,'VKT US'!$B$63:$AA$113,(E$59+1),FALSE)/VLOOKUP($A86,'Fuel economy adjusted factor'!$A$2:$F$52,4,FALSE)*INDEX('Year data'!$B$111:$AC$161,MATCH($A86,'Year data'!$A$111:$A$161,0),MATCH('TCO Inputs'!$AZ$12,'Year data'!$B$110:$AC$110,0))/(1+$AZ$41)^E$59</f>
        <v>1604.6948875067221</v>
      </c>
      <c r="F86" s="113">
        <f>VLOOKUP($A86,'VKT US'!$B$63:$AA$113,(F$59+1),FALSE)/VLOOKUP($A86,'Fuel economy adjusted factor'!$A$2:$F$52,4,FALSE)*INDEX('Year data'!$B$111:$AC$161,MATCH($A86,'Year data'!$A$111:$A$161,0),MATCH('TCO Inputs'!$AZ$12,'Year data'!$B$110:$AC$110,0))/(1+$AZ$41)^F$59</f>
        <v>1539.0591035054517</v>
      </c>
      <c r="G86" s="113">
        <f>VLOOKUP($A86,'VKT US'!$B$63:$AA$113,(G$59+1),FALSE)/VLOOKUP($A86,'Fuel economy adjusted factor'!$A$2:$F$52,4,FALSE)*INDEX('Year data'!$B$111:$AC$161,MATCH($A86,'Year data'!$A$111:$A$161,0),MATCH('TCO Inputs'!$AZ$12,'Year data'!$B$110:$AC$110,0))/(1+$AZ$41)^G$59</f>
        <v>1476.6113321604055</v>
      </c>
      <c r="H86" s="113">
        <f>VLOOKUP($A86,'VKT US'!$B$63:$AA$113,(H$59+1),FALSE)/VLOOKUP($A86,'Fuel economy adjusted factor'!$A$2:$F$52,4,FALSE)*INDEX('Year data'!$B$111:$AC$161,MATCH($A86,'Year data'!$A$111:$A$161,0),MATCH('TCO Inputs'!$AZ$12,'Year data'!$B$110:$AC$110,0))/(1+$AZ$41)^H$59</f>
        <v>1416.8961685134152</v>
      </c>
      <c r="I86" s="113">
        <f>VLOOKUP($A86,'VKT US'!$B$63:$AA$113,(I$59+1),FALSE)/VLOOKUP($A86,'Fuel economy adjusted factor'!$A$2:$F$52,4,FALSE)*INDEX('Year data'!$B$111:$AC$161,MATCH($A86,'Year data'!$A$111:$A$161,0),MATCH('TCO Inputs'!$AZ$12,'Year data'!$B$110:$AC$110,0))/(1+$AZ$41)^I$59</f>
        <v>1360.081951476466</v>
      </c>
      <c r="J86" s="113">
        <f>VLOOKUP($A86,'VKT US'!$B$63:$AA$113,(J$59+1),FALSE)/VLOOKUP($A86,'Fuel economy adjusted factor'!$A$2:$F$52,4,FALSE)*INDEX('Year data'!$B$111:$AC$161,MATCH($A86,'Year data'!$A$111:$A$161,0),MATCH('TCO Inputs'!$AZ$12,'Year data'!$B$110:$AC$110,0))/(1+$AZ$41)^J$59</f>
        <v>1306.0882122242344</v>
      </c>
      <c r="K86" s="113">
        <f>VLOOKUP($A86,'VKT US'!$B$63:$AA$113,(K$59+1),FALSE)/VLOOKUP($A86,'Fuel economy adjusted factor'!$A$2:$F$52,4,FALSE)*INDEX('Year data'!$B$111:$AC$161,MATCH($A86,'Year data'!$A$111:$A$161,0),MATCH('TCO Inputs'!$AZ$12,'Year data'!$B$110:$AC$110,0))/(1+$AZ$41)^K$59</f>
        <v>1254.8362203544511</v>
      </c>
      <c r="L86" s="113">
        <f>VLOOKUP($A86,'VKT US'!$B$63:$AA$113,(L$59+1),FALSE)/VLOOKUP($A86,'Fuel economy adjusted factor'!$A$2:$F$52,4,FALSE)*INDEX('Year data'!$B$111:$AC$161,MATCH($A86,'Year data'!$A$111:$A$161,0),MATCH('TCO Inputs'!$AZ$12,'Year data'!$B$110:$AC$110,0))/(1+$AZ$41)^L$59</f>
        <v>1206.132315207388</v>
      </c>
      <c r="M86" s="113">
        <f>VLOOKUP($A86,'VKT US'!$B$63:$AA$113,(M$59+1),FALSE)/VLOOKUP($A86,'Fuel economy adjusted factor'!$A$2:$F$52,4,FALSE)*INDEX('Year data'!$B$111:$AC$161,MATCH($A86,'Year data'!$A$111:$A$161,0),MATCH('TCO Inputs'!$AZ$12,'Year data'!$B$110:$AC$110,0))/(1+$AZ$41)^M$59</f>
        <v>1160.0205476036297</v>
      </c>
      <c r="N86" s="113">
        <f>VLOOKUP($A86,'VKT US'!$B$63:$AA$113,(N$59+1),FALSE)/VLOOKUP($A86,'Fuel economy adjusted factor'!$A$2:$F$52,4,FALSE)*INDEX('Year data'!$B$111:$AC$161,MATCH($A86,'Year data'!$A$111:$A$161,0),MATCH('TCO Inputs'!$AZ$12,'Year data'!$B$110:$AC$110,0))/(1+$AZ$41)^N$59</f>
        <v>1116.3132727793823</v>
      </c>
      <c r="O86" s="113">
        <f>VLOOKUP($A86,'VKT US'!$B$63:$AA$113,(O$59+1),FALSE)/VLOOKUP($A86,'Fuel economy adjusted factor'!$A$2:$F$52,4,FALSE)*INDEX('Year data'!$B$111:$AC$161,MATCH($A86,'Year data'!$A$111:$A$161,0),MATCH('TCO Inputs'!$AZ$12,'Year data'!$B$110:$AC$110,0))/(1+$AZ$41)^O$59</f>
        <v>1075.0549309995456</v>
      </c>
      <c r="P86" s="113">
        <f>VLOOKUP($A86,'VKT US'!$B$63:$AA$113,(P$59+1),FALSE)/VLOOKUP($A86,'Fuel economy adjusted factor'!$A$2:$F$52,4,FALSE)*INDEX('Year data'!$B$111:$AC$161,MATCH($A86,'Year data'!$A$111:$A$161,0),MATCH('TCO Inputs'!$AZ$12,'Year data'!$B$110:$AC$110,0))/(1+$AZ$41)^P$59</f>
        <v>1036.0637070037355</v>
      </c>
      <c r="Q86" s="113">
        <f>VLOOKUP($A86,'VKT US'!$B$63:$AA$113,(Q$59+1),FALSE)/VLOOKUP($A86,'Fuel economy adjusted factor'!$A$2:$F$52,4,FALSE)*INDEX('Year data'!$B$111:$AC$161,MATCH($A86,'Year data'!$A$111:$A$161,0),MATCH('TCO Inputs'!$AZ$12,'Year data'!$B$110:$AC$110,0))/(1+$AZ$41)^Q$59</f>
        <v>999.49426023766932</v>
      </c>
      <c r="R86" s="113">
        <f>VLOOKUP($A86,'VKT US'!$B$63:$AA$113,(R$59+1),FALSE)/VLOOKUP($A86,'Fuel economy adjusted factor'!$A$2:$F$52,4,FALSE)*INDEX('Year data'!$B$111:$AC$161,MATCH($A86,'Year data'!$A$111:$A$161,0),MATCH('TCO Inputs'!$AZ$12,'Year data'!$B$110:$AC$110,0))/(1+$AZ$41)^R$59</f>
        <v>964.94935561435238</v>
      </c>
      <c r="S86" s="113">
        <f>VLOOKUP($A86,'VKT US'!$B$63:$AA$113,(S$59+1),FALSE)/VLOOKUP($A86,'Fuel economy adjusted factor'!$A$2:$F$52,4,FALSE)*INDEX('Year data'!$B$111:$AC$161,MATCH($A86,'Year data'!$A$111:$A$161,0),MATCH('TCO Inputs'!$AZ$12,'Year data'!$B$110:$AC$110,0))/(1+$AZ$41)^S$59</f>
        <v>932.69254913309544</v>
      </c>
      <c r="T86" s="113">
        <f>VLOOKUP($A86,'VKT US'!$B$63:$AA$113,(T$59+1),FALSE)/VLOOKUP($A86,'Fuel economy adjusted factor'!$A$2:$F$52,4,FALSE)*INDEX('Year data'!$B$111:$AC$161,MATCH($A86,'Year data'!$A$111:$A$161,0),MATCH('TCO Inputs'!$AZ$12,'Year data'!$B$110:$AC$110,0))/(1+$AZ$41)^T$59</f>
        <v>902.33729079093814</v>
      </c>
      <c r="U86" s="113">
        <f>VLOOKUP($A86,'VKT US'!$B$63:$AA$113,(U$59+1),FALSE)/VLOOKUP($A86,'Fuel economy adjusted factor'!$A$2:$F$52,4,FALSE)*INDEX('Year data'!$B$111:$AC$161,MATCH($A86,'Year data'!$A$111:$A$161,0),MATCH('TCO Inputs'!$AZ$12,'Year data'!$B$110:$AC$110,0))/(1+$AZ$41)^U$59</f>
        <v>874.14222310299988</v>
      </c>
      <c r="V86" s="110" cm="1">
        <f t="array" ref="V86">SUMPRODUCT(INDEX(B86:U86,,_xlfn.SEQUENCE($AZ$13)))</f>
        <v>19754.715480857769</v>
      </c>
    </row>
    <row r="87" spans="1:52" x14ac:dyDescent="0.25">
      <c r="A87" s="102" t="s">
        <v>215</v>
      </c>
      <c r="B87" s="113">
        <f>VLOOKUP($A87,'VKT US'!$B$63:$AA$113,(B$59+1),FALSE)/VLOOKUP($A87,'Fuel economy adjusted factor'!$A$2:$F$52,4,FALSE)*INDEX('Year data'!$B$111:$AC$161,MATCH($A87,'Year data'!$A$111:$A$161,0),MATCH('TCO Inputs'!$AZ$12,'Year data'!$B$110:$AC$110,0))/(1+$AZ$41)^B$59</f>
        <v>2288.6654548108504</v>
      </c>
      <c r="C87" s="113">
        <f>VLOOKUP($A87,'VKT US'!$B$63:$AA$113,(C$59+1),FALSE)/VLOOKUP($A87,'Fuel economy adjusted factor'!$A$2:$F$52,4,FALSE)*INDEX('Year data'!$B$111:$AC$161,MATCH($A87,'Year data'!$A$111:$A$161,0),MATCH('TCO Inputs'!$AZ$12,'Year data'!$B$110:$AC$110,0))/(1+$AZ$41)^C$59</f>
        <v>2194.2625337316504</v>
      </c>
      <c r="D87" s="113">
        <f>VLOOKUP($A87,'VKT US'!$B$63:$AA$113,(D$59+1),FALSE)/VLOOKUP($A87,'Fuel economy adjusted factor'!$A$2:$F$52,4,FALSE)*INDEX('Year data'!$B$111:$AC$161,MATCH($A87,'Year data'!$A$111:$A$161,0),MATCH('TCO Inputs'!$AZ$12,'Year data'!$B$110:$AC$110,0))/(1+$AZ$41)^D$59</f>
        <v>2103.8738782228183</v>
      </c>
      <c r="E87" s="113">
        <f>VLOOKUP($A87,'VKT US'!$B$63:$AA$113,(E$59+1),FALSE)/VLOOKUP($A87,'Fuel economy adjusted factor'!$A$2:$F$52,4,FALSE)*INDEX('Year data'!$B$111:$AC$161,MATCH($A87,'Year data'!$A$111:$A$161,0),MATCH('TCO Inputs'!$AZ$12,'Year data'!$B$110:$AC$110,0))/(1+$AZ$41)^E$59</f>
        <v>2017.5521078389736</v>
      </c>
      <c r="F87" s="113">
        <f>VLOOKUP($A87,'VKT US'!$B$63:$AA$113,(F$59+1),FALSE)/VLOOKUP($A87,'Fuel economy adjusted factor'!$A$2:$F$52,4,FALSE)*INDEX('Year data'!$B$111:$AC$161,MATCH($A87,'Year data'!$A$111:$A$161,0),MATCH('TCO Inputs'!$AZ$12,'Year data'!$B$110:$AC$110,0))/(1+$AZ$41)^F$59</f>
        <v>1935.0294953520734</v>
      </c>
      <c r="G87" s="113">
        <f>VLOOKUP($A87,'VKT US'!$B$63:$AA$113,(G$59+1),FALSE)/VLOOKUP($A87,'Fuel economy adjusted factor'!$A$2:$F$52,4,FALSE)*INDEX('Year data'!$B$111:$AC$161,MATCH($A87,'Year data'!$A$111:$A$161,0),MATCH('TCO Inputs'!$AZ$12,'Year data'!$B$110:$AC$110,0))/(1+$AZ$41)^G$59</f>
        <v>1856.51511003936</v>
      </c>
      <c r="H87" s="113">
        <f>VLOOKUP($A87,'VKT US'!$B$63:$AA$113,(H$59+1),FALSE)/VLOOKUP($A87,'Fuel economy adjusted factor'!$A$2:$F$52,4,FALSE)*INDEX('Year data'!$B$111:$AC$161,MATCH($A87,'Year data'!$A$111:$A$161,0),MATCH('TCO Inputs'!$AZ$12,'Year data'!$B$110:$AC$110,0))/(1+$AZ$41)^H$59</f>
        <v>1781.4363799805092</v>
      </c>
      <c r="I87" s="113">
        <f>VLOOKUP($A87,'VKT US'!$B$63:$AA$113,(I$59+1),FALSE)/VLOOKUP($A87,'Fuel economy adjusted factor'!$A$2:$F$52,4,FALSE)*INDEX('Year data'!$B$111:$AC$161,MATCH($A87,'Year data'!$A$111:$A$161,0),MATCH('TCO Inputs'!$AZ$12,'Year data'!$B$110:$AC$110,0))/(1+$AZ$41)^I$59</f>
        <v>1710.004954461222</v>
      </c>
      <c r="J87" s="113">
        <f>VLOOKUP($A87,'VKT US'!$B$63:$AA$113,(J$59+1),FALSE)/VLOOKUP($A87,'Fuel economy adjusted factor'!$A$2:$F$52,4,FALSE)*INDEX('Year data'!$B$111:$AC$161,MATCH($A87,'Year data'!$A$111:$A$161,0),MATCH('TCO Inputs'!$AZ$12,'Year data'!$B$110:$AC$110,0))/(1+$AZ$41)^J$59</f>
        <v>1642.1196615706185</v>
      </c>
      <c r="K87" s="113">
        <f>VLOOKUP($A87,'VKT US'!$B$63:$AA$113,(K$59+1),FALSE)/VLOOKUP($A87,'Fuel economy adjusted factor'!$A$2:$F$52,4,FALSE)*INDEX('Year data'!$B$111:$AC$161,MATCH($A87,'Year data'!$A$111:$A$161,0),MATCH('TCO Inputs'!$AZ$12,'Year data'!$B$110:$AC$110,0))/(1+$AZ$41)^K$59</f>
        <v>1577.6815150837874</v>
      </c>
      <c r="L87" s="113">
        <f>VLOOKUP($A87,'VKT US'!$B$63:$AA$113,(L$59+1),FALSE)/VLOOKUP($A87,'Fuel economy adjusted factor'!$A$2:$F$52,4,FALSE)*INDEX('Year data'!$B$111:$AC$161,MATCH($A87,'Year data'!$A$111:$A$161,0),MATCH('TCO Inputs'!$AZ$12,'Year data'!$B$110:$AC$110,0))/(1+$AZ$41)^L$59</f>
        <v>1516.4470291672023</v>
      </c>
      <c r="M87" s="113">
        <f>VLOOKUP($A87,'VKT US'!$B$63:$AA$113,(M$59+1),FALSE)/VLOOKUP($A87,'Fuel economy adjusted factor'!$A$2:$F$52,4,FALSE)*INDEX('Year data'!$B$111:$AC$161,MATCH($A87,'Year data'!$A$111:$A$161,0),MATCH('TCO Inputs'!$AZ$12,'Year data'!$B$110:$AC$110,0))/(1+$AZ$41)^M$59</f>
        <v>1458.471588072794</v>
      </c>
      <c r="N87" s="113">
        <f>VLOOKUP($A87,'VKT US'!$B$63:$AA$113,(N$59+1),FALSE)/VLOOKUP($A87,'Fuel economy adjusted factor'!$A$2:$F$52,4,FALSE)*INDEX('Year data'!$B$111:$AC$161,MATCH($A87,'Year data'!$A$111:$A$161,0),MATCH('TCO Inputs'!$AZ$12,'Year data'!$B$110:$AC$110,0))/(1+$AZ$41)^N$59</f>
        <v>1403.519269637625</v>
      </c>
      <c r="O87" s="113">
        <f>VLOOKUP($A87,'VKT US'!$B$63:$AA$113,(O$59+1),FALSE)/VLOOKUP($A87,'Fuel economy adjusted factor'!$A$2:$F$52,4,FALSE)*INDEX('Year data'!$B$111:$AC$161,MATCH($A87,'Year data'!$A$111:$A$161,0),MATCH('TCO Inputs'!$AZ$12,'Year data'!$B$110:$AC$110,0))/(1+$AZ$41)^O$59</f>
        <v>1351.6459477544947</v>
      </c>
      <c r="P87" s="113">
        <f>VLOOKUP($A87,'VKT US'!$B$63:$AA$113,(P$59+1),FALSE)/VLOOKUP($A87,'Fuel economy adjusted factor'!$A$2:$F$52,4,FALSE)*INDEX('Year data'!$B$111:$AC$161,MATCH($A87,'Year data'!$A$111:$A$161,0),MATCH('TCO Inputs'!$AZ$12,'Year data'!$B$110:$AC$110,0))/(1+$AZ$41)^P$59</f>
        <v>1302.6230295833047</v>
      </c>
      <c r="Q87" s="113">
        <f>VLOOKUP($A87,'VKT US'!$B$63:$AA$113,(Q$59+1),FALSE)/VLOOKUP($A87,'Fuel economy adjusted factor'!$A$2:$F$52,4,FALSE)*INDEX('Year data'!$B$111:$AC$161,MATCH($A87,'Year data'!$A$111:$A$161,0),MATCH('TCO Inputs'!$AZ$12,'Year data'!$B$110:$AC$110,0))/(1+$AZ$41)^Q$59</f>
        <v>1256.6449654791572</v>
      </c>
      <c r="R87" s="113">
        <f>VLOOKUP($A87,'VKT US'!$B$63:$AA$113,(R$59+1),FALSE)/VLOOKUP($A87,'Fuel economy adjusted factor'!$A$2:$F$52,4,FALSE)*INDEX('Year data'!$B$111:$AC$161,MATCH($A87,'Year data'!$A$111:$A$161,0),MATCH('TCO Inputs'!$AZ$12,'Year data'!$B$110:$AC$110,0))/(1+$AZ$41)^R$59</f>
        <v>1213.2123193851953</v>
      </c>
      <c r="S87" s="113">
        <f>VLOOKUP($A87,'VKT US'!$B$63:$AA$113,(S$59+1),FALSE)/VLOOKUP($A87,'Fuel economy adjusted factor'!$A$2:$F$52,4,FALSE)*INDEX('Year data'!$B$111:$AC$161,MATCH($A87,'Year data'!$A$111:$A$161,0),MATCH('TCO Inputs'!$AZ$12,'Year data'!$B$110:$AC$110,0))/(1+$AZ$41)^S$59</f>
        <v>1172.6564552049765</v>
      </c>
      <c r="T87" s="113">
        <f>VLOOKUP($A87,'VKT US'!$B$63:$AA$113,(T$59+1),FALSE)/VLOOKUP($A87,'Fuel economy adjusted factor'!$A$2:$F$52,4,FALSE)*INDEX('Year data'!$B$111:$AC$161,MATCH($A87,'Year data'!$A$111:$A$161,0),MATCH('TCO Inputs'!$AZ$12,'Year data'!$B$110:$AC$110,0))/(1+$AZ$41)^T$59</f>
        <v>1134.4913710328869</v>
      </c>
      <c r="U87" s="113">
        <f>VLOOKUP($A87,'VKT US'!$B$63:$AA$113,(U$59+1),FALSE)/VLOOKUP($A87,'Fuel economy adjusted factor'!$A$2:$F$52,4,FALSE)*INDEX('Year data'!$B$111:$AC$161,MATCH($A87,'Year data'!$A$111:$A$161,0),MATCH('TCO Inputs'!$AZ$12,'Year data'!$B$110:$AC$110,0))/(1+$AZ$41)^U$59</f>
        <v>1099.0422531430393</v>
      </c>
      <c r="V87" s="110" cm="1">
        <f t="array" ref="V87">SUMPRODUCT(INDEX(B87:U87,,_xlfn.SEQUENCE($AZ$13)))</f>
        <v>24837.224925723975</v>
      </c>
    </row>
    <row r="88" spans="1:52" x14ac:dyDescent="0.25">
      <c r="A88" s="102" t="s">
        <v>212</v>
      </c>
      <c r="B88" s="113">
        <f>VLOOKUP($A88,'VKT US'!$B$63:$AA$113,(B$59+1),FALSE)/VLOOKUP($A88,'Fuel economy adjusted factor'!$A$2:$F$52,4,FALSE)*INDEX('Year data'!$B$111:$AC$161,MATCH($A88,'Year data'!$A$111:$A$161,0),MATCH('TCO Inputs'!$AZ$12,'Year data'!$B$110:$AC$110,0))/(1+$AZ$41)^B$59</f>
        <v>1476.1988644649107</v>
      </c>
      <c r="C88" s="113">
        <f>VLOOKUP($A88,'VKT US'!$B$63:$AA$113,(C$59+1),FALSE)/VLOOKUP($A88,'Fuel economy adjusted factor'!$A$2:$F$52,4,FALSE)*INDEX('Year data'!$B$111:$AC$161,MATCH($A88,'Year data'!$A$111:$A$161,0),MATCH('TCO Inputs'!$AZ$12,'Year data'!$B$110:$AC$110,0))/(1+$AZ$41)^C$59</f>
        <v>1415.3085824857983</v>
      </c>
      <c r="D88" s="113">
        <f>VLOOKUP($A88,'VKT US'!$B$63:$AA$113,(D$59+1),FALSE)/VLOOKUP($A88,'Fuel economy adjusted factor'!$A$2:$F$52,4,FALSE)*INDEX('Year data'!$B$111:$AC$161,MATCH($A88,'Year data'!$A$111:$A$161,0),MATCH('TCO Inputs'!$AZ$12,'Year data'!$B$110:$AC$110,0))/(1+$AZ$41)^D$59</f>
        <v>1357.0075187186278</v>
      </c>
      <c r="E88" s="113">
        <f>VLOOKUP($A88,'VKT US'!$B$63:$AA$113,(E$59+1),FALSE)/VLOOKUP($A88,'Fuel economy adjusted factor'!$A$2:$F$52,4,FALSE)*INDEX('Year data'!$B$111:$AC$161,MATCH($A88,'Year data'!$A$111:$A$161,0),MATCH('TCO Inputs'!$AZ$12,'Year data'!$B$110:$AC$110,0))/(1+$AZ$41)^E$59</f>
        <v>1301.3296129979053</v>
      </c>
      <c r="F88" s="113">
        <f>VLOOKUP($A88,'VKT US'!$B$63:$AA$113,(F$59+1),FALSE)/VLOOKUP($A88,'Fuel economy adjusted factor'!$A$2:$F$52,4,FALSE)*INDEX('Year data'!$B$111:$AC$161,MATCH($A88,'Year data'!$A$111:$A$161,0),MATCH('TCO Inputs'!$AZ$12,'Year data'!$B$110:$AC$110,0))/(1+$AZ$41)^F$59</f>
        <v>1248.1021801331453</v>
      </c>
      <c r="G88" s="113">
        <f>VLOOKUP($A88,'VKT US'!$B$63:$AA$113,(G$59+1),FALSE)/VLOOKUP($A88,'Fuel economy adjusted factor'!$A$2:$F$52,4,FALSE)*INDEX('Year data'!$B$111:$AC$161,MATCH($A88,'Year data'!$A$111:$A$161,0),MATCH('TCO Inputs'!$AZ$12,'Year data'!$B$110:$AC$110,0))/(1+$AZ$41)^G$59</f>
        <v>1197.46007068934</v>
      </c>
      <c r="H88" s="113">
        <f>VLOOKUP($A88,'VKT US'!$B$63:$AA$113,(H$59+1),FALSE)/VLOOKUP($A88,'Fuel economy adjusted factor'!$A$2:$F$52,4,FALSE)*INDEX('Year data'!$B$111:$AC$161,MATCH($A88,'Year data'!$A$111:$A$161,0),MATCH('TCO Inputs'!$AZ$12,'Year data'!$B$110:$AC$110,0))/(1+$AZ$41)^H$59</f>
        <v>1149.0339733646426</v>
      </c>
      <c r="I88" s="113">
        <f>VLOOKUP($A88,'VKT US'!$B$63:$AA$113,(I$59+1),FALSE)/VLOOKUP($A88,'Fuel economy adjusted factor'!$A$2:$F$52,4,FALSE)*INDEX('Year data'!$B$111:$AC$161,MATCH($A88,'Year data'!$A$111:$A$161,0),MATCH('TCO Inputs'!$AZ$12,'Year data'!$B$110:$AC$110,0))/(1+$AZ$41)^I$59</f>
        <v>1102.9604028403753</v>
      </c>
      <c r="J88" s="113">
        <f>VLOOKUP($A88,'VKT US'!$B$63:$AA$113,(J$59+1),FALSE)/VLOOKUP($A88,'Fuel economy adjusted factor'!$A$2:$F$52,4,FALSE)*INDEX('Year data'!$B$111:$AC$161,MATCH($A88,'Year data'!$A$111:$A$161,0),MATCH('TCO Inputs'!$AZ$12,'Year data'!$B$110:$AC$110,0))/(1+$AZ$41)^J$59</f>
        <v>1059.1741028076085</v>
      </c>
      <c r="K88" s="113">
        <f>VLOOKUP($A88,'VKT US'!$B$63:$AA$113,(K$59+1),FALSE)/VLOOKUP($A88,'Fuel economy adjusted factor'!$A$2:$F$52,4,FALSE)*INDEX('Year data'!$B$111:$AC$161,MATCH($A88,'Year data'!$A$111:$A$161,0),MATCH('TCO Inputs'!$AZ$12,'Year data'!$B$110:$AC$110,0))/(1+$AZ$41)^K$59</f>
        <v>1017.6112267340737</v>
      </c>
      <c r="L88" s="113">
        <f>VLOOKUP($A88,'VKT US'!$B$63:$AA$113,(L$59+1),FALSE)/VLOOKUP($A88,'Fuel economy adjusted factor'!$A$2:$F$52,4,FALSE)*INDEX('Year data'!$B$111:$AC$161,MATCH($A88,'Year data'!$A$111:$A$161,0),MATCH('TCO Inputs'!$AZ$12,'Year data'!$B$110:$AC$110,0))/(1+$AZ$41)^L$59</f>
        <v>978.11472523091868</v>
      </c>
      <c r="M88" s="113">
        <f>VLOOKUP($A88,'VKT US'!$B$63:$AA$113,(M$59+1),FALSE)/VLOOKUP($A88,'Fuel economy adjusted factor'!$A$2:$F$52,4,FALSE)*INDEX('Year data'!$B$111:$AC$161,MATCH($A88,'Year data'!$A$111:$A$161,0),MATCH('TCO Inputs'!$AZ$12,'Year data'!$B$110:$AC$110,0))/(1+$AZ$41)^M$59</f>
        <v>940.72032137406893</v>
      </c>
      <c r="N88" s="113">
        <f>VLOOKUP($A88,'VKT US'!$B$63:$AA$113,(N$59+1),FALSE)/VLOOKUP($A88,'Fuel economy adjusted factor'!$A$2:$F$52,4,FALSE)*INDEX('Year data'!$B$111:$AC$161,MATCH($A88,'Year data'!$A$111:$A$161,0),MATCH('TCO Inputs'!$AZ$12,'Year data'!$B$110:$AC$110,0))/(1+$AZ$41)^N$59</f>
        <v>905.27584437408086</v>
      </c>
      <c r="O88" s="113">
        <f>VLOOKUP($A88,'VKT US'!$B$63:$AA$113,(O$59+1),FALSE)/VLOOKUP($A88,'Fuel economy adjusted factor'!$A$2:$F$52,4,FALSE)*INDEX('Year data'!$B$111:$AC$161,MATCH($A88,'Year data'!$A$111:$A$161,0),MATCH('TCO Inputs'!$AZ$12,'Year data'!$B$110:$AC$110,0))/(1+$AZ$41)^O$59</f>
        <v>871.81733312730341</v>
      </c>
      <c r="P88" s="113">
        <f>VLOOKUP($A88,'VKT US'!$B$63:$AA$113,(P$59+1),FALSE)/VLOOKUP($A88,'Fuel economy adjusted factor'!$A$2:$F$52,4,FALSE)*INDEX('Year data'!$B$111:$AC$161,MATCH($A88,'Year data'!$A$111:$A$161,0),MATCH('TCO Inputs'!$AZ$12,'Year data'!$B$110:$AC$110,0))/(1+$AZ$41)^P$59</f>
        <v>840.19734428841582</v>
      </c>
      <c r="Q88" s="113">
        <f>VLOOKUP($A88,'VKT US'!$B$63:$AA$113,(Q$59+1),FALSE)/VLOOKUP($A88,'Fuel economy adjusted factor'!$A$2:$F$52,4,FALSE)*INDEX('Year data'!$B$111:$AC$161,MATCH($A88,'Year data'!$A$111:$A$161,0),MATCH('TCO Inputs'!$AZ$12,'Year data'!$B$110:$AC$110,0))/(1+$AZ$41)^Q$59</f>
        <v>810.54129915601504</v>
      </c>
      <c r="R88" s="113">
        <f>VLOOKUP($A88,'VKT US'!$B$63:$AA$113,(R$59+1),FALSE)/VLOOKUP($A88,'Fuel economy adjusted factor'!$A$2:$F$52,4,FALSE)*INDEX('Year data'!$B$111:$AC$161,MATCH($A88,'Year data'!$A$111:$A$161,0),MATCH('TCO Inputs'!$AZ$12,'Year data'!$B$110:$AC$110,0))/(1+$AZ$41)^R$59</f>
        <v>782.52705936843893</v>
      </c>
      <c r="S88" s="113">
        <f>VLOOKUP($A88,'VKT US'!$B$63:$AA$113,(S$59+1),FALSE)/VLOOKUP($A88,'Fuel economy adjusted factor'!$A$2:$F$52,4,FALSE)*INDEX('Year data'!$B$111:$AC$161,MATCH($A88,'Year data'!$A$111:$A$161,0),MATCH('TCO Inputs'!$AZ$12,'Year data'!$B$110:$AC$110,0))/(1+$AZ$41)^S$59</f>
        <v>756.36835604009241</v>
      </c>
      <c r="T88" s="113">
        <f>VLOOKUP($A88,'VKT US'!$B$63:$AA$113,(T$59+1),FALSE)/VLOOKUP($A88,'Fuel economy adjusted factor'!$A$2:$F$52,4,FALSE)*INDEX('Year data'!$B$111:$AC$161,MATCH($A88,'Year data'!$A$111:$A$161,0),MATCH('TCO Inputs'!$AZ$12,'Year data'!$B$110:$AC$110,0))/(1+$AZ$41)^T$59</f>
        <v>731.7517158934869</v>
      </c>
      <c r="U88" s="113">
        <f>VLOOKUP($A88,'VKT US'!$B$63:$AA$113,(U$59+1),FALSE)/VLOOKUP($A88,'Fuel economy adjusted factor'!$A$2:$F$52,4,FALSE)*INDEX('Year data'!$B$111:$AC$161,MATCH($A88,'Year data'!$A$111:$A$161,0),MATCH('TCO Inputs'!$AZ$12,'Year data'!$B$110:$AC$110,0))/(1+$AZ$41)^U$59</f>
        <v>708.88688544599734</v>
      </c>
      <c r="V88" s="110" cm="1">
        <f t="array" ref="V88">SUMPRODUCT(INDEX(B88:U88,,_xlfn.SEQUENCE($AZ$13)))</f>
        <v>16020.114759342798</v>
      </c>
    </row>
    <row r="89" spans="1:52" x14ac:dyDescent="0.25">
      <c r="A89" s="102" t="s">
        <v>213</v>
      </c>
      <c r="B89" s="113">
        <f>VLOOKUP($A89,'VKT US'!$B$63:$AA$113,(B$59+1),FALSE)/VLOOKUP($A89,'Fuel economy adjusted factor'!$A$2:$F$52,4,FALSE)*INDEX('Year data'!$B$111:$AC$161,MATCH($A89,'Year data'!$A$111:$A$161,0),MATCH('TCO Inputs'!$AZ$12,'Year data'!$B$110:$AC$110,0))/(1+$AZ$41)^B$59</f>
        <v>1572.5657580989255</v>
      </c>
      <c r="C89" s="113">
        <f>VLOOKUP($A89,'VKT US'!$B$63:$AA$113,(C$59+1),FALSE)/VLOOKUP($A89,'Fuel economy adjusted factor'!$A$2:$F$52,4,FALSE)*INDEX('Year data'!$B$111:$AC$161,MATCH($A89,'Year data'!$A$111:$A$161,0),MATCH('TCO Inputs'!$AZ$12,'Year data'!$B$110:$AC$110,0))/(1+$AZ$41)^C$59</f>
        <v>1507.7005324532947</v>
      </c>
      <c r="D89" s="113">
        <f>VLOOKUP($A89,'VKT US'!$B$63:$AA$113,(D$59+1),FALSE)/VLOOKUP($A89,'Fuel economy adjusted factor'!$A$2:$F$52,4,FALSE)*INDEX('Year data'!$B$111:$AC$161,MATCH($A89,'Year data'!$A$111:$A$161,0),MATCH('TCO Inputs'!$AZ$12,'Year data'!$B$110:$AC$110,0))/(1+$AZ$41)^D$59</f>
        <v>1445.5935502925768</v>
      </c>
      <c r="E89" s="113">
        <f>VLOOKUP($A89,'VKT US'!$B$63:$AA$113,(E$59+1),FALSE)/VLOOKUP($A89,'Fuel economy adjusted factor'!$A$2:$F$52,4,FALSE)*INDEX('Year data'!$B$111:$AC$161,MATCH($A89,'Year data'!$A$111:$A$161,0),MATCH('TCO Inputs'!$AZ$12,'Year data'!$B$110:$AC$110,0))/(1+$AZ$41)^E$59</f>
        <v>1386.2809670581994</v>
      </c>
      <c r="F89" s="113">
        <f>VLOOKUP($A89,'VKT US'!$B$63:$AA$113,(F$59+1),FALSE)/VLOOKUP($A89,'Fuel economy adjusted factor'!$A$2:$F$52,4,FALSE)*INDEX('Year data'!$B$111:$AC$161,MATCH($A89,'Year data'!$A$111:$A$161,0),MATCH('TCO Inputs'!$AZ$12,'Year data'!$B$110:$AC$110,0))/(1+$AZ$41)^F$59</f>
        <v>1329.5788245965387</v>
      </c>
      <c r="G89" s="113">
        <f>VLOOKUP($A89,'VKT US'!$B$63:$AA$113,(G$59+1),FALSE)/VLOOKUP($A89,'Fuel economy adjusted factor'!$A$2:$F$52,4,FALSE)*INDEX('Year data'!$B$111:$AC$161,MATCH($A89,'Year data'!$A$111:$A$161,0),MATCH('TCO Inputs'!$AZ$12,'Year data'!$B$110:$AC$110,0))/(1+$AZ$41)^G$59</f>
        <v>1275.6307765751812</v>
      </c>
      <c r="H89" s="113">
        <f>VLOOKUP($A89,'VKT US'!$B$63:$AA$113,(H$59+1),FALSE)/VLOOKUP($A89,'Fuel economy adjusted factor'!$A$2:$F$52,4,FALSE)*INDEX('Year data'!$B$111:$AC$161,MATCH($A89,'Year data'!$A$111:$A$161,0),MATCH('TCO Inputs'!$AZ$12,'Year data'!$B$110:$AC$110,0))/(1+$AZ$41)^H$59</f>
        <v>1224.0434028924433</v>
      </c>
      <c r="I89" s="113">
        <f>VLOOKUP($A89,'VKT US'!$B$63:$AA$113,(I$59+1),FALSE)/VLOOKUP($A89,'Fuel economy adjusted factor'!$A$2:$F$52,4,FALSE)*INDEX('Year data'!$B$111:$AC$161,MATCH($A89,'Year data'!$A$111:$A$161,0),MATCH('TCO Inputs'!$AZ$12,'Year data'!$B$110:$AC$110,0))/(1+$AZ$41)^I$59</f>
        <v>1174.9621299664668</v>
      </c>
      <c r="J89" s="113">
        <f>VLOOKUP($A89,'VKT US'!$B$63:$AA$113,(J$59+1),FALSE)/VLOOKUP($A89,'Fuel economy adjusted factor'!$A$2:$F$52,4,FALSE)*INDEX('Year data'!$B$111:$AC$161,MATCH($A89,'Year data'!$A$111:$A$161,0),MATCH('TCO Inputs'!$AZ$12,'Year data'!$B$110:$AC$110,0))/(1+$AZ$41)^J$59</f>
        <v>1128.317441528548</v>
      </c>
      <c r="K89" s="113">
        <f>VLOOKUP($A89,'VKT US'!$B$63:$AA$113,(K$59+1),FALSE)/VLOOKUP($A89,'Fuel economy adjusted factor'!$A$2:$F$52,4,FALSE)*INDEX('Year data'!$B$111:$AC$161,MATCH($A89,'Year data'!$A$111:$A$161,0),MATCH('TCO Inputs'!$AZ$12,'Year data'!$B$110:$AC$110,0))/(1+$AZ$41)^K$59</f>
        <v>1084.0413231174684</v>
      </c>
      <c r="L89" s="113">
        <f>VLOOKUP($A89,'VKT US'!$B$63:$AA$113,(L$59+1),FALSE)/VLOOKUP($A89,'Fuel economy adjusted factor'!$A$2:$F$52,4,FALSE)*INDEX('Year data'!$B$111:$AC$161,MATCH($A89,'Year data'!$A$111:$A$161,0),MATCH('TCO Inputs'!$AZ$12,'Year data'!$B$110:$AC$110,0))/(1+$AZ$41)^L$59</f>
        <v>1041.9664730930592</v>
      </c>
      <c r="M89" s="113">
        <f>VLOOKUP($A89,'VKT US'!$B$63:$AA$113,(M$59+1),FALSE)/VLOOKUP($A89,'Fuel economy adjusted factor'!$A$2:$F$52,4,FALSE)*INDEX('Year data'!$B$111:$AC$161,MATCH($A89,'Year data'!$A$111:$A$161,0),MATCH('TCO Inputs'!$AZ$12,'Year data'!$B$110:$AC$110,0))/(1+$AZ$41)^M$59</f>
        <v>1002.1309465489305</v>
      </c>
      <c r="N89" s="113">
        <f>VLOOKUP($A89,'VKT US'!$B$63:$AA$113,(N$59+1),FALSE)/VLOOKUP($A89,'Fuel economy adjusted factor'!$A$2:$F$52,4,FALSE)*INDEX('Year data'!$B$111:$AC$161,MATCH($A89,'Year data'!$A$111:$A$161,0),MATCH('TCO Inputs'!$AZ$12,'Year data'!$B$110:$AC$110,0))/(1+$AZ$41)^N$59</f>
        <v>964.3726389213806</v>
      </c>
      <c r="O89" s="113">
        <f>VLOOKUP($A89,'VKT US'!$B$63:$AA$113,(O$59+1),FALSE)/VLOOKUP($A89,'Fuel economy adjusted factor'!$A$2:$F$52,4,FALSE)*INDEX('Year data'!$B$111:$AC$161,MATCH($A89,'Year data'!$A$111:$A$161,0),MATCH('TCO Inputs'!$AZ$12,'Year data'!$B$110:$AC$110,0))/(1+$AZ$41)^O$59</f>
        <v>928.72994174133498</v>
      </c>
      <c r="P89" s="113">
        <f>VLOOKUP($A89,'VKT US'!$B$63:$AA$113,(P$59+1),FALSE)/VLOOKUP($A89,'Fuel economy adjusted factor'!$A$2:$F$52,4,FALSE)*INDEX('Year data'!$B$111:$AC$161,MATCH($A89,'Year data'!$A$111:$A$161,0),MATCH('TCO Inputs'!$AZ$12,'Year data'!$B$110:$AC$110,0))/(1+$AZ$41)^P$59</f>
        <v>895.04578649878999</v>
      </c>
      <c r="Q89" s="113">
        <f>VLOOKUP($A89,'VKT US'!$B$63:$AA$113,(Q$59+1),FALSE)/VLOOKUP($A89,'Fuel economy adjusted factor'!$A$2:$F$52,4,FALSE)*INDEX('Year data'!$B$111:$AC$161,MATCH($A89,'Year data'!$A$111:$A$161,0),MATCH('TCO Inputs'!$AZ$12,'Year data'!$B$110:$AC$110,0))/(1+$AZ$41)^Q$59</f>
        <v>863.45378204839074</v>
      </c>
      <c r="R89" s="113">
        <f>VLOOKUP($A89,'VKT US'!$B$63:$AA$113,(R$59+1),FALSE)/VLOOKUP($A89,'Fuel economy adjusted factor'!$A$2:$F$52,4,FALSE)*INDEX('Year data'!$B$111:$AC$161,MATCH($A89,'Year data'!$A$111:$A$161,0),MATCH('TCO Inputs'!$AZ$12,'Year data'!$B$110:$AC$110,0))/(1+$AZ$41)^R$59</f>
        <v>833.61076069836179</v>
      </c>
      <c r="S89" s="113">
        <f>VLOOKUP($A89,'VKT US'!$B$63:$AA$113,(S$59+1),FALSE)/VLOOKUP($A89,'Fuel economy adjusted factor'!$A$2:$F$52,4,FALSE)*INDEX('Year data'!$B$111:$AC$161,MATCH($A89,'Year data'!$A$111:$A$161,0),MATCH('TCO Inputs'!$AZ$12,'Year data'!$B$110:$AC$110,0))/(1+$AZ$41)^S$59</f>
        <v>805.74440602172615</v>
      </c>
      <c r="T89" s="113">
        <f>VLOOKUP($A89,'VKT US'!$B$63:$AA$113,(T$59+1),FALSE)/VLOOKUP($A89,'Fuel economy adjusted factor'!$A$2:$F$52,4,FALSE)*INDEX('Year data'!$B$111:$AC$161,MATCH($A89,'Year data'!$A$111:$A$161,0),MATCH('TCO Inputs'!$AZ$12,'Year data'!$B$110:$AC$110,0))/(1+$AZ$41)^T$59</f>
        <v>779.52078107128477</v>
      </c>
      <c r="U89" s="113">
        <f>VLOOKUP($A89,'VKT US'!$B$63:$AA$113,(U$59+1),FALSE)/VLOOKUP($A89,'Fuel economy adjusted factor'!$A$2:$F$52,4,FALSE)*INDEX('Year data'!$B$111:$AC$161,MATCH($A89,'Year data'!$A$111:$A$161,0),MATCH('TCO Inputs'!$AZ$12,'Year data'!$B$110:$AC$110,0))/(1+$AZ$41)^U$59</f>
        <v>755.1633247068313</v>
      </c>
      <c r="V89" s="110" cm="1">
        <f t="array" ref="V89">SUMPRODUCT(INDEX(B89:U89,,_xlfn.SEQUENCE($AZ$13)))</f>
        <v>17065.914706884349</v>
      </c>
    </row>
    <row r="90" spans="1:52" x14ac:dyDescent="0.25">
      <c r="A90" s="102" t="s">
        <v>214</v>
      </c>
      <c r="B90" s="113">
        <f>VLOOKUP($A90,'VKT US'!$B$63:$AA$113,(B$59+1),FALSE)/VLOOKUP($A90,'Fuel economy adjusted factor'!$A$2:$F$52,4,FALSE)*INDEX('Year data'!$B$111:$AC$161,MATCH($A90,'Year data'!$A$111:$A$161,0),MATCH('TCO Inputs'!$AZ$12,'Year data'!$B$110:$AC$110,0))/(1+$AZ$41)^B$59</f>
        <v>2127.5419336312921</v>
      </c>
      <c r="C90" s="113">
        <f>VLOOKUP($A90,'VKT US'!$B$63:$AA$113,(C$59+1),FALSE)/VLOOKUP($A90,'Fuel economy adjusted factor'!$A$2:$F$52,4,FALSE)*INDEX('Year data'!$B$111:$AC$161,MATCH($A90,'Year data'!$A$111:$A$161,0),MATCH('TCO Inputs'!$AZ$12,'Year data'!$B$110:$AC$110,0))/(1+$AZ$41)^C$59</f>
        <v>2039.785038961038</v>
      </c>
      <c r="D90" s="113">
        <f>VLOOKUP($A90,'VKT US'!$B$63:$AA$113,(D$59+1),FALSE)/VLOOKUP($A90,'Fuel economy adjusted factor'!$A$2:$F$52,4,FALSE)*INDEX('Year data'!$B$111:$AC$161,MATCH($A90,'Year data'!$A$111:$A$161,0),MATCH('TCO Inputs'!$AZ$12,'Year data'!$B$110:$AC$110,0))/(1+$AZ$41)^D$59</f>
        <v>1955.7598029811086</v>
      </c>
      <c r="E90" s="113">
        <f>VLOOKUP($A90,'VKT US'!$B$63:$AA$113,(E$59+1),FALSE)/VLOOKUP($A90,'Fuel economy adjusted factor'!$A$2:$F$52,4,FALSE)*INDEX('Year data'!$B$111:$AC$161,MATCH($A90,'Year data'!$A$111:$A$161,0),MATCH('TCO Inputs'!$AZ$12,'Year data'!$B$110:$AC$110,0))/(1+$AZ$41)^E$59</f>
        <v>1875.5151407956082</v>
      </c>
      <c r="F90" s="113">
        <f>VLOOKUP($A90,'VKT US'!$B$63:$AA$113,(F$59+1),FALSE)/VLOOKUP($A90,'Fuel economy adjusted factor'!$A$2:$F$52,4,FALSE)*INDEX('Year data'!$B$111:$AC$161,MATCH($A90,'Year data'!$A$111:$A$161,0),MATCH('TCO Inputs'!$AZ$12,'Year data'!$B$110:$AC$110,0))/(1+$AZ$41)^F$59</f>
        <v>1798.8021733456778</v>
      </c>
      <c r="G90" s="113">
        <f>VLOOKUP($A90,'VKT US'!$B$63:$AA$113,(G$59+1),FALSE)/VLOOKUP($A90,'Fuel economy adjusted factor'!$A$2:$F$52,4,FALSE)*INDEX('Year data'!$B$111:$AC$161,MATCH($A90,'Year data'!$A$111:$A$161,0),MATCH('TCO Inputs'!$AZ$12,'Year data'!$B$110:$AC$110,0))/(1+$AZ$41)^G$59</f>
        <v>1725.8152512968686</v>
      </c>
      <c r="H90" s="113">
        <f>VLOOKUP($A90,'VKT US'!$B$63:$AA$113,(H$59+1),FALSE)/VLOOKUP($A90,'Fuel economy adjusted factor'!$A$2:$F$52,4,FALSE)*INDEX('Year data'!$B$111:$AC$161,MATCH($A90,'Year data'!$A$111:$A$161,0),MATCH('TCO Inputs'!$AZ$12,'Year data'!$B$110:$AC$110,0))/(1+$AZ$41)^H$59</f>
        <v>1656.0221121605982</v>
      </c>
      <c r="I90" s="113">
        <f>VLOOKUP($A90,'VKT US'!$B$63:$AA$113,(I$59+1),FALSE)/VLOOKUP($A90,'Fuel economy adjusted factor'!$A$2:$F$52,4,FALSE)*INDEX('Year data'!$B$111:$AC$161,MATCH($A90,'Year data'!$A$111:$A$161,0),MATCH('TCO Inputs'!$AZ$12,'Year data'!$B$110:$AC$110,0))/(1+$AZ$41)^I$59</f>
        <v>1589.6195049766206</v>
      </c>
      <c r="J90" s="113">
        <f>VLOOKUP($A90,'VKT US'!$B$63:$AA$113,(J$59+1),FALSE)/VLOOKUP($A90,'Fuel economy adjusted factor'!$A$2:$F$52,4,FALSE)*INDEX('Year data'!$B$111:$AC$161,MATCH($A90,'Year data'!$A$111:$A$161,0),MATCH('TCO Inputs'!$AZ$12,'Year data'!$B$110:$AC$110,0))/(1+$AZ$41)^J$59</f>
        <v>1526.5133804017046</v>
      </c>
      <c r="K90" s="113">
        <f>VLOOKUP($A90,'VKT US'!$B$63:$AA$113,(K$59+1),FALSE)/VLOOKUP($A90,'Fuel economy adjusted factor'!$A$2:$F$52,4,FALSE)*INDEX('Year data'!$B$111:$AC$161,MATCH($A90,'Year data'!$A$111:$A$161,0),MATCH('TCO Inputs'!$AZ$12,'Year data'!$B$110:$AC$110,0))/(1+$AZ$41)^K$59</f>
        <v>1466.6117209048869</v>
      </c>
      <c r="L90" s="113">
        <f>VLOOKUP($A90,'VKT US'!$B$63:$AA$113,(L$59+1),FALSE)/VLOOKUP($A90,'Fuel economy adjusted factor'!$A$2:$F$52,4,FALSE)*INDEX('Year data'!$B$111:$AC$161,MATCH($A90,'Year data'!$A$111:$A$161,0),MATCH('TCO Inputs'!$AZ$12,'Year data'!$B$110:$AC$110,0))/(1+$AZ$41)^L$59</f>
        <v>1409.6881822120474</v>
      </c>
      <c r="M90" s="113">
        <f>VLOOKUP($A90,'VKT US'!$B$63:$AA$113,(M$59+1),FALSE)/VLOOKUP($A90,'Fuel economy adjusted factor'!$A$2:$F$52,4,FALSE)*INDEX('Year data'!$B$111:$AC$161,MATCH($A90,'Year data'!$A$111:$A$161,0),MATCH('TCO Inputs'!$AZ$12,'Year data'!$B$110:$AC$110,0))/(1+$AZ$41)^M$59</f>
        <v>1355.7942494881327</v>
      </c>
      <c r="N90" s="113">
        <f>VLOOKUP($A90,'VKT US'!$B$63:$AA$113,(N$59+1),FALSE)/VLOOKUP($A90,'Fuel economy adjusted factor'!$A$2:$F$52,4,FALSE)*INDEX('Year data'!$B$111:$AC$161,MATCH($A90,'Year data'!$A$111:$A$161,0),MATCH('TCO Inputs'!$AZ$12,'Year data'!$B$110:$AC$110,0))/(1+$AZ$41)^N$59</f>
        <v>1304.7106096423324</v>
      </c>
      <c r="O90" s="113">
        <f>VLOOKUP($A90,'VKT US'!$B$63:$AA$113,(O$59+1),FALSE)/VLOOKUP($A90,'Fuel economy adjusted factor'!$A$2:$F$52,4,FALSE)*INDEX('Year data'!$B$111:$AC$161,MATCH($A90,'Year data'!$A$111:$A$161,0),MATCH('TCO Inputs'!$AZ$12,'Year data'!$B$110:$AC$110,0))/(1+$AZ$41)^O$59</f>
        <v>1256.4892030094286</v>
      </c>
      <c r="P90" s="113">
        <f>VLOOKUP($A90,'VKT US'!$B$63:$AA$113,(P$59+1),FALSE)/VLOOKUP($A90,'Fuel economy adjusted factor'!$A$2:$F$52,4,FALSE)*INDEX('Year data'!$B$111:$AC$161,MATCH($A90,'Year data'!$A$111:$A$161,0),MATCH('TCO Inputs'!$AZ$12,'Year data'!$B$110:$AC$110,0))/(1+$AZ$41)^P$59</f>
        <v>1210.9175298324062</v>
      </c>
      <c r="Q90" s="113">
        <f>VLOOKUP($A90,'VKT US'!$B$63:$AA$113,(Q$59+1),FALSE)/VLOOKUP($A90,'Fuel economy adjusted factor'!$A$2:$F$52,4,FALSE)*INDEX('Year data'!$B$111:$AC$161,MATCH($A90,'Year data'!$A$111:$A$161,0),MATCH('TCO Inputs'!$AZ$12,'Year data'!$B$110:$AC$110,0))/(1+$AZ$41)^Q$59</f>
        <v>1168.1763510362041</v>
      </c>
      <c r="R90" s="113">
        <f>VLOOKUP($A90,'VKT US'!$B$63:$AA$113,(R$59+1),FALSE)/VLOOKUP($A90,'Fuel economy adjusted factor'!$A$2:$F$52,4,FALSE)*INDEX('Year data'!$B$111:$AC$161,MATCH($A90,'Year data'!$A$111:$A$161,0),MATCH('TCO Inputs'!$AZ$12,'Year data'!$B$110:$AC$110,0))/(1+$AZ$41)^R$59</f>
        <v>1127.8013911838441</v>
      </c>
      <c r="S90" s="113">
        <f>VLOOKUP($A90,'VKT US'!$B$63:$AA$113,(S$59+1),FALSE)/VLOOKUP($A90,'Fuel economy adjusted factor'!$A$2:$F$52,4,FALSE)*INDEX('Year data'!$B$111:$AC$161,MATCH($A90,'Year data'!$A$111:$A$161,0),MATCH('TCO Inputs'!$AZ$12,'Year data'!$B$110:$AC$110,0))/(1+$AZ$41)^S$59</f>
        <v>1090.1006859467821</v>
      </c>
      <c r="T90" s="113">
        <f>VLOOKUP($A90,'VKT US'!$B$63:$AA$113,(T$59+1),FALSE)/VLOOKUP($A90,'Fuel economy adjusted factor'!$A$2:$F$52,4,FALSE)*INDEX('Year data'!$B$111:$AC$161,MATCH($A90,'Year data'!$A$111:$A$161,0),MATCH('TCO Inputs'!$AZ$12,'Year data'!$B$110:$AC$110,0))/(1+$AZ$41)^T$59</f>
        <v>1054.6224482663872</v>
      </c>
      <c r="U90" s="113">
        <f>VLOOKUP($A90,'VKT US'!$B$63:$AA$113,(U$59+1),FALSE)/VLOOKUP($A90,'Fuel economy adjusted factor'!$A$2:$F$52,4,FALSE)*INDEX('Year data'!$B$111:$AC$161,MATCH($A90,'Year data'!$A$111:$A$161,0),MATCH('TCO Inputs'!$AZ$12,'Year data'!$B$110:$AC$110,0))/(1+$AZ$41)^U$59</f>
        <v>1021.6689710937595</v>
      </c>
      <c r="V90" s="110" cm="1">
        <f t="array" ref="V90">SUMPRODUCT(INDEX(B90:U90,,_xlfn.SEQUENCE($AZ$13)))</f>
        <v>23088.668303807346</v>
      </c>
    </row>
    <row r="91" spans="1:52" x14ac:dyDescent="0.25">
      <c r="A91" s="102" t="s">
        <v>216</v>
      </c>
      <c r="B91" s="113">
        <f>VLOOKUP($A91,'VKT US'!$B$63:$AA$113,(B$59+1),FALSE)/VLOOKUP($A91,'Fuel economy adjusted factor'!$A$2:$F$52,4,FALSE)*INDEX('Year data'!$B$111:$AC$161,MATCH($A91,'Year data'!$A$111:$A$161,0),MATCH('TCO Inputs'!$AZ$12,'Year data'!$B$110:$AC$110,0))/(1+$AZ$41)^B$59</f>
        <v>1325.2172716392513</v>
      </c>
      <c r="C91" s="113">
        <f>VLOOKUP($A91,'VKT US'!$B$63:$AA$113,(C$59+1),FALSE)/VLOOKUP($A91,'Fuel economy adjusted factor'!$A$2:$F$52,4,FALSE)*INDEX('Year data'!$B$111:$AC$161,MATCH($A91,'Year data'!$A$111:$A$161,0),MATCH('TCO Inputs'!$AZ$12,'Year data'!$B$110:$AC$110,0))/(1+$AZ$41)^C$59</f>
        <v>1270.5546815938692</v>
      </c>
      <c r="D91" s="113">
        <f>VLOOKUP($A91,'VKT US'!$B$63:$AA$113,(D$59+1),FALSE)/VLOOKUP($A91,'Fuel economy adjusted factor'!$A$2:$F$52,4,FALSE)*INDEX('Year data'!$B$111:$AC$161,MATCH($A91,'Year data'!$A$111:$A$161,0),MATCH('TCO Inputs'!$AZ$12,'Year data'!$B$110:$AC$110,0))/(1+$AZ$41)^D$59</f>
        <v>1218.216491585031</v>
      </c>
      <c r="E91" s="113">
        <f>VLOOKUP($A91,'VKT US'!$B$63:$AA$113,(E$59+1),FALSE)/VLOOKUP($A91,'Fuel economy adjusted factor'!$A$2:$F$52,4,FALSE)*INDEX('Year data'!$B$111:$AC$161,MATCH($A91,'Year data'!$A$111:$A$161,0),MATCH('TCO Inputs'!$AZ$12,'Year data'!$B$110:$AC$110,0))/(1+$AZ$41)^E$59</f>
        <v>1168.2331701735566</v>
      </c>
      <c r="F91" s="113">
        <f>VLOOKUP($A91,'VKT US'!$B$63:$AA$113,(F$59+1),FALSE)/VLOOKUP($A91,'Fuel economy adjusted factor'!$A$2:$F$52,4,FALSE)*INDEX('Year data'!$B$111:$AC$161,MATCH($A91,'Year data'!$A$111:$A$161,0),MATCH('TCO Inputs'!$AZ$12,'Year data'!$B$110:$AC$110,0))/(1+$AZ$41)^F$59</f>
        <v>1120.4496939391624</v>
      </c>
      <c r="G91" s="113">
        <f>VLOOKUP($A91,'VKT US'!$B$63:$AA$113,(G$59+1),FALSE)/VLOOKUP($A91,'Fuel economy adjusted factor'!$A$2:$F$52,4,FALSE)*INDEX('Year data'!$B$111:$AC$161,MATCH($A91,'Year data'!$A$111:$A$161,0),MATCH('TCO Inputs'!$AZ$12,'Year data'!$B$110:$AC$110,0))/(1+$AZ$41)^G$59</f>
        <v>1074.9871212989221</v>
      </c>
      <c r="H91" s="113">
        <f>VLOOKUP($A91,'VKT US'!$B$63:$AA$113,(H$59+1),FALSE)/VLOOKUP($A91,'Fuel economy adjusted factor'!$A$2:$F$52,4,FALSE)*INDEX('Year data'!$B$111:$AC$161,MATCH($A91,'Year data'!$A$111:$A$161,0),MATCH('TCO Inputs'!$AZ$12,'Year data'!$B$110:$AC$110,0))/(1+$AZ$41)^H$59</f>
        <v>1031.5139131034707</v>
      </c>
      <c r="I91" s="113">
        <f>VLOOKUP($A91,'VKT US'!$B$63:$AA$113,(I$59+1),FALSE)/VLOOKUP($A91,'Fuel economy adjusted factor'!$A$2:$F$52,4,FALSE)*INDEX('Year data'!$B$111:$AC$161,MATCH($A91,'Year data'!$A$111:$A$161,0),MATCH('TCO Inputs'!$AZ$12,'Year data'!$B$110:$AC$110,0))/(1+$AZ$41)^I$59</f>
        <v>990.1526216849328</v>
      </c>
      <c r="J91" s="113">
        <f>VLOOKUP($A91,'VKT US'!$B$63:$AA$113,(J$59+1),FALSE)/VLOOKUP($A91,'Fuel economy adjusted factor'!$A$2:$F$52,4,FALSE)*INDEX('Year data'!$B$111:$AC$161,MATCH($A91,'Year data'!$A$111:$A$161,0),MATCH('TCO Inputs'!$AZ$12,'Year data'!$B$110:$AC$110,0))/(1+$AZ$41)^J$59</f>
        <v>950.84466497163839</v>
      </c>
      <c r="K91" s="113">
        <f>VLOOKUP($A91,'VKT US'!$B$63:$AA$113,(K$59+1),FALSE)/VLOOKUP($A91,'Fuel economy adjusted factor'!$A$2:$F$52,4,FALSE)*INDEX('Year data'!$B$111:$AC$161,MATCH($A91,'Year data'!$A$111:$A$161,0),MATCH('TCO Inputs'!$AZ$12,'Year data'!$B$110:$AC$110,0))/(1+$AZ$41)^K$59</f>
        <v>913.53272648046811</v>
      </c>
      <c r="L91" s="113">
        <f>VLOOKUP($A91,'VKT US'!$B$63:$AA$113,(L$59+1),FALSE)/VLOOKUP($A91,'Fuel economy adjusted factor'!$A$2:$F$52,4,FALSE)*INDEX('Year data'!$B$111:$AC$161,MATCH($A91,'Year data'!$A$111:$A$161,0),MATCH('TCO Inputs'!$AZ$12,'Year data'!$B$110:$AC$110,0))/(1+$AZ$41)^L$59</f>
        <v>878.07581940563512</v>
      </c>
      <c r="M91" s="113">
        <f>VLOOKUP($A91,'VKT US'!$B$63:$AA$113,(M$59+1),FALSE)/VLOOKUP($A91,'Fuel economy adjusted factor'!$A$2:$F$52,4,FALSE)*INDEX('Year data'!$B$111:$AC$161,MATCH($A91,'Year data'!$A$111:$A$161,0),MATCH('TCO Inputs'!$AZ$12,'Year data'!$B$110:$AC$110,0))/(1+$AZ$41)^M$59</f>
        <v>844.50601316431016</v>
      </c>
      <c r="N91" s="113">
        <f>VLOOKUP($A91,'VKT US'!$B$63:$AA$113,(N$59+1),FALSE)/VLOOKUP($A91,'Fuel economy adjusted factor'!$A$2:$F$52,4,FALSE)*INDEX('Year data'!$B$111:$AC$161,MATCH($A91,'Year data'!$A$111:$A$161,0),MATCH('TCO Inputs'!$AZ$12,'Year data'!$B$110:$AC$110,0))/(1+$AZ$41)^N$59</f>
        <v>812.68670058027635</v>
      </c>
      <c r="O91" s="113">
        <f>VLOOKUP($A91,'VKT US'!$B$63:$AA$113,(O$59+1),FALSE)/VLOOKUP($A91,'Fuel economy adjusted factor'!$A$2:$F$52,4,FALSE)*INDEX('Year data'!$B$111:$AC$161,MATCH($A91,'Year data'!$A$111:$A$161,0),MATCH('TCO Inputs'!$AZ$12,'Year data'!$B$110:$AC$110,0))/(1+$AZ$41)^O$59</f>
        <v>782.65023458987775</v>
      </c>
      <c r="P91" s="113">
        <f>VLOOKUP($A91,'VKT US'!$B$63:$AA$113,(P$59+1),FALSE)/VLOOKUP($A91,'Fuel economy adjusted factor'!$A$2:$F$52,4,FALSE)*INDEX('Year data'!$B$111:$AC$161,MATCH($A91,'Year data'!$A$111:$A$161,0),MATCH('TCO Inputs'!$AZ$12,'Year data'!$B$110:$AC$110,0))/(1+$AZ$41)^P$59</f>
        <v>754.26425195093066</v>
      </c>
      <c r="Q91" s="113">
        <f>VLOOKUP($A91,'VKT US'!$B$63:$AA$113,(Q$59+1),FALSE)/VLOOKUP($A91,'Fuel economy adjusted factor'!$A$2:$F$52,4,FALSE)*INDEX('Year data'!$B$111:$AC$161,MATCH($A91,'Year data'!$A$111:$A$161,0),MATCH('TCO Inputs'!$AZ$12,'Year data'!$B$110:$AC$110,0))/(1+$AZ$41)^Q$59</f>
        <v>727.64134621375797</v>
      </c>
      <c r="R91" s="113">
        <f>VLOOKUP($A91,'VKT US'!$B$63:$AA$113,(R$59+1),FALSE)/VLOOKUP($A91,'Fuel economy adjusted factor'!$A$2:$F$52,4,FALSE)*INDEX('Year data'!$B$111:$AC$161,MATCH($A91,'Year data'!$A$111:$A$161,0),MATCH('TCO Inputs'!$AZ$12,'Year data'!$B$110:$AC$110,0))/(1+$AZ$41)^R$59</f>
        <v>702.49232644954338</v>
      </c>
      <c r="S91" s="113">
        <f>VLOOKUP($A91,'VKT US'!$B$63:$AA$113,(S$59+1),FALSE)/VLOOKUP($A91,'Fuel economy adjusted factor'!$A$2:$F$52,4,FALSE)*INDEX('Year data'!$B$111:$AC$161,MATCH($A91,'Year data'!$A$111:$A$161,0),MATCH('TCO Inputs'!$AZ$12,'Year data'!$B$110:$AC$110,0))/(1+$AZ$41)^S$59</f>
        <v>679.00906393736307</v>
      </c>
      <c r="T91" s="113">
        <f>VLOOKUP($A91,'VKT US'!$B$63:$AA$113,(T$59+1),FALSE)/VLOOKUP($A91,'Fuel economy adjusted factor'!$A$2:$F$52,4,FALSE)*INDEX('Year data'!$B$111:$AC$161,MATCH($A91,'Year data'!$A$111:$A$161,0),MATCH('TCO Inputs'!$AZ$12,'Year data'!$B$110:$AC$110,0))/(1+$AZ$41)^T$59</f>
        <v>656.91014659140308</v>
      </c>
      <c r="U91" s="113">
        <f>VLOOKUP($A91,'VKT US'!$B$63:$AA$113,(U$59+1),FALSE)/VLOOKUP($A91,'Fuel economy adjusted factor'!$A$2:$F$52,4,FALSE)*INDEX('Year data'!$B$111:$AC$161,MATCH($A91,'Year data'!$A$111:$A$161,0),MATCH('TCO Inputs'!$AZ$12,'Year data'!$B$110:$AC$110,0))/(1+$AZ$41)^U$59</f>
        <v>636.38386862742482</v>
      </c>
      <c r="V91" s="110" cm="1">
        <f t="array" ref="V91">SUMPRODUCT(INDEX(B91:U91,,_xlfn.SEQUENCE($AZ$13)))</f>
        <v>14381.621124210398</v>
      </c>
    </row>
    <row r="92" spans="1:52" x14ac:dyDescent="0.25">
      <c r="A92" s="102" t="s">
        <v>209</v>
      </c>
      <c r="B92" s="113">
        <f>VLOOKUP($A92,'VKT US'!$B$63:$AA$113,(B$59+1),FALSE)/VLOOKUP($A92,'Fuel economy adjusted factor'!$A$2:$F$52,4,FALSE)*INDEX('Year data'!$B$111:$AC$161,MATCH($A92,'Year data'!$A$111:$A$161,0),MATCH('TCO Inputs'!$AZ$12,'Year data'!$B$110:$AC$110,0))/(1+$AZ$41)^B$59</f>
        <v>1873.4411665341079</v>
      </c>
      <c r="C92" s="113">
        <f>VLOOKUP($A92,'VKT US'!$B$63:$AA$113,(C$59+1),FALSE)/VLOOKUP($A92,'Fuel economy adjusted factor'!$A$2:$F$52,4,FALSE)*INDEX('Year data'!$B$111:$AC$161,MATCH($A92,'Year data'!$A$111:$A$161,0),MATCH('TCO Inputs'!$AZ$12,'Year data'!$B$110:$AC$110,0))/(1+$AZ$41)^C$59</f>
        <v>1796.1654256786314</v>
      </c>
      <c r="D92" s="113">
        <f>VLOOKUP($A92,'VKT US'!$B$63:$AA$113,(D$59+1),FALSE)/VLOOKUP($A92,'Fuel economy adjusted factor'!$A$2:$F$52,4,FALSE)*INDEX('Year data'!$B$111:$AC$161,MATCH($A92,'Year data'!$A$111:$A$161,0),MATCH('TCO Inputs'!$AZ$12,'Year data'!$B$110:$AC$110,0))/(1+$AZ$41)^D$59</f>
        <v>1722.17565672312</v>
      </c>
      <c r="E92" s="113">
        <f>VLOOKUP($A92,'VKT US'!$B$63:$AA$113,(E$59+1),FALSE)/VLOOKUP($A92,'Fuel economy adjusted factor'!$A$2:$F$52,4,FALSE)*INDEX('Year data'!$B$111:$AC$161,MATCH($A92,'Year data'!$A$111:$A$161,0),MATCH('TCO Inputs'!$AZ$12,'Year data'!$B$110:$AC$110,0))/(1+$AZ$41)^E$59</f>
        <v>1651.514932646885</v>
      </c>
      <c r="F92" s="113">
        <f>VLOOKUP($A92,'VKT US'!$B$63:$AA$113,(F$59+1),FALSE)/VLOOKUP($A92,'Fuel economy adjusted factor'!$A$2:$F$52,4,FALSE)*INDEX('Year data'!$B$111:$AC$161,MATCH($A92,'Year data'!$A$111:$A$161,0),MATCH('TCO Inputs'!$AZ$12,'Year data'!$B$110:$AC$110,0))/(1+$AZ$41)^F$59</f>
        <v>1583.9640990036703</v>
      </c>
      <c r="G92" s="113">
        <f>VLOOKUP($A92,'VKT US'!$B$63:$AA$113,(G$59+1),FALSE)/VLOOKUP($A92,'Fuel economy adjusted factor'!$A$2:$F$52,4,FALSE)*INDEX('Year data'!$B$111:$AC$161,MATCH($A92,'Year data'!$A$111:$A$161,0),MATCH('TCO Inputs'!$AZ$12,'Year data'!$B$110:$AC$110,0))/(1+$AZ$41)^G$59</f>
        <v>1519.6942943885983</v>
      </c>
      <c r="H92" s="113">
        <f>VLOOKUP($A92,'VKT US'!$B$63:$AA$113,(H$59+1),FALSE)/VLOOKUP($A92,'Fuel economy adjusted factor'!$A$2:$F$52,4,FALSE)*INDEX('Year data'!$B$111:$AC$161,MATCH($A92,'Year data'!$A$111:$A$161,0),MATCH('TCO Inputs'!$AZ$12,'Year data'!$B$110:$AC$110,0))/(1+$AZ$41)^H$59</f>
        <v>1458.236826532084</v>
      </c>
      <c r="I92" s="113">
        <f>VLOOKUP($A92,'VKT US'!$B$63:$AA$113,(I$59+1),FALSE)/VLOOKUP($A92,'Fuel economy adjusted factor'!$A$2:$F$52,4,FALSE)*INDEX('Year data'!$B$111:$AC$161,MATCH($A92,'Year data'!$A$111:$A$161,0),MATCH('TCO Inputs'!$AZ$12,'Year data'!$B$110:$AC$110,0))/(1+$AZ$41)^I$59</f>
        <v>1399.7649459561142</v>
      </c>
      <c r="J92" s="113">
        <f>VLOOKUP($A92,'VKT US'!$B$63:$AA$113,(J$59+1),FALSE)/VLOOKUP($A92,'Fuel economy adjusted factor'!$A$2:$F$52,4,FALSE)*INDEX('Year data'!$B$111:$AC$161,MATCH($A92,'Year data'!$A$111:$A$161,0),MATCH('TCO Inputs'!$AZ$12,'Year data'!$B$110:$AC$110,0))/(1+$AZ$41)^J$59</f>
        <v>1344.1958360033482</v>
      </c>
      <c r="K92" s="113">
        <f>VLOOKUP($A92,'VKT US'!$B$63:$AA$113,(K$59+1),FALSE)/VLOOKUP($A92,'Fuel economy adjusted factor'!$A$2:$F$52,4,FALSE)*INDEX('Year data'!$B$111:$AC$161,MATCH($A92,'Year data'!$A$111:$A$161,0),MATCH('TCO Inputs'!$AZ$12,'Year data'!$B$110:$AC$110,0))/(1+$AZ$41)^K$59</f>
        <v>1291.4484691613202</v>
      </c>
      <c r="L92" s="113">
        <f>VLOOKUP($A92,'VKT US'!$B$63:$AA$113,(L$59+1),FALSE)/VLOOKUP($A92,'Fuel economy adjusted factor'!$A$2:$F$52,4,FALSE)*INDEX('Year data'!$B$111:$AC$161,MATCH($A92,'Year data'!$A$111:$A$161,0),MATCH('TCO Inputs'!$AZ$12,'Year data'!$B$110:$AC$110,0))/(1+$AZ$41)^L$59</f>
        <v>1241.3235343498384</v>
      </c>
      <c r="M92" s="113">
        <f>VLOOKUP($A92,'VKT US'!$B$63:$AA$113,(M$59+1),FALSE)/VLOOKUP($A92,'Fuel economy adjusted factor'!$A$2:$F$52,4,FALSE)*INDEX('Year data'!$B$111:$AC$161,MATCH($A92,'Year data'!$A$111:$A$161,0),MATCH('TCO Inputs'!$AZ$12,'Year data'!$B$110:$AC$110,0))/(1+$AZ$41)^M$59</f>
        <v>1193.8663676565027</v>
      </c>
      <c r="N92" s="113">
        <f>VLOOKUP($A92,'VKT US'!$B$63:$AA$113,(N$59+1),FALSE)/VLOOKUP($A92,'Fuel economy adjusted factor'!$A$2:$F$52,4,FALSE)*INDEX('Year data'!$B$111:$AC$161,MATCH($A92,'Year data'!$A$111:$A$161,0),MATCH('TCO Inputs'!$AZ$12,'Year data'!$B$110:$AC$110,0))/(1+$AZ$41)^N$59</f>
        <v>1148.883849422336</v>
      </c>
      <c r="O92" s="113">
        <f>VLOOKUP($A92,'VKT US'!$B$63:$AA$113,(O$59+1),FALSE)/VLOOKUP($A92,'Fuel economy adjusted factor'!$A$2:$F$52,4,FALSE)*INDEX('Year data'!$B$111:$AC$161,MATCH($A92,'Year data'!$A$111:$A$161,0),MATCH('TCO Inputs'!$AZ$12,'Year data'!$B$110:$AC$110,0))/(1+$AZ$41)^O$59</f>
        <v>1106.4217165420357</v>
      </c>
      <c r="P92" s="113">
        <f>VLOOKUP($A92,'VKT US'!$B$63:$AA$113,(P$59+1),FALSE)/VLOOKUP($A92,'Fuel economy adjusted factor'!$A$2:$F$52,4,FALSE)*INDEX('Year data'!$B$111:$AC$161,MATCH($A92,'Year data'!$A$111:$A$161,0),MATCH('TCO Inputs'!$AZ$12,'Year data'!$B$110:$AC$110,0))/(1+$AZ$41)^P$59</f>
        <v>1066.292848946955</v>
      </c>
      <c r="Q92" s="113">
        <f>VLOOKUP($A92,'VKT US'!$B$63:$AA$113,(Q$59+1),FALSE)/VLOOKUP($A92,'Fuel economy adjusted factor'!$A$2:$F$52,4,FALSE)*INDEX('Year data'!$B$111:$AC$161,MATCH($A92,'Year data'!$A$111:$A$161,0),MATCH('TCO Inputs'!$AZ$12,'Year data'!$B$110:$AC$110,0))/(1+$AZ$41)^Q$59</f>
        <v>1028.6564185681984</v>
      </c>
      <c r="R92" s="113">
        <f>VLOOKUP($A92,'VKT US'!$B$63:$AA$113,(R$59+1),FALSE)/VLOOKUP($A92,'Fuel economy adjusted factor'!$A$2:$F$52,4,FALSE)*INDEX('Year data'!$B$111:$AC$161,MATCH($A92,'Year data'!$A$111:$A$161,0),MATCH('TCO Inputs'!$AZ$12,'Year data'!$B$110:$AC$110,0))/(1+$AZ$41)^R$59</f>
        <v>993.10360022469774</v>
      </c>
      <c r="S92" s="113">
        <f>VLOOKUP($A92,'VKT US'!$B$63:$AA$113,(S$59+1),FALSE)/VLOOKUP($A92,'Fuel economy adjusted factor'!$A$2:$F$52,4,FALSE)*INDEX('Year data'!$B$111:$AC$161,MATCH($A92,'Year data'!$A$111:$A$161,0),MATCH('TCO Inputs'!$AZ$12,'Year data'!$B$110:$AC$110,0))/(1+$AZ$41)^S$59</f>
        <v>959.90563966655782</v>
      </c>
      <c r="T92" s="113">
        <f>VLOOKUP($A92,'VKT US'!$B$63:$AA$113,(T$59+1),FALSE)/VLOOKUP($A92,'Fuel economy adjusted factor'!$A$2:$F$52,4,FALSE)*INDEX('Year data'!$B$111:$AC$161,MATCH($A92,'Year data'!$A$111:$A$161,0),MATCH('TCO Inputs'!$AZ$12,'Year data'!$B$110:$AC$110,0))/(1+$AZ$41)^T$59</f>
        <v>928.66470855452656</v>
      </c>
      <c r="U92" s="113">
        <f>VLOOKUP($A92,'VKT US'!$B$63:$AA$113,(U$59+1),FALSE)/VLOOKUP($A92,'Fuel economy adjusted factor'!$A$2:$F$52,4,FALSE)*INDEX('Year data'!$B$111:$AC$161,MATCH($A92,'Year data'!$A$111:$A$161,0),MATCH('TCO Inputs'!$AZ$12,'Year data'!$B$110:$AC$110,0))/(1+$AZ$41)^U$59</f>
        <v>899.64699579420926</v>
      </c>
      <c r="V92" s="110" cm="1">
        <f t="array" ref="V92">SUMPRODUCT(INDEX(B92:U92,,_xlfn.SEQUENCE($AZ$13)))</f>
        <v>20331.097120598588</v>
      </c>
    </row>
    <row r="93" spans="1:52" x14ac:dyDescent="0.25">
      <c r="A93" s="102" t="s">
        <v>210</v>
      </c>
      <c r="B93" s="113">
        <f>VLOOKUP($A93,'VKT US'!$B$63:$AA$113,(B$59+1),FALSE)/VLOOKUP($A93,'Fuel economy adjusted factor'!$A$2:$F$52,4,FALSE)*INDEX('Year data'!$B$111:$AC$161,MATCH($A93,'Year data'!$A$111:$A$161,0),MATCH('TCO Inputs'!$AZ$12,'Year data'!$B$110:$AC$110,0))/(1+$AZ$41)^B$59</f>
        <v>2216.3813292933687</v>
      </c>
      <c r="C93" s="113">
        <f>VLOOKUP($A93,'VKT US'!$B$63:$AA$113,(C$59+1),FALSE)/VLOOKUP($A93,'Fuel economy adjusted factor'!$A$2:$F$52,4,FALSE)*INDEX('Year data'!$B$111:$AC$161,MATCH($A93,'Year data'!$A$111:$A$161,0),MATCH('TCO Inputs'!$AZ$12,'Year data'!$B$110:$AC$110,0))/(1+$AZ$41)^C$59</f>
        <v>2124.9599853521299</v>
      </c>
      <c r="D93" s="113">
        <f>VLOOKUP($A93,'VKT US'!$B$63:$AA$113,(D$59+1),FALSE)/VLOOKUP($A93,'Fuel economy adjusted factor'!$A$2:$F$52,4,FALSE)*INDEX('Year data'!$B$111:$AC$161,MATCH($A93,'Year data'!$A$111:$A$161,0),MATCH('TCO Inputs'!$AZ$12,'Year data'!$B$110:$AC$110,0))/(1+$AZ$41)^D$59</f>
        <v>2037.4261223191588</v>
      </c>
      <c r="E93" s="113">
        <f>VLOOKUP($A93,'VKT US'!$B$63:$AA$113,(E$59+1),FALSE)/VLOOKUP($A93,'Fuel economy adjusted factor'!$A$2:$F$52,4,FALSE)*INDEX('Year data'!$B$111:$AC$161,MATCH($A93,'Year data'!$A$111:$A$161,0),MATCH('TCO Inputs'!$AZ$12,'Year data'!$B$110:$AC$110,0))/(1+$AZ$41)^E$59</f>
        <v>1953.8306978379892</v>
      </c>
      <c r="F93" s="113">
        <f>VLOOKUP($A93,'VKT US'!$B$63:$AA$113,(F$59+1),FALSE)/VLOOKUP($A93,'Fuel economy adjusted factor'!$A$2:$F$52,4,FALSE)*INDEX('Year data'!$B$111:$AC$161,MATCH($A93,'Year data'!$A$111:$A$161,0),MATCH('TCO Inputs'!$AZ$12,'Year data'!$B$110:$AC$110,0))/(1+$AZ$41)^F$59</f>
        <v>1873.9144404505178</v>
      </c>
      <c r="G93" s="113">
        <f>VLOOKUP($A93,'VKT US'!$B$63:$AA$113,(G$59+1),FALSE)/VLOOKUP($A93,'Fuel economy adjusted factor'!$A$2:$F$52,4,FALSE)*INDEX('Year data'!$B$111:$AC$161,MATCH($A93,'Year data'!$A$111:$A$161,0),MATCH('TCO Inputs'!$AZ$12,'Year data'!$B$110:$AC$110,0))/(1+$AZ$41)^G$59</f>
        <v>1797.8798162889777</v>
      </c>
      <c r="H93" s="113">
        <f>VLOOKUP($A93,'VKT US'!$B$63:$AA$113,(H$59+1),FALSE)/VLOOKUP($A93,'Fuel economy adjusted factor'!$A$2:$F$52,4,FALSE)*INDEX('Year data'!$B$111:$AC$161,MATCH($A93,'Year data'!$A$111:$A$161,0),MATCH('TCO Inputs'!$AZ$12,'Year data'!$B$110:$AC$110,0))/(1+$AZ$41)^H$59</f>
        <v>1725.1723372733318</v>
      </c>
      <c r="I93" s="113">
        <f>VLOOKUP($A93,'VKT US'!$B$63:$AA$113,(I$59+1),FALSE)/VLOOKUP($A93,'Fuel economy adjusted factor'!$A$2:$F$52,4,FALSE)*INDEX('Year data'!$B$111:$AC$161,MATCH($A93,'Year data'!$A$111:$A$161,0),MATCH('TCO Inputs'!$AZ$12,'Year data'!$B$110:$AC$110,0))/(1+$AZ$41)^I$59</f>
        <v>1655.9969680585057</v>
      </c>
      <c r="J93" s="113">
        <f>VLOOKUP($A93,'VKT US'!$B$63:$AA$113,(J$59+1),FALSE)/VLOOKUP($A93,'Fuel economy adjusted factor'!$A$2:$F$52,4,FALSE)*INDEX('Year data'!$B$111:$AC$161,MATCH($A93,'Year data'!$A$111:$A$161,0),MATCH('TCO Inputs'!$AZ$12,'Year data'!$B$110:$AC$110,0))/(1+$AZ$41)^J$59</f>
        <v>1590.2557320993251</v>
      </c>
      <c r="K93" s="113">
        <f>VLOOKUP($A93,'VKT US'!$B$63:$AA$113,(K$59+1),FALSE)/VLOOKUP($A93,'Fuel economy adjusted factor'!$A$2:$F$52,4,FALSE)*INDEX('Year data'!$B$111:$AC$161,MATCH($A93,'Year data'!$A$111:$A$161,0),MATCH('TCO Inputs'!$AZ$12,'Year data'!$B$110:$AC$110,0))/(1+$AZ$41)^K$59</f>
        <v>1527.8527695049138</v>
      </c>
      <c r="L93" s="113">
        <f>VLOOKUP($A93,'VKT US'!$B$63:$AA$113,(L$59+1),FALSE)/VLOOKUP($A93,'Fuel economy adjusted factor'!$A$2:$F$52,4,FALSE)*INDEX('Year data'!$B$111:$AC$161,MATCH($A93,'Year data'!$A$111:$A$161,0),MATCH('TCO Inputs'!$AZ$12,'Year data'!$B$110:$AC$110,0))/(1+$AZ$41)^L$59</f>
        <v>1468.5522845829644</v>
      </c>
      <c r="M93" s="113">
        <f>VLOOKUP($A93,'VKT US'!$B$63:$AA$113,(M$59+1),FALSE)/VLOOKUP($A93,'Fuel economy adjusted factor'!$A$2:$F$52,4,FALSE)*INDEX('Year data'!$B$111:$AC$161,MATCH($A93,'Year data'!$A$111:$A$161,0),MATCH('TCO Inputs'!$AZ$12,'Year data'!$B$110:$AC$110,0))/(1+$AZ$41)^M$59</f>
        <v>1412.4079123554325</v>
      </c>
      <c r="N93" s="113">
        <f>VLOOKUP($A93,'VKT US'!$B$63:$AA$113,(N$59+1),FALSE)/VLOOKUP($A93,'Fuel economy adjusted factor'!$A$2:$F$52,4,FALSE)*INDEX('Year data'!$B$111:$AC$161,MATCH($A93,'Year data'!$A$111:$A$161,0),MATCH('TCO Inputs'!$AZ$12,'Year data'!$B$110:$AC$110,0))/(1+$AZ$41)^N$59</f>
        <v>1359.1911819132113</v>
      </c>
      <c r="O93" s="113">
        <f>VLOOKUP($A93,'VKT US'!$B$63:$AA$113,(O$59+1),FALSE)/VLOOKUP($A93,'Fuel economy adjusted factor'!$A$2:$F$52,4,FALSE)*INDEX('Year data'!$B$111:$AC$161,MATCH($A93,'Year data'!$A$111:$A$161,0),MATCH('TCO Inputs'!$AZ$12,'Year data'!$B$110:$AC$110,0))/(1+$AZ$41)^O$59</f>
        <v>1308.9562024545394</v>
      </c>
      <c r="P93" s="113">
        <f>VLOOKUP($A93,'VKT US'!$B$63:$AA$113,(P$59+1),FALSE)/VLOOKUP($A93,'Fuel economy adjusted factor'!$A$2:$F$52,4,FALSE)*INDEX('Year data'!$B$111:$AC$161,MATCH($A93,'Year data'!$A$111:$A$161,0),MATCH('TCO Inputs'!$AZ$12,'Year data'!$B$110:$AC$110,0))/(1+$AZ$41)^P$59</f>
        <v>1261.481600907289</v>
      </c>
      <c r="Q93" s="113">
        <f>VLOOKUP($A93,'VKT US'!$B$63:$AA$113,(Q$59+1),FALSE)/VLOOKUP($A93,'Fuel economy adjusted factor'!$A$2:$F$52,4,FALSE)*INDEX('Year data'!$B$111:$AC$161,MATCH($A93,'Year data'!$A$111:$A$161,0),MATCH('TCO Inputs'!$AZ$12,'Year data'!$B$110:$AC$110,0))/(1+$AZ$41)^Q$59</f>
        <v>1216.9556861986632</v>
      </c>
      <c r="R93" s="113">
        <f>VLOOKUP($A93,'VKT US'!$B$63:$AA$113,(R$59+1),FALSE)/VLOOKUP($A93,'Fuel economy adjusted factor'!$A$2:$F$52,4,FALSE)*INDEX('Year data'!$B$111:$AC$161,MATCH($A93,'Year data'!$A$111:$A$161,0),MATCH('TCO Inputs'!$AZ$12,'Year data'!$B$110:$AC$110,0))/(1+$AZ$41)^R$59</f>
        <v>1174.8947962236277</v>
      </c>
      <c r="S93" s="113">
        <f>VLOOKUP($A93,'VKT US'!$B$63:$AA$113,(S$59+1),FALSE)/VLOOKUP($A93,'Fuel economy adjusted factor'!$A$2:$F$52,4,FALSE)*INDEX('Year data'!$B$111:$AC$161,MATCH($A93,'Year data'!$A$111:$A$161,0),MATCH('TCO Inputs'!$AZ$12,'Year data'!$B$110:$AC$110,0))/(1+$AZ$41)^S$59</f>
        <v>1135.6198292451868</v>
      </c>
      <c r="T93" s="113">
        <f>VLOOKUP($A93,'VKT US'!$B$63:$AA$113,(T$59+1),FALSE)/VLOOKUP($A93,'Fuel economy adjusted factor'!$A$2:$F$52,4,FALSE)*INDEX('Year data'!$B$111:$AC$161,MATCH($A93,'Year data'!$A$111:$A$161,0),MATCH('TCO Inputs'!$AZ$12,'Year data'!$B$110:$AC$110,0))/(1+$AZ$41)^T$59</f>
        <v>1098.6601330116803</v>
      </c>
      <c r="U93" s="113">
        <f>VLOOKUP($A93,'VKT US'!$B$63:$AA$113,(U$59+1),FALSE)/VLOOKUP($A93,'Fuel economy adjusted factor'!$A$2:$F$52,4,FALSE)*INDEX('Year data'!$B$111:$AC$161,MATCH($A93,'Year data'!$A$111:$A$161,0),MATCH('TCO Inputs'!$AZ$12,'Year data'!$B$110:$AC$110,0))/(1+$AZ$41)^U$59</f>
        <v>1064.330623267989</v>
      </c>
      <c r="V93" s="110" cm="1">
        <f t="array" ref="V93">SUMPRODUCT(INDEX(B93:U93,,_xlfn.SEQUENCE($AZ$13)))</f>
        <v>24052.777779784366</v>
      </c>
    </row>
    <row r="94" spans="1:52" x14ac:dyDescent="0.25">
      <c r="A94" s="102" t="s">
        <v>217</v>
      </c>
      <c r="B94" s="113">
        <f>VLOOKUP($A94,'VKT US'!$B$63:$AA$113,(B$59+1),FALSE)/VLOOKUP($A94,'Fuel economy adjusted factor'!$A$2:$F$52,4,FALSE)*INDEX('Year data'!$B$111:$AC$161,MATCH($A94,'Year data'!$A$111:$A$161,0),MATCH('TCO Inputs'!$AZ$12,'Year data'!$B$110:$AC$110,0))/(1+$AZ$41)^B$59</f>
        <v>1737.3079639319531</v>
      </c>
      <c r="C94" s="113">
        <f>VLOOKUP($A94,'VKT US'!$B$63:$AA$113,(C$59+1),FALSE)/VLOOKUP($A94,'Fuel economy adjusted factor'!$A$2:$F$52,4,FALSE)*INDEX('Year data'!$B$111:$AC$161,MATCH($A94,'Year data'!$A$111:$A$161,0),MATCH('TCO Inputs'!$AZ$12,'Year data'!$B$110:$AC$110,0))/(1+$AZ$41)^C$59</f>
        <v>1665.6474482962644</v>
      </c>
      <c r="D94" s="113">
        <f>VLOOKUP($A94,'VKT US'!$B$63:$AA$113,(D$59+1),FALSE)/VLOOKUP($A94,'Fuel economy adjusted factor'!$A$2:$F$52,4,FALSE)*INDEX('Year data'!$B$111:$AC$161,MATCH($A94,'Year data'!$A$111:$A$161,0),MATCH('TCO Inputs'!$AZ$12,'Year data'!$B$110:$AC$110,0))/(1+$AZ$41)^D$59</f>
        <v>1597.0341301136059</v>
      </c>
      <c r="E94" s="113">
        <f>VLOOKUP($A94,'VKT US'!$B$63:$AA$113,(E$59+1),FALSE)/VLOOKUP($A94,'Fuel economy adjusted factor'!$A$2:$F$52,4,FALSE)*INDEX('Year data'!$B$111:$AC$161,MATCH($A94,'Year data'!$A$111:$A$161,0),MATCH('TCO Inputs'!$AZ$12,'Year data'!$B$110:$AC$110,0))/(1+$AZ$41)^E$59</f>
        <v>1531.5079524744394</v>
      </c>
      <c r="F94" s="113">
        <f>VLOOKUP($A94,'VKT US'!$B$63:$AA$113,(F$59+1),FALSE)/VLOOKUP($A94,'Fuel economy adjusted factor'!$A$2:$F$52,4,FALSE)*INDEX('Year data'!$B$111:$AC$161,MATCH($A94,'Year data'!$A$111:$A$161,0),MATCH('TCO Inputs'!$AZ$12,'Year data'!$B$110:$AC$110,0))/(1+$AZ$41)^F$59</f>
        <v>1468.8656857435813</v>
      </c>
      <c r="G94" s="113">
        <f>VLOOKUP($A94,'VKT US'!$B$63:$AA$113,(G$59+1),FALSE)/VLOOKUP($A94,'Fuel economy adjusted factor'!$A$2:$F$52,4,FALSE)*INDEX('Year data'!$B$111:$AC$161,MATCH($A94,'Year data'!$A$111:$A$161,0),MATCH('TCO Inputs'!$AZ$12,'Year data'!$B$110:$AC$110,0))/(1+$AZ$41)^G$59</f>
        <v>1409.2660327666583</v>
      </c>
      <c r="H94" s="113">
        <f>VLOOKUP($A94,'VKT US'!$B$63:$AA$113,(H$59+1),FALSE)/VLOOKUP($A94,'Fuel economy adjusted factor'!$A$2:$F$52,4,FALSE)*INDEX('Year data'!$B$111:$AC$161,MATCH($A94,'Year data'!$A$111:$A$161,0),MATCH('TCO Inputs'!$AZ$12,'Year data'!$B$110:$AC$110,0))/(1+$AZ$41)^H$59</f>
        <v>1352.2743586978422</v>
      </c>
      <c r="I94" s="113">
        <f>VLOOKUP($A94,'VKT US'!$B$63:$AA$113,(I$59+1),FALSE)/VLOOKUP($A94,'Fuel economy adjusted factor'!$A$2:$F$52,4,FALSE)*INDEX('Year data'!$B$111:$AC$161,MATCH($A94,'Year data'!$A$111:$A$161,0),MATCH('TCO Inputs'!$AZ$12,'Year data'!$B$110:$AC$110,0))/(1+$AZ$41)^I$59</f>
        <v>1298.051324846909</v>
      </c>
      <c r="J94" s="113">
        <f>VLOOKUP($A94,'VKT US'!$B$63:$AA$113,(J$59+1),FALSE)/VLOOKUP($A94,'Fuel economy adjusted factor'!$A$2:$F$52,4,FALSE)*INDEX('Year data'!$B$111:$AC$161,MATCH($A94,'Year data'!$A$111:$A$161,0),MATCH('TCO Inputs'!$AZ$12,'Year data'!$B$110:$AC$110,0))/(1+$AZ$41)^J$59</f>
        <v>1246.5201324112518</v>
      </c>
      <c r="K94" s="113">
        <f>VLOOKUP($A94,'VKT US'!$B$63:$AA$113,(K$59+1),FALSE)/VLOOKUP($A94,'Fuel economy adjusted factor'!$A$2:$F$52,4,FALSE)*INDEX('Year data'!$B$111:$AC$161,MATCH($A94,'Year data'!$A$111:$A$161,0),MATCH('TCO Inputs'!$AZ$12,'Year data'!$B$110:$AC$110,0))/(1+$AZ$41)^K$59</f>
        <v>1197.6056417253087</v>
      </c>
      <c r="L94" s="113">
        <f>VLOOKUP($A94,'VKT US'!$B$63:$AA$113,(L$59+1),FALSE)/VLOOKUP($A94,'Fuel economy adjusted factor'!$A$2:$F$52,4,FALSE)*INDEX('Year data'!$B$111:$AC$161,MATCH($A94,'Year data'!$A$111:$A$161,0),MATCH('TCO Inputs'!$AZ$12,'Year data'!$B$110:$AC$110,0))/(1+$AZ$41)^L$59</f>
        <v>1151.1230246059993</v>
      </c>
      <c r="M94" s="113">
        <f>VLOOKUP($A94,'VKT US'!$B$63:$AA$113,(M$59+1),FALSE)/VLOOKUP($A94,'Fuel economy adjusted factor'!$A$2:$F$52,4,FALSE)*INDEX('Year data'!$B$111:$AC$161,MATCH($A94,'Year data'!$A$111:$A$161,0),MATCH('TCO Inputs'!$AZ$12,'Year data'!$B$110:$AC$110,0))/(1+$AZ$41)^M$59</f>
        <v>1107.1143228037922</v>
      </c>
      <c r="N94" s="113">
        <f>VLOOKUP($A94,'VKT US'!$B$63:$AA$113,(N$59+1),FALSE)/VLOOKUP($A94,'Fuel economy adjusted factor'!$A$2:$F$52,4,FALSE)*INDEX('Year data'!$B$111:$AC$161,MATCH($A94,'Year data'!$A$111:$A$161,0),MATCH('TCO Inputs'!$AZ$12,'Year data'!$B$110:$AC$110,0))/(1+$AZ$41)^N$59</f>
        <v>1065.4004496585214</v>
      </c>
      <c r="O94" s="113">
        <f>VLOOKUP($A94,'VKT US'!$B$63:$AA$113,(O$59+1),FALSE)/VLOOKUP($A94,'Fuel economy adjusted factor'!$A$2:$F$52,4,FALSE)*INDEX('Year data'!$B$111:$AC$161,MATCH($A94,'Year data'!$A$111:$A$161,0),MATCH('TCO Inputs'!$AZ$12,'Year data'!$B$110:$AC$110,0))/(1+$AZ$41)^O$59</f>
        <v>1026.0238186031904</v>
      </c>
      <c r="P94" s="113">
        <f>VLOOKUP($A94,'VKT US'!$B$63:$AA$113,(P$59+1),FALSE)/VLOOKUP($A94,'Fuel economy adjusted factor'!$A$2:$F$52,4,FALSE)*INDEX('Year data'!$B$111:$AC$161,MATCH($A94,'Year data'!$A$111:$A$161,0),MATCH('TCO Inputs'!$AZ$12,'Year data'!$B$110:$AC$110,0))/(1+$AZ$41)^P$59</f>
        <v>988.81090660901202</v>
      </c>
      <c r="Q94" s="113">
        <f>VLOOKUP($A94,'VKT US'!$B$63:$AA$113,(Q$59+1),FALSE)/VLOOKUP($A94,'Fuel economy adjusted factor'!$A$2:$F$52,4,FALSE)*INDEX('Year data'!$B$111:$AC$161,MATCH($A94,'Year data'!$A$111:$A$161,0),MATCH('TCO Inputs'!$AZ$12,'Year data'!$B$110:$AC$110,0))/(1+$AZ$41)^Q$59</f>
        <v>953.90931941268195</v>
      </c>
      <c r="R94" s="113">
        <f>VLOOKUP($A94,'VKT US'!$B$63:$AA$113,(R$59+1),FALSE)/VLOOKUP($A94,'Fuel economy adjusted factor'!$A$2:$F$52,4,FALSE)*INDEX('Year data'!$B$111:$AC$161,MATCH($A94,'Year data'!$A$111:$A$161,0),MATCH('TCO Inputs'!$AZ$12,'Year data'!$B$110:$AC$110,0))/(1+$AZ$41)^R$59</f>
        <v>920.93993902767761</v>
      </c>
      <c r="S94" s="113">
        <f>VLOOKUP($A94,'VKT US'!$B$63:$AA$113,(S$59+1),FALSE)/VLOOKUP($A94,'Fuel economy adjusted factor'!$A$2:$F$52,4,FALSE)*INDEX('Year data'!$B$111:$AC$161,MATCH($A94,'Year data'!$A$111:$A$161,0),MATCH('TCO Inputs'!$AZ$12,'Year data'!$B$110:$AC$110,0))/(1+$AZ$41)^S$59</f>
        <v>890.15430118955157</v>
      </c>
      <c r="T94" s="113">
        <f>VLOOKUP($A94,'VKT US'!$B$63:$AA$113,(T$59+1),FALSE)/VLOOKUP($A94,'Fuel economy adjusted factor'!$A$2:$F$52,4,FALSE)*INDEX('Year data'!$B$111:$AC$161,MATCH($A94,'Year data'!$A$111:$A$161,0),MATCH('TCO Inputs'!$AZ$12,'Year data'!$B$110:$AC$110,0))/(1+$AZ$41)^T$59</f>
        <v>861.18348567043302</v>
      </c>
      <c r="U94" s="113">
        <f>VLOOKUP($A94,'VKT US'!$B$63:$AA$113,(U$59+1),FALSE)/VLOOKUP($A94,'Fuel economy adjusted factor'!$A$2:$F$52,4,FALSE)*INDEX('Year data'!$B$111:$AC$161,MATCH($A94,'Year data'!$A$111:$A$161,0),MATCH('TCO Inputs'!$AZ$12,'Year data'!$B$110:$AC$110,0))/(1+$AZ$41)^U$59</f>
        <v>834.27433881590275</v>
      </c>
      <c r="V94" s="110" cm="1">
        <f t="array" ref="V94">SUMPRODUCT(INDEX(B94:U94,,_xlfn.SEQUENCE($AZ$13)))</f>
        <v>18853.742286679317</v>
      </c>
    </row>
    <row r="95" spans="1:52" x14ac:dyDescent="0.25">
      <c r="A95" s="102" t="s">
        <v>218</v>
      </c>
      <c r="B95" s="113">
        <f>VLOOKUP($A95,'VKT US'!$B$63:$AA$113,(B$59+1),FALSE)/VLOOKUP($A95,'Fuel economy adjusted factor'!$A$2:$F$52,4,FALSE)*INDEX('Year data'!$B$111:$AC$161,MATCH($A95,'Year data'!$A$111:$A$161,0),MATCH('TCO Inputs'!$AZ$12,'Year data'!$B$110:$AC$110,0))/(1+$AZ$41)^B$59</f>
        <v>2134.9113164292949</v>
      </c>
      <c r="C95" s="113">
        <f>VLOOKUP($A95,'VKT US'!$B$63:$AA$113,(C$59+1),FALSE)/VLOOKUP($A95,'Fuel economy adjusted factor'!$A$2:$F$52,4,FALSE)*INDEX('Year data'!$B$111:$AC$161,MATCH($A95,'Year data'!$A$111:$A$161,0),MATCH('TCO Inputs'!$AZ$12,'Year data'!$B$110:$AC$110,0))/(1+$AZ$41)^C$59</f>
        <v>2046.8504493015464</v>
      </c>
      <c r="D95" s="113">
        <f>VLOOKUP($A95,'VKT US'!$B$63:$AA$113,(D$59+1),FALSE)/VLOOKUP($A95,'Fuel economy adjusted factor'!$A$2:$F$52,4,FALSE)*INDEX('Year data'!$B$111:$AC$161,MATCH($A95,'Year data'!$A$111:$A$161,0),MATCH('TCO Inputs'!$AZ$12,'Year data'!$B$110:$AC$110,0))/(1+$AZ$41)^D$59</f>
        <v>1962.5341665888409</v>
      </c>
      <c r="E95" s="113">
        <f>VLOOKUP($A95,'VKT US'!$B$63:$AA$113,(E$59+1),FALSE)/VLOOKUP($A95,'Fuel economy adjusted factor'!$A$2:$F$52,4,FALSE)*INDEX('Year data'!$B$111:$AC$161,MATCH($A95,'Year data'!$A$111:$A$161,0),MATCH('TCO Inputs'!$AZ$12,'Year data'!$B$110:$AC$110,0))/(1+$AZ$41)^E$59</f>
        <v>1882.0115528274894</v>
      </c>
      <c r="F95" s="113">
        <f>VLOOKUP($A95,'VKT US'!$B$63:$AA$113,(F$59+1),FALSE)/VLOOKUP($A95,'Fuel economy adjusted factor'!$A$2:$F$52,4,FALSE)*INDEX('Year data'!$B$111:$AC$161,MATCH($A95,'Year data'!$A$111:$A$161,0),MATCH('TCO Inputs'!$AZ$12,'Year data'!$B$110:$AC$110,0))/(1+$AZ$41)^F$59</f>
        <v>1805.0328668909933</v>
      </c>
      <c r="G95" s="113">
        <f>VLOOKUP($A95,'VKT US'!$B$63:$AA$113,(G$59+1),FALSE)/VLOOKUP($A95,'Fuel economy adjusted factor'!$A$2:$F$52,4,FALSE)*INDEX('Year data'!$B$111:$AC$161,MATCH($A95,'Year data'!$A$111:$A$161,0),MATCH('TCO Inputs'!$AZ$12,'Year data'!$B$110:$AC$110,0))/(1+$AZ$41)^G$59</f>
        <v>1731.7931326370176</v>
      </c>
      <c r="H95" s="113">
        <f>VLOOKUP($A95,'VKT US'!$B$63:$AA$113,(H$59+1),FALSE)/VLOOKUP($A95,'Fuel economy adjusted factor'!$A$2:$F$52,4,FALSE)*INDEX('Year data'!$B$111:$AC$161,MATCH($A95,'Year data'!$A$111:$A$161,0),MATCH('TCO Inputs'!$AZ$12,'Year data'!$B$110:$AC$110,0))/(1+$AZ$41)^H$59</f>
        <v>1661.7582439254088</v>
      </c>
      <c r="I95" s="113">
        <f>VLOOKUP($A95,'VKT US'!$B$63:$AA$113,(I$59+1),FALSE)/VLOOKUP($A95,'Fuel economy adjusted factor'!$A$2:$F$52,4,FALSE)*INDEX('Year data'!$B$111:$AC$161,MATCH($A95,'Year data'!$A$111:$A$161,0),MATCH('TCO Inputs'!$AZ$12,'Year data'!$B$110:$AC$110,0))/(1+$AZ$41)^I$59</f>
        <v>1595.1256312955275</v>
      </c>
      <c r="J95" s="113">
        <f>VLOOKUP($A95,'VKT US'!$B$63:$AA$113,(J$59+1),FALSE)/VLOOKUP($A95,'Fuel economy adjusted factor'!$A$2:$F$52,4,FALSE)*INDEX('Year data'!$B$111:$AC$161,MATCH($A95,'Year data'!$A$111:$A$161,0),MATCH('TCO Inputs'!$AZ$12,'Year data'!$B$110:$AC$110,0))/(1+$AZ$41)^J$59</f>
        <v>1531.8009196358919</v>
      </c>
      <c r="K95" s="113">
        <f>VLOOKUP($A95,'VKT US'!$B$63:$AA$113,(K$59+1),FALSE)/VLOOKUP($A95,'Fuel economy adjusted factor'!$A$2:$F$52,4,FALSE)*INDEX('Year data'!$B$111:$AC$161,MATCH($A95,'Year data'!$A$111:$A$161,0),MATCH('TCO Inputs'!$AZ$12,'Year data'!$B$110:$AC$110,0))/(1+$AZ$41)^K$59</f>
        <v>1471.6917726850832</v>
      </c>
      <c r="L95" s="113">
        <f>VLOOKUP($A95,'VKT US'!$B$63:$AA$113,(L$59+1),FALSE)/VLOOKUP($A95,'Fuel economy adjusted factor'!$A$2:$F$52,4,FALSE)*INDEX('Year data'!$B$111:$AC$161,MATCH($A95,'Year data'!$A$111:$A$161,0),MATCH('TCO Inputs'!$AZ$12,'Year data'!$B$110:$AC$110,0))/(1+$AZ$41)^L$59</f>
        <v>1414.5710621573612</v>
      </c>
      <c r="M95" s="113">
        <f>VLOOKUP($A95,'VKT US'!$B$63:$AA$113,(M$59+1),FALSE)/VLOOKUP($A95,'Fuel economy adjusted factor'!$A$2:$F$52,4,FALSE)*INDEX('Year data'!$B$111:$AC$161,MATCH($A95,'Year data'!$A$111:$A$161,0),MATCH('TCO Inputs'!$AZ$12,'Year data'!$B$110:$AC$110,0))/(1+$AZ$41)^M$59</f>
        <v>1360.4904515520591</v>
      </c>
      <c r="N95" s="113">
        <f>VLOOKUP($A95,'VKT US'!$B$63:$AA$113,(N$59+1),FALSE)/VLOOKUP($A95,'Fuel economy adjusted factor'!$A$2:$F$52,4,FALSE)*INDEX('Year data'!$B$111:$AC$161,MATCH($A95,'Year data'!$A$111:$A$161,0),MATCH('TCO Inputs'!$AZ$12,'Year data'!$B$110:$AC$110,0))/(1+$AZ$41)^N$59</f>
        <v>1309.2298681213697</v>
      </c>
      <c r="O95" s="113">
        <f>VLOOKUP($A95,'VKT US'!$B$63:$AA$113,(O$59+1),FALSE)/VLOOKUP($A95,'Fuel economy adjusted factor'!$A$2:$F$52,4,FALSE)*INDEX('Year data'!$B$111:$AC$161,MATCH($A95,'Year data'!$A$111:$A$161,0),MATCH('TCO Inputs'!$AZ$12,'Year data'!$B$110:$AC$110,0))/(1+$AZ$41)^O$59</f>
        <v>1260.8414321110804</v>
      </c>
      <c r="P95" s="113">
        <f>VLOOKUP($A95,'VKT US'!$B$63:$AA$113,(P$59+1),FALSE)/VLOOKUP($A95,'Fuel economy adjusted factor'!$A$2:$F$52,4,FALSE)*INDEX('Year data'!$B$111:$AC$161,MATCH($A95,'Year data'!$A$111:$A$161,0),MATCH('TCO Inputs'!$AZ$12,'Year data'!$B$110:$AC$110,0))/(1+$AZ$41)^P$59</f>
        <v>1215.1119077072133</v>
      </c>
      <c r="Q95" s="113">
        <f>VLOOKUP($A95,'VKT US'!$B$63:$AA$113,(Q$59+1),FALSE)/VLOOKUP($A95,'Fuel economy adjusted factor'!$A$2:$F$52,4,FALSE)*INDEX('Year data'!$B$111:$AC$161,MATCH($A95,'Year data'!$A$111:$A$161,0),MATCH('TCO Inputs'!$AZ$12,'Year data'!$B$110:$AC$110,0))/(1+$AZ$41)^Q$59</f>
        <v>1172.2226819546586</v>
      </c>
      <c r="R95" s="113">
        <f>VLOOKUP($A95,'VKT US'!$B$63:$AA$113,(R$59+1),FALSE)/VLOOKUP($A95,'Fuel economy adjusted factor'!$A$2:$F$52,4,FALSE)*INDEX('Year data'!$B$111:$AC$161,MATCH($A95,'Year data'!$A$111:$A$161,0),MATCH('TCO Inputs'!$AZ$12,'Year data'!$B$110:$AC$110,0))/(1+$AZ$41)^R$59</f>
        <v>1131.7078712585137</v>
      </c>
      <c r="S95" s="113">
        <f>VLOOKUP($A95,'VKT US'!$B$63:$AA$113,(S$59+1),FALSE)/VLOOKUP($A95,'Fuel economy adjusted factor'!$A$2:$F$52,4,FALSE)*INDEX('Year data'!$B$111:$AC$161,MATCH($A95,'Year data'!$A$111:$A$161,0),MATCH('TCO Inputs'!$AZ$12,'Year data'!$B$110:$AC$110,0))/(1+$AZ$41)^S$59</f>
        <v>1093.8765782646346</v>
      </c>
      <c r="T95" s="113">
        <f>VLOOKUP($A95,'VKT US'!$B$63:$AA$113,(T$59+1),FALSE)/VLOOKUP($A95,'Fuel economy adjusted factor'!$A$2:$F$52,4,FALSE)*INDEX('Year data'!$B$111:$AC$161,MATCH($A95,'Year data'!$A$111:$A$161,0),MATCH('TCO Inputs'!$AZ$12,'Year data'!$B$110:$AC$110,0))/(1+$AZ$41)^T$59</f>
        <v>1058.2754510137299</v>
      </c>
      <c r="U95" s="113">
        <f>VLOOKUP($A95,'VKT US'!$B$63:$AA$113,(U$59+1),FALSE)/VLOOKUP($A95,'Fuel economy adjusted factor'!$A$2:$F$52,4,FALSE)*INDEX('Year data'!$B$111:$AC$161,MATCH($A95,'Year data'!$A$111:$A$161,0),MATCH('TCO Inputs'!$AZ$12,'Year data'!$B$110:$AC$110,0))/(1+$AZ$41)^U$59</f>
        <v>1025.2078295396568</v>
      </c>
      <c r="V95" s="110" cm="1">
        <f t="array" ref="V95">SUMPRODUCT(INDEX(B95:U95,,_xlfn.SEQUENCE($AZ$13)))</f>
        <v>23168.64286615896</v>
      </c>
    </row>
    <row r="96" spans="1:52" x14ac:dyDescent="0.25">
      <c r="A96" s="102" t="s">
        <v>219</v>
      </c>
      <c r="B96" s="113">
        <f>VLOOKUP($A96,'VKT US'!$B$63:$AA$113,(B$59+1),FALSE)/VLOOKUP($A96,'Fuel economy adjusted factor'!$A$2:$F$52,4,FALSE)*INDEX('Year data'!$B$111:$AC$161,MATCH($A96,'Year data'!$A$111:$A$161,0),MATCH('TCO Inputs'!$AZ$12,'Year data'!$B$110:$AC$110,0))/(1+$AZ$41)^B$59</f>
        <v>2004.6718754849162</v>
      </c>
      <c r="C96" s="113">
        <f>VLOOKUP($A96,'VKT US'!$B$63:$AA$113,(C$59+1),FALSE)/VLOOKUP($A96,'Fuel economy adjusted factor'!$A$2:$F$52,4,FALSE)*INDEX('Year data'!$B$111:$AC$161,MATCH($A96,'Year data'!$A$111:$A$161,0),MATCH('TCO Inputs'!$AZ$12,'Year data'!$B$110:$AC$110,0))/(1+$AZ$41)^C$59</f>
        <v>1921.9831275714578</v>
      </c>
      <c r="D96" s="113">
        <f>VLOOKUP($A96,'VKT US'!$B$63:$AA$113,(D$59+1),FALSE)/VLOOKUP($A96,'Fuel economy adjusted factor'!$A$2:$F$52,4,FALSE)*INDEX('Year data'!$B$111:$AC$161,MATCH($A96,'Year data'!$A$111:$A$161,0),MATCH('TCO Inputs'!$AZ$12,'Year data'!$B$110:$AC$110,0))/(1+$AZ$41)^D$59</f>
        <v>1842.810527145929</v>
      </c>
      <c r="E96" s="113">
        <f>VLOOKUP($A96,'VKT US'!$B$63:$AA$113,(E$59+1),FALSE)/VLOOKUP($A96,'Fuel economy adjusted factor'!$A$2:$F$52,4,FALSE)*INDEX('Year data'!$B$111:$AC$161,MATCH($A96,'Year data'!$A$111:$A$161,0),MATCH('TCO Inputs'!$AZ$12,'Year data'!$B$110:$AC$110,0))/(1+$AZ$41)^E$59</f>
        <v>1767.2001643614465</v>
      </c>
      <c r="F96" s="113">
        <f>VLOOKUP($A96,'VKT US'!$B$63:$AA$113,(F$59+1),FALSE)/VLOOKUP($A96,'Fuel economy adjusted factor'!$A$2:$F$52,4,FALSE)*INDEX('Year data'!$B$111:$AC$161,MATCH($A96,'Year data'!$A$111:$A$161,0),MATCH('TCO Inputs'!$AZ$12,'Year data'!$B$110:$AC$110,0))/(1+$AZ$41)^F$59</f>
        <v>1694.9175334525526</v>
      </c>
      <c r="G96" s="113">
        <f>VLOOKUP($A96,'VKT US'!$B$63:$AA$113,(G$59+1),FALSE)/VLOOKUP($A96,'Fuel economy adjusted factor'!$A$2:$F$52,4,FALSE)*INDEX('Year data'!$B$111:$AC$161,MATCH($A96,'Year data'!$A$111:$A$161,0),MATCH('TCO Inputs'!$AZ$12,'Year data'!$B$110:$AC$110,0))/(1+$AZ$41)^G$59</f>
        <v>1626.1457609217393</v>
      </c>
      <c r="H96" s="113">
        <f>VLOOKUP($A96,'VKT US'!$B$63:$AA$113,(H$59+1),FALSE)/VLOOKUP($A96,'Fuel economy adjusted factor'!$A$2:$F$52,4,FALSE)*INDEX('Year data'!$B$111:$AC$161,MATCH($A96,'Year data'!$A$111:$A$161,0),MATCH('TCO Inputs'!$AZ$12,'Year data'!$B$110:$AC$110,0))/(1+$AZ$41)^H$59</f>
        <v>1560.3833235678092</v>
      </c>
      <c r="I96" s="113">
        <f>VLOOKUP($A96,'VKT US'!$B$63:$AA$113,(I$59+1),FALSE)/VLOOKUP($A96,'Fuel economy adjusted factor'!$A$2:$F$52,4,FALSE)*INDEX('Year data'!$B$111:$AC$161,MATCH($A96,'Year data'!$A$111:$A$161,0),MATCH('TCO Inputs'!$AZ$12,'Year data'!$B$110:$AC$110,0))/(1+$AZ$41)^I$59</f>
        <v>1497.8156077562621</v>
      </c>
      <c r="J96" s="113">
        <f>VLOOKUP($A96,'VKT US'!$B$63:$AA$113,(J$59+1),FALSE)/VLOOKUP($A96,'Fuel economy adjusted factor'!$A$2:$F$52,4,FALSE)*INDEX('Year data'!$B$111:$AC$161,MATCH($A96,'Year data'!$A$111:$A$161,0),MATCH('TCO Inputs'!$AZ$12,'Year data'!$B$110:$AC$110,0))/(1+$AZ$41)^J$59</f>
        <v>1438.3539956928703</v>
      </c>
      <c r="K96" s="113">
        <f>VLOOKUP($A96,'VKT US'!$B$63:$AA$113,(K$59+1),FALSE)/VLOOKUP($A96,'Fuel economy adjusted factor'!$A$2:$F$52,4,FALSE)*INDEX('Year data'!$B$111:$AC$161,MATCH($A96,'Year data'!$A$111:$A$161,0),MATCH('TCO Inputs'!$AZ$12,'Year data'!$B$110:$AC$110,0))/(1+$AZ$41)^K$59</f>
        <v>1381.9117840542092</v>
      </c>
      <c r="L96" s="113">
        <f>VLOOKUP($A96,'VKT US'!$B$63:$AA$113,(L$59+1),FALSE)/VLOOKUP($A96,'Fuel economy adjusted factor'!$A$2:$F$52,4,FALSE)*INDEX('Year data'!$B$111:$AC$161,MATCH($A96,'Year data'!$A$111:$A$161,0),MATCH('TCO Inputs'!$AZ$12,'Year data'!$B$110:$AC$110,0))/(1+$AZ$41)^L$59</f>
        <v>1328.275700427954</v>
      </c>
      <c r="M96" s="113">
        <f>VLOOKUP($A96,'VKT US'!$B$63:$AA$113,(M$59+1),FALSE)/VLOOKUP($A96,'Fuel economy adjusted factor'!$A$2:$F$52,4,FALSE)*INDEX('Year data'!$B$111:$AC$161,MATCH($A96,'Year data'!$A$111:$A$161,0),MATCH('TCO Inputs'!$AZ$12,'Year data'!$B$110:$AC$110,0))/(1+$AZ$41)^M$59</f>
        <v>1277.4942566016007</v>
      </c>
      <c r="N96" s="113">
        <f>VLOOKUP($A96,'VKT US'!$B$63:$AA$113,(N$59+1),FALSE)/VLOOKUP($A96,'Fuel economy adjusted factor'!$A$2:$F$52,4,FALSE)*INDEX('Year data'!$B$111:$AC$161,MATCH($A96,'Year data'!$A$111:$A$161,0),MATCH('TCO Inputs'!$AZ$12,'Year data'!$B$110:$AC$110,0))/(1+$AZ$41)^N$59</f>
        <v>1229.3608052803897</v>
      </c>
      <c r="O96" s="113">
        <f>VLOOKUP($A96,'VKT US'!$B$63:$AA$113,(O$59+1),FALSE)/VLOOKUP($A96,'Fuel economy adjusted factor'!$A$2:$F$52,4,FALSE)*INDEX('Year data'!$B$111:$AC$161,MATCH($A96,'Year data'!$A$111:$A$161,0),MATCH('TCO Inputs'!$AZ$12,'Year data'!$B$110:$AC$110,0))/(1+$AZ$41)^O$59</f>
        <v>1183.9242871346298</v>
      </c>
      <c r="P96" s="113">
        <f>VLOOKUP($A96,'VKT US'!$B$63:$AA$113,(P$59+1),FALSE)/VLOOKUP($A96,'Fuel economy adjusted factor'!$A$2:$F$52,4,FALSE)*INDEX('Year data'!$B$111:$AC$161,MATCH($A96,'Year data'!$A$111:$A$161,0),MATCH('TCO Inputs'!$AZ$12,'Year data'!$B$110:$AC$110,0))/(1+$AZ$41)^P$59</f>
        <v>1140.9844747188811</v>
      </c>
      <c r="Q96" s="113">
        <f>VLOOKUP($A96,'VKT US'!$B$63:$AA$113,(Q$59+1),FALSE)/VLOOKUP($A96,'Fuel economy adjusted factor'!$A$2:$F$52,4,FALSE)*INDEX('Year data'!$B$111:$AC$161,MATCH($A96,'Year data'!$A$111:$A$161,0),MATCH('TCO Inputs'!$AZ$12,'Year data'!$B$110:$AC$110,0))/(1+$AZ$41)^Q$59</f>
        <v>1100.7116896313617</v>
      </c>
      <c r="R96" s="113">
        <f>VLOOKUP($A96,'VKT US'!$B$63:$AA$113,(R$59+1),FALSE)/VLOOKUP($A96,'Fuel economy adjusted factor'!$A$2:$F$52,4,FALSE)*INDEX('Year data'!$B$111:$AC$161,MATCH($A96,'Year data'!$A$111:$A$161,0),MATCH('TCO Inputs'!$AZ$12,'Year data'!$B$110:$AC$110,0))/(1+$AZ$41)^R$59</f>
        <v>1062.6684693260806</v>
      </c>
      <c r="S96" s="113">
        <f>VLOOKUP($A96,'VKT US'!$B$63:$AA$113,(S$59+1),FALSE)/VLOOKUP($A96,'Fuel economy adjusted factor'!$A$2:$F$52,4,FALSE)*INDEX('Year data'!$B$111:$AC$161,MATCH($A96,'Year data'!$A$111:$A$161,0),MATCH('TCO Inputs'!$AZ$12,'Year data'!$B$110:$AC$110,0))/(1+$AZ$41)^S$59</f>
        <v>1027.1450597612738</v>
      </c>
      <c r="T96" s="113">
        <f>VLOOKUP($A96,'VKT US'!$B$63:$AA$113,(T$59+1),FALSE)/VLOOKUP($A96,'Fuel economy adjusted factor'!$A$2:$F$52,4,FALSE)*INDEX('Year data'!$B$111:$AC$161,MATCH($A96,'Year data'!$A$111:$A$161,0),MATCH('TCO Inputs'!$AZ$12,'Year data'!$B$110:$AC$110,0))/(1+$AZ$41)^T$59</f>
        <v>993.71576553896671</v>
      </c>
      <c r="U96" s="113">
        <f>VLOOKUP($A96,'VKT US'!$B$63:$AA$113,(U$59+1),FALSE)/VLOOKUP($A96,'Fuel economy adjusted factor'!$A$2:$F$52,4,FALSE)*INDEX('Year data'!$B$111:$AC$161,MATCH($A96,'Year data'!$A$111:$A$161,0),MATCH('TCO Inputs'!$AZ$12,'Year data'!$B$110:$AC$110,0))/(1+$AZ$41)^U$59</f>
        <v>962.66542155131685</v>
      </c>
      <c r="V96" s="110" cm="1">
        <f t="array" ref="V96">SUMPRODUCT(INDEX(B96:U96,,_xlfn.SEQUENCE($AZ$13)))</f>
        <v>21755.248749453764</v>
      </c>
    </row>
    <row r="97" spans="1:46" x14ac:dyDescent="0.25">
      <c r="A97" s="102" t="s">
        <v>220</v>
      </c>
      <c r="B97" s="113">
        <f>VLOOKUP($A97,'VKT US'!$B$63:$AA$113,(B$59+1),FALSE)/VLOOKUP($A97,'Fuel economy adjusted factor'!$A$2:$F$52,4,FALSE)*INDEX('Year data'!$B$111:$AC$161,MATCH($A97,'Year data'!$A$111:$A$161,0),MATCH('TCO Inputs'!$AZ$12,'Year data'!$B$110:$AC$110,0))/(1+$AZ$41)^B$59</f>
        <v>1479.0234636485538</v>
      </c>
      <c r="C97" s="113">
        <f>VLOOKUP($A97,'VKT US'!$B$63:$AA$113,(C$59+1),FALSE)/VLOOKUP($A97,'Fuel economy adjusted factor'!$A$2:$F$52,4,FALSE)*INDEX('Year data'!$B$111:$AC$161,MATCH($A97,'Year data'!$A$111:$A$161,0),MATCH('TCO Inputs'!$AZ$12,'Year data'!$B$110:$AC$110,0))/(1+$AZ$41)^C$59</f>
        <v>1418.016672542582</v>
      </c>
      <c r="D97" s="113">
        <f>VLOOKUP($A97,'VKT US'!$B$63:$AA$113,(D$59+1),FALSE)/VLOOKUP($A97,'Fuel economy adjusted factor'!$A$2:$F$52,4,FALSE)*INDEX('Year data'!$B$111:$AC$161,MATCH($A97,'Year data'!$A$111:$A$161,0),MATCH('TCO Inputs'!$AZ$12,'Year data'!$B$110:$AC$110,0))/(1+$AZ$41)^D$59</f>
        <v>1359.6040539293222</v>
      </c>
      <c r="E97" s="113">
        <f>VLOOKUP($A97,'VKT US'!$B$63:$AA$113,(E$59+1),FALSE)/VLOOKUP($A97,'Fuel economy adjusted factor'!$A$2:$F$52,4,FALSE)*INDEX('Year data'!$B$111:$AC$161,MATCH($A97,'Year data'!$A$111:$A$161,0),MATCH('TCO Inputs'!$AZ$12,'Year data'!$B$110:$AC$110,0))/(1+$AZ$41)^E$59</f>
        <v>1303.8196125846866</v>
      </c>
      <c r="F97" s="113">
        <f>VLOOKUP($A97,'VKT US'!$B$63:$AA$113,(F$59+1),FALSE)/VLOOKUP($A97,'Fuel economy adjusted factor'!$A$2:$F$52,4,FALSE)*INDEX('Year data'!$B$111:$AC$161,MATCH($A97,'Year data'!$A$111:$A$161,0),MATCH('TCO Inputs'!$AZ$12,'Year data'!$B$110:$AC$110,0))/(1+$AZ$41)^F$59</f>
        <v>1250.4903328976343</v>
      </c>
      <c r="G97" s="113">
        <f>VLOOKUP($A97,'VKT US'!$B$63:$AA$113,(G$59+1),FALSE)/VLOOKUP($A97,'Fuel economy adjusted factor'!$A$2:$F$52,4,FALSE)*INDEX('Year data'!$B$111:$AC$161,MATCH($A97,'Year data'!$A$111:$A$161,0),MATCH('TCO Inputs'!$AZ$12,'Year data'!$B$110:$AC$110,0))/(1+$AZ$41)^G$59</f>
        <v>1199.7513234599078</v>
      </c>
      <c r="H97" s="113">
        <f>VLOOKUP($A97,'VKT US'!$B$63:$AA$113,(H$59+1),FALSE)/VLOOKUP($A97,'Fuel economy adjusted factor'!$A$2:$F$52,4,FALSE)*INDEX('Year data'!$B$111:$AC$161,MATCH($A97,'Year data'!$A$111:$A$161,0),MATCH('TCO Inputs'!$AZ$12,'Year data'!$B$110:$AC$110,0))/(1+$AZ$41)^H$59</f>
        <v>1151.2325663193396</v>
      </c>
      <c r="I97" s="113">
        <f>VLOOKUP($A97,'VKT US'!$B$63:$AA$113,(I$59+1),FALSE)/VLOOKUP($A97,'Fuel economy adjusted factor'!$A$2:$F$52,4,FALSE)*INDEX('Year data'!$B$111:$AC$161,MATCH($A97,'Year data'!$A$111:$A$161,0),MATCH('TCO Inputs'!$AZ$12,'Year data'!$B$110:$AC$110,0))/(1+$AZ$41)^I$59</f>
        <v>1105.0708373681673</v>
      </c>
      <c r="J97" s="113">
        <f>VLOOKUP($A97,'VKT US'!$B$63:$AA$113,(J$59+1),FALSE)/VLOOKUP($A97,'Fuel economy adjusted factor'!$A$2:$F$52,4,FALSE)*INDEX('Year data'!$B$111:$AC$161,MATCH($A97,'Year data'!$A$111:$A$161,0),MATCH('TCO Inputs'!$AZ$12,'Year data'!$B$110:$AC$110,0))/(1+$AZ$41)^J$59</f>
        <v>1061.2007554342592</v>
      </c>
      <c r="K97" s="113">
        <f>VLOOKUP($A97,'VKT US'!$B$63:$AA$113,(K$59+1),FALSE)/VLOOKUP($A97,'Fuel economy adjusted factor'!$A$2:$F$52,4,FALSE)*INDEX('Year data'!$B$111:$AC$161,MATCH($A97,'Year data'!$A$111:$A$161,0),MATCH('TCO Inputs'!$AZ$12,'Year data'!$B$110:$AC$110,0))/(1+$AZ$41)^K$59</f>
        <v>1019.5583518196505</v>
      </c>
      <c r="L97" s="113">
        <f>VLOOKUP($A97,'VKT US'!$B$63:$AA$113,(L$59+1),FALSE)/VLOOKUP($A97,'Fuel economy adjusted factor'!$A$2:$F$52,4,FALSE)*INDEX('Year data'!$B$111:$AC$161,MATCH($A97,'Year data'!$A$111:$A$161,0),MATCH('TCO Inputs'!$AZ$12,'Year data'!$B$110:$AC$110,0))/(1+$AZ$41)^L$59</f>
        <v>979.98627663290301</v>
      </c>
      <c r="M97" s="113">
        <f>VLOOKUP($A97,'VKT US'!$B$63:$AA$113,(M$59+1),FALSE)/VLOOKUP($A97,'Fuel economy adjusted factor'!$A$2:$F$52,4,FALSE)*INDEX('Year data'!$B$111:$AC$161,MATCH($A97,'Year data'!$A$111:$A$161,0),MATCH('TCO Inputs'!$AZ$12,'Year data'!$B$110:$AC$110,0))/(1+$AZ$41)^M$59</f>
        <v>942.52032130345049</v>
      </c>
      <c r="N97" s="113">
        <f>VLOOKUP($A97,'VKT US'!$B$63:$AA$113,(N$59+1),FALSE)/VLOOKUP($A97,'Fuel economy adjusted factor'!$A$2:$F$52,4,FALSE)*INDEX('Year data'!$B$111:$AC$161,MATCH($A97,'Year data'!$A$111:$A$161,0),MATCH('TCO Inputs'!$AZ$12,'Year data'!$B$110:$AC$110,0))/(1+$AZ$41)^N$59</f>
        <v>907.00802387410909</v>
      </c>
      <c r="O97" s="113">
        <f>VLOOKUP($A97,'VKT US'!$B$63:$AA$113,(O$59+1),FALSE)/VLOOKUP($A97,'Fuel economy adjusted factor'!$A$2:$F$52,4,FALSE)*INDEX('Year data'!$B$111:$AC$161,MATCH($A97,'Year data'!$A$111:$A$161,0),MATCH('TCO Inputs'!$AZ$12,'Year data'!$B$110:$AC$110,0))/(1+$AZ$41)^O$59</f>
        <v>873.48549219903532</v>
      </c>
      <c r="P97" s="113">
        <f>VLOOKUP($A97,'VKT US'!$B$63:$AA$113,(P$59+1),FALSE)/VLOOKUP($A97,'Fuel economy adjusted factor'!$A$2:$F$52,4,FALSE)*INDEX('Year data'!$B$111:$AC$161,MATCH($A97,'Year data'!$A$111:$A$161,0),MATCH('TCO Inputs'!$AZ$12,'Year data'!$B$110:$AC$110,0))/(1+$AZ$41)^P$59</f>
        <v>841.80500081078867</v>
      </c>
      <c r="Q97" s="113">
        <f>VLOOKUP($A97,'VKT US'!$B$63:$AA$113,(Q$59+1),FALSE)/VLOOKUP($A97,'Fuel economy adjusted factor'!$A$2:$F$52,4,FALSE)*INDEX('Year data'!$B$111:$AC$161,MATCH($A97,'Year data'!$A$111:$A$161,0),MATCH('TCO Inputs'!$AZ$12,'Year data'!$B$110:$AC$110,0))/(1+$AZ$41)^Q$59</f>
        <v>812.09221099250067</v>
      </c>
      <c r="R97" s="113">
        <f>VLOOKUP($A97,'VKT US'!$B$63:$AA$113,(R$59+1),FALSE)/VLOOKUP($A97,'Fuel economy adjusted factor'!$A$2:$F$52,4,FALSE)*INDEX('Year data'!$B$111:$AC$161,MATCH($A97,'Year data'!$A$111:$A$161,0),MATCH('TCO Inputs'!$AZ$12,'Year data'!$B$110:$AC$110,0))/(1+$AZ$41)^R$59</f>
        <v>784.02436799417899</v>
      </c>
      <c r="S97" s="113">
        <f>VLOOKUP($A97,'VKT US'!$B$63:$AA$113,(S$59+1),FALSE)/VLOOKUP($A97,'Fuel economy adjusted factor'!$A$2:$F$52,4,FALSE)*INDEX('Year data'!$B$111:$AC$161,MATCH($A97,'Year data'!$A$111:$A$161,0),MATCH('TCO Inputs'!$AZ$12,'Year data'!$B$110:$AC$110,0))/(1+$AZ$41)^S$59</f>
        <v>757.81561188917408</v>
      </c>
      <c r="T97" s="113">
        <f>VLOOKUP($A97,'VKT US'!$B$63:$AA$113,(T$59+1),FALSE)/VLOOKUP($A97,'Fuel economy adjusted factor'!$A$2:$F$52,4,FALSE)*INDEX('Year data'!$B$111:$AC$161,MATCH($A97,'Year data'!$A$111:$A$161,0),MATCH('TCO Inputs'!$AZ$12,'Year data'!$B$110:$AC$110,0))/(1+$AZ$41)^T$59</f>
        <v>733.15186959167534</v>
      </c>
      <c r="U97" s="113">
        <f>VLOOKUP($A97,'VKT US'!$B$63:$AA$113,(U$59+1),FALSE)/VLOOKUP($A97,'Fuel economy adjusted factor'!$A$2:$F$52,4,FALSE)*INDEX('Year data'!$B$111:$AC$161,MATCH($A97,'Year data'!$A$111:$A$161,0),MATCH('TCO Inputs'!$AZ$12,'Year data'!$B$110:$AC$110,0))/(1+$AZ$41)^U$59</f>
        <v>710.24328895376743</v>
      </c>
      <c r="V97" s="110" cm="1">
        <f t="array" ref="V97">SUMPRODUCT(INDEX(B97:U97,,_xlfn.SEQUENCE($AZ$13)))</f>
        <v>16050.768084013602</v>
      </c>
    </row>
    <row r="98" spans="1:46" x14ac:dyDescent="0.25">
      <c r="A98" s="102" t="s">
        <v>221</v>
      </c>
      <c r="B98" s="113">
        <f>VLOOKUP($A98,'VKT US'!$B$63:$AA$113,(B$59+1),FALSE)/VLOOKUP($A98,'Fuel economy adjusted factor'!$A$2:$F$52,4,FALSE)*INDEX('Year data'!$B$111:$AC$161,MATCH($A98,'Year data'!$A$111:$A$161,0),MATCH('TCO Inputs'!$AZ$12,'Year data'!$B$110:$AC$110,0))/(1+$AZ$41)^B$59</f>
        <v>1249.2457579288866</v>
      </c>
      <c r="C98" s="113">
        <f>VLOOKUP($A98,'VKT US'!$B$63:$AA$113,(C$59+1),FALSE)/VLOOKUP($A98,'Fuel economy adjusted factor'!$A$2:$F$52,4,FALSE)*INDEX('Year data'!$B$111:$AC$161,MATCH($A98,'Year data'!$A$111:$A$161,0),MATCH('TCO Inputs'!$AZ$12,'Year data'!$B$110:$AC$110,0))/(1+$AZ$41)^C$59</f>
        <v>1197.7168424876243</v>
      </c>
      <c r="D98" s="113">
        <f>VLOOKUP($A98,'VKT US'!$B$63:$AA$113,(D$59+1),FALSE)/VLOOKUP($A98,'Fuel economy adjusted factor'!$A$2:$F$52,4,FALSE)*INDEX('Year data'!$B$111:$AC$161,MATCH($A98,'Year data'!$A$111:$A$161,0),MATCH('TCO Inputs'!$AZ$12,'Year data'!$B$110:$AC$110,0))/(1+$AZ$41)^D$59</f>
        <v>1148.3790748283329</v>
      </c>
      <c r="E98" s="113">
        <f>VLOOKUP($A98,'VKT US'!$B$63:$AA$113,(E$59+1),FALSE)/VLOOKUP($A98,'Fuel economy adjusted factor'!$A$2:$F$52,4,FALSE)*INDEX('Year data'!$B$111:$AC$161,MATCH($A98,'Year data'!$A$111:$A$161,0),MATCH('TCO Inputs'!$AZ$12,'Year data'!$B$110:$AC$110,0))/(1+$AZ$41)^E$59</f>
        <v>1101.2611768226404</v>
      </c>
      <c r="F98" s="113">
        <f>VLOOKUP($A98,'VKT US'!$B$63:$AA$113,(F$59+1),FALSE)/VLOOKUP($A98,'Fuel economy adjusted factor'!$A$2:$F$52,4,FALSE)*INDEX('Year data'!$B$111:$AC$161,MATCH($A98,'Year data'!$A$111:$A$161,0),MATCH('TCO Inputs'!$AZ$12,'Year data'!$B$110:$AC$110,0))/(1+$AZ$41)^F$59</f>
        <v>1056.2170121694935</v>
      </c>
      <c r="G98" s="113">
        <f>VLOOKUP($A98,'VKT US'!$B$63:$AA$113,(G$59+1),FALSE)/VLOOKUP($A98,'Fuel economy adjusted factor'!$A$2:$F$52,4,FALSE)*INDEX('Year data'!$B$111:$AC$161,MATCH($A98,'Year data'!$A$111:$A$161,0),MATCH('TCO Inputs'!$AZ$12,'Year data'!$B$110:$AC$110,0))/(1+$AZ$41)^G$59</f>
        <v>1013.3606992985468</v>
      </c>
      <c r="H98" s="113">
        <f>VLOOKUP($A98,'VKT US'!$B$63:$AA$113,(H$59+1),FALSE)/VLOOKUP($A98,'Fuel economy adjusted factor'!$A$2:$F$52,4,FALSE)*INDEX('Year data'!$B$111:$AC$161,MATCH($A98,'Year data'!$A$111:$A$161,0),MATCH('TCO Inputs'!$AZ$12,'Year data'!$B$110:$AC$110,0))/(1+$AZ$41)^H$59</f>
        <v>972.37970540118454</v>
      </c>
      <c r="I98" s="113">
        <f>VLOOKUP($A98,'VKT US'!$B$63:$AA$113,(I$59+1),FALSE)/VLOOKUP($A98,'Fuel economy adjusted factor'!$A$2:$F$52,4,FALSE)*INDEX('Year data'!$B$111:$AC$161,MATCH($A98,'Year data'!$A$111:$A$161,0),MATCH('TCO Inputs'!$AZ$12,'Year data'!$B$110:$AC$110,0))/(1+$AZ$41)^I$59</f>
        <v>933.38955717956196</v>
      </c>
      <c r="J98" s="113">
        <f>VLOOKUP($A98,'VKT US'!$B$63:$AA$113,(J$59+1),FALSE)/VLOOKUP($A98,'Fuel economy adjusted factor'!$A$2:$F$52,4,FALSE)*INDEX('Year data'!$B$111:$AC$161,MATCH($A98,'Year data'!$A$111:$A$161,0),MATCH('TCO Inputs'!$AZ$12,'Year data'!$B$110:$AC$110,0))/(1+$AZ$41)^J$59</f>
        <v>896.33503093105196</v>
      </c>
      <c r="K98" s="113">
        <f>VLOOKUP($A98,'VKT US'!$B$63:$AA$113,(K$59+1),FALSE)/VLOOKUP($A98,'Fuel economy adjusted factor'!$A$2:$F$52,4,FALSE)*INDEX('Year data'!$B$111:$AC$161,MATCH($A98,'Year data'!$A$111:$A$161,0),MATCH('TCO Inputs'!$AZ$12,'Year data'!$B$110:$AC$110,0))/(1+$AZ$41)^K$59</f>
        <v>861.16209598843636</v>
      </c>
      <c r="L98" s="113">
        <f>VLOOKUP($A98,'VKT US'!$B$63:$AA$113,(L$59+1),FALSE)/VLOOKUP($A98,'Fuel economy adjusted factor'!$A$2:$F$52,4,FALSE)*INDEX('Year data'!$B$111:$AC$161,MATCH($A98,'Year data'!$A$111:$A$161,0),MATCH('TCO Inputs'!$AZ$12,'Year data'!$B$110:$AC$110,0))/(1+$AZ$41)^L$59</f>
        <v>827.73784797986389</v>
      </c>
      <c r="M98" s="113">
        <f>VLOOKUP($A98,'VKT US'!$B$63:$AA$113,(M$59+1),FALSE)/VLOOKUP($A98,'Fuel economy adjusted factor'!$A$2:$F$52,4,FALSE)*INDEX('Year data'!$B$111:$AC$161,MATCH($A98,'Year data'!$A$111:$A$161,0),MATCH('TCO Inputs'!$AZ$12,'Year data'!$B$110:$AC$110,0))/(1+$AZ$41)^M$59</f>
        <v>796.09251786007519</v>
      </c>
      <c r="N98" s="113">
        <f>VLOOKUP($A98,'VKT US'!$B$63:$AA$113,(N$59+1),FALSE)/VLOOKUP($A98,'Fuel economy adjusted factor'!$A$2:$F$52,4,FALSE)*INDEX('Year data'!$B$111:$AC$161,MATCH($A98,'Year data'!$A$111:$A$161,0),MATCH('TCO Inputs'!$AZ$12,'Year data'!$B$110:$AC$110,0))/(1+$AZ$41)^N$59</f>
        <v>766.09732981317654</v>
      </c>
      <c r="O98" s="113">
        <f>VLOOKUP($A98,'VKT US'!$B$63:$AA$113,(O$59+1),FALSE)/VLOOKUP($A98,'Fuel economy adjusted factor'!$A$2:$F$52,4,FALSE)*INDEX('Year data'!$B$111:$AC$161,MATCH($A98,'Year data'!$A$111:$A$161,0),MATCH('TCO Inputs'!$AZ$12,'Year data'!$B$110:$AC$110,0))/(1+$AZ$41)^O$59</f>
        <v>737.78278205960999</v>
      </c>
      <c r="P98" s="113">
        <f>VLOOKUP($A98,'VKT US'!$B$63:$AA$113,(P$59+1),FALSE)/VLOOKUP($A98,'Fuel economy adjusted factor'!$A$2:$F$52,4,FALSE)*INDEX('Year data'!$B$111:$AC$161,MATCH($A98,'Year data'!$A$111:$A$161,0),MATCH('TCO Inputs'!$AZ$12,'Year data'!$B$110:$AC$110,0))/(1+$AZ$41)^P$59</f>
        <v>711.02409942300096</v>
      </c>
      <c r="Q98" s="113">
        <f>VLOOKUP($A98,'VKT US'!$B$63:$AA$113,(Q$59+1),FALSE)/VLOOKUP($A98,'Fuel economy adjusted factor'!$A$2:$F$52,4,FALSE)*INDEX('Year data'!$B$111:$AC$161,MATCH($A98,'Year data'!$A$111:$A$161,0),MATCH('TCO Inputs'!$AZ$12,'Year data'!$B$110:$AC$110,0))/(1+$AZ$41)^Q$59</f>
        <v>685.92742073667216</v>
      </c>
      <c r="R98" s="113">
        <f>VLOOKUP($A98,'VKT US'!$B$63:$AA$113,(R$59+1),FALSE)/VLOOKUP($A98,'Fuel economy adjusted factor'!$A$2:$F$52,4,FALSE)*INDEX('Year data'!$B$111:$AC$161,MATCH($A98,'Year data'!$A$111:$A$161,0),MATCH('TCO Inputs'!$AZ$12,'Year data'!$B$110:$AC$110,0))/(1+$AZ$41)^R$59</f>
        <v>662.22013369108993</v>
      </c>
      <c r="S98" s="113">
        <f>VLOOKUP($A98,'VKT US'!$B$63:$AA$113,(S$59+1),FALSE)/VLOOKUP($A98,'Fuel economy adjusted factor'!$A$2:$F$52,4,FALSE)*INDEX('Year data'!$B$111:$AC$161,MATCH($A98,'Year data'!$A$111:$A$161,0),MATCH('TCO Inputs'!$AZ$12,'Year data'!$B$110:$AC$110,0))/(1+$AZ$41)^S$59</f>
        <v>640.08311004712289</v>
      </c>
      <c r="T98" s="113">
        <f>VLOOKUP($A98,'VKT US'!$B$63:$AA$113,(T$59+1),FALSE)/VLOOKUP($A98,'Fuel economy adjusted factor'!$A$2:$F$52,4,FALSE)*INDEX('Year data'!$B$111:$AC$161,MATCH($A98,'Year data'!$A$111:$A$161,0),MATCH('TCO Inputs'!$AZ$12,'Year data'!$B$110:$AC$110,0))/(1+$AZ$41)^T$59</f>
        <v>619.25107039590966</v>
      </c>
      <c r="U98" s="113">
        <f>VLOOKUP($A98,'VKT US'!$B$63:$AA$113,(U$59+1),FALSE)/VLOOKUP($A98,'Fuel economy adjusted factor'!$A$2:$F$52,4,FALSE)*INDEX('Year data'!$B$111:$AC$161,MATCH($A98,'Year data'!$A$111:$A$161,0),MATCH('TCO Inputs'!$AZ$12,'Year data'!$B$110:$AC$110,0))/(1+$AZ$41)^U$59</f>
        <v>599.90151449942607</v>
      </c>
      <c r="V98" s="110" cm="1">
        <f t="array" ref="V98">SUMPRODUCT(INDEX(B98:U98,,_xlfn.SEQUENCE($AZ$13)))</f>
        <v>13557.157430748486</v>
      </c>
    </row>
    <row r="99" spans="1:46" x14ac:dyDescent="0.25">
      <c r="A99" s="102" t="s">
        <v>222</v>
      </c>
      <c r="B99" s="113">
        <f>VLOOKUP($A99,'VKT US'!$B$63:$AA$113,(B$59+1),FALSE)/VLOOKUP($A99,'Fuel economy adjusted factor'!$A$2:$F$52,4,FALSE)*INDEX('Year data'!$B$111:$AC$161,MATCH($A99,'Year data'!$A$111:$A$161,0),MATCH('TCO Inputs'!$AZ$12,'Year data'!$B$110:$AC$110,0))/(1+$AZ$41)^B$59</f>
        <v>1736.3801644731138</v>
      </c>
      <c r="C99" s="113">
        <f>VLOOKUP($A99,'VKT US'!$B$63:$AA$113,(C$59+1),FALSE)/VLOOKUP($A99,'Fuel economy adjusted factor'!$A$2:$F$52,4,FALSE)*INDEX('Year data'!$B$111:$AC$161,MATCH($A99,'Year data'!$A$111:$A$161,0),MATCH('TCO Inputs'!$AZ$12,'Year data'!$B$110:$AC$110,0))/(1+$AZ$41)^C$59</f>
        <v>1664.7579187291235</v>
      </c>
      <c r="D99" s="113">
        <f>VLOOKUP($A99,'VKT US'!$B$63:$AA$113,(D$59+1),FALSE)/VLOOKUP($A99,'Fuel economy adjusted factor'!$A$2:$F$52,4,FALSE)*INDEX('Year data'!$B$111:$AC$161,MATCH($A99,'Year data'!$A$111:$A$161,0),MATCH('TCO Inputs'!$AZ$12,'Year data'!$B$110:$AC$110,0))/(1+$AZ$41)^D$59</f>
        <v>1596.1812430996567</v>
      </c>
      <c r="E99" s="113">
        <f>VLOOKUP($A99,'VKT US'!$B$63:$AA$113,(E$59+1),FALSE)/VLOOKUP($A99,'Fuel economy adjusted factor'!$A$2:$F$52,4,FALSE)*INDEX('Year data'!$B$111:$AC$161,MATCH($A99,'Year data'!$A$111:$A$161,0),MATCH('TCO Inputs'!$AZ$12,'Year data'!$B$110:$AC$110,0))/(1+$AZ$41)^E$59</f>
        <v>1530.6900593437947</v>
      </c>
      <c r="F99" s="113">
        <f>VLOOKUP($A99,'VKT US'!$B$63:$AA$113,(F$59+1),FALSE)/VLOOKUP($A99,'Fuel economy adjusted factor'!$A$2:$F$52,4,FALSE)*INDEX('Year data'!$B$111:$AC$161,MATCH($A99,'Year data'!$A$111:$A$161,0),MATCH('TCO Inputs'!$AZ$12,'Year data'!$B$110:$AC$110,0))/(1+$AZ$41)^F$59</f>
        <v>1468.0812463599866</v>
      </c>
      <c r="G99" s="113">
        <f>VLOOKUP($A99,'VKT US'!$B$63:$AA$113,(G$59+1),FALSE)/VLOOKUP($A99,'Fuel economy adjusted factor'!$A$2:$F$52,4,FALSE)*INDEX('Year data'!$B$111:$AC$161,MATCH($A99,'Year data'!$A$111:$A$161,0),MATCH('TCO Inputs'!$AZ$12,'Year data'!$B$110:$AC$110,0))/(1+$AZ$41)^G$59</f>
        <v>1408.5134222395052</v>
      </c>
      <c r="H99" s="113">
        <f>VLOOKUP($A99,'VKT US'!$B$63:$AA$113,(H$59+1),FALSE)/VLOOKUP($A99,'Fuel economy adjusted factor'!$A$2:$F$52,4,FALSE)*INDEX('Year data'!$B$111:$AC$161,MATCH($A99,'Year data'!$A$111:$A$161,0),MATCH('TCO Inputs'!$AZ$12,'Year data'!$B$110:$AC$110,0))/(1+$AZ$41)^H$59</f>
        <v>1351.5521842507953</v>
      </c>
      <c r="I99" s="113">
        <f>VLOOKUP($A99,'VKT US'!$B$63:$AA$113,(I$59+1),FALSE)/VLOOKUP($A99,'Fuel economy adjusted factor'!$A$2:$F$52,4,FALSE)*INDEX('Year data'!$B$111:$AC$161,MATCH($A99,'Year data'!$A$111:$A$161,0),MATCH('TCO Inputs'!$AZ$12,'Year data'!$B$110:$AC$110,0))/(1+$AZ$41)^I$59</f>
        <v>1297.3581079033722</v>
      </c>
      <c r="J99" s="113">
        <f>VLOOKUP($A99,'VKT US'!$B$63:$AA$113,(J$59+1),FALSE)/VLOOKUP($A99,'Fuel economy adjusted factor'!$A$2:$F$52,4,FALSE)*INDEX('Year data'!$B$111:$AC$161,MATCH($A99,'Year data'!$A$111:$A$161,0),MATCH('TCO Inputs'!$AZ$12,'Year data'!$B$110:$AC$110,0))/(1+$AZ$41)^J$59</f>
        <v>1245.8544354085934</v>
      </c>
      <c r="K99" s="113">
        <f>VLOOKUP($A99,'VKT US'!$B$63:$AA$113,(K$59+1),FALSE)/VLOOKUP($A99,'Fuel economy adjusted factor'!$A$2:$F$52,4,FALSE)*INDEX('Year data'!$B$111:$AC$161,MATCH($A99,'Year data'!$A$111:$A$161,0),MATCH('TCO Inputs'!$AZ$12,'Year data'!$B$110:$AC$110,0))/(1+$AZ$41)^K$59</f>
        <v>1196.9660672288094</v>
      </c>
      <c r="L99" s="113">
        <f>VLOOKUP($A99,'VKT US'!$B$63:$AA$113,(L$59+1),FALSE)/VLOOKUP($A99,'Fuel economy adjusted factor'!$A$2:$F$52,4,FALSE)*INDEX('Year data'!$B$111:$AC$161,MATCH($A99,'Year data'!$A$111:$A$161,0),MATCH('TCO Inputs'!$AZ$12,'Year data'!$B$110:$AC$110,0))/(1+$AZ$41)^L$59</f>
        <v>1150.5082738873818</v>
      </c>
      <c r="M99" s="113">
        <f>VLOOKUP($A99,'VKT US'!$B$63:$AA$113,(M$59+1),FALSE)/VLOOKUP($A99,'Fuel economy adjusted factor'!$A$2:$F$52,4,FALSE)*INDEX('Year data'!$B$111:$AC$161,MATCH($A99,'Year data'!$A$111:$A$161,0),MATCH('TCO Inputs'!$AZ$12,'Year data'!$B$110:$AC$110,0))/(1+$AZ$41)^M$59</f>
        <v>1106.5230746826207</v>
      </c>
      <c r="N99" s="113">
        <f>VLOOKUP($A99,'VKT US'!$B$63:$AA$113,(N$59+1),FALSE)/VLOOKUP($A99,'Fuel economy adjusted factor'!$A$2:$F$52,4,FALSE)*INDEX('Year data'!$B$111:$AC$161,MATCH($A99,'Year data'!$A$111:$A$161,0),MATCH('TCO Inputs'!$AZ$12,'Year data'!$B$110:$AC$110,0))/(1+$AZ$41)^N$59</f>
        <v>1064.8314785945752</v>
      </c>
      <c r="O99" s="113">
        <f>VLOOKUP($A99,'VKT US'!$B$63:$AA$113,(O$59+1),FALSE)/VLOOKUP($A99,'Fuel economy adjusted factor'!$A$2:$F$52,4,FALSE)*INDEX('Year data'!$B$111:$AC$161,MATCH($A99,'Year data'!$A$111:$A$161,0),MATCH('TCO Inputs'!$AZ$12,'Year data'!$B$110:$AC$110,0))/(1+$AZ$41)^O$59</f>
        <v>1025.4758764055953</v>
      </c>
      <c r="P99" s="113">
        <f>VLOOKUP($A99,'VKT US'!$B$63:$AA$113,(P$59+1),FALSE)/VLOOKUP($A99,'Fuel economy adjusted factor'!$A$2:$F$52,4,FALSE)*INDEX('Year data'!$B$111:$AC$161,MATCH($A99,'Year data'!$A$111:$A$161,0),MATCH('TCO Inputs'!$AZ$12,'Year data'!$B$110:$AC$110,0))/(1+$AZ$41)^P$59</f>
        <v>988.28283775588238</v>
      </c>
      <c r="Q99" s="113">
        <f>VLOOKUP($A99,'VKT US'!$B$63:$AA$113,(Q$59+1),FALSE)/VLOOKUP($A99,'Fuel economy adjusted factor'!$A$2:$F$52,4,FALSE)*INDEX('Year data'!$B$111:$AC$161,MATCH($A99,'Year data'!$A$111:$A$161,0),MATCH('TCO Inputs'!$AZ$12,'Year data'!$B$110:$AC$110,0))/(1+$AZ$41)^Q$59</f>
        <v>953.3998895541265</v>
      </c>
      <c r="R99" s="113">
        <f>VLOOKUP($A99,'VKT US'!$B$63:$AA$113,(R$59+1),FALSE)/VLOOKUP($A99,'Fuel economy adjusted factor'!$A$2:$F$52,4,FALSE)*INDEX('Year data'!$B$111:$AC$161,MATCH($A99,'Year data'!$A$111:$A$161,0),MATCH('TCO Inputs'!$AZ$12,'Year data'!$B$110:$AC$110,0))/(1+$AZ$41)^R$59</f>
        <v>920.44811627961394</v>
      </c>
      <c r="S99" s="113">
        <f>VLOOKUP($A99,'VKT US'!$B$63:$AA$113,(S$59+1),FALSE)/VLOOKUP($A99,'Fuel economy adjusted factor'!$A$2:$F$52,4,FALSE)*INDEX('Year data'!$B$111:$AC$161,MATCH($A99,'Year data'!$A$111:$A$161,0),MATCH('TCO Inputs'!$AZ$12,'Year data'!$B$110:$AC$110,0))/(1+$AZ$41)^S$59</f>
        <v>889.67891933666556</v>
      </c>
      <c r="T99" s="113">
        <f>VLOOKUP($A99,'VKT US'!$B$63:$AA$113,(T$59+1),FALSE)/VLOOKUP($A99,'Fuel economy adjusted factor'!$A$2:$F$52,4,FALSE)*INDEX('Year data'!$B$111:$AC$161,MATCH($A99,'Year data'!$A$111:$A$161,0),MATCH('TCO Inputs'!$AZ$12,'Year data'!$B$110:$AC$110,0))/(1+$AZ$41)^T$59</f>
        <v>860.72357551716448</v>
      </c>
      <c r="U99" s="113">
        <f>VLOOKUP($A99,'VKT US'!$B$63:$AA$113,(U$59+1),FALSE)/VLOOKUP($A99,'Fuel economy adjusted factor'!$A$2:$F$52,4,FALSE)*INDEX('Year data'!$B$111:$AC$161,MATCH($A99,'Year data'!$A$111:$A$161,0),MATCH('TCO Inputs'!$AZ$12,'Year data'!$B$110:$AC$110,0))/(1+$AZ$41)^U$59</f>
        <v>833.82879933980132</v>
      </c>
      <c r="V99" s="110" cm="1">
        <f t="array" ref="V99">SUMPRODUCT(INDEX(B99:U99,,_xlfn.SEQUENCE($AZ$13)))</f>
        <v>18843.673552606928</v>
      </c>
    </row>
    <row r="100" spans="1:46" x14ac:dyDescent="0.25">
      <c r="A100" s="102" t="s">
        <v>223</v>
      </c>
      <c r="B100" s="113">
        <f>VLOOKUP($A100,'VKT US'!$B$63:$AA$113,(B$59+1),FALSE)/VLOOKUP($A100,'Fuel economy adjusted factor'!$A$2:$F$52,4,FALSE)*INDEX('Year data'!$B$111:$AC$161,MATCH($A100,'Year data'!$A$111:$A$161,0),MATCH('TCO Inputs'!$AZ$12,'Year data'!$B$110:$AC$110,0))/(1+$AZ$41)^B$59</f>
        <v>1925.5664634230379</v>
      </c>
      <c r="C100" s="113">
        <f>VLOOKUP($A100,'VKT US'!$B$63:$AA$113,(C$59+1),FALSE)/VLOOKUP($A100,'Fuel economy adjusted factor'!$A$2:$F$52,4,FALSE)*INDEX('Year data'!$B$111:$AC$161,MATCH($A100,'Year data'!$A$111:$A$161,0),MATCH('TCO Inputs'!$AZ$12,'Year data'!$B$110:$AC$110,0))/(1+$AZ$41)^C$59</f>
        <v>1846.1406572191761</v>
      </c>
      <c r="D100" s="113">
        <f>VLOOKUP($A100,'VKT US'!$B$63:$AA$113,(D$59+1),FALSE)/VLOOKUP($A100,'Fuel economy adjusted factor'!$A$2:$F$52,4,FALSE)*INDEX('Year data'!$B$111:$AC$161,MATCH($A100,'Year data'!$A$111:$A$161,0),MATCH('TCO Inputs'!$AZ$12,'Year data'!$B$110:$AC$110,0))/(1+$AZ$41)^D$59</f>
        <v>1770.0922494644092</v>
      </c>
      <c r="E100" s="113">
        <f>VLOOKUP($A100,'VKT US'!$B$63:$AA$113,(E$59+1),FALSE)/VLOOKUP($A100,'Fuel economy adjusted factor'!$A$2:$F$52,4,FALSE)*INDEX('Year data'!$B$111:$AC$161,MATCH($A100,'Year data'!$A$111:$A$161,0),MATCH('TCO Inputs'!$AZ$12,'Year data'!$B$110:$AC$110,0))/(1+$AZ$41)^E$59</f>
        <v>1697.4655115700441</v>
      </c>
      <c r="F100" s="113">
        <f>VLOOKUP($A100,'VKT US'!$B$63:$AA$113,(F$59+1),FALSE)/VLOOKUP($A100,'Fuel economy adjusted factor'!$A$2:$F$52,4,FALSE)*INDEX('Year data'!$B$111:$AC$161,MATCH($A100,'Year data'!$A$111:$A$161,0),MATCH('TCO Inputs'!$AZ$12,'Year data'!$B$110:$AC$110,0))/(1+$AZ$41)^F$59</f>
        <v>1628.0351914921087</v>
      </c>
      <c r="G100" s="113">
        <f>VLOOKUP($A100,'VKT US'!$B$63:$AA$113,(G$59+1),FALSE)/VLOOKUP($A100,'Fuel economy adjusted factor'!$A$2:$F$52,4,FALSE)*INDEX('Year data'!$B$111:$AC$161,MATCH($A100,'Year data'!$A$111:$A$161,0),MATCH('TCO Inputs'!$AZ$12,'Year data'!$B$110:$AC$110,0))/(1+$AZ$41)^G$59</f>
        <v>1561.9771894644905</v>
      </c>
      <c r="H100" s="113">
        <f>VLOOKUP($A100,'VKT US'!$B$63:$AA$113,(H$59+1),FALSE)/VLOOKUP($A100,'Fuel economy adjusted factor'!$A$2:$F$52,4,FALSE)*INDEX('Year data'!$B$111:$AC$161,MATCH($A100,'Year data'!$A$111:$A$161,0),MATCH('TCO Inputs'!$AZ$12,'Year data'!$B$110:$AC$110,0))/(1+$AZ$41)^H$59</f>
        <v>1498.8097726566625</v>
      </c>
      <c r="I100" s="113">
        <f>VLOOKUP($A100,'VKT US'!$B$63:$AA$113,(I$59+1),FALSE)/VLOOKUP($A100,'Fuel economy adjusted factor'!$A$2:$F$52,4,FALSE)*INDEX('Year data'!$B$111:$AC$161,MATCH($A100,'Year data'!$A$111:$A$161,0),MATCH('TCO Inputs'!$AZ$12,'Year data'!$B$110:$AC$110,0))/(1+$AZ$41)^I$59</f>
        <v>1438.7110119901292</v>
      </c>
      <c r="J100" s="113">
        <f>VLOOKUP($A100,'VKT US'!$B$63:$AA$113,(J$59+1),FALSE)/VLOOKUP($A100,'Fuel economy adjusted factor'!$A$2:$F$52,4,FALSE)*INDEX('Year data'!$B$111:$AC$161,MATCH($A100,'Year data'!$A$111:$A$161,0),MATCH('TCO Inputs'!$AZ$12,'Year data'!$B$110:$AC$110,0))/(1+$AZ$41)^J$59</f>
        <v>1381.5957865756748</v>
      </c>
      <c r="K100" s="113">
        <f>VLOOKUP($A100,'VKT US'!$B$63:$AA$113,(K$59+1),FALSE)/VLOOKUP($A100,'Fuel economy adjusted factor'!$A$2:$F$52,4,FALSE)*INDEX('Year data'!$B$111:$AC$161,MATCH($A100,'Year data'!$A$111:$A$161,0),MATCH('TCO Inputs'!$AZ$12,'Year data'!$B$110:$AC$110,0))/(1+$AZ$41)^K$59</f>
        <v>1327.3808144488562</v>
      </c>
      <c r="L100" s="113">
        <f>VLOOKUP($A100,'VKT US'!$B$63:$AA$113,(L$59+1),FALSE)/VLOOKUP($A100,'Fuel economy adjusted factor'!$A$2:$F$52,4,FALSE)*INDEX('Year data'!$B$111:$AC$161,MATCH($A100,'Year data'!$A$111:$A$161,0),MATCH('TCO Inputs'!$AZ$12,'Year data'!$B$110:$AC$110,0))/(1+$AZ$41)^L$59</f>
        <v>1275.8612390394956</v>
      </c>
      <c r="M100" s="113">
        <f>VLOOKUP($A100,'VKT US'!$B$63:$AA$113,(M$59+1),FALSE)/VLOOKUP($A100,'Fuel economy adjusted factor'!$A$2:$F$52,4,FALSE)*INDEX('Year data'!$B$111:$AC$161,MATCH($A100,'Year data'!$A$111:$A$161,0),MATCH('TCO Inputs'!$AZ$12,'Year data'!$B$110:$AC$110,0))/(1+$AZ$41)^M$59</f>
        <v>1227.0836578343051</v>
      </c>
      <c r="N100" s="113">
        <f>VLOOKUP($A100,'VKT US'!$B$63:$AA$113,(N$59+1),FALSE)/VLOOKUP($A100,'Fuel economy adjusted factor'!$A$2:$F$52,4,FALSE)*INDEX('Year data'!$B$111:$AC$161,MATCH($A100,'Year data'!$A$111:$A$161,0),MATCH('TCO Inputs'!$AZ$12,'Year data'!$B$110:$AC$110,0))/(1+$AZ$41)^N$59</f>
        <v>1180.8495779500302</v>
      </c>
      <c r="O100" s="113">
        <f>VLOOKUP($A100,'VKT US'!$B$63:$AA$113,(O$59+1),FALSE)/VLOOKUP($A100,'Fuel economy adjusted factor'!$A$2:$F$52,4,FALSE)*INDEX('Year data'!$B$111:$AC$161,MATCH($A100,'Year data'!$A$111:$A$161,0),MATCH('TCO Inputs'!$AZ$12,'Year data'!$B$110:$AC$110,0))/(1+$AZ$41)^O$59</f>
        <v>1137.2060088322539</v>
      </c>
      <c r="P100" s="113">
        <f>VLOOKUP($A100,'VKT US'!$B$63:$AA$113,(P$59+1),FALSE)/VLOOKUP($A100,'Fuel economy adjusted factor'!$A$2:$F$52,4,FALSE)*INDEX('Year data'!$B$111:$AC$161,MATCH($A100,'Year data'!$A$111:$A$161,0),MATCH('TCO Inputs'!$AZ$12,'Year data'!$B$110:$AC$110,0))/(1+$AZ$41)^P$59</f>
        <v>1095.9606241163929</v>
      </c>
      <c r="Q100" s="113">
        <f>VLOOKUP($A100,'VKT US'!$B$63:$AA$113,(Q$59+1),FALSE)/VLOOKUP($A100,'Fuel economy adjusted factor'!$A$2:$F$52,4,FALSE)*INDEX('Year data'!$B$111:$AC$161,MATCH($A100,'Year data'!$A$111:$A$161,0),MATCH('TCO Inputs'!$AZ$12,'Year data'!$B$110:$AC$110,0))/(1+$AZ$41)^Q$59</f>
        <v>1057.2770244203516</v>
      </c>
      <c r="R100" s="113">
        <f>VLOOKUP($A100,'VKT US'!$B$63:$AA$113,(R$59+1),FALSE)/VLOOKUP($A100,'Fuel economy adjusted factor'!$A$2:$F$52,4,FALSE)*INDEX('Year data'!$B$111:$AC$161,MATCH($A100,'Year data'!$A$111:$A$161,0),MATCH('TCO Inputs'!$AZ$12,'Year data'!$B$110:$AC$110,0))/(1+$AZ$41)^R$59</f>
        <v>1020.7350097014871</v>
      </c>
      <c r="S100" s="113">
        <f>VLOOKUP($A100,'VKT US'!$B$63:$AA$113,(S$59+1),FALSE)/VLOOKUP($A100,'Fuel economy adjusted factor'!$A$2:$F$52,4,FALSE)*INDEX('Year data'!$B$111:$AC$161,MATCH($A100,'Year data'!$A$111:$A$161,0),MATCH('TCO Inputs'!$AZ$12,'Year data'!$B$110:$AC$110,0))/(1+$AZ$41)^S$59</f>
        <v>986.6133726590723</v>
      </c>
      <c r="T100" s="113">
        <f>VLOOKUP($A100,'VKT US'!$B$63:$AA$113,(T$59+1),FALSE)/VLOOKUP($A100,'Fuel economy adjusted factor'!$A$2:$F$52,4,FALSE)*INDEX('Year data'!$B$111:$AC$161,MATCH($A100,'Year data'!$A$111:$A$161,0),MATCH('TCO Inputs'!$AZ$12,'Year data'!$B$110:$AC$110,0))/(1+$AZ$41)^T$59</f>
        <v>954.5032160605989</v>
      </c>
      <c r="U100" s="113">
        <f>VLOOKUP($A100,'VKT US'!$B$63:$AA$113,(U$59+1),FALSE)/VLOOKUP($A100,'Fuel economy adjusted factor'!$A$2:$F$52,4,FALSE)*INDEX('Year data'!$B$111:$AC$161,MATCH($A100,'Year data'!$A$111:$A$161,0),MATCH('TCO Inputs'!$AZ$12,'Year data'!$B$110:$AC$110,0))/(1+$AZ$41)^U$59</f>
        <v>924.67813506278981</v>
      </c>
      <c r="V100" s="110" cm="1">
        <f t="array" ref="V100">SUMPRODUCT(INDEX(B100:U100,,_xlfn.SEQUENCE($AZ$13)))</f>
        <v>20896.775131960676</v>
      </c>
    </row>
    <row r="101" spans="1:46" x14ac:dyDescent="0.25">
      <c r="A101" s="102" t="s">
        <v>224</v>
      </c>
      <c r="B101" s="113">
        <f>VLOOKUP($A101,'VKT US'!$B$63:$AA$113,(B$59+1),FALSE)/VLOOKUP($A101,'Fuel economy adjusted factor'!$A$2:$F$52,4,FALSE)*INDEX('Year data'!$B$111:$AC$161,MATCH($A101,'Year data'!$A$111:$A$161,0),MATCH('TCO Inputs'!$AZ$12,'Year data'!$B$110:$AC$110,0))/(1+$AZ$41)^B$59</f>
        <v>1835.0166800390234</v>
      </c>
      <c r="C101" s="113">
        <f>VLOOKUP($A101,'VKT US'!$B$63:$AA$113,(C$59+1),FALSE)/VLOOKUP($A101,'Fuel economy adjusted factor'!$A$2:$F$52,4,FALSE)*INDEX('Year data'!$B$111:$AC$161,MATCH($A101,'Year data'!$A$111:$A$161,0),MATCH('TCO Inputs'!$AZ$12,'Year data'!$B$110:$AC$110,0))/(1+$AZ$41)^C$59</f>
        <v>1759.3258732150714</v>
      </c>
      <c r="D101" s="113">
        <f>VLOOKUP($A101,'VKT US'!$B$63:$AA$113,(D$59+1),FALSE)/VLOOKUP($A101,'Fuel economy adjusted factor'!$A$2:$F$52,4,FALSE)*INDEX('Year data'!$B$111:$AC$161,MATCH($A101,'Year data'!$A$111:$A$161,0),MATCH('TCO Inputs'!$AZ$12,'Year data'!$B$110:$AC$110,0))/(1+$AZ$41)^D$59</f>
        <v>1686.8536426422918</v>
      </c>
      <c r="E101" s="113">
        <f>VLOOKUP($A101,'VKT US'!$B$63:$AA$113,(E$59+1),FALSE)/VLOOKUP($A101,'Fuel economy adjusted factor'!$A$2:$F$52,4,FALSE)*INDEX('Year data'!$B$111:$AC$161,MATCH($A101,'Year data'!$A$111:$A$161,0),MATCH('TCO Inputs'!$AZ$12,'Year data'!$B$110:$AC$110,0))/(1+$AZ$41)^E$59</f>
        <v>1617.6421778684041</v>
      </c>
      <c r="F101" s="113">
        <f>VLOOKUP($A101,'VKT US'!$B$63:$AA$113,(F$59+1),FALSE)/VLOOKUP($A101,'Fuel economy adjusted factor'!$A$2:$F$52,4,FALSE)*INDEX('Year data'!$B$111:$AC$161,MATCH($A101,'Year data'!$A$111:$A$161,0),MATCH('TCO Inputs'!$AZ$12,'Year data'!$B$110:$AC$110,0))/(1+$AZ$41)^F$59</f>
        <v>1551.4768193291968</v>
      </c>
      <c r="G101" s="113">
        <f>VLOOKUP($A101,'VKT US'!$B$63:$AA$113,(G$59+1),FALSE)/VLOOKUP($A101,'Fuel economy adjusted factor'!$A$2:$F$52,4,FALSE)*INDEX('Year data'!$B$111:$AC$161,MATCH($A101,'Year data'!$A$111:$A$161,0),MATCH('TCO Inputs'!$AZ$12,'Year data'!$B$110:$AC$110,0))/(1+$AZ$41)^G$59</f>
        <v>1488.5251955481899</v>
      </c>
      <c r="H101" s="113">
        <f>VLOOKUP($A101,'VKT US'!$B$63:$AA$113,(H$59+1),FALSE)/VLOOKUP($A101,'Fuel economy adjusted factor'!$A$2:$F$52,4,FALSE)*INDEX('Year data'!$B$111:$AC$161,MATCH($A101,'Year data'!$A$111:$A$161,0),MATCH('TCO Inputs'!$AZ$12,'Year data'!$B$110:$AC$110,0))/(1+$AZ$41)^H$59</f>
        <v>1428.3282271863266</v>
      </c>
      <c r="I101" s="113">
        <f>VLOOKUP($A101,'VKT US'!$B$63:$AA$113,(I$59+1),FALSE)/VLOOKUP($A101,'Fuel economy adjusted factor'!$A$2:$F$52,4,FALSE)*INDEX('Year data'!$B$111:$AC$161,MATCH($A101,'Year data'!$A$111:$A$161,0),MATCH('TCO Inputs'!$AZ$12,'Year data'!$B$110:$AC$110,0))/(1+$AZ$41)^I$59</f>
        <v>1371.0556113781367</v>
      </c>
      <c r="J101" s="113">
        <f>VLOOKUP($A101,'VKT US'!$B$63:$AA$113,(J$59+1),FALSE)/VLOOKUP($A101,'Fuel economy adjusted factor'!$A$2:$F$52,4,FALSE)*INDEX('Year data'!$B$111:$AC$161,MATCH($A101,'Year data'!$A$111:$A$161,0),MATCH('TCO Inputs'!$AZ$12,'Year data'!$B$110:$AC$110,0))/(1+$AZ$41)^J$59</f>
        <v>1316.6262300451247</v>
      </c>
      <c r="K101" s="113">
        <f>VLOOKUP($A101,'VKT US'!$B$63:$AA$113,(K$59+1),FALSE)/VLOOKUP($A101,'Fuel economy adjusted factor'!$A$2:$F$52,4,FALSE)*INDEX('Year data'!$B$111:$AC$161,MATCH($A101,'Year data'!$A$111:$A$161,0),MATCH('TCO Inputs'!$AZ$12,'Year data'!$B$110:$AC$110,0))/(1+$AZ$41)^K$59</f>
        <v>1264.9607175581082</v>
      </c>
      <c r="L101" s="113">
        <f>VLOOKUP($A101,'VKT US'!$B$63:$AA$113,(L$59+1),FALSE)/VLOOKUP($A101,'Fuel economy adjusted factor'!$A$2:$F$52,4,FALSE)*INDEX('Year data'!$B$111:$AC$161,MATCH($A101,'Year data'!$A$111:$A$161,0),MATCH('TCO Inputs'!$AZ$12,'Year data'!$B$110:$AC$110,0))/(1+$AZ$41)^L$59</f>
        <v>1215.8638507292974</v>
      </c>
      <c r="M101" s="113">
        <f>VLOOKUP($A101,'VKT US'!$B$63:$AA$113,(M$59+1),FALSE)/VLOOKUP($A101,'Fuel economy adjusted factor'!$A$2:$F$52,4,FALSE)*INDEX('Year data'!$B$111:$AC$161,MATCH($A101,'Year data'!$A$111:$A$161,0),MATCH('TCO Inputs'!$AZ$12,'Year data'!$B$110:$AC$110,0))/(1+$AZ$41)^M$59</f>
        <v>1169.380035798097</v>
      </c>
      <c r="N101" s="113">
        <f>VLOOKUP($A101,'VKT US'!$B$63:$AA$113,(N$59+1),FALSE)/VLOOKUP($A101,'Fuel economy adjusted factor'!$A$2:$F$52,4,FALSE)*INDEX('Year data'!$B$111:$AC$161,MATCH($A101,'Year data'!$A$111:$A$161,0),MATCH('TCO Inputs'!$AZ$12,'Year data'!$B$110:$AC$110,0))/(1+$AZ$41)^N$59</f>
        <v>1125.3201140111946</v>
      </c>
      <c r="O101" s="113">
        <f>VLOOKUP($A101,'VKT US'!$B$63:$AA$113,(O$59+1),FALSE)/VLOOKUP($A101,'Fuel economy adjusted factor'!$A$2:$F$52,4,FALSE)*INDEX('Year data'!$B$111:$AC$161,MATCH($A101,'Year data'!$A$111:$A$161,0),MATCH('TCO Inputs'!$AZ$12,'Year data'!$B$110:$AC$110,0))/(1+$AZ$41)^O$59</f>
        <v>1083.728884194496</v>
      </c>
      <c r="P101" s="113">
        <f>VLOOKUP($A101,'VKT US'!$B$63:$AA$113,(P$59+1),FALSE)/VLOOKUP($A101,'Fuel economy adjusted factor'!$A$2:$F$52,4,FALSE)*INDEX('Year data'!$B$111:$AC$161,MATCH($A101,'Year data'!$A$111:$A$161,0),MATCH('TCO Inputs'!$AZ$12,'Year data'!$B$110:$AC$110,0))/(1+$AZ$41)^P$59</f>
        <v>1044.4230641327536</v>
      </c>
      <c r="Q101" s="113">
        <f>VLOOKUP($A101,'VKT US'!$B$63:$AA$113,(Q$59+1),FALSE)/VLOOKUP($A101,'Fuel economy adjusted factor'!$A$2:$F$52,4,FALSE)*INDEX('Year data'!$B$111:$AC$161,MATCH($A101,'Year data'!$A$111:$A$161,0),MATCH('TCO Inputs'!$AZ$12,'Year data'!$B$110:$AC$110,0))/(1+$AZ$41)^Q$59</f>
        <v>1007.5585611230782</v>
      </c>
      <c r="R101" s="113">
        <f>VLOOKUP($A101,'VKT US'!$B$63:$AA$113,(R$59+1),FALSE)/VLOOKUP($A101,'Fuel economy adjusted factor'!$A$2:$F$52,4,FALSE)*INDEX('Year data'!$B$111:$AC$161,MATCH($A101,'Year data'!$A$111:$A$161,0),MATCH('TCO Inputs'!$AZ$12,'Year data'!$B$110:$AC$110,0))/(1+$AZ$41)^R$59</f>
        <v>972.73493503429358</v>
      </c>
      <c r="S101" s="113">
        <f>VLOOKUP($A101,'VKT US'!$B$63:$AA$113,(S$59+1),FALSE)/VLOOKUP($A101,'Fuel economy adjusted factor'!$A$2:$F$52,4,FALSE)*INDEX('Year data'!$B$111:$AC$161,MATCH($A101,'Year data'!$A$111:$A$161,0),MATCH('TCO Inputs'!$AZ$12,'Year data'!$B$110:$AC$110,0))/(1+$AZ$41)^S$59</f>
        <v>940.2178683360288</v>
      </c>
      <c r="T101" s="113">
        <f>VLOOKUP($A101,'VKT US'!$B$63:$AA$113,(T$59+1),FALSE)/VLOOKUP($A101,'Fuel economy adjusted factor'!$A$2:$F$52,4,FALSE)*INDEX('Year data'!$B$111:$AC$161,MATCH($A101,'Year data'!$A$111:$A$161,0),MATCH('TCO Inputs'!$AZ$12,'Year data'!$B$110:$AC$110,0))/(1+$AZ$41)^T$59</f>
        <v>909.61769219247537</v>
      </c>
      <c r="U101" s="113">
        <f>VLOOKUP($A101,'VKT US'!$B$63:$AA$113,(U$59+1),FALSE)/VLOOKUP($A101,'Fuel economy adjusted factor'!$A$2:$F$52,4,FALSE)*INDEX('Year data'!$B$111:$AC$161,MATCH($A101,'Year data'!$A$111:$A$161,0),MATCH('TCO Inputs'!$AZ$12,'Year data'!$B$110:$AC$110,0))/(1+$AZ$41)^U$59</f>
        <v>881.1951359452072</v>
      </c>
      <c r="V101" s="110" cm="1">
        <f t="array" ref="V101">SUMPRODUCT(INDEX(B101:U101,,_xlfn.SEQUENCE($AZ$13)))</f>
        <v>19914.104059542962</v>
      </c>
    </row>
    <row r="102" spans="1:46" x14ac:dyDescent="0.25">
      <c r="A102" s="102" t="s">
        <v>225</v>
      </c>
      <c r="B102" s="113">
        <f>VLOOKUP($A102,'VKT US'!$B$63:$AA$113,(B$59+1),FALSE)/VLOOKUP($A102,'Fuel economy adjusted factor'!$A$2:$F$52,4,FALSE)*INDEX('Year data'!$B$111:$AC$161,MATCH($A102,'Year data'!$A$111:$A$161,0),MATCH('TCO Inputs'!$AZ$12,'Year data'!$B$110:$AC$110,0))/(1+$AZ$41)^B$59</f>
        <v>1782.1104691780695</v>
      </c>
      <c r="C102" s="113">
        <f>VLOOKUP($A102,'VKT US'!$B$63:$AA$113,(C$59+1),FALSE)/VLOOKUP($A102,'Fuel economy adjusted factor'!$A$2:$F$52,4,FALSE)*INDEX('Year data'!$B$111:$AC$161,MATCH($A102,'Year data'!$A$111:$A$161,0),MATCH('TCO Inputs'!$AZ$12,'Year data'!$B$110:$AC$110,0))/(1+$AZ$41)^C$59</f>
        <v>1708.601938858535</v>
      </c>
      <c r="D102" s="113">
        <f>VLOOKUP($A102,'VKT US'!$B$63:$AA$113,(D$59+1),FALSE)/VLOOKUP($A102,'Fuel economy adjusted factor'!$A$2:$F$52,4,FALSE)*INDEX('Year data'!$B$111:$AC$161,MATCH($A102,'Year data'!$A$111:$A$161,0),MATCH('TCO Inputs'!$AZ$12,'Year data'!$B$110:$AC$110,0))/(1+$AZ$41)^D$59</f>
        <v>1638.2191885362377</v>
      </c>
      <c r="E102" s="113">
        <f>VLOOKUP($A102,'VKT US'!$B$63:$AA$113,(E$59+1),FALSE)/VLOOKUP($A102,'Fuel economy adjusted factor'!$A$2:$F$52,4,FALSE)*INDEX('Year data'!$B$111:$AC$161,MATCH($A102,'Year data'!$A$111:$A$161,0),MATCH('TCO Inputs'!$AZ$12,'Year data'!$B$110:$AC$110,0))/(1+$AZ$41)^E$59</f>
        <v>1571.0031913726204</v>
      </c>
      <c r="F102" s="113">
        <f>VLOOKUP($A102,'VKT US'!$B$63:$AA$113,(F$59+1),FALSE)/VLOOKUP($A102,'Fuel economy adjusted factor'!$A$2:$F$52,4,FALSE)*INDEX('Year data'!$B$111:$AC$161,MATCH($A102,'Year data'!$A$111:$A$161,0),MATCH('TCO Inputs'!$AZ$12,'Year data'!$B$110:$AC$110,0))/(1+$AZ$41)^F$59</f>
        <v>1506.745476752209</v>
      </c>
      <c r="G102" s="113">
        <f>VLOOKUP($A102,'VKT US'!$B$63:$AA$113,(G$59+1),FALSE)/VLOOKUP($A102,'Fuel economy adjusted factor'!$A$2:$F$52,4,FALSE)*INDEX('Year data'!$B$111:$AC$161,MATCH($A102,'Year data'!$A$111:$A$161,0),MATCH('TCO Inputs'!$AZ$12,'Year data'!$B$110:$AC$110,0))/(1+$AZ$41)^G$59</f>
        <v>1445.6088402233761</v>
      </c>
      <c r="H102" s="113">
        <f>VLOOKUP($A102,'VKT US'!$B$63:$AA$113,(H$59+1),FALSE)/VLOOKUP($A102,'Fuel economy adjusted factor'!$A$2:$F$52,4,FALSE)*INDEX('Year data'!$B$111:$AC$161,MATCH($A102,'Year data'!$A$111:$A$161,0),MATCH('TCO Inputs'!$AZ$12,'Year data'!$B$110:$AC$110,0))/(1+$AZ$41)^H$59</f>
        <v>1387.1474383748782</v>
      </c>
      <c r="I102" s="113">
        <f>VLOOKUP($A102,'VKT US'!$B$63:$AA$113,(I$59+1),FALSE)/VLOOKUP($A102,'Fuel economy adjusted factor'!$A$2:$F$52,4,FALSE)*INDEX('Year data'!$B$111:$AC$161,MATCH($A102,'Year data'!$A$111:$A$161,0),MATCH('TCO Inputs'!$AZ$12,'Year data'!$B$110:$AC$110,0))/(1+$AZ$41)^I$59</f>
        <v>1331.5260757250207</v>
      </c>
      <c r="J102" s="113">
        <f>VLOOKUP($A102,'VKT US'!$B$63:$AA$113,(J$59+1),FALSE)/VLOOKUP($A102,'Fuel economy adjusted factor'!$A$2:$F$52,4,FALSE)*INDEX('Year data'!$B$111:$AC$161,MATCH($A102,'Year data'!$A$111:$A$161,0),MATCH('TCO Inputs'!$AZ$12,'Year data'!$B$110:$AC$110,0))/(1+$AZ$41)^J$59</f>
        <v>1278.66597294798</v>
      </c>
      <c r="K102" s="113">
        <f>VLOOKUP($A102,'VKT US'!$B$63:$AA$113,(K$59+1),FALSE)/VLOOKUP($A102,'Fuel economy adjusted factor'!$A$2:$F$52,4,FALSE)*INDEX('Year data'!$B$111:$AC$161,MATCH($A102,'Year data'!$A$111:$A$161,0),MATCH('TCO Inputs'!$AZ$12,'Year data'!$B$110:$AC$110,0))/(1+$AZ$41)^K$59</f>
        <v>1228.4900526415749</v>
      </c>
      <c r="L102" s="113">
        <f>VLOOKUP($A102,'VKT US'!$B$63:$AA$113,(L$59+1),FALSE)/VLOOKUP($A102,'Fuel economy adjusted factor'!$A$2:$F$52,4,FALSE)*INDEX('Year data'!$B$111:$AC$161,MATCH($A102,'Year data'!$A$111:$A$161,0),MATCH('TCO Inputs'!$AZ$12,'Year data'!$B$110:$AC$110,0))/(1+$AZ$41)^L$59</f>
        <v>1180.8087201876351</v>
      </c>
      <c r="M102" s="113">
        <f>VLOOKUP($A102,'VKT US'!$B$63:$AA$113,(M$59+1),FALSE)/VLOOKUP($A102,'Fuel economy adjusted factor'!$A$2:$F$52,4,FALSE)*INDEX('Year data'!$B$111:$AC$161,MATCH($A102,'Year data'!$A$111:$A$161,0),MATCH('TCO Inputs'!$AZ$12,'Year data'!$B$110:$AC$110,0))/(1+$AZ$41)^M$59</f>
        <v>1135.6651015288303</v>
      </c>
      <c r="N102" s="113">
        <f>VLOOKUP($A102,'VKT US'!$B$63:$AA$113,(N$59+1),FALSE)/VLOOKUP($A102,'Fuel economy adjusted factor'!$A$2:$F$52,4,FALSE)*INDEX('Year data'!$B$111:$AC$161,MATCH($A102,'Year data'!$A$111:$A$161,0),MATCH('TCO Inputs'!$AZ$12,'Year data'!$B$110:$AC$110,0))/(1+$AZ$41)^N$59</f>
        <v>1092.8754916349651</v>
      </c>
      <c r="O102" s="113">
        <f>VLOOKUP($A102,'VKT US'!$B$63:$AA$113,(O$59+1),FALSE)/VLOOKUP($A102,'Fuel economy adjusted factor'!$A$2:$F$52,4,FALSE)*INDEX('Year data'!$B$111:$AC$161,MATCH($A102,'Year data'!$A$111:$A$161,0),MATCH('TCO Inputs'!$AZ$12,'Year data'!$B$110:$AC$110,0))/(1+$AZ$41)^O$59</f>
        <v>1052.4833977163671</v>
      </c>
      <c r="P102" s="113">
        <f>VLOOKUP($A102,'VKT US'!$B$63:$AA$113,(P$59+1),FALSE)/VLOOKUP($A102,'Fuel economy adjusted factor'!$A$2:$F$52,4,FALSE)*INDEX('Year data'!$B$111:$AC$161,MATCH($A102,'Year data'!$A$111:$A$161,0),MATCH('TCO Inputs'!$AZ$12,'Year data'!$B$110:$AC$110,0))/(1+$AZ$41)^P$59</f>
        <v>1014.310821851732</v>
      </c>
      <c r="Q102" s="113">
        <f>VLOOKUP($A102,'VKT US'!$B$63:$AA$113,(Q$59+1),FALSE)/VLOOKUP($A102,'Fuel economy adjusted factor'!$A$2:$F$52,4,FALSE)*INDEX('Year data'!$B$111:$AC$161,MATCH($A102,'Year data'!$A$111:$A$161,0),MATCH('TCO Inputs'!$AZ$12,'Year data'!$B$110:$AC$110,0))/(1+$AZ$41)^Q$59</f>
        <v>978.50917630309789</v>
      </c>
      <c r="R102" s="113">
        <f>VLOOKUP($A102,'VKT US'!$B$63:$AA$113,(R$59+1),FALSE)/VLOOKUP($A102,'Fuel economy adjusted factor'!$A$2:$F$52,4,FALSE)*INDEX('Year data'!$B$111:$AC$161,MATCH($A102,'Year data'!$A$111:$A$161,0),MATCH('TCO Inputs'!$AZ$12,'Year data'!$B$110:$AC$110,0))/(1+$AZ$41)^R$59</f>
        <v>944.68956621309769</v>
      </c>
      <c r="S102" s="113">
        <f>VLOOKUP($A102,'VKT US'!$B$63:$AA$113,(S$59+1),FALSE)/VLOOKUP($A102,'Fuel economy adjusted factor'!$A$2:$F$52,4,FALSE)*INDEX('Year data'!$B$111:$AC$161,MATCH($A102,'Year data'!$A$111:$A$161,0),MATCH('TCO Inputs'!$AZ$12,'Year data'!$B$110:$AC$110,0))/(1+$AZ$41)^S$59</f>
        <v>913.11001403774276</v>
      </c>
      <c r="T102" s="113">
        <f>VLOOKUP($A102,'VKT US'!$B$63:$AA$113,(T$59+1),FALSE)/VLOOKUP($A102,'Fuel economy adjusted factor'!$A$2:$F$52,4,FALSE)*INDEX('Year data'!$B$111:$AC$161,MATCH($A102,'Year data'!$A$111:$A$161,0),MATCH('TCO Inputs'!$AZ$12,'Year data'!$B$110:$AC$110,0))/(1+$AZ$41)^T$59</f>
        <v>883.39208566285765</v>
      </c>
      <c r="U102" s="113">
        <f>VLOOKUP($A102,'VKT US'!$B$63:$AA$113,(U$59+1),FALSE)/VLOOKUP($A102,'Fuel economy adjusted factor'!$A$2:$F$52,4,FALSE)*INDEX('Year data'!$B$111:$AC$161,MATCH($A102,'Year data'!$A$111:$A$161,0),MATCH('TCO Inputs'!$AZ$12,'Year data'!$B$110:$AC$110,0))/(1+$AZ$41)^U$59</f>
        <v>855.78899322231246</v>
      </c>
      <c r="V102" s="110" cm="1">
        <f t="array" ref="V102">SUMPRODUCT(INDEX(B102:U102,,_xlfn.SEQUENCE($AZ$13)))</f>
        <v>19339.951355678299</v>
      </c>
    </row>
    <row r="103" spans="1:46" x14ac:dyDescent="0.25">
      <c r="A103" s="102" t="s">
        <v>226</v>
      </c>
      <c r="B103" s="113">
        <f>VLOOKUP($A103,'VKT US'!$B$63:$AA$113,(B$59+1),FALSE)/VLOOKUP($A103,'Fuel economy adjusted factor'!$A$2:$F$52,4,FALSE)*INDEX('Year data'!$B$111:$AC$161,MATCH($A103,'Year data'!$A$111:$A$161,0),MATCH('TCO Inputs'!$AZ$12,'Year data'!$B$110:$AC$110,0))/(1+$AZ$41)^B$59</f>
        <v>2032.7538389608992</v>
      </c>
      <c r="C103" s="113">
        <f>VLOOKUP($A103,'VKT US'!$B$63:$AA$113,(C$59+1),FALSE)/VLOOKUP($A103,'Fuel economy adjusted factor'!$A$2:$F$52,4,FALSE)*INDEX('Year data'!$B$111:$AC$161,MATCH($A103,'Year data'!$A$111:$A$161,0),MATCH('TCO Inputs'!$AZ$12,'Year data'!$B$110:$AC$110,0))/(1+$AZ$41)^C$59</f>
        <v>1948.906765624125</v>
      </c>
      <c r="D103" s="113">
        <f>VLOOKUP($A103,'VKT US'!$B$63:$AA$113,(D$59+1),FALSE)/VLOOKUP($A103,'Fuel economy adjusted factor'!$A$2:$F$52,4,FALSE)*INDEX('Year data'!$B$111:$AC$161,MATCH($A103,'Year data'!$A$111:$A$161,0),MATCH('TCO Inputs'!$AZ$12,'Year data'!$B$110:$AC$110,0))/(1+$AZ$41)^D$59</f>
        <v>1868.6250948810855</v>
      </c>
      <c r="E103" s="113">
        <f>VLOOKUP($A103,'VKT US'!$B$63:$AA$113,(E$59+1),FALSE)/VLOOKUP($A103,'Fuel economy adjusted factor'!$A$2:$F$52,4,FALSE)*INDEX('Year data'!$B$111:$AC$161,MATCH($A103,'Year data'!$A$111:$A$161,0),MATCH('TCO Inputs'!$AZ$12,'Year data'!$B$110:$AC$110,0))/(1+$AZ$41)^E$59</f>
        <v>1791.9555625277148</v>
      </c>
      <c r="F103" s="113">
        <f>VLOOKUP($A103,'VKT US'!$B$63:$AA$113,(F$59+1),FALSE)/VLOOKUP($A103,'Fuel economy adjusted factor'!$A$2:$F$52,4,FALSE)*INDEX('Year data'!$B$111:$AC$161,MATCH($A103,'Year data'!$A$111:$A$161,0),MATCH('TCO Inputs'!$AZ$12,'Year data'!$B$110:$AC$110,0))/(1+$AZ$41)^F$59</f>
        <v>1718.660377780981</v>
      </c>
      <c r="G103" s="113">
        <f>VLOOKUP($A103,'VKT US'!$B$63:$AA$113,(G$59+1),FALSE)/VLOOKUP($A103,'Fuel economy adjusted factor'!$A$2:$F$52,4,FALSE)*INDEX('Year data'!$B$111:$AC$161,MATCH($A103,'Year data'!$A$111:$A$161,0),MATCH('TCO Inputs'!$AZ$12,'Year data'!$B$110:$AC$110,0))/(1+$AZ$41)^G$59</f>
        <v>1648.9252324269112</v>
      </c>
      <c r="H103" s="113">
        <f>VLOOKUP($A103,'VKT US'!$B$63:$AA$113,(H$59+1),FALSE)/VLOOKUP($A103,'Fuel economy adjusted factor'!$A$2:$F$52,4,FALSE)*INDEX('Year data'!$B$111:$AC$161,MATCH($A103,'Year data'!$A$111:$A$161,0),MATCH('TCO Inputs'!$AZ$12,'Year data'!$B$110:$AC$110,0))/(1+$AZ$41)^H$59</f>
        <v>1582.2415777972526</v>
      </c>
      <c r="I103" s="113">
        <f>VLOOKUP($A103,'VKT US'!$B$63:$AA$113,(I$59+1),FALSE)/VLOOKUP($A103,'Fuel economy adjusted factor'!$A$2:$F$52,4,FALSE)*INDEX('Year data'!$B$111:$AC$161,MATCH($A103,'Year data'!$A$111:$A$161,0),MATCH('TCO Inputs'!$AZ$12,'Year data'!$B$110:$AC$110,0))/(1+$AZ$41)^I$59</f>
        <v>1518.7973971977854</v>
      </c>
      <c r="J103" s="113">
        <f>VLOOKUP($A103,'VKT US'!$B$63:$AA$113,(J$59+1),FALSE)/VLOOKUP($A103,'Fuel economy adjusted factor'!$A$2:$F$52,4,FALSE)*INDEX('Year data'!$B$111:$AC$161,MATCH($A103,'Year data'!$A$111:$A$161,0),MATCH('TCO Inputs'!$AZ$12,'Year data'!$B$110:$AC$110,0))/(1+$AZ$41)^J$59</f>
        <v>1458.5028314532417</v>
      </c>
      <c r="K103" s="113">
        <f>VLOOKUP($A103,'VKT US'!$B$63:$AA$113,(K$59+1),FALSE)/VLOOKUP($A103,'Fuel economy adjusted factor'!$A$2:$F$52,4,FALSE)*INDEX('Year data'!$B$111:$AC$161,MATCH($A103,'Year data'!$A$111:$A$161,0),MATCH('TCO Inputs'!$AZ$12,'Year data'!$B$110:$AC$110,0))/(1+$AZ$41)^K$59</f>
        <v>1401.2699626775575</v>
      </c>
      <c r="L103" s="113">
        <f>VLOOKUP($A103,'VKT US'!$B$63:$AA$113,(L$59+1),FALSE)/VLOOKUP($A103,'Fuel economy adjusted factor'!$A$2:$F$52,4,FALSE)*INDEX('Year data'!$B$111:$AC$161,MATCH($A103,'Year data'!$A$111:$A$161,0),MATCH('TCO Inputs'!$AZ$12,'Year data'!$B$110:$AC$110,0))/(1+$AZ$41)^L$59</f>
        <v>1346.8825308831529</v>
      </c>
      <c r="M103" s="113">
        <f>VLOOKUP($A103,'VKT US'!$B$63:$AA$113,(M$59+1),FALSE)/VLOOKUP($A103,'Fuel economy adjusted factor'!$A$2:$F$52,4,FALSE)*INDEX('Year data'!$B$111:$AC$161,MATCH($A103,'Year data'!$A$111:$A$161,0),MATCH('TCO Inputs'!$AZ$12,'Year data'!$B$110:$AC$110,0))/(1+$AZ$41)^M$59</f>
        <v>1295.3897274232213</v>
      </c>
      <c r="N103" s="113">
        <f>VLOOKUP($A103,'VKT US'!$B$63:$AA$113,(N$59+1),FALSE)/VLOOKUP($A103,'Fuel economy adjusted factor'!$A$2:$F$52,4,FALSE)*INDEX('Year data'!$B$111:$AC$161,MATCH($A103,'Year data'!$A$111:$A$161,0),MATCH('TCO Inputs'!$AZ$12,'Year data'!$B$110:$AC$110,0))/(1+$AZ$41)^N$59</f>
        <v>1246.5820102341124</v>
      </c>
      <c r="O103" s="113">
        <f>VLOOKUP($A103,'VKT US'!$B$63:$AA$113,(O$59+1),FALSE)/VLOOKUP($A103,'Fuel economy adjusted factor'!$A$2:$F$52,4,FALSE)*INDEX('Year data'!$B$111:$AC$161,MATCH($A103,'Year data'!$A$111:$A$161,0),MATCH('TCO Inputs'!$AZ$12,'Year data'!$B$110:$AC$110,0))/(1+$AZ$41)^O$59</f>
        <v>1200.5090055597345</v>
      </c>
      <c r="P103" s="113">
        <f>VLOOKUP($A103,'VKT US'!$B$63:$AA$113,(P$59+1),FALSE)/VLOOKUP($A103,'Fuel economy adjusted factor'!$A$2:$F$52,4,FALSE)*INDEX('Year data'!$B$111:$AC$161,MATCH($A103,'Year data'!$A$111:$A$161,0),MATCH('TCO Inputs'!$AZ$12,'Year data'!$B$110:$AC$110,0))/(1+$AZ$41)^P$59</f>
        <v>1156.9676811166703</v>
      </c>
      <c r="Q103" s="113">
        <f>VLOOKUP($A103,'VKT US'!$B$63:$AA$113,(Q$59+1),FALSE)/VLOOKUP($A103,'Fuel economy adjusted factor'!$A$2:$F$52,4,FALSE)*INDEX('Year data'!$B$111:$AC$161,MATCH($A103,'Year data'!$A$111:$A$161,0),MATCH('TCO Inputs'!$AZ$12,'Year data'!$B$110:$AC$110,0))/(1+$AZ$41)^Q$59</f>
        <v>1116.1307444122533</v>
      </c>
      <c r="R103" s="113">
        <f>VLOOKUP($A103,'VKT US'!$B$63:$AA$113,(R$59+1),FALSE)/VLOOKUP($A103,'Fuel economy adjusted factor'!$A$2:$F$52,4,FALSE)*INDEX('Year data'!$B$111:$AC$161,MATCH($A103,'Year data'!$A$111:$A$161,0),MATCH('TCO Inputs'!$AZ$12,'Year data'!$B$110:$AC$110,0))/(1+$AZ$41)^R$59</f>
        <v>1077.5546048117071</v>
      </c>
      <c r="S103" s="113">
        <f>VLOOKUP($A103,'VKT US'!$B$63:$AA$113,(S$59+1),FALSE)/VLOOKUP($A103,'Fuel economy adjusted factor'!$A$2:$F$52,4,FALSE)*INDEX('Year data'!$B$111:$AC$161,MATCH($A103,'Year data'!$A$111:$A$161,0),MATCH('TCO Inputs'!$AZ$12,'Year data'!$B$110:$AC$110,0))/(1+$AZ$41)^S$59</f>
        <v>1041.5335741139156</v>
      </c>
      <c r="T103" s="113">
        <f>VLOOKUP($A103,'VKT US'!$B$63:$AA$113,(T$59+1),FALSE)/VLOOKUP($A103,'Fuel economy adjusted factor'!$A$2:$F$52,4,FALSE)*INDEX('Year data'!$B$111:$AC$161,MATCH($A103,'Year data'!$A$111:$A$161,0),MATCH('TCO Inputs'!$AZ$12,'Year data'!$B$110:$AC$110,0))/(1+$AZ$41)^T$59</f>
        <v>1007.6359936693799</v>
      </c>
      <c r="U103" s="113">
        <f>VLOOKUP($A103,'VKT US'!$B$63:$AA$113,(U$59+1),FALSE)/VLOOKUP($A103,'Fuel economy adjusted factor'!$A$2:$F$52,4,FALSE)*INDEX('Year data'!$B$111:$AC$161,MATCH($A103,'Year data'!$A$111:$A$161,0),MATCH('TCO Inputs'!$AZ$12,'Year data'!$B$110:$AC$110,0))/(1+$AZ$41)^U$59</f>
        <v>976.15068841128959</v>
      </c>
      <c r="V103" s="110" cm="1">
        <f t="array" ref="V103">SUMPRODUCT(INDEX(B103:U103,,_xlfn.SEQUENCE($AZ$13)))</f>
        <v>22060.001915427776</v>
      </c>
    </row>
    <row r="104" spans="1:46" x14ac:dyDescent="0.25">
      <c r="A104" s="102" t="s">
        <v>228</v>
      </c>
      <c r="B104" s="113">
        <f>VLOOKUP($A104,'VKT US'!$B$63:$AA$113,(B$59+1),FALSE)/VLOOKUP($A104,'Fuel economy adjusted factor'!$A$2:$F$52,4,FALSE)*INDEX('Year data'!$B$111:$AC$161,MATCH($A104,'Year data'!$A$111:$A$161,0),MATCH('TCO Inputs'!$AZ$12,'Year data'!$B$110:$AC$110,0))/(1+$AZ$41)^B$59</f>
        <v>1663.8742883795517</v>
      </c>
      <c r="C104" s="113">
        <f>VLOOKUP($A104,'VKT US'!$B$63:$AA$113,(C$59+1),FALSE)/VLOOKUP($A104,'Fuel economy adjusted factor'!$A$2:$F$52,4,FALSE)*INDEX('Year data'!$B$111:$AC$161,MATCH($A104,'Year data'!$A$111:$A$161,0),MATCH('TCO Inputs'!$AZ$12,'Year data'!$B$110:$AC$110,0))/(1+$AZ$41)^C$59</f>
        <v>1595.2427665459743</v>
      </c>
      <c r="D104" s="113">
        <f>VLOOKUP($A104,'VKT US'!$B$63:$AA$113,(D$59+1),FALSE)/VLOOKUP($A104,'Fuel economy adjusted factor'!$A$2:$F$52,4,FALSE)*INDEX('Year data'!$B$111:$AC$161,MATCH($A104,'Year data'!$A$111:$A$161,0),MATCH('TCO Inputs'!$AZ$12,'Year data'!$B$110:$AC$110,0))/(1+$AZ$41)^D$59</f>
        <v>1529.5296412195066</v>
      </c>
      <c r="E104" s="113">
        <f>VLOOKUP($A104,'VKT US'!$B$63:$AA$113,(E$59+1),FALSE)/VLOOKUP($A104,'Fuel economy adjusted factor'!$A$2:$F$52,4,FALSE)*INDEX('Year data'!$B$111:$AC$161,MATCH($A104,'Year data'!$A$111:$A$161,0),MATCH('TCO Inputs'!$AZ$12,'Year data'!$B$110:$AC$110,0))/(1+$AZ$41)^E$59</f>
        <v>1466.7731671497947</v>
      </c>
      <c r="F104" s="113">
        <f>VLOOKUP($A104,'VKT US'!$B$63:$AA$113,(F$59+1),FALSE)/VLOOKUP($A104,'Fuel economy adjusted factor'!$A$2:$F$52,4,FALSE)*INDEX('Year data'!$B$111:$AC$161,MATCH($A104,'Year data'!$A$111:$A$161,0),MATCH('TCO Inputs'!$AZ$12,'Year data'!$B$110:$AC$110,0))/(1+$AZ$41)^F$59</f>
        <v>1406.7787049455269</v>
      </c>
      <c r="G104" s="113">
        <f>VLOOKUP($A104,'VKT US'!$B$63:$AA$113,(G$59+1),FALSE)/VLOOKUP($A104,'Fuel economy adjusted factor'!$A$2:$F$52,4,FALSE)*INDEX('Year data'!$B$111:$AC$161,MATCH($A104,'Year data'!$A$111:$A$161,0),MATCH('TCO Inputs'!$AZ$12,'Year data'!$B$110:$AC$110,0))/(1+$AZ$41)^G$59</f>
        <v>1349.6982492960815</v>
      </c>
      <c r="H104" s="113">
        <f>VLOOKUP($A104,'VKT US'!$B$63:$AA$113,(H$59+1),FALSE)/VLOOKUP($A104,'Fuel economy adjusted factor'!$A$2:$F$52,4,FALSE)*INDEX('Year data'!$B$111:$AC$161,MATCH($A104,'Year data'!$A$111:$A$161,0),MATCH('TCO Inputs'!$AZ$12,'Year data'!$B$110:$AC$110,0))/(1+$AZ$41)^H$59</f>
        <v>1295.1155367871297</v>
      </c>
      <c r="I104" s="113">
        <f>VLOOKUP($A104,'VKT US'!$B$63:$AA$113,(I$59+1),FALSE)/VLOOKUP($A104,'Fuel economy adjusted factor'!$A$2:$F$52,4,FALSE)*INDEX('Year data'!$B$111:$AC$161,MATCH($A104,'Year data'!$A$111:$A$161,0),MATCH('TCO Inputs'!$AZ$12,'Year data'!$B$110:$AC$110,0))/(1+$AZ$41)^I$59</f>
        <v>1243.1844377905468</v>
      </c>
      <c r="J104" s="113">
        <f>VLOOKUP($A104,'VKT US'!$B$63:$AA$113,(J$59+1),FALSE)/VLOOKUP($A104,'Fuel economy adjusted factor'!$A$2:$F$52,4,FALSE)*INDEX('Year data'!$B$111:$AC$161,MATCH($A104,'Year data'!$A$111:$A$161,0),MATCH('TCO Inputs'!$AZ$12,'Year data'!$B$110:$AC$110,0))/(1+$AZ$41)^J$59</f>
        <v>1193.8313996860215</v>
      </c>
      <c r="K104" s="113">
        <f>VLOOKUP($A104,'VKT US'!$B$63:$AA$113,(K$59+1),FALSE)/VLOOKUP($A104,'Fuel economy adjusted factor'!$A$2:$F$52,4,FALSE)*INDEX('Year data'!$B$111:$AC$161,MATCH($A104,'Year data'!$A$111:$A$161,0),MATCH('TCO Inputs'!$AZ$12,'Year data'!$B$110:$AC$110,0))/(1+$AZ$41)^K$59</f>
        <v>1146.9844588607912</v>
      </c>
      <c r="L104" s="113">
        <f>VLOOKUP($A104,'VKT US'!$B$63:$AA$113,(L$59+1),FALSE)/VLOOKUP($A104,'Fuel economy adjusted factor'!$A$2:$F$52,4,FALSE)*INDEX('Year data'!$B$111:$AC$161,MATCH($A104,'Year data'!$A$111:$A$161,0),MATCH('TCO Inputs'!$AZ$12,'Year data'!$B$110:$AC$110,0))/(1+$AZ$41)^L$59</f>
        <v>1102.466599570969</v>
      </c>
      <c r="M104" s="113">
        <f>VLOOKUP($A104,'VKT US'!$B$63:$AA$113,(M$59+1),FALSE)/VLOOKUP($A104,'Fuel economy adjusted factor'!$A$2:$F$52,4,FALSE)*INDEX('Year data'!$B$111:$AC$161,MATCH($A104,'Year data'!$A$111:$A$161,0),MATCH('TCO Inputs'!$AZ$12,'Year data'!$B$110:$AC$110,0))/(1+$AZ$41)^M$59</f>
        <v>1060.3180865186664</v>
      </c>
      <c r="N104" s="113">
        <f>VLOOKUP($A104,'VKT US'!$B$63:$AA$113,(N$59+1),FALSE)/VLOOKUP($A104,'Fuel economy adjusted factor'!$A$2:$F$52,4,FALSE)*INDEX('Year data'!$B$111:$AC$161,MATCH($A104,'Year data'!$A$111:$A$161,0),MATCH('TCO Inputs'!$AZ$12,'Year data'!$B$110:$AC$110,0))/(1+$AZ$41)^N$59</f>
        <v>1020.3674027964447</v>
      </c>
      <c r="O104" s="113">
        <f>VLOOKUP($A104,'VKT US'!$B$63:$AA$113,(O$59+1),FALSE)/VLOOKUP($A104,'Fuel economy adjusted factor'!$A$2:$F$52,4,FALSE)*INDEX('Year data'!$B$111:$AC$161,MATCH($A104,'Year data'!$A$111:$A$161,0),MATCH('TCO Inputs'!$AZ$12,'Year data'!$B$110:$AC$110,0))/(1+$AZ$41)^O$59</f>
        <v>982.65516907842846</v>
      </c>
      <c r="P104" s="113">
        <f>VLOOKUP($A104,'VKT US'!$B$63:$AA$113,(P$59+1),FALSE)/VLOOKUP($A104,'Fuel economy adjusted factor'!$A$2:$F$52,4,FALSE)*INDEX('Year data'!$B$111:$AC$161,MATCH($A104,'Year data'!$A$111:$A$161,0),MATCH('TCO Inputs'!$AZ$12,'Year data'!$B$110:$AC$110,0))/(1+$AZ$41)^P$59</f>
        <v>947.01519692132752</v>
      </c>
      <c r="Q104" s="113">
        <f>VLOOKUP($A104,'VKT US'!$B$63:$AA$113,(Q$59+1),FALSE)/VLOOKUP($A104,'Fuel economy adjusted factor'!$A$2:$F$52,4,FALSE)*INDEX('Year data'!$B$111:$AC$161,MATCH($A104,'Year data'!$A$111:$A$161,0),MATCH('TCO Inputs'!$AZ$12,'Year data'!$B$110:$AC$110,0))/(1+$AZ$41)^Q$59</f>
        <v>913.58885296548681</v>
      </c>
      <c r="R104" s="113">
        <f>VLOOKUP($A104,'VKT US'!$B$63:$AA$113,(R$59+1),FALSE)/VLOOKUP($A104,'Fuel economy adjusted factor'!$A$2:$F$52,4,FALSE)*INDEX('Year data'!$B$111:$AC$161,MATCH($A104,'Year data'!$A$111:$A$161,0),MATCH('TCO Inputs'!$AZ$12,'Year data'!$B$110:$AC$110,0))/(1+$AZ$41)^R$59</f>
        <v>882.01304403276345</v>
      </c>
      <c r="S104" s="113">
        <f>VLOOKUP($A104,'VKT US'!$B$63:$AA$113,(S$59+1),FALSE)/VLOOKUP($A104,'Fuel economy adjusted factor'!$A$2:$F$52,4,FALSE)*INDEX('Year data'!$B$111:$AC$161,MATCH($A104,'Year data'!$A$111:$A$161,0),MATCH('TCO Inputs'!$AZ$12,'Year data'!$B$110:$AC$110,0))/(1+$AZ$41)^S$59</f>
        <v>852.52867378081828</v>
      </c>
      <c r="T104" s="113">
        <f>VLOOKUP($A104,'VKT US'!$B$63:$AA$113,(T$59+1),FALSE)/VLOOKUP($A104,'Fuel economy adjusted factor'!$A$2:$F$52,4,FALSE)*INDEX('Year data'!$B$111:$AC$161,MATCH($A104,'Year data'!$A$111:$A$161,0),MATCH('TCO Inputs'!$AZ$12,'Year data'!$B$110:$AC$110,0))/(1+$AZ$41)^T$59</f>
        <v>824.78241574459116</v>
      </c>
      <c r="U104" s="113">
        <f>VLOOKUP($A104,'VKT US'!$B$63:$AA$113,(U$59+1),FALSE)/VLOOKUP($A104,'Fuel economy adjusted factor'!$A$2:$F$52,4,FALSE)*INDEX('Year data'!$B$111:$AC$161,MATCH($A104,'Year data'!$A$111:$A$161,0),MATCH('TCO Inputs'!$AZ$12,'Year data'!$B$110:$AC$110,0))/(1+$AZ$41)^U$59</f>
        <v>799.01068240599</v>
      </c>
      <c r="V104" s="110" cm="1">
        <f t="array" ref="V104">SUMPRODUCT(INDEX(B104:U104,,_xlfn.SEQUENCE($AZ$13)))</f>
        <v>18056.819908625432</v>
      </c>
    </row>
    <row r="105" spans="1:46" x14ac:dyDescent="0.25">
      <c r="A105" s="102" t="s">
        <v>227</v>
      </c>
      <c r="B105" s="113">
        <f>VLOOKUP($A105,'VKT US'!$B$63:$AA$113,(B$59+1),FALSE)/VLOOKUP($A105,'Fuel economy adjusted factor'!$A$2:$F$52,4,FALSE)*INDEX('Year data'!$B$111:$AC$161,MATCH($A105,'Year data'!$A$111:$A$161,0),MATCH('TCO Inputs'!$AZ$12,'Year data'!$B$110:$AC$110,0))/(1+$AZ$41)^B$59</f>
        <v>1763.704584783593</v>
      </c>
      <c r="C105" s="113">
        <f>VLOOKUP($A105,'VKT US'!$B$63:$AA$113,(C$59+1),FALSE)/VLOOKUP($A105,'Fuel economy adjusted factor'!$A$2:$F$52,4,FALSE)*INDEX('Year data'!$B$111:$AC$161,MATCH($A105,'Year data'!$A$111:$A$161,0),MATCH('TCO Inputs'!$AZ$12,'Year data'!$B$110:$AC$110,0))/(1+$AZ$41)^C$59</f>
        <v>1690.9552607727976</v>
      </c>
      <c r="D105" s="113">
        <f>VLOOKUP($A105,'VKT US'!$B$63:$AA$113,(D$59+1),FALSE)/VLOOKUP($A105,'Fuel economy adjusted factor'!$A$2:$F$52,4,FALSE)*INDEX('Year data'!$B$111:$AC$161,MATCH($A105,'Year data'!$A$111:$A$161,0),MATCH('TCO Inputs'!$AZ$12,'Year data'!$B$110:$AC$110,0))/(1+$AZ$41)^D$59</f>
        <v>1621.2994332693725</v>
      </c>
      <c r="E105" s="113">
        <f>VLOOKUP($A105,'VKT US'!$B$63:$AA$113,(E$59+1),FALSE)/VLOOKUP($A105,'Fuel economy adjusted factor'!$A$2:$F$52,4,FALSE)*INDEX('Year data'!$B$111:$AC$161,MATCH($A105,'Year data'!$A$111:$A$161,0),MATCH('TCO Inputs'!$AZ$12,'Year data'!$B$110:$AC$110,0))/(1+$AZ$41)^E$59</f>
        <v>1554.777652258261</v>
      </c>
      <c r="F105" s="113">
        <f>VLOOKUP($A105,'VKT US'!$B$63:$AA$113,(F$59+1),FALSE)/VLOOKUP($A105,'Fuel economy adjusted factor'!$A$2:$F$52,4,FALSE)*INDEX('Year data'!$B$111:$AC$161,MATCH($A105,'Year data'!$A$111:$A$161,0),MATCH('TCO Inputs'!$AZ$12,'Year data'!$B$110:$AC$110,0))/(1+$AZ$41)^F$59</f>
        <v>1491.1836002374537</v>
      </c>
      <c r="G105" s="113">
        <f>VLOOKUP($A105,'VKT US'!$B$63:$AA$113,(G$59+1),FALSE)/VLOOKUP($A105,'Fuel economy adjusted factor'!$A$2:$F$52,4,FALSE)*INDEX('Year data'!$B$111:$AC$161,MATCH($A105,'Year data'!$A$111:$A$161,0),MATCH('TCO Inputs'!$AZ$12,'Year data'!$B$110:$AC$110,0))/(1+$AZ$41)^G$59</f>
        <v>1430.6783913802935</v>
      </c>
      <c r="H105" s="113">
        <f>VLOOKUP($A105,'VKT US'!$B$63:$AA$113,(H$59+1),FALSE)/VLOOKUP($A105,'Fuel economy adjusted factor'!$A$2:$F$52,4,FALSE)*INDEX('Year data'!$B$111:$AC$161,MATCH($A105,'Year data'!$A$111:$A$161,0),MATCH('TCO Inputs'!$AZ$12,'Year data'!$B$110:$AC$110,0))/(1+$AZ$41)^H$59</f>
        <v>1372.8207870081997</v>
      </c>
      <c r="I105" s="113">
        <f>VLOOKUP($A105,'VKT US'!$B$63:$AA$113,(I$59+1),FALSE)/VLOOKUP($A105,'Fuel economy adjusted factor'!$A$2:$F$52,4,FALSE)*INDEX('Year data'!$B$111:$AC$161,MATCH($A105,'Year data'!$A$111:$A$161,0),MATCH('TCO Inputs'!$AZ$12,'Year data'!$B$110:$AC$110,0))/(1+$AZ$41)^I$59</f>
        <v>1317.7738895155267</v>
      </c>
      <c r="J105" s="113">
        <f>VLOOKUP($A105,'VKT US'!$B$63:$AA$113,(J$59+1),FALSE)/VLOOKUP($A105,'Fuel economy adjusted factor'!$A$2:$F$52,4,FALSE)*INDEX('Year data'!$B$111:$AC$161,MATCH($A105,'Year data'!$A$111:$A$161,0),MATCH('TCO Inputs'!$AZ$12,'Year data'!$B$110:$AC$110,0))/(1+$AZ$41)^J$59</f>
        <v>1265.4597332202677</v>
      </c>
      <c r="K105" s="113">
        <f>VLOOKUP($A105,'VKT US'!$B$63:$AA$113,(K$59+1),FALSE)/VLOOKUP($A105,'Fuel economy adjusted factor'!$A$2:$F$52,4,FALSE)*INDEX('Year data'!$B$111:$AC$161,MATCH($A105,'Year data'!$A$111:$A$161,0),MATCH('TCO Inputs'!$AZ$12,'Year data'!$B$110:$AC$110,0))/(1+$AZ$41)^K$59</f>
        <v>1215.8020367863548</v>
      </c>
      <c r="L105" s="113">
        <f>VLOOKUP($A105,'VKT US'!$B$63:$AA$113,(L$59+1),FALSE)/VLOOKUP($A105,'Fuel economy adjusted factor'!$A$2:$F$52,4,FALSE)*INDEX('Year data'!$B$111:$AC$161,MATCH($A105,'Year data'!$A$111:$A$161,0),MATCH('TCO Inputs'!$AZ$12,'Year data'!$B$110:$AC$110,0))/(1+$AZ$41)^L$59</f>
        <v>1168.6131637551614</v>
      </c>
      <c r="M105" s="113">
        <f>VLOOKUP($A105,'VKT US'!$B$63:$AA$113,(M$59+1),FALSE)/VLOOKUP($A105,'Fuel economy adjusted factor'!$A$2:$F$52,4,FALSE)*INDEX('Year data'!$B$111:$AC$161,MATCH($A105,'Year data'!$A$111:$A$161,0),MATCH('TCO Inputs'!$AZ$12,'Year data'!$B$110:$AC$110,0))/(1+$AZ$41)^M$59</f>
        <v>1123.9357946586329</v>
      </c>
      <c r="N105" s="113">
        <f>VLOOKUP($A105,'VKT US'!$B$63:$AA$113,(N$59+1),FALSE)/VLOOKUP($A105,'Fuel economy adjusted factor'!$A$2:$F$52,4,FALSE)*INDEX('Year data'!$B$111:$AC$161,MATCH($A105,'Year data'!$A$111:$A$161,0),MATCH('TCO Inputs'!$AZ$12,'Year data'!$B$110:$AC$110,0))/(1+$AZ$41)^N$59</f>
        <v>1081.5881217976355</v>
      </c>
      <c r="O105" s="113">
        <f>VLOOKUP($A105,'VKT US'!$B$63:$AA$113,(O$59+1),FALSE)/VLOOKUP($A105,'Fuel economy adjusted factor'!$A$2:$F$52,4,FALSE)*INDEX('Year data'!$B$111:$AC$161,MATCH($A105,'Year data'!$A$111:$A$161,0),MATCH('TCO Inputs'!$AZ$12,'Year data'!$B$110:$AC$110,0))/(1+$AZ$41)^O$59</f>
        <v>1041.6132030339872</v>
      </c>
      <c r="P105" s="113">
        <f>VLOOKUP($A105,'VKT US'!$B$63:$AA$113,(P$59+1),FALSE)/VLOOKUP($A105,'Fuel economy adjusted factor'!$A$2:$F$52,4,FALSE)*INDEX('Year data'!$B$111:$AC$161,MATCH($A105,'Year data'!$A$111:$A$161,0),MATCH('TCO Inputs'!$AZ$12,'Year data'!$B$110:$AC$110,0))/(1+$AZ$41)^P$59</f>
        <v>1003.8348788336316</v>
      </c>
      <c r="Q105" s="113">
        <f>VLOOKUP($A105,'VKT US'!$B$63:$AA$113,(Q$59+1),FALSE)/VLOOKUP($A105,'Fuel economy adjusted factor'!$A$2:$F$52,4,FALSE)*INDEX('Year data'!$B$111:$AC$161,MATCH($A105,'Year data'!$A$111:$A$161,0),MATCH('TCO Inputs'!$AZ$12,'Year data'!$B$110:$AC$110,0))/(1+$AZ$41)^Q$59</f>
        <v>968.40299765173961</v>
      </c>
      <c r="R105" s="113">
        <f>VLOOKUP($A105,'VKT US'!$B$63:$AA$113,(R$59+1),FALSE)/VLOOKUP($A105,'Fuel economy adjusted factor'!$A$2:$F$52,4,FALSE)*INDEX('Year data'!$B$111:$AC$161,MATCH($A105,'Year data'!$A$111:$A$161,0),MATCH('TCO Inputs'!$AZ$12,'Year data'!$B$110:$AC$110,0))/(1+$AZ$41)^R$59</f>
        <v>934.93268119103391</v>
      </c>
      <c r="S105" s="113">
        <f>VLOOKUP($A105,'VKT US'!$B$63:$AA$113,(S$59+1),FALSE)/VLOOKUP($A105,'Fuel economy adjusted factor'!$A$2:$F$52,4,FALSE)*INDEX('Year data'!$B$111:$AC$161,MATCH($A105,'Year data'!$A$111:$A$161,0),MATCH('TCO Inputs'!$AZ$12,'Year data'!$B$110:$AC$110,0))/(1+$AZ$41)^S$59</f>
        <v>903.67928701577046</v>
      </c>
      <c r="T105" s="113">
        <f>VLOOKUP($A105,'VKT US'!$B$63:$AA$113,(T$59+1),FALSE)/VLOOKUP($A105,'Fuel economy adjusted factor'!$A$2:$F$52,4,FALSE)*INDEX('Year data'!$B$111:$AC$161,MATCH($A105,'Year data'!$A$111:$A$161,0),MATCH('TCO Inputs'!$AZ$12,'Year data'!$B$110:$AC$110,0))/(1+$AZ$41)^T$59</f>
        <v>874.26828953185498</v>
      </c>
      <c r="U105" s="113">
        <f>VLOOKUP($A105,'VKT US'!$B$63:$AA$113,(U$59+1),FALSE)/VLOOKUP($A105,'Fuel economy adjusted factor'!$A$2:$F$52,4,FALSE)*INDEX('Year data'!$B$111:$AC$161,MATCH($A105,'Year data'!$A$111:$A$161,0),MATCH('TCO Inputs'!$AZ$12,'Year data'!$B$110:$AC$110,0))/(1+$AZ$41)^U$59</f>
        <v>846.95028566307792</v>
      </c>
      <c r="V105" s="110" cm="1">
        <f t="array" ref="V105">SUMPRODUCT(INDEX(B105:U105,,_xlfn.SEQUENCE($AZ$13)))</f>
        <v>19140.205652477536</v>
      </c>
    </row>
    <row r="106" spans="1:46" x14ac:dyDescent="0.25">
      <c r="A106" s="102" t="s">
        <v>229</v>
      </c>
      <c r="B106" s="113">
        <f>VLOOKUP($A106,'VKT US'!$B$63:$AA$113,(B$59+1),FALSE)/VLOOKUP($A106,'Fuel economy adjusted factor'!$A$2:$F$52,4,FALSE)*INDEX('Year data'!$B$111:$AC$161,MATCH($A106,'Year data'!$A$111:$A$161,0),MATCH('TCO Inputs'!$AZ$12,'Year data'!$B$110:$AC$110,0))/(1+$AZ$41)^B$59</f>
        <v>1799.9018292102653</v>
      </c>
      <c r="C106" s="113">
        <f>VLOOKUP($A106,'VKT US'!$B$63:$AA$113,(C$59+1),FALSE)/VLOOKUP($A106,'Fuel economy adjusted factor'!$A$2:$F$52,4,FALSE)*INDEX('Year data'!$B$111:$AC$161,MATCH($A106,'Year data'!$A$111:$A$161,0),MATCH('TCO Inputs'!$AZ$12,'Year data'!$B$110:$AC$110,0))/(1+$AZ$41)^C$59</f>
        <v>1725.6594404958837</v>
      </c>
      <c r="D106" s="113">
        <f>VLOOKUP($A106,'VKT US'!$B$63:$AA$113,(D$59+1),FALSE)/VLOOKUP($A106,'Fuel economy adjusted factor'!$A$2:$F$52,4,FALSE)*INDEX('Year data'!$B$111:$AC$161,MATCH($A106,'Year data'!$A$111:$A$161,0),MATCH('TCO Inputs'!$AZ$12,'Year data'!$B$110:$AC$110,0))/(1+$AZ$41)^D$59</f>
        <v>1654.5740374072745</v>
      </c>
      <c r="E106" s="113">
        <f>VLOOKUP($A106,'VKT US'!$B$63:$AA$113,(E$59+1),FALSE)/VLOOKUP($A106,'Fuel economy adjusted factor'!$A$2:$F$52,4,FALSE)*INDEX('Year data'!$B$111:$AC$161,MATCH($A106,'Year data'!$A$111:$A$161,0),MATCH('TCO Inputs'!$AZ$12,'Year data'!$B$110:$AC$110,0))/(1+$AZ$41)^E$59</f>
        <v>1586.6870021536265</v>
      </c>
      <c r="F106" s="113">
        <f>VLOOKUP($A106,'VKT US'!$B$63:$AA$113,(F$59+1),FALSE)/VLOOKUP($A106,'Fuel economy adjusted factor'!$A$2:$F$52,4,FALSE)*INDEX('Year data'!$B$111:$AC$161,MATCH($A106,'Year data'!$A$111:$A$161,0),MATCH('TCO Inputs'!$AZ$12,'Year data'!$B$110:$AC$110,0))/(1+$AZ$41)^F$59</f>
        <v>1521.787782892829</v>
      </c>
      <c r="G106" s="113">
        <f>VLOOKUP($A106,'VKT US'!$B$63:$AA$113,(G$59+1),FALSE)/VLOOKUP($A106,'Fuel economy adjusted factor'!$A$2:$F$52,4,FALSE)*INDEX('Year data'!$B$111:$AC$161,MATCH($A106,'Year data'!$A$111:$A$161,0),MATCH('TCO Inputs'!$AZ$12,'Year data'!$B$110:$AC$110,0))/(1+$AZ$41)^G$59</f>
        <v>1460.0408004115684</v>
      </c>
      <c r="H106" s="113">
        <f>VLOOKUP($A106,'VKT US'!$B$63:$AA$113,(H$59+1),FALSE)/VLOOKUP($A106,'Fuel economy adjusted factor'!$A$2:$F$52,4,FALSE)*INDEX('Year data'!$B$111:$AC$161,MATCH($A106,'Year data'!$A$111:$A$161,0),MATCH('TCO Inputs'!$AZ$12,'Year data'!$B$110:$AC$110,0))/(1+$AZ$41)^H$59</f>
        <v>1400.9957603059243</v>
      </c>
      <c r="I106" s="113">
        <f>VLOOKUP($A106,'VKT US'!$B$63:$AA$113,(I$59+1),FALSE)/VLOOKUP($A106,'Fuel economy adjusted factor'!$A$2:$F$52,4,FALSE)*INDEX('Year data'!$B$111:$AC$161,MATCH($A106,'Year data'!$A$111:$A$161,0),MATCH('TCO Inputs'!$AZ$12,'Year data'!$B$110:$AC$110,0))/(1+$AZ$41)^I$59</f>
        <v>1344.8191123886832</v>
      </c>
      <c r="J106" s="113">
        <f>VLOOKUP($A106,'VKT US'!$B$63:$AA$113,(J$59+1),FALSE)/VLOOKUP($A106,'Fuel economy adjusted factor'!$A$2:$F$52,4,FALSE)*INDEX('Year data'!$B$111:$AC$161,MATCH($A106,'Year data'!$A$111:$A$161,0),MATCH('TCO Inputs'!$AZ$12,'Year data'!$B$110:$AC$110,0))/(1+$AZ$41)^J$59</f>
        <v>1291.4312908556444</v>
      </c>
      <c r="K106" s="113">
        <f>VLOOKUP($A106,'VKT US'!$B$63:$AA$113,(K$59+1),FALSE)/VLOOKUP($A106,'Fuel economy adjusted factor'!$A$2:$F$52,4,FALSE)*INDEX('Year data'!$B$111:$AC$161,MATCH($A106,'Year data'!$A$111:$A$161,0),MATCH('TCO Inputs'!$AZ$12,'Year data'!$B$110:$AC$110,0))/(1+$AZ$41)^K$59</f>
        <v>1240.7544488170813</v>
      </c>
      <c r="L106" s="113">
        <f>VLOOKUP($A106,'VKT US'!$B$63:$AA$113,(L$59+1),FALSE)/VLOOKUP($A106,'Fuel economy adjusted factor'!$A$2:$F$52,4,FALSE)*INDEX('Year data'!$B$111:$AC$161,MATCH($A106,'Year data'!$A$111:$A$161,0),MATCH('TCO Inputs'!$AZ$12,'Year data'!$B$110:$AC$110,0))/(1+$AZ$41)^L$59</f>
        <v>1192.5970988731067</v>
      </c>
      <c r="M106" s="113">
        <f>VLOOKUP($A106,'VKT US'!$B$63:$AA$113,(M$59+1),FALSE)/VLOOKUP($A106,'Fuel economy adjusted factor'!$A$2:$F$52,4,FALSE)*INDEX('Year data'!$B$111:$AC$161,MATCH($A106,'Year data'!$A$111:$A$161,0),MATCH('TCO Inputs'!$AZ$12,'Year data'!$B$110:$AC$110,0))/(1+$AZ$41)^M$59</f>
        <v>1147.0027975060152</v>
      </c>
      <c r="N106" s="113">
        <f>VLOOKUP($A106,'VKT US'!$B$63:$AA$113,(N$59+1),FALSE)/VLOOKUP($A106,'Fuel economy adjusted factor'!$A$2:$F$52,4,FALSE)*INDEX('Year data'!$B$111:$AC$161,MATCH($A106,'Year data'!$A$111:$A$161,0),MATCH('TCO Inputs'!$AZ$12,'Year data'!$B$110:$AC$110,0))/(1+$AZ$41)^N$59</f>
        <v>1103.7860057014741</v>
      </c>
      <c r="O106" s="113">
        <f>VLOOKUP($A106,'VKT US'!$B$63:$AA$113,(O$59+1),FALSE)/VLOOKUP($A106,'Fuel economy adjusted factor'!$A$2:$F$52,4,FALSE)*INDEX('Year data'!$B$111:$AC$161,MATCH($A106,'Year data'!$A$111:$A$161,0),MATCH('TCO Inputs'!$AZ$12,'Year data'!$B$110:$AC$110,0))/(1+$AZ$41)^O$59</f>
        <v>1062.9906650157488</v>
      </c>
      <c r="P106" s="113">
        <f>VLOOKUP($A106,'VKT US'!$B$63:$AA$113,(P$59+1),FALSE)/VLOOKUP($A106,'Fuel economy adjusted factor'!$A$2:$F$52,4,FALSE)*INDEX('Year data'!$B$111:$AC$161,MATCH($A106,'Year data'!$A$111:$A$161,0),MATCH('TCO Inputs'!$AZ$12,'Year data'!$B$110:$AC$110,0))/(1+$AZ$41)^P$59</f>
        <v>1024.4370005192302</v>
      </c>
      <c r="Q106" s="113">
        <f>VLOOKUP($A106,'VKT US'!$B$63:$AA$113,(Q$59+1),FALSE)/VLOOKUP($A106,'Fuel economy adjusted factor'!$A$2:$F$52,4,FALSE)*INDEX('Year data'!$B$111:$AC$161,MATCH($A106,'Year data'!$A$111:$A$161,0),MATCH('TCO Inputs'!$AZ$12,'Year data'!$B$110:$AC$110,0))/(1+$AZ$41)^Q$59</f>
        <v>988.27793606940179</v>
      </c>
      <c r="R106" s="113">
        <f>VLOOKUP($A106,'VKT US'!$B$63:$AA$113,(R$59+1),FALSE)/VLOOKUP($A106,'Fuel economy adjusted factor'!$A$2:$F$52,4,FALSE)*INDEX('Year data'!$B$111:$AC$161,MATCH($A106,'Year data'!$A$111:$A$161,0),MATCH('TCO Inputs'!$AZ$12,'Year data'!$B$110:$AC$110,0))/(1+$AZ$41)^R$59</f>
        <v>954.12069435124715</v>
      </c>
      <c r="S106" s="113">
        <f>VLOOKUP($A106,'VKT US'!$B$63:$AA$113,(S$59+1),FALSE)/VLOOKUP($A106,'Fuel economy adjusted factor'!$A$2:$F$52,4,FALSE)*INDEX('Year data'!$B$111:$AC$161,MATCH($A106,'Year data'!$A$111:$A$161,0),MATCH('TCO Inputs'!$AZ$12,'Year data'!$B$110:$AC$110,0))/(1+$AZ$41)^S$59</f>
        <v>922.22587373876411</v>
      </c>
      <c r="T106" s="113">
        <f>VLOOKUP($A106,'VKT US'!$B$63:$AA$113,(T$59+1),FALSE)/VLOOKUP($A106,'Fuel economy adjusted factor'!$A$2:$F$52,4,FALSE)*INDEX('Year data'!$B$111:$AC$161,MATCH($A106,'Year data'!$A$111:$A$161,0),MATCH('TCO Inputs'!$AZ$12,'Year data'!$B$110:$AC$110,0))/(1+$AZ$41)^T$59</f>
        <v>892.21126209296347</v>
      </c>
      <c r="U106" s="113">
        <f>VLOOKUP($A106,'VKT US'!$B$63:$AA$113,(U$59+1),FALSE)/VLOOKUP($A106,'Fuel economy adjusted factor'!$A$2:$F$52,4,FALSE)*INDEX('Year data'!$B$111:$AC$161,MATCH($A106,'Year data'!$A$111:$A$161,0),MATCH('TCO Inputs'!$AZ$12,'Year data'!$B$110:$AC$110,0))/(1+$AZ$41)^U$59</f>
        <v>864.33259944276813</v>
      </c>
      <c r="V106" s="110" cm="1">
        <f t="array" ref="V106">SUMPRODUCT(INDEX(B106:U106,,_xlfn.SEQUENCE($AZ$13)))</f>
        <v>19533.028072035126</v>
      </c>
    </row>
    <row r="107" spans="1:46" x14ac:dyDescent="0.25">
      <c r="A107" s="102" t="s">
        <v>159</v>
      </c>
      <c r="B107" s="113">
        <f>VLOOKUP($A107,'VKT US'!$B$63:$AA$113,(B$59+1),FALSE)/VLOOKUP($A107,'Fuel economy adjusted factor'!$A$2:$F$52,4,FALSE)*INDEX('Year data'!$B$111:$AC$161,MATCH($A107,'Year data'!$A$111:$A$161,0),MATCH('TCO Inputs'!$AZ$12,'Year data'!$B$110:$AC$110,0))/(1+$AZ$41)^B$59</f>
        <v>1992.0829928393075</v>
      </c>
      <c r="C107" s="113">
        <f>VLOOKUP($A107,'VKT US'!$B$63:$AA$113,(C$59+1),FALSE)/VLOOKUP($A107,'Fuel economy adjusted factor'!$A$2:$F$52,4,FALSE)*INDEX('Year data'!$B$111:$AC$161,MATCH($A107,'Year data'!$A$111:$A$161,0),MATCH('TCO Inputs'!$AZ$12,'Year data'!$B$110:$AC$110,0))/(1+$AZ$41)^C$59</f>
        <v>1909.9135114234364</v>
      </c>
      <c r="D107" s="113">
        <f>VLOOKUP($A107,'VKT US'!$B$63:$AA$113,(D$59+1),FALSE)/VLOOKUP($A107,'Fuel economy adjusted factor'!$A$2:$F$52,4,FALSE)*INDEX('Year data'!$B$111:$AC$161,MATCH($A107,'Year data'!$A$111:$A$161,0),MATCH('TCO Inputs'!$AZ$12,'Year data'!$B$110:$AC$110,0))/(1+$AZ$41)^D$59</f>
        <v>1831.2380968903685</v>
      </c>
      <c r="E107" s="113">
        <f>VLOOKUP($A107,'VKT US'!$B$63:$AA$113,(E$59+1),FALSE)/VLOOKUP($A107,'Fuel economy adjusted factor'!$A$2:$F$52,4,FALSE)*INDEX('Year data'!$B$111:$AC$161,MATCH($A107,'Year data'!$A$111:$A$161,0),MATCH('TCO Inputs'!$AZ$12,'Year data'!$B$110:$AC$110,0))/(1+$AZ$41)^E$59</f>
        <v>1756.1025499575608</v>
      </c>
      <c r="F107" s="113">
        <f>VLOOKUP($A107,'VKT US'!$B$63:$AA$113,(F$59+1),FALSE)/VLOOKUP($A107,'Fuel economy adjusted factor'!$A$2:$F$52,4,FALSE)*INDEX('Year data'!$B$111:$AC$161,MATCH($A107,'Year data'!$A$111:$A$161,0),MATCH('TCO Inputs'!$AZ$12,'Year data'!$B$110:$AC$110,0))/(1+$AZ$41)^F$59</f>
        <v>1684.2738375023325</v>
      </c>
      <c r="G107" s="113">
        <f>VLOOKUP($A107,'VKT US'!$B$63:$AA$113,(G$59+1),FALSE)/VLOOKUP($A107,'Fuel economy adjusted factor'!$A$2:$F$52,4,FALSE)*INDEX('Year data'!$B$111:$AC$161,MATCH($A107,'Year data'!$A$111:$A$161,0),MATCH('TCO Inputs'!$AZ$12,'Year data'!$B$110:$AC$110,0))/(1+$AZ$41)^G$59</f>
        <v>1615.9339360344641</v>
      </c>
      <c r="H107" s="113">
        <f>VLOOKUP($A107,'VKT US'!$B$63:$AA$113,(H$59+1),FALSE)/VLOOKUP($A107,'Fuel economy adjusted factor'!$A$2:$F$52,4,FALSE)*INDEX('Year data'!$B$111:$AC$161,MATCH($A107,'Year data'!$A$111:$A$161,0),MATCH('TCO Inputs'!$AZ$12,'Year data'!$B$110:$AC$110,0))/(1+$AZ$41)^H$59</f>
        <v>1550.5844718041969</v>
      </c>
      <c r="I107" s="113">
        <f>VLOOKUP($A107,'VKT US'!$B$63:$AA$113,(I$59+1),FALSE)/VLOOKUP($A107,'Fuel economy adjusted factor'!$A$2:$F$52,4,FALSE)*INDEX('Year data'!$B$111:$AC$161,MATCH($A107,'Year data'!$A$111:$A$161,0),MATCH('TCO Inputs'!$AZ$12,'Year data'!$B$110:$AC$110,0))/(1+$AZ$41)^I$59</f>
        <v>1488.4096669928924</v>
      </c>
      <c r="J107" s="113">
        <f>VLOOKUP($A107,'VKT US'!$B$63:$AA$113,(J$59+1),FALSE)/VLOOKUP($A107,'Fuel economy adjusted factor'!$A$2:$F$52,4,FALSE)*INDEX('Year data'!$B$111:$AC$161,MATCH($A107,'Year data'!$A$111:$A$161,0),MATCH('TCO Inputs'!$AZ$12,'Year data'!$B$110:$AC$110,0))/(1+$AZ$41)^J$59</f>
        <v>1429.3214603058811</v>
      </c>
      <c r="K107" s="113">
        <f>VLOOKUP($A107,'VKT US'!$B$63:$AA$113,(K$59+1),FALSE)/VLOOKUP($A107,'Fuel economy adjusted factor'!$A$2:$F$52,4,FALSE)*INDEX('Year data'!$B$111:$AC$161,MATCH($A107,'Year data'!$A$111:$A$161,0),MATCH('TCO Inputs'!$AZ$12,'Year data'!$B$110:$AC$110,0))/(1+$AZ$41)^K$59</f>
        <v>1373.233692896855</v>
      </c>
      <c r="L107" s="113">
        <f>VLOOKUP($A107,'VKT US'!$B$63:$AA$113,(L$59+1),FALSE)/VLOOKUP($A107,'Fuel economy adjusted factor'!$A$2:$F$52,4,FALSE)*INDEX('Year data'!$B$111:$AC$161,MATCH($A107,'Year data'!$A$111:$A$161,0),MATCH('TCO Inputs'!$AZ$12,'Year data'!$B$110:$AC$110,0))/(1+$AZ$41)^L$59</f>
        <v>1319.9344316556487</v>
      </c>
      <c r="M107" s="113">
        <f>VLOOKUP($A107,'VKT US'!$B$63:$AA$113,(M$59+1),FALSE)/VLOOKUP($A107,'Fuel economy adjusted factor'!$A$2:$F$52,4,FALSE)*INDEX('Year data'!$B$111:$AC$161,MATCH($A107,'Year data'!$A$111:$A$161,0),MATCH('TCO Inputs'!$AZ$12,'Year data'!$B$110:$AC$110,0))/(1+$AZ$41)^M$59</f>
        <v>1269.4718837267847</v>
      </c>
      <c r="N107" s="113">
        <f>VLOOKUP($A107,'VKT US'!$B$63:$AA$113,(N$59+1),FALSE)/VLOOKUP($A107,'Fuel economy adjusted factor'!$A$2:$F$52,4,FALSE)*INDEX('Year data'!$B$111:$AC$161,MATCH($A107,'Year data'!$A$111:$A$161,0),MATCH('TCO Inputs'!$AZ$12,'Year data'!$B$110:$AC$110,0))/(1+$AZ$41)^N$59</f>
        <v>1221.6406995134339</v>
      </c>
      <c r="O107" s="113">
        <f>VLOOKUP($A107,'VKT US'!$B$63:$AA$113,(O$59+1),FALSE)/VLOOKUP($A107,'Fuel economy adjusted factor'!$A$2:$F$52,4,FALSE)*INDEX('Year data'!$B$111:$AC$161,MATCH($A107,'Year data'!$A$111:$A$161,0),MATCH('TCO Inputs'!$AZ$12,'Year data'!$B$110:$AC$110,0))/(1+$AZ$41)^O$59</f>
        <v>1176.4895123496449</v>
      </c>
      <c r="P107" s="113">
        <f>VLOOKUP($A107,'VKT US'!$B$63:$AA$113,(P$59+1),FALSE)/VLOOKUP($A107,'Fuel economy adjusted factor'!$A$2:$F$52,4,FALSE)*INDEX('Year data'!$B$111:$AC$161,MATCH($A107,'Year data'!$A$111:$A$161,0),MATCH('TCO Inputs'!$AZ$12,'Year data'!$B$110:$AC$110,0))/(1+$AZ$41)^P$59</f>
        <v>1133.8193521727171</v>
      </c>
      <c r="Q107" s="113">
        <f>VLOOKUP($A107,'VKT US'!$B$63:$AA$113,(Q$59+1),FALSE)/VLOOKUP($A107,'Fuel economy adjusted factor'!$A$2:$F$52,4,FALSE)*INDEX('Year data'!$B$111:$AC$161,MATCH($A107,'Year data'!$A$111:$A$161,0),MATCH('TCO Inputs'!$AZ$12,'Year data'!$B$110:$AC$110,0))/(1+$AZ$41)^Q$59</f>
        <v>1093.7994710000371</v>
      </c>
      <c r="R107" s="113">
        <f>VLOOKUP($A107,'VKT US'!$B$63:$AA$113,(R$59+1),FALSE)/VLOOKUP($A107,'Fuel economy adjusted factor'!$A$2:$F$52,4,FALSE)*INDEX('Year data'!$B$111:$AC$161,MATCH($A107,'Year data'!$A$111:$A$161,0),MATCH('TCO Inputs'!$AZ$12,'Year data'!$B$110:$AC$110,0))/(1+$AZ$41)^R$59</f>
        <v>1055.9951534507341</v>
      </c>
      <c r="S107" s="113">
        <f>VLOOKUP($A107,'VKT US'!$B$63:$AA$113,(S$59+1),FALSE)/VLOOKUP($A107,'Fuel economy adjusted factor'!$A$2:$F$52,4,FALSE)*INDEX('Year data'!$B$111:$AC$161,MATCH($A107,'Year data'!$A$111:$A$161,0),MATCH('TCO Inputs'!$AZ$12,'Year data'!$B$110:$AC$110,0))/(1+$AZ$41)^S$59</f>
        <v>1020.6948228045532</v>
      </c>
      <c r="T107" s="113">
        <f>VLOOKUP($A107,'VKT US'!$B$63:$AA$113,(T$59+1),FALSE)/VLOOKUP($A107,'Fuel economy adjusted factor'!$A$2:$F$52,4,FALSE)*INDEX('Year data'!$B$111:$AC$161,MATCH($A107,'Year data'!$A$111:$A$161,0),MATCH('TCO Inputs'!$AZ$12,'Year data'!$B$110:$AC$110,0))/(1+$AZ$41)^T$59</f>
        <v>987.4754569336319</v>
      </c>
      <c r="U107" s="113">
        <f>VLOOKUP($A107,'VKT US'!$B$63:$AA$113,(U$59+1),FALSE)/VLOOKUP($A107,'Fuel economy adjusted factor'!$A$2:$F$52,4,FALSE)*INDEX('Year data'!$B$111:$AC$161,MATCH($A107,'Year data'!$A$111:$A$161,0),MATCH('TCO Inputs'!$AZ$12,'Year data'!$B$110:$AC$110,0))/(1+$AZ$41)^U$59</f>
        <v>956.62010203190016</v>
      </c>
      <c r="V107" s="110" cm="1">
        <f t="array" ref="V107">SUMPRODUCT(INDEX(B107:U107,,_xlfn.SEQUENCE($AZ$13)))</f>
        <v>21618.630743892809</v>
      </c>
    </row>
    <row r="108" spans="1:46" x14ac:dyDescent="0.25">
      <c r="A108" s="102" t="s">
        <v>158</v>
      </c>
      <c r="B108" s="113">
        <f>VLOOKUP($A108,'VKT US'!$B$63:$AA$113,(B$59+1),FALSE)/VLOOKUP($A108,'Fuel economy adjusted factor'!$A$2:$F$52,4,FALSE)*INDEX('Year data'!$B$111:$AC$161,MATCH($A108,'Year data'!$A$111:$A$161,0),MATCH('TCO Inputs'!$AZ$12,'Year data'!$B$110:$AC$110,0))/(1+$AZ$41)^B$59</f>
        <v>1920.5337793916199</v>
      </c>
      <c r="C108" s="113">
        <f>VLOOKUP($A108,'VKT US'!$B$63:$AA$113,(C$59+1),FALSE)/VLOOKUP($A108,'Fuel economy adjusted factor'!$A$2:$F$52,4,FALSE)*INDEX('Year data'!$B$111:$AC$161,MATCH($A108,'Year data'!$A$111:$A$161,0),MATCH('TCO Inputs'!$AZ$12,'Year data'!$B$110:$AC$110,0))/(1+$AZ$41)^C$59</f>
        <v>1841.3155614451139</v>
      </c>
      <c r="D108" s="113">
        <f>VLOOKUP($A108,'VKT US'!$B$63:$AA$113,(D$59+1),FALSE)/VLOOKUP($A108,'Fuel economy adjusted factor'!$A$2:$F$52,4,FALSE)*INDEX('Year data'!$B$111:$AC$161,MATCH($A108,'Year data'!$A$111:$A$161,0),MATCH('TCO Inputs'!$AZ$12,'Year data'!$B$110:$AC$110,0))/(1+$AZ$41)^D$59</f>
        <v>1765.4659147378575</v>
      </c>
      <c r="E108" s="113">
        <f>VLOOKUP($A108,'VKT US'!$B$63:$AA$113,(E$59+1),FALSE)/VLOOKUP($A108,'Fuel economy adjusted factor'!$A$2:$F$52,4,FALSE)*INDEX('Year data'!$B$111:$AC$161,MATCH($A108,'Year data'!$A$111:$A$161,0),MATCH('TCO Inputs'!$AZ$12,'Year data'!$B$110:$AC$110,0))/(1+$AZ$41)^E$59</f>
        <v>1693.0289949728576</v>
      </c>
      <c r="F108" s="113">
        <f>VLOOKUP($A108,'VKT US'!$B$63:$AA$113,(F$59+1),FALSE)/VLOOKUP($A108,'Fuel economy adjusted factor'!$A$2:$F$52,4,FALSE)*INDEX('Year data'!$B$111:$AC$161,MATCH($A108,'Year data'!$A$111:$A$161,0),MATCH('TCO Inputs'!$AZ$12,'Year data'!$B$110:$AC$110,0))/(1+$AZ$41)^F$59</f>
        <v>1623.7801388276353</v>
      </c>
      <c r="G108" s="113">
        <f>VLOOKUP($A108,'VKT US'!$B$63:$AA$113,(G$59+1),FALSE)/VLOOKUP($A108,'Fuel economy adjusted factor'!$A$2:$F$52,4,FALSE)*INDEX('Year data'!$B$111:$AC$161,MATCH($A108,'Year data'!$A$111:$A$161,0),MATCH('TCO Inputs'!$AZ$12,'Year data'!$B$110:$AC$110,0))/(1+$AZ$41)^G$59</f>
        <v>1557.8947868010775</v>
      </c>
      <c r="H108" s="113">
        <f>VLOOKUP($A108,'VKT US'!$B$63:$AA$113,(H$59+1),FALSE)/VLOOKUP($A108,'Fuel economy adjusted factor'!$A$2:$F$52,4,FALSE)*INDEX('Year data'!$B$111:$AC$161,MATCH($A108,'Year data'!$A$111:$A$161,0),MATCH('TCO Inputs'!$AZ$12,'Year data'!$B$110:$AC$110,0))/(1+$AZ$41)^H$59</f>
        <v>1494.8924651254681</v>
      </c>
      <c r="I108" s="113">
        <f>VLOOKUP($A108,'VKT US'!$B$63:$AA$113,(I$59+1),FALSE)/VLOOKUP($A108,'Fuel economy adjusted factor'!$A$2:$F$52,4,FALSE)*INDEX('Year data'!$B$111:$AC$161,MATCH($A108,'Year data'!$A$111:$A$161,0),MATCH('TCO Inputs'!$AZ$12,'Year data'!$B$110:$AC$110,0))/(1+$AZ$41)^I$59</f>
        <v>1434.950779313976</v>
      </c>
      <c r="J108" s="113">
        <f>VLOOKUP($A108,'VKT US'!$B$63:$AA$113,(J$59+1),FALSE)/VLOOKUP($A108,'Fuel economy adjusted factor'!$A$2:$F$52,4,FALSE)*INDEX('Year data'!$B$111:$AC$161,MATCH($A108,'Year data'!$A$111:$A$161,0),MATCH('TCO Inputs'!$AZ$12,'Year data'!$B$110:$AC$110,0))/(1+$AZ$41)^J$59</f>
        <v>1377.9848309503814</v>
      </c>
      <c r="K108" s="113">
        <f>VLOOKUP($A108,'VKT US'!$B$63:$AA$113,(K$59+1),FALSE)/VLOOKUP($A108,'Fuel economy adjusted factor'!$A$2:$F$52,4,FALSE)*INDEX('Year data'!$B$111:$AC$161,MATCH($A108,'Year data'!$A$111:$A$161,0),MATCH('TCO Inputs'!$AZ$12,'Year data'!$B$110:$AC$110,0))/(1+$AZ$41)^K$59</f>
        <v>1323.9115557370003</v>
      </c>
      <c r="L108" s="113">
        <f>VLOOKUP($A108,'VKT US'!$B$63:$AA$113,(L$59+1),FALSE)/VLOOKUP($A108,'Fuel economy adjusted factor'!$A$2:$F$52,4,FALSE)*INDEX('Year data'!$B$111:$AC$161,MATCH($A108,'Year data'!$A$111:$A$161,0),MATCH('TCO Inputs'!$AZ$12,'Year data'!$B$110:$AC$110,0))/(1+$AZ$41)^L$59</f>
        <v>1272.5266325192897</v>
      </c>
      <c r="M108" s="113">
        <f>VLOOKUP($A108,'VKT US'!$B$63:$AA$113,(M$59+1),FALSE)/VLOOKUP($A108,'Fuel economy adjusted factor'!$A$2:$F$52,4,FALSE)*INDEX('Year data'!$B$111:$AC$161,MATCH($A108,'Year data'!$A$111:$A$161,0),MATCH('TCO Inputs'!$AZ$12,'Year data'!$B$110:$AC$110,0))/(1+$AZ$41)^M$59</f>
        <v>1223.8765369962016</v>
      </c>
      <c r="N108" s="113">
        <f>VLOOKUP($A108,'VKT US'!$B$63:$AA$113,(N$59+1),FALSE)/VLOOKUP($A108,'Fuel economy adjusted factor'!$A$2:$F$52,4,FALSE)*INDEX('Year data'!$B$111:$AC$161,MATCH($A108,'Year data'!$A$111:$A$161,0),MATCH('TCO Inputs'!$AZ$12,'Year data'!$B$110:$AC$110,0))/(1+$AZ$41)^N$59</f>
        <v>1177.7632950679053</v>
      </c>
      <c r="O108" s="113">
        <f>VLOOKUP($A108,'VKT US'!$B$63:$AA$113,(O$59+1),FALSE)/VLOOKUP($A108,'Fuel economy adjusted factor'!$A$2:$F$52,4,FALSE)*INDEX('Year data'!$B$111:$AC$161,MATCH($A108,'Year data'!$A$111:$A$161,0),MATCH('TCO Inputs'!$AZ$12,'Year data'!$B$110:$AC$110,0))/(1+$AZ$41)^O$59</f>
        <v>1134.2337933155229</v>
      </c>
      <c r="P108" s="113">
        <f>VLOOKUP($A108,'VKT US'!$B$63:$AA$113,(P$59+1),FALSE)/VLOOKUP($A108,'Fuel economy adjusted factor'!$A$2:$F$52,4,FALSE)*INDEX('Year data'!$B$111:$AC$161,MATCH($A108,'Year data'!$A$111:$A$161,0),MATCH('TCO Inputs'!$AZ$12,'Year data'!$B$110:$AC$110,0))/(1+$AZ$41)^P$59</f>
        <v>1093.0962080410063</v>
      </c>
      <c r="Q108" s="113">
        <f>VLOOKUP($A108,'VKT US'!$B$63:$AA$113,(Q$59+1),FALSE)/VLOOKUP($A108,'Fuel economy adjusted factor'!$A$2:$F$52,4,FALSE)*INDEX('Year data'!$B$111:$AC$161,MATCH($A108,'Year data'!$A$111:$A$161,0),MATCH('TCO Inputs'!$AZ$12,'Year data'!$B$110:$AC$110,0))/(1+$AZ$41)^Q$59</f>
        <v>1054.5137122736876</v>
      </c>
      <c r="R108" s="113">
        <f>VLOOKUP($A108,'VKT US'!$B$63:$AA$113,(R$59+1),FALSE)/VLOOKUP($A108,'Fuel economy adjusted factor'!$A$2:$F$52,4,FALSE)*INDEX('Year data'!$B$111:$AC$161,MATCH($A108,'Year data'!$A$111:$A$161,0),MATCH('TCO Inputs'!$AZ$12,'Year data'!$B$110:$AC$110,0))/(1+$AZ$41)^R$59</f>
        <v>1018.0672042108876</v>
      </c>
      <c r="S108" s="113">
        <f>VLOOKUP($A108,'VKT US'!$B$63:$AA$113,(S$59+1),FALSE)/VLOOKUP($A108,'Fuel economy adjusted factor'!$A$2:$F$52,4,FALSE)*INDEX('Year data'!$B$111:$AC$161,MATCH($A108,'Year data'!$A$111:$A$161,0),MATCH('TCO Inputs'!$AZ$12,'Year data'!$B$110:$AC$110,0))/(1+$AZ$41)^S$59</f>
        <v>984.03474789587494</v>
      </c>
      <c r="T108" s="113">
        <f>VLOOKUP($A108,'VKT US'!$B$63:$AA$113,(T$59+1),FALSE)/VLOOKUP($A108,'Fuel economy adjusted factor'!$A$2:$F$52,4,FALSE)*INDEX('Year data'!$B$111:$AC$161,MATCH($A108,'Year data'!$A$111:$A$161,0),MATCH('TCO Inputs'!$AZ$12,'Year data'!$B$110:$AC$110,0))/(1+$AZ$41)^T$59</f>
        <v>952.00851479494304</v>
      </c>
      <c r="U108" s="113">
        <f>VLOOKUP($A108,'VKT US'!$B$63:$AA$113,(U$59+1),FALSE)/VLOOKUP($A108,'Fuel economy adjusted factor'!$A$2:$F$52,4,FALSE)*INDEX('Year data'!$B$111:$AC$161,MATCH($A108,'Year data'!$A$111:$A$161,0),MATCH('TCO Inputs'!$AZ$12,'Year data'!$B$110:$AC$110,0))/(1+$AZ$41)^U$59</f>
        <v>922.26138499317165</v>
      </c>
      <c r="V108" s="110" cm="1">
        <f t="array" ref="V108">SUMPRODUCT(INDEX(B108:U108,,_xlfn.SEQUENCE($AZ$13)))</f>
        <v>20842.159065201908</v>
      </c>
    </row>
    <row r="109" spans="1:46" x14ac:dyDescent="0.25">
      <c r="A109" s="102" t="s">
        <v>160</v>
      </c>
      <c r="B109" s="113">
        <f>VLOOKUP($A109,'VKT US'!$B$63:$AA$113,(B$59+1),FALSE)/VLOOKUP($A109,'Fuel economy adjusted factor'!$A$2:$F$52,4,FALSE)*INDEX('Year data'!$B$111:$AC$161,MATCH($A109,'Year data'!$A$111:$A$161,0),MATCH('TCO Inputs'!$AZ$12,'Year data'!$B$110:$AC$110,0))/(1+$AZ$41)^B$59</f>
        <v>3210.5614681407396</v>
      </c>
      <c r="C109" s="113">
        <f>VLOOKUP($A109,'VKT US'!$B$63:$AA$113,(C$59+1),FALSE)/VLOOKUP($A109,'Fuel economy adjusted factor'!$A$2:$F$52,4,FALSE)*INDEX('Year data'!$B$111:$AC$161,MATCH($A109,'Year data'!$A$111:$A$161,0),MATCH('TCO Inputs'!$AZ$12,'Year data'!$B$110:$AC$110,0))/(1+$AZ$41)^C$59</f>
        <v>3078.1321608080693</v>
      </c>
      <c r="D109" s="113">
        <f>VLOOKUP($A109,'VKT US'!$B$63:$AA$113,(D$59+1),FALSE)/VLOOKUP($A109,'Fuel economy adjusted factor'!$A$2:$F$52,4,FALSE)*INDEX('Year data'!$B$111:$AC$161,MATCH($A109,'Year data'!$A$111:$A$161,0),MATCH('TCO Inputs'!$AZ$12,'Year data'!$B$110:$AC$110,0))/(1+$AZ$41)^D$59</f>
        <v>2951.3341030475099</v>
      </c>
      <c r="E109" s="113">
        <f>VLOOKUP($A109,'VKT US'!$B$63:$AA$113,(E$59+1),FALSE)/VLOOKUP($A109,'Fuel economy adjusted factor'!$A$2:$F$52,4,FALSE)*INDEX('Year data'!$B$111:$AC$161,MATCH($A109,'Year data'!$A$111:$A$161,0),MATCH('TCO Inputs'!$AZ$12,'Year data'!$B$110:$AC$110,0))/(1+$AZ$41)^E$59</f>
        <v>2830.2411100661616</v>
      </c>
      <c r="F109" s="113">
        <f>VLOOKUP($A109,'VKT US'!$B$63:$AA$113,(F$59+1),FALSE)/VLOOKUP($A109,'Fuel economy adjusted factor'!$A$2:$F$52,4,FALSE)*INDEX('Year data'!$B$111:$AC$161,MATCH($A109,'Year data'!$A$111:$A$161,0),MATCH('TCO Inputs'!$AZ$12,'Year data'!$B$110:$AC$110,0))/(1+$AZ$41)^F$59</f>
        <v>2714.4776115854943</v>
      </c>
      <c r="G109" s="113">
        <f>VLOOKUP($A109,'VKT US'!$B$63:$AA$113,(G$59+1),FALSE)/VLOOKUP($A109,'Fuel economy adjusted factor'!$A$2:$F$52,4,FALSE)*INDEX('Year data'!$B$111:$AC$161,MATCH($A109,'Year data'!$A$111:$A$161,0),MATCH('TCO Inputs'!$AZ$12,'Year data'!$B$110:$AC$110,0))/(1+$AZ$41)^G$59</f>
        <v>2604.3368919578693</v>
      </c>
      <c r="H109" s="113">
        <f>VLOOKUP($A109,'VKT US'!$B$63:$AA$113,(H$59+1),FALSE)/VLOOKUP($A109,'Fuel economy adjusted factor'!$A$2:$F$52,4,FALSE)*INDEX('Year data'!$B$111:$AC$161,MATCH($A109,'Year data'!$A$111:$A$161,0),MATCH('TCO Inputs'!$AZ$12,'Year data'!$B$110:$AC$110,0))/(1+$AZ$41)^H$59</f>
        <v>2499.0157418976009</v>
      </c>
      <c r="I109" s="113">
        <f>VLOOKUP($A109,'VKT US'!$B$63:$AA$113,(I$59+1),FALSE)/VLOOKUP($A109,'Fuel economy adjusted factor'!$A$2:$F$52,4,FALSE)*INDEX('Year data'!$B$111:$AC$161,MATCH($A109,'Year data'!$A$111:$A$161,0),MATCH('TCO Inputs'!$AZ$12,'Year data'!$B$110:$AC$110,0))/(1+$AZ$41)^I$59</f>
        <v>2398.8110650172298</v>
      </c>
      <c r="J109" s="113">
        <f>VLOOKUP($A109,'VKT US'!$B$63:$AA$113,(J$59+1),FALSE)/VLOOKUP($A109,'Fuel economy adjusted factor'!$A$2:$F$52,4,FALSE)*INDEX('Year data'!$B$111:$AC$161,MATCH($A109,'Year data'!$A$111:$A$161,0),MATCH('TCO Inputs'!$AZ$12,'Year data'!$B$110:$AC$110,0))/(1+$AZ$41)^J$59</f>
        <v>2303.5809364067409</v>
      </c>
      <c r="K109" s="113">
        <f>VLOOKUP($A109,'VKT US'!$B$63:$AA$113,(K$59+1),FALSE)/VLOOKUP($A109,'Fuel economy adjusted factor'!$A$2:$F$52,4,FALSE)*INDEX('Year data'!$B$111:$AC$161,MATCH($A109,'Year data'!$A$111:$A$161,0),MATCH('TCO Inputs'!$AZ$12,'Year data'!$B$110:$AC$110,0))/(1+$AZ$41)^K$59</f>
        <v>2213.1864972569933</v>
      </c>
      <c r="L109" s="113">
        <f>VLOOKUP($A109,'VKT US'!$B$63:$AA$113,(L$59+1),FALSE)/VLOOKUP($A109,'Fuel economy adjusted factor'!$A$2:$F$52,4,FALSE)*INDEX('Year data'!$B$111:$AC$161,MATCH($A109,'Year data'!$A$111:$A$161,0),MATCH('TCO Inputs'!$AZ$12,'Year data'!$B$110:$AC$110,0))/(1+$AZ$41)^L$59</f>
        <v>2127.2861833461329</v>
      </c>
      <c r="M109" s="113">
        <f>VLOOKUP($A109,'VKT US'!$B$63:$AA$113,(M$59+1),FALSE)/VLOOKUP($A109,'Fuel economy adjusted factor'!$A$2:$F$52,4,FALSE)*INDEX('Year data'!$B$111:$AC$161,MATCH($A109,'Year data'!$A$111:$A$161,0),MATCH('TCO Inputs'!$AZ$12,'Year data'!$B$110:$AC$110,0))/(1+$AZ$41)^M$59</f>
        <v>2045.9576882247022</v>
      </c>
      <c r="N109" s="113">
        <f>VLOOKUP($A109,'VKT US'!$B$63:$AA$113,(N$59+1),FALSE)/VLOOKUP($A109,'Fuel economy adjusted factor'!$A$2:$F$52,4,FALSE)*INDEX('Year data'!$B$111:$AC$161,MATCH($A109,'Year data'!$A$111:$A$161,0),MATCH('TCO Inputs'!$AZ$12,'Year data'!$B$110:$AC$110,0))/(1+$AZ$41)^N$59</f>
        <v>1968.870058059229</v>
      </c>
      <c r="O109" s="113">
        <f>VLOOKUP($A109,'VKT US'!$B$63:$AA$113,(O$59+1),FALSE)/VLOOKUP($A109,'Fuel economy adjusted factor'!$A$2:$F$52,4,FALSE)*INDEX('Year data'!$B$111:$AC$161,MATCH($A109,'Year data'!$A$111:$A$161,0),MATCH('TCO Inputs'!$AZ$12,'Year data'!$B$110:$AC$110,0))/(1+$AZ$41)^O$59</f>
        <v>1896.1016732730811</v>
      </c>
      <c r="P109" s="113">
        <f>VLOOKUP($A109,'VKT US'!$B$63:$AA$113,(P$59+1),FALSE)/VLOOKUP($A109,'Fuel economy adjusted factor'!$A$2:$F$52,4,FALSE)*INDEX('Year data'!$B$111:$AC$161,MATCH($A109,'Year data'!$A$111:$A$161,0),MATCH('TCO Inputs'!$AZ$12,'Year data'!$B$110:$AC$110,0))/(1+$AZ$41)^P$59</f>
        <v>1827.3318616759357</v>
      </c>
      <c r="Q109" s="113">
        <f>VLOOKUP($A109,'VKT US'!$B$63:$AA$113,(Q$59+1),FALSE)/VLOOKUP($A109,'Fuel economy adjusted factor'!$A$2:$F$52,4,FALSE)*INDEX('Year data'!$B$111:$AC$161,MATCH($A109,'Year data'!$A$111:$A$161,0),MATCH('TCO Inputs'!$AZ$12,'Year data'!$B$110:$AC$110,0))/(1+$AZ$41)^Q$59</f>
        <v>1762.8334000584071</v>
      </c>
      <c r="R109" s="113">
        <f>VLOOKUP($A109,'VKT US'!$B$63:$AA$113,(R$59+1),FALSE)/VLOOKUP($A109,'Fuel economy adjusted factor'!$A$2:$F$52,4,FALSE)*INDEX('Year data'!$B$111:$AC$161,MATCH($A109,'Year data'!$A$111:$A$161,0),MATCH('TCO Inputs'!$AZ$12,'Year data'!$B$110:$AC$110,0))/(1+$AZ$41)^R$59</f>
        <v>1701.9056748133069</v>
      </c>
      <c r="S109" s="113">
        <f>VLOOKUP($A109,'VKT US'!$B$63:$AA$113,(S$59+1),FALSE)/VLOOKUP($A109,'Fuel economy adjusted factor'!$A$2:$F$52,4,FALSE)*INDEX('Year data'!$B$111:$AC$161,MATCH($A109,'Year data'!$A$111:$A$161,0),MATCH('TCO Inputs'!$AZ$12,'Year data'!$B$110:$AC$110,0))/(1+$AZ$41)^S$59</f>
        <v>1645.0135263472825</v>
      </c>
      <c r="T109" s="113">
        <f>VLOOKUP($A109,'VKT US'!$B$63:$AA$113,(T$59+1),FALSE)/VLOOKUP($A109,'Fuel economy adjusted factor'!$A$2:$F$52,4,FALSE)*INDEX('Year data'!$B$111:$AC$161,MATCH($A109,'Year data'!$A$111:$A$161,0),MATCH('TCO Inputs'!$AZ$12,'Year data'!$B$110:$AC$110,0))/(1+$AZ$41)^T$59</f>
        <v>1591.4751866071108</v>
      </c>
      <c r="U109" s="113">
        <f>VLOOKUP($A109,'VKT US'!$B$63:$AA$113,(U$59+1),FALSE)/VLOOKUP($A109,'Fuel economy adjusted factor'!$A$2:$F$52,4,FALSE)*INDEX('Year data'!$B$111:$AC$161,MATCH($A109,'Year data'!$A$111:$A$161,0),MATCH('TCO Inputs'!$AZ$12,'Year data'!$B$110:$AC$110,0))/(1+$AZ$41)^U$59</f>
        <v>1541.7468299626355</v>
      </c>
      <c r="V109" s="110" cm="1">
        <f t="array" ref="V109">SUMPRODUCT(INDEX(B109:U109,,_xlfn.SEQUENCE($AZ$13)))</f>
        <v>34841.893189087554</v>
      </c>
    </row>
    <row r="110" spans="1:46" x14ac:dyDescent="0.25">
      <c r="A110" s="103" t="s">
        <v>134</v>
      </c>
      <c r="B110" s="113">
        <f>VLOOKUP($A110,'VKT US'!$B$63:$AA$113,(B$59+1),FALSE)/VLOOKUP($A110,'Fuel economy adjusted factor'!$A$2:$F$52,4,FALSE)*INDEX('Year data'!$B$111:$AC$161,MATCH($A110,'Year data'!$A$111:$A$161,0),MATCH('TCO Inputs'!$AZ$12,'Year data'!$B$110:$AC$110,0))/(1+$AZ$41)^B$59</f>
        <v>1821.8845468533223</v>
      </c>
      <c r="C110" s="113">
        <f>VLOOKUP($A110,'VKT US'!$B$63:$AA$113,(C$59+1),FALSE)/VLOOKUP($A110,'Fuel economy adjusted factor'!$A$2:$F$52,4,FALSE)*INDEX('Year data'!$B$111:$AC$161,MATCH($A110,'Year data'!$A$111:$A$161,0),MATCH('TCO Inputs'!$AZ$12,'Year data'!$B$110:$AC$110,0))/(1+$AZ$41)^C$59</f>
        <v>1746.7354145367237</v>
      </c>
      <c r="D110" s="113">
        <f>VLOOKUP($A110,'VKT US'!$B$63:$AA$113,(D$59+1),FALSE)/VLOOKUP($A110,'Fuel economy adjusted factor'!$A$2:$F$52,4,FALSE)*INDEX('Year data'!$B$111:$AC$161,MATCH($A110,'Year data'!$A$111:$A$161,0),MATCH('TCO Inputs'!$AZ$12,'Year data'!$B$110:$AC$110,0))/(1+$AZ$41)^D$59</f>
        <v>1674.7818250174553</v>
      </c>
      <c r="E110" s="113">
        <f>VLOOKUP($A110,'VKT US'!$B$63:$AA$113,(E$59+1),FALSE)/VLOOKUP($A110,'Fuel economy adjusted factor'!$A$2:$F$52,4,FALSE)*INDEX('Year data'!$B$111:$AC$161,MATCH($A110,'Year data'!$A$111:$A$161,0),MATCH('TCO Inputs'!$AZ$12,'Year data'!$B$110:$AC$110,0))/(1+$AZ$41)^E$59</f>
        <v>1606.0656659175024</v>
      </c>
      <c r="F110" s="113">
        <f>VLOOKUP($A110,'VKT US'!$B$63:$AA$113,(F$59+1),FALSE)/VLOOKUP($A110,'Fuel economy adjusted factor'!$A$2:$F$52,4,FALSE)*INDEX('Year data'!$B$111:$AC$161,MATCH($A110,'Year data'!$A$111:$A$161,0),MATCH('TCO Inputs'!$AZ$12,'Year data'!$B$110:$AC$110,0))/(1+$AZ$41)^F$59</f>
        <v>1540.3738138646763</v>
      </c>
      <c r="G110" s="113">
        <f>VLOOKUP($A110,'VKT US'!$B$63:$AA$113,(G$59+1),FALSE)/VLOOKUP($A110,'Fuel economy adjusted factor'!$A$2:$F$52,4,FALSE)*INDEX('Year data'!$B$111:$AC$161,MATCH($A110,'Year data'!$A$111:$A$161,0),MATCH('TCO Inputs'!$AZ$12,'Year data'!$B$110:$AC$110,0))/(1+$AZ$41)^G$59</f>
        <v>1477.8726977639217</v>
      </c>
      <c r="H110" s="113">
        <f>VLOOKUP($A110,'VKT US'!$B$63:$AA$113,(H$59+1),FALSE)/VLOOKUP($A110,'Fuel economy adjusted factor'!$A$2:$F$52,4,FALSE)*INDEX('Year data'!$B$111:$AC$161,MATCH($A110,'Year data'!$A$111:$A$161,0),MATCH('TCO Inputs'!$AZ$12,'Year data'!$B$110:$AC$110,0))/(1+$AZ$41)^H$59</f>
        <v>1418.1065236365212</v>
      </c>
      <c r="I110" s="113">
        <f>VLOOKUP($A110,'VKT US'!$B$63:$AA$113,(I$59+1),FALSE)/VLOOKUP($A110,'Fuel economy adjusted factor'!$A$2:$F$52,4,FALSE)*INDEX('Year data'!$B$111:$AC$161,MATCH($A110,'Year data'!$A$111:$A$161,0),MATCH('TCO Inputs'!$AZ$12,'Year data'!$B$110:$AC$110,0))/(1+$AZ$41)^I$59</f>
        <v>1361.2437741945982</v>
      </c>
      <c r="J110" s="113">
        <f>VLOOKUP($A110,'VKT US'!$B$63:$AA$113,(J$59+1),FALSE)/VLOOKUP($A110,'Fuel economy adjusted factor'!$A$2:$F$52,4,FALSE)*INDEX('Year data'!$B$111:$AC$161,MATCH($A110,'Year data'!$A$111:$A$161,0),MATCH('TCO Inputs'!$AZ$12,'Year data'!$B$110:$AC$110,0))/(1+$AZ$41)^J$59</f>
        <v>1307.2039118739501</v>
      </c>
      <c r="K110" s="113">
        <f>VLOOKUP($A110,'VKT US'!$B$63:$AA$113,(K$59+1),FALSE)/VLOOKUP($A110,'Fuel economy adjusted factor'!$A$2:$F$52,4,FALSE)*INDEX('Year data'!$B$111:$AC$161,MATCH($A110,'Year data'!$A$111:$A$161,0),MATCH('TCO Inputs'!$AZ$12,'Year data'!$B$110:$AC$110,0))/(1+$AZ$41)^K$59</f>
        <v>1255.9081390184408</v>
      </c>
      <c r="L110" s="113">
        <f>VLOOKUP($A110,'VKT US'!$B$63:$AA$113,(L$59+1),FALSE)/VLOOKUP($A110,'Fuel economy adjusted factor'!$A$2:$F$52,4,FALSE)*INDEX('Year data'!$B$111:$AC$161,MATCH($A110,'Year data'!$A$111:$A$161,0),MATCH('TCO Inputs'!$AZ$12,'Year data'!$B$110:$AC$110,0))/(1+$AZ$41)^L$59</f>
        <v>1207.1626295376093</v>
      </c>
      <c r="M110" s="113">
        <f>VLOOKUP($A110,'VKT US'!$B$63:$AA$113,(M$59+1),FALSE)/VLOOKUP($A110,'Fuel economy adjusted factor'!$A$2:$F$52,4,FALSE)*INDEX('Year data'!$B$111:$AC$161,MATCH($A110,'Year data'!$A$111:$A$161,0),MATCH('TCO Inputs'!$AZ$12,'Year data'!$B$110:$AC$110,0))/(1+$AZ$41)^M$59</f>
        <v>1161.0114718815696</v>
      </c>
      <c r="N110" s="113">
        <f>VLOOKUP($A110,'VKT US'!$B$63:$AA$113,(N$59+1),FALSE)/VLOOKUP($A110,'Fuel economy adjusted factor'!$A$2:$F$52,4,FALSE)*INDEX('Year data'!$B$111:$AC$161,MATCH($A110,'Year data'!$A$111:$A$161,0),MATCH('TCO Inputs'!$AZ$12,'Year data'!$B$110:$AC$110,0))/(1+$AZ$41)^N$59</f>
        <v>1117.2668609947541</v>
      </c>
      <c r="O110" s="113">
        <f>VLOOKUP($A110,'VKT US'!$B$63:$AA$113,(O$59+1),FALSE)/VLOOKUP($A110,'Fuel economy adjusted factor'!$A$2:$F$52,4,FALSE)*INDEX('Year data'!$B$111:$AC$161,MATCH($A110,'Year data'!$A$111:$A$161,0),MATCH('TCO Inputs'!$AZ$12,'Year data'!$B$110:$AC$110,0))/(1+$AZ$41)^O$59</f>
        <v>1075.9732751042666</v>
      </c>
      <c r="P110" s="113">
        <f>VLOOKUP($A110,'VKT US'!$B$63:$AA$113,(P$59+1),FALSE)/VLOOKUP($A110,'Fuel economy adjusted factor'!$A$2:$F$52,4,FALSE)*INDEX('Year data'!$B$111:$AC$161,MATCH($A110,'Year data'!$A$111:$A$161,0),MATCH('TCO Inputs'!$AZ$12,'Year data'!$B$110:$AC$110,0))/(1+$AZ$41)^P$59</f>
        <v>1036.9487436376844</v>
      </c>
      <c r="Q110" s="113">
        <f>VLOOKUP($A110,'VKT US'!$B$63:$AA$113,(Q$59+1),FALSE)/VLOOKUP($A110,'Fuel economy adjusted factor'!$A$2:$F$52,4,FALSE)*INDEX('Year data'!$B$111:$AC$161,MATCH($A110,'Year data'!$A$111:$A$161,0),MATCH('TCO Inputs'!$AZ$12,'Year data'!$B$110:$AC$110,0))/(1+$AZ$41)^Q$59</f>
        <v>1000.3480581554542</v>
      </c>
      <c r="R110" s="113">
        <f>VLOOKUP($A110,'VKT US'!$B$63:$AA$113,(R$59+1),FALSE)/VLOOKUP($A110,'Fuel economy adjusted factor'!$A$2:$F$52,4,FALSE)*INDEX('Year data'!$B$111:$AC$161,MATCH($A110,'Year data'!$A$111:$A$161,0),MATCH('TCO Inputs'!$AZ$12,'Year data'!$B$110:$AC$110,0))/(1+$AZ$41)^R$59</f>
        <v>965.77364424047744</v>
      </c>
      <c r="S110" s="113">
        <f>VLOOKUP($A110,'VKT US'!$B$63:$AA$113,(S$59+1),FALSE)/VLOOKUP($A110,'Fuel economy adjusted factor'!$A$2:$F$52,4,FALSE)*INDEX('Year data'!$B$111:$AC$161,MATCH($A110,'Year data'!$A$111:$A$161,0),MATCH('TCO Inputs'!$AZ$12,'Year data'!$B$110:$AC$110,0))/(1+$AZ$41)^S$59</f>
        <v>933.4892830294898</v>
      </c>
      <c r="T110" s="113">
        <f>VLOOKUP($A110,'VKT US'!$B$63:$AA$113,(T$59+1),FALSE)/VLOOKUP($A110,'Fuel economy adjusted factor'!$A$2:$F$52,4,FALSE)*INDEX('Year data'!$B$111:$AC$161,MATCH($A110,'Year data'!$A$111:$A$161,0),MATCH('TCO Inputs'!$AZ$12,'Year data'!$B$110:$AC$110,0))/(1+$AZ$41)^T$59</f>
        <v>903.10809431694679</v>
      </c>
      <c r="U110" s="113">
        <f>VLOOKUP($A110,'VKT US'!$B$63:$AA$113,(U$59+1),FALSE)/VLOOKUP($A110,'Fuel economy adjusted factor'!$A$2:$F$52,4,FALSE)*INDEX('Year data'!$B$111:$AC$161,MATCH($A110,'Year data'!$A$111:$A$161,0),MATCH('TCO Inputs'!$AZ$12,'Year data'!$B$110:$AC$110,0))/(1+$AZ$41)^U$59</f>
        <v>874.88894155814694</v>
      </c>
      <c r="V110" s="111" cm="1">
        <f t="array" ref="V110">SUMPRODUCT(INDEX(B110:U110,,_xlfn.SEQUENCE($AZ$13)))</f>
        <v>19771.590550195309</v>
      </c>
    </row>
    <row r="111" spans="1:46" x14ac:dyDescent="0.25">
      <c r="A111" s="112" t="s">
        <v>455</v>
      </c>
      <c r="Y111" s="51" t="s">
        <v>553</v>
      </c>
    </row>
    <row r="112" spans="1:46" x14ac:dyDescent="0.25">
      <c r="A112" s="213" t="s">
        <v>3</v>
      </c>
      <c r="B112" s="213" t="s">
        <v>317</v>
      </c>
      <c r="C112" s="213"/>
      <c r="D112" s="213"/>
      <c r="E112" s="213"/>
      <c r="F112" s="213"/>
      <c r="G112" s="213"/>
      <c r="H112" s="213"/>
      <c r="I112" s="213"/>
      <c r="J112" s="213"/>
      <c r="K112" s="213"/>
      <c r="L112" s="213"/>
      <c r="M112" s="213"/>
      <c r="N112" s="213"/>
      <c r="O112" s="213"/>
      <c r="P112" s="213"/>
      <c r="Q112" s="213"/>
      <c r="R112" s="213"/>
      <c r="S112" s="213"/>
      <c r="T112" s="213"/>
      <c r="U112" s="213"/>
      <c r="V112" s="214" t="s">
        <v>453</v>
      </c>
      <c r="Y112" s="213" t="s">
        <v>3</v>
      </c>
      <c r="Z112" s="213" t="s">
        <v>317</v>
      </c>
      <c r="AA112" s="213"/>
      <c r="AB112" s="213"/>
      <c r="AC112" s="213"/>
      <c r="AD112" s="213"/>
      <c r="AE112" s="213"/>
      <c r="AF112" s="213"/>
      <c r="AG112" s="213"/>
      <c r="AH112" s="213"/>
      <c r="AI112" s="213"/>
      <c r="AJ112" s="213"/>
      <c r="AK112" s="213"/>
      <c r="AL112" s="213"/>
      <c r="AM112" s="213"/>
      <c r="AN112" s="213"/>
      <c r="AO112" s="213"/>
      <c r="AP112" s="213"/>
      <c r="AQ112" s="213"/>
      <c r="AR112" s="213"/>
      <c r="AS112" s="213"/>
      <c r="AT112" s="214" t="s">
        <v>554</v>
      </c>
    </row>
    <row r="113" spans="1:46" x14ac:dyDescent="0.25">
      <c r="A113" s="213"/>
      <c r="B113" s="73">
        <v>1</v>
      </c>
      <c r="C113" s="73">
        <v>2</v>
      </c>
      <c r="D113" s="73">
        <v>3</v>
      </c>
      <c r="E113" s="73">
        <v>4</v>
      </c>
      <c r="F113" s="73">
        <v>5</v>
      </c>
      <c r="G113" s="73">
        <v>6</v>
      </c>
      <c r="H113" s="73">
        <v>7</v>
      </c>
      <c r="I113" s="73">
        <v>8</v>
      </c>
      <c r="J113" s="73">
        <v>9</v>
      </c>
      <c r="K113" s="73">
        <v>10</v>
      </c>
      <c r="L113" s="73">
        <v>11</v>
      </c>
      <c r="M113" s="73">
        <v>12</v>
      </c>
      <c r="N113" s="73">
        <v>13</v>
      </c>
      <c r="O113" s="73">
        <v>14</v>
      </c>
      <c r="P113" s="73">
        <v>15</v>
      </c>
      <c r="Q113" s="73">
        <v>16</v>
      </c>
      <c r="R113" s="73">
        <v>17</v>
      </c>
      <c r="S113" s="73">
        <v>18</v>
      </c>
      <c r="T113" s="73">
        <v>19</v>
      </c>
      <c r="U113" s="73">
        <v>20</v>
      </c>
      <c r="V113" s="215"/>
      <c r="Y113" s="213"/>
      <c r="Z113" s="73">
        <v>1</v>
      </c>
      <c r="AA113" s="73">
        <v>2</v>
      </c>
      <c r="AB113" s="73">
        <v>3</v>
      </c>
      <c r="AC113" s="73">
        <v>4</v>
      </c>
      <c r="AD113" s="73">
        <v>5</v>
      </c>
      <c r="AE113" s="73">
        <v>6</v>
      </c>
      <c r="AF113" s="73">
        <v>7</v>
      </c>
      <c r="AG113" s="73">
        <v>8</v>
      </c>
      <c r="AH113" s="73">
        <v>9</v>
      </c>
      <c r="AI113" s="73">
        <v>10</v>
      </c>
      <c r="AJ113" s="73">
        <v>11</v>
      </c>
      <c r="AK113" s="73">
        <v>12</v>
      </c>
      <c r="AL113" s="73">
        <v>13</v>
      </c>
      <c r="AM113" s="73">
        <v>14</v>
      </c>
      <c r="AN113" s="73">
        <v>15</v>
      </c>
      <c r="AO113" s="73">
        <v>16</v>
      </c>
      <c r="AP113" s="73">
        <v>17</v>
      </c>
      <c r="AQ113" s="73">
        <v>18</v>
      </c>
      <c r="AR113" s="73">
        <v>19</v>
      </c>
      <c r="AS113" s="73">
        <v>20</v>
      </c>
      <c r="AT113" s="215"/>
    </row>
    <row r="114" spans="1:46" x14ac:dyDescent="0.25">
      <c r="A114" s="102" t="s">
        <v>187</v>
      </c>
      <c r="B114" s="106">
        <f>VLOOKUP($A114,'VKT US'!$B$63:$AA$113,(B$113+1),FALSE)/VLOOKUP($A114,'Fuel economy adjusted factor'!$A$2:$F$52,5,FALSE)/$AZ$84*($AZ$15*('US Grid mix, emissions&amp;prices'!$AU$3+INDEX('Year data'!$B$3:$AC$53,MATCH('TCO Inputs'!$A114,'Year data'!$A$111:$A$161,0),MATCH('TCO Inputs'!$AZ$12+B$113-1,'Year data'!$B$110:$AC$110,0))/100)+$BA$15*('US Grid mix, emissions&amp;prices'!$AU$4+INDEX('Year data'!$B$57:$AC$107,MATCH($A114,'Year data'!$A$111:$A$161,0),MATCH('TCO Inputs'!$AZ$12+B$113-1,'Year data'!$B$110:$AC$110,0))/100))/(1+$AZ$41)^B$113</f>
        <v>1430.6398115759052</v>
      </c>
      <c r="C114" s="106">
        <f>VLOOKUP($A114,'VKT US'!$B$63:$AA$113,(C$113+1),FALSE)/VLOOKUP($A114,'Fuel economy adjusted factor'!$A$2:$F$52,5,FALSE)/$AZ$84*($AZ$15*('US Grid mix, emissions&amp;prices'!$AU$3+INDEX('Year data'!$B$3:$AC$53,MATCH('TCO Inputs'!$A114,'Year data'!$A$111:$A$161,0),MATCH('TCO Inputs'!$AZ$12+C$113-1,'Year data'!$B$110:$AC$110,0))/100)+$BA$15*('US Grid mix, emissions&amp;prices'!$AU$4+INDEX('Year data'!$B$57:$AC$107,MATCH($A114,'Year data'!$A$111:$A$161,0),MATCH('TCO Inputs'!$AZ$12+C$113-1,'Year data'!$B$110:$AC$110,0))/100))/(1+$AZ$41)^C$113</f>
        <v>1347.172564091336</v>
      </c>
      <c r="D114" s="106">
        <f>VLOOKUP($A114,'VKT US'!$B$63:$AA$113,(D$113+1),FALSE)/VLOOKUP($A114,'Fuel economy adjusted factor'!$A$2:$F$52,5,FALSE)/$AZ$84*($AZ$15*('US Grid mix, emissions&amp;prices'!$AU$3+INDEX('Year data'!$B$3:$AC$53,MATCH('TCO Inputs'!$A114,'Year data'!$A$111:$A$161,0),MATCH('TCO Inputs'!$AZ$12+D$113-1,'Year data'!$B$110:$AC$110,0))/100)+$BA$15*('US Grid mix, emissions&amp;prices'!$AU$4+INDEX('Year data'!$B$57:$AC$107,MATCH($A114,'Year data'!$A$111:$A$161,0),MATCH('TCO Inputs'!$AZ$12+D$113-1,'Year data'!$B$110:$AC$110,0))/100))/(1+$AZ$41)^D$113</f>
        <v>1263.5268443627631</v>
      </c>
      <c r="E114" s="106">
        <f>VLOOKUP($A114,'VKT US'!$B$63:$AA$113,(E$113+1),FALSE)/VLOOKUP($A114,'Fuel economy adjusted factor'!$A$2:$F$52,5,FALSE)/$AZ$84*($AZ$15*('US Grid mix, emissions&amp;prices'!$AU$3+INDEX('Year data'!$B$3:$AC$53,MATCH('TCO Inputs'!$A114,'Year data'!$A$111:$A$161,0),MATCH('TCO Inputs'!$AZ$12+E$113-1,'Year data'!$B$110:$AC$110,0))/100)+$BA$15*('US Grid mix, emissions&amp;prices'!$AU$4+INDEX('Year data'!$B$57:$AC$107,MATCH($A114,'Year data'!$A$111:$A$161,0),MATCH('TCO Inputs'!$AZ$12+E$113-1,'Year data'!$B$110:$AC$110,0))/100))/(1+$AZ$41)^E$113</f>
        <v>1196.191835988508</v>
      </c>
      <c r="F114" s="106">
        <f>VLOOKUP($A114,'VKT US'!$B$63:$AA$113,(F$113+1),FALSE)/VLOOKUP($A114,'Fuel economy adjusted factor'!$A$2:$F$52,5,FALSE)/$AZ$84*($AZ$15*('US Grid mix, emissions&amp;prices'!$AU$3+INDEX('Year data'!$B$3:$AC$53,MATCH('TCO Inputs'!$A114,'Year data'!$A$111:$A$161,0),MATCH('TCO Inputs'!$AZ$12+F$113-1,'Year data'!$B$110:$AC$110,0))/100)+$BA$15*('US Grid mix, emissions&amp;prices'!$AU$4+INDEX('Year data'!$B$57:$AC$107,MATCH($A114,'Year data'!$A$111:$A$161,0),MATCH('TCO Inputs'!$AZ$12+F$113-1,'Year data'!$B$110:$AC$110,0))/100))/(1+$AZ$41)^F$113</f>
        <v>1136.113022113127</v>
      </c>
      <c r="G114" s="106">
        <f>VLOOKUP($A114,'VKT US'!$B$63:$AA$113,(G$113+1),FALSE)/VLOOKUP($A114,'Fuel economy adjusted factor'!$A$2:$F$52,5,FALSE)/$AZ$84*($AZ$15*('US Grid mix, emissions&amp;prices'!$AU$3+INDEX('Year data'!$B$3:$AC$53,MATCH('TCO Inputs'!$A114,'Year data'!$A$111:$A$161,0),MATCH('TCO Inputs'!$AZ$12+G$113-1,'Year data'!$B$110:$AC$110,0))/100)+$BA$15*('US Grid mix, emissions&amp;prices'!$AU$4+INDEX('Year data'!$B$57:$AC$107,MATCH($A114,'Year data'!$A$111:$A$161,0),MATCH('TCO Inputs'!$AZ$12+G$113-1,'Year data'!$B$110:$AC$110,0))/100))/(1+$AZ$41)^G$113</f>
        <v>1082.2663588819585</v>
      </c>
      <c r="H114" s="106">
        <f>VLOOKUP($A114,'VKT US'!$B$63:$AA$113,(H$113+1),FALSE)/VLOOKUP($A114,'Fuel economy adjusted factor'!$A$2:$F$52,5,FALSE)/$AZ$84*($AZ$15*('US Grid mix, emissions&amp;prices'!$AU$3+INDEX('Year data'!$B$3:$AC$53,MATCH('TCO Inputs'!$A114,'Year data'!$A$111:$A$161,0),MATCH('TCO Inputs'!$AZ$12+H$113-1,'Year data'!$B$110:$AC$110,0))/100)+$BA$15*('US Grid mix, emissions&amp;prices'!$AU$4+INDEX('Year data'!$B$57:$AC$107,MATCH($A114,'Year data'!$A$111:$A$161,0),MATCH('TCO Inputs'!$AZ$12+H$113-1,'Year data'!$B$110:$AC$110,0))/100))/(1+$AZ$41)^H$113</f>
        <v>1035.9133777565855</v>
      </c>
      <c r="I114" s="106">
        <f>VLOOKUP($A114,'VKT US'!$B$63:$AA$113,(I$113+1),FALSE)/VLOOKUP($A114,'Fuel economy adjusted factor'!$A$2:$F$52,5,FALSE)/$AZ$84*($AZ$15*('US Grid mix, emissions&amp;prices'!$AU$3+INDEX('Year data'!$B$3:$AC$53,MATCH('TCO Inputs'!$A114,'Year data'!$A$111:$A$161,0),MATCH('TCO Inputs'!$AZ$12+I$113-1,'Year data'!$B$110:$AC$110,0))/100)+$BA$15*('US Grid mix, emissions&amp;prices'!$AU$4+INDEX('Year data'!$B$57:$AC$107,MATCH($A114,'Year data'!$A$111:$A$161,0),MATCH('TCO Inputs'!$AZ$12+I$113-1,'Year data'!$B$110:$AC$110,0))/100))/(1+$AZ$41)^I$113</f>
        <v>995.46533169622273</v>
      </c>
      <c r="J114" s="106">
        <f>VLOOKUP($A114,'VKT US'!$B$63:$AA$113,(J$113+1),FALSE)/VLOOKUP($A114,'Fuel economy adjusted factor'!$A$2:$F$52,5,FALSE)/$AZ$84*($AZ$15*('US Grid mix, emissions&amp;prices'!$AU$3+INDEX('Year data'!$B$3:$AC$53,MATCH('TCO Inputs'!$A114,'Year data'!$A$111:$A$161,0),MATCH('TCO Inputs'!$AZ$12+J$113-1,'Year data'!$B$110:$AC$110,0))/100)+$BA$15*('US Grid mix, emissions&amp;prices'!$AU$4+INDEX('Year data'!$B$57:$AC$107,MATCH($A114,'Year data'!$A$111:$A$161,0),MATCH('TCO Inputs'!$AZ$12+J$113-1,'Year data'!$B$110:$AC$110,0))/100))/(1+$AZ$41)^J$113</f>
        <v>958.28311321435933</v>
      </c>
      <c r="K114" s="106">
        <f>VLOOKUP($A114,'VKT US'!$B$63:$AA$113,(K$113+1),FALSE)/VLOOKUP($A114,'Fuel economy adjusted factor'!$A$2:$F$52,5,FALSE)/$AZ$84*($AZ$15*('US Grid mix, emissions&amp;prices'!$AU$3+INDEX('Year data'!$B$3:$AC$53,MATCH('TCO Inputs'!$A114,'Year data'!$A$111:$A$161,0),MATCH('TCO Inputs'!$AZ$12+K$113-1,'Year data'!$B$110:$AC$110,0))/100)+$BA$15*('US Grid mix, emissions&amp;prices'!$AU$4+INDEX('Year data'!$B$57:$AC$107,MATCH($A114,'Year data'!$A$111:$A$161,0),MATCH('TCO Inputs'!$AZ$12+K$113-1,'Year data'!$B$110:$AC$110,0))/100))/(1+$AZ$41)^K$113</f>
        <v>922.6629425510024</v>
      </c>
      <c r="L114" s="106">
        <f>VLOOKUP($A114,'VKT US'!$B$63:$AA$113,(L$113+1),FALSE)/VLOOKUP($A114,'Fuel economy adjusted factor'!$A$2:$F$52,5,FALSE)/$AZ$84*($AZ$15*('US Grid mix, emissions&amp;prices'!$AU$3+INDEX('Year data'!$B$3:$AC$53,MATCH('TCO Inputs'!$A114,'Year data'!$A$111:$A$161,0),MATCH('TCO Inputs'!$AZ$12+L$113-1,'Year data'!$B$110:$AC$110,0))/100)+$BA$15*('US Grid mix, emissions&amp;prices'!$AU$4+INDEX('Year data'!$B$57:$AC$107,MATCH($A114,'Year data'!$A$111:$A$161,0),MATCH('TCO Inputs'!$AZ$12+L$113-1,'Year data'!$B$110:$AC$110,0))/100))/(1+$AZ$41)^L$113</f>
        <v>894.88803174104339</v>
      </c>
      <c r="M114" s="106">
        <f>VLOOKUP($A114,'VKT US'!$B$63:$AA$113,(M$113+1),FALSE)/VLOOKUP($A114,'Fuel economy adjusted factor'!$A$2:$F$52,5,FALSE)/$AZ$84*($AZ$15*('US Grid mix, emissions&amp;prices'!$AU$3+INDEX('Year data'!$B$3:$AC$53,MATCH('TCO Inputs'!$A114,'Year data'!$A$111:$A$161,0),MATCH('TCO Inputs'!$AZ$12+M$113-1,'Year data'!$B$110:$AC$110,0))/100)+$BA$15*('US Grid mix, emissions&amp;prices'!$AU$4+INDEX('Year data'!$B$57:$AC$107,MATCH($A114,'Year data'!$A$111:$A$161,0),MATCH('TCO Inputs'!$AZ$12+M$113-1,'Year data'!$B$110:$AC$110,0))/100))/(1+$AZ$41)^M$113</f>
        <v>866.45828496054673</v>
      </c>
      <c r="N114" s="106">
        <f>VLOOKUP($A114,'VKT US'!$B$63:$AA$113,(N$113+1),FALSE)/VLOOKUP($A114,'Fuel economy adjusted factor'!$A$2:$F$52,5,FALSE)/$AZ$84*($AZ$15*('US Grid mix, emissions&amp;prices'!$AU$3+INDEX('Year data'!$B$3:$AC$53,MATCH('TCO Inputs'!$A114,'Year data'!$A$111:$A$161,0),MATCH('TCO Inputs'!$AZ$12+N$113-1,'Year data'!$B$110:$AC$110,0))/100)+$BA$15*('US Grid mix, emissions&amp;prices'!$AU$4+INDEX('Year data'!$B$57:$AC$107,MATCH($A114,'Year data'!$A$111:$A$161,0),MATCH('TCO Inputs'!$AZ$12+N$113-1,'Year data'!$B$110:$AC$110,0))/100))/(1+$AZ$41)^N$113</f>
        <v>833.94907405825927</v>
      </c>
      <c r="O114" s="106">
        <f>VLOOKUP($A114,'VKT US'!$B$63:$AA$113,(O$113+1),FALSE)/VLOOKUP($A114,'Fuel economy adjusted factor'!$A$2:$F$52,5,FALSE)/$AZ$84*($AZ$15*('US Grid mix, emissions&amp;prices'!$AU$3+INDEX('Year data'!$B$3:$AC$53,MATCH('TCO Inputs'!$A114,'Year data'!$A$111:$A$161,0),MATCH('TCO Inputs'!$AZ$12+O$113-1,'Year data'!$B$110:$AC$110,0))/100)+$BA$15*('US Grid mix, emissions&amp;prices'!$AU$4+INDEX('Year data'!$B$57:$AC$107,MATCH($A114,'Year data'!$A$111:$A$161,0),MATCH('TCO Inputs'!$AZ$12+O$113-1,'Year data'!$B$110:$AC$110,0))/100))/(1+$AZ$41)^O$113</f>
        <v>805.94632590656931</v>
      </c>
      <c r="P114" s="106">
        <f>VLOOKUP($A114,'VKT US'!$B$63:$AA$113,(P$113+1),FALSE)/VLOOKUP($A114,'Fuel economy adjusted factor'!$A$2:$F$52,5,FALSE)/$AZ$84*($AZ$15*('US Grid mix, emissions&amp;prices'!$AU$3+INDEX('Year data'!$B$3:$AC$53,MATCH('TCO Inputs'!$A114,'Year data'!$A$111:$A$161,0),MATCH('TCO Inputs'!$AZ$12+P$113-1,'Year data'!$B$110:$AC$110,0))/100)+$BA$15*('US Grid mix, emissions&amp;prices'!$AU$4+INDEX('Year data'!$B$57:$AC$107,MATCH($A114,'Year data'!$A$111:$A$161,0),MATCH('TCO Inputs'!$AZ$12+P$113-1,'Year data'!$B$110:$AC$110,0))/100))/(1+$AZ$41)^P$113</f>
        <v>780.06035643226664</v>
      </c>
      <c r="Q114" s="106">
        <f>VLOOKUP($A114,'VKT US'!$B$63:$AA$113,(Q$113+1),FALSE)/VLOOKUP($A114,'Fuel economy adjusted factor'!$A$2:$F$52,5,FALSE)/$AZ$84*($AZ$15*('US Grid mix, emissions&amp;prices'!$AU$3+INDEX('Year data'!$B$3:$AC$53,MATCH('TCO Inputs'!$A114,'Year data'!$A$111:$A$161,0),MATCH('TCO Inputs'!$AZ$12+Q$113-1,'Year data'!$B$110:$AC$110,0))/100)+$BA$15*('US Grid mix, emissions&amp;prices'!$AU$4+INDEX('Year data'!$B$57:$AC$107,MATCH($A114,'Year data'!$A$111:$A$161,0),MATCH('TCO Inputs'!$AZ$12+Q$113-1,'Year data'!$B$110:$AC$110,0))/100))/(1+$AZ$41)^Q$113</f>
        <v>757.37945851758457</v>
      </c>
      <c r="R114" s="106">
        <f>VLOOKUP($A114,'VKT US'!$B$63:$AA$113,(R$113+1),FALSE)/VLOOKUP($A114,'Fuel economy adjusted factor'!$A$2:$F$52,5,FALSE)/$AZ$84*($AZ$15*('US Grid mix, emissions&amp;prices'!$AU$3+INDEX('Year data'!$B$3:$AC$53,MATCH('TCO Inputs'!$A114,'Year data'!$A$111:$A$161,0),MATCH('TCO Inputs'!$AZ$12+R$113-1,'Year data'!$B$110:$AC$110,0))/100)+$BA$15*('US Grid mix, emissions&amp;prices'!$AU$4+INDEX('Year data'!$B$57:$AC$107,MATCH($A114,'Year data'!$A$111:$A$161,0),MATCH('TCO Inputs'!$AZ$12+R$113-1,'Year data'!$B$110:$AC$110,0))/100))/(1+$AZ$41)^R$113</f>
        <v>734.46686222805511</v>
      </c>
      <c r="S114" s="106">
        <f>VLOOKUP($A114,'VKT US'!$B$63:$AA$113,(S$113+1),FALSE)/VLOOKUP($A114,'Fuel economy adjusted factor'!$A$2:$F$52,5,FALSE)/$AZ$84*($AZ$15*('US Grid mix, emissions&amp;prices'!$AU$3+INDEX('Year data'!$B$3:$AC$53,MATCH('TCO Inputs'!$A114,'Year data'!$A$111:$A$161,0),MATCH('TCO Inputs'!$AZ$12+S$113-1,'Year data'!$B$110:$AC$110,0))/100)+$BA$15*('US Grid mix, emissions&amp;prices'!$AU$4+INDEX('Year data'!$B$57:$AC$107,MATCH($A114,'Year data'!$A$111:$A$161,0),MATCH('TCO Inputs'!$AZ$12+S$113-1,'Year data'!$B$110:$AC$110,0))/100))/(1+$AZ$41)^S$113</f>
        <v>712.96945018438771</v>
      </c>
      <c r="T114" s="106">
        <f>VLOOKUP($A114,'VKT US'!$B$63:$AA$113,(T$113+1),FALSE)/VLOOKUP($A114,'Fuel economy adjusted factor'!$A$2:$F$52,5,FALSE)/$AZ$84*($AZ$15*('US Grid mix, emissions&amp;prices'!$AU$3+INDEX('Year data'!$B$3:$AC$53,MATCH('TCO Inputs'!$A114,'Year data'!$A$111:$A$161,0),MATCH('TCO Inputs'!$AZ$12+T$113-1,'Year data'!$B$110:$AC$110,0))/100)+$BA$15*('US Grid mix, emissions&amp;prices'!$AU$4+INDEX('Year data'!$B$57:$AC$107,MATCH($A114,'Year data'!$A$111:$A$161,0),MATCH('TCO Inputs'!$AZ$12+T$113-1,'Year data'!$B$110:$AC$110,0))/100))/(1+$AZ$41)^T$113</f>
        <v>692.11038378039211</v>
      </c>
      <c r="U114" s="106">
        <f>VLOOKUP($A114,'VKT US'!$B$63:$AA$113,(U$113+1),FALSE)/VLOOKUP($A114,'Fuel economy adjusted factor'!$A$2:$F$52,5,FALSE)/$AZ$84*($AZ$15*('US Grid mix, emissions&amp;prices'!$AU$3+INDEX('Year data'!$B$3:$AC$53,MATCH('TCO Inputs'!$A114,'Year data'!$A$111:$A$161,0),MATCH('TCO Inputs'!$AZ$12+U$113-1,'Year data'!$B$110:$AC$110,0))/100)+$BA$15*('US Grid mix, emissions&amp;prices'!$AU$4+INDEX('Year data'!$B$57:$AC$107,MATCH($A114,'Year data'!$A$111:$A$161,0),MATCH('TCO Inputs'!$AZ$12+U$113-1,'Year data'!$B$110:$AC$110,0))/100))/(1+$AZ$41)^U$113</f>
        <v>671.62872606298424</v>
      </c>
      <c r="V114" s="110" cm="1">
        <f t="array" ref="V114">SUMPRODUCT(INDEX(B114:U114,,_xlfn.SEQUENCE($AZ$13)))</f>
        <v>14769.476918898186</v>
      </c>
      <c r="Y114" s="102" t="s">
        <v>187</v>
      </c>
      <c r="Z114" s="106">
        <f>VLOOKUP($A114,'VKT US'!$B$63:$AA$113,(Z$113+1),FALSE)/VLOOKUP($A114,'Fuel economy adjusted factor'!$A$2:$F$52,5,FALSE)/$AZ$84</f>
        <v>7041.8538729083166</v>
      </c>
      <c r="AA114" s="106">
        <f>VLOOKUP($A114,'VKT US'!$B$63:$AA$113,(AA$113+1),FALSE)/VLOOKUP($A114,'Fuel economy adjusted factor'!$A$2:$F$52,5,FALSE)/$AZ$84</f>
        <v>6832.4080314674975</v>
      </c>
      <c r="AB114" s="106">
        <f>VLOOKUP($A114,'VKT US'!$B$63:$AA$113,(AB$113+1),FALSE)/VLOOKUP($A114,'Fuel economy adjusted factor'!$A$2:$F$52,5,FALSE)/$AZ$84</f>
        <v>6629.570918033306</v>
      </c>
      <c r="AC114" s="106">
        <f>VLOOKUP($A114,'VKT US'!$B$63:$AA$113,(AC$113+1),FALSE)/VLOOKUP($A114,'Fuel economy adjusted factor'!$A$2:$F$52,5,FALSE)/$AZ$84</f>
        <v>6433.8508962985597</v>
      </c>
      <c r="AD114" s="106">
        <f>VLOOKUP($A114,'VKT US'!$B$63:$AA$113,(AD$113+1),FALSE)/VLOOKUP($A114,'Fuel economy adjusted factor'!$A$2:$F$52,5,FALSE)/$AZ$84</f>
        <v>6244.739602570442</v>
      </c>
      <c r="AE114" s="106">
        <f>VLOOKUP($A114,'VKT US'!$B$63:$AA$113,(AE$113+1),FALSE)/VLOOKUP($A114,'Fuel economy adjusted factor'!$A$2:$F$52,5,FALSE)/$AZ$84</f>
        <v>6063.2537642345851</v>
      </c>
      <c r="AF114" s="106">
        <f>VLOOKUP($A114,'VKT US'!$B$63:$AA$113,(AF$113+1),FALSE)/VLOOKUP($A114,'Fuel economy adjusted factor'!$A$2:$F$52,5,FALSE)/$AZ$84</f>
        <v>5887.868290212542</v>
      </c>
      <c r="AG114" s="106">
        <f>VLOOKUP($A114,'VKT US'!$B$63:$AA$113,(AG$113+1),FALSE)/VLOOKUP($A114,'Fuel economy adjusted factor'!$A$2:$F$52,5,FALSE)/$AZ$84</f>
        <v>5719.5999078899422</v>
      </c>
      <c r="AH114" s="106">
        <f>VLOOKUP($A114,'VKT US'!$B$63:$AA$113,(AH$113+1),FALSE)/VLOOKUP($A114,'Fuel economy adjusted factor'!$A$2:$F$52,5,FALSE)/$AZ$84</f>
        <v>5558.4486172667866</v>
      </c>
      <c r="AI114" s="106">
        <f>VLOOKUP($A114,'VKT US'!$B$63:$AA$113,(AI$113+1),FALSE)/VLOOKUP($A114,'Fuel economy adjusted factor'!$A$2:$F$52,5,FALSE)/$AZ$84</f>
        <v>5404.414418343079</v>
      </c>
      <c r="AJ114" s="106">
        <f>VLOOKUP($A114,'VKT US'!$B$63:$AA$113,(AJ$113+1),FALSE)/VLOOKUP($A114,'Fuel economy adjusted factor'!$A$2:$F$52,5,FALSE)/$AZ$84</f>
        <v>5256.9889474259962</v>
      </c>
      <c r="AK114" s="106">
        <f>VLOOKUP($A114,'VKT US'!$B$63:$AA$113,(AK$113+1),FALSE)/VLOOKUP($A114,'Fuel economy adjusted factor'!$A$2:$F$52,5,FALSE)/$AZ$84</f>
        <v>5116.6805682083595</v>
      </c>
      <c r="AL114" s="106">
        <f>VLOOKUP($A114,'VKT US'!$B$63:$AA$113,(AL$113+1),FALSE)/VLOOKUP($A114,'Fuel economy adjusted factor'!$A$2:$F$52,5,FALSE)/$AZ$84</f>
        <v>4982.9809169973523</v>
      </c>
      <c r="AM114" s="106">
        <f>VLOOKUP($A114,'VKT US'!$B$63:$AA$113,(AM$113+1),FALSE)/VLOOKUP($A114,'Fuel economy adjusted factor'!$A$2:$F$52,5,FALSE)/$AZ$84</f>
        <v>4856.3983574857893</v>
      </c>
      <c r="AN114" s="106">
        <f>VLOOKUP($A114,'VKT US'!$B$63:$AA$113,(AN$113+1),FALSE)/VLOOKUP($A114,'Fuel economy adjusted factor'!$A$2:$F$52,5,FALSE)/$AZ$84</f>
        <v>4736.4245259808531</v>
      </c>
      <c r="AO114" s="106">
        <f>VLOOKUP($A114,'VKT US'!$B$63:$AA$113,(AO$113+1),FALSE)/VLOOKUP($A114,'Fuel economy adjusted factor'!$A$2:$F$52,5,FALSE)/$AZ$84</f>
        <v>4624.0761498681804</v>
      </c>
      <c r="AP114" s="106">
        <f>VLOOKUP($A114,'VKT US'!$B$63:$AA$113,(AP$113+1),FALSE)/VLOOKUP($A114,'Fuel economy adjusted factor'!$A$2:$F$52,5,FALSE)/$AZ$84</f>
        <v>4517.8281380693188</v>
      </c>
      <c r="AQ114" s="106">
        <f>VLOOKUP($A114,'VKT US'!$B$63:$AA$113,(AQ$113+1),FALSE)/VLOOKUP($A114,'Fuel economy adjusted factor'!$A$2:$F$52,5,FALSE)/$AZ$84</f>
        <v>4419.2055816627199</v>
      </c>
      <c r="AR114" s="106">
        <f>VLOOKUP($A114,'VKT US'!$B$63:$AA$113,(AR$113+1),FALSE)/VLOOKUP($A114,'Fuel economy adjusted factor'!$A$2:$F$52,5,FALSE)/$AZ$84</f>
        <v>4326.6833895699301</v>
      </c>
      <c r="AS114" s="106">
        <f>VLOOKUP($A114,'VKT US'!$B$63:$AA$113,(AS$113+1),FALSE)/VLOOKUP($A114,'Fuel economy adjusted factor'!$A$2:$F$52,5,FALSE)/$AZ$84</f>
        <v>4241.7866528694049</v>
      </c>
      <c r="AT114" s="110" cm="1">
        <f t="array" ref="AT114">SUMPRODUCT(INDEX(Z114:AS114,,_xlfn.SEQUENCE($AZ$13)))</f>
        <v>82029.057109342553</v>
      </c>
    </row>
    <row r="115" spans="1:46" x14ac:dyDescent="0.25">
      <c r="A115" s="102" t="s">
        <v>231</v>
      </c>
      <c r="B115" s="106">
        <f>VLOOKUP($A115,'VKT US'!$B$63:$AA$113,(B$113+1),FALSE)/VLOOKUP($A115,'Fuel economy adjusted factor'!$A$2:$F$52,5,FALSE)/$AZ$84*($AZ$15*('US Grid mix, emissions&amp;prices'!$AU$3+INDEX('Year data'!$B$3:$AC$53,MATCH('TCO Inputs'!$A115,'Year data'!$A$111:$A$161,0),MATCH('TCO Inputs'!$AZ$12+B$113-1,'Year data'!$B$110:$AC$110,0))/100)+$BA$15*('US Grid mix, emissions&amp;prices'!$AU$4+INDEX('Year data'!$B$57:$AC$107,MATCH($A115,'Year data'!$A$111:$A$161,0),MATCH('TCO Inputs'!$AZ$12+B$113-1,'Year data'!$B$110:$AC$110,0))/100))/(1+$AZ$41)^B$113</f>
        <v>2194.8327772382395</v>
      </c>
      <c r="C115" s="106">
        <f>VLOOKUP($A115,'VKT US'!$B$63:$AA$113,(C$113+1),FALSE)/VLOOKUP($A115,'Fuel economy adjusted factor'!$A$2:$F$52,5,FALSE)/$AZ$84*($AZ$15*('US Grid mix, emissions&amp;prices'!$AU$3+INDEX('Year data'!$B$3:$AC$53,MATCH('TCO Inputs'!$A115,'Year data'!$A$111:$A$161,0),MATCH('TCO Inputs'!$AZ$12+C$113-1,'Year data'!$B$110:$AC$110,0))/100)+$BA$15*('US Grid mix, emissions&amp;prices'!$AU$4+INDEX('Year data'!$B$57:$AC$107,MATCH($A115,'Year data'!$A$111:$A$161,0),MATCH('TCO Inputs'!$AZ$12+C$113-1,'Year data'!$B$110:$AC$110,0))/100))/(1+$AZ$41)^C$113</f>
        <v>2060.6854670363391</v>
      </c>
      <c r="D115" s="106">
        <f>VLOOKUP($A115,'VKT US'!$B$63:$AA$113,(D$113+1),FALSE)/VLOOKUP($A115,'Fuel economy adjusted factor'!$A$2:$F$52,5,FALSE)/$AZ$84*($AZ$15*('US Grid mix, emissions&amp;prices'!$AU$3+INDEX('Year data'!$B$3:$AC$53,MATCH('TCO Inputs'!$A115,'Year data'!$A$111:$A$161,0),MATCH('TCO Inputs'!$AZ$12+D$113-1,'Year data'!$B$110:$AC$110,0))/100)+$BA$15*('US Grid mix, emissions&amp;prices'!$AU$4+INDEX('Year data'!$B$57:$AC$107,MATCH($A115,'Year data'!$A$111:$A$161,0),MATCH('TCO Inputs'!$AZ$12+D$113-1,'Year data'!$B$110:$AC$110,0))/100))/(1+$AZ$41)^D$113</f>
        <v>1925.8056575210958</v>
      </c>
      <c r="E115" s="106">
        <f>VLOOKUP($A115,'VKT US'!$B$63:$AA$113,(E$113+1),FALSE)/VLOOKUP($A115,'Fuel economy adjusted factor'!$A$2:$F$52,5,FALSE)/$AZ$84*($AZ$15*('US Grid mix, emissions&amp;prices'!$AU$3+INDEX('Year data'!$B$3:$AC$53,MATCH('TCO Inputs'!$A115,'Year data'!$A$111:$A$161,0),MATCH('TCO Inputs'!$AZ$12+E$113-1,'Year data'!$B$110:$AC$110,0))/100)+$BA$15*('US Grid mix, emissions&amp;prices'!$AU$4+INDEX('Year data'!$B$57:$AC$107,MATCH($A115,'Year data'!$A$111:$A$161,0),MATCH('TCO Inputs'!$AZ$12+E$113-1,'Year data'!$B$110:$AC$110,0))/100))/(1+$AZ$41)^E$113</f>
        <v>1819.289597159825</v>
      </c>
      <c r="F115" s="106">
        <f>VLOOKUP($A115,'VKT US'!$B$63:$AA$113,(F$113+1),FALSE)/VLOOKUP($A115,'Fuel economy adjusted factor'!$A$2:$F$52,5,FALSE)/$AZ$84*($AZ$15*('US Grid mix, emissions&amp;prices'!$AU$3+INDEX('Year data'!$B$3:$AC$53,MATCH('TCO Inputs'!$A115,'Year data'!$A$111:$A$161,0),MATCH('TCO Inputs'!$AZ$12+F$113-1,'Year data'!$B$110:$AC$110,0))/100)+$BA$15*('US Grid mix, emissions&amp;prices'!$AU$4+INDEX('Year data'!$B$57:$AC$107,MATCH($A115,'Year data'!$A$111:$A$161,0),MATCH('TCO Inputs'!$AZ$12+F$113-1,'Year data'!$B$110:$AC$110,0))/100))/(1+$AZ$41)^F$113</f>
        <v>1725.0911100952426</v>
      </c>
      <c r="G115" s="106">
        <f>VLOOKUP($A115,'VKT US'!$B$63:$AA$113,(G$113+1),FALSE)/VLOOKUP($A115,'Fuel economy adjusted factor'!$A$2:$F$52,5,FALSE)/$AZ$84*($AZ$15*('US Grid mix, emissions&amp;prices'!$AU$3+INDEX('Year data'!$B$3:$AC$53,MATCH('TCO Inputs'!$A115,'Year data'!$A$111:$A$161,0),MATCH('TCO Inputs'!$AZ$12+G$113-1,'Year data'!$B$110:$AC$110,0))/100)+$BA$15*('US Grid mix, emissions&amp;prices'!$AU$4+INDEX('Year data'!$B$57:$AC$107,MATCH($A115,'Year data'!$A$111:$A$161,0),MATCH('TCO Inputs'!$AZ$12+G$113-1,'Year data'!$B$110:$AC$110,0))/100))/(1+$AZ$41)^G$113</f>
        <v>1641.3154120400388</v>
      </c>
      <c r="H115" s="106">
        <f>VLOOKUP($A115,'VKT US'!$B$63:$AA$113,(H$113+1),FALSE)/VLOOKUP($A115,'Fuel economy adjusted factor'!$A$2:$F$52,5,FALSE)/$AZ$84*($AZ$15*('US Grid mix, emissions&amp;prices'!$AU$3+INDEX('Year data'!$B$3:$AC$53,MATCH('TCO Inputs'!$A115,'Year data'!$A$111:$A$161,0),MATCH('TCO Inputs'!$AZ$12+H$113-1,'Year data'!$B$110:$AC$110,0))/100)+$BA$15*('US Grid mix, emissions&amp;prices'!$AU$4+INDEX('Year data'!$B$57:$AC$107,MATCH($A115,'Year data'!$A$111:$A$161,0),MATCH('TCO Inputs'!$AZ$12+H$113-1,'Year data'!$B$110:$AC$110,0))/100))/(1+$AZ$41)^H$113</f>
        <v>1570.3103630927199</v>
      </c>
      <c r="I115" s="106">
        <f>VLOOKUP($A115,'VKT US'!$B$63:$AA$113,(I$113+1),FALSE)/VLOOKUP($A115,'Fuel economy adjusted factor'!$A$2:$F$52,5,FALSE)/$AZ$84*($AZ$15*('US Grid mix, emissions&amp;prices'!$AU$3+INDEX('Year data'!$B$3:$AC$53,MATCH('TCO Inputs'!$A115,'Year data'!$A$111:$A$161,0),MATCH('TCO Inputs'!$AZ$12+I$113-1,'Year data'!$B$110:$AC$110,0))/100)+$BA$15*('US Grid mix, emissions&amp;prices'!$AU$4+INDEX('Year data'!$B$57:$AC$107,MATCH($A115,'Year data'!$A$111:$A$161,0),MATCH('TCO Inputs'!$AZ$12+I$113-1,'Year data'!$B$110:$AC$110,0))/100))/(1+$AZ$41)^I$113</f>
        <v>1509.2340462407067</v>
      </c>
      <c r="J115" s="106">
        <f>VLOOKUP($A115,'VKT US'!$B$63:$AA$113,(J$113+1),FALSE)/VLOOKUP($A115,'Fuel economy adjusted factor'!$A$2:$F$52,5,FALSE)/$AZ$84*($AZ$15*('US Grid mix, emissions&amp;prices'!$AU$3+INDEX('Year data'!$B$3:$AC$53,MATCH('TCO Inputs'!$A115,'Year data'!$A$111:$A$161,0),MATCH('TCO Inputs'!$AZ$12+J$113-1,'Year data'!$B$110:$AC$110,0))/100)+$BA$15*('US Grid mix, emissions&amp;prices'!$AU$4+INDEX('Year data'!$B$57:$AC$107,MATCH($A115,'Year data'!$A$111:$A$161,0),MATCH('TCO Inputs'!$AZ$12+J$113-1,'Year data'!$B$110:$AC$110,0))/100))/(1+$AZ$41)^J$113</f>
        <v>1453.3976179660876</v>
      </c>
      <c r="K115" s="106">
        <f>VLOOKUP($A115,'VKT US'!$B$63:$AA$113,(K$113+1),FALSE)/VLOOKUP($A115,'Fuel economy adjusted factor'!$A$2:$F$52,5,FALSE)/$AZ$84*($AZ$15*('US Grid mix, emissions&amp;prices'!$AU$3+INDEX('Year data'!$B$3:$AC$53,MATCH('TCO Inputs'!$A115,'Year data'!$A$111:$A$161,0),MATCH('TCO Inputs'!$AZ$12+K$113-1,'Year data'!$B$110:$AC$110,0))/100)+$BA$15*('US Grid mix, emissions&amp;prices'!$AU$4+INDEX('Year data'!$B$57:$AC$107,MATCH($A115,'Year data'!$A$111:$A$161,0),MATCH('TCO Inputs'!$AZ$12+K$113-1,'Year data'!$B$110:$AC$110,0))/100))/(1+$AZ$41)^K$113</f>
        <v>1399.8210524763874</v>
      </c>
      <c r="L115" s="106">
        <f>VLOOKUP($A115,'VKT US'!$B$63:$AA$113,(L$113+1),FALSE)/VLOOKUP($A115,'Fuel economy adjusted factor'!$A$2:$F$52,5,FALSE)/$AZ$84*($AZ$15*('US Grid mix, emissions&amp;prices'!$AU$3+INDEX('Year data'!$B$3:$AC$53,MATCH('TCO Inputs'!$A115,'Year data'!$A$111:$A$161,0),MATCH('TCO Inputs'!$AZ$12+L$113-1,'Year data'!$B$110:$AC$110,0))/100)+$BA$15*('US Grid mix, emissions&amp;prices'!$AU$4+INDEX('Year data'!$B$57:$AC$107,MATCH($A115,'Year data'!$A$111:$A$161,0),MATCH('TCO Inputs'!$AZ$12+L$113-1,'Year data'!$B$110:$AC$110,0))/100))/(1+$AZ$41)^L$113</f>
        <v>1359.6725170769098</v>
      </c>
      <c r="M115" s="106">
        <f>VLOOKUP($A115,'VKT US'!$B$63:$AA$113,(M$113+1),FALSE)/VLOOKUP($A115,'Fuel economy adjusted factor'!$A$2:$F$52,5,FALSE)/$AZ$84*($AZ$15*('US Grid mix, emissions&amp;prices'!$AU$3+INDEX('Year data'!$B$3:$AC$53,MATCH('TCO Inputs'!$A115,'Year data'!$A$111:$A$161,0),MATCH('TCO Inputs'!$AZ$12+M$113-1,'Year data'!$B$110:$AC$110,0))/100)+$BA$15*('US Grid mix, emissions&amp;prices'!$AU$4+INDEX('Year data'!$B$57:$AC$107,MATCH($A115,'Year data'!$A$111:$A$161,0),MATCH('TCO Inputs'!$AZ$12+M$113-1,'Year data'!$B$110:$AC$110,0))/100))/(1+$AZ$41)^M$113</f>
        <v>1317.885203857963</v>
      </c>
      <c r="N115" s="106">
        <f>VLOOKUP($A115,'VKT US'!$B$63:$AA$113,(N$113+1),FALSE)/VLOOKUP($A115,'Fuel economy adjusted factor'!$A$2:$F$52,5,FALSE)/$AZ$84*($AZ$15*('US Grid mix, emissions&amp;prices'!$AU$3+INDEX('Year data'!$B$3:$AC$53,MATCH('TCO Inputs'!$A115,'Year data'!$A$111:$A$161,0),MATCH('TCO Inputs'!$AZ$12+N$113-1,'Year data'!$B$110:$AC$110,0))/100)+$BA$15*('US Grid mix, emissions&amp;prices'!$AU$4+INDEX('Year data'!$B$57:$AC$107,MATCH($A115,'Year data'!$A$111:$A$161,0),MATCH('TCO Inputs'!$AZ$12+N$113-1,'Year data'!$B$110:$AC$110,0))/100))/(1+$AZ$41)^N$113</f>
        <v>1268.4438319320464</v>
      </c>
      <c r="O115" s="106">
        <f>VLOOKUP($A115,'VKT US'!$B$63:$AA$113,(O$113+1),FALSE)/VLOOKUP($A115,'Fuel economy adjusted factor'!$A$2:$F$52,5,FALSE)/$AZ$84*($AZ$15*('US Grid mix, emissions&amp;prices'!$AU$3+INDEX('Year data'!$B$3:$AC$53,MATCH('TCO Inputs'!$A115,'Year data'!$A$111:$A$161,0),MATCH('TCO Inputs'!$AZ$12+O$113-1,'Year data'!$B$110:$AC$110,0))/100)+$BA$15*('US Grid mix, emissions&amp;prices'!$AU$4+INDEX('Year data'!$B$57:$AC$107,MATCH($A115,'Year data'!$A$111:$A$161,0),MATCH('TCO Inputs'!$AZ$12+O$113-1,'Year data'!$B$110:$AC$110,0))/100))/(1+$AZ$41)^O$113</f>
        <v>1226.5248124279033</v>
      </c>
      <c r="P115" s="106">
        <f>VLOOKUP($A115,'VKT US'!$B$63:$AA$113,(P$113+1),FALSE)/VLOOKUP($A115,'Fuel economy adjusted factor'!$A$2:$F$52,5,FALSE)/$AZ$84*($AZ$15*('US Grid mix, emissions&amp;prices'!$AU$3+INDEX('Year data'!$B$3:$AC$53,MATCH('TCO Inputs'!$A115,'Year data'!$A$111:$A$161,0),MATCH('TCO Inputs'!$AZ$12+P$113-1,'Year data'!$B$110:$AC$110,0))/100)+$BA$15*('US Grid mix, emissions&amp;prices'!$AU$4+INDEX('Year data'!$B$57:$AC$107,MATCH($A115,'Year data'!$A$111:$A$161,0),MATCH('TCO Inputs'!$AZ$12+P$113-1,'Year data'!$B$110:$AC$110,0))/100))/(1+$AZ$41)^P$113</f>
        <v>1187.9241187329505</v>
      </c>
      <c r="Q115" s="106">
        <f>VLOOKUP($A115,'VKT US'!$B$63:$AA$113,(Q$113+1),FALSE)/VLOOKUP($A115,'Fuel economy adjusted factor'!$A$2:$F$52,5,FALSE)/$AZ$84*($AZ$15*('US Grid mix, emissions&amp;prices'!$AU$3+INDEX('Year data'!$B$3:$AC$53,MATCH('TCO Inputs'!$A115,'Year data'!$A$111:$A$161,0),MATCH('TCO Inputs'!$AZ$12+Q$113-1,'Year data'!$B$110:$AC$110,0))/100)+$BA$15*('US Grid mix, emissions&amp;prices'!$AU$4+INDEX('Year data'!$B$57:$AC$107,MATCH($A115,'Year data'!$A$111:$A$161,0),MATCH('TCO Inputs'!$AZ$12+Q$113-1,'Year data'!$B$110:$AC$110,0))/100))/(1+$AZ$41)^Q$113</f>
        <v>1154.5568819648861</v>
      </c>
      <c r="R115" s="106">
        <f>VLOOKUP($A115,'VKT US'!$B$63:$AA$113,(R$113+1),FALSE)/VLOOKUP($A115,'Fuel economy adjusted factor'!$A$2:$F$52,5,FALSE)/$AZ$84*($AZ$15*('US Grid mix, emissions&amp;prices'!$AU$3+INDEX('Year data'!$B$3:$AC$53,MATCH('TCO Inputs'!$A115,'Year data'!$A$111:$A$161,0),MATCH('TCO Inputs'!$AZ$12+R$113-1,'Year data'!$B$110:$AC$110,0))/100)+$BA$15*('US Grid mix, emissions&amp;prices'!$AU$4+INDEX('Year data'!$B$57:$AC$107,MATCH($A115,'Year data'!$A$111:$A$161,0),MATCH('TCO Inputs'!$AZ$12+R$113-1,'Year data'!$B$110:$AC$110,0))/100))/(1+$AZ$41)^R$113</f>
        <v>1120.4095246434022</v>
      </c>
      <c r="S115" s="106">
        <f>VLOOKUP($A115,'VKT US'!$B$63:$AA$113,(S$113+1),FALSE)/VLOOKUP($A115,'Fuel economy adjusted factor'!$A$2:$F$52,5,FALSE)/$AZ$84*($AZ$15*('US Grid mix, emissions&amp;prices'!$AU$3+INDEX('Year data'!$B$3:$AC$53,MATCH('TCO Inputs'!$A115,'Year data'!$A$111:$A$161,0),MATCH('TCO Inputs'!$AZ$12+S$113-1,'Year data'!$B$110:$AC$110,0))/100)+$BA$15*('US Grid mix, emissions&amp;prices'!$AU$4+INDEX('Year data'!$B$57:$AC$107,MATCH($A115,'Year data'!$A$111:$A$161,0),MATCH('TCO Inputs'!$AZ$12+S$113-1,'Year data'!$B$110:$AC$110,0))/100))/(1+$AZ$41)^S$113</f>
        <v>1088.3362701612011</v>
      </c>
      <c r="T115" s="106">
        <f>VLOOKUP($A115,'VKT US'!$B$63:$AA$113,(T$113+1),FALSE)/VLOOKUP($A115,'Fuel economy adjusted factor'!$A$2:$F$52,5,FALSE)/$AZ$84*($AZ$15*('US Grid mix, emissions&amp;prices'!$AU$3+INDEX('Year data'!$B$3:$AC$53,MATCH('TCO Inputs'!$A115,'Year data'!$A$111:$A$161,0),MATCH('TCO Inputs'!$AZ$12+T$113-1,'Year data'!$B$110:$AC$110,0))/100)+$BA$15*('US Grid mix, emissions&amp;prices'!$AU$4+INDEX('Year data'!$B$57:$AC$107,MATCH($A115,'Year data'!$A$111:$A$161,0),MATCH('TCO Inputs'!$AZ$12+T$113-1,'Year data'!$B$110:$AC$110,0))/100))/(1+$AZ$41)^T$113</f>
        <v>1057.0451162197983</v>
      </c>
      <c r="U115" s="106">
        <f>VLOOKUP($A115,'VKT US'!$B$63:$AA$113,(U$113+1),FALSE)/VLOOKUP($A115,'Fuel economy adjusted factor'!$A$2:$F$52,5,FALSE)/$AZ$84*($AZ$15*('US Grid mix, emissions&amp;prices'!$AU$3+INDEX('Year data'!$B$3:$AC$53,MATCH('TCO Inputs'!$A115,'Year data'!$A$111:$A$161,0),MATCH('TCO Inputs'!$AZ$12+U$113-1,'Year data'!$B$110:$AC$110,0))/100)+$BA$15*('US Grid mix, emissions&amp;prices'!$AU$4+INDEX('Year data'!$B$57:$AC$107,MATCH($A115,'Year data'!$A$111:$A$161,0),MATCH('TCO Inputs'!$AZ$12+U$113-1,'Year data'!$B$110:$AC$110,0))/100))/(1+$AZ$41)^U$113</f>
        <v>1026.0216170576898</v>
      </c>
      <c r="V115" s="110" cm="1">
        <f t="array" ref="V115">SUMPRODUCT(INDEX(B115:U115,,_xlfn.SEQUENCE($AZ$13)))</f>
        <v>22472.309466161507</v>
      </c>
      <c r="Y115" s="102" t="s">
        <v>231</v>
      </c>
      <c r="Z115" s="106">
        <f>VLOOKUP($A115,'VKT US'!$B$63:$AA$113,(Z$113+1),FALSE)/VLOOKUP($A115,'Fuel economy adjusted factor'!$A$2:$F$52,5,FALSE)/$AZ$84</f>
        <v>7513.846896734447</v>
      </c>
      <c r="AA115" s="106">
        <f>VLOOKUP($A115,'VKT US'!$B$63:$AA$113,(AA$113+1),FALSE)/VLOOKUP($A115,'Fuel economy adjusted factor'!$A$2:$F$52,5,FALSE)/$AZ$84</f>
        <v>7290.3625680126297</v>
      </c>
      <c r="AB115" s="106">
        <f>VLOOKUP($A115,'VKT US'!$B$63:$AA$113,(AB$113+1),FALSE)/VLOOKUP($A115,'Fuel economy adjusted factor'!$A$2:$F$52,5,FALSE)/$AZ$84</f>
        <v>7073.9299292747546</v>
      </c>
      <c r="AC115" s="106">
        <f>VLOOKUP($A115,'VKT US'!$B$63:$AA$113,(AC$113+1),FALSE)/VLOOKUP($A115,'Fuel economy adjusted factor'!$A$2:$F$52,5,FALSE)/$AZ$84</f>
        <v>6865.0914182118931</v>
      </c>
      <c r="AD115" s="106">
        <f>VLOOKUP($A115,'VKT US'!$B$63:$AA$113,(AD$113+1),FALSE)/VLOOKUP($A115,'Fuel economy adjusted factor'!$A$2:$F$52,5,FALSE)/$AZ$84</f>
        <v>6663.304597132972</v>
      </c>
      <c r="AE115" s="106">
        <f>VLOOKUP($A115,'VKT US'!$B$63:$AA$113,(AE$113+1),FALSE)/VLOOKUP($A115,'Fuel economy adjusted factor'!$A$2:$F$52,5,FALSE)/$AZ$84</f>
        <v>6469.654341420136</v>
      </c>
      <c r="AF115" s="106">
        <f>VLOOKUP($A115,'VKT US'!$B$63:$AA$113,(AF$113+1),FALSE)/VLOOKUP($A115,'Fuel economy adjusted factor'!$A$2:$F$52,5,FALSE)/$AZ$84</f>
        <v>6282.5133380001698</v>
      </c>
      <c r="AG115" s="106">
        <f>VLOOKUP($A115,'VKT US'!$B$63:$AA$113,(AG$113+1),FALSE)/VLOOKUP($A115,'Fuel economy adjusted factor'!$A$2:$F$52,5,FALSE)/$AZ$84</f>
        <v>6102.9664622552154</v>
      </c>
      <c r="AH115" s="106">
        <f>VLOOKUP($A115,'VKT US'!$B$63:$AA$113,(AH$113+1),FALSE)/VLOOKUP($A115,'Fuel economy adjusted factor'!$A$2:$F$52,5,FALSE)/$AZ$84</f>
        <v>5931.0137141852747</v>
      </c>
      <c r="AI115" s="106">
        <f>VLOOKUP($A115,'VKT US'!$B$63:$AA$113,(AI$113+1),FALSE)/VLOOKUP($A115,'Fuel economy adjusted factor'!$A$2:$F$52,5,FALSE)/$AZ$84</f>
        <v>5766.6550937903476</v>
      </c>
      <c r="AJ115" s="106">
        <f>VLOOKUP($A115,'VKT US'!$B$63:$AA$113,(AJ$113+1),FALSE)/VLOOKUP($A115,'Fuel economy adjusted factor'!$A$2:$F$52,5,FALSE)/$AZ$84</f>
        <v>5609.3481633793608</v>
      </c>
      <c r="AK115" s="106">
        <f>VLOOKUP($A115,'VKT US'!$B$63:$AA$113,(AK$113+1),FALSE)/VLOOKUP($A115,'Fuel economy adjusted factor'!$A$2:$F$52,5,FALSE)/$AZ$84</f>
        <v>5459.6353606433868</v>
      </c>
      <c r="AL115" s="106">
        <f>VLOOKUP($A115,'VKT US'!$B$63:$AA$113,(AL$113+1),FALSE)/VLOOKUP($A115,'Fuel economy adjusted factor'!$A$2:$F$52,5,FALSE)/$AZ$84</f>
        <v>5316.9742478913549</v>
      </c>
      <c r="AM115" s="106">
        <f>VLOOKUP($A115,'VKT US'!$B$63:$AA$113,(AM$113+1),FALSE)/VLOOKUP($A115,'Fuel economy adjusted factor'!$A$2:$F$52,5,FALSE)/$AZ$84</f>
        <v>5181.9072628143349</v>
      </c>
      <c r="AN115" s="106">
        <f>VLOOKUP($A115,'VKT US'!$B$63:$AA$113,(AN$113+1),FALSE)/VLOOKUP($A115,'Fuel economy adjusted factor'!$A$2:$F$52,5,FALSE)/$AZ$84</f>
        <v>5053.8919677212543</v>
      </c>
      <c r="AO115" s="106">
        <f>VLOOKUP($A115,'VKT US'!$B$63:$AA$113,(AO$113+1),FALSE)/VLOOKUP($A115,'Fuel economy adjusted factor'!$A$2:$F$52,5,FALSE)/$AZ$84</f>
        <v>4934.0132379942625</v>
      </c>
      <c r="AP115" s="106">
        <f>VLOOKUP($A115,'VKT US'!$B$63:$AA$113,(AP$113+1),FALSE)/VLOOKUP($A115,'Fuel economy adjusted factor'!$A$2:$F$52,5,FALSE)/$AZ$84</f>
        <v>4820.6437605601359</v>
      </c>
      <c r="AQ115" s="106">
        <f>VLOOKUP($A115,'VKT US'!$B$63:$AA$113,(AQ$113+1),FALSE)/VLOOKUP($A115,'Fuel economy adjusted factor'!$A$2:$F$52,5,FALSE)/$AZ$84</f>
        <v>4715.4108484920971</v>
      </c>
      <c r="AR115" s="106">
        <f>VLOOKUP($A115,'VKT US'!$B$63:$AA$113,(AR$113+1),FALSE)/VLOOKUP($A115,'Fuel economy adjusted factor'!$A$2:$F$52,5,FALSE)/$AZ$84</f>
        <v>4616.6871887169254</v>
      </c>
      <c r="AS115" s="106">
        <f>VLOOKUP($A115,'VKT US'!$B$63:$AA$113,(AS$113+1),FALSE)/VLOOKUP($A115,'Fuel economy adjusted factor'!$A$2:$F$52,5,FALSE)/$AZ$84</f>
        <v>4526.1000943078407</v>
      </c>
      <c r="AT115" s="110" cm="1">
        <f t="array" ref="AT115">SUMPRODUCT(INDEX(Z115:AS115,,_xlfn.SEQUENCE($AZ$13)))</f>
        <v>87527.203393746269</v>
      </c>
    </row>
    <row r="116" spans="1:46" x14ac:dyDescent="0.25">
      <c r="A116" s="102" t="s">
        <v>189</v>
      </c>
      <c r="B116" s="106">
        <f>VLOOKUP($A116,'VKT US'!$B$63:$AA$113,(B$113+1),FALSE)/VLOOKUP($A116,'Fuel economy adjusted factor'!$A$2:$F$52,5,FALSE)/$AZ$84*($AZ$15*('US Grid mix, emissions&amp;prices'!$AU$3+INDEX('Year data'!$B$3:$AC$53,MATCH('TCO Inputs'!$A116,'Year data'!$A$111:$A$161,0),MATCH('TCO Inputs'!$AZ$12+B$113-1,'Year data'!$B$110:$AC$110,0))/100)+$BA$15*('US Grid mix, emissions&amp;prices'!$AU$4+INDEX('Year data'!$B$57:$AC$107,MATCH($A116,'Year data'!$A$111:$A$161,0),MATCH('TCO Inputs'!$AZ$12+B$113-1,'Year data'!$B$110:$AC$110,0))/100))/(1+$AZ$41)^B$113</f>
        <v>1047.7298942543371</v>
      </c>
      <c r="C116" s="106">
        <f>VLOOKUP($A116,'VKT US'!$B$63:$AA$113,(C$113+1),FALSE)/VLOOKUP($A116,'Fuel economy adjusted factor'!$A$2:$F$52,5,FALSE)/$AZ$84*($AZ$15*('US Grid mix, emissions&amp;prices'!$AU$3+INDEX('Year data'!$B$3:$AC$53,MATCH('TCO Inputs'!$A116,'Year data'!$A$111:$A$161,0),MATCH('TCO Inputs'!$AZ$12+C$113-1,'Year data'!$B$110:$AC$110,0))/100)+$BA$15*('US Grid mix, emissions&amp;prices'!$AU$4+INDEX('Year data'!$B$57:$AC$107,MATCH($A116,'Year data'!$A$111:$A$161,0),MATCH('TCO Inputs'!$AZ$12+C$113-1,'Year data'!$B$110:$AC$110,0))/100))/(1+$AZ$41)^C$113</f>
        <v>987.16605293006012</v>
      </c>
      <c r="D116" s="106">
        <f>VLOOKUP($A116,'VKT US'!$B$63:$AA$113,(D$113+1),FALSE)/VLOOKUP($A116,'Fuel economy adjusted factor'!$A$2:$F$52,5,FALSE)/$AZ$84*($AZ$15*('US Grid mix, emissions&amp;prices'!$AU$3+INDEX('Year data'!$B$3:$AC$53,MATCH('TCO Inputs'!$A116,'Year data'!$A$111:$A$161,0),MATCH('TCO Inputs'!$AZ$12+D$113-1,'Year data'!$B$110:$AC$110,0))/100)+$BA$15*('US Grid mix, emissions&amp;prices'!$AU$4+INDEX('Year data'!$B$57:$AC$107,MATCH($A116,'Year data'!$A$111:$A$161,0),MATCH('TCO Inputs'!$AZ$12+D$113-1,'Year data'!$B$110:$AC$110,0))/100))/(1+$AZ$41)^D$113</f>
        <v>926.39979314301354</v>
      </c>
      <c r="E116" s="106">
        <f>VLOOKUP($A116,'VKT US'!$B$63:$AA$113,(E$113+1),FALSE)/VLOOKUP($A116,'Fuel economy adjusted factor'!$A$2:$F$52,5,FALSE)/$AZ$84*($AZ$15*('US Grid mix, emissions&amp;prices'!$AU$3+INDEX('Year data'!$B$3:$AC$53,MATCH('TCO Inputs'!$A116,'Year data'!$A$111:$A$161,0),MATCH('TCO Inputs'!$AZ$12+E$113-1,'Year data'!$B$110:$AC$110,0))/100)+$BA$15*('US Grid mix, emissions&amp;prices'!$AU$4+INDEX('Year data'!$B$57:$AC$107,MATCH($A116,'Year data'!$A$111:$A$161,0),MATCH('TCO Inputs'!$AZ$12+E$113-1,'Year data'!$B$110:$AC$110,0))/100))/(1+$AZ$41)^E$113</f>
        <v>877.31904252887659</v>
      </c>
      <c r="F116" s="106">
        <f>VLOOKUP($A116,'VKT US'!$B$63:$AA$113,(F$113+1),FALSE)/VLOOKUP($A116,'Fuel economy adjusted factor'!$A$2:$F$52,5,FALSE)/$AZ$84*($AZ$15*('US Grid mix, emissions&amp;prices'!$AU$3+INDEX('Year data'!$B$3:$AC$53,MATCH('TCO Inputs'!$A116,'Year data'!$A$111:$A$161,0),MATCH('TCO Inputs'!$AZ$12+F$113-1,'Year data'!$B$110:$AC$110,0))/100)+$BA$15*('US Grid mix, emissions&amp;prices'!$AU$4+INDEX('Year data'!$B$57:$AC$107,MATCH($A116,'Year data'!$A$111:$A$161,0),MATCH('TCO Inputs'!$AZ$12+F$113-1,'Year data'!$B$110:$AC$110,0))/100))/(1+$AZ$41)^F$113</f>
        <v>833.45962212254631</v>
      </c>
      <c r="G116" s="106">
        <f>VLOOKUP($A116,'VKT US'!$B$63:$AA$113,(G$113+1),FALSE)/VLOOKUP($A116,'Fuel economy adjusted factor'!$A$2:$F$52,5,FALSE)/$AZ$84*($AZ$15*('US Grid mix, emissions&amp;prices'!$AU$3+INDEX('Year data'!$B$3:$AC$53,MATCH('TCO Inputs'!$A116,'Year data'!$A$111:$A$161,0),MATCH('TCO Inputs'!$AZ$12+G$113-1,'Year data'!$B$110:$AC$110,0))/100)+$BA$15*('US Grid mix, emissions&amp;prices'!$AU$4+INDEX('Year data'!$B$57:$AC$107,MATCH($A116,'Year data'!$A$111:$A$161,0),MATCH('TCO Inputs'!$AZ$12+G$113-1,'Year data'!$B$110:$AC$110,0))/100))/(1+$AZ$41)^G$113</f>
        <v>794.12092738462979</v>
      </c>
      <c r="H116" s="106">
        <f>VLOOKUP($A116,'VKT US'!$B$63:$AA$113,(H$113+1),FALSE)/VLOOKUP($A116,'Fuel economy adjusted factor'!$A$2:$F$52,5,FALSE)/$AZ$84*($AZ$15*('US Grid mix, emissions&amp;prices'!$AU$3+INDEX('Year data'!$B$3:$AC$53,MATCH('TCO Inputs'!$A116,'Year data'!$A$111:$A$161,0),MATCH('TCO Inputs'!$AZ$12+H$113-1,'Year data'!$B$110:$AC$110,0))/100)+$BA$15*('US Grid mix, emissions&amp;prices'!$AU$4+INDEX('Year data'!$B$57:$AC$107,MATCH($A116,'Year data'!$A$111:$A$161,0),MATCH('TCO Inputs'!$AZ$12+H$113-1,'Year data'!$B$110:$AC$110,0))/100))/(1+$AZ$41)^H$113</f>
        <v>760.18392214720177</v>
      </c>
      <c r="I116" s="106">
        <f>VLOOKUP($A116,'VKT US'!$B$63:$AA$113,(I$113+1),FALSE)/VLOOKUP($A116,'Fuel economy adjusted factor'!$A$2:$F$52,5,FALSE)/$AZ$84*($AZ$15*('US Grid mix, emissions&amp;prices'!$AU$3+INDEX('Year data'!$B$3:$AC$53,MATCH('TCO Inputs'!$A116,'Year data'!$A$111:$A$161,0),MATCH('TCO Inputs'!$AZ$12+I$113-1,'Year data'!$B$110:$AC$110,0))/100)+$BA$15*('US Grid mix, emissions&amp;prices'!$AU$4+INDEX('Year data'!$B$57:$AC$107,MATCH($A116,'Year data'!$A$111:$A$161,0),MATCH('TCO Inputs'!$AZ$12+I$113-1,'Year data'!$B$110:$AC$110,0))/100))/(1+$AZ$41)^I$113</f>
        <v>730.50929365300749</v>
      </c>
      <c r="J116" s="106">
        <f>VLOOKUP($A116,'VKT US'!$B$63:$AA$113,(J$113+1),FALSE)/VLOOKUP($A116,'Fuel economy adjusted factor'!$A$2:$F$52,5,FALSE)/$AZ$84*($AZ$15*('US Grid mix, emissions&amp;prices'!$AU$3+INDEX('Year data'!$B$3:$AC$53,MATCH('TCO Inputs'!$A116,'Year data'!$A$111:$A$161,0),MATCH('TCO Inputs'!$AZ$12+J$113-1,'Year data'!$B$110:$AC$110,0))/100)+$BA$15*('US Grid mix, emissions&amp;prices'!$AU$4+INDEX('Year data'!$B$57:$AC$107,MATCH($A116,'Year data'!$A$111:$A$161,0),MATCH('TCO Inputs'!$AZ$12+J$113-1,'Year data'!$B$110:$AC$110,0))/100))/(1+$AZ$41)^J$113</f>
        <v>703.22240737229231</v>
      </c>
      <c r="K116" s="106">
        <f>VLOOKUP($A116,'VKT US'!$B$63:$AA$113,(K$113+1),FALSE)/VLOOKUP($A116,'Fuel economy adjusted factor'!$A$2:$F$52,5,FALSE)/$AZ$84*($AZ$15*('US Grid mix, emissions&amp;prices'!$AU$3+INDEX('Year data'!$B$3:$AC$53,MATCH('TCO Inputs'!$A116,'Year data'!$A$111:$A$161,0),MATCH('TCO Inputs'!$AZ$12+K$113-1,'Year data'!$B$110:$AC$110,0))/100)+$BA$15*('US Grid mix, emissions&amp;prices'!$AU$4+INDEX('Year data'!$B$57:$AC$107,MATCH($A116,'Year data'!$A$111:$A$161,0),MATCH('TCO Inputs'!$AZ$12+K$113-1,'Year data'!$B$110:$AC$110,0))/100))/(1+$AZ$41)^K$113</f>
        <v>677.08608297460455</v>
      </c>
      <c r="L116" s="106">
        <f>VLOOKUP($A116,'VKT US'!$B$63:$AA$113,(L$113+1),FALSE)/VLOOKUP($A116,'Fuel economy adjusted factor'!$A$2:$F$52,5,FALSE)/$AZ$84*($AZ$15*('US Grid mix, emissions&amp;prices'!$AU$3+INDEX('Year data'!$B$3:$AC$53,MATCH('TCO Inputs'!$A116,'Year data'!$A$111:$A$161,0),MATCH('TCO Inputs'!$AZ$12+L$113-1,'Year data'!$B$110:$AC$110,0))/100)+$BA$15*('US Grid mix, emissions&amp;prices'!$AU$4+INDEX('Year data'!$B$57:$AC$107,MATCH($A116,'Year data'!$A$111:$A$161,0),MATCH('TCO Inputs'!$AZ$12+L$113-1,'Year data'!$B$110:$AC$110,0))/100))/(1+$AZ$41)^L$113</f>
        <v>656.60113032714207</v>
      </c>
      <c r="M116" s="106">
        <f>VLOOKUP($A116,'VKT US'!$B$63:$AA$113,(M$113+1),FALSE)/VLOOKUP($A116,'Fuel economy adjusted factor'!$A$2:$F$52,5,FALSE)/$AZ$84*($AZ$15*('US Grid mix, emissions&amp;prices'!$AU$3+INDEX('Year data'!$B$3:$AC$53,MATCH('TCO Inputs'!$A116,'Year data'!$A$111:$A$161,0),MATCH('TCO Inputs'!$AZ$12+M$113-1,'Year data'!$B$110:$AC$110,0))/100)+$BA$15*('US Grid mix, emissions&amp;prices'!$AU$4+INDEX('Year data'!$B$57:$AC$107,MATCH($A116,'Year data'!$A$111:$A$161,0),MATCH('TCO Inputs'!$AZ$12+M$113-1,'Year data'!$B$110:$AC$110,0))/100))/(1+$AZ$41)^M$113</f>
        <v>635.67535969629648</v>
      </c>
      <c r="N116" s="106">
        <f>VLOOKUP($A116,'VKT US'!$B$63:$AA$113,(N$113+1),FALSE)/VLOOKUP($A116,'Fuel economy adjusted factor'!$A$2:$F$52,5,FALSE)/$AZ$84*($AZ$15*('US Grid mix, emissions&amp;prices'!$AU$3+INDEX('Year data'!$B$3:$AC$53,MATCH('TCO Inputs'!$A116,'Year data'!$A$111:$A$161,0),MATCH('TCO Inputs'!$AZ$12+N$113-1,'Year data'!$B$110:$AC$110,0))/100)+$BA$15*('US Grid mix, emissions&amp;prices'!$AU$4+INDEX('Year data'!$B$57:$AC$107,MATCH($A116,'Year data'!$A$111:$A$161,0),MATCH('TCO Inputs'!$AZ$12+N$113-1,'Year data'!$B$110:$AC$110,0))/100))/(1+$AZ$41)^N$113</f>
        <v>611.84118674058516</v>
      </c>
      <c r="O116" s="106">
        <f>VLOOKUP($A116,'VKT US'!$B$63:$AA$113,(O$113+1),FALSE)/VLOOKUP($A116,'Fuel economy adjusted factor'!$A$2:$F$52,5,FALSE)/$AZ$84*($AZ$15*('US Grid mix, emissions&amp;prices'!$AU$3+INDEX('Year data'!$B$3:$AC$53,MATCH('TCO Inputs'!$A116,'Year data'!$A$111:$A$161,0),MATCH('TCO Inputs'!$AZ$12+O$113-1,'Year data'!$B$110:$AC$110,0))/100)+$BA$15*('US Grid mix, emissions&amp;prices'!$AU$4+INDEX('Year data'!$B$57:$AC$107,MATCH($A116,'Year data'!$A$111:$A$161,0),MATCH('TCO Inputs'!$AZ$12+O$113-1,'Year data'!$B$110:$AC$110,0))/100))/(1+$AZ$41)^O$113</f>
        <v>591.26982355082964</v>
      </c>
      <c r="P116" s="106">
        <f>VLOOKUP($A116,'VKT US'!$B$63:$AA$113,(P$113+1),FALSE)/VLOOKUP($A116,'Fuel economy adjusted factor'!$A$2:$F$52,5,FALSE)/$AZ$84*($AZ$15*('US Grid mix, emissions&amp;prices'!$AU$3+INDEX('Year data'!$B$3:$AC$53,MATCH('TCO Inputs'!$A116,'Year data'!$A$111:$A$161,0),MATCH('TCO Inputs'!$AZ$12+P$113-1,'Year data'!$B$110:$AC$110,0))/100)+$BA$15*('US Grid mix, emissions&amp;prices'!$AU$4+INDEX('Year data'!$B$57:$AC$107,MATCH($A116,'Year data'!$A$111:$A$161,0),MATCH('TCO Inputs'!$AZ$12+P$113-1,'Year data'!$B$110:$AC$110,0))/100))/(1+$AZ$41)^P$113</f>
        <v>572.24896848236392</v>
      </c>
      <c r="Q116" s="106">
        <f>VLOOKUP($A116,'VKT US'!$B$63:$AA$113,(Q$113+1),FALSE)/VLOOKUP($A116,'Fuel economy adjusted factor'!$A$2:$F$52,5,FALSE)/$AZ$84*($AZ$15*('US Grid mix, emissions&amp;prices'!$AU$3+INDEX('Year data'!$B$3:$AC$53,MATCH('TCO Inputs'!$A116,'Year data'!$A$111:$A$161,0),MATCH('TCO Inputs'!$AZ$12+Q$113-1,'Year data'!$B$110:$AC$110,0))/100)+$BA$15*('US Grid mix, emissions&amp;prices'!$AU$4+INDEX('Year data'!$B$57:$AC$107,MATCH($A116,'Year data'!$A$111:$A$161,0),MATCH('TCO Inputs'!$AZ$12+Q$113-1,'Year data'!$B$110:$AC$110,0))/100))/(1+$AZ$41)^Q$113</f>
        <v>555.55046287314349</v>
      </c>
      <c r="R116" s="106">
        <f>VLOOKUP($A116,'VKT US'!$B$63:$AA$113,(R$113+1),FALSE)/VLOOKUP($A116,'Fuel economy adjusted factor'!$A$2:$F$52,5,FALSE)/$AZ$84*($AZ$15*('US Grid mix, emissions&amp;prices'!$AU$3+INDEX('Year data'!$B$3:$AC$53,MATCH('TCO Inputs'!$A116,'Year data'!$A$111:$A$161,0),MATCH('TCO Inputs'!$AZ$12+R$113-1,'Year data'!$B$110:$AC$110,0))/100)+$BA$15*('US Grid mix, emissions&amp;prices'!$AU$4+INDEX('Year data'!$B$57:$AC$107,MATCH($A116,'Year data'!$A$111:$A$161,0),MATCH('TCO Inputs'!$AZ$12+R$113-1,'Year data'!$B$110:$AC$110,0))/100))/(1+$AZ$41)^R$113</f>
        <v>538.70551399806379</v>
      </c>
      <c r="S116" s="106">
        <f>VLOOKUP($A116,'VKT US'!$B$63:$AA$113,(S$113+1),FALSE)/VLOOKUP($A116,'Fuel economy adjusted factor'!$A$2:$F$52,5,FALSE)/$AZ$84*($AZ$15*('US Grid mix, emissions&amp;prices'!$AU$3+INDEX('Year data'!$B$3:$AC$53,MATCH('TCO Inputs'!$A116,'Year data'!$A$111:$A$161,0),MATCH('TCO Inputs'!$AZ$12+S$113-1,'Year data'!$B$110:$AC$110,0))/100)+$BA$15*('US Grid mix, emissions&amp;prices'!$AU$4+INDEX('Year data'!$B$57:$AC$107,MATCH($A116,'Year data'!$A$111:$A$161,0),MATCH('TCO Inputs'!$AZ$12+S$113-1,'Year data'!$B$110:$AC$110,0))/100))/(1+$AZ$41)^S$113</f>
        <v>522.90677953906811</v>
      </c>
      <c r="T116" s="106">
        <f>VLOOKUP($A116,'VKT US'!$B$63:$AA$113,(T$113+1),FALSE)/VLOOKUP($A116,'Fuel economy adjusted factor'!$A$2:$F$52,5,FALSE)/$AZ$84*($AZ$15*('US Grid mix, emissions&amp;prices'!$AU$3+INDEX('Year data'!$B$3:$AC$53,MATCH('TCO Inputs'!$A116,'Year data'!$A$111:$A$161,0),MATCH('TCO Inputs'!$AZ$12+T$113-1,'Year data'!$B$110:$AC$110,0))/100)+$BA$15*('US Grid mix, emissions&amp;prices'!$AU$4+INDEX('Year data'!$B$57:$AC$107,MATCH($A116,'Year data'!$A$111:$A$161,0),MATCH('TCO Inputs'!$AZ$12+T$113-1,'Year data'!$B$110:$AC$110,0))/100))/(1+$AZ$41)^T$113</f>
        <v>507.58504659269516</v>
      </c>
      <c r="U116" s="106">
        <f>VLOOKUP($A116,'VKT US'!$B$63:$AA$113,(U$113+1),FALSE)/VLOOKUP($A116,'Fuel economy adjusted factor'!$A$2:$F$52,5,FALSE)/$AZ$84*($AZ$15*('US Grid mix, emissions&amp;prices'!$AU$3+INDEX('Year data'!$B$3:$AC$53,MATCH('TCO Inputs'!$A116,'Year data'!$A$111:$A$161,0),MATCH('TCO Inputs'!$AZ$12+U$113-1,'Year data'!$B$110:$AC$110,0))/100)+$BA$15*('US Grid mix, emissions&amp;prices'!$AU$4+INDEX('Year data'!$B$57:$AC$107,MATCH($A116,'Year data'!$A$111:$A$161,0),MATCH('TCO Inputs'!$AZ$12+U$113-1,'Year data'!$B$110:$AC$110,0))/100))/(1+$AZ$41)^U$113</f>
        <v>492.55892181049137</v>
      </c>
      <c r="V116" s="110" cm="1">
        <f t="array" ref="V116">SUMPRODUCT(INDEX(B116:U116,,_xlfn.SEQUENCE($AZ$13)))</f>
        <v>10832.584538825424</v>
      </c>
      <c r="Y116" s="102" t="s">
        <v>189</v>
      </c>
      <c r="Z116" s="106">
        <f>VLOOKUP($A116,'VKT US'!$B$63:$AA$113,(Z$113+1),FALSE)/VLOOKUP($A116,'Fuel economy adjusted factor'!$A$2:$F$52,5,FALSE)/$AZ$84</f>
        <v>5360.4695500603384</v>
      </c>
      <c r="AA116" s="106">
        <f>VLOOKUP($A116,'VKT US'!$B$63:$AA$113,(AA$113+1),FALSE)/VLOOKUP($A116,'Fuel economy adjusted factor'!$A$2:$F$52,5,FALSE)/$AZ$84</f>
        <v>5201.0331181642323</v>
      </c>
      <c r="AB116" s="106">
        <f>VLOOKUP($A116,'VKT US'!$B$63:$AA$113,(AB$113+1),FALSE)/VLOOKUP($A116,'Fuel economy adjusted factor'!$A$2:$F$52,5,FALSE)/$AZ$84</f>
        <v>5046.6274474687316</v>
      </c>
      <c r="AC116" s="106">
        <f>VLOOKUP($A116,'VKT US'!$B$63:$AA$113,(AC$113+1),FALSE)/VLOOKUP($A116,'Fuel economy adjusted factor'!$A$2:$F$52,5,FALSE)/$AZ$84</f>
        <v>4897.6395196046524</v>
      </c>
      <c r="AD116" s="106">
        <f>VLOOKUP($A116,'VKT US'!$B$63:$AA$113,(AD$113+1),FALSE)/VLOOKUP($A116,'Fuel economy adjusted factor'!$A$2:$F$52,5,FALSE)/$AZ$84</f>
        <v>4753.6823529411777</v>
      </c>
      <c r="AE116" s="106">
        <f>VLOOKUP($A116,'VKT US'!$B$63:$AA$113,(AE$113+1),FALSE)/VLOOKUP($A116,'Fuel economy adjusted factor'!$A$2:$F$52,5,FALSE)/$AZ$84</f>
        <v>4615.5299107399405</v>
      </c>
      <c r="AF116" s="106">
        <f>VLOOKUP($A116,'VKT US'!$B$63:$AA$113,(AF$113+1),FALSE)/VLOOKUP($A116,'Fuel economy adjusted factor'!$A$2:$F$52,5,FALSE)/$AZ$84</f>
        <v>4482.0212481084927</v>
      </c>
      <c r="AG116" s="106">
        <f>VLOOKUP($A116,'VKT US'!$B$63:$AA$113,(AG$113+1),FALSE)/VLOOKUP($A116,'Fuel economy adjusted factor'!$A$2:$F$52,5,FALSE)/$AZ$84</f>
        <v>4353.9303283084655</v>
      </c>
      <c r="AH116" s="106">
        <f>VLOOKUP($A116,'VKT US'!$B$63:$AA$113,(AH$113+1),FALSE)/VLOOKUP($A116,'Fuel economy adjusted factor'!$A$2:$F$52,5,FALSE)/$AZ$84</f>
        <v>4231.2571513398598</v>
      </c>
      <c r="AI116" s="106">
        <f>VLOOKUP($A116,'VKT US'!$B$63:$AA$113,(AI$113+1),FALSE)/VLOOKUP($A116,'Fuel economy adjusted factor'!$A$2:$F$52,5,FALSE)/$AZ$84</f>
        <v>4114.0017172026746</v>
      </c>
      <c r="AJ116" s="106">
        <f>VLOOKUP($A116,'VKT US'!$B$63:$AA$113,(AJ$113+1),FALSE)/VLOOKUP($A116,'Fuel economy adjusted factor'!$A$2:$F$52,5,FALSE)/$AZ$84</f>
        <v>4001.7770442660958</v>
      </c>
      <c r="AK116" s="106">
        <f>VLOOKUP($A116,'VKT US'!$B$63:$AA$113,(AK$113+1),FALSE)/VLOOKUP($A116,'Fuel economy adjusted factor'!$A$2:$F$52,5,FALSE)/$AZ$84</f>
        <v>3894.9701141609376</v>
      </c>
      <c r="AL116" s="106">
        <f>VLOOKUP($A116,'VKT US'!$B$63:$AA$113,(AL$113+1),FALSE)/VLOOKUP($A116,'Fuel economy adjusted factor'!$A$2:$F$52,5,FALSE)/$AZ$84</f>
        <v>3793.1939452563847</v>
      </c>
      <c r="AM116" s="106">
        <f>VLOOKUP($A116,'VKT US'!$B$63:$AA$113,(AM$113+1),FALSE)/VLOOKUP($A116,'Fuel economy adjusted factor'!$A$2:$F$52,5,FALSE)/$AZ$84</f>
        <v>3696.8355191832525</v>
      </c>
      <c r="AN116" s="106">
        <f>VLOOKUP($A116,'VKT US'!$B$63:$AA$113,(AN$113+1),FALSE)/VLOOKUP($A116,'Fuel economy adjusted factor'!$A$2:$F$52,5,FALSE)/$AZ$84</f>
        <v>3605.5078543107256</v>
      </c>
      <c r="AO116" s="106">
        <f>VLOOKUP($A116,'VKT US'!$B$63:$AA$113,(AO$113+1),FALSE)/VLOOKUP($A116,'Fuel economy adjusted factor'!$A$2:$F$52,5,FALSE)/$AZ$84</f>
        <v>3519.9849139004359</v>
      </c>
      <c r="AP116" s="106">
        <f>VLOOKUP($A116,'VKT US'!$B$63:$AA$113,(AP$113+1),FALSE)/VLOOKUP($A116,'Fuel economy adjusted factor'!$A$2:$F$52,5,FALSE)/$AZ$84</f>
        <v>3439.1057530599351</v>
      </c>
      <c r="AQ116" s="106">
        <f>VLOOKUP($A116,'VKT US'!$B$63:$AA$113,(AQ$113+1),FALSE)/VLOOKUP($A116,'Fuel economy adjusted factor'!$A$2:$F$52,5,FALSE)/$AZ$84</f>
        <v>3364.0313166816718</v>
      </c>
      <c r="AR116" s="106">
        <f>VLOOKUP($A116,'VKT US'!$B$63:$AA$113,(AR$113+1),FALSE)/VLOOKUP($A116,'Fuel economy adjusted factor'!$A$2:$F$52,5,FALSE)/$AZ$84</f>
        <v>3293.6006598731979</v>
      </c>
      <c r="AS116" s="106">
        <f>VLOOKUP($A116,'VKT US'!$B$63:$AA$113,(AS$113+1),FALSE)/VLOOKUP($A116,'Fuel economy adjusted factor'!$A$2:$F$52,5,FALSE)/$AZ$84</f>
        <v>3228.974727526961</v>
      </c>
      <c r="AT116" s="110" cm="1">
        <f t="array" ref="AT116">SUMPRODUCT(INDEX(Z116:AS116,,_xlfn.SEQUENCE($AZ$13)))</f>
        <v>62442.968966805245</v>
      </c>
    </row>
    <row r="117" spans="1:46" x14ac:dyDescent="0.25">
      <c r="A117" s="102" t="s">
        <v>188</v>
      </c>
      <c r="B117" s="106">
        <f>VLOOKUP($A117,'VKT US'!$B$63:$AA$113,(B$113+1),FALSE)/VLOOKUP($A117,'Fuel economy adjusted factor'!$A$2:$F$52,5,FALSE)/$AZ$84*($AZ$15*('US Grid mix, emissions&amp;prices'!$AU$3+INDEX('Year data'!$B$3:$AC$53,MATCH('TCO Inputs'!$A117,'Year data'!$A$111:$A$161,0),MATCH('TCO Inputs'!$AZ$12+B$113-1,'Year data'!$B$110:$AC$110,0))/100)+$BA$15*('US Grid mix, emissions&amp;prices'!$AU$4+INDEX('Year data'!$B$57:$AC$107,MATCH($A117,'Year data'!$A$111:$A$161,0),MATCH('TCO Inputs'!$AZ$12+B$113-1,'Year data'!$B$110:$AC$110,0))/100))/(1+$AZ$41)^B$113</f>
        <v>1245.9977983396102</v>
      </c>
      <c r="C117" s="106">
        <f>VLOOKUP($A117,'VKT US'!$B$63:$AA$113,(C$113+1),FALSE)/VLOOKUP($A117,'Fuel economy adjusted factor'!$A$2:$F$52,5,FALSE)/$AZ$84*($AZ$15*('US Grid mix, emissions&amp;prices'!$AU$3+INDEX('Year data'!$B$3:$AC$53,MATCH('TCO Inputs'!$A117,'Year data'!$A$111:$A$161,0),MATCH('TCO Inputs'!$AZ$12+C$113-1,'Year data'!$B$110:$AC$110,0))/100)+$BA$15*('US Grid mix, emissions&amp;prices'!$AU$4+INDEX('Year data'!$B$57:$AC$107,MATCH($A117,'Year data'!$A$111:$A$161,0),MATCH('TCO Inputs'!$AZ$12+C$113-1,'Year data'!$B$110:$AC$110,0))/100))/(1+$AZ$41)^C$113</f>
        <v>1175.059198699475</v>
      </c>
      <c r="D117" s="106">
        <f>VLOOKUP($A117,'VKT US'!$B$63:$AA$113,(D$113+1),FALSE)/VLOOKUP($A117,'Fuel economy adjusted factor'!$A$2:$F$52,5,FALSE)/$AZ$84*($AZ$15*('US Grid mix, emissions&amp;prices'!$AU$3+INDEX('Year data'!$B$3:$AC$53,MATCH('TCO Inputs'!$A117,'Year data'!$A$111:$A$161,0),MATCH('TCO Inputs'!$AZ$12+D$113-1,'Year data'!$B$110:$AC$110,0))/100)+$BA$15*('US Grid mix, emissions&amp;prices'!$AU$4+INDEX('Year data'!$B$57:$AC$107,MATCH($A117,'Year data'!$A$111:$A$161,0),MATCH('TCO Inputs'!$AZ$12+D$113-1,'Year data'!$B$110:$AC$110,0))/100))/(1+$AZ$41)^D$113</f>
        <v>1103.9709421729424</v>
      </c>
      <c r="E117" s="106">
        <f>VLOOKUP($A117,'VKT US'!$B$63:$AA$113,(E$113+1),FALSE)/VLOOKUP($A117,'Fuel economy adjusted factor'!$A$2:$F$52,5,FALSE)/$AZ$84*($AZ$15*('US Grid mix, emissions&amp;prices'!$AU$3+INDEX('Year data'!$B$3:$AC$53,MATCH('TCO Inputs'!$A117,'Year data'!$A$111:$A$161,0),MATCH('TCO Inputs'!$AZ$12+E$113-1,'Year data'!$B$110:$AC$110,0))/100)+$BA$15*('US Grid mix, emissions&amp;prices'!$AU$4+INDEX('Year data'!$B$57:$AC$107,MATCH($A117,'Year data'!$A$111:$A$161,0),MATCH('TCO Inputs'!$AZ$12+E$113-1,'Year data'!$B$110:$AC$110,0))/100))/(1+$AZ$41)^E$113</f>
        <v>1046.1802482640874</v>
      </c>
      <c r="F117" s="106">
        <f>VLOOKUP($A117,'VKT US'!$B$63:$AA$113,(F$113+1),FALSE)/VLOOKUP($A117,'Fuel economy adjusted factor'!$A$2:$F$52,5,FALSE)/$AZ$84*($AZ$15*('US Grid mix, emissions&amp;prices'!$AU$3+INDEX('Year data'!$B$3:$AC$53,MATCH('TCO Inputs'!$A117,'Year data'!$A$111:$A$161,0),MATCH('TCO Inputs'!$AZ$12+F$113-1,'Year data'!$B$110:$AC$110,0))/100)+$BA$15*('US Grid mix, emissions&amp;prices'!$AU$4+INDEX('Year data'!$B$57:$AC$107,MATCH($A117,'Year data'!$A$111:$A$161,0),MATCH('TCO Inputs'!$AZ$12+F$113-1,'Year data'!$B$110:$AC$110,0))/100))/(1+$AZ$41)^F$113</f>
        <v>994.38634326307067</v>
      </c>
      <c r="G117" s="106">
        <f>VLOOKUP($A117,'VKT US'!$B$63:$AA$113,(G$113+1),FALSE)/VLOOKUP($A117,'Fuel economy adjusted factor'!$A$2:$F$52,5,FALSE)/$AZ$84*($AZ$15*('US Grid mix, emissions&amp;prices'!$AU$3+INDEX('Year data'!$B$3:$AC$53,MATCH('TCO Inputs'!$A117,'Year data'!$A$111:$A$161,0),MATCH('TCO Inputs'!$AZ$12+G$113-1,'Year data'!$B$110:$AC$110,0))/100)+$BA$15*('US Grid mix, emissions&amp;prices'!$AU$4+INDEX('Year data'!$B$57:$AC$107,MATCH($A117,'Year data'!$A$111:$A$161,0),MATCH('TCO Inputs'!$AZ$12+G$113-1,'Year data'!$B$110:$AC$110,0))/100))/(1+$AZ$41)^G$113</f>
        <v>947.81214131612307</v>
      </c>
      <c r="H117" s="106">
        <f>VLOOKUP($A117,'VKT US'!$B$63:$AA$113,(H$113+1),FALSE)/VLOOKUP($A117,'Fuel economy adjusted factor'!$A$2:$F$52,5,FALSE)/$AZ$84*($AZ$15*('US Grid mix, emissions&amp;prices'!$AU$3+INDEX('Year data'!$B$3:$AC$53,MATCH('TCO Inputs'!$A117,'Year data'!$A$111:$A$161,0),MATCH('TCO Inputs'!$AZ$12+H$113-1,'Year data'!$B$110:$AC$110,0))/100)+$BA$15*('US Grid mix, emissions&amp;prices'!$AU$4+INDEX('Year data'!$B$57:$AC$107,MATCH($A117,'Year data'!$A$111:$A$161,0),MATCH('TCO Inputs'!$AZ$12+H$113-1,'Year data'!$B$110:$AC$110,0))/100))/(1+$AZ$41)^H$113</f>
        <v>907.43220994652506</v>
      </c>
      <c r="I117" s="106">
        <f>VLOOKUP($A117,'VKT US'!$B$63:$AA$113,(I$113+1),FALSE)/VLOOKUP($A117,'Fuel economy adjusted factor'!$A$2:$F$52,5,FALSE)/$AZ$84*($AZ$15*('US Grid mix, emissions&amp;prices'!$AU$3+INDEX('Year data'!$B$3:$AC$53,MATCH('TCO Inputs'!$A117,'Year data'!$A$111:$A$161,0),MATCH('TCO Inputs'!$AZ$12+I$113-1,'Year data'!$B$110:$AC$110,0))/100)+$BA$15*('US Grid mix, emissions&amp;prices'!$AU$4+INDEX('Year data'!$B$57:$AC$107,MATCH($A117,'Year data'!$A$111:$A$161,0),MATCH('TCO Inputs'!$AZ$12+I$113-1,'Year data'!$B$110:$AC$110,0))/100))/(1+$AZ$41)^I$113</f>
        <v>871.96479825025449</v>
      </c>
      <c r="J117" s="106">
        <f>VLOOKUP($A117,'VKT US'!$B$63:$AA$113,(J$113+1),FALSE)/VLOOKUP($A117,'Fuel economy adjusted factor'!$A$2:$F$52,5,FALSE)/$AZ$84*($AZ$15*('US Grid mix, emissions&amp;prices'!$AU$3+INDEX('Year data'!$B$3:$AC$53,MATCH('TCO Inputs'!$A117,'Year data'!$A$111:$A$161,0),MATCH('TCO Inputs'!$AZ$12+J$113-1,'Year data'!$B$110:$AC$110,0))/100)+$BA$15*('US Grid mix, emissions&amp;prices'!$AU$4+INDEX('Year data'!$B$57:$AC$107,MATCH($A117,'Year data'!$A$111:$A$161,0),MATCH('TCO Inputs'!$AZ$12+J$113-1,'Year data'!$B$110:$AC$110,0))/100))/(1+$AZ$41)^J$113</f>
        <v>839.29465635288454</v>
      </c>
      <c r="K117" s="106">
        <f>VLOOKUP($A117,'VKT US'!$B$63:$AA$113,(K$113+1),FALSE)/VLOOKUP($A117,'Fuel economy adjusted factor'!$A$2:$F$52,5,FALSE)/$AZ$84*($AZ$15*('US Grid mix, emissions&amp;prices'!$AU$3+INDEX('Year data'!$B$3:$AC$53,MATCH('TCO Inputs'!$A117,'Year data'!$A$111:$A$161,0),MATCH('TCO Inputs'!$AZ$12+K$113-1,'Year data'!$B$110:$AC$110,0))/100)+$BA$15*('US Grid mix, emissions&amp;prices'!$AU$4+INDEX('Year data'!$B$57:$AC$107,MATCH($A117,'Year data'!$A$111:$A$161,0),MATCH('TCO Inputs'!$AZ$12+K$113-1,'Year data'!$B$110:$AC$110,0))/100))/(1+$AZ$41)^K$113</f>
        <v>808.01763249065357</v>
      </c>
      <c r="L117" s="106">
        <f>VLOOKUP($A117,'VKT US'!$B$63:$AA$113,(L$113+1),FALSE)/VLOOKUP($A117,'Fuel economy adjusted factor'!$A$2:$F$52,5,FALSE)/$AZ$84*($AZ$15*('US Grid mix, emissions&amp;prices'!$AU$3+INDEX('Year data'!$B$3:$AC$53,MATCH('TCO Inputs'!$A117,'Year data'!$A$111:$A$161,0),MATCH('TCO Inputs'!$AZ$12+L$113-1,'Year data'!$B$110:$AC$110,0))/100)+$BA$15*('US Grid mix, emissions&amp;prices'!$AU$4+INDEX('Year data'!$B$57:$AC$107,MATCH($A117,'Year data'!$A$111:$A$161,0),MATCH('TCO Inputs'!$AZ$12+L$113-1,'Year data'!$B$110:$AC$110,0))/100))/(1+$AZ$41)^L$113</f>
        <v>783.21052852733067</v>
      </c>
      <c r="M117" s="106">
        <f>VLOOKUP($A117,'VKT US'!$B$63:$AA$113,(M$113+1),FALSE)/VLOOKUP($A117,'Fuel economy adjusted factor'!$A$2:$F$52,5,FALSE)/$AZ$84*($AZ$15*('US Grid mix, emissions&amp;prices'!$AU$3+INDEX('Year data'!$B$3:$AC$53,MATCH('TCO Inputs'!$A117,'Year data'!$A$111:$A$161,0),MATCH('TCO Inputs'!$AZ$12+M$113-1,'Year data'!$B$110:$AC$110,0))/100)+$BA$15*('US Grid mix, emissions&amp;prices'!$AU$4+INDEX('Year data'!$B$57:$AC$107,MATCH($A117,'Year data'!$A$111:$A$161,0),MATCH('TCO Inputs'!$AZ$12+M$113-1,'Year data'!$B$110:$AC$110,0))/100))/(1+$AZ$41)^M$113</f>
        <v>757.99381326809271</v>
      </c>
      <c r="N117" s="106">
        <f>VLOOKUP($A117,'VKT US'!$B$63:$AA$113,(N$113+1),FALSE)/VLOOKUP($A117,'Fuel economy adjusted factor'!$A$2:$F$52,5,FALSE)/$AZ$84*($AZ$15*('US Grid mix, emissions&amp;prices'!$AU$3+INDEX('Year data'!$B$3:$AC$53,MATCH('TCO Inputs'!$A117,'Year data'!$A$111:$A$161,0),MATCH('TCO Inputs'!$AZ$12+N$113-1,'Year data'!$B$110:$AC$110,0))/100)+$BA$15*('US Grid mix, emissions&amp;prices'!$AU$4+INDEX('Year data'!$B$57:$AC$107,MATCH($A117,'Year data'!$A$111:$A$161,0),MATCH('TCO Inputs'!$AZ$12+N$113-1,'Year data'!$B$110:$AC$110,0))/100))/(1+$AZ$41)^N$113</f>
        <v>729.57106036771029</v>
      </c>
      <c r="O117" s="106">
        <f>VLOOKUP($A117,'VKT US'!$B$63:$AA$113,(O$113+1),FALSE)/VLOOKUP($A117,'Fuel economy adjusted factor'!$A$2:$F$52,5,FALSE)/$AZ$84*($AZ$15*('US Grid mix, emissions&amp;prices'!$AU$3+INDEX('Year data'!$B$3:$AC$53,MATCH('TCO Inputs'!$A117,'Year data'!$A$111:$A$161,0),MATCH('TCO Inputs'!$AZ$12+O$113-1,'Year data'!$B$110:$AC$110,0))/100)+$BA$15*('US Grid mix, emissions&amp;prices'!$AU$4+INDEX('Year data'!$B$57:$AC$107,MATCH($A117,'Year data'!$A$111:$A$161,0),MATCH('TCO Inputs'!$AZ$12+O$113-1,'Year data'!$B$110:$AC$110,0))/100))/(1+$AZ$41)^O$113</f>
        <v>704.91855602478211</v>
      </c>
      <c r="P117" s="106">
        <f>VLOOKUP($A117,'VKT US'!$B$63:$AA$113,(P$113+1),FALSE)/VLOOKUP($A117,'Fuel economy adjusted factor'!$A$2:$F$52,5,FALSE)/$AZ$84*($AZ$15*('US Grid mix, emissions&amp;prices'!$AU$3+INDEX('Year data'!$B$3:$AC$53,MATCH('TCO Inputs'!$A117,'Year data'!$A$111:$A$161,0),MATCH('TCO Inputs'!$AZ$12+P$113-1,'Year data'!$B$110:$AC$110,0))/100)+$BA$15*('US Grid mix, emissions&amp;prices'!$AU$4+INDEX('Year data'!$B$57:$AC$107,MATCH($A117,'Year data'!$A$111:$A$161,0),MATCH('TCO Inputs'!$AZ$12+P$113-1,'Year data'!$B$110:$AC$110,0))/100))/(1+$AZ$41)^P$113</f>
        <v>682.09678861560883</v>
      </c>
      <c r="Q117" s="106">
        <f>VLOOKUP($A117,'VKT US'!$B$63:$AA$113,(Q$113+1),FALSE)/VLOOKUP($A117,'Fuel economy adjusted factor'!$A$2:$F$52,5,FALSE)/$AZ$84*($AZ$15*('US Grid mix, emissions&amp;prices'!$AU$3+INDEX('Year data'!$B$3:$AC$53,MATCH('TCO Inputs'!$A117,'Year data'!$A$111:$A$161,0),MATCH('TCO Inputs'!$AZ$12+Q$113-1,'Year data'!$B$110:$AC$110,0))/100)+$BA$15*('US Grid mix, emissions&amp;prices'!$AU$4+INDEX('Year data'!$B$57:$AC$107,MATCH($A117,'Year data'!$A$111:$A$161,0),MATCH('TCO Inputs'!$AZ$12+Q$113-1,'Year data'!$B$110:$AC$110,0))/100))/(1+$AZ$41)^Q$113</f>
        <v>661.98011345837585</v>
      </c>
      <c r="R117" s="106">
        <f>VLOOKUP($A117,'VKT US'!$B$63:$AA$113,(R$113+1),FALSE)/VLOOKUP($A117,'Fuel economy adjusted factor'!$A$2:$F$52,5,FALSE)/$AZ$84*($AZ$15*('US Grid mix, emissions&amp;prices'!$AU$3+INDEX('Year data'!$B$3:$AC$53,MATCH('TCO Inputs'!$A117,'Year data'!$A$111:$A$161,0),MATCH('TCO Inputs'!$AZ$12+R$113-1,'Year data'!$B$110:$AC$110,0))/100)+$BA$15*('US Grid mix, emissions&amp;prices'!$AU$4+INDEX('Year data'!$B$57:$AC$107,MATCH($A117,'Year data'!$A$111:$A$161,0),MATCH('TCO Inputs'!$AZ$12+R$113-1,'Year data'!$B$110:$AC$110,0))/100))/(1+$AZ$41)^R$113</f>
        <v>641.76626240976861</v>
      </c>
      <c r="S117" s="106">
        <f>VLOOKUP($A117,'VKT US'!$B$63:$AA$113,(S$113+1),FALSE)/VLOOKUP($A117,'Fuel economy adjusted factor'!$A$2:$F$52,5,FALSE)/$AZ$84*($AZ$15*('US Grid mix, emissions&amp;prices'!$AU$3+INDEX('Year data'!$B$3:$AC$53,MATCH('TCO Inputs'!$A117,'Year data'!$A$111:$A$161,0),MATCH('TCO Inputs'!$AZ$12+S$113-1,'Year data'!$B$110:$AC$110,0))/100)+$BA$15*('US Grid mix, emissions&amp;prices'!$AU$4+INDEX('Year data'!$B$57:$AC$107,MATCH($A117,'Year data'!$A$111:$A$161,0),MATCH('TCO Inputs'!$AZ$12+S$113-1,'Year data'!$B$110:$AC$110,0))/100))/(1+$AZ$41)^S$113</f>
        <v>622.81382646055044</v>
      </c>
      <c r="T117" s="106">
        <f>VLOOKUP($A117,'VKT US'!$B$63:$AA$113,(T$113+1),FALSE)/VLOOKUP($A117,'Fuel economy adjusted factor'!$A$2:$F$52,5,FALSE)/$AZ$84*($AZ$15*('US Grid mix, emissions&amp;prices'!$AU$3+INDEX('Year data'!$B$3:$AC$53,MATCH('TCO Inputs'!$A117,'Year data'!$A$111:$A$161,0),MATCH('TCO Inputs'!$AZ$12+T$113-1,'Year data'!$B$110:$AC$110,0))/100)+$BA$15*('US Grid mix, emissions&amp;prices'!$AU$4+INDEX('Year data'!$B$57:$AC$107,MATCH($A117,'Year data'!$A$111:$A$161,0),MATCH('TCO Inputs'!$AZ$12+T$113-1,'Year data'!$B$110:$AC$110,0))/100))/(1+$AZ$41)^T$113</f>
        <v>604.46451469535691</v>
      </c>
      <c r="U117" s="106">
        <f>VLOOKUP($A117,'VKT US'!$B$63:$AA$113,(U$113+1),FALSE)/VLOOKUP($A117,'Fuel economy adjusted factor'!$A$2:$F$52,5,FALSE)/$AZ$84*($AZ$15*('US Grid mix, emissions&amp;prices'!$AU$3+INDEX('Year data'!$B$3:$AC$53,MATCH('TCO Inputs'!$A117,'Year data'!$A$111:$A$161,0),MATCH('TCO Inputs'!$AZ$12+U$113-1,'Year data'!$B$110:$AC$110,0))/100)+$BA$15*('US Grid mix, emissions&amp;prices'!$AU$4+INDEX('Year data'!$B$57:$AC$107,MATCH($A117,'Year data'!$A$111:$A$161,0),MATCH('TCO Inputs'!$AZ$12+U$113-1,'Year data'!$B$110:$AC$110,0))/100))/(1+$AZ$41)^U$113</f>
        <v>586.52301310931136</v>
      </c>
      <c r="V117" s="110" cm="1">
        <f t="array" ref="V117">SUMPRODUCT(INDEX(B117:U117,,_xlfn.SEQUENCE($AZ$13)))</f>
        <v>12915.809927283542</v>
      </c>
      <c r="Y117" s="102" t="s">
        <v>188</v>
      </c>
      <c r="Z117" s="106">
        <f>VLOOKUP($A117,'VKT US'!$B$63:$AA$113,(Z$113+1),FALSE)/VLOOKUP($A117,'Fuel economy adjusted factor'!$A$2:$F$52,5,FALSE)/$AZ$84</f>
        <v>6969.2558609813295</v>
      </c>
      <c r="AA117" s="106">
        <f>VLOOKUP($A117,'VKT US'!$B$63:$AA$113,(AA$113+1),FALSE)/VLOOKUP($A117,'Fuel economy adjusted factor'!$A$2:$F$52,5,FALSE)/$AZ$84</f>
        <v>6761.9693020205768</v>
      </c>
      <c r="AB117" s="106">
        <f>VLOOKUP($A117,'VKT US'!$B$63:$AA$113,(AB$113+1),FALSE)/VLOOKUP($A117,'Fuel economy adjusted factor'!$A$2:$F$52,5,FALSE)/$AZ$84</f>
        <v>6561.2233383668417</v>
      </c>
      <c r="AC117" s="106">
        <f>VLOOKUP($A117,'VKT US'!$B$63:$AA$113,(AC$113+1),FALSE)/VLOOKUP($A117,'Fuel economy adjusted factor'!$A$2:$F$52,5,FALSE)/$AZ$84</f>
        <v>6367.5210927360449</v>
      </c>
      <c r="AD117" s="106">
        <f>VLOOKUP($A117,'VKT US'!$B$63:$AA$113,(AD$113+1),FALSE)/VLOOKUP($A117,'Fuel economy adjusted factor'!$A$2:$F$52,5,FALSE)/$AZ$84</f>
        <v>6180.3594424122593</v>
      </c>
      <c r="AE117" s="106">
        <f>VLOOKUP($A117,'VKT US'!$B$63:$AA$113,(AE$113+1),FALSE)/VLOOKUP($A117,'Fuel economy adjusted factor'!$A$2:$F$52,5,FALSE)/$AZ$84</f>
        <v>6000.744632827339</v>
      </c>
      <c r="AF117" s="106">
        <f>VLOOKUP($A117,'VKT US'!$B$63:$AA$113,(AF$113+1),FALSE)/VLOOKUP($A117,'Fuel economy adjusted factor'!$A$2:$F$52,5,FALSE)/$AZ$84</f>
        <v>5827.1672958335075</v>
      </c>
      <c r="AG117" s="106">
        <f>VLOOKUP($A117,'VKT US'!$B$63:$AA$113,(AG$113+1),FALSE)/VLOOKUP($A117,'Fuel economy adjusted factor'!$A$2:$F$52,5,FALSE)/$AZ$84</f>
        <v>5660.6336768626124</v>
      </c>
      <c r="AH117" s="106">
        <f>VLOOKUP($A117,'VKT US'!$B$63:$AA$113,(AH$113+1),FALSE)/VLOOKUP($A117,'Fuel economy adjusted factor'!$A$2:$F$52,5,FALSE)/$AZ$84</f>
        <v>5501.1437759146565</v>
      </c>
      <c r="AI117" s="106">
        <f>VLOOKUP($A117,'VKT US'!$B$63:$AA$113,(AI$113+1),FALSE)/VLOOKUP($A117,'Fuel economy adjusted factor'!$A$2:$F$52,5,FALSE)/$AZ$84</f>
        <v>5348.6975929896407</v>
      </c>
      <c r="AJ117" s="106">
        <f>VLOOKUP($A117,'VKT US'!$B$63:$AA$113,(AJ$113+1),FALSE)/VLOOKUP($A117,'Fuel economy adjusted factor'!$A$2:$F$52,5,FALSE)/$AZ$84</f>
        <v>5202.7920053716362</v>
      </c>
      <c r="AK117" s="106">
        <f>VLOOKUP($A117,'VKT US'!$B$63:$AA$113,(AK$113+1),FALSE)/VLOOKUP($A117,'Fuel economy adjusted factor'!$A$2:$F$52,5,FALSE)/$AZ$84</f>
        <v>5063.9301357765708</v>
      </c>
      <c r="AL117" s="106">
        <f>VLOOKUP($A117,'VKT US'!$B$63:$AA$113,(AL$113+1),FALSE)/VLOOKUP($A117,'Fuel economy adjusted factor'!$A$2:$F$52,5,FALSE)/$AZ$84</f>
        <v>4931.6088614885193</v>
      </c>
      <c r="AM117" s="106">
        <f>VLOOKUP($A117,'VKT US'!$B$63:$AA$113,(AM$113+1),FALSE)/VLOOKUP($A117,'Fuel economy adjusted factor'!$A$2:$F$52,5,FALSE)/$AZ$84</f>
        <v>4806.3313052234062</v>
      </c>
      <c r="AN117" s="106">
        <f>VLOOKUP($A117,'VKT US'!$B$63:$AA$113,(AN$113+1),FALSE)/VLOOKUP($A117,'Fuel economy adjusted factor'!$A$2:$F$52,5,FALSE)/$AZ$84</f>
        <v>4687.5943442653061</v>
      </c>
      <c r="AO117" s="106">
        <f>VLOOKUP($A117,'VKT US'!$B$63:$AA$113,(AO$113+1),FALSE)/VLOOKUP($A117,'Fuel economy adjusted factor'!$A$2:$F$52,5,FALSE)/$AZ$84</f>
        <v>4576.4042240460685</v>
      </c>
      <c r="AP117" s="106">
        <f>VLOOKUP($A117,'VKT US'!$B$63:$AA$113,(AP$113+1),FALSE)/VLOOKUP($A117,'Fuel economy adjusted factor'!$A$2:$F$52,5,FALSE)/$AZ$84</f>
        <v>4471.2515764179216</v>
      </c>
      <c r="AQ117" s="106">
        <f>VLOOKUP($A117,'VKT US'!$B$63:$AA$113,(AQ$113+1),FALSE)/VLOOKUP($A117,'Fuel economy adjusted factor'!$A$2:$F$52,5,FALSE)/$AZ$84</f>
        <v>4373.6457695286363</v>
      </c>
      <c r="AR117" s="106">
        <f>VLOOKUP($A117,'VKT US'!$B$63:$AA$113,(AR$113+1),FALSE)/VLOOKUP($A117,'Fuel economy adjusted factor'!$A$2:$F$52,5,FALSE)/$AZ$84</f>
        <v>4282.0774352304416</v>
      </c>
      <c r="AS117" s="106">
        <f>VLOOKUP($A117,'VKT US'!$B$63:$AA$113,(AS$113+1),FALSE)/VLOOKUP($A117,'Fuel economy adjusted factor'!$A$2:$F$52,5,FALSE)/$AZ$84</f>
        <v>4198.0559416711085</v>
      </c>
      <c r="AT117" s="110" cm="1">
        <f t="array" ref="AT117">SUMPRODUCT(INDEX(Z117:AS117,,_xlfn.SEQUENCE($AZ$13)))</f>
        <v>81183.378318804942</v>
      </c>
    </row>
    <row r="118" spans="1:46" x14ac:dyDescent="0.25">
      <c r="A118" s="102" t="s">
        <v>149</v>
      </c>
      <c r="B118" s="106">
        <f>VLOOKUP($A118,'VKT US'!$B$63:$AA$113,(B$113+1),FALSE)/VLOOKUP($A118,'Fuel economy adjusted factor'!$A$2:$F$52,5,FALSE)/$AZ$84*($AZ$15*('US Grid mix, emissions&amp;prices'!$AU$3+INDEX('Year data'!$B$3:$AC$53,MATCH('TCO Inputs'!$A118,'Year data'!$A$111:$A$161,0),MATCH('TCO Inputs'!$AZ$12+B$113-1,'Year data'!$B$110:$AC$110,0))/100)+$BA$15*('US Grid mix, emissions&amp;prices'!$AU$4+INDEX('Year data'!$B$57:$AC$107,MATCH($A118,'Year data'!$A$111:$A$161,0),MATCH('TCO Inputs'!$AZ$12+B$113-1,'Year data'!$B$110:$AC$110,0))/100))/(1+$AZ$41)^B$113</f>
        <v>1609.5400755342434</v>
      </c>
      <c r="C118" s="106">
        <f>VLOOKUP($A118,'VKT US'!$B$63:$AA$113,(C$113+1),FALSE)/VLOOKUP($A118,'Fuel economy adjusted factor'!$A$2:$F$52,5,FALSE)/$AZ$84*($AZ$15*('US Grid mix, emissions&amp;prices'!$AU$3+INDEX('Year data'!$B$3:$AC$53,MATCH('TCO Inputs'!$A118,'Year data'!$A$111:$A$161,0),MATCH('TCO Inputs'!$AZ$12+C$113-1,'Year data'!$B$110:$AC$110,0))/100)+$BA$15*('US Grid mix, emissions&amp;prices'!$AU$4+INDEX('Year data'!$B$57:$AC$107,MATCH($A118,'Year data'!$A$111:$A$161,0),MATCH('TCO Inputs'!$AZ$12+C$113-1,'Year data'!$B$110:$AC$110,0))/100))/(1+$AZ$41)^C$113</f>
        <v>1512.1035941195219</v>
      </c>
      <c r="D118" s="106">
        <f>VLOOKUP($A118,'VKT US'!$B$63:$AA$113,(D$113+1),FALSE)/VLOOKUP($A118,'Fuel economy adjusted factor'!$A$2:$F$52,5,FALSE)/$AZ$84*($AZ$15*('US Grid mix, emissions&amp;prices'!$AU$3+INDEX('Year data'!$B$3:$AC$53,MATCH('TCO Inputs'!$A118,'Year data'!$A$111:$A$161,0),MATCH('TCO Inputs'!$AZ$12+D$113-1,'Year data'!$B$110:$AC$110,0))/100)+$BA$15*('US Grid mix, emissions&amp;prices'!$AU$4+INDEX('Year data'!$B$57:$AC$107,MATCH($A118,'Year data'!$A$111:$A$161,0),MATCH('TCO Inputs'!$AZ$12+D$113-1,'Year data'!$B$110:$AC$110,0))/100))/(1+$AZ$41)^D$113</f>
        <v>1413.1255600739159</v>
      </c>
      <c r="E118" s="106">
        <f>VLOOKUP($A118,'VKT US'!$B$63:$AA$113,(E$113+1),FALSE)/VLOOKUP($A118,'Fuel economy adjusted factor'!$A$2:$F$52,5,FALSE)/$AZ$84*($AZ$15*('US Grid mix, emissions&amp;prices'!$AU$3+INDEX('Year data'!$B$3:$AC$53,MATCH('TCO Inputs'!$A118,'Year data'!$A$111:$A$161,0),MATCH('TCO Inputs'!$AZ$12+E$113-1,'Year data'!$B$110:$AC$110,0))/100)+$BA$15*('US Grid mix, emissions&amp;prices'!$AU$4+INDEX('Year data'!$B$57:$AC$107,MATCH($A118,'Year data'!$A$111:$A$161,0),MATCH('TCO Inputs'!$AZ$12+E$113-1,'Year data'!$B$110:$AC$110,0))/100))/(1+$AZ$41)^E$113</f>
        <v>1334.8965214478342</v>
      </c>
      <c r="F118" s="106">
        <f>VLOOKUP($A118,'VKT US'!$B$63:$AA$113,(F$113+1),FALSE)/VLOOKUP($A118,'Fuel economy adjusted factor'!$A$2:$F$52,5,FALSE)/$AZ$84*($AZ$15*('US Grid mix, emissions&amp;prices'!$AU$3+INDEX('Year data'!$B$3:$AC$53,MATCH('TCO Inputs'!$A118,'Year data'!$A$111:$A$161,0),MATCH('TCO Inputs'!$AZ$12+F$113-1,'Year data'!$B$110:$AC$110,0))/100)+$BA$15*('US Grid mix, emissions&amp;prices'!$AU$4+INDEX('Year data'!$B$57:$AC$107,MATCH($A118,'Year data'!$A$111:$A$161,0),MATCH('TCO Inputs'!$AZ$12+F$113-1,'Year data'!$B$110:$AC$110,0))/100))/(1+$AZ$41)^F$113</f>
        <v>1265.6764990243018</v>
      </c>
      <c r="G118" s="106">
        <f>VLOOKUP($A118,'VKT US'!$B$63:$AA$113,(G$113+1),FALSE)/VLOOKUP($A118,'Fuel economy adjusted factor'!$A$2:$F$52,5,FALSE)/$AZ$84*($AZ$15*('US Grid mix, emissions&amp;prices'!$AU$3+INDEX('Year data'!$B$3:$AC$53,MATCH('TCO Inputs'!$A118,'Year data'!$A$111:$A$161,0),MATCH('TCO Inputs'!$AZ$12+G$113-1,'Year data'!$B$110:$AC$110,0))/100)+$BA$15*('US Grid mix, emissions&amp;prices'!$AU$4+INDEX('Year data'!$B$57:$AC$107,MATCH($A118,'Year data'!$A$111:$A$161,0),MATCH('TCO Inputs'!$AZ$12+G$113-1,'Year data'!$B$110:$AC$110,0))/100))/(1+$AZ$41)^G$113</f>
        <v>1204.3088129273347</v>
      </c>
      <c r="H118" s="106">
        <f>VLOOKUP($A118,'VKT US'!$B$63:$AA$113,(H$113+1),FALSE)/VLOOKUP($A118,'Fuel economy adjusted factor'!$A$2:$F$52,5,FALSE)/$AZ$84*($AZ$15*('US Grid mix, emissions&amp;prices'!$AU$3+INDEX('Year data'!$B$3:$AC$53,MATCH('TCO Inputs'!$A118,'Year data'!$A$111:$A$161,0),MATCH('TCO Inputs'!$AZ$12+H$113-1,'Year data'!$B$110:$AC$110,0))/100)+$BA$15*('US Grid mix, emissions&amp;prices'!$AU$4+INDEX('Year data'!$B$57:$AC$107,MATCH($A118,'Year data'!$A$111:$A$161,0),MATCH('TCO Inputs'!$AZ$12+H$113-1,'Year data'!$B$110:$AC$110,0))/100))/(1+$AZ$41)^H$113</f>
        <v>1152.4066290389644</v>
      </c>
      <c r="I118" s="106">
        <f>VLOOKUP($A118,'VKT US'!$B$63:$AA$113,(I$113+1),FALSE)/VLOOKUP($A118,'Fuel economy adjusted factor'!$A$2:$F$52,5,FALSE)/$AZ$84*($AZ$15*('US Grid mix, emissions&amp;prices'!$AU$3+INDEX('Year data'!$B$3:$AC$53,MATCH('TCO Inputs'!$A118,'Year data'!$A$111:$A$161,0),MATCH('TCO Inputs'!$AZ$12+I$113-1,'Year data'!$B$110:$AC$110,0))/100)+$BA$15*('US Grid mix, emissions&amp;prices'!$AU$4+INDEX('Year data'!$B$57:$AC$107,MATCH($A118,'Year data'!$A$111:$A$161,0),MATCH('TCO Inputs'!$AZ$12+I$113-1,'Year data'!$B$110:$AC$110,0))/100))/(1+$AZ$41)^I$113</f>
        <v>1107.8239001602828</v>
      </c>
      <c r="J118" s="106">
        <f>VLOOKUP($A118,'VKT US'!$B$63:$AA$113,(J$113+1),FALSE)/VLOOKUP($A118,'Fuel economy adjusted factor'!$A$2:$F$52,5,FALSE)/$AZ$84*($AZ$15*('US Grid mix, emissions&amp;prices'!$AU$3+INDEX('Year data'!$B$3:$AC$53,MATCH('TCO Inputs'!$A118,'Year data'!$A$111:$A$161,0),MATCH('TCO Inputs'!$AZ$12+J$113-1,'Year data'!$B$110:$AC$110,0))/100)+$BA$15*('US Grid mix, emissions&amp;prices'!$AU$4+INDEX('Year data'!$B$57:$AC$107,MATCH($A118,'Year data'!$A$111:$A$161,0),MATCH('TCO Inputs'!$AZ$12+J$113-1,'Year data'!$B$110:$AC$110,0))/100))/(1+$AZ$41)^J$113</f>
        <v>1067.2107657631454</v>
      </c>
      <c r="K118" s="106">
        <f>VLOOKUP($A118,'VKT US'!$B$63:$AA$113,(K$113+1),FALSE)/VLOOKUP($A118,'Fuel economy adjusted factor'!$A$2:$F$52,5,FALSE)/$AZ$84*($AZ$15*('US Grid mix, emissions&amp;prices'!$AU$3+INDEX('Year data'!$B$3:$AC$53,MATCH('TCO Inputs'!$A118,'Year data'!$A$111:$A$161,0),MATCH('TCO Inputs'!$AZ$12+K$113-1,'Year data'!$B$110:$AC$110,0))/100)+$BA$15*('US Grid mix, emissions&amp;prices'!$AU$4+INDEX('Year data'!$B$57:$AC$107,MATCH($A118,'Year data'!$A$111:$A$161,0),MATCH('TCO Inputs'!$AZ$12+K$113-1,'Year data'!$B$110:$AC$110,0))/100))/(1+$AZ$41)^K$113</f>
        <v>1028.2190767842176</v>
      </c>
      <c r="L118" s="106">
        <f>VLOOKUP($A118,'VKT US'!$B$63:$AA$113,(L$113+1),FALSE)/VLOOKUP($A118,'Fuel economy adjusted factor'!$A$2:$F$52,5,FALSE)/$AZ$84*($AZ$15*('US Grid mix, emissions&amp;prices'!$AU$3+INDEX('Year data'!$B$3:$AC$53,MATCH('TCO Inputs'!$A118,'Year data'!$A$111:$A$161,0),MATCH('TCO Inputs'!$AZ$12+L$113-1,'Year data'!$B$110:$AC$110,0))/100)+$BA$15*('US Grid mix, emissions&amp;prices'!$AU$4+INDEX('Year data'!$B$57:$AC$107,MATCH($A118,'Year data'!$A$111:$A$161,0),MATCH('TCO Inputs'!$AZ$12+L$113-1,'Year data'!$B$110:$AC$110,0))/100))/(1+$AZ$41)^L$113</f>
        <v>999.18613015150606</v>
      </c>
      <c r="M118" s="106">
        <f>VLOOKUP($A118,'VKT US'!$B$63:$AA$113,(M$113+1),FALSE)/VLOOKUP($A118,'Fuel economy adjusted factor'!$A$2:$F$52,5,FALSE)/$AZ$84*($AZ$15*('US Grid mix, emissions&amp;prices'!$AU$3+INDEX('Year data'!$B$3:$AC$53,MATCH('TCO Inputs'!$A118,'Year data'!$A$111:$A$161,0),MATCH('TCO Inputs'!$AZ$12+M$113-1,'Year data'!$B$110:$AC$110,0))/100)+$BA$15*('US Grid mix, emissions&amp;prices'!$AU$4+INDEX('Year data'!$B$57:$AC$107,MATCH($A118,'Year data'!$A$111:$A$161,0),MATCH('TCO Inputs'!$AZ$12+M$113-1,'Year data'!$B$110:$AC$110,0))/100))/(1+$AZ$41)^M$113</f>
        <v>968.86181748753063</v>
      </c>
      <c r="N118" s="106">
        <f>VLOOKUP($A118,'VKT US'!$B$63:$AA$113,(N$113+1),FALSE)/VLOOKUP($A118,'Fuel economy adjusted factor'!$A$2:$F$52,5,FALSE)/$AZ$84*($AZ$15*('US Grid mix, emissions&amp;prices'!$AU$3+INDEX('Year data'!$B$3:$AC$53,MATCH('TCO Inputs'!$A118,'Year data'!$A$111:$A$161,0),MATCH('TCO Inputs'!$AZ$12+N$113-1,'Year data'!$B$110:$AC$110,0))/100)+$BA$15*('US Grid mix, emissions&amp;prices'!$AU$4+INDEX('Year data'!$B$57:$AC$107,MATCH($A118,'Year data'!$A$111:$A$161,0),MATCH('TCO Inputs'!$AZ$12+N$113-1,'Year data'!$B$110:$AC$110,0))/100))/(1+$AZ$41)^N$113</f>
        <v>932.67010128111349</v>
      </c>
      <c r="O118" s="106">
        <f>VLOOKUP($A118,'VKT US'!$B$63:$AA$113,(O$113+1),FALSE)/VLOOKUP($A118,'Fuel economy adjusted factor'!$A$2:$F$52,5,FALSE)/$AZ$84*($AZ$15*('US Grid mix, emissions&amp;prices'!$AU$3+INDEX('Year data'!$B$3:$AC$53,MATCH('TCO Inputs'!$A118,'Year data'!$A$111:$A$161,0),MATCH('TCO Inputs'!$AZ$12+O$113-1,'Year data'!$B$110:$AC$110,0))/100)+$BA$15*('US Grid mix, emissions&amp;prices'!$AU$4+INDEX('Year data'!$B$57:$AC$107,MATCH($A118,'Year data'!$A$111:$A$161,0),MATCH('TCO Inputs'!$AZ$12+O$113-1,'Year data'!$B$110:$AC$110,0))/100))/(1+$AZ$41)^O$113</f>
        <v>902.07790224004054</v>
      </c>
      <c r="P118" s="106">
        <f>VLOOKUP($A118,'VKT US'!$B$63:$AA$113,(P$113+1),FALSE)/VLOOKUP($A118,'Fuel economy adjusted factor'!$A$2:$F$52,5,FALSE)/$AZ$84*($AZ$15*('US Grid mix, emissions&amp;prices'!$AU$3+INDEX('Year data'!$B$3:$AC$53,MATCH('TCO Inputs'!$A118,'Year data'!$A$111:$A$161,0),MATCH('TCO Inputs'!$AZ$12+P$113-1,'Year data'!$B$110:$AC$110,0))/100)+$BA$15*('US Grid mix, emissions&amp;prices'!$AU$4+INDEX('Year data'!$B$57:$AC$107,MATCH($A118,'Year data'!$A$111:$A$161,0),MATCH('TCO Inputs'!$AZ$12+P$113-1,'Year data'!$B$110:$AC$110,0))/100))/(1+$AZ$41)^P$113</f>
        <v>873.97260168179878</v>
      </c>
      <c r="Q118" s="106">
        <f>VLOOKUP($A118,'VKT US'!$B$63:$AA$113,(Q$113+1),FALSE)/VLOOKUP($A118,'Fuel economy adjusted factor'!$A$2:$F$52,5,FALSE)/$AZ$84*($AZ$15*('US Grid mix, emissions&amp;prices'!$AU$3+INDEX('Year data'!$B$3:$AC$53,MATCH('TCO Inputs'!$A118,'Year data'!$A$111:$A$161,0),MATCH('TCO Inputs'!$AZ$12+Q$113-1,'Year data'!$B$110:$AC$110,0))/100)+$BA$15*('US Grid mix, emissions&amp;prices'!$AU$4+INDEX('Year data'!$B$57:$AC$107,MATCH($A118,'Year data'!$A$111:$A$161,0),MATCH('TCO Inputs'!$AZ$12+Q$113-1,'Year data'!$B$110:$AC$110,0))/100))/(1+$AZ$41)^Q$113</f>
        <v>849.69753349694258</v>
      </c>
      <c r="R118" s="106">
        <f>VLOOKUP($A118,'VKT US'!$B$63:$AA$113,(R$113+1),FALSE)/VLOOKUP($A118,'Fuel economy adjusted factor'!$A$2:$F$52,5,FALSE)/$AZ$84*($AZ$15*('US Grid mix, emissions&amp;prices'!$AU$3+INDEX('Year data'!$B$3:$AC$53,MATCH('TCO Inputs'!$A118,'Year data'!$A$111:$A$161,0),MATCH('TCO Inputs'!$AZ$12+R$113-1,'Year data'!$B$110:$AC$110,0))/100)+$BA$15*('US Grid mix, emissions&amp;prices'!$AU$4+INDEX('Year data'!$B$57:$AC$107,MATCH($A118,'Year data'!$A$111:$A$161,0),MATCH('TCO Inputs'!$AZ$12+R$113-1,'Year data'!$B$110:$AC$110,0))/100))/(1+$AZ$41)^R$113</f>
        <v>824.76486435797699</v>
      </c>
      <c r="S118" s="106">
        <f>VLOOKUP($A118,'VKT US'!$B$63:$AA$113,(S$113+1),FALSE)/VLOOKUP($A118,'Fuel economy adjusted factor'!$A$2:$F$52,5,FALSE)/$AZ$84*($AZ$15*('US Grid mix, emissions&amp;prices'!$AU$3+INDEX('Year data'!$B$3:$AC$53,MATCH('TCO Inputs'!$A118,'Year data'!$A$111:$A$161,0),MATCH('TCO Inputs'!$AZ$12+S$113-1,'Year data'!$B$110:$AC$110,0))/100)+$BA$15*('US Grid mix, emissions&amp;prices'!$AU$4+INDEX('Year data'!$B$57:$AC$107,MATCH($A118,'Year data'!$A$111:$A$161,0),MATCH('TCO Inputs'!$AZ$12+S$113-1,'Year data'!$B$110:$AC$110,0))/100))/(1+$AZ$41)^S$113</f>
        <v>801.37599344548073</v>
      </c>
      <c r="T118" s="106">
        <f>VLOOKUP($A118,'VKT US'!$B$63:$AA$113,(T$113+1),FALSE)/VLOOKUP($A118,'Fuel economy adjusted factor'!$A$2:$F$52,5,FALSE)/$AZ$84*($AZ$15*('US Grid mix, emissions&amp;prices'!$AU$3+INDEX('Year data'!$B$3:$AC$53,MATCH('TCO Inputs'!$A118,'Year data'!$A$111:$A$161,0),MATCH('TCO Inputs'!$AZ$12+T$113-1,'Year data'!$B$110:$AC$110,0))/100)+$BA$15*('US Grid mix, emissions&amp;prices'!$AU$4+INDEX('Year data'!$B$57:$AC$107,MATCH($A118,'Year data'!$A$111:$A$161,0),MATCH('TCO Inputs'!$AZ$12+T$113-1,'Year data'!$B$110:$AC$110,0))/100))/(1+$AZ$41)^T$113</f>
        <v>778.50883916949329</v>
      </c>
      <c r="U118" s="106">
        <f>VLOOKUP($A118,'VKT US'!$B$63:$AA$113,(U$113+1),FALSE)/VLOOKUP($A118,'Fuel economy adjusted factor'!$A$2:$F$52,5,FALSE)/$AZ$84*($AZ$15*('US Grid mix, emissions&amp;prices'!$AU$3+INDEX('Year data'!$B$3:$AC$53,MATCH('TCO Inputs'!$A118,'Year data'!$A$111:$A$161,0),MATCH('TCO Inputs'!$AZ$12+U$113-1,'Year data'!$B$110:$AC$110,0))/100)+$BA$15*('US Grid mix, emissions&amp;prices'!$AU$4+INDEX('Year data'!$B$57:$AC$107,MATCH($A118,'Year data'!$A$111:$A$161,0),MATCH('TCO Inputs'!$AZ$12+U$113-1,'Year data'!$B$110:$AC$110,0))/100))/(1+$AZ$41)^U$113</f>
        <v>755.79573401344328</v>
      </c>
      <c r="V118" s="110" cm="1">
        <f t="array" ref="V118">SUMPRODUCT(INDEX(B118:U118,,_xlfn.SEQUENCE($AZ$13)))</f>
        <v>16498.107386033953</v>
      </c>
      <c r="Y118" s="102" t="s">
        <v>149</v>
      </c>
      <c r="Z118" s="106">
        <f>VLOOKUP($A118,'VKT US'!$B$63:$AA$113,(Z$113+1),FALSE)/VLOOKUP($A118,'Fuel economy adjusted factor'!$A$2:$F$52,5,FALSE)/$AZ$84</f>
        <v>5067.5197632913469</v>
      </c>
      <c r="AA118" s="106">
        <f>VLOOKUP($A118,'VKT US'!$B$63:$AA$113,(AA$113+1),FALSE)/VLOOKUP($A118,'Fuel economy adjusted factor'!$A$2:$F$52,5,FALSE)/$AZ$84</f>
        <v>4916.7965361417619</v>
      </c>
      <c r="AB118" s="106">
        <f>VLOOKUP($A118,'VKT US'!$B$63:$AA$113,(AB$113+1),FALSE)/VLOOKUP($A118,'Fuel economy adjusted factor'!$A$2:$F$52,5,FALSE)/$AZ$84</f>
        <v>4770.8291389750539</v>
      </c>
      <c r="AC118" s="106">
        <f>VLOOKUP($A118,'VKT US'!$B$63:$AA$113,(AC$113+1),FALSE)/VLOOKUP($A118,'Fuel economy adjusted factor'!$A$2:$F$52,5,FALSE)/$AZ$84</f>
        <v>4629.9834048668263</v>
      </c>
      <c r="AD118" s="106">
        <f>VLOOKUP($A118,'VKT US'!$B$63:$AA$113,(AD$113+1),FALSE)/VLOOKUP($A118,'Fuel economy adjusted factor'!$A$2:$F$52,5,FALSE)/$AZ$84</f>
        <v>4493.8935007414739</v>
      </c>
      <c r="AE118" s="106">
        <f>VLOOKUP($A118,'VKT US'!$B$63:$AA$113,(AE$113+1),FALSE)/VLOOKUP($A118,'Fuel economy adjusted factor'!$A$2:$F$52,5,FALSE)/$AZ$84</f>
        <v>4363.291092750208</v>
      </c>
      <c r="AF118" s="106">
        <f>VLOOKUP($A118,'VKT US'!$B$63:$AA$113,(AF$113+1),FALSE)/VLOOKUP($A118,'Fuel economy adjusted factor'!$A$2:$F$52,5,FALSE)/$AZ$84</f>
        <v>4237.0786816662121</v>
      </c>
      <c r="AG118" s="106">
        <f>VLOOKUP($A118,'VKT US'!$B$63:$AA$113,(AG$113+1),FALSE)/VLOOKUP($A118,'Fuel economy adjusted factor'!$A$2:$F$52,5,FALSE)/$AZ$84</f>
        <v>4115.9879336406975</v>
      </c>
      <c r="AH118" s="106">
        <f>VLOOKUP($A118,'VKT US'!$B$63:$AA$113,(AH$113+1),FALSE)/VLOOKUP($A118,'Fuel economy adjusted factor'!$A$2:$F$52,5,FALSE)/$AZ$84</f>
        <v>4000.0188486736629</v>
      </c>
      <c r="AI118" s="106">
        <f>VLOOKUP($A118,'VKT US'!$B$63:$AA$113,(AI$113+1),FALSE)/VLOOKUP($A118,'Fuel economy adjusted factor'!$A$2:$F$52,5,FALSE)/$AZ$84</f>
        <v>3889.1714267651105</v>
      </c>
      <c r="AJ118" s="106">
        <f>VLOOKUP($A118,'VKT US'!$B$63:$AA$113,(AJ$113+1),FALSE)/VLOOKUP($A118,'Fuel economy adjusted factor'!$A$2:$F$52,5,FALSE)/$AZ$84</f>
        <v>3783.0798348394324</v>
      </c>
      <c r="AK118" s="106">
        <f>VLOOKUP($A118,'VKT US'!$B$63:$AA$113,(AK$113+1),FALSE)/VLOOKUP($A118,'Fuel economy adjusted factor'!$A$2:$F$52,5,FALSE)/$AZ$84</f>
        <v>3682.1099059722351</v>
      </c>
      <c r="AL118" s="106">
        <f>VLOOKUP($A118,'VKT US'!$B$63:$AA$113,(AL$113+1),FALSE)/VLOOKUP($A118,'Fuel economy adjusted factor'!$A$2:$F$52,5,FALSE)/$AZ$84</f>
        <v>3585.8958070879135</v>
      </c>
      <c r="AM118" s="106">
        <f>VLOOKUP($A118,'VKT US'!$B$63:$AA$113,(AM$113+1),FALSE)/VLOOKUP($A118,'Fuel economy adjusted factor'!$A$2:$F$52,5,FALSE)/$AZ$84</f>
        <v>3494.8033712620727</v>
      </c>
      <c r="AN118" s="106">
        <f>VLOOKUP($A118,'VKT US'!$B$63:$AA$113,(AN$113+1),FALSE)/VLOOKUP($A118,'Fuel economy adjusted factor'!$A$2:$F$52,5,FALSE)/$AZ$84</f>
        <v>3408.4667654191071</v>
      </c>
      <c r="AO118" s="106">
        <f>VLOOKUP($A118,'VKT US'!$B$63:$AA$113,(AO$113+1),FALSE)/VLOOKUP($A118,'Fuel economy adjusted factor'!$A$2:$F$52,5,FALSE)/$AZ$84</f>
        <v>3327.6176557102285</v>
      </c>
      <c r="AP118" s="106">
        <f>VLOOKUP($A118,'VKT US'!$B$63:$AA$113,(AP$113+1),FALSE)/VLOOKUP($A118,'Fuel economy adjusted factor'!$A$2:$F$52,5,FALSE)/$AZ$84</f>
        <v>3251.158542908619</v>
      </c>
      <c r="AQ118" s="106">
        <f>VLOOKUP($A118,'VKT US'!$B$63:$AA$113,(AQ$113+1),FALSE)/VLOOKUP($A118,'Fuel economy adjusted factor'!$A$2:$F$52,5,FALSE)/$AZ$84</f>
        <v>3180.1869262410969</v>
      </c>
      <c r="AR118" s="106">
        <f>VLOOKUP($A118,'VKT US'!$B$63:$AA$113,(AR$113+1),FALSE)/VLOOKUP($A118,'Fuel economy adjusted factor'!$A$2:$F$52,5,FALSE)/$AZ$84</f>
        <v>3113.6053064808434</v>
      </c>
      <c r="AS118" s="106">
        <f>VLOOKUP($A118,'VKT US'!$B$63:$AA$113,(AS$113+1),FALSE)/VLOOKUP($A118,'Fuel economy adjusted factor'!$A$2:$F$52,5,FALSE)/$AZ$84</f>
        <v>3052.5111828546769</v>
      </c>
      <c r="AT118" s="110" cm="1">
        <f t="array" ref="AT118">SUMPRODUCT(INDEX(Z118:AS118,,_xlfn.SEQUENCE($AZ$13)))</f>
        <v>59030.459246674014</v>
      </c>
    </row>
    <row r="119" spans="1:46" x14ac:dyDescent="0.25">
      <c r="A119" s="102" t="s">
        <v>190</v>
      </c>
      <c r="B119" s="106">
        <f>VLOOKUP($A119,'VKT US'!$B$63:$AA$113,(B$113+1),FALSE)/VLOOKUP($A119,'Fuel economy adjusted factor'!$A$2:$F$52,5,FALSE)/$AZ$84*($AZ$15*('US Grid mix, emissions&amp;prices'!$AU$3+INDEX('Year data'!$B$3:$AC$53,MATCH('TCO Inputs'!$A119,'Year data'!$A$111:$A$161,0),MATCH('TCO Inputs'!$AZ$12+B$113-1,'Year data'!$B$110:$AC$110,0))/100)+$BA$15*('US Grid mix, emissions&amp;prices'!$AU$4+INDEX('Year data'!$B$57:$AC$107,MATCH($A119,'Year data'!$A$111:$A$161,0),MATCH('TCO Inputs'!$AZ$12+B$113-1,'Year data'!$B$110:$AC$110,0))/100))/(1+$AZ$41)^B$113</f>
        <v>1150.2858879425378</v>
      </c>
      <c r="C119" s="106">
        <f>VLOOKUP($A119,'VKT US'!$B$63:$AA$113,(C$113+1),FALSE)/VLOOKUP($A119,'Fuel economy adjusted factor'!$A$2:$F$52,5,FALSE)/$AZ$84*($AZ$15*('US Grid mix, emissions&amp;prices'!$AU$3+INDEX('Year data'!$B$3:$AC$53,MATCH('TCO Inputs'!$A119,'Year data'!$A$111:$A$161,0),MATCH('TCO Inputs'!$AZ$12+C$113-1,'Year data'!$B$110:$AC$110,0))/100)+$BA$15*('US Grid mix, emissions&amp;prices'!$AU$4+INDEX('Year data'!$B$57:$AC$107,MATCH($A119,'Year data'!$A$111:$A$161,0),MATCH('TCO Inputs'!$AZ$12+C$113-1,'Year data'!$B$110:$AC$110,0))/100))/(1+$AZ$41)^C$113</f>
        <v>1083.6690174398118</v>
      </c>
      <c r="D119" s="106">
        <f>VLOOKUP($A119,'VKT US'!$B$63:$AA$113,(D$113+1),FALSE)/VLOOKUP($A119,'Fuel economy adjusted factor'!$A$2:$F$52,5,FALSE)/$AZ$84*($AZ$15*('US Grid mix, emissions&amp;prices'!$AU$3+INDEX('Year data'!$B$3:$AC$53,MATCH('TCO Inputs'!$A119,'Year data'!$A$111:$A$161,0),MATCH('TCO Inputs'!$AZ$12+D$113-1,'Year data'!$B$110:$AC$110,0))/100)+$BA$15*('US Grid mix, emissions&amp;prices'!$AU$4+INDEX('Year data'!$B$57:$AC$107,MATCH($A119,'Year data'!$A$111:$A$161,0),MATCH('TCO Inputs'!$AZ$12+D$113-1,'Year data'!$B$110:$AC$110,0))/100))/(1+$AZ$41)^D$113</f>
        <v>1016.8067151233137</v>
      </c>
      <c r="E119" s="106">
        <f>VLOOKUP($A119,'VKT US'!$B$63:$AA$113,(E$113+1),FALSE)/VLOOKUP($A119,'Fuel economy adjusted factor'!$A$2:$F$52,5,FALSE)/$AZ$84*($AZ$15*('US Grid mix, emissions&amp;prices'!$AU$3+INDEX('Year data'!$B$3:$AC$53,MATCH('TCO Inputs'!$A119,'Year data'!$A$111:$A$161,0),MATCH('TCO Inputs'!$AZ$12+E$113-1,'Year data'!$B$110:$AC$110,0))/100)+$BA$15*('US Grid mix, emissions&amp;prices'!$AU$4+INDEX('Year data'!$B$57:$AC$107,MATCH($A119,'Year data'!$A$111:$A$161,0),MATCH('TCO Inputs'!$AZ$12+E$113-1,'Year data'!$B$110:$AC$110,0))/100))/(1+$AZ$41)^E$113</f>
        <v>962.84809127300809</v>
      </c>
      <c r="F119" s="106">
        <f>VLOOKUP($A119,'VKT US'!$B$63:$AA$113,(F$113+1),FALSE)/VLOOKUP($A119,'Fuel economy adjusted factor'!$A$2:$F$52,5,FALSE)/$AZ$84*($AZ$15*('US Grid mix, emissions&amp;prices'!$AU$3+INDEX('Year data'!$B$3:$AC$53,MATCH('TCO Inputs'!$A119,'Year data'!$A$111:$A$161,0),MATCH('TCO Inputs'!$AZ$12+F$113-1,'Year data'!$B$110:$AC$110,0))/100)+$BA$15*('US Grid mix, emissions&amp;prices'!$AU$4+INDEX('Year data'!$B$57:$AC$107,MATCH($A119,'Year data'!$A$111:$A$161,0),MATCH('TCO Inputs'!$AZ$12+F$113-1,'Year data'!$B$110:$AC$110,0))/100))/(1+$AZ$41)^F$113</f>
        <v>914.64819053136534</v>
      </c>
      <c r="G119" s="106">
        <f>VLOOKUP($A119,'VKT US'!$B$63:$AA$113,(G$113+1),FALSE)/VLOOKUP($A119,'Fuel economy adjusted factor'!$A$2:$F$52,5,FALSE)/$AZ$84*($AZ$15*('US Grid mix, emissions&amp;prices'!$AU$3+INDEX('Year data'!$B$3:$AC$53,MATCH('TCO Inputs'!$A119,'Year data'!$A$111:$A$161,0),MATCH('TCO Inputs'!$AZ$12+G$113-1,'Year data'!$B$110:$AC$110,0))/100)+$BA$15*('US Grid mix, emissions&amp;prices'!$AU$4+INDEX('Year data'!$B$57:$AC$107,MATCH($A119,'Year data'!$A$111:$A$161,0),MATCH('TCO Inputs'!$AZ$12+G$113-1,'Year data'!$B$110:$AC$110,0))/100))/(1+$AZ$41)^G$113</f>
        <v>871.43355248541275</v>
      </c>
      <c r="H119" s="106">
        <f>VLOOKUP($A119,'VKT US'!$B$63:$AA$113,(H$113+1),FALSE)/VLOOKUP($A119,'Fuel economy adjusted factor'!$A$2:$F$52,5,FALSE)/$AZ$84*($AZ$15*('US Grid mix, emissions&amp;prices'!$AU$3+INDEX('Year data'!$B$3:$AC$53,MATCH('TCO Inputs'!$A119,'Year data'!$A$111:$A$161,0),MATCH('TCO Inputs'!$AZ$12+H$113-1,'Year data'!$B$110:$AC$110,0))/100)+$BA$15*('US Grid mix, emissions&amp;prices'!$AU$4+INDEX('Year data'!$B$57:$AC$107,MATCH($A119,'Year data'!$A$111:$A$161,0),MATCH('TCO Inputs'!$AZ$12+H$113-1,'Year data'!$B$110:$AC$110,0))/100))/(1+$AZ$41)^H$113</f>
        <v>834.17923906083388</v>
      </c>
      <c r="I119" s="106">
        <f>VLOOKUP($A119,'VKT US'!$B$63:$AA$113,(I$113+1),FALSE)/VLOOKUP($A119,'Fuel economy adjusted factor'!$A$2:$F$52,5,FALSE)/$AZ$84*($AZ$15*('US Grid mix, emissions&amp;prices'!$AU$3+INDEX('Year data'!$B$3:$AC$53,MATCH('TCO Inputs'!$A119,'Year data'!$A$111:$A$161,0),MATCH('TCO Inputs'!$AZ$12+I$113-1,'Year data'!$B$110:$AC$110,0))/100)+$BA$15*('US Grid mix, emissions&amp;prices'!$AU$4+INDEX('Year data'!$B$57:$AC$107,MATCH($A119,'Year data'!$A$111:$A$161,0),MATCH('TCO Inputs'!$AZ$12+I$113-1,'Year data'!$B$110:$AC$110,0))/100))/(1+$AZ$41)^I$113</f>
        <v>801.62453855692922</v>
      </c>
      <c r="J119" s="106">
        <f>VLOOKUP($A119,'VKT US'!$B$63:$AA$113,(J$113+1),FALSE)/VLOOKUP($A119,'Fuel economy adjusted factor'!$A$2:$F$52,5,FALSE)/$AZ$84*($AZ$15*('US Grid mix, emissions&amp;prices'!$AU$3+INDEX('Year data'!$B$3:$AC$53,MATCH('TCO Inputs'!$A119,'Year data'!$A$111:$A$161,0),MATCH('TCO Inputs'!$AZ$12+J$113-1,'Year data'!$B$110:$AC$110,0))/100)+$BA$15*('US Grid mix, emissions&amp;prices'!$AU$4+INDEX('Year data'!$B$57:$AC$107,MATCH($A119,'Year data'!$A$111:$A$161,0),MATCH('TCO Inputs'!$AZ$12+J$113-1,'Year data'!$B$110:$AC$110,0))/100))/(1+$AZ$41)^J$113</f>
        <v>771.6980881212362</v>
      </c>
      <c r="K119" s="106">
        <f>VLOOKUP($A119,'VKT US'!$B$63:$AA$113,(K$113+1),FALSE)/VLOOKUP($A119,'Fuel economy adjusted factor'!$A$2:$F$52,5,FALSE)/$AZ$84*($AZ$15*('US Grid mix, emissions&amp;prices'!$AU$3+INDEX('Year data'!$B$3:$AC$53,MATCH('TCO Inputs'!$A119,'Year data'!$A$111:$A$161,0),MATCH('TCO Inputs'!$AZ$12+K$113-1,'Year data'!$B$110:$AC$110,0))/100)+$BA$15*('US Grid mix, emissions&amp;prices'!$AU$4+INDEX('Year data'!$B$57:$AC$107,MATCH($A119,'Year data'!$A$111:$A$161,0),MATCH('TCO Inputs'!$AZ$12+K$113-1,'Year data'!$B$110:$AC$110,0))/100))/(1+$AZ$41)^K$113</f>
        <v>743.03129524409792</v>
      </c>
      <c r="L119" s="106">
        <f>VLOOKUP($A119,'VKT US'!$B$63:$AA$113,(L$113+1),FALSE)/VLOOKUP($A119,'Fuel economy adjusted factor'!$A$2:$F$52,5,FALSE)/$AZ$84*($AZ$15*('US Grid mix, emissions&amp;prices'!$AU$3+INDEX('Year data'!$B$3:$AC$53,MATCH('TCO Inputs'!$A119,'Year data'!$A$111:$A$161,0),MATCH('TCO Inputs'!$AZ$12+L$113-1,'Year data'!$B$110:$AC$110,0))/100)+$BA$15*('US Grid mix, emissions&amp;prices'!$AU$4+INDEX('Year data'!$B$57:$AC$107,MATCH($A119,'Year data'!$A$111:$A$161,0),MATCH('TCO Inputs'!$AZ$12+L$113-1,'Year data'!$B$110:$AC$110,0))/100))/(1+$AZ$41)^L$113</f>
        <v>720.60174193150226</v>
      </c>
      <c r="M119" s="106">
        <f>VLOOKUP($A119,'VKT US'!$B$63:$AA$113,(M$113+1),FALSE)/VLOOKUP($A119,'Fuel economy adjusted factor'!$A$2:$F$52,5,FALSE)/$AZ$84*($AZ$15*('US Grid mix, emissions&amp;prices'!$AU$3+INDEX('Year data'!$B$3:$AC$53,MATCH('TCO Inputs'!$A119,'Year data'!$A$111:$A$161,0),MATCH('TCO Inputs'!$AZ$12+M$113-1,'Year data'!$B$110:$AC$110,0))/100)+$BA$15*('US Grid mix, emissions&amp;prices'!$AU$4+INDEX('Year data'!$B$57:$AC$107,MATCH($A119,'Year data'!$A$111:$A$161,0),MATCH('TCO Inputs'!$AZ$12+M$113-1,'Year data'!$B$110:$AC$110,0))/100))/(1+$AZ$41)^M$113</f>
        <v>697.67283271346832</v>
      </c>
      <c r="N119" s="106">
        <f>VLOOKUP($A119,'VKT US'!$B$63:$AA$113,(N$113+1),FALSE)/VLOOKUP($A119,'Fuel economy adjusted factor'!$A$2:$F$52,5,FALSE)/$AZ$84*($AZ$15*('US Grid mix, emissions&amp;prices'!$AU$3+INDEX('Year data'!$B$3:$AC$53,MATCH('TCO Inputs'!$A119,'Year data'!$A$111:$A$161,0),MATCH('TCO Inputs'!$AZ$12+N$113-1,'Year data'!$B$110:$AC$110,0))/100)+$BA$15*('US Grid mix, emissions&amp;prices'!$AU$4+INDEX('Year data'!$B$57:$AC$107,MATCH($A119,'Year data'!$A$111:$A$161,0),MATCH('TCO Inputs'!$AZ$12+N$113-1,'Year data'!$B$110:$AC$110,0))/100))/(1+$AZ$41)^N$113</f>
        <v>671.51623507049942</v>
      </c>
      <c r="O119" s="106">
        <f>VLOOKUP($A119,'VKT US'!$B$63:$AA$113,(O$113+1),FALSE)/VLOOKUP($A119,'Fuel economy adjusted factor'!$A$2:$F$52,5,FALSE)/$AZ$84*($AZ$15*('US Grid mix, emissions&amp;prices'!$AU$3+INDEX('Year data'!$B$3:$AC$53,MATCH('TCO Inputs'!$A119,'Year data'!$A$111:$A$161,0),MATCH('TCO Inputs'!$AZ$12+O$113-1,'Year data'!$B$110:$AC$110,0))/100)+$BA$15*('US Grid mix, emissions&amp;prices'!$AU$4+INDEX('Year data'!$B$57:$AC$107,MATCH($A119,'Year data'!$A$111:$A$161,0),MATCH('TCO Inputs'!$AZ$12+O$113-1,'Year data'!$B$110:$AC$110,0))/100))/(1+$AZ$41)^O$113</f>
        <v>648.95655872833458</v>
      </c>
      <c r="P119" s="106">
        <f>VLOOKUP($A119,'VKT US'!$B$63:$AA$113,(P$113+1),FALSE)/VLOOKUP($A119,'Fuel economy adjusted factor'!$A$2:$F$52,5,FALSE)/$AZ$84*($AZ$15*('US Grid mix, emissions&amp;prices'!$AU$3+INDEX('Year data'!$B$3:$AC$53,MATCH('TCO Inputs'!$A119,'Year data'!$A$111:$A$161,0),MATCH('TCO Inputs'!$AZ$12+P$113-1,'Year data'!$B$110:$AC$110,0))/100)+$BA$15*('US Grid mix, emissions&amp;prices'!$AU$4+INDEX('Year data'!$B$57:$AC$107,MATCH($A119,'Year data'!$A$111:$A$161,0),MATCH('TCO Inputs'!$AZ$12+P$113-1,'Year data'!$B$110:$AC$110,0))/100))/(1+$AZ$41)^P$113</f>
        <v>628.10143781647741</v>
      </c>
      <c r="Q119" s="106">
        <f>VLOOKUP($A119,'VKT US'!$B$63:$AA$113,(Q$113+1),FALSE)/VLOOKUP($A119,'Fuel economy adjusted factor'!$A$2:$F$52,5,FALSE)/$AZ$84*($AZ$15*('US Grid mix, emissions&amp;prices'!$AU$3+INDEX('Year data'!$B$3:$AC$53,MATCH('TCO Inputs'!$A119,'Year data'!$A$111:$A$161,0),MATCH('TCO Inputs'!$AZ$12+Q$113-1,'Year data'!$B$110:$AC$110,0))/100)+$BA$15*('US Grid mix, emissions&amp;prices'!$AU$4+INDEX('Year data'!$B$57:$AC$107,MATCH($A119,'Year data'!$A$111:$A$161,0),MATCH('TCO Inputs'!$AZ$12+Q$113-1,'Year data'!$B$110:$AC$110,0))/100))/(1+$AZ$41)^Q$113</f>
        <v>609.80299214695515</v>
      </c>
      <c r="R119" s="106">
        <f>VLOOKUP($A119,'VKT US'!$B$63:$AA$113,(R$113+1),FALSE)/VLOOKUP($A119,'Fuel economy adjusted factor'!$A$2:$F$52,5,FALSE)/$AZ$84*($AZ$15*('US Grid mix, emissions&amp;prices'!$AU$3+INDEX('Year data'!$B$3:$AC$53,MATCH('TCO Inputs'!$A119,'Year data'!$A$111:$A$161,0),MATCH('TCO Inputs'!$AZ$12+R$113-1,'Year data'!$B$110:$AC$110,0))/100)+$BA$15*('US Grid mix, emissions&amp;prices'!$AU$4+INDEX('Year data'!$B$57:$AC$107,MATCH($A119,'Year data'!$A$111:$A$161,0),MATCH('TCO Inputs'!$AZ$12+R$113-1,'Year data'!$B$110:$AC$110,0))/100))/(1+$AZ$41)^R$113</f>
        <v>591.33313592926629</v>
      </c>
      <c r="S119" s="106">
        <f>VLOOKUP($A119,'VKT US'!$B$63:$AA$113,(S$113+1),FALSE)/VLOOKUP($A119,'Fuel economy adjusted factor'!$A$2:$F$52,5,FALSE)/$AZ$84*($AZ$15*('US Grid mix, emissions&amp;prices'!$AU$3+INDEX('Year data'!$B$3:$AC$53,MATCH('TCO Inputs'!$A119,'Year data'!$A$111:$A$161,0),MATCH('TCO Inputs'!$AZ$12+S$113-1,'Year data'!$B$110:$AC$110,0))/100)+$BA$15*('US Grid mix, emissions&amp;prices'!$AU$4+INDEX('Year data'!$B$57:$AC$107,MATCH($A119,'Year data'!$A$111:$A$161,0),MATCH('TCO Inputs'!$AZ$12+S$113-1,'Year data'!$B$110:$AC$110,0))/100))/(1+$AZ$41)^S$113</f>
        <v>574.01001629502593</v>
      </c>
      <c r="T119" s="106">
        <f>VLOOKUP($A119,'VKT US'!$B$63:$AA$113,(T$113+1),FALSE)/VLOOKUP($A119,'Fuel economy adjusted factor'!$A$2:$F$52,5,FALSE)/$AZ$84*($AZ$15*('US Grid mix, emissions&amp;prices'!$AU$3+INDEX('Year data'!$B$3:$AC$53,MATCH('TCO Inputs'!$A119,'Year data'!$A$111:$A$161,0),MATCH('TCO Inputs'!$AZ$12+T$113-1,'Year data'!$B$110:$AC$110,0))/100)+$BA$15*('US Grid mix, emissions&amp;prices'!$AU$4+INDEX('Year data'!$B$57:$AC$107,MATCH($A119,'Year data'!$A$111:$A$161,0),MATCH('TCO Inputs'!$AZ$12+T$113-1,'Year data'!$B$110:$AC$110,0))/100))/(1+$AZ$41)^T$113</f>
        <v>557.20549524679495</v>
      </c>
      <c r="U119" s="106">
        <f>VLOOKUP($A119,'VKT US'!$B$63:$AA$113,(U$113+1),FALSE)/VLOOKUP($A119,'Fuel economy adjusted factor'!$A$2:$F$52,5,FALSE)/$AZ$84*($AZ$15*('US Grid mix, emissions&amp;prices'!$AU$3+INDEX('Year data'!$B$3:$AC$53,MATCH('TCO Inputs'!$A119,'Year data'!$A$111:$A$161,0),MATCH('TCO Inputs'!$AZ$12+U$113-1,'Year data'!$B$110:$AC$110,0))/100)+$BA$15*('US Grid mix, emissions&amp;prices'!$AU$4+INDEX('Year data'!$B$57:$AC$107,MATCH($A119,'Year data'!$A$111:$A$161,0),MATCH('TCO Inputs'!$AZ$12+U$113-1,'Year data'!$B$110:$AC$110,0))/100))/(1+$AZ$41)^U$113</f>
        <v>540.71798477181642</v>
      </c>
      <c r="V119" s="110" cm="1">
        <f t="array" ref="V119">SUMPRODUCT(INDEX(B119:U119,,_xlfn.SEQUENCE($AZ$13)))</f>
        <v>11888.971984222351</v>
      </c>
      <c r="Y119" s="102" t="s">
        <v>190</v>
      </c>
      <c r="Z119" s="106">
        <f>VLOOKUP($A119,'VKT US'!$B$63:$AA$113,(Z$113+1),FALSE)/VLOOKUP($A119,'Fuel economy adjusted factor'!$A$2:$F$52,5,FALSE)/$AZ$84</f>
        <v>5805.6326124726838</v>
      </c>
      <c r="AA119" s="106">
        <f>VLOOKUP($A119,'VKT US'!$B$63:$AA$113,(AA$113+1),FALSE)/VLOOKUP($A119,'Fuel economy adjusted factor'!$A$2:$F$52,5,FALSE)/$AZ$84</f>
        <v>5632.9556967681829</v>
      </c>
      <c r="AB119" s="106">
        <f>VLOOKUP($A119,'VKT US'!$B$63:$AA$113,(AB$113+1),FALSE)/VLOOKUP($A119,'Fuel economy adjusted factor'!$A$2:$F$52,5,FALSE)/$AZ$84</f>
        <v>5465.7273245203769</v>
      </c>
      <c r="AC119" s="106">
        <f>VLOOKUP($A119,'VKT US'!$B$63:$AA$113,(AC$113+1),FALSE)/VLOOKUP($A119,'Fuel economy adjusted factor'!$A$2:$F$52,5,FALSE)/$AZ$84</f>
        <v>5304.3666144567042</v>
      </c>
      <c r="AD119" s="106">
        <f>VLOOKUP($A119,'VKT US'!$B$63:$AA$113,(AD$113+1),FALSE)/VLOOKUP($A119,'Fuel economy adjusted factor'!$A$2:$F$52,5,FALSE)/$AZ$84</f>
        <v>5148.4544478497291</v>
      </c>
      <c r="AE119" s="106">
        <f>VLOOKUP($A119,'VKT US'!$B$63:$AA$113,(AE$113+1),FALSE)/VLOOKUP($A119,'Fuel economy adjusted factor'!$A$2:$F$52,5,FALSE)/$AZ$84</f>
        <v>4998.8290621543229</v>
      </c>
      <c r="AF119" s="106">
        <f>VLOOKUP($A119,'VKT US'!$B$63:$AA$113,(AF$113+1),FALSE)/VLOOKUP($A119,'Fuel economy adjusted factor'!$A$2:$F$52,5,FALSE)/$AZ$84</f>
        <v>4854.2331011881761</v>
      </c>
      <c r="AG119" s="106">
        <f>VLOOKUP($A119,'VKT US'!$B$63:$AA$113,(AG$113+1),FALSE)/VLOOKUP($A119,'Fuel economy adjusted factor'!$A$2:$F$52,5,FALSE)/$AZ$84</f>
        <v>4715.5048024061625</v>
      </c>
      <c r="AH119" s="106">
        <f>VLOOKUP($A119,'VKT US'!$B$63:$AA$113,(AH$113+1),FALSE)/VLOOKUP($A119,'Fuel economy adjusted factor'!$A$2:$F$52,5,FALSE)/$AZ$84</f>
        <v>4582.6441658082822</v>
      </c>
      <c r="AI119" s="106">
        <f>VLOOKUP($A119,'VKT US'!$B$63:$AA$113,(AI$113+1),FALSE)/VLOOKUP($A119,'Fuel economy adjusted factor'!$A$2:$F$52,5,FALSE)/$AZ$84</f>
        <v>4455.6511913945351</v>
      </c>
      <c r="AJ119" s="106">
        <f>VLOOKUP($A119,'VKT US'!$B$63:$AA$113,(AJ$113+1),FALSE)/VLOOKUP($A119,'Fuel economy adjusted factor'!$A$2:$F$52,5,FALSE)/$AZ$84</f>
        <v>4334.106760437483</v>
      </c>
      <c r="AK119" s="106">
        <f>VLOOKUP($A119,'VKT US'!$B$63:$AA$113,(AK$113+1),FALSE)/VLOOKUP($A119,'Fuel economy adjusted factor'!$A$2:$F$52,5,FALSE)/$AZ$84</f>
        <v>4218.429991664565</v>
      </c>
      <c r="AL119" s="106">
        <f>VLOOKUP($A119,'VKT US'!$B$63:$AA$113,(AL$113+1),FALSE)/VLOOKUP($A119,'Fuel economy adjusted factor'!$A$2:$F$52,5,FALSE)/$AZ$84</f>
        <v>4108.201766348343</v>
      </c>
      <c r="AM119" s="106">
        <f>VLOOKUP($A119,'VKT US'!$B$63:$AA$113,(AM$113+1),FALSE)/VLOOKUP($A119,'Fuel economy adjusted factor'!$A$2:$F$52,5,FALSE)/$AZ$84</f>
        <v>4003.8412032162537</v>
      </c>
      <c r="AN119" s="106">
        <f>VLOOKUP($A119,'VKT US'!$B$63:$AA$113,(AN$113+1),FALSE)/VLOOKUP($A119,'Fuel economy adjusted factor'!$A$2:$F$52,5,FALSE)/$AZ$84</f>
        <v>3904.9291835408594</v>
      </c>
      <c r="AO119" s="106">
        <f>VLOOKUP($A119,'VKT US'!$B$63:$AA$113,(AO$113+1),FALSE)/VLOOKUP($A119,'Fuel economy adjusted factor'!$A$2:$F$52,5,FALSE)/$AZ$84</f>
        <v>3812.3039447770375</v>
      </c>
      <c r="AP119" s="106">
        <f>VLOOKUP($A119,'VKT US'!$B$63:$AA$113,(AP$113+1),FALSE)/VLOOKUP($A119,'Fuel economy adjusted factor'!$A$2:$F$52,5,FALSE)/$AZ$84</f>
        <v>3724.7081307424728</v>
      </c>
      <c r="AQ119" s="106">
        <f>VLOOKUP($A119,'VKT US'!$B$63:$AA$113,(AQ$113+1),FALSE)/VLOOKUP($A119,'Fuel economy adjusted factor'!$A$2:$F$52,5,FALSE)/$AZ$84</f>
        <v>3643.3990976194796</v>
      </c>
      <c r="AR119" s="106">
        <f>VLOOKUP($A119,'VKT US'!$B$63:$AA$113,(AR$113+1),FALSE)/VLOOKUP($A119,'Fuel economy adjusted factor'!$A$2:$F$52,5,FALSE)/$AZ$84</f>
        <v>3567.1194892257445</v>
      </c>
      <c r="AS119" s="106">
        <f>VLOOKUP($A119,'VKT US'!$B$63:$AA$113,(AS$113+1),FALSE)/VLOOKUP($A119,'Fuel economy adjusted factor'!$A$2:$F$52,5,FALSE)/$AZ$84</f>
        <v>3497.1266617435799</v>
      </c>
      <c r="AT119" s="110" cm="1">
        <f t="array" ref="AT119">SUMPRODUCT(INDEX(Z119:AS119,,_xlfn.SEQUENCE($AZ$13)))</f>
        <v>67628.5787406858</v>
      </c>
    </row>
    <row r="120" spans="1:46" x14ac:dyDescent="0.25">
      <c r="A120" s="102" t="s">
        <v>191</v>
      </c>
      <c r="B120" s="106">
        <f>VLOOKUP($A120,'VKT US'!$B$63:$AA$113,(B$113+1),FALSE)/VLOOKUP($A120,'Fuel economy adjusted factor'!$A$2:$F$52,5,FALSE)/$AZ$84*($AZ$15*('US Grid mix, emissions&amp;prices'!$AU$3+INDEX('Year data'!$B$3:$AC$53,MATCH('TCO Inputs'!$A120,'Year data'!$A$111:$A$161,0),MATCH('TCO Inputs'!$AZ$12+B$113-1,'Year data'!$B$110:$AC$110,0))/100)+$BA$15*('US Grid mix, emissions&amp;prices'!$AU$4+INDEX('Year data'!$B$57:$AC$107,MATCH($A120,'Year data'!$A$111:$A$161,0),MATCH('TCO Inputs'!$AZ$12+B$113-1,'Year data'!$B$110:$AC$110,0))/100))/(1+$AZ$41)^B$113</f>
        <v>1703.9712627850922</v>
      </c>
      <c r="C120" s="106">
        <f>VLOOKUP($A120,'VKT US'!$B$63:$AA$113,(C$113+1),FALSE)/VLOOKUP($A120,'Fuel economy adjusted factor'!$A$2:$F$52,5,FALSE)/$AZ$84*($AZ$15*('US Grid mix, emissions&amp;prices'!$AU$3+INDEX('Year data'!$B$3:$AC$53,MATCH('TCO Inputs'!$A120,'Year data'!$A$111:$A$161,0),MATCH('TCO Inputs'!$AZ$12+C$113-1,'Year data'!$B$110:$AC$110,0))/100)+$BA$15*('US Grid mix, emissions&amp;prices'!$AU$4+INDEX('Year data'!$B$57:$AC$107,MATCH($A120,'Year data'!$A$111:$A$161,0),MATCH('TCO Inputs'!$AZ$12+C$113-1,'Year data'!$B$110:$AC$110,0))/100))/(1+$AZ$41)^C$113</f>
        <v>1600.7542293786171</v>
      </c>
      <c r="D120" s="106">
        <f>VLOOKUP($A120,'VKT US'!$B$63:$AA$113,(D$113+1),FALSE)/VLOOKUP($A120,'Fuel economy adjusted factor'!$A$2:$F$52,5,FALSE)/$AZ$84*($AZ$15*('US Grid mix, emissions&amp;prices'!$AU$3+INDEX('Year data'!$B$3:$AC$53,MATCH('TCO Inputs'!$A120,'Year data'!$A$111:$A$161,0),MATCH('TCO Inputs'!$AZ$12+D$113-1,'Year data'!$B$110:$AC$110,0))/100)+$BA$15*('US Grid mix, emissions&amp;prices'!$AU$4+INDEX('Year data'!$B$57:$AC$107,MATCH($A120,'Year data'!$A$111:$A$161,0),MATCH('TCO Inputs'!$AZ$12+D$113-1,'Year data'!$B$110:$AC$110,0))/100))/(1+$AZ$41)^D$113</f>
        <v>1495.8132276763463</v>
      </c>
      <c r="E120" s="106">
        <f>VLOOKUP($A120,'VKT US'!$B$63:$AA$113,(E$113+1),FALSE)/VLOOKUP($A120,'Fuel economy adjusted factor'!$A$2:$F$52,5,FALSE)/$AZ$84*($AZ$15*('US Grid mix, emissions&amp;prices'!$AU$3+INDEX('Year data'!$B$3:$AC$53,MATCH('TCO Inputs'!$A120,'Year data'!$A$111:$A$161,0),MATCH('TCO Inputs'!$AZ$12+E$113-1,'Year data'!$B$110:$AC$110,0))/100)+$BA$15*('US Grid mix, emissions&amp;prices'!$AU$4+INDEX('Year data'!$B$57:$AC$107,MATCH($A120,'Year data'!$A$111:$A$161,0),MATCH('TCO Inputs'!$AZ$12+E$113-1,'Year data'!$B$110:$AC$110,0))/100))/(1+$AZ$41)^E$113</f>
        <v>1412.9111684712182</v>
      </c>
      <c r="F120" s="106">
        <f>VLOOKUP($A120,'VKT US'!$B$63:$AA$113,(F$113+1),FALSE)/VLOOKUP($A120,'Fuel economy adjusted factor'!$A$2:$F$52,5,FALSE)/$AZ$84*($AZ$15*('US Grid mix, emissions&amp;prices'!$AU$3+INDEX('Year data'!$B$3:$AC$53,MATCH('TCO Inputs'!$A120,'Year data'!$A$111:$A$161,0),MATCH('TCO Inputs'!$AZ$12+F$113-1,'Year data'!$B$110:$AC$110,0))/100)+$BA$15*('US Grid mix, emissions&amp;prices'!$AU$4+INDEX('Year data'!$B$57:$AC$107,MATCH($A120,'Year data'!$A$111:$A$161,0),MATCH('TCO Inputs'!$AZ$12+F$113-1,'Year data'!$B$110:$AC$110,0))/100))/(1+$AZ$41)^F$113</f>
        <v>1339.5719826417667</v>
      </c>
      <c r="G120" s="106">
        <f>VLOOKUP($A120,'VKT US'!$B$63:$AA$113,(G$113+1),FALSE)/VLOOKUP($A120,'Fuel economy adjusted factor'!$A$2:$F$52,5,FALSE)/$AZ$84*($AZ$15*('US Grid mix, emissions&amp;prices'!$AU$3+INDEX('Year data'!$B$3:$AC$53,MATCH('TCO Inputs'!$A120,'Year data'!$A$111:$A$161,0),MATCH('TCO Inputs'!$AZ$12+G$113-1,'Year data'!$B$110:$AC$110,0))/100)+$BA$15*('US Grid mix, emissions&amp;prices'!$AU$4+INDEX('Year data'!$B$57:$AC$107,MATCH($A120,'Year data'!$A$111:$A$161,0),MATCH('TCO Inputs'!$AZ$12+G$113-1,'Year data'!$B$110:$AC$110,0))/100))/(1+$AZ$41)^G$113</f>
        <v>1274.582567605368</v>
      </c>
      <c r="H120" s="106">
        <f>VLOOKUP($A120,'VKT US'!$B$63:$AA$113,(H$113+1),FALSE)/VLOOKUP($A120,'Fuel economy adjusted factor'!$A$2:$F$52,5,FALSE)/$AZ$84*($AZ$15*('US Grid mix, emissions&amp;prices'!$AU$3+INDEX('Year data'!$B$3:$AC$53,MATCH('TCO Inputs'!$A120,'Year data'!$A$111:$A$161,0),MATCH('TCO Inputs'!$AZ$12+H$113-1,'Year data'!$B$110:$AC$110,0))/100)+$BA$15*('US Grid mix, emissions&amp;prices'!$AU$4+INDEX('Year data'!$B$57:$AC$107,MATCH($A120,'Year data'!$A$111:$A$161,0),MATCH('TCO Inputs'!$AZ$12+H$113-1,'Year data'!$B$110:$AC$110,0))/100))/(1+$AZ$41)^H$113</f>
        <v>1219.6514049932082</v>
      </c>
      <c r="I120" s="106">
        <f>VLOOKUP($A120,'VKT US'!$B$63:$AA$113,(I$113+1),FALSE)/VLOOKUP($A120,'Fuel economy adjusted factor'!$A$2:$F$52,5,FALSE)/$AZ$84*($AZ$15*('US Grid mix, emissions&amp;prices'!$AU$3+INDEX('Year data'!$B$3:$AC$53,MATCH('TCO Inputs'!$A120,'Year data'!$A$111:$A$161,0),MATCH('TCO Inputs'!$AZ$12+I$113-1,'Year data'!$B$110:$AC$110,0))/100)+$BA$15*('US Grid mix, emissions&amp;prices'!$AU$4+INDEX('Year data'!$B$57:$AC$107,MATCH($A120,'Year data'!$A$111:$A$161,0),MATCH('TCO Inputs'!$AZ$12+I$113-1,'Year data'!$B$110:$AC$110,0))/100))/(1+$AZ$41)^I$113</f>
        <v>1172.4922204758936</v>
      </c>
      <c r="J120" s="106">
        <f>VLOOKUP($A120,'VKT US'!$B$63:$AA$113,(J$113+1),FALSE)/VLOOKUP($A120,'Fuel economy adjusted factor'!$A$2:$F$52,5,FALSE)/$AZ$84*($AZ$15*('US Grid mix, emissions&amp;prices'!$AU$3+INDEX('Year data'!$B$3:$AC$53,MATCH('TCO Inputs'!$A120,'Year data'!$A$111:$A$161,0),MATCH('TCO Inputs'!$AZ$12+J$113-1,'Year data'!$B$110:$AC$110,0))/100)+$BA$15*('US Grid mix, emissions&amp;prices'!$AU$4+INDEX('Year data'!$B$57:$AC$107,MATCH($A120,'Year data'!$A$111:$A$161,0),MATCH('TCO Inputs'!$AZ$12+J$113-1,'Year data'!$B$110:$AC$110,0))/100))/(1+$AZ$41)^J$113</f>
        <v>1129.551098481712</v>
      </c>
      <c r="K120" s="106">
        <f>VLOOKUP($A120,'VKT US'!$B$63:$AA$113,(K$113+1),FALSE)/VLOOKUP($A120,'Fuel economy adjusted factor'!$A$2:$F$52,5,FALSE)/$AZ$84*($AZ$15*('US Grid mix, emissions&amp;prices'!$AU$3+INDEX('Year data'!$B$3:$AC$53,MATCH('TCO Inputs'!$A120,'Year data'!$A$111:$A$161,0),MATCH('TCO Inputs'!$AZ$12+K$113-1,'Year data'!$B$110:$AC$110,0))/100)+$BA$15*('US Grid mix, emissions&amp;prices'!$AU$4+INDEX('Year data'!$B$57:$AC$107,MATCH($A120,'Year data'!$A$111:$A$161,0),MATCH('TCO Inputs'!$AZ$12+K$113-1,'Year data'!$B$110:$AC$110,0))/100))/(1+$AZ$41)^K$113</f>
        <v>1088.3205125593677</v>
      </c>
      <c r="L120" s="106">
        <f>VLOOKUP($A120,'VKT US'!$B$63:$AA$113,(L$113+1),FALSE)/VLOOKUP($A120,'Fuel economy adjusted factor'!$A$2:$F$52,5,FALSE)/$AZ$84*($AZ$15*('US Grid mix, emissions&amp;prices'!$AU$3+INDEX('Year data'!$B$3:$AC$53,MATCH('TCO Inputs'!$A120,'Year data'!$A$111:$A$161,0),MATCH('TCO Inputs'!$AZ$12+L$113-1,'Year data'!$B$110:$AC$110,0))/100)+$BA$15*('US Grid mix, emissions&amp;prices'!$AU$4+INDEX('Year data'!$B$57:$AC$107,MATCH($A120,'Year data'!$A$111:$A$161,0),MATCH('TCO Inputs'!$AZ$12+L$113-1,'Year data'!$B$110:$AC$110,0))/100))/(1+$AZ$41)^L$113</f>
        <v>1057.6739735986903</v>
      </c>
      <c r="M120" s="106">
        <f>VLOOKUP($A120,'VKT US'!$B$63:$AA$113,(M$113+1),FALSE)/VLOOKUP($A120,'Fuel economy adjusted factor'!$A$2:$F$52,5,FALSE)/$AZ$84*($AZ$15*('US Grid mix, emissions&amp;prices'!$AU$3+INDEX('Year data'!$B$3:$AC$53,MATCH('TCO Inputs'!$A120,'Year data'!$A$111:$A$161,0),MATCH('TCO Inputs'!$AZ$12+M$113-1,'Year data'!$B$110:$AC$110,0))/100)+$BA$15*('US Grid mix, emissions&amp;prices'!$AU$4+INDEX('Year data'!$B$57:$AC$107,MATCH($A120,'Year data'!$A$111:$A$161,0),MATCH('TCO Inputs'!$AZ$12+M$113-1,'Year data'!$B$110:$AC$110,0))/100))/(1+$AZ$41)^M$113</f>
        <v>1025.6384702100822</v>
      </c>
      <c r="N120" s="106">
        <f>VLOOKUP($A120,'VKT US'!$B$63:$AA$113,(N$113+1),FALSE)/VLOOKUP($A120,'Fuel economy adjusted factor'!$A$2:$F$52,5,FALSE)/$AZ$84*($AZ$15*('US Grid mix, emissions&amp;prices'!$AU$3+INDEX('Year data'!$B$3:$AC$53,MATCH('TCO Inputs'!$A120,'Year data'!$A$111:$A$161,0),MATCH('TCO Inputs'!$AZ$12+N$113-1,'Year data'!$B$110:$AC$110,0))/100)+$BA$15*('US Grid mix, emissions&amp;prices'!$AU$4+INDEX('Year data'!$B$57:$AC$107,MATCH($A120,'Year data'!$A$111:$A$161,0),MATCH('TCO Inputs'!$AZ$12+N$113-1,'Year data'!$B$110:$AC$110,0))/100))/(1+$AZ$41)^N$113</f>
        <v>987.33863289218925</v>
      </c>
      <c r="O120" s="106">
        <f>VLOOKUP($A120,'VKT US'!$B$63:$AA$113,(O$113+1),FALSE)/VLOOKUP($A120,'Fuel economy adjusted factor'!$A$2:$F$52,5,FALSE)/$AZ$84*($AZ$15*('US Grid mix, emissions&amp;prices'!$AU$3+INDEX('Year data'!$B$3:$AC$53,MATCH('TCO Inputs'!$A120,'Year data'!$A$111:$A$161,0),MATCH('TCO Inputs'!$AZ$12+O$113-1,'Year data'!$B$110:$AC$110,0))/100)+$BA$15*('US Grid mix, emissions&amp;prices'!$AU$4+INDEX('Year data'!$B$57:$AC$107,MATCH($A120,'Year data'!$A$111:$A$161,0),MATCH('TCO Inputs'!$AZ$12+O$113-1,'Year data'!$B$110:$AC$110,0))/100))/(1+$AZ$41)^O$113</f>
        <v>954.98756063560722</v>
      </c>
      <c r="P120" s="106">
        <f>VLOOKUP($A120,'VKT US'!$B$63:$AA$113,(P$113+1),FALSE)/VLOOKUP($A120,'Fuel economy adjusted factor'!$A$2:$F$52,5,FALSE)/$AZ$84*($AZ$15*('US Grid mix, emissions&amp;prices'!$AU$3+INDEX('Year data'!$B$3:$AC$53,MATCH('TCO Inputs'!$A120,'Year data'!$A$111:$A$161,0),MATCH('TCO Inputs'!$AZ$12+P$113-1,'Year data'!$B$110:$AC$110,0))/100)+$BA$15*('US Grid mix, emissions&amp;prices'!$AU$4+INDEX('Year data'!$B$57:$AC$107,MATCH($A120,'Year data'!$A$111:$A$161,0),MATCH('TCO Inputs'!$AZ$12+P$113-1,'Year data'!$B$110:$AC$110,0))/100))/(1+$AZ$41)^P$113</f>
        <v>925.27525498872694</v>
      </c>
      <c r="Q120" s="106">
        <f>VLOOKUP($A120,'VKT US'!$B$63:$AA$113,(Q$113+1),FALSE)/VLOOKUP($A120,'Fuel economy adjusted factor'!$A$2:$F$52,5,FALSE)/$AZ$84*($AZ$15*('US Grid mix, emissions&amp;prices'!$AU$3+INDEX('Year data'!$B$3:$AC$53,MATCH('TCO Inputs'!$A120,'Year data'!$A$111:$A$161,0),MATCH('TCO Inputs'!$AZ$12+Q$113-1,'Year data'!$B$110:$AC$110,0))/100)+$BA$15*('US Grid mix, emissions&amp;prices'!$AU$4+INDEX('Year data'!$B$57:$AC$107,MATCH($A120,'Year data'!$A$111:$A$161,0),MATCH('TCO Inputs'!$AZ$12+Q$113-1,'Year data'!$B$110:$AC$110,0))/100))/(1+$AZ$41)^Q$113</f>
        <v>899.62455025092095</v>
      </c>
      <c r="R120" s="106">
        <f>VLOOKUP($A120,'VKT US'!$B$63:$AA$113,(R$113+1),FALSE)/VLOOKUP($A120,'Fuel economy adjusted factor'!$A$2:$F$52,5,FALSE)/$AZ$84*($AZ$15*('US Grid mix, emissions&amp;prices'!$AU$3+INDEX('Year data'!$B$3:$AC$53,MATCH('TCO Inputs'!$A120,'Year data'!$A$111:$A$161,0),MATCH('TCO Inputs'!$AZ$12+R$113-1,'Year data'!$B$110:$AC$110,0))/100)+$BA$15*('US Grid mix, emissions&amp;prices'!$AU$4+INDEX('Year data'!$B$57:$AC$107,MATCH($A120,'Year data'!$A$111:$A$161,0),MATCH('TCO Inputs'!$AZ$12+R$113-1,'Year data'!$B$110:$AC$110,0))/100))/(1+$AZ$41)^R$113</f>
        <v>873.26097334073211</v>
      </c>
      <c r="S120" s="106">
        <f>VLOOKUP($A120,'VKT US'!$B$63:$AA$113,(S$113+1),FALSE)/VLOOKUP($A120,'Fuel economy adjusted factor'!$A$2:$F$52,5,FALSE)/$AZ$84*($AZ$15*('US Grid mix, emissions&amp;prices'!$AU$3+INDEX('Year data'!$B$3:$AC$53,MATCH('TCO Inputs'!$A120,'Year data'!$A$111:$A$161,0),MATCH('TCO Inputs'!$AZ$12+S$113-1,'Year data'!$B$110:$AC$110,0))/100)+$BA$15*('US Grid mix, emissions&amp;prices'!$AU$4+INDEX('Year data'!$B$57:$AC$107,MATCH($A120,'Year data'!$A$111:$A$161,0),MATCH('TCO Inputs'!$AZ$12+S$113-1,'Year data'!$B$110:$AC$110,0))/100))/(1+$AZ$41)^S$113</f>
        <v>848.5313878175192</v>
      </c>
      <c r="T120" s="106">
        <f>VLOOKUP($A120,'VKT US'!$B$63:$AA$113,(T$113+1),FALSE)/VLOOKUP($A120,'Fuel economy adjusted factor'!$A$2:$F$52,5,FALSE)/$AZ$84*($AZ$15*('US Grid mix, emissions&amp;prices'!$AU$3+INDEX('Year data'!$B$3:$AC$53,MATCH('TCO Inputs'!$A120,'Year data'!$A$111:$A$161,0),MATCH('TCO Inputs'!$AZ$12+T$113-1,'Year data'!$B$110:$AC$110,0))/100)+$BA$15*('US Grid mix, emissions&amp;prices'!$AU$4+INDEX('Year data'!$B$57:$AC$107,MATCH($A120,'Year data'!$A$111:$A$161,0),MATCH('TCO Inputs'!$AZ$12+T$113-1,'Year data'!$B$110:$AC$110,0))/100))/(1+$AZ$41)^T$113</f>
        <v>824.34539488879886</v>
      </c>
      <c r="U120" s="106">
        <f>VLOOKUP($A120,'VKT US'!$B$63:$AA$113,(U$113+1),FALSE)/VLOOKUP($A120,'Fuel economy adjusted factor'!$A$2:$F$52,5,FALSE)/$AZ$84*($AZ$15*('US Grid mix, emissions&amp;prices'!$AU$3+INDEX('Year data'!$B$3:$AC$53,MATCH('TCO Inputs'!$A120,'Year data'!$A$111:$A$161,0),MATCH('TCO Inputs'!$AZ$12+U$113-1,'Year data'!$B$110:$AC$110,0))/100)+$BA$15*('US Grid mix, emissions&amp;prices'!$AU$4+INDEX('Year data'!$B$57:$AC$107,MATCH($A120,'Year data'!$A$111:$A$161,0),MATCH('TCO Inputs'!$AZ$12+U$113-1,'Year data'!$B$110:$AC$110,0))/100))/(1+$AZ$41)^U$113</f>
        <v>800.31191172007686</v>
      </c>
      <c r="V120" s="110" cm="1">
        <f t="array" ref="V120">SUMPRODUCT(INDEX(B120:U120,,_xlfn.SEQUENCE($AZ$13)))</f>
        <v>17463.258312405156</v>
      </c>
      <c r="Y120" s="102" t="s">
        <v>191</v>
      </c>
      <c r="Z120" s="106">
        <f>VLOOKUP($A120,'VKT US'!$B$63:$AA$113,(Z$113+1),FALSE)/VLOOKUP($A120,'Fuel economy adjusted factor'!$A$2:$F$52,5,FALSE)/$AZ$84</f>
        <v>5253.3653539676352</v>
      </c>
      <c r="AA120" s="106">
        <f>VLOOKUP($A120,'VKT US'!$B$63:$AA$113,(AA$113+1),FALSE)/VLOOKUP($A120,'Fuel economy adjusted factor'!$A$2:$F$52,5,FALSE)/$AZ$84</f>
        <v>5097.1145218975598</v>
      </c>
      <c r="AB120" s="106">
        <f>VLOOKUP($A120,'VKT US'!$B$63:$AA$113,(AB$113+1),FALSE)/VLOOKUP($A120,'Fuel economy adjusted factor'!$A$2:$F$52,5,FALSE)/$AZ$84</f>
        <v>4945.7939345287259</v>
      </c>
      <c r="AC120" s="106">
        <f>VLOOKUP($A120,'VKT US'!$B$63:$AA$113,(AC$113+1),FALSE)/VLOOKUP($A120,'Fuel economy adjusted factor'!$A$2:$F$52,5,FALSE)/$AZ$84</f>
        <v>4799.7828414535361</v>
      </c>
      <c r="AD120" s="106">
        <f>VLOOKUP($A120,'VKT US'!$B$63:$AA$113,(AD$113+1),FALSE)/VLOOKUP($A120,'Fuel economy adjusted factor'!$A$2:$F$52,5,FALSE)/$AZ$84</f>
        <v>4658.7019930795859</v>
      </c>
      <c r="AE120" s="106">
        <f>VLOOKUP($A120,'VKT US'!$B$63:$AA$113,(AE$113+1),FALSE)/VLOOKUP($A120,'Fuel economy adjusted factor'!$A$2:$F$52,5,FALSE)/$AZ$84</f>
        <v>4523.3098885916816</v>
      </c>
      <c r="AF120" s="106">
        <f>VLOOKUP($A120,'VKT US'!$B$63:$AA$113,(AF$113+1),FALSE)/VLOOKUP($A120,'Fuel economy adjusted factor'!$A$2:$F$52,5,FALSE)/$AZ$84</f>
        <v>4392.4687792126151</v>
      </c>
      <c r="AG120" s="106">
        <f>VLOOKUP($A120,'VKT US'!$B$63:$AA$113,(AG$113+1),FALSE)/VLOOKUP($A120,'Fuel economy adjusted factor'!$A$2:$F$52,5,FALSE)/$AZ$84</f>
        <v>4266.9371641271919</v>
      </c>
      <c r="AH120" s="106">
        <f>VLOOKUP($A120,'VKT US'!$B$63:$AA$113,(AH$113+1),FALSE)/VLOOKUP($A120,'Fuel economy adjusted factor'!$A$2:$F$52,5,FALSE)/$AZ$84</f>
        <v>4146.7150433354109</v>
      </c>
      <c r="AI120" s="106">
        <f>VLOOKUP($A120,'VKT US'!$B$63:$AA$113,(AI$113+1),FALSE)/VLOOKUP($A120,'Fuel economy adjusted factor'!$A$2:$F$52,5,FALSE)/$AZ$84</f>
        <v>4031.8024168372744</v>
      </c>
      <c r="AJ120" s="106">
        <f>VLOOKUP($A120,'VKT US'!$B$63:$AA$113,(AJ$113+1),FALSE)/VLOOKUP($A120,'Fuel economy adjusted factor'!$A$2:$F$52,5,FALSE)/$AZ$84</f>
        <v>3921.8200350403768</v>
      </c>
      <c r="AK120" s="106">
        <f>VLOOKUP($A120,'VKT US'!$B$63:$AA$113,(AK$113+1),FALSE)/VLOOKUP($A120,'Fuel economy adjusted factor'!$A$2:$F$52,5,FALSE)/$AZ$84</f>
        <v>3817.1471475371236</v>
      </c>
      <c r="AL120" s="106">
        <f>VLOOKUP($A120,'VKT US'!$B$63:$AA$113,(AL$113+1),FALSE)/VLOOKUP($A120,'Fuel economy adjusted factor'!$A$2:$F$52,5,FALSE)/$AZ$84</f>
        <v>3717.404504735111</v>
      </c>
      <c r="AM120" s="106">
        <f>VLOOKUP($A120,'VKT US'!$B$63:$AA$113,(AM$113+1),FALSE)/VLOOKUP($A120,'Fuel economy adjusted factor'!$A$2:$F$52,5,FALSE)/$AZ$84</f>
        <v>3622.9713562267407</v>
      </c>
      <c r="AN120" s="106">
        <f>VLOOKUP($A120,'VKT US'!$B$63:$AA$113,(AN$113+1),FALSE)/VLOOKUP($A120,'Fuel economy adjusted factor'!$A$2:$F$52,5,FALSE)/$AZ$84</f>
        <v>3533.4684524196109</v>
      </c>
      <c r="AO120" s="106">
        <f>VLOOKUP($A120,'VKT US'!$B$63:$AA$113,(AO$113+1),FALSE)/VLOOKUP($A120,'Fuel economy adjusted factor'!$A$2:$F$52,5,FALSE)/$AZ$84</f>
        <v>3449.6542924985265</v>
      </c>
      <c r="AP120" s="106">
        <f>VLOOKUP($A120,'VKT US'!$B$63:$AA$113,(AP$113+1),FALSE)/VLOOKUP($A120,'Fuel economy adjusted factor'!$A$2:$F$52,5,FALSE)/$AZ$84</f>
        <v>3370.3911276862805</v>
      </c>
      <c r="AQ120" s="106">
        <f>VLOOKUP($A120,'VKT US'!$B$63:$AA$113,(AQ$113+1),FALSE)/VLOOKUP($A120,'Fuel economy adjusted factor'!$A$2:$F$52,5,FALSE)/$AZ$84</f>
        <v>3296.8167067600812</v>
      </c>
      <c r="AR120" s="106">
        <f>VLOOKUP($A120,'VKT US'!$B$63:$AA$113,(AR$113+1),FALSE)/VLOOKUP($A120,'Fuel economy adjusted factor'!$A$2:$F$52,5,FALSE)/$AZ$84</f>
        <v>3227.793280942718</v>
      </c>
      <c r="AS120" s="106">
        <f>VLOOKUP($A120,'VKT US'!$B$63:$AA$113,(AS$113+1),FALSE)/VLOOKUP($A120,'Fuel economy adjusted factor'!$A$2:$F$52,5,FALSE)/$AZ$84</f>
        <v>3164.4585990114019</v>
      </c>
      <c r="AT120" s="110" cm="1">
        <f t="array" ref="AT120">SUMPRODUCT(INDEX(Z120:AS120,,_xlfn.SEQUENCE($AZ$13)))</f>
        <v>61195.334980570573</v>
      </c>
    </row>
    <row r="121" spans="1:46" x14ac:dyDescent="0.25">
      <c r="A121" s="102" t="s">
        <v>192</v>
      </c>
      <c r="B121" s="106">
        <f>VLOOKUP($A121,'VKT US'!$B$63:$AA$113,(B$113+1),FALSE)/VLOOKUP($A121,'Fuel economy adjusted factor'!$A$2:$F$52,5,FALSE)/$AZ$84*($AZ$15*('US Grid mix, emissions&amp;prices'!$AU$3+INDEX('Year data'!$B$3:$AC$53,MATCH('TCO Inputs'!$A121,'Year data'!$A$111:$A$161,0),MATCH('TCO Inputs'!$AZ$12+B$113-1,'Year data'!$B$110:$AC$110,0))/100)+$BA$15*('US Grid mix, emissions&amp;prices'!$AU$4+INDEX('Year data'!$B$57:$AC$107,MATCH($A121,'Year data'!$A$111:$A$161,0),MATCH('TCO Inputs'!$AZ$12+B$113-1,'Year data'!$B$110:$AC$110,0))/100))/(1+$AZ$41)^B$113</f>
        <v>1071.0559863494366</v>
      </c>
      <c r="C121" s="106">
        <f>VLOOKUP($A121,'VKT US'!$B$63:$AA$113,(C$113+1),FALSE)/VLOOKUP($A121,'Fuel economy adjusted factor'!$A$2:$F$52,5,FALSE)/$AZ$84*($AZ$15*('US Grid mix, emissions&amp;prices'!$AU$3+INDEX('Year data'!$B$3:$AC$53,MATCH('TCO Inputs'!$A121,'Year data'!$A$111:$A$161,0),MATCH('TCO Inputs'!$AZ$12+C$113-1,'Year data'!$B$110:$AC$110,0))/100)+$BA$15*('US Grid mix, emissions&amp;prices'!$AU$4+INDEX('Year data'!$B$57:$AC$107,MATCH($A121,'Year data'!$A$111:$A$161,0),MATCH('TCO Inputs'!$AZ$12+C$113-1,'Year data'!$B$110:$AC$110,0))/100))/(1+$AZ$41)^C$113</f>
        <v>1009.1846546137833</v>
      </c>
      <c r="D121" s="106">
        <f>VLOOKUP($A121,'VKT US'!$B$63:$AA$113,(D$113+1),FALSE)/VLOOKUP($A121,'Fuel economy adjusted factor'!$A$2:$F$52,5,FALSE)/$AZ$84*($AZ$15*('US Grid mix, emissions&amp;prices'!$AU$3+INDEX('Year data'!$B$3:$AC$53,MATCH('TCO Inputs'!$A121,'Year data'!$A$111:$A$161,0),MATCH('TCO Inputs'!$AZ$12+D$113-1,'Year data'!$B$110:$AC$110,0))/100)+$BA$15*('US Grid mix, emissions&amp;prices'!$AU$4+INDEX('Year data'!$B$57:$AC$107,MATCH($A121,'Year data'!$A$111:$A$161,0),MATCH('TCO Inputs'!$AZ$12+D$113-1,'Year data'!$B$110:$AC$110,0))/100))/(1+$AZ$41)^D$113</f>
        <v>946.78515395369493</v>
      </c>
      <c r="E121" s="106">
        <f>VLOOKUP($A121,'VKT US'!$B$63:$AA$113,(E$113+1),FALSE)/VLOOKUP($A121,'Fuel economy adjusted factor'!$A$2:$F$52,5,FALSE)/$AZ$84*($AZ$15*('US Grid mix, emissions&amp;prices'!$AU$3+INDEX('Year data'!$B$3:$AC$53,MATCH('TCO Inputs'!$A121,'Year data'!$A$111:$A$161,0),MATCH('TCO Inputs'!$AZ$12+E$113-1,'Year data'!$B$110:$AC$110,0))/100)+$BA$15*('US Grid mix, emissions&amp;prices'!$AU$4+INDEX('Year data'!$B$57:$AC$107,MATCH($A121,'Year data'!$A$111:$A$161,0),MATCH('TCO Inputs'!$AZ$12+E$113-1,'Year data'!$B$110:$AC$110,0))/100))/(1+$AZ$41)^E$113</f>
        <v>896.44861920627909</v>
      </c>
      <c r="F121" s="106">
        <f>VLOOKUP($A121,'VKT US'!$B$63:$AA$113,(F$113+1),FALSE)/VLOOKUP($A121,'Fuel economy adjusted factor'!$A$2:$F$52,5,FALSE)/$AZ$84*($AZ$15*('US Grid mix, emissions&amp;prices'!$AU$3+INDEX('Year data'!$B$3:$AC$53,MATCH('TCO Inputs'!$A121,'Year data'!$A$111:$A$161,0),MATCH('TCO Inputs'!$AZ$12+F$113-1,'Year data'!$B$110:$AC$110,0))/100)+$BA$15*('US Grid mix, emissions&amp;prices'!$AU$4+INDEX('Year data'!$B$57:$AC$107,MATCH($A121,'Year data'!$A$111:$A$161,0),MATCH('TCO Inputs'!$AZ$12+F$113-1,'Year data'!$B$110:$AC$110,0))/100))/(1+$AZ$41)^F$113</f>
        <v>851.48955215682668</v>
      </c>
      <c r="G121" s="106">
        <f>VLOOKUP($A121,'VKT US'!$B$63:$AA$113,(G$113+1),FALSE)/VLOOKUP($A121,'Fuel economy adjusted factor'!$A$2:$F$52,5,FALSE)/$AZ$84*($AZ$15*('US Grid mix, emissions&amp;prices'!$AU$3+INDEX('Year data'!$B$3:$AC$53,MATCH('TCO Inputs'!$A121,'Year data'!$A$111:$A$161,0),MATCH('TCO Inputs'!$AZ$12+G$113-1,'Year data'!$B$110:$AC$110,0))/100)+$BA$15*('US Grid mix, emissions&amp;prices'!$AU$4+INDEX('Year data'!$B$57:$AC$107,MATCH($A121,'Year data'!$A$111:$A$161,0),MATCH('TCO Inputs'!$AZ$12+G$113-1,'Year data'!$B$110:$AC$110,0))/100))/(1+$AZ$41)^G$113</f>
        <v>811.24913379962243</v>
      </c>
      <c r="H121" s="106">
        <f>VLOOKUP($A121,'VKT US'!$B$63:$AA$113,(H$113+1),FALSE)/VLOOKUP($A121,'Fuel economy adjusted factor'!$A$2:$F$52,5,FALSE)/$AZ$84*($AZ$15*('US Grid mix, emissions&amp;prices'!$AU$3+INDEX('Year data'!$B$3:$AC$53,MATCH('TCO Inputs'!$A121,'Year data'!$A$111:$A$161,0),MATCH('TCO Inputs'!$AZ$12+H$113-1,'Year data'!$B$110:$AC$110,0))/100)+$BA$15*('US Grid mix, emissions&amp;prices'!$AU$4+INDEX('Year data'!$B$57:$AC$107,MATCH($A121,'Year data'!$A$111:$A$161,0),MATCH('TCO Inputs'!$AZ$12+H$113-1,'Year data'!$B$110:$AC$110,0))/100))/(1+$AZ$41)^H$113</f>
        <v>776.61156302913514</v>
      </c>
      <c r="I121" s="106">
        <f>VLOOKUP($A121,'VKT US'!$B$63:$AA$113,(I$113+1),FALSE)/VLOOKUP($A121,'Fuel economy adjusted factor'!$A$2:$F$52,5,FALSE)/$AZ$84*($AZ$15*('US Grid mix, emissions&amp;prices'!$AU$3+INDEX('Year data'!$B$3:$AC$53,MATCH('TCO Inputs'!$A121,'Year data'!$A$111:$A$161,0),MATCH('TCO Inputs'!$AZ$12+I$113-1,'Year data'!$B$110:$AC$110,0))/100)+$BA$15*('US Grid mix, emissions&amp;prices'!$AU$4+INDEX('Year data'!$B$57:$AC$107,MATCH($A121,'Year data'!$A$111:$A$161,0),MATCH('TCO Inputs'!$AZ$12+I$113-1,'Year data'!$B$110:$AC$110,0))/100))/(1+$AZ$41)^I$113</f>
        <v>746.3773938654731</v>
      </c>
      <c r="J121" s="106">
        <f>VLOOKUP($A121,'VKT US'!$B$63:$AA$113,(J$113+1),FALSE)/VLOOKUP($A121,'Fuel economy adjusted factor'!$A$2:$F$52,5,FALSE)/$AZ$84*($AZ$15*('US Grid mix, emissions&amp;prices'!$AU$3+INDEX('Year data'!$B$3:$AC$53,MATCH('TCO Inputs'!$A121,'Year data'!$A$111:$A$161,0),MATCH('TCO Inputs'!$AZ$12+J$113-1,'Year data'!$B$110:$AC$110,0))/100)+$BA$15*('US Grid mix, emissions&amp;prices'!$AU$4+INDEX('Year data'!$B$57:$AC$107,MATCH($A121,'Year data'!$A$111:$A$161,0),MATCH('TCO Inputs'!$AZ$12+J$113-1,'Year data'!$B$110:$AC$110,0))/100))/(1+$AZ$41)^J$113</f>
        <v>718.63156754648287</v>
      </c>
      <c r="K121" s="106">
        <f>VLOOKUP($A121,'VKT US'!$B$63:$AA$113,(K$113+1),FALSE)/VLOOKUP($A121,'Fuel economy adjusted factor'!$A$2:$F$52,5,FALSE)/$AZ$84*($AZ$15*('US Grid mix, emissions&amp;prices'!$AU$3+INDEX('Year data'!$B$3:$AC$53,MATCH('TCO Inputs'!$A121,'Year data'!$A$111:$A$161,0),MATCH('TCO Inputs'!$AZ$12+K$113-1,'Year data'!$B$110:$AC$110,0))/100)+$BA$15*('US Grid mix, emissions&amp;prices'!$AU$4+INDEX('Year data'!$B$57:$AC$107,MATCH($A121,'Year data'!$A$111:$A$161,0),MATCH('TCO Inputs'!$AZ$12+K$113-1,'Year data'!$B$110:$AC$110,0))/100))/(1+$AZ$41)^K$113</f>
        <v>692.0456977903624</v>
      </c>
      <c r="L121" s="106">
        <f>VLOOKUP($A121,'VKT US'!$B$63:$AA$113,(L$113+1),FALSE)/VLOOKUP($A121,'Fuel economy adjusted factor'!$A$2:$F$52,5,FALSE)/$AZ$84*($AZ$15*('US Grid mix, emissions&amp;prices'!$AU$3+INDEX('Year data'!$B$3:$AC$53,MATCH('TCO Inputs'!$A121,'Year data'!$A$111:$A$161,0),MATCH('TCO Inputs'!$AZ$12+L$113-1,'Year data'!$B$110:$AC$110,0))/100)+$BA$15*('US Grid mix, emissions&amp;prices'!$AU$4+INDEX('Year data'!$B$57:$AC$107,MATCH($A121,'Year data'!$A$111:$A$161,0),MATCH('TCO Inputs'!$AZ$12+L$113-1,'Year data'!$B$110:$AC$110,0))/100))/(1+$AZ$41)^L$113</f>
        <v>671.32597169683902</v>
      </c>
      <c r="M121" s="106">
        <f>VLOOKUP($A121,'VKT US'!$B$63:$AA$113,(M$113+1),FALSE)/VLOOKUP($A121,'Fuel economy adjusted factor'!$A$2:$F$52,5,FALSE)/$AZ$84*($AZ$15*('US Grid mix, emissions&amp;prices'!$AU$3+INDEX('Year data'!$B$3:$AC$53,MATCH('TCO Inputs'!$A121,'Year data'!$A$111:$A$161,0),MATCH('TCO Inputs'!$AZ$12+M$113-1,'Year data'!$B$110:$AC$110,0))/100)+$BA$15*('US Grid mix, emissions&amp;prices'!$AU$4+INDEX('Year data'!$B$57:$AC$107,MATCH($A121,'Year data'!$A$111:$A$161,0),MATCH('TCO Inputs'!$AZ$12+M$113-1,'Year data'!$B$110:$AC$110,0))/100))/(1+$AZ$41)^M$113</f>
        <v>650.10339106932713</v>
      </c>
      <c r="N121" s="106">
        <f>VLOOKUP($A121,'VKT US'!$B$63:$AA$113,(N$113+1),FALSE)/VLOOKUP($A121,'Fuel economy adjusted factor'!$A$2:$F$52,5,FALSE)/$AZ$84*($AZ$15*('US Grid mix, emissions&amp;prices'!$AU$3+INDEX('Year data'!$B$3:$AC$53,MATCH('TCO Inputs'!$A121,'Year data'!$A$111:$A$161,0),MATCH('TCO Inputs'!$AZ$12+N$113-1,'Year data'!$B$110:$AC$110,0))/100)+$BA$15*('US Grid mix, emissions&amp;prices'!$AU$4+INDEX('Year data'!$B$57:$AC$107,MATCH($A121,'Year data'!$A$111:$A$161,0),MATCH('TCO Inputs'!$AZ$12+N$113-1,'Year data'!$B$110:$AC$110,0))/100))/(1+$AZ$41)^N$113</f>
        <v>625.77545863150885</v>
      </c>
      <c r="O121" s="106">
        <f>VLOOKUP($A121,'VKT US'!$B$63:$AA$113,(O$113+1),FALSE)/VLOOKUP($A121,'Fuel economy adjusted factor'!$A$2:$F$52,5,FALSE)/$AZ$84*($AZ$15*('US Grid mix, emissions&amp;prices'!$AU$3+INDEX('Year data'!$B$3:$AC$53,MATCH('TCO Inputs'!$A121,'Year data'!$A$111:$A$161,0),MATCH('TCO Inputs'!$AZ$12+O$113-1,'Year data'!$B$110:$AC$110,0))/100)+$BA$15*('US Grid mix, emissions&amp;prices'!$AU$4+INDEX('Year data'!$B$57:$AC$107,MATCH($A121,'Year data'!$A$111:$A$161,0),MATCH('TCO Inputs'!$AZ$12+O$113-1,'Year data'!$B$110:$AC$110,0))/100))/(1+$AZ$41)^O$113</f>
        <v>604.83224024559127</v>
      </c>
      <c r="P121" s="106">
        <f>VLOOKUP($A121,'VKT US'!$B$63:$AA$113,(P$113+1),FALSE)/VLOOKUP($A121,'Fuel economy adjusted factor'!$A$2:$F$52,5,FALSE)/$AZ$84*($AZ$15*('US Grid mix, emissions&amp;prices'!$AU$3+INDEX('Year data'!$B$3:$AC$53,MATCH('TCO Inputs'!$A121,'Year data'!$A$111:$A$161,0),MATCH('TCO Inputs'!$AZ$12+P$113-1,'Year data'!$B$110:$AC$110,0))/100)+$BA$15*('US Grid mix, emissions&amp;prices'!$AU$4+INDEX('Year data'!$B$57:$AC$107,MATCH($A121,'Year data'!$A$111:$A$161,0),MATCH('TCO Inputs'!$AZ$12+P$113-1,'Year data'!$B$110:$AC$110,0))/100))/(1+$AZ$41)^P$113</f>
        <v>585.4929943663418</v>
      </c>
      <c r="Q121" s="106">
        <f>VLOOKUP($A121,'VKT US'!$B$63:$AA$113,(Q$113+1),FALSE)/VLOOKUP($A121,'Fuel economy adjusted factor'!$A$2:$F$52,5,FALSE)/$AZ$84*($AZ$15*('US Grid mix, emissions&amp;prices'!$AU$3+INDEX('Year data'!$B$3:$AC$53,MATCH('TCO Inputs'!$A121,'Year data'!$A$111:$A$161,0),MATCH('TCO Inputs'!$AZ$12+Q$113-1,'Year data'!$B$110:$AC$110,0))/100)+$BA$15*('US Grid mix, emissions&amp;prices'!$AU$4+INDEX('Year data'!$B$57:$AC$107,MATCH($A121,'Year data'!$A$111:$A$161,0),MATCH('TCO Inputs'!$AZ$12+Q$113-1,'Year data'!$B$110:$AC$110,0))/100))/(1+$AZ$41)^Q$113</f>
        <v>568.53806731690781</v>
      </c>
      <c r="R121" s="106">
        <f>VLOOKUP($A121,'VKT US'!$B$63:$AA$113,(R$113+1),FALSE)/VLOOKUP($A121,'Fuel economy adjusted factor'!$A$2:$F$52,5,FALSE)/$AZ$84*($AZ$15*('US Grid mix, emissions&amp;prices'!$AU$3+INDEX('Year data'!$B$3:$AC$53,MATCH('TCO Inputs'!$A121,'Year data'!$A$111:$A$161,0),MATCH('TCO Inputs'!$AZ$12+R$113-1,'Year data'!$B$110:$AC$110,0))/100)+$BA$15*('US Grid mix, emissions&amp;prices'!$AU$4+INDEX('Year data'!$B$57:$AC$107,MATCH($A121,'Year data'!$A$111:$A$161,0),MATCH('TCO Inputs'!$AZ$12+R$113-1,'Year data'!$B$110:$AC$110,0))/100))/(1+$AZ$41)^R$113</f>
        <v>551.39076841489396</v>
      </c>
      <c r="S121" s="106">
        <f>VLOOKUP($A121,'VKT US'!$B$63:$AA$113,(S$113+1),FALSE)/VLOOKUP($A121,'Fuel economy adjusted factor'!$A$2:$F$52,5,FALSE)/$AZ$84*($AZ$15*('US Grid mix, emissions&amp;prices'!$AU$3+INDEX('Year data'!$B$3:$AC$53,MATCH('TCO Inputs'!$A121,'Year data'!$A$111:$A$161,0),MATCH('TCO Inputs'!$AZ$12+S$113-1,'Year data'!$B$110:$AC$110,0))/100)+$BA$15*('US Grid mix, emissions&amp;prices'!$AU$4+INDEX('Year data'!$B$57:$AC$107,MATCH($A121,'Year data'!$A$111:$A$161,0),MATCH('TCO Inputs'!$AZ$12+S$113-1,'Year data'!$B$110:$AC$110,0))/100))/(1+$AZ$41)^S$113</f>
        <v>535.31599909639885</v>
      </c>
      <c r="T121" s="106">
        <f>VLOOKUP($A121,'VKT US'!$B$63:$AA$113,(T$113+1),FALSE)/VLOOKUP($A121,'Fuel economy adjusted factor'!$A$2:$F$52,5,FALSE)/$AZ$84*($AZ$15*('US Grid mix, emissions&amp;prices'!$AU$3+INDEX('Year data'!$B$3:$AC$53,MATCH('TCO Inputs'!$A121,'Year data'!$A$111:$A$161,0),MATCH('TCO Inputs'!$AZ$12+T$113-1,'Year data'!$B$110:$AC$110,0))/100)+$BA$15*('US Grid mix, emissions&amp;prices'!$AU$4+INDEX('Year data'!$B$57:$AC$107,MATCH($A121,'Year data'!$A$111:$A$161,0),MATCH('TCO Inputs'!$AZ$12+T$113-1,'Year data'!$B$110:$AC$110,0))/100))/(1+$AZ$41)^T$113</f>
        <v>519.70538183054407</v>
      </c>
      <c r="U121" s="106">
        <f>VLOOKUP($A121,'VKT US'!$B$63:$AA$113,(U$113+1),FALSE)/VLOOKUP($A121,'Fuel economy adjusted factor'!$A$2:$F$52,5,FALSE)/$AZ$84*($AZ$15*('US Grid mix, emissions&amp;prices'!$AU$3+INDEX('Year data'!$B$3:$AC$53,MATCH('TCO Inputs'!$A121,'Year data'!$A$111:$A$161,0),MATCH('TCO Inputs'!$AZ$12+U$113-1,'Year data'!$B$110:$AC$110,0))/100)+$BA$15*('US Grid mix, emissions&amp;prices'!$AU$4+INDEX('Year data'!$B$57:$AC$107,MATCH($A121,'Year data'!$A$111:$A$161,0),MATCH('TCO Inputs'!$AZ$12+U$113-1,'Year data'!$B$110:$AC$110,0))/100))/(1+$AZ$41)^U$113</f>
        <v>504.37184520304709</v>
      </c>
      <c r="V121" s="110" cm="1">
        <f t="array" ref="V121">SUMPRODUCT(INDEX(B121:U121,,_xlfn.SEQUENCE($AZ$13)))</f>
        <v>11071.916383954363</v>
      </c>
      <c r="Y121" s="102" t="s">
        <v>192</v>
      </c>
      <c r="Z121" s="106">
        <f>VLOOKUP($A121,'VKT US'!$B$63:$AA$113,(Z$113+1),FALSE)/VLOOKUP($A121,'Fuel economy adjusted factor'!$A$2:$F$52,5,FALSE)/$AZ$84</f>
        <v>5215.6045144720456</v>
      </c>
      <c r="AA121" s="106">
        <f>VLOOKUP($A121,'VKT US'!$B$63:$AA$113,(AA$113+1),FALSE)/VLOOKUP($A121,'Fuel economy adjusted factor'!$A$2:$F$52,5,FALSE)/$AZ$84</f>
        <v>5060.4768029529514</v>
      </c>
      <c r="AB121" s="106">
        <f>VLOOKUP($A121,'VKT US'!$B$63:$AA$113,(AB$113+1),FALSE)/VLOOKUP($A121,'Fuel economy adjusted factor'!$A$2:$F$52,5,FALSE)/$AZ$84</f>
        <v>4910.2438978652863</v>
      </c>
      <c r="AC121" s="106">
        <f>VLOOKUP($A121,'VKT US'!$B$63:$AA$113,(AC$113+1),FALSE)/VLOOKUP($A121,'Fuel economy adjusted factor'!$A$2:$F$52,5,FALSE)/$AZ$84</f>
        <v>4765.2823227806957</v>
      </c>
      <c r="AD121" s="106">
        <f>VLOOKUP($A121,'VKT US'!$B$63:$AA$113,(AD$113+1),FALSE)/VLOOKUP($A121,'Fuel economy adjusted factor'!$A$2:$F$52,5,FALSE)/$AZ$84</f>
        <v>4625.2155541275333</v>
      </c>
      <c r="AE121" s="106">
        <f>VLOOKUP($A121,'VKT US'!$B$63:$AA$113,(AE$113+1),FALSE)/VLOOKUP($A121,'Fuel economy adjusted factor'!$A$2:$F$52,5,FALSE)/$AZ$84</f>
        <v>4490.7966390490956</v>
      </c>
      <c r="AF121" s="106">
        <f>VLOOKUP($A121,'VKT US'!$B$63:$AA$113,(AF$113+1),FALSE)/VLOOKUP($A121,'Fuel economy adjusted factor'!$A$2:$F$52,5,FALSE)/$AZ$84</f>
        <v>4360.8960068304386</v>
      </c>
      <c r="AG121" s="106">
        <f>VLOOKUP($A121,'VKT US'!$B$63:$AA$113,(AG$113+1),FALSE)/VLOOKUP($A121,'Fuel economy adjusted factor'!$A$2:$F$52,5,FALSE)/$AZ$84</f>
        <v>4236.2667046148563</v>
      </c>
      <c r="AH121" s="106">
        <f>VLOOKUP($A121,'VKT US'!$B$63:$AA$113,(AH$113+1),FALSE)/VLOOKUP($A121,'Fuel economy adjusted factor'!$A$2:$F$52,5,FALSE)/$AZ$84</f>
        <v>4116.9087324023494</v>
      </c>
      <c r="AI121" s="106">
        <f>VLOOKUP($A121,'VKT US'!$B$63:$AA$113,(AI$113+1),FALSE)/VLOOKUP($A121,'Fuel economy adjusted factor'!$A$2:$F$52,5,FALSE)/$AZ$84</f>
        <v>4002.8220901929199</v>
      </c>
      <c r="AJ121" s="106">
        <f>VLOOKUP($A121,'VKT US'!$B$63:$AA$113,(AJ$113+1),FALSE)/VLOOKUP($A121,'Fuel economy adjusted factor'!$A$2:$F$52,5,FALSE)/$AZ$84</f>
        <v>3893.6302544149166</v>
      </c>
      <c r="AK121" s="106">
        <f>VLOOKUP($A121,'VKT US'!$B$63:$AA$113,(AK$113+1),FALSE)/VLOOKUP($A121,'Fuel economy adjusted factor'!$A$2:$F$52,5,FALSE)/$AZ$84</f>
        <v>3789.7097486399894</v>
      </c>
      <c r="AL121" s="106">
        <f>VLOOKUP($A121,'VKT US'!$B$63:$AA$113,(AL$113+1),FALSE)/VLOOKUP($A121,'Fuel economy adjusted factor'!$A$2:$F$52,5,FALSE)/$AZ$84</f>
        <v>3690.6840492964902</v>
      </c>
      <c r="AM121" s="106">
        <f>VLOOKUP($A121,'VKT US'!$B$63:$AA$113,(AM$113+1),FALSE)/VLOOKUP($A121,'Fuel economy adjusted factor'!$A$2:$F$52,5,FALSE)/$AZ$84</f>
        <v>3596.929679956068</v>
      </c>
      <c r="AN121" s="106">
        <f>VLOOKUP($A121,'VKT US'!$B$63:$AA$113,(AN$113+1),FALSE)/VLOOKUP($A121,'Fuel economy adjusted factor'!$A$2:$F$52,5,FALSE)/$AZ$84</f>
        <v>3508.0701170470725</v>
      </c>
      <c r="AO121" s="106">
        <f>VLOOKUP($A121,'VKT US'!$B$63:$AA$113,(AO$113+1),FALSE)/VLOOKUP($A121,'Fuel economy adjusted factor'!$A$2:$F$52,5,FALSE)/$AZ$84</f>
        <v>3424.8584077128016</v>
      </c>
      <c r="AP121" s="106">
        <f>VLOOKUP($A121,'VKT US'!$B$63:$AA$113,(AP$113+1),FALSE)/VLOOKUP($A121,'Fuel economy adjusted factor'!$A$2:$F$52,5,FALSE)/$AZ$84</f>
        <v>3346.1649812383093</v>
      </c>
      <c r="AQ121" s="106">
        <f>VLOOKUP($A121,'VKT US'!$B$63:$AA$113,(AQ$113+1),FALSE)/VLOOKUP($A121,'Fuel economy adjusted factor'!$A$2:$F$52,5,FALSE)/$AZ$84</f>
        <v>3273.1194083385426</v>
      </c>
      <c r="AR121" s="106">
        <f>VLOOKUP($A121,'VKT US'!$B$63:$AA$113,(AR$113+1),FALSE)/VLOOKUP($A121,'Fuel economy adjusted factor'!$A$2:$F$52,5,FALSE)/$AZ$84</f>
        <v>3204.5921182985544</v>
      </c>
      <c r="AS121" s="106">
        <f>VLOOKUP($A121,'VKT US'!$B$63:$AA$113,(AS$113+1),FALSE)/VLOOKUP($A121,'Fuel economy adjusted factor'!$A$2:$F$52,5,FALSE)/$AZ$84</f>
        <v>3141.7126818332904</v>
      </c>
      <c r="AT121" s="110" cm="1">
        <f t="array" ref="AT121">SUMPRODUCT(INDEX(Z121:AS121,,_xlfn.SEQUENCE($AZ$13)))</f>
        <v>60755.466997595635</v>
      </c>
    </row>
    <row r="122" spans="1:46" x14ac:dyDescent="0.25">
      <c r="A122" s="102" t="s">
        <v>193</v>
      </c>
      <c r="B122" s="106">
        <f>VLOOKUP($A122,'VKT US'!$B$63:$AA$113,(B$113+1),FALSE)/VLOOKUP($A122,'Fuel economy adjusted factor'!$A$2:$F$52,5,FALSE)/$AZ$84*($AZ$15*('US Grid mix, emissions&amp;prices'!$AU$3+INDEX('Year data'!$B$3:$AC$53,MATCH('TCO Inputs'!$A122,'Year data'!$A$111:$A$161,0),MATCH('TCO Inputs'!$AZ$12+B$113-1,'Year data'!$B$110:$AC$110,0))/100)+$BA$15*('US Grid mix, emissions&amp;prices'!$AU$4+INDEX('Year data'!$B$57:$AC$107,MATCH($A122,'Year data'!$A$111:$A$161,0),MATCH('TCO Inputs'!$AZ$12+B$113-1,'Year data'!$B$110:$AC$110,0))/100))/(1+$AZ$41)^B$113</f>
        <v>1134.7726184226672</v>
      </c>
      <c r="C122" s="106">
        <f>VLOOKUP($A122,'VKT US'!$B$63:$AA$113,(C$113+1),FALSE)/VLOOKUP($A122,'Fuel economy adjusted factor'!$A$2:$F$52,5,FALSE)/$AZ$84*($AZ$15*('US Grid mix, emissions&amp;prices'!$AU$3+INDEX('Year data'!$B$3:$AC$53,MATCH('TCO Inputs'!$A122,'Year data'!$A$111:$A$161,0),MATCH('TCO Inputs'!$AZ$12+C$113-1,'Year data'!$B$110:$AC$110,0))/100)+$BA$15*('US Grid mix, emissions&amp;prices'!$AU$4+INDEX('Year data'!$B$57:$AC$107,MATCH($A122,'Year data'!$A$111:$A$161,0),MATCH('TCO Inputs'!$AZ$12+C$113-1,'Year data'!$B$110:$AC$110,0))/100))/(1+$AZ$41)^C$113</f>
        <v>1069.405970372761</v>
      </c>
      <c r="D122" s="106">
        <f>VLOOKUP($A122,'VKT US'!$B$63:$AA$113,(D$113+1),FALSE)/VLOOKUP($A122,'Fuel economy adjusted factor'!$A$2:$F$52,5,FALSE)/$AZ$84*($AZ$15*('US Grid mix, emissions&amp;prices'!$AU$3+INDEX('Year data'!$B$3:$AC$53,MATCH('TCO Inputs'!$A122,'Year data'!$A$111:$A$161,0),MATCH('TCO Inputs'!$AZ$12+D$113-1,'Year data'!$B$110:$AC$110,0))/100)+$BA$15*('US Grid mix, emissions&amp;prices'!$AU$4+INDEX('Year data'!$B$57:$AC$107,MATCH($A122,'Year data'!$A$111:$A$161,0),MATCH('TCO Inputs'!$AZ$12+D$113-1,'Year data'!$B$110:$AC$110,0))/100))/(1+$AZ$41)^D$113</f>
        <v>1003.5141766202017</v>
      </c>
      <c r="E122" s="106">
        <f>VLOOKUP($A122,'VKT US'!$B$63:$AA$113,(E$113+1),FALSE)/VLOOKUP($A122,'Fuel economy adjusted factor'!$A$2:$F$52,5,FALSE)/$AZ$84*($AZ$15*('US Grid mix, emissions&amp;prices'!$AU$3+INDEX('Year data'!$B$3:$AC$53,MATCH('TCO Inputs'!$A122,'Year data'!$A$111:$A$161,0),MATCH('TCO Inputs'!$AZ$12+E$113-1,'Year data'!$B$110:$AC$110,0))/100)+$BA$15*('US Grid mix, emissions&amp;prices'!$AU$4+INDEX('Year data'!$B$57:$AC$107,MATCH($A122,'Year data'!$A$111:$A$161,0),MATCH('TCO Inputs'!$AZ$12+E$113-1,'Year data'!$B$110:$AC$110,0))/100))/(1+$AZ$41)^E$113</f>
        <v>950.29254159128868</v>
      </c>
      <c r="F122" s="106">
        <f>VLOOKUP($A122,'VKT US'!$B$63:$AA$113,(F$113+1),FALSE)/VLOOKUP($A122,'Fuel economy adjusted factor'!$A$2:$F$52,5,FALSE)/$AZ$84*($AZ$15*('US Grid mix, emissions&amp;prices'!$AU$3+INDEX('Year data'!$B$3:$AC$53,MATCH('TCO Inputs'!$A122,'Year data'!$A$111:$A$161,0),MATCH('TCO Inputs'!$AZ$12+F$113-1,'Year data'!$B$110:$AC$110,0))/100)+$BA$15*('US Grid mix, emissions&amp;prices'!$AU$4+INDEX('Year data'!$B$57:$AC$107,MATCH($A122,'Year data'!$A$111:$A$161,0),MATCH('TCO Inputs'!$AZ$12+F$113-1,'Year data'!$B$110:$AC$110,0))/100))/(1+$AZ$41)^F$113</f>
        <v>902.72920060848105</v>
      </c>
      <c r="G122" s="106">
        <f>VLOOKUP($A122,'VKT US'!$B$63:$AA$113,(G$113+1),FALSE)/VLOOKUP($A122,'Fuel economy adjusted factor'!$A$2:$F$52,5,FALSE)/$AZ$84*($AZ$15*('US Grid mix, emissions&amp;prices'!$AU$3+INDEX('Year data'!$B$3:$AC$53,MATCH('TCO Inputs'!$A122,'Year data'!$A$111:$A$161,0),MATCH('TCO Inputs'!$AZ$12+G$113-1,'Year data'!$B$110:$AC$110,0))/100)+$BA$15*('US Grid mix, emissions&amp;prices'!$AU$4+INDEX('Year data'!$B$57:$AC$107,MATCH($A122,'Year data'!$A$111:$A$161,0),MATCH('TCO Inputs'!$AZ$12+G$113-1,'Year data'!$B$110:$AC$110,0))/100))/(1+$AZ$41)^G$113</f>
        <v>860.13249954253286</v>
      </c>
      <c r="H122" s="106">
        <f>VLOOKUP($A122,'VKT US'!$B$63:$AA$113,(H$113+1),FALSE)/VLOOKUP($A122,'Fuel economy adjusted factor'!$A$2:$F$52,5,FALSE)/$AZ$84*($AZ$15*('US Grid mix, emissions&amp;prices'!$AU$3+INDEX('Year data'!$B$3:$AC$53,MATCH('TCO Inputs'!$A122,'Year data'!$A$111:$A$161,0),MATCH('TCO Inputs'!$AZ$12+H$113-1,'Year data'!$B$110:$AC$110,0))/100)+$BA$15*('US Grid mix, emissions&amp;prices'!$AU$4+INDEX('Year data'!$B$57:$AC$107,MATCH($A122,'Year data'!$A$111:$A$161,0),MATCH('TCO Inputs'!$AZ$12+H$113-1,'Year data'!$B$110:$AC$110,0))/100))/(1+$AZ$41)^H$113</f>
        <v>823.42755283134227</v>
      </c>
      <c r="I122" s="106">
        <f>VLOOKUP($A122,'VKT US'!$B$63:$AA$113,(I$113+1),FALSE)/VLOOKUP($A122,'Fuel economy adjusted factor'!$A$2:$F$52,5,FALSE)/$AZ$84*($AZ$15*('US Grid mix, emissions&amp;prices'!$AU$3+INDEX('Year data'!$B$3:$AC$53,MATCH('TCO Inputs'!$A122,'Year data'!$A$111:$A$161,0),MATCH('TCO Inputs'!$AZ$12+I$113-1,'Year data'!$B$110:$AC$110,0))/100)+$BA$15*('US Grid mix, emissions&amp;prices'!$AU$4+INDEX('Year data'!$B$57:$AC$107,MATCH($A122,'Year data'!$A$111:$A$161,0),MATCH('TCO Inputs'!$AZ$12+I$113-1,'Year data'!$B$110:$AC$110,0))/100))/(1+$AZ$41)^I$113</f>
        <v>791.35823179951319</v>
      </c>
      <c r="J122" s="106">
        <f>VLOOKUP($A122,'VKT US'!$B$63:$AA$113,(J$113+1),FALSE)/VLOOKUP($A122,'Fuel economy adjusted factor'!$A$2:$F$52,5,FALSE)/$AZ$84*($AZ$15*('US Grid mix, emissions&amp;prices'!$AU$3+INDEX('Year data'!$B$3:$AC$53,MATCH('TCO Inputs'!$A122,'Year data'!$A$111:$A$161,0),MATCH('TCO Inputs'!$AZ$12+J$113-1,'Year data'!$B$110:$AC$110,0))/100)+$BA$15*('US Grid mix, emissions&amp;prices'!$AU$4+INDEX('Year data'!$B$57:$AC$107,MATCH($A122,'Year data'!$A$111:$A$161,0),MATCH('TCO Inputs'!$AZ$12+J$113-1,'Year data'!$B$110:$AC$110,0))/100))/(1+$AZ$41)^J$113</f>
        <v>761.9152063810352</v>
      </c>
      <c r="K122" s="106">
        <f>VLOOKUP($A122,'VKT US'!$B$63:$AA$113,(K$113+1),FALSE)/VLOOKUP($A122,'Fuel economy adjusted factor'!$A$2:$F$52,5,FALSE)/$AZ$84*($AZ$15*('US Grid mix, emissions&amp;prices'!$AU$3+INDEX('Year data'!$B$3:$AC$53,MATCH('TCO Inputs'!$A122,'Year data'!$A$111:$A$161,0),MATCH('TCO Inputs'!$AZ$12+K$113-1,'Year data'!$B$110:$AC$110,0))/100)+$BA$15*('US Grid mix, emissions&amp;prices'!$AU$4+INDEX('Year data'!$B$57:$AC$107,MATCH($A122,'Year data'!$A$111:$A$161,0),MATCH('TCO Inputs'!$AZ$12+K$113-1,'Year data'!$B$110:$AC$110,0))/100))/(1+$AZ$41)^K$113</f>
        <v>733.70637941716348</v>
      </c>
      <c r="L122" s="106">
        <f>VLOOKUP($A122,'VKT US'!$B$63:$AA$113,(L$113+1),FALSE)/VLOOKUP($A122,'Fuel economy adjusted factor'!$A$2:$F$52,5,FALSE)/$AZ$84*($AZ$15*('US Grid mix, emissions&amp;prices'!$AU$3+INDEX('Year data'!$B$3:$AC$53,MATCH('TCO Inputs'!$A122,'Year data'!$A$111:$A$161,0),MATCH('TCO Inputs'!$AZ$12+L$113-1,'Year data'!$B$110:$AC$110,0))/100)+$BA$15*('US Grid mix, emissions&amp;prices'!$AU$4+INDEX('Year data'!$B$57:$AC$107,MATCH($A122,'Year data'!$A$111:$A$161,0),MATCH('TCO Inputs'!$AZ$12+L$113-1,'Year data'!$B$110:$AC$110,0))/100))/(1+$AZ$41)^L$113</f>
        <v>711.66411819710902</v>
      </c>
      <c r="M122" s="106">
        <f>VLOOKUP($A122,'VKT US'!$B$63:$AA$113,(M$113+1),FALSE)/VLOOKUP($A122,'Fuel economy adjusted factor'!$A$2:$F$52,5,FALSE)/$AZ$84*($AZ$15*('US Grid mix, emissions&amp;prices'!$AU$3+INDEX('Year data'!$B$3:$AC$53,MATCH('TCO Inputs'!$A122,'Year data'!$A$111:$A$161,0),MATCH('TCO Inputs'!$AZ$12+M$113-1,'Year data'!$B$110:$AC$110,0))/100)+$BA$15*('US Grid mix, emissions&amp;prices'!$AU$4+INDEX('Year data'!$B$57:$AC$107,MATCH($A122,'Year data'!$A$111:$A$161,0),MATCH('TCO Inputs'!$AZ$12+M$113-1,'Year data'!$B$110:$AC$110,0))/100))/(1+$AZ$41)^M$113</f>
        <v>689.1119440499557</v>
      </c>
      <c r="N122" s="106">
        <f>VLOOKUP($A122,'VKT US'!$B$63:$AA$113,(N$113+1),FALSE)/VLOOKUP($A122,'Fuel economy adjusted factor'!$A$2:$F$52,5,FALSE)/$AZ$84*($AZ$15*('US Grid mix, emissions&amp;prices'!$AU$3+INDEX('Year data'!$B$3:$AC$53,MATCH('TCO Inputs'!$A122,'Year data'!$A$111:$A$161,0),MATCH('TCO Inputs'!$AZ$12+N$113-1,'Year data'!$B$110:$AC$110,0))/100)+$BA$15*('US Grid mix, emissions&amp;prices'!$AU$4+INDEX('Year data'!$B$57:$AC$107,MATCH($A122,'Year data'!$A$111:$A$161,0),MATCH('TCO Inputs'!$AZ$12+N$113-1,'Year data'!$B$110:$AC$110,0))/100))/(1+$AZ$41)^N$113</f>
        <v>663.32107065797379</v>
      </c>
      <c r="O122" s="106">
        <f>VLOOKUP($A122,'VKT US'!$B$63:$AA$113,(O$113+1),FALSE)/VLOOKUP($A122,'Fuel economy adjusted factor'!$A$2:$F$52,5,FALSE)/$AZ$84*($AZ$15*('US Grid mix, emissions&amp;prices'!$AU$3+INDEX('Year data'!$B$3:$AC$53,MATCH('TCO Inputs'!$A122,'Year data'!$A$111:$A$161,0),MATCH('TCO Inputs'!$AZ$12+O$113-1,'Year data'!$B$110:$AC$110,0))/100)+$BA$15*('US Grid mix, emissions&amp;prices'!$AU$4+INDEX('Year data'!$B$57:$AC$107,MATCH($A122,'Year data'!$A$111:$A$161,0),MATCH('TCO Inputs'!$AZ$12+O$113-1,'Year data'!$B$110:$AC$110,0))/100))/(1+$AZ$41)^O$113</f>
        <v>641.09438187027922</v>
      </c>
      <c r="P122" s="106">
        <f>VLOOKUP($A122,'VKT US'!$B$63:$AA$113,(P$113+1),FALSE)/VLOOKUP($A122,'Fuel economy adjusted factor'!$A$2:$F$52,5,FALSE)/$AZ$84*($AZ$15*('US Grid mix, emissions&amp;prices'!$AU$3+INDEX('Year data'!$B$3:$AC$53,MATCH('TCO Inputs'!$A122,'Year data'!$A$111:$A$161,0),MATCH('TCO Inputs'!$AZ$12+P$113-1,'Year data'!$B$110:$AC$110,0))/100)+$BA$15*('US Grid mix, emissions&amp;prices'!$AU$4+INDEX('Year data'!$B$57:$AC$107,MATCH($A122,'Year data'!$A$111:$A$161,0),MATCH('TCO Inputs'!$AZ$12+P$113-1,'Year data'!$B$110:$AC$110,0))/100))/(1+$AZ$41)^P$113</f>
        <v>620.56370336696489</v>
      </c>
      <c r="Q122" s="106">
        <f>VLOOKUP($A122,'VKT US'!$B$63:$AA$113,(Q$113+1),FALSE)/VLOOKUP($A122,'Fuel economy adjusted factor'!$A$2:$F$52,5,FALSE)/$AZ$84*($AZ$15*('US Grid mix, emissions&amp;prices'!$AU$3+INDEX('Year data'!$B$3:$AC$53,MATCH('TCO Inputs'!$A122,'Year data'!$A$111:$A$161,0),MATCH('TCO Inputs'!$AZ$12+Q$113-1,'Year data'!$B$110:$AC$110,0))/100)+$BA$15*('US Grid mix, emissions&amp;prices'!$AU$4+INDEX('Year data'!$B$57:$AC$107,MATCH($A122,'Year data'!$A$111:$A$161,0),MATCH('TCO Inputs'!$AZ$12+Q$113-1,'Year data'!$B$110:$AC$110,0))/100))/(1+$AZ$41)^Q$113</f>
        <v>602.54878098454446</v>
      </c>
      <c r="R122" s="106">
        <f>VLOOKUP($A122,'VKT US'!$B$63:$AA$113,(R$113+1),FALSE)/VLOOKUP($A122,'Fuel economy adjusted factor'!$A$2:$F$52,5,FALSE)/$AZ$84*($AZ$15*('US Grid mix, emissions&amp;prices'!$AU$3+INDEX('Year data'!$B$3:$AC$53,MATCH('TCO Inputs'!$A122,'Year data'!$A$111:$A$161,0),MATCH('TCO Inputs'!$AZ$12+R$113-1,'Year data'!$B$110:$AC$110,0))/100)+$BA$15*('US Grid mix, emissions&amp;prices'!$AU$4+INDEX('Year data'!$B$57:$AC$107,MATCH($A122,'Year data'!$A$111:$A$161,0),MATCH('TCO Inputs'!$AZ$12+R$113-1,'Year data'!$B$110:$AC$110,0))/100))/(1+$AZ$41)^R$113</f>
        <v>584.34583456659709</v>
      </c>
      <c r="S122" s="106">
        <f>VLOOKUP($A122,'VKT US'!$B$63:$AA$113,(S$113+1),FALSE)/VLOOKUP($A122,'Fuel economy adjusted factor'!$A$2:$F$52,5,FALSE)/$AZ$84*($AZ$15*('US Grid mix, emissions&amp;prices'!$AU$3+INDEX('Year data'!$B$3:$AC$53,MATCH('TCO Inputs'!$A122,'Year data'!$A$111:$A$161,0),MATCH('TCO Inputs'!$AZ$12+S$113-1,'Year data'!$B$110:$AC$110,0))/100)+$BA$15*('US Grid mix, emissions&amp;prices'!$AU$4+INDEX('Year data'!$B$57:$AC$107,MATCH($A122,'Year data'!$A$111:$A$161,0),MATCH('TCO Inputs'!$AZ$12+S$113-1,'Year data'!$B$110:$AC$110,0))/100))/(1+$AZ$41)^S$113</f>
        <v>567.28202295114488</v>
      </c>
      <c r="T122" s="106">
        <f>VLOOKUP($A122,'VKT US'!$B$63:$AA$113,(T$113+1),FALSE)/VLOOKUP($A122,'Fuel economy adjusted factor'!$A$2:$F$52,5,FALSE)/$AZ$84*($AZ$15*('US Grid mix, emissions&amp;prices'!$AU$3+INDEX('Year data'!$B$3:$AC$53,MATCH('TCO Inputs'!$A122,'Year data'!$A$111:$A$161,0),MATCH('TCO Inputs'!$AZ$12+T$113-1,'Year data'!$B$110:$AC$110,0))/100)+$BA$15*('US Grid mix, emissions&amp;prices'!$AU$4+INDEX('Year data'!$B$57:$AC$107,MATCH($A122,'Year data'!$A$111:$A$161,0),MATCH('TCO Inputs'!$AZ$12+T$113-1,'Year data'!$B$110:$AC$110,0))/100))/(1+$AZ$41)^T$113</f>
        <v>550.71754066528604</v>
      </c>
      <c r="U122" s="106">
        <f>VLOOKUP($A122,'VKT US'!$B$63:$AA$113,(U$113+1),FALSE)/VLOOKUP($A122,'Fuel economy adjusted factor'!$A$2:$F$52,5,FALSE)/$AZ$84*($AZ$15*('US Grid mix, emissions&amp;prices'!$AU$3+INDEX('Year data'!$B$3:$AC$53,MATCH('TCO Inputs'!$A122,'Year data'!$A$111:$A$161,0),MATCH('TCO Inputs'!$AZ$12+U$113-1,'Year data'!$B$110:$AC$110,0))/100)+$BA$15*('US Grid mix, emissions&amp;prices'!$AU$4+INDEX('Year data'!$B$57:$AC$107,MATCH($A122,'Year data'!$A$111:$A$161,0),MATCH('TCO Inputs'!$AZ$12+U$113-1,'Year data'!$B$110:$AC$110,0))/100))/(1+$AZ$41)^U$113</f>
        <v>534.45781060560353</v>
      </c>
      <c r="V122" s="110" cm="1">
        <f t="array" ref="V122">SUMPRODUCT(INDEX(B122:U122,,_xlfn.SEQUENCE($AZ$13)))</f>
        <v>11736.445892362304</v>
      </c>
      <c r="Y122" s="102" t="s">
        <v>193</v>
      </c>
      <c r="Z122" s="106">
        <f>VLOOKUP($A122,'VKT US'!$B$63:$AA$113,(Z$113+1),FALSE)/VLOOKUP($A122,'Fuel economy adjusted factor'!$A$2:$F$52,5,FALSE)/$AZ$84</f>
        <v>5644.0164147935357</v>
      </c>
      <c r="AA122" s="106">
        <f>VLOOKUP($A122,'VKT US'!$B$63:$AA$113,(AA$113+1),FALSE)/VLOOKUP($A122,'Fuel economy adjusted factor'!$A$2:$F$52,5,FALSE)/$AZ$84</f>
        <v>5476.1464492365803</v>
      </c>
      <c r="AB122" s="106">
        <f>VLOOKUP($A122,'VKT US'!$B$63:$AA$113,(AB$113+1),FALSE)/VLOOKUP($A122,'Fuel economy adjusted factor'!$A$2:$F$52,5,FALSE)/$AZ$84</f>
        <v>5313.5733515248703</v>
      </c>
      <c r="AC122" s="106">
        <f>VLOOKUP($A122,'VKT US'!$B$63:$AA$113,(AC$113+1),FALSE)/VLOOKUP($A122,'Fuel economy adjusted factor'!$A$2:$F$52,5,FALSE)/$AZ$84</f>
        <v>5156.7045730311138</v>
      </c>
      <c r="AD122" s="106">
        <f>VLOOKUP($A122,'VKT US'!$B$63:$AA$113,(AD$113+1),FALSE)/VLOOKUP($A122,'Fuel economy adjusted factor'!$A$2:$F$52,5,FALSE)/$AZ$84</f>
        <v>5005.1326623826008</v>
      </c>
      <c r="AE122" s="106">
        <f>VLOOKUP($A122,'VKT US'!$B$63:$AA$113,(AE$113+1),FALSE)/VLOOKUP($A122,'Fuel economy adjusted factor'!$A$2:$F$52,5,FALSE)/$AZ$84</f>
        <v>4859.6725223247549</v>
      </c>
      <c r="AF122" s="106">
        <f>VLOOKUP($A122,'VKT US'!$B$63:$AA$113,(AF$113+1),FALSE)/VLOOKUP($A122,'Fuel economy adjusted factor'!$A$2:$F$52,5,FALSE)/$AZ$84</f>
        <v>4719.1017987394407</v>
      </c>
      <c r="AG122" s="106">
        <f>VLOOKUP($A122,'VKT US'!$B$63:$AA$113,(AG$113+1),FALSE)/VLOOKUP($A122,'Fuel economy adjusted factor'!$A$2:$F$52,5,FALSE)/$AZ$84</f>
        <v>4584.2353943720818</v>
      </c>
      <c r="AH122" s="106">
        <f>VLOOKUP($A122,'VKT US'!$B$63:$AA$113,(AH$113+1),FALSE)/VLOOKUP($A122,'Fuel economy adjusted factor'!$A$2:$F$52,5,FALSE)/$AZ$84</f>
        <v>4455.0733092226765</v>
      </c>
      <c r="AI122" s="106">
        <f>VLOOKUP($A122,'VKT US'!$B$63:$AA$113,(AI$113+1),FALSE)/VLOOKUP($A122,'Fuel economy adjusted factor'!$A$2:$F$52,5,FALSE)/$AZ$84</f>
        <v>4331.6155432912274</v>
      </c>
      <c r="AJ122" s="106">
        <f>VLOOKUP($A122,'VKT US'!$B$63:$AA$113,(AJ$113+1),FALSE)/VLOOKUP($A122,'Fuel economy adjusted factor'!$A$2:$F$52,5,FALSE)/$AZ$84</f>
        <v>4213.4546452050208</v>
      </c>
      <c r="AK122" s="106">
        <f>VLOOKUP($A122,'VKT US'!$B$63:$AA$113,(AK$113+1),FALSE)/VLOOKUP($A122,'Fuel economy adjusted factor'!$A$2:$F$52,5,FALSE)/$AZ$84</f>
        <v>4100.9980663367696</v>
      </c>
      <c r="AL122" s="106">
        <f>VLOOKUP($A122,'VKT US'!$B$63:$AA$113,(AL$113+1),FALSE)/VLOOKUP($A122,'Fuel economy adjusted factor'!$A$2:$F$52,5,FALSE)/$AZ$84</f>
        <v>3993.8383553137619</v>
      </c>
      <c r="AM122" s="106">
        <f>VLOOKUP($A122,'VKT US'!$B$63:$AA$113,(AM$113+1),FALSE)/VLOOKUP($A122,'Fuel economy adjusted factor'!$A$2:$F$52,5,FALSE)/$AZ$84</f>
        <v>3892.38296350871</v>
      </c>
      <c r="AN122" s="106">
        <f>VLOOKUP($A122,'VKT US'!$B$63:$AA$113,(AN$113+1),FALSE)/VLOOKUP($A122,'Fuel economy adjusted factor'!$A$2:$F$52,5,FALSE)/$AZ$84</f>
        <v>3796.2244395489006</v>
      </c>
      <c r="AO122" s="106">
        <f>VLOOKUP($A122,'VKT US'!$B$63:$AA$113,(AO$113+1),FALSE)/VLOOKUP($A122,'Fuel economy adjusted factor'!$A$2:$F$52,5,FALSE)/$AZ$84</f>
        <v>3706.1776861797571</v>
      </c>
      <c r="AP122" s="106">
        <f>VLOOKUP($A122,'VKT US'!$B$63:$AA$113,(AP$113+1),FALSE)/VLOOKUP($A122,'Fuel economy adjusted factor'!$A$2:$F$52,5,FALSE)/$AZ$84</f>
        <v>3621.0203492831465</v>
      </c>
      <c r="AQ122" s="106">
        <f>VLOOKUP($A122,'VKT US'!$B$63:$AA$113,(AQ$113+1),FALSE)/VLOOKUP($A122,'Fuel economy adjusted factor'!$A$2:$F$52,5,FALSE)/$AZ$84</f>
        <v>3541.9747829772018</v>
      </c>
      <c r="AR122" s="106">
        <f>VLOOKUP($A122,'VKT US'!$B$63:$AA$113,(AR$113+1),FALSE)/VLOOKUP($A122,'Fuel economy adjusted factor'!$A$2:$F$52,5,FALSE)/$AZ$84</f>
        <v>3467.8186331437901</v>
      </c>
      <c r="AS122" s="106">
        <f>VLOOKUP($A122,'VKT US'!$B$63:$AA$113,(AS$113+1),FALSE)/VLOOKUP($A122,'Fuel economy adjusted factor'!$A$2:$F$52,5,FALSE)/$AZ$84</f>
        <v>3399.7742539010437</v>
      </c>
      <c r="AT122" s="110" cm="1">
        <f t="array" ref="AT122">SUMPRODUCT(INDEX(Z122:AS122,,_xlfn.SEQUENCE($AZ$13)))</f>
        <v>65745.946049283142</v>
      </c>
    </row>
    <row r="123" spans="1:46" x14ac:dyDescent="0.25">
      <c r="A123" s="102" t="s">
        <v>194</v>
      </c>
      <c r="B123" s="106">
        <f>VLOOKUP($A123,'VKT US'!$B$63:$AA$113,(B$113+1),FALSE)/VLOOKUP($A123,'Fuel economy adjusted factor'!$A$2:$F$52,5,FALSE)/$AZ$84*($AZ$15*('US Grid mix, emissions&amp;prices'!$AU$3+INDEX('Year data'!$B$3:$AC$53,MATCH('TCO Inputs'!$A123,'Year data'!$A$111:$A$161,0),MATCH('TCO Inputs'!$AZ$12+B$113-1,'Year data'!$B$110:$AC$110,0))/100)+$BA$15*('US Grid mix, emissions&amp;prices'!$AU$4+INDEX('Year data'!$B$57:$AC$107,MATCH($A123,'Year data'!$A$111:$A$161,0),MATCH('TCO Inputs'!$AZ$12+B$113-1,'Year data'!$B$110:$AC$110,0))/100))/(1+$AZ$41)^B$113</f>
        <v>1390.6869457483949</v>
      </c>
      <c r="C123" s="106">
        <f>VLOOKUP($A123,'VKT US'!$B$63:$AA$113,(C$113+1),FALSE)/VLOOKUP($A123,'Fuel economy adjusted factor'!$A$2:$F$52,5,FALSE)/$AZ$84*($AZ$15*('US Grid mix, emissions&amp;prices'!$AU$3+INDEX('Year data'!$B$3:$AC$53,MATCH('TCO Inputs'!$A123,'Year data'!$A$111:$A$161,0),MATCH('TCO Inputs'!$AZ$12+C$113-1,'Year data'!$B$110:$AC$110,0))/100)+$BA$15*('US Grid mix, emissions&amp;prices'!$AU$4+INDEX('Year data'!$B$57:$AC$107,MATCH($A123,'Year data'!$A$111:$A$161,0),MATCH('TCO Inputs'!$AZ$12+C$113-1,'Year data'!$B$110:$AC$110,0))/100))/(1+$AZ$41)^C$113</f>
        <v>1310.474659762745</v>
      </c>
      <c r="D123" s="106">
        <f>VLOOKUP($A123,'VKT US'!$B$63:$AA$113,(D$113+1),FALSE)/VLOOKUP($A123,'Fuel economy adjusted factor'!$A$2:$F$52,5,FALSE)/$AZ$84*($AZ$15*('US Grid mix, emissions&amp;prices'!$AU$3+INDEX('Year data'!$B$3:$AC$53,MATCH('TCO Inputs'!$A123,'Year data'!$A$111:$A$161,0),MATCH('TCO Inputs'!$AZ$12+D$113-1,'Year data'!$B$110:$AC$110,0))/100)+$BA$15*('US Grid mix, emissions&amp;prices'!$AU$4+INDEX('Year data'!$B$57:$AC$107,MATCH($A123,'Year data'!$A$111:$A$161,0),MATCH('TCO Inputs'!$AZ$12+D$113-1,'Year data'!$B$110:$AC$110,0))/100))/(1+$AZ$41)^D$113</f>
        <v>1230.0087222030788</v>
      </c>
      <c r="E123" s="106">
        <f>VLOOKUP($A123,'VKT US'!$B$63:$AA$113,(E$113+1),FALSE)/VLOOKUP($A123,'Fuel economy adjusted factor'!$A$2:$F$52,5,FALSE)/$AZ$84*($AZ$15*('US Grid mix, emissions&amp;prices'!$AU$3+INDEX('Year data'!$B$3:$AC$53,MATCH('TCO Inputs'!$A123,'Year data'!$A$111:$A$161,0),MATCH('TCO Inputs'!$AZ$12+E$113-1,'Year data'!$B$110:$AC$110,0))/100)+$BA$15*('US Grid mix, emissions&amp;prices'!$AU$4+INDEX('Year data'!$B$57:$AC$107,MATCH($A123,'Year data'!$A$111:$A$161,0),MATCH('TCO Inputs'!$AZ$12+E$113-1,'Year data'!$B$110:$AC$110,0))/100))/(1+$AZ$41)^E$113</f>
        <v>1164.9560604710839</v>
      </c>
      <c r="F123" s="106">
        <f>VLOOKUP($A123,'VKT US'!$B$63:$AA$113,(F$113+1),FALSE)/VLOOKUP($A123,'Fuel economy adjusted factor'!$A$2:$F$52,5,FALSE)/$AZ$84*($AZ$15*('US Grid mix, emissions&amp;prices'!$AU$3+INDEX('Year data'!$B$3:$AC$53,MATCH('TCO Inputs'!$A123,'Year data'!$A$111:$A$161,0),MATCH('TCO Inputs'!$AZ$12+F$113-1,'Year data'!$B$110:$AC$110,0))/100)+$BA$15*('US Grid mix, emissions&amp;prices'!$AU$4+INDEX('Year data'!$B$57:$AC$107,MATCH($A123,'Year data'!$A$111:$A$161,0),MATCH('TCO Inputs'!$AZ$12+F$113-1,'Year data'!$B$110:$AC$110,0))/100))/(1+$AZ$41)^F$113</f>
        <v>1106.799329773937</v>
      </c>
      <c r="G123" s="106">
        <f>VLOOKUP($A123,'VKT US'!$B$63:$AA$113,(G$113+1),FALSE)/VLOOKUP($A123,'Fuel economy adjusted factor'!$A$2:$F$52,5,FALSE)/$AZ$84*($AZ$15*('US Grid mix, emissions&amp;prices'!$AU$3+INDEX('Year data'!$B$3:$AC$53,MATCH('TCO Inputs'!$A123,'Year data'!$A$111:$A$161,0),MATCH('TCO Inputs'!$AZ$12+G$113-1,'Year data'!$B$110:$AC$110,0))/100)+$BA$15*('US Grid mix, emissions&amp;prices'!$AU$4+INDEX('Year data'!$B$57:$AC$107,MATCH($A123,'Year data'!$A$111:$A$161,0),MATCH('TCO Inputs'!$AZ$12+G$113-1,'Year data'!$B$110:$AC$110,0))/100))/(1+$AZ$41)^G$113</f>
        <v>1054.6176477429253</v>
      </c>
      <c r="H123" s="106">
        <f>VLOOKUP($A123,'VKT US'!$B$63:$AA$113,(H$113+1),FALSE)/VLOOKUP($A123,'Fuel economy adjusted factor'!$A$2:$F$52,5,FALSE)/$AZ$84*($AZ$15*('US Grid mix, emissions&amp;prices'!$AU$3+INDEX('Year data'!$B$3:$AC$53,MATCH('TCO Inputs'!$A123,'Year data'!$A$111:$A$161,0),MATCH('TCO Inputs'!$AZ$12+H$113-1,'Year data'!$B$110:$AC$110,0))/100)+$BA$15*('US Grid mix, emissions&amp;prices'!$AU$4+INDEX('Year data'!$B$57:$AC$107,MATCH($A123,'Year data'!$A$111:$A$161,0),MATCH('TCO Inputs'!$AZ$12+H$113-1,'Year data'!$B$110:$AC$110,0))/100))/(1+$AZ$41)^H$113</f>
        <v>1009.5685025275109</v>
      </c>
      <c r="I123" s="106">
        <f>VLOOKUP($A123,'VKT US'!$B$63:$AA$113,(I$113+1),FALSE)/VLOOKUP($A123,'Fuel economy adjusted factor'!$A$2:$F$52,5,FALSE)/$AZ$84*($AZ$15*('US Grid mix, emissions&amp;prices'!$AU$3+INDEX('Year data'!$B$3:$AC$53,MATCH('TCO Inputs'!$A123,'Year data'!$A$111:$A$161,0),MATCH('TCO Inputs'!$AZ$12+I$113-1,'Year data'!$B$110:$AC$110,0))/100)+$BA$15*('US Grid mix, emissions&amp;prices'!$AU$4+INDEX('Year data'!$B$57:$AC$107,MATCH($A123,'Year data'!$A$111:$A$161,0),MATCH('TCO Inputs'!$AZ$12+I$113-1,'Year data'!$B$110:$AC$110,0))/100))/(1+$AZ$41)^I$113</f>
        <v>970.15154015041605</v>
      </c>
      <c r="J123" s="106">
        <f>VLOOKUP($A123,'VKT US'!$B$63:$AA$113,(J$113+1),FALSE)/VLOOKUP($A123,'Fuel economy adjusted factor'!$A$2:$F$52,5,FALSE)/$AZ$84*($AZ$15*('US Grid mix, emissions&amp;prices'!$AU$3+INDEX('Year data'!$B$3:$AC$53,MATCH('TCO Inputs'!$A123,'Year data'!$A$111:$A$161,0),MATCH('TCO Inputs'!$AZ$12+J$113-1,'Year data'!$B$110:$AC$110,0))/100)+$BA$15*('US Grid mix, emissions&amp;prices'!$AU$4+INDEX('Year data'!$B$57:$AC$107,MATCH($A123,'Year data'!$A$111:$A$161,0),MATCH('TCO Inputs'!$AZ$12+J$113-1,'Year data'!$B$110:$AC$110,0))/100))/(1+$AZ$41)^J$113</f>
        <v>933.89700638338695</v>
      </c>
      <c r="K123" s="106">
        <f>VLOOKUP($A123,'VKT US'!$B$63:$AA$113,(K$113+1),FALSE)/VLOOKUP($A123,'Fuel economy adjusted factor'!$A$2:$F$52,5,FALSE)/$AZ$84*($AZ$15*('US Grid mix, emissions&amp;prices'!$AU$3+INDEX('Year data'!$B$3:$AC$53,MATCH('TCO Inputs'!$A123,'Year data'!$A$111:$A$161,0),MATCH('TCO Inputs'!$AZ$12+K$113-1,'Year data'!$B$110:$AC$110,0))/100)+$BA$15*('US Grid mix, emissions&amp;prices'!$AU$4+INDEX('Year data'!$B$57:$AC$107,MATCH($A123,'Year data'!$A$111:$A$161,0),MATCH('TCO Inputs'!$AZ$12+K$113-1,'Year data'!$B$110:$AC$110,0))/100))/(1+$AZ$41)^K$113</f>
        <v>899.17369190635679</v>
      </c>
      <c r="L123" s="106">
        <f>VLOOKUP($A123,'VKT US'!$B$63:$AA$113,(L$113+1),FALSE)/VLOOKUP($A123,'Fuel economy adjusted factor'!$A$2:$F$52,5,FALSE)/$AZ$84*($AZ$15*('US Grid mix, emissions&amp;prices'!$AU$3+INDEX('Year data'!$B$3:$AC$53,MATCH('TCO Inputs'!$A123,'Year data'!$A$111:$A$161,0),MATCH('TCO Inputs'!$AZ$12+L$113-1,'Year data'!$B$110:$AC$110,0))/100)+$BA$15*('US Grid mix, emissions&amp;prices'!$AU$4+INDEX('Year data'!$B$57:$AC$107,MATCH($A123,'Year data'!$A$111:$A$161,0),MATCH('TCO Inputs'!$AZ$12+L$113-1,'Year data'!$B$110:$AC$110,0))/100))/(1+$AZ$41)^L$113</f>
        <v>871.91086763388716</v>
      </c>
      <c r="M123" s="106">
        <f>VLOOKUP($A123,'VKT US'!$B$63:$AA$113,(M$113+1),FALSE)/VLOOKUP($A123,'Fuel economy adjusted factor'!$A$2:$F$52,5,FALSE)/$AZ$84*($AZ$15*('US Grid mix, emissions&amp;prices'!$AU$3+INDEX('Year data'!$B$3:$AC$53,MATCH('TCO Inputs'!$A123,'Year data'!$A$111:$A$161,0),MATCH('TCO Inputs'!$AZ$12+M$113-1,'Year data'!$B$110:$AC$110,0))/100)+$BA$15*('US Grid mix, emissions&amp;prices'!$AU$4+INDEX('Year data'!$B$57:$AC$107,MATCH($A123,'Year data'!$A$111:$A$161,0),MATCH('TCO Inputs'!$AZ$12+M$113-1,'Year data'!$B$110:$AC$110,0))/100))/(1+$AZ$41)^M$113</f>
        <v>844.0815641487053</v>
      </c>
      <c r="N123" s="106">
        <f>VLOOKUP($A123,'VKT US'!$B$63:$AA$113,(N$113+1),FALSE)/VLOOKUP($A123,'Fuel economy adjusted factor'!$A$2:$F$52,5,FALSE)/$AZ$84*($AZ$15*('US Grid mix, emissions&amp;prices'!$AU$3+INDEX('Year data'!$B$3:$AC$53,MATCH('TCO Inputs'!$A123,'Year data'!$A$111:$A$161,0),MATCH('TCO Inputs'!$AZ$12+N$113-1,'Year data'!$B$110:$AC$110,0))/100)+$BA$15*('US Grid mix, emissions&amp;prices'!$AU$4+INDEX('Year data'!$B$57:$AC$107,MATCH($A123,'Year data'!$A$111:$A$161,0),MATCH('TCO Inputs'!$AZ$12+N$113-1,'Year data'!$B$110:$AC$110,0))/100))/(1+$AZ$41)^N$113</f>
        <v>812.4329390880099</v>
      </c>
      <c r="O123" s="106">
        <f>VLOOKUP($A123,'VKT US'!$B$63:$AA$113,(O$113+1),FALSE)/VLOOKUP($A123,'Fuel economy adjusted factor'!$A$2:$F$52,5,FALSE)/$AZ$84*($AZ$15*('US Grid mix, emissions&amp;prices'!$AU$3+INDEX('Year data'!$B$3:$AC$53,MATCH('TCO Inputs'!$A123,'Year data'!$A$111:$A$161,0),MATCH('TCO Inputs'!$AZ$12+O$113-1,'Year data'!$B$110:$AC$110,0))/100)+$BA$15*('US Grid mix, emissions&amp;prices'!$AU$4+INDEX('Year data'!$B$57:$AC$107,MATCH($A123,'Year data'!$A$111:$A$161,0),MATCH('TCO Inputs'!$AZ$12+O$113-1,'Year data'!$B$110:$AC$110,0))/100))/(1+$AZ$41)^O$113</f>
        <v>785.09726968132952</v>
      </c>
      <c r="P123" s="106">
        <f>VLOOKUP($A123,'VKT US'!$B$63:$AA$113,(P$113+1),FALSE)/VLOOKUP($A123,'Fuel economy adjusted factor'!$A$2:$F$52,5,FALSE)/$AZ$84*($AZ$15*('US Grid mix, emissions&amp;prices'!$AU$3+INDEX('Year data'!$B$3:$AC$53,MATCH('TCO Inputs'!$A123,'Year data'!$A$111:$A$161,0),MATCH('TCO Inputs'!$AZ$12+P$113-1,'Year data'!$B$110:$AC$110,0))/100)+$BA$15*('US Grid mix, emissions&amp;prices'!$AU$4+INDEX('Year data'!$B$57:$AC$107,MATCH($A123,'Year data'!$A$111:$A$161,0),MATCH('TCO Inputs'!$AZ$12+P$113-1,'Year data'!$B$110:$AC$110,0))/100))/(1+$AZ$41)^P$113</f>
        <v>759.81748838139663</v>
      </c>
      <c r="Q123" s="106">
        <f>VLOOKUP($A123,'VKT US'!$B$63:$AA$113,(Q$113+1),FALSE)/VLOOKUP($A123,'Fuel economy adjusted factor'!$A$2:$F$52,5,FALSE)/$AZ$84*($AZ$15*('US Grid mix, emissions&amp;prices'!$AU$3+INDEX('Year data'!$B$3:$AC$53,MATCH('TCO Inputs'!$A123,'Year data'!$A$111:$A$161,0),MATCH('TCO Inputs'!$AZ$12+Q$113-1,'Year data'!$B$110:$AC$110,0))/100)+$BA$15*('US Grid mix, emissions&amp;prices'!$AU$4+INDEX('Year data'!$B$57:$AC$107,MATCH($A123,'Year data'!$A$111:$A$161,0),MATCH('TCO Inputs'!$AZ$12+Q$113-1,'Year data'!$B$110:$AC$110,0))/100))/(1+$AZ$41)^Q$113</f>
        <v>737.61102987127663</v>
      </c>
      <c r="R123" s="106">
        <f>VLOOKUP($A123,'VKT US'!$B$63:$AA$113,(R$113+1),FALSE)/VLOOKUP($A123,'Fuel economy adjusted factor'!$A$2:$F$52,5,FALSE)/$AZ$84*($AZ$15*('US Grid mix, emissions&amp;prices'!$AU$3+INDEX('Year data'!$B$3:$AC$53,MATCH('TCO Inputs'!$A123,'Year data'!$A$111:$A$161,0),MATCH('TCO Inputs'!$AZ$12+R$113-1,'Year data'!$B$110:$AC$110,0))/100)+$BA$15*('US Grid mix, emissions&amp;prices'!$AU$4+INDEX('Year data'!$B$57:$AC$107,MATCH($A123,'Year data'!$A$111:$A$161,0),MATCH('TCO Inputs'!$AZ$12+R$113-1,'Year data'!$B$110:$AC$110,0))/100))/(1+$AZ$41)^R$113</f>
        <v>715.2227119978287</v>
      </c>
      <c r="S123" s="106">
        <f>VLOOKUP($A123,'VKT US'!$B$63:$AA$113,(S$113+1),FALSE)/VLOOKUP($A123,'Fuel economy adjusted factor'!$A$2:$F$52,5,FALSE)/$AZ$84*($AZ$15*('US Grid mix, emissions&amp;prices'!$AU$3+INDEX('Year data'!$B$3:$AC$53,MATCH('TCO Inputs'!$A123,'Year data'!$A$111:$A$161,0),MATCH('TCO Inputs'!$AZ$12+S$113-1,'Year data'!$B$110:$AC$110,0))/100)+$BA$15*('US Grid mix, emissions&amp;prices'!$AU$4+INDEX('Year data'!$B$57:$AC$107,MATCH($A123,'Year data'!$A$111:$A$161,0),MATCH('TCO Inputs'!$AZ$12+S$113-1,'Year data'!$B$110:$AC$110,0))/100))/(1+$AZ$41)^S$113</f>
        <v>694.22586009275244</v>
      </c>
      <c r="T123" s="106">
        <f>VLOOKUP($A123,'VKT US'!$B$63:$AA$113,(T$113+1),FALSE)/VLOOKUP($A123,'Fuel economy adjusted factor'!$A$2:$F$52,5,FALSE)/$AZ$84*($AZ$15*('US Grid mix, emissions&amp;prices'!$AU$3+INDEX('Year data'!$B$3:$AC$53,MATCH('TCO Inputs'!$A123,'Year data'!$A$111:$A$161,0),MATCH('TCO Inputs'!$AZ$12+T$113-1,'Year data'!$B$110:$AC$110,0))/100)+$BA$15*('US Grid mix, emissions&amp;prices'!$AU$4+INDEX('Year data'!$B$57:$AC$107,MATCH($A123,'Year data'!$A$111:$A$161,0),MATCH('TCO Inputs'!$AZ$12+T$113-1,'Year data'!$B$110:$AC$110,0))/100))/(1+$AZ$41)^T$113</f>
        <v>673.86798274376747</v>
      </c>
      <c r="U123" s="106">
        <f>VLOOKUP($A123,'VKT US'!$B$63:$AA$113,(U$113+1),FALSE)/VLOOKUP($A123,'Fuel economy adjusted factor'!$A$2:$F$52,5,FALSE)/$AZ$84*($AZ$15*('US Grid mix, emissions&amp;prices'!$AU$3+INDEX('Year data'!$B$3:$AC$53,MATCH('TCO Inputs'!$A123,'Year data'!$A$111:$A$161,0),MATCH('TCO Inputs'!$AZ$12+U$113-1,'Year data'!$B$110:$AC$110,0))/100)+$BA$15*('US Grid mix, emissions&amp;prices'!$AU$4+INDEX('Year data'!$B$57:$AC$107,MATCH($A123,'Year data'!$A$111:$A$161,0),MATCH('TCO Inputs'!$AZ$12+U$113-1,'Year data'!$B$110:$AC$110,0))/100))/(1+$AZ$41)^U$113</f>
        <v>653.91162149201443</v>
      </c>
      <c r="V123" s="110" cm="1">
        <f t="array" ref="V123">SUMPRODUCT(INDEX(B123:U123,,_xlfn.SEQUENCE($AZ$13)))</f>
        <v>14383.856747221771</v>
      </c>
      <c r="Y123" s="102" t="s">
        <v>194</v>
      </c>
      <c r="Z123" s="106">
        <f>VLOOKUP($A123,'VKT US'!$B$63:$AA$113,(Z$113+1),FALSE)/VLOOKUP($A123,'Fuel economy adjusted factor'!$A$2:$F$52,5,FALSE)/$AZ$84</f>
        <v>7211.748909886679</v>
      </c>
      <c r="AA123" s="106">
        <f>VLOOKUP($A123,'VKT US'!$B$63:$AA$113,(AA$113+1),FALSE)/VLOOKUP($A123,'Fuel economy adjusted factor'!$A$2:$F$52,5,FALSE)/$AZ$84</f>
        <v>6997.2498808025512</v>
      </c>
      <c r="AB123" s="106">
        <f>VLOOKUP($A123,'VKT US'!$B$63:$AA$113,(AB$113+1),FALSE)/VLOOKUP($A123,'Fuel economy adjusted factor'!$A$2:$F$52,5,FALSE)/$AZ$84</f>
        <v>6789.5190249662255</v>
      </c>
      <c r="AC123" s="106">
        <f>VLOOKUP($A123,'VKT US'!$B$63:$AA$113,(AC$113+1),FALSE)/VLOOKUP($A123,'Fuel economy adjusted factor'!$A$2:$F$52,5,FALSE)/$AZ$84</f>
        <v>6589.0769710890709</v>
      </c>
      <c r="AD123" s="106">
        <f>VLOOKUP($A123,'VKT US'!$B$63:$AA$113,(AD$113+1),FALSE)/VLOOKUP($A123,'Fuel economy adjusted factor'!$A$2:$F$52,5,FALSE)/$AZ$84</f>
        <v>6395.403090459713</v>
      </c>
      <c r="AE123" s="106">
        <f>VLOOKUP($A123,'VKT US'!$B$63:$AA$113,(AE$113+1),FALSE)/VLOOKUP($A123,'Fuel economy adjusted factor'!$A$2:$F$52,5,FALSE)/$AZ$84</f>
        <v>6209.5386405008958</v>
      </c>
      <c r="AF123" s="106">
        <f>VLOOKUP($A123,'VKT US'!$B$63:$AA$113,(AF$113+1),FALSE)/VLOOKUP($A123,'Fuel economy adjusted factor'!$A$2:$F$52,5,FALSE)/$AZ$84</f>
        <v>6029.9217350785084</v>
      </c>
      <c r="AG123" s="106">
        <f>VLOOKUP($A123,'VKT US'!$B$63:$AA$113,(AG$113+1),FALSE)/VLOOKUP($A123,'Fuel economy adjusted factor'!$A$2:$F$52,5,FALSE)/$AZ$84</f>
        <v>5857.593631615292</v>
      </c>
      <c r="AH123" s="106">
        <f>VLOOKUP($A123,'VKT US'!$B$63:$AA$113,(AH$113+1),FALSE)/VLOOKUP($A123,'Fuel economy adjusted factor'!$A$2:$F$52,5,FALSE)/$AZ$84</f>
        <v>5692.554330111243</v>
      </c>
      <c r="AI123" s="106">
        <f>VLOOKUP($A123,'VKT US'!$B$63:$AA$113,(AI$113+1),FALSE)/VLOOKUP($A123,'Fuel economy adjusted factor'!$A$2:$F$52,5,FALSE)/$AZ$84</f>
        <v>5534.8038305663649</v>
      </c>
      <c r="AJ123" s="106">
        <f>VLOOKUP($A123,'VKT US'!$B$63:$AA$113,(AJ$113+1),FALSE)/VLOOKUP($A123,'Fuel economy adjusted factor'!$A$2:$F$52,5,FALSE)/$AZ$84</f>
        <v>5383.8215042692855</v>
      </c>
      <c r="AK123" s="106">
        <f>VLOOKUP($A123,'VKT US'!$B$63:$AA$113,(AK$113+1),FALSE)/VLOOKUP($A123,'Fuel economy adjusted factor'!$A$2:$F$52,5,FALSE)/$AZ$84</f>
        <v>5240.1279799313761</v>
      </c>
      <c r="AL123" s="106">
        <f>VLOOKUP($A123,'VKT US'!$B$63:$AA$113,(AL$113+1),FALSE)/VLOOKUP($A123,'Fuel economy adjusted factor'!$A$2:$F$52,5,FALSE)/$AZ$84</f>
        <v>5103.2026288412671</v>
      </c>
      <c r="AM123" s="106">
        <f>VLOOKUP($A123,'VKT US'!$B$63:$AA$113,(AM$113+1),FALSE)/VLOOKUP($A123,'Fuel economy adjusted factor'!$A$2:$F$52,5,FALSE)/$AZ$84</f>
        <v>4973.5660797103264</v>
      </c>
      <c r="AN123" s="106">
        <f>VLOOKUP($A123,'VKT US'!$B$63:$AA$113,(AN$113+1),FALSE)/VLOOKUP($A123,'Fuel economy adjusted factor'!$A$2:$F$52,5,FALSE)/$AZ$84</f>
        <v>4850.6977038271853</v>
      </c>
      <c r="AO123" s="106">
        <f>VLOOKUP($A123,'VKT US'!$B$63:$AA$113,(AO$113+1),FALSE)/VLOOKUP($A123,'Fuel economy adjusted factor'!$A$2:$F$52,5,FALSE)/$AZ$84</f>
        <v>4735.6387586145847</v>
      </c>
      <c r="AP123" s="106">
        <f>VLOOKUP($A123,'VKT US'!$B$63:$AA$113,(AP$113+1),FALSE)/VLOOKUP($A123,'Fuel economy adjusted factor'!$A$2:$F$52,5,FALSE)/$AZ$84</f>
        <v>4626.8273579384131</v>
      </c>
      <c r="AQ123" s="106">
        <f>VLOOKUP($A123,'VKT US'!$B$63:$AA$113,(AQ$113+1),FALSE)/VLOOKUP($A123,'Fuel economy adjusted factor'!$A$2:$F$52,5,FALSE)/$AZ$84</f>
        <v>4525.8253879327822</v>
      </c>
      <c r="AR123" s="106">
        <f>VLOOKUP($A123,'VKT US'!$B$63:$AA$113,(AR$113+1),FALSE)/VLOOKUP($A123,'Fuel economy adjusted factor'!$A$2:$F$52,5,FALSE)/$AZ$84</f>
        <v>4431.0709624635801</v>
      </c>
      <c r="AS123" s="106">
        <f>VLOOKUP($A123,'VKT US'!$B$63:$AA$113,(AS$113+1),FALSE)/VLOOKUP($A123,'Fuel economy adjusted factor'!$A$2:$F$52,5,FALSE)/$AZ$84</f>
        <v>4344.125967664917</v>
      </c>
      <c r="AT123" s="110" cm="1">
        <f t="array" ref="AT123">SUMPRODUCT(INDEX(Z123:AS123,,_xlfn.SEQUENCE($AZ$13)))</f>
        <v>84008.128237828787</v>
      </c>
    </row>
    <row r="124" spans="1:46" x14ac:dyDescent="0.25">
      <c r="A124" s="102" t="s">
        <v>233</v>
      </c>
      <c r="B124" s="106">
        <f>VLOOKUP($A124,'VKT US'!$B$63:$AA$113,(B$113+1),FALSE)/VLOOKUP($A124,'Fuel economy adjusted factor'!$A$2:$F$52,5,FALSE)/$AZ$84*($AZ$15*('US Grid mix, emissions&amp;prices'!$AU$3+INDEX('Year data'!$B$3:$AC$53,MATCH('TCO Inputs'!$A124,'Year data'!$A$111:$A$161,0),MATCH('TCO Inputs'!$AZ$12+B$113-1,'Year data'!$B$110:$AC$110,0))/100)+$BA$15*('US Grid mix, emissions&amp;prices'!$AU$4+INDEX('Year data'!$B$57:$AC$107,MATCH($A124,'Year data'!$A$111:$A$161,0),MATCH('TCO Inputs'!$AZ$12+B$113-1,'Year data'!$B$110:$AC$110,0))/100))/(1+$AZ$41)^B$113</f>
        <v>2025.4160154967392</v>
      </c>
      <c r="C124" s="106">
        <f>VLOOKUP($A124,'VKT US'!$B$63:$AA$113,(C$113+1),FALSE)/VLOOKUP($A124,'Fuel economy adjusted factor'!$A$2:$F$52,5,FALSE)/$AZ$84*($AZ$15*('US Grid mix, emissions&amp;prices'!$AU$3+INDEX('Year data'!$B$3:$AC$53,MATCH('TCO Inputs'!$A124,'Year data'!$A$111:$A$161,0),MATCH('TCO Inputs'!$AZ$12+C$113-1,'Year data'!$B$110:$AC$110,0))/100)+$BA$15*('US Grid mix, emissions&amp;prices'!$AU$4+INDEX('Year data'!$B$57:$AC$107,MATCH($A124,'Year data'!$A$111:$A$161,0),MATCH('TCO Inputs'!$AZ$12+C$113-1,'Year data'!$B$110:$AC$110,0))/100))/(1+$AZ$41)^C$113</f>
        <v>1898.5999902361661</v>
      </c>
      <c r="D124" s="106">
        <f>VLOOKUP($A124,'VKT US'!$B$63:$AA$113,(D$113+1),FALSE)/VLOOKUP($A124,'Fuel economy adjusted factor'!$A$2:$F$52,5,FALSE)/$AZ$84*($AZ$15*('US Grid mix, emissions&amp;prices'!$AU$3+INDEX('Year data'!$B$3:$AC$53,MATCH('TCO Inputs'!$A124,'Year data'!$A$111:$A$161,0),MATCH('TCO Inputs'!$AZ$12+D$113-1,'Year data'!$B$110:$AC$110,0))/100)+$BA$15*('US Grid mix, emissions&amp;prices'!$AU$4+INDEX('Year data'!$B$57:$AC$107,MATCH($A124,'Year data'!$A$111:$A$161,0),MATCH('TCO Inputs'!$AZ$12+D$113-1,'Year data'!$B$110:$AC$110,0))/100))/(1+$AZ$41)^D$113</f>
        <v>1769.9976188873102</v>
      </c>
      <c r="E124" s="106">
        <f>VLOOKUP($A124,'VKT US'!$B$63:$AA$113,(E$113+1),FALSE)/VLOOKUP($A124,'Fuel economy adjusted factor'!$A$2:$F$52,5,FALSE)/$AZ$84*($AZ$15*('US Grid mix, emissions&amp;prices'!$AU$3+INDEX('Year data'!$B$3:$AC$53,MATCH('TCO Inputs'!$A124,'Year data'!$A$111:$A$161,0),MATCH('TCO Inputs'!$AZ$12+E$113-1,'Year data'!$B$110:$AC$110,0))/100)+$BA$15*('US Grid mix, emissions&amp;prices'!$AU$4+INDEX('Year data'!$B$57:$AC$107,MATCH($A124,'Year data'!$A$111:$A$161,0),MATCH('TCO Inputs'!$AZ$12+E$113-1,'Year data'!$B$110:$AC$110,0))/100))/(1+$AZ$41)^E$113</f>
        <v>1669.6069247950827</v>
      </c>
      <c r="F124" s="106">
        <f>VLOOKUP($A124,'VKT US'!$B$63:$AA$113,(F$113+1),FALSE)/VLOOKUP($A124,'Fuel economy adjusted factor'!$A$2:$F$52,5,FALSE)/$AZ$84*($AZ$15*('US Grid mix, emissions&amp;prices'!$AU$3+INDEX('Year data'!$B$3:$AC$53,MATCH('TCO Inputs'!$A124,'Year data'!$A$111:$A$161,0),MATCH('TCO Inputs'!$AZ$12+F$113-1,'Year data'!$B$110:$AC$110,0))/100)+$BA$15*('US Grid mix, emissions&amp;prices'!$AU$4+INDEX('Year data'!$B$57:$AC$107,MATCH($A124,'Year data'!$A$111:$A$161,0),MATCH('TCO Inputs'!$AZ$12+F$113-1,'Year data'!$B$110:$AC$110,0))/100))/(1+$AZ$41)^F$113</f>
        <v>1581.3012626608934</v>
      </c>
      <c r="G124" s="106">
        <f>VLOOKUP($A124,'VKT US'!$B$63:$AA$113,(G$113+1),FALSE)/VLOOKUP($A124,'Fuel economy adjusted factor'!$A$2:$F$52,5,FALSE)/$AZ$84*($AZ$15*('US Grid mix, emissions&amp;prices'!$AU$3+INDEX('Year data'!$B$3:$AC$53,MATCH('TCO Inputs'!$A124,'Year data'!$A$111:$A$161,0),MATCH('TCO Inputs'!$AZ$12+G$113-1,'Year data'!$B$110:$AC$110,0))/100)+$BA$15*('US Grid mix, emissions&amp;prices'!$AU$4+INDEX('Year data'!$B$57:$AC$107,MATCH($A124,'Year data'!$A$111:$A$161,0),MATCH('TCO Inputs'!$AZ$12+G$113-1,'Year data'!$B$110:$AC$110,0))/100))/(1+$AZ$41)^G$113</f>
        <v>1503.3218170342664</v>
      </c>
      <c r="H124" s="106">
        <f>VLOOKUP($A124,'VKT US'!$B$63:$AA$113,(H$113+1),FALSE)/VLOOKUP($A124,'Fuel economy adjusted factor'!$A$2:$F$52,5,FALSE)/$AZ$84*($AZ$15*('US Grid mix, emissions&amp;prices'!$AU$3+INDEX('Year data'!$B$3:$AC$53,MATCH('TCO Inputs'!$A124,'Year data'!$A$111:$A$161,0),MATCH('TCO Inputs'!$AZ$12+H$113-1,'Year data'!$B$110:$AC$110,0))/100)+$BA$15*('US Grid mix, emissions&amp;prices'!$AU$4+INDEX('Year data'!$B$57:$AC$107,MATCH($A124,'Year data'!$A$111:$A$161,0),MATCH('TCO Inputs'!$AZ$12+H$113-1,'Year data'!$B$110:$AC$110,0))/100))/(1+$AZ$41)^H$113</f>
        <v>1438.0027643040637</v>
      </c>
      <c r="I124" s="106">
        <f>VLOOKUP($A124,'VKT US'!$B$63:$AA$113,(I$113+1),FALSE)/VLOOKUP($A124,'Fuel economy adjusted factor'!$A$2:$F$52,5,FALSE)/$AZ$84*($AZ$15*('US Grid mix, emissions&amp;prices'!$AU$3+INDEX('Year data'!$B$3:$AC$53,MATCH('TCO Inputs'!$A124,'Year data'!$A$111:$A$161,0),MATCH('TCO Inputs'!$AZ$12+I$113-1,'Year data'!$B$110:$AC$110,0))/100)+$BA$15*('US Grid mix, emissions&amp;prices'!$AU$4+INDEX('Year data'!$B$57:$AC$107,MATCH($A124,'Year data'!$A$111:$A$161,0),MATCH('TCO Inputs'!$AZ$12+I$113-1,'Year data'!$B$110:$AC$110,0))/100))/(1+$AZ$41)^I$113</f>
        <v>1382.4188630617177</v>
      </c>
      <c r="J124" s="106">
        <f>VLOOKUP($A124,'VKT US'!$B$63:$AA$113,(J$113+1),FALSE)/VLOOKUP($A124,'Fuel economy adjusted factor'!$A$2:$F$52,5,FALSE)/$AZ$84*($AZ$15*('US Grid mix, emissions&amp;prices'!$AU$3+INDEX('Year data'!$B$3:$AC$53,MATCH('TCO Inputs'!$A124,'Year data'!$A$111:$A$161,0),MATCH('TCO Inputs'!$AZ$12+J$113-1,'Year data'!$B$110:$AC$110,0))/100)+$BA$15*('US Grid mix, emissions&amp;prices'!$AU$4+INDEX('Year data'!$B$57:$AC$107,MATCH($A124,'Year data'!$A$111:$A$161,0),MATCH('TCO Inputs'!$AZ$12+J$113-1,'Year data'!$B$110:$AC$110,0))/100))/(1+$AZ$41)^J$113</f>
        <v>1331.9176049678431</v>
      </c>
      <c r="K124" s="106">
        <f>VLOOKUP($A124,'VKT US'!$B$63:$AA$113,(K$113+1),FALSE)/VLOOKUP($A124,'Fuel economy adjusted factor'!$A$2:$F$52,5,FALSE)/$AZ$84*($AZ$15*('US Grid mix, emissions&amp;prices'!$AU$3+INDEX('Year data'!$B$3:$AC$53,MATCH('TCO Inputs'!$A124,'Year data'!$A$111:$A$161,0),MATCH('TCO Inputs'!$AZ$12+K$113-1,'Year data'!$B$110:$AC$110,0))/100)+$BA$15*('US Grid mix, emissions&amp;prices'!$AU$4+INDEX('Year data'!$B$57:$AC$107,MATCH($A124,'Year data'!$A$111:$A$161,0),MATCH('TCO Inputs'!$AZ$12+K$113-1,'Year data'!$B$110:$AC$110,0))/100))/(1+$AZ$41)^K$113</f>
        <v>1283.3873795299057</v>
      </c>
      <c r="L124" s="106">
        <f>VLOOKUP($A124,'VKT US'!$B$63:$AA$113,(L$113+1),FALSE)/VLOOKUP($A124,'Fuel economy adjusted factor'!$A$2:$F$52,5,FALSE)/$AZ$84*($AZ$15*('US Grid mix, emissions&amp;prices'!$AU$3+INDEX('Year data'!$B$3:$AC$53,MATCH('TCO Inputs'!$A124,'Year data'!$A$111:$A$161,0),MATCH('TCO Inputs'!$AZ$12+L$113-1,'Year data'!$B$110:$AC$110,0))/100)+$BA$15*('US Grid mix, emissions&amp;prices'!$AU$4+INDEX('Year data'!$B$57:$AC$107,MATCH($A124,'Year data'!$A$111:$A$161,0),MATCH('TCO Inputs'!$AZ$12+L$113-1,'Year data'!$B$110:$AC$110,0))/100))/(1+$AZ$41)^L$113</f>
        <v>1248.2068014794393</v>
      </c>
      <c r="M124" s="106">
        <f>VLOOKUP($A124,'VKT US'!$B$63:$AA$113,(M$113+1),FALSE)/VLOOKUP($A124,'Fuel economy adjusted factor'!$A$2:$F$52,5,FALSE)/$AZ$84*($AZ$15*('US Grid mix, emissions&amp;prices'!$AU$3+INDEX('Year data'!$B$3:$AC$53,MATCH('TCO Inputs'!$A124,'Year data'!$A$111:$A$161,0),MATCH('TCO Inputs'!$AZ$12+M$113-1,'Year data'!$B$110:$AC$110,0))/100)+$BA$15*('US Grid mix, emissions&amp;prices'!$AU$4+INDEX('Year data'!$B$57:$AC$107,MATCH($A124,'Year data'!$A$111:$A$161,0),MATCH('TCO Inputs'!$AZ$12+M$113-1,'Year data'!$B$110:$AC$110,0))/100))/(1+$AZ$41)^M$113</f>
        <v>1211.0456404036661</v>
      </c>
      <c r="N124" s="106">
        <f>VLOOKUP($A124,'VKT US'!$B$63:$AA$113,(N$113+1),FALSE)/VLOOKUP($A124,'Fuel economy adjusted factor'!$A$2:$F$52,5,FALSE)/$AZ$84*($AZ$15*('US Grid mix, emissions&amp;prices'!$AU$3+INDEX('Year data'!$B$3:$AC$53,MATCH('TCO Inputs'!$A124,'Year data'!$A$111:$A$161,0),MATCH('TCO Inputs'!$AZ$12+N$113-1,'Year data'!$B$110:$AC$110,0))/100)+$BA$15*('US Grid mix, emissions&amp;prices'!$AU$4+INDEX('Year data'!$B$57:$AC$107,MATCH($A124,'Year data'!$A$111:$A$161,0),MATCH('TCO Inputs'!$AZ$12+N$113-1,'Year data'!$B$110:$AC$110,0))/100))/(1+$AZ$41)^N$113</f>
        <v>1165.743662343152</v>
      </c>
      <c r="O124" s="106">
        <f>VLOOKUP($A124,'VKT US'!$B$63:$AA$113,(O$113+1),FALSE)/VLOOKUP($A124,'Fuel economy adjusted factor'!$A$2:$F$52,5,FALSE)/$AZ$84*($AZ$15*('US Grid mix, emissions&amp;prices'!$AU$3+INDEX('Year data'!$B$3:$AC$53,MATCH('TCO Inputs'!$A124,'Year data'!$A$111:$A$161,0),MATCH('TCO Inputs'!$AZ$12+O$113-1,'Year data'!$B$110:$AC$110,0))/100)+$BA$15*('US Grid mix, emissions&amp;prices'!$AU$4+INDEX('Year data'!$B$57:$AC$107,MATCH($A124,'Year data'!$A$111:$A$161,0),MATCH('TCO Inputs'!$AZ$12+O$113-1,'Year data'!$B$110:$AC$110,0))/100))/(1+$AZ$41)^O$113</f>
        <v>1127.8305531846272</v>
      </c>
      <c r="P124" s="106">
        <f>VLOOKUP($A124,'VKT US'!$B$63:$AA$113,(P$113+1),FALSE)/VLOOKUP($A124,'Fuel economy adjusted factor'!$A$2:$F$52,5,FALSE)/$AZ$84*($AZ$15*('US Grid mix, emissions&amp;prices'!$AU$3+INDEX('Year data'!$B$3:$AC$53,MATCH('TCO Inputs'!$A124,'Year data'!$A$111:$A$161,0),MATCH('TCO Inputs'!$AZ$12+P$113-1,'Year data'!$B$110:$AC$110,0))/100)+$BA$15*('US Grid mix, emissions&amp;prices'!$AU$4+INDEX('Year data'!$B$57:$AC$107,MATCH($A124,'Year data'!$A$111:$A$161,0),MATCH('TCO Inputs'!$AZ$12+P$113-1,'Year data'!$B$110:$AC$110,0))/100))/(1+$AZ$41)^P$113</f>
        <v>1093.0676380238294</v>
      </c>
      <c r="Q124" s="106">
        <f>VLOOKUP($A124,'VKT US'!$B$63:$AA$113,(Q$113+1),FALSE)/VLOOKUP($A124,'Fuel economy adjusted factor'!$A$2:$F$52,5,FALSE)/$AZ$84*($AZ$15*('US Grid mix, emissions&amp;prices'!$AU$3+INDEX('Year data'!$B$3:$AC$53,MATCH('TCO Inputs'!$A124,'Year data'!$A$111:$A$161,0),MATCH('TCO Inputs'!$AZ$12+Q$113-1,'Year data'!$B$110:$AC$110,0))/100)+$BA$15*('US Grid mix, emissions&amp;prices'!$AU$4+INDEX('Year data'!$B$57:$AC$107,MATCH($A124,'Year data'!$A$111:$A$161,0),MATCH('TCO Inputs'!$AZ$12+Q$113-1,'Year data'!$B$110:$AC$110,0))/100))/(1+$AZ$41)^Q$113</f>
        <v>1063.3248621505509</v>
      </c>
      <c r="R124" s="106">
        <f>VLOOKUP($A124,'VKT US'!$B$63:$AA$113,(R$113+1),FALSE)/VLOOKUP($A124,'Fuel economy adjusted factor'!$A$2:$F$52,5,FALSE)/$AZ$84*($AZ$15*('US Grid mix, emissions&amp;prices'!$AU$3+INDEX('Year data'!$B$3:$AC$53,MATCH('TCO Inputs'!$A124,'Year data'!$A$111:$A$161,0),MATCH('TCO Inputs'!$AZ$12+R$113-1,'Year data'!$B$110:$AC$110,0))/100)+$BA$15*('US Grid mix, emissions&amp;prices'!$AU$4+INDEX('Year data'!$B$57:$AC$107,MATCH($A124,'Year data'!$A$111:$A$161,0),MATCH('TCO Inputs'!$AZ$12+R$113-1,'Year data'!$B$110:$AC$110,0))/100))/(1+$AZ$41)^R$113</f>
        <v>1032.5276324400893</v>
      </c>
      <c r="S124" s="106">
        <f>VLOOKUP($A124,'VKT US'!$B$63:$AA$113,(S$113+1),FALSE)/VLOOKUP($A124,'Fuel economy adjusted factor'!$A$2:$F$52,5,FALSE)/$AZ$84*($AZ$15*('US Grid mix, emissions&amp;prices'!$AU$3+INDEX('Year data'!$B$3:$AC$53,MATCH('TCO Inputs'!$A124,'Year data'!$A$111:$A$161,0),MATCH('TCO Inputs'!$AZ$12+S$113-1,'Year data'!$B$110:$AC$110,0))/100)+$BA$15*('US Grid mix, emissions&amp;prices'!$AU$4+INDEX('Year data'!$B$57:$AC$107,MATCH($A124,'Year data'!$A$111:$A$161,0),MATCH('TCO Inputs'!$AZ$12+S$113-1,'Year data'!$B$110:$AC$110,0))/100))/(1+$AZ$41)^S$113</f>
        <v>1003.602740301568</v>
      </c>
      <c r="T124" s="106">
        <f>VLOOKUP($A124,'VKT US'!$B$63:$AA$113,(T$113+1),FALSE)/VLOOKUP($A124,'Fuel economy adjusted factor'!$A$2:$F$52,5,FALSE)/$AZ$84*($AZ$15*('US Grid mix, emissions&amp;prices'!$AU$3+INDEX('Year data'!$B$3:$AC$53,MATCH('TCO Inputs'!$A124,'Year data'!$A$111:$A$161,0),MATCH('TCO Inputs'!$AZ$12+T$113-1,'Year data'!$B$110:$AC$110,0))/100)+$BA$15*('US Grid mix, emissions&amp;prices'!$AU$4+INDEX('Year data'!$B$57:$AC$107,MATCH($A124,'Year data'!$A$111:$A$161,0),MATCH('TCO Inputs'!$AZ$12+T$113-1,'Year data'!$B$110:$AC$110,0))/100))/(1+$AZ$41)^T$113</f>
        <v>975.23426020103489</v>
      </c>
      <c r="U124" s="106">
        <f>VLOOKUP($A124,'VKT US'!$B$63:$AA$113,(U$113+1),FALSE)/VLOOKUP($A124,'Fuel economy adjusted factor'!$A$2:$F$52,5,FALSE)/$AZ$84*($AZ$15*('US Grid mix, emissions&amp;prices'!$AU$3+INDEX('Year data'!$B$3:$AC$53,MATCH('TCO Inputs'!$A124,'Year data'!$A$111:$A$161,0),MATCH('TCO Inputs'!$AZ$12+U$113-1,'Year data'!$B$110:$AC$110,0))/100)+$BA$15*('US Grid mix, emissions&amp;prices'!$AU$4+INDEX('Year data'!$B$57:$AC$107,MATCH($A124,'Year data'!$A$111:$A$161,0),MATCH('TCO Inputs'!$AZ$12+U$113-1,'Year data'!$B$110:$AC$110,0))/100))/(1+$AZ$41)^U$113</f>
        <v>946.8842979828122</v>
      </c>
      <c r="V124" s="110" cm="1">
        <f t="array" ref="V124">SUMPRODUCT(INDEX(B124:U124,,_xlfn.SEQUENCE($AZ$13)))</f>
        <v>20636.796898384873</v>
      </c>
      <c r="Y124" s="102" t="s">
        <v>233</v>
      </c>
      <c r="Z124" s="106">
        <f>VLOOKUP($A124,'VKT US'!$B$63:$AA$113,(Z$113+1),FALSE)/VLOOKUP($A124,'Fuel economy adjusted factor'!$A$2:$F$52,5,FALSE)/$AZ$84</f>
        <v>4522.8701189463491</v>
      </c>
      <c r="AA124" s="106">
        <f>VLOOKUP($A124,'VKT US'!$B$63:$AA$113,(AA$113+1),FALSE)/VLOOKUP($A124,'Fuel economy adjusted factor'!$A$2:$F$52,5,FALSE)/$AZ$84</f>
        <v>4388.346404753026</v>
      </c>
      <c r="AB124" s="106">
        <f>VLOOKUP($A124,'VKT US'!$B$63:$AA$113,(AB$113+1),FALSE)/VLOOKUP($A124,'Fuel economy adjusted factor'!$A$2:$F$52,5,FALSE)/$AZ$84</f>
        <v>4258.0673708619206</v>
      </c>
      <c r="AC124" s="106">
        <f>VLOOKUP($A124,'VKT US'!$B$63:$AA$113,(AC$113+1),FALSE)/VLOOKUP($A124,'Fuel economy adjusted factor'!$A$2:$F$52,5,FALSE)/$AZ$84</f>
        <v>4132.3595311424333</v>
      </c>
      <c r="AD124" s="106">
        <f>VLOOKUP($A124,'VKT US'!$B$63:$AA$113,(AD$113+1),FALSE)/VLOOKUP($A124,'Fuel economy adjusted factor'!$A$2:$F$52,5,FALSE)/$AZ$84</f>
        <v>4010.8963717251618</v>
      </c>
      <c r="AE124" s="106">
        <f>VLOOKUP($A124,'VKT US'!$B$63:$AA$113,(AE$113+1),FALSE)/VLOOKUP($A124,'Fuel economy adjusted factor'!$A$2:$F$52,5,FALSE)/$AZ$84</f>
        <v>3894.3309203489089</v>
      </c>
      <c r="AF124" s="106">
        <f>VLOOKUP($A124,'VKT US'!$B$63:$AA$113,(AF$113+1),FALSE)/VLOOKUP($A124,'Fuel economy adjusted factor'!$A$2:$F$52,5,FALSE)/$AZ$84</f>
        <v>3781.6836354054731</v>
      </c>
      <c r="AG124" s="106">
        <f>VLOOKUP($A124,'VKT US'!$B$63:$AA$113,(AG$113+1),FALSE)/VLOOKUP($A124,'Fuel economy adjusted factor'!$A$2:$F$52,5,FALSE)/$AZ$84</f>
        <v>3673.6075446336536</v>
      </c>
      <c r="AH124" s="106">
        <f>VLOOKUP($A124,'VKT US'!$B$63:$AA$113,(AH$113+1),FALSE)/VLOOKUP($A124,'Fuel economy adjusted factor'!$A$2:$F$52,5,FALSE)/$AZ$84</f>
        <v>3570.1026480334508</v>
      </c>
      <c r="AI124" s="106">
        <f>VLOOKUP($A124,'VKT US'!$B$63:$AA$113,(AI$113+1),FALSE)/VLOOKUP($A124,'Fuel economy adjusted factor'!$A$2:$F$52,5,FALSE)/$AZ$84</f>
        <v>3471.1689456048675</v>
      </c>
      <c r="AJ124" s="106">
        <f>VLOOKUP($A124,'VKT US'!$B$63:$AA$113,(AJ$113+1),FALSE)/VLOOKUP($A124,'Fuel economy adjusted factor'!$A$2:$F$52,5,FALSE)/$AZ$84</f>
        <v>3376.4799234785</v>
      </c>
      <c r="AK124" s="106">
        <f>VLOOKUP($A124,'VKT US'!$B$63:$AA$113,(AK$113+1),FALSE)/VLOOKUP($A124,'Fuel economy adjusted factor'!$A$2:$F$52,5,FALSE)/$AZ$84</f>
        <v>3286.3620955237502</v>
      </c>
      <c r="AL124" s="106">
        <f>VLOOKUP($A124,'VKT US'!$B$63:$AA$113,(AL$113+1),FALSE)/VLOOKUP($A124,'Fuel economy adjusted factor'!$A$2:$F$52,5,FALSE)/$AZ$84</f>
        <v>3200.4889478712175</v>
      </c>
      <c r="AM124" s="106">
        <f>VLOOKUP($A124,'VKT US'!$B$63:$AA$113,(AM$113+1),FALSE)/VLOOKUP($A124,'Fuel economy adjusted factor'!$A$2:$F$52,5,FALSE)/$AZ$84</f>
        <v>3119.1869943903021</v>
      </c>
      <c r="AN124" s="106">
        <f>VLOOKUP($A124,'VKT US'!$B$63:$AA$113,(AN$113+1),FALSE)/VLOOKUP($A124,'Fuel economy adjusted factor'!$A$2:$F$52,5,FALSE)/$AZ$84</f>
        <v>3042.1297212116028</v>
      </c>
      <c r="AO124" s="106">
        <f>VLOOKUP($A124,'VKT US'!$B$63:$AA$113,(AO$113+1),FALSE)/VLOOKUP($A124,'Fuel economy adjusted factor'!$A$2:$F$52,5,FALSE)/$AZ$84</f>
        <v>2969.9701560739227</v>
      </c>
      <c r="AP124" s="106">
        <f>VLOOKUP($A124,'VKT US'!$B$63:$AA$113,(AP$113+1),FALSE)/VLOOKUP($A124,'Fuel economy adjusted factor'!$A$2:$F$52,5,FALSE)/$AZ$84</f>
        <v>2901.7287573690583</v>
      </c>
      <c r="AQ124" s="106">
        <f>VLOOKUP($A124,'VKT US'!$B$63:$AA$113,(AQ$113+1),FALSE)/VLOOKUP($A124,'Fuel economy adjusted factor'!$A$2:$F$52,5,FALSE)/$AZ$84</f>
        <v>2838.3850667052125</v>
      </c>
      <c r="AR124" s="106">
        <f>VLOOKUP($A124,'VKT US'!$B$63:$AA$113,(AR$113+1),FALSE)/VLOOKUP($A124,'Fuel economy adjusted factor'!$A$2:$F$52,5,FALSE)/$AZ$84</f>
        <v>2778.9595424741819</v>
      </c>
      <c r="AS124" s="106">
        <f>VLOOKUP($A124,'VKT US'!$B$63:$AA$113,(AS$113+1),FALSE)/VLOOKUP($A124,'Fuel economy adjusted factor'!$A$2:$F$52,5,FALSE)/$AZ$84</f>
        <v>2724.4317262841701</v>
      </c>
      <c r="AT124" s="110" cm="1">
        <f t="array" ref="AT124">SUMPRODUCT(INDEX(Z124:AS124,,_xlfn.SEQUENCE($AZ$13)))</f>
        <v>52685.951452719019</v>
      </c>
    </row>
    <row r="125" spans="1:46" x14ac:dyDescent="0.25">
      <c r="A125" s="102" t="s">
        <v>196</v>
      </c>
      <c r="B125" s="106">
        <f>VLOOKUP($A125,'VKT US'!$B$63:$AA$113,(B$113+1),FALSE)/VLOOKUP($A125,'Fuel economy adjusted factor'!$A$2:$F$52,5,FALSE)/$AZ$84*($AZ$15*('US Grid mix, emissions&amp;prices'!$AU$3+INDEX('Year data'!$B$3:$AC$53,MATCH('TCO Inputs'!$A125,'Year data'!$A$111:$A$161,0),MATCH('TCO Inputs'!$AZ$12+B$113-1,'Year data'!$B$110:$AC$110,0))/100)+$BA$15*('US Grid mix, emissions&amp;prices'!$AU$4+INDEX('Year data'!$B$57:$AC$107,MATCH($A125,'Year data'!$A$111:$A$161,0),MATCH('TCO Inputs'!$AZ$12+B$113-1,'Year data'!$B$110:$AC$110,0))/100))/(1+$AZ$41)^B$113</f>
        <v>1110.7531091701085</v>
      </c>
      <c r="C125" s="106">
        <f>VLOOKUP($A125,'VKT US'!$B$63:$AA$113,(C$113+1),FALSE)/VLOOKUP($A125,'Fuel economy adjusted factor'!$A$2:$F$52,5,FALSE)/$AZ$84*($AZ$15*('US Grid mix, emissions&amp;prices'!$AU$3+INDEX('Year data'!$B$3:$AC$53,MATCH('TCO Inputs'!$A125,'Year data'!$A$111:$A$161,0),MATCH('TCO Inputs'!$AZ$12+C$113-1,'Year data'!$B$110:$AC$110,0))/100)+$BA$15*('US Grid mix, emissions&amp;prices'!$AU$4+INDEX('Year data'!$B$57:$AC$107,MATCH($A125,'Year data'!$A$111:$A$161,0),MATCH('TCO Inputs'!$AZ$12+C$113-1,'Year data'!$B$110:$AC$110,0))/100))/(1+$AZ$41)^C$113</f>
        <v>1048.3159380739125</v>
      </c>
      <c r="D125" s="106">
        <f>VLOOKUP($A125,'VKT US'!$B$63:$AA$113,(D$113+1),FALSE)/VLOOKUP($A125,'Fuel economy adjusted factor'!$A$2:$F$52,5,FALSE)/$AZ$84*($AZ$15*('US Grid mix, emissions&amp;prices'!$AU$3+INDEX('Year data'!$B$3:$AC$53,MATCH('TCO Inputs'!$A125,'Year data'!$A$111:$A$161,0),MATCH('TCO Inputs'!$AZ$12+D$113-1,'Year data'!$B$110:$AC$110,0))/100)+$BA$15*('US Grid mix, emissions&amp;prices'!$AU$4+INDEX('Year data'!$B$57:$AC$107,MATCH($A125,'Year data'!$A$111:$A$161,0),MATCH('TCO Inputs'!$AZ$12+D$113-1,'Year data'!$B$110:$AC$110,0))/100))/(1+$AZ$41)^D$113</f>
        <v>985.7756336876779</v>
      </c>
      <c r="E125" s="106">
        <f>VLOOKUP($A125,'VKT US'!$B$63:$AA$113,(E$113+1),FALSE)/VLOOKUP($A125,'Fuel economy adjusted factor'!$A$2:$F$52,5,FALSE)/$AZ$84*($AZ$15*('US Grid mix, emissions&amp;prices'!$AU$3+INDEX('Year data'!$B$3:$AC$53,MATCH('TCO Inputs'!$A125,'Year data'!$A$111:$A$161,0),MATCH('TCO Inputs'!$AZ$12+E$113-1,'Year data'!$B$110:$AC$110,0))/100)+$BA$15*('US Grid mix, emissions&amp;prices'!$AU$4+INDEX('Year data'!$B$57:$AC$107,MATCH($A125,'Year data'!$A$111:$A$161,0),MATCH('TCO Inputs'!$AZ$12+E$113-1,'Year data'!$B$110:$AC$110,0))/100))/(1+$AZ$41)^E$113</f>
        <v>934.66318610351425</v>
      </c>
      <c r="F125" s="106">
        <f>VLOOKUP($A125,'VKT US'!$B$63:$AA$113,(F$113+1),FALSE)/VLOOKUP($A125,'Fuel economy adjusted factor'!$A$2:$F$52,5,FALSE)/$AZ$84*($AZ$15*('US Grid mix, emissions&amp;prices'!$AU$3+INDEX('Year data'!$B$3:$AC$53,MATCH('TCO Inputs'!$A125,'Year data'!$A$111:$A$161,0),MATCH('TCO Inputs'!$AZ$12+F$113-1,'Year data'!$B$110:$AC$110,0))/100)+$BA$15*('US Grid mix, emissions&amp;prices'!$AU$4+INDEX('Year data'!$B$57:$AC$107,MATCH($A125,'Year data'!$A$111:$A$161,0),MATCH('TCO Inputs'!$AZ$12+F$113-1,'Year data'!$B$110:$AC$110,0))/100))/(1+$AZ$41)^F$113</f>
        <v>888.74516391071415</v>
      </c>
      <c r="G125" s="106">
        <f>VLOOKUP($A125,'VKT US'!$B$63:$AA$113,(G$113+1),FALSE)/VLOOKUP($A125,'Fuel economy adjusted factor'!$A$2:$F$52,5,FALSE)/$AZ$84*($AZ$15*('US Grid mix, emissions&amp;prices'!$AU$3+INDEX('Year data'!$B$3:$AC$53,MATCH('TCO Inputs'!$A125,'Year data'!$A$111:$A$161,0),MATCH('TCO Inputs'!$AZ$12+G$113-1,'Year data'!$B$110:$AC$110,0))/100)+$BA$15*('US Grid mix, emissions&amp;prices'!$AU$4+INDEX('Year data'!$B$57:$AC$107,MATCH($A125,'Year data'!$A$111:$A$161,0),MATCH('TCO Inputs'!$AZ$12+G$113-1,'Year data'!$B$110:$AC$110,0))/100))/(1+$AZ$41)^G$113</f>
        <v>847.37651510706655</v>
      </c>
      <c r="H125" s="106">
        <f>VLOOKUP($A125,'VKT US'!$B$63:$AA$113,(H$113+1),FALSE)/VLOOKUP($A125,'Fuel economy adjusted factor'!$A$2:$F$52,5,FALSE)/$AZ$84*($AZ$15*('US Grid mix, emissions&amp;prices'!$AU$3+INDEX('Year data'!$B$3:$AC$53,MATCH('TCO Inputs'!$A125,'Year data'!$A$111:$A$161,0),MATCH('TCO Inputs'!$AZ$12+H$113-1,'Year data'!$B$110:$AC$110,0))/100)+$BA$15*('US Grid mix, emissions&amp;prices'!$AU$4+INDEX('Year data'!$B$57:$AC$107,MATCH($A125,'Year data'!$A$111:$A$161,0),MATCH('TCO Inputs'!$AZ$12+H$113-1,'Year data'!$B$110:$AC$110,0))/100))/(1+$AZ$41)^H$113</f>
        <v>811.37052283678145</v>
      </c>
      <c r="I125" s="106">
        <f>VLOOKUP($A125,'VKT US'!$B$63:$AA$113,(I$113+1),FALSE)/VLOOKUP($A125,'Fuel economy adjusted factor'!$A$2:$F$52,5,FALSE)/$AZ$84*($AZ$15*('US Grid mix, emissions&amp;prices'!$AU$3+INDEX('Year data'!$B$3:$AC$53,MATCH('TCO Inputs'!$A125,'Year data'!$A$111:$A$161,0),MATCH('TCO Inputs'!$AZ$12+I$113-1,'Year data'!$B$110:$AC$110,0))/100)+$BA$15*('US Grid mix, emissions&amp;prices'!$AU$4+INDEX('Year data'!$B$57:$AC$107,MATCH($A125,'Year data'!$A$111:$A$161,0),MATCH('TCO Inputs'!$AZ$12+I$113-1,'Year data'!$B$110:$AC$110,0))/100))/(1+$AZ$41)^I$113</f>
        <v>779.63428596067763</v>
      </c>
      <c r="J125" s="106">
        <f>VLOOKUP($A125,'VKT US'!$B$63:$AA$113,(J$113+1),FALSE)/VLOOKUP($A125,'Fuel economy adjusted factor'!$A$2:$F$52,5,FALSE)/$AZ$84*($AZ$15*('US Grid mix, emissions&amp;prices'!$AU$3+INDEX('Year data'!$B$3:$AC$53,MATCH('TCO Inputs'!$A125,'Year data'!$A$111:$A$161,0),MATCH('TCO Inputs'!$AZ$12+J$113-1,'Year data'!$B$110:$AC$110,0))/100)+$BA$15*('US Grid mix, emissions&amp;prices'!$AU$4+INDEX('Year data'!$B$57:$AC$107,MATCH($A125,'Year data'!$A$111:$A$161,0),MATCH('TCO Inputs'!$AZ$12+J$113-1,'Year data'!$B$110:$AC$110,0))/100))/(1+$AZ$41)^J$113</f>
        <v>750.36604025933411</v>
      </c>
      <c r="K125" s="106">
        <f>VLOOKUP($A125,'VKT US'!$B$63:$AA$113,(K$113+1),FALSE)/VLOOKUP($A125,'Fuel economy adjusted factor'!$A$2:$F$52,5,FALSE)/$AZ$84*($AZ$15*('US Grid mix, emissions&amp;prices'!$AU$3+INDEX('Year data'!$B$3:$AC$53,MATCH('TCO Inputs'!$A125,'Year data'!$A$111:$A$161,0),MATCH('TCO Inputs'!$AZ$12+K$113-1,'Year data'!$B$110:$AC$110,0))/100)+$BA$15*('US Grid mix, emissions&amp;prices'!$AU$4+INDEX('Year data'!$B$57:$AC$107,MATCH($A125,'Year data'!$A$111:$A$161,0),MATCH('TCO Inputs'!$AZ$12+K$113-1,'Year data'!$B$110:$AC$110,0))/100))/(1+$AZ$41)^K$113</f>
        <v>722.35607125112494</v>
      </c>
      <c r="L125" s="106">
        <f>VLOOKUP($A125,'VKT US'!$B$63:$AA$113,(L$113+1),FALSE)/VLOOKUP($A125,'Fuel economy adjusted factor'!$A$2:$F$52,5,FALSE)/$AZ$84*($AZ$15*('US Grid mix, emissions&amp;prices'!$AU$3+INDEX('Year data'!$B$3:$AC$53,MATCH('TCO Inputs'!$A125,'Year data'!$A$111:$A$161,0),MATCH('TCO Inputs'!$AZ$12+L$113-1,'Year data'!$B$110:$AC$110,0))/100)+$BA$15*('US Grid mix, emissions&amp;prices'!$AU$4+INDEX('Year data'!$B$57:$AC$107,MATCH($A125,'Year data'!$A$111:$A$161,0),MATCH('TCO Inputs'!$AZ$12+L$113-1,'Year data'!$B$110:$AC$110,0))/100))/(1+$AZ$41)^L$113</f>
        <v>699.93978971500212</v>
      </c>
      <c r="M125" s="106">
        <f>VLOOKUP($A125,'VKT US'!$B$63:$AA$113,(M$113+1),FALSE)/VLOOKUP($A125,'Fuel economy adjusted factor'!$A$2:$F$52,5,FALSE)/$AZ$84*($AZ$15*('US Grid mix, emissions&amp;prices'!$AU$3+INDEX('Year data'!$B$3:$AC$53,MATCH('TCO Inputs'!$A125,'Year data'!$A$111:$A$161,0),MATCH('TCO Inputs'!$AZ$12+M$113-1,'Year data'!$B$110:$AC$110,0))/100)+$BA$15*('US Grid mix, emissions&amp;prices'!$AU$4+INDEX('Year data'!$B$57:$AC$107,MATCH($A125,'Year data'!$A$111:$A$161,0),MATCH('TCO Inputs'!$AZ$12+M$113-1,'Year data'!$B$110:$AC$110,0))/100))/(1+$AZ$41)^M$113</f>
        <v>677.23651969787124</v>
      </c>
      <c r="N125" s="106">
        <f>VLOOKUP($A125,'VKT US'!$B$63:$AA$113,(N$113+1),FALSE)/VLOOKUP($A125,'Fuel economy adjusted factor'!$A$2:$F$52,5,FALSE)/$AZ$84*($AZ$15*('US Grid mix, emissions&amp;prices'!$AU$3+INDEX('Year data'!$B$3:$AC$53,MATCH('TCO Inputs'!$A125,'Year data'!$A$111:$A$161,0),MATCH('TCO Inputs'!$AZ$12+N$113-1,'Year data'!$B$110:$AC$110,0))/100)+$BA$15*('US Grid mix, emissions&amp;prices'!$AU$4+INDEX('Year data'!$B$57:$AC$107,MATCH($A125,'Year data'!$A$111:$A$161,0),MATCH('TCO Inputs'!$AZ$12+N$113-1,'Year data'!$B$110:$AC$110,0))/100))/(1+$AZ$41)^N$113</f>
        <v>651.84560714167117</v>
      </c>
      <c r="O125" s="106">
        <f>VLOOKUP($A125,'VKT US'!$B$63:$AA$113,(O$113+1),FALSE)/VLOOKUP($A125,'Fuel economy adjusted factor'!$A$2:$F$52,5,FALSE)/$AZ$84*($AZ$15*('US Grid mix, emissions&amp;prices'!$AU$3+INDEX('Year data'!$B$3:$AC$53,MATCH('TCO Inputs'!$A125,'Year data'!$A$111:$A$161,0),MATCH('TCO Inputs'!$AZ$12+O$113-1,'Year data'!$B$110:$AC$110,0))/100)+$BA$15*('US Grid mix, emissions&amp;prices'!$AU$4+INDEX('Year data'!$B$57:$AC$107,MATCH($A125,'Year data'!$A$111:$A$161,0),MATCH('TCO Inputs'!$AZ$12+O$113-1,'Year data'!$B$110:$AC$110,0))/100))/(1+$AZ$41)^O$113</f>
        <v>629.74060171647545</v>
      </c>
      <c r="P125" s="106">
        <f>VLOOKUP($A125,'VKT US'!$B$63:$AA$113,(P$113+1),FALSE)/VLOOKUP($A125,'Fuel economy adjusted factor'!$A$2:$F$52,5,FALSE)/$AZ$84*($AZ$15*('US Grid mix, emissions&amp;prices'!$AU$3+INDEX('Year data'!$B$3:$AC$53,MATCH('TCO Inputs'!$A125,'Year data'!$A$111:$A$161,0),MATCH('TCO Inputs'!$AZ$12+P$113-1,'Year data'!$B$110:$AC$110,0))/100)+$BA$15*('US Grid mix, emissions&amp;prices'!$AU$4+INDEX('Year data'!$B$57:$AC$107,MATCH($A125,'Year data'!$A$111:$A$161,0),MATCH('TCO Inputs'!$AZ$12+P$113-1,'Year data'!$B$110:$AC$110,0))/100))/(1+$AZ$41)^P$113</f>
        <v>609.2601014446858</v>
      </c>
      <c r="Q125" s="106">
        <f>VLOOKUP($A125,'VKT US'!$B$63:$AA$113,(Q$113+1),FALSE)/VLOOKUP($A125,'Fuel economy adjusted factor'!$A$2:$F$52,5,FALSE)/$AZ$84*($AZ$15*('US Grid mix, emissions&amp;prices'!$AU$3+INDEX('Year data'!$B$3:$AC$53,MATCH('TCO Inputs'!$A125,'Year data'!$A$111:$A$161,0),MATCH('TCO Inputs'!$AZ$12+Q$113-1,'Year data'!$B$110:$AC$110,0))/100)+$BA$15*('US Grid mix, emissions&amp;prices'!$AU$4+INDEX('Year data'!$B$57:$AC$107,MATCH($A125,'Year data'!$A$111:$A$161,0),MATCH('TCO Inputs'!$AZ$12+Q$113-1,'Year data'!$B$110:$AC$110,0))/100))/(1+$AZ$41)^Q$113</f>
        <v>591.15061896327643</v>
      </c>
      <c r="R125" s="106">
        <f>VLOOKUP($A125,'VKT US'!$B$63:$AA$113,(R$113+1),FALSE)/VLOOKUP($A125,'Fuel economy adjusted factor'!$A$2:$F$52,5,FALSE)/$AZ$84*($AZ$15*('US Grid mix, emissions&amp;prices'!$AU$3+INDEX('Year data'!$B$3:$AC$53,MATCH('TCO Inputs'!$A125,'Year data'!$A$111:$A$161,0),MATCH('TCO Inputs'!$AZ$12+R$113-1,'Year data'!$B$110:$AC$110,0))/100)+$BA$15*('US Grid mix, emissions&amp;prices'!$AU$4+INDEX('Year data'!$B$57:$AC$107,MATCH($A125,'Year data'!$A$111:$A$161,0),MATCH('TCO Inputs'!$AZ$12+R$113-1,'Year data'!$B$110:$AC$110,0))/100))/(1+$AZ$41)^R$113</f>
        <v>573.00613633661874</v>
      </c>
      <c r="S125" s="106">
        <f>VLOOKUP($A125,'VKT US'!$B$63:$AA$113,(S$113+1),FALSE)/VLOOKUP($A125,'Fuel economy adjusted factor'!$A$2:$F$52,5,FALSE)/$AZ$84*($AZ$15*('US Grid mix, emissions&amp;prices'!$AU$3+INDEX('Year data'!$B$3:$AC$53,MATCH('TCO Inputs'!$A125,'Year data'!$A$111:$A$161,0),MATCH('TCO Inputs'!$AZ$12+S$113-1,'Year data'!$B$110:$AC$110,0))/100)+$BA$15*('US Grid mix, emissions&amp;prices'!$AU$4+INDEX('Year data'!$B$57:$AC$107,MATCH($A125,'Year data'!$A$111:$A$161,0),MATCH('TCO Inputs'!$AZ$12+S$113-1,'Year data'!$B$110:$AC$110,0))/100))/(1+$AZ$41)^S$113</f>
        <v>555.99912867501087</v>
      </c>
      <c r="T125" s="106">
        <f>VLOOKUP($A125,'VKT US'!$B$63:$AA$113,(T$113+1),FALSE)/VLOOKUP($A125,'Fuel economy adjusted factor'!$A$2:$F$52,5,FALSE)/$AZ$84*($AZ$15*('US Grid mix, emissions&amp;prices'!$AU$3+INDEX('Year data'!$B$3:$AC$53,MATCH('TCO Inputs'!$A125,'Year data'!$A$111:$A$161,0),MATCH('TCO Inputs'!$AZ$12+T$113-1,'Year data'!$B$110:$AC$110,0))/100)+$BA$15*('US Grid mix, emissions&amp;prices'!$AU$4+INDEX('Year data'!$B$57:$AC$107,MATCH($A125,'Year data'!$A$111:$A$161,0),MATCH('TCO Inputs'!$AZ$12+T$113-1,'Year data'!$B$110:$AC$110,0))/100))/(1+$AZ$41)^T$113</f>
        <v>539.55341949107299</v>
      </c>
      <c r="U125" s="106">
        <f>VLOOKUP($A125,'VKT US'!$B$63:$AA$113,(U$113+1),FALSE)/VLOOKUP($A125,'Fuel economy adjusted factor'!$A$2:$F$52,5,FALSE)/$AZ$84*($AZ$15*('US Grid mix, emissions&amp;prices'!$AU$3+INDEX('Year data'!$B$3:$AC$53,MATCH('TCO Inputs'!$A125,'Year data'!$A$111:$A$161,0),MATCH('TCO Inputs'!$AZ$12+U$113-1,'Year data'!$B$110:$AC$110,0))/100)+$BA$15*('US Grid mix, emissions&amp;prices'!$AU$4+INDEX('Year data'!$B$57:$AC$107,MATCH($A125,'Year data'!$A$111:$A$161,0),MATCH('TCO Inputs'!$AZ$12+U$113-1,'Year data'!$B$110:$AC$110,0))/100))/(1+$AZ$41)^U$113</f>
        <v>523.50968003077594</v>
      </c>
      <c r="V125" s="110" cm="1">
        <f t="array" ref="V125">SUMPRODUCT(INDEX(B125:U125,,_xlfn.SEQUENCE($AZ$13)))</f>
        <v>11538.118984631934</v>
      </c>
      <c r="Y125" s="102" t="s">
        <v>196</v>
      </c>
      <c r="Z125" s="106">
        <f>VLOOKUP($A125,'VKT US'!$B$63:$AA$113,(Z$113+1),FALSE)/VLOOKUP($A125,'Fuel economy adjusted factor'!$A$2:$F$52,5,FALSE)/$AZ$84</f>
        <v>6618.853874933222</v>
      </c>
      <c r="AA125" s="106">
        <f>VLOOKUP($A125,'VKT US'!$B$63:$AA$113,(AA$113+1),FALSE)/VLOOKUP($A125,'Fuel economy adjusted factor'!$A$2:$F$52,5,FALSE)/$AZ$84</f>
        <v>6421.9893213328396</v>
      </c>
      <c r="AB125" s="106">
        <f>VLOOKUP($A125,'VKT US'!$B$63:$AA$113,(AB$113+1),FALSE)/VLOOKUP($A125,'Fuel economy adjusted factor'!$A$2:$F$52,5,FALSE)/$AZ$84</f>
        <v>6231.3365133557709</v>
      </c>
      <c r="AC125" s="106">
        <f>VLOOKUP($A125,'VKT US'!$B$63:$AA$113,(AC$113+1),FALSE)/VLOOKUP($A125,'Fuel economy adjusted factor'!$A$2:$F$52,5,FALSE)/$AZ$84</f>
        <v>6047.3732775884237</v>
      </c>
      <c r="AD125" s="106">
        <f>VLOOKUP($A125,'VKT US'!$B$63:$AA$113,(AD$113+1),FALSE)/VLOOKUP($A125,'Fuel economy adjusted factor'!$A$2:$F$52,5,FALSE)/$AZ$84</f>
        <v>5869.6217874443892</v>
      </c>
      <c r="AE125" s="106">
        <f>VLOOKUP($A125,'VKT US'!$B$63:$AA$113,(AE$113+1),FALSE)/VLOOKUP($A125,'Fuel economy adjusted factor'!$A$2:$F$52,5,FALSE)/$AZ$84</f>
        <v>5699.0376960964868</v>
      </c>
      <c r="AF125" s="106">
        <f>VLOOKUP($A125,'VKT US'!$B$63:$AA$113,(AF$113+1),FALSE)/VLOOKUP($A125,'Fuel economy adjusted factor'!$A$2:$F$52,5,FALSE)/$AZ$84</f>
        <v>5534.1875237854874</v>
      </c>
      <c r="AG125" s="106">
        <f>VLOOKUP($A125,'VKT US'!$B$63:$AA$113,(AG$113+1),FALSE)/VLOOKUP($A125,'Fuel economy adjusted factor'!$A$2:$F$52,5,FALSE)/$AZ$84</f>
        <v>5376.0269236842105</v>
      </c>
      <c r="AH125" s="106">
        <f>VLOOKUP($A125,'VKT US'!$B$63:$AA$113,(AH$113+1),FALSE)/VLOOKUP($A125,'Fuel economy adjusted factor'!$A$2:$F$52,5,FALSE)/$AZ$84</f>
        <v>5224.5558957926542</v>
      </c>
      <c r="AI125" s="106">
        <f>VLOOKUP($A125,'VKT US'!$B$63:$AA$113,(AI$113+1),FALSE)/VLOOKUP($A125,'Fuel economy adjusted factor'!$A$2:$F$52,5,FALSE)/$AZ$84</f>
        <v>5079.7744401108203</v>
      </c>
      <c r="AJ125" s="106">
        <f>VLOOKUP($A125,'VKT US'!$B$63:$AA$113,(AJ$113+1),FALSE)/VLOOKUP($A125,'Fuel economy adjusted factor'!$A$2:$F$52,5,FALSE)/$AZ$84</f>
        <v>4941.2047300522991</v>
      </c>
      <c r="AK125" s="106">
        <f>VLOOKUP($A125,'VKT US'!$B$63:$AA$113,(AK$113+1),FALSE)/VLOOKUP($A125,'Fuel economy adjusted factor'!$A$2:$F$52,5,FALSE)/$AZ$84</f>
        <v>4809.3245922034994</v>
      </c>
      <c r="AL125" s="106">
        <f>VLOOKUP($A125,'VKT US'!$B$63:$AA$113,(AL$113+1),FALSE)/VLOOKUP($A125,'Fuel economy adjusted factor'!$A$2:$F$52,5,FALSE)/$AZ$84</f>
        <v>4683.6561999780133</v>
      </c>
      <c r="AM125" s="106">
        <f>VLOOKUP($A125,'VKT US'!$B$63:$AA$113,(AM$113+1),FALSE)/VLOOKUP($A125,'Fuel economy adjusted factor'!$A$2:$F$52,5,FALSE)/$AZ$84</f>
        <v>4564.6773799622488</v>
      </c>
      <c r="AN125" s="106">
        <f>VLOOKUP($A125,'VKT US'!$B$63:$AA$113,(AN$113+1),FALSE)/VLOOKUP($A125,'Fuel economy adjusted factor'!$A$2:$F$52,5,FALSE)/$AZ$84</f>
        <v>4451.9103055697969</v>
      </c>
      <c r="AO125" s="106">
        <f>VLOOKUP($A125,'VKT US'!$B$63:$AA$113,(AO$113+1),FALSE)/VLOOKUP($A125,'Fuel economy adjusted factor'!$A$2:$F$52,5,FALSE)/$AZ$84</f>
        <v>4346.3106299734754</v>
      </c>
      <c r="AP125" s="106">
        <f>VLOOKUP($A125,'VKT US'!$B$63:$AA$113,(AP$113+1),FALSE)/VLOOKUP($A125,'Fuel economy adjusted factor'!$A$2:$F$52,5,FALSE)/$AZ$84</f>
        <v>4246.4448734140578</v>
      </c>
      <c r="AQ125" s="106">
        <f>VLOOKUP($A125,'VKT US'!$B$63:$AA$113,(AQ$113+1),FALSE)/VLOOKUP($A125,'Fuel economy adjusted factor'!$A$2:$F$52,5,FALSE)/$AZ$84</f>
        <v>4153.7465156507724</v>
      </c>
      <c r="AR125" s="106">
        <f>VLOOKUP($A125,'VKT US'!$B$63:$AA$113,(AR$113+1),FALSE)/VLOOKUP($A125,'Fuel economy adjusted factor'!$A$2:$F$52,5,FALSE)/$AZ$84</f>
        <v>4066.7820769243904</v>
      </c>
      <c r="AS125" s="106">
        <f>VLOOKUP($A125,'VKT US'!$B$63:$AA$113,(AS$113+1),FALSE)/VLOOKUP($A125,'Fuel economy adjusted factor'!$A$2:$F$52,5,FALSE)/$AZ$84</f>
        <v>3986.9850369941373</v>
      </c>
      <c r="AT125" s="110" cm="1">
        <f t="array" ref="AT125">SUMPRODUCT(INDEX(Z125:AS125,,_xlfn.SEQUENCE($AZ$13)))</f>
        <v>77101.620156320365</v>
      </c>
    </row>
    <row r="126" spans="1:46" x14ac:dyDescent="0.25">
      <c r="A126" s="102" t="s">
        <v>197</v>
      </c>
      <c r="B126" s="106">
        <f>VLOOKUP($A126,'VKT US'!$B$63:$AA$113,(B$113+1),FALSE)/VLOOKUP($A126,'Fuel economy adjusted factor'!$A$2:$F$52,5,FALSE)/$AZ$84*($AZ$15*('US Grid mix, emissions&amp;prices'!$AU$3+INDEX('Year data'!$B$3:$AC$53,MATCH('TCO Inputs'!$A126,'Year data'!$A$111:$A$161,0),MATCH('TCO Inputs'!$AZ$12+B$113-1,'Year data'!$B$110:$AC$110,0))/100)+$BA$15*('US Grid mix, emissions&amp;prices'!$AU$4+INDEX('Year data'!$B$57:$AC$107,MATCH($A126,'Year data'!$A$111:$A$161,0),MATCH('TCO Inputs'!$AZ$12+B$113-1,'Year data'!$B$110:$AC$110,0))/100))/(1+$AZ$41)^B$113</f>
        <v>1108.7199637664432</v>
      </c>
      <c r="C126" s="106">
        <f>VLOOKUP($A126,'VKT US'!$B$63:$AA$113,(C$113+1),FALSE)/VLOOKUP($A126,'Fuel economy adjusted factor'!$A$2:$F$52,5,FALSE)/$AZ$84*($AZ$15*('US Grid mix, emissions&amp;prices'!$AU$3+INDEX('Year data'!$B$3:$AC$53,MATCH('TCO Inputs'!$A126,'Year data'!$A$111:$A$161,0),MATCH('TCO Inputs'!$AZ$12+C$113-1,'Year data'!$B$110:$AC$110,0))/100)+$BA$15*('US Grid mix, emissions&amp;prices'!$AU$4+INDEX('Year data'!$B$57:$AC$107,MATCH($A126,'Year data'!$A$111:$A$161,0),MATCH('TCO Inputs'!$AZ$12+C$113-1,'Year data'!$B$110:$AC$110,0))/100))/(1+$AZ$41)^C$113</f>
        <v>1044.8442984646092</v>
      </c>
      <c r="D126" s="106">
        <f>VLOOKUP($A126,'VKT US'!$B$63:$AA$113,(D$113+1),FALSE)/VLOOKUP($A126,'Fuel economy adjusted factor'!$A$2:$F$52,5,FALSE)/$AZ$84*($AZ$15*('US Grid mix, emissions&amp;prices'!$AU$3+INDEX('Year data'!$B$3:$AC$53,MATCH('TCO Inputs'!$A126,'Year data'!$A$111:$A$161,0),MATCH('TCO Inputs'!$AZ$12+D$113-1,'Year data'!$B$110:$AC$110,0))/100)+$BA$15*('US Grid mix, emissions&amp;prices'!$AU$4+INDEX('Year data'!$B$57:$AC$107,MATCH($A126,'Year data'!$A$111:$A$161,0),MATCH('TCO Inputs'!$AZ$12+D$113-1,'Year data'!$B$110:$AC$110,0))/100))/(1+$AZ$41)^D$113</f>
        <v>980.35541203123512</v>
      </c>
      <c r="E126" s="106">
        <f>VLOOKUP($A126,'VKT US'!$B$63:$AA$113,(E$113+1),FALSE)/VLOOKUP($A126,'Fuel economy adjusted factor'!$A$2:$F$52,5,FALSE)/$AZ$84*($AZ$15*('US Grid mix, emissions&amp;prices'!$AU$3+INDEX('Year data'!$B$3:$AC$53,MATCH('TCO Inputs'!$A126,'Year data'!$A$111:$A$161,0),MATCH('TCO Inputs'!$AZ$12+E$113-1,'Year data'!$B$110:$AC$110,0))/100)+$BA$15*('US Grid mix, emissions&amp;prices'!$AU$4+INDEX('Year data'!$B$57:$AC$107,MATCH($A126,'Year data'!$A$111:$A$161,0),MATCH('TCO Inputs'!$AZ$12+E$113-1,'Year data'!$B$110:$AC$110,0))/100))/(1+$AZ$41)^E$113</f>
        <v>928.2939476680757</v>
      </c>
      <c r="F126" s="106">
        <f>VLOOKUP($A126,'VKT US'!$B$63:$AA$113,(F$113+1),FALSE)/VLOOKUP($A126,'Fuel economy adjusted factor'!$A$2:$F$52,5,FALSE)/$AZ$84*($AZ$15*('US Grid mix, emissions&amp;prices'!$AU$3+INDEX('Year data'!$B$3:$AC$53,MATCH('TCO Inputs'!$A126,'Year data'!$A$111:$A$161,0),MATCH('TCO Inputs'!$AZ$12+F$113-1,'Year data'!$B$110:$AC$110,0))/100)+$BA$15*('US Grid mix, emissions&amp;prices'!$AU$4+INDEX('Year data'!$B$57:$AC$107,MATCH($A126,'Year data'!$A$111:$A$161,0),MATCH('TCO Inputs'!$AZ$12+F$113-1,'Year data'!$B$110:$AC$110,0))/100))/(1+$AZ$41)^F$113</f>
        <v>881.77742770582313</v>
      </c>
      <c r="G126" s="106">
        <f>VLOOKUP($A126,'VKT US'!$B$63:$AA$113,(G$113+1),FALSE)/VLOOKUP($A126,'Fuel economy adjusted factor'!$A$2:$F$52,5,FALSE)/$AZ$84*($AZ$15*('US Grid mix, emissions&amp;prices'!$AU$3+INDEX('Year data'!$B$3:$AC$53,MATCH('TCO Inputs'!$A126,'Year data'!$A$111:$A$161,0),MATCH('TCO Inputs'!$AZ$12+G$113-1,'Year data'!$B$110:$AC$110,0))/100)+$BA$15*('US Grid mix, emissions&amp;prices'!$AU$4+INDEX('Year data'!$B$57:$AC$107,MATCH($A126,'Year data'!$A$111:$A$161,0),MATCH('TCO Inputs'!$AZ$12+G$113-1,'Year data'!$B$110:$AC$110,0))/100))/(1+$AZ$41)^G$113</f>
        <v>840.14648207697201</v>
      </c>
      <c r="H126" s="106">
        <f>VLOOKUP($A126,'VKT US'!$B$63:$AA$113,(H$113+1),FALSE)/VLOOKUP($A126,'Fuel economy adjusted factor'!$A$2:$F$52,5,FALSE)/$AZ$84*($AZ$15*('US Grid mix, emissions&amp;prices'!$AU$3+INDEX('Year data'!$B$3:$AC$53,MATCH('TCO Inputs'!$A126,'Year data'!$A$111:$A$161,0),MATCH('TCO Inputs'!$AZ$12+H$113-1,'Year data'!$B$110:$AC$110,0))/100)+$BA$15*('US Grid mix, emissions&amp;prices'!$AU$4+INDEX('Year data'!$B$57:$AC$107,MATCH($A126,'Year data'!$A$111:$A$161,0),MATCH('TCO Inputs'!$AZ$12+H$113-1,'Year data'!$B$110:$AC$110,0))/100))/(1+$AZ$41)^H$113</f>
        <v>804.30147284586394</v>
      </c>
      <c r="I126" s="106">
        <f>VLOOKUP($A126,'VKT US'!$B$63:$AA$113,(I$113+1),FALSE)/VLOOKUP($A126,'Fuel economy adjusted factor'!$A$2:$F$52,5,FALSE)/$AZ$84*($AZ$15*('US Grid mix, emissions&amp;prices'!$AU$3+INDEX('Year data'!$B$3:$AC$53,MATCH('TCO Inputs'!$A126,'Year data'!$A$111:$A$161,0),MATCH('TCO Inputs'!$AZ$12+I$113-1,'Year data'!$B$110:$AC$110,0))/100)+$BA$15*('US Grid mix, emissions&amp;prices'!$AU$4+INDEX('Year data'!$B$57:$AC$107,MATCH($A126,'Year data'!$A$111:$A$161,0),MATCH('TCO Inputs'!$AZ$12+I$113-1,'Year data'!$B$110:$AC$110,0))/100))/(1+$AZ$41)^I$113</f>
        <v>773.00297667898951</v>
      </c>
      <c r="J126" s="106">
        <f>VLOOKUP($A126,'VKT US'!$B$63:$AA$113,(J$113+1),FALSE)/VLOOKUP($A126,'Fuel economy adjusted factor'!$A$2:$F$52,5,FALSE)/$AZ$84*($AZ$15*('US Grid mix, emissions&amp;prices'!$AU$3+INDEX('Year data'!$B$3:$AC$53,MATCH('TCO Inputs'!$A126,'Year data'!$A$111:$A$161,0),MATCH('TCO Inputs'!$AZ$12+J$113-1,'Year data'!$B$110:$AC$110,0))/100)+$BA$15*('US Grid mix, emissions&amp;prices'!$AU$4+INDEX('Year data'!$B$57:$AC$107,MATCH($A126,'Year data'!$A$111:$A$161,0),MATCH('TCO Inputs'!$AZ$12+J$113-1,'Year data'!$B$110:$AC$110,0))/100))/(1+$AZ$41)^J$113</f>
        <v>744.28585896392406</v>
      </c>
      <c r="K126" s="106">
        <f>VLOOKUP($A126,'VKT US'!$B$63:$AA$113,(K$113+1),FALSE)/VLOOKUP($A126,'Fuel economy adjusted factor'!$A$2:$F$52,5,FALSE)/$AZ$84*($AZ$15*('US Grid mix, emissions&amp;prices'!$AU$3+INDEX('Year data'!$B$3:$AC$53,MATCH('TCO Inputs'!$A126,'Year data'!$A$111:$A$161,0),MATCH('TCO Inputs'!$AZ$12+K$113-1,'Year data'!$B$110:$AC$110,0))/100)+$BA$15*('US Grid mix, emissions&amp;prices'!$AU$4+INDEX('Year data'!$B$57:$AC$107,MATCH($A126,'Year data'!$A$111:$A$161,0),MATCH('TCO Inputs'!$AZ$12+K$113-1,'Year data'!$B$110:$AC$110,0))/100))/(1+$AZ$41)^K$113</f>
        <v>716.76913411330702</v>
      </c>
      <c r="L126" s="106">
        <f>VLOOKUP($A126,'VKT US'!$B$63:$AA$113,(L$113+1),FALSE)/VLOOKUP($A126,'Fuel economy adjusted factor'!$A$2:$F$52,5,FALSE)/$AZ$84*($AZ$15*('US Grid mix, emissions&amp;prices'!$AU$3+INDEX('Year data'!$B$3:$AC$53,MATCH('TCO Inputs'!$A126,'Year data'!$A$111:$A$161,0),MATCH('TCO Inputs'!$AZ$12+L$113-1,'Year data'!$B$110:$AC$110,0))/100)+$BA$15*('US Grid mix, emissions&amp;prices'!$AU$4+INDEX('Year data'!$B$57:$AC$107,MATCH($A126,'Year data'!$A$111:$A$161,0),MATCH('TCO Inputs'!$AZ$12+L$113-1,'Year data'!$B$110:$AC$110,0))/100))/(1+$AZ$41)^L$113</f>
        <v>695.30974755946761</v>
      </c>
      <c r="M126" s="106">
        <f>VLOOKUP($A126,'VKT US'!$B$63:$AA$113,(M$113+1),FALSE)/VLOOKUP($A126,'Fuel economy adjusted factor'!$A$2:$F$52,5,FALSE)/$AZ$84*($AZ$15*('US Grid mix, emissions&amp;prices'!$AU$3+INDEX('Year data'!$B$3:$AC$53,MATCH('TCO Inputs'!$A126,'Year data'!$A$111:$A$161,0),MATCH('TCO Inputs'!$AZ$12+M$113-1,'Year data'!$B$110:$AC$110,0))/100)+$BA$15*('US Grid mix, emissions&amp;prices'!$AU$4+INDEX('Year data'!$B$57:$AC$107,MATCH($A126,'Year data'!$A$111:$A$161,0),MATCH('TCO Inputs'!$AZ$12+M$113-1,'Year data'!$B$110:$AC$110,0))/100))/(1+$AZ$41)^M$113</f>
        <v>673.33383323943406</v>
      </c>
      <c r="N126" s="106">
        <f>VLOOKUP($A126,'VKT US'!$B$63:$AA$113,(N$113+1),FALSE)/VLOOKUP($A126,'Fuel economy adjusted factor'!$A$2:$F$52,5,FALSE)/$AZ$84*($AZ$15*('US Grid mix, emissions&amp;prices'!$AU$3+INDEX('Year data'!$B$3:$AC$53,MATCH('TCO Inputs'!$A126,'Year data'!$A$111:$A$161,0),MATCH('TCO Inputs'!$AZ$12+N$113-1,'Year data'!$B$110:$AC$110,0))/100)+$BA$15*('US Grid mix, emissions&amp;prices'!$AU$4+INDEX('Year data'!$B$57:$AC$107,MATCH($A126,'Year data'!$A$111:$A$161,0),MATCH('TCO Inputs'!$AZ$12+N$113-1,'Year data'!$B$110:$AC$110,0))/100))/(1+$AZ$41)^N$113</f>
        <v>648.14796131890353</v>
      </c>
      <c r="O126" s="106">
        <f>VLOOKUP($A126,'VKT US'!$B$63:$AA$113,(O$113+1),FALSE)/VLOOKUP($A126,'Fuel economy adjusted factor'!$A$2:$F$52,5,FALSE)/$AZ$84*($AZ$15*('US Grid mix, emissions&amp;prices'!$AU$3+INDEX('Year data'!$B$3:$AC$53,MATCH('TCO Inputs'!$A126,'Year data'!$A$111:$A$161,0),MATCH('TCO Inputs'!$AZ$12+O$113-1,'Year data'!$B$110:$AC$110,0))/100)+$BA$15*('US Grid mix, emissions&amp;prices'!$AU$4+INDEX('Year data'!$B$57:$AC$107,MATCH($A126,'Year data'!$A$111:$A$161,0),MATCH('TCO Inputs'!$AZ$12+O$113-1,'Year data'!$B$110:$AC$110,0))/100))/(1+$AZ$41)^O$113</f>
        <v>626.46176740945862</v>
      </c>
      <c r="P126" s="106">
        <f>VLOOKUP($A126,'VKT US'!$B$63:$AA$113,(P$113+1),FALSE)/VLOOKUP($A126,'Fuel economy adjusted factor'!$A$2:$F$52,5,FALSE)/$AZ$84*($AZ$15*('US Grid mix, emissions&amp;prices'!$AU$3+INDEX('Year data'!$B$3:$AC$53,MATCH('TCO Inputs'!$A126,'Year data'!$A$111:$A$161,0),MATCH('TCO Inputs'!$AZ$12+P$113-1,'Year data'!$B$110:$AC$110,0))/100)+$BA$15*('US Grid mix, emissions&amp;prices'!$AU$4+INDEX('Year data'!$B$57:$AC$107,MATCH($A126,'Year data'!$A$111:$A$161,0),MATCH('TCO Inputs'!$AZ$12+P$113-1,'Year data'!$B$110:$AC$110,0))/100))/(1+$AZ$41)^P$113</f>
        <v>606.4387110066383</v>
      </c>
      <c r="Q126" s="106">
        <f>VLOOKUP($A126,'VKT US'!$B$63:$AA$113,(Q$113+1),FALSE)/VLOOKUP($A126,'Fuel economy adjusted factor'!$A$2:$F$52,5,FALSE)/$AZ$84*($AZ$15*('US Grid mix, emissions&amp;prices'!$AU$3+INDEX('Year data'!$B$3:$AC$53,MATCH('TCO Inputs'!$A126,'Year data'!$A$111:$A$161,0),MATCH('TCO Inputs'!$AZ$12+Q$113-1,'Year data'!$B$110:$AC$110,0))/100)+$BA$15*('US Grid mix, emissions&amp;prices'!$AU$4+INDEX('Year data'!$B$57:$AC$107,MATCH($A126,'Year data'!$A$111:$A$161,0),MATCH('TCO Inputs'!$AZ$12+Q$113-1,'Year data'!$B$110:$AC$110,0))/100))/(1+$AZ$41)^Q$113</f>
        <v>588.87795462249528</v>
      </c>
      <c r="R126" s="106">
        <f>VLOOKUP($A126,'VKT US'!$B$63:$AA$113,(R$113+1),FALSE)/VLOOKUP($A126,'Fuel economy adjusted factor'!$A$2:$F$52,5,FALSE)/$AZ$84*($AZ$15*('US Grid mix, emissions&amp;prices'!$AU$3+INDEX('Year data'!$B$3:$AC$53,MATCH('TCO Inputs'!$A126,'Year data'!$A$111:$A$161,0),MATCH('TCO Inputs'!$AZ$12+R$113-1,'Year data'!$B$110:$AC$110,0))/100)+$BA$15*('US Grid mix, emissions&amp;prices'!$AU$4+INDEX('Year data'!$B$57:$AC$107,MATCH($A126,'Year data'!$A$111:$A$161,0),MATCH('TCO Inputs'!$AZ$12+R$113-1,'Year data'!$B$110:$AC$110,0))/100))/(1+$AZ$41)^R$113</f>
        <v>571.11886268227704</v>
      </c>
      <c r="S126" s="106">
        <f>VLOOKUP($A126,'VKT US'!$B$63:$AA$113,(S$113+1),FALSE)/VLOOKUP($A126,'Fuel economy adjusted factor'!$A$2:$F$52,5,FALSE)/$AZ$84*($AZ$15*('US Grid mix, emissions&amp;prices'!$AU$3+INDEX('Year data'!$B$3:$AC$53,MATCH('TCO Inputs'!$A126,'Year data'!$A$111:$A$161,0),MATCH('TCO Inputs'!$AZ$12+S$113-1,'Year data'!$B$110:$AC$110,0))/100)+$BA$15*('US Grid mix, emissions&amp;prices'!$AU$4+INDEX('Year data'!$B$57:$AC$107,MATCH($A126,'Year data'!$A$111:$A$161,0),MATCH('TCO Inputs'!$AZ$12+S$113-1,'Year data'!$B$110:$AC$110,0))/100))/(1+$AZ$41)^S$113</f>
        <v>554.47332482801619</v>
      </c>
      <c r="T126" s="106">
        <f>VLOOKUP($A126,'VKT US'!$B$63:$AA$113,(T$113+1),FALSE)/VLOOKUP($A126,'Fuel economy adjusted factor'!$A$2:$F$52,5,FALSE)/$AZ$84*($AZ$15*('US Grid mix, emissions&amp;prices'!$AU$3+INDEX('Year data'!$B$3:$AC$53,MATCH('TCO Inputs'!$A126,'Year data'!$A$111:$A$161,0),MATCH('TCO Inputs'!$AZ$12+T$113-1,'Year data'!$B$110:$AC$110,0))/100)+$BA$15*('US Grid mix, emissions&amp;prices'!$AU$4+INDEX('Year data'!$B$57:$AC$107,MATCH($A126,'Year data'!$A$111:$A$161,0),MATCH('TCO Inputs'!$AZ$12+T$113-1,'Year data'!$B$110:$AC$110,0))/100))/(1+$AZ$41)^T$113</f>
        <v>538.30773913722328</v>
      </c>
      <c r="U126" s="106">
        <f>VLOOKUP($A126,'VKT US'!$B$63:$AA$113,(U$113+1),FALSE)/VLOOKUP($A126,'Fuel economy adjusted factor'!$A$2:$F$52,5,FALSE)/$AZ$84*($AZ$15*('US Grid mix, emissions&amp;prices'!$AU$3+INDEX('Year data'!$B$3:$AC$53,MATCH('TCO Inputs'!$A126,'Year data'!$A$111:$A$161,0),MATCH('TCO Inputs'!$AZ$12+U$113-1,'Year data'!$B$110:$AC$110,0))/100)+$BA$15*('US Grid mix, emissions&amp;prices'!$AU$4+INDEX('Year data'!$B$57:$AC$107,MATCH($A126,'Year data'!$A$111:$A$161,0),MATCH('TCO Inputs'!$AZ$12+U$113-1,'Year data'!$B$110:$AC$110,0))/100))/(1+$AZ$41)^U$113</f>
        <v>522.43107633298723</v>
      </c>
      <c r="V126" s="110" cm="1">
        <f t="array" ref="V126">SUMPRODUCT(INDEX(B126:U126,,_xlfn.SEQUENCE($AZ$13)))</f>
        <v>11465.750283842508</v>
      </c>
      <c r="Y126" s="102" t="s">
        <v>197</v>
      </c>
      <c r="Z126" s="106">
        <f>VLOOKUP($A126,'VKT US'!$B$63:$AA$113,(Z$113+1),FALSE)/VLOOKUP($A126,'Fuel economy adjusted factor'!$A$2:$F$52,5,FALSE)/$AZ$84</f>
        <v>5421.4476572548238</v>
      </c>
      <c r="AA126" s="106">
        <f>VLOOKUP($A126,'VKT US'!$B$63:$AA$113,(AA$113+1),FALSE)/VLOOKUP($A126,'Fuel economy adjusted factor'!$A$2:$F$52,5,FALSE)/$AZ$84</f>
        <v>5260.1975536749087</v>
      </c>
      <c r="AB126" s="106">
        <f>VLOOKUP($A126,'VKT US'!$B$63:$AA$113,(AB$113+1),FALSE)/VLOOKUP($A126,'Fuel economy adjusted factor'!$A$2:$F$52,5,FALSE)/$AZ$84</f>
        <v>5104.0354388001842</v>
      </c>
      <c r="AC126" s="106">
        <f>VLOOKUP($A126,'VKT US'!$B$63:$AA$113,(AC$113+1),FALSE)/VLOOKUP($A126,'Fuel economy adjusted factor'!$A$2:$F$52,5,FALSE)/$AZ$84</f>
        <v>4953.3526963772056</v>
      </c>
      <c r="AD126" s="106">
        <f>VLOOKUP($A126,'VKT US'!$B$63:$AA$113,(AD$113+1),FALSE)/VLOOKUP($A126,'Fuel economy adjusted factor'!$A$2:$F$52,5,FALSE)/$AZ$84</f>
        <v>4807.7579426594175</v>
      </c>
      <c r="AE126" s="106">
        <f>VLOOKUP($A126,'VKT US'!$B$63:$AA$113,(AE$113+1),FALSE)/VLOOKUP($A126,'Fuel economy adjusted factor'!$A$2:$F$52,5,FALSE)/$AZ$84</f>
        <v>4668.0339451399277</v>
      </c>
      <c r="AF126" s="106">
        <f>VLOOKUP($A126,'VKT US'!$B$63:$AA$113,(AF$113+1),FALSE)/VLOOKUP($A126,'Fuel economy adjusted factor'!$A$2:$F$52,5,FALSE)/$AZ$84</f>
        <v>4533.0065525790769</v>
      </c>
      <c r="AG126" s="106">
        <f>VLOOKUP($A126,'VKT US'!$B$63:$AA$113,(AG$113+1),FALSE)/VLOOKUP($A126,'Fuel economy adjusted factor'!$A$2:$F$52,5,FALSE)/$AZ$84</f>
        <v>4403.4585324699701</v>
      </c>
      <c r="AH126" s="106">
        <f>VLOOKUP($A126,'VKT US'!$B$63:$AA$113,(AH$113+1),FALSE)/VLOOKUP($A126,'Fuel economy adjusted factor'!$A$2:$F$52,5,FALSE)/$AZ$84</f>
        <v>4279.3898848126082</v>
      </c>
      <c r="AI126" s="106">
        <f>VLOOKUP($A126,'VKT US'!$B$63:$AA$113,(AI$113+1),FALSE)/VLOOKUP($A126,'Fuel economy adjusted factor'!$A$2:$F$52,5,FALSE)/$AZ$84</f>
        <v>4160.8006096069903</v>
      </c>
      <c r="AJ126" s="106">
        <f>VLOOKUP($A126,'VKT US'!$B$63:$AA$113,(AJ$113+1),FALSE)/VLOOKUP($A126,'Fuel economy adjusted factor'!$A$2:$F$52,5,FALSE)/$AZ$84</f>
        <v>4047.2993231065652</v>
      </c>
      <c r="AK126" s="106">
        <f>VLOOKUP($A126,'VKT US'!$B$63:$AA$113,(AK$113+1),FALSE)/VLOOKUP($A126,'Fuel economy adjusted factor'!$A$2:$F$52,5,FALSE)/$AZ$84</f>
        <v>3939.2774090578832</v>
      </c>
      <c r="AL126" s="106">
        <f>VLOOKUP($A126,'VKT US'!$B$63:$AA$113,(AL$113+1),FALSE)/VLOOKUP($A126,'Fuel economy adjusted factor'!$A$2:$F$52,5,FALSE)/$AZ$84</f>
        <v>3836.3434837143941</v>
      </c>
      <c r="AM126" s="106">
        <f>VLOOKUP($A126,'VKT US'!$B$63:$AA$113,(AM$113+1),FALSE)/VLOOKUP($A126,'Fuel economy adjusted factor'!$A$2:$F$52,5,FALSE)/$AZ$84</f>
        <v>3738.8889308226489</v>
      </c>
      <c r="AN126" s="106">
        <f>VLOOKUP($A126,'VKT US'!$B$63:$AA$113,(AN$113+1),FALSE)/VLOOKUP($A126,'Fuel economy adjusted factor'!$A$2:$F$52,5,FALSE)/$AZ$84</f>
        <v>3646.5223666360957</v>
      </c>
      <c r="AO126" s="106">
        <f>VLOOKUP($A126,'VKT US'!$B$63:$AA$113,(AO$113+1),FALSE)/VLOOKUP($A126,'Fuel economy adjusted factor'!$A$2:$F$52,5,FALSE)/$AZ$84</f>
        <v>3560.026558647839</v>
      </c>
      <c r="AP126" s="106">
        <f>VLOOKUP($A126,'VKT US'!$B$63:$AA$113,(AP$113+1),FALSE)/VLOOKUP($A126,'Fuel economy adjusted factor'!$A$2:$F$52,5,FALSE)/$AZ$84</f>
        <v>3478.2273556182222</v>
      </c>
      <c r="AQ126" s="106">
        <f>VLOOKUP($A126,'VKT US'!$B$63:$AA$113,(AQ$113+1),FALSE)/VLOOKUP($A126,'Fuel economy adjusted factor'!$A$2:$F$52,5,FALSE)/$AZ$84</f>
        <v>3402.2989087869032</v>
      </c>
      <c r="AR126" s="106">
        <f>VLOOKUP($A126,'VKT US'!$B$63:$AA$113,(AR$113+1),FALSE)/VLOOKUP($A126,'Fuel economy adjusted factor'!$A$2:$F$52,5,FALSE)/$AZ$84</f>
        <v>3331.0670669142219</v>
      </c>
      <c r="AS126" s="106">
        <f>VLOOKUP($A126,'VKT US'!$B$63:$AA$113,(AS$113+1),FALSE)/VLOOKUP($A126,'Fuel economy adjusted factor'!$A$2:$F$52,5,FALSE)/$AZ$84</f>
        <v>3265.7059812398384</v>
      </c>
      <c r="AT126" s="110" cm="1">
        <f t="array" ref="AT126">SUMPRODUCT(INDEX(Z126:AS126,,_xlfn.SEQUENCE($AZ$13)))</f>
        <v>63153.289960076596</v>
      </c>
    </row>
    <row r="127" spans="1:46" x14ac:dyDescent="0.25">
      <c r="A127" s="102" t="s">
        <v>198</v>
      </c>
      <c r="B127" s="106">
        <f>VLOOKUP($A127,'VKT US'!$B$63:$AA$113,(B$113+1),FALSE)/VLOOKUP($A127,'Fuel economy adjusted factor'!$A$2:$F$52,5,FALSE)/$AZ$84*($AZ$15*('US Grid mix, emissions&amp;prices'!$AU$3+INDEX('Year data'!$B$3:$AC$53,MATCH('TCO Inputs'!$A127,'Year data'!$A$111:$A$161,0),MATCH('TCO Inputs'!$AZ$12+B$113-1,'Year data'!$B$110:$AC$110,0))/100)+$BA$15*('US Grid mix, emissions&amp;prices'!$AU$4+INDEX('Year data'!$B$57:$AC$107,MATCH($A127,'Year data'!$A$111:$A$161,0),MATCH('TCO Inputs'!$AZ$12+B$113-1,'Year data'!$B$110:$AC$110,0))/100))/(1+$AZ$41)^B$113</f>
        <v>1579.0997504017587</v>
      </c>
      <c r="C127" s="106">
        <f>VLOOKUP($A127,'VKT US'!$B$63:$AA$113,(C$113+1),FALSE)/VLOOKUP($A127,'Fuel economy adjusted factor'!$A$2:$F$52,5,FALSE)/$AZ$84*($AZ$15*('US Grid mix, emissions&amp;prices'!$AU$3+INDEX('Year data'!$B$3:$AC$53,MATCH('TCO Inputs'!$A127,'Year data'!$A$111:$A$161,0),MATCH('TCO Inputs'!$AZ$12+C$113-1,'Year data'!$B$110:$AC$110,0))/100)+$BA$15*('US Grid mix, emissions&amp;prices'!$AU$4+INDEX('Year data'!$B$57:$AC$107,MATCH($A127,'Year data'!$A$111:$A$161,0),MATCH('TCO Inputs'!$AZ$12+C$113-1,'Year data'!$B$110:$AC$110,0))/100))/(1+$AZ$41)^C$113</f>
        <v>1487.1836551754077</v>
      </c>
      <c r="D127" s="106">
        <f>VLOOKUP($A127,'VKT US'!$B$63:$AA$113,(D$113+1),FALSE)/VLOOKUP($A127,'Fuel economy adjusted factor'!$A$2:$F$52,5,FALSE)/$AZ$84*($AZ$15*('US Grid mix, emissions&amp;prices'!$AU$3+INDEX('Year data'!$B$3:$AC$53,MATCH('TCO Inputs'!$A127,'Year data'!$A$111:$A$161,0),MATCH('TCO Inputs'!$AZ$12+D$113-1,'Year data'!$B$110:$AC$110,0))/100)+$BA$15*('US Grid mix, emissions&amp;prices'!$AU$4+INDEX('Year data'!$B$57:$AC$107,MATCH($A127,'Year data'!$A$111:$A$161,0),MATCH('TCO Inputs'!$AZ$12+D$113-1,'Year data'!$B$110:$AC$110,0))/100))/(1+$AZ$41)^D$113</f>
        <v>1394.9117822652711</v>
      </c>
      <c r="E127" s="106">
        <f>VLOOKUP($A127,'VKT US'!$B$63:$AA$113,(E$113+1),FALSE)/VLOOKUP($A127,'Fuel economy adjusted factor'!$A$2:$F$52,5,FALSE)/$AZ$84*($AZ$15*('US Grid mix, emissions&amp;prices'!$AU$3+INDEX('Year data'!$B$3:$AC$53,MATCH('TCO Inputs'!$A127,'Year data'!$A$111:$A$161,0),MATCH('TCO Inputs'!$AZ$12+E$113-1,'Year data'!$B$110:$AC$110,0))/100)+$BA$15*('US Grid mix, emissions&amp;prices'!$AU$4+INDEX('Year data'!$B$57:$AC$107,MATCH($A127,'Year data'!$A$111:$A$161,0),MATCH('TCO Inputs'!$AZ$12+E$113-1,'Year data'!$B$110:$AC$110,0))/100))/(1+$AZ$41)^E$113</f>
        <v>1320.6019318487058</v>
      </c>
      <c r="F127" s="106">
        <f>VLOOKUP($A127,'VKT US'!$B$63:$AA$113,(F$113+1),FALSE)/VLOOKUP($A127,'Fuel economy adjusted factor'!$A$2:$F$52,5,FALSE)/$AZ$84*($AZ$15*('US Grid mix, emissions&amp;prices'!$AU$3+INDEX('Year data'!$B$3:$AC$53,MATCH('TCO Inputs'!$A127,'Year data'!$A$111:$A$161,0),MATCH('TCO Inputs'!$AZ$12+F$113-1,'Year data'!$B$110:$AC$110,0))/100)+$BA$15*('US Grid mix, emissions&amp;prices'!$AU$4+INDEX('Year data'!$B$57:$AC$107,MATCH($A127,'Year data'!$A$111:$A$161,0),MATCH('TCO Inputs'!$AZ$12+F$113-1,'Year data'!$B$110:$AC$110,0))/100))/(1+$AZ$41)^F$113</f>
        <v>1254.2856823345628</v>
      </c>
      <c r="G127" s="106">
        <f>VLOOKUP($A127,'VKT US'!$B$63:$AA$113,(G$113+1),FALSE)/VLOOKUP($A127,'Fuel economy adjusted factor'!$A$2:$F$52,5,FALSE)/$AZ$84*($AZ$15*('US Grid mix, emissions&amp;prices'!$AU$3+INDEX('Year data'!$B$3:$AC$53,MATCH('TCO Inputs'!$A127,'Year data'!$A$111:$A$161,0),MATCH('TCO Inputs'!$AZ$12+G$113-1,'Year data'!$B$110:$AC$110,0))/100)+$BA$15*('US Grid mix, emissions&amp;prices'!$AU$4+INDEX('Year data'!$B$57:$AC$107,MATCH($A127,'Year data'!$A$111:$A$161,0),MATCH('TCO Inputs'!$AZ$12+G$113-1,'Year data'!$B$110:$AC$110,0))/100))/(1+$AZ$41)^G$113</f>
        <v>1194.873776797843</v>
      </c>
      <c r="H127" s="106">
        <f>VLOOKUP($A127,'VKT US'!$B$63:$AA$113,(H$113+1),FALSE)/VLOOKUP($A127,'Fuel economy adjusted factor'!$A$2:$F$52,5,FALSE)/$AZ$84*($AZ$15*('US Grid mix, emissions&amp;prices'!$AU$3+INDEX('Year data'!$B$3:$AC$53,MATCH('TCO Inputs'!$A127,'Year data'!$A$111:$A$161,0),MATCH('TCO Inputs'!$AZ$12+H$113-1,'Year data'!$B$110:$AC$110,0))/100)+$BA$15*('US Grid mix, emissions&amp;prices'!$AU$4+INDEX('Year data'!$B$57:$AC$107,MATCH($A127,'Year data'!$A$111:$A$161,0),MATCH('TCO Inputs'!$AZ$12+H$113-1,'Year data'!$B$110:$AC$110,0))/100))/(1+$AZ$41)^H$113</f>
        <v>1143.736928253184</v>
      </c>
      <c r="I127" s="106">
        <f>VLOOKUP($A127,'VKT US'!$B$63:$AA$113,(I$113+1),FALSE)/VLOOKUP($A127,'Fuel economy adjusted factor'!$A$2:$F$52,5,FALSE)/$AZ$84*($AZ$15*('US Grid mix, emissions&amp;prices'!$AU$3+INDEX('Year data'!$B$3:$AC$53,MATCH('TCO Inputs'!$A127,'Year data'!$A$111:$A$161,0),MATCH('TCO Inputs'!$AZ$12+I$113-1,'Year data'!$B$110:$AC$110,0))/100)+$BA$15*('US Grid mix, emissions&amp;prices'!$AU$4+INDEX('Year data'!$B$57:$AC$107,MATCH($A127,'Year data'!$A$111:$A$161,0),MATCH('TCO Inputs'!$AZ$12+I$113-1,'Year data'!$B$110:$AC$110,0))/100))/(1+$AZ$41)^I$113</f>
        <v>1099.1154385916636</v>
      </c>
      <c r="J127" s="106">
        <f>VLOOKUP($A127,'VKT US'!$B$63:$AA$113,(J$113+1),FALSE)/VLOOKUP($A127,'Fuel economy adjusted factor'!$A$2:$F$52,5,FALSE)/$AZ$84*($AZ$15*('US Grid mix, emissions&amp;prices'!$AU$3+INDEX('Year data'!$B$3:$AC$53,MATCH('TCO Inputs'!$A127,'Year data'!$A$111:$A$161,0),MATCH('TCO Inputs'!$AZ$12+J$113-1,'Year data'!$B$110:$AC$110,0))/100)+$BA$15*('US Grid mix, emissions&amp;prices'!$AU$4+INDEX('Year data'!$B$57:$AC$107,MATCH($A127,'Year data'!$A$111:$A$161,0),MATCH('TCO Inputs'!$AZ$12+J$113-1,'Year data'!$B$110:$AC$110,0))/100))/(1+$AZ$41)^J$113</f>
        <v>1058.117063679395</v>
      </c>
      <c r="K127" s="106">
        <f>VLOOKUP($A127,'VKT US'!$B$63:$AA$113,(K$113+1),FALSE)/VLOOKUP($A127,'Fuel economy adjusted factor'!$A$2:$F$52,5,FALSE)/$AZ$84*($AZ$15*('US Grid mix, emissions&amp;prices'!$AU$3+INDEX('Year data'!$B$3:$AC$53,MATCH('TCO Inputs'!$A127,'Year data'!$A$111:$A$161,0),MATCH('TCO Inputs'!$AZ$12+K$113-1,'Year data'!$B$110:$AC$110,0))/100)+$BA$15*('US Grid mix, emissions&amp;prices'!$AU$4+INDEX('Year data'!$B$57:$AC$107,MATCH($A127,'Year data'!$A$111:$A$161,0),MATCH('TCO Inputs'!$AZ$12+K$113-1,'Year data'!$B$110:$AC$110,0))/100))/(1+$AZ$41)^K$113</f>
        <v>1018.8383629709922</v>
      </c>
      <c r="L127" s="106">
        <f>VLOOKUP($A127,'VKT US'!$B$63:$AA$113,(L$113+1),FALSE)/VLOOKUP($A127,'Fuel economy adjusted factor'!$A$2:$F$52,5,FALSE)/$AZ$84*($AZ$15*('US Grid mix, emissions&amp;prices'!$AU$3+INDEX('Year data'!$B$3:$AC$53,MATCH('TCO Inputs'!$A127,'Year data'!$A$111:$A$161,0),MATCH('TCO Inputs'!$AZ$12+L$113-1,'Year data'!$B$110:$AC$110,0))/100)+$BA$15*('US Grid mix, emissions&amp;prices'!$AU$4+INDEX('Year data'!$B$57:$AC$107,MATCH($A127,'Year data'!$A$111:$A$161,0),MATCH('TCO Inputs'!$AZ$12+L$113-1,'Year data'!$B$110:$AC$110,0))/100))/(1+$AZ$41)^L$113</f>
        <v>988.2234307012219</v>
      </c>
      <c r="M127" s="106">
        <f>VLOOKUP($A127,'VKT US'!$B$63:$AA$113,(M$113+1),FALSE)/VLOOKUP($A127,'Fuel economy adjusted factor'!$A$2:$F$52,5,FALSE)/$AZ$84*($AZ$15*('US Grid mix, emissions&amp;prices'!$AU$3+INDEX('Year data'!$B$3:$AC$53,MATCH('TCO Inputs'!$A127,'Year data'!$A$111:$A$161,0),MATCH('TCO Inputs'!$AZ$12+M$113-1,'Year data'!$B$110:$AC$110,0))/100)+$BA$15*('US Grid mix, emissions&amp;prices'!$AU$4+INDEX('Year data'!$B$57:$AC$107,MATCH($A127,'Year data'!$A$111:$A$161,0),MATCH('TCO Inputs'!$AZ$12+M$113-1,'Year data'!$B$110:$AC$110,0))/100))/(1+$AZ$41)^M$113</f>
        <v>956.87740129024371</v>
      </c>
      <c r="N127" s="106">
        <f>VLOOKUP($A127,'VKT US'!$B$63:$AA$113,(N$113+1),FALSE)/VLOOKUP($A127,'Fuel economy adjusted factor'!$A$2:$F$52,5,FALSE)/$AZ$84*($AZ$15*('US Grid mix, emissions&amp;prices'!$AU$3+INDEX('Year data'!$B$3:$AC$53,MATCH('TCO Inputs'!$A127,'Year data'!$A$111:$A$161,0),MATCH('TCO Inputs'!$AZ$12+N$113-1,'Year data'!$B$110:$AC$110,0))/100)+$BA$15*('US Grid mix, emissions&amp;prices'!$AU$4+INDEX('Year data'!$B$57:$AC$107,MATCH($A127,'Year data'!$A$111:$A$161,0),MATCH('TCO Inputs'!$AZ$12+N$113-1,'Year data'!$B$110:$AC$110,0))/100))/(1+$AZ$41)^N$113</f>
        <v>921.00098047558436</v>
      </c>
      <c r="O127" s="106">
        <f>VLOOKUP($A127,'VKT US'!$B$63:$AA$113,(O$113+1),FALSE)/VLOOKUP($A127,'Fuel economy adjusted factor'!$A$2:$F$52,5,FALSE)/$AZ$84*($AZ$15*('US Grid mix, emissions&amp;prices'!$AU$3+INDEX('Year data'!$B$3:$AC$53,MATCH('TCO Inputs'!$A127,'Year data'!$A$111:$A$161,0),MATCH('TCO Inputs'!$AZ$12+O$113-1,'Year data'!$B$110:$AC$110,0))/100)+$BA$15*('US Grid mix, emissions&amp;prices'!$AU$4+INDEX('Year data'!$B$57:$AC$107,MATCH($A127,'Year data'!$A$111:$A$161,0),MATCH('TCO Inputs'!$AZ$12+O$113-1,'Year data'!$B$110:$AC$110,0))/100))/(1+$AZ$41)^O$113</f>
        <v>890.10617434682229</v>
      </c>
      <c r="P127" s="106">
        <f>VLOOKUP($A127,'VKT US'!$B$63:$AA$113,(P$113+1),FALSE)/VLOOKUP($A127,'Fuel economy adjusted factor'!$A$2:$F$52,5,FALSE)/$AZ$84*($AZ$15*('US Grid mix, emissions&amp;prices'!$AU$3+INDEX('Year data'!$B$3:$AC$53,MATCH('TCO Inputs'!$A127,'Year data'!$A$111:$A$161,0),MATCH('TCO Inputs'!$AZ$12+P$113-1,'Year data'!$B$110:$AC$110,0))/100)+$BA$15*('US Grid mix, emissions&amp;prices'!$AU$4+INDEX('Year data'!$B$57:$AC$107,MATCH($A127,'Year data'!$A$111:$A$161,0),MATCH('TCO Inputs'!$AZ$12+P$113-1,'Year data'!$B$110:$AC$110,0))/100))/(1+$AZ$41)^P$113</f>
        <v>861.55580269462314</v>
      </c>
      <c r="Q127" s="106">
        <f>VLOOKUP($A127,'VKT US'!$B$63:$AA$113,(Q$113+1),FALSE)/VLOOKUP($A127,'Fuel economy adjusted factor'!$A$2:$F$52,5,FALSE)/$AZ$84*($AZ$15*('US Grid mix, emissions&amp;prices'!$AU$3+INDEX('Year data'!$B$3:$AC$53,MATCH('TCO Inputs'!$A127,'Year data'!$A$111:$A$161,0),MATCH('TCO Inputs'!$AZ$12+Q$113-1,'Year data'!$B$110:$AC$110,0))/100)+$BA$15*('US Grid mix, emissions&amp;prices'!$AU$4+INDEX('Year data'!$B$57:$AC$107,MATCH($A127,'Year data'!$A$111:$A$161,0),MATCH('TCO Inputs'!$AZ$12+Q$113-1,'Year data'!$B$110:$AC$110,0))/100))/(1+$AZ$41)^Q$113</f>
        <v>836.5387348383814</v>
      </c>
      <c r="R127" s="106">
        <f>VLOOKUP($A127,'VKT US'!$B$63:$AA$113,(R$113+1),FALSE)/VLOOKUP($A127,'Fuel economy adjusted factor'!$A$2:$F$52,5,FALSE)/$AZ$84*($AZ$15*('US Grid mix, emissions&amp;prices'!$AU$3+INDEX('Year data'!$B$3:$AC$53,MATCH('TCO Inputs'!$A127,'Year data'!$A$111:$A$161,0),MATCH('TCO Inputs'!$AZ$12+R$113-1,'Year data'!$B$110:$AC$110,0))/100)+$BA$15*('US Grid mix, emissions&amp;prices'!$AU$4+INDEX('Year data'!$B$57:$AC$107,MATCH($A127,'Year data'!$A$111:$A$161,0),MATCH('TCO Inputs'!$AZ$12+R$113-1,'Year data'!$B$110:$AC$110,0))/100))/(1+$AZ$41)^R$113</f>
        <v>811.25621294596351</v>
      </c>
      <c r="S127" s="106">
        <f>VLOOKUP($A127,'VKT US'!$B$63:$AA$113,(S$113+1),FALSE)/VLOOKUP($A127,'Fuel economy adjusted factor'!$A$2:$F$52,5,FALSE)/$AZ$84*($AZ$15*('US Grid mix, emissions&amp;prices'!$AU$3+INDEX('Year data'!$B$3:$AC$53,MATCH('TCO Inputs'!$A127,'Year data'!$A$111:$A$161,0),MATCH('TCO Inputs'!$AZ$12+S$113-1,'Year data'!$B$110:$AC$110,0))/100)+$BA$15*('US Grid mix, emissions&amp;prices'!$AU$4+INDEX('Year data'!$B$57:$AC$107,MATCH($A127,'Year data'!$A$111:$A$161,0),MATCH('TCO Inputs'!$AZ$12+S$113-1,'Year data'!$B$110:$AC$110,0))/100))/(1+$AZ$41)^S$113</f>
        <v>787.54039544358091</v>
      </c>
      <c r="T127" s="106">
        <f>VLOOKUP($A127,'VKT US'!$B$63:$AA$113,(T$113+1),FALSE)/VLOOKUP($A127,'Fuel economy adjusted factor'!$A$2:$F$52,5,FALSE)/$AZ$84*($AZ$15*('US Grid mix, emissions&amp;prices'!$AU$3+INDEX('Year data'!$B$3:$AC$53,MATCH('TCO Inputs'!$A127,'Year data'!$A$111:$A$161,0),MATCH('TCO Inputs'!$AZ$12+T$113-1,'Year data'!$B$110:$AC$110,0))/100)+$BA$15*('US Grid mix, emissions&amp;prices'!$AU$4+INDEX('Year data'!$B$57:$AC$107,MATCH($A127,'Year data'!$A$111:$A$161,0),MATCH('TCO Inputs'!$AZ$12+T$113-1,'Year data'!$B$110:$AC$110,0))/100))/(1+$AZ$41)^T$113</f>
        <v>764.52268668157603</v>
      </c>
      <c r="U127" s="106">
        <f>VLOOKUP($A127,'VKT US'!$B$63:$AA$113,(U$113+1),FALSE)/VLOOKUP($A127,'Fuel economy adjusted factor'!$A$2:$F$52,5,FALSE)/$AZ$84*($AZ$15*('US Grid mix, emissions&amp;prices'!$AU$3+INDEX('Year data'!$B$3:$AC$53,MATCH('TCO Inputs'!$A127,'Year data'!$A$111:$A$161,0),MATCH('TCO Inputs'!$AZ$12+U$113-1,'Year data'!$B$110:$AC$110,0))/100)+$BA$15*('US Grid mix, emissions&amp;prices'!$AU$4+INDEX('Year data'!$B$57:$AC$107,MATCH($A127,'Year data'!$A$111:$A$161,0),MATCH('TCO Inputs'!$AZ$12+U$113-1,'Year data'!$B$110:$AC$110,0))/100))/(1+$AZ$41)^U$113</f>
        <v>741.91775823563705</v>
      </c>
      <c r="V127" s="110" cm="1">
        <f t="array" ref="V127">SUMPRODUCT(INDEX(B127:U127,,_xlfn.SEQUENCE($AZ$13)))</f>
        <v>16306.972359132653</v>
      </c>
      <c r="Y127" s="102" t="s">
        <v>198</v>
      </c>
      <c r="Z127" s="106">
        <f>VLOOKUP($A127,'VKT US'!$B$63:$AA$113,(Z$113+1),FALSE)/VLOOKUP($A127,'Fuel economy adjusted factor'!$A$2:$F$52,5,FALSE)/$AZ$84</f>
        <v>7733.1061473124209</v>
      </c>
      <c r="AA127" s="106">
        <f>VLOOKUP($A127,'VKT US'!$B$63:$AA$113,(AA$113+1),FALSE)/VLOOKUP($A127,'Fuel economy adjusted factor'!$A$2:$F$52,5,FALSE)/$AZ$84</f>
        <v>7503.1003912704973</v>
      </c>
      <c r="AB127" s="106">
        <f>VLOOKUP($A127,'VKT US'!$B$63:$AA$113,(AB$113+1),FALSE)/VLOOKUP($A127,'Fuel economy adjusted factor'!$A$2:$F$52,5,FALSE)/$AZ$84</f>
        <v>7280.3520984046554</v>
      </c>
      <c r="AC127" s="106">
        <f>VLOOKUP($A127,'VKT US'!$B$63:$AA$113,(AC$113+1),FALSE)/VLOOKUP($A127,'Fuel economy adjusted factor'!$A$2:$F$52,5,FALSE)/$AZ$84</f>
        <v>7065.419535113052</v>
      </c>
      <c r="AD127" s="106">
        <f>VLOOKUP($A127,'VKT US'!$B$63:$AA$113,(AD$113+1),FALSE)/VLOOKUP($A127,'Fuel economy adjusted factor'!$A$2:$F$52,5,FALSE)/$AZ$84</f>
        <v>6857.7444349975294</v>
      </c>
      <c r="AE127" s="106">
        <f>VLOOKUP($A127,'VKT US'!$B$63:$AA$113,(AE$113+1),FALSE)/VLOOKUP($A127,'Fuel economy adjusted factor'!$A$2:$F$52,5,FALSE)/$AZ$84</f>
        <v>6658.4433308544067</v>
      </c>
      <c r="AF127" s="106">
        <f>VLOOKUP($A127,'VKT US'!$B$63:$AA$113,(AF$113+1),FALSE)/VLOOKUP($A127,'Fuel economy adjusted factor'!$A$2:$F$52,5,FALSE)/$AZ$84</f>
        <v>6465.8414234892043</v>
      </c>
      <c r="AG127" s="106">
        <f>VLOOKUP($A127,'VKT US'!$B$63:$AA$113,(AG$113+1),FALSE)/VLOOKUP($A127,'Fuel economy adjusted factor'!$A$2:$F$52,5,FALSE)/$AZ$84</f>
        <v>6281.0552456982423</v>
      </c>
      <c r="AH127" s="106">
        <f>VLOOKUP($A127,'VKT US'!$B$63:$AA$113,(AH$113+1),FALSE)/VLOOKUP($A127,'Fuel economy adjusted factor'!$A$2:$F$52,5,FALSE)/$AZ$84</f>
        <v>6104.0847974815197</v>
      </c>
      <c r="AI127" s="106">
        <f>VLOOKUP($A127,'VKT US'!$B$63:$AA$113,(AI$113+1),FALSE)/VLOOKUP($A127,'Fuel economy adjusted factor'!$A$2:$F$52,5,FALSE)/$AZ$84</f>
        <v>5934.9300788390383</v>
      </c>
      <c r="AJ127" s="106">
        <f>VLOOKUP($A127,'VKT US'!$B$63:$AA$113,(AJ$113+1),FALSE)/VLOOKUP($A127,'Fuel economy adjusted factor'!$A$2:$F$52,5,FALSE)/$AZ$84</f>
        <v>5773.0328233726359</v>
      </c>
      <c r="AK127" s="106">
        <f>VLOOKUP($A127,'VKT US'!$B$63:$AA$113,(AK$113+1),FALSE)/VLOOKUP($A127,'Fuel economy adjusted factor'!$A$2:$F$52,5,FALSE)/$AZ$84</f>
        <v>5618.9512974804738</v>
      </c>
      <c r="AL127" s="106">
        <f>VLOOKUP($A127,'VKT US'!$B$63:$AA$113,(AL$113+1),FALSE)/VLOOKUP($A127,'Fuel economy adjusted factor'!$A$2:$F$52,5,FALSE)/$AZ$84</f>
        <v>5472.1272347643917</v>
      </c>
      <c r="AM127" s="106">
        <f>VLOOKUP($A127,'VKT US'!$B$63:$AA$113,(AM$113+1),FALSE)/VLOOKUP($A127,'Fuel economy adjusted factor'!$A$2:$F$52,5,FALSE)/$AZ$84</f>
        <v>5333.1189016225499</v>
      </c>
      <c r="AN127" s="106">
        <f>VLOOKUP($A127,'VKT US'!$B$63:$AA$113,(AN$113+1),FALSE)/VLOOKUP($A127,'Fuel economy adjusted factor'!$A$2:$F$52,5,FALSE)/$AZ$84</f>
        <v>5201.3680316567879</v>
      </c>
      <c r="AO127" s="106">
        <f>VLOOKUP($A127,'VKT US'!$B$63:$AA$113,(AO$113+1),FALSE)/VLOOKUP($A127,'Fuel economy adjusted factor'!$A$2:$F$52,5,FALSE)/$AZ$84</f>
        <v>5077.9911576634249</v>
      </c>
      <c r="AP127" s="106">
        <f>VLOOKUP($A127,'VKT US'!$B$63:$AA$113,(AP$113+1),FALSE)/VLOOKUP($A127,'Fuel economy adjusted factor'!$A$2:$F$52,5,FALSE)/$AZ$84</f>
        <v>4961.3134804479841</v>
      </c>
      <c r="AQ127" s="106">
        <f>VLOOKUP($A127,'VKT US'!$B$63:$AA$113,(AQ$113+1),FALSE)/VLOOKUP($A127,'Fuel economy adjusted factor'!$A$2:$F$52,5,FALSE)/$AZ$84</f>
        <v>4853.0097992049432</v>
      </c>
      <c r="AR127" s="106">
        <f>VLOOKUP($A127,'VKT US'!$B$63:$AA$113,(AR$113+1),FALSE)/VLOOKUP($A127,'Fuel economy adjusted factor'!$A$2:$F$52,5,FALSE)/$AZ$84</f>
        <v>4751.4053147398226</v>
      </c>
      <c r="AS127" s="106">
        <f>VLOOKUP($A127,'VKT US'!$B$63:$AA$113,(AS$113+1),FALSE)/VLOOKUP($A127,'Fuel economy adjusted factor'!$A$2:$F$52,5,FALSE)/$AZ$84</f>
        <v>4658.1748262471001</v>
      </c>
      <c r="AT127" s="110" cm="1">
        <f t="array" ref="AT127">SUMPRODUCT(INDEX(Z127:AS127,,_xlfn.SEQUENCE($AZ$13)))</f>
        <v>90081.30774070062</v>
      </c>
    </row>
    <row r="128" spans="1:46" x14ac:dyDescent="0.25">
      <c r="A128" s="102" t="s">
        <v>195</v>
      </c>
      <c r="B128" s="106">
        <f>VLOOKUP($A128,'VKT US'!$B$63:$AA$113,(B$113+1),FALSE)/VLOOKUP($A128,'Fuel economy adjusted factor'!$A$2:$F$52,5,FALSE)/$AZ$84*($AZ$15*('US Grid mix, emissions&amp;prices'!$AU$3+INDEX('Year data'!$B$3:$AC$53,MATCH('TCO Inputs'!$A128,'Year data'!$A$111:$A$161,0),MATCH('TCO Inputs'!$AZ$12+B$113-1,'Year data'!$B$110:$AC$110,0))/100)+$BA$15*('US Grid mix, emissions&amp;prices'!$AU$4+INDEX('Year data'!$B$57:$AC$107,MATCH($A128,'Year data'!$A$111:$A$161,0),MATCH('TCO Inputs'!$AZ$12+B$113-1,'Year data'!$B$110:$AC$110,0))/100))/(1+$AZ$41)^B$113</f>
        <v>1249.0081500007366</v>
      </c>
      <c r="C128" s="106">
        <f>VLOOKUP($A128,'VKT US'!$B$63:$AA$113,(C$113+1),FALSE)/VLOOKUP($A128,'Fuel economy adjusted factor'!$A$2:$F$52,5,FALSE)/$AZ$84*($AZ$15*('US Grid mix, emissions&amp;prices'!$AU$3+INDEX('Year data'!$B$3:$AC$53,MATCH('TCO Inputs'!$A128,'Year data'!$A$111:$A$161,0),MATCH('TCO Inputs'!$AZ$12+C$113-1,'Year data'!$B$110:$AC$110,0))/100)+$BA$15*('US Grid mix, emissions&amp;prices'!$AU$4+INDEX('Year data'!$B$57:$AC$107,MATCH($A128,'Year data'!$A$111:$A$161,0),MATCH('TCO Inputs'!$AZ$12+C$113-1,'Year data'!$B$110:$AC$110,0))/100))/(1+$AZ$41)^C$113</f>
        <v>1177.0754769259677</v>
      </c>
      <c r="D128" s="106">
        <f>VLOOKUP($A128,'VKT US'!$B$63:$AA$113,(D$113+1),FALSE)/VLOOKUP($A128,'Fuel economy adjusted factor'!$A$2:$F$52,5,FALSE)/$AZ$84*($AZ$15*('US Grid mix, emissions&amp;prices'!$AU$3+INDEX('Year data'!$B$3:$AC$53,MATCH('TCO Inputs'!$A128,'Year data'!$A$111:$A$161,0),MATCH('TCO Inputs'!$AZ$12+D$113-1,'Year data'!$B$110:$AC$110,0))/100)+$BA$15*('US Grid mix, emissions&amp;prices'!$AU$4+INDEX('Year data'!$B$57:$AC$107,MATCH($A128,'Year data'!$A$111:$A$161,0),MATCH('TCO Inputs'!$AZ$12+D$113-1,'Year data'!$B$110:$AC$110,0))/100))/(1+$AZ$41)^D$113</f>
        <v>1105.0001607544968</v>
      </c>
      <c r="E128" s="106">
        <f>VLOOKUP($A128,'VKT US'!$B$63:$AA$113,(E$113+1),FALSE)/VLOOKUP($A128,'Fuel economy adjusted factor'!$A$2:$F$52,5,FALSE)/$AZ$84*($AZ$15*('US Grid mix, emissions&amp;prices'!$AU$3+INDEX('Year data'!$B$3:$AC$53,MATCH('TCO Inputs'!$A128,'Year data'!$A$111:$A$161,0),MATCH('TCO Inputs'!$AZ$12+E$113-1,'Year data'!$B$110:$AC$110,0))/100)+$BA$15*('US Grid mix, emissions&amp;prices'!$AU$4+INDEX('Year data'!$B$57:$AC$107,MATCH($A128,'Year data'!$A$111:$A$161,0),MATCH('TCO Inputs'!$AZ$12+E$113-1,'Year data'!$B$110:$AC$110,0))/100))/(1+$AZ$41)^E$113</f>
        <v>1046.6755731912478</v>
      </c>
      <c r="F128" s="106">
        <f>VLOOKUP($A128,'VKT US'!$B$63:$AA$113,(F$113+1),FALSE)/VLOOKUP($A128,'Fuel economy adjusted factor'!$A$2:$F$52,5,FALSE)/$AZ$84*($AZ$15*('US Grid mix, emissions&amp;prices'!$AU$3+INDEX('Year data'!$B$3:$AC$53,MATCH('TCO Inputs'!$A128,'Year data'!$A$111:$A$161,0),MATCH('TCO Inputs'!$AZ$12+F$113-1,'Year data'!$B$110:$AC$110,0))/100)+$BA$15*('US Grid mix, emissions&amp;prices'!$AU$4+INDEX('Year data'!$B$57:$AC$107,MATCH($A128,'Year data'!$A$111:$A$161,0),MATCH('TCO Inputs'!$AZ$12+F$113-1,'Year data'!$B$110:$AC$110,0))/100))/(1+$AZ$41)^F$113</f>
        <v>994.51204191100726</v>
      </c>
      <c r="G128" s="106">
        <f>VLOOKUP($A128,'VKT US'!$B$63:$AA$113,(G$113+1),FALSE)/VLOOKUP($A128,'Fuel economy adjusted factor'!$A$2:$F$52,5,FALSE)/$AZ$84*($AZ$15*('US Grid mix, emissions&amp;prices'!$AU$3+INDEX('Year data'!$B$3:$AC$53,MATCH('TCO Inputs'!$A128,'Year data'!$A$111:$A$161,0),MATCH('TCO Inputs'!$AZ$12+G$113-1,'Year data'!$B$110:$AC$110,0))/100)+$BA$15*('US Grid mix, emissions&amp;prices'!$AU$4+INDEX('Year data'!$B$57:$AC$107,MATCH($A128,'Year data'!$A$111:$A$161,0),MATCH('TCO Inputs'!$AZ$12+G$113-1,'Year data'!$B$110:$AC$110,0))/100))/(1+$AZ$41)^G$113</f>
        <v>947.6751115273122</v>
      </c>
      <c r="H128" s="106">
        <f>VLOOKUP($A128,'VKT US'!$B$63:$AA$113,(H$113+1),FALSE)/VLOOKUP($A128,'Fuel economy adjusted factor'!$A$2:$F$52,5,FALSE)/$AZ$84*($AZ$15*('US Grid mix, emissions&amp;prices'!$AU$3+INDEX('Year data'!$B$3:$AC$53,MATCH('TCO Inputs'!$A128,'Year data'!$A$111:$A$161,0),MATCH('TCO Inputs'!$AZ$12+H$113-1,'Year data'!$B$110:$AC$110,0))/100)+$BA$15*('US Grid mix, emissions&amp;prices'!$AU$4+INDEX('Year data'!$B$57:$AC$107,MATCH($A128,'Year data'!$A$111:$A$161,0),MATCH('TCO Inputs'!$AZ$12+H$113-1,'Year data'!$B$110:$AC$110,0))/100))/(1+$AZ$41)^H$113</f>
        <v>907.200285310205</v>
      </c>
      <c r="I128" s="106">
        <f>VLOOKUP($A128,'VKT US'!$B$63:$AA$113,(I$113+1),FALSE)/VLOOKUP($A128,'Fuel economy adjusted factor'!$A$2:$F$52,5,FALSE)/$AZ$84*($AZ$15*('US Grid mix, emissions&amp;prices'!$AU$3+INDEX('Year data'!$B$3:$AC$53,MATCH('TCO Inputs'!$A128,'Year data'!$A$111:$A$161,0),MATCH('TCO Inputs'!$AZ$12+I$113-1,'Year data'!$B$110:$AC$110,0))/100)+$BA$15*('US Grid mix, emissions&amp;prices'!$AU$4+INDEX('Year data'!$B$57:$AC$107,MATCH($A128,'Year data'!$A$111:$A$161,0),MATCH('TCO Inputs'!$AZ$12+I$113-1,'Year data'!$B$110:$AC$110,0))/100))/(1+$AZ$41)^I$113</f>
        <v>871.75612236749259</v>
      </c>
      <c r="J128" s="106">
        <f>VLOOKUP($A128,'VKT US'!$B$63:$AA$113,(J$113+1),FALSE)/VLOOKUP($A128,'Fuel economy adjusted factor'!$A$2:$F$52,5,FALSE)/$AZ$84*($AZ$15*('US Grid mix, emissions&amp;prices'!$AU$3+INDEX('Year data'!$B$3:$AC$53,MATCH('TCO Inputs'!$A128,'Year data'!$A$111:$A$161,0),MATCH('TCO Inputs'!$AZ$12+J$113-1,'Year data'!$B$110:$AC$110,0))/100)+$BA$15*('US Grid mix, emissions&amp;prices'!$AU$4+INDEX('Year data'!$B$57:$AC$107,MATCH($A128,'Year data'!$A$111:$A$161,0),MATCH('TCO Inputs'!$AZ$12+J$113-1,'Year data'!$B$110:$AC$110,0))/100))/(1+$AZ$41)^J$113</f>
        <v>839.13651106543409</v>
      </c>
      <c r="K128" s="106">
        <f>VLOOKUP($A128,'VKT US'!$B$63:$AA$113,(K$113+1),FALSE)/VLOOKUP($A128,'Fuel economy adjusted factor'!$A$2:$F$52,5,FALSE)/$AZ$84*($AZ$15*('US Grid mix, emissions&amp;prices'!$AU$3+INDEX('Year data'!$B$3:$AC$53,MATCH('TCO Inputs'!$A128,'Year data'!$A$111:$A$161,0),MATCH('TCO Inputs'!$AZ$12+K$113-1,'Year data'!$B$110:$AC$110,0))/100)+$BA$15*('US Grid mix, emissions&amp;prices'!$AU$4+INDEX('Year data'!$B$57:$AC$107,MATCH($A128,'Year data'!$A$111:$A$161,0),MATCH('TCO Inputs'!$AZ$12+K$113-1,'Year data'!$B$110:$AC$110,0))/100))/(1+$AZ$41)^K$113</f>
        <v>807.89861088658654</v>
      </c>
      <c r="L128" s="106">
        <f>VLOOKUP($A128,'VKT US'!$B$63:$AA$113,(L$113+1),FALSE)/VLOOKUP($A128,'Fuel economy adjusted factor'!$A$2:$F$52,5,FALSE)/$AZ$84*($AZ$15*('US Grid mix, emissions&amp;prices'!$AU$3+INDEX('Year data'!$B$3:$AC$53,MATCH('TCO Inputs'!$A128,'Year data'!$A$111:$A$161,0),MATCH('TCO Inputs'!$AZ$12+L$113-1,'Year data'!$B$110:$AC$110,0))/100)+$BA$15*('US Grid mix, emissions&amp;prices'!$AU$4+INDEX('Year data'!$B$57:$AC$107,MATCH($A128,'Year data'!$A$111:$A$161,0),MATCH('TCO Inputs'!$AZ$12+L$113-1,'Year data'!$B$110:$AC$110,0))/100))/(1+$AZ$41)^L$113</f>
        <v>783.31316789159155</v>
      </c>
      <c r="M128" s="106">
        <f>VLOOKUP($A128,'VKT US'!$B$63:$AA$113,(M$113+1),FALSE)/VLOOKUP($A128,'Fuel economy adjusted factor'!$A$2:$F$52,5,FALSE)/$AZ$84*($AZ$15*('US Grid mix, emissions&amp;prices'!$AU$3+INDEX('Year data'!$B$3:$AC$53,MATCH('TCO Inputs'!$A128,'Year data'!$A$111:$A$161,0),MATCH('TCO Inputs'!$AZ$12+M$113-1,'Year data'!$B$110:$AC$110,0))/100)+$BA$15*('US Grid mix, emissions&amp;prices'!$AU$4+INDEX('Year data'!$B$57:$AC$107,MATCH($A128,'Year data'!$A$111:$A$161,0),MATCH('TCO Inputs'!$AZ$12+M$113-1,'Year data'!$B$110:$AC$110,0))/100))/(1+$AZ$41)^M$113</f>
        <v>758.24359396048692</v>
      </c>
      <c r="N128" s="106">
        <f>VLOOKUP($A128,'VKT US'!$B$63:$AA$113,(N$113+1),FALSE)/VLOOKUP($A128,'Fuel economy adjusted factor'!$A$2:$F$52,5,FALSE)/$AZ$84*($AZ$15*('US Grid mix, emissions&amp;prices'!$AU$3+INDEX('Year data'!$B$3:$AC$53,MATCH('TCO Inputs'!$A128,'Year data'!$A$111:$A$161,0),MATCH('TCO Inputs'!$AZ$12+N$113-1,'Year data'!$B$110:$AC$110,0))/100)+$BA$15*('US Grid mix, emissions&amp;prices'!$AU$4+INDEX('Year data'!$B$57:$AC$107,MATCH($A128,'Year data'!$A$111:$A$161,0),MATCH('TCO Inputs'!$AZ$12+N$113-1,'Year data'!$B$110:$AC$110,0))/100))/(1+$AZ$41)^N$113</f>
        <v>729.8021199229521</v>
      </c>
      <c r="O128" s="106">
        <f>VLOOKUP($A128,'VKT US'!$B$63:$AA$113,(O$113+1),FALSE)/VLOOKUP($A128,'Fuel economy adjusted factor'!$A$2:$F$52,5,FALSE)/$AZ$84*($AZ$15*('US Grid mix, emissions&amp;prices'!$AU$3+INDEX('Year data'!$B$3:$AC$53,MATCH('TCO Inputs'!$A128,'Year data'!$A$111:$A$161,0),MATCH('TCO Inputs'!$AZ$12+O$113-1,'Year data'!$B$110:$AC$110,0))/100)+$BA$15*('US Grid mix, emissions&amp;prices'!$AU$4+INDEX('Year data'!$B$57:$AC$107,MATCH($A128,'Year data'!$A$111:$A$161,0),MATCH('TCO Inputs'!$AZ$12+O$113-1,'Year data'!$B$110:$AC$110,0))/100))/(1+$AZ$41)^O$113</f>
        <v>705.21076790362133</v>
      </c>
      <c r="P128" s="106">
        <f>VLOOKUP($A128,'VKT US'!$B$63:$AA$113,(P$113+1),FALSE)/VLOOKUP($A128,'Fuel economy adjusted factor'!$A$2:$F$52,5,FALSE)/$AZ$84*($AZ$15*('US Grid mix, emissions&amp;prices'!$AU$3+INDEX('Year data'!$B$3:$AC$53,MATCH('TCO Inputs'!$A128,'Year data'!$A$111:$A$161,0),MATCH('TCO Inputs'!$AZ$12+P$113-1,'Year data'!$B$110:$AC$110,0))/100)+$BA$15*('US Grid mix, emissions&amp;prices'!$AU$4+INDEX('Year data'!$B$57:$AC$107,MATCH($A128,'Year data'!$A$111:$A$161,0),MATCH('TCO Inputs'!$AZ$12+P$113-1,'Year data'!$B$110:$AC$110,0))/100))/(1+$AZ$41)^P$113</f>
        <v>682.45998941981645</v>
      </c>
      <c r="Q128" s="106">
        <f>VLOOKUP($A128,'VKT US'!$B$63:$AA$113,(Q$113+1),FALSE)/VLOOKUP($A128,'Fuel economy adjusted factor'!$A$2:$F$52,5,FALSE)/$AZ$84*($AZ$15*('US Grid mix, emissions&amp;prices'!$AU$3+INDEX('Year data'!$B$3:$AC$53,MATCH('TCO Inputs'!$A128,'Year data'!$A$111:$A$161,0),MATCH('TCO Inputs'!$AZ$12+Q$113-1,'Year data'!$B$110:$AC$110,0))/100)+$BA$15*('US Grid mix, emissions&amp;prices'!$AU$4+INDEX('Year data'!$B$57:$AC$107,MATCH($A128,'Year data'!$A$111:$A$161,0),MATCH('TCO Inputs'!$AZ$12+Q$113-1,'Year data'!$B$110:$AC$110,0))/100))/(1+$AZ$41)^Q$113</f>
        <v>662.46089309914305</v>
      </c>
      <c r="R128" s="106">
        <f>VLOOKUP($A128,'VKT US'!$B$63:$AA$113,(R$113+1),FALSE)/VLOOKUP($A128,'Fuel economy adjusted factor'!$A$2:$F$52,5,FALSE)/$AZ$84*($AZ$15*('US Grid mix, emissions&amp;prices'!$AU$3+INDEX('Year data'!$B$3:$AC$53,MATCH('TCO Inputs'!$A128,'Year data'!$A$111:$A$161,0),MATCH('TCO Inputs'!$AZ$12+R$113-1,'Year data'!$B$110:$AC$110,0))/100)+$BA$15*('US Grid mix, emissions&amp;prices'!$AU$4+INDEX('Year data'!$B$57:$AC$107,MATCH($A128,'Year data'!$A$111:$A$161,0),MATCH('TCO Inputs'!$AZ$12+R$113-1,'Year data'!$B$110:$AC$110,0))/100))/(1+$AZ$41)^R$113</f>
        <v>642.31679165863511</v>
      </c>
      <c r="S128" s="106">
        <f>VLOOKUP($A128,'VKT US'!$B$63:$AA$113,(S$113+1),FALSE)/VLOOKUP($A128,'Fuel economy adjusted factor'!$A$2:$F$52,5,FALSE)/$AZ$84*($AZ$15*('US Grid mix, emissions&amp;prices'!$AU$3+INDEX('Year data'!$B$3:$AC$53,MATCH('TCO Inputs'!$A128,'Year data'!$A$111:$A$161,0),MATCH('TCO Inputs'!$AZ$12+S$113-1,'Year data'!$B$110:$AC$110,0))/100)+$BA$15*('US Grid mix, emissions&amp;prices'!$AU$4+INDEX('Year data'!$B$57:$AC$107,MATCH($A128,'Year data'!$A$111:$A$161,0),MATCH('TCO Inputs'!$AZ$12+S$113-1,'Year data'!$B$110:$AC$110,0))/100))/(1+$AZ$41)^S$113</f>
        <v>623.42355095379764</v>
      </c>
      <c r="T128" s="106">
        <f>VLOOKUP($A128,'VKT US'!$B$63:$AA$113,(T$113+1),FALSE)/VLOOKUP($A128,'Fuel economy adjusted factor'!$A$2:$F$52,5,FALSE)/$AZ$84*($AZ$15*('US Grid mix, emissions&amp;prices'!$AU$3+INDEX('Year data'!$B$3:$AC$53,MATCH('TCO Inputs'!$A128,'Year data'!$A$111:$A$161,0),MATCH('TCO Inputs'!$AZ$12+T$113-1,'Year data'!$B$110:$AC$110,0))/100)+$BA$15*('US Grid mix, emissions&amp;prices'!$AU$4+INDEX('Year data'!$B$57:$AC$107,MATCH($A128,'Year data'!$A$111:$A$161,0),MATCH('TCO Inputs'!$AZ$12+T$113-1,'Year data'!$B$110:$AC$110,0))/100))/(1+$AZ$41)^T$113</f>
        <v>605.11356753453435</v>
      </c>
      <c r="U128" s="106">
        <f>VLOOKUP($A128,'VKT US'!$B$63:$AA$113,(U$113+1),FALSE)/VLOOKUP($A128,'Fuel economy adjusted factor'!$A$2:$F$52,5,FALSE)/$AZ$84*($AZ$15*('US Grid mix, emissions&amp;prices'!$AU$3+INDEX('Year data'!$B$3:$AC$53,MATCH('TCO Inputs'!$A128,'Year data'!$A$111:$A$161,0),MATCH('TCO Inputs'!$AZ$12+U$113-1,'Year data'!$B$110:$AC$110,0))/100)+$BA$15*('US Grid mix, emissions&amp;prices'!$AU$4+INDEX('Year data'!$B$57:$AC$107,MATCH($A128,'Year data'!$A$111:$A$161,0),MATCH('TCO Inputs'!$AZ$12+U$113-1,'Year data'!$B$110:$AC$110,0))/100))/(1+$AZ$41)^U$113</f>
        <v>587.17616502308033</v>
      </c>
      <c r="V128" s="110" cm="1">
        <f t="array" ref="V128">SUMPRODUCT(INDEX(B128:U128,,_xlfn.SEQUENCE($AZ$13)))</f>
        <v>12922.507693619138</v>
      </c>
      <c r="Y128" s="102" t="s">
        <v>195</v>
      </c>
      <c r="Z128" s="106">
        <f>VLOOKUP($A128,'VKT US'!$B$63:$AA$113,(Z$113+1),FALSE)/VLOOKUP($A128,'Fuel economy adjusted factor'!$A$2:$F$52,5,FALSE)/$AZ$84</f>
        <v>6603.2497130411548</v>
      </c>
      <c r="AA128" s="106">
        <f>VLOOKUP($A128,'VKT US'!$B$63:$AA$113,(AA$113+1),FALSE)/VLOOKUP($A128,'Fuel economy adjusted factor'!$A$2:$F$52,5,FALSE)/$AZ$84</f>
        <v>6406.8492739873755</v>
      </c>
      <c r="AB128" s="106">
        <f>VLOOKUP($A128,'VKT US'!$B$63:$AA$113,(AB$113+1),FALSE)/VLOOKUP($A128,'Fuel economy adjusted factor'!$A$2:$F$52,5,FALSE)/$AZ$84</f>
        <v>6216.6459361658735</v>
      </c>
      <c r="AC128" s="106">
        <f>VLOOKUP($A128,'VKT US'!$B$63:$AA$113,(AC$113+1),FALSE)/VLOOKUP($A128,'Fuel economy adjusted factor'!$A$2:$F$52,5,FALSE)/$AZ$84</f>
        <v>6033.1163996714449</v>
      </c>
      <c r="AD128" s="106">
        <f>VLOOKUP($A128,'VKT US'!$B$63:$AA$113,(AD$113+1),FALSE)/VLOOKUP($A128,'Fuel economy adjusted factor'!$A$2:$F$52,5,FALSE)/$AZ$84</f>
        <v>5855.7839644092928</v>
      </c>
      <c r="AE128" s="106">
        <f>VLOOKUP($A128,'VKT US'!$B$63:$AA$113,(AE$113+1),FALSE)/VLOOKUP($A128,'Fuel economy adjusted factor'!$A$2:$F$52,5,FALSE)/$AZ$84</f>
        <v>5685.6020305690045</v>
      </c>
      <c r="AF128" s="106">
        <f>VLOOKUP($A128,'VKT US'!$B$63:$AA$113,(AF$113+1),FALSE)/VLOOKUP($A128,'Fuel economy adjusted factor'!$A$2:$F$52,5,FALSE)/$AZ$84</f>
        <v>5521.140497866204</v>
      </c>
      <c r="AG128" s="106">
        <f>VLOOKUP($A128,'VKT US'!$B$63:$AA$113,(AG$113+1),FALSE)/VLOOKUP($A128,'Fuel economy adjusted factor'!$A$2:$F$52,5,FALSE)/$AZ$84</f>
        <v>5363.3527664904732</v>
      </c>
      <c r="AH128" s="106">
        <f>VLOOKUP($A128,'VKT US'!$B$63:$AA$113,(AH$113+1),FALSE)/VLOOKUP($A128,'Fuel economy adjusted factor'!$A$2:$F$52,5,FALSE)/$AZ$84</f>
        <v>5212.2388364418121</v>
      </c>
      <c r="AI128" s="106">
        <f>VLOOKUP($A128,'VKT US'!$B$63:$AA$113,(AI$113+1),FALSE)/VLOOKUP($A128,'Fuel economy adjusted factor'!$A$2:$F$52,5,FALSE)/$AZ$84</f>
        <v>5067.7987077202224</v>
      </c>
      <c r="AJ128" s="106">
        <f>VLOOKUP($A128,'VKT US'!$B$63:$AA$113,(AJ$113+1),FALSE)/VLOOKUP($A128,'Fuel economy adjusted factor'!$A$2:$F$52,5,FALSE)/$AZ$84</f>
        <v>4929.5556802309102</v>
      </c>
      <c r="AK128" s="106">
        <f>VLOOKUP($A128,'VKT US'!$B$63:$AA$113,(AK$113+1),FALSE)/VLOOKUP($A128,'Fuel economy adjusted factor'!$A$2:$F$52,5,FALSE)/$AZ$84</f>
        <v>4797.9864540686704</v>
      </c>
      <c r="AL128" s="106">
        <f>VLOOKUP($A128,'VKT US'!$B$63:$AA$113,(AL$113+1),FALSE)/VLOOKUP($A128,'Fuel economy adjusted factor'!$A$2:$F$52,5,FALSE)/$AZ$84</f>
        <v>4672.6143291387089</v>
      </c>
      <c r="AM128" s="106">
        <f>VLOOKUP($A128,'VKT US'!$B$63:$AA$113,(AM$113+1),FALSE)/VLOOKUP($A128,'Fuel economy adjusted factor'!$A$2:$F$52,5,FALSE)/$AZ$84</f>
        <v>4553.9160055358179</v>
      </c>
      <c r="AN128" s="106">
        <f>VLOOKUP($A128,'VKT US'!$B$63:$AA$113,(AN$113+1),FALSE)/VLOOKUP($A128,'Fuel economy adjusted factor'!$A$2:$F$52,5,FALSE)/$AZ$84</f>
        <v>4441.4147831652053</v>
      </c>
      <c r="AO128" s="106">
        <f>VLOOKUP($A128,'VKT US'!$B$63:$AA$113,(AO$113+1),FALSE)/VLOOKUP($A128,'Fuel economy adjusted factor'!$A$2:$F$52,5,FALSE)/$AZ$84</f>
        <v>4336.0640622164556</v>
      </c>
      <c r="AP128" s="106">
        <f>VLOOKUP($A128,'VKT US'!$B$63:$AA$113,(AP$113+1),FALSE)/VLOOKUP($A128,'Fuel economy adjusted factor'!$A$2:$F$52,5,FALSE)/$AZ$84</f>
        <v>4236.4337424051928</v>
      </c>
      <c r="AQ128" s="106">
        <f>VLOOKUP($A128,'VKT US'!$B$63:$AA$113,(AQ$113+1),FALSE)/VLOOKUP($A128,'Fuel economy adjusted factor'!$A$2:$F$52,5,FALSE)/$AZ$84</f>
        <v>4143.9539240157928</v>
      </c>
      <c r="AR128" s="106">
        <f>VLOOKUP($A128,'VKT US'!$B$63:$AA$113,(AR$113+1),FALSE)/VLOOKUP($A128,'Fuel economy adjusted factor'!$A$2:$F$52,5,FALSE)/$AZ$84</f>
        <v>4057.1945067638799</v>
      </c>
      <c r="AS128" s="106">
        <f>VLOOKUP($A128,'VKT US'!$B$63:$AA$113,(AS$113+1),FALSE)/VLOOKUP($A128,'Fuel economy adjusted factor'!$A$2:$F$52,5,FALSE)/$AZ$84</f>
        <v>3977.5855909338279</v>
      </c>
      <c r="AT128" s="110" cm="1">
        <f t="array" ref="AT128">SUMPRODUCT(INDEX(Z128:AS128,,_xlfn.SEQUENCE($AZ$13)))</f>
        <v>76919.850595336975</v>
      </c>
    </row>
    <row r="129" spans="1:46" x14ac:dyDescent="0.25">
      <c r="A129" s="102" t="s">
        <v>199</v>
      </c>
      <c r="B129" s="106">
        <f>VLOOKUP($A129,'VKT US'!$B$63:$AA$113,(B$113+1),FALSE)/VLOOKUP($A129,'Fuel economy adjusted factor'!$A$2:$F$52,5,FALSE)/$AZ$84*($AZ$15*('US Grid mix, emissions&amp;prices'!$AU$3+INDEX('Year data'!$B$3:$AC$53,MATCH('TCO Inputs'!$A129,'Year data'!$A$111:$A$161,0),MATCH('TCO Inputs'!$AZ$12+B$113-1,'Year data'!$B$110:$AC$110,0))/100)+$BA$15*('US Grid mix, emissions&amp;prices'!$AU$4+INDEX('Year data'!$B$57:$AC$107,MATCH($A129,'Year data'!$A$111:$A$161,0),MATCH('TCO Inputs'!$AZ$12+B$113-1,'Year data'!$B$110:$AC$110,0))/100))/(1+$AZ$41)^B$113</f>
        <v>1215.6656800301748</v>
      </c>
      <c r="C129" s="106">
        <f>VLOOKUP($A129,'VKT US'!$B$63:$AA$113,(C$113+1),FALSE)/VLOOKUP($A129,'Fuel economy adjusted factor'!$A$2:$F$52,5,FALSE)/$AZ$84*($AZ$15*('US Grid mix, emissions&amp;prices'!$AU$3+INDEX('Year data'!$B$3:$AC$53,MATCH('TCO Inputs'!$A129,'Year data'!$A$111:$A$161,0),MATCH('TCO Inputs'!$AZ$12+C$113-1,'Year data'!$B$110:$AC$110,0))/100)+$BA$15*('US Grid mix, emissions&amp;prices'!$AU$4+INDEX('Year data'!$B$57:$AC$107,MATCH($A129,'Year data'!$A$111:$A$161,0),MATCH('TCO Inputs'!$AZ$12+C$113-1,'Year data'!$B$110:$AC$110,0))/100))/(1+$AZ$41)^C$113</f>
        <v>1145.4400805182834</v>
      </c>
      <c r="D129" s="106">
        <f>VLOOKUP($A129,'VKT US'!$B$63:$AA$113,(D$113+1),FALSE)/VLOOKUP($A129,'Fuel economy adjusted factor'!$A$2:$F$52,5,FALSE)/$AZ$84*($AZ$15*('US Grid mix, emissions&amp;prices'!$AU$3+INDEX('Year data'!$B$3:$AC$53,MATCH('TCO Inputs'!$A129,'Year data'!$A$111:$A$161,0),MATCH('TCO Inputs'!$AZ$12+D$113-1,'Year data'!$B$110:$AC$110,0))/100)+$BA$15*('US Grid mix, emissions&amp;prices'!$AU$4+INDEX('Year data'!$B$57:$AC$107,MATCH($A129,'Year data'!$A$111:$A$161,0),MATCH('TCO Inputs'!$AZ$12+D$113-1,'Year data'!$B$110:$AC$110,0))/100))/(1+$AZ$41)^D$113</f>
        <v>1075.0493150150385</v>
      </c>
      <c r="E129" s="106">
        <f>VLOOKUP($A129,'VKT US'!$B$63:$AA$113,(E$113+1),FALSE)/VLOOKUP($A129,'Fuel economy adjusted factor'!$A$2:$F$52,5,FALSE)/$AZ$84*($AZ$15*('US Grid mix, emissions&amp;prices'!$AU$3+INDEX('Year data'!$B$3:$AC$53,MATCH('TCO Inputs'!$A129,'Year data'!$A$111:$A$161,0),MATCH('TCO Inputs'!$AZ$12+E$113-1,'Year data'!$B$110:$AC$110,0))/100)+$BA$15*('US Grid mix, emissions&amp;prices'!$AU$4+INDEX('Year data'!$B$57:$AC$107,MATCH($A129,'Year data'!$A$111:$A$161,0),MATCH('TCO Inputs'!$AZ$12+E$113-1,'Year data'!$B$110:$AC$110,0))/100))/(1+$AZ$41)^E$113</f>
        <v>1018.1634679902752</v>
      </c>
      <c r="F129" s="106">
        <f>VLOOKUP($A129,'VKT US'!$B$63:$AA$113,(F$113+1),FALSE)/VLOOKUP($A129,'Fuel economy adjusted factor'!$A$2:$F$52,5,FALSE)/$AZ$84*($AZ$15*('US Grid mix, emissions&amp;prices'!$AU$3+INDEX('Year data'!$B$3:$AC$53,MATCH('TCO Inputs'!$A129,'Year data'!$A$111:$A$161,0),MATCH('TCO Inputs'!$AZ$12+F$113-1,'Year data'!$B$110:$AC$110,0))/100)+$BA$15*('US Grid mix, emissions&amp;prices'!$AU$4+INDEX('Year data'!$B$57:$AC$107,MATCH($A129,'Year data'!$A$111:$A$161,0),MATCH('TCO Inputs'!$AZ$12+F$113-1,'Year data'!$B$110:$AC$110,0))/100))/(1+$AZ$41)^F$113</f>
        <v>967.3171848443518</v>
      </c>
      <c r="G129" s="106">
        <f>VLOOKUP($A129,'VKT US'!$B$63:$AA$113,(G$113+1),FALSE)/VLOOKUP($A129,'Fuel economy adjusted factor'!$A$2:$F$52,5,FALSE)/$AZ$84*($AZ$15*('US Grid mix, emissions&amp;prices'!$AU$3+INDEX('Year data'!$B$3:$AC$53,MATCH('TCO Inputs'!$A129,'Year data'!$A$111:$A$161,0),MATCH('TCO Inputs'!$AZ$12+G$113-1,'Year data'!$B$110:$AC$110,0))/100)+$BA$15*('US Grid mix, emissions&amp;prices'!$AU$4+INDEX('Year data'!$B$57:$AC$107,MATCH($A129,'Year data'!$A$111:$A$161,0),MATCH('TCO Inputs'!$AZ$12+G$113-1,'Year data'!$B$110:$AC$110,0))/100))/(1+$AZ$41)^G$113</f>
        <v>921.68871450909091</v>
      </c>
      <c r="H129" s="106">
        <f>VLOOKUP($A129,'VKT US'!$B$63:$AA$113,(H$113+1),FALSE)/VLOOKUP($A129,'Fuel economy adjusted factor'!$A$2:$F$52,5,FALSE)/$AZ$84*($AZ$15*('US Grid mix, emissions&amp;prices'!$AU$3+INDEX('Year data'!$B$3:$AC$53,MATCH('TCO Inputs'!$A129,'Year data'!$A$111:$A$161,0),MATCH('TCO Inputs'!$AZ$12+H$113-1,'Year data'!$B$110:$AC$110,0))/100)+$BA$15*('US Grid mix, emissions&amp;prices'!$AU$4+INDEX('Year data'!$B$57:$AC$107,MATCH($A129,'Year data'!$A$111:$A$161,0),MATCH('TCO Inputs'!$AZ$12+H$113-1,'Year data'!$B$110:$AC$110,0))/100))/(1+$AZ$41)^H$113</f>
        <v>882.29991196674143</v>
      </c>
      <c r="I129" s="106">
        <f>VLOOKUP($A129,'VKT US'!$B$63:$AA$113,(I$113+1),FALSE)/VLOOKUP($A129,'Fuel economy adjusted factor'!$A$2:$F$52,5,FALSE)/$AZ$84*($AZ$15*('US Grid mix, emissions&amp;prices'!$AU$3+INDEX('Year data'!$B$3:$AC$53,MATCH('TCO Inputs'!$A129,'Year data'!$A$111:$A$161,0),MATCH('TCO Inputs'!$AZ$12+I$113-1,'Year data'!$B$110:$AC$110,0))/100)+$BA$15*('US Grid mix, emissions&amp;prices'!$AU$4+INDEX('Year data'!$B$57:$AC$107,MATCH($A129,'Year data'!$A$111:$A$161,0),MATCH('TCO Inputs'!$AZ$12+I$113-1,'Year data'!$B$110:$AC$110,0))/100))/(1+$AZ$41)^I$113</f>
        <v>847.83954189915391</v>
      </c>
      <c r="J129" s="106">
        <f>VLOOKUP($A129,'VKT US'!$B$63:$AA$113,(J$113+1),FALSE)/VLOOKUP($A129,'Fuel economy adjusted factor'!$A$2:$F$52,5,FALSE)/$AZ$84*($AZ$15*('US Grid mix, emissions&amp;prices'!$AU$3+INDEX('Year data'!$B$3:$AC$53,MATCH('TCO Inputs'!$A129,'Year data'!$A$111:$A$161,0),MATCH('TCO Inputs'!$AZ$12+J$113-1,'Year data'!$B$110:$AC$110,0))/100)+$BA$15*('US Grid mix, emissions&amp;prices'!$AU$4+INDEX('Year data'!$B$57:$AC$107,MATCH($A129,'Year data'!$A$111:$A$161,0),MATCH('TCO Inputs'!$AZ$12+J$113-1,'Year data'!$B$110:$AC$110,0))/100))/(1+$AZ$41)^J$113</f>
        <v>816.13790511878233</v>
      </c>
      <c r="K129" s="106">
        <f>VLOOKUP($A129,'VKT US'!$B$63:$AA$113,(K$113+1),FALSE)/VLOOKUP($A129,'Fuel economy adjusted factor'!$A$2:$F$52,5,FALSE)/$AZ$84*($AZ$15*('US Grid mix, emissions&amp;prices'!$AU$3+INDEX('Year data'!$B$3:$AC$53,MATCH('TCO Inputs'!$A129,'Year data'!$A$111:$A$161,0),MATCH('TCO Inputs'!$AZ$12+K$113-1,'Year data'!$B$110:$AC$110,0))/100)+$BA$15*('US Grid mix, emissions&amp;prices'!$AU$4+INDEX('Year data'!$B$57:$AC$107,MATCH($A129,'Year data'!$A$111:$A$161,0),MATCH('TCO Inputs'!$AZ$12+K$113-1,'Year data'!$B$110:$AC$110,0))/100))/(1+$AZ$41)^K$113</f>
        <v>785.77577418116437</v>
      </c>
      <c r="L129" s="106">
        <f>VLOOKUP($A129,'VKT US'!$B$63:$AA$113,(L$113+1),FALSE)/VLOOKUP($A129,'Fuel economy adjusted factor'!$A$2:$F$52,5,FALSE)/$AZ$84*($AZ$15*('US Grid mix, emissions&amp;prices'!$AU$3+INDEX('Year data'!$B$3:$AC$53,MATCH('TCO Inputs'!$A129,'Year data'!$A$111:$A$161,0),MATCH('TCO Inputs'!$AZ$12+L$113-1,'Year data'!$B$110:$AC$110,0))/100)+$BA$15*('US Grid mix, emissions&amp;prices'!$AU$4+INDEX('Year data'!$B$57:$AC$107,MATCH($A129,'Year data'!$A$111:$A$161,0),MATCH('TCO Inputs'!$AZ$12+L$113-1,'Year data'!$B$110:$AC$110,0))/100))/(1+$AZ$41)^L$113</f>
        <v>761.94032094055888</v>
      </c>
      <c r="M129" s="106">
        <f>VLOOKUP($A129,'VKT US'!$B$63:$AA$113,(M$113+1),FALSE)/VLOOKUP($A129,'Fuel economy adjusted factor'!$A$2:$F$52,5,FALSE)/$AZ$84*($AZ$15*('US Grid mix, emissions&amp;prices'!$AU$3+INDEX('Year data'!$B$3:$AC$53,MATCH('TCO Inputs'!$A129,'Year data'!$A$111:$A$161,0),MATCH('TCO Inputs'!$AZ$12+M$113-1,'Year data'!$B$110:$AC$110,0))/100)+$BA$15*('US Grid mix, emissions&amp;prices'!$AU$4+INDEX('Year data'!$B$57:$AC$107,MATCH($A129,'Year data'!$A$111:$A$161,0),MATCH('TCO Inputs'!$AZ$12+M$113-1,'Year data'!$B$110:$AC$110,0))/100))/(1+$AZ$41)^M$113</f>
        <v>737.60968919005825</v>
      </c>
      <c r="N129" s="106">
        <f>VLOOKUP($A129,'VKT US'!$B$63:$AA$113,(N$113+1),FALSE)/VLOOKUP($A129,'Fuel economy adjusted factor'!$A$2:$F$52,5,FALSE)/$AZ$84*($AZ$15*('US Grid mix, emissions&amp;prices'!$AU$3+INDEX('Year data'!$B$3:$AC$53,MATCH('TCO Inputs'!$A129,'Year data'!$A$111:$A$161,0),MATCH('TCO Inputs'!$AZ$12+N$113-1,'Year data'!$B$110:$AC$110,0))/100)+$BA$15*('US Grid mix, emissions&amp;prices'!$AU$4+INDEX('Year data'!$B$57:$AC$107,MATCH($A129,'Year data'!$A$111:$A$161,0),MATCH('TCO Inputs'!$AZ$12+N$113-1,'Year data'!$B$110:$AC$110,0))/100))/(1+$AZ$41)^N$113</f>
        <v>709.94387154953438</v>
      </c>
      <c r="O129" s="106">
        <f>VLOOKUP($A129,'VKT US'!$B$63:$AA$113,(O$113+1),FALSE)/VLOOKUP($A129,'Fuel economy adjusted factor'!$A$2:$F$52,5,FALSE)/$AZ$84*($AZ$15*('US Grid mix, emissions&amp;prices'!$AU$3+INDEX('Year data'!$B$3:$AC$53,MATCH('TCO Inputs'!$A129,'Year data'!$A$111:$A$161,0),MATCH('TCO Inputs'!$AZ$12+O$113-1,'Year data'!$B$110:$AC$110,0))/100)+$BA$15*('US Grid mix, emissions&amp;prices'!$AU$4+INDEX('Year data'!$B$57:$AC$107,MATCH($A129,'Year data'!$A$111:$A$161,0),MATCH('TCO Inputs'!$AZ$12+O$113-1,'Year data'!$B$110:$AC$110,0))/100))/(1+$AZ$41)^O$113</f>
        <v>686.04837863223156</v>
      </c>
      <c r="P129" s="106">
        <f>VLOOKUP($A129,'VKT US'!$B$63:$AA$113,(P$113+1),FALSE)/VLOOKUP($A129,'Fuel economy adjusted factor'!$A$2:$F$52,5,FALSE)/$AZ$84*($AZ$15*('US Grid mix, emissions&amp;prices'!$AU$3+INDEX('Year data'!$B$3:$AC$53,MATCH('TCO Inputs'!$A129,'Year data'!$A$111:$A$161,0),MATCH('TCO Inputs'!$AZ$12+P$113-1,'Year data'!$B$110:$AC$110,0))/100)+$BA$15*('US Grid mix, emissions&amp;prices'!$AU$4+INDEX('Year data'!$B$57:$AC$107,MATCH($A129,'Year data'!$A$111:$A$161,0),MATCH('TCO Inputs'!$AZ$12+P$113-1,'Year data'!$B$110:$AC$110,0))/100))/(1+$AZ$41)^P$113</f>
        <v>663.94741872394172</v>
      </c>
      <c r="Q129" s="106">
        <f>VLOOKUP($A129,'VKT US'!$B$63:$AA$113,(Q$113+1),FALSE)/VLOOKUP($A129,'Fuel economy adjusted factor'!$A$2:$F$52,5,FALSE)/$AZ$84*($AZ$15*('US Grid mix, emissions&amp;prices'!$AU$3+INDEX('Year data'!$B$3:$AC$53,MATCH('TCO Inputs'!$A129,'Year data'!$A$111:$A$161,0),MATCH('TCO Inputs'!$AZ$12+Q$113-1,'Year data'!$B$110:$AC$110,0))/100)+$BA$15*('US Grid mix, emissions&amp;prices'!$AU$4+INDEX('Year data'!$B$57:$AC$107,MATCH($A129,'Year data'!$A$111:$A$161,0),MATCH('TCO Inputs'!$AZ$12+Q$113-1,'Year data'!$B$110:$AC$110,0))/100))/(1+$AZ$41)^Q$113</f>
        <v>644.53614227254036</v>
      </c>
      <c r="R129" s="106">
        <f>VLOOKUP($A129,'VKT US'!$B$63:$AA$113,(R$113+1),FALSE)/VLOOKUP($A129,'Fuel economy adjusted factor'!$A$2:$F$52,5,FALSE)/$AZ$84*($AZ$15*('US Grid mix, emissions&amp;prices'!$AU$3+INDEX('Year data'!$B$3:$AC$53,MATCH('TCO Inputs'!$A129,'Year data'!$A$111:$A$161,0),MATCH('TCO Inputs'!$AZ$12+R$113-1,'Year data'!$B$110:$AC$110,0))/100)+$BA$15*('US Grid mix, emissions&amp;prices'!$AU$4+INDEX('Year data'!$B$57:$AC$107,MATCH($A129,'Year data'!$A$111:$A$161,0),MATCH('TCO Inputs'!$AZ$12+R$113-1,'Year data'!$B$110:$AC$110,0))/100))/(1+$AZ$41)^R$113</f>
        <v>624.96743504746462</v>
      </c>
      <c r="S129" s="106">
        <f>VLOOKUP($A129,'VKT US'!$B$63:$AA$113,(S$113+1),FALSE)/VLOOKUP($A129,'Fuel economy adjusted factor'!$A$2:$F$52,5,FALSE)/$AZ$84*($AZ$15*('US Grid mix, emissions&amp;prices'!$AU$3+INDEX('Year data'!$B$3:$AC$53,MATCH('TCO Inputs'!$A129,'Year data'!$A$111:$A$161,0),MATCH('TCO Inputs'!$AZ$12+S$113-1,'Year data'!$B$110:$AC$110,0))/100)+$BA$15*('US Grid mix, emissions&amp;prices'!$AU$4+INDEX('Year data'!$B$57:$AC$107,MATCH($A129,'Year data'!$A$111:$A$161,0),MATCH('TCO Inputs'!$AZ$12+S$113-1,'Year data'!$B$110:$AC$110,0))/100))/(1+$AZ$41)^S$113</f>
        <v>606.61287856263834</v>
      </c>
      <c r="T129" s="106">
        <f>VLOOKUP($A129,'VKT US'!$B$63:$AA$113,(T$113+1),FALSE)/VLOOKUP($A129,'Fuel economy adjusted factor'!$A$2:$F$52,5,FALSE)/$AZ$84*($AZ$15*('US Grid mix, emissions&amp;prices'!$AU$3+INDEX('Year data'!$B$3:$AC$53,MATCH('TCO Inputs'!$A129,'Year data'!$A$111:$A$161,0),MATCH('TCO Inputs'!$AZ$12+T$113-1,'Year data'!$B$110:$AC$110,0))/100)+$BA$15*('US Grid mix, emissions&amp;prices'!$AU$4+INDEX('Year data'!$B$57:$AC$107,MATCH($A129,'Year data'!$A$111:$A$161,0),MATCH('TCO Inputs'!$AZ$12+T$113-1,'Year data'!$B$110:$AC$110,0))/100))/(1+$AZ$41)^T$113</f>
        <v>588.81832468985669</v>
      </c>
      <c r="U129" s="106">
        <f>VLOOKUP($A129,'VKT US'!$B$63:$AA$113,(U$113+1),FALSE)/VLOOKUP($A129,'Fuel economy adjusted factor'!$A$2:$F$52,5,FALSE)/$AZ$84*($AZ$15*('US Grid mix, emissions&amp;prices'!$AU$3+INDEX('Year data'!$B$3:$AC$53,MATCH('TCO Inputs'!$A129,'Year data'!$A$111:$A$161,0),MATCH('TCO Inputs'!$AZ$12+U$113-1,'Year data'!$B$110:$AC$110,0))/100)+$BA$15*('US Grid mix, emissions&amp;prices'!$AU$4+INDEX('Year data'!$B$57:$AC$107,MATCH($A129,'Year data'!$A$111:$A$161,0),MATCH('TCO Inputs'!$AZ$12+U$113-1,'Year data'!$B$110:$AC$110,0))/100))/(1+$AZ$41)^U$113</f>
        <v>571.37465312979282</v>
      </c>
      <c r="V129" s="110" cm="1">
        <f t="array" ref="V129">SUMPRODUCT(INDEX(B129:U129,,_xlfn.SEQUENCE($AZ$13)))</f>
        <v>12570.919836385438</v>
      </c>
      <c r="Y129" s="102" t="s">
        <v>199</v>
      </c>
      <c r="Z129" s="106">
        <f>VLOOKUP($A129,'VKT US'!$B$63:$AA$113,(Z$113+1),FALSE)/VLOOKUP($A129,'Fuel economy adjusted factor'!$A$2:$F$52,5,FALSE)/$AZ$84</f>
        <v>6302.8412315631731</v>
      </c>
      <c r="AA129" s="106">
        <f>VLOOKUP($A129,'VKT US'!$B$63:$AA$113,(AA$113+1),FALSE)/VLOOKUP($A129,'Fuel economy adjusted factor'!$A$2:$F$52,5,FALSE)/$AZ$84</f>
        <v>6115.3758411932604</v>
      </c>
      <c r="AB129" s="106">
        <f>VLOOKUP($A129,'VKT US'!$B$63:$AA$113,(AB$113+1),FALSE)/VLOOKUP($A129,'Fuel economy adjusted factor'!$A$2:$F$52,5,FALSE)/$AZ$84</f>
        <v>5933.8256209078345</v>
      </c>
      <c r="AC129" s="106">
        <f>VLOOKUP($A129,'VKT US'!$B$63:$AA$113,(AC$113+1),FALSE)/VLOOKUP($A129,'Fuel economy adjusted factor'!$A$2:$F$52,5,FALSE)/$AZ$84</f>
        <v>5758.6455837903195</v>
      </c>
      <c r="AD129" s="106">
        <f>VLOOKUP($A129,'VKT US'!$B$63:$AA$113,(AD$113+1),FALSE)/VLOOKUP($A129,'Fuel economy adjusted factor'!$A$2:$F$52,5,FALSE)/$AZ$84</f>
        <v>5589.3807167572913</v>
      </c>
      <c r="AE129" s="106">
        <f>VLOOKUP($A129,'VKT US'!$B$63:$AA$113,(AE$113+1),FALSE)/VLOOKUP($A129,'Fuel economy adjusted factor'!$A$2:$F$52,5,FALSE)/$AZ$84</f>
        <v>5426.9410459755954</v>
      </c>
      <c r="AF129" s="106">
        <f>VLOOKUP($A129,'VKT US'!$B$63:$AA$113,(AF$113+1),FALSE)/VLOOKUP($A129,'Fuel economy adjusted factor'!$A$2:$F$52,5,FALSE)/$AZ$84</f>
        <v>5269.9615321949659</v>
      </c>
      <c r="AG129" s="106">
        <f>VLOOKUP($A129,'VKT US'!$B$63:$AA$113,(AG$113+1),FALSE)/VLOOKUP($A129,'Fuel economy adjusted factor'!$A$2:$F$52,5,FALSE)/$AZ$84</f>
        <v>5119.3522015822455</v>
      </c>
      <c r="AH129" s="106">
        <f>VLOOKUP($A129,'VKT US'!$B$63:$AA$113,(AH$113+1),FALSE)/VLOOKUP($A129,'Fuel economy adjusted factor'!$A$2:$F$52,5,FALSE)/$AZ$84</f>
        <v>4975.1130541374341</v>
      </c>
      <c r="AI129" s="106">
        <f>VLOOKUP($A129,'VKT US'!$B$63:$AA$113,(AI$113+1),FALSE)/VLOOKUP($A129,'Fuel economy adjusted factor'!$A$2:$F$52,5,FALSE)/$AZ$84</f>
        <v>4837.2440898605328</v>
      </c>
      <c r="AJ129" s="106">
        <f>VLOOKUP($A129,'VKT US'!$B$63:$AA$113,(AJ$113+1),FALSE)/VLOOKUP($A129,'Fuel economy adjusted factor'!$A$2:$F$52,5,FALSE)/$AZ$84</f>
        <v>4705.2902956681173</v>
      </c>
      <c r="AK129" s="106">
        <f>VLOOKUP($A129,'VKT US'!$B$63:$AA$113,(AK$113+1),FALSE)/VLOOKUP($A129,'Fuel economy adjusted factor'!$A$2:$F$52,5,FALSE)/$AZ$84</f>
        <v>4579.7066846436128</v>
      </c>
      <c r="AL129" s="106">
        <f>VLOOKUP($A129,'VKT US'!$B$63:$AA$113,(AL$113+1),FALSE)/VLOOKUP($A129,'Fuel economy adjusted factor'!$A$2:$F$52,5,FALSE)/$AZ$84</f>
        <v>4460.0382437035969</v>
      </c>
      <c r="AM129" s="106">
        <f>VLOOKUP($A129,'VKT US'!$B$63:$AA$113,(AM$113+1),FALSE)/VLOOKUP($A129,'Fuel economy adjusted factor'!$A$2:$F$52,5,FALSE)/$AZ$84</f>
        <v>4346.7399859314901</v>
      </c>
      <c r="AN129" s="106">
        <f>VLOOKUP($A129,'VKT US'!$B$63:$AA$113,(AN$113+1),FALSE)/VLOOKUP($A129,'Fuel economy adjusted factor'!$A$2:$F$52,5,FALSE)/$AZ$84</f>
        <v>4239.3568982438692</v>
      </c>
      <c r="AO129" s="106">
        <f>VLOOKUP($A129,'VKT US'!$B$63:$AA$113,(AO$113+1),FALSE)/VLOOKUP($A129,'Fuel economy adjusted factor'!$A$2:$F$52,5,FALSE)/$AZ$84</f>
        <v>4138.7990068075806</v>
      </c>
      <c r="AP129" s="106">
        <f>VLOOKUP($A129,'VKT US'!$B$63:$AA$113,(AP$113+1),FALSE)/VLOOKUP($A129,'Fuel economy adjusted factor'!$A$2:$F$52,5,FALSE)/$AZ$84</f>
        <v>4043.7012723723583</v>
      </c>
      <c r="AQ129" s="106">
        <f>VLOOKUP($A129,'VKT US'!$B$63:$AA$113,(AQ$113+1),FALSE)/VLOOKUP($A129,'Fuel economy adjusted factor'!$A$2:$F$52,5,FALSE)/$AZ$84</f>
        <v>3955.4287341884678</v>
      </c>
      <c r="AR129" s="106">
        <f>VLOOKUP($A129,'VKT US'!$B$63:$AA$113,(AR$113+1),FALSE)/VLOOKUP($A129,'Fuel economy adjusted factor'!$A$2:$F$52,5,FALSE)/$AZ$84</f>
        <v>3872.6163530056424</v>
      </c>
      <c r="AS129" s="106">
        <f>VLOOKUP($A129,'VKT US'!$B$63:$AA$113,(AS$113+1),FALSE)/VLOOKUP($A129,'Fuel economy adjusted factor'!$A$2:$F$52,5,FALSE)/$AZ$84</f>
        <v>3796.6291680741492</v>
      </c>
      <c r="AT129" s="110" cm="1">
        <f t="array" ref="AT129">SUMPRODUCT(INDEX(Z129:AS129,,_xlfn.SEQUENCE($AZ$13)))</f>
        <v>73420.456127909478</v>
      </c>
    </row>
    <row r="130" spans="1:46" x14ac:dyDescent="0.25">
      <c r="A130" s="102" t="s">
        <v>157</v>
      </c>
      <c r="B130" s="106">
        <f>VLOOKUP($A130,'VKT US'!$B$63:$AA$113,(B$113+1),FALSE)/VLOOKUP($A130,'Fuel economy adjusted factor'!$A$2:$F$52,5,FALSE)/$AZ$84*($AZ$15*('US Grid mix, emissions&amp;prices'!$AU$3+INDEX('Year data'!$B$3:$AC$53,MATCH('TCO Inputs'!$A130,'Year data'!$A$111:$A$161,0),MATCH('TCO Inputs'!$AZ$12+B$113-1,'Year data'!$B$110:$AC$110,0))/100)+$BA$15*('US Grid mix, emissions&amp;prices'!$AU$4+INDEX('Year data'!$B$57:$AC$107,MATCH($A130,'Year data'!$A$111:$A$161,0),MATCH('TCO Inputs'!$AZ$12+B$113-1,'Year data'!$B$110:$AC$110,0))/100))/(1+$AZ$41)^B$113</f>
        <v>1249.8456184888612</v>
      </c>
      <c r="C130" s="106">
        <f>VLOOKUP($A130,'VKT US'!$B$63:$AA$113,(C$113+1),FALSE)/VLOOKUP($A130,'Fuel economy adjusted factor'!$A$2:$F$52,5,FALSE)/$AZ$84*($AZ$15*('US Grid mix, emissions&amp;prices'!$AU$3+INDEX('Year data'!$B$3:$AC$53,MATCH('TCO Inputs'!$A130,'Year data'!$A$111:$A$161,0),MATCH('TCO Inputs'!$AZ$12+C$113-1,'Year data'!$B$110:$AC$110,0))/100)+$BA$15*('US Grid mix, emissions&amp;prices'!$AU$4+INDEX('Year data'!$B$57:$AC$107,MATCH($A130,'Year data'!$A$111:$A$161,0),MATCH('TCO Inputs'!$AZ$12+C$113-1,'Year data'!$B$110:$AC$110,0))/100))/(1+$AZ$41)^C$113</f>
        <v>1177.9185928627862</v>
      </c>
      <c r="D130" s="106">
        <f>VLOOKUP($A130,'VKT US'!$B$63:$AA$113,(D$113+1),FALSE)/VLOOKUP($A130,'Fuel economy adjusted factor'!$A$2:$F$52,5,FALSE)/$AZ$84*($AZ$15*('US Grid mix, emissions&amp;prices'!$AU$3+INDEX('Year data'!$B$3:$AC$53,MATCH('TCO Inputs'!$A130,'Year data'!$A$111:$A$161,0),MATCH('TCO Inputs'!$AZ$12+D$113-1,'Year data'!$B$110:$AC$110,0))/100)+$BA$15*('US Grid mix, emissions&amp;prices'!$AU$4+INDEX('Year data'!$B$57:$AC$107,MATCH($A130,'Year data'!$A$111:$A$161,0),MATCH('TCO Inputs'!$AZ$12+D$113-1,'Year data'!$B$110:$AC$110,0))/100))/(1+$AZ$41)^D$113</f>
        <v>1106.0026237160671</v>
      </c>
      <c r="E130" s="106">
        <f>VLOOKUP($A130,'VKT US'!$B$63:$AA$113,(E$113+1),FALSE)/VLOOKUP($A130,'Fuel economy adjusted factor'!$A$2:$F$52,5,FALSE)/$AZ$84*($AZ$15*('US Grid mix, emissions&amp;prices'!$AU$3+INDEX('Year data'!$B$3:$AC$53,MATCH('TCO Inputs'!$A130,'Year data'!$A$111:$A$161,0),MATCH('TCO Inputs'!$AZ$12+E$113-1,'Year data'!$B$110:$AC$110,0))/100)+$BA$15*('US Grid mix, emissions&amp;prices'!$AU$4+INDEX('Year data'!$B$57:$AC$107,MATCH($A130,'Year data'!$A$111:$A$161,0),MATCH('TCO Inputs'!$AZ$12+E$113-1,'Year data'!$B$110:$AC$110,0))/100))/(1+$AZ$41)^E$113</f>
        <v>1047.7525754038102</v>
      </c>
      <c r="F130" s="106">
        <f>VLOOKUP($A130,'VKT US'!$B$63:$AA$113,(F$113+1),FALSE)/VLOOKUP($A130,'Fuel economy adjusted factor'!$A$2:$F$52,5,FALSE)/$AZ$84*($AZ$15*('US Grid mix, emissions&amp;prices'!$AU$3+INDEX('Year data'!$B$3:$AC$53,MATCH('TCO Inputs'!$A130,'Year data'!$A$111:$A$161,0),MATCH('TCO Inputs'!$AZ$12+F$113-1,'Year data'!$B$110:$AC$110,0))/100)+$BA$15*('US Grid mix, emissions&amp;prices'!$AU$4+INDEX('Year data'!$B$57:$AC$107,MATCH($A130,'Year data'!$A$111:$A$161,0),MATCH('TCO Inputs'!$AZ$12+F$113-1,'Year data'!$B$110:$AC$110,0))/100))/(1+$AZ$41)^F$113</f>
        <v>995.63514716440193</v>
      </c>
      <c r="G130" s="106">
        <f>VLOOKUP($A130,'VKT US'!$B$63:$AA$113,(G$113+1),FALSE)/VLOOKUP($A130,'Fuel economy adjusted factor'!$A$2:$F$52,5,FALSE)/$AZ$84*($AZ$15*('US Grid mix, emissions&amp;prices'!$AU$3+INDEX('Year data'!$B$3:$AC$53,MATCH('TCO Inputs'!$A130,'Year data'!$A$111:$A$161,0),MATCH('TCO Inputs'!$AZ$12+G$113-1,'Year data'!$B$110:$AC$110,0))/100)+$BA$15*('US Grid mix, emissions&amp;prices'!$AU$4+INDEX('Year data'!$B$57:$AC$107,MATCH($A130,'Year data'!$A$111:$A$161,0),MATCH('TCO Inputs'!$AZ$12+G$113-1,'Year data'!$B$110:$AC$110,0))/100))/(1+$AZ$41)^G$113</f>
        <v>948.79269382538337</v>
      </c>
      <c r="H130" s="106">
        <f>VLOOKUP($A130,'VKT US'!$B$63:$AA$113,(H$113+1),FALSE)/VLOOKUP($A130,'Fuel economy adjusted factor'!$A$2:$F$52,5,FALSE)/$AZ$84*($AZ$15*('US Grid mix, emissions&amp;prices'!$AU$3+INDEX('Year data'!$B$3:$AC$53,MATCH('TCO Inputs'!$A130,'Year data'!$A$111:$A$161,0),MATCH('TCO Inputs'!$AZ$12+H$113-1,'Year data'!$B$110:$AC$110,0))/100)+$BA$15*('US Grid mix, emissions&amp;prices'!$AU$4+INDEX('Year data'!$B$57:$AC$107,MATCH($A130,'Year data'!$A$111:$A$161,0),MATCH('TCO Inputs'!$AZ$12+H$113-1,'Year data'!$B$110:$AC$110,0))/100))/(1+$AZ$41)^H$113</f>
        <v>908.26405182238682</v>
      </c>
      <c r="I130" s="106">
        <f>VLOOKUP($A130,'VKT US'!$B$63:$AA$113,(I$113+1),FALSE)/VLOOKUP($A130,'Fuel economy adjusted factor'!$A$2:$F$52,5,FALSE)/$AZ$84*($AZ$15*('US Grid mix, emissions&amp;prices'!$AU$3+INDEX('Year data'!$B$3:$AC$53,MATCH('TCO Inputs'!$A130,'Year data'!$A$111:$A$161,0),MATCH('TCO Inputs'!$AZ$12+I$113-1,'Year data'!$B$110:$AC$110,0))/100)+$BA$15*('US Grid mix, emissions&amp;prices'!$AU$4+INDEX('Year data'!$B$57:$AC$107,MATCH($A130,'Year data'!$A$111:$A$161,0),MATCH('TCO Inputs'!$AZ$12+I$113-1,'Year data'!$B$110:$AC$110,0))/100))/(1+$AZ$41)^I$113</f>
        <v>872.7377684736656</v>
      </c>
      <c r="J130" s="106">
        <f>VLOOKUP($A130,'VKT US'!$B$63:$AA$113,(J$113+1),FALSE)/VLOOKUP($A130,'Fuel economy adjusted factor'!$A$2:$F$52,5,FALSE)/$AZ$84*($AZ$15*('US Grid mix, emissions&amp;prices'!$AU$3+INDEX('Year data'!$B$3:$AC$53,MATCH('TCO Inputs'!$A130,'Year data'!$A$111:$A$161,0),MATCH('TCO Inputs'!$AZ$12+J$113-1,'Year data'!$B$110:$AC$110,0))/100)+$BA$15*('US Grid mix, emissions&amp;prices'!$AU$4+INDEX('Year data'!$B$57:$AC$107,MATCH($A130,'Year data'!$A$111:$A$161,0),MATCH('TCO Inputs'!$AZ$12+J$113-1,'Year data'!$B$110:$AC$110,0))/100))/(1+$AZ$41)^J$113</f>
        <v>840.01328651431106</v>
      </c>
      <c r="K130" s="106">
        <f>VLOOKUP($A130,'VKT US'!$B$63:$AA$113,(K$113+1),FALSE)/VLOOKUP($A130,'Fuel economy adjusted factor'!$A$2:$F$52,5,FALSE)/$AZ$84*($AZ$15*('US Grid mix, emissions&amp;prices'!$AU$3+INDEX('Year data'!$B$3:$AC$53,MATCH('TCO Inputs'!$A130,'Year data'!$A$111:$A$161,0),MATCH('TCO Inputs'!$AZ$12+K$113-1,'Year data'!$B$110:$AC$110,0))/100)+$BA$15*('US Grid mix, emissions&amp;prices'!$AU$4+INDEX('Year data'!$B$57:$AC$107,MATCH($A130,'Year data'!$A$111:$A$161,0),MATCH('TCO Inputs'!$AZ$12+K$113-1,'Year data'!$B$110:$AC$110,0))/100))/(1+$AZ$41)^K$113</f>
        <v>808.68056144926561</v>
      </c>
      <c r="L130" s="106">
        <f>VLOOKUP($A130,'VKT US'!$B$63:$AA$113,(L$113+1),FALSE)/VLOOKUP($A130,'Fuel economy adjusted factor'!$A$2:$F$52,5,FALSE)/$AZ$84*($AZ$15*('US Grid mix, emissions&amp;prices'!$AU$3+INDEX('Year data'!$B$3:$AC$53,MATCH('TCO Inputs'!$A130,'Year data'!$A$111:$A$161,0),MATCH('TCO Inputs'!$AZ$12+L$113-1,'Year data'!$B$110:$AC$110,0))/100)+$BA$15*('US Grid mix, emissions&amp;prices'!$AU$4+INDEX('Year data'!$B$57:$AC$107,MATCH($A130,'Year data'!$A$111:$A$161,0),MATCH('TCO Inputs'!$AZ$12+L$113-1,'Year data'!$B$110:$AC$110,0))/100))/(1+$AZ$41)^L$113</f>
        <v>783.94706789965039</v>
      </c>
      <c r="M130" s="106">
        <f>VLOOKUP($A130,'VKT US'!$B$63:$AA$113,(M$113+1),FALSE)/VLOOKUP($A130,'Fuel economy adjusted factor'!$A$2:$F$52,5,FALSE)/$AZ$84*($AZ$15*('US Grid mix, emissions&amp;prices'!$AU$3+INDEX('Year data'!$B$3:$AC$53,MATCH('TCO Inputs'!$A130,'Year data'!$A$111:$A$161,0),MATCH('TCO Inputs'!$AZ$12+M$113-1,'Year data'!$B$110:$AC$110,0))/100)+$BA$15*('US Grid mix, emissions&amp;prices'!$AU$4+INDEX('Year data'!$B$57:$AC$107,MATCH($A130,'Year data'!$A$111:$A$161,0),MATCH('TCO Inputs'!$AZ$12+M$113-1,'Year data'!$B$110:$AC$110,0))/100))/(1+$AZ$41)^M$113</f>
        <v>758.76079929869002</v>
      </c>
      <c r="N130" s="106">
        <f>VLOOKUP($A130,'VKT US'!$B$63:$AA$113,(N$113+1),FALSE)/VLOOKUP($A130,'Fuel economy adjusted factor'!$A$2:$F$52,5,FALSE)/$AZ$84*($AZ$15*('US Grid mix, emissions&amp;prices'!$AU$3+INDEX('Year data'!$B$3:$AC$53,MATCH('TCO Inputs'!$A130,'Year data'!$A$111:$A$161,0),MATCH('TCO Inputs'!$AZ$12+N$113-1,'Year data'!$B$110:$AC$110,0))/100)+$BA$15*('US Grid mix, emissions&amp;prices'!$AU$4+INDEX('Year data'!$B$57:$AC$107,MATCH($A130,'Year data'!$A$111:$A$161,0),MATCH('TCO Inputs'!$AZ$12+N$113-1,'Year data'!$B$110:$AC$110,0))/100))/(1+$AZ$41)^N$113</f>
        <v>730.27806284973008</v>
      </c>
      <c r="O130" s="106">
        <f>VLOOKUP($A130,'VKT US'!$B$63:$AA$113,(O$113+1),FALSE)/VLOOKUP($A130,'Fuel economy adjusted factor'!$A$2:$F$52,5,FALSE)/$AZ$84*($AZ$15*('US Grid mix, emissions&amp;prices'!$AU$3+INDEX('Year data'!$B$3:$AC$53,MATCH('TCO Inputs'!$A130,'Year data'!$A$111:$A$161,0),MATCH('TCO Inputs'!$AZ$12+O$113-1,'Year data'!$B$110:$AC$110,0))/100)+$BA$15*('US Grid mix, emissions&amp;prices'!$AU$4+INDEX('Year data'!$B$57:$AC$107,MATCH($A130,'Year data'!$A$111:$A$161,0),MATCH('TCO Inputs'!$AZ$12+O$113-1,'Year data'!$B$110:$AC$110,0))/100))/(1+$AZ$41)^O$113</f>
        <v>705.61801959165507</v>
      </c>
      <c r="P130" s="106">
        <f>VLOOKUP($A130,'VKT US'!$B$63:$AA$113,(P$113+1),FALSE)/VLOOKUP($A130,'Fuel economy adjusted factor'!$A$2:$F$52,5,FALSE)/$AZ$84*($AZ$15*('US Grid mix, emissions&amp;prices'!$AU$3+INDEX('Year data'!$B$3:$AC$53,MATCH('TCO Inputs'!$A130,'Year data'!$A$111:$A$161,0),MATCH('TCO Inputs'!$AZ$12+P$113-1,'Year data'!$B$110:$AC$110,0))/100)+$BA$15*('US Grid mix, emissions&amp;prices'!$AU$4+INDEX('Year data'!$B$57:$AC$107,MATCH($A130,'Year data'!$A$111:$A$161,0),MATCH('TCO Inputs'!$AZ$12+P$113-1,'Year data'!$B$110:$AC$110,0))/100))/(1+$AZ$41)^P$113</f>
        <v>682.79019150561339</v>
      </c>
      <c r="Q130" s="106">
        <f>VLOOKUP($A130,'VKT US'!$B$63:$AA$113,(Q$113+1),FALSE)/VLOOKUP($A130,'Fuel economy adjusted factor'!$A$2:$F$52,5,FALSE)/$AZ$84*($AZ$15*('US Grid mix, emissions&amp;prices'!$AU$3+INDEX('Year data'!$B$3:$AC$53,MATCH('TCO Inputs'!$A130,'Year data'!$A$111:$A$161,0),MATCH('TCO Inputs'!$AZ$12+Q$113-1,'Year data'!$B$110:$AC$110,0))/100)+$BA$15*('US Grid mix, emissions&amp;prices'!$AU$4+INDEX('Year data'!$B$57:$AC$107,MATCH($A130,'Year data'!$A$111:$A$161,0),MATCH('TCO Inputs'!$AZ$12+Q$113-1,'Year data'!$B$110:$AC$110,0))/100))/(1+$AZ$41)^Q$113</f>
        <v>662.70737483269374</v>
      </c>
      <c r="R130" s="106">
        <f>VLOOKUP($A130,'VKT US'!$B$63:$AA$113,(R$113+1),FALSE)/VLOOKUP($A130,'Fuel economy adjusted factor'!$A$2:$F$52,5,FALSE)/$AZ$84*($AZ$15*('US Grid mix, emissions&amp;prices'!$AU$3+INDEX('Year data'!$B$3:$AC$53,MATCH('TCO Inputs'!$A130,'Year data'!$A$111:$A$161,0),MATCH('TCO Inputs'!$AZ$12+R$113-1,'Year data'!$B$110:$AC$110,0))/100)+$BA$15*('US Grid mix, emissions&amp;prices'!$AU$4+INDEX('Year data'!$B$57:$AC$107,MATCH($A130,'Year data'!$A$111:$A$161,0),MATCH('TCO Inputs'!$AZ$12+R$113-1,'Year data'!$B$110:$AC$110,0))/100))/(1+$AZ$41)^R$113</f>
        <v>642.50422461110838</v>
      </c>
      <c r="S130" s="106">
        <f>VLOOKUP($A130,'VKT US'!$B$63:$AA$113,(S$113+1),FALSE)/VLOOKUP($A130,'Fuel economy adjusted factor'!$A$2:$F$52,5,FALSE)/$AZ$84*($AZ$15*('US Grid mix, emissions&amp;prices'!$AU$3+INDEX('Year data'!$B$3:$AC$53,MATCH('TCO Inputs'!$A130,'Year data'!$A$111:$A$161,0),MATCH('TCO Inputs'!$AZ$12+S$113-1,'Year data'!$B$110:$AC$110,0))/100)+$BA$15*('US Grid mix, emissions&amp;prices'!$AU$4+INDEX('Year data'!$B$57:$AC$107,MATCH($A130,'Year data'!$A$111:$A$161,0),MATCH('TCO Inputs'!$AZ$12+S$113-1,'Year data'!$B$110:$AC$110,0))/100))/(1+$AZ$41)^S$113</f>
        <v>623.55253616861171</v>
      </c>
      <c r="T130" s="106">
        <f>VLOOKUP($A130,'VKT US'!$B$63:$AA$113,(T$113+1),FALSE)/VLOOKUP($A130,'Fuel economy adjusted factor'!$A$2:$F$52,5,FALSE)/$AZ$84*($AZ$15*('US Grid mix, emissions&amp;prices'!$AU$3+INDEX('Year data'!$B$3:$AC$53,MATCH('TCO Inputs'!$A130,'Year data'!$A$111:$A$161,0),MATCH('TCO Inputs'!$AZ$12+T$113-1,'Year data'!$B$110:$AC$110,0))/100)+$BA$15*('US Grid mix, emissions&amp;prices'!$AU$4+INDEX('Year data'!$B$57:$AC$107,MATCH($A130,'Year data'!$A$111:$A$161,0),MATCH('TCO Inputs'!$AZ$12+T$113-1,'Year data'!$B$110:$AC$110,0))/100))/(1+$AZ$41)^T$113</f>
        <v>605.19768597202494</v>
      </c>
      <c r="U130" s="106">
        <f>VLOOKUP($A130,'VKT US'!$B$63:$AA$113,(U$113+1),FALSE)/VLOOKUP($A130,'Fuel economy adjusted factor'!$A$2:$F$52,5,FALSE)/$AZ$84*($AZ$15*('US Grid mix, emissions&amp;prices'!$AU$3+INDEX('Year data'!$B$3:$AC$53,MATCH('TCO Inputs'!$A130,'Year data'!$A$111:$A$161,0),MATCH('TCO Inputs'!$AZ$12+U$113-1,'Year data'!$B$110:$AC$110,0))/100)+$BA$15*('US Grid mix, emissions&amp;prices'!$AU$4+INDEX('Year data'!$B$57:$AC$107,MATCH($A130,'Year data'!$A$111:$A$161,0),MATCH('TCO Inputs'!$AZ$12+U$113-1,'Year data'!$B$110:$AC$110,0))/100))/(1+$AZ$41)^U$113</f>
        <v>587.23097558604536</v>
      </c>
      <c r="V130" s="110" cm="1">
        <f t="array" ref="V130">SUMPRODUCT(INDEX(B130:U130,,_xlfn.SEQUENCE($AZ$13)))</f>
        <v>12934.246869360666</v>
      </c>
      <c r="Y130" s="102" t="s">
        <v>157</v>
      </c>
      <c r="Z130" s="106">
        <f>VLOOKUP($A130,'VKT US'!$B$63:$AA$113,(Z$113+1),FALSE)/VLOOKUP($A130,'Fuel economy adjusted factor'!$A$2:$F$52,5,FALSE)/$AZ$84</f>
        <v>6768.9260584924314</v>
      </c>
      <c r="AA130" s="106">
        <f>VLOOKUP($A130,'VKT US'!$B$63:$AA$113,(AA$113+1),FALSE)/VLOOKUP($A130,'Fuel economy adjusted factor'!$A$2:$F$52,5,FALSE)/$AZ$84</f>
        <v>6567.597908326471</v>
      </c>
      <c r="AB130" s="106">
        <f>VLOOKUP($A130,'VKT US'!$B$63:$AA$113,(AB$113+1),FALSE)/VLOOKUP($A130,'Fuel economy adjusted factor'!$A$2:$F$52,5,FALSE)/$AZ$84</f>
        <v>6372.6223454230285</v>
      </c>
      <c r="AC130" s="106">
        <f>VLOOKUP($A130,'VKT US'!$B$63:$AA$113,(AC$113+1),FALSE)/VLOOKUP($A130,'Fuel economy adjusted factor'!$A$2:$F$52,5,FALSE)/$AZ$84</f>
        <v>6184.4880303407608</v>
      </c>
      <c r="AD130" s="106">
        <f>VLOOKUP($A130,'VKT US'!$B$63:$AA$113,(AD$113+1),FALSE)/VLOOKUP($A130,'Fuel economy adjusted factor'!$A$2:$F$52,5,FALSE)/$AZ$84</f>
        <v>6002.7063025210082</v>
      </c>
      <c r="AE130" s="106">
        <f>VLOOKUP($A130,'VKT US'!$B$63:$AA$113,(AE$113+1),FALSE)/VLOOKUP($A130,'Fuel economy adjusted factor'!$A$2:$F$52,5,FALSE)/$AZ$84</f>
        <v>5828.2544830810866</v>
      </c>
      <c r="AF130" s="106">
        <f>VLOOKUP($A130,'VKT US'!$B$63:$AA$113,(AF$113+1),FALSE)/VLOOKUP($A130,'Fuel economy adjusted factor'!$A$2:$F$52,5,FALSE)/$AZ$84</f>
        <v>5659.6665903450294</v>
      </c>
      <c r="AG130" s="106">
        <f>VLOOKUP($A130,'VKT US'!$B$63:$AA$113,(AG$113+1),FALSE)/VLOOKUP($A130,'Fuel economy adjusted factor'!$A$2:$F$52,5,FALSE)/$AZ$84</f>
        <v>5497.9199454301424</v>
      </c>
      <c r="AH130" s="106">
        <f>VLOOKUP($A130,'VKT US'!$B$63:$AA$113,(AH$113+1),FALSE)/VLOOKUP($A130,'Fuel economy adjusted factor'!$A$2:$F$52,5,FALSE)/$AZ$84</f>
        <v>5343.0145483364313</v>
      </c>
      <c r="AI130" s="106">
        <f>VLOOKUP($A130,'VKT US'!$B$63:$AA$113,(AI$113+1),FALSE)/VLOOKUP($A130,'Fuel economy adjusted factor'!$A$2:$F$52,5,FALSE)/$AZ$84</f>
        <v>5194.9503990638923</v>
      </c>
      <c r="AJ130" s="106">
        <f>VLOOKUP($A130,'VKT US'!$B$63:$AA$113,(AJ$113+1),FALSE)/VLOOKUP($A130,'Fuel economy adjusted factor'!$A$2:$F$52,5,FALSE)/$AZ$84</f>
        <v>5053.238837053872</v>
      </c>
      <c r="AK130" s="106">
        <f>VLOOKUP($A130,'VKT US'!$B$63:$AA$113,(AK$113+1),FALSE)/VLOOKUP($A130,'Fuel economy adjusted factor'!$A$2:$F$52,5,FALSE)/$AZ$84</f>
        <v>4918.3685228650247</v>
      </c>
      <c r="AL130" s="106">
        <f>VLOOKUP($A130,'VKT US'!$B$63:$AA$113,(AL$113+1),FALSE)/VLOOKUP($A130,'Fuel economy adjusted factor'!$A$2:$F$52,5,FALSE)/$AZ$84</f>
        <v>4789.8507959386961</v>
      </c>
      <c r="AM130" s="106">
        <f>VLOOKUP($A130,'VKT US'!$B$63:$AA$113,(AM$113+1),FALSE)/VLOOKUP($A130,'Fuel economy adjusted factor'!$A$2:$F$52,5,FALSE)/$AZ$84</f>
        <v>4668.1743168335397</v>
      </c>
      <c r="AN130" s="106">
        <f>VLOOKUP($A130,'VKT US'!$B$63:$AA$113,(AN$113+1),FALSE)/VLOOKUP($A130,'Fuel economy adjusted factor'!$A$2:$F$52,5,FALSE)/$AZ$84</f>
        <v>4552.8504249909029</v>
      </c>
      <c r="AO130" s="106">
        <f>VLOOKUP($A130,'VKT US'!$B$63:$AA$113,(AO$113+1),FALSE)/VLOOKUP($A130,'Fuel economy adjusted factor'!$A$2:$F$52,5,FALSE)/$AZ$84</f>
        <v>4444.8564415280925</v>
      </c>
      <c r="AP130" s="106">
        <f>VLOOKUP($A130,'VKT US'!$B$63:$AA$113,(AP$113+1),FALSE)/VLOOKUP($A130,'Fuel economy adjusted factor'!$A$2:$F$52,5,FALSE)/$AZ$84</f>
        <v>4342.7263847691474</v>
      </c>
      <c r="AQ130" s="106">
        <f>VLOOKUP($A130,'VKT US'!$B$63:$AA$113,(AQ$113+1),FALSE)/VLOOKUP($A130,'Fuel economy adjusted factor'!$A$2:$F$52,5,FALSE)/$AZ$84</f>
        <v>4247.9262363900307</v>
      </c>
      <c r="AR130" s="106">
        <f>VLOOKUP($A130,'VKT US'!$B$63:$AA$113,(AR$113+1),FALSE)/VLOOKUP($A130,'Fuel economy adjusted factor'!$A$2:$F$52,5,FALSE)/$AZ$84</f>
        <v>4158.9900147147764</v>
      </c>
      <c r="AS130" s="106">
        <f>VLOOKUP($A130,'VKT US'!$B$63:$AA$113,(AS$113+1),FALSE)/VLOOKUP($A130,'Fuel economy adjusted factor'!$A$2:$F$52,5,FALSE)/$AZ$84</f>
        <v>4077.38370141935</v>
      </c>
      <c r="AT130" s="110" cm="1">
        <f t="array" ref="AT130">SUMPRODUCT(INDEX(Z130:AS130,,_xlfn.SEQUENCE($AZ$13)))</f>
        <v>78849.779084051406</v>
      </c>
    </row>
    <row r="131" spans="1:46" x14ac:dyDescent="0.25">
      <c r="A131" s="102" t="s">
        <v>200</v>
      </c>
      <c r="B131" s="106">
        <f>VLOOKUP($A131,'VKT US'!$B$63:$AA$113,(B$113+1),FALSE)/VLOOKUP($A131,'Fuel economy adjusted factor'!$A$2:$F$52,5,FALSE)/$AZ$84*($AZ$15*('US Grid mix, emissions&amp;prices'!$AU$3+INDEX('Year data'!$B$3:$AC$53,MATCH('TCO Inputs'!$A131,'Year data'!$A$111:$A$161,0),MATCH('TCO Inputs'!$AZ$12+B$113-1,'Year data'!$B$110:$AC$110,0))/100)+$BA$15*('US Grid mix, emissions&amp;prices'!$AU$4+INDEX('Year data'!$B$57:$AC$107,MATCH($A131,'Year data'!$A$111:$A$161,0),MATCH('TCO Inputs'!$AZ$12+B$113-1,'Year data'!$B$110:$AC$110,0))/100))/(1+$AZ$41)^B$113</f>
        <v>1023.2725914750175</v>
      </c>
      <c r="C131" s="106">
        <f>VLOOKUP($A131,'VKT US'!$B$63:$AA$113,(C$113+1),FALSE)/VLOOKUP($A131,'Fuel economy adjusted factor'!$A$2:$F$52,5,FALSE)/$AZ$84*($AZ$15*('US Grid mix, emissions&amp;prices'!$AU$3+INDEX('Year data'!$B$3:$AC$53,MATCH('TCO Inputs'!$A131,'Year data'!$A$111:$A$161,0),MATCH('TCO Inputs'!$AZ$12+C$113-1,'Year data'!$B$110:$AC$110,0))/100)+$BA$15*('US Grid mix, emissions&amp;prices'!$AU$4+INDEX('Year data'!$B$57:$AC$107,MATCH($A131,'Year data'!$A$111:$A$161,0),MATCH('TCO Inputs'!$AZ$12+C$113-1,'Year data'!$B$110:$AC$110,0))/100))/(1+$AZ$41)^C$113</f>
        <v>965.08833121968974</v>
      </c>
      <c r="D131" s="106">
        <f>VLOOKUP($A131,'VKT US'!$B$63:$AA$113,(D$113+1),FALSE)/VLOOKUP($A131,'Fuel economy adjusted factor'!$A$2:$F$52,5,FALSE)/$AZ$84*($AZ$15*('US Grid mix, emissions&amp;prices'!$AU$3+INDEX('Year data'!$B$3:$AC$53,MATCH('TCO Inputs'!$A131,'Year data'!$A$111:$A$161,0),MATCH('TCO Inputs'!$AZ$12+D$113-1,'Year data'!$B$110:$AC$110,0))/100)+$BA$15*('US Grid mix, emissions&amp;prices'!$AU$4+INDEX('Year data'!$B$57:$AC$107,MATCH($A131,'Year data'!$A$111:$A$161,0),MATCH('TCO Inputs'!$AZ$12+D$113-1,'Year data'!$B$110:$AC$110,0))/100))/(1+$AZ$41)^D$113</f>
        <v>906.9073128586881</v>
      </c>
      <c r="E131" s="106">
        <f>VLOOKUP($A131,'VKT US'!$B$63:$AA$113,(E$113+1),FALSE)/VLOOKUP($A131,'Fuel economy adjusted factor'!$A$2:$F$52,5,FALSE)/$AZ$84*($AZ$15*('US Grid mix, emissions&amp;prices'!$AU$3+INDEX('Year data'!$B$3:$AC$53,MATCH('TCO Inputs'!$A131,'Year data'!$A$111:$A$161,0),MATCH('TCO Inputs'!$AZ$12+E$113-1,'Year data'!$B$110:$AC$110,0))/100)+$BA$15*('US Grid mix, emissions&amp;prices'!$AU$4+INDEX('Year data'!$B$57:$AC$107,MATCH($A131,'Year data'!$A$111:$A$161,0),MATCH('TCO Inputs'!$AZ$12+E$113-1,'Year data'!$B$110:$AC$110,0))/100))/(1+$AZ$41)^E$113</f>
        <v>859.55444817488399</v>
      </c>
      <c r="F131" s="106">
        <f>VLOOKUP($A131,'VKT US'!$B$63:$AA$113,(F$113+1),FALSE)/VLOOKUP($A131,'Fuel economy adjusted factor'!$A$2:$F$52,5,FALSE)/$AZ$84*($AZ$15*('US Grid mix, emissions&amp;prices'!$AU$3+INDEX('Year data'!$B$3:$AC$53,MATCH('TCO Inputs'!$A131,'Year data'!$A$111:$A$161,0),MATCH('TCO Inputs'!$AZ$12+F$113-1,'Year data'!$B$110:$AC$110,0))/100)+$BA$15*('US Grid mix, emissions&amp;prices'!$AU$4+INDEX('Year data'!$B$57:$AC$107,MATCH($A131,'Year data'!$A$111:$A$161,0),MATCH('TCO Inputs'!$AZ$12+F$113-1,'Year data'!$B$110:$AC$110,0))/100))/(1+$AZ$41)^F$113</f>
        <v>817.09427325035847</v>
      </c>
      <c r="G131" s="106">
        <f>VLOOKUP($A131,'VKT US'!$B$63:$AA$113,(G$113+1),FALSE)/VLOOKUP($A131,'Fuel economy adjusted factor'!$A$2:$F$52,5,FALSE)/$AZ$84*($AZ$15*('US Grid mix, emissions&amp;prices'!$AU$3+INDEX('Year data'!$B$3:$AC$53,MATCH('TCO Inputs'!$A131,'Year data'!$A$111:$A$161,0),MATCH('TCO Inputs'!$AZ$12+G$113-1,'Year data'!$B$110:$AC$110,0))/100)+$BA$15*('US Grid mix, emissions&amp;prices'!$AU$4+INDEX('Year data'!$B$57:$AC$107,MATCH($A131,'Year data'!$A$111:$A$161,0),MATCH('TCO Inputs'!$AZ$12+G$113-1,'Year data'!$B$110:$AC$110,0))/100))/(1+$AZ$41)^G$113</f>
        <v>778.87200395557727</v>
      </c>
      <c r="H131" s="106">
        <f>VLOOKUP($A131,'VKT US'!$B$63:$AA$113,(H$113+1),FALSE)/VLOOKUP($A131,'Fuel economy adjusted factor'!$A$2:$F$52,5,FALSE)/$AZ$84*($AZ$15*('US Grid mix, emissions&amp;prices'!$AU$3+INDEX('Year data'!$B$3:$AC$53,MATCH('TCO Inputs'!$A131,'Year data'!$A$111:$A$161,0),MATCH('TCO Inputs'!$AZ$12+H$113-1,'Year data'!$B$110:$AC$110,0))/100)+$BA$15*('US Grid mix, emissions&amp;prices'!$AU$4+INDEX('Year data'!$B$57:$AC$107,MATCH($A131,'Year data'!$A$111:$A$161,0),MATCH('TCO Inputs'!$AZ$12+H$113-1,'Year data'!$B$110:$AC$110,0))/100))/(1+$AZ$41)^H$113</f>
        <v>745.68806256133416</v>
      </c>
      <c r="I131" s="106">
        <f>VLOOKUP($A131,'VKT US'!$B$63:$AA$113,(I$113+1),FALSE)/VLOOKUP($A131,'Fuel economy adjusted factor'!$A$2:$F$52,5,FALSE)/$AZ$84*($AZ$15*('US Grid mix, emissions&amp;prices'!$AU$3+INDEX('Year data'!$B$3:$AC$53,MATCH('TCO Inputs'!$A131,'Year data'!$A$111:$A$161,0),MATCH('TCO Inputs'!$AZ$12+I$113-1,'Year data'!$B$110:$AC$110,0))/100)+$BA$15*('US Grid mix, emissions&amp;prices'!$AU$4+INDEX('Year data'!$B$57:$AC$107,MATCH($A131,'Year data'!$A$111:$A$161,0),MATCH('TCO Inputs'!$AZ$12+I$113-1,'Year data'!$B$110:$AC$110,0))/100))/(1+$AZ$41)^I$113</f>
        <v>716.50865405554111</v>
      </c>
      <c r="J131" s="106">
        <f>VLOOKUP($A131,'VKT US'!$B$63:$AA$113,(J$113+1),FALSE)/VLOOKUP($A131,'Fuel economy adjusted factor'!$A$2:$F$52,5,FALSE)/$AZ$84*($AZ$15*('US Grid mix, emissions&amp;prices'!$AU$3+INDEX('Year data'!$B$3:$AC$53,MATCH('TCO Inputs'!$A131,'Year data'!$A$111:$A$161,0),MATCH('TCO Inputs'!$AZ$12+J$113-1,'Year data'!$B$110:$AC$110,0))/100)+$BA$15*('US Grid mix, emissions&amp;prices'!$AU$4+INDEX('Year data'!$B$57:$AC$107,MATCH($A131,'Year data'!$A$111:$A$161,0),MATCH('TCO Inputs'!$AZ$12+J$113-1,'Year data'!$B$110:$AC$110,0))/100))/(1+$AZ$41)^J$113</f>
        <v>689.6055015729379</v>
      </c>
      <c r="K131" s="106">
        <f>VLOOKUP($A131,'VKT US'!$B$63:$AA$113,(K$113+1),FALSE)/VLOOKUP($A131,'Fuel economy adjusted factor'!$A$2:$F$52,5,FALSE)/$AZ$84*($AZ$15*('US Grid mix, emissions&amp;prices'!$AU$3+INDEX('Year data'!$B$3:$AC$53,MATCH('TCO Inputs'!$A131,'Year data'!$A$111:$A$161,0),MATCH('TCO Inputs'!$AZ$12+K$113-1,'Year data'!$B$110:$AC$110,0))/100)+$BA$15*('US Grid mix, emissions&amp;prices'!$AU$4+INDEX('Year data'!$B$57:$AC$107,MATCH($A131,'Year data'!$A$111:$A$161,0),MATCH('TCO Inputs'!$AZ$12+K$113-1,'Year data'!$B$110:$AC$110,0))/100))/(1+$AZ$41)^K$113</f>
        <v>663.85447103659646</v>
      </c>
      <c r="L131" s="106">
        <f>VLOOKUP($A131,'VKT US'!$B$63:$AA$113,(L$113+1),FALSE)/VLOOKUP($A131,'Fuel economy adjusted factor'!$A$2:$F$52,5,FALSE)/$AZ$84*($AZ$15*('US Grid mix, emissions&amp;prices'!$AU$3+INDEX('Year data'!$B$3:$AC$53,MATCH('TCO Inputs'!$A131,'Year data'!$A$111:$A$161,0),MATCH('TCO Inputs'!$AZ$12+L$113-1,'Year data'!$B$110:$AC$110,0))/100)+$BA$15*('US Grid mix, emissions&amp;prices'!$AU$4+INDEX('Year data'!$B$57:$AC$107,MATCH($A131,'Year data'!$A$111:$A$161,0),MATCH('TCO Inputs'!$AZ$12+L$113-1,'Year data'!$B$110:$AC$110,0))/100))/(1+$AZ$41)^L$113</f>
        <v>643.36342501954391</v>
      </c>
      <c r="M131" s="106">
        <f>VLOOKUP($A131,'VKT US'!$B$63:$AA$113,(M$113+1),FALSE)/VLOOKUP($A131,'Fuel economy adjusted factor'!$A$2:$F$52,5,FALSE)/$AZ$84*($AZ$15*('US Grid mix, emissions&amp;prices'!$AU$3+INDEX('Year data'!$B$3:$AC$53,MATCH('TCO Inputs'!$A131,'Year data'!$A$111:$A$161,0),MATCH('TCO Inputs'!$AZ$12+M$113-1,'Year data'!$B$110:$AC$110,0))/100)+$BA$15*('US Grid mix, emissions&amp;prices'!$AU$4+INDEX('Year data'!$B$57:$AC$107,MATCH($A131,'Year data'!$A$111:$A$161,0),MATCH('TCO Inputs'!$AZ$12+M$113-1,'Year data'!$B$110:$AC$110,0))/100))/(1+$AZ$41)^M$113</f>
        <v>622.56467245933254</v>
      </c>
      <c r="N131" s="106">
        <f>VLOOKUP($A131,'VKT US'!$B$63:$AA$113,(N$113+1),FALSE)/VLOOKUP($A131,'Fuel economy adjusted factor'!$A$2:$F$52,5,FALSE)/$AZ$84*($AZ$15*('US Grid mix, emissions&amp;prices'!$AU$3+INDEX('Year data'!$B$3:$AC$53,MATCH('TCO Inputs'!$A131,'Year data'!$A$111:$A$161,0),MATCH('TCO Inputs'!$AZ$12+N$113-1,'Year data'!$B$110:$AC$110,0))/100)+$BA$15*('US Grid mix, emissions&amp;prices'!$AU$4+INDEX('Year data'!$B$57:$AC$107,MATCH($A131,'Year data'!$A$111:$A$161,0),MATCH('TCO Inputs'!$AZ$12+N$113-1,'Year data'!$B$110:$AC$110,0))/100))/(1+$AZ$41)^N$113</f>
        <v>599.2025191035425</v>
      </c>
      <c r="O131" s="106">
        <f>VLOOKUP($A131,'VKT US'!$B$63:$AA$113,(O$113+1),FALSE)/VLOOKUP($A131,'Fuel economy adjusted factor'!$A$2:$F$52,5,FALSE)/$AZ$84*($AZ$15*('US Grid mix, emissions&amp;prices'!$AU$3+INDEX('Year data'!$B$3:$AC$53,MATCH('TCO Inputs'!$A131,'Year data'!$A$111:$A$161,0),MATCH('TCO Inputs'!$AZ$12+O$113-1,'Year data'!$B$110:$AC$110,0))/100)+$BA$15*('US Grid mix, emissions&amp;prices'!$AU$4+INDEX('Year data'!$B$57:$AC$107,MATCH($A131,'Year data'!$A$111:$A$161,0),MATCH('TCO Inputs'!$AZ$12+O$113-1,'Year data'!$B$110:$AC$110,0))/100))/(1+$AZ$41)^O$113</f>
        <v>578.90945956715666</v>
      </c>
      <c r="P131" s="106">
        <f>VLOOKUP($A131,'VKT US'!$B$63:$AA$113,(P$113+1),FALSE)/VLOOKUP($A131,'Fuel economy adjusted factor'!$A$2:$F$52,5,FALSE)/$AZ$84*($AZ$15*('US Grid mix, emissions&amp;prices'!$AU$3+INDEX('Year data'!$B$3:$AC$53,MATCH('TCO Inputs'!$A131,'Year data'!$A$111:$A$161,0),MATCH('TCO Inputs'!$AZ$12+P$113-1,'Year data'!$B$110:$AC$110,0))/100)+$BA$15*('US Grid mix, emissions&amp;prices'!$AU$4+INDEX('Year data'!$B$57:$AC$107,MATCH($A131,'Year data'!$A$111:$A$161,0),MATCH('TCO Inputs'!$AZ$12+P$113-1,'Year data'!$B$110:$AC$110,0))/100))/(1+$AZ$41)^P$113</f>
        <v>560.11180881075973</v>
      </c>
      <c r="Q131" s="106">
        <f>VLOOKUP($A131,'VKT US'!$B$63:$AA$113,(Q$113+1),FALSE)/VLOOKUP($A131,'Fuel economy adjusted factor'!$A$2:$F$52,5,FALSE)/$AZ$84*($AZ$15*('US Grid mix, emissions&amp;prices'!$AU$3+INDEX('Year data'!$B$3:$AC$53,MATCH('TCO Inputs'!$A131,'Year data'!$A$111:$A$161,0),MATCH('TCO Inputs'!$AZ$12+Q$113-1,'Year data'!$B$110:$AC$110,0))/100)+$BA$15*('US Grid mix, emissions&amp;prices'!$AU$4+INDEX('Year data'!$B$57:$AC$107,MATCH($A131,'Year data'!$A$111:$A$161,0),MATCH('TCO Inputs'!$AZ$12+Q$113-1,'Year data'!$B$110:$AC$110,0))/100))/(1+$AZ$41)^Q$113</f>
        <v>543.52726750334466</v>
      </c>
      <c r="R131" s="106">
        <f>VLOOKUP($A131,'VKT US'!$B$63:$AA$113,(R$113+1),FALSE)/VLOOKUP($A131,'Fuel economy adjusted factor'!$A$2:$F$52,5,FALSE)/$AZ$84*($AZ$15*('US Grid mix, emissions&amp;prices'!$AU$3+INDEX('Year data'!$B$3:$AC$53,MATCH('TCO Inputs'!$A131,'Year data'!$A$111:$A$161,0),MATCH('TCO Inputs'!$AZ$12+R$113-1,'Year data'!$B$110:$AC$110,0))/100)+$BA$15*('US Grid mix, emissions&amp;prices'!$AU$4+INDEX('Year data'!$B$57:$AC$107,MATCH($A131,'Year data'!$A$111:$A$161,0),MATCH('TCO Inputs'!$AZ$12+R$113-1,'Year data'!$B$110:$AC$110,0))/100))/(1+$AZ$41)^R$113</f>
        <v>526.88499212336535</v>
      </c>
      <c r="S131" s="106">
        <f>VLOOKUP($A131,'VKT US'!$B$63:$AA$113,(S$113+1),FALSE)/VLOOKUP($A131,'Fuel economy adjusted factor'!$A$2:$F$52,5,FALSE)/$AZ$84*($AZ$15*('US Grid mix, emissions&amp;prices'!$AU$3+INDEX('Year data'!$B$3:$AC$53,MATCH('TCO Inputs'!$A131,'Year data'!$A$111:$A$161,0),MATCH('TCO Inputs'!$AZ$12+S$113-1,'Year data'!$B$110:$AC$110,0))/100)+$BA$15*('US Grid mix, emissions&amp;prices'!$AU$4+INDEX('Year data'!$B$57:$AC$107,MATCH($A131,'Year data'!$A$111:$A$161,0),MATCH('TCO Inputs'!$AZ$12+S$113-1,'Year data'!$B$110:$AC$110,0))/100))/(1+$AZ$41)^S$113</f>
        <v>511.27894483659873</v>
      </c>
      <c r="T131" s="106">
        <f>VLOOKUP($A131,'VKT US'!$B$63:$AA$113,(T$113+1),FALSE)/VLOOKUP($A131,'Fuel economy adjusted factor'!$A$2:$F$52,5,FALSE)/$AZ$84*($AZ$15*('US Grid mix, emissions&amp;prices'!$AU$3+INDEX('Year data'!$B$3:$AC$53,MATCH('TCO Inputs'!$A131,'Year data'!$A$111:$A$161,0),MATCH('TCO Inputs'!$AZ$12+T$113-1,'Year data'!$B$110:$AC$110,0))/100)+$BA$15*('US Grid mix, emissions&amp;prices'!$AU$4+INDEX('Year data'!$B$57:$AC$107,MATCH($A131,'Year data'!$A$111:$A$161,0),MATCH('TCO Inputs'!$AZ$12+T$113-1,'Year data'!$B$110:$AC$110,0))/100))/(1+$AZ$41)^T$113</f>
        <v>496.17982055791754</v>
      </c>
      <c r="U131" s="106">
        <f>VLOOKUP($A131,'VKT US'!$B$63:$AA$113,(U$113+1),FALSE)/VLOOKUP($A131,'Fuel economy adjusted factor'!$A$2:$F$52,5,FALSE)/$AZ$84*($AZ$15*('US Grid mix, emissions&amp;prices'!$AU$3+INDEX('Year data'!$B$3:$AC$53,MATCH('TCO Inputs'!$A131,'Year data'!$A$111:$A$161,0),MATCH('TCO Inputs'!$AZ$12+U$113-1,'Year data'!$B$110:$AC$110,0))/100)+$BA$15*('US Grid mix, emissions&amp;prices'!$AU$4+INDEX('Year data'!$B$57:$AC$107,MATCH($A131,'Year data'!$A$111:$A$161,0),MATCH('TCO Inputs'!$AZ$12+U$113-1,'Year data'!$B$110:$AC$110,0))/100))/(1+$AZ$41)^U$113</f>
        <v>481.42949583178336</v>
      </c>
      <c r="V131" s="110" cm="1">
        <f t="array" ref="V131">SUMPRODUCT(INDEX(B131:U131,,_xlfn.SEQUENCE($AZ$13)))</f>
        <v>10610.485726310199</v>
      </c>
      <c r="Y131" s="102" t="s">
        <v>200</v>
      </c>
      <c r="Z131" s="106">
        <f>VLOOKUP($A131,'VKT US'!$B$63:$AA$113,(Z$113+1),FALSE)/VLOOKUP($A131,'Fuel economy adjusted factor'!$A$2:$F$52,5,FALSE)/$AZ$84</f>
        <v>5869.7988767870256</v>
      </c>
      <c r="AA131" s="106">
        <f>VLOOKUP($A131,'VKT US'!$B$63:$AA$113,(AA$113+1),FALSE)/VLOOKUP($A131,'Fuel economy adjusted factor'!$A$2:$F$52,5,FALSE)/$AZ$84</f>
        <v>5695.2134640497843</v>
      </c>
      <c r="AB131" s="106">
        <f>VLOOKUP($A131,'VKT US'!$B$63:$AA$113,(AB$113+1),FALSE)/VLOOKUP($A131,'Fuel economy adjusted factor'!$A$2:$F$52,5,FALSE)/$AZ$84</f>
        <v>5526.1368143358059</v>
      </c>
      <c r="AC131" s="106">
        <f>VLOOKUP($A131,'VKT US'!$B$63:$AA$113,(AC$113+1),FALSE)/VLOOKUP($A131,'Fuel economy adjusted factor'!$A$2:$F$52,5,FALSE)/$AZ$84</f>
        <v>5362.9926786468814</v>
      </c>
      <c r="AD131" s="106">
        <f>VLOOKUP($A131,'VKT US'!$B$63:$AA$113,(AD$113+1),FALSE)/VLOOKUP($A131,'Fuel economy adjusted factor'!$A$2:$F$52,5,FALSE)/$AZ$84</f>
        <v>5205.3573059812161</v>
      </c>
      <c r="AE131" s="106">
        <f>VLOOKUP($A131,'VKT US'!$B$63:$AA$113,(AE$113+1),FALSE)/VLOOKUP($A131,'Fuel economy adjusted factor'!$A$2:$F$52,5,FALSE)/$AZ$84</f>
        <v>5054.078198342394</v>
      </c>
      <c r="AF131" s="106">
        <f>VLOOKUP($A131,'VKT US'!$B$63:$AA$113,(AF$113+1),FALSE)/VLOOKUP($A131,'Fuel economy adjusted factor'!$A$2:$F$52,5,FALSE)/$AZ$84</f>
        <v>4907.8841027250455</v>
      </c>
      <c r="AG131" s="106">
        <f>VLOOKUP($A131,'VKT US'!$B$63:$AA$113,(AG$113+1),FALSE)/VLOOKUP($A131,'Fuel economy adjusted factor'!$A$2:$F$52,5,FALSE)/$AZ$84</f>
        <v>4767.6225211327483</v>
      </c>
      <c r="AH131" s="106">
        <f>VLOOKUP($A131,'VKT US'!$B$63:$AA$113,(AH$113+1),FALSE)/VLOOKUP($A131,'Fuel economy adjusted factor'!$A$2:$F$52,5,FALSE)/$AZ$84</f>
        <v>4633.2934535655022</v>
      </c>
      <c r="AI131" s="106">
        <f>VLOOKUP($A131,'VKT US'!$B$63:$AA$113,(AI$113+1),FALSE)/VLOOKUP($A131,'Fuel economy adjusted factor'!$A$2:$F$52,5,FALSE)/$AZ$84</f>
        <v>4504.8969000233083</v>
      </c>
      <c r="AJ131" s="106">
        <f>VLOOKUP($A131,'VKT US'!$B$63:$AA$113,(AJ$113+1),FALSE)/VLOOKUP($A131,'Fuel economy adjusted factor'!$A$2:$F$52,5,FALSE)/$AZ$84</f>
        <v>4382.0091095043763</v>
      </c>
      <c r="AK131" s="106">
        <f>VLOOKUP($A131,'VKT US'!$B$63:$AA$113,(AK$113+1),FALSE)/VLOOKUP($A131,'Fuel economy adjusted factor'!$A$2:$F$52,5,FALSE)/$AZ$84</f>
        <v>4265.0538330104973</v>
      </c>
      <c r="AL131" s="106">
        <f>VLOOKUP($A131,'VKT US'!$B$63:$AA$113,(AL$113+1),FALSE)/VLOOKUP($A131,'Fuel economy adjusted factor'!$A$2:$F$52,5,FALSE)/$AZ$84</f>
        <v>4153.6073195398803</v>
      </c>
      <c r="AM131" s="106">
        <f>VLOOKUP($A131,'VKT US'!$B$63:$AA$113,(AM$113+1),FALSE)/VLOOKUP($A131,'Fuel economy adjusted factor'!$A$2:$F$52,5,FALSE)/$AZ$84</f>
        <v>4048.093320094315</v>
      </c>
      <c r="AN131" s="106">
        <f>VLOOKUP($A131,'VKT US'!$B$63:$AA$113,(AN$113+1),FALSE)/VLOOKUP($A131,'Fuel economy adjusted factor'!$A$2:$F$52,5,FALSE)/$AZ$84</f>
        <v>3948.0880836720125</v>
      </c>
      <c r="AO131" s="106">
        <f>VLOOKUP($A131,'VKT US'!$B$63:$AA$113,(AO$113+1),FALSE)/VLOOKUP($A131,'Fuel economy adjusted factor'!$A$2:$F$52,5,FALSE)/$AZ$84</f>
        <v>3854.4391122765501</v>
      </c>
      <c r="AP131" s="106">
        <f>VLOOKUP($A131,'VKT US'!$B$63:$AA$113,(AP$113+1),FALSE)/VLOOKUP($A131,'Fuel economy adjusted factor'!$A$2:$F$52,5,FALSE)/$AZ$84</f>
        <v>3765.8751529025617</v>
      </c>
      <c r="AQ131" s="106">
        <f>VLOOKUP($A131,'VKT US'!$B$63:$AA$113,(AQ$113+1),FALSE)/VLOOKUP($A131,'Fuel economy adjusted factor'!$A$2:$F$52,5,FALSE)/$AZ$84</f>
        <v>3683.6674585554151</v>
      </c>
      <c r="AR131" s="106">
        <f>VLOOKUP($A131,'VKT US'!$B$63:$AA$113,(AR$113+1),FALSE)/VLOOKUP($A131,'Fuel economy adjusted factor'!$A$2:$F$52,5,FALSE)/$AZ$84</f>
        <v>3606.5447762297408</v>
      </c>
      <c r="AS131" s="106">
        <f>VLOOKUP($A131,'VKT US'!$B$63:$AA$113,(AS$113+1),FALSE)/VLOOKUP($A131,'Fuel economy adjusted factor'!$A$2:$F$52,5,FALSE)/$AZ$84</f>
        <v>3535.7783589309079</v>
      </c>
      <c r="AT131" s="110" cm="1">
        <f t="array" ref="AT131">SUMPRODUCT(INDEX(Z131:AS131,,_xlfn.SEQUENCE($AZ$13)))</f>
        <v>68376.037897738774</v>
      </c>
    </row>
    <row r="132" spans="1:46" x14ac:dyDescent="0.25">
      <c r="A132" s="102" t="s">
        <v>203</v>
      </c>
      <c r="B132" s="106">
        <f>VLOOKUP($A132,'VKT US'!$B$63:$AA$113,(B$113+1),FALSE)/VLOOKUP($A132,'Fuel economy adjusted factor'!$A$2:$F$52,5,FALSE)/$AZ$84*($AZ$15*('US Grid mix, emissions&amp;prices'!$AU$3+INDEX('Year data'!$B$3:$AC$53,MATCH('TCO Inputs'!$A132,'Year data'!$A$111:$A$161,0),MATCH('TCO Inputs'!$AZ$12+B$113-1,'Year data'!$B$110:$AC$110,0))/100)+$BA$15*('US Grid mix, emissions&amp;prices'!$AU$4+INDEX('Year data'!$B$57:$AC$107,MATCH($A132,'Year data'!$A$111:$A$161,0),MATCH('TCO Inputs'!$AZ$12+B$113-1,'Year data'!$B$110:$AC$110,0))/100))/(1+$AZ$41)^B$113</f>
        <v>1961.0896941567971</v>
      </c>
      <c r="C132" s="106">
        <f>VLOOKUP($A132,'VKT US'!$B$63:$AA$113,(C$113+1),FALSE)/VLOOKUP($A132,'Fuel economy adjusted factor'!$A$2:$F$52,5,FALSE)/$AZ$84*($AZ$15*('US Grid mix, emissions&amp;prices'!$AU$3+INDEX('Year data'!$B$3:$AC$53,MATCH('TCO Inputs'!$A132,'Year data'!$A$111:$A$161,0),MATCH('TCO Inputs'!$AZ$12+C$113-1,'Year data'!$B$110:$AC$110,0))/100)+$BA$15*('US Grid mix, emissions&amp;prices'!$AU$4+INDEX('Year data'!$B$57:$AC$107,MATCH($A132,'Year data'!$A$111:$A$161,0),MATCH('TCO Inputs'!$AZ$12+C$113-1,'Year data'!$B$110:$AC$110,0))/100))/(1+$AZ$41)^C$113</f>
        <v>1844.1247488833906</v>
      </c>
      <c r="D132" s="106">
        <f>VLOOKUP($A132,'VKT US'!$B$63:$AA$113,(D$113+1),FALSE)/VLOOKUP($A132,'Fuel economy adjusted factor'!$A$2:$F$52,5,FALSE)/$AZ$84*($AZ$15*('US Grid mix, emissions&amp;prices'!$AU$3+INDEX('Year data'!$B$3:$AC$53,MATCH('TCO Inputs'!$A132,'Year data'!$A$111:$A$161,0),MATCH('TCO Inputs'!$AZ$12+D$113-1,'Year data'!$B$110:$AC$110,0))/100)+$BA$15*('US Grid mix, emissions&amp;prices'!$AU$4+INDEX('Year data'!$B$57:$AC$107,MATCH($A132,'Year data'!$A$111:$A$161,0),MATCH('TCO Inputs'!$AZ$12+D$113-1,'Year data'!$B$110:$AC$110,0))/100))/(1+$AZ$41)^D$113</f>
        <v>1724.8489238844033</v>
      </c>
      <c r="E132" s="106">
        <f>VLOOKUP($A132,'VKT US'!$B$63:$AA$113,(E$113+1),FALSE)/VLOOKUP($A132,'Fuel economy adjusted factor'!$A$2:$F$52,5,FALSE)/$AZ$84*($AZ$15*('US Grid mix, emissions&amp;prices'!$AU$3+INDEX('Year data'!$B$3:$AC$53,MATCH('TCO Inputs'!$A132,'Year data'!$A$111:$A$161,0),MATCH('TCO Inputs'!$AZ$12+E$113-1,'Year data'!$B$110:$AC$110,0))/100)+$BA$15*('US Grid mix, emissions&amp;prices'!$AU$4+INDEX('Year data'!$B$57:$AC$107,MATCH($A132,'Year data'!$A$111:$A$161,0),MATCH('TCO Inputs'!$AZ$12+E$113-1,'Year data'!$B$110:$AC$110,0))/100))/(1+$AZ$41)^E$113</f>
        <v>1630.136303622189</v>
      </c>
      <c r="F132" s="106">
        <f>VLOOKUP($A132,'VKT US'!$B$63:$AA$113,(F$113+1),FALSE)/VLOOKUP($A132,'Fuel economy adjusted factor'!$A$2:$F$52,5,FALSE)/$AZ$84*($AZ$15*('US Grid mix, emissions&amp;prices'!$AU$3+INDEX('Year data'!$B$3:$AC$53,MATCH('TCO Inputs'!$A132,'Year data'!$A$111:$A$161,0),MATCH('TCO Inputs'!$AZ$12+F$113-1,'Year data'!$B$110:$AC$110,0))/100)+$BA$15*('US Grid mix, emissions&amp;prices'!$AU$4+INDEX('Year data'!$B$57:$AC$107,MATCH($A132,'Year data'!$A$111:$A$161,0),MATCH('TCO Inputs'!$AZ$12+F$113-1,'Year data'!$B$110:$AC$110,0))/100))/(1+$AZ$41)^F$113</f>
        <v>1546.1427165272889</v>
      </c>
      <c r="G132" s="106">
        <f>VLOOKUP($A132,'VKT US'!$B$63:$AA$113,(G$113+1),FALSE)/VLOOKUP($A132,'Fuel economy adjusted factor'!$A$2:$F$52,5,FALSE)/$AZ$84*($AZ$15*('US Grid mix, emissions&amp;prices'!$AU$3+INDEX('Year data'!$B$3:$AC$53,MATCH('TCO Inputs'!$A132,'Year data'!$A$111:$A$161,0),MATCH('TCO Inputs'!$AZ$12+G$113-1,'Year data'!$B$110:$AC$110,0))/100)+$BA$15*('US Grid mix, emissions&amp;prices'!$AU$4+INDEX('Year data'!$B$57:$AC$107,MATCH($A132,'Year data'!$A$111:$A$161,0),MATCH('TCO Inputs'!$AZ$12+G$113-1,'Year data'!$B$110:$AC$110,0))/100))/(1+$AZ$41)^G$113</f>
        <v>1471.6480807132361</v>
      </c>
      <c r="H132" s="106">
        <f>VLOOKUP($A132,'VKT US'!$B$63:$AA$113,(H$113+1),FALSE)/VLOOKUP($A132,'Fuel economy adjusted factor'!$A$2:$F$52,5,FALSE)/$AZ$84*($AZ$15*('US Grid mix, emissions&amp;prices'!$AU$3+INDEX('Year data'!$B$3:$AC$53,MATCH('TCO Inputs'!$A132,'Year data'!$A$111:$A$161,0),MATCH('TCO Inputs'!$AZ$12+H$113-1,'Year data'!$B$110:$AC$110,0))/100)+$BA$15*('US Grid mix, emissions&amp;prices'!$AU$4+INDEX('Year data'!$B$57:$AC$107,MATCH($A132,'Year data'!$A$111:$A$161,0),MATCH('TCO Inputs'!$AZ$12+H$113-1,'Year data'!$B$110:$AC$110,0))/100))/(1+$AZ$41)^H$113</f>
        <v>1408.4755612972174</v>
      </c>
      <c r="I132" s="106">
        <f>VLOOKUP($A132,'VKT US'!$B$63:$AA$113,(I$113+1),FALSE)/VLOOKUP($A132,'Fuel economy adjusted factor'!$A$2:$F$52,5,FALSE)/$AZ$84*($AZ$15*('US Grid mix, emissions&amp;prices'!$AU$3+INDEX('Year data'!$B$3:$AC$53,MATCH('TCO Inputs'!$A132,'Year data'!$A$111:$A$161,0),MATCH('TCO Inputs'!$AZ$12+I$113-1,'Year data'!$B$110:$AC$110,0))/100)+$BA$15*('US Grid mix, emissions&amp;prices'!$AU$4+INDEX('Year data'!$B$57:$AC$107,MATCH($A132,'Year data'!$A$111:$A$161,0),MATCH('TCO Inputs'!$AZ$12+I$113-1,'Year data'!$B$110:$AC$110,0))/100))/(1+$AZ$41)^I$113</f>
        <v>1354.0614945585205</v>
      </c>
      <c r="J132" s="106">
        <f>VLOOKUP($A132,'VKT US'!$B$63:$AA$113,(J$113+1),FALSE)/VLOOKUP($A132,'Fuel economy adjusted factor'!$A$2:$F$52,5,FALSE)/$AZ$84*($AZ$15*('US Grid mix, emissions&amp;prices'!$AU$3+INDEX('Year data'!$B$3:$AC$53,MATCH('TCO Inputs'!$A132,'Year data'!$A$111:$A$161,0),MATCH('TCO Inputs'!$AZ$12+J$113-1,'Year data'!$B$110:$AC$110,0))/100)+$BA$15*('US Grid mix, emissions&amp;prices'!$AU$4+INDEX('Year data'!$B$57:$AC$107,MATCH($A132,'Year data'!$A$111:$A$161,0),MATCH('TCO Inputs'!$AZ$12+J$113-1,'Year data'!$B$110:$AC$110,0))/100))/(1+$AZ$41)^J$113</f>
        <v>1304.5032718350928</v>
      </c>
      <c r="K132" s="106">
        <f>VLOOKUP($A132,'VKT US'!$B$63:$AA$113,(K$113+1),FALSE)/VLOOKUP($A132,'Fuel economy adjusted factor'!$A$2:$F$52,5,FALSE)/$AZ$84*($AZ$15*('US Grid mix, emissions&amp;prices'!$AU$3+INDEX('Year data'!$B$3:$AC$53,MATCH('TCO Inputs'!$A132,'Year data'!$A$111:$A$161,0),MATCH('TCO Inputs'!$AZ$12+K$113-1,'Year data'!$B$110:$AC$110,0))/100)+$BA$15*('US Grid mix, emissions&amp;prices'!$AU$4+INDEX('Year data'!$B$57:$AC$107,MATCH($A132,'Year data'!$A$111:$A$161,0),MATCH('TCO Inputs'!$AZ$12+K$113-1,'Year data'!$B$110:$AC$110,0))/100))/(1+$AZ$41)^K$113</f>
        <v>1256.9300980412652</v>
      </c>
      <c r="L132" s="106">
        <f>VLOOKUP($A132,'VKT US'!$B$63:$AA$113,(L$113+1),FALSE)/VLOOKUP($A132,'Fuel economy adjusted factor'!$A$2:$F$52,5,FALSE)/$AZ$84*($AZ$15*('US Grid mix, emissions&amp;prices'!$AU$3+INDEX('Year data'!$B$3:$AC$53,MATCH('TCO Inputs'!$A132,'Year data'!$A$111:$A$161,0),MATCH('TCO Inputs'!$AZ$12+L$113-1,'Year data'!$B$110:$AC$110,0))/100)+$BA$15*('US Grid mix, emissions&amp;prices'!$AU$4+INDEX('Year data'!$B$57:$AC$107,MATCH($A132,'Year data'!$A$111:$A$161,0),MATCH('TCO Inputs'!$AZ$12+L$113-1,'Year data'!$B$110:$AC$110,0))/100))/(1+$AZ$41)^L$113</f>
        <v>1221.261468136744</v>
      </c>
      <c r="M132" s="106">
        <f>VLOOKUP($A132,'VKT US'!$B$63:$AA$113,(M$113+1),FALSE)/VLOOKUP($A132,'Fuel economy adjusted factor'!$A$2:$F$52,5,FALSE)/$AZ$84*($AZ$15*('US Grid mix, emissions&amp;prices'!$AU$3+INDEX('Year data'!$B$3:$AC$53,MATCH('TCO Inputs'!$A132,'Year data'!$A$111:$A$161,0),MATCH('TCO Inputs'!$AZ$12+M$113-1,'Year data'!$B$110:$AC$110,0))/100)+$BA$15*('US Grid mix, emissions&amp;prices'!$AU$4+INDEX('Year data'!$B$57:$AC$107,MATCH($A132,'Year data'!$A$111:$A$161,0),MATCH('TCO Inputs'!$AZ$12+M$113-1,'Year data'!$B$110:$AC$110,0))/100))/(1+$AZ$41)^M$113</f>
        <v>1184.1035208148173</v>
      </c>
      <c r="N132" s="106">
        <f>VLOOKUP($A132,'VKT US'!$B$63:$AA$113,(N$113+1),FALSE)/VLOOKUP($A132,'Fuel economy adjusted factor'!$A$2:$F$52,5,FALSE)/$AZ$84*($AZ$15*('US Grid mix, emissions&amp;prices'!$AU$3+INDEX('Year data'!$B$3:$AC$53,MATCH('TCO Inputs'!$A132,'Year data'!$A$111:$A$161,0),MATCH('TCO Inputs'!$AZ$12+N$113-1,'Year data'!$B$110:$AC$110,0))/100)+$BA$15*('US Grid mix, emissions&amp;prices'!$AU$4+INDEX('Year data'!$B$57:$AC$107,MATCH($A132,'Year data'!$A$111:$A$161,0),MATCH('TCO Inputs'!$AZ$12+N$113-1,'Year data'!$B$110:$AC$110,0))/100))/(1+$AZ$41)^N$113</f>
        <v>1139.9516314387606</v>
      </c>
      <c r="O132" s="106">
        <f>VLOOKUP($A132,'VKT US'!$B$63:$AA$113,(O$113+1),FALSE)/VLOOKUP($A132,'Fuel economy adjusted factor'!$A$2:$F$52,5,FALSE)/$AZ$84*($AZ$15*('US Grid mix, emissions&amp;prices'!$AU$3+INDEX('Year data'!$B$3:$AC$53,MATCH('TCO Inputs'!$A132,'Year data'!$A$111:$A$161,0),MATCH('TCO Inputs'!$AZ$12+O$113-1,'Year data'!$B$110:$AC$110,0))/100)+$BA$15*('US Grid mix, emissions&amp;prices'!$AU$4+INDEX('Year data'!$B$57:$AC$107,MATCH($A132,'Year data'!$A$111:$A$161,0),MATCH('TCO Inputs'!$AZ$12+O$113-1,'Year data'!$B$110:$AC$110,0))/100))/(1+$AZ$41)^O$113</f>
        <v>1102.5400504815909</v>
      </c>
      <c r="P132" s="106">
        <f>VLOOKUP($A132,'VKT US'!$B$63:$AA$113,(P$113+1),FALSE)/VLOOKUP($A132,'Fuel economy adjusted factor'!$A$2:$F$52,5,FALSE)/$AZ$84*($AZ$15*('US Grid mix, emissions&amp;prices'!$AU$3+INDEX('Year data'!$B$3:$AC$53,MATCH('TCO Inputs'!$A132,'Year data'!$A$111:$A$161,0),MATCH('TCO Inputs'!$AZ$12+P$113-1,'Year data'!$B$110:$AC$110,0))/100)+$BA$15*('US Grid mix, emissions&amp;prices'!$AU$4+INDEX('Year data'!$B$57:$AC$107,MATCH($A132,'Year data'!$A$111:$A$161,0),MATCH('TCO Inputs'!$AZ$12+P$113-1,'Year data'!$B$110:$AC$110,0))/100))/(1+$AZ$41)^P$113</f>
        <v>1068.1719739350797</v>
      </c>
      <c r="Q132" s="106">
        <f>VLOOKUP($A132,'VKT US'!$B$63:$AA$113,(Q$113+1),FALSE)/VLOOKUP($A132,'Fuel economy adjusted factor'!$A$2:$F$52,5,FALSE)/$AZ$84*($AZ$15*('US Grid mix, emissions&amp;prices'!$AU$3+INDEX('Year data'!$B$3:$AC$53,MATCH('TCO Inputs'!$A132,'Year data'!$A$111:$A$161,0),MATCH('TCO Inputs'!$AZ$12+Q$113-1,'Year data'!$B$110:$AC$110,0))/100)+$BA$15*('US Grid mix, emissions&amp;prices'!$AU$4+INDEX('Year data'!$B$57:$AC$107,MATCH($A132,'Year data'!$A$111:$A$161,0),MATCH('TCO Inputs'!$AZ$12+Q$113-1,'Year data'!$B$110:$AC$110,0))/100))/(1+$AZ$41)^Q$113</f>
        <v>1038.4012773555667</v>
      </c>
      <c r="R132" s="106">
        <f>VLOOKUP($A132,'VKT US'!$B$63:$AA$113,(R$113+1),FALSE)/VLOOKUP($A132,'Fuel economy adjusted factor'!$A$2:$F$52,5,FALSE)/$AZ$84*($AZ$15*('US Grid mix, emissions&amp;prices'!$AU$3+INDEX('Year data'!$B$3:$AC$53,MATCH('TCO Inputs'!$A132,'Year data'!$A$111:$A$161,0),MATCH('TCO Inputs'!$AZ$12+R$113-1,'Year data'!$B$110:$AC$110,0))/100)+$BA$15*('US Grid mix, emissions&amp;prices'!$AU$4+INDEX('Year data'!$B$57:$AC$107,MATCH($A132,'Year data'!$A$111:$A$161,0),MATCH('TCO Inputs'!$AZ$12+R$113-1,'Year data'!$B$110:$AC$110,0))/100))/(1+$AZ$41)^R$113</f>
        <v>1007.8722687118411</v>
      </c>
      <c r="S132" s="106">
        <f>VLOOKUP($A132,'VKT US'!$B$63:$AA$113,(S$113+1),FALSE)/VLOOKUP($A132,'Fuel economy adjusted factor'!$A$2:$F$52,5,FALSE)/$AZ$84*($AZ$15*('US Grid mix, emissions&amp;prices'!$AU$3+INDEX('Year data'!$B$3:$AC$53,MATCH('TCO Inputs'!$A132,'Year data'!$A$111:$A$161,0),MATCH('TCO Inputs'!$AZ$12+S$113-1,'Year data'!$B$110:$AC$110,0))/100)+$BA$15*('US Grid mix, emissions&amp;prices'!$AU$4+INDEX('Year data'!$B$57:$AC$107,MATCH($A132,'Year data'!$A$111:$A$161,0),MATCH('TCO Inputs'!$AZ$12+S$113-1,'Year data'!$B$110:$AC$110,0))/100))/(1+$AZ$41)^S$113</f>
        <v>979.25628579305499</v>
      </c>
      <c r="T132" s="106">
        <f>VLOOKUP($A132,'VKT US'!$B$63:$AA$113,(T$113+1),FALSE)/VLOOKUP($A132,'Fuel economy adjusted factor'!$A$2:$F$52,5,FALSE)/$AZ$84*($AZ$15*('US Grid mix, emissions&amp;prices'!$AU$3+INDEX('Year data'!$B$3:$AC$53,MATCH('TCO Inputs'!$A132,'Year data'!$A$111:$A$161,0),MATCH('TCO Inputs'!$AZ$12+T$113-1,'Year data'!$B$110:$AC$110,0))/100)+$BA$15*('US Grid mix, emissions&amp;prices'!$AU$4+INDEX('Year data'!$B$57:$AC$107,MATCH($A132,'Year data'!$A$111:$A$161,0),MATCH('TCO Inputs'!$AZ$12+T$113-1,'Year data'!$B$110:$AC$110,0))/100))/(1+$AZ$41)^T$113</f>
        <v>951.2895456702131</v>
      </c>
      <c r="U132" s="106">
        <f>VLOOKUP($A132,'VKT US'!$B$63:$AA$113,(U$113+1),FALSE)/VLOOKUP($A132,'Fuel economy adjusted factor'!$A$2:$F$52,5,FALSE)/$AZ$84*($AZ$15*('US Grid mix, emissions&amp;prices'!$AU$3+INDEX('Year data'!$B$3:$AC$53,MATCH('TCO Inputs'!$A132,'Year data'!$A$111:$A$161,0),MATCH('TCO Inputs'!$AZ$12+U$113-1,'Year data'!$B$110:$AC$110,0))/100)+$BA$15*('US Grid mix, emissions&amp;prices'!$AU$4+INDEX('Year data'!$B$57:$AC$107,MATCH($A132,'Year data'!$A$111:$A$161,0),MATCH('TCO Inputs'!$AZ$12+U$113-1,'Year data'!$B$110:$AC$110,0))/100))/(1+$AZ$41)^U$113</f>
        <v>923.55271828561274</v>
      </c>
      <c r="V132" s="110" cm="1">
        <f t="array" ref="V132">SUMPRODUCT(INDEX(B132:U132,,_xlfn.SEQUENCE($AZ$13)))</f>
        <v>20149.817564391313</v>
      </c>
      <c r="Y132" s="102" t="s">
        <v>203</v>
      </c>
      <c r="Z132" s="106">
        <f>VLOOKUP($A132,'VKT US'!$B$63:$AA$113,(Z$113+1),FALSE)/VLOOKUP($A132,'Fuel economy adjusted factor'!$A$2:$F$52,5,FALSE)/$AZ$84</f>
        <v>6622.2449079480484</v>
      </c>
      <c r="AA132" s="106">
        <f>VLOOKUP($A132,'VKT US'!$B$63:$AA$113,(AA$113+1),FALSE)/VLOOKUP($A132,'Fuel economy adjusted factor'!$A$2:$F$52,5,FALSE)/$AZ$84</f>
        <v>6425.2794948615201</v>
      </c>
      <c r="AB132" s="106">
        <f>VLOOKUP($A132,'VKT US'!$B$63:$AA$113,(AB$113+1),FALSE)/VLOOKUP($A132,'Fuel economy adjusted factor'!$A$2:$F$52,5,FALSE)/$AZ$84</f>
        <v>6234.5290098578189</v>
      </c>
      <c r="AC132" s="106">
        <f>VLOOKUP($A132,'VKT US'!$B$63:$AA$113,(AC$113+1),FALSE)/VLOOKUP($A132,'Fuel economy adjusted factor'!$A$2:$F$52,5,FALSE)/$AZ$84</f>
        <v>6050.4715243279306</v>
      </c>
      <c r="AD132" s="106">
        <f>VLOOKUP($A132,'VKT US'!$B$63:$AA$113,(AD$113+1),FALSE)/VLOOKUP($A132,'Fuel economy adjusted factor'!$A$2:$F$52,5,FALSE)/$AZ$84</f>
        <v>5872.6289668808704</v>
      </c>
      <c r="AE132" s="106">
        <f>VLOOKUP($A132,'VKT US'!$B$63:$AA$113,(AE$113+1),FALSE)/VLOOKUP($A132,'Fuel economy adjusted factor'!$A$2:$F$52,5,FALSE)/$AZ$84</f>
        <v>5701.9574802986117</v>
      </c>
      <c r="AF132" s="106">
        <f>VLOOKUP($A132,'VKT US'!$B$63:$AA$113,(AF$113+1),FALSE)/VLOOKUP($A132,'Fuel economy adjusted factor'!$A$2:$F$52,5,FALSE)/$AZ$84</f>
        <v>5537.0228504081933</v>
      </c>
      <c r="AG132" s="106">
        <f>VLOOKUP($A132,'VKT US'!$B$63:$AA$113,(AG$113+1),FALSE)/VLOOKUP($A132,'Fuel economy adjusted factor'!$A$2:$F$52,5,FALSE)/$AZ$84</f>
        <v>5378.7812199915898</v>
      </c>
      <c r="AH132" s="106">
        <f>VLOOKUP($A132,'VKT US'!$B$63:$AA$113,(AH$113+1),FALSE)/VLOOKUP($A132,'Fuel economy adjusted factor'!$A$2:$F$52,5,FALSE)/$AZ$84</f>
        <v>5227.2325890487991</v>
      </c>
      <c r="AI132" s="106">
        <f>VLOOKUP($A132,'VKT US'!$B$63:$AA$113,(AI$113+1),FALSE)/VLOOKUP($A132,'Fuel economy adjusted factor'!$A$2:$F$52,5,FALSE)/$AZ$84</f>
        <v>5082.3769575798233</v>
      </c>
      <c r="AJ132" s="106">
        <f>VLOOKUP($A132,'VKT US'!$B$63:$AA$113,(AJ$113+1),FALSE)/VLOOKUP($A132,'Fuel economy adjusted factor'!$A$2:$F$52,5,FALSE)/$AZ$84</f>
        <v>4943.7362541936745</v>
      </c>
      <c r="AK132" s="106">
        <f>VLOOKUP($A132,'VKT US'!$B$63:$AA$113,(AK$113+1),FALSE)/VLOOKUP($A132,'Fuel economy adjusted factor'!$A$2:$F$52,5,FALSE)/$AZ$84</f>
        <v>4811.7885502813388</v>
      </c>
      <c r="AL132" s="106">
        <f>VLOOKUP($A132,'VKT US'!$B$63:$AA$113,(AL$113+1),FALSE)/VLOOKUP($A132,'Fuel economy adjusted factor'!$A$2:$F$52,5,FALSE)/$AZ$84</f>
        <v>4686.0557744518319</v>
      </c>
      <c r="AM132" s="106">
        <f>VLOOKUP($A132,'VKT US'!$B$63:$AA$113,(AM$113+1),FALSE)/VLOOKUP($A132,'Fuel economy adjusted factor'!$A$2:$F$52,5,FALSE)/$AZ$84</f>
        <v>4567.0159980961389</v>
      </c>
      <c r="AN132" s="106">
        <f>VLOOKUP($A132,'VKT US'!$B$63:$AA$113,(AN$113+1),FALSE)/VLOOKUP($A132,'Fuel economy adjusted factor'!$A$2:$F$52,5,FALSE)/$AZ$84</f>
        <v>4454.1911498232721</v>
      </c>
      <c r="AO132" s="106">
        <f>VLOOKUP($A132,'VKT US'!$B$63:$AA$113,(AO$113+1),FALSE)/VLOOKUP($A132,'Fuel economy adjusted factor'!$A$2:$F$52,5,FALSE)/$AZ$84</f>
        <v>4348.5373724152068</v>
      </c>
      <c r="AP132" s="106">
        <f>VLOOKUP($A132,'VKT US'!$B$63:$AA$113,(AP$113+1),FALSE)/VLOOKUP($A132,'Fuel economy adjusted factor'!$A$2:$F$52,5,FALSE)/$AZ$84</f>
        <v>4248.6204516989819</v>
      </c>
      <c r="AQ132" s="106">
        <f>VLOOKUP($A132,'VKT US'!$B$63:$AA$113,(AQ$113+1),FALSE)/VLOOKUP($A132,'Fuel economy adjusted factor'!$A$2:$F$52,5,FALSE)/$AZ$84</f>
        <v>4155.8746018475586</v>
      </c>
      <c r="AR132" s="106">
        <f>VLOOKUP($A132,'VKT US'!$B$63:$AA$113,(AR$113+1),FALSE)/VLOOKUP($A132,'Fuel economy adjusted factor'!$A$2:$F$52,5,FALSE)/$AZ$84</f>
        <v>4068.8656086879764</v>
      </c>
      <c r="AS132" s="106">
        <f>VLOOKUP($A132,'VKT US'!$B$63:$AA$113,(AS$113+1),FALSE)/VLOOKUP($A132,'Fuel economy adjusted factor'!$A$2:$F$52,5,FALSE)/$AZ$84</f>
        <v>3989.0276863931936</v>
      </c>
      <c r="AT132" s="110" cm="1">
        <f t="array" ref="AT132">SUMPRODUCT(INDEX(Z132:AS132,,_xlfn.SEQUENCE($AZ$13)))</f>
        <v>77141.121578226186</v>
      </c>
    </row>
    <row r="133" spans="1:46" x14ac:dyDescent="0.25">
      <c r="A133" s="102" t="s">
        <v>202</v>
      </c>
      <c r="B133" s="106">
        <f>VLOOKUP($A133,'VKT US'!$B$63:$AA$113,(B$113+1),FALSE)/VLOOKUP($A133,'Fuel economy adjusted factor'!$A$2:$F$52,5,FALSE)/$AZ$84*($AZ$15*('US Grid mix, emissions&amp;prices'!$AU$3+INDEX('Year data'!$B$3:$AC$53,MATCH('TCO Inputs'!$A133,'Year data'!$A$111:$A$161,0),MATCH('TCO Inputs'!$AZ$12+B$113-1,'Year data'!$B$110:$AC$110,0))/100)+$BA$15*('US Grid mix, emissions&amp;prices'!$AU$4+INDEX('Year data'!$B$57:$AC$107,MATCH($A133,'Year data'!$A$111:$A$161,0),MATCH('TCO Inputs'!$AZ$12+B$113-1,'Year data'!$B$110:$AC$110,0))/100))/(1+$AZ$41)^B$113</f>
        <v>1192.0522000823091</v>
      </c>
      <c r="C133" s="106">
        <f>VLOOKUP($A133,'VKT US'!$B$63:$AA$113,(C$113+1),FALSE)/VLOOKUP($A133,'Fuel economy adjusted factor'!$A$2:$F$52,5,FALSE)/$AZ$84*($AZ$15*('US Grid mix, emissions&amp;prices'!$AU$3+INDEX('Year data'!$B$3:$AC$53,MATCH('TCO Inputs'!$A133,'Year data'!$A$111:$A$161,0),MATCH('TCO Inputs'!$AZ$12+C$113-1,'Year data'!$B$110:$AC$110,0))/100)+$BA$15*('US Grid mix, emissions&amp;prices'!$AU$4+INDEX('Year data'!$B$57:$AC$107,MATCH($A133,'Year data'!$A$111:$A$161,0),MATCH('TCO Inputs'!$AZ$12+C$113-1,'Year data'!$B$110:$AC$110,0))/100))/(1+$AZ$41)^C$113</f>
        <v>1122.8828952692497</v>
      </c>
      <c r="D133" s="106">
        <f>VLOOKUP($A133,'VKT US'!$B$63:$AA$113,(D$113+1),FALSE)/VLOOKUP($A133,'Fuel economy adjusted factor'!$A$2:$F$52,5,FALSE)/$AZ$84*($AZ$15*('US Grid mix, emissions&amp;prices'!$AU$3+INDEX('Year data'!$B$3:$AC$53,MATCH('TCO Inputs'!$A133,'Year data'!$A$111:$A$161,0),MATCH('TCO Inputs'!$AZ$12+D$113-1,'Year data'!$B$110:$AC$110,0))/100)+$BA$15*('US Grid mix, emissions&amp;prices'!$AU$4+INDEX('Year data'!$B$57:$AC$107,MATCH($A133,'Year data'!$A$111:$A$161,0),MATCH('TCO Inputs'!$AZ$12+D$113-1,'Year data'!$B$110:$AC$110,0))/100))/(1+$AZ$41)^D$113</f>
        <v>1053.0709140793367</v>
      </c>
      <c r="E133" s="106">
        <f>VLOOKUP($A133,'VKT US'!$B$63:$AA$113,(E$113+1),FALSE)/VLOOKUP($A133,'Fuel economy adjusted factor'!$A$2:$F$52,5,FALSE)/$AZ$84*($AZ$15*('US Grid mix, emissions&amp;prices'!$AU$3+INDEX('Year data'!$B$3:$AC$53,MATCH('TCO Inputs'!$A133,'Year data'!$A$111:$A$161,0),MATCH('TCO Inputs'!$AZ$12+E$113-1,'Year data'!$B$110:$AC$110,0))/100)+$BA$15*('US Grid mix, emissions&amp;prices'!$AU$4+INDEX('Year data'!$B$57:$AC$107,MATCH($A133,'Year data'!$A$111:$A$161,0),MATCH('TCO Inputs'!$AZ$12+E$113-1,'Year data'!$B$110:$AC$110,0))/100))/(1+$AZ$41)^E$113</f>
        <v>996.86730186253794</v>
      </c>
      <c r="F133" s="106">
        <f>VLOOKUP($A133,'VKT US'!$B$63:$AA$113,(F$113+1),FALSE)/VLOOKUP($A133,'Fuel economy adjusted factor'!$A$2:$F$52,5,FALSE)/$AZ$84*($AZ$15*('US Grid mix, emissions&amp;prices'!$AU$3+INDEX('Year data'!$B$3:$AC$53,MATCH('TCO Inputs'!$A133,'Year data'!$A$111:$A$161,0),MATCH('TCO Inputs'!$AZ$12+F$113-1,'Year data'!$B$110:$AC$110,0))/100)+$BA$15*('US Grid mix, emissions&amp;prices'!$AU$4+INDEX('Year data'!$B$57:$AC$107,MATCH($A133,'Year data'!$A$111:$A$161,0),MATCH('TCO Inputs'!$AZ$12+F$113-1,'Year data'!$B$110:$AC$110,0))/100))/(1+$AZ$41)^F$113</f>
        <v>946.71329485116087</v>
      </c>
      <c r="G133" s="106">
        <f>VLOOKUP($A133,'VKT US'!$B$63:$AA$113,(G$113+1),FALSE)/VLOOKUP($A133,'Fuel economy adjusted factor'!$A$2:$F$52,5,FALSE)/$AZ$84*($AZ$15*('US Grid mix, emissions&amp;prices'!$AU$3+INDEX('Year data'!$B$3:$AC$53,MATCH('TCO Inputs'!$A133,'Year data'!$A$111:$A$161,0),MATCH('TCO Inputs'!$AZ$12+G$113-1,'Year data'!$B$110:$AC$110,0))/100)+$BA$15*('US Grid mix, emissions&amp;prices'!$AU$4+INDEX('Year data'!$B$57:$AC$107,MATCH($A133,'Year data'!$A$111:$A$161,0),MATCH('TCO Inputs'!$AZ$12+G$113-1,'Year data'!$B$110:$AC$110,0))/100))/(1+$AZ$41)^G$113</f>
        <v>901.86465069035137</v>
      </c>
      <c r="H133" s="106">
        <f>VLOOKUP($A133,'VKT US'!$B$63:$AA$113,(H$113+1),FALSE)/VLOOKUP($A133,'Fuel economy adjusted factor'!$A$2:$F$52,5,FALSE)/$AZ$84*($AZ$15*('US Grid mix, emissions&amp;prices'!$AU$3+INDEX('Year data'!$B$3:$AC$53,MATCH('TCO Inputs'!$A133,'Year data'!$A$111:$A$161,0),MATCH('TCO Inputs'!$AZ$12+H$113-1,'Year data'!$B$110:$AC$110,0))/100)+$BA$15*('US Grid mix, emissions&amp;prices'!$AU$4+INDEX('Year data'!$B$57:$AC$107,MATCH($A133,'Year data'!$A$111:$A$161,0),MATCH('TCO Inputs'!$AZ$12+H$113-1,'Year data'!$B$110:$AC$110,0))/100))/(1+$AZ$41)^H$113</f>
        <v>863.32499971707182</v>
      </c>
      <c r="I133" s="106">
        <f>VLOOKUP($A133,'VKT US'!$B$63:$AA$113,(I$113+1),FALSE)/VLOOKUP($A133,'Fuel economy adjusted factor'!$A$2:$F$52,5,FALSE)/$AZ$84*($AZ$15*('US Grid mix, emissions&amp;prices'!$AU$3+INDEX('Year data'!$B$3:$AC$53,MATCH('TCO Inputs'!$A133,'Year data'!$A$111:$A$161,0),MATCH('TCO Inputs'!$AZ$12+I$113-1,'Year data'!$B$110:$AC$110,0))/100)+$BA$15*('US Grid mix, emissions&amp;prices'!$AU$4+INDEX('Year data'!$B$57:$AC$107,MATCH($A133,'Year data'!$A$111:$A$161,0),MATCH('TCO Inputs'!$AZ$12+I$113-1,'Year data'!$B$110:$AC$110,0))/100))/(1+$AZ$41)^I$113</f>
        <v>829.73527044454693</v>
      </c>
      <c r="J133" s="106">
        <f>VLOOKUP($A133,'VKT US'!$B$63:$AA$113,(J$113+1),FALSE)/VLOOKUP($A133,'Fuel economy adjusted factor'!$A$2:$F$52,5,FALSE)/$AZ$84*($AZ$15*('US Grid mix, emissions&amp;prices'!$AU$3+INDEX('Year data'!$B$3:$AC$53,MATCH('TCO Inputs'!$A133,'Year data'!$A$111:$A$161,0),MATCH('TCO Inputs'!$AZ$12+J$113-1,'Year data'!$B$110:$AC$110,0))/100)+$BA$15*('US Grid mix, emissions&amp;prices'!$AU$4+INDEX('Year data'!$B$57:$AC$107,MATCH($A133,'Year data'!$A$111:$A$161,0),MATCH('TCO Inputs'!$AZ$12+J$113-1,'Year data'!$B$110:$AC$110,0))/100))/(1+$AZ$41)^J$113</f>
        <v>798.93138410401264</v>
      </c>
      <c r="K133" s="106">
        <f>VLOOKUP($A133,'VKT US'!$B$63:$AA$113,(K$113+1),FALSE)/VLOOKUP($A133,'Fuel economy adjusted factor'!$A$2:$F$52,5,FALSE)/$AZ$84*($AZ$15*('US Grid mix, emissions&amp;prices'!$AU$3+INDEX('Year data'!$B$3:$AC$53,MATCH('TCO Inputs'!$A133,'Year data'!$A$111:$A$161,0),MATCH('TCO Inputs'!$AZ$12+K$113-1,'Year data'!$B$110:$AC$110,0))/100)+$BA$15*('US Grid mix, emissions&amp;prices'!$AU$4+INDEX('Year data'!$B$57:$AC$107,MATCH($A133,'Year data'!$A$111:$A$161,0),MATCH('TCO Inputs'!$AZ$12+K$113-1,'Year data'!$B$110:$AC$110,0))/100))/(1+$AZ$41)^K$113</f>
        <v>769.40991144832867</v>
      </c>
      <c r="L133" s="106">
        <f>VLOOKUP($A133,'VKT US'!$B$63:$AA$113,(L$113+1),FALSE)/VLOOKUP($A133,'Fuel economy adjusted factor'!$A$2:$F$52,5,FALSE)/$AZ$84*($AZ$15*('US Grid mix, emissions&amp;prices'!$AU$3+INDEX('Year data'!$B$3:$AC$53,MATCH('TCO Inputs'!$A133,'Year data'!$A$111:$A$161,0),MATCH('TCO Inputs'!$AZ$12+L$113-1,'Year data'!$B$110:$AC$110,0))/100)+$BA$15*('US Grid mix, emissions&amp;prices'!$AU$4+INDEX('Year data'!$B$57:$AC$107,MATCH($A133,'Year data'!$A$111:$A$161,0),MATCH('TCO Inputs'!$AZ$12+L$113-1,'Year data'!$B$110:$AC$110,0))/100))/(1+$AZ$41)^L$113</f>
        <v>746.49730641364454</v>
      </c>
      <c r="M133" s="106">
        <f>VLOOKUP($A133,'VKT US'!$B$63:$AA$113,(M$113+1),FALSE)/VLOOKUP($A133,'Fuel economy adjusted factor'!$A$2:$F$52,5,FALSE)/$AZ$84*($AZ$15*('US Grid mix, emissions&amp;prices'!$AU$3+INDEX('Year data'!$B$3:$AC$53,MATCH('TCO Inputs'!$A133,'Year data'!$A$111:$A$161,0),MATCH('TCO Inputs'!$AZ$12+M$113-1,'Year data'!$B$110:$AC$110,0))/100)+$BA$15*('US Grid mix, emissions&amp;prices'!$AU$4+INDEX('Year data'!$B$57:$AC$107,MATCH($A133,'Year data'!$A$111:$A$161,0),MATCH('TCO Inputs'!$AZ$12+M$113-1,'Year data'!$B$110:$AC$110,0))/100))/(1+$AZ$41)^M$113</f>
        <v>722.98744229242152</v>
      </c>
      <c r="N133" s="106">
        <f>VLOOKUP($A133,'VKT US'!$B$63:$AA$113,(N$113+1),FALSE)/VLOOKUP($A133,'Fuel economy adjusted factor'!$A$2:$F$52,5,FALSE)/$AZ$84*($AZ$15*('US Grid mix, emissions&amp;prices'!$AU$3+INDEX('Year data'!$B$3:$AC$53,MATCH('TCO Inputs'!$A133,'Year data'!$A$111:$A$161,0),MATCH('TCO Inputs'!$AZ$12+N$113-1,'Year data'!$B$110:$AC$110,0))/100)+$BA$15*('US Grid mix, emissions&amp;prices'!$AU$4+INDEX('Year data'!$B$57:$AC$107,MATCH($A133,'Year data'!$A$111:$A$161,0),MATCH('TCO Inputs'!$AZ$12+N$113-1,'Year data'!$B$110:$AC$110,0))/100))/(1+$AZ$41)^N$113</f>
        <v>695.93699632339224</v>
      </c>
      <c r="O133" s="106">
        <f>VLOOKUP($A133,'VKT US'!$B$63:$AA$113,(O$113+1),FALSE)/VLOOKUP($A133,'Fuel economy adjusted factor'!$A$2:$F$52,5,FALSE)/$AZ$84*($AZ$15*('US Grid mix, emissions&amp;prices'!$AU$3+INDEX('Year data'!$B$3:$AC$53,MATCH('TCO Inputs'!$A133,'Year data'!$A$111:$A$161,0),MATCH('TCO Inputs'!$AZ$12+O$113-1,'Year data'!$B$110:$AC$110,0))/100)+$BA$15*('US Grid mix, emissions&amp;prices'!$AU$4+INDEX('Year data'!$B$57:$AC$107,MATCH($A133,'Year data'!$A$111:$A$161,0),MATCH('TCO Inputs'!$AZ$12+O$113-1,'Year data'!$B$110:$AC$110,0))/100))/(1+$AZ$41)^O$113</f>
        <v>672.68963720392696</v>
      </c>
      <c r="P133" s="106">
        <f>VLOOKUP($A133,'VKT US'!$B$63:$AA$113,(P$113+1),FALSE)/VLOOKUP($A133,'Fuel economy adjusted factor'!$A$2:$F$52,5,FALSE)/$AZ$84*($AZ$15*('US Grid mix, emissions&amp;prices'!$AU$3+INDEX('Year data'!$B$3:$AC$53,MATCH('TCO Inputs'!$A133,'Year data'!$A$111:$A$161,0),MATCH('TCO Inputs'!$AZ$12+P$113-1,'Year data'!$B$110:$AC$110,0))/100)+$BA$15*('US Grid mix, emissions&amp;prices'!$AU$4+INDEX('Year data'!$B$57:$AC$107,MATCH($A133,'Year data'!$A$111:$A$161,0),MATCH('TCO Inputs'!$AZ$12+P$113-1,'Year data'!$B$110:$AC$110,0))/100))/(1+$AZ$41)^P$113</f>
        <v>651.23292876891685</v>
      </c>
      <c r="Q133" s="106">
        <f>VLOOKUP($A133,'VKT US'!$B$63:$AA$113,(Q$113+1),FALSE)/VLOOKUP($A133,'Fuel economy adjusted factor'!$A$2:$F$52,5,FALSE)/$AZ$84*($AZ$15*('US Grid mix, emissions&amp;prices'!$AU$3+INDEX('Year data'!$B$3:$AC$53,MATCH('TCO Inputs'!$A133,'Year data'!$A$111:$A$161,0),MATCH('TCO Inputs'!$AZ$12+Q$113-1,'Year data'!$B$110:$AC$110,0))/100)+$BA$15*('US Grid mix, emissions&amp;prices'!$AU$4+INDEX('Year data'!$B$57:$AC$107,MATCH($A133,'Year data'!$A$111:$A$161,0),MATCH('TCO Inputs'!$AZ$12+Q$113-1,'Year data'!$B$110:$AC$110,0))/100))/(1+$AZ$41)^Q$113</f>
        <v>632.44711011693664</v>
      </c>
      <c r="R133" s="106">
        <f>VLOOKUP($A133,'VKT US'!$B$63:$AA$113,(R$113+1),FALSE)/VLOOKUP($A133,'Fuel economy adjusted factor'!$A$2:$F$52,5,FALSE)/$AZ$84*($AZ$15*('US Grid mix, emissions&amp;prices'!$AU$3+INDEX('Year data'!$B$3:$AC$53,MATCH('TCO Inputs'!$A133,'Year data'!$A$111:$A$161,0),MATCH('TCO Inputs'!$AZ$12+R$113-1,'Year data'!$B$110:$AC$110,0))/100)+$BA$15*('US Grid mix, emissions&amp;prices'!$AU$4+INDEX('Year data'!$B$57:$AC$107,MATCH($A133,'Year data'!$A$111:$A$161,0),MATCH('TCO Inputs'!$AZ$12+R$113-1,'Year data'!$B$110:$AC$110,0))/100))/(1+$AZ$41)^R$113</f>
        <v>613.42125980394781</v>
      </c>
      <c r="S133" s="106">
        <f>VLOOKUP($A133,'VKT US'!$B$63:$AA$113,(S$113+1),FALSE)/VLOOKUP($A133,'Fuel economy adjusted factor'!$A$2:$F$52,5,FALSE)/$AZ$84*($AZ$15*('US Grid mix, emissions&amp;prices'!$AU$3+INDEX('Year data'!$B$3:$AC$53,MATCH('TCO Inputs'!$A133,'Year data'!$A$111:$A$161,0),MATCH('TCO Inputs'!$AZ$12+S$113-1,'Year data'!$B$110:$AC$110,0))/100)+$BA$15*('US Grid mix, emissions&amp;prices'!$AU$4+INDEX('Year data'!$B$57:$AC$107,MATCH($A133,'Year data'!$A$111:$A$161,0),MATCH('TCO Inputs'!$AZ$12+S$113-1,'Year data'!$B$110:$AC$110,0))/100))/(1+$AZ$41)^S$113</f>
        <v>595.58442372840364</v>
      </c>
      <c r="T133" s="106">
        <f>VLOOKUP($A133,'VKT US'!$B$63:$AA$113,(T$113+1),FALSE)/VLOOKUP($A133,'Fuel economy adjusted factor'!$A$2:$F$52,5,FALSE)/$AZ$84*($AZ$15*('US Grid mix, emissions&amp;prices'!$AU$3+INDEX('Year data'!$B$3:$AC$53,MATCH('TCO Inputs'!$A133,'Year data'!$A$111:$A$161,0),MATCH('TCO Inputs'!$AZ$12+T$113-1,'Year data'!$B$110:$AC$110,0))/100)+$BA$15*('US Grid mix, emissions&amp;prices'!$AU$4+INDEX('Year data'!$B$57:$AC$107,MATCH($A133,'Year data'!$A$111:$A$161,0),MATCH('TCO Inputs'!$AZ$12+T$113-1,'Year data'!$B$110:$AC$110,0))/100))/(1+$AZ$41)^T$113</f>
        <v>578.25177662671456</v>
      </c>
      <c r="U133" s="106">
        <f>VLOOKUP($A133,'VKT US'!$B$63:$AA$113,(U$113+1),FALSE)/VLOOKUP($A133,'Fuel economy adjusted factor'!$A$2:$F$52,5,FALSE)/$AZ$84*($AZ$15*('US Grid mix, emissions&amp;prices'!$AU$3+INDEX('Year data'!$B$3:$AC$53,MATCH('TCO Inputs'!$A133,'Year data'!$A$111:$A$161,0),MATCH('TCO Inputs'!$AZ$12+U$113-1,'Year data'!$B$110:$AC$110,0))/100)+$BA$15*('US Grid mix, emissions&amp;prices'!$AU$4+INDEX('Year data'!$B$57:$AC$107,MATCH($A133,'Year data'!$A$111:$A$161,0),MATCH('TCO Inputs'!$AZ$12+U$113-1,'Year data'!$B$110:$AC$110,0))/100))/(1+$AZ$41)^U$113</f>
        <v>561.20910417848017</v>
      </c>
      <c r="V133" s="110" cm="1">
        <f t="array" ref="V133">SUMPRODUCT(INDEX(B133:U133,,_xlfn.SEQUENCE($AZ$13)))</f>
        <v>12312.964204782291</v>
      </c>
      <c r="Y133" s="102" t="s">
        <v>202</v>
      </c>
      <c r="Z133" s="106">
        <f>VLOOKUP($A133,'VKT US'!$B$63:$AA$113,(Z$113+1),FALSE)/VLOOKUP($A133,'Fuel economy adjusted factor'!$A$2:$F$52,5,FALSE)/$AZ$84</f>
        <v>5610.4314374694286</v>
      </c>
      <c r="AA133" s="106">
        <f>VLOOKUP($A133,'VKT US'!$B$63:$AA$113,(AA$113+1),FALSE)/VLOOKUP($A133,'Fuel economy adjusted factor'!$A$2:$F$52,5,FALSE)/$AZ$84</f>
        <v>5443.5603898057407</v>
      </c>
      <c r="AB133" s="106">
        <f>VLOOKUP($A133,'VKT US'!$B$63:$AA$113,(AB$113+1),FALSE)/VLOOKUP($A133,'Fuel economy adjusted factor'!$A$2:$F$52,5,FALSE)/$AZ$84</f>
        <v>5281.9546907333824</v>
      </c>
      <c r="AC133" s="106">
        <f>VLOOKUP($A133,'VKT US'!$B$63:$AA$113,(AC$113+1),FALSE)/VLOOKUP($A133,'Fuel economy adjusted factor'!$A$2:$F$52,5,FALSE)/$AZ$84</f>
        <v>5126.0193670670724</v>
      </c>
      <c r="AD133" s="106">
        <f>VLOOKUP($A133,'VKT US'!$B$63:$AA$113,(AD$113+1),FALSE)/VLOOKUP($A133,'Fuel economy adjusted factor'!$A$2:$F$52,5,FALSE)/$AZ$84</f>
        <v>4975.349391992092</v>
      </c>
      <c r="AE133" s="106">
        <f>VLOOKUP($A133,'VKT US'!$B$63:$AA$113,(AE$113+1),FALSE)/VLOOKUP($A133,'Fuel economy adjusted factor'!$A$2:$F$52,5,FALSE)/$AZ$84</f>
        <v>4830.7548191378773</v>
      </c>
      <c r="AF133" s="106">
        <f>VLOOKUP($A133,'VKT US'!$B$63:$AA$113,(AF$113+1),FALSE)/VLOOKUP($A133,'Fuel economy adjusted factor'!$A$2:$F$52,5,FALSE)/$AZ$84</f>
        <v>4691.0205680602749</v>
      </c>
      <c r="AG133" s="106">
        <f>VLOOKUP($A133,'VKT US'!$B$63:$AA$113,(AG$113+1),FALSE)/VLOOKUP($A133,'Fuel economy adjusted factor'!$A$2:$F$52,5,FALSE)/$AZ$84</f>
        <v>4556.9566923887196</v>
      </c>
      <c r="AH133" s="106">
        <f>VLOOKUP($A133,'VKT US'!$B$63:$AA$113,(AH$113+1),FALSE)/VLOOKUP($A133,'Fuel economy adjusted factor'!$A$2:$F$52,5,FALSE)/$AZ$84</f>
        <v>4428.5631921232116</v>
      </c>
      <c r="AI133" s="106">
        <f>VLOOKUP($A133,'VKT US'!$B$63:$AA$113,(AI$113+1),FALSE)/VLOOKUP($A133,'Fuel economy adjusted factor'!$A$2:$F$52,5,FALSE)/$AZ$84</f>
        <v>4305.8400672637526</v>
      </c>
      <c r="AJ133" s="106">
        <f>VLOOKUP($A133,'VKT US'!$B$63:$AA$113,(AJ$113+1),FALSE)/VLOOKUP($A133,'Fuel economy adjusted factor'!$A$2:$F$52,5,FALSE)/$AZ$84</f>
        <v>4188.3822909956216</v>
      </c>
      <c r="AK133" s="106">
        <f>VLOOKUP($A133,'VKT US'!$B$63:$AA$113,(AK$113+1),FALSE)/VLOOKUP($A133,'Fuel economy adjusted factor'!$A$2:$F$52,5,FALSE)/$AZ$84</f>
        <v>4076.59489013354</v>
      </c>
      <c r="AL133" s="106">
        <f>VLOOKUP($A133,'VKT US'!$B$63:$AA$113,(AL$113+1),FALSE)/VLOOKUP($A133,'Fuel economy adjusted factor'!$A$2:$F$52,5,FALSE)/$AZ$84</f>
        <v>3970.0728378627887</v>
      </c>
      <c r="AM133" s="106">
        <f>VLOOKUP($A133,'VKT US'!$B$63:$AA$113,(AM$113+1),FALSE)/VLOOKUP($A133,'Fuel economy adjusted factor'!$A$2:$F$52,5,FALSE)/$AZ$84</f>
        <v>3869.2211609980832</v>
      </c>
      <c r="AN133" s="106">
        <f>VLOOKUP($A133,'VKT US'!$B$63:$AA$113,(AN$113+1),FALSE)/VLOOKUP($A133,'Fuel economy adjusted factor'!$A$2:$F$52,5,FALSE)/$AZ$84</f>
        <v>3773.6348327247092</v>
      </c>
      <c r="AO133" s="106">
        <f>VLOOKUP($A133,'VKT US'!$B$63:$AA$113,(AO$113+1),FALSE)/VLOOKUP($A133,'Fuel economy adjusted factor'!$A$2:$F$52,5,FALSE)/$AZ$84</f>
        <v>3684.1239066720991</v>
      </c>
      <c r="AP133" s="106">
        <f>VLOOKUP($A133,'VKT US'!$B$63:$AA$113,(AP$113+1),FALSE)/VLOOKUP($A133,'Fuel economy adjusted factor'!$A$2:$F$52,5,FALSE)/$AZ$84</f>
        <v>3599.4733023961021</v>
      </c>
      <c r="AQ133" s="106">
        <f>VLOOKUP($A133,'VKT US'!$B$63:$AA$113,(AQ$113+1),FALSE)/VLOOKUP($A133,'Fuel economy adjusted factor'!$A$2:$F$52,5,FALSE)/$AZ$84</f>
        <v>3520.8981003408708</v>
      </c>
      <c r="AR133" s="106">
        <f>VLOOKUP($A133,'VKT US'!$B$63:$AA$113,(AR$113+1),FALSE)/VLOOKUP($A133,'Fuel economy adjusted factor'!$A$2:$F$52,5,FALSE)/$AZ$84</f>
        <v>3447.1832200622512</v>
      </c>
      <c r="AS133" s="106">
        <f>VLOOKUP($A133,'VKT US'!$B$63:$AA$113,(AS$113+1),FALSE)/VLOOKUP($A133,'Fuel economy adjusted factor'!$A$2:$F$52,5,FALSE)/$AZ$84</f>
        <v>3379.5437420043968</v>
      </c>
      <c r="AT133" s="110" cm="1">
        <f t="array" ref="AT133">SUMPRODUCT(INDEX(Z133:AS133,,_xlfn.SEQUENCE($AZ$13)))</f>
        <v>65354.721796031583</v>
      </c>
    </row>
    <row r="134" spans="1:46" x14ac:dyDescent="0.25">
      <c r="A134" s="102" t="s">
        <v>201</v>
      </c>
      <c r="B134" s="106">
        <f>VLOOKUP($A134,'VKT US'!$B$63:$AA$113,(B$113+1),FALSE)/VLOOKUP($A134,'Fuel economy adjusted factor'!$A$2:$F$52,5,FALSE)/$AZ$84*($AZ$15*('US Grid mix, emissions&amp;prices'!$AU$3+INDEX('Year data'!$B$3:$AC$53,MATCH('TCO Inputs'!$A134,'Year data'!$A$111:$A$161,0),MATCH('TCO Inputs'!$AZ$12+B$113-1,'Year data'!$B$110:$AC$110,0))/100)+$BA$15*('US Grid mix, emissions&amp;prices'!$AU$4+INDEX('Year data'!$B$57:$AC$107,MATCH($A134,'Year data'!$A$111:$A$161,0),MATCH('TCO Inputs'!$AZ$12+B$113-1,'Year data'!$B$110:$AC$110,0))/100))/(1+$AZ$41)^B$113</f>
        <v>1840.4741573447445</v>
      </c>
      <c r="C134" s="106">
        <f>VLOOKUP($A134,'VKT US'!$B$63:$AA$113,(C$113+1),FALSE)/VLOOKUP($A134,'Fuel economy adjusted factor'!$A$2:$F$52,5,FALSE)/$AZ$84*($AZ$15*('US Grid mix, emissions&amp;prices'!$AU$3+INDEX('Year data'!$B$3:$AC$53,MATCH('TCO Inputs'!$A134,'Year data'!$A$111:$A$161,0),MATCH('TCO Inputs'!$AZ$12+C$113-1,'Year data'!$B$110:$AC$110,0))/100)+$BA$15*('US Grid mix, emissions&amp;prices'!$AU$4+INDEX('Year data'!$B$57:$AC$107,MATCH($A134,'Year data'!$A$111:$A$161,0),MATCH('TCO Inputs'!$AZ$12+C$113-1,'Year data'!$B$110:$AC$110,0))/100))/(1+$AZ$41)^C$113</f>
        <v>1728.9882477951714</v>
      </c>
      <c r="D134" s="106">
        <f>VLOOKUP($A134,'VKT US'!$B$63:$AA$113,(D$113+1),FALSE)/VLOOKUP($A134,'Fuel economy adjusted factor'!$A$2:$F$52,5,FALSE)/$AZ$84*($AZ$15*('US Grid mix, emissions&amp;prices'!$AU$3+INDEX('Year data'!$B$3:$AC$53,MATCH('TCO Inputs'!$A134,'Year data'!$A$111:$A$161,0),MATCH('TCO Inputs'!$AZ$12+D$113-1,'Year data'!$B$110:$AC$110,0))/100)+$BA$15*('US Grid mix, emissions&amp;prices'!$AU$4+INDEX('Year data'!$B$57:$AC$107,MATCH($A134,'Year data'!$A$111:$A$161,0),MATCH('TCO Inputs'!$AZ$12+D$113-1,'Year data'!$B$110:$AC$110,0))/100))/(1+$AZ$41)^D$113</f>
        <v>1615.701114492919</v>
      </c>
      <c r="E134" s="106">
        <f>VLOOKUP($A134,'VKT US'!$B$63:$AA$113,(E$113+1),FALSE)/VLOOKUP($A134,'Fuel economy adjusted factor'!$A$2:$F$52,5,FALSE)/$AZ$84*($AZ$15*('US Grid mix, emissions&amp;prices'!$AU$3+INDEX('Year data'!$B$3:$AC$53,MATCH('TCO Inputs'!$A134,'Year data'!$A$111:$A$161,0),MATCH('TCO Inputs'!$AZ$12+E$113-1,'Year data'!$B$110:$AC$110,0))/100)+$BA$15*('US Grid mix, emissions&amp;prices'!$AU$4+INDEX('Year data'!$B$57:$AC$107,MATCH($A134,'Year data'!$A$111:$A$161,0),MATCH('TCO Inputs'!$AZ$12+E$113-1,'Year data'!$B$110:$AC$110,0))/100))/(1+$AZ$41)^E$113</f>
        <v>1526.1923766678251</v>
      </c>
      <c r="F134" s="106">
        <f>VLOOKUP($A134,'VKT US'!$B$63:$AA$113,(F$113+1),FALSE)/VLOOKUP($A134,'Fuel economy adjusted factor'!$A$2:$F$52,5,FALSE)/$AZ$84*($AZ$15*('US Grid mix, emissions&amp;prices'!$AU$3+INDEX('Year data'!$B$3:$AC$53,MATCH('TCO Inputs'!$A134,'Year data'!$A$111:$A$161,0),MATCH('TCO Inputs'!$AZ$12+F$113-1,'Year data'!$B$110:$AC$110,0))/100)+$BA$15*('US Grid mix, emissions&amp;prices'!$AU$4+INDEX('Year data'!$B$57:$AC$107,MATCH($A134,'Year data'!$A$111:$A$161,0),MATCH('TCO Inputs'!$AZ$12+F$113-1,'Year data'!$B$110:$AC$110,0))/100))/(1+$AZ$41)^F$113</f>
        <v>1447.0036595479146</v>
      </c>
      <c r="G134" s="106">
        <f>VLOOKUP($A134,'VKT US'!$B$63:$AA$113,(G$113+1),FALSE)/VLOOKUP($A134,'Fuel economy adjusted factor'!$A$2:$F$52,5,FALSE)/$AZ$84*($AZ$15*('US Grid mix, emissions&amp;prices'!$AU$3+INDEX('Year data'!$B$3:$AC$53,MATCH('TCO Inputs'!$A134,'Year data'!$A$111:$A$161,0),MATCH('TCO Inputs'!$AZ$12+G$113-1,'Year data'!$B$110:$AC$110,0))/100)+$BA$15*('US Grid mix, emissions&amp;prices'!$AU$4+INDEX('Year data'!$B$57:$AC$107,MATCH($A134,'Year data'!$A$111:$A$161,0),MATCH('TCO Inputs'!$AZ$12+G$113-1,'Year data'!$B$110:$AC$110,0))/100))/(1+$AZ$41)^G$113</f>
        <v>1376.8143019409401</v>
      </c>
      <c r="H134" s="106">
        <f>VLOOKUP($A134,'VKT US'!$B$63:$AA$113,(H$113+1),FALSE)/VLOOKUP($A134,'Fuel economy adjusted factor'!$A$2:$F$52,5,FALSE)/$AZ$84*($AZ$15*('US Grid mix, emissions&amp;prices'!$AU$3+INDEX('Year data'!$B$3:$AC$53,MATCH('TCO Inputs'!$A134,'Year data'!$A$111:$A$161,0),MATCH('TCO Inputs'!$AZ$12+H$113-1,'Year data'!$B$110:$AC$110,0))/100)+$BA$15*('US Grid mix, emissions&amp;prices'!$AU$4+INDEX('Year data'!$B$57:$AC$107,MATCH($A134,'Year data'!$A$111:$A$161,0),MATCH('TCO Inputs'!$AZ$12+H$113-1,'Year data'!$B$110:$AC$110,0))/100))/(1+$AZ$41)^H$113</f>
        <v>1317.4722246124045</v>
      </c>
      <c r="I134" s="106">
        <f>VLOOKUP($A134,'VKT US'!$B$63:$AA$113,(I$113+1),FALSE)/VLOOKUP($A134,'Fuel economy adjusted factor'!$A$2:$F$52,5,FALSE)/$AZ$84*($AZ$15*('US Grid mix, emissions&amp;prices'!$AU$3+INDEX('Year data'!$B$3:$AC$53,MATCH('TCO Inputs'!$A134,'Year data'!$A$111:$A$161,0),MATCH('TCO Inputs'!$AZ$12+I$113-1,'Year data'!$B$110:$AC$110,0))/100)+$BA$15*('US Grid mix, emissions&amp;prices'!$AU$4+INDEX('Year data'!$B$57:$AC$107,MATCH($A134,'Year data'!$A$111:$A$161,0),MATCH('TCO Inputs'!$AZ$12+I$113-1,'Year data'!$B$110:$AC$110,0))/100))/(1+$AZ$41)^I$113</f>
        <v>1266.5150179517796</v>
      </c>
      <c r="J134" s="106">
        <f>VLOOKUP($A134,'VKT US'!$B$63:$AA$113,(J$113+1),FALSE)/VLOOKUP($A134,'Fuel economy adjusted factor'!$A$2:$F$52,5,FALSE)/$AZ$84*($AZ$15*('US Grid mix, emissions&amp;prices'!$AU$3+INDEX('Year data'!$B$3:$AC$53,MATCH('TCO Inputs'!$A134,'Year data'!$A$111:$A$161,0),MATCH('TCO Inputs'!$AZ$12+J$113-1,'Year data'!$B$110:$AC$110,0))/100)+$BA$15*('US Grid mix, emissions&amp;prices'!$AU$4+INDEX('Year data'!$B$57:$AC$107,MATCH($A134,'Year data'!$A$111:$A$161,0),MATCH('TCO Inputs'!$AZ$12+J$113-1,'Year data'!$B$110:$AC$110,0))/100))/(1+$AZ$41)^J$113</f>
        <v>1220.1045951889782</v>
      </c>
      <c r="K134" s="106">
        <f>VLOOKUP($A134,'VKT US'!$B$63:$AA$113,(K$113+1),FALSE)/VLOOKUP($A134,'Fuel economy adjusted factor'!$A$2:$F$52,5,FALSE)/$AZ$84*($AZ$15*('US Grid mix, emissions&amp;prices'!$AU$3+INDEX('Year data'!$B$3:$AC$53,MATCH('TCO Inputs'!$A134,'Year data'!$A$111:$A$161,0),MATCH('TCO Inputs'!$AZ$12+K$113-1,'Year data'!$B$110:$AC$110,0))/100)+$BA$15*('US Grid mix, emissions&amp;prices'!$AU$4+INDEX('Year data'!$B$57:$AC$107,MATCH($A134,'Year data'!$A$111:$A$161,0),MATCH('TCO Inputs'!$AZ$12+K$113-1,'Year data'!$B$110:$AC$110,0))/100))/(1+$AZ$41)^K$113</f>
        <v>1175.5449470374961</v>
      </c>
      <c r="L134" s="106">
        <f>VLOOKUP($A134,'VKT US'!$B$63:$AA$113,(L$113+1),FALSE)/VLOOKUP($A134,'Fuel economy adjusted factor'!$A$2:$F$52,5,FALSE)/$AZ$84*($AZ$15*('US Grid mix, emissions&amp;prices'!$AU$3+INDEX('Year data'!$B$3:$AC$53,MATCH('TCO Inputs'!$A134,'Year data'!$A$111:$A$161,0),MATCH('TCO Inputs'!$AZ$12+L$113-1,'Year data'!$B$110:$AC$110,0))/100)+$BA$15*('US Grid mix, emissions&amp;prices'!$AU$4+INDEX('Year data'!$B$57:$AC$107,MATCH($A134,'Year data'!$A$111:$A$161,0),MATCH('TCO Inputs'!$AZ$12+L$113-1,'Year data'!$B$110:$AC$110,0))/100))/(1+$AZ$41)^L$113</f>
        <v>1142.3988397661319</v>
      </c>
      <c r="M134" s="106">
        <f>VLOOKUP($A134,'VKT US'!$B$63:$AA$113,(M$113+1),FALSE)/VLOOKUP($A134,'Fuel economy adjusted factor'!$A$2:$F$52,5,FALSE)/$AZ$84*($AZ$15*('US Grid mix, emissions&amp;prices'!$AU$3+INDEX('Year data'!$B$3:$AC$53,MATCH('TCO Inputs'!$A134,'Year data'!$A$111:$A$161,0),MATCH('TCO Inputs'!$AZ$12+M$113-1,'Year data'!$B$110:$AC$110,0))/100)+$BA$15*('US Grid mix, emissions&amp;prices'!$AU$4+INDEX('Year data'!$B$57:$AC$107,MATCH($A134,'Year data'!$A$111:$A$161,0),MATCH('TCO Inputs'!$AZ$12+M$113-1,'Year data'!$B$110:$AC$110,0))/100))/(1+$AZ$41)^M$113</f>
        <v>1107.7630689595169</v>
      </c>
      <c r="N134" s="106">
        <f>VLOOKUP($A134,'VKT US'!$B$63:$AA$113,(N$113+1),FALSE)/VLOOKUP($A134,'Fuel economy adjusted factor'!$A$2:$F$52,5,FALSE)/$AZ$84*($AZ$15*('US Grid mix, emissions&amp;prices'!$AU$3+INDEX('Year data'!$B$3:$AC$53,MATCH('TCO Inputs'!$A134,'Year data'!$A$111:$A$161,0),MATCH('TCO Inputs'!$AZ$12+N$113-1,'Year data'!$B$110:$AC$110,0))/100)+$BA$15*('US Grid mix, emissions&amp;prices'!$AU$4+INDEX('Year data'!$B$57:$AC$107,MATCH($A134,'Year data'!$A$111:$A$161,0),MATCH('TCO Inputs'!$AZ$12+N$113-1,'Year data'!$B$110:$AC$110,0))/100))/(1+$AZ$41)^N$113</f>
        <v>1066.3876376709502</v>
      </c>
      <c r="O134" s="106">
        <f>VLOOKUP($A134,'VKT US'!$B$63:$AA$113,(O$113+1),FALSE)/VLOOKUP($A134,'Fuel economy adjusted factor'!$A$2:$F$52,5,FALSE)/$AZ$84*($AZ$15*('US Grid mix, emissions&amp;prices'!$AU$3+INDEX('Year data'!$B$3:$AC$53,MATCH('TCO Inputs'!$A134,'Year data'!$A$111:$A$161,0),MATCH('TCO Inputs'!$AZ$12+O$113-1,'Year data'!$B$110:$AC$110,0))/100)+$BA$15*('US Grid mix, emissions&amp;prices'!$AU$4+INDEX('Year data'!$B$57:$AC$107,MATCH($A134,'Year data'!$A$111:$A$161,0),MATCH('TCO Inputs'!$AZ$12+O$113-1,'Year data'!$B$110:$AC$110,0))/100))/(1+$AZ$41)^O$113</f>
        <v>1031.4275364464033</v>
      </c>
      <c r="P134" s="106">
        <f>VLOOKUP($A134,'VKT US'!$B$63:$AA$113,(P$113+1),FALSE)/VLOOKUP($A134,'Fuel economy adjusted factor'!$A$2:$F$52,5,FALSE)/$AZ$84*($AZ$15*('US Grid mix, emissions&amp;prices'!$AU$3+INDEX('Year data'!$B$3:$AC$53,MATCH('TCO Inputs'!$A134,'Year data'!$A$111:$A$161,0),MATCH('TCO Inputs'!$AZ$12+P$113-1,'Year data'!$B$110:$AC$110,0))/100)+$BA$15*('US Grid mix, emissions&amp;prices'!$AU$4+INDEX('Year data'!$B$57:$AC$107,MATCH($A134,'Year data'!$A$111:$A$161,0),MATCH('TCO Inputs'!$AZ$12+P$113-1,'Year data'!$B$110:$AC$110,0))/100))/(1+$AZ$41)^P$113</f>
        <v>999.31394848749994</v>
      </c>
      <c r="Q134" s="106">
        <f>VLOOKUP($A134,'VKT US'!$B$63:$AA$113,(Q$113+1),FALSE)/VLOOKUP($A134,'Fuel economy adjusted factor'!$A$2:$F$52,5,FALSE)/$AZ$84*($AZ$15*('US Grid mix, emissions&amp;prices'!$AU$3+INDEX('Year data'!$B$3:$AC$53,MATCH('TCO Inputs'!$A134,'Year data'!$A$111:$A$161,0),MATCH('TCO Inputs'!$AZ$12+Q$113-1,'Year data'!$B$110:$AC$110,0))/100)+$BA$15*('US Grid mix, emissions&amp;prices'!$AU$4+INDEX('Year data'!$B$57:$AC$107,MATCH($A134,'Year data'!$A$111:$A$161,0),MATCH('TCO Inputs'!$AZ$12+Q$113-1,'Year data'!$B$110:$AC$110,0))/100))/(1+$AZ$41)^Q$113</f>
        <v>971.58502132588887</v>
      </c>
      <c r="R134" s="106">
        <f>VLOOKUP($A134,'VKT US'!$B$63:$AA$113,(R$113+1),FALSE)/VLOOKUP($A134,'Fuel economy adjusted factor'!$A$2:$F$52,5,FALSE)/$AZ$84*($AZ$15*('US Grid mix, emissions&amp;prices'!$AU$3+INDEX('Year data'!$B$3:$AC$53,MATCH('TCO Inputs'!$A134,'Year data'!$A$111:$A$161,0),MATCH('TCO Inputs'!$AZ$12+R$113-1,'Year data'!$B$110:$AC$110,0))/100)+$BA$15*('US Grid mix, emissions&amp;prices'!$AU$4+INDEX('Year data'!$B$57:$AC$107,MATCH($A134,'Year data'!$A$111:$A$161,0),MATCH('TCO Inputs'!$AZ$12+R$113-1,'Year data'!$B$110:$AC$110,0))/100))/(1+$AZ$41)^R$113</f>
        <v>943.09463701771847</v>
      </c>
      <c r="S134" s="106">
        <f>VLOOKUP($A134,'VKT US'!$B$63:$AA$113,(S$113+1),FALSE)/VLOOKUP($A134,'Fuel economy adjusted factor'!$A$2:$F$52,5,FALSE)/$AZ$84*($AZ$15*('US Grid mix, emissions&amp;prices'!$AU$3+INDEX('Year data'!$B$3:$AC$53,MATCH('TCO Inputs'!$A134,'Year data'!$A$111:$A$161,0),MATCH('TCO Inputs'!$AZ$12+S$113-1,'Year data'!$B$110:$AC$110,0))/100)+$BA$15*('US Grid mix, emissions&amp;prices'!$AU$4+INDEX('Year data'!$B$57:$AC$107,MATCH($A134,'Year data'!$A$111:$A$161,0),MATCH('TCO Inputs'!$AZ$12+S$113-1,'Year data'!$B$110:$AC$110,0))/100))/(1+$AZ$41)^S$113</f>
        <v>916.36869104215384</v>
      </c>
      <c r="T134" s="106">
        <f>VLOOKUP($A134,'VKT US'!$B$63:$AA$113,(T$113+1),FALSE)/VLOOKUP($A134,'Fuel economy adjusted factor'!$A$2:$F$52,5,FALSE)/$AZ$84*($AZ$15*('US Grid mix, emissions&amp;prices'!$AU$3+INDEX('Year data'!$B$3:$AC$53,MATCH('TCO Inputs'!$A134,'Year data'!$A$111:$A$161,0),MATCH('TCO Inputs'!$AZ$12+T$113-1,'Year data'!$B$110:$AC$110,0))/100)+$BA$15*('US Grid mix, emissions&amp;prices'!$AU$4+INDEX('Year data'!$B$57:$AC$107,MATCH($A134,'Year data'!$A$111:$A$161,0),MATCH('TCO Inputs'!$AZ$12+T$113-1,'Year data'!$B$110:$AC$110,0))/100))/(1+$AZ$41)^T$113</f>
        <v>890.23452773525423</v>
      </c>
      <c r="U134" s="106">
        <f>VLOOKUP($A134,'VKT US'!$B$63:$AA$113,(U$113+1),FALSE)/VLOOKUP($A134,'Fuel economy adjusted factor'!$A$2:$F$52,5,FALSE)/$AZ$84*($AZ$15*('US Grid mix, emissions&amp;prices'!$AU$3+INDEX('Year data'!$B$3:$AC$53,MATCH('TCO Inputs'!$A134,'Year data'!$A$111:$A$161,0),MATCH('TCO Inputs'!$AZ$12+U$113-1,'Year data'!$B$110:$AC$110,0))/100)+$BA$15*('US Grid mix, emissions&amp;prices'!$AU$4+INDEX('Year data'!$B$57:$AC$107,MATCH($A134,'Year data'!$A$111:$A$161,0),MATCH('TCO Inputs'!$AZ$12+U$113-1,'Year data'!$B$110:$AC$110,0))/100))/(1+$AZ$41)^U$113</f>
        <v>864.27018097342716</v>
      </c>
      <c r="V134" s="110" cm="1">
        <f t="array" ref="V134">SUMPRODUCT(INDEX(B134:U134,,_xlfn.SEQUENCE($AZ$13)))</f>
        <v>18862.787725423172</v>
      </c>
      <c r="Y134" s="102" t="s">
        <v>201</v>
      </c>
      <c r="Z134" s="106">
        <f>VLOOKUP($A134,'VKT US'!$B$63:$AA$113,(Z$113+1),FALSE)/VLOOKUP($A134,'Fuel economy adjusted factor'!$A$2:$F$52,5,FALSE)/$AZ$84</f>
        <v>5727.7752308166291</v>
      </c>
      <c r="AA134" s="106">
        <f>VLOOKUP($A134,'VKT US'!$B$63:$AA$113,(AA$113+1),FALSE)/VLOOKUP($A134,'Fuel economy adjusted factor'!$A$2:$F$52,5,FALSE)/$AZ$84</f>
        <v>5557.4140270123808</v>
      </c>
      <c r="AB134" s="106">
        <f>VLOOKUP($A134,'VKT US'!$B$63:$AA$113,(AB$113+1),FALSE)/VLOOKUP($A134,'Fuel economy adjusted factor'!$A$2:$F$52,5,FALSE)/$AZ$84</f>
        <v>5392.4282980854505</v>
      </c>
      <c r="AC134" s="106">
        <f>VLOOKUP($A134,'VKT US'!$B$63:$AA$113,(AC$113+1),FALSE)/VLOOKUP($A134,'Fuel economy adjusted factor'!$A$2:$F$52,5,FALSE)/$AZ$84</f>
        <v>5233.2315421033245</v>
      </c>
      <c r="AD134" s="106">
        <f>VLOOKUP($A134,'VKT US'!$B$63:$AA$113,(AD$113+1),FALSE)/VLOOKUP($A134,'Fuel economy adjusted factor'!$A$2:$F$52,5,FALSE)/$AZ$84</f>
        <v>5079.4102609985184</v>
      </c>
      <c r="AE134" s="106">
        <f>VLOOKUP($A134,'VKT US'!$B$63:$AA$113,(AE$113+1),FALSE)/VLOOKUP($A134,'Fuel economy adjusted factor'!$A$2:$F$52,5,FALSE)/$AZ$84</f>
        <v>4931.791450906002</v>
      </c>
      <c r="AF134" s="106">
        <f>VLOOKUP($A134,'VKT US'!$B$63:$AA$113,(AF$113+1),FALSE)/VLOOKUP($A134,'Fuel economy adjusted factor'!$A$2:$F$52,5,FALSE)/$AZ$84</f>
        <v>4789.1346176233183</v>
      </c>
      <c r="AG134" s="106">
        <f>VLOOKUP($A134,'VKT US'!$B$63:$AA$113,(AG$113+1),FALSE)/VLOOKUP($A134,'Fuel economy adjusted factor'!$A$2:$F$52,5,FALSE)/$AZ$84</f>
        <v>4652.2667572854389</v>
      </c>
      <c r="AH134" s="106">
        <f>VLOOKUP($A134,'VKT US'!$B$63:$AA$113,(AH$113+1),FALSE)/VLOOKUP($A134,'Fuel economy adjusted factor'!$A$2:$F$52,5,FALSE)/$AZ$84</f>
        <v>4521.1878698923638</v>
      </c>
      <c r="AI134" s="106">
        <f>VLOOKUP($A134,'VKT US'!$B$63:$AA$113,(AI$113+1),FALSE)/VLOOKUP($A134,'Fuel economy adjusted factor'!$A$2:$F$52,5,FALSE)/$AZ$84</f>
        <v>4395.8979554440939</v>
      </c>
      <c r="AJ134" s="106">
        <f>VLOOKUP($A134,'VKT US'!$B$63:$AA$113,(AJ$113+1),FALSE)/VLOOKUP($A134,'Fuel economy adjusted factor'!$A$2:$F$52,5,FALSE)/$AZ$84</f>
        <v>4275.9835158731421</v>
      </c>
      <c r="AK134" s="106">
        <f>VLOOKUP($A134,'VKT US'!$B$63:$AA$113,(AK$113+1),FALSE)/VLOOKUP($A134,'Fuel economy adjusted factor'!$A$2:$F$52,5,FALSE)/$AZ$84</f>
        <v>4161.8580492469946</v>
      </c>
      <c r="AL134" s="106">
        <f>VLOOKUP($A134,'VKT US'!$B$63:$AA$113,(AL$113+1),FALSE)/VLOOKUP($A134,'Fuel economy adjusted factor'!$A$2:$F$52,5,FALSE)/$AZ$84</f>
        <v>4053.1080574981665</v>
      </c>
      <c r="AM134" s="106">
        <f>VLOOKUP($A134,'VKT US'!$B$63:$AA$113,(AM$113+1),FALSE)/VLOOKUP($A134,'Fuel economy adjusted factor'!$A$2:$F$52,5,FALSE)/$AZ$84</f>
        <v>3950.1470386941428</v>
      </c>
      <c r="AN134" s="106">
        <f>VLOOKUP($A134,'VKT US'!$B$63:$AA$113,(AN$113+1),FALSE)/VLOOKUP($A134,'Fuel economy adjusted factor'!$A$2:$F$52,5,FALSE)/$AZ$84</f>
        <v>3852.5614947674367</v>
      </c>
      <c r="AO134" s="106">
        <f>VLOOKUP($A134,'VKT US'!$B$63:$AA$113,(AO$113+1),FALSE)/VLOOKUP($A134,'Fuel economy adjusted factor'!$A$2:$F$52,5,FALSE)/$AZ$84</f>
        <v>3761.1784218530215</v>
      </c>
      <c r="AP134" s="106">
        <f>VLOOKUP($A134,'VKT US'!$B$63:$AA$113,(AP$113+1),FALSE)/VLOOKUP($A134,'Fuel economy adjusted factor'!$A$2:$F$52,5,FALSE)/$AZ$84</f>
        <v>3674.7573257484391</v>
      </c>
      <c r="AQ134" s="106">
        <f>VLOOKUP($A134,'VKT US'!$B$63:$AA$113,(AQ$113+1),FALSE)/VLOOKUP($A134,'Fuel economy adjusted factor'!$A$2:$F$52,5,FALSE)/$AZ$84</f>
        <v>3594.5387006561477</v>
      </c>
      <c r="AR134" s="106">
        <f>VLOOKUP($A134,'VKT US'!$B$63:$AA$113,(AR$113+1),FALSE)/VLOOKUP($A134,'Fuel economy adjusted factor'!$A$2:$F$52,5,FALSE)/$AZ$84</f>
        <v>3519.2820523736882</v>
      </c>
      <c r="AS134" s="106">
        <f>VLOOKUP($A134,'VKT US'!$B$63:$AA$113,(AS$113+1),FALSE)/VLOOKUP($A134,'Fuel economy adjusted factor'!$A$2:$F$52,5,FALSE)/$AZ$84</f>
        <v>3450.2278751035192</v>
      </c>
      <c r="AT134" s="110" cm="1">
        <f t="array" ref="AT134">SUMPRODUCT(INDEX(Z134:AS134,,_xlfn.SEQUENCE($AZ$13)))</f>
        <v>66721.634671479958</v>
      </c>
    </row>
    <row r="135" spans="1:46" x14ac:dyDescent="0.25">
      <c r="A135" s="102" t="s">
        <v>204</v>
      </c>
      <c r="B135" s="106">
        <f>VLOOKUP($A135,'VKT US'!$B$63:$AA$113,(B$113+1),FALSE)/VLOOKUP($A135,'Fuel economy adjusted factor'!$A$2:$F$52,5,FALSE)/$AZ$84*($AZ$15*('US Grid mix, emissions&amp;prices'!$AU$3+INDEX('Year data'!$B$3:$AC$53,MATCH('TCO Inputs'!$A135,'Year data'!$A$111:$A$161,0),MATCH('TCO Inputs'!$AZ$12+B$113-1,'Year data'!$B$110:$AC$110,0))/100)+$BA$15*('US Grid mix, emissions&amp;prices'!$AU$4+INDEX('Year data'!$B$57:$AC$107,MATCH($A135,'Year data'!$A$111:$A$161,0),MATCH('TCO Inputs'!$AZ$12+B$113-1,'Year data'!$B$110:$AC$110,0))/100))/(1+$AZ$41)^B$113</f>
        <v>1505.421647955073</v>
      </c>
      <c r="C135" s="106">
        <f>VLOOKUP($A135,'VKT US'!$B$63:$AA$113,(C$113+1),FALSE)/VLOOKUP($A135,'Fuel economy adjusted factor'!$A$2:$F$52,5,FALSE)/$AZ$84*($AZ$15*('US Grid mix, emissions&amp;prices'!$AU$3+INDEX('Year data'!$B$3:$AC$53,MATCH('TCO Inputs'!$A135,'Year data'!$A$111:$A$161,0),MATCH('TCO Inputs'!$AZ$12+C$113-1,'Year data'!$B$110:$AC$110,0))/100)+$BA$15*('US Grid mix, emissions&amp;prices'!$AU$4+INDEX('Year data'!$B$57:$AC$107,MATCH($A135,'Year data'!$A$111:$A$161,0),MATCH('TCO Inputs'!$AZ$12+C$113-1,'Year data'!$B$110:$AC$110,0))/100))/(1+$AZ$41)^C$113</f>
        <v>1417.0494000271303</v>
      </c>
      <c r="D135" s="106">
        <f>VLOOKUP($A135,'VKT US'!$B$63:$AA$113,(D$113+1),FALSE)/VLOOKUP($A135,'Fuel economy adjusted factor'!$A$2:$F$52,5,FALSE)/$AZ$84*($AZ$15*('US Grid mix, emissions&amp;prices'!$AU$3+INDEX('Year data'!$B$3:$AC$53,MATCH('TCO Inputs'!$A135,'Year data'!$A$111:$A$161,0),MATCH('TCO Inputs'!$AZ$12+D$113-1,'Year data'!$B$110:$AC$110,0))/100)+$BA$15*('US Grid mix, emissions&amp;prices'!$AU$4+INDEX('Year data'!$B$57:$AC$107,MATCH($A135,'Year data'!$A$111:$A$161,0),MATCH('TCO Inputs'!$AZ$12+D$113-1,'Year data'!$B$110:$AC$110,0))/100))/(1+$AZ$41)^D$113</f>
        <v>1327.7595300111457</v>
      </c>
      <c r="E135" s="106">
        <f>VLOOKUP($A135,'VKT US'!$B$63:$AA$113,(E$113+1),FALSE)/VLOOKUP($A135,'Fuel economy adjusted factor'!$A$2:$F$52,5,FALSE)/$AZ$84*($AZ$15*('US Grid mix, emissions&amp;prices'!$AU$3+INDEX('Year data'!$B$3:$AC$53,MATCH('TCO Inputs'!$A135,'Year data'!$A$111:$A$161,0),MATCH('TCO Inputs'!$AZ$12+E$113-1,'Year data'!$B$110:$AC$110,0))/100)+$BA$15*('US Grid mix, emissions&amp;prices'!$AU$4+INDEX('Year data'!$B$57:$AC$107,MATCH($A135,'Year data'!$A$111:$A$161,0),MATCH('TCO Inputs'!$AZ$12+E$113-1,'Year data'!$B$110:$AC$110,0))/100))/(1+$AZ$41)^E$113</f>
        <v>1256.2268175109532</v>
      </c>
      <c r="F135" s="106">
        <f>VLOOKUP($A135,'VKT US'!$B$63:$AA$113,(F$113+1),FALSE)/VLOOKUP($A135,'Fuel economy adjusted factor'!$A$2:$F$52,5,FALSE)/$AZ$84*($AZ$15*('US Grid mix, emissions&amp;prices'!$AU$3+INDEX('Year data'!$B$3:$AC$53,MATCH('TCO Inputs'!$A135,'Year data'!$A$111:$A$161,0),MATCH('TCO Inputs'!$AZ$12+F$113-1,'Year data'!$B$110:$AC$110,0))/100)+$BA$15*('US Grid mix, emissions&amp;prices'!$AU$4+INDEX('Year data'!$B$57:$AC$107,MATCH($A135,'Year data'!$A$111:$A$161,0),MATCH('TCO Inputs'!$AZ$12+F$113-1,'Year data'!$B$110:$AC$110,0))/100))/(1+$AZ$41)^F$113</f>
        <v>1192.5366504101557</v>
      </c>
      <c r="G135" s="106">
        <f>VLOOKUP($A135,'VKT US'!$B$63:$AA$113,(G$113+1),FALSE)/VLOOKUP($A135,'Fuel economy adjusted factor'!$A$2:$F$52,5,FALSE)/$AZ$84*($AZ$15*('US Grid mix, emissions&amp;prices'!$AU$3+INDEX('Year data'!$B$3:$AC$53,MATCH('TCO Inputs'!$A135,'Year data'!$A$111:$A$161,0),MATCH('TCO Inputs'!$AZ$12+G$113-1,'Year data'!$B$110:$AC$110,0))/100)+$BA$15*('US Grid mix, emissions&amp;prices'!$AU$4+INDEX('Year data'!$B$57:$AC$107,MATCH($A135,'Year data'!$A$111:$A$161,0),MATCH('TCO Inputs'!$AZ$12+G$113-1,'Year data'!$B$110:$AC$110,0))/100))/(1+$AZ$41)^G$113</f>
        <v>1135.6999678810821</v>
      </c>
      <c r="H135" s="106">
        <f>VLOOKUP($A135,'VKT US'!$B$63:$AA$113,(H$113+1),FALSE)/VLOOKUP($A135,'Fuel economy adjusted factor'!$A$2:$F$52,5,FALSE)/$AZ$84*($AZ$15*('US Grid mix, emissions&amp;prices'!$AU$3+INDEX('Year data'!$B$3:$AC$53,MATCH('TCO Inputs'!$A135,'Year data'!$A$111:$A$161,0),MATCH('TCO Inputs'!$AZ$12+H$113-1,'Year data'!$B$110:$AC$110,0))/100)+$BA$15*('US Grid mix, emissions&amp;prices'!$AU$4+INDEX('Year data'!$B$57:$AC$107,MATCH($A135,'Year data'!$A$111:$A$161,0),MATCH('TCO Inputs'!$AZ$12+H$113-1,'Year data'!$B$110:$AC$110,0))/100))/(1+$AZ$41)^H$113</f>
        <v>1087.0520041796281</v>
      </c>
      <c r="I135" s="106">
        <f>VLOOKUP($A135,'VKT US'!$B$63:$AA$113,(I$113+1),FALSE)/VLOOKUP($A135,'Fuel economy adjusted factor'!$A$2:$F$52,5,FALSE)/$AZ$84*($AZ$15*('US Grid mix, emissions&amp;prices'!$AU$3+INDEX('Year data'!$B$3:$AC$53,MATCH('TCO Inputs'!$A135,'Year data'!$A$111:$A$161,0),MATCH('TCO Inputs'!$AZ$12+I$113-1,'Year data'!$B$110:$AC$110,0))/100)+$BA$15*('US Grid mix, emissions&amp;prices'!$AU$4+INDEX('Year data'!$B$57:$AC$107,MATCH($A135,'Year data'!$A$111:$A$161,0),MATCH('TCO Inputs'!$AZ$12+I$113-1,'Year data'!$B$110:$AC$110,0))/100))/(1+$AZ$41)^I$113</f>
        <v>1044.805362633369</v>
      </c>
      <c r="J135" s="106">
        <f>VLOOKUP($A135,'VKT US'!$B$63:$AA$113,(J$113+1),FALSE)/VLOOKUP($A135,'Fuel economy adjusted factor'!$A$2:$F$52,5,FALSE)/$AZ$84*($AZ$15*('US Grid mix, emissions&amp;prices'!$AU$3+INDEX('Year data'!$B$3:$AC$53,MATCH('TCO Inputs'!$A135,'Year data'!$A$111:$A$161,0),MATCH('TCO Inputs'!$AZ$12+J$113-1,'Year data'!$B$110:$AC$110,0))/100)+$BA$15*('US Grid mix, emissions&amp;prices'!$AU$4+INDEX('Year data'!$B$57:$AC$107,MATCH($A135,'Year data'!$A$111:$A$161,0),MATCH('TCO Inputs'!$AZ$12+J$113-1,'Year data'!$B$110:$AC$110,0))/100))/(1+$AZ$41)^J$113</f>
        <v>1006.1197366146237</v>
      </c>
      <c r="K135" s="106">
        <f>VLOOKUP($A135,'VKT US'!$B$63:$AA$113,(K$113+1),FALSE)/VLOOKUP($A135,'Fuel economy adjusted factor'!$A$2:$F$52,5,FALSE)/$AZ$84*($AZ$15*('US Grid mix, emissions&amp;prices'!$AU$3+INDEX('Year data'!$B$3:$AC$53,MATCH('TCO Inputs'!$A135,'Year data'!$A$111:$A$161,0),MATCH('TCO Inputs'!$AZ$12+K$113-1,'Year data'!$B$110:$AC$110,0))/100)+$BA$15*('US Grid mix, emissions&amp;prices'!$AU$4+INDEX('Year data'!$B$57:$AC$107,MATCH($A135,'Year data'!$A$111:$A$161,0),MATCH('TCO Inputs'!$AZ$12+K$113-1,'Year data'!$B$110:$AC$110,0))/100))/(1+$AZ$41)^K$113</f>
        <v>969.02925658500544</v>
      </c>
      <c r="L135" s="106">
        <f>VLOOKUP($A135,'VKT US'!$B$63:$AA$113,(L$113+1),FALSE)/VLOOKUP($A135,'Fuel economy adjusted factor'!$A$2:$F$52,5,FALSE)/$AZ$84*($AZ$15*('US Grid mix, emissions&amp;prices'!$AU$3+INDEX('Year data'!$B$3:$AC$53,MATCH('TCO Inputs'!$A135,'Year data'!$A$111:$A$161,0),MATCH('TCO Inputs'!$AZ$12+L$113-1,'Year data'!$B$110:$AC$110,0))/100)+$BA$15*('US Grid mix, emissions&amp;prices'!$AU$4+INDEX('Year data'!$B$57:$AC$107,MATCH($A135,'Year data'!$A$111:$A$161,0),MATCH('TCO Inputs'!$AZ$12+L$113-1,'Year data'!$B$110:$AC$110,0))/100))/(1+$AZ$41)^L$113</f>
        <v>940.52673905574568</v>
      </c>
      <c r="M135" s="106">
        <f>VLOOKUP($A135,'VKT US'!$B$63:$AA$113,(M$113+1),FALSE)/VLOOKUP($A135,'Fuel economy adjusted factor'!$A$2:$F$52,5,FALSE)/$AZ$84*($AZ$15*('US Grid mix, emissions&amp;prices'!$AU$3+INDEX('Year data'!$B$3:$AC$53,MATCH('TCO Inputs'!$A135,'Year data'!$A$111:$A$161,0),MATCH('TCO Inputs'!$AZ$12+M$113-1,'Year data'!$B$110:$AC$110,0))/100)+$BA$15*('US Grid mix, emissions&amp;prices'!$AU$4+INDEX('Year data'!$B$57:$AC$107,MATCH($A135,'Year data'!$A$111:$A$161,0),MATCH('TCO Inputs'!$AZ$12+M$113-1,'Year data'!$B$110:$AC$110,0))/100))/(1+$AZ$41)^M$113</f>
        <v>911.15877832315925</v>
      </c>
      <c r="N135" s="106">
        <f>VLOOKUP($A135,'VKT US'!$B$63:$AA$113,(N$113+1),FALSE)/VLOOKUP($A135,'Fuel economy adjusted factor'!$A$2:$F$52,5,FALSE)/$AZ$84*($AZ$15*('US Grid mix, emissions&amp;prices'!$AU$3+INDEX('Year data'!$B$3:$AC$53,MATCH('TCO Inputs'!$A135,'Year data'!$A$111:$A$161,0),MATCH('TCO Inputs'!$AZ$12+N$113-1,'Year data'!$B$110:$AC$110,0))/100)+$BA$15*('US Grid mix, emissions&amp;prices'!$AU$4+INDEX('Year data'!$B$57:$AC$107,MATCH($A135,'Year data'!$A$111:$A$161,0),MATCH('TCO Inputs'!$AZ$12+N$113-1,'Year data'!$B$110:$AC$110,0))/100))/(1+$AZ$41)^N$113</f>
        <v>877.07327069941834</v>
      </c>
      <c r="O135" s="106">
        <f>VLOOKUP($A135,'VKT US'!$B$63:$AA$113,(O$113+1),FALSE)/VLOOKUP($A135,'Fuel economy adjusted factor'!$A$2:$F$52,5,FALSE)/$AZ$84*($AZ$15*('US Grid mix, emissions&amp;prices'!$AU$3+INDEX('Year data'!$B$3:$AC$53,MATCH('TCO Inputs'!$A135,'Year data'!$A$111:$A$161,0),MATCH('TCO Inputs'!$AZ$12+O$113-1,'Year data'!$B$110:$AC$110,0))/100)+$BA$15*('US Grid mix, emissions&amp;prices'!$AU$4+INDEX('Year data'!$B$57:$AC$107,MATCH($A135,'Year data'!$A$111:$A$161,0),MATCH('TCO Inputs'!$AZ$12+O$113-1,'Year data'!$B$110:$AC$110,0))/100))/(1+$AZ$41)^O$113</f>
        <v>847.89725089033084</v>
      </c>
      <c r="P135" s="106">
        <f>VLOOKUP($A135,'VKT US'!$B$63:$AA$113,(P$113+1),FALSE)/VLOOKUP($A135,'Fuel economy adjusted factor'!$A$2:$F$52,5,FALSE)/$AZ$84*($AZ$15*('US Grid mix, emissions&amp;prices'!$AU$3+INDEX('Year data'!$B$3:$AC$53,MATCH('TCO Inputs'!$A135,'Year data'!$A$111:$A$161,0),MATCH('TCO Inputs'!$AZ$12+P$113-1,'Year data'!$B$110:$AC$110,0))/100)+$BA$15*('US Grid mix, emissions&amp;prices'!$AU$4+INDEX('Year data'!$B$57:$AC$107,MATCH($A135,'Year data'!$A$111:$A$161,0),MATCH('TCO Inputs'!$AZ$12+P$113-1,'Year data'!$B$110:$AC$110,0))/100))/(1+$AZ$41)^P$113</f>
        <v>820.99621542483203</v>
      </c>
      <c r="Q135" s="106">
        <f>VLOOKUP($A135,'VKT US'!$B$63:$AA$113,(Q$113+1),FALSE)/VLOOKUP($A135,'Fuel economy adjusted factor'!$A$2:$F$52,5,FALSE)/$AZ$84*($AZ$15*('US Grid mix, emissions&amp;prices'!$AU$3+INDEX('Year data'!$B$3:$AC$53,MATCH('TCO Inputs'!$A135,'Year data'!$A$111:$A$161,0),MATCH('TCO Inputs'!$AZ$12+Q$113-1,'Year data'!$B$110:$AC$110,0))/100)+$BA$15*('US Grid mix, emissions&amp;prices'!$AU$4+INDEX('Year data'!$B$57:$AC$107,MATCH($A135,'Year data'!$A$111:$A$161,0),MATCH('TCO Inputs'!$AZ$12+Q$113-1,'Year data'!$B$110:$AC$110,0))/100))/(1+$AZ$41)^Q$113</f>
        <v>797.52223656222804</v>
      </c>
      <c r="R135" s="106">
        <f>VLOOKUP($A135,'VKT US'!$B$63:$AA$113,(R$113+1),FALSE)/VLOOKUP($A135,'Fuel economy adjusted factor'!$A$2:$F$52,5,FALSE)/$AZ$84*($AZ$15*('US Grid mix, emissions&amp;prices'!$AU$3+INDEX('Year data'!$B$3:$AC$53,MATCH('TCO Inputs'!$A135,'Year data'!$A$111:$A$161,0),MATCH('TCO Inputs'!$AZ$12+R$113-1,'Year data'!$B$110:$AC$110,0))/100)+$BA$15*('US Grid mix, emissions&amp;prices'!$AU$4+INDEX('Year data'!$B$57:$AC$107,MATCH($A135,'Year data'!$A$111:$A$161,0),MATCH('TCO Inputs'!$AZ$12+R$113-1,'Year data'!$B$110:$AC$110,0))/100))/(1+$AZ$41)^R$113</f>
        <v>773.66998329219484</v>
      </c>
      <c r="S135" s="106">
        <f>VLOOKUP($A135,'VKT US'!$B$63:$AA$113,(S$113+1),FALSE)/VLOOKUP($A135,'Fuel economy adjusted factor'!$A$2:$F$52,5,FALSE)/$AZ$84*($AZ$15*('US Grid mix, emissions&amp;prices'!$AU$3+INDEX('Year data'!$B$3:$AC$53,MATCH('TCO Inputs'!$A135,'Year data'!$A$111:$A$161,0),MATCH('TCO Inputs'!$AZ$12+S$113-1,'Year data'!$B$110:$AC$110,0))/100)+$BA$15*('US Grid mix, emissions&amp;prices'!$AU$4+INDEX('Year data'!$B$57:$AC$107,MATCH($A135,'Year data'!$A$111:$A$161,0),MATCH('TCO Inputs'!$AZ$12+S$113-1,'Year data'!$B$110:$AC$110,0))/100))/(1+$AZ$41)^S$113</f>
        <v>751.30330030444543</v>
      </c>
      <c r="T135" s="106">
        <f>VLOOKUP($A135,'VKT US'!$B$63:$AA$113,(T$113+1),FALSE)/VLOOKUP($A135,'Fuel economy adjusted factor'!$A$2:$F$52,5,FALSE)/$AZ$84*($AZ$15*('US Grid mix, emissions&amp;prices'!$AU$3+INDEX('Year data'!$B$3:$AC$53,MATCH('TCO Inputs'!$A135,'Year data'!$A$111:$A$161,0),MATCH('TCO Inputs'!$AZ$12+T$113-1,'Year data'!$B$110:$AC$110,0))/100)+$BA$15*('US Grid mix, emissions&amp;prices'!$AU$4+INDEX('Year data'!$B$57:$AC$107,MATCH($A135,'Year data'!$A$111:$A$161,0),MATCH('TCO Inputs'!$AZ$12+T$113-1,'Year data'!$B$110:$AC$110,0))/100))/(1+$AZ$41)^T$113</f>
        <v>729.53812031943778</v>
      </c>
      <c r="U135" s="106">
        <f>VLOOKUP($A135,'VKT US'!$B$63:$AA$113,(U$113+1),FALSE)/VLOOKUP($A135,'Fuel economy adjusted factor'!$A$2:$F$52,5,FALSE)/$AZ$84*($AZ$15*('US Grid mix, emissions&amp;prices'!$AU$3+INDEX('Year data'!$B$3:$AC$53,MATCH('TCO Inputs'!$A135,'Year data'!$A$111:$A$161,0),MATCH('TCO Inputs'!$AZ$12+U$113-1,'Year data'!$B$110:$AC$110,0))/100)+$BA$15*('US Grid mix, emissions&amp;prices'!$AU$4+INDEX('Year data'!$B$57:$AC$107,MATCH($A135,'Year data'!$A$111:$A$161,0),MATCH('TCO Inputs'!$AZ$12+U$113-1,'Year data'!$B$110:$AC$110,0))/100))/(1+$AZ$41)^U$113</f>
        <v>708.08460825467296</v>
      </c>
      <c r="V135" s="110" cm="1">
        <f t="array" ref="V135">SUMPRODUCT(INDEX(B135:U135,,_xlfn.SEQUENCE($AZ$13)))</f>
        <v>15518.35641277682</v>
      </c>
      <c r="Y135" s="102" t="s">
        <v>204</v>
      </c>
      <c r="Z135" s="106">
        <f>VLOOKUP($A135,'VKT US'!$B$63:$AA$113,(Z$113+1),FALSE)/VLOOKUP($A135,'Fuel economy adjusted factor'!$A$2:$F$52,5,FALSE)/$AZ$84</f>
        <v>6509.2268795169475</v>
      </c>
      <c r="AA135" s="106">
        <f>VLOOKUP($A135,'VKT US'!$B$63:$AA$113,(AA$113+1),FALSE)/VLOOKUP($A135,'Fuel economy adjusted factor'!$A$2:$F$52,5,FALSE)/$AZ$84</f>
        <v>6315.6229613563219</v>
      </c>
      <c r="AB135" s="106">
        <f>VLOOKUP($A135,'VKT US'!$B$63:$AA$113,(AB$113+1),FALSE)/VLOOKUP($A135,'Fuel economy adjusted factor'!$A$2:$F$52,5,FALSE)/$AZ$84</f>
        <v>6128.1279046910558</v>
      </c>
      <c r="AC135" s="106">
        <f>VLOOKUP($A135,'VKT US'!$B$63:$AA$113,(AC$113+1),FALSE)/VLOOKUP($A135,'Fuel economy adjusted factor'!$A$2:$F$52,5,FALSE)/$AZ$84</f>
        <v>5947.2116219438703</v>
      </c>
      <c r="AD135" s="106">
        <f>VLOOKUP($A135,'VKT US'!$B$63:$AA$113,(AD$113+1),FALSE)/VLOOKUP($A135,'Fuel economy adjusted factor'!$A$2:$F$52,5,FALSE)/$AZ$84</f>
        <v>5772.4042006920427</v>
      </c>
      <c r="AE135" s="106">
        <f>VLOOKUP($A135,'VKT US'!$B$63:$AA$113,(AE$113+1),FALSE)/VLOOKUP($A135,'Fuel economy adjusted factor'!$A$2:$F$52,5,FALSE)/$AZ$84</f>
        <v>5604.6454657810164</v>
      </c>
      <c r="AF135" s="106">
        <f>VLOOKUP($A135,'VKT US'!$B$63:$AA$113,(AF$113+1),FALSE)/VLOOKUP($A135,'Fuel economy adjusted factor'!$A$2:$F$52,5,FALSE)/$AZ$84</f>
        <v>5442.5256799426279</v>
      </c>
      <c r="AG135" s="106">
        <f>VLOOKUP($A135,'VKT US'!$B$63:$AA$113,(AG$113+1),FALSE)/VLOOKUP($A135,'Fuel economy adjusted factor'!$A$2:$F$52,5,FALSE)/$AZ$84</f>
        <v>5286.9846680223191</v>
      </c>
      <c r="AH135" s="106">
        <f>VLOOKUP($A135,'VKT US'!$B$63:$AA$113,(AH$113+1),FALSE)/VLOOKUP($A135,'Fuel economy adjusted factor'!$A$2:$F$52,5,FALSE)/$AZ$84</f>
        <v>5138.0224300200898</v>
      </c>
      <c r="AI135" s="106">
        <f>VLOOKUP($A135,'VKT US'!$B$63:$AA$113,(AI$113+1),FALSE)/VLOOKUP($A135,'Fuel economy adjusted factor'!$A$2:$F$52,5,FALSE)/$AZ$84</f>
        <v>4995.638965935942</v>
      </c>
      <c r="AJ135" s="106">
        <f>VLOOKUP($A135,'VKT US'!$B$63:$AA$113,(AJ$113+1),FALSE)/VLOOKUP($A135,'Fuel economy adjusted factor'!$A$2:$F$52,5,FALSE)/$AZ$84</f>
        <v>4859.364363347152</v>
      </c>
      <c r="AK135" s="106">
        <f>VLOOKUP($A135,'VKT US'!$B$63:$AA$113,(AK$113+1),FALSE)/VLOOKUP($A135,'Fuel economy adjusted factor'!$A$2:$F$52,5,FALSE)/$AZ$84</f>
        <v>4729.6685346764416</v>
      </c>
      <c r="AL135" s="106">
        <f>VLOOKUP($A135,'VKT US'!$B$63:$AA$113,(AL$113+1),FALSE)/VLOOKUP($A135,'Fuel economy adjusted factor'!$A$2:$F$52,5,FALSE)/$AZ$84</f>
        <v>4606.0815675010917</v>
      </c>
      <c r="AM135" s="106">
        <f>VLOOKUP($A135,'VKT US'!$B$63:$AA$113,(AM$113+1),FALSE)/VLOOKUP($A135,'Fuel economy adjusted factor'!$A$2:$F$52,5,FALSE)/$AZ$84</f>
        <v>4489.0733742438206</v>
      </c>
      <c r="AN135" s="106">
        <f>VLOOKUP($A135,'VKT US'!$B$63:$AA$113,(AN$113+1),FALSE)/VLOOKUP($A135,'Fuel economy adjusted factor'!$A$2:$F$52,5,FALSE)/$AZ$84</f>
        <v>4378.1740424819091</v>
      </c>
      <c r="AO135" s="106">
        <f>VLOOKUP($A135,'VKT US'!$B$63:$AA$113,(AO$113+1),FALSE)/VLOOKUP($A135,'Fuel economy adjusted factor'!$A$2:$F$52,5,FALSE)/$AZ$84</f>
        <v>4274.3233970607962</v>
      </c>
      <c r="AP135" s="106">
        <f>VLOOKUP($A135,'VKT US'!$B$63:$AA$113,(AP$113+1),FALSE)/VLOOKUP($A135,'Fuel economy adjusted factor'!$A$2:$F$52,5,FALSE)/$AZ$84</f>
        <v>4176.111700712323</v>
      </c>
      <c r="AQ135" s="106">
        <f>VLOOKUP($A135,'VKT US'!$B$63:$AA$113,(AQ$113+1),FALSE)/VLOOKUP($A135,'Fuel economy adjusted factor'!$A$2:$F$52,5,FALSE)/$AZ$84</f>
        <v>4084.9486907046507</v>
      </c>
      <c r="AR135" s="106">
        <f>VLOOKUP($A135,'VKT US'!$B$63:$AA$113,(AR$113+1),FALSE)/VLOOKUP($A135,'Fuel economy adjusted factor'!$A$2:$F$52,5,FALSE)/$AZ$84</f>
        <v>3999.4246297696172</v>
      </c>
      <c r="AS135" s="106">
        <f>VLOOKUP($A135,'VKT US'!$B$63:$AA$113,(AS$113+1),FALSE)/VLOOKUP($A135,'Fuel economy adjusted factor'!$A$2:$F$52,5,FALSE)/$AZ$84</f>
        <v>3920.9492551753829</v>
      </c>
      <c r="AT135" s="110" cm="1">
        <f t="array" ref="AT135">SUMPRODUCT(INDEX(Z135:AS135,,_xlfn.SEQUENCE($AZ$13)))</f>
        <v>75824.598617670737</v>
      </c>
    </row>
    <row r="136" spans="1:46" x14ac:dyDescent="0.25">
      <c r="A136" s="102" t="s">
        <v>205</v>
      </c>
      <c r="B136" s="106">
        <f>VLOOKUP($A136,'VKT US'!$B$63:$AA$113,(B$113+1),FALSE)/VLOOKUP($A136,'Fuel economy adjusted factor'!$A$2:$F$52,5,FALSE)/$AZ$84*($AZ$15*('US Grid mix, emissions&amp;prices'!$AU$3+INDEX('Year data'!$B$3:$AC$53,MATCH('TCO Inputs'!$A136,'Year data'!$A$111:$A$161,0),MATCH('TCO Inputs'!$AZ$12+B$113-1,'Year data'!$B$110:$AC$110,0))/100)+$BA$15*('US Grid mix, emissions&amp;prices'!$AU$4+INDEX('Year data'!$B$57:$AC$107,MATCH($A136,'Year data'!$A$111:$A$161,0),MATCH('TCO Inputs'!$AZ$12+B$113-1,'Year data'!$B$110:$AC$110,0))/100))/(1+$AZ$41)^B$113</f>
        <v>1700.1678522825309</v>
      </c>
      <c r="C136" s="106">
        <f>VLOOKUP($A136,'VKT US'!$B$63:$AA$113,(C$113+1),FALSE)/VLOOKUP($A136,'Fuel economy adjusted factor'!$A$2:$F$52,5,FALSE)/$AZ$84*($AZ$15*('US Grid mix, emissions&amp;prices'!$AU$3+INDEX('Year data'!$B$3:$AC$53,MATCH('TCO Inputs'!$A136,'Year data'!$A$111:$A$161,0),MATCH('TCO Inputs'!$AZ$12+C$113-1,'Year data'!$B$110:$AC$110,0))/100)+$BA$15*('US Grid mix, emissions&amp;prices'!$AU$4+INDEX('Year data'!$B$57:$AC$107,MATCH($A136,'Year data'!$A$111:$A$161,0),MATCH('TCO Inputs'!$AZ$12+C$113-1,'Year data'!$B$110:$AC$110,0))/100))/(1+$AZ$41)^C$113</f>
        <v>1601.7079289373812</v>
      </c>
      <c r="D136" s="106">
        <f>VLOOKUP($A136,'VKT US'!$B$63:$AA$113,(D$113+1),FALSE)/VLOOKUP($A136,'Fuel economy adjusted factor'!$A$2:$F$52,5,FALSE)/$AZ$84*($AZ$15*('US Grid mix, emissions&amp;prices'!$AU$3+INDEX('Year data'!$B$3:$AC$53,MATCH('TCO Inputs'!$A136,'Year data'!$A$111:$A$161,0),MATCH('TCO Inputs'!$AZ$12+D$113-1,'Year data'!$B$110:$AC$110,0))/100)+$BA$15*('US Grid mix, emissions&amp;prices'!$AU$4+INDEX('Year data'!$B$57:$AC$107,MATCH($A136,'Year data'!$A$111:$A$161,0),MATCH('TCO Inputs'!$AZ$12+D$113-1,'Year data'!$B$110:$AC$110,0))/100))/(1+$AZ$41)^D$113</f>
        <v>1502.8127105424248</v>
      </c>
      <c r="E136" s="106">
        <f>VLOOKUP($A136,'VKT US'!$B$63:$AA$113,(E$113+1),FALSE)/VLOOKUP($A136,'Fuel economy adjusted factor'!$A$2:$F$52,5,FALSE)/$AZ$84*($AZ$15*('US Grid mix, emissions&amp;prices'!$AU$3+INDEX('Year data'!$B$3:$AC$53,MATCH('TCO Inputs'!$A136,'Year data'!$A$111:$A$161,0),MATCH('TCO Inputs'!$AZ$12+E$113-1,'Year data'!$B$110:$AC$110,0))/100)+$BA$15*('US Grid mix, emissions&amp;prices'!$AU$4+INDEX('Year data'!$B$57:$AC$107,MATCH($A136,'Year data'!$A$111:$A$161,0),MATCH('TCO Inputs'!$AZ$12+E$113-1,'Year data'!$B$110:$AC$110,0))/100))/(1+$AZ$41)^E$113</f>
        <v>1423.0196258506703</v>
      </c>
      <c r="F136" s="106">
        <f>VLOOKUP($A136,'VKT US'!$B$63:$AA$113,(F$113+1),FALSE)/VLOOKUP($A136,'Fuel economy adjusted factor'!$A$2:$F$52,5,FALSE)/$AZ$84*($AZ$15*('US Grid mix, emissions&amp;prices'!$AU$3+INDEX('Year data'!$B$3:$AC$53,MATCH('TCO Inputs'!$A136,'Year data'!$A$111:$A$161,0),MATCH('TCO Inputs'!$AZ$12+F$113-1,'Year data'!$B$110:$AC$110,0))/100)+$BA$15*('US Grid mix, emissions&amp;prices'!$AU$4+INDEX('Year data'!$B$57:$AC$107,MATCH($A136,'Year data'!$A$111:$A$161,0),MATCH('TCO Inputs'!$AZ$12+F$113-1,'Year data'!$B$110:$AC$110,0))/100))/(1+$AZ$41)^F$113</f>
        <v>1351.7484143057018</v>
      </c>
      <c r="G136" s="106">
        <f>VLOOKUP($A136,'VKT US'!$B$63:$AA$113,(G$113+1),FALSE)/VLOOKUP($A136,'Fuel economy adjusted factor'!$A$2:$F$52,5,FALSE)/$AZ$84*($AZ$15*('US Grid mix, emissions&amp;prices'!$AU$3+INDEX('Year data'!$B$3:$AC$53,MATCH('TCO Inputs'!$A136,'Year data'!$A$111:$A$161,0),MATCH('TCO Inputs'!$AZ$12+G$113-1,'Year data'!$B$110:$AC$110,0))/100)+$BA$15*('US Grid mix, emissions&amp;prices'!$AU$4+INDEX('Year data'!$B$57:$AC$107,MATCH($A136,'Year data'!$A$111:$A$161,0),MATCH('TCO Inputs'!$AZ$12+G$113-1,'Year data'!$B$110:$AC$110,0))/100))/(1+$AZ$41)^G$113</f>
        <v>1287.8683803241763</v>
      </c>
      <c r="H136" s="106">
        <f>VLOOKUP($A136,'VKT US'!$B$63:$AA$113,(H$113+1),FALSE)/VLOOKUP($A136,'Fuel economy adjusted factor'!$A$2:$F$52,5,FALSE)/$AZ$84*($AZ$15*('US Grid mix, emissions&amp;prices'!$AU$3+INDEX('Year data'!$B$3:$AC$53,MATCH('TCO Inputs'!$A136,'Year data'!$A$111:$A$161,0),MATCH('TCO Inputs'!$AZ$12+H$113-1,'Year data'!$B$110:$AC$110,0))/100)+$BA$15*('US Grid mix, emissions&amp;prices'!$AU$4+INDEX('Year data'!$B$57:$AC$107,MATCH($A136,'Year data'!$A$111:$A$161,0),MATCH('TCO Inputs'!$AZ$12+H$113-1,'Year data'!$B$110:$AC$110,0))/100))/(1+$AZ$41)^H$113</f>
        <v>1232.8174867903886</v>
      </c>
      <c r="I136" s="106">
        <f>VLOOKUP($A136,'VKT US'!$B$63:$AA$113,(I$113+1),FALSE)/VLOOKUP($A136,'Fuel economy adjusted factor'!$A$2:$F$52,5,FALSE)/$AZ$84*($AZ$15*('US Grid mix, emissions&amp;prices'!$AU$3+INDEX('Year data'!$B$3:$AC$53,MATCH('TCO Inputs'!$A136,'Year data'!$A$111:$A$161,0),MATCH('TCO Inputs'!$AZ$12+I$113-1,'Year data'!$B$110:$AC$110,0))/100)+$BA$15*('US Grid mix, emissions&amp;prices'!$AU$4+INDEX('Year data'!$B$57:$AC$107,MATCH($A136,'Year data'!$A$111:$A$161,0),MATCH('TCO Inputs'!$AZ$12+I$113-1,'Year data'!$B$110:$AC$110,0))/100))/(1+$AZ$41)^I$113</f>
        <v>1184.724109688812</v>
      </c>
      <c r="J136" s="106">
        <f>VLOOKUP($A136,'VKT US'!$B$63:$AA$113,(J$113+1),FALSE)/VLOOKUP($A136,'Fuel economy adjusted factor'!$A$2:$F$52,5,FALSE)/$AZ$84*($AZ$15*('US Grid mix, emissions&amp;prices'!$AU$3+INDEX('Year data'!$B$3:$AC$53,MATCH('TCO Inputs'!$A136,'Year data'!$A$111:$A$161,0),MATCH('TCO Inputs'!$AZ$12+J$113-1,'Year data'!$B$110:$AC$110,0))/100)+$BA$15*('US Grid mix, emissions&amp;prices'!$AU$4+INDEX('Year data'!$B$57:$AC$107,MATCH($A136,'Year data'!$A$111:$A$161,0),MATCH('TCO Inputs'!$AZ$12+J$113-1,'Year data'!$B$110:$AC$110,0))/100))/(1+$AZ$41)^J$113</f>
        <v>1140.5262806553872</v>
      </c>
      <c r="K136" s="106">
        <f>VLOOKUP($A136,'VKT US'!$B$63:$AA$113,(K$113+1),FALSE)/VLOOKUP($A136,'Fuel economy adjusted factor'!$A$2:$F$52,5,FALSE)/$AZ$84*($AZ$15*('US Grid mix, emissions&amp;prices'!$AU$3+INDEX('Year data'!$B$3:$AC$53,MATCH('TCO Inputs'!$A136,'Year data'!$A$111:$A$161,0),MATCH('TCO Inputs'!$AZ$12+K$113-1,'Year data'!$B$110:$AC$110,0))/100)+$BA$15*('US Grid mix, emissions&amp;prices'!$AU$4+INDEX('Year data'!$B$57:$AC$107,MATCH($A136,'Year data'!$A$111:$A$161,0),MATCH('TCO Inputs'!$AZ$12+K$113-1,'Year data'!$B$110:$AC$110,0))/100))/(1+$AZ$41)^K$113</f>
        <v>1098.1864872368908</v>
      </c>
      <c r="L136" s="106">
        <f>VLOOKUP($A136,'VKT US'!$B$63:$AA$113,(L$113+1),FALSE)/VLOOKUP($A136,'Fuel economy adjusted factor'!$A$2:$F$52,5,FALSE)/$AZ$84*($AZ$15*('US Grid mix, emissions&amp;prices'!$AU$3+INDEX('Year data'!$B$3:$AC$53,MATCH('TCO Inputs'!$A136,'Year data'!$A$111:$A$161,0),MATCH('TCO Inputs'!$AZ$12+L$113-1,'Year data'!$B$110:$AC$110,0))/100)+$BA$15*('US Grid mix, emissions&amp;prices'!$AU$4+INDEX('Year data'!$B$57:$AC$107,MATCH($A136,'Year data'!$A$111:$A$161,0),MATCH('TCO Inputs'!$AZ$12+L$113-1,'Year data'!$B$110:$AC$110,0))/100))/(1+$AZ$41)^L$113</f>
        <v>1065.0870618700637</v>
      </c>
      <c r="M136" s="106">
        <f>VLOOKUP($A136,'VKT US'!$B$63:$AA$113,(M$113+1),FALSE)/VLOOKUP($A136,'Fuel economy adjusted factor'!$A$2:$F$52,5,FALSE)/$AZ$84*($AZ$15*('US Grid mix, emissions&amp;prices'!$AU$3+INDEX('Year data'!$B$3:$AC$53,MATCH('TCO Inputs'!$A136,'Year data'!$A$111:$A$161,0),MATCH('TCO Inputs'!$AZ$12+M$113-1,'Year data'!$B$110:$AC$110,0))/100)+$BA$15*('US Grid mix, emissions&amp;prices'!$AU$4+INDEX('Year data'!$B$57:$AC$107,MATCH($A136,'Year data'!$A$111:$A$161,0),MATCH('TCO Inputs'!$AZ$12+M$113-1,'Year data'!$B$110:$AC$110,0))/100))/(1+$AZ$41)^M$113</f>
        <v>1031.2371591666699</v>
      </c>
      <c r="N136" s="106">
        <f>VLOOKUP($A136,'VKT US'!$B$63:$AA$113,(N$113+1),FALSE)/VLOOKUP($A136,'Fuel economy adjusted factor'!$A$2:$F$52,5,FALSE)/$AZ$84*($AZ$15*('US Grid mix, emissions&amp;prices'!$AU$3+INDEX('Year data'!$B$3:$AC$53,MATCH('TCO Inputs'!$A136,'Year data'!$A$111:$A$161,0),MATCH('TCO Inputs'!$AZ$12+N$113-1,'Year data'!$B$110:$AC$110,0))/100)+$BA$15*('US Grid mix, emissions&amp;prices'!$AU$4+INDEX('Year data'!$B$57:$AC$107,MATCH($A136,'Year data'!$A$111:$A$161,0),MATCH('TCO Inputs'!$AZ$12+N$113-1,'Year data'!$B$110:$AC$110,0))/100))/(1+$AZ$41)^N$113</f>
        <v>992.58542310768587</v>
      </c>
      <c r="O136" s="106">
        <f>VLOOKUP($A136,'VKT US'!$B$63:$AA$113,(O$113+1),FALSE)/VLOOKUP($A136,'Fuel economy adjusted factor'!$A$2:$F$52,5,FALSE)/$AZ$84*($AZ$15*('US Grid mix, emissions&amp;prices'!$AU$3+INDEX('Year data'!$B$3:$AC$53,MATCH('TCO Inputs'!$A136,'Year data'!$A$111:$A$161,0),MATCH('TCO Inputs'!$AZ$12+O$113-1,'Year data'!$B$110:$AC$110,0))/100)+$BA$15*('US Grid mix, emissions&amp;prices'!$AU$4+INDEX('Year data'!$B$57:$AC$107,MATCH($A136,'Year data'!$A$111:$A$161,0),MATCH('TCO Inputs'!$AZ$12+O$113-1,'Year data'!$B$110:$AC$110,0))/100))/(1+$AZ$41)^O$113</f>
        <v>959.26179635694052</v>
      </c>
      <c r="P136" s="106">
        <f>VLOOKUP($A136,'VKT US'!$B$63:$AA$113,(P$113+1),FALSE)/VLOOKUP($A136,'Fuel economy adjusted factor'!$A$2:$F$52,5,FALSE)/$AZ$84*($AZ$15*('US Grid mix, emissions&amp;prices'!$AU$3+INDEX('Year data'!$B$3:$AC$53,MATCH('TCO Inputs'!$A136,'Year data'!$A$111:$A$161,0),MATCH('TCO Inputs'!$AZ$12+P$113-1,'Year data'!$B$110:$AC$110,0))/100)+$BA$15*('US Grid mix, emissions&amp;prices'!$AU$4+INDEX('Year data'!$B$57:$AC$107,MATCH($A136,'Year data'!$A$111:$A$161,0),MATCH('TCO Inputs'!$AZ$12+P$113-1,'Year data'!$B$110:$AC$110,0))/100))/(1+$AZ$41)^P$113</f>
        <v>928.46189575530434</v>
      </c>
      <c r="Q136" s="106">
        <f>VLOOKUP($A136,'VKT US'!$B$63:$AA$113,(Q$113+1),FALSE)/VLOOKUP($A136,'Fuel economy adjusted factor'!$A$2:$F$52,5,FALSE)/$AZ$84*($AZ$15*('US Grid mix, emissions&amp;prices'!$AU$3+INDEX('Year data'!$B$3:$AC$53,MATCH('TCO Inputs'!$A136,'Year data'!$A$111:$A$161,0),MATCH('TCO Inputs'!$AZ$12+Q$113-1,'Year data'!$B$110:$AC$110,0))/100)+$BA$15*('US Grid mix, emissions&amp;prices'!$AU$4+INDEX('Year data'!$B$57:$AC$107,MATCH($A136,'Year data'!$A$111:$A$161,0),MATCH('TCO Inputs'!$AZ$12+Q$113-1,'Year data'!$B$110:$AC$110,0))/100))/(1+$AZ$41)^Q$113</f>
        <v>901.44351297525395</v>
      </c>
      <c r="R136" s="106">
        <f>VLOOKUP($A136,'VKT US'!$B$63:$AA$113,(R$113+1),FALSE)/VLOOKUP($A136,'Fuel economy adjusted factor'!$A$2:$F$52,5,FALSE)/$AZ$84*($AZ$15*('US Grid mix, emissions&amp;prices'!$AU$3+INDEX('Year data'!$B$3:$AC$53,MATCH('TCO Inputs'!$A136,'Year data'!$A$111:$A$161,0),MATCH('TCO Inputs'!$AZ$12+R$113-1,'Year data'!$B$110:$AC$110,0))/100)+$BA$15*('US Grid mix, emissions&amp;prices'!$AU$4+INDEX('Year data'!$B$57:$AC$107,MATCH($A136,'Year data'!$A$111:$A$161,0),MATCH('TCO Inputs'!$AZ$12+R$113-1,'Year data'!$B$110:$AC$110,0))/100))/(1+$AZ$41)^R$113</f>
        <v>874.16174257111641</v>
      </c>
      <c r="S136" s="106">
        <f>VLOOKUP($A136,'VKT US'!$B$63:$AA$113,(S$113+1),FALSE)/VLOOKUP($A136,'Fuel economy adjusted factor'!$A$2:$F$52,5,FALSE)/$AZ$84*($AZ$15*('US Grid mix, emissions&amp;prices'!$AU$3+INDEX('Year data'!$B$3:$AC$53,MATCH('TCO Inputs'!$A136,'Year data'!$A$111:$A$161,0),MATCH('TCO Inputs'!$AZ$12+S$113-1,'Year data'!$B$110:$AC$110,0))/100)+$BA$15*('US Grid mix, emissions&amp;prices'!$AU$4+INDEX('Year data'!$B$57:$AC$107,MATCH($A136,'Year data'!$A$111:$A$161,0),MATCH('TCO Inputs'!$AZ$12+S$113-1,'Year data'!$B$110:$AC$110,0))/100))/(1+$AZ$41)^S$113</f>
        <v>848.57546469048771</v>
      </c>
      <c r="T136" s="106">
        <f>VLOOKUP($A136,'VKT US'!$B$63:$AA$113,(T$113+1),FALSE)/VLOOKUP($A136,'Fuel economy adjusted factor'!$A$2:$F$52,5,FALSE)/$AZ$84*($AZ$15*('US Grid mix, emissions&amp;prices'!$AU$3+INDEX('Year data'!$B$3:$AC$53,MATCH('TCO Inputs'!$A136,'Year data'!$A$111:$A$161,0),MATCH('TCO Inputs'!$AZ$12+T$113-1,'Year data'!$B$110:$AC$110,0))/100)+$BA$15*('US Grid mix, emissions&amp;prices'!$AU$4+INDEX('Year data'!$B$57:$AC$107,MATCH($A136,'Year data'!$A$111:$A$161,0),MATCH('TCO Inputs'!$AZ$12+T$113-1,'Year data'!$B$110:$AC$110,0))/100))/(1+$AZ$41)^T$113</f>
        <v>823.75021585333195</v>
      </c>
      <c r="U136" s="106">
        <f>VLOOKUP($A136,'VKT US'!$B$63:$AA$113,(U$113+1),FALSE)/VLOOKUP($A136,'Fuel economy adjusted factor'!$A$2:$F$52,5,FALSE)/$AZ$84*($AZ$15*('US Grid mix, emissions&amp;prices'!$AU$3+INDEX('Year data'!$B$3:$AC$53,MATCH('TCO Inputs'!$A136,'Year data'!$A$111:$A$161,0),MATCH('TCO Inputs'!$AZ$12+U$113-1,'Year data'!$B$110:$AC$110,0))/100)+$BA$15*('US Grid mix, emissions&amp;prices'!$AU$4+INDEX('Year data'!$B$57:$AC$107,MATCH($A136,'Year data'!$A$111:$A$161,0),MATCH('TCO Inputs'!$AZ$12+U$113-1,'Year data'!$B$110:$AC$110,0))/100))/(1+$AZ$41)^U$113</f>
        <v>799.38754739987417</v>
      </c>
      <c r="V136" s="110" cm="1">
        <f t="array" ref="V136">SUMPRODUCT(INDEX(B136:U136,,_xlfn.SEQUENCE($AZ$13)))</f>
        <v>17571.750717115723</v>
      </c>
      <c r="Y136" s="102" t="s">
        <v>205</v>
      </c>
      <c r="Z136" s="106">
        <f>VLOOKUP($A136,'VKT US'!$B$63:$AA$113,(Z$113+1),FALSE)/VLOOKUP($A136,'Fuel economy adjusted factor'!$A$2:$F$52,5,FALSE)/$AZ$84</f>
        <v>8518.0803226631942</v>
      </c>
      <c r="AA136" s="106">
        <f>VLOOKUP($A136,'VKT US'!$B$63:$AA$113,(AA$113+1),FALSE)/VLOOKUP($A136,'Fuel economy adjusted factor'!$A$2:$F$52,5,FALSE)/$AZ$84</f>
        <v>8264.7270817638837</v>
      </c>
      <c r="AB136" s="106">
        <f>VLOOKUP($A136,'VKT US'!$B$63:$AA$113,(AB$113+1),FALSE)/VLOOKUP($A136,'Fuel economy adjusted factor'!$A$2:$F$52,5,FALSE)/$AZ$84</f>
        <v>8019.367996524019</v>
      </c>
      <c r="AC136" s="106">
        <f>VLOOKUP($A136,'VKT US'!$B$63:$AA$113,(AC$113+1),FALSE)/VLOOKUP($A136,'Fuel economy adjusted factor'!$A$2:$F$52,5,FALSE)/$AZ$84</f>
        <v>7782.618001994324</v>
      </c>
      <c r="AD136" s="106">
        <f>VLOOKUP($A136,'VKT US'!$B$63:$AA$113,(AD$113+1),FALSE)/VLOOKUP($A136,'Fuel economy adjusted factor'!$A$2:$F$52,5,FALSE)/$AZ$84</f>
        <v>7553.862163124074</v>
      </c>
      <c r="AE136" s="106">
        <f>VLOOKUP($A136,'VKT US'!$B$63:$AA$113,(AE$113+1),FALSE)/VLOOKUP($A136,'Fuel economy adjusted factor'!$A$2:$F$52,5,FALSE)/$AZ$84</f>
        <v>7334.3303500147204</v>
      </c>
      <c r="AF136" s="106">
        <f>VLOOKUP($A136,'VKT US'!$B$63:$AA$113,(AF$113+1),FALSE)/VLOOKUP($A136,'Fuel economy adjusted factor'!$A$2:$F$52,5,FALSE)/$AZ$84</f>
        <v>7122.1777575140859</v>
      </c>
      <c r="AG136" s="106">
        <f>VLOOKUP($A136,'VKT US'!$B$63:$AA$113,(AG$113+1),FALSE)/VLOOKUP($A136,'Fuel economy adjusted factor'!$A$2:$F$52,5,FALSE)/$AZ$84</f>
        <v>6918.6342557236212</v>
      </c>
      <c r="AH136" s="106">
        <f>VLOOKUP($A136,'VKT US'!$B$63:$AA$113,(AH$113+1),FALSE)/VLOOKUP($A136,'Fuel economy adjusted factor'!$A$2:$F$52,5,FALSE)/$AZ$84</f>
        <v>6723.6998446433272</v>
      </c>
      <c r="AI136" s="106">
        <f>VLOOKUP($A136,'VKT US'!$B$63:$AA$113,(AI$113+1),FALSE)/VLOOKUP($A136,'Fuel economy adjusted factor'!$A$2:$F$52,5,FALSE)/$AZ$84</f>
        <v>6537.3745242732048</v>
      </c>
      <c r="AJ136" s="106">
        <f>VLOOKUP($A136,'VKT US'!$B$63:$AA$113,(AJ$113+1),FALSE)/VLOOKUP($A136,'Fuel economy adjusted factor'!$A$2:$F$52,5,FALSE)/$AZ$84</f>
        <v>6359.0433595625236</v>
      </c>
      <c r="AK136" s="106">
        <f>VLOOKUP($A136,'VKT US'!$B$63:$AA$113,(AK$113+1),FALSE)/VLOOKUP($A136,'Fuel economy adjusted factor'!$A$2:$F$52,5,FALSE)/$AZ$84</f>
        <v>6189.3212855620168</v>
      </c>
      <c r="AL136" s="106">
        <f>VLOOKUP($A136,'VKT US'!$B$63:$AA$113,(AL$113+1),FALSE)/VLOOKUP($A136,'Fuel economy adjusted factor'!$A$2:$F$52,5,FALSE)/$AZ$84</f>
        <v>6027.593367220953</v>
      </c>
      <c r="AM136" s="106">
        <f>VLOOKUP($A136,'VKT US'!$B$63:$AA$113,(AM$113+1),FALSE)/VLOOKUP($A136,'Fuel economy adjusted factor'!$A$2:$F$52,5,FALSE)/$AZ$84</f>
        <v>5874.4745395900591</v>
      </c>
      <c r="AN136" s="106">
        <f>VLOOKUP($A136,'VKT US'!$B$63:$AA$113,(AN$113+1),FALSE)/VLOOKUP($A136,'Fuel economy adjusted factor'!$A$2:$F$52,5,FALSE)/$AZ$84</f>
        <v>5729.3498676186091</v>
      </c>
      <c r="AO136" s="106">
        <f>VLOOKUP($A136,'VKT US'!$B$63:$AA$113,(AO$113+1),FALSE)/VLOOKUP($A136,'Fuel economy adjusted factor'!$A$2:$F$52,5,FALSE)/$AZ$84</f>
        <v>5593.4492214080574</v>
      </c>
      <c r="AP136" s="106">
        <f>VLOOKUP($A136,'VKT US'!$B$63:$AA$113,(AP$113+1),FALSE)/VLOOKUP($A136,'Fuel economy adjusted factor'!$A$2:$F$52,5,FALSE)/$AZ$84</f>
        <v>5464.9277958062221</v>
      </c>
      <c r="AQ136" s="106">
        <f>VLOOKUP($A136,'VKT US'!$B$63:$AA$113,(AQ$113+1),FALSE)/VLOOKUP($A136,'Fuel economy adjusted factor'!$A$2:$F$52,5,FALSE)/$AZ$84</f>
        <v>5345.630395965286</v>
      </c>
      <c r="AR136" s="106">
        <f>VLOOKUP($A136,'VKT US'!$B$63:$AA$113,(AR$113+1),FALSE)/VLOOKUP($A136,'Fuel economy adjusted factor'!$A$2:$F$52,5,FALSE)/$AZ$84</f>
        <v>5233.7122167330672</v>
      </c>
      <c r="AS136" s="106">
        <f>VLOOKUP($A136,'VKT US'!$B$63:$AA$113,(AS$113+1),FALSE)/VLOOKUP($A136,'Fuel economy adjusted factor'!$A$2:$F$52,5,FALSE)/$AZ$84</f>
        <v>5131.0180632617448</v>
      </c>
      <c r="AT136" s="110" cm="1">
        <f t="array" ref="AT136">SUMPRODUCT(INDEX(Z136:AS136,,_xlfn.SEQUENCE($AZ$13)))</f>
        <v>99225.304850174012</v>
      </c>
    </row>
    <row r="137" spans="1:46" x14ac:dyDescent="0.25">
      <c r="A137" s="102" t="s">
        <v>207</v>
      </c>
      <c r="B137" s="106">
        <f>VLOOKUP($A137,'VKT US'!$B$63:$AA$113,(B$113+1),FALSE)/VLOOKUP($A137,'Fuel economy adjusted factor'!$A$2:$F$52,5,FALSE)/$AZ$84*($AZ$15*('US Grid mix, emissions&amp;prices'!$AU$3+INDEX('Year data'!$B$3:$AC$53,MATCH('TCO Inputs'!$A137,'Year data'!$A$111:$A$161,0),MATCH('TCO Inputs'!$AZ$12+B$113-1,'Year data'!$B$110:$AC$110,0))/100)+$BA$15*('US Grid mix, emissions&amp;prices'!$AU$4+INDEX('Year data'!$B$57:$AC$107,MATCH($A137,'Year data'!$A$111:$A$161,0),MATCH('TCO Inputs'!$AZ$12+B$113-1,'Year data'!$B$110:$AC$110,0))/100))/(1+$AZ$41)^B$113</f>
        <v>1516.4869195204542</v>
      </c>
      <c r="C137" s="106">
        <f>VLOOKUP($A137,'VKT US'!$B$63:$AA$113,(C$113+1),FALSE)/VLOOKUP($A137,'Fuel economy adjusted factor'!$A$2:$F$52,5,FALSE)/$AZ$84*($AZ$15*('US Grid mix, emissions&amp;prices'!$AU$3+INDEX('Year data'!$B$3:$AC$53,MATCH('TCO Inputs'!$A137,'Year data'!$A$111:$A$161,0),MATCH('TCO Inputs'!$AZ$12+C$113-1,'Year data'!$B$110:$AC$110,0))/100)+$BA$15*('US Grid mix, emissions&amp;prices'!$AU$4+INDEX('Year data'!$B$57:$AC$107,MATCH($A137,'Year data'!$A$111:$A$161,0),MATCH('TCO Inputs'!$AZ$12+C$113-1,'Year data'!$B$110:$AC$110,0))/100))/(1+$AZ$41)^C$113</f>
        <v>1428.7905387093285</v>
      </c>
      <c r="D137" s="106">
        <f>VLOOKUP($A137,'VKT US'!$B$63:$AA$113,(D$113+1),FALSE)/VLOOKUP($A137,'Fuel economy adjusted factor'!$A$2:$F$52,5,FALSE)/$AZ$84*($AZ$15*('US Grid mix, emissions&amp;prices'!$AU$3+INDEX('Year data'!$B$3:$AC$53,MATCH('TCO Inputs'!$A137,'Year data'!$A$111:$A$161,0),MATCH('TCO Inputs'!$AZ$12+D$113-1,'Year data'!$B$110:$AC$110,0))/100)+$BA$15*('US Grid mix, emissions&amp;prices'!$AU$4+INDEX('Year data'!$B$57:$AC$107,MATCH($A137,'Year data'!$A$111:$A$161,0),MATCH('TCO Inputs'!$AZ$12+D$113-1,'Year data'!$B$110:$AC$110,0))/100))/(1+$AZ$41)^D$113</f>
        <v>1340.970603336124</v>
      </c>
      <c r="E137" s="106">
        <f>VLOOKUP($A137,'VKT US'!$B$63:$AA$113,(E$113+1),FALSE)/VLOOKUP($A137,'Fuel economy adjusted factor'!$A$2:$F$52,5,FALSE)/$AZ$84*($AZ$15*('US Grid mix, emissions&amp;prices'!$AU$3+INDEX('Year data'!$B$3:$AC$53,MATCH('TCO Inputs'!$A137,'Year data'!$A$111:$A$161,0),MATCH('TCO Inputs'!$AZ$12+E$113-1,'Year data'!$B$110:$AC$110,0))/100)+$BA$15*('US Grid mix, emissions&amp;prices'!$AU$4+INDEX('Year data'!$B$57:$AC$107,MATCH($A137,'Year data'!$A$111:$A$161,0),MATCH('TCO Inputs'!$AZ$12+E$113-1,'Year data'!$B$110:$AC$110,0))/100))/(1+$AZ$41)^E$113</f>
        <v>1270.0099520516487</v>
      </c>
      <c r="F137" s="106">
        <f>VLOOKUP($A137,'VKT US'!$B$63:$AA$113,(F$113+1),FALSE)/VLOOKUP($A137,'Fuel economy adjusted factor'!$A$2:$F$52,5,FALSE)/$AZ$84*($AZ$15*('US Grid mix, emissions&amp;prices'!$AU$3+INDEX('Year data'!$B$3:$AC$53,MATCH('TCO Inputs'!$A137,'Year data'!$A$111:$A$161,0),MATCH('TCO Inputs'!$AZ$12+F$113-1,'Year data'!$B$110:$AC$110,0))/100)+$BA$15*('US Grid mix, emissions&amp;prices'!$AU$4+INDEX('Year data'!$B$57:$AC$107,MATCH($A137,'Year data'!$A$111:$A$161,0),MATCH('TCO Inputs'!$AZ$12+F$113-1,'Year data'!$B$110:$AC$110,0))/100))/(1+$AZ$41)^F$113</f>
        <v>1206.5882991528326</v>
      </c>
      <c r="G137" s="106">
        <f>VLOOKUP($A137,'VKT US'!$B$63:$AA$113,(G$113+1),FALSE)/VLOOKUP($A137,'Fuel economy adjusted factor'!$A$2:$F$52,5,FALSE)/$AZ$84*($AZ$15*('US Grid mix, emissions&amp;prices'!$AU$3+INDEX('Year data'!$B$3:$AC$53,MATCH('TCO Inputs'!$A137,'Year data'!$A$111:$A$161,0),MATCH('TCO Inputs'!$AZ$12+G$113-1,'Year data'!$B$110:$AC$110,0))/100)+$BA$15*('US Grid mix, emissions&amp;prices'!$AU$4+INDEX('Year data'!$B$57:$AC$107,MATCH($A137,'Year data'!$A$111:$A$161,0),MATCH('TCO Inputs'!$AZ$12+G$113-1,'Year data'!$B$110:$AC$110,0))/100))/(1+$AZ$41)^G$113</f>
        <v>1149.6603630401269</v>
      </c>
      <c r="H137" s="106">
        <f>VLOOKUP($A137,'VKT US'!$B$63:$AA$113,(H$113+1),FALSE)/VLOOKUP($A137,'Fuel economy adjusted factor'!$A$2:$F$52,5,FALSE)/$AZ$84*($AZ$15*('US Grid mix, emissions&amp;prices'!$AU$3+INDEX('Year data'!$B$3:$AC$53,MATCH('TCO Inputs'!$A137,'Year data'!$A$111:$A$161,0),MATCH('TCO Inputs'!$AZ$12+H$113-1,'Year data'!$B$110:$AC$110,0))/100)+$BA$15*('US Grid mix, emissions&amp;prices'!$AU$4+INDEX('Year data'!$B$57:$AC$107,MATCH($A137,'Year data'!$A$111:$A$161,0),MATCH('TCO Inputs'!$AZ$12+H$113-1,'Year data'!$B$110:$AC$110,0))/100))/(1+$AZ$41)^H$113</f>
        <v>1100.5109228288748</v>
      </c>
      <c r="I137" s="106">
        <f>VLOOKUP($A137,'VKT US'!$B$63:$AA$113,(I$113+1),FALSE)/VLOOKUP($A137,'Fuel economy adjusted factor'!$A$2:$F$52,5,FALSE)/$AZ$84*($AZ$15*('US Grid mix, emissions&amp;prices'!$AU$3+INDEX('Year data'!$B$3:$AC$53,MATCH('TCO Inputs'!$A137,'Year data'!$A$111:$A$161,0),MATCH('TCO Inputs'!$AZ$12+I$113-1,'Year data'!$B$110:$AC$110,0))/100)+$BA$15*('US Grid mix, emissions&amp;prices'!$AU$4+INDEX('Year data'!$B$57:$AC$107,MATCH($A137,'Year data'!$A$111:$A$161,0),MATCH('TCO Inputs'!$AZ$12+I$113-1,'Year data'!$B$110:$AC$110,0))/100))/(1+$AZ$41)^I$113</f>
        <v>1057.5084312088145</v>
      </c>
      <c r="J137" s="106">
        <f>VLOOKUP($A137,'VKT US'!$B$63:$AA$113,(J$113+1),FALSE)/VLOOKUP($A137,'Fuel economy adjusted factor'!$A$2:$F$52,5,FALSE)/$AZ$84*($AZ$15*('US Grid mix, emissions&amp;prices'!$AU$3+INDEX('Year data'!$B$3:$AC$53,MATCH('TCO Inputs'!$A137,'Year data'!$A$111:$A$161,0),MATCH('TCO Inputs'!$AZ$12+J$113-1,'Year data'!$B$110:$AC$110,0))/100)+$BA$15*('US Grid mix, emissions&amp;prices'!$AU$4+INDEX('Year data'!$B$57:$AC$107,MATCH($A137,'Year data'!$A$111:$A$161,0),MATCH('TCO Inputs'!$AZ$12+J$113-1,'Year data'!$B$110:$AC$110,0))/100))/(1+$AZ$41)^J$113</f>
        <v>1017.9373260313447</v>
      </c>
      <c r="K137" s="106">
        <f>VLOOKUP($A137,'VKT US'!$B$63:$AA$113,(K$113+1),FALSE)/VLOOKUP($A137,'Fuel economy adjusted factor'!$A$2:$F$52,5,FALSE)/$AZ$84*($AZ$15*('US Grid mix, emissions&amp;prices'!$AU$3+INDEX('Year data'!$B$3:$AC$53,MATCH('TCO Inputs'!$A137,'Year data'!$A$111:$A$161,0),MATCH('TCO Inputs'!$AZ$12+K$113-1,'Year data'!$B$110:$AC$110,0))/100)+$BA$15*('US Grid mix, emissions&amp;prices'!$AU$4+INDEX('Year data'!$B$57:$AC$107,MATCH($A137,'Year data'!$A$111:$A$161,0),MATCH('TCO Inputs'!$AZ$12+K$113-1,'Year data'!$B$110:$AC$110,0))/100))/(1+$AZ$41)^K$113</f>
        <v>980.03983355058995</v>
      </c>
      <c r="L137" s="106">
        <f>VLOOKUP($A137,'VKT US'!$B$63:$AA$113,(L$113+1),FALSE)/VLOOKUP($A137,'Fuel economy adjusted factor'!$A$2:$F$52,5,FALSE)/$AZ$84*($AZ$15*('US Grid mix, emissions&amp;prices'!$AU$3+INDEX('Year data'!$B$3:$AC$53,MATCH('TCO Inputs'!$A137,'Year data'!$A$111:$A$161,0),MATCH('TCO Inputs'!$AZ$12+L$113-1,'Year data'!$B$110:$AC$110,0))/100)+$BA$15*('US Grid mix, emissions&amp;prices'!$AU$4+INDEX('Year data'!$B$57:$AC$107,MATCH($A137,'Year data'!$A$111:$A$161,0),MATCH('TCO Inputs'!$AZ$12+L$113-1,'Year data'!$B$110:$AC$110,0))/100))/(1+$AZ$41)^L$113</f>
        <v>950.27823153800045</v>
      </c>
      <c r="M137" s="106">
        <f>VLOOKUP($A137,'VKT US'!$B$63:$AA$113,(M$113+1),FALSE)/VLOOKUP($A137,'Fuel economy adjusted factor'!$A$2:$F$52,5,FALSE)/$AZ$84*($AZ$15*('US Grid mix, emissions&amp;prices'!$AU$3+INDEX('Year data'!$B$3:$AC$53,MATCH('TCO Inputs'!$A137,'Year data'!$A$111:$A$161,0),MATCH('TCO Inputs'!$AZ$12+M$113-1,'Year data'!$B$110:$AC$110,0))/100)+$BA$15*('US Grid mix, emissions&amp;prices'!$AU$4+INDEX('Year data'!$B$57:$AC$107,MATCH($A137,'Year data'!$A$111:$A$161,0),MATCH('TCO Inputs'!$AZ$12+M$113-1,'Year data'!$B$110:$AC$110,0))/100))/(1+$AZ$41)^M$113</f>
        <v>919.9048062096299</v>
      </c>
      <c r="N137" s="106">
        <f>VLOOKUP($A137,'VKT US'!$B$63:$AA$113,(N$113+1),FALSE)/VLOOKUP($A137,'Fuel economy adjusted factor'!$A$2:$F$52,5,FALSE)/$AZ$84*($AZ$15*('US Grid mix, emissions&amp;prices'!$AU$3+INDEX('Year data'!$B$3:$AC$53,MATCH('TCO Inputs'!$A137,'Year data'!$A$111:$A$161,0),MATCH('TCO Inputs'!$AZ$12+N$113-1,'Year data'!$B$110:$AC$110,0))/100)+$BA$15*('US Grid mix, emissions&amp;prices'!$AU$4+INDEX('Year data'!$B$57:$AC$107,MATCH($A137,'Year data'!$A$111:$A$161,0),MATCH('TCO Inputs'!$AZ$12+N$113-1,'Year data'!$B$110:$AC$110,0))/100))/(1+$AZ$41)^N$113</f>
        <v>885.38861758956773</v>
      </c>
      <c r="O137" s="106">
        <f>VLOOKUP($A137,'VKT US'!$B$63:$AA$113,(O$113+1),FALSE)/VLOOKUP($A137,'Fuel economy adjusted factor'!$A$2:$F$52,5,FALSE)/$AZ$84*($AZ$15*('US Grid mix, emissions&amp;prices'!$AU$3+INDEX('Year data'!$B$3:$AC$53,MATCH('TCO Inputs'!$A137,'Year data'!$A$111:$A$161,0),MATCH('TCO Inputs'!$AZ$12+O$113-1,'Year data'!$B$110:$AC$110,0))/100)+$BA$15*('US Grid mix, emissions&amp;prices'!$AU$4+INDEX('Year data'!$B$57:$AC$107,MATCH($A137,'Year data'!$A$111:$A$161,0),MATCH('TCO Inputs'!$AZ$12+O$113-1,'Year data'!$B$110:$AC$110,0))/100))/(1+$AZ$41)^O$113</f>
        <v>855.57032105104895</v>
      </c>
      <c r="P137" s="106">
        <f>VLOOKUP($A137,'VKT US'!$B$63:$AA$113,(P$113+1),FALSE)/VLOOKUP($A137,'Fuel economy adjusted factor'!$A$2:$F$52,5,FALSE)/$AZ$84*($AZ$15*('US Grid mix, emissions&amp;prices'!$AU$3+INDEX('Year data'!$B$3:$AC$53,MATCH('TCO Inputs'!$A137,'Year data'!$A$111:$A$161,0),MATCH('TCO Inputs'!$AZ$12+P$113-1,'Year data'!$B$110:$AC$110,0))/100)+$BA$15*('US Grid mix, emissions&amp;prices'!$AU$4+INDEX('Year data'!$B$57:$AC$107,MATCH($A137,'Year data'!$A$111:$A$161,0),MATCH('TCO Inputs'!$AZ$12+P$113-1,'Year data'!$B$110:$AC$110,0))/100))/(1+$AZ$41)^P$113</f>
        <v>827.98634601479046</v>
      </c>
      <c r="Q137" s="106">
        <f>VLOOKUP($A137,'VKT US'!$B$63:$AA$113,(Q$113+1),FALSE)/VLOOKUP($A137,'Fuel economy adjusted factor'!$A$2:$F$52,5,FALSE)/$AZ$84*($AZ$15*('US Grid mix, emissions&amp;prices'!$AU$3+INDEX('Year data'!$B$3:$AC$53,MATCH('TCO Inputs'!$A137,'Year data'!$A$111:$A$161,0),MATCH('TCO Inputs'!$AZ$12+Q$113-1,'Year data'!$B$110:$AC$110,0))/100)+$BA$15*('US Grid mix, emissions&amp;prices'!$AU$4+INDEX('Year data'!$B$57:$AC$107,MATCH($A137,'Year data'!$A$111:$A$161,0),MATCH('TCO Inputs'!$AZ$12+Q$113-1,'Year data'!$B$110:$AC$110,0))/100))/(1+$AZ$41)^Q$113</f>
        <v>803.75904545558524</v>
      </c>
      <c r="R137" s="106">
        <f>VLOOKUP($A137,'VKT US'!$B$63:$AA$113,(R$113+1),FALSE)/VLOOKUP($A137,'Fuel economy adjusted factor'!$A$2:$F$52,5,FALSE)/$AZ$84*($AZ$15*('US Grid mix, emissions&amp;prices'!$AU$3+INDEX('Year data'!$B$3:$AC$53,MATCH('TCO Inputs'!$A137,'Year data'!$A$111:$A$161,0),MATCH('TCO Inputs'!$AZ$12+R$113-1,'Year data'!$B$110:$AC$110,0))/100)+$BA$15*('US Grid mix, emissions&amp;prices'!$AU$4+INDEX('Year data'!$B$57:$AC$107,MATCH($A137,'Year data'!$A$111:$A$161,0),MATCH('TCO Inputs'!$AZ$12+R$113-1,'Year data'!$B$110:$AC$110,0))/100))/(1+$AZ$41)^R$113</f>
        <v>779.34142501278939</v>
      </c>
      <c r="S137" s="106">
        <f>VLOOKUP($A137,'VKT US'!$B$63:$AA$113,(S$113+1),FALSE)/VLOOKUP($A137,'Fuel economy adjusted factor'!$A$2:$F$52,5,FALSE)/$AZ$84*($AZ$15*('US Grid mix, emissions&amp;prices'!$AU$3+INDEX('Year data'!$B$3:$AC$53,MATCH('TCO Inputs'!$A137,'Year data'!$A$111:$A$161,0),MATCH('TCO Inputs'!$AZ$12+S$113-1,'Year data'!$B$110:$AC$110,0))/100)+$BA$15*('US Grid mix, emissions&amp;prices'!$AU$4+INDEX('Year data'!$B$57:$AC$107,MATCH($A137,'Year data'!$A$111:$A$161,0),MATCH('TCO Inputs'!$AZ$12+S$113-1,'Year data'!$B$110:$AC$110,0))/100))/(1+$AZ$41)^S$113</f>
        <v>756.43626383308413</v>
      </c>
      <c r="T137" s="106">
        <f>VLOOKUP($A137,'VKT US'!$B$63:$AA$113,(T$113+1),FALSE)/VLOOKUP($A137,'Fuel economy adjusted factor'!$A$2:$F$52,5,FALSE)/$AZ$84*($AZ$15*('US Grid mix, emissions&amp;prices'!$AU$3+INDEX('Year data'!$B$3:$AC$53,MATCH('TCO Inputs'!$A137,'Year data'!$A$111:$A$161,0),MATCH('TCO Inputs'!$AZ$12+T$113-1,'Year data'!$B$110:$AC$110,0))/100)+$BA$15*('US Grid mix, emissions&amp;prices'!$AU$4+INDEX('Year data'!$B$57:$AC$107,MATCH($A137,'Year data'!$A$111:$A$161,0),MATCH('TCO Inputs'!$AZ$12+T$113-1,'Year data'!$B$110:$AC$110,0))/100))/(1+$AZ$41)^T$113</f>
        <v>734.23350610288094</v>
      </c>
      <c r="U137" s="106">
        <f>VLOOKUP($A137,'VKT US'!$B$63:$AA$113,(U$113+1),FALSE)/VLOOKUP($A137,'Fuel economy adjusted factor'!$A$2:$F$52,5,FALSE)/$AZ$84*($AZ$15*('US Grid mix, emissions&amp;prices'!$AU$3+INDEX('Year data'!$B$3:$AC$53,MATCH('TCO Inputs'!$A137,'Year data'!$A$111:$A$161,0),MATCH('TCO Inputs'!$AZ$12+U$113-1,'Year data'!$B$110:$AC$110,0))/100)+$BA$15*('US Grid mix, emissions&amp;prices'!$AU$4+INDEX('Year data'!$B$57:$AC$107,MATCH($A137,'Year data'!$A$111:$A$161,0),MATCH('TCO Inputs'!$AZ$12+U$113-1,'Year data'!$B$110:$AC$110,0))/100))/(1+$AZ$41)^U$113</f>
        <v>712.47120274248095</v>
      </c>
      <c r="V137" s="110" cm="1">
        <f t="array" ref="V137">SUMPRODUCT(INDEX(B137:U137,,_xlfn.SEQUENCE($AZ$13)))</f>
        <v>15679.645165818385</v>
      </c>
      <c r="Y137" s="102" t="s">
        <v>207</v>
      </c>
      <c r="Z137" s="106">
        <f>VLOOKUP($A137,'VKT US'!$B$63:$AA$113,(Z$113+1),FALSE)/VLOOKUP($A137,'Fuel economy adjusted factor'!$A$2:$F$52,5,FALSE)/$AZ$84</f>
        <v>7891.2080836553559</v>
      </c>
      <c r="AA137" s="106">
        <f>VLOOKUP($A137,'VKT US'!$B$63:$AA$113,(AA$113+1),FALSE)/VLOOKUP($A137,'Fuel economy adjusted factor'!$A$2:$F$52,5,FALSE)/$AZ$84</f>
        <v>7656.4999021316753</v>
      </c>
      <c r="AB137" s="106">
        <f>VLOOKUP($A137,'VKT US'!$B$63:$AA$113,(AB$113+1),FALSE)/VLOOKUP($A137,'Fuel economy adjusted factor'!$A$2:$F$52,5,FALSE)/$AZ$84</f>
        <v>7429.1975612871411</v>
      </c>
      <c r="AC137" s="106">
        <f>VLOOKUP($A137,'VKT US'!$B$63:$AA$113,(AC$113+1),FALSE)/VLOOKUP($A137,'Fuel economy adjusted factor'!$A$2:$F$52,5,FALSE)/$AZ$84</f>
        <v>7209.8707411739942</v>
      </c>
      <c r="AD137" s="106">
        <f>VLOOKUP($A137,'VKT US'!$B$63:$AA$113,(AD$113+1),FALSE)/VLOOKUP($A137,'Fuel economy adjusted factor'!$A$2:$F$52,5,FALSE)/$AZ$84</f>
        <v>6997.949761739992</v>
      </c>
      <c r="AE137" s="106">
        <f>VLOOKUP($A137,'VKT US'!$B$63:$AA$113,(AE$113+1),FALSE)/VLOOKUP($A137,'Fuel economy adjusted factor'!$A$2:$F$52,5,FALSE)/$AZ$84</f>
        <v>6794.5739830896191</v>
      </c>
      <c r="AF137" s="106">
        <f>VLOOKUP($A137,'VKT US'!$B$63:$AA$113,(AF$113+1),FALSE)/VLOOKUP($A137,'Fuel economy adjusted factor'!$A$2:$F$52,5,FALSE)/$AZ$84</f>
        <v>6598.0343650661507</v>
      </c>
      <c r="AG137" s="106">
        <f>VLOOKUP($A137,'VKT US'!$B$63:$AA$113,(AG$113+1),FALSE)/VLOOKUP($A137,'Fuel economy adjusted factor'!$A$2:$F$52,5,FALSE)/$AZ$84</f>
        <v>6409.4702677740679</v>
      </c>
      <c r="AH137" s="106">
        <f>VLOOKUP($A137,'VKT US'!$B$63:$AA$113,(AH$113+1),FALSE)/VLOOKUP($A137,'Fuel economy adjusted factor'!$A$2:$F$52,5,FALSE)/$AZ$84</f>
        <v>6228.8816912133734</v>
      </c>
      <c r="AI137" s="106">
        <f>VLOOKUP($A137,'VKT US'!$B$63:$AA$113,(AI$113+1),FALSE)/VLOOKUP($A137,'Fuel economy adjusted factor'!$A$2:$F$52,5,FALSE)/$AZ$84</f>
        <v>6056.2686353840654</v>
      </c>
      <c r="AJ137" s="106">
        <f>VLOOKUP($A137,'VKT US'!$B$63:$AA$113,(AJ$113+1),FALSE)/VLOOKUP($A137,'Fuel economy adjusted factor'!$A$2:$F$52,5,FALSE)/$AZ$84</f>
        <v>5891.061420233902</v>
      </c>
      <c r="AK137" s="106">
        <f>VLOOKUP($A137,'VKT US'!$B$63:$AA$113,(AK$113+1),FALSE)/VLOOKUP($A137,'Fuel economy adjusted factor'!$A$2:$F$52,5,FALSE)/$AZ$84</f>
        <v>5733.8297258151269</v>
      </c>
      <c r="AL137" s="106">
        <f>VLOOKUP($A137,'VKT US'!$B$63:$AA$113,(AL$113+1),FALSE)/VLOOKUP($A137,'Fuel economy adjusted factor'!$A$2:$F$52,5,FALSE)/$AZ$84</f>
        <v>5584.0038720754974</v>
      </c>
      <c r="AM137" s="106">
        <f>VLOOKUP($A137,'VKT US'!$B$63:$AA$113,(AM$113+1),FALSE)/VLOOKUP($A137,'Fuel economy adjusted factor'!$A$2:$F$52,5,FALSE)/$AZ$84</f>
        <v>5442.1535390672534</v>
      </c>
      <c r="AN137" s="106">
        <f>VLOOKUP($A137,'VKT US'!$B$63:$AA$113,(AN$113+1),FALSE)/VLOOKUP($A137,'Fuel economy adjusted factor'!$A$2:$F$52,5,FALSE)/$AZ$84</f>
        <v>5307.7090467381558</v>
      </c>
      <c r="AO137" s="106">
        <f>VLOOKUP($A137,'VKT US'!$B$63:$AA$113,(AO$113+1),FALSE)/VLOOKUP($A137,'Fuel economy adjusted factor'!$A$2:$F$52,5,FALSE)/$AZ$84</f>
        <v>5181.8097551926867</v>
      </c>
      <c r="AP137" s="106">
        <f>VLOOKUP($A137,'VKT US'!$B$63:$AA$113,(AP$113+1),FALSE)/VLOOKUP($A137,'Fuel economy adjusted factor'!$A$2:$F$52,5,FALSE)/$AZ$84</f>
        <v>5062.7466242741211</v>
      </c>
      <c r="AQ137" s="106">
        <f>VLOOKUP($A137,'VKT US'!$B$63:$AA$113,(AQ$113+1),FALSE)/VLOOKUP($A137,'Fuel economy adjusted factor'!$A$2:$F$52,5,FALSE)/$AZ$84</f>
        <v>4952.2286941391849</v>
      </c>
      <c r="AR137" s="106">
        <f>VLOOKUP($A137,'VKT US'!$B$63:$AA$113,(AR$113+1),FALSE)/VLOOKUP($A137,'Fuel economy adjusted factor'!$A$2:$F$52,5,FALSE)/$AZ$84</f>
        <v>4848.5469246311523</v>
      </c>
      <c r="AS137" s="106">
        <f>VLOOKUP($A137,'VKT US'!$B$63:$AA$113,(AS$113+1),FALSE)/VLOOKUP($A137,'Fuel economy adjusted factor'!$A$2:$F$52,5,FALSE)/$AZ$84</f>
        <v>4753.410355906748</v>
      </c>
      <c r="AT137" s="110" cm="1">
        <f t="array" ref="AT137">SUMPRODUCT(INDEX(Z137:AS137,,_xlfn.SEQUENCE($AZ$13)))</f>
        <v>91923.003549707224</v>
      </c>
    </row>
    <row r="138" spans="1:46" x14ac:dyDescent="0.25">
      <c r="A138" s="102" t="s">
        <v>206</v>
      </c>
      <c r="B138" s="106">
        <f>VLOOKUP($A138,'VKT US'!$B$63:$AA$113,(B$113+1),FALSE)/VLOOKUP($A138,'Fuel economy adjusted factor'!$A$2:$F$52,5,FALSE)/$AZ$84*($AZ$15*('US Grid mix, emissions&amp;prices'!$AU$3+INDEX('Year data'!$B$3:$AC$53,MATCH('TCO Inputs'!$A138,'Year data'!$A$111:$A$161,0),MATCH('TCO Inputs'!$AZ$12+B$113-1,'Year data'!$B$110:$AC$110,0))/100)+$BA$15*('US Grid mix, emissions&amp;prices'!$AU$4+INDEX('Year data'!$B$57:$AC$107,MATCH($A138,'Year data'!$A$111:$A$161,0),MATCH('TCO Inputs'!$AZ$12+B$113-1,'Year data'!$B$110:$AC$110,0))/100))/(1+$AZ$41)^B$113</f>
        <v>1435.5062122464731</v>
      </c>
      <c r="C138" s="106">
        <f>VLOOKUP($A138,'VKT US'!$B$63:$AA$113,(C$113+1),FALSE)/VLOOKUP($A138,'Fuel economy adjusted factor'!$A$2:$F$52,5,FALSE)/$AZ$84*($AZ$15*('US Grid mix, emissions&amp;prices'!$AU$3+INDEX('Year data'!$B$3:$AC$53,MATCH('TCO Inputs'!$A138,'Year data'!$A$111:$A$161,0),MATCH('TCO Inputs'!$AZ$12+C$113-1,'Year data'!$B$110:$AC$110,0))/100)+$BA$15*('US Grid mix, emissions&amp;prices'!$AU$4+INDEX('Year data'!$B$57:$AC$107,MATCH($A138,'Year data'!$A$111:$A$161,0),MATCH('TCO Inputs'!$AZ$12+C$113-1,'Year data'!$B$110:$AC$110,0))/100))/(1+$AZ$41)^C$113</f>
        <v>1353.4675157119273</v>
      </c>
      <c r="D138" s="106">
        <f>VLOOKUP($A138,'VKT US'!$B$63:$AA$113,(D$113+1),FALSE)/VLOOKUP($A138,'Fuel economy adjusted factor'!$A$2:$F$52,5,FALSE)/$AZ$84*($AZ$15*('US Grid mix, emissions&amp;prices'!$AU$3+INDEX('Year data'!$B$3:$AC$53,MATCH('TCO Inputs'!$A138,'Year data'!$A$111:$A$161,0),MATCH('TCO Inputs'!$AZ$12+D$113-1,'Year data'!$B$110:$AC$110,0))/100)+$BA$15*('US Grid mix, emissions&amp;prices'!$AU$4+INDEX('Year data'!$B$57:$AC$107,MATCH($A138,'Year data'!$A$111:$A$161,0),MATCH('TCO Inputs'!$AZ$12+D$113-1,'Year data'!$B$110:$AC$110,0))/100))/(1+$AZ$41)^D$113</f>
        <v>1271.1951088563806</v>
      </c>
      <c r="E138" s="106">
        <f>VLOOKUP($A138,'VKT US'!$B$63:$AA$113,(E$113+1),FALSE)/VLOOKUP($A138,'Fuel economy adjusted factor'!$A$2:$F$52,5,FALSE)/$AZ$84*($AZ$15*('US Grid mix, emissions&amp;prices'!$AU$3+INDEX('Year data'!$B$3:$AC$53,MATCH('TCO Inputs'!$A138,'Year data'!$A$111:$A$161,0),MATCH('TCO Inputs'!$AZ$12+E$113-1,'Year data'!$B$110:$AC$110,0))/100)+$BA$15*('US Grid mix, emissions&amp;prices'!$AU$4+INDEX('Year data'!$B$57:$AC$107,MATCH($A138,'Year data'!$A$111:$A$161,0),MATCH('TCO Inputs'!$AZ$12+E$113-1,'Year data'!$B$110:$AC$110,0))/100))/(1+$AZ$41)^E$113</f>
        <v>1204.4293952107448</v>
      </c>
      <c r="F138" s="106">
        <f>VLOOKUP($A138,'VKT US'!$B$63:$AA$113,(F$113+1),FALSE)/VLOOKUP($A138,'Fuel economy adjusted factor'!$A$2:$F$52,5,FALSE)/$AZ$84*($AZ$15*('US Grid mix, emissions&amp;prices'!$AU$3+INDEX('Year data'!$B$3:$AC$53,MATCH('TCO Inputs'!$A138,'Year data'!$A$111:$A$161,0),MATCH('TCO Inputs'!$AZ$12+F$113-1,'Year data'!$B$110:$AC$110,0))/100)+$BA$15*('US Grid mix, emissions&amp;prices'!$AU$4+INDEX('Year data'!$B$57:$AC$107,MATCH($A138,'Year data'!$A$111:$A$161,0),MATCH('TCO Inputs'!$AZ$12+F$113-1,'Year data'!$B$110:$AC$110,0))/100))/(1+$AZ$41)^F$113</f>
        <v>1144.6385780955036</v>
      </c>
      <c r="G138" s="106">
        <f>VLOOKUP($A138,'VKT US'!$B$63:$AA$113,(G$113+1),FALSE)/VLOOKUP($A138,'Fuel economy adjusted factor'!$A$2:$F$52,5,FALSE)/$AZ$84*($AZ$15*('US Grid mix, emissions&amp;prices'!$AU$3+INDEX('Year data'!$B$3:$AC$53,MATCH('TCO Inputs'!$A138,'Year data'!$A$111:$A$161,0),MATCH('TCO Inputs'!$AZ$12+G$113-1,'Year data'!$B$110:$AC$110,0))/100)+$BA$15*('US Grid mix, emissions&amp;prices'!$AU$4+INDEX('Year data'!$B$57:$AC$107,MATCH($A138,'Year data'!$A$111:$A$161,0),MATCH('TCO Inputs'!$AZ$12+G$113-1,'Year data'!$B$110:$AC$110,0))/100))/(1+$AZ$41)^G$113</f>
        <v>1090.9173274108557</v>
      </c>
      <c r="H138" s="106">
        <f>VLOOKUP($A138,'VKT US'!$B$63:$AA$113,(H$113+1),FALSE)/VLOOKUP($A138,'Fuel economy adjusted factor'!$A$2:$F$52,5,FALSE)/$AZ$84*($AZ$15*('US Grid mix, emissions&amp;prices'!$AU$3+INDEX('Year data'!$B$3:$AC$53,MATCH('TCO Inputs'!$A138,'Year data'!$A$111:$A$161,0),MATCH('TCO Inputs'!$AZ$12+H$113-1,'Year data'!$B$110:$AC$110,0))/100)+$BA$15*('US Grid mix, emissions&amp;prices'!$AU$4+INDEX('Year data'!$B$57:$AC$107,MATCH($A138,'Year data'!$A$111:$A$161,0),MATCH('TCO Inputs'!$AZ$12+H$113-1,'Year data'!$B$110:$AC$110,0))/100))/(1+$AZ$41)^H$113</f>
        <v>1044.4078767874007</v>
      </c>
      <c r="I138" s="106">
        <f>VLOOKUP($A138,'VKT US'!$B$63:$AA$113,(I$113+1),FALSE)/VLOOKUP($A138,'Fuel economy adjusted factor'!$A$2:$F$52,5,FALSE)/$AZ$84*($AZ$15*('US Grid mix, emissions&amp;prices'!$AU$3+INDEX('Year data'!$B$3:$AC$53,MATCH('TCO Inputs'!$A138,'Year data'!$A$111:$A$161,0),MATCH('TCO Inputs'!$AZ$12+I$113-1,'Year data'!$B$110:$AC$110,0))/100)+$BA$15*('US Grid mix, emissions&amp;prices'!$AU$4+INDEX('Year data'!$B$57:$AC$107,MATCH($A138,'Year data'!$A$111:$A$161,0),MATCH('TCO Inputs'!$AZ$12+I$113-1,'Year data'!$B$110:$AC$110,0))/100))/(1+$AZ$41)^I$113</f>
        <v>1003.6085224233278</v>
      </c>
      <c r="J138" s="106">
        <f>VLOOKUP($A138,'VKT US'!$B$63:$AA$113,(J$113+1),FALSE)/VLOOKUP($A138,'Fuel economy adjusted factor'!$A$2:$F$52,5,FALSE)/$AZ$84*($AZ$15*('US Grid mix, emissions&amp;prices'!$AU$3+INDEX('Year data'!$B$3:$AC$53,MATCH('TCO Inputs'!$A138,'Year data'!$A$111:$A$161,0),MATCH('TCO Inputs'!$AZ$12+J$113-1,'Year data'!$B$110:$AC$110,0))/100)+$BA$15*('US Grid mix, emissions&amp;prices'!$AU$4+INDEX('Year data'!$B$57:$AC$107,MATCH($A138,'Year data'!$A$111:$A$161,0),MATCH('TCO Inputs'!$AZ$12+J$113-1,'Year data'!$B$110:$AC$110,0))/100))/(1+$AZ$41)^J$113</f>
        <v>966.04931549705111</v>
      </c>
      <c r="K138" s="106">
        <f>VLOOKUP($A138,'VKT US'!$B$63:$AA$113,(K$113+1),FALSE)/VLOOKUP($A138,'Fuel economy adjusted factor'!$A$2:$F$52,5,FALSE)/$AZ$84*($AZ$15*('US Grid mix, emissions&amp;prices'!$AU$3+INDEX('Year data'!$B$3:$AC$53,MATCH('TCO Inputs'!$A138,'Year data'!$A$111:$A$161,0),MATCH('TCO Inputs'!$AZ$12+K$113-1,'Year data'!$B$110:$AC$110,0))/100)+$BA$15*('US Grid mix, emissions&amp;prices'!$AU$4+INDEX('Year data'!$B$57:$AC$107,MATCH($A138,'Year data'!$A$111:$A$161,0),MATCH('TCO Inputs'!$AZ$12+K$113-1,'Year data'!$B$110:$AC$110,0))/100))/(1+$AZ$41)^K$113</f>
        <v>930.08614466828692</v>
      </c>
      <c r="L138" s="106">
        <f>VLOOKUP($A138,'VKT US'!$B$63:$AA$113,(L$113+1),FALSE)/VLOOKUP($A138,'Fuel economy adjusted factor'!$A$2:$F$52,5,FALSE)/$AZ$84*($AZ$15*('US Grid mix, emissions&amp;prices'!$AU$3+INDEX('Year data'!$B$3:$AC$53,MATCH('TCO Inputs'!$A138,'Year data'!$A$111:$A$161,0),MATCH('TCO Inputs'!$AZ$12+L$113-1,'Year data'!$B$110:$AC$110,0))/100)+$BA$15*('US Grid mix, emissions&amp;prices'!$AU$4+INDEX('Year data'!$B$57:$AC$107,MATCH($A138,'Year data'!$A$111:$A$161,0),MATCH('TCO Inputs'!$AZ$12+L$113-1,'Year data'!$B$110:$AC$110,0))/100))/(1+$AZ$41)^L$113</f>
        <v>901.6593985483928</v>
      </c>
      <c r="M138" s="106">
        <f>VLOOKUP($A138,'VKT US'!$B$63:$AA$113,(M$113+1),FALSE)/VLOOKUP($A138,'Fuel economy adjusted factor'!$A$2:$F$52,5,FALSE)/$AZ$84*($AZ$15*('US Grid mix, emissions&amp;prices'!$AU$3+INDEX('Year data'!$B$3:$AC$53,MATCH('TCO Inputs'!$A138,'Year data'!$A$111:$A$161,0),MATCH('TCO Inputs'!$AZ$12+M$113-1,'Year data'!$B$110:$AC$110,0))/100)+$BA$15*('US Grid mix, emissions&amp;prices'!$AU$4+INDEX('Year data'!$B$57:$AC$107,MATCH($A138,'Year data'!$A$111:$A$161,0),MATCH('TCO Inputs'!$AZ$12+M$113-1,'Year data'!$B$110:$AC$110,0))/100))/(1+$AZ$41)^M$113</f>
        <v>872.72180660267838</v>
      </c>
      <c r="N138" s="106">
        <f>VLOOKUP($A138,'VKT US'!$B$63:$AA$113,(N$113+1),FALSE)/VLOOKUP($A138,'Fuel economy adjusted factor'!$A$2:$F$52,5,FALSE)/$AZ$84*($AZ$15*('US Grid mix, emissions&amp;prices'!$AU$3+INDEX('Year data'!$B$3:$AC$53,MATCH('TCO Inputs'!$A138,'Year data'!$A$111:$A$161,0),MATCH('TCO Inputs'!$AZ$12+N$113-1,'Year data'!$B$110:$AC$110,0))/100)+$BA$15*('US Grid mix, emissions&amp;prices'!$AU$4+INDEX('Year data'!$B$57:$AC$107,MATCH($A138,'Year data'!$A$111:$A$161,0),MATCH('TCO Inputs'!$AZ$12+N$113-1,'Year data'!$B$110:$AC$110,0))/100))/(1+$AZ$41)^N$113</f>
        <v>840.00285966793456</v>
      </c>
      <c r="O138" s="106">
        <f>VLOOKUP($A138,'VKT US'!$B$63:$AA$113,(O$113+1),FALSE)/VLOOKUP($A138,'Fuel economy adjusted factor'!$A$2:$F$52,5,FALSE)/$AZ$84*($AZ$15*('US Grid mix, emissions&amp;prices'!$AU$3+INDEX('Year data'!$B$3:$AC$53,MATCH('TCO Inputs'!$A138,'Year data'!$A$111:$A$161,0),MATCH('TCO Inputs'!$AZ$12+O$113-1,'Year data'!$B$110:$AC$110,0))/100)+$BA$15*('US Grid mix, emissions&amp;prices'!$AU$4+INDEX('Year data'!$B$57:$AC$107,MATCH($A138,'Year data'!$A$111:$A$161,0),MATCH('TCO Inputs'!$AZ$12+O$113-1,'Year data'!$B$110:$AC$110,0))/100))/(1+$AZ$41)^O$113</f>
        <v>811.66486439762002</v>
      </c>
      <c r="P138" s="106">
        <f>VLOOKUP($A138,'VKT US'!$B$63:$AA$113,(P$113+1),FALSE)/VLOOKUP($A138,'Fuel economy adjusted factor'!$A$2:$F$52,5,FALSE)/$AZ$84*($AZ$15*('US Grid mix, emissions&amp;prices'!$AU$3+INDEX('Year data'!$B$3:$AC$53,MATCH('TCO Inputs'!$A138,'Year data'!$A$111:$A$161,0),MATCH('TCO Inputs'!$AZ$12+P$113-1,'Year data'!$B$110:$AC$110,0))/100)+$BA$15*('US Grid mix, emissions&amp;prices'!$AU$4+INDEX('Year data'!$B$57:$AC$107,MATCH($A138,'Year data'!$A$111:$A$161,0),MATCH('TCO Inputs'!$AZ$12+P$113-1,'Year data'!$B$110:$AC$110,0))/100))/(1+$AZ$41)^P$113</f>
        <v>785.4419315325074</v>
      </c>
      <c r="Q138" s="106">
        <f>VLOOKUP($A138,'VKT US'!$B$63:$AA$113,(Q$113+1),FALSE)/VLOOKUP($A138,'Fuel economy adjusted factor'!$A$2:$F$52,5,FALSE)/$AZ$84*($AZ$15*('US Grid mix, emissions&amp;prices'!$AU$3+INDEX('Year data'!$B$3:$AC$53,MATCH('TCO Inputs'!$A138,'Year data'!$A$111:$A$161,0),MATCH('TCO Inputs'!$AZ$12+Q$113-1,'Year data'!$B$110:$AC$110,0))/100)+$BA$15*('US Grid mix, emissions&amp;prices'!$AU$4+INDEX('Year data'!$B$57:$AC$107,MATCH($A138,'Year data'!$A$111:$A$161,0),MATCH('TCO Inputs'!$AZ$12+Q$113-1,'Year data'!$B$110:$AC$110,0))/100))/(1+$AZ$41)^Q$113</f>
        <v>762.35309701817255</v>
      </c>
      <c r="R138" s="106">
        <f>VLOOKUP($A138,'VKT US'!$B$63:$AA$113,(R$113+1),FALSE)/VLOOKUP($A138,'Fuel economy adjusted factor'!$A$2:$F$52,5,FALSE)/$AZ$84*($AZ$15*('US Grid mix, emissions&amp;prices'!$AU$3+INDEX('Year data'!$B$3:$AC$53,MATCH('TCO Inputs'!$A138,'Year data'!$A$111:$A$161,0),MATCH('TCO Inputs'!$AZ$12+R$113-1,'Year data'!$B$110:$AC$110,0))/100)+$BA$15*('US Grid mix, emissions&amp;prices'!$AU$4+INDEX('Year data'!$B$57:$AC$107,MATCH($A138,'Year data'!$A$111:$A$161,0),MATCH('TCO Inputs'!$AZ$12+R$113-1,'Year data'!$B$110:$AC$110,0))/100))/(1+$AZ$41)^R$113</f>
        <v>739.1253343522111</v>
      </c>
      <c r="S138" s="106">
        <f>VLOOKUP($A138,'VKT US'!$B$63:$AA$113,(S$113+1),FALSE)/VLOOKUP($A138,'Fuel economy adjusted factor'!$A$2:$F$52,5,FALSE)/$AZ$84*($AZ$15*('US Grid mix, emissions&amp;prices'!$AU$3+INDEX('Year data'!$B$3:$AC$53,MATCH('TCO Inputs'!$A138,'Year data'!$A$111:$A$161,0),MATCH('TCO Inputs'!$AZ$12+S$113-1,'Year data'!$B$110:$AC$110,0))/100)+$BA$15*('US Grid mix, emissions&amp;prices'!$AU$4+INDEX('Year data'!$B$57:$AC$107,MATCH($A138,'Year data'!$A$111:$A$161,0),MATCH('TCO Inputs'!$AZ$12+S$113-1,'Year data'!$B$110:$AC$110,0))/100))/(1+$AZ$41)^S$113</f>
        <v>717.34617040540252</v>
      </c>
      <c r="T138" s="106">
        <f>VLOOKUP($A138,'VKT US'!$B$63:$AA$113,(T$113+1),FALSE)/VLOOKUP($A138,'Fuel economy adjusted factor'!$A$2:$F$52,5,FALSE)/$AZ$84*($AZ$15*('US Grid mix, emissions&amp;prices'!$AU$3+INDEX('Year data'!$B$3:$AC$53,MATCH('TCO Inputs'!$A138,'Year data'!$A$111:$A$161,0),MATCH('TCO Inputs'!$AZ$12+T$113-1,'Year data'!$B$110:$AC$110,0))/100)+$BA$15*('US Grid mix, emissions&amp;prices'!$AU$4+INDEX('Year data'!$B$57:$AC$107,MATCH($A138,'Year data'!$A$111:$A$161,0),MATCH('TCO Inputs'!$AZ$12+T$113-1,'Year data'!$B$110:$AC$110,0))/100))/(1+$AZ$41)^T$113</f>
        <v>696.24890828023968</v>
      </c>
      <c r="U138" s="106">
        <f>VLOOKUP($A138,'VKT US'!$B$63:$AA$113,(U$113+1),FALSE)/VLOOKUP($A138,'Fuel economy adjusted factor'!$A$2:$F$52,5,FALSE)/$AZ$84*($AZ$15*('US Grid mix, emissions&amp;prices'!$AU$3+INDEX('Year data'!$B$3:$AC$53,MATCH('TCO Inputs'!$A138,'Year data'!$A$111:$A$161,0),MATCH('TCO Inputs'!$AZ$12+U$113-1,'Year data'!$B$110:$AC$110,0))/100)+$BA$15*('US Grid mix, emissions&amp;prices'!$AU$4+INDEX('Year data'!$B$57:$AC$107,MATCH($A138,'Year data'!$A$111:$A$161,0),MATCH('TCO Inputs'!$AZ$12+U$113-1,'Year data'!$B$110:$AC$110,0))/100))/(1+$AZ$41)^U$113</f>
        <v>675.6024276613166</v>
      </c>
      <c r="V138" s="110" cm="1">
        <f t="array" ref="V138">SUMPRODUCT(INDEX(B138:U138,,_xlfn.SEQUENCE($AZ$13)))</f>
        <v>14870.354926124579</v>
      </c>
      <c r="Y138" s="102" t="s">
        <v>206</v>
      </c>
      <c r="Z138" s="106">
        <f>VLOOKUP($A138,'VKT US'!$B$63:$AA$113,(Z$113+1),FALSE)/VLOOKUP($A138,'Fuel economy adjusted factor'!$A$2:$F$52,5,FALSE)/$AZ$84</f>
        <v>7828.050939070441</v>
      </c>
      <c r="AA138" s="106">
        <f>VLOOKUP($A138,'VKT US'!$B$63:$AA$113,(AA$113+1),FALSE)/VLOOKUP($A138,'Fuel economy adjusted factor'!$A$2:$F$52,5,FALSE)/$AZ$84</f>
        <v>7595.2212403340109</v>
      </c>
      <c r="AB138" s="106">
        <f>VLOOKUP($A138,'VKT US'!$B$63:$AA$113,(AB$113+1),FALSE)/VLOOKUP($A138,'Fuel economy adjusted factor'!$A$2:$F$52,5,FALSE)/$AZ$84</f>
        <v>7369.7381097615962</v>
      </c>
      <c r="AC138" s="106">
        <f>VLOOKUP($A138,'VKT US'!$B$63:$AA$113,(AC$113+1),FALSE)/VLOOKUP($A138,'Fuel economy adjusted factor'!$A$2:$F$52,5,FALSE)/$AZ$84</f>
        <v>7152.1666679811942</v>
      </c>
      <c r="AD138" s="106">
        <f>VLOOKUP($A138,'VKT US'!$B$63:$AA$113,(AD$113+1),FALSE)/VLOOKUP($A138,'Fuel economy adjusted factor'!$A$2:$F$52,5,FALSE)/$AZ$84</f>
        <v>6941.9417943648059</v>
      </c>
      <c r="AE138" s="106">
        <f>VLOOKUP($A138,'VKT US'!$B$63:$AA$113,(AE$113+1),FALSE)/VLOOKUP($A138,'Fuel economy adjusted factor'!$A$2:$F$52,5,FALSE)/$AZ$84</f>
        <v>6740.1937301684347</v>
      </c>
      <c r="AF138" s="106">
        <f>VLOOKUP($A138,'VKT US'!$B$63:$AA$113,(AF$113+1),FALSE)/VLOOKUP($A138,'Fuel economy adjusted factor'!$A$2:$F$52,5,FALSE)/$AZ$84</f>
        <v>6545.2271135080746</v>
      </c>
      <c r="AG138" s="106">
        <f>VLOOKUP($A138,'VKT US'!$B$63:$AA$113,(AG$113+1),FALSE)/VLOOKUP($A138,'Fuel economy adjusted factor'!$A$2:$F$52,5,FALSE)/$AZ$84</f>
        <v>6358.1721856397298</v>
      </c>
      <c r="AH138" s="106">
        <f>VLOOKUP($A138,'VKT US'!$B$63:$AA$113,(AH$113+1),FALSE)/VLOOKUP($A138,'Fuel economy adjusted factor'!$A$2:$F$52,5,FALSE)/$AZ$84</f>
        <v>6179.0289465633987</v>
      </c>
      <c r="AI138" s="106">
        <f>VLOOKUP($A138,'VKT US'!$B$63:$AA$113,(AI$113+1),FALSE)/VLOOKUP($A138,'Fuel economy adjusted factor'!$A$2:$F$52,5,FALSE)/$AZ$84</f>
        <v>6007.7973962790838</v>
      </c>
      <c r="AJ138" s="106">
        <f>VLOOKUP($A138,'VKT US'!$B$63:$AA$113,(AJ$113+1),FALSE)/VLOOKUP($A138,'Fuel economy adjusted factor'!$A$2:$F$52,5,FALSE)/$AZ$84</f>
        <v>5843.9124141587799</v>
      </c>
      <c r="AK138" s="106">
        <f>VLOOKUP($A138,'VKT US'!$B$63:$AA$113,(AK$113+1),FALSE)/VLOOKUP($A138,'Fuel economy adjusted factor'!$A$2:$F$52,5,FALSE)/$AZ$84</f>
        <v>5687.9391208304924</v>
      </c>
      <c r="AL138" s="106">
        <f>VLOOKUP($A138,'VKT US'!$B$63:$AA$113,(AL$113+1),FALSE)/VLOOKUP($A138,'Fuel economy adjusted factor'!$A$2:$F$52,5,FALSE)/$AZ$84</f>
        <v>5539.3123956662193</v>
      </c>
      <c r="AM138" s="106">
        <f>VLOOKUP($A138,'VKT US'!$B$63:$AA$113,(AM$113+1),FALSE)/VLOOKUP($A138,'Fuel economy adjusted factor'!$A$2:$F$52,5,FALSE)/$AZ$84</f>
        <v>5398.5973592939599</v>
      </c>
      <c r="AN138" s="106">
        <f>VLOOKUP($A138,'VKT US'!$B$63:$AA$113,(AN$113+1),FALSE)/VLOOKUP($A138,'Fuel economy adjusted factor'!$A$2:$F$52,5,FALSE)/$AZ$84</f>
        <v>5265.2288910857142</v>
      </c>
      <c r="AO138" s="106">
        <f>VLOOKUP($A138,'VKT US'!$B$63:$AA$113,(AO$113+1),FALSE)/VLOOKUP($A138,'Fuel economy adjusted factor'!$A$2:$F$52,5,FALSE)/$AZ$84</f>
        <v>5140.3372322974828</v>
      </c>
      <c r="AP138" s="106">
        <f>VLOOKUP($A138,'VKT US'!$B$63:$AA$113,(AP$113+1),FALSE)/VLOOKUP($A138,'Fuel economy adjusted factor'!$A$2:$F$52,5,FALSE)/$AZ$84</f>
        <v>5022.2270210452652</v>
      </c>
      <c r="AQ138" s="106">
        <f>VLOOKUP($A138,'VKT US'!$B$63:$AA$113,(AQ$113+1),FALSE)/VLOOKUP($A138,'Fuel economy adjusted factor'!$A$2:$F$52,5,FALSE)/$AZ$84</f>
        <v>4912.593619213063</v>
      </c>
      <c r="AR138" s="106">
        <f>VLOOKUP($A138,'VKT US'!$B$63:$AA$113,(AR$113+1),FALSE)/VLOOKUP($A138,'Fuel economy adjusted factor'!$A$2:$F$52,5,FALSE)/$AZ$84</f>
        <v>4809.7416649168727</v>
      </c>
      <c r="AS138" s="106">
        <f>VLOOKUP($A138,'VKT US'!$B$63:$AA$113,(AS$113+1),FALSE)/VLOOKUP($A138,'Fuel economy adjusted factor'!$A$2:$F$52,5,FALSE)/$AZ$84</f>
        <v>4715.3665200406986</v>
      </c>
      <c r="AT138" s="110" cm="1">
        <f t="array" ref="AT138">SUMPRODUCT(INDEX(Z138:AS138,,_xlfn.SEQUENCE($AZ$13)))</f>
        <v>91187.299413620203</v>
      </c>
    </row>
    <row r="139" spans="1:46" x14ac:dyDescent="0.25">
      <c r="A139" s="102" t="s">
        <v>208</v>
      </c>
      <c r="B139" s="106">
        <f>VLOOKUP($A139,'VKT US'!$B$63:$AA$113,(B$113+1),FALSE)/VLOOKUP($A139,'Fuel economy adjusted factor'!$A$2:$F$52,5,FALSE)/$AZ$84*($AZ$15*('US Grid mix, emissions&amp;prices'!$AU$3+INDEX('Year data'!$B$3:$AC$53,MATCH('TCO Inputs'!$A139,'Year data'!$A$111:$A$161,0),MATCH('TCO Inputs'!$AZ$12+B$113-1,'Year data'!$B$110:$AC$110,0))/100)+$BA$15*('US Grid mix, emissions&amp;prices'!$AU$4+INDEX('Year data'!$B$57:$AC$107,MATCH($A139,'Year data'!$A$111:$A$161,0),MATCH('TCO Inputs'!$AZ$12+B$113-1,'Year data'!$B$110:$AC$110,0))/100))/(1+$AZ$41)^B$113</f>
        <v>1366.4077877719715</v>
      </c>
      <c r="C139" s="106">
        <f>VLOOKUP($A139,'VKT US'!$B$63:$AA$113,(C$113+1),FALSE)/VLOOKUP($A139,'Fuel economy adjusted factor'!$A$2:$F$52,5,FALSE)/$AZ$84*($AZ$15*('US Grid mix, emissions&amp;prices'!$AU$3+INDEX('Year data'!$B$3:$AC$53,MATCH('TCO Inputs'!$A139,'Year data'!$A$111:$A$161,0),MATCH('TCO Inputs'!$AZ$12+C$113-1,'Year data'!$B$110:$AC$110,0))/100)+$BA$15*('US Grid mix, emissions&amp;prices'!$AU$4+INDEX('Year data'!$B$57:$AC$107,MATCH($A139,'Year data'!$A$111:$A$161,0),MATCH('TCO Inputs'!$AZ$12+C$113-1,'Year data'!$B$110:$AC$110,0))/100))/(1+$AZ$41)^C$113</f>
        <v>1287.6411034086498</v>
      </c>
      <c r="D139" s="106">
        <f>VLOOKUP($A139,'VKT US'!$B$63:$AA$113,(D$113+1),FALSE)/VLOOKUP($A139,'Fuel economy adjusted factor'!$A$2:$F$52,5,FALSE)/$AZ$84*($AZ$15*('US Grid mix, emissions&amp;prices'!$AU$3+INDEX('Year data'!$B$3:$AC$53,MATCH('TCO Inputs'!$A139,'Year data'!$A$111:$A$161,0),MATCH('TCO Inputs'!$AZ$12+D$113-1,'Year data'!$B$110:$AC$110,0))/100)+$BA$15*('US Grid mix, emissions&amp;prices'!$AU$4+INDEX('Year data'!$B$57:$AC$107,MATCH($A139,'Year data'!$A$111:$A$161,0),MATCH('TCO Inputs'!$AZ$12+D$113-1,'Year data'!$B$110:$AC$110,0))/100))/(1+$AZ$41)^D$113</f>
        <v>1208.9409766330398</v>
      </c>
      <c r="E139" s="106">
        <f>VLOOKUP($A139,'VKT US'!$B$63:$AA$113,(E$113+1),FALSE)/VLOOKUP($A139,'Fuel economy adjusted factor'!$A$2:$F$52,5,FALSE)/$AZ$84*($AZ$15*('US Grid mix, emissions&amp;prices'!$AU$3+INDEX('Year data'!$B$3:$AC$53,MATCH('TCO Inputs'!$A139,'Year data'!$A$111:$A$161,0),MATCH('TCO Inputs'!$AZ$12+E$113-1,'Year data'!$B$110:$AC$110,0))/100)+$BA$15*('US Grid mix, emissions&amp;prices'!$AU$4+INDEX('Year data'!$B$57:$AC$107,MATCH($A139,'Year data'!$A$111:$A$161,0),MATCH('TCO Inputs'!$AZ$12+E$113-1,'Year data'!$B$110:$AC$110,0))/100))/(1+$AZ$41)^E$113</f>
        <v>1145.2256965979964</v>
      </c>
      <c r="F139" s="106">
        <f>VLOOKUP($A139,'VKT US'!$B$63:$AA$113,(F$113+1),FALSE)/VLOOKUP($A139,'Fuel economy adjusted factor'!$A$2:$F$52,5,FALSE)/$AZ$84*($AZ$15*('US Grid mix, emissions&amp;prices'!$AU$3+INDEX('Year data'!$B$3:$AC$53,MATCH('TCO Inputs'!$A139,'Year data'!$A$111:$A$161,0),MATCH('TCO Inputs'!$AZ$12+F$113-1,'Year data'!$B$110:$AC$110,0))/100)+$BA$15*('US Grid mix, emissions&amp;prices'!$AU$4+INDEX('Year data'!$B$57:$AC$107,MATCH($A139,'Year data'!$A$111:$A$161,0),MATCH('TCO Inputs'!$AZ$12+F$113-1,'Year data'!$B$110:$AC$110,0))/100))/(1+$AZ$41)^F$113</f>
        <v>1088.2310806952999</v>
      </c>
      <c r="G139" s="106">
        <f>VLOOKUP($A139,'VKT US'!$B$63:$AA$113,(G$113+1),FALSE)/VLOOKUP($A139,'Fuel economy adjusted factor'!$A$2:$F$52,5,FALSE)/$AZ$84*($AZ$15*('US Grid mix, emissions&amp;prices'!$AU$3+INDEX('Year data'!$B$3:$AC$53,MATCH('TCO Inputs'!$A139,'Year data'!$A$111:$A$161,0),MATCH('TCO Inputs'!$AZ$12+G$113-1,'Year data'!$B$110:$AC$110,0))/100)+$BA$15*('US Grid mix, emissions&amp;prices'!$AU$4+INDEX('Year data'!$B$57:$AC$107,MATCH($A139,'Year data'!$A$111:$A$161,0),MATCH('TCO Inputs'!$AZ$12+G$113-1,'Year data'!$B$110:$AC$110,0))/100))/(1+$AZ$41)^G$113</f>
        <v>1037.0015461871824</v>
      </c>
      <c r="H139" s="106">
        <f>VLOOKUP($A139,'VKT US'!$B$63:$AA$113,(H$113+1),FALSE)/VLOOKUP($A139,'Fuel economy adjusted factor'!$A$2:$F$52,5,FALSE)/$AZ$84*($AZ$15*('US Grid mix, emissions&amp;prices'!$AU$3+INDEX('Year data'!$B$3:$AC$53,MATCH('TCO Inputs'!$A139,'Year data'!$A$111:$A$161,0),MATCH('TCO Inputs'!$AZ$12+H$113-1,'Year data'!$B$110:$AC$110,0))/100)+$BA$15*('US Grid mix, emissions&amp;prices'!$AU$4+INDEX('Year data'!$B$57:$AC$107,MATCH($A139,'Year data'!$A$111:$A$161,0),MATCH('TCO Inputs'!$AZ$12+H$113-1,'Year data'!$B$110:$AC$110,0))/100))/(1+$AZ$41)^H$113</f>
        <v>992.68442413182106</v>
      </c>
      <c r="I139" s="106">
        <f>VLOOKUP($A139,'VKT US'!$B$63:$AA$113,(I$113+1),FALSE)/VLOOKUP($A139,'Fuel economy adjusted factor'!$A$2:$F$52,5,FALSE)/$AZ$84*($AZ$15*('US Grid mix, emissions&amp;prices'!$AU$3+INDEX('Year data'!$B$3:$AC$53,MATCH('TCO Inputs'!$A139,'Year data'!$A$111:$A$161,0),MATCH('TCO Inputs'!$AZ$12+I$113-1,'Year data'!$B$110:$AC$110,0))/100)+$BA$15*('US Grid mix, emissions&amp;prices'!$AU$4+INDEX('Year data'!$B$57:$AC$107,MATCH($A139,'Year data'!$A$111:$A$161,0),MATCH('TCO Inputs'!$AZ$12+I$113-1,'Year data'!$B$110:$AC$110,0))/100))/(1+$AZ$41)^I$113</f>
        <v>953.84465634630089</v>
      </c>
      <c r="J139" s="106">
        <f>VLOOKUP($A139,'VKT US'!$B$63:$AA$113,(J$113+1),FALSE)/VLOOKUP($A139,'Fuel economy adjusted factor'!$A$2:$F$52,5,FALSE)/$AZ$84*($AZ$15*('US Grid mix, emissions&amp;prices'!$AU$3+INDEX('Year data'!$B$3:$AC$53,MATCH('TCO Inputs'!$A139,'Year data'!$A$111:$A$161,0),MATCH('TCO Inputs'!$AZ$12+J$113-1,'Year data'!$B$110:$AC$110,0))/100)+$BA$15*('US Grid mix, emissions&amp;prices'!$AU$4+INDEX('Year data'!$B$57:$AC$107,MATCH($A139,'Year data'!$A$111:$A$161,0),MATCH('TCO Inputs'!$AZ$12+J$113-1,'Year data'!$B$110:$AC$110,0))/100))/(1+$AZ$41)^J$113</f>
        <v>918.063225724993</v>
      </c>
      <c r="K139" s="106">
        <f>VLOOKUP($A139,'VKT US'!$B$63:$AA$113,(K$113+1),FALSE)/VLOOKUP($A139,'Fuel economy adjusted factor'!$A$2:$F$52,5,FALSE)/$AZ$84*($AZ$15*('US Grid mix, emissions&amp;prices'!$AU$3+INDEX('Year data'!$B$3:$AC$53,MATCH('TCO Inputs'!$A139,'Year data'!$A$111:$A$161,0),MATCH('TCO Inputs'!$AZ$12+K$113-1,'Year data'!$B$110:$AC$110,0))/100)+$BA$15*('US Grid mix, emissions&amp;prices'!$AU$4+INDEX('Year data'!$B$57:$AC$107,MATCH($A139,'Year data'!$A$111:$A$161,0),MATCH('TCO Inputs'!$AZ$12+K$113-1,'Year data'!$B$110:$AC$110,0))/100))/(1+$AZ$41)^K$113</f>
        <v>883.80380066509008</v>
      </c>
      <c r="L139" s="106">
        <f>VLOOKUP($A139,'VKT US'!$B$63:$AA$113,(L$113+1),FALSE)/VLOOKUP($A139,'Fuel economy adjusted factor'!$A$2:$F$52,5,FALSE)/$AZ$84*($AZ$15*('US Grid mix, emissions&amp;prices'!$AU$3+INDEX('Year data'!$B$3:$AC$53,MATCH('TCO Inputs'!$A139,'Year data'!$A$111:$A$161,0),MATCH('TCO Inputs'!$AZ$12+L$113-1,'Year data'!$B$110:$AC$110,0))/100)+$BA$15*('US Grid mix, emissions&amp;prices'!$AU$4+INDEX('Year data'!$B$57:$AC$107,MATCH($A139,'Year data'!$A$111:$A$161,0),MATCH('TCO Inputs'!$AZ$12+L$113-1,'Year data'!$B$110:$AC$110,0))/100))/(1+$AZ$41)^L$113</f>
        <v>856.76961978045483</v>
      </c>
      <c r="M139" s="106">
        <f>VLOOKUP($A139,'VKT US'!$B$63:$AA$113,(M$113+1),FALSE)/VLOOKUP($A139,'Fuel economy adjusted factor'!$A$2:$F$52,5,FALSE)/$AZ$84*($AZ$15*('US Grid mix, emissions&amp;prices'!$AU$3+INDEX('Year data'!$B$3:$AC$53,MATCH('TCO Inputs'!$A139,'Year data'!$A$111:$A$161,0),MATCH('TCO Inputs'!$AZ$12+M$113-1,'Year data'!$B$110:$AC$110,0))/100)+$BA$15*('US Grid mix, emissions&amp;prices'!$AU$4+INDEX('Year data'!$B$57:$AC$107,MATCH($A139,'Year data'!$A$111:$A$161,0),MATCH('TCO Inputs'!$AZ$12+M$113-1,'Year data'!$B$110:$AC$110,0))/100))/(1+$AZ$41)^M$113</f>
        <v>829.23794995885328</v>
      </c>
      <c r="N139" s="106">
        <f>VLOOKUP($A139,'VKT US'!$B$63:$AA$113,(N$113+1),FALSE)/VLOOKUP($A139,'Fuel economy adjusted factor'!$A$2:$F$52,5,FALSE)/$AZ$84*($AZ$15*('US Grid mix, emissions&amp;prices'!$AU$3+INDEX('Year data'!$B$3:$AC$53,MATCH('TCO Inputs'!$A139,'Year data'!$A$111:$A$161,0),MATCH('TCO Inputs'!$AZ$12+N$113-1,'Year data'!$B$110:$AC$110,0))/100)+$BA$15*('US Grid mix, emissions&amp;prices'!$AU$4+INDEX('Year data'!$B$57:$AC$107,MATCH($A139,'Year data'!$A$111:$A$161,0),MATCH('TCO Inputs'!$AZ$12+N$113-1,'Year data'!$B$110:$AC$110,0))/100))/(1+$AZ$41)^N$113</f>
        <v>798.10033553407061</v>
      </c>
      <c r="O139" s="106">
        <f>VLOOKUP($A139,'VKT US'!$B$63:$AA$113,(O$113+1),FALSE)/VLOOKUP($A139,'Fuel economy adjusted factor'!$A$2:$F$52,5,FALSE)/$AZ$84*($AZ$15*('US Grid mix, emissions&amp;prices'!$AU$3+INDEX('Year data'!$B$3:$AC$53,MATCH('TCO Inputs'!$A139,'Year data'!$A$111:$A$161,0),MATCH('TCO Inputs'!$AZ$12+O$113-1,'Year data'!$B$110:$AC$110,0))/100)+$BA$15*('US Grid mix, emissions&amp;prices'!$AU$4+INDEX('Year data'!$B$57:$AC$107,MATCH($A139,'Year data'!$A$111:$A$161,0),MATCH('TCO Inputs'!$AZ$12+O$113-1,'Year data'!$B$110:$AC$110,0))/100))/(1+$AZ$41)^O$113</f>
        <v>771.14448273395567</v>
      </c>
      <c r="P139" s="106">
        <f>VLOOKUP($A139,'VKT US'!$B$63:$AA$113,(P$113+1),FALSE)/VLOOKUP($A139,'Fuel economy adjusted factor'!$A$2:$F$52,5,FALSE)/$AZ$84*($AZ$15*('US Grid mix, emissions&amp;prices'!$AU$3+INDEX('Year data'!$B$3:$AC$53,MATCH('TCO Inputs'!$A139,'Year data'!$A$111:$A$161,0),MATCH('TCO Inputs'!$AZ$12+P$113-1,'Year data'!$B$110:$AC$110,0))/100)+$BA$15*('US Grid mix, emissions&amp;prices'!$AU$4+INDEX('Year data'!$B$57:$AC$107,MATCH($A139,'Year data'!$A$111:$A$161,0),MATCH('TCO Inputs'!$AZ$12+P$113-1,'Year data'!$B$110:$AC$110,0))/100))/(1+$AZ$41)^P$113</f>
        <v>746.18939520957815</v>
      </c>
      <c r="Q139" s="106">
        <f>VLOOKUP($A139,'VKT US'!$B$63:$AA$113,(Q$113+1),FALSE)/VLOOKUP($A139,'Fuel economy adjusted factor'!$A$2:$F$52,5,FALSE)/$AZ$84*($AZ$15*('US Grid mix, emissions&amp;prices'!$AU$3+INDEX('Year data'!$B$3:$AC$53,MATCH('TCO Inputs'!$A139,'Year data'!$A$111:$A$161,0),MATCH('TCO Inputs'!$AZ$12+Q$113-1,'Year data'!$B$110:$AC$110,0))/100)+$BA$15*('US Grid mix, emissions&amp;prices'!$AU$4+INDEX('Year data'!$B$57:$AC$107,MATCH($A139,'Year data'!$A$111:$A$161,0),MATCH('TCO Inputs'!$AZ$12+Q$113-1,'Year data'!$B$110:$AC$110,0))/100))/(1+$AZ$41)^Q$113</f>
        <v>724.23969683697749</v>
      </c>
      <c r="R139" s="106">
        <f>VLOOKUP($A139,'VKT US'!$B$63:$AA$113,(R$113+1),FALSE)/VLOOKUP($A139,'Fuel economy adjusted factor'!$A$2:$F$52,5,FALSE)/$AZ$84*($AZ$15*('US Grid mix, emissions&amp;prices'!$AU$3+INDEX('Year data'!$B$3:$AC$53,MATCH('TCO Inputs'!$A139,'Year data'!$A$111:$A$161,0),MATCH('TCO Inputs'!$AZ$12+R$113-1,'Year data'!$B$110:$AC$110,0))/100)+$BA$15*('US Grid mix, emissions&amp;prices'!$AU$4+INDEX('Year data'!$B$57:$AC$107,MATCH($A139,'Year data'!$A$111:$A$161,0),MATCH('TCO Inputs'!$AZ$12+R$113-1,'Year data'!$B$110:$AC$110,0))/100))/(1+$AZ$41)^R$113</f>
        <v>702.15830472116045</v>
      </c>
      <c r="S139" s="106">
        <f>VLOOKUP($A139,'VKT US'!$B$63:$AA$113,(S$113+1),FALSE)/VLOOKUP($A139,'Fuel economy adjusted factor'!$A$2:$F$52,5,FALSE)/$AZ$84*($AZ$15*('US Grid mix, emissions&amp;prices'!$AU$3+INDEX('Year data'!$B$3:$AC$53,MATCH('TCO Inputs'!$A139,'Year data'!$A$111:$A$161,0),MATCH('TCO Inputs'!$AZ$12+S$113-1,'Year data'!$B$110:$AC$110,0))/100)+$BA$15*('US Grid mix, emissions&amp;prices'!$AU$4+INDEX('Year data'!$B$57:$AC$107,MATCH($A139,'Year data'!$A$111:$A$161,0),MATCH('TCO Inputs'!$AZ$12+S$113-1,'Year data'!$B$110:$AC$110,0))/100))/(1+$AZ$41)^S$113</f>
        <v>681.44252076629414</v>
      </c>
      <c r="T139" s="106">
        <f>VLOOKUP($A139,'VKT US'!$B$63:$AA$113,(T$113+1),FALSE)/VLOOKUP($A139,'Fuel economy adjusted factor'!$A$2:$F$52,5,FALSE)/$AZ$84*($AZ$15*('US Grid mix, emissions&amp;prices'!$AU$3+INDEX('Year data'!$B$3:$AC$53,MATCH('TCO Inputs'!$A139,'Year data'!$A$111:$A$161,0),MATCH('TCO Inputs'!$AZ$12+T$113-1,'Year data'!$B$110:$AC$110,0))/100)+$BA$15*('US Grid mix, emissions&amp;prices'!$AU$4+INDEX('Year data'!$B$57:$AC$107,MATCH($A139,'Year data'!$A$111:$A$161,0),MATCH('TCO Inputs'!$AZ$12+T$113-1,'Year data'!$B$110:$AC$110,0))/100))/(1+$AZ$41)^T$113</f>
        <v>661.37989802414063</v>
      </c>
      <c r="U139" s="106">
        <f>VLOOKUP($A139,'VKT US'!$B$63:$AA$113,(U$113+1),FALSE)/VLOOKUP($A139,'Fuel economy adjusted factor'!$A$2:$F$52,5,FALSE)/$AZ$84*($AZ$15*('US Grid mix, emissions&amp;prices'!$AU$3+INDEX('Year data'!$B$3:$AC$53,MATCH('TCO Inputs'!$A139,'Year data'!$A$111:$A$161,0),MATCH('TCO Inputs'!$AZ$12+U$113-1,'Year data'!$B$110:$AC$110,0))/100)+$BA$15*('US Grid mix, emissions&amp;prices'!$AU$4+INDEX('Year data'!$B$57:$AC$107,MATCH($A139,'Year data'!$A$111:$A$161,0),MATCH('TCO Inputs'!$AZ$12+U$113-1,'Year data'!$B$110:$AC$110,0))/100))/(1+$AZ$41)^U$113</f>
        <v>641.74028681074594</v>
      </c>
      <c r="V139" s="110" cm="1">
        <f t="array" ref="V139">SUMPRODUCT(INDEX(B139:U139,,_xlfn.SEQUENCE($AZ$13)))</f>
        <v>14137.09668616968</v>
      </c>
      <c r="Y139" s="102" t="s">
        <v>208</v>
      </c>
      <c r="Z139" s="106">
        <f>VLOOKUP($A139,'VKT US'!$B$63:$AA$113,(Z$113+1),FALSE)/VLOOKUP($A139,'Fuel economy adjusted factor'!$A$2:$F$52,5,FALSE)/$AZ$84</f>
        <v>7385.974971526568</v>
      </c>
      <c r="AA139" s="106">
        <f>VLOOKUP($A139,'VKT US'!$B$63:$AA$113,(AA$113+1),FALSE)/VLOOKUP($A139,'Fuel economy adjusted factor'!$A$2:$F$52,5,FALSE)/$AZ$84</f>
        <v>7166.2939371438824</v>
      </c>
      <c r="AB139" s="106">
        <f>VLOOKUP($A139,'VKT US'!$B$63:$AA$113,(AB$113+1),FALSE)/VLOOKUP($A139,'Fuel economy adjusted factor'!$A$2:$F$52,5,FALSE)/$AZ$84</f>
        <v>6953.5445858849234</v>
      </c>
      <c r="AC139" s="106">
        <f>VLOOKUP($A139,'VKT US'!$B$63:$AA$113,(AC$113+1),FALSE)/VLOOKUP($A139,'Fuel economy adjusted factor'!$A$2:$F$52,5,FALSE)/$AZ$84</f>
        <v>6748.2601241438224</v>
      </c>
      <c r="AD139" s="106">
        <f>VLOOKUP($A139,'VKT US'!$B$63:$AA$113,(AD$113+1),FALSE)/VLOOKUP($A139,'Fuel economy adjusted factor'!$A$2:$F$52,5,FALSE)/$AZ$84</f>
        <v>6549.907345526447</v>
      </c>
      <c r="AE139" s="106">
        <f>VLOOKUP($A139,'VKT US'!$B$63:$AA$113,(AE$113+1),FALSE)/VLOOKUP($A139,'Fuel economy adjusted factor'!$A$2:$F$52,5,FALSE)/$AZ$84</f>
        <v>6359.5526628210619</v>
      </c>
      <c r="AF139" s="106">
        <f>VLOOKUP($A139,'VKT US'!$B$63:$AA$113,(AF$113+1),FALSE)/VLOOKUP($A139,'Fuel economy adjusted factor'!$A$2:$F$52,5,FALSE)/$AZ$84</f>
        <v>6175.5964568452719</v>
      </c>
      <c r="AG139" s="106">
        <f>VLOOKUP($A139,'VKT US'!$B$63:$AA$113,(AG$113+1),FALSE)/VLOOKUP($A139,'Fuel economy adjusted factor'!$A$2:$F$52,5,FALSE)/$AZ$84</f>
        <v>5999.105140387338</v>
      </c>
      <c r="AH139" s="106">
        <f>VLOOKUP($A139,'VKT US'!$B$63:$AA$113,(AH$113+1),FALSE)/VLOOKUP($A139,'Fuel economy adjusted factor'!$A$2:$F$52,5,FALSE)/$AZ$84</f>
        <v>5830.0787134472621</v>
      </c>
      <c r="AI139" s="106">
        <f>VLOOKUP($A139,'VKT US'!$B$63:$AA$113,(AI$113+1),FALSE)/VLOOKUP($A139,'Fuel economy adjusted factor'!$A$2:$F$52,5,FALSE)/$AZ$84</f>
        <v>5668.517176025046</v>
      </c>
      <c r="AJ139" s="106">
        <f>VLOOKUP($A139,'VKT US'!$B$63:$AA$113,(AJ$113+1),FALSE)/VLOOKUP($A139,'Fuel economy adjusted factor'!$A$2:$F$52,5,FALSE)/$AZ$84</f>
        <v>5513.8873217265536</v>
      </c>
      <c r="AK139" s="106">
        <f>VLOOKUP($A139,'VKT US'!$B$63:$AA$113,(AK$113+1),FALSE)/VLOOKUP($A139,'Fuel economy adjusted factor'!$A$2:$F$52,5,FALSE)/$AZ$84</f>
        <v>5366.7223569459202</v>
      </c>
      <c r="AL139" s="106">
        <f>VLOOKUP($A139,'VKT US'!$B$63:$AA$113,(AL$113+1),FALSE)/VLOOKUP($A139,'Fuel economy adjusted factor'!$A$2:$F$52,5,FALSE)/$AZ$84</f>
        <v>5226.4890752890133</v>
      </c>
      <c r="AM139" s="106">
        <f>VLOOKUP($A139,'VKT US'!$B$63:$AA$113,(AM$113+1),FALSE)/VLOOKUP($A139,'Fuel economy adjusted factor'!$A$2:$F$52,5,FALSE)/$AZ$84</f>
        <v>5093.7206831499625</v>
      </c>
      <c r="AN139" s="106">
        <f>VLOOKUP($A139,'VKT US'!$B$63:$AA$113,(AN$113+1),FALSE)/VLOOKUP($A139,'Fuel economy adjusted factor'!$A$2:$F$52,5,FALSE)/$AZ$84</f>
        <v>4967.8839741346383</v>
      </c>
      <c r="AO139" s="106">
        <f>VLOOKUP($A139,'VKT US'!$B$63:$AA$113,(AO$113+1),FALSE)/VLOOKUP($A139,'Fuel economy adjusted factor'!$A$2:$F$52,5,FALSE)/$AZ$84</f>
        <v>4850.0453610313052</v>
      </c>
      <c r="AP139" s="106">
        <f>VLOOKUP($A139,'VKT US'!$B$63:$AA$113,(AP$113+1),FALSE)/VLOOKUP($A139,'Fuel economy adjusted factor'!$A$2:$F$52,5,FALSE)/$AZ$84</f>
        <v>4738.6052246575646</v>
      </c>
      <c r="AQ139" s="106">
        <f>VLOOKUP($A139,'VKT US'!$B$63:$AA$113,(AQ$113+1),FALSE)/VLOOKUP($A139,'Fuel economy adjusted factor'!$A$2:$F$52,5,FALSE)/$AZ$84</f>
        <v>4635.163184195816</v>
      </c>
      <c r="AR139" s="106">
        <f>VLOOKUP($A139,'VKT US'!$B$63:$AA$113,(AR$113+1),FALSE)/VLOOKUP($A139,'Fuel economy adjusted factor'!$A$2:$F$52,5,FALSE)/$AZ$84</f>
        <v>4538.119620463659</v>
      </c>
      <c r="AS139" s="106">
        <f>VLOOKUP($A139,'VKT US'!$B$63:$AA$113,(AS$113+1),FALSE)/VLOOKUP($A139,'Fuel economy adjusted factor'!$A$2:$F$52,5,FALSE)/$AZ$84</f>
        <v>4449.0741526434931</v>
      </c>
      <c r="AT139" s="110" cm="1">
        <f t="array" ref="AT139">SUMPRODUCT(INDEX(Z139:AS139,,_xlfn.SEQUENCE($AZ$13)))</f>
        <v>86037.650550863065</v>
      </c>
    </row>
    <row r="140" spans="1:46" x14ac:dyDescent="0.25">
      <c r="A140" s="102" t="s">
        <v>211</v>
      </c>
      <c r="B140" s="106">
        <f>VLOOKUP($A140,'VKT US'!$B$63:$AA$113,(B$113+1),FALSE)/VLOOKUP($A140,'Fuel economy adjusted factor'!$A$2:$F$52,5,FALSE)/$AZ$84*($AZ$15*('US Grid mix, emissions&amp;prices'!$AU$3+INDEX('Year data'!$B$3:$AC$53,MATCH('TCO Inputs'!$A140,'Year data'!$A$111:$A$161,0),MATCH('TCO Inputs'!$AZ$12+B$113-1,'Year data'!$B$110:$AC$110,0))/100)+$BA$15*('US Grid mix, emissions&amp;prices'!$AU$4+INDEX('Year data'!$B$57:$AC$107,MATCH($A140,'Year data'!$A$111:$A$161,0),MATCH('TCO Inputs'!$AZ$12+B$113-1,'Year data'!$B$110:$AC$110,0))/100))/(1+$AZ$41)^B$113</f>
        <v>1132.3681694062507</v>
      </c>
      <c r="C140" s="106">
        <f>VLOOKUP($A140,'VKT US'!$B$63:$AA$113,(C$113+1),FALSE)/VLOOKUP($A140,'Fuel economy adjusted factor'!$A$2:$F$52,5,FALSE)/$AZ$84*($AZ$15*('US Grid mix, emissions&amp;prices'!$AU$3+INDEX('Year data'!$B$3:$AC$53,MATCH('TCO Inputs'!$A140,'Year data'!$A$111:$A$161,0),MATCH('TCO Inputs'!$AZ$12+C$113-1,'Year data'!$B$110:$AC$110,0))/100)+$BA$15*('US Grid mix, emissions&amp;prices'!$AU$4+INDEX('Year data'!$B$57:$AC$107,MATCH($A140,'Year data'!$A$111:$A$161,0),MATCH('TCO Inputs'!$AZ$12+C$113-1,'Year data'!$B$110:$AC$110,0))/100))/(1+$AZ$41)^C$113</f>
        <v>1068.062585768623</v>
      </c>
      <c r="D140" s="106">
        <f>VLOOKUP($A140,'VKT US'!$B$63:$AA$113,(D$113+1),FALSE)/VLOOKUP($A140,'Fuel economy adjusted factor'!$A$2:$F$52,5,FALSE)/$AZ$84*($AZ$15*('US Grid mix, emissions&amp;prices'!$AU$3+INDEX('Year data'!$B$3:$AC$53,MATCH('TCO Inputs'!$A140,'Year data'!$A$111:$A$161,0),MATCH('TCO Inputs'!$AZ$12+D$113-1,'Year data'!$B$110:$AC$110,0))/100)+$BA$15*('US Grid mix, emissions&amp;prices'!$AU$4+INDEX('Year data'!$B$57:$AC$107,MATCH($A140,'Year data'!$A$111:$A$161,0),MATCH('TCO Inputs'!$AZ$12+D$113-1,'Year data'!$B$110:$AC$110,0))/100))/(1+$AZ$41)^D$113</f>
        <v>1003.7950597330768</v>
      </c>
      <c r="E140" s="106">
        <f>VLOOKUP($A140,'VKT US'!$B$63:$AA$113,(E$113+1),FALSE)/VLOOKUP($A140,'Fuel economy adjusted factor'!$A$2:$F$52,5,FALSE)/$AZ$84*($AZ$15*('US Grid mix, emissions&amp;prices'!$AU$3+INDEX('Year data'!$B$3:$AC$53,MATCH('TCO Inputs'!$A140,'Year data'!$A$111:$A$161,0),MATCH('TCO Inputs'!$AZ$12+E$113-1,'Year data'!$B$110:$AC$110,0))/100)+$BA$15*('US Grid mix, emissions&amp;prices'!$AU$4+INDEX('Year data'!$B$57:$AC$107,MATCH($A140,'Year data'!$A$111:$A$161,0),MATCH('TCO Inputs'!$AZ$12+E$113-1,'Year data'!$B$110:$AC$110,0))/100))/(1+$AZ$41)^E$113</f>
        <v>951.45301647973565</v>
      </c>
      <c r="F140" s="106">
        <f>VLOOKUP($A140,'VKT US'!$B$63:$AA$113,(F$113+1),FALSE)/VLOOKUP($A140,'Fuel economy adjusted factor'!$A$2:$F$52,5,FALSE)/$AZ$84*($AZ$15*('US Grid mix, emissions&amp;prices'!$AU$3+INDEX('Year data'!$B$3:$AC$53,MATCH('TCO Inputs'!$A140,'Year data'!$A$111:$A$161,0),MATCH('TCO Inputs'!$AZ$12+F$113-1,'Year data'!$B$110:$AC$110,0))/100)+$BA$15*('US Grid mix, emissions&amp;prices'!$AU$4+INDEX('Year data'!$B$57:$AC$107,MATCH($A140,'Year data'!$A$111:$A$161,0),MATCH('TCO Inputs'!$AZ$12+F$113-1,'Year data'!$B$110:$AC$110,0))/100))/(1+$AZ$41)^F$113</f>
        <v>904.50517997093175</v>
      </c>
      <c r="G140" s="106">
        <f>VLOOKUP($A140,'VKT US'!$B$63:$AA$113,(G$113+1),FALSE)/VLOOKUP($A140,'Fuel economy adjusted factor'!$A$2:$F$52,5,FALSE)/$AZ$84*($AZ$15*('US Grid mix, emissions&amp;prices'!$AU$3+INDEX('Year data'!$B$3:$AC$53,MATCH('TCO Inputs'!$A140,'Year data'!$A$111:$A$161,0),MATCH('TCO Inputs'!$AZ$12+G$113-1,'Year data'!$B$110:$AC$110,0))/100)+$BA$15*('US Grid mix, emissions&amp;prices'!$AU$4+INDEX('Year data'!$B$57:$AC$107,MATCH($A140,'Year data'!$A$111:$A$161,0),MATCH('TCO Inputs'!$AZ$12+G$113-1,'Year data'!$B$110:$AC$110,0))/100))/(1+$AZ$41)^G$113</f>
        <v>862.22649147050288</v>
      </c>
      <c r="H140" s="106">
        <f>VLOOKUP($A140,'VKT US'!$B$63:$AA$113,(H$113+1),FALSE)/VLOOKUP($A140,'Fuel economy adjusted factor'!$A$2:$F$52,5,FALSE)/$AZ$84*($AZ$15*('US Grid mix, emissions&amp;prices'!$AU$3+INDEX('Year data'!$B$3:$AC$53,MATCH('TCO Inputs'!$A140,'Year data'!$A$111:$A$161,0),MATCH('TCO Inputs'!$AZ$12+H$113-1,'Year data'!$B$110:$AC$110,0))/100)+$BA$15*('US Grid mix, emissions&amp;prices'!$AU$4+INDEX('Year data'!$B$57:$AC$107,MATCH($A140,'Year data'!$A$111:$A$161,0),MATCH('TCO Inputs'!$AZ$12+H$113-1,'Year data'!$B$110:$AC$110,0))/100))/(1+$AZ$41)^H$113</f>
        <v>825.49835155611902</v>
      </c>
      <c r="I140" s="106">
        <f>VLOOKUP($A140,'VKT US'!$B$63:$AA$113,(I$113+1),FALSE)/VLOOKUP($A140,'Fuel economy adjusted factor'!$A$2:$F$52,5,FALSE)/$AZ$84*($AZ$15*('US Grid mix, emissions&amp;prices'!$AU$3+INDEX('Year data'!$B$3:$AC$53,MATCH('TCO Inputs'!$A140,'Year data'!$A$111:$A$161,0),MATCH('TCO Inputs'!$AZ$12+I$113-1,'Year data'!$B$110:$AC$110,0))/100)+$BA$15*('US Grid mix, emissions&amp;prices'!$AU$4+INDEX('Year data'!$B$57:$AC$107,MATCH($A140,'Year data'!$A$111:$A$161,0),MATCH('TCO Inputs'!$AZ$12+I$113-1,'Year data'!$B$110:$AC$110,0))/100))/(1+$AZ$41)^I$113</f>
        <v>793.1854579288381</v>
      </c>
      <c r="J140" s="106">
        <f>VLOOKUP($A140,'VKT US'!$B$63:$AA$113,(J$113+1),FALSE)/VLOOKUP($A140,'Fuel economy adjusted factor'!$A$2:$F$52,5,FALSE)/$AZ$84*($AZ$15*('US Grid mix, emissions&amp;prices'!$AU$3+INDEX('Year data'!$B$3:$AC$53,MATCH('TCO Inputs'!$A140,'Year data'!$A$111:$A$161,0),MATCH('TCO Inputs'!$AZ$12+J$113-1,'Year data'!$B$110:$AC$110,0))/100)+$BA$15*('US Grid mix, emissions&amp;prices'!$AU$4+INDEX('Year data'!$B$57:$AC$107,MATCH($A140,'Year data'!$A$111:$A$161,0),MATCH('TCO Inputs'!$AZ$12+J$113-1,'Year data'!$B$110:$AC$110,0))/100))/(1+$AZ$41)^J$113</f>
        <v>763.38414056459283</v>
      </c>
      <c r="K140" s="106">
        <f>VLOOKUP($A140,'VKT US'!$B$63:$AA$113,(K$113+1),FALSE)/VLOOKUP($A140,'Fuel economy adjusted factor'!$A$2:$F$52,5,FALSE)/$AZ$84*($AZ$15*('US Grid mix, emissions&amp;prices'!$AU$3+INDEX('Year data'!$B$3:$AC$53,MATCH('TCO Inputs'!$A140,'Year data'!$A$111:$A$161,0),MATCH('TCO Inputs'!$AZ$12+K$113-1,'Year data'!$B$110:$AC$110,0))/100)+$BA$15*('US Grid mix, emissions&amp;prices'!$AU$4+INDEX('Year data'!$B$57:$AC$107,MATCH($A140,'Year data'!$A$111:$A$161,0),MATCH('TCO Inputs'!$AZ$12+K$113-1,'Year data'!$B$110:$AC$110,0))/100))/(1+$AZ$41)^K$113</f>
        <v>734.86110974559915</v>
      </c>
      <c r="L140" s="106">
        <f>VLOOKUP($A140,'VKT US'!$B$63:$AA$113,(L$113+1),FALSE)/VLOOKUP($A140,'Fuel economy adjusted factor'!$A$2:$F$52,5,FALSE)/$AZ$84*($AZ$15*('US Grid mix, emissions&amp;prices'!$AU$3+INDEX('Year data'!$B$3:$AC$53,MATCH('TCO Inputs'!$A140,'Year data'!$A$111:$A$161,0),MATCH('TCO Inputs'!$AZ$12+L$113-1,'Year data'!$B$110:$AC$110,0))/100)+$BA$15*('US Grid mix, emissions&amp;prices'!$AU$4+INDEX('Year data'!$B$57:$AC$107,MATCH($A140,'Year data'!$A$111:$A$161,0),MATCH('TCO Inputs'!$AZ$12+L$113-1,'Year data'!$B$110:$AC$110,0))/100))/(1+$AZ$41)^L$113</f>
        <v>712.13155721527437</v>
      </c>
      <c r="M140" s="106">
        <f>VLOOKUP($A140,'VKT US'!$B$63:$AA$113,(M$113+1),FALSE)/VLOOKUP($A140,'Fuel economy adjusted factor'!$A$2:$F$52,5,FALSE)/$AZ$84*($AZ$15*('US Grid mix, emissions&amp;prices'!$AU$3+INDEX('Year data'!$B$3:$AC$53,MATCH('TCO Inputs'!$A140,'Year data'!$A$111:$A$161,0),MATCH('TCO Inputs'!$AZ$12+M$113-1,'Year data'!$B$110:$AC$110,0))/100)+$BA$15*('US Grid mix, emissions&amp;prices'!$AU$4+INDEX('Year data'!$B$57:$AC$107,MATCH($A140,'Year data'!$A$111:$A$161,0),MATCH('TCO Inputs'!$AZ$12+M$113-1,'Year data'!$B$110:$AC$110,0))/100))/(1+$AZ$41)^M$113</f>
        <v>689.07494756255744</v>
      </c>
      <c r="N140" s="106">
        <f>VLOOKUP($A140,'VKT US'!$B$63:$AA$113,(N$113+1),FALSE)/VLOOKUP($A140,'Fuel economy adjusted factor'!$A$2:$F$52,5,FALSE)/$AZ$84*($AZ$15*('US Grid mix, emissions&amp;prices'!$AU$3+INDEX('Year data'!$B$3:$AC$53,MATCH('TCO Inputs'!$A140,'Year data'!$A$111:$A$161,0),MATCH('TCO Inputs'!$AZ$12+N$113-1,'Year data'!$B$110:$AC$110,0))/100)+$BA$15*('US Grid mix, emissions&amp;prices'!$AU$4+INDEX('Year data'!$B$57:$AC$107,MATCH($A140,'Year data'!$A$111:$A$161,0),MATCH('TCO Inputs'!$AZ$12+N$113-1,'Year data'!$B$110:$AC$110,0))/100))/(1+$AZ$41)^N$113</f>
        <v>663.2127591232163</v>
      </c>
      <c r="O140" s="106">
        <f>VLOOKUP($A140,'VKT US'!$B$63:$AA$113,(O$113+1),FALSE)/VLOOKUP($A140,'Fuel economy adjusted factor'!$A$2:$F$52,5,FALSE)/$AZ$84*($AZ$15*('US Grid mix, emissions&amp;prices'!$AU$3+INDEX('Year data'!$B$3:$AC$53,MATCH('TCO Inputs'!$A140,'Year data'!$A$111:$A$161,0),MATCH('TCO Inputs'!$AZ$12+O$113-1,'Year data'!$B$110:$AC$110,0))/100)+$BA$15*('US Grid mix, emissions&amp;prices'!$AU$4+INDEX('Year data'!$B$57:$AC$107,MATCH($A140,'Year data'!$A$111:$A$161,0),MATCH('TCO Inputs'!$AZ$12+O$113-1,'Year data'!$B$110:$AC$110,0))/100))/(1+$AZ$41)^O$113</f>
        <v>640.73403397045684</v>
      </c>
      <c r="P140" s="106">
        <f>VLOOKUP($A140,'VKT US'!$B$63:$AA$113,(P$113+1),FALSE)/VLOOKUP($A140,'Fuel economy adjusted factor'!$A$2:$F$52,5,FALSE)/$AZ$84*($AZ$15*('US Grid mix, emissions&amp;prices'!$AU$3+INDEX('Year data'!$B$3:$AC$53,MATCH('TCO Inputs'!$A140,'Year data'!$A$111:$A$161,0),MATCH('TCO Inputs'!$AZ$12+P$113-1,'Year data'!$B$110:$AC$110,0))/100)+$BA$15*('US Grid mix, emissions&amp;prices'!$AU$4+INDEX('Year data'!$B$57:$AC$107,MATCH($A140,'Year data'!$A$111:$A$161,0),MATCH('TCO Inputs'!$AZ$12+P$113-1,'Year data'!$B$110:$AC$110,0))/100))/(1+$AZ$41)^P$113</f>
        <v>619.90750238237069</v>
      </c>
      <c r="Q140" s="106">
        <f>VLOOKUP($A140,'VKT US'!$B$63:$AA$113,(Q$113+1),FALSE)/VLOOKUP($A140,'Fuel economy adjusted factor'!$A$2:$F$52,5,FALSE)/$AZ$84*($AZ$15*('US Grid mix, emissions&amp;prices'!$AU$3+INDEX('Year data'!$B$3:$AC$53,MATCH('TCO Inputs'!$A140,'Year data'!$A$111:$A$161,0),MATCH('TCO Inputs'!$AZ$12+Q$113-1,'Year data'!$B$110:$AC$110,0))/100)+$BA$15*('US Grid mix, emissions&amp;prices'!$AU$4+INDEX('Year data'!$B$57:$AC$107,MATCH($A140,'Year data'!$A$111:$A$161,0),MATCH('TCO Inputs'!$AZ$12+Q$113-1,'Year data'!$B$110:$AC$110,0))/100))/(1+$AZ$41)^Q$113</f>
        <v>601.52469471126301</v>
      </c>
      <c r="R140" s="106">
        <f>VLOOKUP($A140,'VKT US'!$B$63:$AA$113,(R$113+1),FALSE)/VLOOKUP($A140,'Fuel economy adjusted factor'!$A$2:$F$52,5,FALSE)/$AZ$84*($AZ$15*('US Grid mix, emissions&amp;prices'!$AU$3+INDEX('Year data'!$B$3:$AC$53,MATCH('TCO Inputs'!$A140,'Year data'!$A$111:$A$161,0),MATCH('TCO Inputs'!$AZ$12+R$113-1,'Year data'!$B$110:$AC$110,0))/100)+$BA$15*('US Grid mix, emissions&amp;prices'!$AU$4+INDEX('Year data'!$B$57:$AC$107,MATCH($A140,'Year data'!$A$111:$A$161,0),MATCH('TCO Inputs'!$AZ$12+R$113-1,'Year data'!$B$110:$AC$110,0))/100))/(1+$AZ$41)^R$113</f>
        <v>583.08767976316744</v>
      </c>
      <c r="S140" s="106">
        <f>VLOOKUP($A140,'VKT US'!$B$63:$AA$113,(S$113+1),FALSE)/VLOOKUP($A140,'Fuel economy adjusted factor'!$A$2:$F$52,5,FALSE)/$AZ$84*($AZ$15*('US Grid mix, emissions&amp;prices'!$AU$3+INDEX('Year data'!$B$3:$AC$53,MATCH('TCO Inputs'!$A140,'Year data'!$A$111:$A$161,0),MATCH('TCO Inputs'!$AZ$12+S$113-1,'Year data'!$B$110:$AC$110,0))/100)+$BA$15*('US Grid mix, emissions&amp;prices'!$AU$4+INDEX('Year data'!$B$57:$AC$107,MATCH($A140,'Year data'!$A$111:$A$161,0),MATCH('TCO Inputs'!$AZ$12+S$113-1,'Year data'!$B$110:$AC$110,0))/100))/(1+$AZ$41)^S$113</f>
        <v>565.79846724688571</v>
      </c>
      <c r="T140" s="106">
        <f>VLOOKUP($A140,'VKT US'!$B$63:$AA$113,(T$113+1),FALSE)/VLOOKUP($A140,'Fuel economy adjusted factor'!$A$2:$F$52,5,FALSE)/$AZ$84*($AZ$15*('US Grid mix, emissions&amp;prices'!$AU$3+INDEX('Year data'!$B$3:$AC$53,MATCH('TCO Inputs'!$A140,'Year data'!$A$111:$A$161,0),MATCH('TCO Inputs'!$AZ$12+T$113-1,'Year data'!$B$110:$AC$110,0))/100)+$BA$15*('US Grid mix, emissions&amp;prices'!$AU$4+INDEX('Year data'!$B$57:$AC$107,MATCH($A140,'Year data'!$A$111:$A$161,0),MATCH('TCO Inputs'!$AZ$12+T$113-1,'Year data'!$B$110:$AC$110,0))/100))/(1+$AZ$41)^T$113</f>
        <v>549.07503844960468</v>
      </c>
      <c r="U140" s="106">
        <f>VLOOKUP($A140,'VKT US'!$B$63:$AA$113,(U$113+1),FALSE)/VLOOKUP($A140,'Fuel economy adjusted factor'!$A$2:$F$52,5,FALSE)/$AZ$84*($AZ$15*('US Grid mix, emissions&amp;prices'!$AU$3+INDEX('Year data'!$B$3:$AC$53,MATCH('TCO Inputs'!$A140,'Year data'!$A$111:$A$161,0),MATCH('TCO Inputs'!$AZ$12+U$113-1,'Year data'!$B$110:$AC$110,0))/100)+$BA$15*('US Grid mix, emissions&amp;prices'!$AU$4+INDEX('Year data'!$B$57:$AC$107,MATCH($A140,'Year data'!$A$111:$A$161,0),MATCH('TCO Inputs'!$AZ$12+U$113-1,'Year data'!$B$110:$AC$110,0))/100))/(1+$AZ$41)^U$113</f>
        <v>532.74415612009295</v>
      </c>
      <c r="V140" s="110" cm="1">
        <f t="array" ref="V140">SUMPRODUCT(INDEX(B140:U140,,_xlfn.SEQUENCE($AZ$13)))</f>
        <v>11744.492860495777</v>
      </c>
      <c r="Y140" s="102" t="s">
        <v>211</v>
      </c>
      <c r="Z140" s="106">
        <f>VLOOKUP($A140,'VKT US'!$B$63:$AA$113,(Z$113+1),FALSE)/VLOOKUP($A140,'Fuel economy adjusted factor'!$A$2:$F$52,5,FALSE)/$AZ$84</f>
        <v>6564.8167532194493</v>
      </c>
      <c r="AA140" s="106">
        <f>VLOOKUP($A140,'VKT US'!$B$63:$AA$113,(AA$113+1),FALSE)/VLOOKUP($A140,'Fuel economy adjusted factor'!$A$2:$F$52,5,FALSE)/$AZ$84</f>
        <v>6369.559425589764</v>
      </c>
      <c r="AB140" s="106">
        <f>VLOOKUP($A140,'VKT US'!$B$63:$AA$113,(AB$113+1),FALSE)/VLOOKUP($A140,'Fuel economy adjusted factor'!$A$2:$F$52,5,FALSE)/$AZ$84</f>
        <v>6180.4631301425679</v>
      </c>
      <c r="AC140" s="106">
        <f>VLOOKUP($A140,'VKT US'!$B$63:$AA$113,(AC$113+1),FALSE)/VLOOKUP($A140,'Fuel economy adjusted factor'!$A$2:$F$52,5,FALSE)/$AZ$84</f>
        <v>5998.0017924303611</v>
      </c>
      <c r="AD140" s="106">
        <f>VLOOKUP($A140,'VKT US'!$B$63:$AA$113,(AD$113+1),FALSE)/VLOOKUP($A140,'Fuel economy adjusted factor'!$A$2:$F$52,5,FALSE)/$AZ$84</f>
        <v>5821.7014869006434</v>
      </c>
      <c r="AE140" s="106">
        <f>VLOOKUP($A140,'VKT US'!$B$63:$AA$113,(AE$113+1),FALSE)/VLOOKUP($A140,'Fuel economy adjusted factor'!$A$2:$F$52,5,FALSE)/$AZ$84</f>
        <v>5652.510064658416</v>
      </c>
      <c r="AF140" s="106">
        <f>VLOOKUP($A140,'VKT US'!$B$63:$AA$113,(AF$113+1),FALSE)/VLOOKUP($A140,'Fuel economy adjusted factor'!$A$2:$F$52,5,FALSE)/$AZ$84</f>
        <v>5489.0057490461795</v>
      </c>
      <c r="AG140" s="106">
        <f>VLOOKUP($A140,'VKT US'!$B$63:$AA$113,(AG$113+1),FALSE)/VLOOKUP($A140,'Fuel economy adjusted factor'!$A$2:$F$52,5,FALSE)/$AZ$84</f>
        <v>5332.1363911689314</v>
      </c>
      <c r="AH140" s="106">
        <f>VLOOKUP($A140,'VKT US'!$B$63:$AA$113,(AH$113+1),FALSE)/VLOOKUP($A140,'Fuel economy adjusted factor'!$A$2:$F$52,5,FALSE)/$AZ$84</f>
        <v>5181.9019910266725</v>
      </c>
      <c r="AI140" s="106">
        <f>VLOOKUP($A140,'VKT US'!$B$63:$AA$113,(AI$113+1),FALSE)/VLOOKUP($A140,'Fuel economy adjusted factor'!$A$2:$F$52,5,FALSE)/$AZ$84</f>
        <v>5038.3025486194038</v>
      </c>
      <c r="AJ140" s="106">
        <f>VLOOKUP($A140,'VKT US'!$B$63:$AA$113,(AJ$113+1),FALSE)/VLOOKUP($A140,'Fuel economy adjusted factor'!$A$2:$F$52,5,FALSE)/$AZ$84</f>
        <v>4900.8641383946242</v>
      </c>
      <c r="AK140" s="106">
        <f>VLOOKUP($A140,'VKT US'!$B$63:$AA$113,(AK$113+1),FALSE)/VLOOKUP($A140,'Fuel economy adjusted factor'!$A$2:$F$52,5,FALSE)/$AZ$84</f>
        <v>4770.0606859048348</v>
      </c>
      <c r="AL140" s="106">
        <f>VLOOKUP($A140,'VKT US'!$B$63:$AA$113,(AL$113+1),FALSE)/VLOOKUP($A140,'Fuel economy adjusted factor'!$A$2:$F$52,5,FALSE)/$AZ$84</f>
        <v>4645.4182655975346</v>
      </c>
      <c r="AM140" s="106">
        <f>VLOOKUP($A140,'VKT US'!$B$63:$AA$113,(AM$113+1),FALSE)/VLOOKUP($A140,'Fuel economy adjusted factor'!$A$2:$F$52,5,FALSE)/$AZ$84</f>
        <v>4527.4108030252246</v>
      </c>
      <c r="AN140" s="106">
        <f>VLOOKUP($A140,'VKT US'!$B$63:$AA$113,(AN$113+1),FALSE)/VLOOKUP($A140,'Fuel economy adjusted factor'!$A$2:$F$52,5,FALSE)/$AZ$84</f>
        <v>4415.5643726354037</v>
      </c>
      <c r="AO140" s="106">
        <f>VLOOKUP($A140,'VKT US'!$B$63:$AA$113,(AO$113+1),FALSE)/VLOOKUP($A140,'Fuel economy adjusted factor'!$A$2:$F$52,5,FALSE)/$AZ$84</f>
        <v>4310.8268255330713</v>
      </c>
      <c r="AP140" s="106">
        <f>VLOOKUP($A140,'VKT US'!$B$63:$AA$113,(AP$113+1),FALSE)/VLOOKUP($A140,'Fuel economy adjusted factor'!$A$2:$F$52,5,FALSE)/$AZ$84</f>
        <v>4211.7763850607307</v>
      </c>
      <c r="AQ140" s="106">
        <f>VLOOKUP($A140,'VKT US'!$B$63:$AA$113,(AQ$113+1),FALSE)/VLOOKUP($A140,'Fuel economy adjusted factor'!$A$2:$F$52,5,FALSE)/$AZ$84</f>
        <v>4119.8348278758795</v>
      </c>
      <c r="AR140" s="106">
        <f>VLOOKUP($A140,'VKT US'!$B$63:$AA$113,(AR$113+1),FALSE)/VLOOKUP($A140,'Fuel economy adjusted factor'!$A$2:$F$52,5,FALSE)/$AZ$84</f>
        <v>4033.5803773210182</v>
      </c>
      <c r="AS140" s="106">
        <f>VLOOKUP($A140,'VKT US'!$B$63:$AA$113,(AS$113+1),FALSE)/VLOOKUP($A140,'Fuel economy adjusted factor'!$A$2:$F$52,5,FALSE)/$AZ$84</f>
        <v>3954.4348100536445</v>
      </c>
      <c r="AT140" s="110" cm="1">
        <f t="array" ref="AT140">SUMPRODUCT(INDEX(Z140:AS140,,_xlfn.SEQUENCE($AZ$13)))</f>
        <v>76472.1532257246</v>
      </c>
    </row>
    <row r="141" spans="1:46" x14ac:dyDescent="0.25">
      <c r="A141" s="102" t="s">
        <v>215</v>
      </c>
      <c r="B141" s="106">
        <f>VLOOKUP($A141,'VKT US'!$B$63:$AA$113,(B$113+1),FALSE)/VLOOKUP($A141,'Fuel economy adjusted factor'!$A$2:$F$52,5,FALSE)/$AZ$84*($AZ$15*('US Grid mix, emissions&amp;prices'!$AU$3+INDEX('Year data'!$B$3:$AC$53,MATCH('TCO Inputs'!$A141,'Year data'!$A$111:$A$161,0),MATCH('TCO Inputs'!$AZ$12+B$113-1,'Year data'!$B$110:$AC$110,0))/100)+$BA$15*('US Grid mix, emissions&amp;prices'!$AU$4+INDEX('Year data'!$B$57:$AC$107,MATCH($A141,'Year data'!$A$111:$A$161,0),MATCH('TCO Inputs'!$AZ$12+B$113-1,'Year data'!$B$110:$AC$110,0))/100))/(1+$AZ$41)^B$113</f>
        <v>1253.1631683521193</v>
      </c>
      <c r="C141" s="106">
        <f>VLOOKUP($A141,'VKT US'!$B$63:$AA$113,(C$113+1),FALSE)/VLOOKUP($A141,'Fuel economy adjusted factor'!$A$2:$F$52,5,FALSE)/$AZ$84*($AZ$15*('US Grid mix, emissions&amp;prices'!$AU$3+INDEX('Year data'!$B$3:$AC$53,MATCH('TCO Inputs'!$A141,'Year data'!$A$111:$A$161,0),MATCH('TCO Inputs'!$AZ$12+C$113-1,'Year data'!$B$110:$AC$110,0))/100)+$BA$15*('US Grid mix, emissions&amp;prices'!$AU$4+INDEX('Year data'!$B$57:$AC$107,MATCH($A141,'Year data'!$A$111:$A$161,0),MATCH('TCO Inputs'!$AZ$12+C$113-1,'Year data'!$B$110:$AC$110,0))/100))/(1+$AZ$41)^C$113</f>
        <v>1181.2946785508711</v>
      </c>
      <c r="D141" s="106">
        <f>VLOOKUP($A141,'VKT US'!$B$63:$AA$113,(D$113+1),FALSE)/VLOOKUP($A141,'Fuel economy adjusted factor'!$A$2:$F$52,5,FALSE)/$AZ$84*($AZ$15*('US Grid mix, emissions&amp;prices'!$AU$3+INDEX('Year data'!$B$3:$AC$53,MATCH('TCO Inputs'!$A141,'Year data'!$A$111:$A$161,0),MATCH('TCO Inputs'!$AZ$12+D$113-1,'Year data'!$B$110:$AC$110,0))/100)+$BA$15*('US Grid mix, emissions&amp;prices'!$AU$4+INDEX('Year data'!$B$57:$AC$107,MATCH($A141,'Year data'!$A$111:$A$161,0),MATCH('TCO Inputs'!$AZ$12+D$113-1,'Year data'!$B$110:$AC$110,0))/100))/(1+$AZ$41)^D$113</f>
        <v>1108.4631033333301</v>
      </c>
      <c r="E141" s="106">
        <f>VLOOKUP($A141,'VKT US'!$B$63:$AA$113,(E$113+1),FALSE)/VLOOKUP($A141,'Fuel economy adjusted factor'!$A$2:$F$52,5,FALSE)/$AZ$84*($AZ$15*('US Grid mix, emissions&amp;prices'!$AU$3+INDEX('Year data'!$B$3:$AC$53,MATCH('TCO Inputs'!$A141,'Year data'!$A$111:$A$161,0),MATCH('TCO Inputs'!$AZ$12+E$113-1,'Year data'!$B$110:$AC$110,0))/100)+$BA$15*('US Grid mix, emissions&amp;prices'!$AU$4+INDEX('Year data'!$B$57:$AC$107,MATCH($A141,'Year data'!$A$111:$A$161,0),MATCH('TCO Inputs'!$AZ$12+E$113-1,'Year data'!$B$110:$AC$110,0))/100))/(1+$AZ$41)^E$113</f>
        <v>1049.6247027643835</v>
      </c>
      <c r="F141" s="106">
        <f>VLOOKUP($A141,'VKT US'!$B$63:$AA$113,(F$113+1),FALSE)/VLOOKUP($A141,'Fuel economy adjusted factor'!$A$2:$F$52,5,FALSE)/$AZ$84*($AZ$15*('US Grid mix, emissions&amp;prices'!$AU$3+INDEX('Year data'!$B$3:$AC$53,MATCH('TCO Inputs'!$A141,'Year data'!$A$111:$A$161,0),MATCH('TCO Inputs'!$AZ$12+F$113-1,'Year data'!$B$110:$AC$110,0))/100)+$BA$15*('US Grid mix, emissions&amp;prices'!$AU$4+INDEX('Year data'!$B$57:$AC$107,MATCH($A141,'Year data'!$A$111:$A$161,0),MATCH('TCO Inputs'!$AZ$12+F$113-1,'Year data'!$B$110:$AC$110,0))/100))/(1+$AZ$41)^F$113</f>
        <v>997.0331568135357</v>
      </c>
      <c r="G141" s="106">
        <f>VLOOKUP($A141,'VKT US'!$B$63:$AA$113,(G$113+1),FALSE)/VLOOKUP($A141,'Fuel economy adjusted factor'!$A$2:$F$52,5,FALSE)/$AZ$84*($AZ$15*('US Grid mix, emissions&amp;prices'!$AU$3+INDEX('Year data'!$B$3:$AC$53,MATCH('TCO Inputs'!$A141,'Year data'!$A$111:$A$161,0),MATCH('TCO Inputs'!$AZ$12+G$113-1,'Year data'!$B$110:$AC$110,0))/100)+$BA$15*('US Grid mix, emissions&amp;prices'!$AU$4+INDEX('Year data'!$B$57:$AC$107,MATCH($A141,'Year data'!$A$111:$A$161,0),MATCH('TCO Inputs'!$AZ$12+G$113-1,'Year data'!$B$110:$AC$110,0))/100))/(1+$AZ$41)^G$113</f>
        <v>950.01083374863538</v>
      </c>
      <c r="H141" s="106">
        <f>VLOOKUP($A141,'VKT US'!$B$63:$AA$113,(H$113+1),FALSE)/VLOOKUP($A141,'Fuel economy adjusted factor'!$A$2:$F$52,5,FALSE)/$AZ$84*($AZ$15*('US Grid mix, emissions&amp;prices'!$AU$3+INDEX('Year data'!$B$3:$AC$53,MATCH('TCO Inputs'!$A141,'Year data'!$A$111:$A$161,0),MATCH('TCO Inputs'!$AZ$12+H$113-1,'Year data'!$B$110:$AC$110,0))/100)+$BA$15*('US Grid mix, emissions&amp;prices'!$AU$4+INDEX('Year data'!$B$57:$AC$107,MATCH($A141,'Year data'!$A$111:$A$161,0),MATCH('TCO Inputs'!$AZ$12+H$113-1,'Year data'!$B$110:$AC$110,0))/100))/(1+$AZ$41)^H$113</f>
        <v>909.5407699382298</v>
      </c>
      <c r="I141" s="106">
        <f>VLOOKUP($A141,'VKT US'!$B$63:$AA$113,(I$113+1),FALSE)/VLOOKUP($A141,'Fuel economy adjusted factor'!$A$2:$F$52,5,FALSE)/$AZ$84*($AZ$15*('US Grid mix, emissions&amp;prices'!$AU$3+INDEX('Year data'!$B$3:$AC$53,MATCH('TCO Inputs'!$A141,'Year data'!$A$111:$A$161,0),MATCH('TCO Inputs'!$AZ$12+I$113-1,'Year data'!$B$110:$AC$110,0))/100)+$BA$15*('US Grid mix, emissions&amp;prices'!$AU$4+INDEX('Year data'!$B$57:$AC$107,MATCH($A141,'Year data'!$A$111:$A$161,0),MATCH('TCO Inputs'!$AZ$12+I$113-1,'Year data'!$B$110:$AC$110,0))/100))/(1+$AZ$41)^I$113</f>
        <v>874.20983604586706</v>
      </c>
      <c r="J141" s="106">
        <f>VLOOKUP($A141,'VKT US'!$B$63:$AA$113,(J$113+1),FALSE)/VLOOKUP($A141,'Fuel economy adjusted factor'!$A$2:$F$52,5,FALSE)/$AZ$84*($AZ$15*('US Grid mix, emissions&amp;prices'!$AU$3+INDEX('Year data'!$B$3:$AC$53,MATCH('TCO Inputs'!$A141,'Year data'!$A$111:$A$161,0),MATCH('TCO Inputs'!$AZ$12+J$113-1,'Year data'!$B$110:$AC$110,0))/100)+$BA$15*('US Grid mix, emissions&amp;prices'!$AU$4+INDEX('Year data'!$B$57:$AC$107,MATCH($A141,'Year data'!$A$111:$A$161,0),MATCH('TCO Inputs'!$AZ$12+J$113-1,'Year data'!$B$110:$AC$110,0))/100))/(1+$AZ$41)^J$113</f>
        <v>841.82870469040415</v>
      </c>
      <c r="K141" s="106">
        <f>VLOOKUP($A141,'VKT US'!$B$63:$AA$113,(K$113+1),FALSE)/VLOOKUP($A141,'Fuel economy adjusted factor'!$A$2:$F$52,5,FALSE)/$AZ$84*($AZ$15*('US Grid mix, emissions&amp;prices'!$AU$3+INDEX('Year data'!$B$3:$AC$53,MATCH('TCO Inputs'!$A141,'Year data'!$A$111:$A$161,0),MATCH('TCO Inputs'!$AZ$12+K$113-1,'Year data'!$B$110:$AC$110,0))/100)+$BA$15*('US Grid mix, emissions&amp;prices'!$AU$4+INDEX('Year data'!$B$57:$AC$107,MATCH($A141,'Year data'!$A$111:$A$161,0),MATCH('TCO Inputs'!$AZ$12+K$113-1,'Year data'!$B$110:$AC$110,0))/100))/(1+$AZ$41)^K$113</f>
        <v>810.79614825587771</v>
      </c>
      <c r="L141" s="106">
        <f>VLOOKUP($A141,'VKT US'!$B$63:$AA$113,(L$113+1),FALSE)/VLOOKUP($A141,'Fuel economy adjusted factor'!$A$2:$F$52,5,FALSE)/$AZ$84*($AZ$15*('US Grid mix, emissions&amp;prices'!$AU$3+INDEX('Year data'!$B$3:$AC$53,MATCH('TCO Inputs'!$A141,'Year data'!$A$111:$A$161,0),MATCH('TCO Inputs'!$AZ$12+L$113-1,'Year data'!$B$110:$AC$110,0))/100)+$BA$15*('US Grid mix, emissions&amp;prices'!$AU$4+INDEX('Year data'!$B$57:$AC$107,MATCH($A141,'Year data'!$A$111:$A$161,0),MATCH('TCO Inputs'!$AZ$12+L$113-1,'Year data'!$B$110:$AC$110,0))/100))/(1+$AZ$41)^L$113</f>
        <v>786.62428329409033</v>
      </c>
      <c r="M141" s="106">
        <f>VLOOKUP($A141,'VKT US'!$B$63:$AA$113,(M$113+1),FALSE)/VLOOKUP($A141,'Fuel economy adjusted factor'!$A$2:$F$52,5,FALSE)/$AZ$84*($AZ$15*('US Grid mix, emissions&amp;prices'!$AU$3+INDEX('Year data'!$B$3:$AC$53,MATCH('TCO Inputs'!$A141,'Year data'!$A$111:$A$161,0),MATCH('TCO Inputs'!$AZ$12+M$113-1,'Year data'!$B$110:$AC$110,0))/100)+$BA$15*('US Grid mix, emissions&amp;prices'!$AU$4+INDEX('Year data'!$B$57:$AC$107,MATCH($A141,'Year data'!$A$111:$A$161,0),MATCH('TCO Inputs'!$AZ$12+M$113-1,'Year data'!$B$110:$AC$110,0))/100))/(1+$AZ$41)^M$113</f>
        <v>761.85149161676907</v>
      </c>
      <c r="N141" s="106">
        <f>VLOOKUP($A141,'VKT US'!$B$63:$AA$113,(N$113+1),FALSE)/VLOOKUP($A141,'Fuel economy adjusted factor'!$A$2:$F$52,5,FALSE)/$AZ$84*($AZ$15*('US Grid mix, emissions&amp;prices'!$AU$3+INDEX('Year data'!$B$3:$AC$53,MATCH('TCO Inputs'!$A141,'Year data'!$A$111:$A$161,0),MATCH('TCO Inputs'!$AZ$12+N$113-1,'Year data'!$B$110:$AC$110,0))/100)+$BA$15*('US Grid mix, emissions&amp;prices'!$AU$4+INDEX('Year data'!$B$57:$AC$107,MATCH($A141,'Year data'!$A$111:$A$161,0),MATCH('TCO Inputs'!$AZ$12+N$113-1,'Year data'!$B$110:$AC$110,0))/100))/(1+$AZ$41)^N$113</f>
        <v>733.39720599021712</v>
      </c>
      <c r="O141" s="106">
        <f>VLOOKUP($A141,'VKT US'!$B$63:$AA$113,(O$113+1),FALSE)/VLOOKUP($A141,'Fuel economy adjusted factor'!$A$2:$F$52,5,FALSE)/$AZ$84*($AZ$15*('US Grid mix, emissions&amp;prices'!$AU$3+INDEX('Year data'!$B$3:$AC$53,MATCH('TCO Inputs'!$A141,'Year data'!$A$111:$A$161,0),MATCH('TCO Inputs'!$AZ$12+O$113-1,'Year data'!$B$110:$AC$110,0))/100)+$BA$15*('US Grid mix, emissions&amp;prices'!$AU$4+INDEX('Year data'!$B$57:$AC$107,MATCH($A141,'Year data'!$A$111:$A$161,0),MATCH('TCO Inputs'!$AZ$12+O$113-1,'Year data'!$B$110:$AC$110,0))/100))/(1+$AZ$41)^O$113</f>
        <v>708.91416815118259</v>
      </c>
      <c r="P141" s="106">
        <f>VLOOKUP($A141,'VKT US'!$B$63:$AA$113,(P$113+1),FALSE)/VLOOKUP($A141,'Fuel economy adjusted factor'!$A$2:$F$52,5,FALSE)/$AZ$84*($AZ$15*('US Grid mix, emissions&amp;prices'!$AU$3+INDEX('Year data'!$B$3:$AC$53,MATCH('TCO Inputs'!$A141,'Year data'!$A$111:$A$161,0),MATCH('TCO Inputs'!$AZ$12+P$113-1,'Year data'!$B$110:$AC$110,0))/100)+$BA$15*('US Grid mix, emissions&amp;prices'!$AU$4+INDEX('Year data'!$B$57:$AC$107,MATCH($A141,'Year data'!$A$111:$A$161,0),MATCH('TCO Inputs'!$AZ$12+P$113-1,'Year data'!$B$110:$AC$110,0))/100))/(1+$AZ$41)^P$113</f>
        <v>686.32476531125508</v>
      </c>
      <c r="Q141" s="106">
        <f>VLOOKUP($A141,'VKT US'!$B$63:$AA$113,(Q$113+1),FALSE)/VLOOKUP($A141,'Fuel economy adjusted factor'!$A$2:$F$52,5,FALSE)/$AZ$84*($AZ$15*('US Grid mix, emissions&amp;prices'!$AU$3+INDEX('Year data'!$B$3:$AC$53,MATCH('TCO Inputs'!$A141,'Year data'!$A$111:$A$161,0),MATCH('TCO Inputs'!$AZ$12+Q$113-1,'Year data'!$B$110:$AC$110,0))/100)+$BA$15*('US Grid mix, emissions&amp;prices'!$AU$4+INDEX('Year data'!$B$57:$AC$107,MATCH($A141,'Year data'!$A$111:$A$161,0),MATCH('TCO Inputs'!$AZ$12+Q$113-1,'Year data'!$B$110:$AC$110,0))/100))/(1+$AZ$41)^Q$113</f>
        <v>666.51263716346978</v>
      </c>
      <c r="R141" s="106">
        <f>VLOOKUP($A141,'VKT US'!$B$63:$AA$113,(R$113+1),FALSE)/VLOOKUP($A141,'Fuel economy adjusted factor'!$A$2:$F$52,5,FALSE)/$AZ$84*($AZ$15*('US Grid mix, emissions&amp;prices'!$AU$3+INDEX('Year data'!$B$3:$AC$53,MATCH('TCO Inputs'!$A141,'Year data'!$A$111:$A$161,0),MATCH('TCO Inputs'!$AZ$12+R$113-1,'Year data'!$B$110:$AC$110,0))/100)+$BA$15*('US Grid mix, emissions&amp;prices'!$AU$4+INDEX('Year data'!$B$57:$AC$107,MATCH($A141,'Year data'!$A$111:$A$161,0),MATCH('TCO Inputs'!$AZ$12+R$113-1,'Year data'!$B$110:$AC$110,0))/100))/(1+$AZ$41)^R$113</f>
        <v>646.45788416209541</v>
      </c>
      <c r="S141" s="106">
        <f>VLOOKUP($A141,'VKT US'!$B$63:$AA$113,(S$113+1),FALSE)/VLOOKUP($A141,'Fuel economy adjusted factor'!$A$2:$F$52,5,FALSE)/$AZ$84*($AZ$15*('US Grid mix, emissions&amp;prices'!$AU$3+INDEX('Year data'!$B$3:$AC$53,MATCH('TCO Inputs'!$A141,'Year data'!$A$111:$A$161,0),MATCH('TCO Inputs'!$AZ$12+S$113-1,'Year data'!$B$110:$AC$110,0))/100)+$BA$15*('US Grid mix, emissions&amp;prices'!$AU$4+INDEX('Year data'!$B$57:$AC$107,MATCH($A141,'Year data'!$A$111:$A$161,0),MATCH('TCO Inputs'!$AZ$12+S$113-1,'Year data'!$B$110:$AC$110,0))/100))/(1+$AZ$41)^S$113</f>
        <v>627.6691484913265</v>
      </c>
      <c r="T141" s="106">
        <f>VLOOKUP($A141,'VKT US'!$B$63:$AA$113,(T$113+1),FALSE)/VLOOKUP($A141,'Fuel economy adjusted factor'!$A$2:$F$52,5,FALSE)/$AZ$84*($AZ$15*('US Grid mix, emissions&amp;prices'!$AU$3+INDEX('Year data'!$B$3:$AC$53,MATCH('TCO Inputs'!$A141,'Year data'!$A$111:$A$161,0),MATCH('TCO Inputs'!$AZ$12+T$113-1,'Year data'!$B$110:$AC$110,0))/100)+$BA$15*('US Grid mix, emissions&amp;prices'!$AU$4+INDEX('Year data'!$B$57:$AC$107,MATCH($A141,'Year data'!$A$111:$A$161,0),MATCH('TCO Inputs'!$AZ$12+T$113-1,'Year data'!$B$110:$AC$110,0))/100))/(1+$AZ$41)^T$113</f>
        <v>609.41100457523532</v>
      </c>
      <c r="U141" s="106">
        <f>VLOOKUP($A141,'VKT US'!$B$63:$AA$113,(U$113+1),FALSE)/VLOOKUP($A141,'Fuel economy adjusted factor'!$A$2:$F$52,5,FALSE)/$AZ$84*($AZ$15*('US Grid mix, emissions&amp;prices'!$AU$3+INDEX('Year data'!$B$3:$AC$53,MATCH('TCO Inputs'!$A141,'Year data'!$A$111:$A$161,0),MATCH('TCO Inputs'!$AZ$12+U$113-1,'Year data'!$B$110:$AC$110,0))/100)+$BA$15*('US Grid mix, emissions&amp;prices'!$AU$4+INDEX('Year data'!$B$57:$AC$107,MATCH($A141,'Year data'!$A$111:$A$161,0),MATCH('TCO Inputs'!$AZ$12+U$113-1,'Year data'!$B$110:$AC$110,0))/100))/(1+$AZ$41)^U$113</f>
        <v>591.47150806694742</v>
      </c>
      <c r="V141" s="110" cm="1">
        <f t="array" ref="V141">SUMPRODUCT(INDEX(B141:U141,,_xlfn.SEQUENCE($AZ$13)))</f>
        <v>12966.752251545513</v>
      </c>
      <c r="Y141" s="102" t="s">
        <v>215</v>
      </c>
      <c r="Z141" s="106">
        <f>VLOOKUP($A141,'VKT US'!$B$63:$AA$113,(Z$113+1),FALSE)/VLOOKUP($A141,'Fuel economy adjusted factor'!$A$2:$F$52,5,FALSE)/$AZ$84</f>
        <v>6045.0885340911018</v>
      </c>
      <c r="AA141" s="106">
        <f>VLOOKUP($A141,'VKT US'!$B$63:$AA$113,(AA$113+1),FALSE)/VLOOKUP($A141,'Fuel economy adjusted factor'!$A$2:$F$52,5,FALSE)/$AZ$84</f>
        <v>5865.2894815322279</v>
      </c>
      <c r="AB141" s="106">
        <f>VLOOKUP($A141,'VKT US'!$B$63:$AA$113,(AB$113+1),FALSE)/VLOOKUP($A141,'Fuel economy adjusted factor'!$A$2:$F$52,5,FALSE)/$AZ$84</f>
        <v>5691.1637000492401</v>
      </c>
      <c r="AC141" s="106">
        <f>VLOOKUP($A141,'VKT US'!$B$63:$AA$113,(AC$113+1),FALSE)/VLOOKUP($A141,'Fuel economy adjusted factor'!$A$2:$F$52,5,FALSE)/$AZ$84</f>
        <v>5523.1475951095135</v>
      </c>
      <c r="AD141" s="106">
        <f>VLOOKUP($A141,'VKT US'!$B$63:$AA$113,(AD$113+1),FALSE)/VLOOKUP($A141,'Fuel economy adjusted factor'!$A$2:$F$52,5,FALSE)/$AZ$84</f>
        <v>5360.8047612456758</v>
      </c>
      <c r="AE141" s="106">
        <f>VLOOKUP($A141,'VKT US'!$B$63:$AA$113,(AE$113+1),FALSE)/VLOOKUP($A141,'Fuel economy adjusted factor'!$A$2:$F$52,5,FALSE)/$AZ$84</f>
        <v>5205.0080093924762</v>
      </c>
      <c r="AF141" s="106">
        <f>VLOOKUP($A141,'VKT US'!$B$63:$AA$113,(AF$113+1),FALSE)/VLOOKUP($A141,'Fuel economy adjusted factor'!$A$2:$F$52,5,FALSE)/$AZ$84</f>
        <v>5054.4481231477876</v>
      </c>
      <c r="AG141" s="106">
        <f>VLOOKUP($A141,'VKT US'!$B$63:$AA$113,(AG$113+1),FALSE)/VLOOKUP($A141,'Fuel economy adjusted factor'!$A$2:$F$52,5,FALSE)/$AZ$84</f>
        <v>4909.9979134463611</v>
      </c>
      <c r="AH141" s="106">
        <f>VLOOKUP($A141,'VKT US'!$B$63:$AA$113,(AH$113+1),FALSE)/VLOOKUP($A141,'Fuel economy adjusted factor'!$A$2:$F$52,5,FALSE)/$AZ$84</f>
        <v>4771.6573802881976</v>
      </c>
      <c r="AI141" s="106">
        <f>VLOOKUP($A141,'VKT US'!$B$63:$AA$113,(AI$113+1),FALSE)/VLOOKUP($A141,'Fuel economy adjusted factor'!$A$2:$F$52,5,FALSE)/$AZ$84</f>
        <v>4639.4265236732972</v>
      </c>
      <c r="AJ141" s="106">
        <f>VLOOKUP($A141,'VKT US'!$B$63:$AA$113,(AJ$113+1),FALSE)/VLOOKUP($A141,'Fuel economy adjusted factor'!$A$2:$F$52,5,FALSE)/$AZ$84</f>
        <v>4512.8689381342829</v>
      </c>
      <c r="AK141" s="106">
        <f>VLOOKUP($A141,'VKT US'!$B$63:$AA$113,(AK$113+1),FALSE)/VLOOKUP($A141,'Fuel economy adjusted factor'!$A$2:$F$52,5,FALSE)/$AZ$84</f>
        <v>4392.4210291385316</v>
      </c>
      <c r="AL141" s="106">
        <f>VLOOKUP($A141,'VKT US'!$B$63:$AA$113,(AL$113+1),FALSE)/VLOOKUP($A141,'Fuel economy adjusted factor'!$A$2:$F$52,5,FALSE)/$AZ$84</f>
        <v>4277.6463912186682</v>
      </c>
      <c r="AM141" s="106">
        <f>VLOOKUP($A141,'VKT US'!$B$63:$AA$113,(AM$113+1),FALSE)/VLOOKUP($A141,'Fuel economy adjusted factor'!$A$2:$F$52,5,FALSE)/$AZ$84</f>
        <v>4168.9814298420661</v>
      </c>
      <c r="AN141" s="106">
        <f>VLOOKUP($A141,'VKT US'!$B$63:$AA$113,(AN$113+1),FALSE)/VLOOKUP($A141,'Fuel economy adjusted factor'!$A$2:$F$52,5,FALSE)/$AZ$84</f>
        <v>4065.9897395413514</v>
      </c>
      <c r="AO141" s="106">
        <f>VLOOKUP($A141,'VKT US'!$B$63:$AA$113,(AO$113+1),FALSE)/VLOOKUP($A141,'Fuel economy adjusted factor'!$A$2:$F$52,5,FALSE)/$AZ$84</f>
        <v>3969.5441312512748</v>
      </c>
      <c r="AP141" s="106">
        <f>VLOOKUP($A141,'VKT US'!$B$63:$AA$113,(AP$113+1),FALSE)/VLOOKUP($A141,'Fuel economy adjusted factor'!$A$2:$F$52,5,FALSE)/$AZ$84</f>
        <v>3878.3353885697093</v>
      </c>
      <c r="AQ141" s="106">
        <f>VLOOKUP($A141,'VKT US'!$B$63:$AA$113,(AQ$113+1),FALSE)/VLOOKUP($A141,'Fuel economy adjusted factor'!$A$2:$F$52,5,FALSE)/$AZ$84</f>
        <v>3793.6727278987837</v>
      </c>
      <c r="AR141" s="106">
        <f>VLOOKUP($A141,'VKT US'!$B$63:$AA$113,(AR$113+1),FALSE)/VLOOKUP($A141,'Fuel economy adjusted factor'!$A$2:$F$52,5,FALSE)/$AZ$84</f>
        <v>3714.2469328363677</v>
      </c>
      <c r="AS141" s="106">
        <f>VLOOKUP($A141,'VKT US'!$B$63:$AA$113,(AS$113+1),FALSE)/VLOOKUP($A141,'Fuel economy adjusted factor'!$A$2:$F$52,5,FALSE)/$AZ$84</f>
        <v>3641.3672197845908</v>
      </c>
      <c r="AT141" s="110" cm="1">
        <f t="array" ref="AT141">SUMPRODUCT(INDEX(Z141:AS141,,_xlfn.SEQUENCE($AZ$13)))</f>
        <v>70417.949810309437</v>
      </c>
    </row>
    <row r="142" spans="1:46" x14ac:dyDescent="0.25">
      <c r="A142" s="102" t="s">
        <v>212</v>
      </c>
      <c r="B142" s="106">
        <f>VLOOKUP($A142,'VKT US'!$B$63:$AA$113,(B$113+1),FALSE)/VLOOKUP($A142,'Fuel economy adjusted factor'!$A$2:$F$52,5,FALSE)/$AZ$84*($AZ$15*('US Grid mix, emissions&amp;prices'!$AU$3+INDEX('Year data'!$B$3:$AC$53,MATCH('TCO Inputs'!$A142,'Year data'!$A$111:$A$161,0),MATCH('TCO Inputs'!$AZ$12+B$113-1,'Year data'!$B$110:$AC$110,0))/100)+$BA$15*('US Grid mix, emissions&amp;prices'!$AU$4+INDEX('Year data'!$B$57:$AC$107,MATCH($A142,'Year data'!$A$111:$A$161,0),MATCH('TCO Inputs'!$AZ$12+B$113-1,'Year data'!$B$110:$AC$110,0))/100))/(1+$AZ$41)^B$113</f>
        <v>1642.2395313215318</v>
      </c>
      <c r="C142" s="106">
        <f>VLOOKUP($A142,'VKT US'!$B$63:$AA$113,(C$113+1),FALSE)/VLOOKUP($A142,'Fuel economy adjusted factor'!$A$2:$F$52,5,FALSE)/$AZ$84*($AZ$15*('US Grid mix, emissions&amp;prices'!$AU$3+INDEX('Year data'!$B$3:$AC$53,MATCH('TCO Inputs'!$A142,'Year data'!$A$111:$A$161,0),MATCH('TCO Inputs'!$AZ$12+C$113-1,'Year data'!$B$110:$AC$110,0))/100)+$BA$15*('US Grid mix, emissions&amp;prices'!$AU$4+INDEX('Year data'!$B$57:$AC$107,MATCH($A142,'Year data'!$A$111:$A$161,0),MATCH('TCO Inputs'!$AZ$12+C$113-1,'Year data'!$B$110:$AC$110,0))/100))/(1+$AZ$41)^C$113</f>
        <v>1543.105465982132</v>
      </c>
      <c r="D142" s="106">
        <f>VLOOKUP($A142,'VKT US'!$B$63:$AA$113,(D$113+1),FALSE)/VLOOKUP($A142,'Fuel economy adjusted factor'!$A$2:$F$52,5,FALSE)/$AZ$84*($AZ$15*('US Grid mix, emissions&amp;prices'!$AU$3+INDEX('Year data'!$B$3:$AC$53,MATCH('TCO Inputs'!$A142,'Year data'!$A$111:$A$161,0),MATCH('TCO Inputs'!$AZ$12+D$113-1,'Year data'!$B$110:$AC$110,0))/100)+$BA$15*('US Grid mix, emissions&amp;prices'!$AU$4+INDEX('Year data'!$B$57:$AC$107,MATCH($A142,'Year data'!$A$111:$A$161,0),MATCH('TCO Inputs'!$AZ$12+D$113-1,'Year data'!$B$110:$AC$110,0))/100))/(1+$AZ$41)^D$113</f>
        <v>1442.3680706375901</v>
      </c>
      <c r="E142" s="106">
        <f>VLOOKUP($A142,'VKT US'!$B$63:$AA$113,(E$113+1),FALSE)/VLOOKUP($A142,'Fuel economy adjusted factor'!$A$2:$F$52,5,FALSE)/$AZ$84*($AZ$15*('US Grid mix, emissions&amp;prices'!$AU$3+INDEX('Year data'!$B$3:$AC$53,MATCH('TCO Inputs'!$A142,'Year data'!$A$111:$A$161,0),MATCH('TCO Inputs'!$AZ$12+E$113-1,'Year data'!$B$110:$AC$110,0))/100)+$BA$15*('US Grid mix, emissions&amp;prices'!$AU$4+INDEX('Year data'!$B$57:$AC$107,MATCH($A142,'Year data'!$A$111:$A$161,0),MATCH('TCO Inputs'!$AZ$12+E$113-1,'Year data'!$B$110:$AC$110,0))/100))/(1+$AZ$41)^E$113</f>
        <v>1362.6689468942629</v>
      </c>
      <c r="F142" s="106">
        <f>VLOOKUP($A142,'VKT US'!$B$63:$AA$113,(F$113+1),FALSE)/VLOOKUP($A142,'Fuel economy adjusted factor'!$A$2:$F$52,5,FALSE)/$AZ$84*($AZ$15*('US Grid mix, emissions&amp;prices'!$AU$3+INDEX('Year data'!$B$3:$AC$53,MATCH('TCO Inputs'!$A142,'Year data'!$A$111:$A$161,0),MATCH('TCO Inputs'!$AZ$12+F$113-1,'Year data'!$B$110:$AC$110,0))/100)+$BA$15*('US Grid mix, emissions&amp;prices'!$AU$4+INDEX('Year data'!$B$57:$AC$107,MATCH($A142,'Year data'!$A$111:$A$161,0),MATCH('TCO Inputs'!$AZ$12+F$113-1,'Year data'!$B$110:$AC$110,0))/100))/(1+$AZ$41)^F$113</f>
        <v>1292.1146570036783</v>
      </c>
      <c r="G142" s="106">
        <f>VLOOKUP($A142,'VKT US'!$B$63:$AA$113,(G$113+1),FALSE)/VLOOKUP($A142,'Fuel economy adjusted factor'!$A$2:$F$52,5,FALSE)/$AZ$84*($AZ$15*('US Grid mix, emissions&amp;prices'!$AU$3+INDEX('Year data'!$B$3:$AC$53,MATCH('TCO Inputs'!$A142,'Year data'!$A$111:$A$161,0),MATCH('TCO Inputs'!$AZ$12+G$113-1,'Year data'!$B$110:$AC$110,0))/100)+$BA$15*('US Grid mix, emissions&amp;prices'!$AU$4+INDEX('Year data'!$B$57:$AC$107,MATCH($A142,'Year data'!$A$111:$A$161,0),MATCH('TCO Inputs'!$AZ$12+G$113-1,'Year data'!$B$110:$AC$110,0))/100))/(1+$AZ$41)^G$113</f>
        <v>1229.5487944697729</v>
      </c>
      <c r="H142" s="106">
        <f>VLOOKUP($A142,'VKT US'!$B$63:$AA$113,(H$113+1),FALSE)/VLOOKUP($A142,'Fuel economy adjusted factor'!$A$2:$F$52,5,FALSE)/$AZ$84*($AZ$15*('US Grid mix, emissions&amp;prices'!$AU$3+INDEX('Year data'!$B$3:$AC$53,MATCH('TCO Inputs'!$A142,'Year data'!$A$111:$A$161,0),MATCH('TCO Inputs'!$AZ$12+H$113-1,'Year data'!$B$110:$AC$110,0))/100)+$BA$15*('US Grid mix, emissions&amp;prices'!$AU$4+INDEX('Year data'!$B$57:$AC$107,MATCH($A142,'Year data'!$A$111:$A$161,0),MATCH('TCO Inputs'!$AZ$12+H$113-1,'Year data'!$B$110:$AC$110,0))/100))/(1+$AZ$41)^H$113</f>
        <v>1176.5960498833172</v>
      </c>
      <c r="I142" s="106">
        <f>VLOOKUP($A142,'VKT US'!$B$63:$AA$113,(I$113+1),FALSE)/VLOOKUP($A142,'Fuel economy adjusted factor'!$A$2:$F$52,5,FALSE)/$AZ$84*($AZ$15*('US Grid mix, emissions&amp;prices'!$AU$3+INDEX('Year data'!$B$3:$AC$53,MATCH('TCO Inputs'!$A142,'Year data'!$A$111:$A$161,0),MATCH('TCO Inputs'!$AZ$12+I$113-1,'Year data'!$B$110:$AC$110,0))/100)+$BA$15*('US Grid mix, emissions&amp;prices'!$AU$4+INDEX('Year data'!$B$57:$AC$107,MATCH($A142,'Year data'!$A$111:$A$161,0),MATCH('TCO Inputs'!$AZ$12+I$113-1,'Year data'!$B$110:$AC$110,0))/100))/(1+$AZ$41)^I$113</f>
        <v>1131.0795166624116</v>
      </c>
      <c r="J142" s="106">
        <f>VLOOKUP($A142,'VKT US'!$B$63:$AA$113,(J$113+1),FALSE)/VLOOKUP($A142,'Fuel economy adjusted factor'!$A$2:$F$52,5,FALSE)/$AZ$84*($AZ$15*('US Grid mix, emissions&amp;prices'!$AU$3+INDEX('Year data'!$B$3:$AC$53,MATCH('TCO Inputs'!$A142,'Year data'!$A$111:$A$161,0),MATCH('TCO Inputs'!$AZ$12+J$113-1,'Year data'!$B$110:$AC$110,0))/100)+$BA$15*('US Grid mix, emissions&amp;prices'!$AU$4+INDEX('Year data'!$B$57:$AC$107,MATCH($A142,'Year data'!$A$111:$A$161,0),MATCH('TCO Inputs'!$AZ$12+J$113-1,'Year data'!$B$110:$AC$110,0))/100))/(1+$AZ$41)^J$113</f>
        <v>1089.6104091597692</v>
      </c>
      <c r="K142" s="106">
        <f>VLOOKUP($A142,'VKT US'!$B$63:$AA$113,(K$113+1),FALSE)/VLOOKUP($A142,'Fuel economy adjusted factor'!$A$2:$F$52,5,FALSE)/$AZ$84*($AZ$15*('US Grid mix, emissions&amp;prices'!$AU$3+INDEX('Year data'!$B$3:$AC$53,MATCH('TCO Inputs'!$A142,'Year data'!$A$111:$A$161,0),MATCH('TCO Inputs'!$AZ$12+K$113-1,'Year data'!$B$110:$AC$110,0))/100)+$BA$15*('US Grid mix, emissions&amp;prices'!$AU$4+INDEX('Year data'!$B$57:$AC$107,MATCH($A142,'Year data'!$A$111:$A$161,0),MATCH('TCO Inputs'!$AZ$12+K$113-1,'Year data'!$B$110:$AC$110,0))/100))/(1+$AZ$41)^K$113</f>
        <v>1049.7992752156697</v>
      </c>
      <c r="L142" s="106">
        <f>VLOOKUP($A142,'VKT US'!$B$63:$AA$113,(L$113+1),FALSE)/VLOOKUP($A142,'Fuel economy adjusted factor'!$A$2:$F$52,5,FALSE)/$AZ$84*($AZ$15*('US Grid mix, emissions&amp;prices'!$AU$3+INDEX('Year data'!$B$3:$AC$53,MATCH('TCO Inputs'!$A142,'Year data'!$A$111:$A$161,0),MATCH('TCO Inputs'!$AZ$12+L$113-1,'Year data'!$B$110:$AC$110,0))/100)+$BA$15*('US Grid mix, emissions&amp;prices'!$AU$4+INDEX('Year data'!$B$57:$AC$107,MATCH($A142,'Year data'!$A$111:$A$161,0),MATCH('TCO Inputs'!$AZ$12+L$113-1,'Year data'!$B$110:$AC$110,0))/100))/(1+$AZ$41)^L$113</f>
        <v>1020.1004711151554</v>
      </c>
      <c r="M142" s="106">
        <f>VLOOKUP($A142,'VKT US'!$B$63:$AA$113,(M$113+1),FALSE)/VLOOKUP($A142,'Fuel economy adjusted factor'!$A$2:$F$52,5,FALSE)/$AZ$84*($AZ$15*('US Grid mix, emissions&amp;prices'!$AU$3+INDEX('Year data'!$B$3:$AC$53,MATCH('TCO Inputs'!$A142,'Year data'!$A$111:$A$161,0),MATCH('TCO Inputs'!$AZ$12+M$113-1,'Year data'!$B$110:$AC$110,0))/100)+$BA$15*('US Grid mix, emissions&amp;prices'!$AU$4+INDEX('Year data'!$B$57:$AC$107,MATCH($A142,'Year data'!$A$111:$A$161,0),MATCH('TCO Inputs'!$AZ$12+M$113-1,'Year data'!$B$110:$AC$110,0))/100))/(1+$AZ$41)^M$113</f>
        <v>989.10440084821676</v>
      </c>
      <c r="N142" s="106">
        <f>VLOOKUP($A142,'VKT US'!$B$63:$AA$113,(N$113+1),FALSE)/VLOOKUP($A142,'Fuel economy adjusted factor'!$A$2:$F$52,5,FALSE)/$AZ$84*($AZ$15*('US Grid mix, emissions&amp;prices'!$AU$3+INDEX('Year data'!$B$3:$AC$53,MATCH('TCO Inputs'!$A142,'Year data'!$A$111:$A$161,0),MATCH('TCO Inputs'!$AZ$12+N$113-1,'Year data'!$B$110:$AC$110,0))/100)+$BA$15*('US Grid mix, emissions&amp;prices'!$AU$4+INDEX('Year data'!$B$57:$AC$107,MATCH($A142,'Year data'!$A$111:$A$161,0),MATCH('TCO Inputs'!$AZ$12+N$113-1,'Year data'!$B$110:$AC$110,0))/100))/(1+$AZ$41)^N$113</f>
        <v>952.16372076213474</v>
      </c>
      <c r="O142" s="106">
        <f>VLOOKUP($A142,'VKT US'!$B$63:$AA$113,(O$113+1),FALSE)/VLOOKUP($A142,'Fuel economy adjusted factor'!$A$2:$F$52,5,FALSE)/$AZ$84*($AZ$15*('US Grid mix, emissions&amp;prices'!$AU$3+INDEX('Year data'!$B$3:$AC$53,MATCH('TCO Inputs'!$A142,'Year data'!$A$111:$A$161,0),MATCH('TCO Inputs'!$AZ$12+O$113-1,'Year data'!$B$110:$AC$110,0))/100)+$BA$15*('US Grid mix, emissions&amp;prices'!$AU$4+INDEX('Year data'!$B$57:$AC$107,MATCH($A142,'Year data'!$A$111:$A$161,0),MATCH('TCO Inputs'!$AZ$12+O$113-1,'Year data'!$B$110:$AC$110,0))/100))/(1+$AZ$41)^O$113</f>
        <v>920.91666066159644</v>
      </c>
      <c r="P142" s="106">
        <f>VLOOKUP($A142,'VKT US'!$B$63:$AA$113,(P$113+1),FALSE)/VLOOKUP($A142,'Fuel economy adjusted factor'!$A$2:$F$52,5,FALSE)/$AZ$84*($AZ$15*('US Grid mix, emissions&amp;prices'!$AU$3+INDEX('Year data'!$B$3:$AC$53,MATCH('TCO Inputs'!$A142,'Year data'!$A$111:$A$161,0),MATCH('TCO Inputs'!$AZ$12+P$113-1,'Year data'!$B$110:$AC$110,0))/100)+$BA$15*('US Grid mix, emissions&amp;prices'!$AU$4+INDEX('Year data'!$B$57:$AC$107,MATCH($A142,'Year data'!$A$111:$A$161,0),MATCH('TCO Inputs'!$AZ$12+P$113-1,'Year data'!$B$110:$AC$110,0))/100))/(1+$AZ$41)^P$113</f>
        <v>892.20684019786302</v>
      </c>
      <c r="Q142" s="106">
        <f>VLOOKUP($A142,'VKT US'!$B$63:$AA$113,(Q$113+1),FALSE)/VLOOKUP($A142,'Fuel economy adjusted factor'!$A$2:$F$52,5,FALSE)/$AZ$84*($AZ$15*('US Grid mix, emissions&amp;prices'!$AU$3+INDEX('Year data'!$B$3:$AC$53,MATCH('TCO Inputs'!$A142,'Year data'!$A$111:$A$161,0),MATCH('TCO Inputs'!$AZ$12+Q$113-1,'Year data'!$B$110:$AC$110,0))/100)+$BA$15*('US Grid mix, emissions&amp;prices'!$AU$4+INDEX('Year data'!$B$57:$AC$107,MATCH($A142,'Year data'!$A$111:$A$161,0),MATCH('TCO Inputs'!$AZ$12+Q$113-1,'Year data'!$B$110:$AC$110,0))/100))/(1+$AZ$41)^Q$113</f>
        <v>867.39240720462692</v>
      </c>
      <c r="R142" s="106">
        <f>VLOOKUP($A142,'VKT US'!$B$63:$AA$113,(R$113+1),FALSE)/VLOOKUP($A142,'Fuel economy adjusted factor'!$A$2:$F$52,5,FALSE)/$AZ$84*($AZ$15*('US Grid mix, emissions&amp;prices'!$AU$3+INDEX('Year data'!$B$3:$AC$53,MATCH('TCO Inputs'!$A142,'Year data'!$A$111:$A$161,0),MATCH('TCO Inputs'!$AZ$12+R$113-1,'Year data'!$B$110:$AC$110,0))/100)+$BA$15*('US Grid mix, emissions&amp;prices'!$AU$4+INDEX('Year data'!$B$57:$AC$107,MATCH($A142,'Year data'!$A$111:$A$161,0),MATCH('TCO Inputs'!$AZ$12+R$113-1,'Year data'!$B$110:$AC$110,0))/100))/(1+$AZ$41)^R$113</f>
        <v>841.91940428760847</v>
      </c>
      <c r="S142" s="106">
        <f>VLOOKUP($A142,'VKT US'!$B$63:$AA$113,(S$113+1),FALSE)/VLOOKUP($A142,'Fuel economy adjusted factor'!$A$2:$F$52,5,FALSE)/$AZ$84*($AZ$15*('US Grid mix, emissions&amp;prices'!$AU$3+INDEX('Year data'!$B$3:$AC$53,MATCH('TCO Inputs'!$A142,'Year data'!$A$111:$A$161,0),MATCH('TCO Inputs'!$AZ$12+S$113-1,'Year data'!$B$110:$AC$110,0))/100)+$BA$15*('US Grid mix, emissions&amp;prices'!$AU$4+INDEX('Year data'!$B$57:$AC$107,MATCH($A142,'Year data'!$A$111:$A$161,0),MATCH('TCO Inputs'!$AZ$12+S$113-1,'Year data'!$B$110:$AC$110,0))/100))/(1+$AZ$41)^S$113</f>
        <v>818.02642920691926</v>
      </c>
      <c r="T142" s="106">
        <f>VLOOKUP($A142,'VKT US'!$B$63:$AA$113,(T$113+1),FALSE)/VLOOKUP($A142,'Fuel economy adjusted factor'!$A$2:$F$52,5,FALSE)/$AZ$84*($AZ$15*('US Grid mix, emissions&amp;prices'!$AU$3+INDEX('Year data'!$B$3:$AC$53,MATCH('TCO Inputs'!$A142,'Year data'!$A$111:$A$161,0),MATCH('TCO Inputs'!$AZ$12+T$113-1,'Year data'!$B$110:$AC$110,0))/100)+$BA$15*('US Grid mix, emissions&amp;prices'!$AU$4+INDEX('Year data'!$B$57:$AC$107,MATCH($A142,'Year data'!$A$111:$A$161,0),MATCH('TCO Inputs'!$AZ$12+T$113-1,'Year data'!$B$110:$AC$110,0))/100))/(1+$AZ$41)^T$113</f>
        <v>794.67094268308699</v>
      </c>
      <c r="U142" s="106">
        <f>VLOOKUP($A142,'VKT US'!$B$63:$AA$113,(U$113+1),FALSE)/VLOOKUP($A142,'Fuel economy adjusted factor'!$A$2:$F$52,5,FALSE)/$AZ$84*($AZ$15*('US Grid mix, emissions&amp;prices'!$AU$3+INDEX('Year data'!$B$3:$AC$53,MATCH('TCO Inputs'!$A142,'Year data'!$A$111:$A$161,0),MATCH('TCO Inputs'!$AZ$12+U$113-1,'Year data'!$B$110:$AC$110,0))/100)+$BA$15*('US Grid mix, emissions&amp;prices'!$AU$4+INDEX('Year data'!$B$57:$AC$107,MATCH($A142,'Year data'!$A$111:$A$161,0),MATCH('TCO Inputs'!$AZ$12+U$113-1,'Year data'!$B$110:$AC$110,0))/100))/(1+$AZ$41)^U$113</f>
        <v>771.48270358327625</v>
      </c>
      <c r="V142" s="110" cm="1">
        <f t="array" ref="V142">SUMPRODUCT(INDEX(B142:U142,,_xlfn.SEQUENCE($AZ$13)))</f>
        <v>16841.415970617243</v>
      </c>
      <c r="Y142" s="102" t="s">
        <v>212</v>
      </c>
      <c r="Z142" s="106">
        <f>VLOOKUP($A142,'VKT US'!$B$63:$AA$113,(Z$113+1),FALSE)/VLOOKUP($A142,'Fuel economy adjusted factor'!$A$2:$F$52,5,FALSE)/$AZ$84</f>
        <v>5277.0199319290241</v>
      </c>
      <c r="AA142" s="106">
        <f>VLOOKUP($A142,'VKT US'!$B$63:$AA$113,(AA$113+1),FALSE)/VLOOKUP($A142,'Fuel economy adjusted factor'!$A$2:$F$52,5,FALSE)/$AZ$84</f>
        <v>5120.0655418081196</v>
      </c>
      <c r="AB142" s="106">
        <f>VLOOKUP($A142,'VKT US'!$B$63:$AA$113,(AB$113+1),FALSE)/VLOOKUP($A142,'Fuel economy adjusted factor'!$A$2:$F$52,5,FALSE)/$AZ$84</f>
        <v>4968.0635960356922</v>
      </c>
      <c r="AC142" s="106">
        <f>VLOOKUP($A142,'VKT US'!$B$63:$AA$113,(AC$113+1),FALSE)/VLOOKUP($A142,'Fuel economy adjusted factor'!$A$2:$F$52,5,FALSE)/$AZ$84</f>
        <v>4821.3950518693127</v>
      </c>
      <c r="AD142" s="106">
        <f>VLOOKUP($A142,'VKT US'!$B$63:$AA$113,(AD$113+1),FALSE)/VLOOKUP($A142,'Fuel economy adjusted factor'!$A$2:$F$52,5,FALSE)/$AZ$84</f>
        <v>4679.6789520514094</v>
      </c>
      <c r="AE142" s="106">
        <f>VLOOKUP($A142,'VKT US'!$B$63:$AA$113,(AE$113+1),FALSE)/VLOOKUP($A142,'Fuel economy adjusted factor'!$A$2:$F$52,5,FALSE)/$AZ$84</f>
        <v>4543.6772110971315</v>
      </c>
      <c r="AF142" s="106">
        <f>VLOOKUP($A142,'VKT US'!$B$63:$AA$113,(AF$113+1),FALSE)/VLOOKUP($A142,'Fuel economy adjusted factor'!$A$2:$F$52,5,FALSE)/$AZ$84</f>
        <v>4412.2469572337541</v>
      </c>
      <c r="AG142" s="106">
        <f>VLOOKUP($A142,'VKT US'!$B$63:$AA$113,(AG$113+1),FALSE)/VLOOKUP($A142,'Fuel economy adjusted factor'!$A$2:$F$52,5,FALSE)/$AZ$84</f>
        <v>4286.1501049764256</v>
      </c>
      <c r="AH142" s="106">
        <f>VLOOKUP($A142,'VKT US'!$B$63:$AA$113,(AH$113+1),FALSE)/VLOOKUP($A142,'Fuel economy adjusted factor'!$A$2:$F$52,5,FALSE)/$AZ$84</f>
        <v>4165.3866543251479</v>
      </c>
      <c r="AI142" s="106">
        <f>VLOOKUP($A142,'VKT US'!$B$63:$AA$113,(AI$113+1),FALSE)/VLOOKUP($A142,'Fuel economy adjusted factor'!$A$2:$F$52,5,FALSE)/$AZ$84</f>
        <v>4049.9566052799205</v>
      </c>
      <c r="AJ142" s="106">
        <f>VLOOKUP($A142,'VKT US'!$B$63:$AA$113,(AJ$113+1),FALSE)/VLOOKUP($A142,'Fuel economy adjusted factor'!$A$2:$F$52,5,FALSE)/$AZ$84</f>
        <v>3939.4790005831674</v>
      </c>
      <c r="AK142" s="106">
        <f>VLOOKUP($A142,'VKT US'!$B$63:$AA$113,(AK$113+1),FALSE)/VLOOKUP($A142,'Fuel economy adjusted factor'!$A$2:$F$52,5,FALSE)/$AZ$84</f>
        <v>3834.334797492465</v>
      </c>
      <c r="AL142" s="106">
        <f>VLOOKUP($A142,'VKT US'!$B$63:$AA$113,(AL$113+1),FALSE)/VLOOKUP($A142,'Fuel economy adjusted factor'!$A$2:$F$52,5,FALSE)/$AZ$84</f>
        <v>3734.1430387502378</v>
      </c>
      <c r="AM142" s="106">
        <f>VLOOKUP($A142,'VKT US'!$B$63:$AA$113,(AM$113+1),FALSE)/VLOOKUP($A142,'Fuel economy adjusted factor'!$A$2:$F$52,5,FALSE)/$AZ$84</f>
        <v>3639.2846816140609</v>
      </c>
      <c r="AN142" s="106">
        <f>VLOOKUP($A142,'VKT US'!$B$63:$AA$113,(AN$113+1),FALSE)/VLOOKUP($A142,'Fuel economy adjusted factor'!$A$2:$F$52,5,FALSE)/$AZ$84</f>
        <v>3549.3787688263583</v>
      </c>
      <c r="AO142" s="106">
        <f>VLOOKUP($A142,'VKT US'!$B$63:$AA$113,(AO$113+1),FALSE)/VLOOKUP($A142,'Fuel economy adjusted factor'!$A$2:$F$52,5,FALSE)/$AZ$84</f>
        <v>3465.1872149022806</v>
      </c>
      <c r="AP142" s="106">
        <f>VLOOKUP($A142,'VKT US'!$B$63:$AA$113,(AP$113+1),FALSE)/VLOOKUP($A142,'Fuel economy adjusted factor'!$A$2:$F$52,5,FALSE)/$AZ$84</f>
        <v>3385.5671480691035</v>
      </c>
      <c r="AQ142" s="106">
        <f>VLOOKUP($A142,'VKT US'!$B$63:$AA$113,(AQ$113+1),FALSE)/VLOOKUP($A142,'Fuel economy adjusted factor'!$A$2:$F$52,5,FALSE)/$AZ$84</f>
        <v>3311.6614400995527</v>
      </c>
      <c r="AR142" s="106">
        <f>VLOOKUP($A142,'VKT US'!$B$63:$AA$113,(AR$113+1),FALSE)/VLOOKUP($A142,'Fuel economy adjusted factor'!$A$2:$F$52,5,FALSE)/$AZ$84</f>
        <v>3242.3272192209006</v>
      </c>
      <c r="AS142" s="106">
        <f>VLOOKUP($A142,'VKT US'!$B$63:$AA$113,(AS$113+1),FALSE)/VLOOKUP($A142,'Fuel economy adjusted factor'!$A$2:$F$52,5,FALSE)/$AZ$84</f>
        <v>3178.7073572058739</v>
      </c>
      <c r="AT142" s="110" cm="1">
        <f t="array" ref="AT142">SUMPRODUCT(INDEX(Z142:AS142,,_xlfn.SEQUENCE($AZ$13)))</f>
        <v>61470.882125045871</v>
      </c>
    </row>
    <row r="143" spans="1:46" x14ac:dyDescent="0.25">
      <c r="A143" s="102" t="s">
        <v>213</v>
      </c>
      <c r="B143" s="106">
        <f>VLOOKUP($A143,'VKT US'!$B$63:$AA$113,(B$113+1),FALSE)/VLOOKUP($A143,'Fuel economy adjusted factor'!$A$2:$F$52,5,FALSE)/$AZ$84*($AZ$15*('US Grid mix, emissions&amp;prices'!$AU$3+INDEX('Year data'!$B$3:$AC$53,MATCH('TCO Inputs'!$A143,'Year data'!$A$111:$A$161,0),MATCH('TCO Inputs'!$AZ$12+B$113-1,'Year data'!$B$110:$AC$110,0))/100)+$BA$15*('US Grid mix, emissions&amp;prices'!$AU$4+INDEX('Year data'!$B$57:$AC$107,MATCH($A143,'Year data'!$A$111:$A$161,0),MATCH('TCO Inputs'!$AZ$12+B$113-1,'Year data'!$B$110:$AC$110,0))/100))/(1+$AZ$41)^B$113</f>
        <v>1173.7040761520566</v>
      </c>
      <c r="C143" s="106">
        <f>VLOOKUP($A143,'VKT US'!$B$63:$AA$113,(C$113+1),FALSE)/VLOOKUP($A143,'Fuel economy adjusted factor'!$A$2:$F$52,5,FALSE)/$AZ$84*($AZ$15*('US Grid mix, emissions&amp;prices'!$AU$3+INDEX('Year data'!$B$3:$AC$53,MATCH('TCO Inputs'!$A143,'Year data'!$A$111:$A$161,0),MATCH('TCO Inputs'!$AZ$12+C$113-1,'Year data'!$B$110:$AC$110,0))/100)+$BA$15*('US Grid mix, emissions&amp;prices'!$AU$4+INDEX('Year data'!$B$57:$AC$107,MATCH($A143,'Year data'!$A$111:$A$161,0),MATCH('TCO Inputs'!$AZ$12+C$113-1,'Year data'!$B$110:$AC$110,0))/100))/(1+$AZ$41)^C$113</f>
        <v>1104.5939975441049</v>
      </c>
      <c r="D143" s="106">
        <f>VLOOKUP($A143,'VKT US'!$B$63:$AA$113,(D$113+1),FALSE)/VLOOKUP($A143,'Fuel economy adjusted factor'!$A$2:$F$52,5,FALSE)/$AZ$84*($AZ$15*('US Grid mix, emissions&amp;prices'!$AU$3+INDEX('Year data'!$B$3:$AC$53,MATCH('TCO Inputs'!$A143,'Year data'!$A$111:$A$161,0),MATCH('TCO Inputs'!$AZ$12+D$113-1,'Year data'!$B$110:$AC$110,0))/100)+$BA$15*('US Grid mix, emissions&amp;prices'!$AU$4+INDEX('Year data'!$B$57:$AC$107,MATCH($A143,'Year data'!$A$111:$A$161,0),MATCH('TCO Inputs'!$AZ$12+D$113-1,'Year data'!$B$110:$AC$110,0))/100))/(1+$AZ$41)^D$113</f>
        <v>1034.9882223860516</v>
      </c>
      <c r="E143" s="106">
        <f>VLOOKUP($A143,'VKT US'!$B$63:$AA$113,(E$113+1),FALSE)/VLOOKUP($A143,'Fuel economy adjusted factor'!$A$2:$F$52,5,FALSE)/$AZ$84*($AZ$15*('US Grid mix, emissions&amp;prices'!$AU$3+INDEX('Year data'!$B$3:$AC$53,MATCH('TCO Inputs'!$A143,'Year data'!$A$111:$A$161,0),MATCH('TCO Inputs'!$AZ$12+E$113-1,'Year data'!$B$110:$AC$110,0))/100)+$BA$15*('US Grid mix, emissions&amp;prices'!$AU$4+INDEX('Year data'!$B$57:$AC$107,MATCH($A143,'Year data'!$A$111:$A$161,0),MATCH('TCO Inputs'!$AZ$12+E$113-1,'Year data'!$B$110:$AC$110,0))/100))/(1+$AZ$41)^E$113</f>
        <v>979.24075536962118</v>
      </c>
      <c r="F143" s="106">
        <f>VLOOKUP($A143,'VKT US'!$B$63:$AA$113,(F$113+1),FALSE)/VLOOKUP($A143,'Fuel economy adjusted factor'!$A$2:$F$52,5,FALSE)/$AZ$84*($AZ$15*('US Grid mix, emissions&amp;prices'!$AU$3+INDEX('Year data'!$B$3:$AC$53,MATCH('TCO Inputs'!$A143,'Year data'!$A$111:$A$161,0),MATCH('TCO Inputs'!$AZ$12+F$113-1,'Year data'!$B$110:$AC$110,0))/100)+$BA$15*('US Grid mix, emissions&amp;prices'!$AU$4+INDEX('Year data'!$B$57:$AC$107,MATCH($A143,'Year data'!$A$111:$A$161,0),MATCH('TCO Inputs'!$AZ$12+F$113-1,'Year data'!$B$110:$AC$110,0))/100))/(1+$AZ$41)^F$113</f>
        <v>929.61393529096256</v>
      </c>
      <c r="G143" s="106">
        <f>VLOOKUP($A143,'VKT US'!$B$63:$AA$113,(G$113+1),FALSE)/VLOOKUP($A143,'Fuel economy adjusted factor'!$A$2:$F$52,5,FALSE)/$AZ$84*($AZ$15*('US Grid mix, emissions&amp;prices'!$AU$3+INDEX('Year data'!$B$3:$AC$53,MATCH('TCO Inputs'!$A143,'Year data'!$A$111:$A$161,0),MATCH('TCO Inputs'!$AZ$12+G$113-1,'Year data'!$B$110:$AC$110,0))/100)+$BA$15*('US Grid mix, emissions&amp;prices'!$AU$4+INDEX('Year data'!$B$57:$AC$107,MATCH($A143,'Year data'!$A$111:$A$161,0),MATCH('TCO Inputs'!$AZ$12+G$113-1,'Year data'!$B$110:$AC$110,0))/100))/(1+$AZ$41)^G$113</f>
        <v>885.2853529414208</v>
      </c>
      <c r="H143" s="106">
        <f>VLOOKUP($A143,'VKT US'!$B$63:$AA$113,(H$113+1),FALSE)/VLOOKUP($A143,'Fuel economy adjusted factor'!$A$2:$F$52,5,FALSE)/$AZ$84*($AZ$15*('US Grid mix, emissions&amp;prices'!$AU$3+INDEX('Year data'!$B$3:$AC$53,MATCH('TCO Inputs'!$A143,'Year data'!$A$111:$A$161,0),MATCH('TCO Inputs'!$AZ$12+H$113-1,'Year data'!$B$110:$AC$110,0))/100)+$BA$15*('US Grid mix, emissions&amp;prices'!$AU$4+INDEX('Year data'!$B$57:$AC$107,MATCH($A143,'Year data'!$A$111:$A$161,0),MATCH('TCO Inputs'!$AZ$12+H$113-1,'Year data'!$B$110:$AC$110,0))/100))/(1+$AZ$41)^H$113</f>
        <v>847.32016036043183</v>
      </c>
      <c r="I143" s="106">
        <f>VLOOKUP($A143,'VKT US'!$B$63:$AA$113,(I$113+1),FALSE)/VLOOKUP($A143,'Fuel economy adjusted factor'!$A$2:$F$52,5,FALSE)/$AZ$84*($AZ$15*('US Grid mix, emissions&amp;prices'!$AU$3+INDEX('Year data'!$B$3:$AC$53,MATCH('TCO Inputs'!$A143,'Year data'!$A$111:$A$161,0),MATCH('TCO Inputs'!$AZ$12+I$113-1,'Year data'!$B$110:$AC$110,0))/100)+$BA$15*('US Grid mix, emissions&amp;prices'!$AU$4+INDEX('Year data'!$B$57:$AC$107,MATCH($A143,'Year data'!$A$111:$A$161,0),MATCH('TCO Inputs'!$AZ$12+I$113-1,'Year data'!$B$110:$AC$110,0))/100))/(1+$AZ$41)^I$113</f>
        <v>814.33806288610083</v>
      </c>
      <c r="J143" s="106">
        <f>VLOOKUP($A143,'VKT US'!$B$63:$AA$113,(J$113+1),FALSE)/VLOOKUP($A143,'Fuel economy adjusted factor'!$A$2:$F$52,5,FALSE)/$AZ$84*($AZ$15*('US Grid mix, emissions&amp;prices'!$AU$3+INDEX('Year data'!$B$3:$AC$53,MATCH('TCO Inputs'!$A143,'Year data'!$A$111:$A$161,0),MATCH('TCO Inputs'!$AZ$12+J$113-1,'Year data'!$B$110:$AC$110,0))/100)+$BA$15*('US Grid mix, emissions&amp;prices'!$AU$4+INDEX('Year data'!$B$57:$AC$107,MATCH($A143,'Year data'!$A$111:$A$161,0),MATCH('TCO Inputs'!$AZ$12+J$113-1,'Year data'!$B$110:$AC$110,0))/100))/(1+$AZ$41)^J$113</f>
        <v>784.10466860189445</v>
      </c>
      <c r="K143" s="106">
        <f>VLOOKUP($A143,'VKT US'!$B$63:$AA$113,(K$113+1),FALSE)/VLOOKUP($A143,'Fuel economy adjusted factor'!$A$2:$F$52,5,FALSE)/$AZ$84*($AZ$15*('US Grid mix, emissions&amp;prices'!$AU$3+INDEX('Year data'!$B$3:$AC$53,MATCH('TCO Inputs'!$A143,'Year data'!$A$111:$A$161,0),MATCH('TCO Inputs'!$AZ$12+K$113-1,'Year data'!$B$110:$AC$110,0))/100)+$BA$15*('US Grid mix, emissions&amp;prices'!$AU$4+INDEX('Year data'!$B$57:$AC$107,MATCH($A143,'Year data'!$A$111:$A$161,0),MATCH('TCO Inputs'!$AZ$12+K$113-1,'Year data'!$B$110:$AC$110,0))/100))/(1+$AZ$41)^K$113</f>
        <v>755.12266204344166</v>
      </c>
      <c r="L143" s="106">
        <f>VLOOKUP($A143,'VKT US'!$B$63:$AA$113,(L$113+1),FALSE)/VLOOKUP($A143,'Fuel economy adjusted factor'!$A$2:$F$52,5,FALSE)/$AZ$84*($AZ$15*('US Grid mix, emissions&amp;prices'!$AU$3+INDEX('Year data'!$B$3:$AC$53,MATCH('TCO Inputs'!$A143,'Year data'!$A$111:$A$161,0),MATCH('TCO Inputs'!$AZ$12+L$113-1,'Year data'!$B$110:$AC$110,0))/100)+$BA$15*('US Grid mix, emissions&amp;prices'!$AU$4+INDEX('Year data'!$B$57:$AC$107,MATCH($A143,'Year data'!$A$111:$A$161,0),MATCH('TCO Inputs'!$AZ$12+L$113-1,'Year data'!$B$110:$AC$110,0))/100))/(1+$AZ$41)^L$113</f>
        <v>732.81296657498899</v>
      </c>
      <c r="M143" s="106">
        <f>VLOOKUP($A143,'VKT US'!$B$63:$AA$113,(M$113+1),FALSE)/VLOOKUP($A143,'Fuel economy adjusted factor'!$A$2:$F$52,5,FALSE)/$AZ$84*($AZ$15*('US Grid mix, emissions&amp;prices'!$AU$3+INDEX('Year data'!$B$3:$AC$53,MATCH('TCO Inputs'!$A143,'Year data'!$A$111:$A$161,0),MATCH('TCO Inputs'!$AZ$12+M$113-1,'Year data'!$B$110:$AC$110,0))/100)+$BA$15*('US Grid mix, emissions&amp;prices'!$AU$4+INDEX('Year data'!$B$57:$AC$107,MATCH($A143,'Year data'!$A$111:$A$161,0),MATCH('TCO Inputs'!$AZ$12+M$113-1,'Year data'!$B$110:$AC$110,0))/100))/(1+$AZ$41)^M$113</f>
        <v>709.84764341158234</v>
      </c>
      <c r="N143" s="106">
        <f>VLOOKUP($A143,'VKT US'!$B$63:$AA$113,(N$113+1),FALSE)/VLOOKUP($A143,'Fuel economy adjusted factor'!$A$2:$F$52,5,FALSE)/$AZ$84*($AZ$15*('US Grid mix, emissions&amp;prices'!$AU$3+INDEX('Year data'!$B$3:$AC$53,MATCH('TCO Inputs'!$A143,'Year data'!$A$111:$A$161,0),MATCH('TCO Inputs'!$AZ$12+N$113-1,'Year data'!$B$110:$AC$110,0))/100)+$BA$15*('US Grid mix, emissions&amp;prices'!$AU$4+INDEX('Year data'!$B$57:$AC$107,MATCH($A143,'Year data'!$A$111:$A$161,0),MATCH('TCO Inputs'!$AZ$12+N$113-1,'Year data'!$B$110:$AC$110,0))/100))/(1+$AZ$41)^N$113</f>
        <v>683.25889596155548</v>
      </c>
      <c r="O143" s="106">
        <f>VLOOKUP($A143,'VKT US'!$B$63:$AA$113,(O$113+1),FALSE)/VLOOKUP($A143,'Fuel economy adjusted factor'!$A$2:$F$52,5,FALSE)/$AZ$84*($AZ$15*('US Grid mix, emissions&amp;prices'!$AU$3+INDEX('Year data'!$B$3:$AC$53,MATCH('TCO Inputs'!$A143,'Year data'!$A$111:$A$161,0),MATCH('TCO Inputs'!$AZ$12+O$113-1,'Year data'!$B$110:$AC$110,0))/100)+$BA$15*('US Grid mix, emissions&amp;prices'!$AU$4+INDEX('Year data'!$B$57:$AC$107,MATCH($A143,'Year data'!$A$111:$A$161,0),MATCH('TCO Inputs'!$AZ$12+O$113-1,'Year data'!$B$110:$AC$110,0))/100))/(1+$AZ$41)^O$113</f>
        <v>660.48011596916865</v>
      </c>
      <c r="P143" s="106">
        <f>VLOOKUP($A143,'VKT US'!$B$63:$AA$113,(P$113+1),FALSE)/VLOOKUP($A143,'Fuel economy adjusted factor'!$A$2:$F$52,5,FALSE)/$AZ$84*($AZ$15*('US Grid mix, emissions&amp;prices'!$AU$3+INDEX('Year data'!$B$3:$AC$53,MATCH('TCO Inputs'!$A143,'Year data'!$A$111:$A$161,0),MATCH('TCO Inputs'!$AZ$12+P$113-1,'Year data'!$B$110:$AC$110,0))/100)+$BA$15*('US Grid mix, emissions&amp;prices'!$AU$4+INDEX('Year data'!$B$57:$AC$107,MATCH($A143,'Year data'!$A$111:$A$161,0),MATCH('TCO Inputs'!$AZ$12+P$113-1,'Year data'!$B$110:$AC$110,0))/100))/(1+$AZ$41)^P$113</f>
        <v>639.46337204287829</v>
      </c>
      <c r="Q143" s="106">
        <f>VLOOKUP($A143,'VKT US'!$B$63:$AA$113,(Q$113+1),FALSE)/VLOOKUP($A143,'Fuel economy adjusted factor'!$A$2:$F$52,5,FALSE)/$AZ$84*($AZ$15*('US Grid mix, emissions&amp;prices'!$AU$3+INDEX('Year data'!$B$3:$AC$53,MATCH('TCO Inputs'!$A143,'Year data'!$A$111:$A$161,0),MATCH('TCO Inputs'!$AZ$12+Q$113-1,'Year data'!$B$110:$AC$110,0))/100)+$BA$15*('US Grid mix, emissions&amp;prices'!$AU$4+INDEX('Year data'!$B$57:$AC$107,MATCH($A143,'Year data'!$A$111:$A$161,0),MATCH('TCO Inputs'!$AZ$12+Q$113-1,'Year data'!$B$110:$AC$110,0))/100))/(1+$AZ$41)^Q$113</f>
        <v>621.12046754454968</v>
      </c>
      <c r="R143" s="106">
        <f>VLOOKUP($A143,'VKT US'!$B$63:$AA$113,(R$113+1),FALSE)/VLOOKUP($A143,'Fuel economy adjusted factor'!$A$2:$F$52,5,FALSE)/$AZ$84*($AZ$15*('US Grid mix, emissions&amp;prices'!$AU$3+INDEX('Year data'!$B$3:$AC$53,MATCH('TCO Inputs'!$A143,'Year data'!$A$111:$A$161,0),MATCH('TCO Inputs'!$AZ$12+R$113-1,'Year data'!$B$110:$AC$110,0))/100)+$BA$15*('US Grid mix, emissions&amp;prices'!$AU$4+INDEX('Year data'!$B$57:$AC$107,MATCH($A143,'Year data'!$A$111:$A$161,0),MATCH('TCO Inputs'!$AZ$12+R$113-1,'Year data'!$B$110:$AC$110,0))/100))/(1+$AZ$41)^R$113</f>
        <v>602.50103336607594</v>
      </c>
      <c r="S143" s="106">
        <f>VLOOKUP($A143,'VKT US'!$B$63:$AA$113,(S$113+1),FALSE)/VLOOKUP($A143,'Fuel economy adjusted factor'!$A$2:$F$52,5,FALSE)/$AZ$84*($AZ$15*('US Grid mix, emissions&amp;prices'!$AU$3+INDEX('Year data'!$B$3:$AC$53,MATCH('TCO Inputs'!$A143,'Year data'!$A$111:$A$161,0),MATCH('TCO Inputs'!$AZ$12+S$113-1,'Year data'!$B$110:$AC$110,0))/100)+$BA$15*('US Grid mix, emissions&amp;prices'!$AU$4+INDEX('Year data'!$B$57:$AC$107,MATCH($A143,'Year data'!$A$111:$A$161,0),MATCH('TCO Inputs'!$AZ$12+S$113-1,'Year data'!$B$110:$AC$110,0))/100))/(1+$AZ$41)^S$113</f>
        <v>585.03475182877014</v>
      </c>
      <c r="T143" s="106">
        <f>VLOOKUP($A143,'VKT US'!$B$63:$AA$113,(T$113+1),FALSE)/VLOOKUP($A143,'Fuel economy adjusted factor'!$A$2:$F$52,5,FALSE)/$AZ$84*($AZ$15*('US Grid mix, emissions&amp;prices'!$AU$3+INDEX('Year data'!$B$3:$AC$53,MATCH('TCO Inputs'!$A143,'Year data'!$A$111:$A$161,0),MATCH('TCO Inputs'!$AZ$12+T$113-1,'Year data'!$B$110:$AC$110,0))/100)+$BA$15*('US Grid mix, emissions&amp;prices'!$AU$4+INDEX('Year data'!$B$57:$AC$107,MATCH($A143,'Year data'!$A$111:$A$161,0),MATCH('TCO Inputs'!$AZ$12+T$113-1,'Year data'!$B$110:$AC$110,0))/100))/(1+$AZ$41)^T$113</f>
        <v>568.04862814172759</v>
      </c>
      <c r="U143" s="106">
        <f>VLOOKUP($A143,'VKT US'!$B$63:$AA$113,(U$113+1),FALSE)/VLOOKUP($A143,'Fuel economy adjusted factor'!$A$2:$F$52,5,FALSE)/$AZ$84*($AZ$15*('US Grid mix, emissions&amp;prices'!$AU$3+INDEX('Year data'!$B$3:$AC$53,MATCH('TCO Inputs'!$A143,'Year data'!$A$111:$A$161,0),MATCH('TCO Inputs'!$AZ$12+U$113-1,'Year data'!$B$110:$AC$110,0))/100)+$BA$15*('US Grid mix, emissions&amp;prices'!$AU$4+INDEX('Year data'!$B$57:$AC$107,MATCH($A143,'Year data'!$A$111:$A$161,0),MATCH('TCO Inputs'!$AZ$12+U$113-1,'Year data'!$B$110:$AC$110,0))/100))/(1+$AZ$41)^U$113</f>
        <v>551.31449669595702</v>
      </c>
      <c r="V143" s="110" cm="1">
        <f t="array" ref="V143">SUMPRODUCT(INDEX(B143:U143,,_xlfn.SEQUENCE($AZ$13)))</f>
        <v>12094.71151549338</v>
      </c>
      <c r="Y143" s="102" t="s">
        <v>213</v>
      </c>
      <c r="Z143" s="106">
        <f>VLOOKUP($A143,'VKT US'!$B$63:$AA$113,(Z$113+1),FALSE)/VLOOKUP($A143,'Fuel economy adjusted factor'!$A$2:$F$52,5,FALSE)/$AZ$84</f>
        <v>5169.2349744998637</v>
      </c>
      <c r="AA143" s="106">
        <f>VLOOKUP($A143,'VKT US'!$B$63:$AA$113,(AA$113+1),FALSE)/VLOOKUP($A143,'Fuel economy adjusted factor'!$A$2:$F$52,5,FALSE)/$AZ$84</f>
        <v>5015.4864320876532</v>
      </c>
      <c r="AB143" s="106">
        <f>VLOOKUP($A143,'VKT US'!$B$63:$AA$113,(AB$113+1),FALSE)/VLOOKUP($A143,'Fuel economy adjusted factor'!$A$2:$F$52,5,FALSE)/$AZ$84</f>
        <v>4866.5891786350512</v>
      </c>
      <c r="AC143" s="106">
        <f>VLOOKUP($A143,'VKT US'!$B$63:$AA$113,(AC$113+1),FALSE)/VLOOKUP($A143,'Fuel economy adjusted factor'!$A$2:$F$52,5,FALSE)/$AZ$84</f>
        <v>4722.9163902158734</v>
      </c>
      <c r="AD143" s="106">
        <f>VLOOKUP($A143,'VKT US'!$B$63:$AA$113,(AD$113+1),FALSE)/VLOOKUP($A143,'Fuel economy adjusted factor'!$A$2:$F$52,5,FALSE)/$AZ$84</f>
        <v>4584.0948907563034</v>
      </c>
      <c r="AE143" s="106">
        <f>VLOOKUP($A143,'VKT US'!$B$63:$AA$113,(AE$113+1),FALSE)/VLOOKUP($A143,'Fuel economy adjusted factor'!$A$2:$F$52,5,FALSE)/$AZ$84</f>
        <v>4450.8710324039757</v>
      </c>
      <c r="AF143" s="106">
        <f>VLOOKUP($A143,'VKT US'!$B$63:$AA$113,(AF$113+1),FALSE)/VLOOKUP($A143,'Fuel economy adjusted factor'!$A$2:$F$52,5,FALSE)/$AZ$84</f>
        <v>4322.1252869374412</v>
      </c>
      <c r="AG143" s="106">
        <f>VLOOKUP($A143,'VKT US'!$B$63:$AA$113,(AG$113+1),FALSE)/VLOOKUP($A143,'Fuel economy adjusted factor'!$A$2:$F$52,5,FALSE)/$AZ$84</f>
        <v>4198.6040065043289</v>
      </c>
      <c r="AH143" s="106">
        <f>VLOOKUP($A143,'VKT US'!$B$63:$AA$113,(AH$113+1),FALSE)/VLOOKUP($A143,'Fuel economy adjusted factor'!$A$2:$F$52,5,FALSE)/$AZ$84</f>
        <v>4080.3071911046422</v>
      </c>
      <c r="AI143" s="106">
        <f>VLOOKUP($A143,'VKT US'!$B$63:$AA$113,(AI$113+1),FALSE)/VLOOKUP($A143,'Fuel economy adjusted factor'!$A$2:$F$52,5,FALSE)/$AZ$84</f>
        <v>3967.2348407383815</v>
      </c>
      <c r="AJ143" s="106">
        <f>VLOOKUP($A143,'VKT US'!$B$63:$AA$113,(AJ$113+1),FALSE)/VLOOKUP($A143,'Fuel economy adjusted factor'!$A$2:$F$52,5,FALSE)/$AZ$84</f>
        <v>3859.0137793317276</v>
      </c>
      <c r="AK143" s="106">
        <f>VLOOKUP($A143,'VKT US'!$B$63:$AA$113,(AK$113+1),FALSE)/VLOOKUP($A143,'Fuel economy adjusted factor'!$A$2:$F$52,5,FALSE)/$AZ$84</f>
        <v>3756.0171829584988</v>
      </c>
      <c r="AL143" s="106">
        <f>VLOOKUP($A143,'VKT US'!$B$63:$AA$113,(AL$113+1),FALSE)/VLOOKUP($A143,'Fuel economy adjusted factor'!$A$2:$F$52,5,FALSE)/$AZ$84</f>
        <v>3657.871875544879</v>
      </c>
      <c r="AM143" s="106">
        <f>VLOOKUP($A143,'VKT US'!$B$63:$AA$113,(AM$113+1),FALSE)/VLOOKUP($A143,'Fuel economy adjusted factor'!$A$2:$F$52,5,FALSE)/$AZ$84</f>
        <v>3564.9510331646834</v>
      </c>
      <c r="AN143" s="106">
        <f>VLOOKUP($A143,'VKT US'!$B$63:$AA$113,(AN$113+1),FALSE)/VLOOKUP($A143,'Fuel economy adjusted factor'!$A$2:$F$52,5,FALSE)/$AZ$84</f>
        <v>3476.8814797440969</v>
      </c>
      <c r="AO143" s="106">
        <f>VLOOKUP($A143,'VKT US'!$B$63:$AA$113,(AO$113+1),FALSE)/VLOOKUP($A143,'Fuel economy adjusted factor'!$A$2:$F$52,5,FALSE)/$AZ$84</f>
        <v>3394.4095674307505</v>
      </c>
      <c r="AP143" s="106">
        <f>VLOOKUP($A143,'VKT US'!$B$63:$AA$113,(AP$113+1),FALSE)/VLOOKUP($A143,'Fuel economy adjusted factor'!$A$2:$F$52,5,FALSE)/$AZ$84</f>
        <v>3316.4157680031972</v>
      </c>
      <c r="AQ143" s="106">
        <f>VLOOKUP($A143,'VKT US'!$B$63:$AA$113,(AQ$113+1),FALSE)/VLOOKUP($A143,'Fuel economy adjusted factor'!$A$2:$F$52,5,FALSE)/$AZ$84</f>
        <v>3244.0196096828845</v>
      </c>
      <c r="AR143" s="106">
        <f>VLOOKUP($A143,'VKT US'!$B$63:$AA$113,(AR$113+1),FALSE)/VLOOKUP($A143,'Fuel economy adjusted factor'!$A$2:$F$52,5,FALSE)/$AZ$84</f>
        <v>3176.101564248364</v>
      </c>
      <c r="AS143" s="106">
        <f>VLOOKUP($A143,'VKT US'!$B$63:$AA$113,(AS$113+1),FALSE)/VLOOKUP($A143,'Fuel economy adjusted factor'!$A$2:$F$52,5,FALSE)/$AZ$84</f>
        <v>3113.7811599210841</v>
      </c>
      <c r="AT143" s="110" cm="1">
        <f t="array" ref="AT143">SUMPRODUCT(INDEX(Z143:AS143,,_xlfn.SEQUENCE($AZ$13)))</f>
        <v>60215.318094883303</v>
      </c>
    </row>
    <row r="144" spans="1:46" x14ac:dyDescent="0.25">
      <c r="A144" s="102" t="s">
        <v>214</v>
      </c>
      <c r="B144" s="106">
        <f>VLOOKUP($A144,'VKT US'!$B$63:$AA$113,(B$113+1),FALSE)/VLOOKUP($A144,'Fuel economy adjusted factor'!$A$2:$F$52,5,FALSE)/$AZ$84*($AZ$15*('US Grid mix, emissions&amp;prices'!$AU$3+INDEX('Year data'!$B$3:$AC$53,MATCH('TCO Inputs'!$A144,'Year data'!$A$111:$A$161,0),MATCH('TCO Inputs'!$AZ$12+B$113-1,'Year data'!$B$110:$AC$110,0))/100)+$BA$15*('US Grid mix, emissions&amp;prices'!$AU$4+INDEX('Year data'!$B$57:$AC$107,MATCH($A144,'Year data'!$A$111:$A$161,0),MATCH('TCO Inputs'!$AZ$12+B$113-1,'Year data'!$B$110:$AC$110,0))/100))/(1+$AZ$41)^B$113</f>
        <v>1570.1000736736044</v>
      </c>
      <c r="C144" s="106">
        <f>VLOOKUP($A144,'VKT US'!$B$63:$AA$113,(C$113+1),FALSE)/VLOOKUP($A144,'Fuel economy adjusted factor'!$A$2:$F$52,5,FALSE)/$AZ$84*($AZ$15*('US Grid mix, emissions&amp;prices'!$AU$3+INDEX('Year data'!$B$3:$AC$53,MATCH('TCO Inputs'!$A144,'Year data'!$A$111:$A$161,0),MATCH('TCO Inputs'!$AZ$12+C$113-1,'Year data'!$B$110:$AC$110,0))/100)+$BA$15*('US Grid mix, emissions&amp;prices'!$AU$4+INDEX('Year data'!$B$57:$AC$107,MATCH($A144,'Year data'!$A$111:$A$161,0),MATCH('TCO Inputs'!$AZ$12+C$113-1,'Year data'!$B$110:$AC$110,0))/100))/(1+$AZ$41)^C$113</f>
        <v>1479.5839239942827</v>
      </c>
      <c r="D144" s="106">
        <f>VLOOKUP($A144,'VKT US'!$B$63:$AA$113,(D$113+1),FALSE)/VLOOKUP($A144,'Fuel economy adjusted factor'!$A$2:$F$52,5,FALSE)/$AZ$84*($AZ$15*('US Grid mix, emissions&amp;prices'!$AU$3+INDEX('Year data'!$B$3:$AC$53,MATCH('TCO Inputs'!$A144,'Year data'!$A$111:$A$161,0),MATCH('TCO Inputs'!$AZ$12+D$113-1,'Year data'!$B$110:$AC$110,0))/100)+$BA$15*('US Grid mix, emissions&amp;prices'!$AU$4+INDEX('Year data'!$B$57:$AC$107,MATCH($A144,'Year data'!$A$111:$A$161,0),MATCH('TCO Inputs'!$AZ$12+D$113-1,'Year data'!$B$110:$AC$110,0))/100))/(1+$AZ$41)^D$113</f>
        <v>1388.6492396943443</v>
      </c>
      <c r="E144" s="106">
        <f>VLOOKUP($A144,'VKT US'!$B$63:$AA$113,(E$113+1),FALSE)/VLOOKUP($A144,'Fuel economy adjusted factor'!$A$2:$F$52,5,FALSE)/$AZ$84*($AZ$15*('US Grid mix, emissions&amp;prices'!$AU$3+INDEX('Year data'!$B$3:$AC$53,MATCH('TCO Inputs'!$A144,'Year data'!$A$111:$A$161,0),MATCH('TCO Inputs'!$AZ$12+E$113-1,'Year data'!$B$110:$AC$110,0))/100)+$BA$15*('US Grid mix, emissions&amp;prices'!$AU$4+INDEX('Year data'!$B$57:$AC$107,MATCH($A144,'Year data'!$A$111:$A$161,0),MATCH('TCO Inputs'!$AZ$12+E$113-1,'Year data'!$B$110:$AC$110,0))/100))/(1+$AZ$41)^E$113</f>
        <v>1315.1503572855022</v>
      </c>
      <c r="F144" s="106">
        <f>VLOOKUP($A144,'VKT US'!$B$63:$AA$113,(F$113+1),FALSE)/VLOOKUP($A144,'Fuel economy adjusted factor'!$A$2:$F$52,5,FALSE)/$AZ$84*($AZ$15*('US Grid mix, emissions&amp;prices'!$AU$3+INDEX('Year data'!$B$3:$AC$53,MATCH('TCO Inputs'!$A144,'Year data'!$A$111:$A$161,0),MATCH('TCO Inputs'!$AZ$12+F$113-1,'Year data'!$B$110:$AC$110,0))/100)+$BA$15*('US Grid mix, emissions&amp;prices'!$AU$4+INDEX('Year data'!$B$57:$AC$107,MATCH($A144,'Year data'!$A$111:$A$161,0),MATCH('TCO Inputs'!$AZ$12+F$113-1,'Year data'!$B$110:$AC$110,0))/100))/(1+$AZ$41)^F$113</f>
        <v>1249.4484135761559</v>
      </c>
      <c r="G144" s="106">
        <f>VLOOKUP($A144,'VKT US'!$B$63:$AA$113,(G$113+1),FALSE)/VLOOKUP($A144,'Fuel economy adjusted factor'!$A$2:$F$52,5,FALSE)/$AZ$84*($AZ$15*('US Grid mix, emissions&amp;prices'!$AU$3+INDEX('Year data'!$B$3:$AC$53,MATCH('TCO Inputs'!$A144,'Year data'!$A$111:$A$161,0),MATCH('TCO Inputs'!$AZ$12+G$113-1,'Year data'!$B$110:$AC$110,0))/100)+$BA$15*('US Grid mix, emissions&amp;prices'!$AU$4+INDEX('Year data'!$B$57:$AC$107,MATCH($A144,'Year data'!$A$111:$A$161,0),MATCH('TCO Inputs'!$AZ$12+G$113-1,'Year data'!$B$110:$AC$110,0))/100))/(1+$AZ$41)^G$113</f>
        <v>1190.5291461162692</v>
      </c>
      <c r="H144" s="106">
        <f>VLOOKUP($A144,'VKT US'!$B$63:$AA$113,(H$113+1),FALSE)/VLOOKUP($A144,'Fuel economy adjusted factor'!$A$2:$F$52,5,FALSE)/$AZ$84*($AZ$15*('US Grid mix, emissions&amp;prices'!$AU$3+INDEX('Year data'!$B$3:$AC$53,MATCH('TCO Inputs'!$A144,'Year data'!$A$111:$A$161,0),MATCH('TCO Inputs'!$AZ$12+H$113-1,'Year data'!$B$110:$AC$110,0))/100)+$BA$15*('US Grid mix, emissions&amp;prices'!$AU$4+INDEX('Year data'!$B$57:$AC$107,MATCH($A144,'Year data'!$A$111:$A$161,0),MATCH('TCO Inputs'!$AZ$12+H$113-1,'Year data'!$B$110:$AC$110,0))/100))/(1+$AZ$41)^H$113</f>
        <v>1139.6906821285386</v>
      </c>
      <c r="I144" s="106">
        <f>VLOOKUP($A144,'VKT US'!$B$63:$AA$113,(I$113+1),FALSE)/VLOOKUP($A144,'Fuel economy adjusted factor'!$A$2:$F$52,5,FALSE)/$AZ$84*($AZ$15*('US Grid mix, emissions&amp;prices'!$AU$3+INDEX('Year data'!$B$3:$AC$53,MATCH('TCO Inputs'!$A144,'Year data'!$A$111:$A$161,0),MATCH('TCO Inputs'!$AZ$12+I$113-1,'Year data'!$B$110:$AC$110,0))/100)+$BA$15*('US Grid mix, emissions&amp;prices'!$AU$4+INDEX('Year data'!$B$57:$AC$107,MATCH($A144,'Year data'!$A$111:$A$161,0),MATCH('TCO Inputs'!$AZ$12+I$113-1,'Year data'!$B$110:$AC$110,0))/100))/(1+$AZ$41)^I$113</f>
        <v>1095.2263912552551</v>
      </c>
      <c r="J144" s="106">
        <f>VLOOKUP($A144,'VKT US'!$B$63:$AA$113,(J$113+1),FALSE)/VLOOKUP($A144,'Fuel economy adjusted factor'!$A$2:$F$52,5,FALSE)/$AZ$84*($AZ$15*('US Grid mix, emissions&amp;prices'!$AU$3+INDEX('Year data'!$B$3:$AC$53,MATCH('TCO Inputs'!$A144,'Year data'!$A$111:$A$161,0),MATCH('TCO Inputs'!$AZ$12+J$113-1,'Year data'!$B$110:$AC$110,0))/100)+$BA$15*('US Grid mix, emissions&amp;prices'!$AU$4+INDEX('Year data'!$B$57:$AC$107,MATCH($A144,'Year data'!$A$111:$A$161,0),MATCH('TCO Inputs'!$AZ$12+J$113-1,'Year data'!$B$110:$AC$110,0))/100))/(1+$AZ$41)^J$113</f>
        <v>1054.3513081019712</v>
      </c>
      <c r="K144" s="106">
        <f>VLOOKUP($A144,'VKT US'!$B$63:$AA$113,(K$113+1),FALSE)/VLOOKUP($A144,'Fuel economy adjusted factor'!$A$2:$F$52,5,FALSE)/$AZ$84*($AZ$15*('US Grid mix, emissions&amp;prices'!$AU$3+INDEX('Year data'!$B$3:$AC$53,MATCH('TCO Inputs'!$A144,'Year data'!$A$111:$A$161,0),MATCH('TCO Inputs'!$AZ$12+K$113-1,'Year data'!$B$110:$AC$110,0))/100)+$BA$15*('US Grid mix, emissions&amp;prices'!$AU$4+INDEX('Year data'!$B$57:$AC$107,MATCH($A144,'Year data'!$A$111:$A$161,0),MATCH('TCO Inputs'!$AZ$12+K$113-1,'Year data'!$B$110:$AC$110,0))/100))/(1+$AZ$41)^K$113</f>
        <v>1015.1988219374698</v>
      </c>
      <c r="L144" s="106">
        <f>VLOOKUP($A144,'VKT US'!$B$63:$AA$113,(L$113+1),FALSE)/VLOOKUP($A144,'Fuel economy adjusted factor'!$A$2:$F$52,5,FALSE)/$AZ$84*($AZ$15*('US Grid mix, emissions&amp;prices'!$AU$3+INDEX('Year data'!$B$3:$AC$53,MATCH('TCO Inputs'!$A144,'Year data'!$A$111:$A$161,0),MATCH('TCO Inputs'!$AZ$12+L$113-1,'Year data'!$B$110:$AC$110,0))/100)+$BA$15*('US Grid mix, emissions&amp;prices'!$AU$4+INDEX('Year data'!$B$57:$AC$107,MATCH($A144,'Year data'!$A$111:$A$161,0),MATCH('TCO Inputs'!$AZ$12+L$113-1,'Year data'!$B$110:$AC$110,0))/100))/(1+$AZ$41)^L$113</f>
        <v>984.50023914312271</v>
      </c>
      <c r="M144" s="106">
        <f>VLOOKUP($A144,'VKT US'!$B$63:$AA$113,(M$113+1),FALSE)/VLOOKUP($A144,'Fuel economy adjusted factor'!$A$2:$F$52,5,FALSE)/$AZ$84*($AZ$15*('US Grid mix, emissions&amp;prices'!$AU$3+INDEX('Year data'!$B$3:$AC$53,MATCH('TCO Inputs'!$A144,'Year data'!$A$111:$A$161,0),MATCH('TCO Inputs'!$AZ$12+M$113-1,'Year data'!$B$110:$AC$110,0))/100)+$BA$15*('US Grid mix, emissions&amp;prices'!$AU$4+INDEX('Year data'!$B$57:$AC$107,MATCH($A144,'Year data'!$A$111:$A$161,0),MATCH('TCO Inputs'!$AZ$12+M$113-1,'Year data'!$B$110:$AC$110,0))/100))/(1+$AZ$41)^M$113</f>
        <v>953.14311602387534</v>
      </c>
      <c r="N144" s="106">
        <f>VLOOKUP($A144,'VKT US'!$B$63:$AA$113,(N$113+1),FALSE)/VLOOKUP($A144,'Fuel economy adjusted factor'!$A$2:$F$52,5,FALSE)/$AZ$84*($AZ$15*('US Grid mix, emissions&amp;prices'!$AU$3+INDEX('Year data'!$B$3:$AC$53,MATCH('TCO Inputs'!$A144,'Year data'!$A$111:$A$161,0),MATCH('TCO Inputs'!$AZ$12+N$113-1,'Year data'!$B$110:$AC$110,0))/100)+$BA$15*('US Grid mix, emissions&amp;prices'!$AU$4+INDEX('Year data'!$B$57:$AC$107,MATCH($A144,'Year data'!$A$111:$A$161,0),MATCH('TCO Inputs'!$AZ$12+N$113-1,'Year data'!$B$110:$AC$110,0))/100))/(1+$AZ$41)^N$113</f>
        <v>917.42495441522897</v>
      </c>
      <c r="O144" s="106">
        <f>VLOOKUP($A144,'VKT US'!$B$63:$AA$113,(O$113+1),FALSE)/VLOOKUP($A144,'Fuel economy adjusted factor'!$A$2:$F$52,5,FALSE)/$AZ$84*($AZ$15*('US Grid mix, emissions&amp;prices'!$AU$3+INDEX('Year data'!$B$3:$AC$53,MATCH('TCO Inputs'!$A144,'Year data'!$A$111:$A$161,0),MATCH('TCO Inputs'!$AZ$12+O$113-1,'Year data'!$B$110:$AC$110,0))/100)+$BA$15*('US Grid mix, emissions&amp;prices'!$AU$4+INDEX('Year data'!$B$57:$AC$107,MATCH($A144,'Year data'!$A$111:$A$161,0),MATCH('TCO Inputs'!$AZ$12+O$113-1,'Year data'!$B$110:$AC$110,0))/100))/(1+$AZ$41)^O$113</f>
        <v>886.59402154342888</v>
      </c>
      <c r="P144" s="106">
        <f>VLOOKUP($A144,'VKT US'!$B$63:$AA$113,(P$113+1),FALSE)/VLOOKUP($A144,'Fuel economy adjusted factor'!$A$2:$F$52,5,FALSE)/$AZ$84*($AZ$15*('US Grid mix, emissions&amp;prices'!$AU$3+INDEX('Year data'!$B$3:$AC$53,MATCH('TCO Inputs'!$A144,'Year data'!$A$111:$A$161,0),MATCH('TCO Inputs'!$AZ$12+P$113-1,'Year data'!$B$110:$AC$110,0))/100)+$BA$15*('US Grid mix, emissions&amp;prices'!$AU$4+INDEX('Year data'!$B$57:$AC$107,MATCH($A144,'Year data'!$A$111:$A$161,0),MATCH('TCO Inputs'!$AZ$12+P$113-1,'Year data'!$B$110:$AC$110,0))/100))/(1+$AZ$41)^P$113</f>
        <v>858.09180559203946</v>
      </c>
      <c r="Q144" s="106">
        <f>VLOOKUP($A144,'VKT US'!$B$63:$AA$113,(Q$113+1),FALSE)/VLOOKUP($A144,'Fuel economy adjusted factor'!$A$2:$F$52,5,FALSE)/$AZ$84*($AZ$15*('US Grid mix, emissions&amp;prices'!$AU$3+INDEX('Year data'!$B$3:$AC$53,MATCH('TCO Inputs'!$A144,'Year data'!$A$111:$A$161,0),MATCH('TCO Inputs'!$AZ$12+Q$113-1,'Year data'!$B$110:$AC$110,0))/100)+$BA$15*('US Grid mix, emissions&amp;prices'!$AU$4+INDEX('Year data'!$B$57:$AC$107,MATCH($A144,'Year data'!$A$111:$A$161,0),MATCH('TCO Inputs'!$AZ$12+Q$113-1,'Year data'!$B$110:$AC$110,0))/100))/(1+$AZ$41)^Q$113</f>
        <v>833.06227600357772</v>
      </c>
      <c r="R144" s="106">
        <f>VLOOKUP($A144,'VKT US'!$B$63:$AA$113,(R$113+1),FALSE)/VLOOKUP($A144,'Fuel economy adjusted factor'!$A$2:$F$52,5,FALSE)/$AZ$84*($AZ$15*('US Grid mix, emissions&amp;prices'!$AU$3+INDEX('Year data'!$B$3:$AC$53,MATCH('TCO Inputs'!$A144,'Year data'!$A$111:$A$161,0),MATCH('TCO Inputs'!$AZ$12+R$113-1,'Year data'!$B$110:$AC$110,0))/100)+$BA$15*('US Grid mix, emissions&amp;prices'!$AU$4+INDEX('Year data'!$B$57:$AC$107,MATCH($A144,'Year data'!$A$111:$A$161,0),MATCH('TCO Inputs'!$AZ$12+R$113-1,'Year data'!$B$110:$AC$110,0))/100))/(1+$AZ$41)^R$113</f>
        <v>807.8114997934905</v>
      </c>
      <c r="S144" s="106">
        <f>VLOOKUP($A144,'VKT US'!$B$63:$AA$113,(S$113+1),FALSE)/VLOOKUP($A144,'Fuel economy adjusted factor'!$A$2:$F$52,5,FALSE)/$AZ$84*($AZ$15*('US Grid mix, emissions&amp;prices'!$AU$3+INDEX('Year data'!$B$3:$AC$53,MATCH('TCO Inputs'!$A144,'Year data'!$A$111:$A$161,0),MATCH('TCO Inputs'!$AZ$12+S$113-1,'Year data'!$B$110:$AC$110,0))/100)+$BA$15*('US Grid mix, emissions&amp;prices'!$AU$4+INDEX('Year data'!$B$57:$AC$107,MATCH($A144,'Year data'!$A$111:$A$161,0),MATCH('TCO Inputs'!$AZ$12+S$113-1,'Year data'!$B$110:$AC$110,0))/100))/(1+$AZ$41)^S$113</f>
        <v>784.13340036456691</v>
      </c>
      <c r="T144" s="106">
        <f>VLOOKUP($A144,'VKT US'!$B$63:$AA$113,(T$113+1),FALSE)/VLOOKUP($A144,'Fuel economy adjusted factor'!$A$2:$F$52,5,FALSE)/$AZ$84*($AZ$15*('US Grid mix, emissions&amp;prices'!$AU$3+INDEX('Year data'!$B$3:$AC$53,MATCH('TCO Inputs'!$A144,'Year data'!$A$111:$A$161,0),MATCH('TCO Inputs'!$AZ$12+T$113-1,'Year data'!$B$110:$AC$110,0))/100)+$BA$15*('US Grid mix, emissions&amp;prices'!$AU$4+INDEX('Year data'!$B$57:$AC$107,MATCH($A144,'Year data'!$A$111:$A$161,0),MATCH('TCO Inputs'!$AZ$12+T$113-1,'Year data'!$B$110:$AC$110,0))/100))/(1+$AZ$41)^T$113</f>
        <v>761.16778751864035</v>
      </c>
      <c r="U144" s="106">
        <f>VLOOKUP($A144,'VKT US'!$B$63:$AA$113,(U$113+1),FALSE)/VLOOKUP($A144,'Fuel economy adjusted factor'!$A$2:$F$52,5,FALSE)/$AZ$84*($AZ$15*('US Grid mix, emissions&amp;prices'!$AU$3+INDEX('Year data'!$B$3:$AC$53,MATCH('TCO Inputs'!$A144,'Year data'!$A$111:$A$161,0),MATCH('TCO Inputs'!$AZ$12+U$113-1,'Year data'!$B$110:$AC$110,0))/100)+$BA$15*('US Grid mix, emissions&amp;prices'!$AU$4+INDEX('Year data'!$B$57:$AC$107,MATCH($A144,'Year data'!$A$111:$A$161,0),MATCH('TCO Inputs'!$AZ$12+U$113-1,'Year data'!$B$110:$AC$110,0))/100))/(1+$AZ$41)^U$113</f>
        <v>738.64639401806994</v>
      </c>
      <c r="V144" s="110" cm="1">
        <f t="array" ref="V144">SUMPRODUCT(INDEX(B144:U144,,_xlfn.SEQUENCE($AZ$13)))</f>
        <v>16239.590688889051</v>
      </c>
      <c r="Y144" s="102" t="s">
        <v>214</v>
      </c>
      <c r="Z144" s="106">
        <f>VLOOKUP($A144,'VKT US'!$B$63:$AA$113,(Z$113+1),FALSE)/VLOOKUP($A144,'Fuel economy adjusted factor'!$A$2:$F$52,5,FALSE)/$AZ$84</f>
        <v>8046.4810283517509</v>
      </c>
      <c r="AA144" s="106">
        <f>VLOOKUP($A144,'VKT US'!$B$63:$AA$113,(AA$113+1),FALSE)/VLOOKUP($A144,'Fuel economy adjusted factor'!$A$2:$F$52,5,FALSE)/$AZ$84</f>
        <v>7807.1545640375043</v>
      </c>
      <c r="AB144" s="106">
        <f>VLOOKUP($A144,'VKT US'!$B$63:$AA$113,(AB$113+1),FALSE)/VLOOKUP($A144,'Fuel economy adjusted factor'!$A$2:$F$52,5,FALSE)/$AZ$84</f>
        <v>7575.3796629176404</v>
      </c>
      <c r="AC144" s="106">
        <f>VLOOKUP($A144,'VKT US'!$B$63:$AA$113,(AC$113+1),FALSE)/VLOOKUP($A144,'Fuel economy adjusted factor'!$A$2:$F$52,5,FALSE)/$AZ$84</f>
        <v>7351.7372144686487</v>
      </c>
      <c r="AD144" s="106">
        <f>VLOOKUP($A144,'VKT US'!$B$63:$AA$113,(AD$113+1),FALSE)/VLOOKUP($A144,'Fuel economy adjusted factor'!$A$2:$F$52,5,FALSE)/$AZ$84</f>
        <v>7135.6463292140397</v>
      </c>
      <c r="AE144" s="106">
        <f>VLOOKUP($A144,'VKT US'!$B$63:$AA$113,(AE$113+1),FALSE)/VLOOKUP($A144,'Fuel economy adjusted factor'!$A$2:$F$52,5,FALSE)/$AZ$84</f>
        <v>6928.2687861067943</v>
      </c>
      <c r="AF144" s="106">
        <f>VLOOKUP($A144,'VKT US'!$B$63:$AA$113,(AF$113+1),FALSE)/VLOOKUP($A144,'Fuel economy adjusted factor'!$A$2:$F$52,5,FALSE)/$AZ$84</f>
        <v>6727.8619167174402</v>
      </c>
      <c r="AG144" s="106">
        <f>VLOOKUP($A144,'VKT US'!$B$63:$AA$113,(AG$113+1),FALSE)/VLOOKUP($A144,'Fuel economy adjusted factor'!$A$2:$F$52,5,FALSE)/$AZ$84</f>
        <v>6535.5874999989564</v>
      </c>
      <c r="AH144" s="106">
        <f>VLOOKUP($A144,'VKT US'!$B$63:$AA$113,(AH$113+1),FALSE)/VLOOKUP($A144,'Fuel economy adjusted factor'!$A$2:$F$52,5,FALSE)/$AZ$84</f>
        <v>6351.4455359513449</v>
      </c>
      <c r="AI144" s="106">
        <f>VLOOKUP($A144,'VKT US'!$B$63:$AA$113,(AI$113+1),FALSE)/VLOOKUP($A144,'Fuel economy adjusted factor'!$A$2:$F$52,5,FALSE)/$AZ$84</f>
        <v>6175.4360245746057</v>
      </c>
      <c r="AJ144" s="106">
        <f>VLOOKUP($A144,'VKT US'!$B$63:$AA$113,(AJ$113+1),FALSE)/VLOOKUP($A144,'Fuel economy adjusted factor'!$A$2:$F$52,5,FALSE)/$AZ$84</f>
        <v>6006.978076392249</v>
      </c>
      <c r="AK144" s="106">
        <f>VLOOKUP($A144,'VKT US'!$B$63:$AA$113,(AK$113+1),FALSE)/VLOOKUP($A144,'Fuel economy adjusted factor'!$A$2:$F$52,5,FALSE)/$AZ$84</f>
        <v>5846.6525808807646</v>
      </c>
      <c r="AL144" s="106">
        <f>VLOOKUP($A144,'VKT US'!$B$63:$AA$113,(AL$113+1),FALSE)/VLOOKUP($A144,'Fuel economy adjusted factor'!$A$2:$F$52,5,FALSE)/$AZ$84</f>
        <v>5693.8786485636629</v>
      </c>
      <c r="AM144" s="106">
        <f>VLOOKUP($A144,'VKT US'!$B$63:$AA$113,(AM$113+1),FALSE)/VLOOKUP($A144,'Fuel economy adjusted factor'!$A$2:$F$52,5,FALSE)/$AZ$84</f>
        <v>5549.2371689174315</v>
      </c>
      <c r="AN144" s="106">
        <f>VLOOKUP($A144,'VKT US'!$B$63:$AA$113,(AN$113+1),FALSE)/VLOOKUP($A144,'Fuel economy adjusted factor'!$A$2:$F$52,5,FALSE)/$AZ$84</f>
        <v>5412.1472524655828</v>
      </c>
      <c r="AO144" s="106">
        <f>VLOOKUP($A144,'VKT US'!$B$63:$AA$113,(AO$113+1),FALSE)/VLOOKUP($A144,'Fuel economy adjusted factor'!$A$2:$F$52,5,FALSE)/$AZ$84</f>
        <v>5283.7706781610959</v>
      </c>
      <c r="AP144" s="106">
        <f>VLOOKUP($A144,'VKT US'!$B$63:$AA$113,(AP$113+1),FALSE)/VLOOKUP($A144,'Fuel economy adjusted factor'!$A$2:$F$52,5,FALSE)/$AZ$84</f>
        <v>5162.3647775745012</v>
      </c>
      <c r="AQ144" s="106">
        <f>VLOOKUP($A144,'VKT US'!$B$63:$AA$113,(AQ$113+1),FALSE)/VLOOKUP($A144,'Fuel economy adjusted factor'!$A$2:$F$52,5,FALSE)/$AZ$84</f>
        <v>5049.6722191352692</v>
      </c>
      <c r="AR144" s="106">
        <f>VLOOKUP($A144,'VKT US'!$B$63:$AA$113,(AR$113+1),FALSE)/VLOOKUP($A144,'Fuel economy adjusted factor'!$A$2:$F$52,5,FALSE)/$AZ$84</f>
        <v>4943.9503344139284</v>
      </c>
      <c r="AS144" s="106">
        <f>VLOOKUP($A144,'VKT US'!$B$63:$AA$113,(AS$113+1),FALSE)/VLOOKUP($A144,'Fuel economy adjusted factor'!$A$2:$F$52,5,FALSE)/$AZ$84</f>
        <v>4846.9417918399504</v>
      </c>
      <c r="AT144" s="110" cm="1">
        <f t="array" ref="AT144">SUMPRODUCT(INDEX(Z144:AS144,,_xlfn.SEQUENCE($AZ$13)))</f>
        <v>93731.745037092827</v>
      </c>
    </row>
    <row r="145" spans="1:46" x14ac:dyDescent="0.25">
      <c r="A145" s="102" t="s">
        <v>216</v>
      </c>
      <c r="B145" s="106">
        <f>VLOOKUP($A145,'VKT US'!$B$63:$AA$113,(B$113+1),FALSE)/VLOOKUP($A145,'Fuel economy adjusted factor'!$A$2:$F$52,5,FALSE)/$AZ$84*($AZ$15*('US Grid mix, emissions&amp;prices'!$AU$3+INDEX('Year data'!$B$3:$AC$53,MATCH('TCO Inputs'!$A145,'Year data'!$A$111:$A$161,0),MATCH('TCO Inputs'!$AZ$12+B$113-1,'Year data'!$B$110:$AC$110,0))/100)+$BA$15*('US Grid mix, emissions&amp;prices'!$AU$4+INDEX('Year data'!$B$57:$AC$107,MATCH($A145,'Year data'!$A$111:$A$161,0),MATCH('TCO Inputs'!$AZ$12+B$113-1,'Year data'!$B$110:$AC$110,0))/100))/(1+$AZ$41)^B$113</f>
        <v>1201.8626196874707</v>
      </c>
      <c r="C145" s="106">
        <f>VLOOKUP($A145,'VKT US'!$B$63:$AA$113,(C$113+1),FALSE)/VLOOKUP($A145,'Fuel economy adjusted factor'!$A$2:$F$52,5,FALSE)/$AZ$84*($AZ$15*('US Grid mix, emissions&amp;prices'!$AU$3+INDEX('Year data'!$B$3:$AC$53,MATCH('TCO Inputs'!$A145,'Year data'!$A$111:$A$161,0),MATCH('TCO Inputs'!$AZ$12+C$113-1,'Year data'!$B$110:$AC$110,0))/100)+$BA$15*('US Grid mix, emissions&amp;prices'!$AU$4+INDEX('Year data'!$B$57:$AC$107,MATCH($A145,'Year data'!$A$111:$A$161,0),MATCH('TCO Inputs'!$AZ$12+C$113-1,'Year data'!$B$110:$AC$110,0))/100))/(1+$AZ$41)^C$113</f>
        <v>1130.1152117152249</v>
      </c>
      <c r="D145" s="106">
        <f>VLOOKUP($A145,'VKT US'!$B$63:$AA$113,(D$113+1),FALSE)/VLOOKUP($A145,'Fuel economy adjusted factor'!$A$2:$F$52,5,FALSE)/$AZ$84*($AZ$15*('US Grid mix, emissions&amp;prices'!$AU$3+INDEX('Year data'!$B$3:$AC$53,MATCH('TCO Inputs'!$A145,'Year data'!$A$111:$A$161,0),MATCH('TCO Inputs'!$AZ$12+D$113-1,'Year data'!$B$110:$AC$110,0))/100)+$BA$15*('US Grid mix, emissions&amp;prices'!$AU$4+INDEX('Year data'!$B$57:$AC$107,MATCH($A145,'Year data'!$A$111:$A$161,0),MATCH('TCO Inputs'!$AZ$12+D$113-1,'Year data'!$B$110:$AC$110,0))/100))/(1+$AZ$41)^D$113</f>
        <v>1057.5510690127037</v>
      </c>
      <c r="E145" s="106">
        <f>VLOOKUP($A145,'VKT US'!$B$63:$AA$113,(E$113+1),FALSE)/VLOOKUP($A145,'Fuel economy adjusted factor'!$A$2:$F$52,5,FALSE)/$AZ$84*($AZ$15*('US Grid mix, emissions&amp;prices'!$AU$3+INDEX('Year data'!$B$3:$AC$53,MATCH('TCO Inputs'!$A145,'Year data'!$A$111:$A$161,0),MATCH('TCO Inputs'!$AZ$12+E$113-1,'Year data'!$B$110:$AC$110,0))/100)+$BA$15*('US Grid mix, emissions&amp;prices'!$AU$4+INDEX('Year data'!$B$57:$AC$107,MATCH($A145,'Year data'!$A$111:$A$161,0),MATCH('TCO Inputs'!$AZ$12+E$113-1,'Year data'!$B$110:$AC$110,0))/100))/(1+$AZ$41)^E$113</f>
        <v>999.81584469006418</v>
      </c>
      <c r="F145" s="106">
        <f>VLOOKUP($A145,'VKT US'!$B$63:$AA$113,(F$113+1),FALSE)/VLOOKUP($A145,'Fuel economy adjusted factor'!$A$2:$F$52,5,FALSE)/$AZ$84*($AZ$15*('US Grid mix, emissions&amp;prices'!$AU$3+INDEX('Year data'!$B$3:$AC$53,MATCH('TCO Inputs'!$A145,'Year data'!$A$111:$A$161,0),MATCH('TCO Inputs'!$AZ$12+F$113-1,'Year data'!$B$110:$AC$110,0))/100)+$BA$15*('US Grid mix, emissions&amp;prices'!$AU$4+INDEX('Year data'!$B$57:$AC$107,MATCH($A145,'Year data'!$A$111:$A$161,0),MATCH('TCO Inputs'!$AZ$12+F$113-1,'Year data'!$B$110:$AC$110,0))/100))/(1+$AZ$41)^F$113</f>
        <v>948.57329895980627</v>
      </c>
      <c r="G145" s="106">
        <f>VLOOKUP($A145,'VKT US'!$B$63:$AA$113,(G$113+1),FALSE)/VLOOKUP($A145,'Fuel economy adjusted factor'!$A$2:$F$52,5,FALSE)/$AZ$84*($AZ$15*('US Grid mix, emissions&amp;prices'!$AU$3+INDEX('Year data'!$B$3:$AC$53,MATCH('TCO Inputs'!$A145,'Year data'!$A$111:$A$161,0),MATCH('TCO Inputs'!$AZ$12+G$113-1,'Year data'!$B$110:$AC$110,0))/100)+$BA$15*('US Grid mix, emissions&amp;prices'!$AU$4+INDEX('Year data'!$B$57:$AC$107,MATCH($A145,'Year data'!$A$111:$A$161,0),MATCH('TCO Inputs'!$AZ$12+G$113-1,'Year data'!$B$110:$AC$110,0))/100))/(1+$AZ$41)^G$113</f>
        <v>902.96936008333455</v>
      </c>
      <c r="H145" s="106">
        <f>VLOOKUP($A145,'VKT US'!$B$63:$AA$113,(H$113+1),FALSE)/VLOOKUP($A145,'Fuel economy adjusted factor'!$A$2:$F$52,5,FALSE)/$AZ$84*($AZ$15*('US Grid mix, emissions&amp;prices'!$AU$3+INDEX('Year data'!$B$3:$AC$53,MATCH('TCO Inputs'!$A145,'Year data'!$A$111:$A$161,0),MATCH('TCO Inputs'!$AZ$12+H$113-1,'Year data'!$B$110:$AC$110,0))/100)+$BA$15*('US Grid mix, emissions&amp;prices'!$AU$4+INDEX('Year data'!$B$57:$AC$107,MATCH($A145,'Year data'!$A$111:$A$161,0),MATCH('TCO Inputs'!$AZ$12+H$113-1,'Year data'!$B$110:$AC$110,0))/100))/(1+$AZ$41)^H$113</f>
        <v>864.15112342524776</v>
      </c>
      <c r="I145" s="106">
        <f>VLOOKUP($A145,'VKT US'!$B$63:$AA$113,(I$113+1),FALSE)/VLOOKUP($A145,'Fuel economy adjusted factor'!$A$2:$F$52,5,FALSE)/$AZ$84*($AZ$15*('US Grid mix, emissions&amp;prices'!$AU$3+INDEX('Year data'!$B$3:$AC$53,MATCH('TCO Inputs'!$A145,'Year data'!$A$111:$A$161,0),MATCH('TCO Inputs'!$AZ$12+I$113-1,'Year data'!$B$110:$AC$110,0))/100)+$BA$15*('US Grid mix, emissions&amp;prices'!$AU$4+INDEX('Year data'!$B$57:$AC$107,MATCH($A145,'Year data'!$A$111:$A$161,0),MATCH('TCO Inputs'!$AZ$12+I$113-1,'Year data'!$B$110:$AC$110,0))/100))/(1+$AZ$41)^I$113</f>
        <v>830.6129746194938</v>
      </c>
      <c r="J145" s="106">
        <f>VLOOKUP($A145,'VKT US'!$B$63:$AA$113,(J$113+1),FALSE)/VLOOKUP($A145,'Fuel economy adjusted factor'!$A$2:$F$52,5,FALSE)/$AZ$84*($AZ$15*('US Grid mix, emissions&amp;prices'!$AU$3+INDEX('Year data'!$B$3:$AC$53,MATCH('TCO Inputs'!$A145,'Year data'!$A$111:$A$161,0),MATCH('TCO Inputs'!$AZ$12+J$113-1,'Year data'!$B$110:$AC$110,0))/100)+$BA$15*('US Grid mix, emissions&amp;prices'!$AU$4+INDEX('Year data'!$B$57:$AC$107,MATCH($A145,'Year data'!$A$111:$A$161,0),MATCH('TCO Inputs'!$AZ$12+J$113-1,'Year data'!$B$110:$AC$110,0))/100))/(1+$AZ$41)^J$113</f>
        <v>799.96191920062438</v>
      </c>
      <c r="K145" s="106">
        <f>VLOOKUP($A145,'VKT US'!$B$63:$AA$113,(K$113+1),FALSE)/VLOOKUP($A145,'Fuel economy adjusted factor'!$A$2:$F$52,5,FALSE)/$AZ$84*($AZ$15*('US Grid mix, emissions&amp;prices'!$AU$3+INDEX('Year data'!$B$3:$AC$53,MATCH('TCO Inputs'!$A145,'Year data'!$A$111:$A$161,0),MATCH('TCO Inputs'!$AZ$12+K$113-1,'Year data'!$B$110:$AC$110,0))/100)+$BA$15*('US Grid mix, emissions&amp;prices'!$AU$4+INDEX('Year data'!$B$57:$AC$107,MATCH($A145,'Year data'!$A$111:$A$161,0),MATCH('TCO Inputs'!$AZ$12+K$113-1,'Year data'!$B$110:$AC$110,0))/100))/(1+$AZ$41)^K$113</f>
        <v>770.55789011037234</v>
      </c>
      <c r="L145" s="106">
        <f>VLOOKUP($A145,'VKT US'!$B$63:$AA$113,(L$113+1),FALSE)/VLOOKUP($A145,'Fuel economy adjusted factor'!$A$2:$F$52,5,FALSE)/$AZ$84*($AZ$15*('US Grid mix, emissions&amp;prices'!$AU$3+INDEX('Year data'!$B$3:$AC$53,MATCH('TCO Inputs'!$A145,'Year data'!$A$111:$A$161,0),MATCH('TCO Inputs'!$AZ$12+L$113-1,'Year data'!$B$110:$AC$110,0))/100)+$BA$15*('US Grid mix, emissions&amp;prices'!$AU$4+INDEX('Year data'!$B$57:$AC$107,MATCH($A145,'Year data'!$A$111:$A$161,0),MATCH('TCO Inputs'!$AZ$12+L$113-1,'Year data'!$B$110:$AC$110,0))/100))/(1+$AZ$41)^L$113</f>
        <v>748.28127788610436</v>
      </c>
      <c r="M145" s="106">
        <f>VLOOKUP($A145,'VKT US'!$B$63:$AA$113,(M$113+1),FALSE)/VLOOKUP($A145,'Fuel economy adjusted factor'!$A$2:$F$52,5,FALSE)/$AZ$84*($AZ$15*('US Grid mix, emissions&amp;prices'!$AU$3+INDEX('Year data'!$B$3:$AC$53,MATCH('TCO Inputs'!$A145,'Year data'!$A$111:$A$161,0),MATCH('TCO Inputs'!$AZ$12+M$113-1,'Year data'!$B$110:$AC$110,0))/100)+$BA$15*('US Grid mix, emissions&amp;prices'!$AU$4+INDEX('Year data'!$B$57:$AC$107,MATCH($A145,'Year data'!$A$111:$A$161,0),MATCH('TCO Inputs'!$AZ$12+M$113-1,'Year data'!$B$110:$AC$110,0))/100))/(1+$AZ$41)^M$113</f>
        <v>725.19041970439537</v>
      </c>
      <c r="N145" s="106">
        <f>VLOOKUP($A145,'VKT US'!$B$63:$AA$113,(N$113+1),FALSE)/VLOOKUP($A145,'Fuel economy adjusted factor'!$A$2:$F$52,5,FALSE)/$AZ$84*($AZ$15*('US Grid mix, emissions&amp;prices'!$AU$3+INDEX('Year data'!$B$3:$AC$53,MATCH('TCO Inputs'!$A145,'Year data'!$A$111:$A$161,0),MATCH('TCO Inputs'!$AZ$12+N$113-1,'Year data'!$B$110:$AC$110,0))/100)+$BA$15*('US Grid mix, emissions&amp;prices'!$AU$4+INDEX('Year data'!$B$57:$AC$107,MATCH($A145,'Year data'!$A$111:$A$161,0),MATCH('TCO Inputs'!$AZ$12+N$113-1,'Year data'!$B$110:$AC$110,0))/100))/(1+$AZ$41)^N$113</f>
        <v>698.06222520667723</v>
      </c>
      <c r="O145" s="106">
        <f>VLOOKUP($A145,'VKT US'!$B$63:$AA$113,(O$113+1),FALSE)/VLOOKUP($A145,'Fuel economy adjusted factor'!$A$2:$F$52,5,FALSE)/$AZ$84*($AZ$15*('US Grid mix, emissions&amp;prices'!$AU$3+INDEX('Year data'!$B$3:$AC$53,MATCH('TCO Inputs'!$A145,'Year data'!$A$111:$A$161,0),MATCH('TCO Inputs'!$AZ$12+O$113-1,'Year data'!$B$110:$AC$110,0))/100)+$BA$15*('US Grid mix, emissions&amp;prices'!$AU$4+INDEX('Year data'!$B$57:$AC$107,MATCH($A145,'Year data'!$A$111:$A$161,0),MATCH('TCO Inputs'!$AZ$12+O$113-1,'Year data'!$B$110:$AC$110,0))/100))/(1+$AZ$41)^O$113</f>
        <v>674.97193229214292</v>
      </c>
      <c r="P145" s="106">
        <f>VLOOKUP($A145,'VKT US'!$B$63:$AA$113,(P$113+1),FALSE)/VLOOKUP($A145,'Fuel economy adjusted factor'!$A$2:$F$52,5,FALSE)/$AZ$84*($AZ$15*('US Grid mix, emissions&amp;prices'!$AU$3+INDEX('Year data'!$B$3:$AC$53,MATCH('TCO Inputs'!$A145,'Year data'!$A$111:$A$161,0),MATCH('TCO Inputs'!$AZ$12+P$113-1,'Year data'!$B$110:$AC$110,0))/100)+$BA$15*('US Grid mix, emissions&amp;prices'!$AU$4+INDEX('Year data'!$B$57:$AC$107,MATCH($A145,'Year data'!$A$111:$A$161,0),MATCH('TCO Inputs'!$AZ$12+P$113-1,'Year data'!$B$110:$AC$110,0))/100))/(1+$AZ$41)^P$113</f>
        <v>653.71142970287042</v>
      </c>
      <c r="Q145" s="106">
        <f>VLOOKUP($A145,'VKT US'!$B$63:$AA$113,(Q$113+1),FALSE)/VLOOKUP($A145,'Fuel economy adjusted factor'!$A$2:$F$52,5,FALSE)/$AZ$84*($AZ$15*('US Grid mix, emissions&amp;prices'!$AU$3+INDEX('Year data'!$B$3:$AC$53,MATCH('TCO Inputs'!$A145,'Year data'!$A$111:$A$161,0),MATCH('TCO Inputs'!$AZ$12+Q$113-1,'Year data'!$B$110:$AC$110,0))/100)+$BA$15*('US Grid mix, emissions&amp;prices'!$AU$4+INDEX('Year data'!$B$57:$AC$107,MATCH($A145,'Year data'!$A$111:$A$161,0),MATCH('TCO Inputs'!$AZ$12+Q$113-1,'Year data'!$B$110:$AC$110,0))/100))/(1+$AZ$41)^Q$113</f>
        <v>635.24873745999241</v>
      </c>
      <c r="R145" s="106">
        <f>VLOOKUP($A145,'VKT US'!$B$63:$AA$113,(R$113+1),FALSE)/VLOOKUP($A145,'Fuel economy adjusted factor'!$A$2:$F$52,5,FALSE)/$AZ$84*($AZ$15*('US Grid mix, emissions&amp;prices'!$AU$3+INDEX('Year data'!$B$3:$AC$53,MATCH('TCO Inputs'!$A145,'Year data'!$A$111:$A$161,0),MATCH('TCO Inputs'!$AZ$12+R$113-1,'Year data'!$B$110:$AC$110,0))/100)+$BA$15*('US Grid mix, emissions&amp;prices'!$AU$4+INDEX('Year data'!$B$57:$AC$107,MATCH($A145,'Year data'!$A$111:$A$161,0),MATCH('TCO Inputs'!$AZ$12+R$113-1,'Year data'!$B$110:$AC$110,0))/100))/(1+$AZ$41)^R$113</f>
        <v>616.40160799827413</v>
      </c>
      <c r="S145" s="106">
        <f>VLOOKUP($A145,'VKT US'!$B$63:$AA$113,(S$113+1),FALSE)/VLOOKUP($A145,'Fuel economy adjusted factor'!$A$2:$F$52,5,FALSE)/$AZ$84*($AZ$15*('US Grid mix, emissions&amp;prices'!$AU$3+INDEX('Year data'!$B$3:$AC$53,MATCH('TCO Inputs'!$A145,'Year data'!$A$111:$A$161,0),MATCH('TCO Inputs'!$AZ$12+S$113-1,'Year data'!$B$110:$AC$110,0))/100)+$BA$15*('US Grid mix, emissions&amp;prices'!$AU$4+INDEX('Year data'!$B$57:$AC$107,MATCH($A145,'Year data'!$A$111:$A$161,0),MATCH('TCO Inputs'!$AZ$12+S$113-1,'Year data'!$B$110:$AC$110,0))/100))/(1+$AZ$41)^S$113</f>
        <v>598.72143081685556</v>
      </c>
      <c r="T145" s="106">
        <f>VLOOKUP($A145,'VKT US'!$B$63:$AA$113,(T$113+1),FALSE)/VLOOKUP($A145,'Fuel economy adjusted factor'!$A$2:$F$52,5,FALSE)/$AZ$84*($AZ$15*('US Grid mix, emissions&amp;prices'!$AU$3+INDEX('Year data'!$B$3:$AC$53,MATCH('TCO Inputs'!$A145,'Year data'!$A$111:$A$161,0),MATCH('TCO Inputs'!$AZ$12+T$113-1,'Year data'!$B$110:$AC$110,0))/100)+$BA$15*('US Grid mix, emissions&amp;prices'!$AU$4+INDEX('Year data'!$B$57:$AC$107,MATCH($A145,'Year data'!$A$111:$A$161,0),MATCH('TCO Inputs'!$AZ$12+T$113-1,'Year data'!$B$110:$AC$110,0))/100))/(1+$AZ$41)^T$113</f>
        <v>581.48324472570289</v>
      </c>
      <c r="U145" s="106">
        <f>VLOOKUP($A145,'VKT US'!$B$63:$AA$113,(U$113+1),FALSE)/VLOOKUP($A145,'Fuel economy adjusted factor'!$A$2:$F$52,5,FALSE)/$AZ$84*($AZ$15*('US Grid mix, emissions&amp;prices'!$AU$3+INDEX('Year data'!$B$3:$AC$53,MATCH('TCO Inputs'!$A145,'Year data'!$A$111:$A$161,0),MATCH('TCO Inputs'!$AZ$12+U$113-1,'Year data'!$B$110:$AC$110,0))/100)+$BA$15*('US Grid mix, emissions&amp;prices'!$AU$4+INDEX('Year data'!$B$57:$AC$107,MATCH($A145,'Year data'!$A$111:$A$161,0),MATCH('TCO Inputs'!$AZ$12+U$113-1,'Year data'!$B$110:$AC$110,0))/100))/(1+$AZ$41)^U$113</f>
        <v>564.43332751799198</v>
      </c>
      <c r="V145" s="110" cm="1">
        <f t="array" ref="V145">SUMPRODUCT(INDEX(B145:U145,,_xlfn.SEQUENCE($AZ$13)))</f>
        <v>12352.677166593661</v>
      </c>
      <c r="Y145" s="102" t="s">
        <v>216</v>
      </c>
      <c r="Z145" s="106">
        <f>VLOOKUP($A145,'VKT US'!$B$63:$AA$113,(Z$113+1),FALSE)/VLOOKUP($A145,'Fuel economy adjusted factor'!$A$2:$F$52,5,FALSE)/$AZ$84</f>
        <v>4556.9048045043073</v>
      </c>
      <c r="AA145" s="106">
        <f>VLOOKUP($A145,'VKT US'!$B$63:$AA$113,(AA$113+1),FALSE)/VLOOKUP($A145,'Fuel economy adjusted factor'!$A$2:$F$52,5,FALSE)/$AZ$84</f>
        <v>4421.3687967468877</v>
      </c>
      <c r="AB145" s="106">
        <f>VLOOKUP($A145,'VKT US'!$B$63:$AA$113,(AB$113+1),FALSE)/VLOOKUP($A145,'Fuel economy adjusted factor'!$A$2:$F$52,5,FALSE)/$AZ$84</f>
        <v>4290.1094105934653</v>
      </c>
      <c r="AC145" s="106">
        <f>VLOOKUP($A145,'VKT US'!$B$63:$AA$113,(AC$113+1),FALSE)/VLOOKUP($A145,'Fuel economy adjusted factor'!$A$2:$F$52,5,FALSE)/$AZ$84</f>
        <v>4163.4556169366533</v>
      </c>
      <c r="AD145" s="106">
        <f>VLOOKUP($A145,'VKT US'!$B$63:$AA$113,(AD$113+1),FALSE)/VLOOKUP($A145,'Fuel economy adjusted factor'!$A$2:$F$52,5,FALSE)/$AZ$84</f>
        <v>4041.0784448838367</v>
      </c>
      <c r="AE145" s="106">
        <f>VLOOKUP($A145,'VKT US'!$B$63:$AA$113,(AE$113+1),FALSE)/VLOOKUP($A145,'Fuel economy adjusted factor'!$A$2:$F$52,5,FALSE)/$AZ$84</f>
        <v>3923.6358362202482</v>
      </c>
      <c r="AF145" s="106">
        <f>VLOOKUP($A145,'VKT US'!$B$63:$AA$113,(AF$113+1),FALSE)/VLOOKUP($A145,'Fuel economy adjusted factor'!$A$2:$F$52,5,FALSE)/$AZ$84</f>
        <v>3810.1408782680405</v>
      </c>
      <c r="AG145" s="106">
        <f>VLOOKUP($A145,'VKT US'!$B$63:$AA$113,(AG$113+1),FALSE)/VLOOKUP($A145,'Fuel economy adjusted factor'!$A$2:$F$52,5,FALSE)/$AZ$84</f>
        <v>3701.2515128124437</v>
      </c>
      <c r="AH145" s="106">
        <f>VLOOKUP($A145,'VKT US'!$B$63:$AA$113,(AH$113+1),FALSE)/VLOOKUP($A145,'Fuel economy adjusted factor'!$A$2:$F$52,5,FALSE)/$AZ$84</f>
        <v>3596.9677398534577</v>
      </c>
      <c r="AI145" s="106">
        <f>VLOOKUP($A145,'VKT US'!$B$63:$AA$113,(AI$113+1),FALSE)/VLOOKUP($A145,'Fuel economy adjusted factor'!$A$2:$F$52,5,FALSE)/$AZ$84</f>
        <v>3497.2895593910839</v>
      </c>
      <c r="AJ145" s="106">
        <f>VLOOKUP($A145,'VKT US'!$B$63:$AA$113,(AJ$113+1),FALSE)/VLOOKUP($A145,'Fuel economy adjusted factor'!$A$2:$F$52,5,FALSE)/$AZ$84</f>
        <v>3401.888000532706</v>
      </c>
      <c r="AK145" s="106">
        <f>VLOOKUP($A145,'VKT US'!$B$63:$AA$113,(AK$113+1),FALSE)/VLOOKUP($A145,'Fuel economy adjusted factor'!$A$2:$F$52,5,FALSE)/$AZ$84</f>
        <v>3311.0920341709393</v>
      </c>
      <c r="AL145" s="106">
        <f>VLOOKUP($A145,'VKT US'!$B$63:$AA$113,(AL$113+1),FALSE)/VLOOKUP($A145,'Fuel economy adjusted factor'!$A$2:$F$52,5,FALSE)/$AZ$84</f>
        <v>3224.5726894131699</v>
      </c>
      <c r="AM145" s="106">
        <f>VLOOKUP($A145,'VKT US'!$B$63:$AA$113,(AM$113+1),FALSE)/VLOOKUP($A145,'Fuel economy adjusted factor'!$A$2:$F$52,5,FALSE)/$AZ$84</f>
        <v>3142.6589371520108</v>
      </c>
      <c r="AN145" s="106">
        <f>VLOOKUP($A145,'VKT US'!$B$63:$AA$113,(AN$113+1),FALSE)/VLOOKUP($A145,'Fuel economy adjusted factor'!$A$2:$F$52,5,FALSE)/$AZ$84</f>
        <v>3065.0218064948476</v>
      </c>
      <c r="AO145" s="106">
        <f>VLOOKUP($A145,'VKT US'!$B$63:$AA$113,(AO$113+1),FALSE)/VLOOKUP($A145,'Fuel economy adjusted factor'!$A$2:$F$52,5,FALSE)/$AZ$84</f>
        <v>2992.3192392269111</v>
      </c>
      <c r="AP145" s="106">
        <f>VLOOKUP($A145,'VKT US'!$B$63:$AA$113,(AP$113+1),FALSE)/VLOOKUP($A145,'Fuel economy adjusted factor'!$A$2:$F$52,5,FALSE)/$AZ$84</f>
        <v>2923.5643226703564</v>
      </c>
      <c r="AQ145" s="106">
        <f>VLOOKUP($A145,'VKT US'!$B$63:$AA$113,(AQ$113+1),FALSE)/VLOOKUP($A145,'Fuel economy adjusted factor'!$A$2:$F$52,5,FALSE)/$AZ$84</f>
        <v>2859.7439695030275</v>
      </c>
      <c r="AR145" s="106">
        <f>VLOOKUP($A145,'VKT US'!$B$63:$AA$113,(AR$113+1),FALSE)/VLOOKUP($A145,'Fuel economy adjusted factor'!$A$2:$F$52,5,FALSE)/$AZ$84</f>
        <v>2799.8712670470804</v>
      </c>
      <c r="AS145" s="106">
        <f>VLOOKUP($A145,'VKT US'!$B$63:$AA$113,(AS$113+1),FALSE)/VLOOKUP($A145,'Fuel economy adjusted factor'!$A$2:$F$52,5,FALSE)/$AZ$84</f>
        <v>2744.9331279803596</v>
      </c>
      <c r="AT145" s="110" cm="1">
        <f t="array" ref="AT145">SUMPRODUCT(INDEX(Z145:AS145,,_xlfn.SEQUENCE($AZ$13)))</f>
        <v>53082.414261479258</v>
      </c>
    </row>
    <row r="146" spans="1:46" x14ac:dyDescent="0.25">
      <c r="A146" s="102" t="s">
        <v>209</v>
      </c>
      <c r="B146" s="106">
        <f>VLOOKUP($A146,'VKT US'!$B$63:$AA$113,(B$113+1),FALSE)/VLOOKUP($A146,'Fuel economy adjusted factor'!$A$2:$F$52,5,FALSE)/$AZ$84*($AZ$15*('US Grid mix, emissions&amp;prices'!$AU$3+INDEX('Year data'!$B$3:$AC$53,MATCH('TCO Inputs'!$A146,'Year data'!$A$111:$A$161,0),MATCH('TCO Inputs'!$AZ$12+B$113-1,'Year data'!$B$110:$AC$110,0))/100)+$BA$15*('US Grid mix, emissions&amp;prices'!$AU$4+INDEX('Year data'!$B$57:$AC$107,MATCH($A146,'Year data'!$A$111:$A$161,0),MATCH('TCO Inputs'!$AZ$12+B$113-1,'Year data'!$B$110:$AC$110,0))/100))/(1+$AZ$41)^B$113</f>
        <v>1200.890392077612</v>
      </c>
      <c r="C146" s="106">
        <f>VLOOKUP($A146,'VKT US'!$B$63:$AA$113,(C$113+1),FALSE)/VLOOKUP($A146,'Fuel economy adjusted factor'!$A$2:$F$52,5,FALSE)/$AZ$84*($AZ$15*('US Grid mix, emissions&amp;prices'!$AU$3+INDEX('Year data'!$B$3:$AC$53,MATCH('TCO Inputs'!$A146,'Year data'!$A$111:$A$161,0),MATCH('TCO Inputs'!$AZ$12+C$113-1,'Year data'!$B$110:$AC$110,0))/100)+$BA$15*('US Grid mix, emissions&amp;prices'!$AU$4+INDEX('Year data'!$B$57:$AC$107,MATCH($A146,'Year data'!$A$111:$A$161,0),MATCH('TCO Inputs'!$AZ$12+C$113-1,'Year data'!$B$110:$AC$110,0))/100))/(1+$AZ$41)^C$113</f>
        <v>1132.2945231442252</v>
      </c>
      <c r="D146" s="106">
        <f>VLOOKUP($A146,'VKT US'!$B$63:$AA$113,(D$113+1),FALSE)/VLOOKUP($A146,'Fuel economy adjusted factor'!$A$2:$F$52,5,FALSE)/$AZ$84*($AZ$15*('US Grid mix, emissions&amp;prices'!$AU$3+INDEX('Year data'!$B$3:$AC$53,MATCH('TCO Inputs'!$A146,'Year data'!$A$111:$A$161,0),MATCH('TCO Inputs'!$AZ$12+D$113-1,'Year data'!$B$110:$AC$110,0))/100)+$BA$15*('US Grid mix, emissions&amp;prices'!$AU$4+INDEX('Year data'!$B$57:$AC$107,MATCH($A146,'Year data'!$A$111:$A$161,0),MATCH('TCO Inputs'!$AZ$12+D$113-1,'Year data'!$B$110:$AC$110,0))/100))/(1+$AZ$41)^D$113</f>
        <v>1063.3855756693833</v>
      </c>
      <c r="E146" s="106">
        <f>VLOOKUP($A146,'VKT US'!$B$63:$AA$113,(E$113+1),FALSE)/VLOOKUP($A146,'Fuel economy adjusted factor'!$A$2:$F$52,5,FALSE)/$AZ$84*($AZ$15*('US Grid mix, emissions&amp;prices'!$AU$3+INDEX('Year data'!$B$3:$AC$53,MATCH('TCO Inputs'!$A146,'Year data'!$A$111:$A$161,0),MATCH('TCO Inputs'!$AZ$12+E$113-1,'Year data'!$B$110:$AC$110,0))/100)+$BA$15*('US Grid mix, emissions&amp;prices'!$AU$4+INDEX('Year data'!$B$57:$AC$107,MATCH($A146,'Year data'!$A$111:$A$161,0),MATCH('TCO Inputs'!$AZ$12+E$113-1,'Year data'!$B$110:$AC$110,0))/100))/(1+$AZ$41)^E$113</f>
        <v>1007.4817350893019</v>
      </c>
      <c r="F146" s="106">
        <f>VLOOKUP($A146,'VKT US'!$B$63:$AA$113,(F$113+1),FALSE)/VLOOKUP($A146,'Fuel economy adjusted factor'!$A$2:$F$52,5,FALSE)/$AZ$84*($AZ$15*('US Grid mix, emissions&amp;prices'!$AU$3+INDEX('Year data'!$B$3:$AC$53,MATCH('TCO Inputs'!$A146,'Year data'!$A$111:$A$161,0),MATCH('TCO Inputs'!$AZ$12+F$113-1,'Year data'!$B$110:$AC$110,0))/100)+$BA$15*('US Grid mix, emissions&amp;prices'!$AU$4+INDEX('Year data'!$B$57:$AC$107,MATCH($A146,'Year data'!$A$111:$A$161,0),MATCH('TCO Inputs'!$AZ$12+F$113-1,'Year data'!$B$110:$AC$110,0))/100))/(1+$AZ$41)^F$113</f>
        <v>957.42382505935768</v>
      </c>
      <c r="G146" s="106">
        <f>VLOOKUP($A146,'VKT US'!$B$63:$AA$113,(G$113+1),FALSE)/VLOOKUP($A146,'Fuel economy adjusted factor'!$A$2:$F$52,5,FALSE)/$AZ$84*($AZ$15*('US Grid mix, emissions&amp;prices'!$AU$3+INDEX('Year data'!$B$3:$AC$53,MATCH('TCO Inputs'!$A146,'Year data'!$A$111:$A$161,0),MATCH('TCO Inputs'!$AZ$12+G$113-1,'Year data'!$B$110:$AC$110,0))/100)+$BA$15*('US Grid mix, emissions&amp;prices'!$AU$4+INDEX('Year data'!$B$57:$AC$107,MATCH($A146,'Year data'!$A$111:$A$161,0),MATCH('TCO Inputs'!$AZ$12+G$113-1,'Year data'!$B$110:$AC$110,0))/100))/(1+$AZ$41)^G$113</f>
        <v>912.4767768849357</v>
      </c>
      <c r="H146" s="106">
        <f>VLOOKUP($A146,'VKT US'!$B$63:$AA$113,(H$113+1),FALSE)/VLOOKUP($A146,'Fuel economy adjusted factor'!$A$2:$F$52,5,FALSE)/$AZ$84*($AZ$15*('US Grid mix, emissions&amp;prices'!$AU$3+INDEX('Year data'!$B$3:$AC$53,MATCH('TCO Inputs'!$A146,'Year data'!$A$111:$A$161,0),MATCH('TCO Inputs'!$AZ$12+H$113-1,'Year data'!$B$110:$AC$110,0))/100)+$BA$15*('US Grid mix, emissions&amp;prices'!$AU$4+INDEX('Year data'!$B$57:$AC$107,MATCH($A146,'Year data'!$A$111:$A$161,0),MATCH('TCO Inputs'!$AZ$12+H$113-1,'Year data'!$B$110:$AC$110,0))/100))/(1+$AZ$41)^H$113</f>
        <v>873.588754039479</v>
      </c>
      <c r="I146" s="106">
        <f>VLOOKUP($A146,'VKT US'!$B$63:$AA$113,(I$113+1),FALSE)/VLOOKUP($A146,'Fuel economy adjusted factor'!$A$2:$F$52,5,FALSE)/$AZ$84*($AZ$15*('US Grid mix, emissions&amp;prices'!$AU$3+INDEX('Year data'!$B$3:$AC$53,MATCH('TCO Inputs'!$A146,'Year data'!$A$111:$A$161,0),MATCH('TCO Inputs'!$AZ$12+I$113-1,'Year data'!$B$110:$AC$110,0))/100)+$BA$15*('US Grid mix, emissions&amp;prices'!$AU$4+INDEX('Year data'!$B$57:$AC$107,MATCH($A146,'Year data'!$A$111:$A$161,0),MATCH('TCO Inputs'!$AZ$12+I$113-1,'Year data'!$B$110:$AC$110,0))/100))/(1+$AZ$41)^I$113</f>
        <v>839.49189720173842</v>
      </c>
      <c r="J146" s="106">
        <f>VLOOKUP($A146,'VKT US'!$B$63:$AA$113,(J$113+1),FALSE)/VLOOKUP($A146,'Fuel economy adjusted factor'!$A$2:$F$52,5,FALSE)/$AZ$84*($AZ$15*('US Grid mix, emissions&amp;prices'!$AU$3+INDEX('Year data'!$B$3:$AC$53,MATCH('TCO Inputs'!$A146,'Year data'!$A$111:$A$161,0),MATCH('TCO Inputs'!$AZ$12+J$113-1,'Year data'!$B$110:$AC$110,0))/100)+$BA$15*('US Grid mix, emissions&amp;prices'!$AU$4+INDEX('Year data'!$B$57:$AC$107,MATCH($A146,'Year data'!$A$111:$A$161,0),MATCH('TCO Inputs'!$AZ$12+J$113-1,'Year data'!$B$110:$AC$110,0))/100))/(1+$AZ$41)^J$113</f>
        <v>808.12247064906353</v>
      </c>
      <c r="K146" s="106">
        <f>VLOOKUP($A146,'VKT US'!$B$63:$AA$113,(K$113+1),FALSE)/VLOOKUP($A146,'Fuel economy adjusted factor'!$A$2:$F$52,5,FALSE)/$AZ$84*($AZ$15*('US Grid mix, emissions&amp;prices'!$AU$3+INDEX('Year data'!$B$3:$AC$53,MATCH('TCO Inputs'!$A146,'Year data'!$A$111:$A$161,0),MATCH('TCO Inputs'!$AZ$12+K$113-1,'Year data'!$B$110:$AC$110,0))/100)+$BA$15*('US Grid mix, emissions&amp;prices'!$AU$4+INDEX('Year data'!$B$57:$AC$107,MATCH($A146,'Year data'!$A$111:$A$161,0),MATCH('TCO Inputs'!$AZ$12+K$113-1,'Year data'!$B$110:$AC$110,0))/100))/(1+$AZ$41)^K$113</f>
        <v>778.08265368288846</v>
      </c>
      <c r="L146" s="106">
        <f>VLOOKUP($A146,'VKT US'!$B$63:$AA$113,(L$113+1),FALSE)/VLOOKUP($A146,'Fuel economy adjusted factor'!$A$2:$F$52,5,FALSE)/$AZ$84*($AZ$15*('US Grid mix, emissions&amp;prices'!$AU$3+INDEX('Year data'!$B$3:$AC$53,MATCH('TCO Inputs'!$A146,'Year data'!$A$111:$A$161,0),MATCH('TCO Inputs'!$AZ$12+L$113-1,'Year data'!$B$110:$AC$110,0))/100)+$BA$15*('US Grid mix, emissions&amp;prices'!$AU$4+INDEX('Year data'!$B$57:$AC$107,MATCH($A146,'Year data'!$A$111:$A$161,0),MATCH('TCO Inputs'!$AZ$12+L$113-1,'Year data'!$B$110:$AC$110,0))/100))/(1+$AZ$41)^L$113</f>
        <v>754.37603849299273</v>
      </c>
      <c r="M146" s="106">
        <f>VLOOKUP($A146,'VKT US'!$B$63:$AA$113,(M$113+1),FALSE)/VLOOKUP($A146,'Fuel economy adjusted factor'!$A$2:$F$52,5,FALSE)/$AZ$84*($AZ$15*('US Grid mix, emissions&amp;prices'!$AU$3+INDEX('Year data'!$B$3:$AC$53,MATCH('TCO Inputs'!$A146,'Year data'!$A$111:$A$161,0),MATCH('TCO Inputs'!$AZ$12+M$113-1,'Year data'!$B$110:$AC$110,0))/100)+$BA$15*('US Grid mix, emissions&amp;prices'!$AU$4+INDEX('Year data'!$B$57:$AC$107,MATCH($A146,'Year data'!$A$111:$A$161,0),MATCH('TCO Inputs'!$AZ$12+M$113-1,'Year data'!$B$110:$AC$110,0))/100))/(1+$AZ$41)^M$113</f>
        <v>730.22474459236275</v>
      </c>
      <c r="N146" s="106">
        <f>VLOOKUP($A146,'VKT US'!$B$63:$AA$113,(N$113+1),FALSE)/VLOOKUP($A146,'Fuel economy adjusted factor'!$A$2:$F$52,5,FALSE)/$AZ$84*($AZ$15*('US Grid mix, emissions&amp;prices'!$AU$3+INDEX('Year data'!$B$3:$AC$53,MATCH('TCO Inputs'!$A146,'Year data'!$A$111:$A$161,0),MATCH('TCO Inputs'!$AZ$12+N$113-1,'Year data'!$B$110:$AC$110,0))/100)+$BA$15*('US Grid mix, emissions&amp;prices'!$AU$4+INDEX('Year data'!$B$57:$AC$107,MATCH($A146,'Year data'!$A$111:$A$161,0),MATCH('TCO Inputs'!$AZ$12+N$113-1,'Year data'!$B$110:$AC$110,0))/100))/(1+$AZ$41)^N$113</f>
        <v>702.86558569990927</v>
      </c>
      <c r="O146" s="106">
        <f>VLOOKUP($A146,'VKT US'!$B$63:$AA$113,(O$113+1),FALSE)/VLOOKUP($A146,'Fuel economy adjusted factor'!$A$2:$F$52,5,FALSE)/$AZ$84*($AZ$15*('US Grid mix, emissions&amp;prices'!$AU$3+INDEX('Year data'!$B$3:$AC$53,MATCH('TCO Inputs'!$A146,'Year data'!$A$111:$A$161,0),MATCH('TCO Inputs'!$AZ$12+O$113-1,'Year data'!$B$110:$AC$110,0))/100)+$BA$15*('US Grid mix, emissions&amp;prices'!$AU$4+INDEX('Year data'!$B$57:$AC$107,MATCH($A146,'Year data'!$A$111:$A$161,0),MATCH('TCO Inputs'!$AZ$12+O$113-1,'Year data'!$B$110:$AC$110,0))/100))/(1+$AZ$41)^O$113</f>
        <v>679.18767486134038</v>
      </c>
      <c r="P146" s="106">
        <f>VLOOKUP($A146,'VKT US'!$B$63:$AA$113,(P$113+1),FALSE)/VLOOKUP($A146,'Fuel economy adjusted factor'!$A$2:$F$52,5,FALSE)/$AZ$84*($AZ$15*('US Grid mix, emissions&amp;prices'!$AU$3+INDEX('Year data'!$B$3:$AC$53,MATCH('TCO Inputs'!$A146,'Year data'!$A$111:$A$161,0),MATCH('TCO Inputs'!$AZ$12+P$113-1,'Year data'!$B$110:$AC$110,0))/100)+$BA$15*('US Grid mix, emissions&amp;prices'!$AU$4+INDEX('Year data'!$B$57:$AC$107,MATCH($A146,'Year data'!$A$111:$A$161,0),MATCH('TCO Inputs'!$AZ$12+P$113-1,'Year data'!$B$110:$AC$110,0))/100))/(1+$AZ$41)^P$113</f>
        <v>657.28593879973278</v>
      </c>
      <c r="Q146" s="106">
        <f>VLOOKUP($A146,'VKT US'!$B$63:$AA$113,(Q$113+1),FALSE)/VLOOKUP($A146,'Fuel economy adjusted factor'!$A$2:$F$52,5,FALSE)/$AZ$84*($AZ$15*('US Grid mix, emissions&amp;prices'!$AU$3+INDEX('Year data'!$B$3:$AC$53,MATCH('TCO Inputs'!$A146,'Year data'!$A$111:$A$161,0),MATCH('TCO Inputs'!$AZ$12+Q$113-1,'Year data'!$B$110:$AC$110,0))/100)+$BA$15*('US Grid mix, emissions&amp;prices'!$AU$4+INDEX('Year data'!$B$57:$AC$107,MATCH($A146,'Year data'!$A$111:$A$161,0),MATCH('TCO Inputs'!$AZ$12+Q$113-1,'Year data'!$B$110:$AC$110,0))/100))/(1+$AZ$41)^Q$113</f>
        <v>638.00886457592719</v>
      </c>
      <c r="R146" s="106">
        <f>VLOOKUP($A146,'VKT US'!$B$63:$AA$113,(R$113+1),FALSE)/VLOOKUP($A146,'Fuel economy adjusted factor'!$A$2:$F$52,5,FALSE)/$AZ$84*($AZ$15*('US Grid mix, emissions&amp;prices'!$AU$3+INDEX('Year data'!$B$3:$AC$53,MATCH('TCO Inputs'!$A146,'Year data'!$A$111:$A$161,0),MATCH('TCO Inputs'!$AZ$12+R$113-1,'Year data'!$B$110:$AC$110,0))/100)+$BA$15*('US Grid mix, emissions&amp;prices'!$AU$4+INDEX('Year data'!$B$57:$AC$107,MATCH($A146,'Year data'!$A$111:$A$161,0),MATCH('TCO Inputs'!$AZ$12+R$113-1,'Year data'!$B$110:$AC$110,0))/100))/(1+$AZ$41)^R$113</f>
        <v>618.60111488019811</v>
      </c>
      <c r="S146" s="106">
        <f>VLOOKUP($A146,'VKT US'!$B$63:$AA$113,(S$113+1),FALSE)/VLOOKUP($A146,'Fuel economy adjusted factor'!$A$2:$F$52,5,FALSE)/$AZ$84*($AZ$15*('US Grid mix, emissions&amp;prices'!$AU$3+INDEX('Year data'!$B$3:$AC$53,MATCH('TCO Inputs'!$A146,'Year data'!$A$111:$A$161,0),MATCH('TCO Inputs'!$AZ$12+S$113-1,'Year data'!$B$110:$AC$110,0))/100)+$BA$15*('US Grid mix, emissions&amp;prices'!$AU$4+INDEX('Year data'!$B$57:$AC$107,MATCH($A146,'Year data'!$A$111:$A$161,0),MATCH('TCO Inputs'!$AZ$12+S$113-1,'Year data'!$B$110:$AC$110,0))/100))/(1+$AZ$41)^S$113</f>
        <v>600.4066382148668</v>
      </c>
      <c r="T146" s="106">
        <f>VLOOKUP($A146,'VKT US'!$B$63:$AA$113,(T$113+1),FALSE)/VLOOKUP($A146,'Fuel economy adjusted factor'!$A$2:$F$52,5,FALSE)/$AZ$84*($AZ$15*('US Grid mix, emissions&amp;prices'!$AU$3+INDEX('Year data'!$B$3:$AC$53,MATCH('TCO Inputs'!$A146,'Year data'!$A$111:$A$161,0),MATCH('TCO Inputs'!$AZ$12+T$113-1,'Year data'!$B$110:$AC$110,0))/100)+$BA$15*('US Grid mix, emissions&amp;prices'!$AU$4+INDEX('Year data'!$B$57:$AC$107,MATCH($A146,'Year data'!$A$111:$A$161,0),MATCH('TCO Inputs'!$AZ$12+T$113-1,'Year data'!$B$110:$AC$110,0))/100))/(1+$AZ$41)^T$113</f>
        <v>582.77454886360238</v>
      </c>
      <c r="U146" s="106">
        <f>VLOOKUP($A146,'VKT US'!$B$63:$AA$113,(U$113+1),FALSE)/VLOOKUP($A146,'Fuel economy adjusted factor'!$A$2:$F$52,5,FALSE)/$AZ$84*($AZ$15*('US Grid mix, emissions&amp;prices'!$AU$3+INDEX('Year data'!$B$3:$AC$53,MATCH('TCO Inputs'!$A146,'Year data'!$A$111:$A$161,0),MATCH('TCO Inputs'!$AZ$12+U$113-1,'Year data'!$B$110:$AC$110,0))/100)+$BA$15*('US Grid mix, emissions&amp;prices'!$AU$4+INDEX('Year data'!$B$57:$AC$107,MATCH($A146,'Year data'!$A$111:$A$161,0),MATCH('TCO Inputs'!$AZ$12+U$113-1,'Year data'!$B$110:$AC$110,0))/100))/(1+$AZ$41)^U$113</f>
        <v>565.51125729538103</v>
      </c>
      <c r="V146" s="110" cm="1">
        <f t="array" ref="V146">SUMPRODUCT(INDEX(B146:U146,,_xlfn.SEQUENCE($AZ$13)))</f>
        <v>12439.892647144588</v>
      </c>
      <c r="Y146" s="102" t="s">
        <v>209</v>
      </c>
      <c r="Z146" s="106">
        <f>VLOOKUP($A146,'VKT US'!$B$63:$AA$113,(Z$113+1),FALSE)/VLOOKUP($A146,'Fuel economy adjusted factor'!$A$2:$F$52,5,FALSE)/$AZ$84</f>
        <v>6461.2628852887356</v>
      </c>
      <c r="AA146" s="106">
        <f>VLOOKUP($A146,'VKT US'!$B$63:$AA$113,(AA$113+1),FALSE)/VLOOKUP($A146,'Fuel economy adjusted factor'!$A$2:$F$52,5,FALSE)/$AZ$84</f>
        <v>6269.0855600837858</v>
      </c>
      <c r="AB146" s="106">
        <f>VLOOKUP($A146,'VKT US'!$B$63:$AA$113,(AB$113+1),FALSE)/VLOOKUP($A146,'Fuel economy adjusted factor'!$A$2:$F$52,5,FALSE)/$AZ$84</f>
        <v>6082.9720825187997</v>
      </c>
      <c r="AC146" s="106">
        <f>VLOOKUP($A146,'VKT US'!$B$63:$AA$113,(AC$113+1),FALSE)/VLOOKUP($A146,'Fuel economy adjusted factor'!$A$2:$F$52,5,FALSE)/$AZ$84</f>
        <v>5903.3889024122318</v>
      </c>
      <c r="AD146" s="106">
        <f>VLOOKUP($A146,'VKT US'!$B$63:$AA$113,(AD$113+1),FALSE)/VLOOKUP($A146,'Fuel economy adjusted factor'!$A$2:$F$52,5,FALSE)/$AZ$84</f>
        <v>5729.8695699456266</v>
      </c>
      <c r="AE146" s="106">
        <f>VLOOKUP($A146,'VKT US'!$B$63:$AA$113,(AE$113+1),FALSE)/VLOOKUP($A146,'Fuel economy adjusted factor'!$A$2:$F$52,5,FALSE)/$AZ$84</f>
        <v>5563.3469847559018</v>
      </c>
      <c r="AF146" s="106">
        <f>VLOOKUP($A146,'VKT US'!$B$63:$AA$113,(AF$113+1),FALSE)/VLOOKUP($A146,'Fuel economy adjusted factor'!$A$2:$F$52,5,FALSE)/$AZ$84</f>
        <v>5402.4217973876803</v>
      </c>
      <c r="AG146" s="106">
        <f>VLOOKUP($A146,'VKT US'!$B$63:$AA$113,(AG$113+1),FALSE)/VLOOKUP($A146,'Fuel economy adjusted factor'!$A$2:$F$52,5,FALSE)/$AZ$84</f>
        <v>5248.0269074778771</v>
      </c>
      <c r="AH146" s="106">
        <f>VLOOKUP($A146,'VKT US'!$B$63:$AA$113,(AH$113+1),FALSE)/VLOOKUP($A146,'Fuel economy adjusted factor'!$A$2:$F$52,5,FALSE)/$AZ$84</f>
        <v>5100.1623150264959</v>
      </c>
      <c r="AI146" s="106">
        <f>VLOOKUP($A146,'VKT US'!$B$63:$AA$113,(AI$113+1),FALSE)/VLOOKUP($A146,'Fuel economy adjusted factor'!$A$2:$F$52,5,FALSE)/$AZ$84</f>
        <v>4958.8280200335366</v>
      </c>
      <c r="AJ146" s="106">
        <f>VLOOKUP($A146,'VKT US'!$B$63:$AA$113,(AJ$113+1),FALSE)/VLOOKUP($A146,'Fuel economy adjusted factor'!$A$2:$F$52,5,FALSE)/$AZ$84</f>
        <v>4823.5575726805382</v>
      </c>
      <c r="AK146" s="106">
        <f>VLOOKUP($A146,'VKT US'!$B$63:$AA$113,(AK$113+1),FALSE)/VLOOKUP($A146,'Fuel economy adjusted factor'!$A$2:$F$52,5,FALSE)/$AZ$84</f>
        <v>4694.8174227859608</v>
      </c>
      <c r="AL146" s="106">
        <f>VLOOKUP($A146,'VKT US'!$B$63:$AA$113,(AL$113+1),FALSE)/VLOOKUP($A146,'Fuel economy adjusted factor'!$A$2:$F$52,5,FALSE)/$AZ$84</f>
        <v>4572.1411205313452</v>
      </c>
      <c r="AM146" s="106">
        <f>VLOOKUP($A146,'VKT US'!$B$63:$AA$113,(AM$113+1),FALSE)/VLOOKUP($A146,'Fuel economy adjusted factor'!$A$2:$F$52,5,FALSE)/$AZ$84</f>
        <v>4455.9951157351497</v>
      </c>
      <c r="AN146" s="106">
        <f>VLOOKUP($A146,'VKT US'!$B$63:$AA$113,(AN$113+1),FALSE)/VLOOKUP($A146,'Fuel economy adjusted factor'!$A$2:$F$52,5,FALSE)/$AZ$84</f>
        <v>4345.912958578916</v>
      </c>
      <c r="AO146" s="106">
        <f>VLOOKUP($A146,'VKT US'!$B$63:$AA$113,(AO$113+1),FALSE)/VLOOKUP($A146,'Fuel economy adjusted factor'!$A$2:$F$52,5,FALSE)/$AZ$84</f>
        <v>4242.8275486995626</v>
      </c>
      <c r="AP146" s="106">
        <f>VLOOKUP($A146,'VKT US'!$B$63:$AA$113,(AP$113+1),FALSE)/VLOOKUP($A146,'Fuel economy adjusted factor'!$A$2:$F$52,5,FALSE)/$AZ$84</f>
        <v>4145.3395366417108</v>
      </c>
      <c r="AQ146" s="106">
        <f>VLOOKUP($A146,'VKT US'!$B$63:$AA$113,(AQ$113+1),FALSE)/VLOOKUP($A146,'Fuel economy adjusted factor'!$A$2:$F$52,5,FALSE)/$AZ$84</f>
        <v>4054.8482718607402</v>
      </c>
      <c r="AR146" s="106">
        <f>VLOOKUP($A146,'VKT US'!$B$63:$AA$113,(AR$113+1),FALSE)/VLOOKUP($A146,'Fuel economy adjusted factor'!$A$2:$F$52,5,FALSE)/$AZ$84</f>
        <v>3969.9544049012725</v>
      </c>
      <c r="AS146" s="106">
        <f>VLOOKUP($A146,'VKT US'!$B$63:$AA$113,(AS$113+1),FALSE)/VLOOKUP($A146,'Fuel economy adjusted factor'!$A$2:$F$52,5,FALSE)/$AZ$84</f>
        <v>3892.0572852186833</v>
      </c>
      <c r="AT146" s="110" cm="1">
        <f t="array" ref="AT146">SUMPRODUCT(INDEX(Z146:AS146,,_xlfn.SEQUENCE($AZ$13)))</f>
        <v>75265.876256663658</v>
      </c>
    </row>
    <row r="147" spans="1:46" x14ac:dyDescent="0.25">
      <c r="A147" s="102" t="s">
        <v>210</v>
      </c>
      <c r="B147" s="106">
        <f>VLOOKUP($A147,'VKT US'!$B$63:$AA$113,(B$113+1),FALSE)/VLOOKUP($A147,'Fuel economy adjusted factor'!$A$2:$F$52,5,FALSE)/$AZ$84*($AZ$15*('US Grid mix, emissions&amp;prices'!$AU$3+INDEX('Year data'!$B$3:$AC$53,MATCH('TCO Inputs'!$A147,'Year data'!$A$111:$A$161,0),MATCH('TCO Inputs'!$AZ$12+B$113-1,'Year data'!$B$110:$AC$110,0))/100)+$BA$15*('US Grid mix, emissions&amp;prices'!$AU$4+INDEX('Year data'!$B$57:$AC$107,MATCH($A147,'Year data'!$A$111:$A$161,0),MATCH('TCO Inputs'!$AZ$12+B$113-1,'Year data'!$B$110:$AC$110,0))/100))/(1+$AZ$41)^B$113</f>
        <v>1436.2779360824547</v>
      </c>
      <c r="C147" s="106">
        <f>VLOOKUP($A147,'VKT US'!$B$63:$AA$113,(C$113+1),FALSE)/VLOOKUP($A147,'Fuel economy adjusted factor'!$A$2:$F$52,5,FALSE)/$AZ$84*($AZ$15*('US Grid mix, emissions&amp;prices'!$AU$3+INDEX('Year data'!$B$3:$AC$53,MATCH('TCO Inputs'!$A147,'Year data'!$A$111:$A$161,0),MATCH('TCO Inputs'!$AZ$12+C$113-1,'Year data'!$B$110:$AC$110,0))/100)+$BA$15*('US Grid mix, emissions&amp;prices'!$AU$4+INDEX('Year data'!$B$57:$AC$107,MATCH($A147,'Year data'!$A$111:$A$161,0),MATCH('TCO Inputs'!$AZ$12+C$113-1,'Year data'!$B$110:$AC$110,0))/100))/(1+$AZ$41)^C$113</f>
        <v>1354.6992605827081</v>
      </c>
      <c r="D147" s="106">
        <f>VLOOKUP($A147,'VKT US'!$B$63:$AA$113,(D$113+1),FALSE)/VLOOKUP($A147,'Fuel economy adjusted factor'!$A$2:$F$52,5,FALSE)/$AZ$84*($AZ$15*('US Grid mix, emissions&amp;prices'!$AU$3+INDEX('Year data'!$B$3:$AC$53,MATCH('TCO Inputs'!$A147,'Year data'!$A$111:$A$161,0),MATCH('TCO Inputs'!$AZ$12+D$113-1,'Year data'!$B$110:$AC$110,0))/100)+$BA$15*('US Grid mix, emissions&amp;prices'!$AU$4+INDEX('Year data'!$B$57:$AC$107,MATCH($A147,'Year data'!$A$111:$A$161,0),MATCH('TCO Inputs'!$AZ$12+D$113-1,'Year data'!$B$110:$AC$110,0))/100))/(1+$AZ$41)^D$113</f>
        <v>1273.2727073492968</v>
      </c>
      <c r="E147" s="106">
        <f>VLOOKUP($A147,'VKT US'!$B$63:$AA$113,(E$113+1),FALSE)/VLOOKUP($A147,'Fuel economy adjusted factor'!$A$2:$F$52,5,FALSE)/$AZ$84*($AZ$15*('US Grid mix, emissions&amp;prices'!$AU$3+INDEX('Year data'!$B$3:$AC$53,MATCH('TCO Inputs'!$A147,'Year data'!$A$111:$A$161,0),MATCH('TCO Inputs'!$AZ$12+E$113-1,'Year data'!$B$110:$AC$110,0))/100)+$BA$15*('US Grid mix, emissions&amp;prices'!$AU$4+INDEX('Year data'!$B$57:$AC$107,MATCH($A147,'Year data'!$A$111:$A$161,0),MATCH('TCO Inputs'!$AZ$12+E$113-1,'Year data'!$B$110:$AC$110,0))/100))/(1+$AZ$41)^E$113</f>
        <v>1206.9349863672128</v>
      </c>
      <c r="F147" s="106">
        <f>VLOOKUP($A147,'VKT US'!$B$63:$AA$113,(F$113+1),FALSE)/VLOOKUP($A147,'Fuel economy adjusted factor'!$A$2:$F$52,5,FALSE)/$AZ$84*($AZ$15*('US Grid mix, emissions&amp;prices'!$AU$3+INDEX('Year data'!$B$3:$AC$53,MATCH('TCO Inputs'!$A147,'Year data'!$A$111:$A$161,0),MATCH('TCO Inputs'!$AZ$12+F$113-1,'Year data'!$B$110:$AC$110,0))/100)+$BA$15*('US Grid mix, emissions&amp;prices'!$AU$4+INDEX('Year data'!$B$57:$AC$107,MATCH($A147,'Year data'!$A$111:$A$161,0),MATCH('TCO Inputs'!$AZ$12+F$113-1,'Year data'!$B$110:$AC$110,0))/100))/(1+$AZ$41)^F$113</f>
        <v>1147.4265295687219</v>
      </c>
      <c r="G147" s="106">
        <f>VLOOKUP($A147,'VKT US'!$B$63:$AA$113,(G$113+1),FALSE)/VLOOKUP($A147,'Fuel economy adjusted factor'!$A$2:$F$52,5,FALSE)/$AZ$84*($AZ$15*('US Grid mix, emissions&amp;prices'!$AU$3+INDEX('Year data'!$B$3:$AC$53,MATCH('TCO Inputs'!$A147,'Year data'!$A$111:$A$161,0),MATCH('TCO Inputs'!$AZ$12+G$113-1,'Year data'!$B$110:$AC$110,0))/100)+$BA$15*('US Grid mix, emissions&amp;prices'!$AU$4+INDEX('Year data'!$B$57:$AC$107,MATCH($A147,'Year data'!$A$111:$A$161,0),MATCH('TCO Inputs'!$AZ$12+G$113-1,'Year data'!$B$110:$AC$110,0))/100))/(1+$AZ$41)^G$113</f>
        <v>1093.8090491507985</v>
      </c>
      <c r="H147" s="106">
        <f>VLOOKUP($A147,'VKT US'!$B$63:$AA$113,(H$113+1),FALSE)/VLOOKUP($A147,'Fuel economy adjusted factor'!$A$2:$F$52,5,FALSE)/$AZ$84*($AZ$15*('US Grid mix, emissions&amp;prices'!$AU$3+INDEX('Year data'!$B$3:$AC$53,MATCH('TCO Inputs'!$A147,'Year data'!$A$111:$A$161,0),MATCH('TCO Inputs'!$AZ$12+H$113-1,'Year data'!$B$110:$AC$110,0))/100)+$BA$15*('US Grid mix, emissions&amp;prices'!$AU$4+INDEX('Year data'!$B$57:$AC$107,MATCH($A147,'Year data'!$A$111:$A$161,0),MATCH('TCO Inputs'!$AZ$12+H$113-1,'Year data'!$B$110:$AC$110,0))/100))/(1+$AZ$41)^H$113</f>
        <v>1047.2058846868601</v>
      </c>
      <c r="I147" s="106">
        <f>VLOOKUP($A147,'VKT US'!$B$63:$AA$113,(I$113+1),FALSE)/VLOOKUP($A147,'Fuel economy adjusted factor'!$A$2:$F$52,5,FALSE)/$AZ$84*($AZ$15*('US Grid mix, emissions&amp;prices'!$AU$3+INDEX('Year data'!$B$3:$AC$53,MATCH('TCO Inputs'!$A147,'Year data'!$A$111:$A$161,0),MATCH('TCO Inputs'!$AZ$12+I$113-1,'Year data'!$B$110:$AC$110,0))/100)+$BA$15*('US Grid mix, emissions&amp;prices'!$AU$4+INDEX('Year data'!$B$57:$AC$107,MATCH($A147,'Year data'!$A$111:$A$161,0),MATCH('TCO Inputs'!$AZ$12+I$113-1,'Year data'!$B$110:$AC$110,0))/100))/(1+$AZ$41)^I$113</f>
        <v>1006.1882028684367</v>
      </c>
      <c r="J147" s="106">
        <f>VLOOKUP($A147,'VKT US'!$B$63:$AA$113,(J$113+1),FALSE)/VLOOKUP($A147,'Fuel economy adjusted factor'!$A$2:$F$52,5,FALSE)/$AZ$84*($AZ$15*('US Grid mix, emissions&amp;prices'!$AU$3+INDEX('Year data'!$B$3:$AC$53,MATCH('TCO Inputs'!$A147,'Year data'!$A$111:$A$161,0),MATCH('TCO Inputs'!$AZ$12+J$113-1,'Year data'!$B$110:$AC$110,0))/100)+$BA$15*('US Grid mix, emissions&amp;prices'!$AU$4+INDEX('Year data'!$B$57:$AC$107,MATCH($A147,'Year data'!$A$111:$A$161,0),MATCH('TCO Inputs'!$AZ$12+J$113-1,'Year data'!$B$110:$AC$110,0))/100))/(1+$AZ$41)^J$113</f>
        <v>968.34086167869987</v>
      </c>
      <c r="K147" s="106">
        <f>VLOOKUP($A147,'VKT US'!$B$63:$AA$113,(K$113+1),FALSE)/VLOOKUP($A147,'Fuel economy adjusted factor'!$A$2:$F$52,5,FALSE)/$AZ$84*($AZ$15*('US Grid mix, emissions&amp;prices'!$AU$3+INDEX('Year data'!$B$3:$AC$53,MATCH('TCO Inputs'!$A147,'Year data'!$A$111:$A$161,0),MATCH('TCO Inputs'!$AZ$12+K$113-1,'Year data'!$B$110:$AC$110,0))/100)+$BA$15*('US Grid mix, emissions&amp;prices'!$AU$4+INDEX('Year data'!$B$57:$AC$107,MATCH($A147,'Year data'!$A$111:$A$161,0),MATCH('TCO Inputs'!$AZ$12+K$113-1,'Year data'!$B$110:$AC$110,0))/100))/(1+$AZ$41)^K$113</f>
        <v>932.12009930870533</v>
      </c>
      <c r="L147" s="106">
        <f>VLOOKUP($A147,'VKT US'!$B$63:$AA$113,(L$113+1),FALSE)/VLOOKUP($A147,'Fuel economy adjusted factor'!$A$2:$F$52,5,FALSE)/$AZ$84*($AZ$15*('US Grid mix, emissions&amp;prices'!$AU$3+INDEX('Year data'!$B$3:$AC$53,MATCH('TCO Inputs'!$A147,'Year data'!$A$111:$A$161,0),MATCH('TCO Inputs'!$AZ$12+L$113-1,'Year data'!$B$110:$AC$110,0))/100)+$BA$15*('US Grid mix, emissions&amp;prices'!$AU$4+INDEX('Year data'!$B$57:$AC$107,MATCH($A147,'Year data'!$A$111:$A$161,0),MATCH('TCO Inputs'!$AZ$12+L$113-1,'Year data'!$B$110:$AC$110,0))/100))/(1+$AZ$41)^L$113</f>
        <v>903.21919915364333</v>
      </c>
      <c r="M147" s="106">
        <f>VLOOKUP($A147,'VKT US'!$B$63:$AA$113,(M$113+1),FALSE)/VLOOKUP($A147,'Fuel economy adjusted factor'!$A$2:$F$52,5,FALSE)/$AZ$84*($AZ$15*('US Grid mix, emissions&amp;prices'!$AU$3+INDEX('Year data'!$B$3:$AC$53,MATCH('TCO Inputs'!$A147,'Year data'!$A$111:$A$161,0),MATCH('TCO Inputs'!$AZ$12+M$113-1,'Year data'!$B$110:$AC$110,0))/100)+$BA$15*('US Grid mix, emissions&amp;prices'!$AU$4+INDEX('Year data'!$B$57:$AC$107,MATCH($A147,'Year data'!$A$111:$A$161,0),MATCH('TCO Inputs'!$AZ$12+M$113-1,'Year data'!$B$110:$AC$110,0))/100))/(1+$AZ$41)^M$113</f>
        <v>873.9202312760832</v>
      </c>
      <c r="N147" s="106">
        <f>VLOOKUP($A147,'VKT US'!$B$63:$AA$113,(N$113+1),FALSE)/VLOOKUP($A147,'Fuel economy adjusted factor'!$A$2:$F$52,5,FALSE)/$AZ$84*($AZ$15*('US Grid mix, emissions&amp;prices'!$AU$3+INDEX('Year data'!$B$3:$AC$53,MATCH('TCO Inputs'!$A147,'Year data'!$A$111:$A$161,0),MATCH('TCO Inputs'!$AZ$12+N$113-1,'Year data'!$B$110:$AC$110,0))/100)+$BA$15*('US Grid mix, emissions&amp;prices'!$AU$4+INDEX('Year data'!$B$57:$AC$107,MATCH($A147,'Year data'!$A$111:$A$161,0),MATCH('TCO Inputs'!$AZ$12+N$113-1,'Year data'!$B$110:$AC$110,0))/100))/(1+$AZ$41)^N$113</f>
        <v>841.10519817719535</v>
      </c>
      <c r="O147" s="106">
        <f>VLOOKUP($A147,'VKT US'!$B$63:$AA$113,(O$113+1),FALSE)/VLOOKUP($A147,'Fuel economy adjusted factor'!$A$2:$F$52,5,FALSE)/$AZ$84*($AZ$15*('US Grid mix, emissions&amp;prices'!$AU$3+INDEX('Year data'!$B$3:$AC$53,MATCH('TCO Inputs'!$A147,'Year data'!$A$111:$A$161,0),MATCH('TCO Inputs'!$AZ$12+O$113-1,'Year data'!$B$110:$AC$110,0))/100)+$BA$15*('US Grid mix, emissions&amp;prices'!$AU$4+INDEX('Year data'!$B$57:$AC$107,MATCH($A147,'Year data'!$A$111:$A$161,0),MATCH('TCO Inputs'!$AZ$12+O$113-1,'Year data'!$B$110:$AC$110,0))/100))/(1+$AZ$41)^O$113</f>
        <v>812.56588256296311</v>
      </c>
      <c r="P147" s="106">
        <f>VLOOKUP($A147,'VKT US'!$B$63:$AA$113,(P$113+1),FALSE)/VLOOKUP($A147,'Fuel economy adjusted factor'!$A$2:$F$52,5,FALSE)/$AZ$84*($AZ$15*('US Grid mix, emissions&amp;prices'!$AU$3+INDEX('Year data'!$B$3:$AC$53,MATCH('TCO Inputs'!$A147,'Year data'!$A$111:$A$161,0),MATCH('TCO Inputs'!$AZ$12+P$113-1,'Year data'!$B$110:$AC$110,0))/100)+$BA$15*('US Grid mix, emissions&amp;prices'!$AU$4+INDEX('Year data'!$B$57:$AC$107,MATCH($A147,'Year data'!$A$111:$A$161,0),MATCH('TCO Inputs'!$AZ$12+P$113-1,'Year data'!$B$110:$AC$110,0))/100))/(1+$AZ$41)^P$113</f>
        <v>786.11606791353472</v>
      </c>
      <c r="Q147" s="106">
        <f>VLOOKUP($A147,'VKT US'!$B$63:$AA$113,(Q$113+1),FALSE)/VLOOKUP($A147,'Fuel economy adjusted factor'!$A$2:$F$52,5,FALSE)/$AZ$84*($AZ$15*('US Grid mix, emissions&amp;prices'!$AU$3+INDEX('Year data'!$B$3:$AC$53,MATCH('TCO Inputs'!$A147,'Year data'!$A$111:$A$161,0),MATCH('TCO Inputs'!$AZ$12+Q$113-1,'Year data'!$B$110:$AC$110,0))/100)+$BA$15*('US Grid mix, emissions&amp;prices'!$AU$4+INDEX('Year data'!$B$57:$AC$107,MATCH($A147,'Year data'!$A$111:$A$161,0),MATCH('TCO Inputs'!$AZ$12+Q$113-1,'Year data'!$B$110:$AC$110,0))/100))/(1+$AZ$41)^Q$113</f>
        <v>762.76257794419018</v>
      </c>
      <c r="R147" s="106">
        <f>VLOOKUP($A147,'VKT US'!$B$63:$AA$113,(R$113+1),FALSE)/VLOOKUP($A147,'Fuel economy adjusted factor'!$A$2:$F$52,5,FALSE)/$AZ$84*($AZ$15*('US Grid mix, emissions&amp;prices'!$AU$3+INDEX('Year data'!$B$3:$AC$53,MATCH('TCO Inputs'!$A147,'Year data'!$A$111:$A$161,0),MATCH('TCO Inputs'!$AZ$12+R$113-1,'Year data'!$B$110:$AC$110,0))/100)+$BA$15*('US Grid mix, emissions&amp;prices'!$AU$4+INDEX('Year data'!$B$57:$AC$107,MATCH($A147,'Year data'!$A$111:$A$161,0),MATCH('TCO Inputs'!$AZ$12+R$113-1,'Year data'!$B$110:$AC$110,0))/100))/(1+$AZ$41)^R$113</f>
        <v>739.3540506243404</v>
      </c>
      <c r="S147" s="106">
        <f>VLOOKUP($A147,'VKT US'!$B$63:$AA$113,(S$113+1),FALSE)/VLOOKUP($A147,'Fuel economy adjusted factor'!$A$2:$F$52,5,FALSE)/$AZ$84*($AZ$15*('US Grid mix, emissions&amp;prices'!$AU$3+INDEX('Year data'!$B$3:$AC$53,MATCH('TCO Inputs'!$A147,'Year data'!$A$111:$A$161,0),MATCH('TCO Inputs'!$AZ$12+S$113-1,'Year data'!$B$110:$AC$110,0))/100)+$BA$15*('US Grid mix, emissions&amp;prices'!$AU$4+INDEX('Year data'!$B$57:$AC$107,MATCH($A147,'Year data'!$A$111:$A$161,0),MATCH('TCO Inputs'!$AZ$12+S$113-1,'Year data'!$B$110:$AC$110,0))/100))/(1+$AZ$41)^S$113</f>
        <v>717.40037962200677</v>
      </c>
      <c r="T147" s="106">
        <f>VLOOKUP($A147,'VKT US'!$B$63:$AA$113,(T$113+1),FALSE)/VLOOKUP($A147,'Fuel economy adjusted factor'!$A$2:$F$52,5,FALSE)/$AZ$84*($AZ$15*('US Grid mix, emissions&amp;prices'!$AU$3+INDEX('Year data'!$B$3:$AC$53,MATCH('TCO Inputs'!$A147,'Year data'!$A$111:$A$161,0),MATCH('TCO Inputs'!$AZ$12+T$113-1,'Year data'!$B$110:$AC$110,0))/100)+$BA$15*('US Grid mix, emissions&amp;prices'!$AU$4+INDEX('Year data'!$B$57:$AC$107,MATCH($A147,'Year data'!$A$111:$A$161,0),MATCH('TCO Inputs'!$AZ$12+T$113-1,'Year data'!$B$110:$AC$110,0))/100))/(1+$AZ$41)^T$113</f>
        <v>696.17189288988368</v>
      </c>
      <c r="U147" s="106">
        <f>VLOOKUP($A147,'VKT US'!$B$63:$AA$113,(U$113+1),FALSE)/VLOOKUP($A147,'Fuel economy adjusted factor'!$A$2:$F$52,5,FALSE)/$AZ$84*($AZ$15*('US Grid mix, emissions&amp;prices'!$AU$3+INDEX('Year data'!$B$3:$AC$53,MATCH('TCO Inputs'!$A147,'Year data'!$A$111:$A$161,0),MATCH('TCO Inputs'!$AZ$12+U$113-1,'Year data'!$B$110:$AC$110,0))/100)+$BA$15*('US Grid mix, emissions&amp;prices'!$AU$4+INDEX('Year data'!$B$57:$AC$107,MATCH($A147,'Year data'!$A$111:$A$161,0),MATCH('TCO Inputs'!$AZ$12+U$113-1,'Year data'!$B$110:$AC$110,0))/100))/(1+$AZ$41)^U$113</f>
        <v>675.44936592746433</v>
      </c>
      <c r="V147" s="110" cm="1">
        <f t="array" ref="V147">SUMPRODUCT(INDEX(B147:U147,,_xlfn.SEQUENCE($AZ$13)))</f>
        <v>14897.086028813781</v>
      </c>
      <c r="Y147" s="102" t="s">
        <v>210</v>
      </c>
      <c r="Z147" s="106">
        <f>VLOOKUP($A147,'VKT US'!$B$63:$AA$113,(Z$113+1),FALSE)/VLOOKUP($A147,'Fuel economy adjusted factor'!$A$2:$F$52,5,FALSE)/$AZ$84</f>
        <v>8411.5190074375896</v>
      </c>
      <c r="AA147" s="106">
        <f>VLOOKUP($A147,'VKT US'!$B$63:$AA$113,(AA$113+1),FALSE)/VLOOKUP($A147,'Fuel economy adjusted factor'!$A$2:$F$52,5,FALSE)/$AZ$84</f>
        <v>8161.3352194600911</v>
      </c>
      <c r="AB147" s="106">
        <f>VLOOKUP($A147,'VKT US'!$B$63:$AA$113,(AB$113+1),FALSE)/VLOOKUP($A147,'Fuel economy adjusted factor'!$A$2:$F$52,5,FALSE)/$AZ$84</f>
        <v>7919.0455801323706</v>
      </c>
      <c r="AC147" s="106">
        <f>VLOOKUP($A147,'VKT US'!$B$63:$AA$113,(AC$113+1),FALSE)/VLOOKUP($A147,'Fuel economy adjusted factor'!$A$2:$F$52,5,FALSE)/$AZ$84</f>
        <v>7685.2573316582539</v>
      </c>
      <c r="AD147" s="106">
        <f>VLOOKUP($A147,'VKT US'!$B$63:$AA$113,(AD$113+1),FALSE)/VLOOKUP($A147,'Fuel economy adjusted factor'!$A$2:$F$52,5,FALSE)/$AZ$84</f>
        <v>7459.3632318339105</v>
      </c>
      <c r="AE147" s="106">
        <f>VLOOKUP($A147,'VKT US'!$B$63:$AA$113,(AE$113+1),FALSE)/VLOOKUP($A147,'Fuel economy adjusted factor'!$A$2:$F$52,5,FALSE)/$AZ$84</f>
        <v>7242.5777650670016</v>
      </c>
      <c r="AF147" s="106">
        <f>VLOOKUP($A147,'VKT US'!$B$63:$AA$113,(AF$113+1),FALSE)/VLOOKUP($A147,'Fuel economy adjusted factor'!$A$2:$F$52,5,FALSE)/$AZ$84</f>
        <v>7033.0792047460409</v>
      </c>
      <c r="AG147" s="106">
        <f>VLOOKUP($A147,'VKT US'!$B$63:$AA$113,(AG$113+1),FALSE)/VLOOKUP($A147,'Fuel economy adjusted factor'!$A$2:$F$52,5,FALSE)/$AZ$84</f>
        <v>6832.0820352786823</v>
      </c>
      <c r="AH147" s="106">
        <f>VLOOKUP($A147,'VKT US'!$B$63:$AA$113,(AH$113+1),FALSE)/VLOOKUP($A147,'Fuel economy adjusted factor'!$A$2:$F$52,5,FALSE)/$AZ$84</f>
        <v>6639.5862566649284</v>
      </c>
      <c r="AI147" s="106">
        <f>VLOOKUP($A147,'VKT US'!$B$63:$AA$113,(AI$113+1),FALSE)/VLOOKUP($A147,'Fuel economy adjusted factor'!$A$2:$F$52,5,FALSE)/$AZ$84</f>
        <v>6455.5918689047803</v>
      </c>
      <c r="AJ147" s="106">
        <f>VLOOKUP($A147,'VKT US'!$B$63:$AA$113,(AJ$113+1),FALSE)/VLOOKUP($A147,'Fuel economy adjusted factor'!$A$2:$F$52,5,FALSE)/$AZ$84</f>
        <v>6279.4916297944046</v>
      </c>
      <c r="AK147" s="106">
        <f>VLOOKUP($A147,'VKT US'!$B$63:$AA$113,(AK$113+1),FALSE)/VLOOKUP($A147,'Fuel economy adjusted factor'!$A$2:$F$52,5,FALSE)/$AZ$84</f>
        <v>6111.8927815376355</v>
      </c>
      <c r="AL147" s="106">
        <f>VLOOKUP($A147,'VKT US'!$B$63:$AA$113,(AL$113+1),FALSE)/VLOOKUP($A147,'Fuel economy adjusted factor'!$A$2:$F$52,5,FALSE)/$AZ$84</f>
        <v>5952.1880819306416</v>
      </c>
      <c r="AM147" s="106">
        <f>VLOOKUP($A147,'VKT US'!$B$63:$AA$113,(AM$113+1),FALSE)/VLOOKUP($A147,'Fuel economy adjusted factor'!$A$2:$F$52,5,FALSE)/$AZ$84</f>
        <v>5800.9847731772516</v>
      </c>
      <c r="AN147" s="106">
        <f>VLOOKUP($A147,'VKT US'!$B$63:$AA$113,(AN$113+1),FALSE)/VLOOKUP($A147,'Fuel economy adjusted factor'!$A$2:$F$52,5,FALSE)/$AZ$84</f>
        <v>5657.6756130736358</v>
      </c>
      <c r="AO147" s="106">
        <f>VLOOKUP($A147,'VKT US'!$B$63:$AA$113,(AO$113+1),FALSE)/VLOOKUP($A147,'Fuel economy adjusted factor'!$A$2:$F$52,5,FALSE)/$AZ$84</f>
        <v>5523.4750860274544</v>
      </c>
      <c r="AP147" s="106">
        <f>VLOOKUP($A147,'VKT US'!$B$63:$AA$113,(AP$113+1),FALSE)/VLOOKUP($A147,'Fuel economy adjusted factor'!$A$2:$F$52,5,FALSE)/$AZ$84</f>
        <v>5396.5614654272194</v>
      </c>
      <c r="AQ147" s="106">
        <f>VLOOKUP($A147,'VKT US'!$B$63:$AA$113,(AQ$113+1),FALSE)/VLOOKUP($A147,'Fuel economy adjusted factor'!$A$2:$F$52,5,FALSE)/$AZ$84</f>
        <v>5278.756477884418</v>
      </c>
      <c r="AR147" s="106">
        <f>VLOOKUP($A147,'VKT US'!$B$63:$AA$113,(AR$113+1),FALSE)/VLOOKUP($A147,'Fuel economy adjusted factor'!$A$2:$F$52,5,FALSE)/$AZ$84</f>
        <v>5168.2383967875621</v>
      </c>
      <c r="AS147" s="106">
        <f>VLOOKUP($A147,'VKT US'!$B$63:$AA$113,(AS$113+1),FALSE)/VLOOKUP($A147,'Fuel economy adjusted factor'!$A$2:$F$52,5,FALSE)/$AZ$84</f>
        <v>5066.8289487481397</v>
      </c>
      <c r="AT147" s="110" cm="1">
        <f t="array" ref="AT147">SUMPRODUCT(INDEX(Z147:AS147,,_xlfn.SEQUENCE($AZ$13)))</f>
        <v>97983.994767623575</v>
      </c>
    </row>
    <row r="148" spans="1:46" x14ac:dyDescent="0.25">
      <c r="A148" s="102" t="s">
        <v>217</v>
      </c>
      <c r="B148" s="106">
        <f>VLOOKUP($A148,'VKT US'!$B$63:$AA$113,(B$113+1),FALSE)/VLOOKUP($A148,'Fuel economy adjusted factor'!$A$2:$F$52,5,FALSE)/$AZ$84*($AZ$15*('US Grid mix, emissions&amp;prices'!$AU$3+INDEX('Year data'!$B$3:$AC$53,MATCH('TCO Inputs'!$A148,'Year data'!$A$111:$A$161,0),MATCH('TCO Inputs'!$AZ$12+B$113-1,'Year data'!$B$110:$AC$110,0))/100)+$BA$15*('US Grid mix, emissions&amp;prices'!$AU$4+INDEX('Year data'!$B$57:$AC$107,MATCH($A148,'Year data'!$A$111:$A$161,0),MATCH('TCO Inputs'!$AZ$12+B$113-1,'Year data'!$B$110:$AC$110,0))/100))/(1+$AZ$41)^B$113</f>
        <v>1251.3413472436719</v>
      </c>
      <c r="C148" s="106">
        <f>VLOOKUP($A148,'VKT US'!$B$63:$AA$113,(C$113+1),FALSE)/VLOOKUP($A148,'Fuel economy adjusted factor'!$A$2:$F$52,5,FALSE)/$AZ$84*($AZ$15*('US Grid mix, emissions&amp;prices'!$AU$3+INDEX('Year data'!$B$3:$AC$53,MATCH('TCO Inputs'!$A148,'Year data'!$A$111:$A$161,0),MATCH('TCO Inputs'!$AZ$12+C$113-1,'Year data'!$B$110:$AC$110,0))/100)+$BA$15*('US Grid mix, emissions&amp;prices'!$AU$4+INDEX('Year data'!$B$57:$AC$107,MATCH($A148,'Year data'!$A$111:$A$161,0),MATCH('TCO Inputs'!$AZ$12+C$113-1,'Year data'!$B$110:$AC$110,0))/100))/(1+$AZ$41)^C$113</f>
        <v>1179.0159559720662</v>
      </c>
      <c r="D148" s="106">
        <f>VLOOKUP($A148,'VKT US'!$B$63:$AA$113,(D$113+1),FALSE)/VLOOKUP($A148,'Fuel economy adjusted factor'!$A$2:$F$52,5,FALSE)/$AZ$84*($AZ$15*('US Grid mix, emissions&amp;prices'!$AU$3+INDEX('Year data'!$B$3:$AC$53,MATCH('TCO Inputs'!$A148,'Year data'!$A$111:$A$161,0),MATCH('TCO Inputs'!$AZ$12+D$113-1,'Year data'!$B$110:$AC$110,0))/100)+$BA$15*('US Grid mix, emissions&amp;prices'!$AU$4+INDEX('Year data'!$B$57:$AC$107,MATCH($A148,'Year data'!$A$111:$A$161,0),MATCH('TCO Inputs'!$AZ$12+D$113-1,'Year data'!$B$110:$AC$110,0))/100))/(1+$AZ$41)^D$113</f>
        <v>1106.1435544044677</v>
      </c>
      <c r="E148" s="106">
        <f>VLOOKUP($A148,'VKT US'!$B$63:$AA$113,(E$113+1),FALSE)/VLOOKUP($A148,'Fuel economy adjusted factor'!$A$2:$F$52,5,FALSE)/$AZ$84*($AZ$15*('US Grid mix, emissions&amp;prices'!$AU$3+INDEX('Year data'!$B$3:$AC$53,MATCH('TCO Inputs'!$A148,'Year data'!$A$111:$A$161,0),MATCH('TCO Inputs'!$AZ$12+E$113-1,'Year data'!$B$110:$AC$110,0))/100)+$BA$15*('US Grid mix, emissions&amp;prices'!$AU$4+INDEX('Year data'!$B$57:$AC$107,MATCH($A148,'Year data'!$A$111:$A$161,0),MATCH('TCO Inputs'!$AZ$12+E$113-1,'Year data'!$B$110:$AC$110,0))/100))/(1+$AZ$41)^E$113</f>
        <v>1047.3548444837563</v>
      </c>
      <c r="F148" s="106">
        <f>VLOOKUP($A148,'VKT US'!$B$63:$AA$113,(F$113+1),FALSE)/VLOOKUP($A148,'Fuel economy adjusted factor'!$A$2:$F$52,5,FALSE)/$AZ$84*($AZ$15*('US Grid mix, emissions&amp;prices'!$AU$3+INDEX('Year data'!$B$3:$AC$53,MATCH('TCO Inputs'!$A148,'Year data'!$A$111:$A$161,0),MATCH('TCO Inputs'!$AZ$12+F$113-1,'Year data'!$B$110:$AC$110,0))/100)+$BA$15*('US Grid mix, emissions&amp;prices'!$AU$4+INDEX('Year data'!$B$57:$AC$107,MATCH($A148,'Year data'!$A$111:$A$161,0),MATCH('TCO Inputs'!$AZ$12+F$113-1,'Year data'!$B$110:$AC$110,0))/100))/(1+$AZ$41)^F$113</f>
        <v>994.84568621883295</v>
      </c>
      <c r="G148" s="106">
        <f>VLOOKUP($A148,'VKT US'!$B$63:$AA$113,(G$113+1),FALSE)/VLOOKUP($A148,'Fuel economy adjusted factor'!$A$2:$F$52,5,FALSE)/$AZ$84*($AZ$15*('US Grid mix, emissions&amp;prices'!$AU$3+INDEX('Year data'!$B$3:$AC$53,MATCH('TCO Inputs'!$A148,'Year data'!$A$111:$A$161,0),MATCH('TCO Inputs'!$AZ$12+G$113-1,'Year data'!$B$110:$AC$110,0))/100)+$BA$15*('US Grid mix, emissions&amp;prices'!$AU$4+INDEX('Year data'!$B$57:$AC$107,MATCH($A148,'Year data'!$A$111:$A$161,0),MATCH('TCO Inputs'!$AZ$12+G$113-1,'Year data'!$B$110:$AC$110,0))/100))/(1+$AZ$41)^G$113</f>
        <v>947.83182836053561</v>
      </c>
      <c r="H148" s="106">
        <f>VLOOKUP($A148,'VKT US'!$B$63:$AA$113,(H$113+1),FALSE)/VLOOKUP($A148,'Fuel economy adjusted factor'!$A$2:$F$52,5,FALSE)/$AZ$84*($AZ$15*('US Grid mix, emissions&amp;prices'!$AU$3+INDEX('Year data'!$B$3:$AC$53,MATCH('TCO Inputs'!$A148,'Year data'!$A$111:$A$161,0),MATCH('TCO Inputs'!$AZ$12+H$113-1,'Year data'!$B$110:$AC$110,0))/100)+$BA$15*('US Grid mix, emissions&amp;prices'!$AU$4+INDEX('Year data'!$B$57:$AC$107,MATCH($A148,'Year data'!$A$111:$A$161,0),MATCH('TCO Inputs'!$AZ$12+H$113-1,'Year data'!$B$110:$AC$110,0))/100))/(1+$AZ$41)^H$113</f>
        <v>907.35204634035085</v>
      </c>
      <c r="I148" s="106">
        <f>VLOOKUP($A148,'VKT US'!$B$63:$AA$113,(I$113+1),FALSE)/VLOOKUP($A148,'Fuel economy adjusted factor'!$A$2:$F$52,5,FALSE)/$AZ$84*($AZ$15*('US Grid mix, emissions&amp;prices'!$AU$3+INDEX('Year data'!$B$3:$AC$53,MATCH('TCO Inputs'!$A148,'Year data'!$A$111:$A$161,0),MATCH('TCO Inputs'!$AZ$12+I$113-1,'Year data'!$B$110:$AC$110,0))/100)+$BA$15*('US Grid mix, emissions&amp;prices'!$AU$4+INDEX('Year data'!$B$57:$AC$107,MATCH($A148,'Year data'!$A$111:$A$161,0),MATCH('TCO Inputs'!$AZ$12+I$113-1,'Year data'!$B$110:$AC$110,0))/100))/(1+$AZ$41)^I$113</f>
        <v>872.01081212908139</v>
      </c>
      <c r="J148" s="106">
        <f>VLOOKUP($A148,'VKT US'!$B$63:$AA$113,(J$113+1),FALSE)/VLOOKUP($A148,'Fuel economy adjusted factor'!$A$2:$F$52,5,FALSE)/$AZ$84*($AZ$15*('US Grid mix, emissions&amp;prices'!$AU$3+INDEX('Year data'!$B$3:$AC$53,MATCH('TCO Inputs'!$A148,'Year data'!$A$111:$A$161,0),MATCH('TCO Inputs'!$AZ$12+J$113-1,'Year data'!$B$110:$AC$110,0))/100)+$BA$15*('US Grid mix, emissions&amp;prices'!$AU$4+INDEX('Year data'!$B$57:$AC$107,MATCH($A148,'Year data'!$A$111:$A$161,0),MATCH('TCO Inputs'!$AZ$12+J$113-1,'Year data'!$B$110:$AC$110,0))/100))/(1+$AZ$41)^J$113</f>
        <v>839.56723036298035</v>
      </c>
      <c r="K148" s="106">
        <f>VLOOKUP($A148,'VKT US'!$B$63:$AA$113,(K$113+1),FALSE)/VLOOKUP($A148,'Fuel economy adjusted factor'!$A$2:$F$52,5,FALSE)/$AZ$84*($AZ$15*('US Grid mix, emissions&amp;prices'!$AU$3+INDEX('Year data'!$B$3:$AC$53,MATCH('TCO Inputs'!$A148,'Year data'!$A$111:$A$161,0),MATCH('TCO Inputs'!$AZ$12+K$113-1,'Year data'!$B$110:$AC$110,0))/100)+$BA$15*('US Grid mix, emissions&amp;prices'!$AU$4+INDEX('Year data'!$B$57:$AC$107,MATCH($A148,'Year data'!$A$111:$A$161,0),MATCH('TCO Inputs'!$AZ$12+K$113-1,'Year data'!$B$110:$AC$110,0))/100))/(1+$AZ$41)^K$113</f>
        <v>808.4818273102311</v>
      </c>
      <c r="L148" s="106">
        <f>VLOOKUP($A148,'VKT US'!$B$63:$AA$113,(L$113+1),FALSE)/VLOOKUP($A148,'Fuel economy adjusted factor'!$A$2:$F$52,5,FALSE)/$AZ$84*($AZ$15*('US Grid mix, emissions&amp;prices'!$AU$3+INDEX('Year data'!$B$3:$AC$53,MATCH('TCO Inputs'!$A148,'Year data'!$A$111:$A$161,0),MATCH('TCO Inputs'!$AZ$12+L$113-1,'Year data'!$B$110:$AC$110,0))/100)+$BA$15*('US Grid mix, emissions&amp;prices'!$AU$4+INDEX('Year data'!$B$57:$AC$107,MATCH($A148,'Year data'!$A$111:$A$161,0),MATCH('TCO Inputs'!$AZ$12+L$113-1,'Year data'!$B$110:$AC$110,0))/100))/(1+$AZ$41)^L$113</f>
        <v>784.23688935516873</v>
      </c>
      <c r="M148" s="106">
        <f>VLOOKUP($A148,'VKT US'!$B$63:$AA$113,(M$113+1),FALSE)/VLOOKUP($A148,'Fuel economy adjusted factor'!$A$2:$F$52,5,FALSE)/$AZ$84*($AZ$15*('US Grid mix, emissions&amp;prices'!$AU$3+INDEX('Year data'!$B$3:$AC$53,MATCH('TCO Inputs'!$A148,'Year data'!$A$111:$A$161,0),MATCH('TCO Inputs'!$AZ$12+M$113-1,'Year data'!$B$110:$AC$110,0))/100)+$BA$15*('US Grid mix, emissions&amp;prices'!$AU$4+INDEX('Year data'!$B$57:$AC$107,MATCH($A148,'Year data'!$A$111:$A$161,0),MATCH('TCO Inputs'!$AZ$12+M$113-1,'Year data'!$B$110:$AC$110,0))/100))/(1+$AZ$41)^M$113</f>
        <v>759.41305516727732</v>
      </c>
      <c r="N148" s="106">
        <f>VLOOKUP($A148,'VKT US'!$B$63:$AA$113,(N$113+1),FALSE)/VLOOKUP($A148,'Fuel economy adjusted factor'!$A$2:$F$52,5,FALSE)/$AZ$84*($AZ$15*('US Grid mix, emissions&amp;prices'!$AU$3+INDEX('Year data'!$B$3:$AC$53,MATCH('TCO Inputs'!$A148,'Year data'!$A$111:$A$161,0),MATCH('TCO Inputs'!$AZ$12+N$113-1,'Year data'!$B$110:$AC$110,0))/100)+$BA$15*('US Grid mix, emissions&amp;prices'!$AU$4+INDEX('Year data'!$B$57:$AC$107,MATCH($A148,'Year data'!$A$111:$A$161,0),MATCH('TCO Inputs'!$AZ$12+N$113-1,'Year data'!$B$110:$AC$110,0))/100))/(1+$AZ$41)^N$113</f>
        <v>730.98398033509864</v>
      </c>
      <c r="O148" s="106">
        <f>VLOOKUP($A148,'VKT US'!$B$63:$AA$113,(O$113+1),FALSE)/VLOOKUP($A148,'Fuel economy adjusted factor'!$A$2:$F$52,5,FALSE)/$AZ$84*($AZ$15*('US Grid mix, emissions&amp;prices'!$AU$3+INDEX('Year data'!$B$3:$AC$53,MATCH('TCO Inputs'!$A148,'Year data'!$A$111:$A$161,0),MATCH('TCO Inputs'!$AZ$12+O$113-1,'Year data'!$B$110:$AC$110,0))/100)+$BA$15*('US Grid mix, emissions&amp;prices'!$AU$4+INDEX('Year data'!$B$57:$AC$107,MATCH($A148,'Year data'!$A$111:$A$161,0),MATCH('TCO Inputs'!$AZ$12+O$113-1,'Year data'!$B$110:$AC$110,0))/100))/(1+$AZ$41)^O$113</f>
        <v>706.50128963417467</v>
      </c>
      <c r="P148" s="106">
        <f>VLOOKUP($A148,'VKT US'!$B$63:$AA$113,(P$113+1),FALSE)/VLOOKUP($A148,'Fuel economy adjusted factor'!$A$2:$F$52,5,FALSE)/$AZ$84*($AZ$15*('US Grid mix, emissions&amp;prices'!$AU$3+INDEX('Year data'!$B$3:$AC$53,MATCH('TCO Inputs'!$A148,'Year data'!$A$111:$A$161,0),MATCH('TCO Inputs'!$AZ$12+P$113-1,'Year data'!$B$110:$AC$110,0))/100)+$BA$15*('US Grid mix, emissions&amp;prices'!$AU$4+INDEX('Year data'!$B$57:$AC$107,MATCH($A148,'Year data'!$A$111:$A$161,0),MATCH('TCO Inputs'!$AZ$12+P$113-1,'Year data'!$B$110:$AC$110,0))/100))/(1+$AZ$41)^P$113</f>
        <v>683.88864632967727</v>
      </c>
      <c r="Q148" s="106">
        <f>VLOOKUP($A148,'VKT US'!$B$63:$AA$113,(Q$113+1),FALSE)/VLOOKUP($A148,'Fuel economy adjusted factor'!$A$2:$F$52,5,FALSE)/$AZ$84*($AZ$15*('US Grid mix, emissions&amp;prices'!$AU$3+INDEX('Year data'!$B$3:$AC$53,MATCH('TCO Inputs'!$A148,'Year data'!$A$111:$A$161,0),MATCH('TCO Inputs'!$AZ$12+Q$113-1,'Year data'!$B$110:$AC$110,0))/100)+$BA$15*('US Grid mix, emissions&amp;prices'!$AU$4+INDEX('Year data'!$B$57:$AC$107,MATCH($A148,'Year data'!$A$111:$A$161,0),MATCH('TCO Inputs'!$AZ$12+Q$113-1,'Year data'!$B$110:$AC$110,0))/100))/(1+$AZ$41)^Q$113</f>
        <v>664.06092640447184</v>
      </c>
      <c r="R148" s="106">
        <f>VLOOKUP($A148,'VKT US'!$B$63:$AA$113,(R$113+1),FALSE)/VLOOKUP($A148,'Fuel economy adjusted factor'!$A$2:$F$52,5,FALSE)/$AZ$84*($AZ$15*('US Grid mix, emissions&amp;prices'!$AU$3+INDEX('Year data'!$B$3:$AC$53,MATCH('TCO Inputs'!$A148,'Year data'!$A$111:$A$161,0),MATCH('TCO Inputs'!$AZ$12+R$113-1,'Year data'!$B$110:$AC$110,0))/100)+$BA$15*('US Grid mix, emissions&amp;prices'!$AU$4+INDEX('Year data'!$B$57:$AC$107,MATCH($A148,'Year data'!$A$111:$A$161,0),MATCH('TCO Inputs'!$AZ$12+R$113-1,'Year data'!$B$110:$AC$110,0))/100))/(1+$AZ$41)^R$113</f>
        <v>644.01594706352637</v>
      </c>
      <c r="S148" s="106">
        <f>VLOOKUP($A148,'VKT US'!$B$63:$AA$113,(S$113+1),FALSE)/VLOOKUP($A148,'Fuel economy adjusted factor'!$A$2:$F$52,5,FALSE)/$AZ$84*($AZ$15*('US Grid mix, emissions&amp;prices'!$AU$3+INDEX('Year data'!$B$3:$AC$53,MATCH('TCO Inputs'!$A148,'Year data'!$A$111:$A$161,0),MATCH('TCO Inputs'!$AZ$12+S$113-1,'Year data'!$B$110:$AC$110,0))/100)+$BA$15*('US Grid mix, emissions&amp;prices'!$AU$4+INDEX('Year data'!$B$57:$AC$107,MATCH($A148,'Year data'!$A$111:$A$161,0),MATCH('TCO Inputs'!$AZ$12+S$113-1,'Year data'!$B$110:$AC$110,0))/100))/(1+$AZ$41)^S$113</f>
        <v>625.22286649899024</v>
      </c>
      <c r="T148" s="106">
        <f>VLOOKUP($A148,'VKT US'!$B$63:$AA$113,(T$113+1),FALSE)/VLOOKUP($A148,'Fuel economy adjusted factor'!$A$2:$F$52,5,FALSE)/$AZ$84*($AZ$15*('US Grid mix, emissions&amp;prices'!$AU$3+INDEX('Year data'!$B$3:$AC$53,MATCH('TCO Inputs'!$A148,'Year data'!$A$111:$A$161,0),MATCH('TCO Inputs'!$AZ$12+T$113-1,'Year data'!$B$110:$AC$110,0))/100)+$BA$15*('US Grid mix, emissions&amp;prices'!$AU$4+INDEX('Year data'!$B$57:$AC$107,MATCH($A148,'Year data'!$A$111:$A$161,0),MATCH('TCO Inputs'!$AZ$12+T$113-1,'Year data'!$B$110:$AC$110,0))/100))/(1+$AZ$41)^T$113</f>
        <v>606.97636912310918</v>
      </c>
      <c r="U148" s="106">
        <f>VLOOKUP($A148,'VKT US'!$B$63:$AA$113,(U$113+1),FALSE)/VLOOKUP($A148,'Fuel economy adjusted factor'!$A$2:$F$52,5,FALSE)/$AZ$84*($AZ$15*('US Grid mix, emissions&amp;prices'!$AU$3+INDEX('Year data'!$B$3:$AC$53,MATCH('TCO Inputs'!$A148,'Year data'!$A$111:$A$161,0),MATCH('TCO Inputs'!$AZ$12+U$113-1,'Year data'!$B$110:$AC$110,0))/100)+$BA$15*('US Grid mix, emissions&amp;prices'!$AU$4+INDEX('Year data'!$B$57:$AC$107,MATCH($A148,'Year data'!$A$111:$A$161,0),MATCH('TCO Inputs'!$AZ$12+U$113-1,'Year data'!$B$110:$AC$110,0))/100))/(1+$AZ$41)^U$113</f>
        <v>589.05769533315311</v>
      </c>
      <c r="V148" s="110" cm="1">
        <f t="array" ref="V148">SUMPRODUCT(INDEX(B148:U148,,_xlfn.SEQUENCE($AZ$13)))</f>
        <v>12935.080347317693</v>
      </c>
      <c r="Y148" s="102" t="s">
        <v>217</v>
      </c>
      <c r="Z148" s="106">
        <f>VLOOKUP($A148,'VKT US'!$B$63:$AA$113,(Z$113+1),FALSE)/VLOOKUP($A148,'Fuel economy adjusted factor'!$A$2:$F$52,5,FALSE)/$AZ$84</f>
        <v>6136.6321490395467</v>
      </c>
      <c r="AA148" s="106">
        <f>VLOOKUP($A148,'VKT US'!$B$63:$AA$113,(AA$113+1),FALSE)/VLOOKUP($A148,'Fuel economy adjusted factor'!$A$2:$F$52,5,FALSE)/$AZ$84</f>
        <v>5954.1103149791734</v>
      </c>
      <c r="AB148" s="106">
        <f>VLOOKUP($A148,'VKT US'!$B$63:$AA$113,(AB$113+1),FALSE)/VLOOKUP($A148,'Fuel economy adjusted factor'!$A$2:$F$52,5,FALSE)/$AZ$84</f>
        <v>5777.3476650032289</v>
      </c>
      <c r="AC148" s="106">
        <f>VLOOKUP($A148,'VKT US'!$B$63:$AA$113,(AC$113+1),FALSE)/VLOOKUP($A148,'Fuel economy adjusted factor'!$A$2:$F$52,5,FALSE)/$AZ$84</f>
        <v>5606.7872132720549</v>
      </c>
      <c r="AD148" s="106">
        <f>VLOOKUP($A148,'VKT US'!$B$63:$AA$113,(AD$113+1),FALSE)/VLOOKUP($A148,'Fuel economy adjusted factor'!$A$2:$F$52,5,FALSE)/$AZ$84</f>
        <v>5441.9859456253098</v>
      </c>
      <c r="AE148" s="106">
        <f>VLOOKUP($A148,'VKT US'!$B$63:$AA$113,(AE$113+1),FALSE)/VLOOKUP($A148,'Fuel economy adjusted factor'!$A$2:$F$52,5,FALSE)/$AZ$84</f>
        <v>5283.8298903836758</v>
      </c>
      <c r="AF148" s="106">
        <f>VLOOKUP($A148,'VKT US'!$B$63:$AA$113,(AF$113+1),FALSE)/VLOOKUP($A148,'Fuel economy adjusted factor'!$A$2:$F$52,5,FALSE)/$AZ$84</f>
        <v>5130.9900050661299</v>
      </c>
      <c r="AG148" s="106">
        <f>VLOOKUP($A148,'VKT US'!$B$63:$AA$113,(AG$113+1),FALSE)/VLOOKUP($A148,'Fuel economy adjusted factor'!$A$2:$F$52,5,FALSE)/$AZ$84</f>
        <v>4984.3523179933545</v>
      </c>
      <c r="AH148" s="106">
        <f>VLOOKUP($A148,'VKT US'!$B$63:$AA$113,(AH$113+1),FALSE)/VLOOKUP($A148,'Fuel economy adjusted factor'!$A$2:$F$52,5,FALSE)/$AZ$84</f>
        <v>4843.9168291653477</v>
      </c>
      <c r="AI148" s="106">
        <f>VLOOKUP($A148,'VKT US'!$B$63:$AA$113,(AI$113+1),FALSE)/VLOOKUP($A148,'Fuel economy adjusted factor'!$A$2:$F$52,5,FALSE)/$AZ$84</f>
        <v>4709.6835385821123</v>
      </c>
      <c r="AJ148" s="106">
        <f>VLOOKUP($A148,'VKT US'!$B$63:$AA$113,(AJ$113+1),FALSE)/VLOOKUP($A148,'Fuel economy adjusted factor'!$A$2:$F$52,5,FALSE)/$AZ$84</f>
        <v>4581.2094320833057</v>
      </c>
      <c r="AK148" s="106">
        <f>VLOOKUP($A148,'VKT US'!$B$63:$AA$113,(AK$113+1),FALSE)/VLOOKUP($A148,'Fuel economy adjusted factor'!$A$2:$F$52,5,FALSE)/$AZ$84</f>
        <v>4458.9375238292687</v>
      </c>
      <c r="AL148" s="106">
        <f>VLOOKUP($A148,'VKT US'!$B$63:$AA$113,(AL$113+1),FALSE)/VLOOKUP($A148,'Fuel economy adjusted factor'!$A$2:$F$52,5,FALSE)/$AZ$84</f>
        <v>4342.4247996596614</v>
      </c>
      <c r="AM148" s="106">
        <f>VLOOKUP($A148,'VKT US'!$B$63:$AA$113,(AM$113+1),FALSE)/VLOOKUP($A148,'Fuel economy adjusted factor'!$A$2:$F$52,5,FALSE)/$AZ$84</f>
        <v>4232.1142737348246</v>
      </c>
      <c r="AN148" s="106">
        <f>VLOOKUP($A148,'VKT US'!$B$63:$AA$113,(AN$113+1),FALSE)/VLOOKUP($A148,'Fuel economy adjusted factor'!$A$2:$F$52,5,FALSE)/$AZ$84</f>
        <v>4127.5629318944166</v>
      </c>
      <c r="AO148" s="106">
        <f>VLOOKUP($A148,'VKT US'!$B$63:$AA$113,(AO$113+1),FALSE)/VLOOKUP($A148,'Fuel economy adjusted factor'!$A$2:$F$52,5,FALSE)/$AZ$84</f>
        <v>4029.6568024591184</v>
      </c>
      <c r="AP148" s="106">
        <f>VLOOKUP($A148,'VKT US'!$B$63:$AA$113,(AP$113+1),FALSE)/VLOOKUP($A148,'Fuel economy adjusted factor'!$A$2:$F$52,5,FALSE)/$AZ$84</f>
        <v>3937.0668429479097</v>
      </c>
      <c r="AQ148" s="106">
        <f>VLOOKUP($A148,'VKT US'!$B$63:$AA$113,(AQ$113+1),FALSE)/VLOOKUP($A148,'Fuel economy adjusted factor'!$A$2:$F$52,5,FALSE)/$AZ$84</f>
        <v>3851.1220958418121</v>
      </c>
      <c r="AR148" s="106">
        <f>VLOOKUP($A148,'VKT US'!$B$63:$AA$113,(AR$113+1),FALSE)/VLOOKUP($A148,'Fuel economy adjusted factor'!$A$2:$F$52,5,FALSE)/$AZ$84</f>
        <v>3770.4935186598018</v>
      </c>
      <c r="AS148" s="106">
        <f>VLOOKUP($A148,'VKT US'!$B$63:$AA$113,(AS$113+1),FALSE)/VLOOKUP($A148,'Fuel economy adjusted factor'!$A$2:$F$52,5,FALSE)/$AZ$84</f>
        <v>3696.5101538829026</v>
      </c>
      <c r="AT148" s="110" cm="1">
        <f t="array" ref="AT148">SUMPRODUCT(INDEX(Z148:AS148,,_xlfn.SEQUENCE($AZ$13)))</f>
        <v>71484.321898416994</v>
      </c>
    </row>
    <row r="149" spans="1:46" x14ac:dyDescent="0.25">
      <c r="A149" s="102" t="s">
        <v>218</v>
      </c>
      <c r="B149" s="106">
        <f>VLOOKUP($A149,'VKT US'!$B$63:$AA$113,(B$113+1),FALSE)/VLOOKUP($A149,'Fuel economy adjusted factor'!$A$2:$F$52,5,FALSE)/$AZ$84*($AZ$15*('US Grid mix, emissions&amp;prices'!$AU$3+INDEX('Year data'!$B$3:$AC$53,MATCH('TCO Inputs'!$A149,'Year data'!$A$111:$A$161,0),MATCH('TCO Inputs'!$AZ$12+B$113-1,'Year data'!$B$110:$AC$110,0))/100)+$BA$15*('US Grid mix, emissions&amp;prices'!$AU$4+INDEX('Year data'!$B$57:$AC$107,MATCH($A149,'Year data'!$A$111:$A$161,0),MATCH('TCO Inputs'!$AZ$12+B$113-1,'Year data'!$B$110:$AC$110,0))/100))/(1+$AZ$41)^B$113</f>
        <v>1284.658391698991</v>
      </c>
      <c r="C149" s="106">
        <f>VLOOKUP($A149,'VKT US'!$B$63:$AA$113,(C$113+1),FALSE)/VLOOKUP($A149,'Fuel economy adjusted factor'!$A$2:$F$52,5,FALSE)/$AZ$84*($AZ$15*('US Grid mix, emissions&amp;prices'!$AU$3+INDEX('Year data'!$B$3:$AC$53,MATCH('TCO Inputs'!$A149,'Year data'!$A$111:$A$161,0),MATCH('TCO Inputs'!$AZ$12+C$113-1,'Year data'!$B$110:$AC$110,0))/100)+$BA$15*('US Grid mix, emissions&amp;prices'!$AU$4+INDEX('Year data'!$B$57:$AC$107,MATCH($A149,'Year data'!$A$111:$A$161,0),MATCH('TCO Inputs'!$AZ$12+C$113-1,'Year data'!$B$110:$AC$110,0))/100))/(1+$AZ$41)^C$113</f>
        <v>1211.953785180435</v>
      </c>
      <c r="D149" s="106">
        <f>VLOOKUP($A149,'VKT US'!$B$63:$AA$113,(D$113+1),FALSE)/VLOOKUP($A149,'Fuel economy adjusted factor'!$A$2:$F$52,5,FALSE)/$AZ$84*($AZ$15*('US Grid mix, emissions&amp;prices'!$AU$3+INDEX('Year data'!$B$3:$AC$53,MATCH('TCO Inputs'!$A149,'Year data'!$A$111:$A$161,0),MATCH('TCO Inputs'!$AZ$12+D$113-1,'Year data'!$B$110:$AC$110,0))/100)+$BA$15*('US Grid mix, emissions&amp;prices'!$AU$4+INDEX('Year data'!$B$57:$AC$107,MATCH($A149,'Year data'!$A$111:$A$161,0),MATCH('TCO Inputs'!$AZ$12+D$113-1,'Year data'!$B$110:$AC$110,0))/100))/(1+$AZ$41)^D$113</f>
        <v>1138.954897054406</v>
      </c>
      <c r="E149" s="106">
        <f>VLOOKUP($A149,'VKT US'!$B$63:$AA$113,(E$113+1),FALSE)/VLOOKUP($A149,'Fuel economy adjusted factor'!$A$2:$F$52,5,FALSE)/$AZ$84*($AZ$15*('US Grid mix, emissions&amp;prices'!$AU$3+INDEX('Year data'!$B$3:$AC$53,MATCH('TCO Inputs'!$A149,'Year data'!$A$111:$A$161,0),MATCH('TCO Inputs'!$AZ$12+E$113-1,'Year data'!$B$110:$AC$110,0))/100)+$BA$15*('US Grid mix, emissions&amp;prices'!$AU$4+INDEX('Year data'!$B$57:$AC$107,MATCH($A149,'Year data'!$A$111:$A$161,0),MATCH('TCO Inputs'!$AZ$12+E$113-1,'Year data'!$B$110:$AC$110,0))/100))/(1+$AZ$41)^E$113</f>
        <v>1079.5021214934884</v>
      </c>
      <c r="F149" s="106">
        <f>VLOOKUP($A149,'VKT US'!$B$63:$AA$113,(F$113+1),FALSE)/VLOOKUP($A149,'Fuel economy adjusted factor'!$A$2:$F$52,5,FALSE)/$AZ$84*($AZ$15*('US Grid mix, emissions&amp;prices'!$AU$3+INDEX('Year data'!$B$3:$AC$53,MATCH('TCO Inputs'!$A149,'Year data'!$A$111:$A$161,0),MATCH('TCO Inputs'!$AZ$12+F$113-1,'Year data'!$B$110:$AC$110,0))/100)+$BA$15*('US Grid mix, emissions&amp;prices'!$AU$4+INDEX('Year data'!$B$57:$AC$107,MATCH($A149,'Year data'!$A$111:$A$161,0),MATCH('TCO Inputs'!$AZ$12+F$113-1,'Year data'!$B$110:$AC$110,0))/100))/(1+$AZ$41)^F$113</f>
        <v>1026.1730676098127</v>
      </c>
      <c r="G149" s="106">
        <f>VLOOKUP($A149,'VKT US'!$B$63:$AA$113,(G$113+1),FALSE)/VLOOKUP($A149,'Fuel economy adjusted factor'!$A$2:$F$52,5,FALSE)/$AZ$84*($AZ$15*('US Grid mix, emissions&amp;prices'!$AU$3+INDEX('Year data'!$B$3:$AC$53,MATCH('TCO Inputs'!$A149,'Year data'!$A$111:$A$161,0),MATCH('TCO Inputs'!$AZ$12+G$113-1,'Year data'!$B$110:$AC$110,0))/100)+$BA$15*('US Grid mix, emissions&amp;prices'!$AU$4+INDEX('Year data'!$B$57:$AC$107,MATCH($A149,'Year data'!$A$111:$A$161,0),MATCH('TCO Inputs'!$AZ$12+G$113-1,'Year data'!$B$110:$AC$110,0))/100))/(1+$AZ$41)^G$113</f>
        <v>978.21905092441398</v>
      </c>
      <c r="H149" s="106">
        <f>VLOOKUP($A149,'VKT US'!$B$63:$AA$113,(H$113+1),FALSE)/VLOOKUP($A149,'Fuel economy adjusted factor'!$A$2:$F$52,5,FALSE)/$AZ$84*($AZ$15*('US Grid mix, emissions&amp;prices'!$AU$3+INDEX('Year data'!$B$3:$AC$53,MATCH('TCO Inputs'!$A149,'Year data'!$A$111:$A$161,0),MATCH('TCO Inputs'!$AZ$12+H$113-1,'Year data'!$B$110:$AC$110,0))/100)+$BA$15*('US Grid mix, emissions&amp;prices'!$AU$4+INDEX('Year data'!$B$57:$AC$107,MATCH($A149,'Year data'!$A$111:$A$161,0),MATCH('TCO Inputs'!$AZ$12+H$113-1,'Year data'!$B$110:$AC$110,0))/100))/(1+$AZ$41)^H$113</f>
        <v>936.60818634905161</v>
      </c>
      <c r="I149" s="106">
        <f>VLOOKUP($A149,'VKT US'!$B$63:$AA$113,(I$113+1),FALSE)/VLOOKUP($A149,'Fuel economy adjusted factor'!$A$2:$F$52,5,FALSE)/$AZ$84*($AZ$15*('US Grid mix, emissions&amp;prices'!$AU$3+INDEX('Year data'!$B$3:$AC$53,MATCH('TCO Inputs'!$A149,'Year data'!$A$111:$A$161,0),MATCH('TCO Inputs'!$AZ$12+I$113-1,'Year data'!$B$110:$AC$110,0))/100)+$BA$15*('US Grid mix, emissions&amp;prices'!$AU$4+INDEX('Year data'!$B$57:$AC$107,MATCH($A149,'Year data'!$A$111:$A$161,0),MATCH('TCO Inputs'!$AZ$12+I$113-1,'Year data'!$B$110:$AC$110,0))/100))/(1+$AZ$41)^I$113</f>
        <v>900.027866645019</v>
      </c>
      <c r="J149" s="106">
        <f>VLOOKUP($A149,'VKT US'!$B$63:$AA$113,(J$113+1),FALSE)/VLOOKUP($A149,'Fuel economy adjusted factor'!$A$2:$F$52,5,FALSE)/$AZ$84*($AZ$15*('US Grid mix, emissions&amp;prices'!$AU$3+INDEX('Year data'!$B$3:$AC$53,MATCH('TCO Inputs'!$A149,'Year data'!$A$111:$A$161,0),MATCH('TCO Inputs'!$AZ$12+J$113-1,'Year data'!$B$110:$AC$110,0))/100)+$BA$15*('US Grid mix, emissions&amp;prices'!$AU$4+INDEX('Year data'!$B$57:$AC$107,MATCH($A149,'Year data'!$A$111:$A$161,0),MATCH('TCO Inputs'!$AZ$12+J$113-1,'Year data'!$B$110:$AC$110,0))/100))/(1+$AZ$41)^J$113</f>
        <v>866.34130809424414</v>
      </c>
      <c r="K149" s="106">
        <f>VLOOKUP($A149,'VKT US'!$B$63:$AA$113,(K$113+1),FALSE)/VLOOKUP($A149,'Fuel economy adjusted factor'!$A$2:$F$52,5,FALSE)/$AZ$84*($AZ$15*('US Grid mix, emissions&amp;prices'!$AU$3+INDEX('Year data'!$B$3:$AC$53,MATCH('TCO Inputs'!$A149,'Year data'!$A$111:$A$161,0),MATCH('TCO Inputs'!$AZ$12+K$113-1,'Year data'!$B$110:$AC$110,0))/100)+$BA$15*('US Grid mix, emissions&amp;prices'!$AU$4+INDEX('Year data'!$B$57:$AC$107,MATCH($A149,'Year data'!$A$111:$A$161,0),MATCH('TCO Inputs'!$AZ$12+K$113-1,'Year data'!$B$110:$AC$110,0))/100))/(1+$AZ$41)^K$113</f>
        <v>834.09171497908255</v>
      </c>
      <c r="L149" s="106">
        <f>VLOOKUP($A149,'VKT US'!$B$63:$AA$113,(L$113+1),FALSE)/VLOOKUP($A149,'Fuel economy adjusted factor'!$A$2:$F$52,5,FALSE)/$AZ$84*($AZ$15*('US Grid mix, emissions&amp;prices'!$AU$3+INDEX('Year data'!$B$3:$AC$53,MATCH('TCO Inputs'!$A149,'Year data'!$A$111:$A$161,0),MATCH('TCO Inputs'!$AZ$12+L$113-1,'Year data'!$B$110:$AC$110,0))/100)+$BA$15*('US Grid mix, emissions&amp;prices'!$AU$4+INDEX('Year data'!$B$57:$AC$107,MATCH($A149,'Year data'!$A$111:$A$161,0),MATCH('TCO Inputs'!$AZ$12+L$113-1,'Year data'!$B$110:$AC$110,0))/100))/(1+$AZ$41)^L$113</f>
        <v>808.46576428567505</v>
      </c>
      <c r="M149" s="106">
        <f>VLOOKUP($A149,'VKT US'!$B$63:$AA$113,(M$113+1),FALSE)/VLOOKUP($A149,'Fuel economy adjusted factor'!$A$2:$F$52,5,FALSE)/$AZ$84*($AZ$15*('US Grid mix, emissions&amp;prices'!$AU$3+INDEX('Year data'!$B$3:$AC$53,MATCH('TCO Inputs'!$A149,'Year data'!$A$111:$A$161,0),MATCH('TCO Inputs'!$AZ$12+M$113-1,'Year data'!$B$110:$AC$110,0))/100)+$BA$15*('US Grid mix, emissions&amp;prices'!$AU$4+INDEX('Year data'!$B$57:$AC$107,MATCH($A149,'Year data'!$A$111:$A$161,0),MATCH('TCO Inputs'!$AZ$12+M$113-1,'Year data'!$B$110:$AC$110,0))/100))/(1+$AZ$41)^M$113</f>
        <v>782.43268193114488</v>
      </c>
      <c r="N149" s="106">
        <f>VLOOKUP($A149,'VKT US'!$B$63:$AA$113,(N$113+1),FALSE)/VLOOKUP($A149,'Fuel economy adjusted factor'!$A$2:$F$52,5,FALSE)/$AZ$84*($AZ$15*('US Grid mix, emissions&amp;prices'!$AU$3+INDEX('Year data'!$B$3:$AC$53,MATCH('TCO Inputs'!$A149,'Year data'!$A$111:$A$161,0),MATCH('TCO Inputs'!$AZ$12+N$113-1,'Year data'!$B$110:$AC$110,0))/100)+$BA$15*('US Grid mix, emissions&amp;prices'!$AU$4+INDEX('Year data'!$B$57:$AC$107,MATCH($A149,'Year data'!$A$111:$A$161,0),MATCH('TCO Inputs'!$AZ$12+N$113-1,'Year data'!$B$110:$AC$110,0))/100))/(1+$AZ$41)^N$113</f>
        <v>753.11830769954895</v>
      </c>
      <c r="O149" s="106">
        <f>VLOOKUP($A149,'VKT US'!$B$63:$AA$113,(O$113+1),FALSE)/VLOOKUP($A149,'Fuel economy adjusted factor'!$A$2:$F$52,5,FALSE)/$AZ$84*($AZ$15*('US Grid mix, emissions&amp;prices'!$AU$3+INDEX('Year data'!$B$3:$AC$53,MATCH('TCO Inputs'!$A149,'Year data'!$A$111:$A$161,0),MATCH('TCO Inputs'!$AZ$12+O$113-1,'Year data'!$B$110:$AC$110,0))/100)+$BA$15*('US Grid mix, emissions&amp;prices'!$AU$4+INDEX('Year data'!$B$57:$AC$107,MATCH($A149,'Year data'!$A$111:$A$161,0),MATCH('TCO Inputs'!$AZ$12+O$113-1,'Year data'!$B$110:$AC$110,0))/100))/(1+$AZ$41)^O$113</f>
        <v>727.67612475459646</v>
      </c>
      <c r="P149" s="106">
        <f>VLOOKUP($A149,'VKT US'!$B$63:$AA$113,(P$113+1),FALSE)/VLOOKUP($A149,'Fuel economy adjusted factor'!$A$2:$F$52,5,FALSE)/$AZ$84*($AZ$15*('US Grid mix, emissions&amp;prices'!$AU$3+INDEX('Year data'!$B$3:$AC$53,MATCH('TCO Inputs'!$A149,'Year data'!$A$111:$A$161,0),MATCH('TCO Inputs'!$AZ$12+P$113-1,'Year data'!$B$110:$AC$110,0))/100)+$BA$15*('US Grid mix, emissions&amp;prices'!$AU$4+INDEX('Year data'!$B$57:$AC$107,MATCH($A149,'Year data'!$A$111:$A$161,0),MATCH('TCO Inputs'!$AZ$12+P$113-1,'Year data'!$B$110:$AC$110,0))/100))/(1+$AZ$41)^P$113</f>
        <v>704.12676798184896</v>
      </c>
      <c r="Q149" s="106">
        <f>VLOOKUP($A149,'VKT US'!$B$63:$AA$113,(Q$113+1),FALSE)/VLOOKUP($A149,'Fuel economy adjusted factor'!$A$2:$F$52,5,FALSE)/$AZ$84*($AZ$15*('US Grid mix, emissions&amp;prices'!$AU$3+INDEX('Year data'!$B$3:$AC$53,MATCH('TCO Inputs'!$A149,'Year data'!$A$111:$A$161,0),MATCH('TCO Inputs'!$AZ$12+Q$113-1,'Year data'!$B$110:$AC$110,0))/100)+$BA$15*('US Grid mix, emissions&amp;prices'!$AU$4+INDEX('Year data'!$B$57:$AC$107,MATCH($A149,'Year data'!$A$111:$A$161,0),MATCH('TCO Inputs'!$AZ$12+Q$113-1,'Year data'!$B$110:$AC$110,0))/100))/(1+$AZ$41)^Q$113</f>
        <v>683.35045200312084</v>
      </c>
      <c r="R149" s="106">
        <f>VLOOKUP($A149,'VKT US'!$B$63:$AA$113,(R$113+1),FALSE)/VLOOKUP($A149,'Fuel economy adjusted factor'!$A$2:$F$52,5,FALSE)/$AZ$84*($AZ$15*('US Grid mix, emissions&amp;prices'!$AU$3+INDEX('Year data'!$B$3:$AC$53,MATCH('TCO Inputs'!$A149,'Year data'!$A$111:$A$161,0),MATCH('TCO Inputs'!$AZ$12+R$113-1,'Year data'!$B$110:$AC$110,0))/100)+$BA$15*('US Grid mix, emissions&amp;prices'!$AU$4+INDEX('Year data'!$B$57:$AC$107,MATCH($A149,'Year data'!$A$111:$A$161,0),MATCH('TCO Inputs'!$AZ$12+R$113-1,'Year data'!$B$110:$AC$110,0))/100))/(1+$AZ$41)^R$113</f>
        <v>662.48001660769648</v>
      </c>
      <c r="S149" s="106">
        <f>VLOOKUP($A149,'VKT US'!$B$63:$AA$113,(S$113+1),FALSE)/VLOOKUP($A149,'Fuel economy adjusted factor'!$A$2:$F$52,5,FALSE)/$AZ$84*($AZ$15*('US Grid mix, emissions&amp;prices'!$AU$3+INDEX('Year data'!$B$3:$AC$53,MATCH('TCO Inputs'!$A149,'Year data'!$A$111:$A$161,0),MATCH('TCO Inputs'!$AZ$12+S$113-1,'Year data'!$B$110:$AC$110,0))/100)+$BA$15*('US Grid mix, emissions&amp;prices'!$AU$4+INDEX('Year data'!$B$57:$AC$107,MATCH($A149,'Year data'!$A$111:$A$161,0),MATCH('TCO Inputs'!$AZ$12+S$113-1,'Year data'!$B$110:$AC$110,0))/100))/(1+$AZ$41)^S$113</f>
        <v>642.91832381666939</v>
      </c>
      <c r="T149" s="106">
        <f>VLOOKUP($A149,'VKT US'!$B$63:$AA$113,(T$113+1),FALSE)/VLOOKUP($A149,'Fuel economy adjusted factor'!$A$2:$F$52,5,FALSE)/$AZ$84*($AZ$15*('US Grid mix, emissions&amp;prices'!$AU$3+INDEX('Year data'!$B$3:$AC$53,MATCH('TCO Inputs'!$A149,'Year data'!$A$111:$A$161,0),MATCH('TCO Inputs'!$AZ$12+T$113-1,'Year data'!$B$110:$AC$110,0))/100)+$BA$15*('US Grid mix, emissions&amp;prices'!$AU$4+INDEX('Year data'!$B$57:$AC$107,MATCH($A149,'Year data'!$A$111:$A$161,0),MATCH('TCO Inputs'!$AZ$12+T$113-1,'Year data'!$B$110:$AC$110,0))/100))/(1+$AZ$41)^T$113</f>
        <v>623.97934341683106</v>
      </c>
      <c r="U149" s="106">
        <f>VLOOKUP($A149,'VKT US'!$B$63:$AA$113,(U$113+1),FALSE)/VLOOKUP($A149,'Fuel economy adjusted factor'!$A$2:$F$52,5,FALSE)/$AZ$84*($AZ$15*('US Grid mix, emissions&amp;prices'!$AU$3+INDEX('Year data'!$B$3:$AC$53,MATCH('TCO Inputs'!$A149,'Year data'!$A$111:$A$161,0),MATCH('TCO Inputs'!$AZ$12+U$113-1,'Year data'!$B$110:$AC$110,0))/100)+$BA$15*('US Grid mix, emissions&amp;prices'!$AU$4+INDEX('Year data'!$B$57:$AC$107,MATCH($A149,'Year data'!$A$111:$A$161,0),MATCH('TCO Inputs'!$AZ$12+U$113-1,'Year data'!$B$110:$AC$110,0))/100))/(1+$AZ$41)^U$113</f>
        <v>605.46856675954348</v>
      </c>
      <c r="V149" s="110" cm="1">
        <f t="array" ref="V149">SUMPRODUCT(INDEX(B149:U149,,_xlfn.SEQUENCE($AZ$13)))</f>
        <v>13328.223268699909</v>
      </c>
      <c r="Y149" s="102" t="s">
        <v>218</v>
      </c>
      <c r="Z149" s="106">
        <f>VLOOKUP($A149,'VKT US'!$B$63:$AA$113,(Z$113+1),FALSE)/VLOOKUP($A149,'Fuel economy adjusted factor'!$A$2:$F$52,5,FALSE)/$AZ$84</f>
        <v>7267.8437191499988</v>
      </c>
      <c r="AA149" s="106">
        <f>VLOOKUP($A149,'VKT US'!$B$63:$AA$113,(AA$113+1),FALSE)/VLOOKUP($A149,'Fuel economy adjusted factor'!$A$2:$F$52,5,FALSE)/$AZ$84</f>
        <v>7051.6762622997385</v>
      </c>
      <c r="AB149" s="106">
        <f>VLOOKUP($A149,'VKT US'!$B$63:$AA$113,(AB$113+1),FALSE)/VLOOKUP($A149,'Fuel economy adjusted factor'!$A$2:$F$52,5,FALSE)/$AZ$84</f>
        <v>6842.3296232627154</v>
      </c>
      <c r="AC149" s="106">
        <f>VLOOKUP($A149,'VKT US'!$B$63:$AA$113,(AC$113+1),FALSE)/VLOOKUP($A149,'Fuel economy adjusted factor'!$A$2:$F$52,5,FALSE)/$AZ$84</f>
        <v>6640.3284803322531</v>
      </c>
      <c r="AD149" s="106">
        <f>VLOOKUP($A149,'VKT US'!$B$63:$AA$113,(AD$113+1),FALSE)/VLOOKUP($A149,'Fuel economy adjusted factor'!$A$2:$F$52,5,FALSE)/$AZ$84</f>
        <v>6445.1481552150281</v>
      </c>
      <c r="AE149" s="106">
        <f>VLOOKUP($A149,'VKT US'!$B$63:$AA$113,(AE$113+1),FALSE)/VLOOKUP($A149,'Fuel economy adjusted factor'!$A$2:$F$52,5,FALSE)/$AZ$84</f>
        <v>6257.8380044976921</v>
      </c>
      <c r="AF149" s="106">
        <f>VLOOKUP($A149,'VKT US'!$B$63:$AA$113,(AF$113+1),FALSE)/VLOOKUP($A149,'Fuel economy adjusted factor'!$A$2:$F$52,5,FALSE)/$AZ$84</f>
        <v>6076.823993300266</v>
      </c>
      <c r="AG149" s="106">
        <f>VLOOKUP($A149,'VKT US'!$B$63:$AA$113,(AG$113+1),FALSE)/VLOOKUP($A149,'Fuel economy adjusted factor'!$A$2:$F$52,5,FALSE)/$AZ$84</f>
        <v>5903.1554782094017</v>
      </c>
      <c r="AH149" s="106">
        <f>VLOOKUP($A149,'VKT US'!$B$63:$AA$113,(AH$113+1),FALSE)/VLOOKUP($A149,'Fuel economy adjusted factor'!$A$2:$F$52,5,FALSE)/$AZ$84</f>
        <v>5736.8324592251001</v>
      </c>
      <c r="AI149" s="106">
        <f>VLOOKUP($A149,'VKT US'!$B$63:$AA$113,(AI$113+1),FALSE)/VLOOKUP($A149,'Fuel economy adjusted factor'!$A$2:$F$52,5,FALSE)/$AZ$84</f>
        <v>5577.8549363473612</v>
      </c>
      <c r="AJ149" s="106">
        <f>VLOOKUP($A149,'VKT US'!$B$63:$AA$113,(AJ$113+1),FALSE)/VLOOKUP($A149,'Fuel economy adjusted factor'!$A$2:$F$52,5,FALSE)/$AZ$84</f>
        <v>5425.6982312828568</v>
      </c>
      <c r="AK149" s="106">
        <f>VLOOKUP($A149,'VKT US'!$B$63:$AA$113,(AK$113+1),FALSE)/VLOOKUP($A149,'Fuel economy adjusted factor'!$A$2:$F$52,5,FALSE)/$AZ$84</f>
        <v>5280.8870223249151</v>
      </c>
      <c r="AL149" s="106">
        <f>VLOOKUP($A149,'VKT US'!$B$63:$AA$113,(AL$113+1),FALSE)/VLOOKUP($A149,'Fuel economy adjusted factor'!$A$2:$F$52,5,FALSE)/$AZ$84</f>
        <v>5142.8966311802105</v>
      </c>
      <c r="AM149" s="106">
        <f>VLOOKUP($A149,'VKT US'!$B$63:$AA$113,(AM$113+1),FALSE)/VLOOKUP($A149,'Fuel economy adjusted factor'!$A$2:$F$52,5,FALSE)/$AZ$84</f>
        <v>5012.2517361420687</v>
      </c>
      <c r="AN149" s="106">
        <f>VLOOKUP($A149,'VKT US'!$B$63:$AA$113,(AN$113+1),FALSE)/VLOOKUP($A149,'Fuel economy adjusted factor'!$A$2:$F$52,5,FALSE)/$AZ$84</f>
        <v>4888.4276589171623</v>
      </c>
      <c r="AO149" s="106">
        <f>VLOOKUP($A149,'VKT US'!$B$63:$AA$113,(AO$113+1),FALSE)/VLOOKUP($A149,'Fuel economy adjusted factor'!$A$2:$F$52,5,FALSE)/$AZ$84</f>
        <v>4772.473756092144</v>
      </c>
      <c r="AP149" s="106">
        <f>VLOOKUP($A149,'VKT US'!$B$63:$AA$113,(AP$113+1),FALSE)/VLOOKUP($A149,'Fuel economy adjusted factor'!$A$2:$F$52,5,FALSE)/$AZ$84</f>
        <v>4662.8159927870365</v>
      </c>
      <c r="AQ149" s="106">
        <f>VLOOKUP($A149,'VKT US'!$B$63:$AA$113,(AQ$113+1),FALSE)/VLOOKUP($A149,'Fuel economy adjusted factor'!$A$2:$F$52,5,FALSE)/$AZ$84</f>
        <v>4561.0284038818172</v>
      </c>
      <c r="AR149" s="106">
        <f>VLOOKUP($A149,'VKT US'!$B$63:$AA$113,(AR$113+1),FALSE)/VLOOKUP($A149,'Fuel economy adjusted factor'!$A$2:$F$52,5,FALSE)/$AZ$84</f>
        <v>4465.5369544965079</v>
      </c>
      <c r="AS149" s="106">
        <f>VLOOKUP($A149,'VKT US'!$B$63:$AA$113,(AS$113+1),FALSE)/VLOOKUP($A149,'Fuel economy adjusted factor'!$A$2:$F$52,5,FALSE)/$AZ$84</f>
        <v>4377.9156795110866</v>
      </c>
      <c r="AT149" s="110" cm="1">
        <f t="array" ref="AT149">SUMPRODUCT(INDEX(Z149:AS149,,_xlfn.SEQUENCE($AZ$13)))</f>
        <v>84661.564732769592</v>
      </c>
    </row>
    <row r="150" spans="1:46" x14ac:dyDescent="0.25">
      <c r="A150" s="102" t="s">
        <v>219</v>
      </c>
      <c r="B150" s="106">
        <f>VLOOKUP($A150,'VKT US'!$B$63:$AA$113,(B$113+1),FALSE)/VLOOKUP($A150,'Fuel economy adjusted factor'!$A$2:$F$52,5,FALSE)/$AZ$84*($AZ$15*('US Grid mix, emissions&amp;prices'!$AU$3+INDEX('Year data'!$B$3:$AC$53,MATCH('TCO Inputs'!$A150,'Year data'!$A$111:$A$161,0),MATCH('TCO Inputs'!$AZ$12+B$113-1,'Year data'!$B$110:$AC$110,0))/100)+$BA$15*('US Grid mix, emissions&amp;prices'!$AU$4+INDEX('Year data'!$B$57:$AC$107,MATCH($A150,'Year data'!$A$111:$A$161,0),MATCH('TCO Inputs'!$AZ$12+B$113-1,'Year data'!$B$110:$AC$110,0))/100))/(1+$AZ$41)^B$113</f>
        <v>975.50545883796826</v>
      </c>
      <c r="C150" s="106">
        <f>VLOOKUP($A150,'VKT US'!$B$63:$AA$113,(C$113+1),FALSE)/VLOOKUP($A150,'Fuel economy adjusted factor'!$A$2:$F$52,5,FALSE)/$AZ$84*($AZ$15*('US Grid mix, emissions&amp;prices'!$AU$3+INDEX('Year data'!$B$3:$AC$53,MATCH('TCO Inputs'!$A150,'Year data'!$A$111:$A$161,0),MATCH('TCO Inputs'!$AZ$12+C$113-1,'Year data'!$B$110:$AC$110,0))/100)+$BA$15*('US Grid mix, emissions&amp;prices'!$AU$4+INDEX('Year data'!$B$57:$AC$107,MATCH($A150,'Year data'!$A$111:$A$161,0),MATCH('TCO Inputs'!$AZ$12+C$113-1,'Year data'!$B$110:$AC$110,0))/100))/(1+$AZ$41)^C$113</f>
        <v>919.86028105159062</v>
      </c>
      <c r="D150" s="106">
        <f>VLOOKUP($A150,'VKT US'!$B$63:$AA$113,(D$113+1),FALSE)/VLOOKUP($A150,'Fuel economy adjusted factor'!$A$2:$F$52,5,FALSE)/$AZ$84*($AZ$15*('US Grid mix, emissions&amp;prices'!$AU$3+INDEX('Year data'!$B$3:$AC$53,MATCH('TCO Inputs'!$A150,'Year data'!$A$111:$A$161,0),MATCH('TCO Inputs'!$AZ$12+D$113-1,'Year data'!$B$110:$AC$110,0))/100)+$BA$15*('US Grid mix, emissions&amp;prices'!$AU$4+INDEX('Year data'!$B$57:$AC$107,MATCH($A150,'Year data'!$A$111:$A$161,0),MATCH('TCO Inputs'!$AZ$12+D$113-1,'Year data'!$B$110:$AC$110,0))/100))/(1+$AZ$41)^D$113</f>
        <v>864.04236888035791</v>
      </c>
      <c r="E150" s="106">
        <f>VLOOKUP($A150,'VKT US'!$B$63:$AA$113,(E$113+1),FALSE)/VLOOKUP($A150,'Fuel economy adjusted factor'!$A$2:$F$52,5,FALSE)/$AZ$84*($AZ$15*('US Grid mix, emissions&amp;prices'!$AU$3+INDEX('Year data'!$B$3:$AC$53,MATCH('TCO Inputs'!$A150,'Year data'!$A$111:$A$161,0),MATCH('TCO Inputs'!$AZ$12+E$113-1,'Year data'!$B$110:$AC$110,0))/100)+$BA$15*('US Grid mix, emissions&amp;prices'!$AU$4+INDEX('Year data'!$B$57:$AC$107,MATCH($A150,'Year data'!$A$111:$A$161,0),MATCH('TCO Inputs'!$AZ$12+E$113-1,'Year data'!$B$110:$AC$110,0))/100))/(1+$AZ$41)^E$113</f>
        <v>818.71414926856858</v>
      </c>
      <c r="F150" s="106">
        <f>VLOOKUP($A150,'VKT US'!$B$63:$AA$113,(F$113+1),FALSE)/VLOOKUP($A150,'Fuel economy adjusted factor'!$A$2:$F$52,5,FALSE)/$AZ$84*($AZ$15*('US Grid mix, emissions&amp;prices'!$AU$3+INDEX('Year data'!$B$3:$AC$53,MATCH('TCO Inputs'!$A150,'Year data'!$A$111:$A$161,0),MATCH('TCO Inputs'!$AZ$12+F$113-1,'Year data'!$B$110:$AC$110,0))/100)+$BA$15*('US Grid mix, emissions&amp;prices'!$AU$4+INDEX('Year data'!$B$57:$AC$107,MATCH($A150,'Year data'!$A$111:$A$161,0),MATCH('TCO Inputs'!$AZ$12+F$113-1,'Year data'!$B$110:$AC$110,0))/100))/(1+$AZ$41)^F$113</f>
        <v>778.1086207724436</v>
      </c>
      <c r="G150" s="106">
        <f>VLOOKUP($A150,'VKT US'!$B$63:$AA$113,(G$113+1),FALSE)/VLOOKUP($A150,'Fuel economy adjusted factor'!$A$2:$F$52,5,FALSE)/$AZ$84*($AZ$15*('US Grid mix, emissions&amp;prices'!$AU$3+INDEX('Year data'!$B$3:$AC$53,MATCH('TCO Inputs'!$A150,'Year data'!$A$111:$A$161,0),MATCH('TCO Inputs'!$AZ$12+G$113-1,'Year data'!$B$110:$AC$110,0))/100)+$BA$15*('US Grid mix, emissions&amp;prices'!$AU$4+INDEX('Year data'!$B$57:$AC$107,MATCH($A150,'Year data'!$A$111:$A$161,0),MATCH('TCO Inputs'!$AZ$12+G$113-1,'Year data'!$B$110:$AC$110,0))/100))/(1+$AZ$41)^G$113</f>
        <v>741.61982864593847</v>
      </c>
      <c r="H150" s="106">
        <f>VLOOKUP($A150,'VKT US'!$B$63:$AA$113,(H$113+1),FALSE)/VLOOKUP($A150,'Fuel economy adjusted factor'!$A$2:$F$52,5,FALSE)/$AZ$84*($AZ$15*('US Grid mix, emissions&amp;prices'!$AU$3+INDEX('Year data'!$B$3:$AC$53,MATCH('TCO Inputs'!$A150,'Year data'!$A$111:$A$161,0),MATCH('TCO Inputs'!$AZ$12+H$113-1,'Year data'!$B$110:$AC$110,0))/100)+$BA$15*('US Grid mix, emissions&amp;prices'!$AU$4+INDEX('Year data'!$B$57:$AC$107,MATCH($A150,'Year data'!$A$111:$A$161,0),MATCH('TCO Inputs'!$AZ$12+H$113-1,'Year data'!$B$110:$AC$110,0))/100))/(1+$AZ$41)^H$113</f>
        <v>710.01598833410924</v>
      </c>
      <c r="I150" s="106">
        <f>VLOOKUP($A150,'VKT US'!$B$63:$AA$113,(I$113+1),FALSE)/VLOOKUP($A150,'Fuel economy adjusted factor'!$A$2:$F$52,5,FALSE)/$AZ$84*($AZ$15*('US Grid mix, emissions&amp;prices'!$AU$3+INDEX('Year data'!$B$3:$AC$53,MATCH('TCO Inputs'!$A150,'Year data'!$A$111:$A$161,0),MATCH('TCO Inputs'!$AZ$12+I$113-1,'Year data'!$B$110:$AC$110,0))/100)+$BA$15*('US Grid mix, emissions&amp;prices'!$AU$4+INDEX('Year data'!$B$57:$AC$107,MATCH($A150,'Year data'!$A$111:$A$161,0),MATCH('TCO Inputs'!$AZ$12+I$113-1,'Year data'!$B$110:$AC$110,0))/100))/(1+$AZ$41)^I$113</f>
        <v>682.28103553968754</v>
      </c>
      <c r="J150" s="106">
        <f>VLOOKUP($A150,'VKT US'!$B$63:$AA$113,(J$113+1),FALSE)/VLOOKUP($A150,'Fuel economy adjusted factor'!$A$2:$F$52,5,FALSE)/$AZ$84*($AZ$15*('US Grid mix, emissions&amp;prices'!$AU$3+INDEX('Year data'!$B$3:$AC$53,MATCH('TCO Inputs'!$A150,'Year data'!$A$111:$A$161,0),MATCH('TCO Inputs'!$AZ$12+J$113-1,'Year data'!$B$110:$AC$110,0))/100)+$BA$15*('US Grid mix, emissions&amp;prices'!$AU$4+INDEX('Year data'!$B$57:$AC$107,MATCH($A150,'Year data'!$A$111:$A$161,0),MATCH('TCO Inputs'!$AZ$12+J$113-1,'Year data'!$B$110:$AC$110,0))/100))/(1+$AZ$41)^J$113</f>
        <v>656.74729090169546</v>
      </c>
      <c r="K150" s="106">
        <f>VLOOKUP($A150,'VKT US'!$B$63:$AA$113,(K$113+1),FALSE)/VLOOKUP($A150,'Fuel economy adjusted factor'!$A$2:$F$52,5,FALSE)/$AZ$84*($AZ$15*('US Grid mix, emissions&amp;prices'!$AU$3+INDEX('Year data'!$B$3:$AC$53,MATCH('TCO Inputs'!$A150,'Year data'!$A$111:$A$161,0),MATCH('TCO Inputs'!$AZ$12+K$113-1,'Year data'!$B$110:$AC$110,0))/100)+$BA$15*('US Grid mix, emissions&amp;prices'!$AU$4+INDEX('Year data'!$B$57:$AC$107,MATCH($A150,'Year data'!$A$111:$A$161,0),MATCH('TCO Inputs'!$AZ$12+K$113-1,'Year data'!$B$110:$AC$110,0))/100))/(1+$AZ$41)^K$113</f>
        <v>632.29933373011716</v>
      </c>
      <c r="L150" s="106">
        <f>VLOOKUP($A150,'VKT US'!$B$63:$AA$113,(L$113+1),FALSE)/VLOOKUP($A150,'Fuel economy adjusted factor'!$A$2:$F$52,5,FALSE)/$AZ$84*($AZ$15*('US Grid mix, emissions&amp;prices'!$AU$3+INDEX('Year data'!$B$3:$AC$53,MATCH('TCO Inputs'!$A150,'Year data'!$A$111:$A$161,0),MATCH('TCO Inputs'!$AZ$12+L$113-1,'Year data'!$B$110:$AC$110,0))/100)+$BA$15*('US Grid mix, emissions&amp;prices'!$AU$4+INDEX('Year data'!$B$57:$AC$107,MATCH($A150,'Year data'!$A$111:$A$161,0),MATCH('TCO Inputs'!$AZ$12+L$113-1,'Year data'!$B$110:$AC$110,0))/100))/(1+$AZ$41)^L$113</f>
        <v>612.9554973154153</v>
      </c>
      <c r="M150" s="106">
        <f>VLOOKUP($A150,'VKT US'!$B$63:$AA$113,(M$113+1),FALSE)/VLOOKUP($A150,'Fuel economy adjusted factor'!$A$2:$F$52,5,FALSE)/$AZ$84*($AZ$15*('US Grid mix, emissions&amp;prices'!$AU$3+INDEX('Year data'!$B$3:$AC$53,MATCH('TCO Inputs'!$A150,'Year data'!$A$111:$A$161,0),MATCH('TCO Inputs'!$AZ$12+M$113-1,'Year data'!$B$110:$AC$110,0))/100)+$BA$15*('US Grid mix, emissions&amp;prices'!$AU$4+INDEX('Year data'!$B$57:$AC$107,MATCH($A150,'Year data'!$A$111:$A$161,0),MATCH('TCO Inputs'!$AZ$12+M$113-1,'Year data'!$B$110:$AC$110,0))/100))/(1+$AZ$41)^M$113</f>
        <v>593.27160496019451</v>
      </c>
      <c r="N150" s="106">
        <f>VLOOKUP($A150,'VKT US'!$B$63:$AA$113,(N$113+1),FALSE)/VLOOKUP($A150,'Fuel economy adjusted factor'!$A$2:$F$52,5,FALSE)/$AZ$84*($AZ$15*('US Grid mix, emissions&amp;prices'!$AU$3+INDEX('Year data'!$B$3:$AC$53,MATCH('TCO Inputs'!$A150,'Year data'!$A$111:$A$161,0),MATCH('TCO Inputs'!$AZ$12+N$113-1,'Year data'!$B$110:$AC$110,0))/100)+$BA$15*('US Grid mix, emissions&amp;prices'!$AU$4+INDEX('Year data'!$B$57:$AC$107,MATCH($A150,'Year data'!$A$111:$A$161,0),MATCH('TCO Inputs'!$AZ$12+N$113-1,'Year data'!$B$110:$AC$110,0))/100))/(1+$AZ$41)^N$113</f>
        <v>571.03251917735088</v>
      </c>
      <c r="O150" s="106">
        <f>VLOOKUP($A150,'VKT US'!$B$63:$AA$113,(O$113+1),FALSE)/VLOOKUP($A150,'Fuel economy adjusted factor'!$A$2:$F$52,5,FALSE)/$AZ$84*($AZ$15*('US Grid mix, emissions&amp;prices'!$AU$3+INDEX('Year data'!$B$3:$AC$53,MATCH('TCO Inputs'!$A150,'Year data'!$A$111:$A$161,0),MATCH('TCO Inputs'!$AZ$12+O$113-1,'Year data'!$B$110:$AC$110,0))/100)+$BA$15*('US Grid mix, emissions&amp;prices'!$AU$4+INDEX('Year data'!$B$57:$AC$107,MATCH($A150,'Year data'!$A$111:$A$161,0),MATCH('TCO Inputs'!$AZ$12+O$113-1,'Year data'!$B$110:$AC$110,0))/100))/(1+$AZ$41)^O$113</f>
        <v>551.76366567707566</v>
      </c>
      <c r="P150" s="106">
        <f>VLOOKUP($A150,'VKT US'!$B$63:$AA$113,(P$113+1),FALSE)/VLOOKUP($A150,'Fuel economy adjusted factor'!$A$2:$F$52,5,FALSE)/$AZ$84*($AZ$15*('US Grid mix, emissions&amp;prices'!$AU$3+INDEX('Year data'!$B$3:$AC$53,MATCH('TCO Inputs'!$A150,'Year data'!$A$111:$A$161,0),MATCH('TCO Inputs'!$AZ$12+P$113-1,'Year data'!$B$110:$AC$110,0))/100)+$BA$15*('US Grid mix, emissions&amp;prices'!$AU$4+INDEX('Year data'!$B$57:$AC$107,MATCH($A150,'Year data'!$A$111:$A$161,0),MATCH('TCO Inputs'!$AZ$12+P$113-1,'Year data'!$B$110:$AC$110,0))/100))/(1+$AZ$41)^P$113</f>
        <v>533.93220202355542</v>
      </c>
      <c r="Q150" s="106">
        <f>VLOOKUP($A150,'VKT US'!$B$63:$AA$113,(Q$113+1),FALSE)/VLOOKUP($A150,'Fuel economy adjusted factor'!$A$2:$F$52,5,FALSE)/$AZ$84*($AZ$15*('US Grid mix, emissions&amp;prices'!$AU$3+INDEX('Year data'!$B$3:$AC$53,MATCH('TCO Inputs'!$A150,'Year data'!$A$111:$A$161,0),MATCH('TCO Inputs'!$AZ$12+Q$113-1,'Year data'!$B$110:$AC$110,0))/100)+$BA$15*('US Grid mix, emissions&amp;prices'!$AU$4+INDEX('Year data'!$B$57:$AC$107,MATCH($A150,'Year data'!$A$111:$A$161,0),MATCH('TCO Inputs'!$AZ$12+Q$113-1,'Year data'!$B$110:$AC$110,0))/100))/(1+$AZ$41)^Q$113</f>
        <v>518.22593212013066</v>
      </c>
      <c r="R150" s="106">
        <f>VLOOKUP($A150,'VKT US'!$B$63:$AA$113,(R$113+1),FALSE)/VLOOKUP($A150,'Fuel economy adjusted factor'!$A$2:$F$52,5,FALSE)/$AZ$84*($AZ$15*('US Grid mix, emissions&amp;prices'!$AU$3+INDEX('Year data'!$B$3:$AC$53,MATCH('TCO Inputs'!$A150,'Year data'!$A$111:$A$161,0),MATCH('TCO Inputs'!$AZ$12+R$113-1,'Year data'!$B$110:$AC$110,0))/100)+$BA$15*('US Grid mix, emissions&amp;prices'!$AU$4+INDEX('Year data'!$B$57:$AC$107,MATCH($A150,'Year data'!$A$111:$A$161,0),MATCH('TCO Inputs'!$AZ$12+R$113-1,'Year data'!$B$110:$AC$110,0))/100))/(1+$AZ$41)^R$113</f>
        <v>502.42948477643017</v>
      </c>
      <c r="S150" s="106">
        <f>VLOOKUP($A150,'VKT US'!$B$63:$AA$113,(S$113+1),FALSE)/VLOOKUP($A150,'Fuel economy adjusted factor'!$A$2:$F$52,5,FALSE)/$AZ$84*($AZ$15*('US Grid mix, emissions&amp;prices'!$AU$3+INDEX('Year data'!$B$3:$AC$53,MATCH('TCO Inputs'!$A150,'Year data'!$A$111:$A$161,0),MATCH('TCO Inputs'!$AZ$12+S$113-1,'Year data'!$B$110:$AC$110,0))/100)+$BA$15*('US Grid mix, emissions&amp;prices'!$AU$4+INDEX('Year data'!$B$57:$AC$107,MATCH($A150,'Year data'!$A$111:$A$161,0),MATCH('TCO Inputs'!$AZ$12+S$113-1,'Year data'!$B$110:$AC$110,0))/100))/(1+$AZ$41)^S$113</f>
        <v>487.61926481838043</v>
      </c>
      <c r="T150" s="106">
        <f>VLOOKUP($A150,'VKT US'!$B$63:$AA$113,(T$113+1),FALSE)/VLOOKUP($A150,'Fuel economy adjusted factor'!$A$2:$F$52,5,FALSE)/$AZ$84*($AZ$15*('US Grid mix, emissions&amp;prices'!$AU$3+INDEX('Year data'!$B$3:$AC$53,MATCH('TCO Inputs'!$A150,'Year data'!$A$111:$A$161,0),MATCH('TCO Inputs'!$AZ$12+T$113-1,'Year data'!$B$110:$AC$110,0))/100)+$BA$15*('US Grid mix, emissions&amp;prices'!$AU$4+INDEX('Year data'!$B$57:$AC$107,MATCH($A150,'Year data'!$A$111:$A$161,0),MATCH('TCO Inputs'!$AZ$12+T$113-1,'Year data'!$B$110:$AC$110,0))/100))/(1+$AZ$41)^T$113</f>
        <v>473.27415468957093</v>
      </c>
      <c r="U150" s="106">
        <f>VLOOKUP($A150,'VKT US'!$B$63:$AA$113,(U$113+1),FALSE)/VLOOKUP($A150,'Fuel economy adjusted factor'!$A$2:$F$52,5,FALSE)/$AZ$84*($AZ$15*('US Grid mix, emissions&amp;prices'!$AU$3+INDEX('Year data'!$B$3:$AC$53,MATCH('TCO Inputs'!$A150,'Year data'!$A$111:$A$161,0),MATCH('TCO Inputs'!$AZ$12+U$113-1,'Year data'!$B$110:$AC$110,0))/100)+$BA$15*('US Grid mix, emissions&amp;prices'!$AU$4+INDEX('Year data'!$B$57:$AC$107,MATCH($A150,'Year data'!$A$111:$A$161,0),MATCH('TCO Inputs'!$AZ$12+U$113-1,'Year data'!$B$110:$AC$110,0))/100))/(1+$AZ$41)^U$113</f>
        <v>459.23889299052382</v>
      </c>
      <c r="V150" s="110" cm="1">
        <f t="array" ref="V150">SUMPRODUCT(INDEX(B150:U150,,_xlfn.SEQUENCE($AZ$13)))</f>
        <v>10108.217643092512</v>
      </c>
      <c r="Y150" s="102" t="s">
        <v>219</v>
      </c>
      <c r="Z150" s="106">
        <f>VLOOKUP($A150,'VKT US'!$B$63:$AA$113,(Z$113+1),FALSE)/VLOOKUP($A150,'Fuel economy adjusted factor'!$A$2:$F$52,5,FALSE)/$AZ$84</f>
        <v>5356.8275520495117</v>
      </c>
      <c r="AA150" s="106">
        <f>VLOOKUP($A150,'VKT US'!$B$63:$AA$113,(AA$113+1),FALSE)/VLOOKUP($A150,'Fuel economy adjusted factor'!$A$2:$F$52,5,FALSE)/$AZ$84</f>
        <v>5197.4994440907758</v>
      </c>
      <c r="AB150" s="106">
        <f>VLOOKUP($A150,'VKT US'!$B$63:$AA$113,(AB$113+1),FALSE)/VLOOKUP($A150,'Fuel economy adjusted factor'!$A$2:$F$52,5,FALSE)/$AZ$84</f>
        <v>5043.1986793443311</v>
      </c>
      <c r="AC150" s="106">
        <f>VLOOKUP($A150,'VKT US'!$B$63:$AA$113,(AC$113+1),FALSE)/VLOOKUP($A150,'Fuel economy adjusted factor'!$A$2:$F$52,5,FALSE)/$AZ$84</f>
        <v>4894.3119765188139</v>
      </c>
      <c r="AD150" s="106">
        <f>VLOOKUP($A150,'VKT US'!$B$63:$AA$113,(AD$113+1),FALSE)/VLOOKUP($A150,'Fuel economy adjusted factor'!$A$2:$F$52,5,FALSE)/$AZ$84</f>
        <v>4750.4526169055871</v>
      </c>
      <c r="AE150" s="106">
        <f>VLOOKUP($A150,'VKT US'!$B$63:$AA$113,(AE$113+1),FALSE)/VLOOKUP($A150,'Fuel economy adjusted factor'!$A$2:$F$52,5,FALSE)/$AZ$84</f>
        <v>4612.3940379219257</v>
      </c>
      <c r="AF150" s="106">
        <f>VLOOKUP($A150,'VKT US'!$B$63:$AA$113,(AF$113+1),FALSE)/VLOOKUP($A150,'Fuel economy adjusted factor'!$A$2:$F$52,5,FALSE)/$AZ$84</f>
        <v>4478.9760834419167</v>
      </c>
      <c r="AG150" s="106">
        <f>VLOOKUP($A150,'VKT US'!$B$63:$AA$113,(AG$113+1),FALSE)/VLOOKUP($A150,'Fuel economy adjusted factor'!$A$2:$F$52,5,FALSE)/$AZ$84</f>
        <v>4350.9721908828369</v>
      </c>
      <c r="AH150" s="106">
        <f>VLOOKUP($A150,'VKT US'!$B$63:$AA$113,(AH$113+1),FALSE)/VLOOKUP($A150,'Fuel economy adjusted factor'!$A$2:$F$52,5,FALSE)/$AZ$84</f>
        <v>4228.3823602446837</v>
      </c>
      <c r="AI150" s="106">
        <f>VLOOKUP($A150,'VKT US'!$B$63:$AA$113,(AI$113+1),FALSE)/VLOOKUP($A150,'Fuel economy adjusted factor'!$A$2:$F$52,5,FALSE)/$AZ$84</f>
        <v>4111.2065915274588</v>
      </c>
      <c r="AJ150" s="106">
        <f>VLOOKUP($A150,'VKT US'!$B$63:$AA$113,(AJ$113+1),FALSE)/VLOOKUP($A150,'Fuel economy adjusted factor'!$A$2:$F$52,5,FALSE)/$AZ$84</f>
        <v>3999.0581660225234</v>
      </c>
      <c r="AK150" s="106">
        <f>VLOOKUP($A150,'VKT US'!$B$63:$AA$113,(AK$113+1),FALSE)/VLOOKUP($A150,'Fuel economy adjusted factor'!$A$2:$F$52,5,FALSE)/$AZ$84</f>
        <v>3892.3238024385159</v>
      </c>
      <c r="AL150" s="106">
        <f>VLOOKUP($A150,'VKT US'!$B$63:$AA$113,(AL$113+1),FALSE)/VLOOKUP($A150,'Fuel economy adjusted factor'!$A$2:$F$52,5,FALSE)/$AZ$84</f>
        <v>3790.6167820667993</v>
      </c>
      <c r="AM150" s="106">
        <f>VLOOKUP($A150,'VKT US'!$B$63:$AA$113,(AM$113+1),FALSE)/VLOOKUP($A150,'Fuel economy adjusted factor'!$A$2:$F$52,5,FALSE)/$AZ$84</f>
        <v>3694.3238236160105</v>
      </c>
      <c r="AN150" s="106">
        <f>VLOOKUP($A150,'VKT US'!$B$63:$AA$113,(AN$113+1),FALSE)/VLOOKUP($A150,'Fuel economy adjusted factor'!$A$2:$F$52,5,FALSE)/$AZ$84</f>
        <v>3603.0582083775116</v>
      </c>
      <c r="AO150" s="106">
        <f>VLOOKUP($A150,'VKT US'!$B$63:$AA$113,(AO$113+1),FALSE)/VLOOKUP($A150,'Fuel economy adjusted factor'!$A$2:$F$52,5,FALSE)/$AZ$84</f>
        <v>3517.5933737685787</v>
      </c>
      <c r="AP150" s="106">
        <f>VLOOKUP($A150,'VKT US'!$B$63:$AA$113,(AP$113+1),FALSE)/VLOOKUP($A150,'Fuel economy adjusted factor'!$A$2:$F$52,5,FALSE)/$AZ$84</f>
        <v>3436.7691636632971</v>
      </c>
      <c r="AQ150" s="106">
        <f>VLOOKUP($A150,'VKT US'!$B$63:$AA$113,(AQ$113+1),FALSE)/VLOOKUP($A150,'Fuel economy adjusted factor'!$A$2:$F$52,5,FALSE)/$AZ$84</f>
        <v>3361.7457341875829</v>
      </c>
      <c r="AR150" s="106">
        <f>VLOOKUP($A150,'VKT US'!$B$63:$AA$113,(AR$113+1),FALSE)/VLOOKUP($A150,'Fuel economy adjusted factor'!$A$2:$F$52,5,FALSE)/$AZ$84</f>
        <v>3291.3629292155206</v>
      </c>
      <c r="AS150" s="106">
        <f>VLOOKUP($A150,'VKT US'!$B$63:$AA$113,(AS$113+1),FALSE)/VLOOKUP($A150,'Fuel economy adjusted factor'!$A$2:$F$52,5,FALSE)/$AZ$84</f>
        <v>3226.7809048730232</v>
      </c>
      <c r="AT150" s="110" cm="1">
        <f t="array" ref="AT150">SUMPRODUCT(INDEX(Z150:AS150,,_xlfn.SEQUENCE($AZ$13)))</f>
        <v>62400.544107071684</v>
      </c>
    </row>
    <row r="151" spans="1:46" x14ac:dyDescent="0.25">
      <c r="A151" s="102" t="s">
        <v>220</v>
      </c>
      <c r="B151" s="106">
        <f>VLOOKUP($A151,'VKT US'!$B$63:$AA$113,(B$113+1),FALSE)/VLOOKUP($A151,'Fuel economy adjusted factor'!$A$2:$F$52,5,FALSE)/$AZ$84*($AZ$15*('US Grid mix, emissions&amp;prices'!$AU$3+INDEX('Year data'!$B$3:$AC$53,MATCH('TCO Inputs'!$A151,'Year data'!$A$111:$A$161,0),MATCH('TCO Inputs'!$AZ$12+B$113-1,'Year data'!$B$110:$AC$110,0))/100)+$BA$15*('US Grid mix, emissions&amp;prices'!$AU$4+INDEX('Year data'!$B$57:$AC$107,MATCH($A151,'Year data'!$A$111:$A$161,0),MATCH('TCO Inputs'!$AZ$12+B$113-1,'Year data'!$B$110:$AC$110,0))/100))/(1+$AZ$41)^B$113</f>
        <v>1091.3456036622672</v>
      </c>
      <c r="C151" s="106">
        <f>VLOOKUP($A151,'VKT US'!$B$63:$AA$113,(C$113+1),FALSE)/VLOOKUP($A151,'Fuel economy adjusted factor'!$A$2:$F$52,5,FALSE)/$AZ$84*($AZ$15*('US Grid mix, emissions&amp;prices'!$AU$3+INDEX('Year data'!$B$3:$AC$53,MATCH('TCO Inputs'!$A151,'Year data'!$A$111:$A$161,0),MATCH('TCO Inputs'!$AZ$12+C$113-1,'Year data'!$B$110:$AC$110,0))/100)+$BA$15*('US Grid mix, emissions&amp;prices'!$AU$4+INDEX('Year data'!$B$57:$AC$107,MATCH($A151,'Year data'!$A$111:$A$161,0),MATCH('TCO Inputs'!$AZ$12+C$113-1,'Year data'!$B$110:$AC$110,0))/100))/(1+$AZ$41)^C$113</f>
        <v>1028.2959233976594</v>
      </c>
      <c r="D151" s="106">
        <f>VLOOKUP($A151,'VKT US'!$B$63:$AA$113,(D$113+1),FALSE)/VLOOKUP($A151,'Fuel economy adjusted factor'!$A$2:$F$52,5,FALSE)/$AZ$84*($AZ$15*('US Grid mix, emissions&amp;prices'!$AU$3+INDEX('Year data'!$B$3:$AC$53,MATCH('TCO Inputs'!$A151,'Year data'!$A$111:$A$161,0),MATCH('TCO Inputs'!$AZ$12+D$113-1,'Year data'!$B$110:$AC$110,0))/100)+$BA$15*('US Grid mix, emissions&amp;prices'!$AU$4+INDEX('Year data'!$B$57:$AC$107,MATCH($A151,'Year data'!$A$111:$A$161,0),MATCH('TCO Inputs'!$AZ$12+D$113-1,'Year data'!$B$110:$AC$110,0))/100))/(1+$AZ$41)^D$113</f>
        <v>964.33169081581639</v>
      </c>
      <c r="E151" s="106">
        <f>VLOOKUP($A151,'VKT US'!$B$63:$AA$113,(E$113+1),FALSE)/VLOOKUP($A151,'Fuel economy adjusted factor'!$A$2:$F$52,5,FALSE)/$AZ$84*($AZ$15*('US Grid mix, emissions&amp;prices'!$AU$3+INDEX('Year data'!$B$3:$AC$53,MATCH('TCO Inputs'!$A151,'Year data'!$A$111:$A$161,0),MATCH('TCO Inputs'!$AZ$12+E$113-1,'Year data'!$B$110:$AC$110,0))/100)+$BA$15*('US Grid mix, emissions&amp;prices'!$AU$4+INDEX('Year data'!$B$57:$AC$107,MATCH($A151,'Year data'!$A$111:$A$161,0),MATCH('TCO Inputs'!$AZ$12+E$113-1,'Year data'!$B$110:$AC$110,0))/100))/(1+$AZ$41)^E$113</f>
        <v>912.82430035427444</v>
      </c>
      <c r="F151" s="106">
        <f>VLOOKUP($A151,'VKT US'!$B$63:$AA$113,(F$113+1),FALSE)/VLOOKUP($A151,'Fuel economy adjusted factor'!$A$2:$F$52,5,FALSE)/$AZ$84*($AZ$15*('US Grid mix, emissions&amp;prices'!$AU$3+INDEX('Year data'!$B$3:$AC$53,MATCH('TCO Inputs'!$A151,'Year data'!$A$111:$A$161,0),MATCH('TCO Inputs'!$AZ$12+F$113-1,'Year data'!$B$110:$AC$110,0))/100)+$BA$15*('US Grid mix, emissions&amp;prices'!$AU$4+INDEX('Year data'!$B$57:$AC$107,MATCH($A151,'Year data'!$A$111:$A$161,0),MATCH('TCO Inputs'!$AZ$12+F$113-1,'Year data'!$B$110:$AC$110,0))/100))/(1+$AZ$41)^F$113</f>
        <v>866.85291908630802</v>
      </c>
      <c r="G151" s="106">
        <f>VLOOKUP($A151,'VKT US'!$B$63:$AA$113,(G$113+1),FALSE)/VLOOKUP($A151,'Fuel economy adjusted factor'!$A$2:$F$52,5,FALSE)/$AZ$84*($AZ$15*('US Grid mix, emissions&amp;prices'!$AU$3+INDEX('Year data'!$B$3:$AC$53,MATCH('TCO Inputs'!$A151,'Year data'!$A$111:$A$161,0),MATCH('TCO Inputs'!$AZ$12+G$113-1,'Year data'!$B$110:$AC$110,0))/100)+$BA$15*('US Grid mix, emissions&amp;prices'!$AU$4+INDEX('Year data'!$B$57:$AC$107,MATCH($A151,'Year data'!$A$111:$A$161,0),MATCH('TCO Inputs'!$AZ$12+G$113-1,'Year data'!$B$110:$AC$110,0))/100))/(1+$AZ$41)^G$113</f>
        <v>825.80990837123989</v>
      </c>
      <c r="H151" s="106">
        <f>VLOOKUP($A151,'VKT US'!$B$63:$AA$113,(H$113+1),FALSE)/VLOOKUP($A151,'Fuel economy adjusted factor'!$A$2:$F$52,5,FALSE)/$AZ$84*($AZ$15*('US Grid mix, emissions&amp;prices'!$AU$3+INDEX('Year data'!$B$3:$AC$53,MATCH('TCO Inputs'!$A151,'Year data'!$A$111:$A$161,0),MATCH('TCO Inputs'!$AZ$12+H$113-1,'Year data'!$B$110:$AC$110,0))/100)+$BA$15*('US Grid mix, emissions&amp;prices'!$AU$4+INDEX('Year data'!$B$57:$AC$107,MATCH($A151,'Year data'!$A$111:$A$161,0),MATCH('TCO Inputs'!$AZ$12+H$113-1,'Year data'!$B$110:$AC$110,0))/100))/(1+$AZ$41)^H$113</f>
        <v>790.58086469036925</v>
      </c>
      <c r="I151" s="106">
        <f>VLOOKUP($A151,'VKT US'!$B$63:$AA$113,(I$113+1),FALSE)/VLOOKUP($A151,'Fuel economy adjusted factor'!$A$2:$F$52,5,FALSE)/$AZ$84*($AZ$15*('US Grid mix, emissions&amp;prices'!$AU$3+INDEX('Year data'!$B$3:$AC$53,MATCH('TCO Inputs'!$A151,'Year data'!$A$111:$A$161,0),MATCH('TCO Inputs'!$AZ$12+I$113-1,'Year data'!$B$110:$AC$110,0))/100)+$BA$15*('US Grid mix, emissions&amp;prices'!$AU$4+INDEX('Year data'!$B$57:$AC$107,MATCH($A151,'Year data'!$A$111:$A$161,0),MATCH('TCO Inputs'!$AZ$12+I$113-1,'Year data'!$B$110:$AC$110,0))/100))/(1+$AZ$41)^I$113</f>
        <v>759.8997608968009</v>
      </c>
      <c r="J151" s="106">
        <f>VLOOKUP($A151,'VKT US'!$B$63:$AA$113,(J$113+1),FALSE)/VLOOKUP($A151,'Fuel economy adjusted factor'!$A$2:$F$52,5,FALSE)/$AZ$84*($AZ$15*('US Grid mix, emissions&amp;prices'!$AU$3+INDEX('Year data'!$B$3:$AC$53,MATCH('TCO Inputs'!$A151,'Year data'!$A$111:$A$161,0),MATCH('TCO Inputs'!$AZ$12+J$113-1,'Year data'!$B$110:$AC$110,0))/100)+$BA$15*('US Grid mix, emissions&amp;prices'!$AU$4+INDEX('Year data'!$B$57:$AC$107,MATCH($A151,'Year data'!$A$111:$A$161,0),MATCH('TCO Inputs'!$AZ$12+J$113-1,'Year data'!$B$110:$AC$110,0))/100))/(1+$AZ$41)^J$113</f>
        <v>731.81114616259947</v>
      </c>
      <c r="K151" s="106">
        <f>VLOOKUP($A151,'VKT US'!$B$63:$AA$113,(K$113+1),FALSE)/VLOOKUP($A151,'Fuel economy adjusted factor'!$A$2:$F$52,5,FALSE)/$AZ$84*($AZ$15*('US Grid mix, emissions&amp;prices'!$AU$3+INDEX('Year data'!$B$3:$AC$53,MATCH('TCO Inputs'!$A151,'Year data'!$A$111:$A$161,0),MATCH('TCO Inputs'!$AZ$12+K$113-1,'Year data'!$B$110:$AC$110,0))/100)+$BA$15*('US Grid mix, emissions&amp;prices'!$AU$4+INDEX('Year data'!$B$57:$AC$107,MATCH($A151,'Year data'!$A$111:$A$161,0),MATCH('TCO Inputs'!$AZ$12+K$113-1,'Year data'!$B$110:$AC$110,0))/100))/(1+$AZ$41)^K$113</f>
        <v>704.88445860011825</v>
      </c>
      <c r="L151" s="106">
        <f>VLOOKUP($A151,'VKT US'!$B$63:$AA$113,(L$113+1),FALSE)/VLOOKUP($A151,'Fuel economy adjusted factor'!$A$2:$F$52,5,FALSE)/$AZ$84*($AZ$15*('US Grid mix, emissions&amp;prices'!$AU$3+INDEX('Year data'!$B$3:$AC$53,MATCH('TCO Inputs'!$A151,'Year data'!$A$111:$A$161,0),MATCH('TCO Inputs'!$AZ$12+L$113-1,'Year data'!$B$110:$AC$110,0))/100)+$BA$15*('US Grid mix, emissions&amp;prices'!$AU$4+INDEX('Year data'!$B$57:$AC$107,MATCH($A151,'Year data'!$A$111:$A$161,0),MATCH('TCO Inputs'!$AZ$12+L$113-1,'Year data'!$B$110:$AC$110,0))/100))/(1+$AZ$41)^L$113</f>
        <v>684.05039696907545</v>
      </c>
      <c r="M151" s="106">
        <f>VLOOKUP($A151,'VKT US'!$B$63:$AA$113,(M$113+1),FALSE)/VLOOKUP($A151,'Fuel economy adjusted factor'!$A$2:$F$52,5,FALSE)/$AZ$84*($AZ$15*('US Grid mix, emissions&amp;prices'!$AU$3+INDEX('Year data'!$B$3:$AC$53,MATCH('TCO Inputs'!$A151,'Year data'!$A$111:$A$161,0),MATCH('TCO Inputs'!$AZ$12+M$113-1,'Year data'!$B$110:$AC$110,0))/100)+$BA$15*('US Grid mix, emissions&amp;prices'!$AU$4+INDEX('Year data'!$B$57:$AC$107,MATCH($A151,'Year data'!$A$111:$A$161,0),MATCH('TCO Inputs'!$AZ$12+M$113-1,'Year data'!$B$110:$AC$110,0))/100))/(1+$AZ$41)^M$113</f>
        <v>662.63784361673504</v>
      </c>
      <c r="N151" s="106">
        <f>VLOOKUP($A151,'VKT US'!$B$63:$AA$113,(N$113+1),FALSE)/VLOOKUP($A151,'Fuel economy adjusted factor'!$A$2:$F$52,5,FALSE)/$AZ$84*($AZ$15*('US Grid mix, emissions&amp;prices'!$AU$3+INDEX('Year data'!$B$3:$AC$53,MATCH('TCO Inputs'!$A151,'Year data'!$A$111:$A$161,0),MATCH('TCO Inputs'!$AZ$12+N$113-1,'Year data'!$B$110:$AC$110,0))/100)+$BA$15*('US Grid mix, emissions&amp;prices'!$AU$4+INDEX('Year data'!$B$57:$AC$107,MATCH($A151,'Year data'!$A$111:$A$161,0),MATCH('TCO Inputs'!$AZ$12+N$113-1,'Year data'!$B$110:$AC$110,0))/100))/(1+$AZ$41)^N$113</f>
        <v>637.89560170012294</v>
      </c>
      <c r="O151" s="106">
        <f>VLOOKUP($A151,'VKT US'!$B$63:$AA$113,(O$113+1),FALSE)/VLOOKUP($A151,'Fuel economy adjusted factor'!$A$2:$F$52,5,FALSE)/$AZ$84*($AZ$15*('US Grid mix, emissions&amp;prices'!$AU$3+INDEX('Year data'!$B$3:$AC$53,MATCH('TCO Inputs'!$A151,'Year data'!$A$111:$A$161,0),MATCH('TCO Inputs'!$AZ$12+O$113-1,'Year data'!$B$110:$AC$110,0))/100)+$BA$15*('US Grid mix, emissions&amp;prices'!$AU$4+INDEX('Year data'!$B$57:$AC$107,MATCH($A151,'Year data'!$A$111:$A$161,0),MATCH('TCO Inputs'!$AZ$12+O$113-1,'Year data'!$B$110:$AC$110,0))/100))/(1+$AZ$41)^O$113</f>
        <v>616.66464942330254</v>
      </c>
      <c r="P151" s="106">
        <f>VLOOKUP($A151,'VKT US'!$B$63:$AA$113,(P$113+1),FALSE)/VLOOKUP($A151,'Fuel economy adjusted factor'!$A$2:$F$52,5,FALSE)/$AZ$84*($AZ$15*('US Grid mix, emissions&amp;prices'!$AU$3+INDEX('Year data'!$B$3:$AC$53,MATCH('TCO Inputs'!$A151,'Year data'!$A$111:$A$161,0),MATCH('TCO Inputs'!$AZ$12+P$113-1,'Year data'!$B$110:$AC$110,0))/100)+$BA$15*('US Grid mix, emissions&amp;prices'!$AU$4+INDEX('Year data'!$B$57:$AC$107,MATCH($A151,'Year data'!$A$111:$A$161,0),MATCH('TCO Inputs'!$AZ$12+P$113-1,'Year data'!$B$110:$AC$110,0))/100))/(1+$AZ$41)^P$113</f>
        <v>597.0906362703613</v>
      </c>
      <c r="Q151" s="106">
        <f>VLOOKUP($A151,'VKT US'!$B$63:$AA$113,(Q$113+1),FALSE)/VLOOKUP($A151,'Fuel economy adjusted factor'!$A$2:$F$52,5,FALSE)/$AZ$84*($AZ$15*('US Grid mix, emissions&amp;prices'!$AU$3+INDEX('Year data'!$B$3:$AC$53,MATCH('TCO Inputs'!$A151,'Year data'!$A$111:$A$161,0),MATCH('TCO Inputs'!$AZ$12+Q$113-1,'Year data'!$B$110:$AC$110,0))/100)+$BA$15*('US Grid mix, emissions&amp;prices'!$AU$4+INDEX('Year data'!$B$57:$AC$107,MATCH($A151,'Year data'!$A$111:$A$161,0),MATCH('TCO Inputs'!$AZ$12+Q$113-1,'Year data'!$B$110:$AC$110,0))/100))/(1+$AZ$41)^Q$113</f>
        <v>579.96079310044411</v>
      </c>
      <c r="R151" s="106">
        <f>VLOOKUP($A151,'VKT US'!$B$63:$AA$113,(R$113+1),FALSE)/VLOOKUP($A151,'Fuel economy adjusted factor'!$A$2:$F$52,5,FALSE)/$AZ$84*($AZ$15*('US Grid mix, emissions&amp;prices'!$AU$3+INDEX('Year data'!$B$3:$AC$53,MATCH('TCO Inputs'!$A151,'Year data'!$A$111:$A$161,0),MATCH('TCO Inputs'!$AZ$12+R$113-1,'Year data'!$B$110:$AC$110,0))/100)+$BA$15*('US Grid mix, emissions&amp;prices'!$AU$4+INDEX('Year data'!$B$57:$AC$107,MATCH($A151,'Year data'!$A$111:$A$161,0),MATCH('TCO Inputs'!$AZ$12+R$113-1,'Year data'!$B$110:$AC$110,0))/100))/(1+$AZ$41)^R$113</f>
        <v>562.58174059049713</v>
      </c>
      <c r="S151" s="106">
        <f>VLOOKUP($A151,'VKT US'!$B$63:$AA$113,(S$113+1),FALSE)/VLOOKUP($A151,'Fuel economy adjusted factor'!$A$2:$F$52,5,FALSE)/$AZ$84*($AZ$15*('US Grid mix, emissions&amp;prices'!$AU$3+INDEX('Year data'!$B$3:$AC$53,MATCH('TCO Inputs'!$A151,'Year data'!$A$111:$A$161,0),MATCH('TCO Inputs'!$AZ$12+S$113-1,'Year data'!$B$110:$AC$110,0))/100)+$BA$15*('US Grid mix, emissions&amp;prices'!$AU$4+INDEX('Year data'!$B$57:$AC$107,MATCH($A151,'Year data'!$A$111:$A$161,0),MATCH('TCO Inputs'!$AZ$12+S$113-1,'Year data'!$B$110:$AC$110,0))/100))/(1+$AZ$41)^S$113</f>
        <v>546.29818473877037</v>
      </c>
      <c r="T151" s="106">
        <f>VLOOKUP($A151,'VKT US'!$B$63:$AA$113,(T$113+1),FALSE)/VLOOKUP($A151,'Fuel economy adjusted factor'!$A$2:$F$52,5,FALSE)/$AZ$84*($AZ$15*('US Grid mix, emissions&amp;prices'!$AU$3+INDEX('Year data'!$B$3:$AC$53,MATCH('TCO Inputs'!$A151,'Year data'!$A$111:$A$161,0),MATCH('TCO Inputs'!$AZ$12+T$113-1,'Year data'!$B$110:$AC$110,0))/100)+$BA$15*('US Grid mix, emissions&amp;prices'!$AU$4+INDEX('Year data'!$B$57:$AC$107,MATCH($A151,'Year data'!$A$111:$A$161,0),MATCH('TCO Inputs'!$AZ$12+T$113-1,'Year data'!$B$110:$AC$110,0))/100))/(1+$AZ$41)^T$113</f>
        <v>530.45863532762189</v>
      </c>
      <c r="U151" s="106">
        <f>VLOOKUP($A151,'VKT US'!$B$63:$AA$113,(U$113+1),FALSE)/VLOOKUP($A151,'Fuel economy adjusted factor'!$A$2:$F$52,5,FALSE)/$AZ$84*($AZ$15*('US Grid mix, emissions&amp;prices'!$AU$3+INDEX('Year data'!$B$3:$AC$53,MATCH('TCO Inputs'!$A151,'Year data'!$A$111:$A$161,0),MATCH('TCO Inputs'!$AZ$12+U$113-1,'Year data'!$B$110:$AC$110,0))/100)+$BA$15*('US Grid mix, emissions&amp;prices'!$AU$4+INDEX('Year data'!$B$57:$AC$107,MATCH($A151,'Year data'!$A$111:$A$161,0),MATCH('TCO Inputs'!$AZ$12+U$113-1,'Year data'!$B$110:$AC$110,0))/100))/(1+$AZ$41)^U$113</f>
        <v>514.86957205276508</v>
      </c>
      <c r="V151" s="110" cm="1">
        <f t="array" ref="V151">SUMPRODUCT(INDEX(B151:U151,,_xlfn.SEQUENCE($AZ$13)))</f>
        <v>11277.885067746691</v>
      </c>
      <c r="Y151" s="102" t="s">
        <v>220</v>
      </c>
      <c r="Z151" s="106">
        <f>VLOOKUP($A151,'VKT US'!$B$63:$AA$113,(Z$113+1),FALSE)/VLOOKUP($A151,'Fuel economy adjusted factor'!$A$2:$F$52,5,FALSE)/$AZ$84</f>
        <v>4979.2169029170091</v>
      </c>
      <c r="AA151" s="106">
        <f>VLOOKUP($A151,'VKT US'!$B$63:$AA$113,(AA$113+1),FALSE)/VLOOKUP($A151,'Fuel economy adjusted factor'!$A$2:$F$52,5,FALSE)/$AZ$84</f>
        <v>4831.120067514049</v>
      </c>
      <c r="AB151" s="106">
        <f>VLOOKUP($A151,'VKT US'!$B$63:$AA$113,(AB$113+1),FALSE)/VLOOKUP($A151,'Fuel economy adjusted factor'!$A$2:$F$52,5,FALSE)/$AZ$84</f>
        <v>4687.6961905097251</v>
      </c>
      <c r="AC151" s="106">
        <f>VLOOKUP($A151,'VKT US'!$B$63:$AA$113,(AC$113+1),FALSE)/VLOOKUP($A151,'Fuel economy adjusted factor'!$A$2:$F$52,5,FALSE)/$AZ$84</f>
        <v>4549.3047302423947</v>
      </c>
      <c r="AD151" s="106">
        <f>VLOOKUP($A151,'VKT US'!$B$63:$AA$113,(AD$113+1),FALSE)/VLOOKUP($A151,'Fuel economy adjusted factor'!$A$2:$F$52,5,FALSE)/$AZ$84</f>
        <v>4415.5862283737024</v>
      </c>
      <c r="AE151" s="106">
        <f>VLOOKUP($A151,'VKT US'!$B$63:$AA$113,(AE$113+1),FALSE)/VLOOKUP($A151,'Fuel economy adjusted factor'!$A$2:$F$52,5,FALSE)/$AZ$84</f>
        <v>4287.259601580361</v>
      </c>
      <c r="AF151" s="106">
        <f>VLOOKUP($A151,'VKT US'!$B$63:$AA$113,(AF$113+1),FALSE)/VLOOKUP($A151,'Fuel economy adjusted factor'!$A$2:$F$52,5,FALSE)/$AZ$84</f>
        <v>4163.2464748472994</v>
      </c>
      <c r="AG151" s="106">
        <f>VLOOKUP($A151,'VKT US'!$B$63:$AA$113,(AG$113+1),FALSE)/VLOOKUP($A151,'Fuel economy adjusted factor'!$A$2:$F$52,5,FALSE)/$AZ$84</f>
        <v>4044.2657648512322</v>
      </c>
      <c r="AH151" s="106">
        <f>VLOOKUP($A151,'VKT US'!$B$63:$AA$113,(AH$113+1),FALSE)/VLOOKUP($A151,'Fuel economy adjusted factor'!$A$2:$F$52,5,FALSE)/$AZ$84</f>
        <v>3930.3174715921582</v>
      </c>
      <c r="AI151" s="106">
        <f>VLOOKUP($A151,'VKT US'!$B$63:$AA$113,(AI$113+1),FALSE)/VLOOKUP($A151,'Fuel economy adjusted factor'!$A$2:$F$52,5,FALSE)/$AZ$84</f>
        <v>3821.4015950700777</v>
      </c>
      <c r="AJ151" s="106">
        <f>VLOOKUP($A151,'VKT US'!$B$63:$AA$113,(AJ$113+1),FALSE)/VLOOKUP($A151,'Fuel economy adjusted factor'!$A$2:$F$52,5,FALSE)/$AZ$84</f>
        <v>3717.1586769466348</v>
      </c>
      <c r="AK151" s="106">
        <f>VLOOKUP($A151,'VKT US'!$B$63:$AA$113,(AK$113+1),FALSE)/VLOOKUP($A151,'Fuel economy adjusted factor'!$A$2:$F$52,5,FALSE)/$AZ$84</f>
        <v>3617.9481755601855</v>
      </c>
      <c r="AL151" s="106">
        <f>VLOOKUP($A151,'VKT US'!$B$63:$AA$113,(AL$113+1),FALSE)/VLOOKUP($A151,'Fuel economy adjusted factor'!$A$2:$F$52,5,FALSE)/$AZ$84</f>
        <v>3523.4106325723733</v>
      </c>
      <c r="AM151" s="106">
        <f>VLOOKUP($A151,'VKT US'!$B$63:$AA$113,(AM$113+1),FALSE)/VLOOKUP($A151,'Fuel economy adjusted factor'!$A$2:$F$52,5,FALSE)/$AZ$84</f>
        <v>3433.9055063215551</v>
      </c>
      <c r="AN151" s="106">
        <f>VLOOKUP($A151,'VKT US'!$B$63:$AA$113,(AN$113+1),FALSE)/VLOOKUP($A151,'Fuel economy adjusted factor'!$A$2:$F$52,5,FALSE)/$AZ$84</f>
        <v>3349.0733384693735</v>
      </c>
      <c r="AO151" s="106">
        <f>VLOOKUP($A151,'VKT US'!$B$63:$AA$113,(AO$113+1),FALSE)/VLOOKUP($A151,'Fuel economy adjusted factor'!$A$2:$F$52,5,FALSE)/$AZ$84</f>
        <v>3269.6330456925434</v>
      </c>
      <c r="AP151" s="106">
        <f>VLOOKUP($A151,'VKT US'!$B$63:$AA$113,(AP$113+1),FALSE)/VLOOKUP($A151,'Fuel economy adjusted factor'!$A$2:$F$52,5,FALSE)/$AZ$84</f>
        <v>3194.5062529759925</v>
      </c>
      <c r="AQ151" s="106">
        <f>VLOOKUP($A151,'VKT US'!$B$63:$AA$113,(AQ$113+1),FALSE)/VLOOKUP($A151,'Fuel economy adjusted factor'!$A$2:$F$52,5,FALSE)/$AZ$84</f>
        <v>3124.7713353347931</v>
      </c>
      <c r="AR151" s="106">
        <f>VLOOKUP($A151,'VKT US'!$B$63:$AA$113,(AR$113+1),FALSE)/VLOOKUP($A151,'Fuel economy adjusted factor'!$A$2:$F$52,5,FALSE)/$AZ$84</f>
        <v>3059.3499177538738</v>
      </c>
      <c r="AS151" s="106">
        <f>VLOOKUP($A151,'VKT US'!$B$63:$AA$113,(AS$113+1),FALSE)/VLOOKUP($A151,'Fuel economy adjusted factor'!$A$2:$F$52,5,FALSE)/$AZ$84</f>
        <v>2999.3203752483046</v>
      </c>
      <c r="AT151" s="110" cm="1">
        <f t="array" ref="AT151">SUMPRODUCT(INDEX(Z151:AS151,,_xlfn.SEQUENCE($AZ$13)))</f>
        <v>58001.838018898758</v>
      </c>
    </row>
    <row r="152" spans="1:46" x14ac:dyDescent="0.25">
      <c r="A152" s="102" t="s">
        <v>221</v>
      </c>
      <c r="B152" s="106">
        <f>VLOOKUP($A152,'VKT US'!$B$63:$AA$113,(B$113+1),FALSE)/VLOOKUP($A152,'Fuel economy adjusted factor'!$A$2:$F$52,5,FALSE)/$AZ$84*($AZ$15*('US Grid mix, emissions&amp;prices'!$AU$3+INDEX('Year data'!$B$3:$AC$53,MATCH('TCO Inputs'!$A152,'Year data'!$A$111:$A$161,0),MATCH('TCO Inputs'!$AZ$12+B$113-1,'Year data'!$B$110:$AC$110,0))/100)+$BA$15*('US Grid mix, emissions&amp;prices'!$AU$4+INDEX('Year data'!$B$57:$AC$107,MATCH($A152,'Year data'!$A$111:$A$161,0),MATCH('TCO Inputs'!$AZ$12+B$113-1,'Year data'!$B$110:$AC$110,0))/100))/(1+$AZ$41)^B$113</f>
        <v>1327.1126542021341</v>
      </c>
      <c r="C152" s="106">
        <f>VLOOKUP($A152,'VKT US'!$B$63:$AA$113,(C$113+1),FALSE)/VLOOKUP($A152,'Fuel economy adjusted factor'!$A$2:$F$52,5,FALSE)/$AZ$84*($AZ$15*('US Grid mix, emissions&amp;prices'!$AU$3+INDEX('Year data'!$B$3:$AC$53,MATCH('TCO Inputs'!$A152,'Year data'!$A$111:$A$161,0),MATCH('TCO Inputs'!$AZ$12+C$113-1,'Year data'!$B$110:$AC$110,0))/100)+$BA$15*('US Grid mix, emissions&amp;prices'!$AU$4+INDEX('Year data'!$B$57:$AC$107,MATCH($A152,'Year data'!$A$111:$A$161,0),MATCH('TCO Inputs'!$AZ$12+C$113-1,'Year data'!$B$110:$AC$110,0))/100))/(1+$AZ$41)^C$113</f>
        <v>1246.8849666176977</v>
      </c>
      <c r="D152" s="106">
        <f>VLOOKUP($A152,'VKT US'!$B$63:$AA$113,(D$113+1),FALSE)/VLOOKUP($A152,'Fuel economy adjusted factor'!$A$2:$F$52,5,FALSE)/$AZ$84*($AZ$15*('US Grid mix, emissions&amp;prices'!$AU$3+INDEX('Year data'!$B$3:$AC$53,MATCH('TCO Inputs'!$A152,'Year data'!$A$111:$A$161,0),MATCH('TCO Inputs'!$AZ$12+D$113-1,'Year data'!$B$110:$AC$110,0))/100)+$BA$15*('US Grid mix, emissions&amp;prices'!$AU$4+INDEX('Year data'!$B$57:$AC$107,MATCH($A152,'Year data'!$A$111:$A$161,0),MATCH('TCO Inputs'!$AZ$12+D$113-1,'Year data'!$B$110:$AC$110,0))/100))/(1+$AZ$41)^D$113</f>
        <v>1165.4387448197579</v>
      </c>
      <c r="E152" s="106">
        <f>VLOOKUP($A152,'VKT US'!$B$63:$AA$113,(E$113+1),FALSE)/VLOOKUP($A152,'Fuel economy adjusted factor'!$A$2:$F$52,5,FALSE)/$AZ$84*($AZ$15*('US Grid mix, emissions&amp;prices'!$AU$3+INDEX('Year data'!$B$3:$AC$53,MATCH('TCO Inputs'!$A152,'Year data'!$A$111:$A$161,0),MATCH('TCO Inputs'!$AZ$12+E$113-1,'Year data'!$B$110:$AC$110,0))/100)+$BA$15*('US Grid mix, emissions&amp;prices'!$AU$4+INDEX('Year data'!$B$57:$AC$107,MATCH($A152,'Year data'!$A$111:$A$161,0),MATCH('TCO Inputs'!$AZ$12+E$113-1,'Year data'!$B$110:$AC$110,0))/100))/(1+$AZ$41)^E$113</f>
        <v>1101.0205419103488</v>
      </c>
      <c r="F152" s="106">
        <f>VLOOKUP($A152,'VKT US'!$B$63:$AA$113,(F$113+1),FALSE)/VLOOKUP($A152,'Fuel economy adjusted factor'!$A$2:$F$52,5,FALSE)/$AZ$84*($AZ$15*('US Grid mix, emissions&amp;prices'!$AU$3+INDEX('Year data'!$B$3:$AC$53,MATCH('TCO Inputs'!$A152,'Year data'!$A$111:$A$161,0),MATCH('TCO Inputs'!$AZ$12+F$113-1,'Year data'!$B$110:$AC$110,0))/100)+$BA$15*('US Grid mix, emissions&amp;prices'!$AU$4+INDEX('Year data'!$B$57:$AC$107,MATCH($A152,'Year data'!$A$111:$A$161,0),MATCH('TCO Inputs'!$AZ$12+F$113-1,'Year data'!$B$110:$AC$110,0))/100))/(1+$AZ$41)^F$113</f>
        <v>1044.0023352093815</v>
      </c>
      <c r="G152" s="106">
        <f>VLOOKUP($A152,'VKT US'!$B$63:$AA$113,(G$113+1),FALSE)/VLOOKUP($A152,'Fuel economy adjusted factor'!$A$2:$F$52,5,FALSE)/$AZ$84*($AZ$15*('US Grid mix, emissions&amp;prices'!$AU$3+INDEX('Year data'!$B$3:$AC$53,MATCH('TCO Inputs'!$A152,'Year data'!$A$111:$A$161,0),MATCH('TCO Inputs'!$AZ$12+G$113-1,'Year data'!$B$110:$AC$110,0))/100)+$BA$15*('US Grid mix, emissions&amp;prices'!$AU$4+INDEX('Year data'!$B$57:$AC$107,MATCH($A152,'Year data'!$A$111:$A$161,0),MATCH('TCO Inputs'!$AZ$12+G$113-1,'Year data'!$B$110:$AC$110,0))/100))/(1+$AZ$41)^G$113</f>
        <v>993.42881990299509</v>
      </c>
      <c r="H152" s="106">
        <f>VLOOKUP($A152,'VKT US'!$B$63:$AA$113,(H$113+1),FALSE)/VLOOKUP($A152,'Fuel economy adjusted factor'!$A$2:$F$52,5,FALSE)/$AZ$84*($AZ$15*('US Grid mix, emissions&amp;prices'!$AU$3+INDEX('Year data'!$B$3:$AC$53,MATCH('TCO Inputs'!$A152,'Year data'!$A$111:$A$161,0),MATCH('TCO Inputs'!$AZ$12+H$113-1,'Year data'!$B$110:$AC$110,0))/100)+$BA$15*('US Grid mix, emissions&amp;prices'!$AU$4+INDEX('Year data'!$B$57:$AC$107,MATCH($A152,'Year data'!$A$111:$A$161,0),MATCH('TCO Inputs'!$AZ$12+H$113-1,'Year data'!$B$110:$AC$110,0))/100))/(1+$AZ$41)^H$113</f>
        <v>950.62440298916795</v>
      </c>
      <c r="I152" s="106">
        <f>VLOOKUP($A152,'VKT US'!$B$63:$AA$113,(I$113+1),FALSE)/VLOOKUP($A152,'Fuel economy adjusted factor'!$A$2:$F$52,5,FALSE)/$AZ$84*($AZ$15*('US Grid mix, emissions&amp;prices'!$AU$3+INDEX('Year data'!$B$3:$AC$53,MATCH('TCO Inputs'!$A152,'Year data'!$A$111:$A$161,0),MATCH('TCO Inputs'!$AZ$12+I$113-1,'Year data'!$B$110:$AC$110,0))/100)+$BA$15*('US Grid mix, emissions&amp;prices'!$AU$4+INDEX('Year data'!$B$57:$AC$107,MATCH($A152,'Year data'!$A$111:$A$161,0),MATCH('TCO Inputs'!$AZ$12+I$113-1,'Year data'!$B$110:$AC$110,0))/100))/(1+$AZ$41)^I$113</f>
        <v>913.83210776887802</v>
      </c>
      <c r="J152" s="106">
        <f>VLOOKUP($A152,'VKT US'!$B$63:$AA$113,(J$113+1),FALSE)/VLOOKUP($A152,'Fuel economy adjusted factor'!$A$2:$F$52,5,FALSE)/$AZ$84*($AZ$15*('US Grid mix, emissions&amp;prices'!$AU$3+INDEX('Year data'!$B$3:$AC$53,MATCH('TCO Inputs'!$A152,'Year data'!$A$111:$A$161,0),MATCH('TCO Inputs'!$AZ$12+J$113-1,'Year data'!$B$110:$AC$110,0))/100)+$BA$15*('US Grid mix, emissions&amp;prices'!$AU$4+INDEX('Year data'!$B$57:$AC$107,MATCH($A152,'Year data'!$A$111:$A$161,0),MATCH('TCO Inputs'!$AZ$12+J$113-1,'Year data'!$B$110:$AC$110,0))/100))/(1+$AZ$41)^J$113</f>
        <v>880.30199346155962</v>
      </c>
      <c r="K152" s="106">
        <f>VLOOKUP($A152,'VKT US'!$B$63:$AA$113,(K$113+1),FALSE)/VLOOKUP($A152,'Fuel economy adjusted factor'!$A$2:$F$52,5,FALSE)/$AZ$84*($AZ$15*('US Grid mix, emissions&amp;prices'!$AU$3+INDEX('Year data'!$B$3:$AC$53,MATCH('TCO Inputs'!$A152,'Year data'!$A$111:$A$161,0),MATCH('TCO Inputs'!$AZ$12+K$113-1,'Year data'!$B$110:$AC$110,0))/100)+$BA$15*('US Grid mix, emissions&amp;prices'!$AU$4+INDEX('Year data'!$B$57:$AC$107,MATCH($A152,'Year data'!$A$111:$A$161,0),MATCH('TCO Inputs'!$AZ$12+K$113-1,'Year data'!$B$110:$AC$110,0))/100))/(1+$AZ$41)^K$113</f>
        <v>848.11363874409039</v>
      </c>
      <c r="L152" s="106">
        <f>VLOOKUP($A152,'VKT US'!$B$63:$AA$113,(L$113+1),FALSE)/VLOOKUP($A152,'Fuel economy adjusted factor'!$A$2:$F$52,5,FALSE)/$AZ$84*($AZ$15*('US Grid mix, emissions&amp;prices'!$AU$3+INDEX('Year data'!$B$3:$AC$53,MATCH('TCO Inputs'!$A152,'Year data'!$A$111:$A$161,0),MATCH('TCO Inputs'!$AZ$12+L$113-1,'Year data'!$B$110:$AC$110,0))/100)+$BA$15*('US Grid mix, emissions&amp;prices'!$AU$4+INDEX('Year data'!$B$57:$AC$107,MATCH($A152,'Year data'!$A$111:$A$161,0),MATCH('TCO Inputs'!$AZ$12+L$113-1,'Year data'!$B$110:$AC$110,0))/100))/(1+$AZ$41)^L$113</f>
        <v>824.09771037633232</v>
      </c>
      <c r="M152" s="106">
        <f>VLOOKUP($A152,'VKT US'!$B$63:$AA$113,(M$113+1),FALSE)/VLOOKUP($A152,'Fuel economy adjusted factor'!$A$2:$F$52,5,FALSE)/$AZ$84*($AZ$15*('US Grid mix, emissions&amp;prices'!$AU$3+INDEX('Year data'!$B$3:$AC$53,MATCH('TCO Inputs'!$A152,'Year data'!$A$111:$A$161,0),MATCH('TCO Inputs'!$AZ$12+M$113-1,'Year data'!$B$110:$AC$110,0))/100)+$BA$15*('US Grid mix, emissions&amp;prices'!$AU$4+INDEX('Year data'!$B$57:$AC$107,MATCH($A152,'Year data'!$A$111:$A$161,0),MATCH('TCO Inputs'!$AZ$12+M$113-1,'Year data'!$B$110:$AC$110,0))/100))/(1+$AZ$41)^M$113</f>
        <v>799.03630100734631</v>
      </c>
      <c r="N152" s="106">
        <f>VLOOKUP($A152,'VKT US'!$B$63:$AA$113,(N$113+1),FALSE)/VLOOKUP($A152,'Fuel economy adjusted factor'!$A$2:$F$52,5,FALSE)/$AZ$84*($AZ$15*('US Grid mix, emissions&amp;prices'!$AU$3+INDEX('Year data'!$B$3:$AC$53,MATCH('TCO Inputs'!$A152,'Year data'!$A$111:$A$161,0),MATCH('TCO Inputs'!$AZ$12+N$113-1,'Year data'!$B$110:$AC$110,0))/100)+$BA$15*('US Grid mix, emissions&amp;prices'!$AU$4+INDEX('Year data'!$B$57:$AC$107,MATCH($A152,'Year data'!$A$111:$A$161,0),MATCH('TCO Inputs'!$AZ$12+N$113-1,'Year data'!$B$110:$AC$110,0))/100))/(1+$AZ$41)^N$113</f>
        <v>769.18184203049645</v>
      </c>
      <c r="O152" s="106">
        <f>VLOOKUP($A152,'VKT US'!$B$63:$AA$113,(O$113+1),FALSE)/VLOOKUP($A152,'Fuel economy adjusted factor'!$A$2:$F$52,5,FALSE)/$AZ$84*($AZ$15*('US Grid mix, emissions&amp;prices'!$AU$3+INDEX('Year data'!$B$3:$AC$53,MATCH('TCO Inputs'!$A152,'Year data'!$A$111:$A$161,0),MATCH('TCO Inputs'!$AZ$12+O$113-1,'Year data'!$B$110:$AC$110,0))/100)+$BA$15*('US Grid mix, emissions&amp;prices'!$AU$4+INDEX('Year data'!$B$57:$AC$107,MATCH($A152,'Year data'!$A$111:$A$161,0),MATCH('TCO Inputs'!$AZ$12+O$113-1,'Year data'!$B$110:$AC$110,0))/100))/(1+$AZ$41)^O$113</f>
        <v>743.92595156572418</v>
      </c>
      <c r="P152" s="106">
        <f>VLOOKUP($A152,'VKT US'!$B$63:$AA$113,(P$113+1),FALSE)/VLOOKUP($A152,'Fuel economy adjusted factor'!$A$2:$F$52,5,FALSE)/$AZ$84*($AZ$15*('US Grid mix, emissions&amp;prices'!$AU$3+INDEX('Year data'!$B$3:$AC$53,MATCH('TCO Inputs'!$A152,'Year data'!$A$111:$A$161,0),MATCH('TCO Inputs'!$AZ$12+P$113-1,'Year data'!$B$110:$AC$110,0))/100)+$BA$15*('US Grid mix, emissions&amp;prices'!$AU$4+INDEX('Year data'!$B$57:$AC$107,MATCH($A152,'Year data'!$A$111:$A$161,0),MATCH('TCO Inputs'!$AZ$12+P$113-1,'Year data'!$B$110:$AC$110,0))/100))/(1+$AZ$41)^P$113</f>
        <v>720.71664268300856</v>
      </c>
      <c r="Q152" s="106">
        <f>VLOOKUP($A152,'VKT US'!$B$63:$AA$113,(Q$113+1),FALSE)/VLOOKUP($A152,'Fuel economy adjusted factor'!$A$2:$F$52,5,FALSE)/$AZ$84*($AZ$15*('US Grid mix, emissions&amp;prices'!$AU$3+INDEX('Year data'!$B$3:$AC$53,MATCH('TCO Inputs'!$A152,'Year data'!$A$111:$A$161,0),MATCH('TCO Inputs'!$AZ$12+Q$113-1,'Year data'!$B$110:$AC$110,0))/100)+$BA$15*('US Grid mix, emissions&amp;prices'!$AU$4+INDEX('Year data'!$B$57:$AC$107,MATCH($A152,'Year data'!$A$111:$A$161,0),MATCH('TCO Inputs'!$AZ$12+Q$113-1,'Year data'!$B$110:$AC$110,0))/100))/(1+$AZ$41)^Q$113</f>
        <v>700.65799770660146</v>
      </c>
      <c r="R152" s="106">
        <f>VLOOKUP($A152,'VKT US'!$B$63:$AA$113,(R$113+1),FALSE)/VLOOKUP($A152,'Fuel economy adjusted factor'!$A$2:$F$52,5,FALSE)/$AZ$84*($AZ$15*('US Grid mix, emissions&amp;prices'!$AU$3+INDEX('Year data'!$B$3:$AC$53,MATCH('TCO Inputs'!$A152,'Year data'!$A$111:$A$161,0),MATCH('TCO Inputs'!$AZ$12+R$113-1,'Year data'!$B$110:$AC$110,0))/100)+$BA$15*('US Grid mix, emissions&amp;prices'!$AU$4+INDEX('Year data'!$B$57:$AC$107,MATCH($A152,'Year data'!$A$111:$A$161,0),MATCH('TCO Inputs'!$AZ$12+R$113-1,'Year data'!$B$110:$AC$110,0))/100))/(1+$AZ$41)^R$113</f>
        <v>680.07110501061288</v>
      </c>
      <c r="S152" s="106">
        <f>VLOOKUP($A152,'VKT US'!$B$63:$AA$113,(S$113+1),FALSE)/VLOOKUP($A152,'Fuel economy adjusted factor'!$A$2:$F$52,5,FALSE)/$AZ$84*($AZ$15*('US Grid mix, emissions&amp;prices'!$AU$3+INDEX('Year data'!$B$3:$AC$53,MATCH('TCO Inputs'!$A152,'Year data'!$A$111:$A$161,0),MATCH('TCO Inputs'!$AZ$12+S$113-1,'Year data'!$B$110:$AC$110,0))/100)+$BA$15*('US Grid mix, emissions&amp;prices'!$AU$4+INDEX('Year data'!$B$57:$AC$107,MATCH($A152,'Year data'!$A$111:$A$161,0),MATCH('TCO Inputs'!$AZ$12+S$113-1,'Year data'!$B$110:$AC$110,0))/100))/(1+$AZ$41)^S$113</f>
        <v>660.75857138583456</v>
      </c>
      <c r="T152" s="106">
        <f>VLOOKUP($A152,'VKT US'!$B$63:$AA$113,(T$113+1),FALSE)/VLOOKUP($A152,'Fuel economy adjusted factor'!$A$2:$F$52,5,FALSE)/$AZ$84*($AZ$15*('US Grid mix, emissions&amp;prices'!$AU$3+INDEX('Year data'!$B$3:$AC$53,MATCH('TCO Inputs'!$A152,'Year data'!$A$111:$A$161,0),MATCH('TCO Inputs'!$AZ$12+T$113-1,'Year data'!$B$110:$AC$110,0))/100)+$BA$15*('US Grid mix, emissions&amp;prices'!$AU$4+INDEX('Year data'!$B$57:$AC$107,MATCH($A152,'Year data'!$A$111:$A$161,0),MATCH('TCO Inputs'!$AZ$12+T$113-1,'Year data'!$B$110:$AC$110,0))/100))/(1+$AZ$41)^T$113</f>
        <v>641.88319036596602</v>
      </c>
      <c r="U152" s="106">
        <f>VLOOKUP($A152,'VKT US'!$B$63:$AA$113,(U$113+1),FALSE)/VLOOKUP($A152,'Fuel economy adjusted factor'!$A$2:$F$52,5,FALSE)/$AZ$84*($AZ$15*('US Grid mix, emissions&amp;prices'!$AU$3+INDEX('Year data'!$B$3:$AC$53,MATCH('TCO Inputs'!$A152,'Year data'!$A$111:$A$161,0),MATCH('TCO Inputs'!$AZ$12+U$113-1,'Year data'!$B$110:$AC$110,0))/100)+$BA$15*('US Grid mix, emissions&amp;prices'!$AU$4+INDEX('Year data'!$B$57:$AC$107,MATCH($A152,'Year data'!$A$111:$A$161,0),MATCH('TCO Inputs'!$AZ$12+U$113-1,'Year data'!$B$110:$AC$110,0))/100))/(1+$AZ$41)^U$113</f>
        <v>623.14422489202798</v>
      </c>
      <c r="V152" s="110" cm="1">
        <f t="array" ref="V152">SUMPRODUCT(INDEX(B152:U152,,_xlfn.SEQUENCE($AZ$13)))</f>
        <v>13607.002010605915</v>
      </c>
      <c r="Y152" s="102" t="s">
        <v>221</v>
      </c>
      <c r="Z152" s="106">
        <f>VLOOKUP($A152,'VKT US'!$B$63:$AA$113,(Z$113+1),FALSE)/VLOOKUP($A152,'Fuel economy adjusted factor'!$A$2:$F$52,5,FALSE)/$AZ$84</f>
        <v>4277.4590384183339</v>
      </c>
      <c r="AA152" s="106">
        <f>VLOOKUP($A152,'VKT US'!$B$63:$AA$113,(AA$113+1),FALSE)/VLOOKUP($A152,'Fuel economy adjusted factor'!$A$2:$F$52,5,FALSE)/$AZ$84</f>
        <v>4150.2345853553561</v>
      </c>
      <c r="AB152" s="106">
        <f>VLOOKUP($A152,'VKT US'!$B$63:$AA$113,(AB$113+1),FALSE)/VLOOKUP($A152,'Fuel economy adjusted factor'!$A$2:$F$52,5,FALSE)/$AZ$84</f>
        <v>4027.0244961026192</v>
      </c>
      <c r="AC152" s="106">
        <f>VLOOKUP($A152,'VKT US'!$B$63:$AA$113,(AC$113+1),FALSE)/VLOOKUP($A152,'Fuel economy adjusted factor'!$A$2:$F$52,5,FALSE)/$AZ$84</f>
        <v>3908.1375678762943</v>
      </c>
      <c r="AD152" s="106">
        <f>VLOOKUP($A152,'VKT US'!$B$63:$AA$113,(AD$113+1),FALSE)/VLOOKUP($A152,'Fuel economy adjusted factor'!$A$2:$F$52,5,FALSE)/$AZ$84</f>
        <v>3793.2650034602084</v>
      </c>
      <c r="AE152" s="106">
        <f>VLOOKUP($A152,'VKT US'!$B$63:$AA$113,(AE$113+1),FALSE)/VLOOKUP($A152,'Fuel economy adjusted factor'!$A$2:$F$52,5,FALSE)/$AZ$84</f>
        <v>3683.0243972867065</v>
      </c>
      <c r="AF152" s="106">
        <f>VLOOKUP($A152,'VKT US'!$B$63:$AA$113,(AF$113+1),FALSE)/VLOOKUP($A152,'Fuel economy adjusted factor'!$A$2:$F$52,5,FALSE)/$AZ$84</f>
        <v>3576.4893577072726</v>
      </c>
      <c r="AG152" s="106">
        <f>VLOOKUP($A152,'VKT US'!$B$63:$AA$113,(AG$113+1),FALSE)/VLOOKUP($A152,'Fuel economy adjusted factor'!$A$2:$F$52,5,FALSE)/$AZ$84</f>
        <v>3474.2774791542502</v>
      </c>
      <c r="AH152" s="106">
        <f>VLOOKUP($A152,'VKT US'!$B$63:$AA$113,(AH$113+1),FALSE)/VLOOKUP($A152,'Fuel economy adjusted factor'!$A$2:$F$52,5,FALSE)/$AZ$84</f>
        <v>3376.3887616276384</v>
      </c>
      <c r="AI152" s="106">
        <f>VLOOKUP($A152,'VKT US'!$B$63:$AA$113,(AI$113+1),FALSE)/VLOOKUP($A152,'Fuel economy adjusted factor'!$A$2:$F$52,5,FALSE)/$AZ$84</f>
        <v>3282.8232051274399</v>
      </c>
      <c r="AJ152" s="106">
        <f>VLOOKUP($A152,'VKT US'!$B$63:$AA$113,(AJ$113+1),FALSE)/VLOOKUP($A152,'Fuel economy adjusted factor'!$A$2:$F$52,5,FALSE)/$AZ$84</f>
        <v>3193.2720124374805</v>
      </c>
      <c r="AK152" s="106">
        <f>VLOOKUP($A152,'VKT US'!$B$63:$AA$113,(AK$113+1),FALSE)/VLOOKUP($A152,'Fuel economy adjusted factor'!$A$2:$F$52,5,FALSE)/$AZ$84</f>
        <v>3108.0439807739335</v>
      </c>
      <c r="AL152" s="106">
        <f>VLOOKUP($A152,'VKT US'!$B$63:$AA$113,(AL$113+1),FALSE)/VLOOKUP($A152,'Fuel economy adjusted factor'!$A$2:$F$52,5,FALSE)/$AZ$84</f>
        <v>3026.8303129206256</v>
      </c>
      <c r="AM152" s="106">
        <f>VLOOKUP($A152,'VKT US'!$B$63:$AA$113,(AM$113+1),FALSE)/VLOOKUP($A152,'Fuel economy adjusted factor'!$A$2:$F$52,5,FALSE)/$AZ$84</f>
        <v>2949.9398060937292</v>
      </c>
      <c r="AN152" s="106">
        <f>VLOOKUP($A152,'VKT US'!$B$63:$AA$113,(AN$113+1),FALSE)/VLOOKUP($A152,'Fuel economy adjusted factor'!$A$2:$F$52,5,FALSE)/$AZ$84</f>
        <v>2877.0636630770728</v>
      </c>
      <c r="AO152" s="106">
        <f>VLOOKUP($A152,'VKT US'!$B$63:$AA$113,(AO$113+1),FALSE)/VLOOKUP($A152,'Fuel economy adjusted factor'!$A$2:$F$52,5,FALSE)/$AZ$84</f>
        <v>2808.8194783029999</v>
      </c>
      <c r="AP152" s="106">
        <f>VLOOKUP($A152,'VKT US'!$B$63:$AA$113,(AP$113+1),FALSE)/VLOOKUP($A152,'Fuel economy adjusted factor'!$A$2:$F$52,5,FALSE)/$AZ$84</f>
        <v>2744.2808601229949</v>
      </c>
      <c r="AQ152" s="106">
        <f>VLOOKUP($A152,'VKT US'!$B$63:$AA$113,(AQ$113+1),FALSE)/VLOOKUP($A152,'Fuel economy adjusted factor'!$A$2:$F$52,5,FALSE)/$AZ$84</f>
        <v>2684.374200185574</v>
      </c>
      <c r="AR152" s="106">
        <f>VLOOKUP($A152,'VKT US'!$B$63:$AA$113,(AR$113+1),FALSE)/VLOOKUP($A152,'Fuel economy adjusted factor'!$A$2:$F$52,5,FALSE)/$AZ$84</f>
        <v>2628.17310684222</v>
      </c>
      <c r="AS152" s="106">
        <f>VLOOKUP($A152,'VKT US'!$B$63:$AA$113,(AS$113+1),FALSE)/VLOOKUP($A152,'Fuel economy adjusted factor'!$A$2:$F$52,5,FALSE)/$AZ$84</f>
        <v>2576.6039717414506</v>
      </c>
      <c r="AT152" s="110" cm="1">
        <f t="array" ref="AT152">SUMPRODUCT(INDEX(Z152:AS152,,_xlfn.SEQUENCE($AZ$13)))</f>
        <v>49827.21000434189</v>
      </c>
    </row>
    <row r="153" spans="1:46" x14ac:dyDescent="0.25">
      <c r="A153" s="102" t="s">
        <v>222</v>
      </c>
      <c r="B153" s="106">
        <f>VLOOKUP($A153,'VKT US'!$B$63:$AA$113,(B$113+1),FALSE)/VLOOKUP($A153,'Fuel economy adjusted factor'!$A$2:$F$52,5,FALSE)/$AZ$84*($AZ$15*('US Grid mix, emissions&amp;prices'!$AU$3+INDEX('Year data'!$B$3:$AC$53,MATCH('TCO Inputs'!$A153,'Year data'!$A$111:$A$161,0),MATCH('TCO Inputs'!$AZ$12+B$113-1,'Year data'!$B$110:$AC$110,0))/100)+$BA$15*('US Grid mix, emissions&amp;prices'!$AU$4+INDEX('Year data'!$B$57:$AC$107,MATCH($A153,'Year data'!$A$111:$A$161,0),MATCH('TCO Inputs'!$AZ$12+B$113-1,'Year data'!$B$110:$AC$110,0))/100))/(1+$AZ$41)^B$113</f>
        <v>1162.5402323988208</v>
      </c>
      <c r="C153" s="106">
        <f>VLOOKUP($A153,'VKT US'!$B$63:$AA$113,(C$113+1),FALSE)/VLOOKUP($A153,'Fuel economy adjusted factor'!$A$2:$F$52,5,FALSE)/$AZ$84*($AZ$15*('US Grid mix, emissions&amp;prices'!$AU$3+INDEX('Year data'!$B$3:$AC$53,MATCH('TCO Inputs'!$A153,'Year data'!$A$111:$A$161,0),MATCH('TCO Inputs'!$AZ$12+C$113-1,'Year data'!$B$110:$AC$110,0))/100)+$BA$15*('US Grid mix, emissions&amp;prices'!$AU$4+INDEX('Year data'!$B$57:$AC$107,MATCH($A153,'Year data'!$A$111:$A$161,0),MATCH('TCO Inputs'!$AZ$12+C$113-1,'Year data'!$B$110:$AC$110,0))/100))/(1+$AZ$41)^C$113</f>
        <v>1095.1813052886873</v>
      </c>
      <c r="D153" s="106">
        <f>VLOOKUP($A153,'VKT US'!$B$63:$AA$113,(D$113+1),FALSE)/VLOOKUP($A153,'Fuel economy adjusted factor'!$A$2:$F$52,5,FALSE)/$AZ$84*($AZ$15*('US Grid mix, emissions&amp;prices'!$AU$3+INDEX('Year data'!$B$3:$AC$53,MATCH('TCO Inputs'!$A153,'Year data'!$A$111:$A$161,0),MATCH('TCO Inputs'!$AZ$12+D$113-1,'Year data'!$B$110:$AC$110,0))/100)+$BA$15*('US Grid mix, emissions&amp;prices'!$AU$4+INDEX('Year data'!$B$57:$AC$107,MATCH($A153,'Year data'!$A$111:$A$161,0),MATCH('TCO Inputs'!$AZ$12+D$113-1,'Year data'!$B$110:$AC$110,0))/100))/(1+$AZ$41)^D$113</f>
        <v>1027.6280204157861</v>
      </c>
      <c r="E153" s="106">
        <f>VLOOKUP($A153,'VKT US'!$B$63:$AA$113,(E$113+1),FALSE)/VLOOKUP($A153,'Fuel economy adjusted factor'!$A$2:$F$52,5,FALSE)/$AZ$84*($AZ$15*('US Grid mix, emissions&amp;prices'!$AU$3+INDEX('Year data'!$B$3:$AC$53,MATCH('TCO Inputs'!$A153,'Year data'!$A$111:$A$161,0),MATCH('TCO Inputs'!$AZ$12+E$113-1,'Year data'!$B$110:$AC$110,0))/100)+$BA$15*('US Grid mix, emissions&amp;prices'!$AU$4+INDEX('Year data'!$B$57:$AC$107,MATCH($A153,'Year data'!$A$111:$A$161,0),MATCH('TCO Inputs'!$AZ$12+E$113-1,'Year data'!$B$110:$AC$110,0))/100))/(1+$AZ$41)^E$113</f>
        <v>973.10944503364362</v>
      </c>
      <c r="F153" s="106">
        <f>VLOOKUP($A153,'VKT US'!$B$63:$AA$113,(F$113+1),FALSE)/VLOOKUP($A153,'Fuel economy adjusted factor'!$A$2:$F$52,5,FALSE)/$AZ$84*($AZ$15*('US Grid mix, emissions&amp;prices'!$AU$3+INDEX('Year data'!$B$3:$AC$53,MATCH('TCO Inputs'!$A153,'Year data'!$A$111:$A$161,0),MATCH('TCO Inputs'!$AZ$12+F$113-1,'Year data'!$B$110:$AC$110,0))/100)+$BA$15*('US Grid mix, emissions&amp;prices'!$AU$4+INDEX('Year data'!$B$57:$AC$107,MATCH($A153,'Year data'!$A$111:$A$161,0),MATCH('TCO Inputs'!$AZ$12+F$113-1,'Year data'!$B$110:$AC$110,0))/100))/(1+$AZ$41)^F$113</f>
        <v>924.408957979045</v>
      </c>
      <c r="G153" s="106">
        <f>VLOOKUP($A153,'VKT US'!$B$63:$AA$113,(G$113+1),FALSE)/VLOOKUP($A153,'Fuel economy adjusted factor'!$A$2:$F$52,5,FALSE)/$AZ$84*($AZ$15*('US Grid mix, emissions&amp;prices'!$AU$3+INDEX('Year data'!$B$3:$AC$53,MATCH('TCO Inputs'!$A153,'Year data'!$A$111:$A$161,0),MATCH('TCO Inputs'!$AZ$12+G$113-1,'Year data'!$B$110:$AC$110,0))/100)+$BA$15*('US Grid mix, emissions&amp;prices'!$AU$4+INDEX('Year data'!$B$57:$AC$107,MATCH($A153,'Year data'!$A$111:$A$161,0),MATCH('TCO Inputs'!$AZ$12+G$113-1,'Year data'!$B$110:$AC$110,0))/100))/(1+$AZ$41)^G$113</f>
        <v>880.73358506659417</v>
      </c>
      <c r="H153" s="106">
        <f>VLOOKUP($A153,'VKT US'!$B$63:$AA$113,(H$113+1),FALSE)/VLOOKUP($A153,'Fuel economy adjusted factor'!$A$2:$F$52,5,FALSE)/$AZ$84*($AZ$15*('US Grid mix, emissions&amp;prices'!$AU$3+INDEX('Year data'!$B$3:$AC$53,MATCH('TCO Inputs'!$A153,'Year data'!$A$111:$A$161,0),MATCH('TCO Inputs'!$AZ$12+H$113-1,'Year data'!$B$110:$AC$110,0))/100)+$BA$15*('US Grid mix, emissions&amp;prices'!$AU$4+INDEX('Year data'!$B$57:$AC$107,MATCH($A153,'Year data'!$A$111:$A$161,0),MATCH('TCO Inputs'!$AZ$12+H$113-1,'Year data'!$B$110:$AC$110,0))/100))/(1+$AZ$41)^H$113</f>
        <v>843.07332187345662</v>
      </c>
      <c r="I153" s="106">
        <f>VLOOKUP($A153,'VKT US'!$B$63:$AA$113,(I$113+1),FALSE)/VLOOKUP($A153,'Fuel economy adjusted factor'!$A$2:$F$52,5,FALSE)/$AZ$84*($AZ$15*('US Grid mix, emissions&amp;prices'!$AU$3+INDEX('Year data'!$B$3:$AC$53,MATCH('TCO Inputs'!$A153,'Year data'!$A$111:$A$161,0),MATCH('TCO Inputs'!$AZ$12+I$113-1,'Year data'!$B$110:$AC$110,0))/100)+$BA$15*('US Grid mix, emissions&amp;prices'!$AU$4+INDEX('Year data'!$B$57:$AC$107,MATCH($A153,'Year data'!$A$111:$A$161,0),MATCH('TCO Inputs'!$AZ$12+I$113-1,'Year data'!$B$110:$AC$110,0))/100))/(1+$AZ$41)^I$113</f>
        <v>810.15836395162637</v>
      </c>
      <c r="J153" s="106">
        <f>VLOOKUP($A153,'VKT US'!$B$63:$AA$113,(J$113+1),FALSE)/VLOOKUP($A153,'Fuel economy adjusted factor'!$A$2:$F$52,5,FALSE)/$AZ$84*($AZ$15*('US Grid mix, emissions&amp;prices'!$AU$3+INDEX('Year data'!$B$3:$AC$53,MATCH('TCO Inputs'!$A153,'Year data'!$A$111:$A$161,0),MATCH('TCO Inputs'!$AZ$12+J$113-1,'Year data'!$B$110:$AC$110,0))/100)+$BA$15*('US Grid mix, emissions&amp;prices'!$AU$4+INDEX('Year data'!$B$57:$AC$107,MATCH($A153,'Year data'!$A$111:$A$161,0),MATCH('TCO Inputs'!$AZ$12+J$113-1,'Year data'!$B$110:$AC$110,0))/100))/(1+$AZ$41)^J$113</f>
        <v>779.89239853912204</v>
      </c>
      <c r="K153" s="106">
        <f>VLOOKUP($A153,'VKT US'!$B$63:$AA$113,(K$113+1),FALSE)/VLOOKUP($A153,'Fuel economy adjusted factor'!$A$2:$F$52,5,FALSE)/$AZ$84*($AZ$15*('US Grid mix, emissions&amp;prices'!$AU$3+INDEX('Year data'!$B$3:$AC$53,MATCH('TCO Inputs'!$A153,'Year data'!$A$111:$A$161,0),MATCH('TCO Inputs'!$AZ$12+K$113-1,'Year data'!$B$110:$AC$110,0))/100)+$BA$15*('US Grid mix, emissions&amp;prices'!$AU$4+INDEX('Year data'!$B$57:$AC$107,MATCH($A153,'Year data'!$A$111:$A$161,0),MATCH('TCO Inputs'!$AZ$12+K$113-1,'Year data'!$B$110:$AC$110,0))/100))/(1+$AZ$41)^K$113</f>
        <v>750.90175049796369</v>
      </c>
      <c r="L153" s="106">
        <f>VLOOKUP($A153,'VKT US'!$B$63:$AA$113,(L$113+1),FALSE)/VLOOKUP($A153,'Fuel economy adjusted factor'!$A$2:$F$52,5,FALSE)/$AZ$84*($AZ$15*('US Grid mix, emissions&amp;prices'!$AU$3+INDEX('Year data'!$B$3:$AC$53,MATCH('TCO Inputs'!$A153,'Year data'!$A$111:$A$161,0),MATCH('TCO Inputs'!$AZ$12+L$113-1,'Year data'!$B$110:$AC$110,0))/100)+$BA$15*('US Grid mix, emissions&amp;prices'!$AU$4+INDEX('Year data'!$B$57:$AC$107,MATCH($A153,'Year data'!$A$111:$A$161,0),MATCH('TCO Inputs'!$AZ$12+L$113-1,'Year data'!$B$110:$AC$110,0))/100))/(1+$AZ$41)^L$113</f>
        <v>728.20517293882403</v>
      </c>
      <c r="M153" s="106">
        <f>VLOOKUP($A153,'VKT US'!$B$63:$AA$113,(M$113+1),FALSE)/VLOOKUP($A153,'Fuel economy adjusted factor'!$A$2:$F$52,5,FALSE)/$AZ$84*($AZ$15*('US Grid mix, emissions&amp;prices'!$AU$3+INDEX('Year data'!$B$3:$AC$53,MATCH('TCO Inputs'!$A153,'Year data'!$A$111:$A$161,0),MATCH('TCO Inputs'!$AZ$12+M$113-1,'Year data'!$B$110:$AC$110,0))/100)+$BA$15*('US Grid mix, emissions&amp;prices'!$AU$4+INDEX('Year data'!$B$57:$AC$107,MATCH($A153,'Year data'!$A$111:$A$161,0),MATCH('TCO Inputs'!$AZ$12+M$113-1,'Year data'!$B$110:$AC$110,0))/100))/(1+$AZ$41)^M$113</f>
        <v>705.01032523373931</v>
      </c>
      <c r="N153" s="106">
        <f>VLOOKUP($A153,'VKT US'!$B$63:$AA$113,(N$113+1),FALSE)/VLOOKUP($A153,'Fuel economy adjusted factor'!$A$2:$F$52,5,FALSE)/$AZ$84*($AZ$15*('US Grid mix, emissions&amp;prices'!$AU$3+INDEX('Year data'!$B$3:$AC$53,MATCH('TCO Inputs'!$A153,'Year data'!$A$111:$A$161,0),MATCH('TCO Inputs'!$AZ$12+N$113-1,'Year data'!$B$110:$AC$110,0))/100)+$BA$15*('US Grid mix, emissions&amp;prices'!$AU$4+INDEX('Year data'!$B$57:$AC$107,MATCH($A153,'Year data'!$A$111:$A$161,0),MATCH('TCO Inputs'!$AZ$12+N$113-1,'Year data'!$B$110:$AC$110,0))/100))/(1+$AZ$41)^N$113</f>
        <v>678.57048964955345</v>
      </c>
      <c r="O153" s="106">
        <f>VLOOKUP($A153,'VKT US'!$B$63:$AA$113,(O$113+1),FALSE)/VLOOKUP($A153,'Fuel economy adjusted factor'!$A$2:$F$52,5,FALSE)/$AZ$84*($AZ$15*('US Grid mix, emissions&amp;prices'!$AU$3+INDEX('Year data'!$B$3:$AC$53,MATCH('TCO Inputs'!$A153,'Year data'!$A$111:$A$161,0),MATCH('TCO Inputs'!$AZ$12+O$113-1,'Year data'!$B$110:$AC$110,0))/100)+$BA$15*('US Grid mix, emissions&amp;prices'!$AU$4+INDEX('Year data'!$B$57:$AC$107,MATCH($A153,'Year data'!$A$111:$A$161,0),MATCH('TCO Inputs'!$AZ$12+O$113-1,'Year data'!$B$110:$AC$110,0))/100))/(1+$AZ$41)^O$113</f>
        <v>655.75989548262953</v>
      </c>
      <c r="P153" s="106">
        <f>VLOOKUP($A153,'VKT US'!$B$63:$AA$113,(P$113+1),FALSE)/VLOOKUP($A153,'Fuel economy adjusted factor'!$A$2:$F$52,5,FALSE)/$AZ$84*($AZ$15*('US Grid mix, emissions&amp;prices'!$AU$3+INDEX('Year data'!$B$3:$AC$53,MATCH('TCO Inputs'!$A153,'Year data'!$A$111:$A$161,0),MATCH('TCO Inputs'!$AZ$12+P$113-1,'Year data'!$B$110:$AC$110,0))/100)+$BA$15*('US Grid mix, emissions&amp;prices'!$AU$4+INDEX('Year data'!$B$57:$AC$107,MATCH($A153,'Year data'!$A$111:$A$161,0),MATCH('TCO Inputs'!$AZ$12+P$113-1,'Year data'!$B$110:$AC$110,0))/100))/(1+$AZ$41)^P$113</f>
        <v>634.66903145386607</v>
      </c>
      <c r="Q153" s="106">
        <f>VLOOKUP($A153,'VKT US'!$B$63:$AA$113,(Q$113+1),FALSE)/VLOOKUP($A153,'Fuel economy adjusted factor'!$A$2:$F$52,5,FALSE)/$AZ$84*($AZ$15*('US Grid mix, emissions&amp;prices'!$AU$3+INDEX('Year data'!$B$3:$AC$53,MATCH('TCO Inputs'!$A153,'Year data'!$A$111:$A$161,0),MATCH('TCO Inputs'!$AZ$12+Q$113-1,'Year data'!$B$110:$AC$110,0))/100)+$BA$15*('US Grid mix, emissions&amp;prices'!$AU$4+INDEX('Year data'!$B$57:$AC$107,MATCH($A153,'Year data'!$A$111:$A$161,0),MATCH('TCO Inputs'!$AZ$12+Q$113-1,'Year data'!$B$110:$AC$110,0))/100))/(1+$AZ$41)^Q$113</f>
        <v>616.16161604166371</v>
      </c>
      <c r="R153" s="106">
        <f>VLOOKUP($A153,'VKT US'!$B$63:$AA$113,(R$113+1),FALSE)/VLOOKUP($A153,'Fuel economy adjusted factor'!$A$2:$F$52,5,FALSE)/$AZ$84*($AZ$15*('US Grid mix, emissions&amp;prices'!$AU$3+INDEX('Year data'!$B$3:$AC$53,MATCH('TCO Inputs'!$A153,'Year data'!$A$111:$A$161,0),MATCH('TCO Inputs'!$AZ$12+R$113-1,'Year data'!$B$110:$AC$110,0))/100)+$BA$15*('US Grid mix, emissions&amp;prices'!$AU$4+INDEX('Year data'!$B$57:$AC$107,MATCH($A153,'Year data'!$A$111:$A$161,0),MATCH('TCO Inputs'!$AZ$12+R$113-1,'Year data'!$B$110:$AC$110,0))/100))/(1+$AZ$41)^R$113</f>
        <v>597.48658556037344</v>
      </c>
      <c r="S153" s="106">
        <f>VLOOKUP($A153,'VKT US'!$B$63:$AA$113,(S$113+1),FALSE)/VLOOKUP($A153,'Fuel economy adjusted factor'!$A$2:$F$52,5,FALSE)/$AZ$84*($AZ$15*('US Grid mix, emissions&amp;prices'!$AU$3+INDEX('Year data'!$B$3:$AC$53,MATCH('TCO Inputs'!$A153,'Year data'!$A$111:$A$161,0),MATCH('TCO Inputs'!$AZ$12+S$113-1,'Year data'!$B$110:$AC$110,0))/100)+$BA$15*('US Grid mix, emissions&amp;prices'!$AU$4+INDEX('Year data'!$B$57:$AC$107,MATCH($A153,'Year data'!$A$111:$A$161,0),MATCH('TCO Inputs'!$AZ$12+S$113-1,'Year data'!$B$110:$AC$110,0))/100))/(1+$AZ$41)^S$113</f>
        <v>579.96958246557779</v>
      </c>
      <c r="T153" s="106">
        <f>VLOOKUP($A153,'VKT US'!$B$63:$AA$113,(T$113+1),FALSE)/VLOOKUP($A153,'Fuel economy adjusted factor'!$A$2:$F$52,5,FALSE)/$AZ$84*($AZ$15*('US Grid mix, emissions&amp;prices'!$AU$3+INDEX('Year data'!$B$3:$AC$53,MATCH('TCO Inputs'!$A153,'Year data'!$A$111:$A$161,0),MATCH('TCO Inputs'!$AZ$12+T$113-1,'Year data'!$B$110:$AC$110,0))/100)+$BA$15*('US Grid mix, emissions&amp;prices'!$AU$4+INDEX('Year data'!$B$57:$AC$107,MATCH($A153,'Year data'!$A$111:$A$161,0),MATCH('TCO Inputs'!$AZ$12+T$113-1,'Year data'!$B$110:$AC$110,0))/100))/(1+$AZ$41)^T$113</f>
        <v>562.97994568438162</v>
      </c>
      <c r="U153" s="106">
        <f>VLOOKUP($A153,'VKT US'!$B$63:$AA$113,(U$113+1),FALSE)/VLOOKUP($A153,'Fuel economy adjusted factor'!$A$2:$F$52,5,FALSE)/$AZ$84*($AZ$15*('US Grid mix, emissions&amp;prices'!$AU$3+INDEX('Year data'!$B$3:$AC$53,MATCH('TCO Inputs'!$A153,'Year data'!$A$111:$A$161,0),MATCH('TCO Inputs'!$AZ$12+U$113-1,'Year data'!$B$110:$AC$110,0))/100)+$BA$15*('US Grid mix, emissions&amp;prices'!$AU$4+INDEX('Year data'!$B$57:$AC$107,MATCH($A153,'Year data'!$A$111:$A$161,0),MATCH('TCO Inputs'!$AZ$12+U$113-1,'Year data'!$B$110:$AC$110,0))/100))/(1+$AZ$41)^U$113</f>
        <v>546.3137497496042</v>
      </c>
      <c r="V153" s="110" cm="1">
        <f t="array" ref="V153">SUMPRODUCT(INDEX(B153:U153,,_xlfn.SEQUENCE($AZ$13)))</f>
        <v>12015.173264349492</v>
      </c>
      <c r="Y153" s="102" t="s">
        <v>222</v>
      </c>
      <c r="Z153" s="106">
        <f>VLOOKUP($A153,'VKT US'!$B$63:$AA$113,(Z$113+1),FALSE)/VLOOKUP($A153,'Fuel economy adjusted factor'!$A$2:$F$52,5,FALSE)/$AZ$84</f>
        <v>5899.552505265</v>
      </c>
      <c r="AA153" s="106">
        <f>VLOOKUP($A153,'VKT US'!$B$63:$AA$113,(AA$113+1),FALSE)/VLOOKUP($A153,'Fuel economy adjusted factor'!$A$2:$F$52,5,FALSE)/$AZ$84</f>
        <v>5724.0821304332649</v>
      </c>
      <c r="AB153" s="106">
        <f>VLOOKUP($A153,'VKT US'!$B$63:$AA$113,(AB$113+1),FALSE)/VLOOKUP($A153,'Fuel economy adjusted factor'!$A$2:$F$52,5,FALSE)/$AZ$84</f>
        <v>5554.1484421860278</v>
      </c>
      <c r="AC153" s="106">
        <f>VLOOKUP($A153,'VKT US'!$B$63:$AA$113,(AC$113+1),FALSE)/VLOOKUP($A153,'Fuel economy adjusted factor'!$A$2:$F$52,5,FALSE)/$AZ$84</f>
        <v>5390.1773394913243</v>
      </c>
      <c r="AD153" s="106">
        <f>VLOOKUP($A153,'VKT US'!$B$63:$AA$113,(AD$113+1),FALSE)/VLOOKUP($A153,'Fuel economy adjusted factor'!$A$2:$F$52,5,FALSE)/$AZ$84</f>
        <v>5231.7429233811172</v>
      </c>
      <c r="AE153" s="106">
        <f>VLOOKUP($A153,'VKT US'!$B$63:$AA$113,(AE$113+1),FALSE)/VLOOKUP($A153,'Fuel economy adjusted factor'!$A$2:$F$52,5,FALSE)/$AZ$84</f>
        <v>5079.6969917914848</v>
      </c>
      <c r="AF153" s="106">
        <f>VLOOKUP($A153,'VKT US'!$B$63:$AA$113,(AF$113+1),FALSE)/VLOOKUP($A153,'Fuel economy adjusted factor'!$A$2:$F$52,5,FALSE)/$AZ$84</f>
        <v>4932.7618478183094</v>
      </c>
      <c r="AG153" s="106">
        <f>VLOOKUP($A153,'VKT US'!$B$63:$AA$113,(AG$113+1),FALSE)/VLOOKUP($A153,'Fuel economy adjusted factor'!$A$2:$F$52,5,FALSE)/$AZ$84</f>
        <v>4791.7892893976696</v>
      </c>
      <c r="AH153" s="106">
        <f>VLOOKUP($A153,'VKT US'!$B$63:$AA$113,(AH$113+1),FALSE)/VLOOKUP($A153,'Fuel economy adjusted factor'!$A$2:$F$52,5,FALSE)/$AZ$84</f>
        <v>4656.7793165295625</v>
      </c>
      <c r="AI153" s="106">
        <f>VLOOKUP($A153,'VKT US'!$B$63:$AA$113,(AI$113+1),FALSE)/VLOOKUP($A153,'Fuel economy adjusted factor'!$A$2:$F$52,5,FALSE)/$AZ$84</f>
        <v>4527.731929213991</v>
      </c>
      <c r="AJ153" s="106">
        <f>VLOOKUP($A153,'VKT US'!$B$63:$AA$113,(AJ$113+1),FALSE)/VLOOKUP($A153,'Fuel economy adjusted factor'!$A$2:$F$52,5,FALSE)/$AZ$84</f>
        <v>4404.2212284829166</v>
      </c>
      <c r="AK153" s="106">
        <f>VLOOKUP($A153,'VKT US'!$B$63:$AA$113,(AK$113+1),FALSE)/VLOOKUP($A153,'Fuel economy adjusted factor'!$A$2:$F$52,5,FALSE)/$AZ$84</f>
        <v>4286.6731133043759</v>
      </c>
      <c r="AL153" s="106">
        <f>VLOOKUP($A153,'VKT US'!$B$63:$AA$113,(AL$113+1),FALSE)/VLOOKUP($A153,'Fuel economy adjusted factor'!$A$2:$F$52,5,FALSE)/$AZ$84</f>
        <v>4174.6616847103332</v>
      </c>
      <c r="AM153" s="106">
        <f>VLOOKUP($A153,'VKT US'!$B$63:$AA$113,(AM$113+1),FALSE)/VLOOKUP($A153,'Fuel economy adjusted factor'!$A$2:$F$52,5,FALSE)/$AZ$84</f>
        <v>4068.6128416688234</v>
      </c>
      <c r="AN153" s="106">
        <f>VLOOKUP($A153,'VKT US'!$B$63:$AA$113,(AN$113+1),FALSE)/VLOOKUP($A153,'Fuel economy adjusted factor'!$A$2:$F$52,5,FALSE)/$AZ$84</f>
        <v>3968.1006852118107</v>
      </c>
      <c r="AO153" s="106">
        <f>VLOOKUP($A153,'VKT US'!$B$63:$AA$113,(AO$113+1),FALSE)/VLOOKUP($A153,'Fuel economy adjusted factor'!$A$2:$F$52,5,FALSE)/$AZ$84</f>
        <v>3873.9770132753706</v>
      </c>
      <c r="AP153" s="106">
        <f>VLOOKUP($A153,'VKT US'!$B$63:$AA$113,(AP$113+1),FALSE)/VLOOKUP($A153,'Fuel economy adjusted factor'!$A$2:$F$52,5,FALSE)/$AZ$84</f>
        <v>3784.9641289553883</v>
      </c>
      <c r="AQ153" s="106">
        <f>VLOOKUP($A153,'VKT US'!$B$63:$AA$113,(AQ$113+1),FALSE)/VLOOKUP($A153,'Fuel economy adjusted factor'!$A$2:$F$52,5,FALSE)/$AZ$84</f>
        <v>3702.33972915598</v>
      </c>
      <c r="AR153" s="106">
        <f>VLOOKUP($A153,'VKT US'!$B$63:$AA$113,(AR$113+1),FALSE)/VLOOKUP($A153,'Fuel economy adjusted factor'!$A$2:$F$52,5,FALSE)/$AZ$84</f>
        <v>3624.8261169730295</v>
      </c>
      <c r="AS153" s="106">
        <f>VLOOKUP($A153,'VKT US'!$B$63:$AA$113,(AS$113+1),FALSE)/VLOOKUP($A153,'Fuel economy adjusted factor'!$A$2:$F$52,5,FALSE)/$AZ$84</f>
        <v>3553.7009893106519</v>
      </c>
      <c r="AT153" s="110" cm="1">
        <f t="array" ref="AT153">SUMPRODUCT(INDEX(Z153:AS153,,_xlfn.SEQUENCE($AZ$13)))</f>
        <v>68722.6315836742</v>
      </c>
    </row>
    <row r="154" spans="1:46" x14ac:dyDescent="0.25">
      <c r="A154" s="102" t="s">
        <v>223</v>
      </c>
      <c r="B154" s="106">
        <f>VLOOKUP($A154,'VKT US'!$B$63:$AA$113,(B$113+1),FALSE)/VLOOKUP($A154,'Fuel economy adjusted factor'!$A$2:$F$52,5,FALSE)/$AZ$84*($AZ$15*('US Grid mix, emissions&amp;prices'!$AU$3+INDEX('Year data'!$B$3:$AC$53,MATCH('TCO Inputs'!$A154,'Year data'!$A$111:$A$161,0),MATCH('TCO Inputs'!$AZ$12+B$113-1,'Year data'!$B$110:$AC$110,0))/100)+$BA$15*('US Grid mix, emissions&amp;prices'!$AU$4+INDEX('Year data'!$B$57:$AC$107,MATCH($A154,'Year data'!$A$111:$A$161,0),MATCH('TCO Inputs'!$AZ$12+B$113-1,'Year data'!$B$110:$AC$110,0))/100))/(1+$AZ$41)^B$113</f>
        <v>1289.4938577962002</v>
      </c>
      <c r="C154" s="106">
        <f>VLOOKUP($A154,'VKT US'!$B$63:$AA$113,(C$113+1),FALSE)/VLOOKUP($A154,'Fuel economy adjusted factor'!$A$2:$F$52,5,FALSE)/$AZ$84*($AZ$15*('US Grid mix, emissions&amp;prices'!$AU$3+INDEX('Year data'!$B$3:$AC$53,MATCH('TCO Inputs'!$A154,'Year data'!$A$111:$A$161,0),MATCH('TCO Inputs'!$AZ$12+C$113-1,'Year data'!$B$110:$AC$110,0))/100)+$BA$15*('US Grid mix, emissions&amp;prices'!$AU$4+INDEX('Year data'!$B$57:$AC$107,MATCH($A154,'Year data'!$A$111:$A$161,0),MATCH('TCO Inputs'!$AZ$12+C$113-1,'Year data'!$B$110:$AC$110,0))/100))/(1+$AZ$41)^C$113</f>
        <v>1215.6316632790592</v>
      </c>
      <c r="D154" s="106">
        <f>VLOOKUP($A154,'VKT US'!$B$63:$AA$113,(D$113+1),FALSE)/VLOOKUP($A154,'Fuel economy adjusted factor'!$A$2:$F$52,5,FALSE)/$AZ$84*($AZ$15*('US Grid mix, emissions&amp;prices'!$AU$3+INDEX('Year data'!$B$3:$AC$53,MATCH('TCO Inputs'!$A154,'Year data'!$A$111:$A$161,0),MATCH('TCO Inputs'!$AZ$12+D$113-1,'Year data'!$B$110:$AC$110,0))/100)+$BA$15*('US Grid mix, emissions&amp;prices'!$AU$4+INDEX('Year data'!$B$57:$AC$107,MATCH($A154,'Year data'!$A$111:$A$161,0),MATCH('TCO Inputs'!$AZ$12+D$113-1,'Year data'!$B$110:$AC$110,0))/100))/(1+$AZ$41)^D$113</f>
        <v>1141.7399413596165</v>
      </c>
      <c r="E154" s="106">
        <f>VLOOKUP($A154,'VKT US'!$B$63:$AA$113,(E$113+1),FALSE)/VLOOKUP($A154,'Fuel economy adjusted factor'!$A$2:$F$52,5,FALSE)/$AZ$84*($AZ$15*('US Grid mix, emissions&amp;prices'!$AU$3+INDEX('Year data'!$B$3:$AC$53,MATCH('TCO Inputs'!$A154,'Year data'!$A$111:$A$161,0),MATCH('TCO Inputs'!$AZ$12+E$113-1,'Year data'!$B$110:$AC$110,0))/100)+$BA$15*('US Grid mix, emissions&amp;prices'!$AU$4+INDEX('Year data'!$B$57:$AC$107,MATCH($A154,'Year data'!$A$111:$A$161,0),MATCH('TCO Inputs'!$AZ$12+E$113-1,'Year data'!$B$110:$AC$110,0))/100))/(1+$AZ$41)^E$113</f>
        <v>1081.7865985680237</v>
      </c>
      <c r="F154" s="106">
        <f>VLOOKUP($A154,'VKT US'!$B$63:$AA$113,(F$113+1),FALSE)/VLOOKUP($A154,'Fuel economy adjusted factor'!$A$2:$F$52,5,FALSE)/$AZ$84*($AZ$15*('US Grid mix, emissions&amp;prices'!$AU$3+INDEX('Year data'!$B$3:$AC$53,MATCH('TCO Inputs'!$A154,'Year data'!$A$111:$A$161,0),MATCH('TCO Inputs'!$AZ$12+F$113-1,'Year data'!$B$110:$AC$110,0))/100)+$BA$15*('US Grid mix, emissions&amp;prices'!$AU$4+INDEX('Year data'!$B$57:$AC$107,MATCH($A154,'Year data'!$A$111:$A$161,0),MATCH('TCO Inputs'!$AZ$12+F$113-1,'Year data'!$B$110:$AC$110,0))/100))/(1+$AZ$41)^F$113</f>
        <v>1028.1029070916718</v>
      </c>
      <c r="G154" s="106">
        <f>VLOOKUP($A154,'VKT US'!$B$63:$AA$113,(G$113+1),FALSE)/VLOOKUP($A154,'Fuel economy adjusted factor'!$A$2:$F$52,5,FALSE)/$AZ$84*($AZ$15*('US Grid mix, emissions&amp;prices'!$AU$3+INDEX('Year data'!$B$3:$AC$53,MATCH('TCO Inputs'!$A154,'Year data'!$A$111:$A$161,0),MATCH('TCO Inputs'!$AZ$12+G$113-1,'Year data'!$B$110:$AC$110,0))/100)+$BA$15*('US Grid mix, emissions&amp;prices'!$AU$4+INDEX('Year data'!$B$57:$AC$107,MATCH($A154,'Year data'!$A$111:$A$161,0),MATCH('TCO Inputs'!$AZ$12+G$113-1,'Year data'!$B$110:$AC$110,0))/100))/(1+$AZ$41)^G$113</f>
        <v>979.83382973190032</v>
      </c>
      <c r="H154" s="106">
        <f>VLOOKUP($A154,'VKT US'!$B$63:$AA$113,(H$113+1),FALSE)/VLOOKUP($A154,'Fuel economy adjusted factor'!$A$2:$F$52,5,FALSE)/$AZ$84*($AZ$15*('US Grid mix, emissions&amp;prices'!$AU$3+INDEX('Year data'!$B$3:$AC$53,MATCH('TCO Inputs'!$A154,'Year data'!$A$111:$A$161,0),MATCH('TCO Inputs'!$AZ$12+H$113-1,'Year data'!$B$110:$AC$110,0))/100)+$BA$15*('US Grid mix, emissions&amp;prices'!$AU$4+INDEX('Year data'!$B$57:$AC$107,MATCH($A154,'Year data'!$A$111:$A$161,0),MATCH('TCO Inputs'!$AZ$12+H$113-1,'Year data'!$B$110:$AC$110,0))/100))/(1+$AZ$41)^H$113</f>
        <v>938.02489373150649</v>
      </c>
      <c r="I154" s="106">
        <f>VLOOKUP($A154,'VKT US'!$B$63:$AA$113,(I$113+1),FALSE)/VLOOKUP($A154,'Fuel economy adjusted factor'!$A$2:$F$52,5,FALSE)/$AZ$84*($AZ$15*('US Grid mix, emissions&amp;prices'!$AU$3+INDEX('Year data'!$B$3:$AC$53,MATCH('TCO Inputs'!$A154,'Year data'!$A$111:$A$161,0),MATCH('TCO Inputs'!$AZ$12+I$113-1,'Year data'!$B$110:$AC$110,0))/100)+$BA$15*('US Grid mix, emissions&amp;prices'!$AU$4+INDEX('Year data'!$B$57:$AC$107,MATCH($A154,'Year data'!$A$111:$A$161,0),MATCH('TCO Inputs'!$AZ$12+I$113-1,'Year data'!$B$110:$AC$110,0))/100))/(1+$AZ$41)^I$113</f>
        <v>901.33829850678285</v>
      </c>
      <c r="J154" s="106">
        <f>VLOOKUP($A154,'VKT US'!$B$63:$AA$113,(J$113+1),FALSE)/VLOOKUP($A154,'Fuel economy adjusted factor'!$A$2:$F$52,5,FALSE)/$AZ$84*($AZ$15*('US Grid mix, emissions&amp;prices'!$AU$3+INDEX('Year data'!$B$3:$AC$53,MATCH('TCO Inputs'!$A154,'Year data'!$A$111:$A$161,0),MATCH('TCO Inputs'!$AZ$12+J$113-1,'Year data'!$B$110:$AC$110,0))/100)+$BA$15*('US Grid mix, emissions&amp;prices'!$AU$4+INDEX('Year data'!$B$57:$AC$107,MATCH($A154,'Year data'!$A$111:$A$161,0),MATCH('TCO Inputs'!$AZ$12+J$113-1,'Year data'!$B$110:$AC$110,0))/100))/(1+$AZ$41)^J$113</f>
        <v>867.53945275052104</v>
      </c>
      <c r="K154" s="106">
        <f>VLOOKUP($A154,'VKT US'!$B$63:$AA$113,(K$113+1),FALSE)/VLOOKUP($A154,'Fuel economy adjusted factor'!$A$2:$F$52,5,FALSE)/$AZ$84*($AZ$15*('US Grid mix, emissions&amp;prices'!$AU$3+INDEX('Year data'!$B$3:$AC$53,MATCH('TCO Inputs'!$A154,'Year data'!$A$111:$A$161,0),MATCH('TCO Inputs'!$AZ$12+K$113-1,'Year data'!$B$110:$AC$110,0))/100)+$BA$15*('US Grid mix, emissions&amp;prices'!$AU$4+INDEX('Year data'!$B$57:$AC$107,MATCH($A154,'Year data'!$A$111:$A$161,0),MATCH('TCO Inputs'!$AZ$12+K$113-1,'Year data'!$B$110:$AC$110,0))/100))/(1+$AZ$41)^K$113</f>
        <v>835.18073779904</v>
      </c>
      <c r="L154" s="106">
        <f>VLOOKUP($A154,'VKT US'!$B$63:$AA$113,(L$113+1),FALSE)/VLOOKUP($A154,'Fuel economy adjusted factor'!$A$2:$F$52,5,FALSE)/$AZ$84*($AZ$15*('US Grid mix, emissions&amp;prices'!$AU$3+INDEX('Year data'!$B$3:$AC$53,MATCH('TCO Inputs'!$A154,'Year data'!$A$111:$A$161,0),MATCH('TCO Inputs'!$AZ$12+L$113-1,'Year data'!$B$110:$AC$110,0))/100)+$BA$15*('US Grid mix, emissions&amp;prices'!$AU$4+INDEX('Year data'!$B$57:$AC$107,MATCH($A154,'Year data'!$A$111:$A$161,0),MATCH('TCO Inputs'!$AZ$12+L$113-1,'Year data'!$B$110:$AC$110,0))/100))/(1+$AZ$41)^L$113</f>
        <v>809.57175737819682</v>
      </c>
      <c r="M154" s="106">
        <f>VLOOKUP($A154,'VKT US'!$B$63:$AA$113,(M$113+1),FALSE)/VLOOKUP($A154,'Fuel economy adjusted factor'!$A$2:$F$52,5,FALSE)/$AZ$84*($AZ$15*('US Grid mix, emissions&amp;prices'!$AU$3+INDEX('Year data'!$B$3:$AC$53,MATCH('TCO Inputs'!$A154,'Year data'!$A$111:$A$161,0),MATCH('TCO Inputs'!$AZ$12+M$113-1,'Year data'!$B$110:$AC$110,0))/100)+$BA$15*('US Grid mix, emissions&amp;prices'!$AU$4+INDEX('Year data'!$B$57:$AC$107,MATCH($A154,'Year data'!$A$111:$A$161,0),MATCH('TCO Inputs'!$AZ$12+M$113-1,'Year data'!$B$110:$AC$110,0))/100))/(1+$AZ$41)^M$113</f>
        <v>783.52002447826226</v>
      </c>
      <c r="N154" s="106">
        <f>VLOOKUP($A154,'VKT US'!$B$63:$AA$113,(N$113+1),FALSE)/VLOOKUP($A154,'Fuel economy adjusted factor'!$A$2:$F$52,5,FALSE)/$AZ$84*($AZ$15*('US Grid mix, emissions&amp;prices'!$AU$3+INDEX('Year data'!$B$3:$AC$53,MATCH('TCO Inputs'!$A154,'Year data'!$A$111:$A$161,0),MATCH('TCO Inputs'!$AZ$12+N$113-1,'Year data'!$B$110:$AC$110,0))/100)+$BA$15*('US Grid mix, emissions&amp;prices'!$AU$4+INDEX('Year data'!$B$57:$AC$107,MATCH($A154,'Year data'!$A$111:$A$161,0),MATCH('TCO Inputs'!$AZ$12+N$113-1,'Year data'!$B$110:$AC$110,0))/100))/(1+$AZ$41)^N$113</f>
        <v>754.11734370914689</v>
      </c>
      <c r="O154" s="106">
        <f>VLOOKUP($A154,'VKT US'!$B$63:$AA$113,(O$113+1),FALSE)/VLOOKUP($A154,'Fuel economy adjusted factor'!$A$2:$F$52,5,FALSE)/$AZ$84*($AZ$15*('US Grid mix, emissions&amp;prices'!$AU$3+INDEX('Year data'!$B$3:$AC$53,MATCH('TCO Inputs'!$A154,'Year data'!$A$111:$A$161,0),MATCH('TCO Inputs'!$AZ$12+O$113-1,'Year data'!$B$110:$AC$110,0))/100)+$BA$15*('US Grid mix, emissions&amp;prices'!$AU$4+INDEX('Year data'!$B$57:$AC$107,MATCH($A154,'Year data'!$A$111:$A$161,0),MATCH('TCO Inputs'!$AZ$12+O$113-1,'Year data'!$B$110:$AC$110,0))/100))/(1+$AZ$41)^O$113</f>
        <v>728.63503563956829</v>
      </c>
      <c r="P154" s="106">
        <f>VLOOKUP($A154,'VKT US'!$B$63:$AA$113,(P$113+1),FALSE)/VLOOKUP($A154,'Fuel economy adjusted factor'!$A$2:$F$52,5,FALSE)/$AZ$84*($AZ$15*('US Grid mix, emissions&amp;prices'!$AU$3+INDEX('Year data'!$B$3:$AC$53,MATCH('TCO Inputs'!$A154,'Year data'!$A$111:$A$161,0),MATCH('TCO Inputs'!$AZ$12+P$113-1,'Year data'!$B$110:$AC$110,0))/100)+$BA$15*('US Grid mix, emissions&amp;prices'!$AU$4+INDEX('Year data'!$B$57:$AC$107,MATCH($A154,'Year data'!$A$111:$A$161,0),MATCH('TCO Inputs'!$AZ$12+P$113-1,'Year data'!$B$110:$AC$110,0))/100))/(1+$AZ$41)^P$113</f>
        <v>705.04304996604958</v>
      </c>
      <c r="Q154" s="106">
        <f>VLOOKUP($A154,'VKT US'!$B$63:$AA$113,(Q$113+1),FALSE)/VLOOKUP($A154,'Fuel economy adjusted factor'!$A$2:$F$52,5,FALSE)/$AZ$84*($AZ$15*('US Grid mix, emissions&amp;prices'!$AU$3+INDEX('Year data'!$B$3:$AC$53,MATCH('TCO Inputs'!$A154,'Year data'!$A$111:$A$161,0),MATCH('TCO Inputs'!$AZ$12+Q$113-1,'Year data'!$B$110:$AC$110,0))/100)+$BA$15*('US Grid mix, emissions&amp;prices'!$AU$4+INDEX('Year data'!$B$57:$AC$107,MATCH($A154,'Year data'!$A$111:$A$161,0),MATCH('TCO Inputs'!$AZ$12+Q$113-1,'Year data'!$B$110:$AC$110,0))/100))/(1+$AZ$41)^Q$113</f>
        <v>684.26772719401822</v>
      </c>
      <c r="R154" s="106">
        <f>VLOOKUP($A154,'VKT US'!$B$63:$AA$113,(R$113+1),FALSE)/VLOOKUP($A154,'Fuel economy adjusted factor'!$A$2:$F$52,5,FALSE)/$AZ$84*($AZ$15*('US Grid mix, emissions&amp;prices'!$AU$3+INDEX('Year data'!$B$3:$AC$53,MATCH('TCO Inputs'!$A154,'Year data'!$A$111:$A$161,0),MATCH('TCO Inputs'!$AZ$12+R$113-1,'Year data'!$B$110:$AC$110,0))/100)+$BA$15*('US Grid mix, emissions&amp;prices'!$AU$4+INDEX('Year data'!$B$57:$AC$107,MATCH($A154,'Year data'!$A$111:$A$161,0),MATCH('TCO Inputs'!$AZ$12+R$113-1,'Year data'!$B$110:$AC$110,0))/100))/(1+$AZ$41)^R$113</f>
        <v>663.38299279363241</v>
      </c>
      <c r="S154" s="106">
        <f>VLOOKUP($A154,'VKT US'!$B$63:$AA$113,(S$113+1),FALSE)/VLOOKUP($A154,'Fuel economy adjusted factor'!$A$2:$F$52,5,FALSE)/$AZ$84*($AZ$15*('US Grid mix, emissions&amp;prices'!$AU$3+INDEX('Year data'!$B$3:$AC$53,MATCH('TCO Inputs'!$A154,'Year data'!$A$111:$A$161,0),MATCH('TCO Inputs'!$AZ$12+S$113-1,'Year data'!$B$110:$AC$110,0))/100)+$BA$15*('US Grid mix, emissions&amp;prices'!$AU$4+INDEX('Year data'!$B$57:$AC$107,MATCH($A154,'Year data'!$A$111:$A$161,0),MATCH('TCO Inputs'!$AZ$12+S$113-1,'Year data'!$B$110:$AC$110,0))/100))/(1+$AZ$41)^S$113</f>
        <v>643.7954258880211</v>
      </c>
      <c r="T154" s="106">
        <f>VLOOKUP($A154,'VKT US'!$B$63:$AA$113,(T$113+1),FALSE)/VLOOKUP($A154,'Fuel economy adjusted factor'!$A$2:$F$52,5,FALSE)/$AZ$84*($AZ$15*('US Grid mix, emissions&amp;prices'!$AU$3+INDEX('Year data'!$B$3:$AC$53,MATCH('TCO Inputs'!$A154,'Year data'!$A$111:$A$161,0),MATCH('TCO Inputs'!$AZ$12+T$113-1,'Year data'!$B$110:$AC$110,0))/100)+$BA$15*('US Grid mix, emissions&amp;prices'!$AU$4+INDEX('Year data'!$B$57:$AC$107,MATCH($A154,'Year data'!$A$111:$A$161,0),MATCH('TCO Inputs'!$AZ$12+T$113-1,'Year data'!$B$110:$AC$110,0))/100))/(1+$AZ$41)^T$113</f>
        <v>624.8297210584783</v>
      </c>
      <c r="U154" s="106">
        <f>VLOOKUP($A154,'VKT US'!$B$63:$AA$113,(U$113+1),FALSE)/VLOOKUP($A154,'Fuel economy adjusted factor'!$A$2:$F$52,5,FALSE)/$AZ$84*($AZ$15*('US Grid mix, emissions&amp;prices'!$AU$3+INDEX('Year data'!$B$3:$AC$53,MATCH('TCO Inputs'!$A154,'Year data'!$A$111:$A$161,0),MATCH('TCO Inputs'!$AZ$12+U$113-1,'Year data'!$B$110:$AC$110,0))/100)+$BA$15*('US Grid mix, emissions&amp;prices'!$AU$4+INDEX('Year data'!$B$57:$AC$107,MATCH($A154,'Year data'!$A$111:$A$161,0),MATCH('TCO Inputs'!$AZ$12+U$113-1,'Year data'!$B$110:$AC$110,0))/100))/(1+$AZ$41)^U$113</f>
        <v>606.27655120524867</v>
      </c>
      <c r="V154" s="110" cm="1">
        <f t="array" ref="V154">SUMPRODUCT(INDEX(B154:U154,,_xlfn.SEQUENCE($AZ$13)))</f>
        <v>13354.516341819499</v>
      </c>
      <c r="Y154" s="102" t="s">
        <v>223</v>
      </c>
      <c r="Z154" s="106">
        <f>VLOOKUP($A154,'VKT US'!$B$63:$AA$113,(Z$113+1),FALSE)/VLOOKUP($A154,'Fuel economy adjusted factor'!$A$2:$F$52,5,FALSE)/$AZ$84</f>
        <v>7111.5282177711142</v>
      </c>
      <c r="AA154" s="106">
        <f>VLOOKUP($A154,'VKT US'!$B$63:$AA$113,(AA$113+1),FALSE)/VLOOKUP($A154,'Fuel economy adjusted factor'!$A$2:$F$52,5,FALSE)/$AZ$84</f>
        <v>6900.0100524721165</v>
      </c>
      <c r="AB154" s="106">
        <f>VLOOKUP($A154,'VKT US'!$B$63:$AA$113,(AB$113+1),FALSE)/VLOOKUP($A154,'Fuel economy adjusted factor'!$A$2:$F$52,5,FALSE)/$AZ$84</f>
        <v>6695.1660040393517</v>
      </c>
      <c r="AC154" s="106">
        <f>VLOOKUP($A154,'VKT US'!$B$63:$AA$113,(AC$113+1),FALSE)/VLOOKUP($A154,'Fuel economy adjusted factor'!$A$2:$F$52,5,FALSE)/$AZ$84</f>
        <v>6497.5094660779105</v>
      </c>
      <c r="AD154" s="106">
        <f>VLOOKUP($A154,'VKT US'!$B$63:$AA$113,(AD$113+1),FALSE)/VLOOKUP($A154,'Fuel economy adjusted factor'!$A$2:$F$52,5,FALSE)/$AZ$84</f>
        <v>6306.5270449826994</v>
      </c>
      <c r="AE154" s="106">
        <f>VLOOKUP($A154,'VKT US'!$B$63:$AA$113,(AE$113+1),FALSE)/VLOOKUP($A154,'Fuel economy adjusted factor'!$A$2:$F$52,5,FALSE)/$AZ$84</f>
        <v>6123.2455279639089</v>
      </c>
      <c r="AF154" s="106">
        <f>VLOOKUP($A154,'VKT US'!$B$63:$AA$113,(AF$113+1),FALSE)/VLOOKUP($A154,'Fuel economy adjusted factor'!$A$2:$F$52,5,FALSE)/$AZ$84</f>
        <v>5946.1247342062543</v>
      </c>
      <c r="AG154" s="106">
        <f>VLOOKUP($A154,'VKT US'!$B$63:$AA$113,(AG$113+1),FALSE)/VLOOKUP($A154,'Fuel economy adjusted factor'!$A$2:$F$52,5,FALSE)/$AZ$84</f>
        <v>5776.191450919926</v>
      </c>
      <c r="AH154" s="106">
        <f>VLOOKUP($A154,'VKT US'!$B$63:$AA$113,(AH$113+1),FALSE)/VLOOKUP($A154,'Fuel economy adjusted factor'!$A$2:$F$52,5,FALSE)/$AZ$84</f>
        <v>5613.4456781049203</v>
      </c>
      <c r="AI154" s="106">
        <f>VLOOKUP($A154,'VKT US'!$B$63:$AA$113,(AI$113+1),FALSE)/VLOOKUP($A154,'Fuel economy adjusted factor'!$A$2:$F$52,5,FALSE)/$AZ$84</f>
        <v>5457.8874157612408</v>
      </c>
      <c r="AJ154" s="106">
        <f>VLOOKUP($A154,'VKT US'!$B$63:$AA$113,(AJ$113+1),FALSE)/VLOOKUP($A154,'Fuel economy adjusted factor'!$A$2:$F$52,5,FALSE)/$AZ$84</f>
        <v>5309.0032702837916</v>
      </c>
      <c r="AK154" s="106">
        <f>VLOOKUP($A154,'VKT US'!$B$63:$AA$113,(AK$113+1),FALSE)/VLOOKUP($A154,'Fuel economy adjusted factor'!$A$2:$F$52,5,FALSE)/$AZ$84</f>
        <v>5167.3066352776677</v>
      </c>
      <c r="AL154" s="106">
        <f>VLOOKUP($A154,'VKT US'!$B$63:$AA$113,(AL$113+1),FALSE)/VLOOKUP($A154,'Fuel economy adjusted factor'!$A$2:$F$52,5,FALSE)/$AZ$84</f>
        <v>5032.284117137775</v>
      </c>
      <c r="AM154" s="106">
        <f>VLOOKUP($A154,'VKT US'!$B$63:$AA$113,(AM$113+1),FALSE)/VLOOKUP($A154,'Fuel economy adjusted factor'!$A$2:$F$52,5,FALSE)/$AZ$84</f>
        <v>4904.4491094692066</v>
      </c>
      <c r="AN154" s="106">
        <f>VLOOKUP($A154,'VKT US'!$B$63:$AA$113,(AN$113+1),FALSE)/VLOOKUP($A154,'Fuel economy adjusted factor'!$A$2:$F$52,5,FALSE)/$AZ$84</f>
        <v>4783.2882186668685</v>
      </c>
      <c r="AO154" s="106">
        <f>VLOOKUP($A154,'VKT US'!$B$63:$AA$113,(AO$113+1),FALSE)/VLOOKUP($A154,'Fuel economy adjusted factor'!$A$2:$F$52,5,FALSE)/$AZ$84</f>
        <v>4669.82823194095</v>
      </c>
      <c r="AP154" s="106">
        <f>VLOOKUP($A154,'VKT US'!$B$63:$AA$113,(AP$113+1),FALSE)/VLOOKUP($A154,'Fuel economy adjusted factor'!$A$2:$F$52,5,FALSE)/$AZ$84</f>
        <v>4562.5289684761674</v>
      </c>
      <c r="AQ154" s="106">
        <f>VLOOKUP($A154,'VKT US'!$B$63:$AA$113,(AQ$113+1),FALSE)/VLOOKUP($A154,'Fuel economy adjusted factor'!$A$2:$F$52,5,FALSE)/$AZ$84</f>
        <v>4462.9306090878054</v>
      </c>
      <c r="AR154" s="106">
        <f>VLOOKUP($A154,'VKT US'!$B$63:$AA$113,(AR$113+1),FALSE)/VLOOKUP($A154,'Fuel economy adjusted factor'!$A$2:$F$52,5,FALSE)/$AZ$84</f>
        <v>4369.4929729605792</v>
      </c>
      <c r="AS154" s="106">
        <f>VLOOKUP($A154,'VKT US'!$B$63:$AA$113,(AS$113+1),FALSE)/VLOOKUP($A154,'Fuel economy adjusted factor'!$A$2:$F$52,5,FALSE)/$AZ$84</f>
        <v>4283.7562409097718</v>
      </c>
      <c r="AT154" s="110" cm="1">
        <f t="array" ref="AT154">SUMPRODUCT(INDEX(Z154:AS154,,_xlfn.SEQUENCE($AZ$13)))</f>
        <v>82840.6787244679</v>
      </c>
    </row>
    <row r="155" spans="1:46" x14ac:dyDescent="0.25">
      <c r="A155" s="102" t="s">
        <v>224</v>
      </c>
      <c r="B155" s="106">
        <f>VLOOKUP($A155,'VKT US'!$B$63:$AA$113,(B$113+1),FALSE)/VLOOKUP($A155,'Fuel economy adjusted factor'!$A$2:$F$52,5,FALSE)/$AZ$84*($AZ$15*('US Grid mix, emissions&amp;prices'!$AU$3+INDEX('Year data'!$B$3:$AC$53,MATCH('TCO Inputs'!$A155,'Year data'!$A$111:$A$161,0),MATCH('TCO Inputs'!$AZ$12+B$113-1,'Year data'!$B$110:$AC$110,0))/100)+$BA$15*('US Grid mix, emissions&amp;prices'!$AU$4+INDEX('Year data'!$B$57:$AC$107,MATCH($A155,'Year data'!$A$111:$A$161,0),MATCH('TCO Inputs'!$AZ$12+B$113-1,'Year data'!$B$110:$AC$110,0))/100))/(1+$AZ$41)^B$113</f>
        <v>1151.4163845356873</v>
      </c>
      <c r="C155" s="106">
        <f>VLOOKUP($A155,'VKT US'!$B$63:$AA$113,(C$113+1),FALSE)/VLOOKUP($A155,'Fuel economy adjusted factor'!$A$2:$F$52,5,FALSE)/$AZ$84*($AZ$15*('US Grid mix, emissions&amp;prices'!$AU$3+INDEX('Year data'!$B$3:$AC$53,MATCH('TCO Inputs'!$A155,'Year data'!$A$111:$A$161,0),MATCH('TCO Inputs'!$AZ$12+C$113-1,'Year data'!$B$110:$AC$110,0))/100)+$BA$15*('US Grid mix, emissions&amp;prices'!$AU$4+INDEX('Year data'!$B$57:$AC$107,MATCH($A155,'Year data'!$A$111:$A$161,0),MATCH('TCO Inputs'!$AZ$12+C$113-1,'Year data'!$B$110:$AC$110,0))/100))/(1+$AZ$41)^C$113</f>
        <v>1084.9583011989689</v>
      </c>
      <c r="D155" s="106">
        <f>VLOOKUP($A155,'VKT US'!$B$63:$AA$113,(D$113+1),FALSE)/VLOOKUP($A155,'Fuel economy adjusted factor'!$A$2:$F$52,5,FALSE)/$AZ$84*($AZ$15*('US Grid mix, emissions&amp;prices'!$AU$3+INDEX('Year data'!$B$3:$AC$53,MATCH('TCO Inputs'!$A155,'Year data'!$A$111:$A$161,0),MATCH('TCO Inputs'!$AZ$12+D$113-1,'Year data'!$B$110:$AC$110,0))/100)+$BA$15*('US Grid mix, emissions&amp;prices'!$AU$4+INDEX('Year data'!$B$57:$AC$107,MATCH($A155,'Year data'!$A$111:$A$161,0),MATCH('TCO Inputs'!$AZ$12+D$113-1,'Year data'!$B$110:$AC$110,0))/100))/(1+$AZ$41)^D$113</f>
        <v>1018.6167594522958</v>
      </c>
      <c r="E155" s="106">
        <f>VLOOKUP($A155,'VKT US'!$B$63:$AA$113,(E$113+1),FALSE)/VLOOKUP($A155,'Fuel economy adjusted factor'!$A$2:$F$52,5,FALSE)/$AZ$84*($AZ$15*('US Grid mix, emissions&amp;prices'!$AU$3+INDEX('Year data'!$B$3:$AC$53,MATCH('TCO Inputs'!$A155,'Year data'!$A$111:$A$161,0),MATCH('TCO Inputs'!$AZ$12+E$113-1,'Year data'!$B$110:$AC$110,0))/100)+$BA$15*('US Grid mix, emissions&amp;prices'!$AU$4+INDEX('Year data'!$B$57:$AC$107,MATCH($A155,'Year data'!$A$111:$A$161,0),MATCH('TCO Inputs'!$AZ$12+E$113-1,'Year data'!$B$110:$AC$110,0))/100))/(1+$AZ$41)^E$113</f>
        <v>964.91992057012305</v>
      </c>
      <c r="F155" s="106">
        <f>VLOOKUP($A155,'VKT US'!$B$63:$AA$113,(F$113+1),FALSE)/VLOOKUP($A155,'Fuel economy adjusted factor'!$A$2:$F$52,5,FALSE)/$AZ$84*($AZ$15*('US Grid mix, emissions&amp;prices'!$AU$3+INDEX('Year data'!$B$3:$AC$53,MATCH('TCO Inputs'!$A155,'Year data'!$A$111:$A$161,0),MATCH('TCO Inputs'!$AZ$12+F$113-1,'Year data'!$B$110:$AC$110,0))/100)+$BA$15*('US Grid mix, emissions&amp;prices'!$AU$4+INDEX('Year data'!$B$57:$AC$107,MATCH($A155,'Year data'!$A$111:$A$161,0),MATCH('TCO Inputs'!$AZ$12+F$113-1,'Year data'!$B$110:$AC$110,0))/100))/(1+$AZ$41)^F$113</f>
        <v>916.89290793127384</v>
      </c>
      <c r="G155" s="106">
        <f>VLOOKUP($A155,'VKT US'!$B$63:$AA$113,(G$113+1),FALSE)/VLOOKUP($A155,'Fuel economy adjusted factor'!$A$2:$F$52,5,FALSE)/$AZ$84*($AZ$15*('US Grid mix, emissions&amp;prices'!$AU$3+INDEX('Year data'!$B$3:$AC$53,MATCH('TCO Inputs'!$A155,'Year data'!$A$111:$A$161,0),MATCH('TCO Inputs'!$AZ$12+G$113-1,'Year data'!$B$110:$AC$110,0))/100)+$BA$15*('US Grid mix, emissions&amp;prices'!$AU$4+INDEX('Year data'!$B$57:$AC$107,MATCH($A155,'Year data'!$A$111:$A$161,0),MATCH('TCO Inputs'!$AZ$12+G$113-1,'Year data'!$B$110:$AC$110,0))/100))/(1+$AZ$41)^G$113</f>
        <v>873.71462155052598</v>
      </c>
      <c r="H155" s="106">
        <f>VLOOKUP($A155,'VKT US'!$B$63:$AA$113,(H$113+1),FALSE)/VLOOKUP($A155,'Fuel economy adjusted factor'!$A$2:$F$52,5,FALSE)/$AZ$84*($AZ$15*('US Grid mix, emissions&amp;prices'!$AU$3+INDEX('Year data'!$B$3:$AC$53,MATCH('TCO Inputs'!$A155,'Year data'!$A$111:$A$161,0),MATCH('TCO Inputs'!$AZ$12+H$113-1,'Year data'!$B$110:$AC$110,0))/100)+$BA$15*('US Grid mix, emissions&amp;prices'!$AU$4+INDEX('Year data'!$B$57:$AC$107,MATCH($A155,'Year data'!$A$111:$A$161,0),MATCH('TCO Inputs'!$AZ$12+H$113-1,'Year data'!$B$110:$AC$110,0))/100))/(1+$AZ$41)^H$113</f>
        <v>836.36040020804205</v>
      </c>
      <c r="I155" s="106">
        <f>VLOOKUP($A155,'VKT US'!$B$63:$AA$113,(I$113+1),FALSE)/VLOOKUP($A155,'Fuel economy adjusted factor'!$A$2:$F$52,5,FALSE)/$AZ$84*($AZ$15*('US Grid mix, emissions&amp;prices'!$AU$3+INDEX('Year data'!$B$3:$AC$53,MATCH('TCO Inputs'!$A155,'Year data'!$A$111:$A$161,0),MATCH('TCO Inputs'!$AZ$12+I$113-1,'Year data'!$B$110:$AC$110,0))/100)+$BA$15*('US Grid mix, emissions&amp;prices'!$AU$4+INDEX('Year data'!$B$57:$AC$107,MATCH($A155,'Year data'!$A$111:$A$161,0),MATCH('TCO Inputs'!$AZ$12+I$113-1,'Year data'!$B$110:$AC$110,0))/100))/(1+$AZ$41)^I$113</f>
        <v>803.62308661313762</v>
      </c>
      <c r="J155" s="106">
        <f>VLOOKUP($A155,'VKT US'!$B$63:$AA$113,(J$113+1),FALSE)/VLOOKUP($A155,'Fuel economy adjusted factor'!$A$2:$F$52,5,FALSE)/$AZ$84*($AZ$15*('US Grid mix, emissions&amp;prices'!$AU$3+INDEX('Year data'!$B$3:$AC$53,MATCH('TCO Inputs'!$A155,'Year data'!$A$111:$A$161,0),MATCH('TCO Inputs'!$AZ$12+J$113-1,'Year data'!$B$110:$AC$110,0))/100)+$BA$15*('US Grid mix, emissions&amp;prices'!$AU$4+INDEX('Year data'!$B$57:$AC$107,MATCH($A155,'Year data'!$A$111:$A$161,0),MATCH('TCO Inputs'!$AZ$12+J$113-1,'Year data'!$B$110:$AC$110,0))/100))/(1+$AZ$41)^J$113</f>
        <v>773.45600410830309</v>
      </c>
      <c r="K155" s="106">
        <f>VLOOKUP($A155,'VKT US'!$B$63:$AA$113,(K$113+1),FALSE)/VLOOKUP($A155,'Fuel economy adjusted factor'!$A$2:$F$52,5,FALSE)/$AZ$84*($AZ$15*('US Grid mix, emissions&amp;prices'!$AU$3+INDEX('Year data'!$B$3:$AC$53,MATCH('TCO Inputs'!$A155,'Year data'!$A$111:$A$161,0),MATCH('TCO Inputs'!$AZ$12+K$113-1,'Year data'!$B$110:$AC$110,0))/100)+$BA$15*('US Grid mix, emissions&amp;prices'!$AU$4+INDEX('Year data'!$B$57:$AC$107,MATCH($A155,'Year data'!$A$111:$A$161,0),MATCH('TCO Inputs'!$AZ$12+K$113-1,'Year data'!$B$110:$AC$110,0))/100))/(1+$AZ$41)^K$113</f>
        <v>744.57308920897185</v>
      </c>
      <c r="L155" s="106">
        <f>VLOOKUP($A155,'VKT US'!$B$63:$AA$113,(L$113+1),FALSE)/VLOOKUP($A155,'Fuel economy adjusted factor'!$A$2:$F$52,5,FALSE)/$AZ$84*($AZ$15*('US Grid mix, emissions&amp;prices'!$AU$3+INDEX('Year data'!$B$3:$AC$53,MATCH('TCO Inputs'!$A155,'Year data'!$A$111:$A$161,0),MATCH('TCO Inputs'!$AZ$12+L$113-1,'Year data'!$B$110:$AC$110,0))/100)+$BA$15*('US Grid mix, emissions&amp;prices'!$AU$4+INDEX('Year data'!$B$57:$AC$107,MATCH($A155,'Year data'!$A$111:$A$161,0),MATCH('TCO Inputs'!$AZ$12+L$113-1,'Year data'!$B$110:$AC$110,0))/100))/(1+$AZ$41)^L$113</f>
        <v>721.77766507211481</v>
      </c>
      <c r="M155" s="106">
        <f>VLOOKUP($A155,'VKT US'!$B$63:$AA$113,(M$113+1),FALSE)/VLOOKUP($A155,'Fuel economy adjusted factor'!$A$2:$F$52,5,FALSE)/$AZ$84*($AZ$15*('US Grid mix, emissions&amp;prices'!$AU$3+INDEX('Year data'!$B$3:$AC$53,MATCH('TCO Inputs'!$A155,'Year data'!$A$111:$A$161,0),MATCH('TCO Inputs'!$AZ$12+M$113-1,'Year data'!$B$110:$AC$110,0))/100)+$BA$15*('US Grid mix, emissions&amp;prices'!$AU$4+INDEX('Year data'!$B$57:$AC$107,MATCH($A155,'Year data'!$A$111:$A$161,0),MATCH('TCO Inputs'!$AZ$12+M$113-1,'Year data'!$B$110:$AC$110,0))/100))/(1+$AZ$41)^M$113</f>
        <v>698.56586157942479</v>
      </c>
      <c r="N155" s="106">
        <f>VLOOKUP($A155,'VKT US'!$B$63:$AA$113,(N$113+1),FALSE)/VLOOKUP($A155,'Fuel economy adjusted factor'!$A$2:$F$52,5,FALSE)/$AZ$84*($AZ$15*('US Grid mix, emissions&amp;prices'!$AU$3+INDEX('Year data'!$B$3:$AC$53,MATCH('TCO Inputs'!$A155,'Year data'!$A$111:$A$161,0),MATCH('TCO Inputs'!$AZ$12+N$113-1,'Year data'!$B$110:$AC$110,0))/100)+$BA$15*('US Grid mix, emissions&amp;prices'!$AU$4+INDEX('Year data'!$B$57:$AC$107,MATCH($A155,'Year data'!$A$111:$A$161,0),MATCH('TCO Inputs'!$AZ$12+N$113-1,'Year data'!$B$110:$AC$110,0))/100))/(1+$AZ$41)^N$113</f>
        <v>672.32527236594512</v>
      </c>
      <c r="O155" s="106">
        <f>VLOOKUP($A155,'VKT US'!$B$63:$AA$113,(O$113+1),FALSE)/VLOOKUP($A155,'Fuel economy adjusted factor'!$A$2:$F$52,5,FALSE)/$AZ$84*($AZ$15*('US Grid mix, emissions&amp;prices'!$AU$3+INDEX('Year data'!$B$3:$AC$53,MATCH('TCO Inputs'!$A155,'Year data'!$A$111:$A$161,0),MATCH('TCO Inputs'!$AZ$12+O$113-1,'Year data'!$B$110:$AC$110,0))/100)+$BA$15*('US Grid mix, emissions&amp;prices'!$AU$4+INDEX('Year data'!$B$57:$AC$107,MATCH($A155,'Year data'!$A$111:$A$161,0),MATCH('TCO Inputs'!$AZ$12+O$113-1,'Year data'!$B$110:$AC$110,0))/100))/(1+$AZ$41)^O$113</f>
        <v>649.6059413678604</v>
      </c>
      <c r="P155" s="106">
        <f>VLOOKUP($A155,'VKT US'!$B$63:$AA$113,(P$113+1),FALSE)/VLOOKUP($A155,'Fuel economy adjusted factor'!$A$2:$F$52,5,FALSE)/$AZ$84*($AZ$15*('US Grid mix, emissions&amp;prices'!$AU$3+INDEX('Year data'!$B$3:$AC$53,MATCH('TCO Inputs'!$A155,'Year data'!$A$111:$A$161,0),MATCH('TCO Inputs'!$AZ$12+P$113-1,'Year data'!$B$110:$AC$110,0))/100)+$BA$15*('US Grid mix, emissions&amp;prices'!$AU$4+INDEX('Year data'!$B$57:$AC$107,MATCH($A155,'Year data'!$A$111:$A$161,0),MATCH('TCO Inputs'!$AZ$12+P$113-1,'Year data'!$B$110:$AC$110,0))/100))/(1+$AZ$41)^P$113</f>
        <v>628.56955611264345</v>
      </c>
      <c r="Q155" s="106">
        <f>VLOOKUP($A155,'VKT US'!$B$63:$AA$113,(Q$113+1),FALSE)/VLOOKUP($A155,'Fuel economy adjusted factor'!$A$2:$F$52,5,FALSE)/$AZ$84*($AZ$15*('US Grid mix, emissions&amp;prices'!$AU$3+INDEX('Year data'!$B$3:$AC$53,MATCH('TCO Inputs'!$A155,'Year data'!$A$111:$A$161,0),MATCH('TCO Inputs'!$AZ$12+Q$113-1,'Year data'!$B$110:$AC$110,0))/100)+$BA$15*('US Grid mix, emissions&amp;prices'!$AU$4+INDEX('Year data'!$B$57:$AC$107,MATCH($A155,'Year data'!$A$111:$A$161,0),MATCH('TCO Inputs'!$AZ$12+Q$113-1,'Year data'!$B$110:$AC$110,0))/100))/(1+$AZ$41)^Q$113</f>
        <v>610.06752892326426</v>
      </c>
      <c r="R155" s="106">
        <f>VLOOKUP($A155,'VKT US'!$B$63:$AA$113,(R$113+1),FALSE)/VLOOKUP($A155,'Fuel economy adjusted factor'!$A$2:$F$52,5,FALSE)/$AZ$84*($AZ$15*('US Grid mix, emissions&amp;prices'!$AU$3+INDEX('Year data'!$B$3:$AC$53,MATCH('TCO Inputs'!$A155,'Year data'!$A$111:$A$161,0),MATCH('TCO Inputs'!$AZ$12+R$113-1,'Year data'!$B$110:$AC$110,0))/100)+$BA$15*('US Grid mix, emissions&amp;prices'!$AU$4+INDEX('Year data'!$B$57:$AC$107,MATCH($A155,'Year data'!$A$111:$A$161,0),MATCH('TCO Inputs'!$AZ$12+R$113-1,'Year data'!$B$110:$AC$110,0))/100))/(1+$AZ$41)^R$113</f>
        <v>591.45801283263836</v>
      </c>
      <c r="S155" s="106">
        <f>VLOOKUP($A155,'VKT US'!$B$63:$AA$113,(S$113+1),FALSE)/VLOOKUP($A155,'Fuel economy adjusted factor'!$A$2:$F$52,5,FALSE)/$AZ$84*($AZ$15*('US Grid mix, emissions&amp;prices'!$AU$3+INDEX('Year data'!$B$3:$AC$53,MATCH('TCO Inputs'!$A155,'Year data'!$A$111:$A$161,0),MATCH('TCO Inputs'!$AZ$12+S$113-1,'Year data'!$B$110:$AC$110,0))/100)+$BA$15*('US Grid mix, emissions&amp;prices'!$AU$4+INDEX('Year data'!$B$57:$AC$107,MATCH($A155,'Year data'!$A$111:$A$161,0),MATCH('TCO Inputs'!$AZ$12+S$113-1,'Year data'!$B$110:$AC$110,0))/100))/(1+$AZ$41)^S$113</f>
        <v>573.9974039816567</v>
      </c>
      <c r="T155" s="106">
        <f>VLOOKUP($A155,'VKT US'!$B$63:$AA$113,(T$113+1),FALSE)/VLOOKUP($A155,'Fuel economy adjusted factor'!$A$2:$F$52,5,FALSE)/$AZ$84*($AZ$15*('US Grid mix, emissions&amp;prices'!$AU$3+INDEX('Year data'!$B$3:$AC$53,MATCH('TCO Inputs'!$A155,'Year data'!$A$111:$A$161,0),MATCH('TCO Inputs'!$AZ$12+T$113-1,'Year data'!$B$110:$AC$110,0))/100)+$BA$15*('US Grid mix, emissions&amp;prices'!$AU$4+INDEX('Year data'!$B$57:$AC$107,MATCH($A155,'Year data'!$A$111:$A$161,0),MATCH('TCO Inputs'!$AZ$12+T$113-1,'Year data'!$B$110:$AC$110,0))/100))/(1+$AZ$41)^T$113</f>
        <v>557.08955827792602</v>
      </c>
      <c r="U155" s="106">
        <f>VLOOKUP($A155,'VKT US'!$B$63:$AA$113,(U$113+1),FALSE)/VLOOKUP($A155,'Fuel economy adjusted factor'!$A$2:$F$52,5,FALSE)/$AZ$84*($AZ$15*('US Grid mix, emissions&amp;prices'!$AU$3+INDEX('Year data'!$B$3:$AC$53,MATCH('TCO Inputs'!$A155,'Year data'!$A$111:$A$161,0),MATCH('TCO Inputs'!$AZ$12+U$113-1,'Year data'!$B$110:$AC$110,0))/100)+$BA$15*('US Grid mix, emissions&amp;prices'!$AU$4+INDEX('Year data'!$B$57:$AC$107,MATCH($A155,'Year data'!$A$111:$A$161,0),MATCH('TCO Inputs'!$AZ$12+U$113-1,'Year data'!$B$110:$AC$110,0))/100))/(1+$AZ$41)^U$113</f>
        <v>540.53944942962062</v>
      </c>
      <c r="V155" s="110" cm="1">
        <f t="array" ref="V155">SUMPRODUCT(INDEX(B155:U155,,_xlfn.SEQUENCE($AZ$13)))</f>
        <v>11910.806215762674</v>
      </c>
      <c r="Y155" s="102" t="s">
        <v>224</v>
      </c>
      <c r="Z155" s="106">
        <f>VLOOKUP($A155,'VKT US'!$B$63:$AA$113,(Z$113+1),FALSE)/VLOOKUP($A155,'Fuel economy adjusted factor'!$A$2:$F$52,5,FALSE)/$AZ$84</f>
        <v>6237.1872106857136</v>
      </c>
      <c r="AA155" s="106">
        <f>VLOOKUP($A155,'VKT US'!$B$63:$AA$113,(AA$113+1),FALSE)/VLOOKUP($A155,'Fuel economy adjusted factor'!$A$2:$F$52,5,FALSE)/$AZ$84</f>
        <v>6051.6745676881301</v>
      </c>
      <c r="AB155" s="106">
        <f>VLOOKUP($A155,'VKT US'!$B$63:$AA$113,(AB$113+1),FALSE)/VLOOKUP($A155,'Fuel economy adjusted factor'!$A$2:$F$52,5,FALSE)/$AZ$84</f>
        <v>5872.0154789598882</v>
      </c>
      <c r="AC155" s="106">
        <f>VLOOKUP($A155,'VKT US'!$B$63:$AA$113,(AC$113+1),FALSE)/VLOOKUP($A155,'Fuel economy adjusted factor'!$A$2:$F$52,5,FALSE)/$AZ$84</f>
        <v>5698.660217906322</v>
      </c>
      <c r="AD155" s="106">
        <f>VLOOKUP($A155,'VKT US'!$B$63:$AA$113,(AD$113+1),FALSE)/VLOOKUP($A155,'Fuel economy adjusted factor'!$A$2:$F$52,5,FALSE)/$AZ$84</f>
        <v>5531.1585111220966</v>
      </c>
      <c r="AE155" s="106">
        <f>VLOOKUP($A155,'VKT US'!$B$63:$AA$113,(AE$113+1),FALSE)/VLOOKUP($A155,'Fuel economy adjusted factor'!$A$2:$F$52,5,FALSE)/$AZ$84</f>
        <v>5370.4109054178816</v>
      </c>
      <c r="AF155" s="106">
        <f>VLOOKUP($A155,'VKT US'!$B$63:$AA$113,(AF$113+1),FALSE)/VLOOKUP($A155,'Fuel economy adjusted factor'!$A$2:$F$52,5,FALSE)/$AZ$84</f>
        <v>5215.0665805776725</v>
      </c>
      <c r="AG155" s="106">
        <f>VLOOKUP($A155,'VKT US'!$B$63:$AA$113,(AG$113+1),FALSE)/VLOOKUP($A155,'Fuel economy adjusted factor'!$A$2:$F$52,5,FALSE)/$AZ$84</f>
        <v>5066.0260834121391</v>
      </c>
      <c r="AH155" s="106">
        <f>VLOOKUP($A155,'VKT US'!$B$63:$AA$113,(AH$113+1),FALSE)/VLOOKUP($A155,'Fuel economy adjusted factor'!$A$2:$F$52,5,FALSE)/$AZ$84</f>
        <v>4923.2894139212813</v>
      </c>
      <c r="AI155" s="106">
        <f>VLOOKUP($A155,'VKT US'!$B$63:$AA$113,(AI$113+1),FALSE)/VLOOKUP($A155,'Fuel economy adjusted factor'!$A$2:$F$52,5,FALSE)/$AZ$84</f>
        <v>4786.8565721050973</v>
      </c>
      <c r="AJ155" s="106">
        <f>VLOOKUP($A155,'VKT US'!$B$63:$AA$113,(AJ$113+1),FALSE)/VLOOKUP($A155,'Fuel economy adjusted factor'!$A$2:$F$52,5,FALSE)/$AZ$84</f>
        <v>4656.2772845582549</v>
      </c>
      <c r="AK155" s="106">
        <f>VLOOKUP($A155,'VKT US'!$B$63:$AA$113,(AK$113+1),FALSE)/VLOOKUP($A155,'Fuel economy adjusted factor'!$A$2:$F$52,5,FALSE)/$AZ$84</f>
        <v>4532.0018246860882</v>
      </c>
      <c r="AL155" s="106">
        <f>VLOOKUP($A155,'VKT US'!$B$63:$AA$113,(AL$113+1),FALSE)/VLOOKUP($A155,'Fuel economy adjusted factor'!$A$2:$F$52,5,FALSE)/$AZ$84</f>
        <v>4413.5799190832622</v>
      </c>
      <c r="AM155" s="106">
        <f>VLOOKUP($A155,'VKT US'!$B$63:$AA$113,(AM$113+1),FALSE)/VLOOKUP($A155,'Fuel economy adjusted factor'!$A$2:$F$52,5,FALSE)/$AZ$84</f>
        <v>4301.4618411551119</v>
      </c>
      <c r="AN155" s="106">
        <f>VLOOKUP($A155,'VKT US'!$B$63:$AA$113,(AN$113+1),FALSE)/VLOOKUP($A155,'Fuel economy adjusted factor'!$A$2:$F$52,5,FALSE)/$AZ$84</f>
        <v>4195.1973174963023</v>
      </c>
      <c r="AO155" s="106">
        <f>VLOOKUP($A155,'VKT US'!$B$63:$AA$113,(AO$113+1),FALSE)/VLOOKUP($A155,'Fuel economy adjusted factor'!$A$2:$F$52,5,FALSE)/$AZ$84</f>
        <v>4095.6868949175014</v>
      </c>
      <c r="AP155" s="106">
        <f>VLOOKUP($A155,'VKT US'!$B$63:$AA$113,(AP$113+1),FALSE)/VLOOKUP($A155,'Fuel economy adjusted factor'!$A$2:$F$52,5,FALSE)/$AZ$84</f>
        <v>4001.5797532027082</v>
      </c>
      <c r="AQ155" s="106">
        <f>VLOOKUP($A155,'VKT US'!$B$63:$AA$113,(AQ$113+1),FALSE)/VLOOKUP($A155,'Fuel economy adjusted factor'!$A$2:$F$52,5,FALSE)/$AZ$84</f>
        <v>3914.2267125679246</v>
      </c>
      <c r="AR155" s="106">
        <f>VLOOKUP($A155,'VKT US'!$B$63:$AA$113,(AR$113+1),FALSE)/VLOOKUP($A155,'Fuel economy adjusted factor'!$A$2:$F$52,5,FALSE)/$AZ$84</f>
        <v>3832.2769527971482</v>
      </c>
      <c r="AS155" s="106">
        <f>VLOOKUP($A155,'VKT US'!$B$63:$AA$113,(AS$113+1),FALSE)/VLOOKUP($A155,'Fuel economy adjusted factor'!$A$2:$F$52,5,FALSE)/$AZ$84</f>
        <v>3757.08129410638</v>
      </c>
      <c r="AT155" s="110" cm="1">
        <f t="array" ref="AT155">SUMPRODUCT(INDEX(Z155:AS155,,_xlfn.SEQUENCE($AZ$13)))</f>
        <v>72655.666411278929</v>
      </c>
    </row>
    <row r="156" spans="1:46" x14ac:dyDescent="0.25">
      <c r="A156" s="102" t="s">
        <v>225</v>
      </c>
      <c r="B156" s="106">
        <f>VLOOKUP($A156,'VKT US'!$B$63:$AA$113,(B$113+1),FALSE)/VLOOKUP($A156,'Fuel economy adjusted factor'!$A$2:$F$52,5,FALSE)/$AZ$84*($AZ$15*('US Grid mix, emissions&amp;prices'!$AU$3+INDEX('Year data'!$B$3:$AC$53,MATCH('TCO Inputs'!$A156,'Year data'!$A$111:$A$161,0),MATCH('TCO Inputs'!$AZ$12+B$113-1,'Year data'!$B$110:$AC$110,0))/100)+$BA$15*('US Grid mix, emissions&amp;prices'!$AU$4+INDEX('Year data'!$B$57:$AC$107,MATCH($A156,'Year data'!$A$111:$A$161,0),MATCH('TCO Inputs'!$AZ$12+B$113-1,'Year data'!$B$110:$AC$110,0))/100))/(1+$AZ$41)^B$113</f>
        <v>1229.6261281952841</v>
      </c>
      <c r="C156" s="106">
        <f>VLOOKUP($A156,'VKT US'!$B$63:$AA$113,(C$113+1),FALSE)/VLOOKUP($A156,'Fuel economy adjusted factor'!$A$2:$F$52,5,FALSE)/$AZ$84*($AZ$15*('US Grid mix, emissions&amp;prices'!$AU$3+INDEX('Year data'!$B$3:$AC$53,MATCH('TCO Inputs'!$A156,'Year data'!$A$111:$A$161,0),MATCH('TCO Inputs'!$AZ$12+C$113-1,'Year data'!$B$110:$AC$110,0))/100)+$BA$15*('US Grid mix, emissions&amp;prices'!$AU$4+INDEX('Year data'!$B$57:$AC$107,MATCH($A156,'Year data'!$A$111:$A$161,0),MATCH('TCO Inputs'!$AZ$12+C$113-1,'Year data'!$B$110:$AC$110,0))/100))/(1+$AZ$41)^C$113</f>
        <v>1159.5418748653769</v>
      </c>
      <c r="D156" s="106">
        <f>VLOOKUP($A156,'VKT US'!$B$63:$AA$113,(D$113+1),FALSE)/VLOOKUP($A156,'Fuel economy adjusted factor'!$A$2:$F$52,5,FALSE)/$AZ$84*($AZ$15*('US Grid mix, emissions&amp;prices'!$AU$3+INDEX('Year data'!$B$3:$AC$53,MATCH('TCO Inputs'!$A156,'Year data'!$A$111:$A$161,0),MATCH('TCO Inputs'!$AZ$12+D$113-1,'Year data'!$B$110:$AC$110,0))/100)+$BA$15*('US Grid mix, emissions&amp;prices'!$AU$4+INDEX('Year data'!$B$57:$AC$107,MATCH($A156,'Year data'!$A$111:$A$161,0),MATCH('TCO Inputs'!$AZ$12+D$113-1,'Year data'!$B$110:$AC$110,0))/100))/(1+$AZ$41)^D$113</f>
        <v>1088.8492091798505</v>
      </c>
      <c r="E156" s="106">
        <f>VLOOKUP($A156,'VKT US'!$B$63:$AA$113,(E$113+1),FALSE)/VLOOKUP($A156,'Fuel economy adjusted factor'!$A$2:$F$52,5,FALSE)/$AZ$84*($AZ$15*('US Grid mix, emissions&amp;prices'!$AU$3+INDEX('Year data'!$B$3:$AC$53,MATCH('TCO Inputs'!$A156,'Year data'!$A$111:$A$161,0),MATCH('TCO Inputs'!$AZ$12+E$113-1,'Year data'!$B$110:$AC$110,0))/100)+$BA$15*('US Grid mix, emissions&amp;prices'!$AU$4+INDEX('Year data'!$B$57:$AC$107,MATCH($A156,'Year data'!$A$111:$A$161,0),MATCH('TCO Inputs'!$AZ$12+E$113-1,'Year data'!$B$110:$AC$110,0))/100))/(1+$AZ$41)^E$113</f>
        <v>1031.5179227399706</v>
      </c>
      <c r="F156" s="106">
        <f>VLOOKUP($A156,'VKT US'!$B$63:$AA$113,(F$113+1),FALSE)/VLOOKUP($A156,'Fuel economy adjusted factor'!$A$2:$F$52,5,FALSE)/$AZ$84*($AZ$15*('US Grid mix, emissions&amp;prices'!$AU$3+INDEX('Year data'!$B$3:$AC$53,MATCH('TCO Inputs'!$A156,'Year data'!$A$111:$A$161,0),MATCH('TCO Inputs'!$AZ$12+F$113-1,'Year data'!$B$110:$AC$110,0))/100)+$BA$15*('US Grid mix, emissions&amp;prices'!$AU$4+INDEX('Year data'!$B$57:$AC$107,MATCH($A156,'Year data'!$A$111:$A$161,0),MATCH('TCO Inputs'!$AZ$12+F$113-1,'Year data'!$B$110:$AC$110,0))/100))/(1+$AZ$41)^F$113</f>
        <v>980.18685039956756</v>
      </c>
      <c r="G156" s="106">
        <f>VLOOKUP($A156,'VKT US'!$B$63:$AA$113,(G$113+1),FALSE)/VLOOKUP($A156,'Fuel economy adjusted factor'!$A$2:$F$52,5,FALSE)/$AZ$84*($AZ$15*('US Grid mix, emissions&amp;prices'!$AU$3+INDEX('Year data'!$B$3:$AC$53,MATCH('TCO Inputs'!$A156,'Year data'!$A$111:$A$161,0),MATCH('TCO Inputs'!$AZ$12+G$113-1,'Year data'!$B$110:$AC$110,0))/100)+$BA$15*('US Grid mix, emissions&amp;prices'!$AU$4+INDEX('Year data'!$B$57:$AC$107,MATCH($A156,'Year data'!$A$111:$A$161,0),MATCH('TCO Inputs'!$AZ$12+G$113-1,'Year data'!$B$110:$AC$110,0))/100))/(1+$AZ$41)^G$113</f>
        <v>934.162425243028</v>
      </c>
      <c r="H156" s="106">
        <f>VLOOKUP($A156,'VKT US'!$B$63:$AA$113,(H$113+1),FALSE)/VLOOKUP($A156,'Fuel economy adjusted factor'!$A$2:$F$52,5,FALSE)/$AZ$84*($AZ$15*('US Grid mix, emissions&amp;prices'!$AU$3+INDEX('Year data'!$B$3:$AC$53,MATCH('TCO Inputs'!$A156,'Year data'!$A$111:$A$161,0),MATCH('TCO Inputs'!$AZ$12+H$113-1,'Year data'!$B$110:$AC$110,0))/100)+$BA$15*('US Grid mix, emissions&amp;prices'!$AU$4+INDEX('Year data'!$B$57:$AC$107,MATCH($A156,'Year data'!$A$111:$A$161,0),MATCH('TCO Inputs'!$AZ$12+H$113-1,'Year data'!$B$110:$AC$110,0))/100))/(1+$AZ$41)^H$113</f>
        <v>894.39257871957557</v>
      </c>
      <c r="I156" s="106">
        <f>VLOOKUP($A156,'VKT US'!$B$63:$AA$113,(I$113+1),FALSE)/VLOOKUP($A156,'Fuel economy adjusted factor'!$A$2:$F$52,5,FALSE)/$AZ$84*($AZ$15*('US Grid mix, emissions&amp;prices'!$AU$3+INDEX('Year data'!$B$3:$AC$53,MATCH('TCO Inputs'!$A156,'Year data'!$A$111:$A$161,0),MATCH('TCO Inputs'!$AZ$12+I$113-1,'Year data'!$B$110:$AC$110,0))/100)+$BA$15*('US Grid mix, emissions&amp;prices'!$AU$4+INDEX('Year data'!$B$57:$AC$107,MATCH($A156,'Year data'!$A$111:$A$161,0),MATCH('TCO Inputs'!$AZ$12+I$113-1,'Year data'!$B$110:$AC$110,0))/100))/(1+$AZ$41)^I$113</f>
        <v>859.55467340454516</v>
      </c>
      <c r="J156" s="106">
        <f>VLOOKUP($A156,'VKT US'!$B$63:$AA$113,(J$113+1),FALSE)/VLOOKUP($A156,'Fuel economy adjusted factor'!$A$2:$F$52,5,FALSE)/$AZ$84*($AZ$15*('US Grid mix, emissions&amp;prices'!$AU$3+INDEX('Year data'!$B$3:$AC$53,MATCH('TCO Inputs'!$A156,'Year data'!$A$111:$A$161,0),MATCH('TCO Inputs'!$AZ$12+J$113-1,'Year data'!$B$110:$AC$110,0))/100)+$BA$15*('US Grid mix, emissions&amp;prices'!$AU$4+INDEX('Year data'!$B$57:$AC$107,MATCH($A156,'Year data'!$A$111:$A$161,0),MATCH('TCO Inputs'!$AZ$12+J$113-1,'Year data'!$B$110:$AC$110,0))/100))/(1+$AZ$41)^J$113</f>
        <v>827.54890913633915</v>
      </c>
      <c r="K156" s="106">
        <f>VLOOKUP($A156,'VKT US'!$B$63:$AA$113,(K$113+1),FALSE)/VLOOKUP($A156,'Fuel economy adjusted factor'!$A$2:$F$52,5,FALSE)/$AZ$84*($AZ$15*('US Grid mix, emissions&amp;prices'!$AU$3+INDEX('Year data'!$B$3:$AC$53,MATCH('TCO Inputs'!$A156,'Year data'!$A$111:$A$161,0),MATCH('TCO Inputs'!$AZ$12+K$113-1,'Year data'!$B$110:$AC$110,0))/100)+$BA$15*('US Grid mix, emissions&amp;prices'!$AU$4+INDEX('Year data'!$B$57:$AC$107,MATCH($A156,'Year data'!$A$111:$A$161,0),MATCH('TCO Inputs'!$AZ$12+K$113-1,'Year data'!$B$110:$AC$110,0))/100))/(1+$AZ$41)^K$113</f>
        <v>796.89218141903552</v>
      </c>
      <c r="L156" s="106">
        <f>VLOOKUP($A156,'VKT US'!$B$63:$AA$113,(L$113+1),FALSE)/VLOOKUP($A156,'Fuel economy adjusted factor'!$A$2:$F$52,5,FALSE)/$AZ$84*($AZ$15*('US Grid mix, emissions&amp;prices'!$AU$3+INDEX('Year data'!$B$3:$AC$53,MATCH('TCO Inputs'!$A156,'Year data'!$A$111:$A$161,0),MATCH('TCO Inputs'!$AZ$12+L$113-1,'Year data'!$B$110:$AC$110,0))/100)+$BA$15*('US Grid mix, emissions&amp;prices'!$AU$4+INDEX('Year data'!$B$57:$AC$107,MATCH($A156,'Year data'!$A$111:$A$161,0),MATCH('TCO Inputs'!$AZ$12+L$113-1,'Year data'!$B$110:$AC$110,0))/100))/(1+$AZ$41)^L$113</f>
        <v>772.7759722628582</v>
      </c>
      <c r="M156" s="106">
        <f>VLOOKUP($A156,'VKT US'!$B$63:$AA$113,(M$113+1),FALSE)/VLOOKUP($A156,'Fuel economy adjusted factor'!$A$2:$F$52,5,FALSE)/$AZ$84*($AZ$15*('US Grid mix, emissions&amp;prices'!$AU$3+INDEX('Year data'!$B$3:$AC$53,MATCH('TCO Inputs'!$A156,'Year data'!$A$111:$A$161,0),MATCH('TCO Inputs'!$AZ$12+M$113-1,'Year data'!$B$110:$AC$110,0))/100)+$BA$15*('US Grid mix, emissions&amp;prices'!$AU$4+INDEX('Year data'!$B$57:$AC$107,MATCH($A156,'Year data'!$A$111:$A$161,0),MATCH('TCO Inputs'!$AZ$12+M$113-1,'Year data'!$B$110:$AC$110,0))/100))/(1+$AZ$41)^M$113</f>
        <v>748.16823699850977</v>
      </c>
      <c r="N156" s="106">
        <f>VLOOKUP($A156,'VKT US'!$B$63:$AA$113,(N$113+1),FALSE)/VLOOKUP($A156,'Fuel economy adjusted factor'!$A$2:$F$52,5,FALSE)/$AZ$84*($AZ$15*('US Grid mix, emissions&amp;prices'!$AU$3+INDEX('Year data'!$B$3:$AC$53,MATCH('TCO Inputs'!$A156,'Year data'!$A$111:$A$161,0),MATCH('TCO Inputs'!$AZ$12+N$113-1,'Year data'!$B$110:$AC$110,0))/100)+$BA$15*('US Grid mix, emissions&amp;prices'!$AU$4+INDEX('Year data'!$B$57:$AC$107,MATCH($A156,'Year data'!$A$111:$A$161,0),MATCH('TCO Inputs'!$AZ$12+N$113-1,'Year data'!$B$110:$AC$110,0))/100))/(1+$AZ$41)^N$113</f>
        <v>720.18025172676721</v>
      </c>
      <c r="O156" s="106">
        <f>VLOOKUP($A156,'VKT US'!$B$63:$AA$113,(O$113+1),FALSE)/VLOOKUP($A156,'Fuel economy adjusted factor'!$A$2:$F$52,5,FALSE)/$AZ$84*($AZ$15*('US Grid mix, emissions&amp;prices'!$AU$3+INDEX('Year data'!$B$3:$AC$53,MATCH('TCO Inputs'!$A156,'Year data'!$A$111:$A$161,0),MATCH('TCO Inputs'!$AZ$12+O$113-1,'Year data'!$B$110:$AC$110,0))/100)+$BA$15*('US Grid mix, emissions&amp;prices'!$AU$4+INDEX('Year data'!$B$57:$AC$107,MATCH($A156,'Year data'!$A$111:$A$161,0),MATCH('TCO Inputs'!$AZ$12+O$113-1,'Year data'!$B$110:$AC$110,0))/100))/(1+$AZ$41)^O$113</f>
        <v>695.99555831267151</v>
      </c>
      <c r="P156" s="106">
        <f>VLOOKUP($A156,'VKT US'!$B$63:$AA$113,(P$113+1),FALSE)/VLOOKUP($A156,'Fuel economy adjusted factor'!$A$2:$F$52,5,FALSE)/$AZ$84*($AZ$15*('US Grid mix, emissions&amp;prices'!$AU$3+INDEX('Year data'!$B$3:$AC$53,MATCH('TCO Inputs'!$A156,'Year data'!$A$111:$A$161,0),MATCH('TCO Inputs'!$AZ$12+P$113-1,'Year data'!$B$110:$AC$110,0))/100)+$BA$15*('US Grid mix, emissions&amp;prices'!$AU$4+INDEX('Year data'!$B$57:$AC$107,MATCH($A156,'Year data'!$A$111:$A$161,0),MATCH('TCO Inputs'!$AZ$12+P$113-1,'Year data'!$B$110:$AC$110,0))/100))/(1+$AZ$41)^P$113</f>
        <v>673.64568766674768</v>
      </c>
      <c r="Q156" s="106">
        <f>VLOOKUP($A156,'VKT US'!$B$63:$AA$113,(Q$113+1),FALSE)/VLOOKUP($A156,'Fuel economy adjusted factor'!$A$2:$F$52,5,FALSE)/$AZ$84*($AZ$15*('US Grid mix, emissions&amp;prices'!$AU$3+INDEX('Year data'!$B$3:$AC$53,MATCH('TCO Inputs'!$A156,'Year data'!$A$111:$A$161,0),MATCH('TCO Inputs'!$AZ$12+Q$113-1,'Year data'!$B$110:$AC$110,0))/100)+$BA$15*('US Grid mix, emissions&amp;prices'!$AU$4+INDEX('Year data'!$B$57:$AC$107,MATCH($A156,'Year data'!$A$111:$A$161,0),MATCH('TCO Inputs'!$AZ$12+Q$113-1,'Year data'!$B$110:$AC$110,0))/100))/(1+$AZ$41)^Q$113</f>
        <v>653.98677473886573</v>
      </c>
      <c r="R156" s="106">
        <f>VLOOKUP($A156,'VKT US'!$B$63:$AA$113,(R$113+1),FALSE)/VLOOKUP($A156,'Fuel economy adjusted factor'!$A$2:$F$52,5,FALSE)/$AZ$84*($AZ$15*('US Grid mix, emissions&amp;prices'!$AU$3+INDEX('Year data'!$B$3:$AC$53,MATCH('TCO Inputs'!$A156,'Year data'!$A$111:$A$161,0),MATCH('TCO Inputs'!$AZ$12+R$113-1,'Year data'!$B$110:$AC$110,0))/100)+$BA$15*('US Grid mix, emissions&amp;prices'!$AU$4+INDEX('Year data'!$B$57:$AC$107,MATCH($A156,'Year data'!$A$111:$A$161,0),MATCH('TCO Inputs'!$AZ$12+R$113-1,'Year data'!$B$110:$AC$110,0))/100))/(1+$AZ$41)^R$113</f>
        <v>634.16270841877849</v>
      </c>
      <c r="S156" s="106">
        <f>VLOOKUP($A156,'VKT US'!$B$63:$AA$113,(S$113+1),FALSE)/VLOOKUP($A156,'Fuel economy adjusted factor'!$A$2:$F$52,5,FALSE)/$AZ$84*($AZ$15*('US Grid mix, emissions&amp;prices'!$AU$3+INDEX('Year data'!$B$3:$AC$53,MATCH('TCO Inputs'!$A156,'Year data'!$A$111:$A$161,0),MATCH('TCO Inputs'!$AZ$12+S$113-1,'Year data'!$B$110:$AC$110,0))/100)+$BA$15*('US Grid mix, emissions&amp;prices'!$AU$4+INDEX('Year data'!$B$57:$AC$107,MATCH($A156,'Year data'!$A$111:$A$161,0),MATCH('TCO Inputs'!$AZ$12+S$113-1,'Year data'!$B$110:$AC$110,0))/100))/(1+$AZ$41)^S$113</f>
        <v>615.58557263318687</v>
      </c>
      <c r="T156" s="106">
        <f>VLOOKUP($A156,'VKT US'!$B$63:$AA$113,(T$113+1),FALSE)/VLOOKUP($A156,'Fuel economy adjusted factor'!$A$2:$F$52,5,FALSE)/$AZ$84*($AZ$15*('US Grid mix, emissions&amp;prices'!$AU$3+INDEX('Year data'!$B$3:$AC$53,MATCH('TCO Inputs'!$A156,'Year data'!$A$111:$A$161,0),MATCH('TCO Inputs'!$AZ$12+T$113-1,'Year data'!$B$110:$AC$110,0))/100)+$BA$15*('US Grid mix, emissions&amp;prices'!$AU$4+INDEX('Year data'!$B$57:$AC$107,MATCH($A156,'Year data'!$A$111:$A$161,0),MATCH('TCO Inputs'!$AZ$12+T$113-1,'Year data'!$B$110:$AC$110,0))/100))/(1+$AZ$41)^T$113</f>
        <v>597.56634940358276</v>
      </c>
      <c r="U156" s="106">
        <f>VLOOKUP($A156,'VKT US'!$B$63:$AA$113,(U$113+1),FALSE)/VLOOKUP($A156,'Fuel economy adjusted factor'!$A$2:$F$52,5,FALSE)/$AZ$84*($AZ$15*('US Grid mix, emissions&amp;prices'!$AU$3+INDEX('Year data'!$B$3:$AC$53,MATCH('TCO Inputs'!$A156,'Year data'!$A$111:$A$161,0),MATCH('TCO Inputs'!$AZ$12+U$113-1,'Year data'!$B$110:$AC$110,0))/100)+$BA$15*('US Grid mix, emissions&amp;prices'!$AU$4+INDEX('Year data'!$B$57:$AC$107,MATCH($A156,'Year data'!$A$111:$A$161,0),MATCH('TCO Inputs'!$AZ$12+U$113-1,'Year data'!$B$110:$AC$110,0))/100))/(1+$AZ$41)^U$113</f>
        <v>579.90746235601716</v>
      </c>
      <c r="V156" s="110" cm="1">
        <f t="array" ref="V156">SUMPRODUCT(INDEX(B156:U156,,_xlfn.SEQUENCE($AZ$13)))</f>
        <v>12739.392772603383</v>
      </c>
      <c r="Y156" s="102" t="s">
        <v>225</v>
      </c>
      <c r="Z156" s="106">
        <f>VLOOKUP($A156,'VKT US'!$B$63:$AA$113,(Z$113+1),FALSE)/VLOOKUP($A156,'Fuel economy adjusted factor'!$A$2:$F$52,5,FALSE)/$AZ$84</f>
        <v>6434.2270424111657</v>
      </c>
      <c r="AA156" s="106">
        <f>VLOOKUP($A156,'VKT US'!$B$63:$AA$113,(AA$113+1),FALSE)/VLOOKUP($A156,'Fuel economy adjusted factor'!$A$2:$F$52,5,FALSE)/$AZ$84</f>
        <v>6242.8538442106592</v>
      </c>
      <c r="AB156" s="106">
        <f>VLOOKUP($A156,'VKT US'!$B$63:$AA$113,(AB$113+1),FALSE)/VLOOKUP($A156,'Fuel economy adjusted factor'!$A$2:$F$52,5,FALSE)/$AZ$84</f>
        <v>6057.5191207106564</v>
      </c>
      <c r="AC156" s="106">
        <f>VLOOKUP($A156,'VKT US'!$B$63:$AA$113,(AC$113+1),FALSE)/VLOOKUP($A156,'Fuel economy adjusted factor'!$A$2:$F$52,5,FALSE)/$AZ$84</f>
        <v>5878.6873699650387</v>
      </c>
      <c r="AD156" s="106">
        <f>VLOOKUP($A156,'VKT US'!$B$63:$AA$113,(AD$113+1),FALSE)/VLOOKUP($A156,'Fuel economy adjusted factor'!$A$2:$F$52,5,FALSE)/$AZ$84</f>
        <v>5705.8940939199219</v>
      </c>
      <c r="AE156" s="106">
        <f>VLOOKUP($A156,'VKT US'!$B$63:$AA$113,(AE$113+1),FALSE)/VLOOKUP($A156,'Fuel economy adjusted factor'!$A$2:$F$52,5,FALSE)/$AZ$84</f>
        <v>5540.0682886830764</v>
      </c>
      <c r="AF156" s="106">
        <f>VLOOKUP($A156,'VKT US'!$B$63:$AA$113,(AF$113+1),FALSE)/VLOOKUP($A156,'Fuel economy adjusted factor'!$A$2:$F$52,5,FALSE)/$AZ$84</f>
        <v>5379.8164600928485</v>
      </c>
      <c r="AG156" s="106">
        <f>VLOOKUP($A156,'VKT US'!$B$63:$AA$113,(AG$113+1),FALSE)/VLOOKUP($A156,'Fuel economy adjusted factor'!$A$2:$F$52,5,FALSE)/$AZ$84</f>
        <v>5226.0676042570049</v>
      </c>
      <c r="AH156" s="106">
        <f>VLOOKUP($A156,'VKT US'!$B$63:$AA$113,(AH$113+1),FALSE)/VLOOKUP($A156,'Fuel economy adjusted factor'!$A$2:$F$52,5,FALSE)/$AZ$84</f>
        <v>5078.8217211755482</v>
      </c>
      <c r="AI156" s="106">
        <f>VLOOKUP($A156,'VKT US'!$B$63:$AA$113,(AI$113+1),FALSE)/VLOOKUP($A156,'Fuel economy adjusted factor'!$A$2:$F$52,5,FALSE)/$AZ$84</f>
        <v>4938.0788108484776</v>
      </c>
      <c r="AJ156" s="106">
        <f>VLOOKUP($A156,'VKT US'!$B$63:$AA$113,(AJ$113+1),FALSE)/VLOOKUP($A156,'Fuel economy adjusted factor'!$A$2:$F$52,5,FALSE)/$AZ$84</f>
        <v>4803.3743752219079</v>
      </c>
      <c r="AK156" s="106">
        <f>VLOOKUP($A156,'VKT US'!$B$63:$AA$113,(AK$113+1),FALSE)/VLOOKUP($A156,'Fuel economy adjusted factor'!$A$2:$F$52,5,FALSE)/$AZ$84</f>
        <v>4675.1729123497244</v>
      </c>
      <c r="AL156" s="106">
        <f>VLOOKUP($A156,'VKT US'!$B$63:$AA$113,(AL$113+1),FALSE)/VLOOKUP($A156,'Fuel economy adjusted factor'!$A$2:$F$52,5,FALSE)/$AZ$84</f>
        <v>4553.0099241780426</v>
      </c>
      <c r="AM156" s="106">
        <f>VLOOKUP($A156,'VKT US'!$B$63:$AA$113,(AM$113+1),FALSE)/VLOOKUP($A156,'Fuel economy adjusted factor'!$A$2:$F$52,5,FALSE)/$AZ$84</f>
        <v>4437.349908760747</v>
      </c>
      <c r="AN156" s="106">
        <f>VLOOKUP($A156,'VKT US'!$B$63:$AA$113,(AN$113+1),FALSE)/VLOOKUP($A156,'Fuel economy adjusted factor'!$A$2:$F$52,5,FALSE)/$AZ$84</f>
        <v>4327.7283680439532</v>
      </c>
      <c r="AO156" s="106">
        <f>VLOOKUP($A156,'VKT US'!$B$63:$AA$113,(AO$113+1),FALSE)/VLOOKUP($A156,'Fuel economy adjusted factor'!$A$2:$F$52,5,FALSE)/$AZ$84</f>
        <v>4225.0742981354297</v>
      </c>
      <c r="AP156" s="106">
        <f>VLOOKUP($A156,'VKT US'!$B$63:$AA$113,(AP$113+1),FALSE)/VLOOKUP($A156,'Fuel economy adjusted factor'!$A$2:$F$52,5,FALSE)/$AZ$84</f>
        <v>4127.994204873522</v>
      </c>
      <c r="AQ156" s="106">
        <f>VLOOKUP($A156,'VKT US'!$B$63:$AA$113,(AQ$113+1),FALSE)/VLOOKUP($A156,'Fuel economy adjusted factor'!$A$2:$F$52,5,FALSE)/$AZ$84</f>
        <v>4037.8815824198859</v>
      </c>
      <c r="AR156" s="106">
        <f>VLOOKUP($A156,'VKT US'!$B$63:$AA$113,(AR$113+1),FALSE)/VLOOKUP($A156,'Fuel economy adjusted factor'!$A$2:$F$52,5,FALSE)/$AZ$84</f>
        <v>3953.3429366128671</v>
      </c>
      <c r="AS156" s="106">
        <f>VLOOKUP($A156,'VKT US'!$B$63:$AA$113,(AS$113+1),FALSE)/VLOOKUP($A156,'Fuel economy adjusted factor'!$A$2:$F$52,5,FALSE)/$AZ$84</f>
        <v>3875.7717616141176</v>
      </c>
      <c r="AT156" s="110" cm="1">
        <f t="array" ref="AT156">SUMPRODUCT(INDEX(Z156:AS156,,_xlfn.SEQUENCE($AZ$13)))</f>
        <v>74950.941476784821</v>
      </c>
    </row>
    <row r="157" spans="1:46" x14ac:dyDescent="0.25">
      <c r="A157" s="102" t="s">
        <v>226</v>
      </c>
      <c r="B157" s="106">
        <f>VLOOKUP($A157,'VKT US'!$B$63:$AA$113,(B$113+1),FALSE)/VLOOKUP($A157,'Fuel economy adjusted factor'!$A$2:$F$52,5,FALSE)/$AZ$84*($AZ$15*('US Grid mix, emissions&amp;prices'!$AU$3+INDEX('Year data'!$B$3:$AC$53,MATCH('TCO Inputs'!$A157,'Year data'!$A$111:$A$161,0),MATCH('TCO Inputs'!$AZ$12+B$113-1,'Year data'!$B$110:$AC$110,0))/100)+$BA$15*('US Grid mix, emissions&amp;prices'!$AU$4+INDEX('Year data'!$B$57:$AC$107,MATCH($A157,'Year data'!$A$111:$A$161,0),MATCH('TCO Inputs'!$AZ$12+B$113-1,'Year data'!$B$110:$AC$110,0))/100))/(1+$AZ$41)^B$113</f>
        <v>1163.2338969792011</v>
      </c>
      <c r="C157" s="106">
        <f>VLOOKUP($A157,'VKT US'!$B$63:$AA$113,(C$113+1),FALSE)/VLOOKUP($A157,'Fuel economy adjusted factor'!$A$2:$F$52,5,FALSE)/$AZ$84*($AZ$15*('US Grid mix, emissions&amp;prices'!$AU$3+INDEX('Year data'!$B$3:$AC$53,MATCH('TCO Inputs'!$A157,'Year data'!$A$111:$A$161,0),MATCH('TCO Inputs'!$AZ$12+C$113-1,'Year data'!$B$110:$AC$110,0))/100)+$BA$15*('US Grid mix, emissions&amp;prices'!$AU$4+INDEX('Year data'!$B$57:$AC$107,MATCH($A157,'Year data'!$A$111:$A$161,0),MATCH('TCO Inputs'!$AZ$12+C$113-1,'Year data'!$B$110:$AC$110,0))/100))/(1+$AZ$41)^C$113</f>
        <v>1097.5076904096904</v>
      </c>
      <c r="D157" s="106">
        <f>VLOOKUP($A157,'VKT US'!$B$63:$AA$113,(D$113+1),FALSE)/VLOOKUP($A157,'Fuel economy adjusted factor'!$A$2:$F$52,5,FALSE)/$AZ$84*($AZ$15*('US Grid mix, emissions&amp;prices'!$AU$3+INDEX('Year data'!$B$3:$AC$53,MATCH('TCO Inputs'!$A157,'Year data'!$A$111:$A$161,0),MATCH('TCO Inputs'!$AZ$12+D$113-1,'Year data'!$B$110:$AC$110,0))/100)+$BA$15*('US Grid mix, emissions&amp;prices'!$AU$4+INDEX('Year data'!$B$57:$AC$107,MATCH($A157,'Year data'!$A$111:$A$161,0),MATCH('TCO Inputs'!$AZ$12+D$113-1,'Year data'!$B$110:$AC$110,0))/100))/(1+$AZ$41)^D$113</f>
        <v>1031.7489673464484</v>
      </c>
      <c r="E157" s="106">
        <f>VLOOKUP($A157,'VKT US'!$B$63:$AA$113,(E$113+1),FALSE)/VLOOKUP($A157,'Fuel economy adjusted factor'!$A$2:$F$52,5,FALSE)/$AZ$84*($AZ$15*('US Grid mix, emissions&amp;prices'!$AU$3+INDEX('Year data'!$B$3:$AC$53,MATCH('TCO Inputs'!$A157,'Year data'!$A$111:$A$161,0),MATCH('TCO Inputs'!$AZ$12+E$113-1,'Year data'!$B$110:$AC$110,0))/100)+$BA$15*('US Grid mix, emissions&amp;prices'!$AU$4+INDEX('Year data'!$B$57:$AC$107,MATCH($A157,'Year data'!$A$111:$A$161,0),MATCH('TCO Inputs'!$AZ$12+E$113-1,'Year data'!$B$110:$AC$110,0))/100))/(1+$AZ$41)^E$113</f>
        <v>978.10033647358728</v>
      </c>
      <c r="F157" s="106">
        <f>VLOOKUP($A157,'VKT US'!$B$63:$AA$113,(F$113+1),FALSE)/VLOOKUP($A157,'Fuel economy adjusted factor'!$A$2:$F$52,5,FALSE)/$AZ$84*($AZ$15*('US Grid mix, emissions&amp;prices'!$AU$3+INDEX('Year data'!$B$3:$AC$53,MATCH('TCO Inputs'!$A157,'Year data'!$A$111:$A$161,0),MATCH('TCO Inputs'!$AZ$12+F$113-1,'Year data'!$B$110:$AC$110,0))/100)+$BA$15*('US Grid mix, emissions&amp;prices'!$AU$4+INDEX('Year data'!$B$57:$AC$107,MATCH($A157,'Year data'!$A$111:$A$161,0),MATCH('TCO Inputs'!$AZ$12+F$113-1,'Year data'!$B$110:$AC$110,0))/100))/(1+$AZ$41)^F$113</f>
        <v>929.94258977895845</v>
      </c>
      <c r="G157" s="106">
        <f>VLOOKUP($A157,'VKT US'!$B$63:$AA$113,(G$113+1),FALSE)/VLOOKUP($A157,'Fuel economy adjusted factor'!$A$2:$F$52,5,FALSE)/$AZ$84*($AZ$15*('US Grid mix, emissions&amp;prices'!$AU$3+INDEX('Year data'!$B$3:$AC$53,MATCH('TCO Inputs'!$A157,'Year data'!$A$111:$A$161,0),MATCH('TCO Inputs'!$AZ$12+G$113-1,'Year data'!$B$110:$AC$110,0))/100)+$BA$15*('US Grid mix, emissions&amp;prices'!$AU$4+INDEX('Year data'!$B$57:$AC$107,MATCH($A157,'Year data'!$A$111:$A$161,0),MATCH('TCO Inputs'!$AZ$12+G$113-1,'Year data'!$B$110:$AC$110,0))/100))/(1+$AZ$41)^G$113</f>
        <v>886.56499689835425</v>
      </c>
      <c r="H157" s="106">
        <f>VLOOKUP($A157,'VKT US'!$B$63:$AA$113,(H$113+1),FALSE)/VLOOKUP($A157,'Fuel economy adjusted factor'!$A$2:$F$52,5,FALSE)/$AZ$84*($AZ$15*('US Grid mix, emissions&amp;prices'!$AU$3+INDEX('Year data'!$B$3:$AC$53,MATCH('TCO Inputs'!$A157,'Year data'!$A$111:$A$161,0),MATCH('TCO Inputs'!$AZ$12+H$113-1,'Year data'!$B$110:$AC$110,0))/100)+$BA$15*('US Grid mix, emissions&amp;prices'!$AU$4+INDEX('Year data'!$B$57:$AC$107,MATCH($A157,'Year data'!$A$111:$A$161,0),MATCH('TCO Inputs'!$AZ$12+H$113-1,'Year data'!$B$110:$AC$110,0))/100))/(1+$AZ$41)^H$113</f>
        <v>848.8464477092009</v>
      </c>
      <c r="I157" s="106">
        <f>VLOOKUP($A157,'VKT US'!$B$63:$AA$113,(I$113+1),FALSE)/VLOOKUP($A157,'Fuel economy adjusted factor'!$A$2:$F$52,5,FALSE)/$AZ$84*($AZ$15*('US Grid mix, emissions&amp;prices'!$AU$3+INDEX('Year data'!$B$3:$AC$53,MATCH('TCO Inputs'!$A157,'Year data'!$A$111:$A$161,0),MATCH('TCO Inputs'!$AZ$12+I$113-1,'Year data'!$B$110:$AC$110,0))/100)+$BA$15*('US Grid mix, emissions&amp;prices'!$AU$4+INDEX('Year data'!$B$57:$AC$107,MATCH($A157,'Year data'!$A$111:$A$161,0),MATCH('TCO Inputs'!$AZ$12+I$113-1,'Year data'!$B$110:$AC$110,0))/100))/(1+$AZ$41)^I$113</f>
        <v>815.63157669600287</v>
      </c>
      <c r="J157" s="106">
        <f>VLOOKUP($A157,'VKT US'!$B$63:$AA$113,(J$113+1),FALSE)/VLOOKUP($A157,'Fuel economy adjusted factor'!$A$2:$F$52,5,FALSE)/$AZ$84*($AZ$15*('US Grid mix, emissions&amp;prices'!$AU$3+INDEX('Year data'!$B$3:$AC$53,MATCH('TCO Inputs'!$A157,'Year data'!$A$111:$A$161,0),MATCH('TCO Inputs'!$AZ$12+J$113-1,'Year data'!$B$110:$AC$110,0))/100)+$BA$15*('US Grid mix, emissions&amp;prices'!$AU$4+INDEX('Year data'!$B$57:$AC$107,MATCH($A157,'Year data'!$A$111:$A$161,0),MATCH('TCO Inputs'!$AZ$12+J$113-1,'Year data'!$B$110:$AC$110,0))/100))/(1+$AZ$41)^J$113</f>
        <v>784.99881971685556</v>
      </c>
      <c r="K157" s="106">
        <f>VLOOKUP($A157,'VKT US'!$B$63:$AA$113,(K$113+1),FALSE)/VLOOKUP($A157,'Fuel economy adjusted factor'!$A$2:$F$52,5,FALSE)/$AZ$84*($AZ$15*('US Grid mix, emissions&amp;prices'!$AU$3+INDEX('Year data'!$B$3:$AC$53,MATCH('TCO Inputs'!$A157,'Year data'!$A$111:$A$161,0),MATCH('TCO Inputs'!$AZ$12+K$113-1,'Year data'!$B$110:$AC$110,0))/100)+$BA$15*('US Grid mix, emissions&amp;prices'!$AU$4+INDEX('Year data'!$B$57:$AC$107,MATCH($A157,'Year data'!$A$111:$A$161,0),MATCH('TCO Inputs'!$AZ$12+K$113-1,'Year data'!$B$110:$AC$110,0))/100))/(1+$AZ$41)^K$113</f>
        <v>755.68153110564049</v>
      </c>
      <c r="L157" s="106">
        <f>VLOOKUP($A157,'VKT US'!$B$63:$AA$113,(L$113+1),FALSE)/VLOOKUP($A157,'Fuel economy adjusted factor'!$A$2:$F$52,5,FALSE)/$AZ$84*($AZ$15*('US Grid mix, emissions&amp;prices'!$AU$3+INDEX('Year data'!$B$3:$AC$53,MATCH('TCO Inputs'!$A157,'Year data'!$A$111:$A$161,0),MATCH('TCO Inputs'!$AZ$12+L$113-1,'Year data'!$B$110:$AC$110,0))/100)+$BA$15*('US Grid mix, emissions&amp;prices'!$AU$4+INDEX('Year data'!$B$57:$AC$107,MATCH($A157,'Year data'!$A$111:$A$161,0),MATCH('TCO Inputs'!$AZ$12+L$113-1,'Year data'!$B$110:$AC$110,0))/100))/(1+$AZ$41)^L$113</f>
        <v>732.26904126727516</v>
      </c>
      <c r="M157" s="106">
        <f>VLOOKUP($A157,'VKT US'!$B$63:$AA$113,(M$113+1),FALSE)/VLOOKUP($A157,'Fuel economy adjusted factor'!$A$2:$F$52,5,FALSE)/$AZ$84*($AZ$15*('US Grid mix, emissions&amp;prices'!$AU$3+INDEX('Year data'!$B$3:$AC$53,MATCH('TCO Inputs'!$A157,'Year data'!$A$111:$A$161,0),MATCH('TCO Inputs'!$AZ$12+M$113-1,'Year data'!$B$110:$AC$110,0))/100)+$BA$15*('US Grid mix, emissions&amp;prices'!$AU$4+INDEX('Year data'!$B$57:$AC$107,MATCH($A157,'Year data'!$A$111:$A$161,0),MATCH('TCO Inputs'!$AZ$12+M$113-1,'Year data'!$B$110:$AC$110,0))/100))/(1+$AZ$41)^M$113</f>
        <v>708.53831941187525</v>
      </c>
      <c r="N157" s="106">
        <f>VLOOKUP($A157,'VKT US'!$B$63:$AA$113,(N$113+1),FALSE)/VLOOKUP($A157,'Fuel economy adjusted factor'!$A$2:$F$52,5,FALSE)/$AZ$84*($AZ$15*('US Grid mix, emissions&amp;prices'!$AU$3+INDEX('Year data'!$B$3:$AC$53,MATCH('TCO Inputs'!$A157,'Year data'!$A$111:$A$161,0),MATCH('TCO Inputs'!$AZ$12+N$113-1,'Year data'!$B$110:$AC$110,0))/100)+$BA$15*('US Grid mix, emissions&amp;prices'!$AU$4+INDEX('Year data'!$B$57:$AC$107,MATCH($A157,'Year data'!$A$111:$A$161,0),MATCH('TCO Inputs'!$AZ$12+N$113-1,'Year data'!$B$110:$AC$110,0))/100))/(1+$AZ$41)^N$113</f>
        <v>681.95943591424725</v>
      </c>
      <c r="O157" s="106">
        <f>VLOOKUP($A157,'VKT US'!$B$63:$AA$113,(O$113+1),FALSE)/VLOOKUP($A157,'Fuel economy adjusted factor'!$A$2:$F$52,5,FALSE)/$AZ$84*($AZ$15*('US Grid mix, emissions&amp;prices'!$AU$3+INDEX('Year data'!$B$3:$AC$53,MATCH('TCO Inputs'!$A157,'Year data'!$A$111:$A$161,0),MATCH('TCO Inputs'!$AZ$12+O$113-1,'Year data'!$B$110:$AC$110,0))/100)+$BA$15*('US Grid mix, emissions&amp;prices'!$AU$4+INDEX('Year data'!$B$57:$AC$107,MATCH($A157,'Year data'!$A$111:$A$161,0),MATCH('TCO Inputs'!$AZ$12+O$113-1,'Year data'!$B$110:$AC$110,0))/100))/(1+$AZ$41)^O$113</f>
        <v>658.83895543579422</v>
      </c>
      <c r="P157" s="106">
        <f>VLOOKUP($A157,'VKT US'!$B$63:$AA$113,(P$113+1),FALSE)/VLOOKUP($A157,'Fuel economy adjusted factor'!$A$2:$F$52,5,FALSE)/$AZ$84*($AZ$15*('US Grid mix, emissions&amp;prices'!$AU$3+INDEX('Year data'!$B$3:$AC$53,MATCH('TCO Inputs'!$A157,'Year data'!$A$111:$A$161,0),MATCH('TCO Inputs'!$AZ$12+P$113-1,'Year data'!$B$110:$AC$110,0))/100)+$BA$15*('US Grid mix, emissions&amp;prices'!$AU$4+INDEX('Year data'!$B$57:$AC$107,MATCH($A157,'Year data'!$A$111:$A$161,0),MATCH('TCO Inputs'!$AZ$12+P$113-1,'Year data'!$B$110:$AC$110,0))/100))/(1+$AZ$41)^P$113</f>
        <v>637.41762717686356</v>
      </c>
      <c r="Q157" s="106">
        <f>VLOOKUP($A157,'VKT US'!$B$63:$AA$113,(Q$113+1),FALSE)/VLOOKUP($A157,'Fuel economy adjusted factor'!$A$2:$F$52,5,FALSE)/$AZ$84*($AZ$15*('US Grid mix, emissions&amp;prices'!$AU$3+INDEX('Year data'!$B$3:$AC$53,MATCH('TCO Inputs'!$A157,'Year data'!$A$111:$A$161,0),MATCH('TCO Inputs'!$AZ$12+Q$113-1,'Year data'!$B$110:$AC$110,0))/100)+$BA$15*('US Grid mix, emissions&amp;prices'!$AU$4+INDEX('Year data'!$B$57:$AC$107,MATCH($A157,'Year data'!$A$111:$A$161,0),MATCH('TCO Inputs'!$AZ$12+Q$113-1,'Year data'!$B$110:$AC$110,0))/100))/(1+$AZ$41)^Q$113</f>
        <v>618.49308062644047</v>
      </c>
      <c r="R157" s="106">
        <f>VLOOKUP($A157,'VKT US'!$B$63:$AA$113,(R$113+1),FALSE)/VLOOKUP($A157,'Fuel economy adjusted factor'!$A$2:$F$52,5,FALSE)/$AZ$84*($AZ$15*('US Grid mix, emissions&amp;prices'!$AU$3+INDEX('Year data'!$B$3:$AC$53,MATCH('TCO Inputs'!$A157,'Year data'!$A$111:$A$161,0),MATCH('TCO Inputs'!$AZ$12+R$113-1,'Year data'!$B$110:$AC$110,0))/100)+$BA$15*('US Grid mix, emissions&amp;prices'!$AU$4+INDEX('Year data'!$B$57:$AC$107,MATCH($A157,'Year data'!$A$111:$A$161,0),MATCH('TCO Inputs'!$AZ$12+R$113-1,'Year data'!$B$110:$AC$110,0))/100))/(1+$AZ$41)^R$113</f>
        <v>599.52243559710848</v>
      </c>
      <c r="S157" s="106">
        <f>VLOOKUP($A157,'VKT US'!$B$63:$AA$113,(S$113+1),FALSE)/VLOOKUP($A157,'Fuel economy adjusted factor'!$A$2:$F$52,5,FALSE)/$AZ$84*($AZ$15*('US Grid mix, emissions&amp;prices'!$AU$3+INDEX('Year data'!$B$3:$AC$53,MATCH('TCO Inputs'!$A157,'Year data'!$A$111:$A$161,0),MATCH('TCO Inputs'!$AZ$12+S$113-1,'Year data'!$B$110:$AC$110,0))/100)+$BA$15*('US Grid mix, emissions&amp;prices'!$AU$4+INDEX('Year data'!$B$57:$AC$107,MATCH($A157,'Year data'!$A$111:$A$161,0),MATCH('TCO Inputs'!$AZ$12+S$113-1,'Year data'!$B$110:$AC$110,0))/100))/(1+$AZ$41)^S$113</f>
        <v>581.736873891919</v>
      </c>
      <c r="T157" s="106">
        <f>VLOOKUP($A157,'VKT US'!$B$63:$AA$113,(T$113+1),FALSE)/VLOOKUP($A157,'Fuel economy adjusted factor'!$A$2:$F$52,5,FALSE)/$AZ$84*($AZ$15*('US Grid mix, emissions&amp;prices'!$AU$3+INDEX('Year data'!$B$3:$AC$53,MATCH('TCO Inputs'!$A157,'Year data'!$A$111:$A$161,0),MATCH('TCO Inputs'!$AZ$12+T$113-1,'Year data'!$B$110:$AC$110,0))/100)+$BA$15*('US Grid mix, emissions&amp;prices'!$AU$4+INDEX('Year data'!$B$57:$AC$107,MATCH($A157,'Year data'!$A$111:$A$161,0),MATCH('TCO Inputs'!$AZ$12+T$113-1,'Year data'!$B$110:$AC$110,0))/100))/(1+$AZ$41)^T$113</f>
        <v>564.53588198986802</v>
      </c>
      <c r="U157" s="106">
        <f>VLOOKUP($A157,'VKT US'!$B$63:$AA$113,(U$113+1),FALSE)/VLOOKUP($A157,'Fuel economy adjusted factor'!$A$2:$F$52,5,FALSE)/$AZ$84*($AZ$15*('US Grid mix, emissions&amp;prices'!$AU$3+INDEX('Year data'!$B$3:$AC$53,MATCH('TCO Inputs'!$A157,'Year data'!$A$111:$A$161,0),MATCH('TCO Inputs'!$AZ$12+U$113-1,'Year data'!$B$110:$AC$110,0))/100)+$BA$15*('US Grid mix, emissions&amp;prices'!$AU$4+INDEX('Year data'!$B$57:$AC$107,MATCH($A157,'Year data'!$A$111:$A$161,0),MATCH('TCO Inputs'!$AZ$12+U$113-1,'Year data'!$B$110:$AC$110,0))/100))/(1+$AZ$41)^U$113</f>
        <v>547.74700440866911</v>
      </c>
      <c r="V157" s="110" cm="1">
        <f t="array" ref="V157">SUMPRODUCT(INDEX(B157:U157,,_xlfn.SEQUENCE($AZ$13)))</f>
        <v>12073.862605143129</v>
      </c>
      <c r="Y157" s="102" t="s">
        <v>226</v>
      </c>
      <c r="Z157" s="106">
        <f>VLOOKUP($A157,'VKT US'!$B$63:$AA$113,(Z$113+1),FALSE)/VLOOKUP($A157,'Fuel economy adjusted factor'!$A$2:$F$52,5,FALSE)/$AZ$84</f>
        <v>6837.7697392741566</v>
      </c>
      <c r="AA157" s="106">
        <f>VLOOKUP($A157,'VKT US'!$B$63:$AA$113,(AA$113+1),FALSE)/VLOOKUP($A157,'Fuel economy adjusted factor'!$A$2:$F$52,5,FALSE)/$AZ$84</f>
        <v>6634.3939716896211</v>
      </c>
      <c r="AB157" s="106">
        <f>VLOOKUP($A157,'VKT US'!$B$63:$AA$113,(AB$113+1),FALSE)/VLOOKUP($A157,'Fuel economy adjusted factor'!$A$2:$F$52,5,FALSE)/$AZ$84</f>
        <v>6437.4354006550857</v>
      </c>
      <c r="AC157" s="106">
        <f>VLOOKUP($A157,'VKT US'!$B$63:$AA$113,(AC$113+1),FALSE)/VLOOKUP($A157,'Fuel economy adjusted factor'!$A$2:$F$52,5,FALSE)/$AZ$84</f>
        <v>6247.3876566743938</v>
      </c>
      <c r="AD157" s="106">
        <f>VLOOKUP($A157,'VKT US'!$B$63:$AA$113,(AD$113+1),FALSE)/VLOOKUP($A157,'Fuel economy adjusted factor'!$A$2:$F$52,5,FALSE)/$AZ$84</f>
        <v>6063.7571092436983</v>
      </c>
      <c r="AE157" s="106">
        <f>VLOOKUP($A157,'VKT US'!$B$63:$AA$113,(AE$113+1),FALSE)/VLOOKUP($A157,'Fuel economy adjusted factor'!$A$2:$F$52,5,FALSE)/$AZ$84</f>
        <v>5887.5310193706937</v>
      </c>
      <c r="AF157" s="106">
        <f>VLOOKUP($A157,'VKT US'!$B$63:$AA$113,(AF$113+1),FALSE)/VLOOKUP($A157,'Fuel economy adjusted factor'!$A$2:$F$52,5,FALSE)/$AZ$84</f>
        <v>5717.2284955438399</v>
      </c>
      <c r="AG157" s="106">
        <f>VLOOKUP($A157,'VKT US'!$B$63:$AA$113,(AG$113+1),FALSE)/VLOOKUP($A157,'Fuel economy adjusted factor'!$A$2:$F$52,5,FALSE)/$AZ$84</f>
        <v>5553.8367987708289</v>
      </c>
      <c r="AH157" s="106">
        <f>VLOOKUP($A157,'VKT US'!$B$63:$AA$113,(AH$113+1),FALSE)/VLOOKUP($A157,'Fuel economy adjusted factor'!$A$2:$F$52,5,FALSE)/$AZ$84</f>
        <v>5397.3559290516614</v>
      </c>
      <c r="AI157" s="106">
        <f>VLOOKUP($A157,'VKT US'!$B$63:$AA$113,(AI$113+1),FALSE)/VLOOKUP($A157,'Fuel economy adjusted factor'!$A$2:$F$52,5,FALSE)/$AZ$84</f>
        <v>5247.7858863863376</v>
      </c>
      <c r="AJ157" s="106">
        <f>VLOOKUP($A157,'VKT US'!$B$63:$AA$113,(AJ$113+1),FALSE)/VLOOKUP($A157,'Fuel economy adjusted factor'!$A$2:$F$52,5,FALSE)/$AZ$84</f>
        <v>5104.6330402710109</v>
      </c>
      <c r="AK157" s="106">
        <f>VLOOKUP($A157,'VKT US'!$B$63:$AA$113,(AK$113+1),FALSE)/VLOOKUP($A157,'Fuel economy adjusted factor'!$A$2:$F$52,5,FALSE)/$AZ$84</f>
        <v>4968.391021209527</v>
      </c>
      <c r="AL157" s="106">
        <f>VLOOKUP($A157,'VKT US'!$B$63:$AA$113,(AL$113+1),FALSE)/VLOOKUP($A157,'Fuel economy adjusted factor'!$A$2:$F$52,5,FALSE)/$AZ$84</f>
        <v>4838.5661986980422</v>
      </c>
      <c r="AM157" s="106">
        <f>VLOOKUP($A157,'VKT US'!$B$63:$AA$113,(AM$113+1),FALSE)/VLOOKUP($A157,'Fuel economy adjusted factor'!$A$2:$F$52,5,FALSE)/$AZ$84</f>
        <v>4715.6522032403991</v>
      </c>
      <c r="AN157" s="106">
        <f>VLOOKUP($A157,'VKT US'!$B$63:$AA$113,(AN$113+1),FALSE)/VLOOKUP($A157,'Fuel economy adjusted factor'!$A$2:$F$52,5,FALSE)/$AZ$84</f>
        <v>4599.1554043327533</v>
      </c>
      <c r="AO157" s="106">
        <f>VLOOKUP($A157,'VKT US'!$B$63:$AA$113,(AO$113+1),FALSE)/VLOOKUP($A157,'Fuel economy adjusted factor'!$A$2:$F$52,5,FALSE)/$AZ$84</f>
        <v>4490.0630629827965</v>
      </c>
      <c r="AP157" s="106">
        <f>VLOOKUP($A157,'VKT US'!$B$63:$AA$113,(AP$113+1),FALSE)/VLOOKUP($A157,'Fuel economy adjusted factor'!$A$2:$F$52,5,FALSE)/$AZ$84</f>
        <v>4386.8942876789924</v>
      </c>
      <c r="AQ157" s="106">
        <f>VLOOKUP($A157,'VKT US'!$B$63:$AA$113,(AQ$113+1),FALSE)/VLOOKUP($A157,'Fuel economy adjusted factor'!$A$2:$F$52,5,FALSE)/$AZ$84</f>
        <v>4291.1299699328783</v>
      </c>
      <c r="AR157" s="106">
        <f>VLOOKUP($A157,'VKT US'!$B$63:$AA$113,(AR$113+1),FALSE)/VLOOKUP($A157,'Fuel economy adjusted factor'!$A$2:$F$52,5,FALSE)/$AZ$84</f>
        <v>4201.2892182329142</v>
      </c>
      <c r="AS157" s="106">
        <f>VLOOKUP($A157,'VKT US'!$B$63:$AA$113,(AS$113+1),FALSE)/VLOOKUP($A157,'Fuel economy adjusted factor'!$A$2:$F$52,5,FALSE)/$AZ$84</f>
        <v>4118.85292409064</v>
      </c>
      <c r="AT157" s="110" cm="1">
        <f t="array" ref="AT157">SUMPRODUCT(INDEX(Z157:AS157,,_xlfn.SEQUENCE($AZ$13)))</f>
        <v>79651.724470079294</v>
      </c>
    </row>
    <row r="158" spans="1:46" x14ac:dyDescent="0.25">
      <c r="A158" s="102" t="s">
        <v>228</v>
      </c>
      <c r="B158" s="106">
        <f>VLOOKUP($A158,'VKT US'!$B$63:$AA$113,(B$113+1),FALSE)/VLOOKUP($A158,'Fuel economy adjusted factor'!$A$2:$F$52,5,FALSE)/$AZ$84*($AZ$15*('US Grid mix, emissions&amp;prices'!$AU$3+INDEX('Year data'!$B$3:$AC$53,MATCH('TCO Inputs'!$A158,'Year data'!$A$111:$A$161,0),MATCH('TCO Inputs'!$AZ$12+B$113-1,'Year data'!$B$110:$AC$110,0))/100)+$BA$15*('US Grid mix, emissions&amp;prices'!$AU$4+INDEX('Year data'!$B$57:$AC$107,MATCH($A158,'Year data'!$A$111:$A$161,0),MATCH('TCO Inputs'!$AZ$12+B$113-1,'Year data'!$B$110:$AC$110,0))/100))/(1+$AZ$41)^B$113</f>
        <v>1551.6482864250156</v>
      </c>
      <c r="C158" s="106">
        <f>VLOOKUP($A158,'VKT US'!$B$63:$AA$113,(C$113+1),FALSE)/VLOOKUP($A158,'Fuel economy adjusted factor'!$A$2:$F$52,5,FALSE)/$AZ$84*($AZ$15*('US Grid mix, emissions&amp;prices'!$AU$3+INDEX('Year data'!$B$3:$AC$53,MATCH('TCO Inputs'!$A158,'Year data'!$A$111:$A$161,0),MATCH('TCO Inputs'!$AZ$12+C$113-1,'Year data'!$B$110:$AC$110,0))/100)+$BA$15*('US Grid mix, emissions&amp;prices'!$AU$4+INDEX('Year data'!$B$57:$AC$107,MATCH($A158,'Year data'!$A$111:$A$161,0),MATCH('TCO Inputs'!$AZ$12+C$113-1,'Year data'!$B$110:$AC$110,0))/100))/(1+$AZ$41)^C$113</f>
        <v>1458.3447026922031</v>
      </c>
      <c r="D158" s="106">
        <f>VLOOKUP($A158,'VKT US'!$B$63:$AA$113,(D$113+1),FALSE)/VLOOKUP($A158,'Fuel economy adjusted factor'!$A$2:$F$52,5,FALSE)/$AZ$84*($AZ$15*('US Grid mix, emissions&amp;prices'!$AU$3+INDEX('Year data'!$B$3:$AC$53,MATCH('TCO Inputs'!$A158,'Year data'!$A$111:$A$161,0),MATCH('TCO Inputs'!$AZ$12+D$113-1,'Year data'!$B$110:$AC$110,0))/100)+$BA$15*('US Grid mix, emissions&amp;prices'!$AU$4+INDEX('Year data'!$B$57:$AC$107,MATCH($A158,'Year data'!$A$111:$A$161,0),MATCH('TCO Inputs'!$AZ$12+D$113-1,'Year data'!$B$110:$AC$110,0))/100))/(1+$AZ$41)^D$113</f>
        <v>1364.4583030862082</v>
      </c>
      <c r="E158" s="106">
        <f>VLOOKUP($A158,'VKT US'!$B$63:$AA$113,(E$113+1),FALSE)/VLOOKUP($A158,'Fuel economy adjusted factor'!$A$2:$F$52,5,FALSE)/$AZ$84*($AZ$15*('US Grid mix, emissions&amp;prices'!$AU$3+INDEX('Year data'!$B$3:$AC$53,MATCH('TCO Inputs'!$A158,'Year data'!$A$111:$A$161,0),MATCH('TCO Inputs'!$AZ$12+E$113-1,'Year data'!$B$110:$AC$110,0))/100)+$BA$15*('US Grid mix, emissions&amp;prices'!$AU$4+INDEX('Year data'!$B$57:$AC$107,MATCH($A158,'Year data'!$A$111:$A$161,0),MATCH('TCO Inputs'!$AZ$12+E$113-1,'Year data'!$B$110:$AC$110,0))/100))/(1+$AZ$41)^E$113</f>
        <v>1289.8615332161867</v>
      </c>
      <c r="F158" s="106">
        <f>VLOOKUP($A158,'VKT US'!$B$63:$AA$113,(F$113+1),FALSE)/VLOOKUP($A158,'Fuel economy adjusted factor'!$A$2:$F$52,5,FALSE)/$AZ$84*($AZ$15*('US Grid mix, emissions&amp;prices'!$AU$3+INDEX('Year data'!$B$3:$AC$53,MATCH('TCO Inputs'!$A158,'Year data'!$A$111:$A$161,0),MATCH('TCO Inputs'!$AZ$12+F$113-1,'Year data'!$B$110:$AC$110,0))/100)+$BA$15*('US Grid mix, emissions&amp;prices'!$AU$4+INDEX('Year data'!$B$57:$AC$107,MATCH($A158,'Year data'!$A$111:$A$161,0),MATCH('TCO Inputs'!$AZ$12+F$113-1,'Year data'!$B$110:$AC$110,0))/100))/(1+$AZ$41)^F$113</f>
        <v>1223.7012752231558</v>
      </c>
      <c r="G158" s="106">
        <f>VLOOKUP($A158,'VKT US'!$B$63:$AA$113,(G$113+1),FALSE)/VLOOKUP($A158,'Fuel economy adjusted factor'!$A$2:$F$52,5,FALSE)/$AZ$84*($AZ$15*('US Grid mix, emissions&amp;prices'!$AU$3+INDEX('Year data'!$B$3:$AC$53,MATCH('TCO Inputs'!$A158,'Year data'!$A$111:$A$161,0),MATCH('TCO Inputs'!$AZ$12+G$113-1,'Year data'!$B$110:$AC$110,0))/100)+$BA$15*('US Grid mix, emissions&amp;prices'!$AU$4+INDEX('Year data'!$B$57:$AC$107,MATCH($A158,'Year data'!$A$111:$A$161,0),MATCH('TCO Inputs'!$AZ$12+G$113-1,'Year data'!$B$110:$AC$110,0))/100))/(1+$AZ$41)^G$113</f>
        <v>1164.7500974243974</v>
      </c>
      <c r="H158" s="106">
        <f>VLOOKUP($A158,'VKT US'!$B$63:$AA$113,(H$113+1),FALSE)/VLOOKUP($A158,'Fuel economy adjusted factor'!$A$2:$F$52,5,FALSE)/$AZ$84*($AZ$15*('US Grid mix, emissions&amp;prices'!$AU$3+INDEX('Year data'!$B$3:$AC$53,MATCH('TCO Inputs'!$A158,'Year data'!$A$111:$A$161,0),MATCH('TCO Inputs'!$AZ$12+H$113-1,'Year data'!$B$110:$AC$110,0))/100)+$BA$15*('US Grid mix, emissions&amp;prices'!$AU$4+INDEX('Year data'!$B$57:$AC$107,MATCH($A158,'Year data'!$A$111:$A$161,0),MATCH('TCO Inputs'!$AZ$12+H$113-1,'Year data'!$B$110:$AC$110,0))/100))/(1+$AZ$41)^H$113</f>
        <v>1114.5565527604635</v>
      </c>
      <c r="I158" s="106">
        <f>VLOOKUP($A158,'VKT US'!$B$63:$AA$113,(I$113+1),FALSE)/VLOOKUP($A158,'Fuel economy adjusted factor'!$A$2:$F$52,5,FALSE)/$AZ$84*($AZ$15*('US Grid mix, emissions&amp;prices'!$AU$3+INDEX('Year data'!$B$3:$AC$53,MATCH('TCO Inputs'!$A158,'Year data'!$A$111:$A$161,0),MATCH('TCO Inputs'!$AZ$12+I$113-1,'Year data'!$B$110:$AC$110,0))/100)+$BA$15*('US Grid mix, emissions&amp;prices'!$AU$4+INDEX('Year data'!$B$57:$AC$107,MATCH($A158,'Year data'!$A$111:$A$161,0),MATCH('TCO Inputs'!$AZ$12+I$113-1,'Year data'!$B$110:$AC$110,0))/100))/(1+$AZ$41)^I$113</f>
        <v>1071.1924092886411</v>
      </c>
      <c r="J158" s="106">
        <f>VLOOKUP($A158,'VKT US'!$B$63:$AA$113,(J$113+1),FALSE)/VLOOKUP($A158,'Fuel economy adjusted factor'!$A$2:$F$52,5,FALSE)/$AZ$84*($AZ$15*('US Grid mix, emissions&amp;prices'!$AU$3+INDEX('Year data'!$B$3:$AC$53,MATCH('TCO Inputs'!$A158,'Year data'!$A$111:$A$161,0),MATCH('TCO Inputs'!$AZ$12+J$113-1,'Year data'!$B$110:$AC$110,0))/100)+$BA$15*('US Grid mix, emissions&amp;prices'!$AU$4+INDEX('Year data'!$B$57:$AC$107,MATCH($A158,'Year data'!$A$111:$A$161,0),MATCH('TCO Inputs'!$AZ$12+J$113-1,'Year data'!$B$110:$AC$110,0))/100))/(1+$AZ$41)^J$113</f>
        <v>1031.5021367973545</v>
      </c>
      <c r="K158" s="106">
        <f>VLOOKUP($A158,'VKT US'!$B$63:$AA$113,(K$113+1),FALSE)/VLOOKUP($A158,'Fuel economy adjusted factor'!$A$2:$F$52,5,FALSE)/$AZ$84*($AZ$15*('US Grid mix, emissions&amp;prices'!$AU$3+INDEX('Year data'!$B$3:$AC$53,MATCH('TCO Inputs'!$A158,'Year data'!$A$111:$A$161,0),MATCH('TCO Inputs'!$AZ$12+K$113-1,'Year data'!$B$110:$AC$110,0))/100)+$BA$15*('US Grid mix, emissions&amp;prices'!$AU$4+INDEX('Year data'!$B$57:$AC$107,MATCH($A158,'Year data'!$A$111:$A$161,0),MATCH('TCO Inputs'!$AZ$12+K$113-1,'Year data'!$B$110:$AC$110,0))/100))/(1+$AZ$41)^K$113</f>
        <v>993.43429830845571</v>
      </c>
      <c r="L158" s="106">
        <f>VLOOKUP($A158,'VKT US'!$B$63:$AA$113,(L$113+1),FALSE)/VLOOKUP($A158,'Fuel economy adjusted factor'!$A$2:$F$52,5,FALSE)/$AZ$84*($AZ$15*('US Grid mix, emissions&amp;prices'!$AU$3+INDEX('Year data'!$B$3:$AC$53,MATCH('TCO Inputs'!$A158,'Year data'!$A$111:$A$161,0),MATCH('TCO Inputs'!$AZ$12+L$113-1,'Year data'!$B$110:$AC$110,0))/100)+$BA$15*('US Grid mix, emissions&amp;prices'!$AU$4+INDEX('Year data'!$B$57:$AC$107,MATCH($A158,'Year data'!$A$111:$A$161,0),MATCH('TCO Inputs'!$AZ$12+L$113-1,'Year data'!$B$110:$AC$110,0))/100))/(1+$AZ$41)^L$113</f>
        <v>964.56407896094299</v>
      </c>
      <c r="M158" s="106">
        <f>VLOOKUP($A158,'VKT US'!$B$63:$AA$113,(M$113+1),FALSE)/VLOOKUP($A158,'Fuel economy adjusted factor'!$A$2:$F$52,5,FALSE)/$AZ$84*($AZ$15*('US Grid mix, emissions&amp;prices'!$AU$3+INDEX('Year data'!$B$3:$AC$53,MATCH('TCO Inputs'!$A158,'Year data'!$A$111:$A$161,0),MATCH('TCO Inputs'!$AZ$12+M$113-1,'Year data'!$B$110:$AC$110,0))/100)+$BA$15*('US Grid mix, emissions&amp;prices'!$AU$4+INDEX('Year data'!$B$57:$AC$107,MATCH($A158,'Year data'!$A$111:$A$161,0),MATCH('TCO Inputs'!$AZ$12+M$113-1,'Year data'!$B$110:$AC$110,0))/100))/(1+$AZ$41)^M$113</f>
        <v>934.66337199376778</v>
      </c>
      <c r="N158" s="106">
        <f>VLOOKUP($A158,'VKT US'!$B$63:$AA$113,(N$113+1),FALSE)/VLOOKUP($A158,'Fuel economy adjusted factor'!$A$2:$F$52,5,FALSE)/$AZ$84*($AZ$15*('US Grid mix, emissions&amp;prices'!$AU$3+INDEX('Year data'!$B$3:$AC$53,MATCH('TCO Inputs'!$A158,'Year data'!$A$111:$A$161,0),MATCH('TCO Inputs'!$AZ$12+N$113-1,'Year data'!$B$110:$AC$110,0))/100)+$BA$15*('US Grid mix, emissions&amp;prices'!$AU$4+INDEX('Year data'!$B$57:$AC$107,MATCH($A158,'Year data'!$A$111:$A$161,0),MATCH('TCO Inputs'!$AZ$12+N$113-1,'Year data'!$B$110:$AC$110,0))/100))/(1+$AZ$41)^N$113</f>
        <v>899.62377645052902</v>
      </c>
      <c r="O158" s="106">
        <f>VLOOKUP($A158,'VKT US'!$B$63:$AA$113,(O$113+1),FALSE)/VLOOKUP($A158,'Fuel economy adjusted factor'!$A$2:$F$52,5,FALSE)/$AZ$84*($AZ$15*('US Grid mix, emissions&amp;prices'!$AU$3+INDEX('Year data'!$B$3:$AC$53,MATCH('TCO Inputs'!$A158,'Year data'!$A$111:$A$161,0),MATCH('TCO Inputs'!$AZ$12+O$113-1,'Year data'!$B$110:$AC$110,0))/100)+$BA$15*('US Grid mix, emissions&amp;prices'!$AU$4+INDEX('Year data'!$B$57:$AC$107,MATCH($A158,'Year data'!$A$111:$A$161,0),MATCH('TCO Inputs'!$AZ$12+O$113-1,'Year data'!$B$110:$AC$110,0))/100))/(1+$AZ$41)^O$113</f>
        <v>869.77874909270236</v>
      </c>
      <c r="P158" s="106">
        <f>VLOOKUP($A158,'VKT US'!$B$63:$AA$113,(P$113+1),FALSE)/VLOOKUP($A158,'Fuel economy adjusted factor'!$A$2:$F$52,5,FALSE)/$AZ$84*($AZ$15*('US Grid mix, emissions&amp;prices'!$AU$3+INDEX('Year data'!$B$3:$AC$53,MATCH('TCO Inputs'!$A158,'Year data'!$A$111:$A$161,0),MATCH('TCO Inputs'!$AZ$12+P$113-1,'Year data'!$B$110:$AC$110,0))/100)+$BA$15*('US Grid mix, emissions&amp;prices'!$AU$4+INDEX('Year data'!$B$57:$AC$107,MATCH($A158,'Year data'!$A$111:$A$161,0),MATCH('TCO Inputs'!$AZ$12+P$113-1,'Year data'!$B$110:$AC$110,0))/100))/(1+$AZ$41)^P$113</f>
        <v>842.27261229716532</v>
      </c>
      <c r="Q158" s="106">
        <f>VLOOKUP($A158,'VKT US'!$B$63:$AA$113,(Q$113+1),FALSE)/VLOOKUP($A158,'Fuel economy adjusted factor'!$A$2:$F$52,5,FALSE)/$AZ$84*($AZ$15*('US Grid mix, emissions&amp;prices'!$AU$3+INDEX('Year data'!$B$3:$AC$53,MATCH('TCO Inputs'!$A158,'Year data'!$A$111:$A$161,0),MATCH('TCO Inputs'!$AZ$12+Q$113-1,'Year data'!$B$110:$AC$110,0))/100)+$BA$15*('US Grid mix, emissions&amp;prices'!$AU$4+INDEX('Year data'!$B$57:$AC$107,MATCH($A158,'Year data'!$A$111:$A$161,0),MATCH('TCO Inputs'!$AZ$12+Q$113-1,'Year data'!$B$110:$AC$110,0))/100))/(1+$AZ$41)^Q$113</f>
        <v>818.39363588572678</v>
      </c>
      <c r="R158" s="106">
        <f>VLOOKUP($A158,'VKT US'!$B$63:$AA$113,(R$113+1),FALSE)/VLOOKUP($A158,'Fuel economy adjusted factor'!$A$2:$F$52,5,FALSE)/$AZ$84*($AZ$15*('US Grid mix, emissions&amp;prices'!$AU$3+INDEX('Year data'!$B$3:$AC$53,MATCH('TCO Inputs'!$A158,'Year data'!$A$111:$A$161,0),MATCH('TCO Inputs'!$AZ$12+R$113-1,'Year data'!$B$110:$AC$110,0))/100)+$BA$15*('US Grid mix, emissions&amp;prices'!$AU$4+INDEX('Year data'!$B$57:$AC$107,MATCH($A158,'Year data'!$A$111:$A$161,0),MATCH('TCO Inputs'!$AZ$12+R$113-1,'Year data'!$B$110:$AC$110,0))/100))/(1+$AZ$41)^R$113</f>
        <v>794.0446208968425</v>
      </c>
      <c r="S158" s="106">
        <f>VLOOKUP($A158,'VKT US'!$B$63:$AA$113,(S$113+1),FALSE)/VLOOKUP($A158,'Fuel economy adjusted factor'!$A$2:$F$52,5,FALSE)/$AZ$84*($AZ$15*('US Grid mix, emissions&amp;prices'!$AU$3+INDEX('Year data'!$B$3:$AC$53,MATCH('TCO Inputs'!$A158,'Year data'!$A$111:$A$161,0),MATCH('TCO Inputs'!$AZ$12+S$113-1,'Year data'!$B$110:$AC$110,0))/100)+$BA$15*('US Grid mix, emissions&amp;prices'!$AU$4+INDEX('Year data'!$B$57:$AC$107,MATCH($A158,'Year data'!$A$111:$A$161,0),MATCH('TCO Inputs'!$AZ$12+S$113-1,'Year data'!$B$110:$AC$110,0))/100))/(1+$AZ$41)^S$113</f>
        <v>771.18761682521517</v>
      </c>
      <c r="T158" s="106">
        <f>VLOOKUP($A158,'VKT US'!$B$63:$AA$113,(T$113+1),FALSE)/VLOOKUP($A158,'Fuel economy adjusted factor'!$A$2:$F$52,5,FALSE)/$AZ$84*($AZ$15*('US Grid mix, emissions&amp;prices'!$AU$3+INDEX('Year data'!$B$3:$AC$53,MATCH('TCO Inputs'!$A158,'Year data'!$A$111:$A$161,0),MATCH('TCO Inputs'!$AZ$12+T$113-1,'Year data'!$B$110:$AC$110,0))/100)+$BA$15*('US Grid mix, emissions&amp;prices'!$AU$4+INDEX('Year data'!$B$57:$AC$107,MATCH($A158,'Year data'!$A$111:$A$161,0),MATCH('TCO Inputs'!$AZ$12+T$113-1,'Year data'!$B$110:$AC$110,0))/100))/(1+$AZ$41)^T$113</f>
        <v>748.919330131631</v>
      </c>
      <c r="U158" s="106">
        <f>VLOOKUP($A158,'VKT US'!$B$63:$AA$113,(U$113+1),FALSE)/VLOOKUP($A158,'Fuel economy adjusted factor'!$A$2:$F$52,5,FALSE)/$AZ$84*($AZ$15*('US Grid mix, emissions&amp;prices'!$AU$3+INDEX('Year data'!$B$3:$AC$53,MATCH('TCO Inputs'!$A158,'Year data'!$A$111:$A$161,0),MATCH('TCO Inputs'!$AZ$12+U$113-1,'Year data'!$B$110:$AC$110,0))/100)+$BA$15*('US Grid mix, emissions&amp;prices'!$AU$4+INDEX('Year data'!$B$57:$AC$107,MATCH($A158,'Year data'!$A$111:$A$161,0),MATCH('TCO Inputs'!$AZ$12+U$113-1,'Year data'!$B$110:$AC$110,0))/100))/(1+$AZ$41)^U$113</f>
        <v>726.90342972829581</v>
      </c>
      <c r="V158" s="110" cm="1">
        <f t="array" ref="V158">SUMPRODUCT(INDEX(B158:U158,,_xlfn.SEQUENCE($AZ$13)))</f>
        <v>15932.079571720024</v>
      </c>
      <c r="Y158" s="102" t="s">
        <v>228</v>
      </c>
      <c r="Z158" s="106">
        <f>VLOOKUP($A158,'VKT US'!$B$63:$AA$113,(Z$113+1),FALSE)/VLOOKUP($A158,'Fuel economy adjusted factor'!$A$2:$F$52,5,FALSE)/$AZ$84</f>
        <v>5979.9157799200457</v>
      </c>
      <c r="AA158" s="106">
        <f>VLOOKUP($A158,'VKT US'!$B$63:$AA$113,(AA$113+1),FALSE)/VLOOKUP($A158,'Fuel economy adjusted factor'!$A$2:$F$52,5,FALSE)/$AZ$84</f>
        <v>5802.0551604191014</v>
      </c>
      <c r="AB158" s="106">
        <f>VLOOKUP($A158,'VKT US'!$B$63:$AA$113,(AB$113+1),FALSE)/VLOOKUP($A158,'Fuel economy adjusted factor'!$A$2:$F$52,5,FALSE)/$AZ$84</f>
        <v>5629.8066478441606</v>
      </c>
      <c r="AC158" s="106">
        <f>VLOOKUP($A158,'VKT US'!$B$63:$AA$113,(AC$113+1),FALSE)/VLOOKUP($A158,'Fuel economy adjusted factor'!$A$2:$F$52,5,FALSE)/$AZ$84</f>
        <v>5463.601942727988</v>
      </c>
      <c r="AD158" s="106">
        <f>VLOOKUP($A158,'VKT US'!$B$63:$AA$113,(AD$113+1),FALSE)/VLOOKUP($A158,'Fuel economy adjusted factor'!$A$2:$F$52,5,FALSE)/$AZ$84</f>
        <v>5303.0093445378161</v>
      </c>
      <c r="AE158" s="106">
        <f>VLOOKUP($A158,'VKT US'!$B$63:$AA$113,(AE$113+1),FALSE)/VLOOKUP($A158,'Fuel economy adjusted factor'!$A$2:$F$52,5,FALSE)/$AZ$84</f>
        <v>5148.8922543391836</v>
      </c>
      <c r="AF158" s="106">
        <f>VLOOKUP($A158,'VKT US'!$B$63:$AA$113,(AF$113+1),FALSE)/VLOOKUP($A158,'Fuel economy adjusted factor'!$A$2:$F$52,5,FALSE)/$AZ$84</f>
        <v>4999.9555705337834</v>
      </c>
      <c r="AG158" s="106">
        <f>VLOOKUP($A158,'VKT US'!$B$63:$AA$113,(AG$113+1),FALSE)/VLOOKUP($A158,'Fuel economy adjusted factor'!$A$2:$F$52,5,FALSE)/$AZ$84</f>
        <v>4857.0626941871515</v>
      </c>
      <c r="AH158" s="106">
        <f>VLOOKUP($A158,'VKT US'!$B$63:$AA$113,(AH$113+1),FALSE)/VLOOKUP($A158,'Fuel economy adjusted factor'!$A$2:$F$52,5,FALSE)/$AZ$84</f>
        <v>4720.2136252992905</v>
      </c>
      <c r="AI158" s="106">
        <f>VLOOKUP($A158,'VKT US'!$B$63:$AA$113,(AI$113+1),FALSE)/VLOOKUP($A158,'Fuel economy adjusted factor'!$A$2:$F$52,5,FALSE)/$AZ$84</f>
        <v>4589.4083638701995</v>
      </c>
      <c r="AJ158" s="106">
        <f>VLOOKUP($A158,'VKT US'!$B$63:$AA$113,(AJ$113+1),FALSE)/VLOOKUP($A158,'Fuel economy adjusted factor'!$A$2:$F$52,5,FALSE)/$AZ$84</f>
        <v>4464.2152093671084</v>
      </c>
      <c r="AK158" s="106">
        <f>VLOOKUP($A158,'VKT US'!$B$63:$AA$113,(AK$113+1),FALSE)/VLOOKUP($A158,'Fuel economy adjusted factor'!$A$2:$F$52,5,FALSE)/$AZ$84</f>
        <v>4345.0658623227873</v>
      </c>
      <c r="AL158" s="106">
        <f>VLOOKUP($A158,'VKT US'!$B$63:$AA$113,(AL$113+1),FALSE)/VLOOKUP($A158,'Fuel economy adjusted factor'!$A$2:$F$52,5,FALSE)/$AZ$84</f>
        <v>4231.5286222044679</v>
      </c>
      <c r="AM158" s="106">
        <f>VLOOKUP($A158,'VKT US'!$B$63:$AA$113,(AM$113+1),FALSE)/VLOOKUP($A158,'Fuel economy adjusted factor'!$A$2:$F$52,5,FALSE)/$AZ$84</f>
        <v>4124.0351895449176</v>
      </c>
      <c r="AN158" s="106">
        <f>VLOOKUP($A158,'VKT US'!$B$63:$AA$113,(AN$113+1),FALSE)/VLOOKUP($A158,'Fuel economy adjusted factor'!$A$2:$F$52,5,FALSE)/$AZ$84</f>
        <v>4022.153863811368</v>
      </c>
      <c r="AO158" s="106">
        <f>VLOOKUP($A158,'VKT US'!$B$63:$AA$113,(AO$113+1),FALSE)/VLOOKUP($A158,'Fuel economy adjusted factor'!$A$2:$F$52,5,FALSE)/$AZ$84</f>
        <v>3926.7480460693564</v>
      </c>
      <c r="AP158" s="106">
        <f>VLOOKUP($A158,'VKT US'!$B$63:$AA$113,(AP$113+1),FALSE)/VLOOKUP($A158,'Fuel economy adjusted factor'!$A$2:$F$52,5,FALSE)/$AZ$84</f>
        <v>3836.5226347205771</v>
      </c>
      <c r="AQ158" s="106">
        <f>VLOOKUP($A158,'VKT US'!$B$63:$AA$113,(AQ$113+1),FALSE)/VLOOKUP($A158,'Fuel economy adjusted factor'!$A$2:$F$52,5,FALSE)/$AZ$84</f>
        <v>3752.7727313633377</v>
      </c>
      <c r="AR158" s="106">
        <f>VLOOKUP($A158,'VKT US'!$B$63:$AA$113,(AR$113+1),FALSE)/VLOOKUP($A158,'Fuel economy adjusted factor'!$A$2:$F$52,5,FALSE)/$AZ$84</f>
        <v>3674.2032343993287</v>
      </c>
      <c r="AS158" s="106">
        <f>VLOOKUP($A158,'VKT US'!$B$63:$AA$113,(AS$113+1),FALSE)/VLOOKUP($A158,'Fuel economy adjusted factor'!$A$2:$F$52,5,FALSE)/$AZ$84</f>
        <v>3602.1092454268592</v>
      </c>
      <c r="AT158" s="110" cm="1">
        <f t="array" ref="AT158">SUMPRODUCT(INDEX(Z158:AS158,,_xlfn.SEQUENCE($AZ$13)))</f>
        <v>69658.766267118001</v>
      </c>
    </row>
    <row r="159" spans="1:46" x14ac:dyDescent="0.25">
      <c r="A159" s="102" t="s">
        <v>227</v>
      </c>
      <c r="B159" s="106">
        <f>VLOOKUP($A159,'VKT US'!$B$63:$AA$113,(B$113+1),FALSE)/VLOOKUP($A159,'Fuel economy adjusted factor'!$A$2:$F$52,5,FALSE)/$AZ$84*($AZ$15*('US Grid mix, emissions&amp;prices'!$AU$3+INDEX('Year data'!$B$3:$AC$53,MATCH('TCO Inputs'!$A159,'Year data'!$A$111:$A$161,0),MATCH('TCO Inputs'!$AZ$12+B$113-1,'Year data'!$B$110:$AC$110,0))/100)+$BA$15*('US Grid mix, emissions&amp;prices'!$AU$4+INDEX('Year data'!$B$57:$AC$107,MATCH($A159,'Year data'!$A$111:$A$161,0),MATCH('TCO Inputs'!$AZ$12+B$113-1,'Year data'!$B$110:$AC$110,0))/100))/(1+$AZ$41)^B$113</f>
        <v>1145.7209008353104</v>
      </c>
      <c r="C159" s="106">
        <f>VLOOKUP($A159,'VKT US'!$B$63:$AA$113,(C$113+1),FALSE)/VLOOKUP($A159,'Fuel economy adjusted factor'!$A$2:$F$52,5,FALSE)/$AZ$84*($AZ$15*('US Grid mix, emissions&amp;prices'!$AU$3+INDEX('Year data'!$B$3:$AC$53,MATCH('TCO Inputs'!$A159,'Year data'!$A$111:$A$161,0),MATCH('TCO Inputs'!$AZ$12+C$113-1,'Year data'!$B$110:$AC$110,0))/100)+$BA$15*('US Grid mix, emissions&amp;prices'!$AU$4+INDEX('Year data'!$B$57:$AC$107,MATCH($A159,'Year data'!$A$111:$A$161,0),MATCH('TCO Inputs'!$AZ$12+C$113-1,'Year data'!$B$110:$AC$110,0))/100))/(1+$AZ$41)^C$113</f>
        <v>1080.3601326102983</v>
      </c>
      <c r="D159" s="106">
        <f>VLOOKUP($A159,'VKT US'!$B$63:$AA$113,(D$113+1),FALSE)/VLOOKUP($A159,'Fuel economy adjusted factor'!$A$2:$F$52,5,FALSE)/$AZ$84*($AZ$15*('US Grid mix, emissions&amp;prices'!$AU$3+INDEX('Year data'!$B$3:$AC$53,MATCH('TCO Inputs'!$A159,'Year data'!$A$111:$A$161,0),MATCH('TCO Inputs'!$AZ$12+D$113-1,'Year data'!$B$110:$AC$110,0))/100)+$BA$15*('US Grid mix, emissions&amp;prices'!$AU$4+INDEX('Year data'!$B$57:$AC$107,MATCH($A159,'Year data'!$A$111:$A$161,0),MATCH('TCO Inputs'!$AZ$12+D$113-1,'Year data'!$B$110:$AC$110,0))/100))/(1+$AZ$41)^D$113</f>
        <v>1014.4464865775738</v>
      </c>
      <c r="E159" s="106">
        <f>VLOOKUP($A159,'VKT US'!$B$63:$AA$113,(E$113+1),FALSE)/VLOOKUP($A159,'Fuel economy adjusted factor'!$A$2:$F$52,5,FALSE)/$AZ$84*($AZ$15*('US Grid mix, emissions&amp;prices'!$AU$3+INDEX('Year data'!$B$3:$AC$53,MATCH('TCO Inputs'!$A159,'Year data'!$A$111:$A$161,0),MATCH('TCO Inputs'!$AZ$12+E$113-1,'Year data'!$B$110:$AC$110,0))/100)+$BA$15*('US Grid mix, emissions&amp;prices'!$AU$4+INDEX('Year data'!$B$57:$AC$107,MATCH($A159,'Year data'!$A$111:$A$161,0),MATCH('TCO Inputs'!$AZ$12+E$113-1,'Year data'!$B$110:$AC$110,0))/100))/(1+$AZ$41)^E$113</f>
        <v>961.00677470804317</v>
      </c>
      <c r="F159" s="106">
        <f>VLOOKUP($A159,'VKT US'!$B$63:$AA$113,(F$113+1),FALSE)/VLOOKUP($A159,'Fuel economy adjusted factor'!$A$2:$F$52,5,FALSE)/$AZ$84*($AZ$15*('US Grid mix, emissions&amp;prices'!$AU$3+INDEX('Year data'!$B$3:$AC$53,MATCH('TCO Inputs'!$A159,'Year data'!$A$111:$A$161,0),MATCH('TCO Inputs'!$AZ$12+F$113-1,'Year data'!$B$110:$AC$110,0))/100)+$BA$15*('US Grid mix, emissions&amp;prices'!$AU$4+INDEX('Year data'!$B$57:$AC$107,MATCH($A159,'Year data'!$A$111:$A$161,0),MATCH('TCO Inputs'!$AZ$12+F$113-1,'Year data'!$B$110:$AC$110,0))/100))/(1+$AZ$41)^F$113</f>
        <v>913.16656098243607</v>
      </c>
      <c r="G159" s="106">
        <f>VLOOKUP($A159,'VKT US'!$B$63:$AA$113,(G$113+1),FALSE)/VLOOKUP($A159,'Fuel economy adjusted factor'!$A$2:$F$52,5,FALSE)/$AZ$84*($AZ$15*('US Grid mix, emissions&amp;prices'!$AU$3+INDEX('Year data'!$B$3:$AC$53,MATCH('TCO Inputs'!$A159,'Year data'!$A$111:$A$161,0),MATCH('TCO Inputs'!$AZ$12+G$113-1,'Year data'!$B$110:$AC$110,0))/100)+$BA$15*('US Grid mix, emissions&amp;prices'!$AU$4+INDEX('Year data'!$B$57:$AC$107,MATCH($A159,'Year data'!$A$111:$A$161,0),MATCH('TCO Inputs'!$AZ$12+G$113-1,'Year data'!$B$110:$AC$110,0))/100))/(1+$AZ$41)^G$113</f>
        <v>870.27334128280791</v>
      </c>
      <c r="H159" s="106">
        <f>VLOOKUP($A159,'VKT US'!$B$63:$AA$113,(H$113+1),FALSE)/VLOOKUP($A159,'Fuel economy adjusted factor'!$A$2:$F$52,5,FALSE)/$AZ$84*($AZ$15*('US Grid mix, emissions&amp;prices'!$AU$3+INDEX('Year data'!$B$3:$AC$53,MATCH('TCO Inputs'!$A159,'Year data'!$A$111:$A$161,0),MATCH('TCO Inputs'!$AZ$12+H$113-1,'Year data'!$B$110:$AC$110,0))/100)+$BA$15*('US Grid mix, emissions&amp;prices'!$AU$4+INDEX('Year data'!$B$57:$AC$107,MATCH($A159,'Year data'!$A$111:$A$161,0),MATCH('TCO Inputs'!$AZ$12+H$113-1,'Year data'!$B$110:$AC$110,0))/100))/(1+$AZ$41)^H$113</f>
        <v>833.21511763715932</v>
      </c>
      <c r="I159" s="106">
        <f>VLOOKUP($A159,'VKT US'!$B$63:$AA$113,(I$113+1),FALSE)/VLOOKUP($A159,'Fuel economy adjusted factor'!$A$2:$F$52,5,FALSE)/$AZ$84*($AZ$15*('US Grid mix, emissions&amp;prices'!$AU$3+INDEX('Year data'!$B$3:$AC$53,MATCH('TCO Inputs'!$A159,'Year data'!$A$111:$A$161,0),MATCH('TCO Inputs'!$AZ$12+I$113-1,'Year data'!$B$110:$AC$110,0))/100)+$BA$15*('US Grid mix, emissions&amp;prices'!$AU$4+INDEX('Year data'!$B$57:$AC$107,MATCH($A159,'Year data'!$A$111:$A$161,0),MATCH('TCO Inputs'!$AZ$12+I$113-1,'Year data'!$B$110:$AC$110,0))/100))/(1+$AZ$41)^I$113</f>
        <v>800.75773302091068</v>
      </c>
      <c r="J159" s="106">
        <f>VLOOKUP($A159,'VKT US'!$B$63:$AA$113,(J$113+1),FALSE)/VLOOKUP($A159,'Fuel economy adjusted factor'!$A$2:$F$52,5,FALSE)/$AZ$84*($AZ$15*('US Grid mix, emissions&amp;prices'!$AU$3+INDEX('Year data'!$B$3:$AC$53,MATCH('TCO Inputs'!$A159,'Year data'!$A$111:$A$161,0),MATCH('TCO Inputs'!$AZ$12+J$113-1,'Year data'!$B$110:$AC$110,0))/100)+$BA$15*('US Grid mix, emissions&amp;prices'!$AU$4+INDEX('Year data'!$B$57:$AC$107,MATCH($A159,'Year data'!$A$111:$A$161,0),MATCH('TCO Inputs'!$AZ$12+J$113-1,'Year data'!$B$110:$AC$110,0))/100))/(1+$AZ$41)^J$113</f>
        <v>770.9386640002723</v>
      </c>
      <c r="K159" s="106">
        <f>VLOOKUP($A159,'VKT US'!$B$63:$AA$113,(K$113+1),FALSE)/VLOOKUP($A159,'Fuel economy adjusted factor'!$A$2:$F$52,5,FALSE)/$AZ$84*($AZ$15*('US Grid mix, emissions&amp;prices'!$AU$3+INDEX('Year data'!$B$3:$AC$53,MATCH('TCO Inputs'!$A159,'Year data'!$A$111:$A$161,0),MATCH('TCO Inputs'!$AZ$12+K$113-1,'Year data'!$B$110:$AC$110,0))/100)+$BA$15*('US Grid mix, emissions&amp;prices'!$AU$4+INDEX('Year data'!$B$57:$AC$107,MATCH($A159,'Year data'!$A$111:$A$161,0),MATCH('TCO Inputs'!$AZ$12+K$113-1,'Year data'!$B$110:$AC$110,0))/100))/(1+$AZ$41)^K$113</f>
        <v>742.37623500132599</v>
      </c>
      <c r="L159" s="106">
        <f>VLOOKUP($A159,'VKT US'!$B$63:$AA$113,(L$113+1),FALSE)/VLOOKUP($A159,'Fuel economy adjusted factor'!$A$2:$F$52,5,FALSE)/$AZ$84*($AZ$15*('US Grid mix, emissions&amp;prices'!$AU$3+INDEX('Year data'!$B$3:$AC$53,MATCH('TCO Inputs'!$A159,'Year data'!$A$111:$A$161,0),MATCH('TCO Inputs'!$AZ$12+L$113-1,'Year data'!$B$110:$AC$110,0))/100)+$BA$15*('US Grid mix, emissions&amp;prices'!$AU$4+INDEX('Year data'!$B$57:$AC$107,MATCH($A159,'Year data'!$A$111:$A$161,0),MATCH('TCO Inputs'!$AZ$12+L$113-1,'Year data'!$B$110:$AC$110,0))/100))/(1+$AZ$41)^L$113</f>
        <v>719.91586597684545</v>
      </c>
      <c r="M159" s="106">
        <f>VLOOKUP($A159,'VKT US'!$B$63:$AA$113,(M$113+1),FALSE)/VLOOKUP($A159,'Fuel economy adjusted factor'!$A$2:$F$52,5,FALSE)/$AZ$84*($AZ$15*('US Grid mix, emissions&amp;prices'!$AU$3+INDEX('Year data'!$B$3:$AC$53,MATCH('TCO Inputs'!$A159,'Year data'!$A$111:$A$161,0),MATCH('TCO Inputs'!$AZ$12+M$113-1,'Year data'!$B$110:$AC$110,0))/100)+$BA$15*('US Grid mix, emissions&amp;prices'!$AU$4+INDEX('Year data'!$B$57:$AC$107,MATCH($A159,'Year data'!$A$111:$A$161,0),MATCH('TCO Inputs'!$AZ$12+M$113-1,'Year data'!$B$110:$AC$110,0))/100))/(1+$AZ$41)^M$113</f>
        <v>696.99460376781235</v>
      </c>
      <c r="N159" s="106">
        <f>VLOOKUP($A159,'VKT US'!$B$63:$AA$113,(N$113+1),FALSE)/VLOOKUP($A159,'Fuel economy adjusted factor'!$A$2:$F$52,5,FALSE)/$AZ$84*($AZ$15*('US Grid mix, emissions&amp;prices'!$AU$3+INDEX('Year data'!$B$3:$AC$53,MATCH('TCO Inputs'!$A159,'Year data'!$A$111:$A$161,0),MATCH('TCO Inputs'!$AZ$12+N$113-1,'Year data'!$B$110:$AC$110,0))/100)+$BA$15*('US Grid mix, emissions&amp;prices'!$AU$4+INDEX('Year data'!$B$57:$AC$107,MATCH($A159,'Year data'!$A$111:$A$161,0),MATCH('TCO Inputs'!$AZ$12+N$113-1,'Year data'!$B$110:$AC$110,0))/100))/(1+$AZ$41)^N$113</f>
        <v>670.91833310068591</v>
      </c>
      <c r="O159" s="106">
        <f>VLOOKUP($A159,'VKT US'!$B$63:$AA$113,(O$113+1),FALSE)/VLOOKUP($A159,'Fuel economy adjusted factor'!$A$2:$F$52,5,FALSE)/$AZ$84*($AZ$15*('US Grid mix, emissions&amp;prices'!$AU$3+INDEX('Year data'!$B$3:$AC$53,MATCH('TCO Inputs'!$A159,'Year data'!$A$111:$A$161,0),MATCH('TCO Inputs'!$AZ$12+O$113-1,'Year data'!$B$110:$AC$110,0))/100)+$BA$15*('US Grid mix, emissions&amp;prices'!$AU$4+INDEX('Year data'!$B$57:$AC$107,MATCH($A159,'Year data'!$A$111:$A$161,0),MATCH('TCO Inputs'!$AZ$12+O$113-1,'Year data'!$B$110:$AC$110,0))/100))/(1+$AZ$41)^O$113</f>
        <v>648.38867100087123</v>
      </c>
      <c r="P159" s="106">
        <f>VLOOKUP($A159,'VKT US'!$B$63:$AA$113,(P$113+1),FALSE)/VLOOKUP($A159,'Fuel economy adjusted factor'!$A$2:$F$52,5,FALSE)/$AZ$84*($AZ$15*('US Grid mix, emissions&amp;prices'!$AU$3+INDEX('Year data'!$B$3:$AC$53,MATCH('TCO Inputs'!$A159,'Year data'!$A$111:$A$161,0),MATCH('TCO Inputs'!$AZ$12+P$113-1,'Year data'!$B$110:$AC$110,0))/100)+$BA$15*('US Grid mix, emissions&amp;prices'!$AU$4+INDEX('Year data'!$B$57:$AC$107,MATCH($A159,'Year data'!$A$111:$A$161,0),MATCH('TCO Inputs'!$AZ$12+P$113-1,'Year data'!$B$110:$AC$110,0))/100))/(1+$AZ$41)^P$113</f>
        <v>627.56820915865933</v>
      </c>
      <c r="Q159" s="106">
        <f>VLOOKUP($A159,'VKT US'!$B$63:$AA$113,(Q$113+1),FALSE)/VLOOKUP($A159,'Fuel economy adjusted factor'!$A$2:$F$52,5,FALSE)/$AZ$84*($AZ$15*('US Grid mix, emissions&amp;prices'!$AU$3+INDEX('Year data'!$B$3:$AC$53,MATCH('TCO Inputs'!$A159,'Year data'!$A$111:$A$161,0),MATCH('TCO Inputs'!$AZ$12+Q$113-1,'Year data'!$B$110:$AC$110,0))/100)+$BA$15*('US Grid mix, emissions&amp;prices'!$AU$4+INDEX('Year data'!$B$57:$AC$107,MATCH($A159,'Year data'!$A$111:$A$161,0),MATCH('TCO Inputs'!$AZ$12+Q$113-1,'Year data'!$B$110:$AC$110,0))/100))/(1+$AZ$41)^Q$113</f>
        <v>609.25743185507554</v>
      </c>
      <c r="R159" s="106">
        <f>VLOOKUP($A159,'VKT US'!$B$63:$AA$113,(R$113+1),FALSE)/VLOOKUP($A159,'Fuel economy adjusted factor'!$A$2:$F$52,5,FALSE)/$AZ$84*($AZ$15*('US Grid mix, emissions&amp;prices'!$AU$3+INDEX('Year data'!$B$3:$AC$53,MATCH('TCO Inputs'!$A159,'Year data'!$A$111:$A$161,0),MATCH('TCO Inputs'!$AZ$12+R$113-1,'Year data'!$B$110:$AC$110,0))/100)+$BA$15*('US Grid mix, emissions&amp;prices'!$AU$4+INDEX('Year data'!$B$57:$AC$107,MATCH($A159,'Year data'!$A$111:$A$161,0),MATCH('TCO Inputs'!$AZ$12+R$113-1,'Year data'!$B$110:$AC$110,0))/100))/(1+$AZ$41)^R$113</f>
        <v>590.79126172998303</v>
      </c>
      <c r="S159" s="106">
        <f>VLOOKUP($A159,'VKT US'!$B$63:$AA$113,(S$113+1),FALSE)/VLOOKUP($A159,'Fuel economy adjusted factor'!$A$2:$F$52,5,FALSE)/$AZ$84*($AZ$15*('US Grid mix, emissions&amp;prices'!$AU$3+INDEX('Year data'!$B$3:$AC$53,MATCH('TCO Inputs'!$A159,'Year data'!$A$111:$A$161,0),MATCH('TCO Inputs'!$AZ$12+S$113-1,'Year data'!$B$110:$AC$110,0))/100)+$BA$15*('US Grid mix, emissions&amp;prices'!$AU$4+INDEX('Year data'!$B$57:$AC$107,MATCH($A159,'Year data'!$A$111:$A$161,0),MATCH('TCO Inputs'!$AZ$12+S$113-1,'Year data'!$B$110:$AC$110,0))/100))/(1+$AZ$41)^S$113</f>
        <v>573.48586509230188</v>
      </c>
      <c r="T159" s="106">
        <f>VLOOKUP($A159,'VKT US'!$B$63:$AA$113,(T$113+1),FALSE)/VLOOKUP($A159,'Fuel economy adjusted factor'!$A$2:$F$52,5,FALSE)/$AZ$84*($AZ$15*('US Grid mix, emissions&amp;prices'!$AU$3+INDEX('Year data'!$B$3:$AC$53,MATCH('TCO Inputs'!$A159,'Year data'!$A$111:$A$161,0),MATCH('TCO Inputs'!$AZ$12+T$113-1,'Year data'!$B$110:$AC$110,0))/100)+$BA$15*('US Grid mix, emissions&amp;prices'!$AU$4+INDEX('Year data'!$B$57:$AC$107,MATCH($A159,'Year data'!$A$111:$A$161,0),MATCH('TCO Inputs'!$AZ$12+T$113-1,'Year data'!$B$110:$AC$110,0))/100))/(1+$AZ$41)^T$113</f>
        <v>556.69981803127121</v>
      </c>
      <c r="U159" s="106">
        <f>VLOOKUP($A159,'VKT US'!$B$63:$AA$113,(U$113+1),FALSE)/VLOOKUP($A159,'Fuel economy adjusted factor'!$A$2:$F$52,5,FALSE)/$AZ$84*($AZ$15*('US Grid mix, emissions&amp;prices'!$AU$3+INDEX('Year data'!$B$3:$AC$53,MATCH('TCO Inputs'!$A159,'Year data'!$A$111:$A$161,0),MATCH('TCO Inputs'!$AZ$12+U$113-1,'Year data'!$B$110:$AC$110,0))/100)+$BA$15*('US Grid mix, emissions&amp;prices'!$AU$4+INDEX('Year data'!$B$57:$AC$107,MATCH($A159,'Year data'!$A$111:$A$161,0),MATCH('TCO Inputs'!$AZ$12+U$113-1,'Year data'!$B$110:$AC$110,0))/100))/(1+$AZ$41)^U$113</f>
        <v>540.24806165316761</v>
      </c>
      <c r="V159" s="110" cm="1">
        <f t="array" ref="V159">SUMPRODUCT(INDEX(B159:U159,,_xlfn.SEQUENCE($AZ$13)))</f>
        <v>11868.479420502354</v>
      </c>
      <c r="Y159" s="102" t="s">
        <v>227</v>
      </c>
      <c r="Z159" s="106">
        <f>VLOOKUP($A159,'VKT US'!$B$63:$AA$113,(Z$113+1),FALSE)/VLOOKUP($A159,'Fuel economy adjusted factor'!$A$2:$F$52,5,FALSE)/$AZ$84</f>
        <v>5979.7192908588049</v>
      </c>
      <c r="AA159" s="106">
        <f>VLOOKUP($A159,'VKT US'!$B$63:$AA$113,(AA$113+1),FALSE)/VLOOKUP($A159,'Fuel economy adjusted factor'!$A$2:$F$52,5,FALSE)/$AZ$84</f>
        <v>5801.8645155314989</v>
      </c>
      <c r="AB159" s="106">
        <f>VLOOKUP($A159,'VKT US'!$B$63:$AA$113,(AB$113+1),FALSE)/VLOOKUP($A159,'Fuel economy adjusted factor'!$A$2:$F$52,5,FALSE)/$AZ$84</f>
        <v>5629.6216627266576</v>
      </c>
      <c r="AC159" s="106">
        <f>VLOOKUP($A159,'VKT US'!$B$63:$AA$113,(AC$113+1),FALSE)/VLOOKUP($A159,'Fuel economy adjusted factor'!$A$2:$F$52,5,FALSE)/$AZ$84</f>
        <v>5463.4224187921618</v>
      </c>
      <c r="AD159" s="106">
        <f>VLOOKUP($A159,'VKT US'!$B$63:$AA$113,(AD$113+1),FALSE)/VLOOKUP($A159,'Fuel economy adjusted factor'!$A$2:$F$52,5,FALSE)/$AZ$84</f>
        <v>5302.8350973801298</v>
      </c>
      <c r="AE159" s="106">
        <f>VLOOKUP($A159,'VKT US'!$B$63:$AA$113,(AE$113+1),FALSE)/VLOOKUP($A159,'Fuel economy adjusted factor'!$A$2:$F$52,5,FALSE)/$AZ$84</f>
        <v>5148.723071186324</v>
      </c>
      <c r="AF159" s="106">
        <f>VLOOKUP($A159,'VKT US'!$B$63:$AA$113,(AF$113+1),FALSE)/VLOOKUP($A159,'Fuel economy adjusted factor'!$A$2:$F$52,5,FALSE)/$AZ$84</f>
        <v>4999.7912811671004</v>
      </c>
      <c r="AG159" s="106">
        <f>VLOOKUP($A159,'VKT US'!$B$63:$AA$113,(AG$113+1),FALSE)/VLOOKUP($A159,'Fuel economy adjusted factor'!$A$2:$F$52,5,FALSE)/$AZ$84</f>
        <v>4856.9031000182213</v>
      </c>
      <c r="AH159" s="106">
        <f>VLOOKUP($A159,'VKT US'!$B$63:$AA$113,(AH$113+1),FALSE)/VLOOKUP($A159,'Fuel economy adjusted factor'!$A$2:$F$52,5,FALSE)/$AZ$84</f>
        <v>4720.0585277396885</v>
      </c>
      <c r="AI159" s="106">
        <f>VLOOKUP($A159,'VKT US'!$B$63:$AA$113,(AI$113+1),FALSE)/VLOOKUP($A159,'Fuel economy adjusted factor'!$A$2:$F$52,5,FALSE)/$AZ$84</f>
        <v>4589.2575643315013</v>
      </c>
      <c r="AJ159" s="106">
        <f>VLOOKUP($A159,'VKT US'!$B$63:$AA$113,(AJ$113+1),FALSE)/VLOOKUP($A159,'Fuel economy adjusted factor'!$A$2:$F$52,5,FALSE)/$AZ$84</f>
        <v>4464.068523445776</v>
      </c>
      <c r="AK159" s="106">
        <f>VLOOKUP($A159,'VKT US'!$B$63:$AA$113,(AK$113+1),FALSE)/VLOOKUP($A159,'Fuel economy adjusted factor'!$A$2:$F$52,5,FALSE)/$AZ$84</f>
        <v>4344.923091430398</v>
      </c>
      <c r="AL159" s="106">
        <f>VLOOKUP($A159,'VKT US'!$B$63:$AA$113,(AL$113+1),FALSE)/VLOOKUP($A159,'Fuel economy adjusted factor'!$A$2:$F$52,5,FALSE)/$AZ$84</f>
        <v>4231.389581937482</v>
      </c>
      <c r="AM159" s="106">
        <f>VLOOKUP($A159,'VKT US'!$B$63:$AA$113,(AM$113+1),FALSE)/VLOOKUP($A159,'Fuel economy adjusted factor'!$A$2:$F$52,5,FALSE)/$AZ$84</f>
        <v>4123.8996813149124</v>
      </c>
      <c r="AN159" s="106">
        <f>VLOOKUP($A159,'VKT US'!$B$63:$AA$113,(AN$113+1),FALSE)/VLOOKUP($A159,'Fuel economy adjusted factor'!$A$2:$F$52,5,FALSE)/$AZ$84</f>
        <v>4022.0217032148048</v>
      </c>
      <c r="AO159" s="106">
        <f>VLOOKUP($A159,'VKT US'!$B$63:$AA$113,(AO$113+1),FALSE)/VLOOKUP($A159,'Fuel economy adjusted factor'!$A$2:$F$52,5,FALSE)/$AZ$84</f>
        <v>3926.6190203329252</v>
      </c>
      <c r="AP159" s="106">
        <f>VLOOKUP($A159,'VKT US'!$B$63:$AA$113,(AP$113+1),FALSE)/VLOOKUP($A159,'Fuel economy adjusted factor'!$A$2:$F$52,5,FALSE)/$AZ$84</f>
        <v>3836.3965736256273</v>
      </c>
      <c r="AQ159" s="106">
        <f>VLOOKUP($A159,'VKT US'!$B$63:$AA$113,(AQ$113+1),FALSE)/VLOOKUP($A159,'Fuel economy adjusted factor'!$A$2:$F$52,5,FALSE)/$AZ$84</f>
        <v>3752.649422136557</v>
      </c>
      <c r="AR159" s="106">
        <f>VLOOKUP($A159,'VKT US'!$B$63:$AA$113,(AR$113+1),FALSE)/VLOOKUP($A159,'Fuel economy adjusted factor'!$A$2:$F$52,5,FALSE)/$AZ$84</f>
        <v>3674.0825068220679</v>
      </c>
      <c r="AS159" s="106">
        <f>VLOOKUP($A159,'VKT US'!$B$63:$AA$113,(AS$113+1),FALSE)/VLOOKUP($A159,'Fuel economy adjusted factor'!$A$2:$F$52,5,FALSE)/$AZ$84</f>
        <v>3601.9908867258055</v>
      </c>
      <c r="AT159" s="110" cm="1">
        <f t="array" ref="AT159">SUMPRODUCT(INDEX(Z159:AS159,,_xlfn.SEQUENCE($AZ$13)))</f>
        <v>69656.477407860657</v>
      </c>
    </row>
    <row r="160" spans="1:46" x14ac:dyDescent="0.25">
      <c r="A160" s="102" t="s">
        <v>229</v>
      </c>
      <c r="B160" s="106">
        <f>VLOOKUP($A160,'VKT US'!$B$63:$AA$113,(B$113+1),FALSE)/VLOOKUP($A160,'Fuel economy adjusted factor'!$A$2:$F$52,5,FALSE)/$AZ$84*($AZ$15*('US Grid mix, emissions&amp;prices'!$AU$3+INDEX('Year data'!$B$3:$AC$53,MATCH('TCO Inputs'!$A160,'Year data'!$A$111:$A$161,0),MATCH('TCO Inputs'!$AZ$12+B$113-1,'Year data'!$B$110:$AC$110,0))/100)+$BA$15*('US Grid mix, emissions&amp;prices'!$AU$4+INDEX('Year data'!$B$57:$AC$107,MATCH($A160,'Year data'!$A$111:$A$161,0),MATCH('TCO Inputs'!$AZ$12+B$113-1,'Year data'!$B$110:$AC$110,0))/100))/(1+$AZ$41)^B$113</f>
        <v>819.8128371946608</v>
      </c>
      <c r="C160" s="106">
        <f>VLOOKUP($A160,'VKT US'!$B$63:$AA$113,(C$113+1),FALSE)/VLOOKUP($A160,'Fuel economy adjusted factor'!$A$2:$F$52,5,FALSE)/$AZ$84*($AZ$15*('US Grid mix, emissions&amp;prices'!$AU$3+INDEX('Year data'!$B$3:$AC$53,MATCH('TCO Inputs'!$A160,'Year data'!$A$111:$A$161,0),MATCH('TCO Inputs'!$AZ$12+C$113-1,'Year data'!$B$110:$AC$110,0))/100)+$BA$15*('US Grid mix, emissions&amp;prices'!$AU$4+INDEX('Year data'!$B$57:$AC$107,MATCH($A160,'Year data'!$A$111:$A$161,0),MATCH('TCO Inputs'!$AZ$12+C$113-1,'Year data'!$B$110:$AC$110,0))/100))/(1+$AZ$41)^C$113</f>
        <v>773.34377837495481</v>
      </c>
      <c r="D160" s="106">
        <f>VLOOKUP($A160,'VKT US'!$B$63:$AA$113,(D$113+1),FALSE)/VLOOKUP($A160,'Fuel economy adjusted factor'!$A$2:$F$52,5,FALSE)/$AZ$84*($AZ$15*('US Grid mix, emissions&amp;prices'!$AU$3+INDEX('Year data'!$B$3:$AC$53,MATCH('TCO Inputs'!$A160,'Year data'!$A$111:$A$161,0),MATCH('TCO Inputs'!$AZ$12+D$113-1,'Year data'!$B$110:$AC$110,0))/100)+$BA$15*('US Grid mix, emissions&amp;prices'!$AU$4+INDEX('Year data'!$B$57:$AC$107,MATCH($A160,'Year data'!$A$111:$A$161,0),MATCH('TCO Inputs'!$AZ$12+D$113-1,'Year data'!$B$110:$AC$110,0))/100))/(1+$AZ$41)^D$113</f>
        <v>726.93293581178762</v>
      </c>
      <c r="E160" s="106">
        <f>VLOOKUP($A160,'VKT US'!$B$63:$AA$113,(E$113+1),FALSE)/VLOOKUP($A160,'Fuel economy adjusted factor'!$A$2:$F$52,5,FALSE)/$AZ$84*($AZ$15*('US Grid mix, emissions&amp;prices'!$AU$3+INDEX('Year data'!$B$3:$AC$53,MATCH('TCO Inputs'!$A160,'Year data'!$A$111:$A$161,0),MATCH('TCO Inputs'!$AZ$12+E$113-1,'Year data'!$B$110:$AC$110,0))/100)+$BA$15*('US Grid mix, emissions&amp;prices'!$AU$4+INDEX('Year data'!$B$57:$AC$107,MATCH($A160,'Year data'!$A$111:$A$161,0),MATCH('TCO Inputs'!$AZ$12+E$113-1,'Year data'!$B$110:$AC$110,0))/100))/(1+$AZ$41)^E$113</f>
        <v>689.09787044828386</v>
      </c>
      <c r="F160" s="106">
        <f>VLOOKUP($A160,'VKT US'!$B$63:$AA$113,(F$113+1),FALSE)/VLOOKUP($A160,'Fuel economy adjusted factor'!$A$2:$F$52,5,FALSE)/$AZ$84*($AZ$15*('US Grid mix, emissions&amp;prices'!$AU$3+INDEX('Year data'!$B$3:$AC$53,MATCH('TCO Inputs'!$A160,'Year data'!$A$111:$A$161,0),MATCH('TCO Inputs'!$AZ$12+F$113-1,'Year data'!$B$110:$AC$110,0))/100)+$BA$15*('US Grid mix, emissions&amp;prices'!$AU$4+INDEX('Year data'!$B$57:$AC$107,MATCH($A160,'Year data'!$A$111:$A$161,0),MATCH('TCO Inputs'!$AZ$12+F$113-1,'Year data'!$B$110:$AC$110,0))/100))/(1+$AZ$41)^F$113</f>
        <v>655.1476387938153</v>
      </c>
      <c r="G160" s="106">
        <f>VLOOKUP($A160,'VKT US'!$B$63:$AA$113,(G$113+1),FALSE)/VLOOKUP($A160,'Fuel economy adjusted factor'!$A$2:$F$52,5,FALSE)/$AZ$84*($AZ$15*('US Grid mix, emissions&amp;prices'!$AU$3+INDEX('Year data'!$B$3:$AC$53,MATCH('TCO Inputs'!$A160,'Year data'!$A$111:$A$161,0),MATCH('TCO Inputs'!$AZ$12+G$113-1,'Year data'!$B$110:$AC$110,0))/100)+$BA$15*('US Grid mix, emissions&amp;prices'!$AU$4+INDEX('Year data'!$B$57:$AC$107,MATCH($A160,'Year data'!$A$111:$A$161,0),MATCH('TCO Inputs'!$AZ$12+G$113-1,'Year data'!$B$110:$AC$110,0))/100))/(1+$AZ$41)^G$113</f>
        <v>624.55782438455378</v>
      </c>
      <c r="H160" s="106">
        <f>VLOOKUP($A160,'VKT US'!$B$63:$AA$113,(H$113+1),FALSE)/VLOOKUP($A160,'Fuel economy adjusted factor'!$A$2:$F$52,5,FALSE)/$AZ$84*($AZ$15*('US Grid mix, emissions&amp;prices'!$AU$3+INDEX('Year data'!$B$3:$AC$53,MATCH('TCO Inputs'!$A160,'Year data'!$A$111:$A$161,0),MATCH('TCO Inputs'!$AZ$12+H$113-1,'Year data'!$B$110:$AC$110,0))/100)+$BA$15*('US Grid mix, emissions&amp;prices'!$AU$4+INDEX('Year data'!$B$57:$AC$107,MATCH($A160,'Year data'!$A$111:$A$161,0),MATCH('TCO Inputs'!$AZ$12+H$113-1,'Year data'!$B$110:$AC$110,0))/100))/(1+$AZ$41)^H$113</f>
        <v>597.96167255388752</v>
      </c>
      <c r="I160" s="106">
        <f>VLOOKUP($A160,'VKT US'!$B$63:$AA$113,(I$113+1),FALSE)/VLOOKUP($A160,'Fuel economy adjusted factor'!$A$2:$F$52,5,FALSE)/$AZ$84*($AZ$15*('US Grid mix, emissions&amp;prices'!$AU$3+INDEX('Year data'!$B$3:$AC$53,MATCH('TCO Inputs'!$A160,'Year data'!$A$111:$A$161,0),MATCH('TCO Inputs'!$AZ$12+I$113-1,'Year data'!$B$110:$AC$110,0))/100)+$BA$15*('US Grid mix, emissions&amp;prices'!$AU$4+INDEX('Year data'!$B$57:$AC$107,MATCH($A160,'Year data'!$A$111:$A$161,0),MATCH('TCO Inputs'!$AZ$12+I$113-1,'Year data'!$B$110:$AC$110,0))/100))/(1+$AZ$41)^I$113</f>
        <v>574.54580445598867</v>
      </c>
      <c r="J160" s="106">
        <f>VLOOKUP($A160,'VKT US'!$B$63:$AA$113,(J$113+1),FALSE)/VLOOKUP($A160,'Fuel economy adjusted factor'!$A$2:$F$52,5,FALSE)/$AZ$84*($AZ$15*('US Grid mix, emissions&amp;prices'!$AU$3+INDEX('Year data'!$B$3:$AC$53,MATCH('TCO Inputs'!$A160,'Year data'!$A$111:$A$161,0),MATCH('TCO Inputs'!$AZ$12+J$113-1,'Year data'!$B$110:$AC$110,0))/100)+$BA$15*('US Grid mix, emissions&amp;prices'!$AU$4+INDEX('Year data'!$B$57:$AC$107,MATCH($A160,'Year data'!$A$111:$A$161,0),MATCH('TCO Inputs'!$AZ$12+J$113-1,'Year data'!$B$110:$AC$110,0))/100))/(1+$AZ$41)^J$113</f>
        <v>552.94135156625168</v>
      </c>
      <c r="K160" s="106">
        <f>VLOOKUP($A160,'VKT US'!$B$63:$AA$113,(K$113+1),FALSE)/VLOOKUP($A160,'Fuel economy adjusted factor'!$A$2:$F$52,5,FALSE)/$AZ$84*($AZ$15*('US Grid mix, emissions&amp;prices'!$AU$3+INDEX('Year data'!$B$3:$AC$53,MATCH('TCO Inputs'!$A160,'Year data'!$A$111:$A$161,0),MATCH('TCO Inputs'!$AZ$12+K$113-1,'Year data'!$B$110:$AC$110,0))/100)+$BA$15*('US Grid mix, emissions&amp;prices'!$AU$4+INDEX('Year data'!$B$57:$AC$107,MATCH($A160,'Year data'!$A$111:$A$161,0),MATCH('TCO Inputs'!$AZ$12+K$113-1,'Year data'!$B$110:$AC$110,0))/100))/(1+$AZ$41)^K$113</f>
        <v>532.26557635448887</v>
      </c>
      <c r="L160" s="106">
        <f>VLOOKUP($A160,'VKT US'!$B$63:$AA$113,(L$113+1),FALSE)/VLOOKUP($A160,'Fuel economy adjusted factor'!$A$2:$F$52,5,FALSE)/$AZ$84*($AZ$15*('US Grid mix, emissions&amp;prices'!$AU$3+INDEX('Year data'!$B$3:$AC$53,MATCH('TCO Inputs'!$A160,'Year data'!$A$111:$A$161,0),MATCH('TCO Inputs'!$AZ$12+L$113-1,'Year data'!$B$110:$AC$110,0))/100)+$BA$15*('US Grid mix, emissions&amp;prices'!$AU$4+INDEX('Year data'!$B$57:$AC$107,MATCH($A160,'Year data'!$A$111:$A$161,0),MATCH('TCO Inputs'!$AZ$12+L$113-1,'Year data'!$B$110:$AC$110,0))/100))/(1+$AZ$41)^L$113</f>
        <v>515.75699885532686</v>
      </c>
      <c r="M160" s="106">
        <f>VLOOKUP($A160,'VKT US'!$B$63:$AA$113,(M$113+1),FALSE)/VLOOKUP($A160,'Fuel economy adjusted factor'!$A$2:$F$52,5,FALSE)/$AZ$84*($AZ$15*('US Grid mix, emissions&amp;prices'!$AU$3+INDEX('Year data'!$B$3:$AC$53,MATCH('TCO Inputs'!$A160,'Year data'!$A$111:$A$161,0),MATCH('TCO Inputs'!$AZ$12+M$113-1,'Year data'!$B$110:$AC$110,0))/100)+$BA$15*('US Grid mix, emissions&amp;prices'!$AU$4+INDEX('Year data'!$B$57:$AC$107,MATCH($A160,'Year data'!$A$111:$A$161,0),MATCH('TCO Inputs'!$AZ$12+M$113-1,'Year data'!$B$110:$AC$110,0))/100))/(1+$AZ$41)^M$113</f>
        <v>499.02488496269808</v>
      </c>
      <c r="N160" s="106">
        <f>VLOOKUP($A160,'VKT US'!$B$63:$AA$113,(N$113+1),FALSE)/VLOOKUP($A160,'Fuel economy adjusted factor'!$A$2:$F$52,5,FALSE)/$AZ$84*($AZ$15*('US Grid mix, emissions&amp;prices'!$AU$3+INDEX('Year data'!$B$3:$AC$53,MATCH('TCO Inputs'!$A160,'Year data'!$A$111:$A$161,0),MATCH('TCO Inputs'!$AZ$12+N$113-1,'Year data'!$B$110:$AC$110,0))/100)+$BA$15*('US Grid mix, emissions&amp;prices'!$AU$4+INDEX('Year data'!$B$57:$AC$107,MATCH($A160,'Year data'!$A$111:$A$161,0),MATCH('TCO Inputs'!$AZ$12+N$113-1,'Year data'!$B$110:$AC$110,0))/100))/(1+$AZ$41)^N$113</f>
        <v>480.29202119657504</v>
      </c>
      <c r="O160" s="106">
        <f>VLOOKUP($A160,'VKT US'!$B$63:$AA$113,(O$113+1),FALSE)/VLOOKUP($A160,'Fuel economy adjusted factor'!$A$2:$F$52,5,FALSE)/$AZ$84*($AZ$15*('US Grid mix, emissions&amp;prices'!$AU$3+INDEX('Year data'!$B$3:$AC$53,MATCH('TCO Inputs'!$A160,'Year data'!$A$111:$A$161,0),MATCH('TCO Inputs'!$AZ$12+O$113-1,'Year data'!$B$110:$AC$110,0))/100)+$BA$15*('US Grid mix, emissions&amp;prices'!$AU$4+INDEX('Year data'!$B$57:$AC$107,MATCH($A160,'Year data'!$A$111:$A$161,0),MATCH('TCO Inputs'!$AZ$12+O$113-1,'Year data'!$B$110:$AC$110,0))/100))/(1+$AZ$41)^O$113</f>
        <v>463.99606903162663</v>
      </c>
      <c r="P160" s="106">
        <f>VLOOKUP($A160,'VKT US'!$B$63:$AA$113,(P$113+1),FALSE)/VLOOKUP($A160,'Fuel economy adjusted factor'!$A$2:$F$52,5,FALSE)/$AZ$84*($AZ$15*('US Grid mix, emissions&amp;prices'!$AU$3+INDEX('Year data'!$B$3:$AC$53,MATCH('TCO Inputs'!$A160,'Year data'!$A$111:$A$161,0),MATCH('TCO Inputs'!$AZ$12+P$113-1,'Year data'!$B$110:$AC$110,0))/100)+$BA$15*('US Grid mix, emissions&amp;prices'!$AU$4+INDEX('Year data'!$B$57:$AC$107,MATCH($A160,'Year data'!$A$111:$A$161,0),MATCH('TCO Inputs'!$AZ$12+P$113-1,'Year data'!$B$110:$AC$110,0))/100))/(1+$AZ$41)^P$113</f>
        <v>448.89381841490484</v>
      </c>
      <c r="Q160" s="106">
        <f>VLOOKUP($A160,'VKT US'!$B$63:$AA$113,(Q$113+1),FALSE)/VLOOKUP($A160,'Fuel economy adjusted factor'!$A$2:$F$52,5,FALSE)/$AZ$84*($AZ$15*('US Grid mix, emissions&amp;prices'!$AU$3+INDEX('Year data'!$B$3:$AC$53,MATCH('TCO Inputs'!$A160,'Year data'!$A$111:$A$161,0),MATCH('TCO Inputs'!$AZ$12+Q$113-1,'Year data'!$B$110:$AC$110,0))/100)+$BA$15*('US Grid mix, emissions&amp;prices'!$AU$4+INDEX('Year data'!$B$57:$AC$107,MATCH($A160,'Year data'!$A$111:$A$161,0),MATCH('TCO Inputs'!$AZ$12+Q$113-1,'Year data'!$B$110:$AC$110,0))/100))/(1+$AZ$41)^Q$113</f>
        <v>435.55534272078836</v>
      </c>
      <c r="R160" s="106">
        <f>VLOOKUP($A160,'VKT US'!$B$63:$AA$113,(R$113+1),FALSE)/VLOOKUP($A160,'Fuel economy adjusted factor'!$A$2:$F$52,5,FALSE)/$AZ$84*($AZ$15*('US Grid mix, emissions&amp;prices'!$AU$3+INDEX('Year data'!$B$3:$AC$53,MATCH('TCO Inputs'!$A160,'Year data'!$A$111:$A$161,0),MATCH('TCO Inputs'!$AZ$12+R$113-1,'Year data'!$B$110:$AC$110,0))/100)+$BA$15*('US Grid mix, emissions&amp;prices'!$AU$4+INDEX('Year data'!$B$57:$AC$107,MATCH($A160,'Year data'!$A$111:$A$161,0),MATCH('TCO Inputs'!$AZ$12+R$113-1,'Year data'!$B$110:$AC$110,0))/100))/(1+$AZ$41)^R$113</f>
        <v>422.18706506206593</v>
      </c>
      <c r="S160" s="106">
        <f>VLOOKUP($A160,'VKT US'!$B$63:$AA$113,(S$113+1),FALSE)/VLOOKUP($A160,'Fuel economy adjusted factor'!$A$2:$F$52,5,FALSE)/$AZ$84*($AZ$15*('US Grid mix, emissions&amp;prices'!$AU$3+INDEX('Year data'!$B$3:$AC$53,MATCH('TCO Inputs'!$A160,'Year data'!$A$111:$A$161,0),MATCH('TCO Inputs'!$AZ$12+S$113-1,'Year data'!$B$110:$AC$110,0))/100)+$BA$15*('US Grid mix, emissions&amp;prices'!$AU$4+INDEX('Year data'!$B$57:$AC$107,MATCH($A160,'Year data'!$A$111:$A$161,0),MATCH('TCO Inputs'!$AZ$12+S$113-1,'Year data'!$B$110:$AC$110,0))/100))/(1+$AZ$41)^S$113</f>
        <v>409.65098196630265</v>
      </c>
      <c r="T160" s="106">
        <f>VLOOKUP($A160,'VKT US'!$B$63:$AA$113,(T$113+1),FALSE)/VLOOKUP($A160,'Fuel economy adjusted factor'!$A$2:$F$52,5,FALSE)/$AZ$84*($AZ$15*('US Grid mix, emissions&amp;prices'!$AU$3+INDEX('Year data'!$B$3:$AC$53,MATCH('TCO Inputs'!$A160,'Year data'!$A$111:$A$161,0),MATCH('TCO Inputs'!$AZ$12+T$113-1,'Year data'!$B$110:$AC$110,0))/100)+$BA$15*('US Grid mix, emissions&amp;prices'!$AU$4+INDEX('Year data'!$B$57:$AC$107,MATCH($A160,'Year data'!$A$111:$A$161,0),MATCH('TCO Inputs'!$AZ$12+T$113-1,'Year data'!$B$110:$AC$110,0))/100))/(1+$AZ$41)^T$113</f>
        <v>397.52917274516415</v>
      </c>
      <c r="U160" s="106">
        <f>VLOOKUP($A160,'VKT US'!$B$63:$AA$113,(U$113+1),FALSE)/VLOOKUP($A160,'Fuel economy adjusted factor'!$A$2:$F$52,5,FALSE)/$AZ$84*($AZ$15*('US Grid mix, emissions&amp;prices'!$AU$3+INDEX('Year data'!$B$3:$AC$53,MATCH('TCO Inputs'!$A160,'Year data'!$A$111:$A$161,0),MATCH('TCO Inputs'!$AZ$12+U$113-1,'Year data'!$B$110:$AC$110,0))/100)+$BA$15*('US Grid mix, emissions&amp;prices'!$AU$4+INDEX('Year data'!$B$57:$AC$107,MATCH($A160,'Year data'!$A$111:$A$161,0),MATCH('TCO Inputs'!$AZ$12+U$113-1,'Year data'!$B$110:$AC$110,0))/100))/(1+$AZ$41)^U$113</f>
        <v>385.69802389779642</v>
      </c>
      <c r="V160" s="110" cm="1">
        <f t="array" ref="V160">SUMPRODUCT(INDEX(B160:U160,,_xlfn.SEQUENCE($AZ$13)))</f>
        <v>8505.6772639848987</v>
      </c>
      <c r="Y160" s="102" t="s">
        <v>229</v>
      </c>
      <c r="Z160" s="106">
        <f>VLOOKUP($A160,'VKT US'!$B$63:$AA$113,(Z$113+1),FALSE)/VLOOKUP($A160,'Fuel economy adjusted factor'!$A$2:$F$52,5,FALSE)/$AZ$84</f>
        <v>4821.0180369798136</v>
      </c>
      <c r="AA160" s="106">
        <f>VLOOKUP($A160,'VKT US'!$B$63:$AA$113,(AA$113+1),FALSE)/VLOOKUP($A160,'Fuel economy adjusted factor'!$A$2:$F$52,5,FALSE)/$AZ$84</f>
        <v>4677.6265100352794</v>
      </c>
      <c r="AB160" s="106">
        <f>VLOOKUP($A160,'VKT US'!$B$63:$AA$113,(AB$113+1),FALSE)/VLOOKUP($A160,'Fuel economy adjusted factor'!$A$2:$F$52,5,FALSE)/$AZ$84</f>
        <v>4538.7594730186065</v>
      </c>
      <c r="AC160" s="106">
        <f>VLOOKUP($A160,'VKT US'!$B$63:$AA$113,(AC$113+1),FALSE)/VLOOKUP($A160,'Fuel economy adjusted factor'!$A$2:$F$52,5,FALSE)/$AZ$84</f>
        <v>4404.7649636165543</v>
      </c>
      <c r="AD160" s="106">
        <f>VLOOKUP($A160,'VKT US'!$B$63:$AA$113,(AD$113+1),FALSE)/VLOOKUP($A160,'Fuel economy adjusted factor'!$A$2:$F$52,5,FALSE)/$AZ$84</f>
        <v>4275.2949441423634</v>
      </c>
      <c r="AE160" s="106">
        <f>VLOOKUP($A160,'VKT US'!$B$63:$AA$113,(AE$113+1),FALSE)/VLOOKUP($A160,'Fuel economy adjusted factor'!$A$2:$F$52,5,FALSE)/$AZ$84</f>
        <v>4151.0454899695515</v>
      </c>
      <c r="AF160" s="106">
        <f>VLOOKUP($A160,'VKT US'!$B$63:$AA$113,(AF$113+1),FALSE)/VLOOKUP($A160,'Fuel economy adjusted factor'!$A$2:$F$52,5,FALSE)/$AZ$84</f>
        <v>4030.9724880378421</v>
      </c>
      <c r="AG160" s="106">
        <f>VLOOKUP($A160,'VKT US'!$B$63:$AA$113,(AG$113+1),FALSE)/VLOOKUP($A160,'Fuel economy adjusted factor'!$A$2:$F$52,5,FALSE)/$AZ$84</f>
        <v>3915.7720137207543</v>
      </c>
      <c r="AH160" s="106">
        <f>VLOOKUP($A160,'VKT US'!$B$63:$AA$113,(AH$113+1),FALSE)/VLOOKUP($A160,'Fuel economy adjusted factor'!$A$2:$F$52,5,FALSE)/$AZ$84</f>
        <v>3805.4440670182844</v>
      </c>
      <c r="AI160" s="106">
        <f>VLOOKUP($A160,'VKT US'!$B$63:$AA$113,(AI$113+1),FALSE)/VLOOKUP($A160,'Fuel economy adjusted factor'!$A$2:$F$52,5,FALSE)/$AZ$84</f>
        <v>3699.9886479304359</v>
      </c>
      <c r="AJ160" s="106">
        <f>VLOOKUP($A160,'VKT US'!$B$63:$AA$113,(AJ$113+1),FALSE)/VLOOKUP($A160,'Fuel economy adjusted factor'!$A$2:$F$52,5,FALSE)/$AZ$84</f>
        <v>3599.057718770448</v>
      </c>
      <c r="AK160" s="106">
        <f>VLOOKUP($A160,'VKT US'!$B$63:$AA$113,(AK$113+1),FALSE)/VLOOKUP($A160,'Fuel economy adjusted factor'!$A$2:$F$52,5,FALSE)/$AZ$84</f>
        <v>3502.9993172250806</v>
      </c>
      <c r="AL160" s="106">
        <f>VLOOKUP($A160,'VKT US'!$B$63:$AA$113,(AL$113+1),FALSE)/VLOOKUP($A160,'Fuel economy adjusted factor'!$A$2:$F$52,5,FALSE)/$AZ$84</f>
        <v>3411.4654056075747</v>
      </c>
      <c r="AM160" s="106">
        <f>VLOOKUP($A160,'VKT US'!$B$63:$AA$113,(AM$113+1),FALSE)/VLOOKUP($A160,'Fuel economy adjusted factor'!$A$2:$F$52,5,FALSE)/$AZ$84</f>
        <v>3324.8040216046893</v>
      </c>
      <c r="AN160" s="106">
        <f>VLOOKUP($A160,'VKT US'!$B$63:$AA$113,(AN$113+1),FALSE)/VLOOKUP($A160,'Fuel economy adjusted factor'!$A$2:$F$52,5,FALSE)/$AZ$84</f>
        <v>3242.6671275296644</v>
      </c>
      <c r="AO160" s="106">
        <f>VLOOKUP($A160,'VKT US'!$B$63:$AA$113,(AO$113+1),FALSE)/VLOOKUP($A160,'Fuel economy adjusted factor'!$A$2:$F$52,5,FALSE)/$AZ$84</f>
        <v>3165.7507987560189</v>
      </c>
      <c r="AP160" s="106">
        <f>VLOOKUP($A160,'VKT US'!$B$63:$AA$113,(AP$113+1),FALSE)/VLOOKUP($A160,'Fuel economy adjusted factor'!$A$2:$F$52,5,FALSE)/$AZ$84</f>
        <v>3093.0109222234764</v>
      </c>
      <c r="AQ160" s="106">
        <f>VLOOKUP($A160,'VKT US'!$B$63:$AA$113,(AQ$113+1),FALSE)/VLOOKUP($A160,'Fuel economy adjusted factor'!$A$2:$F$52,5,FALSE)/$AZ$84</f>
        <v>3025.4916109923124</v>
      </c>
      <c r="AR160" s="106">
        <f>VLOOKUP($A160,'VKT US'!$B$63:$AA$113,(AR$113+1),FALSE)/VLOOKUP($A160,'Fuel economy adjusted factor'!$A$2:$F$52,5,FALSE)/$AZ$84</f>
        <v>2962.1487520022515</v>
      </c>
      <c r="AS160" s="106">
        <f>VLOOKUP($A160,'VKT US'!$B$63:$AA$113,(AS$113+1),FALSE)/VLOOKUP($A160,'Fuel economy adjusted factor'!$A$2:$F$52,5,FALSE)/$AZ$84</f>
        <v>2904.0264583135686</v>
      </c>
      <c r="AT160" s="110" cm="1">
        <f t="array" ref="AT160">SUMPRODUCT(INDEX(Z160:AS160,,_xlfn.SEQUENCE($AZ$13)))</f>
        <v>56159.013097677271</v>
      </c>
    </row>
    <row r="161" spans="1:46" x14ac:dyDescent="0.25">
      <c r="A161" s="102" t="s">
        <v>159</v>
      </c>
      <c r="B161" s="106">
        <f>VLOOKUP($A161,'VKT US'!$B$63:$AA$113,(B$113+1),FALSE)/VLOOKUP($A161,'Fuel economy adjusted factor'!$A$2:$F$52,5,FALSE)/$AZ$84*($AZ$15*('US Grid mix, emissions&amp;prices'!$AU$3+INDEX('Year data'!$B$3:$AC$53,MATCH('TCO Inputs'!$A161,'Year data'!$A$111:$A$161,0),MATCH('TCO Inputs'!$AZ$12+B$113-1,'Year data'!$B$110:$AC$110,0))/100)+$BA$15*('US Grid mix, emissions&amp;prices'!$AU$4+INDEX('Year data'!$B$57:$AC$107,MATCH($A161,'Year data'!$A$111:$A$161,0),MATCH('TCO Inputs'!$AZ$12+B$113-1,'Year data'!$B$110:$AC$110,0))/100))/(1+$AZ$41)^B$113</f>
        <v>1375.2702905324709</v>
      </c>
      <c r="C161" s="106">
        <f>VLOOKUP($A161,'VKT US'!$B$63:$AA$113,(C$113+1),FALSE)/VLOOKUP($A161,'Fuel economy adjusted factor'!$A$2:$F$52,5,FALSE)/$AZ$84*($AZ$15*('US Grid mix, emissions&amp;prices'!$AU$3+INDEX('Year data'!$B$3:$AC$53,MATCH('TCO Inputs'!$A161,'Year data'!$A$111:$A$161,0),MATCH('TCO Inputs'!$AZ$12+C$113-1,'Year data'!$B$110:$AC$110,0))/100)+$BA$15*('US Grid mix, emissions&amp;prices'!$AU$4+INDEX('Year data'!$B$57:$AC$107,MATCH($A161,'Year data'!$A$111:$A$161,0),MATCH('TCO Inputs'!$AZ$12+C$113-1,'Year data'!$B$110:$AC$110,0))/100))/(1+$AZ$41)^C$113</f>
        <v>1296.3396550256184</v>
      </c>
      <c r="D161" s="106">
        <f>VLOOKUP($A161,'VKT US'!$B$63:$AA$113,(D$113+1),FALSE)/VLOOKUP($A161,'Fuel economy adjusted factor'!$A$2:$F$52,5,FALSE)/$AZ$84*($AZ$15*('US Grid mix, emissions&amp;prices'!$AU$3+INDEX('Year data'!$B$3:$AC$53,MATCH('TCO Inputs'!$A161,'Year data'!$A$111:$A$161,0),MATCH('TCO Inputs'!$AZ$12+D$113-1,'Year data'!$B$110:$AC$110,0))/100)+$BA$15*('US Grid mix, emissions&amp;prices'!$AU$4+INDEX('Year data'!$B$57:$AC$107,MATCH($A161,'Year data'!$A$111:$A$161,0),MATCH('TCO Inputs'!$AZ$12+D$113-1,'Year data'!$B$110:$AC$110,0))/100))/(1+$AZ$41)^D$113</f>
        <v>1216.9560447530225</v>
      </c>
      <c r="E161" s="106">
        <f>VLOOKUP($A161,'VKT US'!$B$63:$AA$113,(E$113+1),FALSE)/VLOOKUP($A161,'Fuel economy adjusted factor'!$A$2:$F$52,5,FALSE)/$AZ$84*($AZ$15*('US Grid mix, emissions&amp;prices'!$AU$3+INDEX('Year data'!$B$3:$AC$53,MATCH('TCO Inputs'!$A161,'Year data'!$A$111:$A$161,0),MATCH('TCO Inputs'!$AZ$12+E$113-1,'Year data'!$B$110:$AC$110,0))/100)+$BA$15*('US Grid mix, emissions&amp;prices'!$AU$4+INDEX('Year data'!$B$57:$AC$107,MATCH($A161,'Year data'!$A$111:$A$161,0),MATCH('TCO Inputs'!$AZ$12+E$113-1,'Year data'!$B$110:$AC$110,0))/100))/(1+$AZ$41)^E$113</f>
        <v>1152.6995472858316</v>
      </c>
      <c r="F161" s="106">
        <f>VLOOKUP($A161,'VKT US'!$B$63:$AA$113,(F$113+1),FALSE)/VLOOKUP($A161,'Fuel economy adjusted factor'!$A$2:$F$52,5,FALSE)/$AZ$84*($AZ$15*('US Grid mix, emissions&amp;prices'!$AU$3+INDEX('Year data'!$B$3:$AC$53,MATCH('TCO Inputs'!$A161,'Year data'!$A$111:$A$161,0),MATCH('TCO Inputs'!$AZ$12+F$113-1,'Year data'!$B$110:$AC$110,0))/100)+$BA$15*('US Grid mix, emissions&amp;prices'!$AU$4+INDEX('Year data'!$B$57:$AC$107,MATCH($A161,'Year data'!$A$111:$A$161,0),MATCH('TCO Inputs'!$AZ$12+F$113-1,'Year data'!$B$110:$AC$110,0))/100))/(1+$AZ$41)^F$113</f>
        <v>1095.2203843190525</v>
      </c>
      <c r="G161" s="106">
        <f>VLOOKUP($A161,'VKT US'!$B$63:$AA$113,(G$113+1),FALSE)/VLOOKUP($A161,'Fuel economy adjusted factor'!$A$2:$F$52,5,FALSE)/$AZ$84*($AZ$15*('US Grid mix, emissions&amp;prices'!$AU$3+INDEX('Year data'!$B$3:$AC$53,MATCH('TCO Inputs'!$A161,'Year data'!$A$111:$A$161,0),MATCH('TCO Inputs'!$AZ$12+G$113-1,'Year data'!$B$110:$AC$110,0))/100)+$BA$15*('US Grid mix, emissions&amp;prices'!$AU$4+INDEX('Year data'!$B$57:$AC$107,MATCH($A161,'Year data'!$A$111:$A$161,0),MATCH('TCO Inputs'!$AZ$12+G$113-1,'Year data'!$B$110:$AC$110,0))/100))/(1+$AZ$41)^G$113</f>
        <v>1043.6681662795772</v>
      </c>
      <c r="H161" s="106">
        <f>VLOOKUP($A161,'VKT US'!$B$63:$AA$113,(H$113+1),FALSE)/VLOOKUP($A161,'Fuel economy adjusted factor'!$A$2:$F$52,5,FALSE)/$AZ$84*($AZ$15*('US Grid mix, emissions&amp;prices'!$AU$3+INDEX('Year data'!$B$3:$AC$53,MATCH('TCO Inputs'!$A161,'Year data'!$A$111:$A$161,0),MATCH('TCO Inputs'!$AZ$12+H$113-1,'Year data'!$B$110:$AC$110,0))/100)+$BA$15*('US Grid mix, emissions&amp;prices'!$AU$4+INDEX('Year data'!$B$57:$AC$107,MATCH($A161,'Year data'!$A$111:$A$161,0),MATCH('TCO Inputs'!$AZ$12+H$113-1,'Year data'!$B$110:$AC$110,0))/100))/(1+$AZ$41)^H$113</f>
        <v>999.15126837914909</v>
      </c>
      <c r="I161" s="106">
        <f>VLOOKUP($A161,'VKT US'!$B$63:$AA$113,(I$113+1),FALSE)/VLOOKUP($A161,'Fuel economy adjusted factor'!$A$2:$F$52,5,FALSE)/$AZ$84*($AZ$15*('US Grid mix, emissions&amp;prices'!$AU$3+INDEX('Year data'!$B$3:$AC$53,MATCH('TCO Inputs'!$A161,'Year data'!$A$111:$A$161,0),MATCH('TCO Inputs'!$AZ$12+I$113-1,'Year data'!$B$110:$AC$110,0))/100)+$BA$15*('US Grid mix, emissions&amp;prices'!$AU$4+INDEX('Year data'!$B$57:$AC$107,MATCH($A161,'Year data'!$A$111:$A$161,0),MATCH('TCO Inputs'!$AZ$12+I$113-1,'Year data'!$B$110:$AC$110,0))/100))/(1+$AZ$41)^I$113</f>
        <v>960.18524187482751</v>
      </c>
      <c r="J161" s="106">
        <f>VLOOKUP($A161,'VKT US'!$B$63:$AA$113,(J$113+1),FALSE)/VLOOKUP($A161,'Fuel economy adjusted factor'!$A$2:$F$52,5,FALSE)/$AZ$84*($AZ$15*('US Grid mix, emissions&amp;prices'!$AU$3+INDEX('Year data'!$B$3:$AC$53,MATCH('TCO Inputs'!$A161,'Year data'!$A$111:$A$161,0),MATCH('TCO Inputs'!$AZ$12+J$113-1,'Year data'!$B$110:$AC$110,0))/100)+$BA$15*('US Grid mix, emissions&amp;prices'!$AU$4+INDEX('Year data'!$B$57:$AC$107,MATCH($A161,'Year data'!$A$111:$A$161,0),MATCH('TCO Inputs'!$AZ$12+J$113-1,'Year data'!$B$110:$AC$110,0))/100))/(1+$AZ$41)^J$113</f>
        <v>924.36679233367283</v>
      </c>
      <c r="K161" s="106">
        <f>VLOOKUP($A161,'VKT US'!$B$63:$AA$113,(K$113+1),FALSE)/VLOOKUP($A161,'Fuel economy adjusted factor'!$A$2:$F$52,5,FALSE)/$AZ$84*($AZ$15*('US Grid mix, emissions&amp;prices'!$AU$3+INDEX('Year data'!$B$3:$AC$53,MATCH('TCO Inputs'!$A161,'Year data'!$A$111:$A$161,0),MATCH('TCO Inputs'!$AZ$12+K$113-1,'Year data'!$B$110:$AC$110,0))/100)+$BA$15*('US Grid mix, emissions&amp;prices'!$AU$4+INDEX('Year data'!$B$57:$AC$107,MATCH($A161,'Year data'!$A$111:$A$161,0),MATCH('TCO Inputs'!$AZ$12+K$113-1,'Year data'!$B$110:$AC$110,0))/100))/(1+$AZ$41)^K$113</f>
        <v>890.05913995030983</v>
      </c>
      <c r="L161" s="106">
        <f>VLOOKUP($A161,'VKT US'!$B$63:$AA$113,(L$113+1),FALSE)/VLOOKUP($A161,'Fuel economy adjusted factor'!$A$2:$F$52,5,FALSE)/$AZ$84*($AZ$15*('US Grid mix, emissions&amp;prices'!$AU$3+INDEX('Year data'!$B$3:$AC$53,MATCH('TCO Inputs'!$A161,'Year data'!$A$111:$A$161,0),MATCH('TCO Inputs'!$AZ$12+L$113-1,'Year data'!$B$110:$AC$110,0))/100)+$BA$15*('US Grid mix, emissions&amp;prices'!$AU$4+INDEX('Year data'!$B$57:$AC$107,MATCH($A161,'Year data'!$A$111:$A$161,0),MATCH('TCO Inputs'!$AZ$12+L$113-1,'Year data'!$B$110:$AC$110,0))/100))/(1+$AZ$41)^L$113</f>
        <v>863.1098466668401</v>
      </c>
      <c r="M161" s="106">
        <f>VLOOKUP($A161,'VKT US'!$B$63:$AA$113,(M$113+1),FALSE)/VLOOKUP($A161,'Fuel economy adjusted factor'!$A$2:$F$52,5,FALSE)/$AZ$84*($AZ$15*('US Grid mix, emissions&amp;prices'!$AU$3+INDEX('Year data'!$B$3:$AC$53,MATCH('TCO Inputs'!$A161,'Year data'!$A$111:$A$161,0),MATCH('TCO Inputs'!$AZ$12+M$113-1,'Year data'!$B$110:$AC$110,0))/100)+$BA$15*('US Grid mix, emissions&amp;prices'!$AU$4+INDEX('Year data'!$B$57:$AC$107,MATCH($A161,'Year data'!$A$111:$A$161,0),MATCH('TCO Inputs'!$AZ$12+M$113-1,'Year data'!$B$110:$AC$110,0))/100))/(1+$AZ$41)^M$113</f>
        <v>835.60084432770782</v>
      </c>
      <c r="N161" s="106">
        <f>VLOOKUP($A161,'VKT US'!$B$63:$AA$113,(N$113+1),FALSE)/VLOOKUP($A161,'Fuel economy adjusted factor'!$A$2:$F$52,5,FALSE)/$AZ$84*($AZ$15*('US Grid mix, emissions&amp;prices'!$AU$3+INDEX('Year data'!$B$3:$AC$53,MATCH('TCO Inputs'!$A161,'Year data'!$A$111:$A$161,0),MATCH('TCO Inputs'!$AZ$12+N$113-1,'Year data'!$B$110:$AC$110,0))/100)+$BA$15*('US Grid mix, emissions&amp;prices'!$AU$4+INDEX('Year data'!$B$57:$AC$107,MATCH($A161,'Year data'!$A$111:$A$161,0),MATCH('TCO Inputs'!$AZ$12+N$113-1,'Year data'!$B$110:$AC$110,0))/100))/(1+$AZ$41)^N$113</f>
        <v>804.30359622976198</v>
      </c>
      <c r="O161" s="106">
        <f>VLOOKUP($A161,'VKT US'!$B$63:$AA$113,(O$113+1),FALSE)/VLOOKUP($A161,'Fuel economy adjusted factor'!$A$2:$F$52,5,FALSE)/$AZ$84*($AZ$15*('US Grid mix, emissions&amp;prices'!$AU$3+INDEX('Year data'!$B$3:$AC$53,MATCH('TCO Inputs'!$A161,'Year data'!$A$111:$A$161,0),MATCH('TCO Inputs'!$AZ$12+O$113-1,'Year data'!$B$110:$AC$110,0))/100)+$BA$15*('US Grid mix, emissions&amp;prices'!$AU$4+INDEX('Year data'!$B$57:$AC$107,MATCH($A161,'Year data'!$A$111:$A$161,0),MATCH('TCO Inputs'!$AZ$12+O$113-1,'Year data'!$B$110:$AC$110,0))/100))/(1+$AZ$41)^O$113</f>
        <v>777.27040383169947</v>
      </c>
      <c r="P161" s="106">
        <f>VLOOKUP($A161,'VKT US'!$B$63:$AA$113,(P$113+1),FALSE)/VLOOKUP($A161,'Fuel economy adjusted factor'!$A$2:$F$52,5,FALSE)/$AZ$84*($AZ$15*('US Grid mix, emissions&amp;prices'!$AU$3+INDEX('Year data'!$B$3:$AC$53,MATCH('TCO Inputs'!$A161,'Year data'!$A$111:$A$161,0),MATCH('TCO Inputs'!$AZ$12+P$113-1,'Year data'!$B$110:$AC$110,0))/100)+$BA$15*('US Grid mix, emissions&amp;prices'!$AU$4+INDEX('Year data'!$B$57:$AC$107,MATCH($A161,'Year data'!$A$111:$A$161,0),MATCH('TCO Inputs'!$AZ$12+P$113-1,'Year data'!$B$110:$AC$110,0))/100))/(1+$AZ$41)^P$113</f>
        <v>752.27961915931633</v>
      </c>
      <c r="Q161" s="106">
        <f>VLOOKUP($A161,'VKT US'!$B$63:$AA$113,(Q$113+1),FALSE)/VLOOKUP($A161,'Fuel economy adjusted factor'!$A$2:$F$52,5,FALSE)/$AZ$84*($AZ$15*('US Grid mix, emissions&amp;prices'!$AU$3+INDEX('Year data'!$B$3:$AC$53,MATCH('TCO Inputs'!$A161,'Year data'!$A$111:$A$161,0),MATCH('TCO Inputs'!$AZ$12+Q$113-1,'Year data'!$B$110:$AC$110,0))/100)+$BA$15*('US Grid mix, emissions&amp;prices'!$AU$4+INDEX('Year data'!$B$57:$AC$107,MATCH($A161,'Year data'!$A$111:$A$161,0),MATCH('TCO Inputs'!$AZ$12+Q$113-1,'Year data'!$B$110:$AC$110,0))/100))/(1+$AZ$41)^Q$113</f>
        <v>730.31656639440325</v>
      </c>
      <c r="R161" s="106">
        <f>VLOOKUP($A161,'VKT US'!$B$63:$AA$113,(R$113+1),FALSE)/VLOOKUP($A161,'Fuel economy adjusted factor'!$A$2:$F$52,5,FALSE)/$AZ$84*($AZ$15*('US Grid mix, emissions&amp;prices'!$AU$3+INDEX('Year data'!$B$3:$AC$53,MATCH('TCO Inputs'!$A161,'Year data'!$A$111:$A$161,0),MATCH('TCO Inputs'!$AZ$12+R$113-1,'Year data'!$B$110:$AC$110,0))/100)+$BA$15*('US Grid mix, emissions&amp;prices'!$AU$4+INDEX('Year data'!$B$57:$AC$107,MATCH($A161,'Year data'!$A$111:$A$161,0),MATCH('TCO Inputs'!$AZ$12+R$113-1,'Year data'!$B$110:$AC$110,0))/100))/(1+$AZ$41)^R$113</f>
        <v>708.16849996804751</v>
      </c>
      <c r="S161" s="106">
        <f>VLOOKUP($A161,'VKT US'!$B$63:$AA$113,(S$113+1),FALSE)/VLOOKUP($A161,'Fuel economy adjusted factor'!$A$2:$F$52,5,FALSE)/$AZ$84*($AZ$15*('US Grid mix, emissions&amp;prices'!$AU$3+INDEX('Year data'!$B$3:$AC$53,MATCH('TCO Inputs'!$A161,'Year data'!$A$111:$A$161,0),MATCH('TCO Inputs'!$AZ$12+S$113-1,'Year data'!$B$110:$AC$110,0))/100)+$BA$15*('US Grid mix, emissions&amp;prices'!$AU$4+INDEX('Year data'!$B$57:$AC$107,MATCH($A161,'Year data'!$A$111:$A$161,0),MATCH('TCO Inputs'!$AZ$12+S$113-1,'Year data'!$B$110:$AC$110,0))/100))/(1+$AZ$41)^S$113</f>
        <v>687.40441557239797</v>
      </c>
      <c r="T161" s="106">
        <f>VLOOKUP($A161,'VKT US'!$B$63:$AA$113,(T$113+1),FALSE)/VLOOKUP($A161,'Fuel economy adjusted factor'!$A$2:$F$52,5,FALSE)/$AZ$84*($AZ$15*('US Grid mix, emissions&amp;prices'!$AU$3+INDEX('Year data'!$B$3:$AC$53,MATCH('TCO Inputs'!$A161,'Year data'!$A$111:$A$161,0),MATCH('TCO Inputs'!$AZ$12+T$113-1,'Year data'!$B$110:$AC$110,0))/100)+$BA$15*('US Grid mix, emissions&amp;prices'!$AU$4+INDEX('Year data'!$B$57:$AC$107,MATCH($A161,'Year data'!$A$111:$A$161,0),MATCH('TCO Inputs'!$AZ$12+T$113-1,'Year data'!$B$110:$AC$110,0))/100))/(1+$AZ$41)^T$113</f>
        <v>667.26721185555141</v>
      </c>
      <c r="U161" s="106">
        <f>VLOOKUP($A161,'VKT US'!$B$63:$AA$113,(U$113+1),FALSE)/VLOOKUP($A161,'Fuel economy adjusted factor'!$A$2:$F$52,5,FALSE)/$AZ$84*($AZ$15*('US Grid mix, emissions&amp;prices'!$AU$3+INDEX('Year data'!$B$3:$AC$53,MATCH('TCO Inputs'!$A161,'Year data'!$A$111:$A$161,0),MATCH('TCO Inputs'!$AZ$12+U$113-1,'Year data'!$B$110:$AC$110,0))/100)+$BA$15*('US Grid mix, emissions&amp;prices'!$AU$4+INDEX('Year data'!$B$57:$AC$107,MATCH($A161,'Year data'!$A$111:$A$161,0),MATCH('TCO Inputs'!$AZ$12+U$113-1,'Year data'!$B$110:$AC$110,0))/100))/(1+$AZ$41)^U$113</f>
        <v>647.52769317966477</v>
      </c>
      <c r="V161" s="110" cm="1">
        <f t="array" ref="V161">SUMPRODUCT(INDEX(B161:U161,,_xlfn.SEQUENCE($AZ$13)))</f>
        <v>14234.201221789541</v>
      </c>
      <c r="Y161" s="102" t="s">
        <v>159</v>
      </c>
      <c r="Z161" s="106">
        <f>VLOOKUP($A161,'VKT US'!$B$63:$AA$113,(Z$113+1),FALSE)/VLOOKUP($A161,'Fuel economy adjusted factor'!$A$2:$F$52,5,FALSE)/$AZ$84</f>
        <v>7139.1185880949351</v>
      </c>
      <c r="AA161" s="106">
        <f>VLOOKUP($A161,'VKT US'!$B$63:$AA$113,(AA$113+1),FALSE)/VLOOKUP($A161,'Fuel economy adjusted factor'!$A$2:$F$52,5,FALSE)/$AZ$84</f>
        <v>6926.7798024831018</v>
      </c>
      <c r="AB161" s="106">
        <f>VLOOKUP($A161,'VKT US'!$B$63:$AA$113,(AB$113+1),FALSE)/VLOOKUP($A161,'Fuel economy adjusted factor'!$A$2:$F$52,5,FALSE)/$AZ$84</f>
        <v>6721.1410270968845</v>
      </c>
      <c r="AC161" s="106">
        <f>VLOOKUP($A161,'VKT US'!$B$63:$AA$113,(AC$113+1),FALSE)/VLOOKUP($A161,'Fuel economy adjusted factor'!$A$2:$F$52,5,FALSE)/$AZ$84</f>
        <v>6522.7176473382551</v>
      </c>
      <c r="AD161" s="106">
        <f>VLOOKUP($A161,'VKT US'!$B$63:$AA$113,(AD$113+1),FALSE)/VLOOKUP($A161,'Fuel economy adjusted factor'!$A$2:$F$52,5,FALSE)/$AZ$84</f>
        <v>6330.99427780524</v>
      </c>
      <c r="AE161" s="106">
        <f>VLOOKUP($A161,'VKT US'!$B$63:$AA$113,(AE$113+1),FALSE)/VLOOKUP($A161,'Fuel economy adjusted factor'!$A$2:$F$52,5,FALSE)/$AZ$84</f>
        <v>6147.0016893017828</v>
      </c>
      <c r="AF161" s="106">
        <f>VLOOKUP($A161,'VKT US'!$B$63:$AA$113,(AF$113+1),FALSE)/VLOOKUP($A161,'Fuel economy adjusted factor'!$A$2:$F$52,5,FALSE)/$AZ$84</f>
        <v>5969.1937256219717</v>
      </c>
      <c r="AG161" s="106">
        <f>VLOOKUP($A161,'VKT US'!$B$63:$AA$113,(AG$113+1),FALSE)/VLOOKUP($A161,'Fuel economy adjusted factor'!$A$2:$F$52,5,FALSE)/$AZ$84</f>
        <v>5798.6011575697466</v>
      </c>
      <c r="AH161" s="106">
        <f>VLOOKUP($A161,'VKT US'!$B$63:$AA$113,(AH$113+1),FALSE)/VLOOKUP($A161,'Fuel economy adjusted factor'!$A$2:$F$52,5,FALSE)/$AZ$84</f>
        <v>5635.2239851451068</v>
      </c>
      <c r="AI161" s="106">
        <f>VLOOKUP($A161,'VKT US'!$B$63:$AA$113,(AI$113+1),FALSE)/VLOOKUP($A161,'Fuel economy adjusted factor'!$A$2:$F$52,5,FALSE)/$AZ$84</f>
        <v>5479.0622083480548</v>
      </c>
      <c r="AJ161" s="106">
        <f>VLOOKUP($A161,'VKT US'!$B$63:$AA$113,(AJ$113+1),FALSE)/VLOOKUP($A161,'Fuel economy adjusted factor'!$A$2:$F$52,5,FALSE)/$AZ$84</f>
        <v>5329.6004417766189</v>
      </c>
      <c r="AK161" s="106">
        <f>VLOOKUP($A161,'VKT US'!$B$63:$AA$113,(AK$113+1),FALSE)/VLOOKUP($A161,'Fuel economy adjusted factor'!$A$2:$F$52,5,FALSE)/$AZ$84</f>
        <v>5187.35407083277</v>
      </c>
      <c r="AL161" s="106">
        <f>VLOOKUP($A161,'VKT US'!$B$63:$AA$113,(AL$113+1),FALSE)/VLOOKUP($A161,'Fuel economy adjusted factor'!$A$2:$F$52,5,FALSE)/$AZ$84</f>
        <v>5051.8077101145363</v>
      </c>
      <c r="AM161" s="106">
        <f>VLOOKUP($A161,'VKT US'!$B$63:$AA$113,(AM$113+1),FALSE)/VLOOKUP($A161,'Fuel economy adjusted factor'!$A$2:$F$52,5,FALSE)/$AZ$84</f>
        <v>4923.4767450238896</v>
      </c>
      <c r="AN161" s="106">
        <f>VLOOKUP($A161,'VKT US'!$B$63:$AA$113,(AN$113+1),FALSE)/VLOOKUP($A161,'Fuel economy adjusted factor'!$A$2:$F$52,5,FALSE)/$AZ$84</f>
        <v>4801.845790158859</v>
      </c>
      <c r="AO161" s="106">
        <f>VLOOKUP($A161,'VKT US'!$B$63:$AA$113,(AO$113+1),FALSE)/VLOOKUP($A161,'Fuel economy adjusted factor'!$A$2:$F$52,5,FALSE)/$AZ$84</f>
        <v>4687.9456163233845</v>
      </c>
      <c r="AP161" s="106">
        <f>VLOOKUP($A161,'VKT US'!$B$63:$AA$113,(AP$113+1),FALSE)/VLOOKUP($A161,'Fuel economy adjusted factor'!$A$2:$F$52,5,FALSE)/$AZ$84</f>
        <v>4580.2300673115569</v>
      </c>
      <c r="AQ161" s="106">
        <f>VLOOKUP($A161,'VKT US'!$B$63:$AA$113,(AQ$113+1),FALSE)/VLOOKUP($A161,'Fuel economy adjusted factor'!$A$2:$F$52,5,FALSE)/$AZ$84</f>
        <v>4480.2452993292864</v>
      </c>
      <c r="AR161" s="106">
        <f>VLOOKUP($A161,'VKT US'!$B$63:$AA$113,(AR$113+1),FALSE)/VLOOKUP($A161,'Fuel economy adjusted factor'!$A$2:$F$52,5,FALSE)/$AZ$84</f>
        <v>4386.445156170661</v>
      </c>
      <c r="AS161" s="106">
        <f>VLOOKUP($A161,'VKT US'!$B$63:$AA$113,(AS$113+1),FALSE)/VLOOKUP($A161,'Fuel economy adjusted factor'!$A$2:$F$52,5,FALSE)/$AZ$84</f>
        <v>4300.3757940415926</v>
      </c>
      <c r="AT161" s="110" cm="1">
        <f t="array" ref="AT161">SUMPRODUCT(INDEX(Z161:AS161,,_xlfn.SEQUENCE($AZ$13)))</f>
        <v>83162.073076552886</v>
      </c>
    </row>
    <row r="162" spans="1:46" x14ac:dyDescent="0.25">
      <c r="A162" s="102" t="s">
        <v>158</v>
      </c>
      <c r="B162" s="106">
        <f>VLOOKUP($A162,'VKT US'!$B$63:$AA$113,(B$113+1),FALSE)/VLOOKUP($A162,'Fuel economy adjusted factor'!$A$2:$F$52,5,FALSE)/$AZ$84*($AZ$15*('US Grid mix, emissions&amp;prices'!$AU$3+INDEX('Year data'!$B$3:$AC$53,MATCH('TCO Inputs'!$A162,'Year data'!$A$111:$A$161,0),MATCH('TCO Inputs'!$AZ$12+B$113-1,'Year data'!$B$110:$AC$110,0))/100)+$BA$15*('US Grid mix, emissions&amp;prices'!$AU$4+INDEX('Year data'!$B$57:$AC$107,MATCH($A162,'Year data'!$A$111:$A$161,0),MATCH('TCO Inputs'!$AZ$12+B$113-1,'Year data'!$B$110:$AC$110,0))/100))/(1+$AZ$41)^B$113</f>
        <v>1544.6657793432482</v>
      </c>
      <c r="C162" s="106">
        <f>VLOOKUP($A162,'VKT US'!$B$63:$AA$113,(C$113+1),FALSE)/VLOOKUP($A162,'Fuel economy adjusted factor'!$A$2:$F$52,5,FALSE)/$AZ$84*($AZ$15*('US Grid mix, emissions&amp;prices'!$AU$3+INDEX('Year data'!$B$3:$AC$53,MATCH('TCO Inputs'!$A162,'Year data'!$A$111:$A$161,0),MATCH('TCO Inputs'!$AZ$12+C$113-1,'Year data'!$B$110:$AC$110,0))/100)+$BA$15*('US Grid mix, emissions&amp;prices'!$AU$4+INDEX('Year data'!$B$57:$AC$107,MATCH($A162,'Year data'!$A$111:$A$161,0),MATCH('TCO Inputs'!$AZ$12+C$113-1,'Year data'!$B$110:$AC$110,0))/100))/(1+$AZ$41)^C$113</f>
        <v>1454.6092449009434</v>
      </c>
      <c r="D162" s="106">
        <f>VLOOKUP($A162,'VKT US'!$B$63:$AA$113,(D$113+1),FALSE)/VLOOKUP($A162,'Fuel economy adjusted factor'!$A$2:$F$52,5,FALSE)/$AZ$84*($AZ$15*('US Grid mix, emissions&amp;prices'!$AU$3+INDEX('Year data'!$B$3:$AC$53,MATCH('TCO Inputs'!$A162,'Year data'!$A$111:$A$161,0),MATCH('TCO Inputs'!$AZ$12+D$113-1,'Year data'!$B$110:$AC$110,0))/100)+$BA$15*('US Grid mix, emissions&amp;prices'!$AU$4+INDEX('Year data'!$B$57:$AC$107,MATCH($A162,'Year data'!$A$111:$A$161,0),MATCH('TCO Inputs'!$AZ$12+D$113-1,'Year data'!$B$110:$AC$110,0))/100))/(1+$AZ$41)^D$113</f>
        <v>1363.816418602878</v>
      </c>
      <c r="E162" s="106">
        <f>VLOOKUP($A162,'VKT US'!$B$63:$AA$113,(E$113+1),FALSE)/VLOOKUP($A162,'Fuel economy adjusted factor'!$A$2:$F$52,5,FALSE)/$AZ$84*($AZ$15*('US Grid mix, emissions&amp;prices'!$AU$3+INDEX('Year data'!$B$3:$AC$53,MATCH('TCO Inputs'!$A162,'Year data'!$A$111:$A$161,0),MATCH('TCO Inputs'!$AZ$12+E$113-1,'Year data'!$B$110:$AC$110,0))/100)+$BA$15*('US Grid mix, emissions&amp;prices'!$AU$4+INDEX('Year data'!$B$57:$AC$107,MATCH($A162,'Year data'!$A$111:$A$161,0),MATCH('TCO Inputs'!$AZ$12+E$113-1,'Year data'!$B$110:$AC$110,0))/100))/(1+$AZ$41)^E$113</f>
        <v>1290.8358263359064</v>
      </c>
      <c r="F162" s="106">
        <f>VLOOKUP($A162,'VKT US'!$B$63:$AA$113,(F$113+1),FALSE)/VLOOKUP($A162,'Fuel economy adjusted factor'!$A$2:$F$52,5,FALSE)/$AZ$84*($AZ$15*('US Grid mix, emissions&amp;prices'!$AU$3+INDEX('Year data'!$B$3:$AC$53,MATCH('TCO Inputs'!$A162,'Year data'!$A$111:$A$161,0),MATCH('TCO Inputs'!$AZ$12+F$113-1,'Year data'!$B$110:$AC$110,0))/100)+$BA$15*('US Grid mix, emissions&amp;prices'!$AU$4+INDEX('Year data'!$B$57:$AC$107,MATCH($A162,'Year data'!$A$111:$A$161,0),MATCH('TCO Inputs'!$AZ$12+F$113-1,'Year data'!$B$110:$AC$110,0))/100))/(1+$AZ$41)^F$113</f>
        <v>1225.7583492021211</v>
      </c>
      <c r="G162" s="106">
        <f>VLOOKUP($A162,'VKT US'!$B$63:$AA$113,(G$113+1),FALSE)/VLOOKUP($A162,'Fuel economy adjusted factor'!$A$2:$F$52,5,FALSE)/$AZ$84*($AZ$15*('US Grid mix, emissions&amp;prices'!$AU$3+INDEX('Year data'!$B$3:$AC$53,MATCH('TCO Inputs'!$A162,'Year data'!$A$111:$A$161,0),MATCH('TCO Inputs'!$AZ$12+G$113-1,'Year data'!$B$110:$AC$110,0))/100)+$BA$15*('US Grid mix, emissions&amp;prices'!$AU$4+INDEX('Year data'!$B$57:$AC$107,MATCH($A162,'Year data'!$A$111:$A$161,0),MATCH('TCO Inputs'!$AZ$12+G$113-1,'Year data'!$B$110:$AC$110,0))/100))/(1+$AZ$41)^G$113</f>
        <v>1167.5750386374064</v>
      </c>
      <c r="H162" s="106">
        <f>VLOOKUP($A162,'VKT US'!$B$63:$AA$113,(H$113+1),FALSE)/VLOOKUP($A162,'Fuel economy adjusted factor'!$A$2:$F$52,5,FALSE)/$AZ$84*($AZ$15*('US Grid mix, emissions&amp;prices'!$AU$3+INDEX('Year data'!$B$3:$AC$53,MATCH('TCO Inputs'!$A162,'Year data'!$A$111:$A$161,0),MATCH('TCO Inputs'!$AZ$12+H$113-1,'Year data'!$B$110:$AC$110,0))/100)+$BA$15*('US Grid mix, emissions&amp;prices'!$AU$4+INDEX('Year data'!$B$57:$AC$107,MATCH($A162,'Year data'!$A$111:$A$161,0),MATCH('TCO Inputs'!$AZ$12+H$113-1,'Year data'!$B$110:$AC$110,0))/100))/(1+$AZ$41)^H$113</f>
        <v>1117.6206752037695</v>
      </c>
      <c r="I162" s="106">
        <f>VLOOKUP($A162,'VKT US'!$B$63:$AA$113,(I$113+1),FALSE)/VLOOKUP($A162,'Fuel economy adjusted factor'!$A$2:$F$52,5,FALSE)/$AZ$84*($AZ$15*('US Grid mix, emissions&amp;prices'!$AU$3+INDEX('Year data'!$B$3:$AC$53,MATCH('TCO Inputs'!$A162,'Year data'!$A$111:$A$161,0),MATCH('TCO Inputs'!$AZ$12+I$113-1,'Year data'!$B$110:$AC$110,0))/100)+$BA$15*('US Grid mix, emissions&amp;prices'!$AU$4+INDEX('Year data'!$B$57:$AC$107,MATCH($A162,'Year data'!$A$111:$A$161,0),MATCH('TCO Inputs'!$AZ$12+I$113-1,'Year data'!$B$110:$AC$110,0))/100))/(1+$AZ$41)^I$113</f>
        <v>1074.1207123433837</v>
      </c>
      <c r="J162" s="106">
        <f>VLOOKUP($A162,'VKT US'!$B$63:$AA$113,(J$113+1),FALSE)/VLOOKUP($A162,'Fuel economy adjusted factor'!$A$2:$F$52,5,FALSE)/$AZ$84*($AZ$15*('US Grid mix, emissions&amp;prices'!$AU$3+INDEX('Year data'!$B$3:$AC$53,MATCH('TCO Inputs'!$A162,'Year data'!$A$111:$A$161,0),MATCH('TCO Inputs'!$AZ$12+J$113-1,'Year data'!$B$110:$AC$110,0))/100)+$BA$15*('US Grid mix, emissions&amp;prices'!$AU$4+INDEX('Year data'!$B$57:$AC$107,MATCH($A162,'Year data'!$A$111:$A$161,0),MATCH('TCO Inputs'!$AZ$12+J$113-1,'Year data'!$B$110:$AC$110,0))/100))/(1+$AZ$41)^J$113</f>
        <v>1034.2273050576662</v>
      </c>
      <c r="K162" s="106">
        <f>VLOOKUP($A162,'VKT US'!$B$63:$AA$113,(K$113+1),FALSE)/VLOOKUP($A162,'Fuel economy adjusted factor'!$A$2:$F$52,5,FALSE)/$AZ$84*($AZ$15*('US Grid mix, emissions&amp;prices'!$AU$3+INDEX('Year data'!$B$3:$AC$53,MATCH('TCO Inputs'!$A162,'Year data'!$A$111:$A$161,0),MATCH('TCO Inputs'!$AZ$12+K$113-1,'Year data'!$B$110:$AC$110,0))/100)+$BA$15*('US Grid mix, emissions&amp;prices'!$AU$4+INDEX('Year data'!$B$57:$AC$107,MATCH($A162,'Year data'!$A$111:$A$161,0),MATCH('TCO Inputs'!$AZ$12+K$113-1,'Year data'!$B$110:$AC$110,0))/100))/(1+$AZ$41)^K$113</f>
        <v>995.99288873736009</v>
      </c>
      <c r="L162" s="106">
        <f>VLOOKUP($A162,'VKT US'!$B$63:$AA$113,(L$113+1),FALSE)/VLOOKUP($A162,'Fuel economy adjusted factor'!$A$2:$F$52,5,FALSE)/$AZ$84*($AZ$15*('US Grid mix, emissions&amp;prices'!$AU$3+INDEX('Year data'!$B$3:$AC$53,MATCH('TCO Inputs'!$A162,'Year data'!$A$111:$A$161,0),MATCH('TCO Inputs'!$AZ$12+L$113-1,'Year data'!$B$110:$AC$110,0))/100)+$BA$15*('US Grid mix, emissions&amp;prices'!$AU$4+INDEX('Year data'!$B$57:$AC$107,MATCH($A162,'Year data'!$A$111:$A$161,0),MATCH('TCO Inputs'!$AZ$12+L$113-1,'Year data'!$B$110:$AC$110,0))/100))/(1+$AZ$41)^L$113</f>
        <v>966.38075106682288</v>
      </c>
      <c r="M162" s="106">
        <f>VLOOKUP($A162,'VKT US'!$B$63:$AA$113,(M$113+1),FALSE)/VLOOKUP($A162,'Fuel economy adjusted factor'!$A$2:$F$52,5,FALSE)/$AZ$84*($AZ$15*('US Grid mix, emissions&amp;prices'!$AU$3+INDEX('Year data'!$B$3:$AC$53,MATCH('TCO Inputs'!$A162,'Year data'!$A$111:$A$161,0),MATCH('TCO Inputs'!$AZ$12+M$113-1,'Year data'!$B$110:$AC$110,0))/100)+$BA$15*('US Grid mix, emissions&amp;prices'!$AU$4+INDEX('Year data'!$B$57:$AC$107,MATCH($A162,'Year data'!$A$111:$A$161,0),MATCH('TCO Inputs'!$AZ$12+M$113-1,'Year data'!$B$110:$AC$110,0))/100))/(1+$AZ$41)^M$113</f>
        <v>935.97268249872855</v>
      </c>
      <c r="N162" s="106">
        <f>VLOOKUP($A162,'VKT US'!$B$63:$AA$113,(N$113+1),FALSE)/VLOOKUP($A162,'Fuel economy adjusted factor'!$A$2:$F$52,5,FALSE)/$AZ$84*($AZ$15*('US Grid mix, emissions&amp;prices'!$AU$3+INDEX('Year data'!$B$3:$AC$53,MATCH('TCO Inputs'!$A162,'Year data'!$A$111:$A$161,0),MATCH('TCO Inputs'!$AZ$12+N$113-1,'Year data'!$B$110:$AC$110,0))/100)+$BA$15*('US Grid mix, emissions&amp;prices'!$AU$4+INDEX('Year data'!$B$57:$AC$107,MATCH($A162,'Year data'!$A$111:$A$161,0),MATCH('TCO Inputs'!$AZ$12+N$113-1,'Year data'!$B$110:$AC$110,0))/100))/(1+$AZ$41)^N$113</f>
        <v>900.9351528844935</v>
      </c>
      <c r="O162" s="106">
        <f>VLOOKUP($A162,'VKT US'!$B$63:$AA$113,(O$113+1),FALSE)/VLOOKUP($A162,'Fuel economy adjusted factor'!$A$2:$F$52,5,FALSE)/$AZ$84*($AZ$15*('US Grid mix, emissions&amp;prices'!$AU$3+INDEX('Year data'!$B$3:$AC$53,MATCH('TCO Inputs'!$A162,'Year data'!$A$111:$A$161,0),MATCH('TCO Inputs'!$AZ$12+O$113-1,'Year data'!$B$110:$AC$110,0))/100)+$BA$15*('US Grid mix, emissions&amp;prices'!$AU$4+INDEX('Year data'!$B$57:$AC$107,MATCH($A162,'Year data'!$A$111:$A$161,0),MATCH('TCO Inputs'!$AZ$12+O$113-1,'Year data'!$B$110:$AC$110,0))/100))/(1+$AZ$41)^O$113</f>
        <v>870.84713800307225</v>
      </c>
      <c r="P162" s="106">
        <f>VLOOKUP($A162,'VKT US'!$B$63:$AA$113,(P$113+1),FALSE)/VLOOKUP($A162,'Fuel economy adjusted factor'!$A$2:$F$52,5,FALSE)/$AZ$84*($AZ$15*('US Grid mix, emissions&amp;prices'!$AU$3+INDEX('Year data'!$B$3:$AC$53,MATCH('TCO Inputs'!$A162,'Year data'!$A$111:$A$161,0),MATCH('TCO Inputs'!$AZ$12+P$113-1,'Year data'!$B$110:$AC$110,0))/100)+$BA$15*('US Grid mix, emissions&amp;prices'!$AU$4+INDEX('Year data'!$B$57:$AC$107,MATCH($A162,'Year data'!$A$111:$A$161,0),MATCH('TCO Inputs'!$AZ$12+P$113-1,'Year data'!$B$110:$AC$110,0))/100))/(1+$AZ$41)^P$113</f>
        <v>843.07671415628408</v>
      </c>
      <c r="Q162" s="106">
        <f>VLOOKUP($A162,'VKT US'!$B$63:$AA$113,(Q$113+1),FALSE)/VLOOKUP($A162,'Fuel economy adjusted factor'!$A$2:$F$52,5,FALSE)/$AZ$84*($AZ$15*('US Grid mix, emissions&amp;prices'!$AU$3+INDEX('Year data'!$B$3:$AC$53,MATCH('TCO Inputs'!$A162,'Year data'!$A$111:$A$161,0),MATCH('TCO Inputs'!$AZ$12+Q$113-1,'Year data'!$B$110:$AC$110,0))/100)+$BA$15*('US Grid mix, emissions&amp;prices'!$AU$4+INDEX('Year data'!$B$57:$AC$107,MATCH($A162,'Year data'!$A$111:$A$161,0),MATCH('TCO Inputs'!$AZ$12+Q$113-1,'Year data'!$B$110:$AC$110,0))/100))/(1+$AZ$41)^Q$113</f>
        <v>818.78447438883006</v>
      </c>
      <c r="R162" s="106">
        <f>VLOOKUP($A162,'VKT US'!$B$63:$AA$113,(R$113+1),FALSE)/VLOOKUP($A162,'Fuel economy adjusted factor'!$A$2:$F$52,5,FALSE)/$AZ$84*($AZ$15*('US Grid mix, emissions&amp;prices'!$AU$3+INDEX('Year data'!$B$3:$AC$53,MATCH('TCO Inputs'!$A162,'Year data'!$A$111:$A$161,0),MATCH('TCO Inputs'!$AZ$12+R$113-1,'Year data'!$B$110:$AC$110,0))/100)+$BA$15*('US Grid mix, emissions&amp;prices'!$AU$4+INDEX('Year data'!$B$57:$AC$107,MATCH($A162,'Year data'!$A$111:$A$161,0),MATCH('TCO Inputs'!$AZ$12+R$113-1,'Year data'!$B$110:$AC$110,0))/100))/(1+$AZ$41)^R$113</f>
        <v>794.16952066661565</v>
      </c>
      <c r="S162" s="106">
        <f>VLOOKUP($A162,'VKT US'!$B$63:$AA$113,(S$113+1),FALSE)/VLOOKUP($A162,'Fuel economy adjusted factor'!$A$2:$F$52,5,FALSE)/$AZ$84*($AZ$15*('US Grid mix, emissions&amp;prices'!$AU$3+INDEX('Year data'!$B$3:$AC$53,MATCH('TCO Inputs'!$A162,'Year data'!$A$111:$A$161,0),MATCH('TCO Inputs'!$AZ$12+S$113-1,'Year data'!$B$110:$AC$110,0))/100)+$BA$15*('US Grid mix, emissions&amp;prices'!$AU$4+INDEX('Year data'!$B$57:$AC$107,MATCH($A162,'Year data'!$A$111:$A$161,0),MATCH('TCO Inputs'!$AZ$12+S$113-1,'Year data'!$B$110:$AC$110,0))/100))/(1+$AZ$41)^S$113</f>
        <v>771.08756364457054</v>
      </c>
      <c r="T162" s="106">
        <f>VLOOKUP($A162,'VKT US'!$B$63:$AA$113,(T$113+1),FALSE)/VLOOKUP($A162,'Fuel economy adjusted factor'!$A$2:$F$52,5,FALSE)/$AZ$84*($AZ$15*('US Grid mix, emissions&amp;prices'!$AU$3+INDEX('Year data'!$B$3:$AC$53,MATCH('TCO Inputs'!$A162,'Year data'!$A$111:$A$161,0),MATCH('TCO Inputs'!$AZ$12+T$113-1,'Year data'!$B$110:$AC$110,0))/100)+$BA$15*('US Grid mix, emissions&amp;prices'!$AU$4+INDEX('Year data'!$B$57:$AC$107,MATCH($A162,'Year data'!$A$111:$A$161,0),MATCH('TCO Inputs'!$AZ$12+T$113-1,'Year data'!$B$110:$AC$110,0))/100))/(1+$AZ$41)^T$113</f>
        <v>748.65496040777975</v>
      </c>
      <c r="U162" s="106">
        <f>VLOOKUP($A162,'VKT US'!$B$63:$AA$113,(U$113+1),FALSE)/VLOOKUP($A162,'Fuel economy adjusted factor'!$A$2:$F$52,5,FALSE)/$AZ$84*($AZ$15*('US Grid mix, emissions&amp;prices'!$AU$3+INDEX('Year data'!$B$3:$AC$53,MATCH('TCO Inputs'!$A162,'Year data'!$A$111:$A$161,0),MATCH('TCO Inputs'!$AZ$12+U$113-1,'Year data'!$B$110:$AC$110,0))/100)+$BA$15*('US Grid mix, emissions&amp;prices'!$AU$4+INDEX('Year data'!$B$57:$AC$107,MATCH($A162,'Year data'!$A$111:$A$161,0),MATCH('TCO Inputs'!$AZ$12+U$113-1,'Year data'!$B$110:$AC$110,0))/100))/(1+$AZ$41)^U$113</f>
        <v>726.58709539275492</v>
      </c>
      <c r="V162" s="110" cm="1">
        <f t="array" ref="V162">SUMPRODUCT(INDEX(B162:U162,,_xlfn.SEQUENCE($AZ$13)))</f>
        <v>15943.357962817798</v>
      </c>
      <c r="Y162" s="102" t="s">
        <v>158</v>
      </c>
      <c r="Z162" s="106">
        <f>VLOOKUP($A162,'VKT US'!$B$63:$AA$113,(Z$113+1),FALSE)/VLOOKUP($A162,'Fuel economy adjusted factor'!$A$2:$F$52,5,FALSE)/$AZ$84</f>
        <v>7153.2485184835514</v>
      </c>
      <c r="AA162" s="106">
        <f>VLOOKUP($A162,'VKT US'!$B$63:$AA$113,(AA$113+1),FALSE)/VLOOKUP($A162,'Fuel economy adjusted factor'!$A$2:$F$52,5,FALSE)/$AZ$84</f>
        <v>6940.4894663888899</v>
      </c>
      <c r="AB162" s="106">
        <f>VLOOKUP($A162,'VKT US'!$B$63:$AA$113,(AB$113+1),FALSE)/VLOOKUP($A162,'Fuel economy adjusted factor'!$A$2:$F$52,5,FALSE)/$AZ$84</f>
        <v>6734.4436853554707</v>
      </c>
      <c r="AC162" s="106">
        <f>VLOOKUP($A162,'VKT US'!$B$63:$AA$113,(AC$113+1),FALSE)/VLOOKUP($A162,'Fuel economy adjusted factor'!$A$2:$F$52,5,FALSE)/$AZ$84</f>
        <v>6535.6275808495384</v>
      </c>
      <c r="AD162" s="106">
        <f>VLOOKUP($A162,'VKT US'!$B$63:$AA$113,(AD$113+1),FALSE)/VLOOKUP($A162,'Fuel economy adjusted factor'!$A$2:$F$52,5,FALSE)/$AZ$84</f>
        <v>6343.5247474048456</v>
      </c>
      <c r="AE162" s="106">
        <f>VLOOKUP($A162,'VKT US'!$B$63:$AA$113,(AE$113+1),FALSE)/VLOOKUP($A162,'Fuel economy adjusted factor'!$A$2:$F$52,5,FALSE)/$AZ$84</f>
        <v>6159.1679959538906</v>
      </c>
      <c r="AF162" s="106">
        <f>VLOOKUP($A162,'VKT US'!$B$63:$AA$113,(AF$113+1),FALSE)/VLOOKUP($A162,'Fuel economy adjusted factor'!$A$2:$F$52,5,FALSE)/$AZ$84</f>
        <v>5981.008110097926</v>
      </c>
      <c r="AG162" s="106">
        <f>VLOOKUP($A162,'VKT US'!$B$63:$AA$113,(AG$113+1),FALSE)/VLOOKUP($A162,'Fuel economy adjusted factor'!$A$2:$F$52,5,FALSE)/$AZ$84</f>
        <v>5810.0779007694509</v>
      </c>
      <c r="AH162" s="106">
        <f>VLOOKUP($A162,'VKT US'!$B$63:$AA$113,(AH$113+1),FALSE)/VLOOKUP($A162,'Fuel economy adjusted factor'!$A$2:$F$52,5,FALSE)/$AZ$84</f>
        <v>5646.3773679684618</v>
      </c>
      <c r="AI162" s="106">
        <f>VLOOKUP($A162,'VKT US'!$B$63:$AA$113,(AI$113+1),FALSE)/VLOOKUP($A162,'Fuel economy adjusted factor'!$A$2:$F$52,5,FALSE)/$AZ$84</f>
        <v>5489.9065116949623</v>
      </c>
      <c r="AJ162" s="106">
        <f>VLOOKUP($A162,'VKT US'!$B$63:$AA$113,(AJ$113+1),FALSE)/VLOOKUP($A162,'Fuel economy adjusted factor'!$A$2:$F$52,5,FALSE)/$AZ$84</f>
        <v>5340.1489264827014</v>
      </c>
      <c r="AK162" s="106">
        <f>VLOOKUP($A162,'VKT US'!$B$63:$AA$113,(AK$113+1),FALSE)/VLOOKUP($A162,'Fuel economy adjusted factor'!$A$2:$F$52,5,FALSE)/$AZ$84</f>
        <v>5197.6210177979301</v>
      </c>
      <c r="AL162" s="106">
        <f>VLOOKUP($A162,'VKT US'!$B$63:$AA$113,(AL$113+1),FALSE)/VLOOKUP($A162,'Fuel economy adjusted factor'!$A$2:$F$52,5,FALSE)/$AZ$84</f>
        <v>5061.8063801743974</v>
      </c>
      <c r="AM162" s="106">
        <f>VLOOKUP($A162,'VKT US'!$B$63:$AA$113,(AM$113+1),FALSE)/VLOOKUP($A162,'Fuel economy adjusted factor'!$A$2:$F$52,5,FALSE)/$AZ$84</f>
        <v>4933.2214190783543</v>
      </c>
      <c r="AN162" s="106">
        <f>VLOOKUP($A162,'VKT US'!$B$63:$AA$113,(AN$113+1),FALSE)/VLOOKUP($A162,'Fuel economy adjusted factor'!$A$2:$F$52,5,FALSE)/$AZ$84</f>
        <v>4811.349729043548</v>
      </c>
      <c r="AO162" s="106">
        <f>VLOOKUP($A162,'VKT US'!$B$63:$AA$113,(AO$113+1),FALSE)/VLOOKUP($A162,'Fuel economy adjusted factor'!$A$2:$F$52,5,FALSE)/$AZ$84</f>
        <v>4697.2241210024804</v>
      </c>
      <c r="AP162" s="106">
        <f>VLOOKUP($A162,'VKT US'!$B$63:$AA$113,(AP$113+1),FALSE)/VLOOKUP($A162,'Fuel economy adjusted factor'!$A$2:$F$52,5,FALSE)/$AZ$84</f>
        <v>4589.2953785564032</v>
      </c>
      <c r="AQ162" s="106">
        <f>VLOOKUP($A162,'VKT US'!$B$63:$AA$113,(AQ$113+1),FALSE)/VLOOKUP($A162,'Fuel economy adjusted factor'!$A$2:$F$52,5,FALSE)/$AZ$84</f>
        <v>4489.1127181040647</v>
      </c>
      <c r="AR162" s="106">
        <f>VLOOKUP($A162,'VKT US'!$B$63:$AA$113,(AR$113+1),FALSE)/VLOOKUP($A162,'Fuel economy adjusted factor'!$A$2:$F$52,5,FALSE)/$AZ$84</f>
        <v>4395.1269232467148</v>
      </c>
      <c r="AS162" s="106">
        <f>VLOOKUP($A162,'VKT US'!$B$63:$AA$113,(AS$113+1),FALSE)/VLOOKUP($A162,'Fuel economy adjusted factor'!$A$2:$F$52,5,FALSE)/$AZ$84</f>
        <v>4308.8872103831018</v>
      </c>
      <c r="AT162" s="110" cm="1">
        <f t="array" ref="AT162">SUMPRODUCT(INDEX(Z162:AS162,,_xlfn.SEQUENCE($AZ$13)))</f>
        <v>83326.669628500371</v>
      </c>
    </row>
    <row r="163" spans="1:46" x14ac:dyDescent="0.25">
      <c r="A163" s="102" t="s">
        <v>160</v>
      </c>
      <c r="B163" s="106">
        <f>VLOOKUP($A163,'VKT US'!$B$63:$AA$113,(B$113+1),FALSE)/VLOOKUP($A163,'Fuel economy adjusted factor'!$A$2:$F$52,5,FALSE)/$AZ$84*($AZ$15*('US Grid mix, emissions&amp;prices'!$AU$3+INDEX('Year data'!$B$3:$AC$53,MATCH('TCO Inputs'!$A163,'Year data'!$A$111:$A$161,0),MATCH('TCO Inputs'!$AZ$12+B$113-1,'Year data'!$B$110:$AC$110,0))/100)+$BA$15*('US Grid mix, emissions&amp;prices'!$AU$4+INDEX('Year data'!$B$57:$AC$107,MATCH($A163,'Year data'!$A$111:$A$161,0),MATCH('TCO Inputs'!$AZ$12+B$113-1,'Year data'!$B$110:$AC$110,0))/100))/(1+$AZ$41)^B$113</f>
        <v>1983.9168357003364</v>
      </c>
      <c r="C163" s="106">
        <f>VLOOKUP($A163,'VKT US'!$B$63:$AA$113,(C$113+1),FALSE)/VLOOKUP($A163,'Fuel economy adjusted factor'!$A$2:$F$52,5,FALSE)/$AZ$84*($AZ$15*('US Grid mix, emissions&amp;prices'!$AU$3+INDEX('Year data'!$B$3:$AC$53,MATCH('TCO Inputs'!$A163,'Year data'!$A$111:$A$161,0),MATCH('TCO Inputs'!$AZ$12+C$113-1,'Year data'!$B$110:$AC$110,0))/100)+$BA$15*('US Grid mix, emissions&amp;prices'!$AU$4+INDEX('Year data'!$B$57:$AC$107,MATCH($A163,'Year data'!$A$111:$A$161,0),MATCH('TCO Inputs'!$AZ$12+C$113-1,'Year data'!$B$110:$AC$110,0))/100))/(1+$AZ$41)^C$113</f>
        <v>1870.5046702848435</v>
      </c>
      <c r="D163" s="106">
        <f>VLOOKUP($A163,'VKT US'!$B$63:$AA$113,(D$113+1),FALSE)/VLOOKUP($A163,'Fuel economy adjusted factor'!$A$2:$F$52,5,FALSE)/$AZ$84*($AZ$15*('US Grid mix, emissions&amp;prices'!$AU$3+INDEX('Year data'!$B$3:$AC$53,MATCH('TCO Inputs'!$A163,'Year data'!$A$111:$A$161,0),MATCH('TCO Inputs'!$AZ$12+D$113-1,'Year data'!$B$110:$AC$110,0))/100)+$BA$15*('US Grid mix, emissions&amp;prices'!$AU$4+INDEX('Year data'!$B$57:$AC$107,MATCH($A163,'Year data'!$A$111:$A$161,0),MATCH('TCO Inputs'!$AZ$12+D$113-1,'Year data'!$B$110:$AC$110,0))/100))/(1+$AZ$41)^D$113</f>
        <v>1757.3050171544321</v>
      </c>
      <c r="E163" s="106">
        <f>VLOOKUP($A163,'VKT US'!$B$63:$AA$113,(E$113+1),FALSE)/VLOOKUP($A163,'Fuel economy adjusted factor'!$A$2:$F$52,5,FALSE)/$AZ$84*($AZ$15*('US Grid mix, emissions&amp;prices'!$AU$3+INDEX('Year data'!$B$3:$AC$53,MATCH('TCO Inputs'!$A163,'Year data'!$A$111:$A$161,0),MATCH('TCO Inputs'!$AZ$12+E$113-1,'Year data'!$B$110:$AC$110,0))/100)+$BA$15*('US Grid mix, emissions&amp;prices'!$AU$4+INDEX('Year data'!$B$57:$AC$107,MATCH($A163,'Year data'!$A$111:$A$161,0),MATCH('TCO Inputs'!$AZ$12+E$113-1,'Year data'!$B$110:$AC$110,0))/100))/(1+$AZ$41)^E$113</f>
        <v>1665.3219554478774</v>
      </c>
      <c r="F163" s="106">
        <f>VLOOKUP($A163,'VKT US'!$B$63:$AA$113,(F$113+1),FALSE)/VLOOKUP($A163,'Fuel economy adjusted factor'!$A$2:$F$52,5,FALSE)/$AZ$84*($AZ$15*('US Grid mix, emissions&amp;prices'!$AU$3+INDEX('Year data'!$B$3:$AC$53,MATCH('TCO Inputs'!$A163,'Year data'!$A$111:$A$161,0),MATCH('TCO Inputs'!$AZ$12+F$113-1,'Year data'!$B$110:$AC$110,0))/100)+$BA$15*('US Grid mix, emissions&amp;prices'!$AU$4+INDEX('Year data'!$B$57:$AC$107,MATCH($A163,'Year data'!$A$111:$A$161,0),MATCH('TCO Inputs'!$AZ$12+F$113-1,'Year data'!$B$110:$AC$110,0))/100))/(1+$AZ$41)^F$113</f>
        <v>1582.9053019615853</v>
      </c>
      <c r="G163" s="106">
        <f>VLOOKUP($A163,'VKT US'!$B$63:$AA$113,(G$113+1),FALSE)/VLOOKUP($A163,'Fuel economy adjusted factor'!$A$2:$F$52,5,FALSE)/$AZ$84*($AZ$15*('US Grid mix, emissions&amp;prices'!$AU$3+INDEX('Year data'!$B$3:$AC$53,MATCH('TCO Inputs'!$A163,'Year data'!$A$111:$A$161,0),MATCH('TCO Inputs'!$AZ$12+G$113-1,'Year data'!$B$110:$AC$110,0))/100)+$BA$15*('US Grid mix, emissions&amp;prices'!$AU$4+INDEX('Year data'!$B$57:$AC$107,MATCH($A163,'Year data'!$A$111:$A$161,0),MATCH('TCO Inputs'!$AZ$12+G$113-1,'Year data'!$B$110:$AC$110,0))/100))/(1+$AZ$41)^G$113</f>
        <v>1508.7105864151972</v>
      </c>
      <c r="H163" s="106">
        <f>VLOOKUP($A163,'VKT US'!$B$63:$AA$113,(H$113+1),FALSE)/VLOOKUP($A163,'Fuel economy adjusted factor'!$A$2:$F$52,5,FALSE)/$AZ$84*($AZ$15*('US Grid mix, emissions&amp;prices'!$AU$3+INDEX('Year data'!$B$3:$AC$53,MATCH('TCO Inputs'!$A163,'Year data'!$A$111:$A$161,0),MATCH('TCO Inputs'!$AZ$12+H$113-1,'Year data'!$B$110:$AC$110,0))/100)+$BA$15*('US Grid mix, emissions&amp;prices'!$AU$4+INDEX('Year data'!$B$57:$AC$107,MATCH($A163,'Year data'!$A$111:$A$161,0),MATCH('TCO Inputs'!$AZ$12+H$113-1,'Year data'!$B$110:$AC$110,0))/100))/(1+$AZ$41)^H$113</f>
        <v>1444.3411554274849</v>
      </c>
      <c r="I163" s="106">
        <f>VLOOKUP($A163,'VKT US'!$B$63:$AA$113,(I$113+1),FALSE)/VLOOKUP($A163,'Fuel economy adjusted factor'!$A$2:$F$52,5,FALSE)/$AZ$84*($AZ$15*('US Grid mix, emissions&amp;prices'!$AU$3+INDEX('Year data'!$B$3:$AC$53,MATCH('TCO Inputs'!$A163,'Year data'!$A$111:$A$161,0),MATCH('TCO Inputs'!$AZ$12+I$113-1,'Year data'!$B$110:$AC$110,0))/100)+$BA$15*('US Grid mix, emissions&amp;prices'!$AU$4+INDEX('Year data'!$B$57:$AC$107,MATCH($A163,'Year data'!$A$111:$A$161,0),MATCH('TCO Inputs'!$AZ$12+I$113-1,'Year data'!$B$110:$AC$110,0))/100))/(1+$AZ$41)^I$113</f>
        <v>1387.7816472746804</v>
      </c>
      <c r="J163" s="106">
        <f>VLOOKUP($A163,'VKT US'!$B$63:$AA$113,(J$113+1),FALSE)/VLOOKUP($A163,'Fuel economy adjusted factor'!$A$2:$F$52,5,FALSE)/$AZ$84*($AZ$15*('US Grid mix, emissions&amp;prices'!$AU$3+INDEX('Year data'!$B$3:$AC$53,MATCH('TCO Inputs'!$A163,'Year data'!$A$111:$A$161,0),MATCH('TCO Inputs'!$AZ$12+J$113-1,'Year data'!$B$110:$AC$110,0))/100)+$BA$15*('US Grid mix, emissions&amp;prices'!$AU$4+INDEX('Year data'!$B$57:$AC$107,MATCH($A163,'Year data'!$A$111:$A$161,0),MATCH('TCO Inputs'!$AZ$12+J$113-1,'Year data'!$B$110:$AC$110,0))/100))/(1+$AZ$41)^J$113</f>
        <v>1335.6200952768604</v>
      </c>
      <c r="K163" s="106">
        <f>VLOOKUP($A163,'VKT US'!$B$63:$AA$113,(K$113+1),FALSE)/VLOOKUP($A163,'Fuel economy adjusted factor'!$A$2:$F$52,5,FALSE)/$AZ$84*($AZ$15*('US Grid mix, emissions&amp;prices'!$AU$3+INDEX('Year data'!$B$3:$AC$53,MATCH('TCO Inputs'!$A163,'Year data'!$A$111:$A$161,0),MATCH('TCO Inputs'!$AZ$12+K$113-1,'Year data'!$B$110:$AC$110,0))/100)+$BA$15*('US Grid mix, emissions&amp;prices'!$AU$4+INDEX('Year data'!$B$57:$AC$107,MATCH($A163,'Year data'!$A$111:$A$161,0),MATCH('TCO Inputs'!$AZ$12+K$113-1,'Year data'!$B$110:$AC$110,0))/100))/(1+$AZ$41)^K$113</f>
        <v>1285.6920236231726</v>
      </c>
      <c r="L163" s="106">
        <f>VLOOKUP($A163,'VKT US'!$B$63:$AA$113,(L$113+1),FALSE)/VLOOKUP($A163,'Fuel economy adjusted factor'!$A$2:$F$52,5,FALSE)/$AZ$84*($AZ$15*('US Grid mix, emissions&amp;prices'!$AU$3+INDEX('Year data'!$B$3:$AC$53,MATCH('TCO Inputs'!$A163,'Year data'!$A$111:$A$161,0),MATCH('TCO Inputs'!$AZ$12+L$113-1,'Year data'!$B$110:$AC$110,0))/100)+$BA$15*('US Grid mix, emissions&amp;prices'!$AU$4+INDEX('Year data'!$B$57:$AC$107,MATCH($A163,'Year data'!$A$111:$A$161,0),MATCH('TCO Inputs'!$AZ$12+L$113-1,'Year data'!$B$110:$AC$110,0))/100))/(1+$AZ$41)^L$113</f>
        <v>1246.0238253174466</v>
      </c>
      <c r="M163" s="106">
        <f>VLOOKUP($A163,'VKT US'!$B$63:$AA$113,(M$113+1),FALSE)/VLOOKUP($A163,'Fuel economy adjusted factor'!$A$2:$F$52,5,FALSE)/$AZ$84*($AZ$15*('US Grid mix, emissions&amp;prices'!$AU$3+INDEX('Year data'!$B$3:$AC$53,MATCH('TCO Inputs'!$A163,'Year data'!$A$111:$A$161,0),MATCH('TCO Inputs'!$AZ$12+M$113-1,'Year data'!$B$110:$AC$110,0))/100)+$BA$15*('US Grid mix, emissions&amp;prices'!$AU$4+INDEX('Year data'!$B$57:$AC$107,MATCH($A163,'Year data'!$A$111:$A$161,0),MATCH('TCO Inputs'!$AZ$12+M$113-1,'Year data'!$B$110:$AC$110,0))/100))/(1+$AZ$41)^M$113</f>
        <v>1205.7399619184957</v>
      </c>
      <c r="N163" s="106">
        <f>VLOOKUP($A163,'VKT US'!$B$63:$AA$113,(N$113+1),FALSE)/VLOOKUP($A163,'Fuel economy adjusted factor'!$A$2:$F$52,5,FALSE)/$AZ$84*($AZ$15*('US Grid mix, emissions&amp;prices'!$AU$3+INDEX('Year data'!$B$3:$AC$53,MATCH('TCO Inputs'!$A163,'Year data'!$A$111:$A$161,0),MATCH('TCO Inputs'!$AZ$12+N$113-1,'Year data'!$B$110:$AC$110,0))/100)+$BA$15*('US Grid mix, emissions&amp;prices'!$AU$4+INDEX('Year data'!$B$57:$AC$107,MATCH($A163,'Year data'!$A$111:$A$161,0),MATCH('TCO Inputs'!$AZ$12+N$113-1,'Year data'!$B$110:$AC$110,0))/100))/(1+$AZ$41)^N$113</f>
        <v>1160.4576017576819</v>
      </c>
      <c r="O163" s="106">
        <f>VLOOKUP($A163,'VKT US'!$B$63:$AA$113,(O$113+1),FALSE)/VLOOKUP($A163,'Fuel economy adjusted factor'!$A$2:$F$52,5,FALSE)/$AZ$84*($AZ$15*('US Grid mix, emissions&amp;prices'!$AU$3+INDEX('Year data'!$B$3:$AC$53,MATCH('TCO Inputs'!$A163,'Year data'!$A$111:$A$161,0),MATCH('TCO Inputs'!$AZ$12+O$113-1,'Year data'!$B$110:$AC$110,0))/100)+$BA$15*('US Grid mix, emissions&amp;prices'!$AU$4+INDEX('Year data'!$B$57:$AC$107,MATCH($A163,'Year data'!$A$111:$A$161,0),MATCH('TCO Inputs'!$AZ$12+O$113-1,'Year data'!$B$110:$AC$110,0))/100))/(1+$AZ$41)^O$113</f>
        <v>1121.144578511387</v>
      </c>
      <c r="P163" s="106">
        <f>VLOOKUP($A163,'VKT US'!$B$63:$AA$113,(P$113+1),FALSE)/VLOOKUP($A163,'Fuel economy adjusted factor'!$A$2:$F$52,5,FALSE)/$AZ$84*($AZ$15*('US Grid mix, emissions&amp;prices'!$AU$3+INDEX('Year data'!$B$3:$AC$53,MATCH('TCO Inputs'!$A163,'Year data'!$A$111:$A$161,0),MATCH('TCO Inputs'!$AZ$12+P$113-1,'Year data'!$B$110:$AC$110,0))/100)+$BA$15*('US Grid mix, emissions&amp;prices'!$AU$4+INDEX('Year data'!$B$57:$AC$107,MATCH($A163,'Year data'!$A$111:$A$161,0),MATCH('TCO Inputs'!$AZ$12+P$113-1,'Year data'!$B$110:$AC$110,0))/100))/(1+$AZ$41)^P$113</f>
        <v>1084.7228034109955</v>
      </c>
      <c r="Q163" s="106">
        <f>VLOOKUP($A163,'VKT US'!$B$63:$AA$113,(Q$113+1),FALSE)/VLOOKUP($A163,'Fuel economy adjusted factor'!$A$2:$F$52,5,FALSE)/$AZ$84*($AZ$15*('US Grid mix, emissions&amp;prices'!$AU$3+INDEX('Year data'!$B$3:$AC$53,MATCH('TCO Inputs'!$A163,'Year data'!$A$111:$A$161,0),MATCH('TCO Inputs'!$AZ$12+Q$113-1,'Year data'!$B$110:$AC$110,0))/100)+$BA$15*('US Grid mix, emissions&amp;prices'!$AU$4+INDEX('Year data'!$B$57:$AC$107,MATCH($A163,'Year data'!$A$111:$A$161,0),MATCH('TCO Inputs'!$AZ$12+Q$113-1,'Year data'!$B$110:$AC$110,0))/100))/(1+$AZ$41)^Q$113</f>
        <v>1052.6135703268583</v>
      </c>
      <c r="R163" s="106">
        <f>VLOOKUP($A163,'VKT US'!$B$63:$AA$113,(R$113+1),FALSE)/VLOOKUP($A163,'Fuel economy adjusted factor'!$A$2:$F$52,5,FALSE)/$AZ$84*($AZ$15*('US Grid mix, emissions&amp;prices'!$AU$3+INDEX('Year data'!$B$3:$AC$53,MATCH('TCO Inputs'!$A163,'Year data'!$A$111:$A$161,0),MATCH('TCO Inputs'!$AZ$12+R$113-1,'Year data'!$B$110:$AC$110,0))/100)+$BA$15*('US Grid mix, emissions&amp;prices'!$AU$4+INDEX('Year data'!$B$57:$AC$107,MATCH($A163,'Year data'!$A$111:$A$161,0),MATCH('TCO Inputs'!$AZ$12+R$113-1,'Year data'!$B$110:$AC$110,0))/100))/(1+$AZ$41)^R$113</f>
        <v>1020.3855976135875</v>
      </c>
      <c r="S163" s="106">
        <f>VLOOKUP($A163,'VKT US'!$B$63:$AA$113,(S$113+1),FALSE)/VLOOKUP($A163,'Fuel economy adjusted factor'!$A$2:$F$52,5,FALSE)/$AZ$84*($AZ$15*('US Grid mix, emissions&amp;prices'!$AU$3+INDEX('Year data'!$B$3:$AC$53,MATCH('TCO Inputs'!$A163,'Year data'!$A$111:$A$161,0),MATCH('TCO Inputs'!$AZ$12+S$113-1,'Year data'!$B$110:$AC$110,0))/100)+$BA$15*('US Grid mix, emissions&amp;prices'!$AU$4+INDEX('Year data'!$B$57:$AC$107,MATCH($A163,'Year data'!$A$111:$A$161,0),MATCH('TCO Inputs'!$AZ$12+S$113-1,'Year data'!$B$110:$AC$110,0))/100))/(1+$AZ$41)^S$113</f>
        <v>990.15519224707259</v>
      </c>
      <c r="T163" s="106">
        <f>VLOOKUP($A163,'VKT US'!$B$63:$AA$113,(T$113+1),FALSE)/VLOOKUP($A163,'Fuel economy adjusted factor'!$A$2:$F$52,5,FALSE)/$AZ$84*($AZ$15*('US Grid mix, emissions&amp;prices'!$AU$3+INDEX('Year data'!$B$3:$AC$53,MATCH('TCO Inputs'!$A163,'Year data'!$A$111:$A$161,0),MATCH('TCO Inputs'!$AZ$12+T$113-1,'Year data'!$B$110:$AC$110,0))/100)+$BA$15*('US Grid mix, emissions&amp;prices'!$AU$4+INDEX('Year data'!$B$57:$AC$107,MATCH($A163,'Year data'!$A$111:$A$161,0),MATCH('TCO Inputs'!$AZ$12+T$113-1,'Year data'!$B$110:$AC$110,0))/100))/(1+$AZ$41)^T$113</f>
        <v>960.90728191226549</v>
      </c>
      <c r="U163" s="106">
        <f>VLOOKUP($A163,'VKT US'!$B$63:$AA$113,(U$113+1),FALSE)/VLOOKUP($A163,'Fuel economy adjusted factor'!$A$2:$F$52,5,FALSE)/$AZ$84*($AZ$15*('US Grid mix, emissions&amp;prices'!$AU$3+INDEX('Year data'!$B$3:$AC$53,MATCH('TCO Inputs'!$A163,'Year data'!$A$111:$A$161,0),MATCH('TCO Inputs'!$AZ$12+U$113-1,'Year data'!$B$110:$AC$110,0))/100)+$BA$15*('US Grid mix, emissions&amp;prices'!$AU$4+INDEX('Year data'!$B$57:$AC$107,MATCH($A163,'Year data'!$A$111:$A$161,0),MATCH('TCO Inputs'!$AZ$12+U$113-1,'Year data'!$B$110:$AC$110,0))/100))/(1+$AZ$41)^U$113</f>
        <v>932.32584054019753</v>
      </c>
      <c r="V163" s="110" cm="1">
        <f t="array" ref="V163">SUMPRODUCT(INDEX(B163:U163,,_xlfn.SEQUENCE($AZ$13)))</f>
        <v>20555.465256071479</v>
      </c>
      <c r="Y163" s="102" t="s">
        <v>160</v>
      </c>
      <c r="Z163" s="106">
        <f>VLOOKUP($A163,'VKT US'!$B$63:$AA$113,(Z$113+1),FALSE)/VLOOKUP($A163,'Fuel economy adjusted factor'!$A$2:$F$52,5,FALSE)/$AZ$84</f>
        <v>11276.158954289756</v>
      </c>
      <c r="AA163" s="106">
        <f>VLOOKUP($A163,'VKT US'!$B$63:$AA$113,(AA$113+1),FALSE)/VLOOKUP($A163,'Fuel economy adjusted factor'!$A$2:$F$52,5,FALSE)/$AZ$84</f>
        <v>10940.772187817953</v>
      </c>
      <c r="AB163" s="106">
        <f>VLOOKUP($A163,'VKT US'!$B$63:$AA$113,(AB$113+1),FALSE)/VLOOKUP($A163,'Fuel economy adjusted factor'!$A$2:$F$52,5,FALSE)/$AZ$84</f>
        <v>10615.968013492111</v>
      </c>
      <c r="AC163" s="106">
        <f>VLOOKUP($A163,'VKT US'!$B$63:$AA$113,(AC$113+1),FALSE)/VLOOKUP($A163,'Fuel economy adjusted factor'!$A$2:$F$52,5,FALSE)/$AZ$84</f>
        <v>10302.560476861907</v>
      </c>
      <c r="AD163" s="106">
        <f>VLOOKUP($A163,'VKT US'!$B$63:$AA$113,(AD$113+1),FALSE)/VLOOKUP($A163,'Fuel economy adjusted factor'!$A$2:$F$52,5,FALSE)/$AZ$84</f>
        <v>9999.7355323776592</v>
      </c>
      <c r="AE163" s="106">
        <f>VLOOKUP($A163,'VKT US'!$B$63:$AA$113,(AE$113+1),FALSE)/VLOOKUP($A163,'Fuel economy adjusted factor'!$A$2:$F$52,5,FALSE)/$AZ$84</f>
        <v>9709.1212711387452</v>
      </c>
      <c r="AF163" s="106">
        <f>VLOOKUP($A163,'VKT US'!$B$63:$AA$113,(AF$113+1),FALSE)/VLOOKUP($A163,'Fuel economy adjusted factor'!$A$2:$F$52,5,FALSE)/$AZ$84</f>
        <v>9428.2755564960971</v>
      </c>
      <c r="AG163" s="106">
        <f>VLOOKUP($A163,'VKT US'!$B$63:$AA$113,(AG$113+1),FALSE)/VLOOKUP($A163,'Fuel economy adjusted factor'!$A$2:$F$52,5,FALSE)/$AZ$84</f>
        <v>9158.8264795490941</v>
      </c>
      <c r="AH163" s="106">
        <f>VLOOKUP($A163,'VKT US'!$B$63:$AA$113,(AH$113+1),FALSE)/VLOOKUP($A163,'Fuel economy adjusted factor'!$A$2:$F$52,5,FALSE)/$AZ$84</f>
        <v>8900.7740402977306</v>
      </c>
      <c r="AI163" s="106">
        <f>VLOOKUP($A163,'VKT US'!$B$63:$AA$113,(AI$113+1),FALSE)/VLOOKUP($A163,'Fuel economy adjusted factor'!$A$2:$F$52,5,FALSE)/$AZ$84</f>
        <v>8654.118238742014</v>
      </c>
      <c r="AJ163" s="106">
        <f>VLOOKUP($A163,'VKT US'!$B$63:$AA$113,(AJ$113+1),FALSE)/VLOOKUP($A163,'Fuel economy adjusted factor'!$A$2:$F$52,5,FALSE)/$AZ$84</f>
        <v>8418.0450293322519</v>
      </c>
      <c r="AK163" s="106">
        <f>VLOOKUP($A163,'VKT US'!$B$63:$AA$113,(AK$113+1),FALSE)/VLOOKUP($A163,'Fuel economy adjusted factor'!$A$2:$F$52,5,FALSE)/$AZ$84</f>
        <v>8193.3684576181331</v>
      </c>
      <c r="AL163" s="106">
        <f>VLOOKUP($A163,'VKT US'!$B$63:$AA$113,(AL$113+1),FALSE)/VLOOKUP($A163,'Fuel economy adjusted factor'!$A$2:$F$52,5,FALSE)/$AZ$84</f>
        <v>7979.2744780499688</v>
      </c>
      <c r="AM163" s="106">
        <f>VLOOKUP($A163,'VKT US'!$B$63:$AA$113,(AM$113+1),FALSE)/VLOOKUP($A163,'Fuel economy adjusted factor'!$A$2:$F$52,5,FALSE)/$AZ$84</f>
        <v>7776.5771361774487</v>
      </c>
      <c r="AN163" s="106">
        <f>VLOOKUP($A163,'VKT US'!$B$63:$AA$113,(AN$113+1),FALSE)/VLOOKUP($A163,'Fuel economy adjusted factor'!$A$2:$F$52,5,FALSE)/$AZ$84</f>
        <v>7584.462386450884</v>
      </c>
      <c r="AO163" s="106">
        <f>VLOOKUP($A163,'VKT US'!$B$63:$AA$113,(AO$113+1),FALSE)/VLOOKUP($A163,'Fuel economy adjusted factor'!$A$2:$F$52,5,FALSE)/$AZ$84</f>
        <v>7404.5583199696503</v>
      </c>
      <c r="AP163" s="106">
        <f>VLOOKUP($A163,'VKT US'!$B$63:$AA$113,(AP$113+1),FALSE)/VLOOKUP($A163,'Fuel economy adjusted factor'!$A$2:$F$52,5,FALSE)/$AZ$84</f>
        <v>7234.4228000846842</v>
      </c>
      <c r="AQ163" s="106">
        <f>VLOOKUP($A163,'VKT US'!$B$63:$AA$113,(AQ$113+1),FALSE)/VLOOKUP($A163,'Fuel economy adjusted factor'!$A$2:$F$52,5,FALSE)/$AZ$84</f>
        <v>7076.4979634450492</v>
      </c>
      <c r="AR163" s="106">
        <f>VLOOKUP($A163,'VKT US'!$B$63:$AA$113,(AR$113+1),FALSE)/VLOOKUP($A163,'Fuel economy adjusted factor'!$A$2:$F$52,5,FALSE)/$AZ$84</f>
        <v>6928.341673401681</v>
      </c>
      <c r="AS163" s="106">
        <f>VLOOKUP($A163,'VKT US'!$B$63:$AA$113,(AS$113+1),FALSE)/VLOOKUP($A163,'Fuel economy adjusted factor'!$A$2:$F$52,5,FALSE)/$AZ$84</f>
        <v>6792.3960666036455</v>
      </c>
      <c r="AT163" s="110" cm="1">
        <f t="array" ref="AT163">SUMPRODUCT(INDEX(Z163:AS163,,_xlfn.SEQUENCE($AZ$13)))</f>
        <v>131353.57585224087</v>
      </c>
    </row>
    <row r="164" spans="1:46" x14ac:dyDescent="0.25">
      <c r="A164" s="103" t="s">
        <v>134</v>
      </c>
      <c r="B164" s="106">
        <f>VLOOKUP($A164,'VKT US'!$B$63:$AA$113,(B$113+1),FALSE)/VLOOKUP($A164,'Fuel economy adjusted factor'!$A$2:$F$52,5,FALSE)/$AZ$84*($AZ$15*('US Grid mix, emissions&amp;prices'!$AU$3+INDEX('Year data'!$B$3:$AC$53,MATCH('TCO Inputs'!$A164,'Year data'!$A$111:$A$161,0),MATCH('TCO Inputs'!$AZ$12+B$113-1,'Year data'!$B$110:$AC$110,0))/100)+$BA$15*('US Grid mix, emissions&amp;prices'!$AU$4+INDEX('Year data'!$B$57:$AC$107,MATCH($A164,'Year data'!$A$111:$A$161,0),MATCH('TCO Inputs'!$AZ$12+B$113-1,'Year data'!$B$110:$AC$110,0))/100))/(1+$AZ$41)^B$113</f>
        <v>1339.4412002928527</v>
      </c>
      <c r="C164" s="106">
        <f>VLOOKUP($A164,'VKT US'!$B$63:$AA$113,(C$113+1),FALSE)/VLOOKUP($A164,'Fuel economy adjusted factor'!$A$2:$F$52,5,FALSE)/$AZ$84*($AZ$15*('US Grid mix, emissions&amp;prices'!$AU$3+INDEX('Year data'!$B$3:$AC$53,MATCH('TCO Inputs'!$A164,'Year data'!$A$111:$A$161,0),MATCH('TCO Inputs'!$AZ$12+C$113-1,'Year data'!$B$110:$AC$110,0))/100)+$BA$15*('US Grid mix, emissions&amp;prices'!$AU$4+INDEX('Year data'!$B$57:$AC$107,MATCH($A164,'Year data'!$A$111:$A$161,0),MATCH('TCO Inputs'!$AZ$12+C$113-1,'Year data'!$B$110:$AC$110,0))/100))/(1+$AZ$41)^C$113</f>
        <v>1260.5512045221969</v>
      </c>
      <c r="D164" s="106">
        <f>VLOOKUP($A164,'VKT US'!$B$63:$AA$113,(D$113+1),FALSE)/VLOOKUP($A164,'Fuel economy adjusted factor'!$A$2:$F$52,5,FALSE)/$AZ$84*($AZ$15*('US Grid mix, emissions&amp;prices'!$AU$3+INDEX('Year data'!$B$3:$AC$53,MATCH('TCO Inputs'!$A164,'Year data'!$A$111:$A$161,0),MATCH('TCO Inputs'!$AZ$12+D$113-1,'Year data'!$B$110:$AC$110,0))/100)+$BA$15*('US Grid mix, emissions&amp;prices'!$AU$4+INDEX('Year data'!$B$57:$AC$107,MATCH($A164,'Year data'!$A$111:$A$161,0),MATCH('TCO Inputs'!$AZ$12+D$113-1,'Year data'!$B$110:$AC$110,0))/100))/(1+$AZ$41)^D$113</f>
        <v>1181.4338238679463</v>
      </c>
      <c r="E164" s="106">
        <f>VLOOKUP($A164,'VKT US'!$B$63:$AA$113,(E$113+1),FALSE)/VLOOKUP($A164,'Fuel economy adjusted factor'!$A$2:$F$52,5,FALSE)/$AZ$84*($AZ$15*('US Grid mix, emissions&amp;prices'!$AU$3+INDEX('Year data'!$B$3:$AC$53,MATCH('TCO Inputs'!$A164,'Year data'!$A$111:$A$161,0),MATCH('TCO Inputs'!$AZ$12+E$113-1,'Year data'!$B$110:$AC$110,0))/100)+$BA$15*('US Grid mix, emissions&amp;prices'!$AU$4+INDEX('Year data'!$B$57:$AC$107,MATCH($A164,'Year data'!$A$111:$A$161,0),MATCH('TCO Inputs'!$AZ$12+E$113-1,'Year data'!$B$110:$AC$110,0))/100))/(1+$AZ$41)^E$113</f>
        <v>1117.9967597493544</v>
      </c>
      <c r="F164" s="106">
        <f>VLOOKUP($A164,'VKT US'!$B$63:$AA$113,(F$113+1),FALSE)/VLOOKUP($A164,'Fuel economy adjusted factor'!$A$2:$F$52,5,FALSE)/$AZ$84*($AZ$15*('US Grid mix, emissions&amp;prices'!$AU$3+INDEX('Year data'!$B$3:$AC$53,MATCH('TCO Inputs'!$A164,'Year data'!$A$111:$A$161,0),MATCH('TCO Inputs'!$AZ$12+F$113-1,'Year data'!$B$110:$AC$110,0))/100)+$BA$15*('US Grid mix, emissions&amp;prices'!$AU$4+INDEX('Year data'!$B$57:$AC$107,MATCH($A164,'Year data'!$A$111:$A$161,0),MATCH('TCO Inputs'!$AZ$12+F$113-1,'Year data'!$B$110:$AC$110,0))/100))/(1+$AZ$41)^F$113</f>
        <v>1061.4985730502926</v>
      </c>
      <c r="G164" s="106">
        <f>VLOOKUP($A164,'VKT US'!$B$63:$AA$113,(G$113+1),FALSE)/VLOOKUP($A164,'Fuel economy adjusted factor'!$A$2:$F$52,5,FALSE)/$AZ$84*($AZ$15*('US Grid mix, emissions&amp;prices'!$AU$3+INDEX('Year data'!$B$3:$AC$53,MATCH('TCO Inputs'!$A164,'Year data'!$A$111:$A$161,0),MATCH('TCO Inputs'!$AZ$12+G$113-1,'Year data'!$B$110:$AC$110,0))/100)+$BA$15*('US Grid mix, emissions&amp;prices'!$AU$4+INDEX('Year data'!$B$57:$AC$107,MATCH($A164,'Year data'!$A$111:$A$161,0),MATCH('TCO Inputs'!$AZ$12+G$113-1,'Year data'!$B$110:$AC$110,0))/100))/(1+$AZ$41)^G$113</f>
        <v>1010.9417461873963</v>
      </c>
      <c r="H164" s="106">
        <f>VLOOKUP($A164,'VKT US'!$B$63:$AA$113,(H$113+1),FALSE)/VLOOKUP($A164,'Fuel economy adjusted factor'!$A$2:$F$52,5,FALSE)/$AZ$84*($AZ$15*('US Grid mix, emissions&amp;prices'!$AU$3+INDEX('Year data'!$B$3:$AC$53,MATCH('TCO Inputs'!$A164,'Year data'!$A$111:$A$161,0),MATCH('TCO Inputs'!$AZ$12+H$113-1,'Year data'!$B$110:$AC$110,0))/100)+$BA$15*('US Grid mix, emissions&amp;prices'!$AU$4+INDEX('Year data'!$B$57:$AC$107,MATCH($A164,'Year data'!$A$111:$A$161,0),MATCH('TCO Inputs'!$AZ$12+H$113-1,'Year data'!$B$110:$AC$110,0))/100))/(1+$AZ$41)^H$113</f>
        <v>967.55752538658135</v>
      </c>
      <c r="I164" s="106">
        <f>VLOOKUP($A164,'VKT US'!$B$63:$AA$113,(I$113+1),FALSE)/VLOOKUP($A164,'Fuel economy adjusted factor'!$A$2:$F$52,5,FALSE)/$AZ$84*($AZ$15*('US Grid mix, emissions&amp;prices'!$AU$3+INDEX('Year data'!$B$3:$AC$53,MATCH('TCO Inputs'!$A164,'Year data'!$A$111:$A$161,0),MATCH('TCO Inputs'!$AZ$12+I$113-1,'Year data'!$B$110:$AC$110,0))/100)+$BA$15*('US Grid mix, emissions&amp;prices'!$AU$4+INDEX('Year data'!$B$57:$AC$107,MATCH($A164,'Year data'!$A$111:$A$161,0),MATCH('TCO Inputs'!$AZ$12+I$113-1,'Year data'!$B$110:$AC$110,0))/100))/(1+$AZ$41)^I$113</f>
        <v>929.80859391890033</v>
      </c>
      <c r="J164" s="106">
        <f>VLOOKUP($A164,'VKT US'!$B$63:$AA$113,(J$113+1),FALSE)/VLOOKUP($A164,'Fuel economy adjusted factor'!$A$2:$F$52,5,FALSE)/$AZ$84*($AZ$15*('US Grid mix, emissions&amp;prices'!$AU$3+INDEX('Year data'!$B$3:$AC$53,MATCH('TCO Inputs'!$A164,'Year data'!$A$111:$A$161,0),MATCH('TCO Inputs'!$AZ$12+J$113-1,'Year data'!$B$110:$AC$110,0))/100)+$BA$15*('US Grid mix, emissions&amp;prices'!$AU$4+INDEX('Year data'!$B$57:$AC$107,MATCH($A164,'Year data'!$A$111:$A$161,0),MATCH('TCO Inputs'!$AZ$12+J$113-1,'Year data'!$B$110:$AC$110,0))/100))/(1+$AZ$41)^J$113</f>
        <v>895.1459646513897</v>
      </c>
      <c r="K164" s="106">
        <f>VLOOKUP($A164,'VKT US'!$B$63:$AA$113,(K$113+1),FALSE)/VLOOKUP($A164,'Fuel economy adjusted factor'!$A$2:$F$52,5,FALSE)/$AZ$84*($AZ$15*('US Grid mix, emissions&amp;prices'!$AU$3+INDEX('Year data'!$B$3:$AC$53,MATCH('TCO Inputs'!$A164,'Year data'!$A$111:$A$161,0),MATCH('TCO Inputs'!$AZ$12+K$113-1,'Year data'!$B$110:$AC$110,0))/100)+$BA$15*('US Grid mix, emissions&amp;prices'!$AU$4+INDEX('Year data'!$B$57:$AC$107,MATCH($A164,'Year data'!$A$111:$A$161,0),MATCH('TCO Inputs'!$AZ$12+K$113-1,'Year data'!$B$110:$AC$110,0))/100))/(1+$AZ$41)^K$113</f>
        <v>861.92891890440308</v>
      </c>
      <c r="L164" s="106">
        <f>VLOOKUP($A164,'VKT US'!$B$63:$AA$113,(L$113+1),FALSE)/VLOOKUP($A164,'Fuel economy adjusted factor'!$A$2:$F$52,5,FALSE)/$AZ$84*($AZ$15*('US Grid mix, emissions&amp;prices'!$AU$3+INDEX('Year data'!$B$3:$AC$53,MATCH('TCO Inputs'!$A164,'Year data'!$A$111:$A$161,0),MATCH('TCO Inputs'!$AZ$12+L$113-1,'Year data'!$B$110:$AC$110,0))/100)+$BA$15*('US Grid mix, emissions&amp;prices'!$AU$4+INDEX('Year data'!$B$57:$AC$107,MATCH($A164,'Year data'!$A$111:$A$161,0),MATCH('TCO Inputs'!$AZ$12+L$113-1,'Year data'!$B$110:$AC$110,0))/100))/(1+$AZ$41)^L$113</f>
        <v>836.22815812380759</v>
      </c>
      <c r="M164" s="106">
        <f>VLOOKUP($A164,'VKT US'!$B$63:$AA$113,(M$113+1),FALSE)/VLOOKUP($A164,'Fuel economy adjusted factor'!$A$2:$F$52,5,FALSE)/$AZ$84*($AZ$15*('US Grid mix, emissions&amp;prices'!$AU$3+INDEX('Year data'!$B$3:$AC$53,MATCH('TCO Inputs'!$A164,'Year data'!$A$111:$A$161,0),MATCH('TCO Inputs'!$AZ$12+M$113-1,'Year data'!$B$110:$AC$110,0))/100)+$BA$15*('US Grid mix, emissions&amp;prices'!$AU$4+INDEX('Year data'!$B$57:$AC$107,MATCH($A164,'Year data'!$A$111:$A$161,0),MATCH('TCO Inputs'!$AZ$12+M$113-1,'Year data'!$B$110:$AC$110,0))/100))/(1+$AZ$41)^M$113</f>
        <v>809.83619216047521</v>
      </c>
      <c r="N164" s="106">
        <f>VLOOKUP($A164,'VKT US'!$B$63:$AA$113,(N$113+1),FALSE)/VLOOKUP($A164,'Fuel economy adjusted factor'!$A$2:$F$52,5,FALSE)/$AZ$84*($AZ$15*('US Grid mix, emissions&amp;prices'!$AU$3+INDEX('Year data'!$B$3:$AC$53,MATCH('TCO Inputs'!$A164,'Year data'!$A$111:$A$161,0),MATCH('TCO Inputs'!$AZ$12+N$113-1,'Year data'!$B$110:$AC$110,0))/100)+$BA$15*('US Grid mix, emissions&amp;prices'!$AU$4+INDEX('Year data'!$B$57:$AC$107,MATCH($A164,'Year data'!$A$111:$A$161,0),MATCH('TCO Inputs'!$AZ$12+N$113-1,'Year data'!$B$110:$AC$110,0))/100))/(1+$AZ$41)^N$113</f>
        <v>779.45269054206381</v>
      </c>
      <c r="O164" s="106">
        <f>VLOOKUP($A164,'VKT US'!$B$63:$AA$113,(O$113+1),FALSE)/VLOOKUP($A164,'Fuel economy adjusted factor'!$A$2:$F$52,5,FALSE)/$AZ$84*($AZ$15*('US Grid mix, emissions&amp;prices'!$AU$3+INDEX('Year data'!$B$3:$AC$53,MATCH('TCO Inputs'!$A164,'Year data'!$A$111:$A$161,0),MATCH('TCO Inputs'!$AZ$12+O$113-1,'Year data'!$B$110:$AC$110,0))/100)+$BA$15*('US Grid mix, emissions&amp;prices'!$AU$4+INDEX('Year data'!$B$57:$AC$107,MATCH($A164,'Year data'!$A$111:$A$161,0),MATCH('TCO Inputs'!$AZ$12+O$113-1,'Year data'!$B$110:$AC$110,0))/100))/(1+$AZ$41)^O$113</f>
        <v>753.36334665982656</v>
      </c>
      <c r="P164" s="106">
        <f>VLOOKUP($A164,'VKT US'!$B$63:$AA$113,(P$113+1),FALSE)/VLOOKUP($A164,'Fuel economy adjusted factor'!$A$2:$F$52,5,FALSE)/$AZ$84*($AZ$15*('US Grid mix, emissions&amp;prices'!$AU$3+INDEX('Year data'!$B$3:$AC$53,MATCH('TCO Inputs'!$A164,'Year data'!$A$111:$A$161,0),MATCH('TCO Inputs'!$AZ$12+P$113-1,'Year data'!$B$110:$AC$110,0))/100)+$BA$15*('US Grid mix, emissions&amp;prices'!$AU$4+INDEX('Year data'!$B$57:$AC$107,MATCH($A164,'Year data'!$A$111:$A$161,0),MATCH('TCO Inputs'!$AZ$12+P$113-1,'Year data'!$B$110:$AC$110,0))/100))/(1+$AZ$41)^P$113</f>
        <v>729.26474544466907</v>
      </c>
      <c r="Q164" s="106">
        <f>VLOOKUP($A164,'VKT US'!$B$63:$AA$113,(Q$113+1),FALSE)/VLOOKUP($A164,'Fuel economy adjusted factor'!$A$2:$F$52,5,FALSE)/$AZ$84*($AZ$15*('US Grid mix, emissions&amp;prices'!$AU$3+INDEX('Year data'!$B$3:$AC$53,MATCH('TCO Inputs'!$A164,'Year data'!$A$111:$A$161,0),MATCH('TCO Inputs'!$AZ$12+Q$113-1,'Year data'!$B$110:$AC$110,0))/100)+$BA$15*('US Grid mix, emissions&amp;prices'!$AU$4+INDEX('Year data'!$B$57:$AC$107,MATCH($A164,'Year data'!$A$111:$A$161,0),MATCH('TCO Inputs'!$AZ$12+Q$113-1,'Year data'!$B$110:$AC$110,0))/100))/(1+$AZ$41)^Q$113</f>
        <v>708.20565994419906</v>
      </c>
      <c r="R164" s="106">
        <f>VLOOKUP($A164,'VKT US'!$B$63:$AA$113,(R$113+1),FALSE)/VLOOKUP($A164,'Fuel economy adjusted factor'!$A$2:$F$52,5,FALSE)/$AZ$84*($AZ$15*('US Grid mix, emissions&amp;prices'!$AU$3+INDEX('Year data'!$B$3:$AC$53,MATCH('TCO Inputs'!$A164,'Year data'!$A$111:$A$161,0),MATCH('TCO Inputs'!$AZ$12+R$113-1,'Year data'!$B$110:$AC$110,0))/100)+$BA$15*('US Grid mix, emissions&amp;prices'!$AU$4+INDEX('Year data'!$B$57:$AC$107,MATCH($A164,'Year data'!$A$111:$A$161,0),MATCH('TCO Inputs'!$AZ$12+R$113-1,'Year data'!$B$110:$AC$110,0))/100))/(1+$AZ$41)^R$113</f>
        <v>686.87723529091829</v>
      </c>
      <c r="S164" s="106">
        <f>VLOOKUP($A164,'VKT US'!$B$63:$AA$113,(S$113+1),FALSE)/VLOOKUP($A164,'Fuel economy adjusted factor'!$A$2:$F$52,5,FALSE)/$AZ$84*($AZ$15*('US Grid mix, emissions&amp;prices'!$AU$3+INDEX('Year data'!$B$3:$AC$53,MATCH('TCO Inputs'!$A164,'Year data'!$A$111:$A$161,0),MATCH('TCO Inputs'!$AZ$12+S$113-1,'Year data'!$B$110:$AC$110,0))/100)+$BA$15*('US Grid mix, emissions&amp;prices'!$AU$4+INDEX('Year data'!$B$57:$AC$107,MATCH($A164,'Year data'!$A$111:$A$161,0),MATCH('TCO Inputs'!$AZ$12+S$113-1,'Year data'!$B$110:$AC$110,0))/100))/(1+$AZ$41)^S$113</f>
        <v>666.86197830188109</v>
      </c>
      <c r="T164" s="106">
        <f>VLOOKUP($A164,'VKT US'!$B$63:$AA$113,(T$113+1),FALSE)/VLOOKUP($A164,'Fuel economy adjusted factor'!$A$2:$F$52,5,FALSE)/$AZ$84*($AZ$15*('US Grid mix, emissions&amp;prices'!$AU$3+INDEX('Year data'!$B$3:$AC$53,MATCH('TCO Inputs'!$A164,'Year data'!$A$111:$A$161,0),MATCH('TCO Inputs'!$AZ$12+T$113-1,'Year data'!$B$110:$AC$110,0))/100)+$BA$15*('US Grid mix, emissions&amp;prices'!$AU$4+INDEX('Year data'!$B$57:$AC$107,MATCH($A164,'Year data'!$A$111:$A$161,0),MATCH('TCO Inputs'!$AZ$12+T$113-1,'Year data'!$B$110:$AC$110,0))/100))/(1+$AZ$41)^T$113</f>
        <v>647.41998440262182</v>
      </c>
      <c r="U164" s="106">
        <f>VLOOKUP($A164,'VKT US'!$B$63:$AA$113,(U$113+1),FALSE)/VLOOKUP($A164,'Fuel economy adjusted factor'!$A$2:$F$52,5,FALSE)/$AZ$84*($AZ$15*('US Grid mix, emissions&amp;prices'!$AU$3+INDEX('Year data'!$B$3:$AC$53,MATCH('TCO Inputs'!$A164,'Year data'!$A$111:$A$161,0),MATCH('TCO Inputs'!$AZ$12+U$113-1,'Year data'!$B$110:$AC$110,0))/100)+$BA$15*('US Grid mix, emissions&amp;prices'!$AU$4+INDEX('Year data'!$B$57:$AC$107,MATCH($A164,'Year data'!$A$111:$A$161,0),MATCH('TCO Inputs'!$AZ$12+U$113-1,'Year data'!$B$110:$AC$110,0))/100))/(1+$AZ$41)^U$113</f>
        <v>628.29299654663907</v>
      </c>
      <c r="V164" s="110" cm="1">
        <f t="array" ref="V164">SUMPRODUCT(INDEX(B164:U164,,_xlfn.SEQUENCE($AZ$13)))</f>
        <v>13805.184698017487</v>
      </c>
      <c r="Y164" s="103" t="s">
        <v>134</v>
      </c>
      <c r="Z164" s="106">
        <f>VLOOKUP($A164,'VKT US'!$B$63:$AA$113,(Z$113+1),FALSE)/VLOOKUP($A164,'Fuel economy adjusted factor'!$A$2:$F$52,5,FALSE)/$AZ$84</f>
        <v>6187.8592376036931</v>
      </c>
      <c r="AA164" s="106">
        <f>VLOOKUP($A164,'VKT US'!$B$63:$AA$113,(AA$113+1),FALSE)/VLOOKUP($A164,'Fuel economy adjusted factor'!$A$2:$F$52,5,FALSE)/$AZ$84</f>
        <v>6003.8137563812897</v>
      </c>
      <c r="AB164" s="106">
        <f>VLOOKUP($A164,'VKT US'!$B$63:$AA$113,(AB$113+1),FALSE)/VLOOKUP($A164,'Fuel economy adjusted factor'!$A$2:$F$52,5,FALSE)/$AZ$84</f>
        <v>5825.5755354887206</v>
      </c>
      <c r="AC164" s="106">
        <f>VLOOKUP($A164,'VKT US'!$B$63:$AA$113,(AC$113+1),FALSE)/VLOOKUP($A164,'Fuel economy adjusted factor'!$A$2:$F$52,5,FALSE)/$AZ$84</f>
        <v>5653.5912872590479</v>
      </c>
      <c r="AD164" s="106">
        <f>VLOOKUP($A164,'VKT US'!$B$63:$AA$113,(AD$113+1),FALSE)/VLOOKUP($A164,'Fuel economy adjusted factor'!$A$2:$F$52,5,FALSE)/$AZ$84</f>
        <v>5487.4142993592077</v>
      </c>
      <c r="AE164" s="106">
        <f>VLOOKUP($A164,'VKT US'!$B$63:$AA$113,(AE$113+1),FALSE)/VLOOKUP($A164,'Fuel economy adjusted factor'!$A$2:$F$52,5,FALSE)/$AZ$84</f>
        <v>5327.9379964553309</v>
      </c>
      <c r="AF164" s="106">
        <f>VLOOKUP($A164,'VKT US'!$B$63:$AA$113,(AF$113+1),FALSE)/VLOOKUP($A164,'Fuel economy adjusted factor'!$A$2:$F$52,5,FALSE)/$AZ$84</f>
        <v>5173.8222415482223</v>
      </c>
      <c r="AG164" s="106">
        <f>VLOOKUP($A164,'VKT US'!$B$63:$AA$113,(AG$113+1),FALSE)/VLOOKUP($A164,'Fuel economy adjusted factor'!$A$2:$F$52,5,FALSE)/$AZ$84</f>
        <v>5025.9604593040103</v>
      </c>
      <c r="AH164" s="106">
        <f>VLOOKUP($A164,'VKT US'!$B$63:$AA$113,(AH$113+1),FALSE)/VLOOKUP($A164,'Fuel economy adjusted factor'!$A$2:$F$52,5,FALSE)/$AZ$84</f>
        <v>4884.3526497226958</v>
      </c>
      <c r="AI164" s="106">
        <f>VLOOKUP($A164,'VKT US'!$B$63:$AA$113,(AI$113+1),FALSE)/VLOOKUP($A164,'Fuel economy adjusted factor'!$A$2:$F$52,5,FALSE)/$AZ$84</f>
        <v>4748.9988128042787</v>
      </c>
      <c r="AJ164" s="106">
        <f>VLOOKUP($A164,'VKT US'!$B$63:$AA$113,(AJ$113+1),FALSE)/VLOOKUP($A164,'Fuel economy adjusted factor'!$A$2:$F$52,5,FALSE)/$AZ$84</f>
        <v>4619.4522362156931</v>
      </c>
      <c r="AK164" s="106">
        <f>VLOOKUP($A164,'VKT US'!$B$63:$AA$113,(AK$113+1),FALSE)/VLOOKUP($A164,'Fuel economy adjusted factor'!$A$2:$F$52,5,FALSE)/$AZ$84</f>
        <v>4496.1596322900068</v>
      </c>
      <c r="AL164" s="106">
        <f>VLOOKUP($A164,'VKT US'!$B$63:$AA$113,(AL$113+1),FALSE)/VLOOKUP($A164,'Fuel economy adjusted factor'!$A$2:$F$52,5,FALSE)/$AZ$84</f>
        <v>4378.6742886941529</v>
      </c>
      <c r="AM164" s="106">
        <f>VLOOKUP($A164,'VKT US'!$B$63:$AA$113,(AM$113+1),FALSE)/VLOOKUP($A164,'Fuel economy adjusted factor'!$A$2:$F$52,5,FALSE)/$AZ$84</f>
        <v>4267.4429177611955</v>
      </c>
      <c r="AN164" s="106">
        <f>VLOOKUP($A164,'VKT US'!$B$63:$AA$113,(AN$113+1),FALSE)/VLOOKUP($A164,'Fuel economy adjusted factor'!$A$2:$F$52,5,FALSE)/$AZ$84</f>
        <v>4162.0188071580715</v>
      </c>
      <c r="AO164" s="106">
        <f>VLOOKUP($A164,'VKT US'!$B$63:$AA$113,(AO$113+1),FALSE)/VLOOKUP($A164,'Fuel economy adjusted factor'!$A$2:$F$52,5,FALSE)/$AZ$84</f>
        <v>4063.2953815509086</v>
      </c>
      <c r="AP164" s="106">
        <f>VLOOKUP($A164,'VKT US'!$B$63:$AA$113,(AP$113+1),FALSE)/VLOOKUP($A164,'Fuel economy adjusted factor'!$A$2:$F$52,5,FALSE)/$AZ$84</f>
        <v>3969.9325039405148</v>
      </c>
      <c r="AQ164" s="106">
        <f>VLOOKUP($A164,'VKT US'!$B$63:$AA$113,(AQ$113+1),FALSE)/VLOOKUP($A164,'Fuel economy adjusted factor'!$A$2:$F$52,5,FALSE)/$AZ$84</f>
        <v>3883.2703113260827</v>
      </c>
      <c r="AR164" s="106">
        <f>VLOOKUP($A164,'VKT US'!$B$63:$AA$113,(AR$113+1),FALSE)/VLOOKUP($A164,'Fuel economy adjusted factor'!$A$2:$F$52,5,FALSE)/$AZ$84</f>
        <v>3801.9686667084197</v>
      </c>
      <c r="AS164" s="106">
        <f>VLOOKUP($A164,'VKT US'!$B$63:$AA$113,(AS$113+1),FALSE)/VLOOKUP($A164,'Fuel economy adjusted factor'!$A$2:$F$52,5,FALSE)/$AZ$84</f>
        <v>3727.3677070867175</v>
      </c>
      <c r="AT164" s="111" cm="1">
        <f t="array" ref="AT164">SUMPRODUCT(INDEX(Z164:AS164,,_xlfn.SEQUENCE($AZ$13)))</f>
        <v>72081.055350887546</v>
      </c>
    </row>
    <row r="166" spans="1:46" x14ac:dyDescent="0.25">
      <c r="A166" s="104" t="s">
        <v>456</v>
      </c>
    </row>
    <row r="167" spans="1:46" x14ac:dyDescent="0.25">
      <c r="A167" s="213" t="s">
        <v>3</v>
      </c>
      <c r="B167" s="213" t="s">
        <v>317</v>
      </c>
      <c r="C167" s="213"/>
      <c r="D167" s="213"/>
      <c r="E167" s="213"/>
      <c r="F167" s="213"/>
      <c r="G167" s="213"/>
      <c r="H167" s="213"/>
      <c r="I167" s="213"/>
      <c r="J167" s="213"/>
      <c r="K167" s="213"/>
      <c r="L167" s="213"/>
      <c r="M167" s="213"/>
      <c r="N167" s="213"/>
      <c r="O167" s="213"/>
      <c r="P167" s="213"/>
      <c r="Q167" s="213"/>
      <c r="R167" s="213"/>
      <c r="S167" s="213"/>
      <c r="T167" s="213"/>
      <c r="U167" s="213"/>
      <c r="V167" s="214" t="s">
        <v>453</v>
      </c>
    </row>
    <row r="168" spans="1:46" x14ac:dyDescent="0.25">
      <c r="A168" s="213"/>
      <c r="B168" s="73">
        <v>1</v>
      </c>
      <c r="C168" s="73">
        <v>2</v>
      </c>
      <c r="D168" s="73">
        <v>3</v>
      </c>
      <c r="E168" s="73">
        <v>4</v>
      </c>
      <c r="F168" s="73">
        <v>5</v>
      </c>
      <c r="G168" s="73">
        <v>6</v>
      </c>
      <c r="H168" s="73">
        <v>7</v>
      </c>
      <c r="I168" s="73">
        <v>8</v>
      </c>
      <c r="J168" s="73">
        <v>9</v>
      </c>
      <c r="K168" s="73">
        <v>10</v>
      </c>
      <c r="L168" s="73">
        <v>11</v>
      </c>
      <c r="M168" s="73">
        <v>12</v>
      </c>
      <c r="N168" s="73">
        <v>13</v>
      </c>
      <c r="O168" s="73">
        <v>14</v>
      </c>
      <c r="P168" s="73">
        <v>15</v>
      </c>
      <c r="Q168" s="73">
        <v>16</v>
      </c>
      <c r="R168" s="73">
        <v>17</v>
      </c>
      <c r="S168" s="73">
        <v>18</v>
      </c>
      <c r="T168" s="73">
        <v>19</v>
      </c>
      <c r="U168" s="73">
        <v>20</v>
      </c>
      <c r="V168" s="215"/>
    </row>
    <row r="169" spans="1:46" x14ac:dyDescent="0.25">
      <c r="A169" s="102" t="s">
        <v>187</v>
      </c>
      <c r="B169" s="106">
        <f>VLOOKUP($A169,'VKT US'!$B$63:$AA$113,(B$168+1),FALSE)/VLOOKUP($A169,'Fuel economy adjusted factor'!$A$2:$F$52,6,FALSE)*INDEX('Year data'!$B$111:$AC$161,MATCH($A169,'Year data'!$A$111:$A$161,0),MATCH('TCO Inputs'!$AZ$12,'Year data'!$B$110:$AC$110,0))/(1+$AZ$41)^B$168</f>
        <v>1201.1574102093111</v>
      </c>
      <c r="C169" s="106">
        <f>VLOOKUP($A169,'VKT US'!$B$63:$AA$113,(C$168+1),FALSE)/VLOOKUP($A169,'Fuel economy adjusted factor'!$A$2:$F$52,6,FALSE)*INDEX('Year data'!$B$111:$AC$161,MATCH($A169,'Year data'!$A$111:$A$161,0),MATCH('TCO Inputs'!$AZ$12,'Year data'!$B$110:$AC$110,0))/(1+$AZ$41)^C$168</f>
        <v>1151.612043951726</v>
      </c>
      <c r="D169" s="106">
        <f>VLOOKUP($A169,'VKT US'!$B$63:$AA$113,(D$168+1),FALSE)/VLOOKUP($A169,'Fuel economy adjusted factor'!$A$2:$F$52,6,FALSE)*INDEX('Year data'!$B$111:$AC$161,MATCH($A169,'Year data'!$A$111:$A$161,0),MATCH('TCO Inputs'!$AZ$12,'Year data'!$B$110:$AC$110,0))/(1+$AZ$41)^D$168</f>
        <v>1104.1734796412145</v>
      </c>
      <c r="E169" s="106">
        <f>VLOOKUP($A169,'VKT US'!$B$63:$AA$113,(E$168+1),FALSE)/VLOOKUP($A169,'Fuel economy adjusted factor'!$A$2:$F$52,6,FALSE)*INDEX('Year data'!$B$111:$AC$161,MATCH($A169,'Year data'!$A$111:$A$161,0),MATCH('TCO Inputs'!$AZ$12,'Year data'!$B$110:$AC$110,0))/(1+$AZ$41)^E$168</f>
        <v>1058.8693335324024</v>
      </c>
      <c r="F169" s="106">
        <f>VLOOKUP($A169,'VKT US'!$B$63:$AA$113,(F$168+1),FALSE)/VLOOKUP($A169,'Fuel economy adjusted factor'!$A$2:$F$52,6,FALSE)*INDEX('Year data'!$B$111:$AC$161,MATCH($A169,'Year data'!$A$111:$A$161,0),MATCH('TCO Inputs'!$AZ$12,'Year data'!$B$110:$AC$110,0))/(1+$AZ$41)^F$168</f>
        <v>1015.5590946811485</v>
      </c>
      <c r="G169" s="106">
        <f>VLOOKUP($A169,'VKT US'!$B$63:$AA$113,(G$168+1),FALSE)/VLOOKUP($A169,'Fuel economy adjusted factor'!$A$2:$F$52,6,FALSE)*INDEX('Year data'!$B$111:$AC$161,MATCH($A169,'Year data'!$A$111:$A$161,0),MATCH('TCO Inputs'!$AZ$12,'Year data'!$B$110:$AC$110,0))/(1+$AZ$41)^G$168</f>
        <v>974.35248865310018</v>
      </c>
      <c r="H169" s="106">
        <f>VLOOKUP($A169,'VKT US'!$B$63:$AA$113,(H$168+1),FALSE)/VLOOKUP($A169,'Fuel economy adjusted factor'!$A$2:$F$52,6,FALSE)*INDEX('Year data'!$B$111:$AC$161,MATCH($A169,'Year data'!$A$111:$A$161,0),MATCH('TCO Inputs'!$AZ$12,'Year data'!$B$110:$AC$110,0))/(1+$AZ$41)^H$168</f>
        <v>934.94901324793409</v>
      </c>
      <c r="I169" s="106">
        <f>VLOOKUP($A169,'VKT US'!$B$63:$AA$113,(I$168+1),FALSE)/VLOOKUP($A169,'Fuel economy adjusted factor'!$A$2:$F$52,6,FALSE)*INDEX('Year data'!$B$111:$AC$161,MATCH($A169,'Year data'!$A$111:$A$161,0),MATCH('TCO Inputs'!$AZ$12,'Year data'!$B$110:$AC$110,0))/(1+$AZ$41)^I$168</f>
        <v>897.45974809388906</v>
      </c>
      <c r="J169" s="106">
        <f>VLOOKUP($A169,'VKT US'!$B$63:$AA$113,(J$168+1),FALSE)/VLOOKUP($A169,'Fuel economy adjusted factor'!$A$2:$F$52,6,FALSE)*INDEX('Year data'!$B$111:$AC$161,MATCH($A169,'Year data'!$A$111:$A$161,0),MATCH('TCO Inputs'!$AZ$12,'Year data'!$B$110:$AC$110,0))/(1+$AZ$41)^J$168</f>
        <v>861.83159526431064</v>
      </c>
      <c r="K169" s="106">
        <f>VLOOKUP($A169,'VKT US'!$B$63:$AA$113,(K$168+1),FALSE)/VLOOKUP($A169,'Fuel economy adjusted factor'!$A$2:$F$52,6,FALSE)*INDEX('Year data'!$B$111:$AC$161,MATCH($A169,'Year data'!$A$111:$A$161,0),MATCH('TCO Inputs'!$AZ$12,'Year data'!$B$110:$AC$110,0))/(1+$AZ$41)^K$168</f>
        <v>828.01260394335907</v>
      </c>
      <c r="L169" s="106">
        <f>VLOOKUP($A169,'VKT US'!$B$63:$AA$113,(L$168+1),FALSE)/VLOOKUP($A169,'Fuel economy adjusted factor'!$A$2:$F$52,6,FALSE)*INDEX('Year data'!$B$111:$AC$161,MATCH($A169,'Year data'!$A$111:$A$161,0),MATCH('TCO Inputs'!$AZ$12,'Year data'!$B$110:$AC$110,0))/(1+$AZ$41)^L$168</f>
        <v>795.87498576746759</v>
      </c>
      <c r="M169" s="106">
        <f>VLOOKUP($A169,'VKT US'!$B$63:$AA$113,(M$168+1),FALSE)/VLOOKUP($A169,'Fuel economy adjusted factor'!$A$2:$F$52,6,FALSE)*INDEX('Year data'!$B$111:$AC$161,MATCH($A169,'Year data'!$A$111:$A$161,0),MATCH('TCO Inputs'!$AZ$12,'Year data'!$B$110:$AC$110,0))/(1+$AZ$41)^M$168</f>
        <v>765.44780798387262</v>
      </c>
      <c r="N169" s="106">
        <f>VLOOKUP($A169,'VKT US'!$B$63:$AA$113,(N$168+1),FALSE)/VLOOKUP($A169,'Fuel economy adjusted factor'!$A$2:$F$52,6,FALSE)*INDEX('Year data'!$B$111:$AC$161,MATCH($A169,'Year data'!$A$111:$A$161,0),MATCH('TCO Inputs'!$AZ$12,'Year data'!$B$110:$AC$110,0))/(1+$AZ$41)^N$168</f>
        <v>736.60725186072341</v>
      </c>
      <c r="O169" s="106">
        <f>VLOOKUP($A169,'VKT US'!$B$63:$AA$113,(O$168+1),FALSE)/VLOOKUP($A169,'Fuel economy adjusted factor'!$A$2:$F$52,6,FALSE)*INDEX('Year data'!$B$111:$AC$161,MATCH($A169,'Year data'!$A$111:$A$161,0),MATCH('TCO Inputs'!$AZ$12,'Year data'!$B$110:$AC$110,0))/(1+$AZ$41)^O$168</f>
        <v>709.38264162285702</v>
      </c>
      <c r="P169" s="106">
        <f>VLOOKUP($A169,'VKT US'!$B$63:$AA$113,(P$168+1),FALSE)/VLOOKUP($A169,'Fuel economy adjusted factor'!$A$2:$F$52,6,FALSE)*INDEX('Year data'!$B$111:$AC$161,MATCH($A169,'Year data'!$A$111:$A$161,0),MATCH('TCO Inputs'!$AZ$12,'Year data'!$B$110:$AC$110,0))/(1+$AZ$41)^P$168</f>
        <v>683.65400517770388</v>
      </c>
      <c r="Q169" s="106">
        <f>VLOOKUP($A169,'VKT US'!$B$63:$AA$113,(Q$168+1),FALSE)/VLOOKUP($A169,'Fuel economy adjusted factor'!$A$2:$F$52,6,FALSE)*INDEX('Year data'!$B$111:$AC$161,MATCH($A169,'Year data'!$A$111:$A$161,0),MATCH('TCO Inputs'!$AZ$12,'Year data'!$B$110:$AC$110,0))/(1+$AZ$41)^Q$168</f>
        <v>659.52339566040348</v>
      </c>
      <c r="R169" s="106">
        <f>VLOOKUP($A169,'VKT US'!$B$63:$AA$113,(R$168+1),FALSE)/VLOOKUP($A169,'Fuel economy adjusted factor'!$A$2:$F$52,6,FALSE)*INDEX('Year data'!$B$111:$AC$161,MATCH($A169,'Year data'!$A$111:$A$161,0),MATCH('TCO Inputs'!$AZ$12,'Year data'!$B$110:$AC$110,0))/(1+$AZ$41)^R$168</f>
        <v>636.72869467380929</v>
      </c>
      <c r="S169" s="106">
        <f>VLOOKUP($A169,'VKT US'!$B$63:$AA$113,(S$168+1),FALSE)/VLOOKUP($A169,'Fuel economy adjusted factor'!$A$2:$F$52,6,FALSE)*INDEX('Year data'!$B$111:$AC$161,MATCH($A169,'Year data'!$A$111:$A$161,0),MATCH('TCO Inputs'!$AZ$12,'Year data'!$B$110:$AC$110,0))/(1+$AZ$41)^S$168</f>
        <v>615.44381151838172</v>
      </c>
      <c r="T169" s="106">
        <f>VLOOKUP($A169,'VKT US'!$B$63:$AA$113,(T$168+1),FALSE)/VLOOKUP($A169,'Fuel economy adjusted factor'!$A$2:$F$52,6,FALSE)*INDEX('Year data'!$B$111:$AC$161,MATCH($A169,'Year data'!$A$111:$A$161,0),MATCH('TCO Inputs'!$AZ$12,'Year data'!$B$110:$AC$110,0))/(1+$AZ$41)^T$168</f>
        <v>595.41367842566376</v>
      </c>
      <c r="U169" s="106">
        <f>VLOOKUP($A169,'VKT US'!$B$63:$AA$113,(U$168+1),FALSE)/VLOOKUP($A169,'Fuel economy adjusted factor'!$A$2:$F$52,6,FALSE)*INDEX('Year data'!$B$111:$AC$161,MATCH($A169,'Year data'!$A$111:$A$161,0),MATCH('TCO Inputs'!$AZ$12,'Year data'!$B$110:$AC$110,0))/(1+$AZ$41)^U$168</f>
        <v>576.80896249862883</v>
      </c>
      <c r="V169" s="109" cm="1">
        <f t="array" ref="V169">SUMPRODUCT(INDEX(B169:U169,,_xlfn.SEQUENCE($AZ$13)))</f>
        <v>13035.289498453316</v>
      </c>
    </row>
    <row r="170" spans="1:46" x14ac:dyDescent="0.25">
      <c r="A170" s="102" t="s">
        <v>231</v>
      </c>
      <c r="B170" s="106">
        <f>VLOOKUP($A170,'VKT US'!$B$63:$AA$113,(B$168+1),FALSE)/VLOOKUP($A170,'Fuel economy adjusted factor'!$A$2:$F$52,6,FALSE)*INDEX('Year data'!$B$111:$AC$161,MATCH($A170,'Year data'!$A$111:$A$161,0),MATCH('TCO Inputs'!$AZ$12,'Year data'!$B$110:$AC$110,0))/(1+$AZ$41)^B$168</f>
        <v>1289.5070069402552</v>
      </c>
      <c r="C170" s="106">
        <f>VLOOKUP($A170,'VKT US'!$B$63:$AA$113,(C$168+1),FALSE)/VLOOKUP($A170,'Fuel economy adjusted factor'!$A$2:$F$52,6,FALSE)*INDEX('Year data'!$B$111:$AC$161,MATCH($A170,'Year data'!$A$111:$A$161,0),MATCH('TCO Inputs'!$AZ$12,'Year data'!$B$110:$AC$110,0))/(1+$AZ$41)^C$168</f>
        <v>1236.3173946483541</v>
      </c>
      <c r="D170" s="106">
        <f>VLOOKUP($A170,'VKT US'!$B$63:$AA$113,(D$168+1),FALSE)/VLOOKUP($A170,'Fuel economy adjusted factor'!$A$2:$F$52,6,FALSE)*INDEX('Year data'!$B$111:$AC$161,MATCH($A170,'Year data'!$A$111:$A$161,0),MATCH('TCO Inputs'!$AZ$12,'Year data'!$B$110:$AC$110,0))/(1+$AZ$41)^D$168</f>
        <v>1185.3895474256237</v>
      </c>
      <c r="E170" s="106">
        <f>VLOOKUP($A170,'VKT US'!$B$63:$AA$113,(E$168+1),FALSE)/VLOOKUP($A170,'Fuel economy adjusted factor'!$A$2:$F$52,6,FALSE)*INDEX('Year data'!$B$111:$AC$161,MATCH($A170,'Year data'!$A$111:$A$161,0),MATCH('TCO Inputs'!$AZ$12,'Year data'!$B$110:$AC$110,0))/(1+$AZ$41)^E$168</f>
        <v>1136.7531128049704</v>
      </c>
      <c r="F170" s="106">
        <f>VLOOKUP($A170,'VKT US'!$B$63:$AA$113,(F$168+1),FALSE)/VLOOKUP($A170,'Fuel economy adjusted factor'!$A$2:$F$52,6,FALSE)*INDEX('Year data'!$B$111:$AC$161,MATCH($A170,'Year data'!$A$111:$A$161,0),MATCH('TCO Inputs'!$AZ$12,'Year data'!$B$110:$AC$110,0))/(1+$AZ$41)^F$168</f>
        <v>1090.257244739505</v>
      </c>
      <c r="G170" s="106">
        <f>VLOOKUP($A170,'VKT US'!$B$63:$AA$113,(G$168+1),FALSE)/VLOOKUP($A170,'Fuel economy adjusted factor'!$A$2:$F$52,6,FALSE)*INDEX('Year data'!$B$111:$AC$161,MATCH($A170,'Year data'!$A$111:$A$161,0),MATCH('TCO Inputs'!$AZ$12,'Year data'!$B$110:$AC$110,0))/(1+$AZ$41)^G$168</f>
        <v>1046.0197395184905</v>
      </c>
      <c r="H170" s="106">
        <f>VLOOKUP($A170,'VKT US'!$B$63:$AA$113,(H$168+1),FALSE)/VLOOKUP($A170,'Fuel economy adjusted factor'!$A$2:$F$52,6,FALSE)*INDEX('Year data'!$B$111:$AC$161,MATCH($A170,'Year data'!$A$111:$A$161,0),MATCH('TCO Inputs'!$AZ$12,'Year data'!$B$110:$AC$110,0))/(1+$AZ$41)^H$168</f>
        <v>1003.7179918866747</v>
      </c>
      <c r="I170" s="106">
        <f>VLOOKUP($A170,'VKT US'!$B$63:$AA$113,(I$168+1),FALSE)/VLOOKUP($A170,'Fuel economy adjusted factor'!$A$2:$F$52,6,FALSE)*INDEX('Year data'!$B$111:$AC$161,MATCH($A170,'Year data'!$A$111:$A$161,0),MATCH('TCO Inputs'!$AZ$12,'Year data'!$B$110:$AC$110,0))/(1+$AZ$41)^I$168</f>
        <v>963.47125179225372</v>
      </c>
      <c r="J170" s="106">
        <f>VLOOKUP($A170,'VKT US'!$B$63:$AA$113,(J$168+1),FALSE)/VLOOKUP($A170,'Fuel economy adjusted factor'!$A$2:$F$52,6,FALSE)*INDEX('Year data'!$B$111:$AC$161,MATCH($A170,'Year data'!$A$111:$A$161,0),MATCH('TCO Inputs'!$AZ$12,'Year data'!$B$110:$AC$110,0))/(1+$AZ$41)^J$168</f>
        <v>925.22251575850282</v>
      </c>
      <c r="K170" s="106">
        <f>VLOOKUP($A170,'VKT US'!$B$63:$AA$113,(K$168+1),FALSE)/VLOOKUP($A170,'Fuel economy adjusted factor'!$A$2:$F$52,6,FALSE)*INDEX('Year data'!$B$111:$AC$161,MATCH($A170,'Year data'!$A$111:$A$161,0),MATCH('TCO Inputs'!$AZ$12,'Year data'!$B$110:$AC$110,0))/(1+$AZ$41)^K$168</f>
        <v>888.91601179378131</v>
      </c>
      <c r="L170" s="106">
        <f>VLOOKUP($A170,'VKT US'!$B$63:$AA$113,(L$168+1),FALSE)/VLOOKUP($A170,'Fuel economy adjusted factor'!$A$2:$F$52,6,FALSE)*INDEX('Year data'!$B$111:$AC$161,MATCH($A170,'Year data'!$A$111:$A$161,0),MATCH('TCO Inputs'!$AZ$12,'Year data'!$B$110:$AC$110,0))/(1+$AZ$41)^L$168</f>
        <v>854.41455222491356</v>
      </c>
      <c r="M170" s="106">
        <f>VLOOKUP($A170,'VKT US'!$B$63:$AA$113,(M$168+1),FALSE)/VLOOKUP($A170,'Fuel economy adjusted factor'!$A$2:$F$52,6,FALSE)*INDEX('Year data'!$B$111:$AC$161,MATCH($A170,'Year data'!$A$111:$A$161,0),MATCH('TCO Inputs'!$AZ$12,'Year data'!$B$110:$AC$110,0))/(1+$AZ$41)^M$168</f>
        <v>821.74934230332178</v>
      </c>
      <c r="N170" s="106">
        <f>VLOOKUP($A170,'VKT US'!$B$63:$AA$113,(N$168+1),FALSE)/VLOOKUP($A170,'Fuel economy adjusted factor'!$A$2:$F$52,6,FALSE)*INDEX('Year data'!$B$111:$AC$161,MATCH($A170,'Year data'!$A$111:$A$161,0),MATCH('TCO Inputs'!$AZ$12,'Year data'!$B$110:$AC$110,0))/(1+$AZ$41)^N$168</f>
        <v>790.78745596872909</v>
      </c>
      <c r="O170" s="106">
        <f>VLOOKUP($A170,'VKT US'!$B$63:$AA$113,(O$168+1),FALSE)/VLOOKUP($A170,'Fuel economy adjusted factor'!$A$2:$F$52,6,FALSE)*INDEX('Year data'!$B$111:$AC$161,MATCH($A170,'Year data'!$A$111:$A$161,0),MATCH('TCO Inputs'!$AZ$12,'Year data'!$B$110:$AC$110,0))/(1+$AZ$41)^O$168</f>
        <v>761.56037435181713</v>
      </c>
      <c r="P170" s="106">
        <f>VLOOKUP($A170,'VKT US'!$B$63:$AA$113,(P$168+1),FALSE)/VLOOKUP($A170,'Fuel economy adjusted factor'!$A$2:$F$52,6,FALSE)*INDEX('Year data'!$B$111:$AC$161,MATCH($A170,'Year data'!$A$111:$A$161,0),MATCH('TCO Inputs'!$AZ$12,'Year data'!$B$110:$AC$110,0))/(1+$AZ$41)^P$168</f>
        <v>733.93930096622137</v>
      </c>
      <c r="Q170" s="106">
        <f>VLOOKUP($A170,'VKT US'!$B$63:$AA$113,(Q$168+1),FALSE)/VLOOKUP($A170,'Fuel economy adjusted factor'!$A$2:$F$52,6,FALSE)*INDEX('Year data'!$B$111:$AC$161,MATCH($A170,'Year data'!$A$111:$A$161,0),MATCH('TCO Inputs'!$AZ$12,'Year data'!$B$110:$AC$110,0))/(1+$AZ$41)^Q$168</f>
        <v>708.03379533488567</v>
      </c>
      <c r="R170" s="106">
        <f>VLOOKUP($A170,'VKT US'!$B$63:$AA$113,(R$168+1),FALSE)/VLOOKUP($A170,'Fuel economy adjusted factor'!$A$2:$F$52,6,FALSE)*INDEX('Year data'!$B$111:$AC$161,MATCH($A170,'Year data'!$A$111:$A$161,0),MATCH('TCO Inputs'!$AZ$12,'Year data'!$B$110:$AC$110,0))/(1+$AZ$41)^R$168</f>
        <v>683.56245927727514</v>
      </c>
      <c r="S170" s="106">
        <f>VLOOKUP($A170,'VKT US'!$B$63:$AA$113,(S$168+1),FALSE)/VLOOKUP($A170,'Fuel economy adjusted factor'!$A$2:$F$52,6,FALSE)*INDEX('Year data'!$B$111:$AC$161,MATCH($A170,'Year data'!$A$111:$A$161,0),MATCH('TCO Inputs'!$AZ$12,'Year data'!$B$110:$AC$110,0))/(1+$AZ$41)^S$168</f>
        <v>660.71199376997299</v>
      </c>
      <c r="T170" s="106">
        <f>VLOOKUP($A170,'VKT US'!$B$63:$AA$113,(T$168+1),FALSE)/VLOOKUP($A170,'Fuel economy adjusted factor'!$A$2:$F$52,6,FALSE)*INDEX('Year data'!$B$111:$AC$161,MATCH($A170,'Year data'!$A$111:$A$161,0),MATCH('TCO Inputs'!$AZ$12,'Year data'!$B$110:$AC$110,0))/(1+$AZ$41)^T$168</f>
        <v>639.20856986110743</v>
      </c>
      <c r="U170" s="106">
        <f>VLOOKUP($A170,'VKT US'!$B$63:$AA$113,(U$168+1),FALSE)/VLOOKUP($A170,'Fuel economy adjusted factor'!$A$2:$F$52,6,FALSE)*INDEX('Year data'!$B$111:$AC$161,MATCH($A170,'Year data'!$A$111:$A$161,0),MATCH('TCO Inputs'!$AZ$12,'Year data'!$B$110:$AC$110,0))/(1+$AZ$41)^U$168</f>
        <v>619.23540785408613</v>
      </c>
      <c r="V170" s="110" cm="1">
        <f t="array" ref="V170">SUMPRODUCT(INDEX(B170:U170,,_xlfn.SEQUENCE($AZ$13)))</f>
        <v>13994.083542157192</v>
      </c>
    </row>
    <row r="171" spans="1:46" x14ac:dyDescent="0.25">
      <c r="A171" s="102" t="s">
        <v>189</v>
      </c>
      <c r="B171" s="106">
        <f>VLOOKUP($A171,'VKT US'!$B$63:$AA$113,(B$168+1),FALSE)/VLOOKUP($A171,'Fuel economy adjusted factor'!$A$2:$F$52,6,FALSE)*INDEX('Year data'!$B$111:$AC$161,MATCH($A171,'Year data'!$A$111:$A$161,0),MATCH('TCO Inputs'!$AZ$12,'Year data'!$B$110:$AC$110,0))/(1+$AZ$41)^B$168</f>
        <v>1303.9657488429921</v>
      </c>
      <c r="C171" s="106">
        <f>VLOOKUP($A171,'VKT US'!$B$63:$AA$113,(C$168+1),FALSE)/VLOOKUP($A171,'Fuel economy adjusted factor'!$A$2:$F$52,6,FALSE)*INDEX('Year data'!$B$111:$AC$161,MATCH($A171,'Year data'!$A$111:$A$161,0),MATCH('TCO Inputs'!$AZ$12,'Year data'!$B$110:$AC$110,0))/(1+$AZ$41)^C$168</f>
        <v>1250.179742059323</v>
      </c>
      <c r="D171" s="106">
        <f>VLOOKUP($A171,'VKT US'!$B$63:$AA$113,(D$168+1),FALSE)/VLOOKUP($A171,'Fuel economy adjusted factor'!$A$2:$F$52,6,FALSE)*INDEX('Year data'!$B$111:$AC$161,MATCH($A171,'Year data'!$A$111:$A$161,0),MATCH('TCO Inputs'!$AZ$12,'Year data'!$B$110:$AC$110,0))/(1+$AZ$41)^D$168</f>
        <v>1198.680860639266</v>
      </c>
      <c r="E171" s="106">
        <f>VLOOKUP($A171,'VKT US'!$B$63:$AA$113,(E$168+1),FALSE)/VLOOKUP($A171,'Fuel economy adjusted factor'!$A$2:$F$52,6,FALSE)*INDEX('Year data'!$B$111:$AC$161,MATCH($A171,'Year data'!$A$111:$A$161,0),MATCH('TCO Inputs'!$AZ$12,'Year data'!$B$110:$AC$110,0))/(1+$AZ$41)^E$168</f>
        <v>1149.4990845420134</v>
      </c>
      <c r="F171" s="106">
        <f>VLOOKUP($A171,'VKT US'!$B$63:$AA$113,(F$168+1),FALSE)/VLOOKUP($A171,'Fuel economy adjusted factor'!$A$2:$F$52,6,FALSE)*INDEX('Year data'!$B$111:$AC$161,MATCH($A171,'Year data'!$A$111:$A$161,0),MATCH('TCO Inputs'!$AZ$12,'Year data'!$B$110:$AC$110,0))/(1+$AZ$41)^F$168</f>
        <v>1102.4818763424628</v>
      </c>
      <c r="G171" s="106">
        <f>VLOOKUP($A171,'VKT US'!$B$63:$AA$113,(G$168+1),FALSE)/VLOOKUP($A171,'Fuel economy adjusted factor'!$A$2:$F$52,6,FALSE)*INDEX('Year data'!$B$111:$AC$161,MATCH($A171,'Year data'!$A$111:$A$161,0),MATCH('TCO Inputs'!$AZ$12,'Year data'!$B$110:$AC$110,0))/(1+$AZ$41)^G$168</f>
        <v>1057.7483531339778</v>
      </c>
      <c r="H171" s="106">
        <f>VLOOKUP($A171,'VKT US'!$B$63:$AA$113,(H$168+1),FALSE)/VLOOKUP($A171,'Fuel economy adjusted factor'!$A$2:$F$52,6,FALSE)*INDEX('Year data'!$B$111:$AC$161,MATCH($A171,'Year data'!$A$111:$A$161,0),MATCH('TCO Inputs'!$AZ$12,'Year data'!$B$110:$AC$110,0))/(1+$AZ$41)^H$168</f>
        <v>1014.9722924137093</v>
      </c>
      <c r="I171" s="106">
        <f>VLOOKUP($A171,'VKT US'!$B$63:$AA$113,(I$168+1),FALSE)/VLOOKUP($A171,'Fuel economy adjusted factor'!$A$2:$F$52,6,FALSE)*INDEX('Year data'!$B$111:$AC$161,MATCH($A171,'Year data'!$A$111:$A$161,0),MATCH('TCO Inputs'!$AZ$12,'Year data'!$B$110:$AC$110,0))/(1+$AZ$41)^I$168</f>
        <v>974.27428123326899</v>
      </c>
      <c r="J171" s="106">
        <f>VLOOKUP($A171,'VKT US'!$B$63:$AA$113,(J$168+1),FALSE)/VLOOKUP($A171,'Fuel economy adjusted factor'!$A$2:$F$52,6,FALSE)*INDEX('Year data'!$B$111:$AC$161,MATCH($A171,'Year data'!$A$111:$A$161,0),MATCH('TCO Inputs'!$AZ$12,'Year data'!$B$110:$AC$110,0))/(1+$AZ$41)^J$168</f>
        <v>935.59667695805695</v>
      </c>
      <c r="K171" s="106">
        <f>VLOOKUP($A171,'VKT US'!$B$63:$AA$113,(K$168+1),FALSE)/VLOOKUP($A171,'Fuel economy adjusted factor'!$A$2:$F$52,6,FALSE)*INDEX('Year data'!$B$111:$AC$161,MATCH($A171,'Year data'!$A$111:$A$161,0),MATCH('TCO Inputs'!$AZ$12,'Year data'!$B$110:$AC$110,0))/(1+$AZ$41)^K$168</f>
        <v>898.88308224672357</v>
      </c>
      <c r="L171" s="106">
        <f>VLOOKUP($A171,'VKT US'!$B$63:$AA$113,(L$168+1),FALSE)/VLOOKUP($A171,'Fuel economy adjusted factor'!$A$2:$F$52,6,FALSE)*INDEX('Year data'!$B$111:$AC$161,MATCH($A171,'Year data'!$A$111:$A$161,0),MATCH('TCO Inputs'!$AZ$12,'Year data'!$B$110:$AC$110,0))/(1+$AZ$41)^L$168</f>
        <v>863.9947711939252</v>
      </c>
      <c r="M171" s="106">
        <f>VLOOKUP($A171,'VKT US'!$B$63:$AA$113,(M$168+1),FALSE)/VLOOKUP($A171,'Fuel economy adjusted factor'!$A$2:$F$52,6,FALSE)*INDEX('Year data'!$B$111:$AC$161,MATCH($A171,'Year data'!$A$111:$A$161,0),MATCH('TCO Inputs'!$AZ$12,'Year data'!$B$110:$AC$110,0))/(1+$AZ$41)^M$168</f>
        <v>830.96329894346434</v>
      </c>
      <c r="N171" s="106">
        <f>VLOOKUP($A171,'VKT US'!$B$63:$AA$113,(N$168+1),FALSE)/VLOOKUP($A171,'Fuel economy adjusted factor'!$A$2:$F$52,6,FALSE)*INDEX('Year data'!$B$111:$AC$161,MATCH($A171,'Year data'!$A$111:$A$161,0),MATCH('TCO Inputs'!$AZ$12,'Year data'!$B$110:$AC$110,0))/(1+$AZ$41)^N$168</f>
        <v>799.65424898670869</v>
      </c>
      <c r="O171" s="106">
        <f>VLOOKUP($A171,'VKT US'!$B$63:$AA$113,(O$168+1),FALSE)/VLOOKUP($A171,'Fuel economy adjusted factor'!$A$2:$F$52,6,FALSE)*INDEX('Year data'!$B$111:$AC$161,MATCH($A171,'Year data'!$A$111:$A$161,0),MATCH('TCO Inputs'!$AZ$12,'Year data'!$B$110:$AC$110,0))/(1+$AZ$41)^O$168</f>
        <v>770.0994554400479</v>
      </c>
      <c r="P171" s="106">
        <f>VLOOKUP($A171,'VKT US'!$B$63:$AA$113,(P$168+1),FALSE)/VLOOKUP($A171,'Fuel economy adjusted factor'!$A$2:$F$52,6,FALSE)*INDEX('Year data'!$B$111:$AC$161,MATCH($A171,'Year data'!$A$111:$A$161,0),MATCH('TCO Inputs'!$AZ$12,'Year data'!$B$110:$AC$110,0))/(1+$AZ$41)^P$168</f>
        <v>742.16867767207248</v>
      </c>
      <c r="Q171" s="106">
        <f>VLOOKUP($A171,'VKT US'!$B$63:$AA$113,(Q$168+1),FALSE)/VLOOKUP($A171,'Fuel economy adjusted factor'!$A$2:$F$52,6,FALSE)*INDEX('Year data'!$B$111:$AC$161,MATCH($A171,'Year data'!$A$111:$A$161,0),MATCH('TCO Inputs'!$AZ$12,'Year data'!$B$110:$AC$110,0))/(1+$AZ$41)^Q$168</f>
        <v>715.97270365416125</v>
      </c>
      <c r="R171" s="106">
        <f>VLOOKUP($A171,'VKT US'!$B$63:$AA$113,(R$168+1),FALSE)/VLOOKUP($A171,'Fuel economy adjusted factor'!$A$2:$F$52,6,FALSE)*INDEX('Year data'!$B$111:$AC$161,MATCH($A171,'Year data'!$A$111:$A$161,0),MATCH('TCO Inputs'!$AZ$12,'Year data'!$B$110:$AC$110,0))/(1+$AZ$41)^R$168</f>
        <v>691.22697999712886</v>
      </c>
      <c r="S171" s="106">
        <f>VLOOKUP($A171,'VKT US'!$B$63:$AA$113,(S$168+1),FALSE)/VLOOKUP($A171,'Fuel economy adjusted factor'!$A$2:$F$52,6,FALSE)*INDEX('Year data'!$B$111:$AC$161,MATCH($A171,'Year data'!$A$111:$A$161,0),MATCH('TCO Inputs'!$AZ$12,'Year data'!$B$110:$AC$110,0))/(1+$AZ$41)^S$168</f>
        <v>668.12030108319186</v>
      </c>
      <c r="T171" s="106">
        <f>VLOOKUP($A171,'VKT US'!$B$63:$AA$113,(T$168+1),FALSE)/VLOOKUP($A171,'Fuel economy adjusted factor'!$A$2:$F$52,6,FALSE)*INDEX('Year data'!$B$111:$AC$161,MATCH($A171,'Year data'!$A$111:$A$161,0),MATCH('TCO Inputs'!$AZ$12,'Year data'!$B$110:$AC$110,0))/(1+$AZ$41)^T$168</f>
        <v>646.3757676226528</v>
      </c>
      <c r="U171" s="106">
        <f>VLOOKUP($A171,'VKT US'!$B$63:$AA$113,(U$168+1),FALSE)/VLOOKUP($A171,'Fuel economy adjusted factor'!$A$2:$F$52,6,FALSE)*INDEX('Year data'!$B$111:$AC$161,MATCH($A171,'Year data'!$A$111:$A$161,0),MATCH('TCO Inputs'!$AZ$12,'Year data'!$B$110:$AC$110,0))/(1+$AZ$41)^U$168</f>
        <v>626.17865429711458</v>
      </c>
      <c r="V171" s="110" cm="1">
        <f t="array" ref="V171">SUMPRODUCT(INDEX(B171:U171,,_xlfn.SEQUENCE($AZ$13)))</f>
        <v>14150.99377297594</v>
      </c>
    </row>
    <row r="172" spans="1:46" x14ac:dyDescent="0.25">
      <c r="A172" s="102" t="s">
        <v>188</v>
      </c>
      <c r="B172" s="106">
        <f>VLOOKUP($A172,'VKT US'!$B$63:$AA$113,(B$168+1),FALSE)/VLOOKUP($A172,'Fuel economy adjusted factor'!$A$2:$F$52,6,FALSE)*INDEX('Year data'!$B$111:$AC$161,MATCH($A172,'Year data'!$A$111:$A$161,0),MATCH('TCO Inputs'!$AZ$12,'Year data'!$B$110:$AC$110,0))/(1+$AZ$41)^B$168</f>
        <v>1168.0233916597756</v>
      </c>
      <c r="C172" s="106">
        <f>VLOOKUP($A172,'VKT US'!$B$63:$AA$113,(C$168+1),FALSE)/VLOOKUP($A172,'Fuel economy adjusted factor'!$A$2:$F$52,6,FALSE)*INDEX('Year data'!$B$111:$AC$161,MATCH($A172,'Year data'!$A$111:$A$161,0),MATCH('TCO Inputs'!$AZ$12,'Year data'!$B$110:$AC$110,0))/(1+$AZ$41)^C$168</f>
        <v>1119.8447381000176</v>
      </c>
      <c r="D172" s="106">
        <f>VLOOKUP($A172,'VKT US'!$B$63:$AA$113,(D$168+1),FALSE)/VLOOKUP($A172,'Fuel economy adjusted factor'!$A$2:$F$52,6,FALSE)*INDEX('Year data'!$B$111:$AC$161,MATCH($A172,'Year data'!$A$111:$A$161,0),MATCH('TCO Inputs'!$AZ$12,'Year data'!$B$110:$AC$110,0))/(1+$AZ$41)^D$168</f>
        <v>1073.7147701953293</v>
      </c>
      <c r="E172" s="106">
        <f>VLOOKUP($A172,'VKT US'!$B$63:$AA$113,(E$168+1),FALSE)/VLOOKUP($A172,'Fuel economy adjusted factor'!$A$2:$F$52,6,FALSE)*INDEX('Year data'!$B$111:$AC$161,MATCH($A172,'Year data'!$A$111:$A$161,0),MATCH('TCO Inputs'!$AZ$12,'Year data'!$B$110:$AC$110,0))/(1+$AZ$41)^E$168</f>
        <v>1029.6603424038515</v>
      </c>
      <c r="F172" s="106">
        <f>VLOOKUP($A172,'VKT US'!$B$63:$AA$113,(F$168+1),FALSE)/VLOOKUP($A172,'Fuel economy adjusted factor'!$A$2:$F$52,6,FALSE)*INDEX('Year data'!$B$111:$AC$161,MATCH($A172,'Year data'!$A$111:$A$161,0),MATCH('TCO Inputs'!$AZ$12,'Year data'!$B$110:$AC$110,0))/(1+$AZ$41)^F$168</f>
        <v>987.54481978652734</v>
      </c>
      <c r="G172" s="106">
        <f>VLOOKUP($A172,'VKT US'!$B$63:$AA$113,(G$168+1),FALSE)/VLOOKUP($A172,'Fuel economy adjusted factor'!$A$2:$F$52,6,FALSE)*INDEX('Year data'!$B$111:$AC$161,MATCH($A172,'Year data'!$A$111:$A$161,0),MATCH('TCO Inputs'!$AZ$12,'Year data'!$B$110:$AC$110,0))/(1+$AZ$41)^G$168</f>
        <v>947.47490112092805</v>
      </c>
      <c r="H172" s="106">
        <f>VLOOKUP($A172,'VKT US'!$B$63:$AA$113,(H$168+1),FALSE)/VLOOKUP($A172,'Fuel economy adjusted factor'!$A$2:$F$52,6,FALSE)*INDEX('Year data'!$B$111:$AC$161,MATCH($A172,'Year data'!$A$111:$A$161,0),MATCH('TCO Inputs'!$AZ$12,'Year data'!$B$110:$AC$110,0))/(1+$AZ$41)^H$168</f>
        <v>909.15837358278895</v>
      </c>
      <c r="I172" s="106">
        <f>VLOOKUP($A172,'VKT US'!$B$63:$AA$113,(I$168+1),FALSE)/VLOOKUP($A172,'Fuel economy adjusted factor'!$A$2:$F$52,6,FALSE)*INDEX('Year data'!$B$111:$AC$161,MATCH($A172,'Year data'!$A$111:$A$161,0),MATCH('TCO Inputs'!$AZ$12,'Year data'!$B$110:$AC$110,0))/(1+$AZ$41)^I$168</f>
        <v>872.70325266035331</v>
      </c>
      <c r="J172" s="106">
        <f>VLOOKUP($A172,'VKT US'!$B$63:$AA$113,(J$168+1),FALSE)/VLOOKUP($A172,'Fuel economy adjusted factor'!$A$2:$F$52,6,FALSE)*INDEX('Year data'!$B$111:$AC$161,MATCH($A172,'Year data'!$A$111:$A$161,0),MATCH('TCO Inputs'!$AZ$12,'Year data'!$B$110:$AC$110,0))/(1+$AZ$41)^J$168</f>
        <v>838.05790513731256</v>
      </c>
      <c r="K172" s="106">
        <f>VLOOKUP($A172,'VKT US'!$B$63:$AA$113,(K$168+1),FALSE)/VLOOKUP($A172,'Fuel economy adjusted factor'!$A$2:$F$52,6,FALSE)*INDEX('Year data'!$B$111:$AC$161,MATCH($A172,'Year data'!$A$111:$A$161,0),MATCH('TCO Inputs'!$AZ$12,'Year data'!$B$110:$AC$110,0))/(1+$AZ$41)^K$168</f>
        <v>805.17181326503487</v>
      </c>
      <c r="L172" s="106">
        <f>VLOOKUP($A172,'VKT US'!$B$63:$AA$113,(L$168+1),FALSE)/VLOOKUP($A172,'Fuel economy adjusted factor'!$A$2:$F$52,6,FALSE)*INDEX('Year data'!$B$111:$AC$161,MATCH($A172,'Year data'!$A$111:$A$161,0),MATCH('TCO Inputs'!$AZ$12,'Year data'!$B$110:$AC$110,0))/(1+$AZ$41)^L$168</f>
        <v>773.92071373168528</v>
      </c>
      <c r="M172" s="106">
        <f>VLOOKUP($A172,'VKT US'!$B$63:$AA$113,(M$168+1),FALSE)/VLOOKUP($A172,'Fuel economy adjusted factor'!$A$2:$F$52,6,FALSE)*INDEX('Year data'!$B$111:$AC$161,MATCH($A172,'Year data'!$A$111:$A$161,0),MATCH('TCO Inputs'!$AZ$12,'Year data'!$B$110:$AC$110,0))/(1+$AZ$41)^M$168</f>
        <v>744.33287196227354</v>
      </c>
      <c r="N172" s="106">
        <f>VLOOKUP($A172,'VKT US'!$B$63:$AA$113,(N$168+1),FALSE)/VLOOKUP($A172,'Fuel economy adjusted factor'!$A$2:$F$52,6,FALSE)*INDEX('Year data'!$B$111:$AC$161,MATCH($A172,'Year data'!$A$111:$A$161,0),MATCH('TCO Inputs'!$AZ$12,'Year data'!$B$110:$AC$110,0))/(1+$AZ$41)^N$168</f>
        <v>716.28788477408762</v>
      </c>
      <c r="O172" s="106">
        <f>VLOOKUP($A172,'VKT US'!$B$63:$AA$113,(O$168+1),FALSE)/VLOOKUP($A172,'Fuel economy adjusted factor'!$A$2:$F$52,6,FALSE)*INDEX('Year data'!$B$111:$AC$161,MATCH($A172,'Year data'!$A$111:$A$161,0),MATCH('TCO Inputs'!$AZ$12,'Year data'!$B$110:$AC$110,0))/(1+$AZ$41)^O$168</f>
        <v>689.81426748099113</v>
      </c>
      <c r="P172" s="106">
        <f>VLOOKUP($A172,'VKT US'!$B$63:$AA$113,(P$168+1),FALSE)/VLOOKUP($A172,'Fuel economy adjusted factor'!$A$2:$F$52,6,FALSE)*INDEX('Year data'!$B$111:$AC$161,MATCH($A172,'Year data'!$A$111:$A$161,0),MATCH('TCO Inputs'!$AZ$12,'Year data'!$B$110:$AC$110,0))/(1+$AZ$41)^P$168</f>
        <v>664.79535742971643</v>
      </c>
      <c r="Q172" s="106">
        <f>VLOOKUP($A172,'VKT US'!$B$63:$AA$113,(Q$168+1),FALSE)/VLOOKUP($A172,'Fuel economy adjusted factor'!$A$2:$F$52,6,FALSE)*INDEX('Year data'!$B$111:$AC$161,MATCH($A172,'Year data'!$A$111:$A$161,0),MATCH('TCO Inputs'!$AZ$12,'Year data'!$B$110:$AC$110,0))/(1+$AZ$41)^Q$168</f>
        <v>641.33039261190493</v>
      </c>
      <c r="R172" s="106">
        <f>VLOOKUP($A172,'VKT US'!$B$63:$AA$113,(R$168+1),FALSE)/VLOOKUP($A172,'Fuel economy adjusted factor'!$A$2:$F$52,6,FALSE)*INDEX('Year data'!$B$111:$AC$161,MATCH($A172,'Year data'!$A$111:$A$161,0),MATCH('TCO Inputs'!$AZ$12,'Year data'!$B$110:$AC$110,0))/(1+$AZ$41)^R$168</f>
        <v>619.16448518633888</v>
      </c>
      <c r="S172" s="106">
        <f>VLOOKUP($A172,'VKT US'!$B$63:$AA$113,(S$168+1),FALSE)/VLOOKUP($A172,'Fuel economy adjusted factor'!$A$2:$F$52,6,FALSE)*INDEX('Year data'!$B$111:$AC$161,MATCH($A172,'Year data'!$A$111:$A$161,0),MATCH('TCO Inputs'!$AZ$12,'Year data'!$B$110:$AC$110,0))/(1+$AZ$41)^S$168</f>
        <v>598.46674715219388</v>
      </c>
      <c r="T172" s="106">
        <f>VLOOKUP($A172,'VKT US'!$B$63:$AA$113,(T$168+1),FALSE)/VLOOKUP($A172,'Fuel economy adjusted factor'!$A$2:$F$52,6,FALSE)*INDEX('Year data'!$B$111:$AC$161,MATCH($A172,'Year data'!$A$111:$A$161,0),MATCH('TCO Inputs'!$AZ$12,'Year data'!$B$110:$AC$110,0))/(1+$AZ$41)^T$168</f>
        <v>578.98914680481198</v>
      </c>
      <c r="U172" s="106">
        <f>VLOOKUP($A172,'VKT US'!$B$63:$AA$113,(U$168+1),FALSE)/VLOOKUP($A172,'Fuel economy adjusted factor'!$A$2:$F$52,6,FALSE)*INDEX('Year data'!$B$111:$AC$161,MATCH($A172,'Year data'!$A$111:$A$161,0),MATCH('TCO Inputs'!$AZ$12,'Year data'!$B$110:$AC$110,0))/(1+$AZ$41)^U$168</f>
        <v>560.89764338214627</v>
      </c>
      <c r="V172" s="110" cm="1">
        <f t="array" ref="V172">SUMPRODUCT(INDEX(B172:U172,,_xlfn.SEQUENCE($AZ$13)))</f>
        <v>12675.710045860955</v>
      </c>
    </row>
    <row r="173" spans="1:46" x14ac:dyDescent="0.25">
      <c r="A173" s="102" t="s">
        <v>149</v>
      </c>
      <c r="B173" s="106">
        <f>VLOOKUP($A173,'VKT US'!$B$63:$AA$113,(B$168+1),FALSE)/VLOOKUP($A173,'Fuel economy adjusted factor'!$A$2:$F$52,6,FALSE)*INDEX('Year data'!$B$111:$AC$161,MATCH($A173,'Year data'!$A$111:$A$161,0),MATCH('TCO Inputs'!$AZ$12,'Year data'!$B$110:$AC$110,0))/(1+$AZ$41)^B$168</f>
        <v>1237.8934570491699</v>
      </c>
      <c r="C173" s="106">
        <f>VLOOKUP($A173,'VKT US'!$B$63:$AA$113,(C$168+1),FALSE)/VLOOKUP($A173,'Fuel economy adjusted factor'!$A$2:$F$52,6,FALSE)*INDEX('Year data'!$B$111:$AC$161,MATCH($A173,'Year data'!$A$111:$A$161,0),MATCH('TCO Inputs'!$AZ$12,'Year data'!$B$110:$AC$110,0))/(1+$AZ$41)^C$168</f>
        <v>1186.8328015546651</v>
      </c>
      <c r="D173" s="106">
        <f>VLOOKUP($A173,'VKT US'!$B$63:$AA$113,(D$168+1),FALSE)/VLOOKUP($A173,'Fuel economy adjusted factor'!$A$2:$F$52,6,FALSE)*INDEX('Year data'!$B$111:$AC$161,MATCH($A173,'Year data'!$A$111:$A$161,0),MATCH('TCO Inputs'!$AZ$12,'Year data'!$B$110:$AC$110,0))/(1+$AZ$41)^D$168</f>
        <v>1137.9433821724419</v>
      </c>
      <c r="E173" s="106">
        <f>VLOOKUP($A173,'VKT US'!$B$63:$AA$113,(E$168+1),FALSE)/VLOOKUP($A173,'Fuel economy adjusted factor'!$A$2:$F$52,6,FALSE)*INDEX('Year data'!$B$111:$AC$161,MATCH($A173,'Year data'!$A$111:$A$161,0),MATCH('TCO Inputs'!$AZ$12,'Year data'!$B$110:$AC$110,0))/(1+$AZ$41)^E$168</f>
        <v>1091.253659769176</v>
      </c>
      <c r="F173" s="106">
        <f>VLOOKUP($A173,'VKT US'!$B$63:$AA$113,(F$168+1),FALSE)/VLOOKUP($A173,'Fuel economy adjusted factor'!$A$2:$F$52,6,FALSE)*INDEX('Year data'!$B$111:$AC$161,MATCH($A173,'Year data'!$A$111:$A$161,0),MATCH('TCO Inputs'!$AZ$12,'Year data'!$B$110:$AC$110,0))/(1+$AZ$41)^F$168</f>
        <v>1046.6188260317217</v>
      </c>
      <c r="G173" s="106">
        <f>VLOOKUP($A173,'VKT US'!$B$63:$AA$113,(G$168+1),FALSE)/VLOOKUP($A173,'Fuel economy adjusted factor'!$A$2:$F$52,6,FALSE)*INDEX('Year data'!$B$111:$AC$161,MATCH($A173,'Year data'!$A$111:$A$161,0),MATCH('TCO Inputs'!$AZ$12,'Year data'!$B$110:$AC$110,0))/(1+$AZ$41)^G$168</f>
        <v>1004.1519623585956</v>
      </c>
      <c r="H173" s="106">
        <f>VLOOKUP($A173,'VKT US'!$B$63:$AA$113,(H$168+1),FALSE)/VLOOKUP($A173,'Fuel economy adjusted factor'!$A$2:$F$52,6,FALSE)*INDEX('Year data'!$B$111:$AC$161,MATCH($A173,'Year data'!$A$111:$A$161,0),MATCH('TCO Inputs'!$AZ$12,'Year data'!$B$110:$AC$110,0))/(1+$AZ$41)^H$168</f>
        <v>963.54337602805538</v>
      </c>
      <c r="I173" s="106">
        <f>VLOOKUP($A173,'VKT US'!$B$63:$AA$113,(I$168+1),FALSE)/VLOOKUP($A173,'Fuel economy adjusted factor'!$A$2:$F$52,6,FALSE)*INDEX('Year data'!$B$111:$AC$161,MATCH($A173,'Year data'!$A$111:$A$161,0),MATCH('TCO Inputs'!$AZ$12,'Year data'!$B$110:$AC$110,0))/(1+$AZ$41)^I$168</f>
        <v>924.90754391368932</v>
      </c>
      <c r="J173" s="106">
        <f>VLOOKUP($A173,'VKT US'!$B$63:$AA$113,(J$168+1),FALSE)/VLOOKUP($A173,'Fuel economy adjusted factor'!$A$2:$F$52,6,FALSE)*INDEX('Year data'!$B$111:$AC$161,MATCH($A173,'Year data'!$A$111:$A$161,0),MATCH('TCO Inputs'!$AZ$12,'Year data'!$B$110:$AC$110,0))/(1+$AZ$41)^J$168</f>
        <v>888.18974414854642</v>
      </c>
      <c r="K173" s="106">
        <f>VLOOKUP($A173,'VKT US'!$B$63:$AA$113,(K$168+1),FALSE)/VLOOKUP($A173,'Fuel economy adjusted factor'!$A$2:$F$52,6,FALSE)*INDEX('Year data'!$B$111:$AC$161,MATCH($A173,'Year data'!$A$111:$A$161,0),MATCH('TCO Inputs'!$AZ$12,'Year data'!$B$110:$AC$110,0))/(1+$AZ$41)^K$168</f>
        <v>853.33643705958343</v>
      </c>
      <c r="L173" s="106">
        <f>VLOOKUP($A173,'VKT US'!$B$63:$AA$113,(L$168+1),FALSE)/VLOOKUP($A173,'Fuel economy adjusted factor'!$A$2:$F$52,6,FALSE)*INDEX('Year data'!$B$111:$AC$161,MATCH($A173,'Year data'!$A$111:$A$161,0),MATCH('TCO Inputs'!$AZ$12,'Year data'!$B$110:$AC$110,0))/(1+$AZ$41)^L$168</f>
        <v>820.21592602002863</v>
      </c>
      <c r="M173" s="106">
        <f>VLOOKUP($A173,'VKT US'!$B$63:$AA$113,(M$168+1),FALSE)/VLOOKUP($A173,'Fuel economy adjusted factor'!$A$2:$F$52,6,FALSE)*INDEX('Year data'!$B$111:$AC$161,MATCH($A173,'Year data'!$A$111:$A$161,0),MATCH('TCO Inputs'!$AZ$12,'Year data'!$B$110:$AC$110,0))/(1+$AZ$41)^M$168</f>
        <v>788.85816726614428</v>
      </c>
      <c r="N173" s="106">
        <f>VLOOKUP($A173,'VKT US'!$B$63:$AA$113,(N$168+1),FALSE)/VLOOKUP($A173,'Fuel economy adjusted factor'!$A$2:$F$52,6,FALSE)*INDEX('Year data'!$B$111:$AC$161,MATCH($A173,'Year data'!$A$111:$A$161,0),MATCH('TCO Inputs'!$AZ$12,'Year data'!$B$110:$AC$110,0))/(1+$AZ$41)^N$168</f>
        <v>759.13555520959085</v>
      </c>
      <c r="O173" s="106">
        <f>VLOOKUP($A173,'VKT US'!$B$63:$AA$113,(O$168+1),FALSE)/VLOOKUP($A173,'Fuel economy adjusted factor'!$A$2:$F$52,6,FALSE)*INDEX('Year data'!$B$111:$AC$161,MATCH($A173,'Year data'!$A$111:$A$161,0),MATCH('TCO Inputs'!$AZ$12,'Year data'!$B$110:$AC$110,0))/(1+$AZ$41)^O$168</f>
        <v>731.07831092360175</v>
      </c>
      <c r="P173" s="106">
        <f>VLOOKUP($A173,'VKT US'!$B$63:$AA$113,(P$168+1),FALSE)/VLOOKUP($A173,'Fuel economy adjusted factor'!$A$2:$F$52,6,FALSE)*INDEX('Year data'!$B$111:$AC$161,MATCH($A173,'Year data'!$A$111:$A$161,0),MATCH('TCO Inputs'!$AZ$12,'Year data'!$B$110:$AC$110,0))/(1+$AZ$41)^P$168</f>
        <v>704.56279310424952</v>
      </c>
      <c r="Q173" s="106">
        <f>VLOOKUP($A173,'VKT US'!$B$63:$AA$113,(Q$168+1),FALSE)/VLOOKUP($A173,'Fuel economy adjusted factor'!$A$2:$F$52,6,FALSE)*INDEX('Year data'!$B$111:$AC$161,MATCH($A173,'Year data'!$A$111:$A$161,0),MATCH('TCO Inputs'!$AZ$12,'Year data'!$B$110:$AC$110,0))/(1+$AZ$41)^Q$168</f>
        <v>679.69417606689615</v>
      </c>
      <c r="R173" s="106">
        <f>VLOOKUP($A173,'VKT US'!$B$63:$AA$113,(R$168+1),FALSE)/VLOOKUP($A173,'Fuel economy adjusted factor'!$A$2:$F$52,6,FALSE)*INDEX('Year data'!$B$111:$AC$161,MATCH($A173,'Year data'!$A$111:$A$161,0),MATCH('TCO Inputs'!$AZ$12,'Year data'!$B$110:$AC$110,0))/(1+$AZ$41)^R$168</f>
        <v>656.202324818374</v>
      </c>
      <c r="S173" s="106">
        <f>VLOOKUP($A173,'VKT US'!$B$63:$AA$113,(S$168+1),FALSE)/VLOOKUP($A173,'Fuel economy adjusted factor'!$A$2:$F$52,6,FALSE)*INDEX('Year data'!$B$111:$AC$161,MATCH($A173,'Year data'!$A$111:$A$161,0),MATCH('TCO Inputs'!$AZ$12,'Year data'!$B$110:$AC$110,0))/(1+$AZ$41)^S$168</f>
        <v>634.26646747926941</v>
      </c>
      <c r="T173" s="106">
        <f>VLOOKUP($A173,'VKT US'!$B$63:$AA$113,(T$168+1),FALSE)/VLOOKUP($A173,'Fuel economy adjusted factor'!$A$2:$F$52,6,FALSE)*INDEX('Year data'!$B$111:$AC$161,MATCH($A173,'Year data'!$A$111:$A$161,0),MATCH('TCO Inputs'!$AZ$12,'Year data'!$B$110:$AC$110,0))/(1+$AZ$41)^T$168</f>
        <v>613.62373532064339</v>
      </c>
      <c r="U173" s="106">
        <f>VLOOKUP($A173,'VKT US'!$B$63:$AA$113,(U$168+1),FALSE)/VLOOKUP($A173,'Fuel economy adjusted factor'!$A$2:$F$52,6,FALSE)*INDEX('Year data'!$B$111:$AC$161,MATCH($A173,'Year data'!$A$111:$A$161,0),MATCH('TCO Inputs'!$AZ$12,'Year data'!$B$110:$AC$110,0))/(1+$AZ$41)^U$168</f>
        <v>594.45001510663576</v>
      </c>
      <c r="V173" s="110" cm="1">
        <f t="array" ref="V173">SUMPRODUCT(INDEX(B173:U173,,_xlfn.SEQUENCE($AZ$13)))</f>
        <v>13433.959149505008</v>
      </c>
    </row>
    <row r="174" spans="1:46" x14ac:dyDescent="0.25">
      <c r="A174" s="102" t="s">
        <v>190</v>
      </c>
      <c r="B174" s="106">
        <f>VLOOKUP($A174,'VKT US'!$B$63:$AA$113,(B$168+1),FALSE)/VLOOKUP($A174,'Fuel economy adjusted factor'!$A$2:$F$52,6,FALSE)*INDEX('Year data'!$B$111:$AC$161,MATCH($A174,'Year data'!$A$111:$A$161,0),MATCH('TCO Inputs'!$AZ$12,'Year data'!$B$110:$AC$110,0))/(1+$AZ$41)^B$168</f>
        <v>1045.9038260950138</v>
      </c>
      <c r="C174" s="106">
        <f>VLOOKUP($A174,'VKT US'!$B$63:$AA$113,(C$168+1),FALSE)/VLOOKUP($A174,'Fuel economy adjusted factor'!$A$2:$F$52,6,FALSE)*INDEX('Year data'!$B$111:$AC$161,MATCH($A174,'Year data'!$A$111:$A$161,0),MATCH('TCO Inputs'!$AZ$12,'Year data'!$B$110:$AC$110,0))/(1+$AZ$41)^C$168</f>
        <v>1002.7623629581742</v>
      </c>
      <c r="D174" s="106">
        <f>VLOOKUP($A174,'VKT US'!$B$63:$AA$113,(D$168+1),FALSE)/VLOOKUP($A174,'Fuel economy adjusted factor'!$A$2:$F$52,6,FALSE)*INDEX('Year data'!$B$111:$AC$161,MATCH($A174,'Year data'!$A$111:$A$161,0),MATCH('TCO Inputs'!$AZ$12,'Year data'!$B$110:$AC$110,0))/(1+$AZ$41)^D$168</f>
        <v>961.45539062040837</v>
      </c>
      <c r="E174" s="106">
        <f>VLOOKUP($A174,'VKT US'!$B$63:$AA$113,(E$168+1),FALSE)/VLOOKUP($A174,'Fuel economy adjusted factor'!$A$2:$F$52,6,FALSE)*INDEX('Year data'!$B$111:$AC$161,MATCH($A174,'Year data'!$A$111:$A$161,0),MATCH('TCO Inputs'!$AZ$12,'Year data'!$B$110:$AC$110,0))/(1+$AZ$41)^E$168</f>
        <v>922.00695584372306</v>
      </c>
      <c r="F174" s="106">
        <f>VLOOKUP($A174,'VKT US'!$B$63:$AA$113,(F$168+1),FALSE)/VLOOKUP($A174,'Fuel economy adjusted factor'!$A$2:$F$52,6,FALSE)*INDEX('Year data'!$B$111:$AC$161,MATCH($A174,'Year data'!$A$111:$A$161,0),MATCH('TCO Inputs'!$AZ$12,'Year data'!$B$110:$AC$110,0))/(1+$AZ$41)^F$168</f>
        <v>884.29470919012101</v>
      </c>
      <c r="G174" s="106">
        <f>VLOOKUP($A174,'VKT US'!$B$63:$AA$113,(G$168+1),FALSE)/VLOOKUP($A174,'Fuel economy adjusted factor'!$A$2:$F$52,6,FALSE)*INDEX('Year data'!$B$111:$AC$161,MATCH($A174,'Year data'!$A$111:$A$161,0),MATCH('TCO Inputs'!$AZ$12,'Year data'!$B$110:$AC$110,0))/(1+$AZ$41)^G$168</f>
        <v>848.41419383150924</v>
      </c>
      <c r="H174" s="106">
        <f>VLOOKUP($A174,'VKT US'!$B$63:$AA$113,(H$168+1),FALSE)/VLOOKUP($A174,'Fuel economy adjusted factor'!$A$2:$F$52,6,FALSE)*INDEX('Year data'!$B$111:$AC$161,MATCH($A174,'Year data'!$A$111:$A$161,0),MATCH('TCO Inputs'!$AZ$12,'Year data'!$B$110:$AC$110,0))/(1+$AZ$41)^H$168</f>
        <v>814.10374847487378</v>
      </c>
      <c r="I174" s="106">
        <f>VLOOKUP($A174,'VKT US'!$B$63:$AA$113,(I$168+1),FALSE)/VLOOKUP($A174,'Fuel economy adjusted factor'!$A$2:$F$52,6,FALSE)*INDEX('Year data'!$B$111:$AC$161,MATCH($A174,'Year data'!$A$111:$A$161,0),MATCH('TCO Inputs'!$AZ$12,'Year data'!$B$110:$AC$110,0))/(1+$AZ$41)^I$168</f>
        <v>781.46009533762754</v>
      </c>
      <c r="J174" s="106">
        <f>VLOOKUP($A174,'VKT US'!$B$63:$AA$113,(J$168+1),FALSE)/VLOOKUP($A174,'Fuel economy adjusted factor'!$A$2:$F$52,6,FALSE)*INDEX('Year data'!$B$111:$AC$161,MATCH($A174,'Year data'!$A$111:$A$161,0),MATCH('TCO Inputs'!$AZ$12,'Year data'!$B$110:$AC$110,0))/(1+$AZ$41)^J$168</f>
        <v>750.43699957646459</v>
      </c>
      <c r="K174" s="106">
        <f>VLOOKUP($A174,'VKT US'!$B$63:$AA$113,(K$168+1),FALSE)/VLOOKUP($A174,'Fuel economy adjusted factor'!$A$2:$F$52,6,FALSE)*INDEX('Year data'!$B$111:$AC$161,MATCH($A174,'Year data'!$A$111:$A$161,0),MATCH('TCO Inputs'!$AZ$12,'Year data'!$B$110:$AC$110,0))/(1+$AZ$41)^K$168</f>
        <v>720.98922519101257</v>
      </c>
      <c r="L174" s="106">
        <f>VLOOKUP($A174,'VKT US'!$B$63:$AA$113,(L$168+1),FALSE)/VLOOKUP($A174,'Fuel economy adjusted factor'!$A$2:$F$52,6,FALSE)*INDEX('Year data'!$B$111:$AC$161,MATCH($A174,'Year data'!$A$111:$A$161,0),MATCH('TCO Inputs'!$AZ$12,'Year data'!$B$110:$AC$110,0))/(1+$AZ$41)^L$168</f>
        <v>693.0055008880604</v>
      </c>
      <c r="M174" s="106">
        <f>VLOOKUP($A174,'VKT US'!$B$63:$AA$113,(M$168+1),FALSE)/VLOOKUP($A174,'Fuel economy adjusted factor'!$A$2:$F$52,6,FALSE)*INDEX('Year data'!$B$111:$AC$161,MATCH($A174,'Year data'!$A$111:$A$161,0),MATCH('TCO Inputs'!$AZ$12,'Year data'!$B$110:$AC$110,0))/(1+$AZ$41)^M$168</f>
        <v>666.51113687661098</v>
      </c>
      <c r="N174" s="106">
        <f>VLOOKUP($A174,'VKT US'!$B$63:$AA$113,(N$168+1),FALSE)/VLOOKUP($A174,'Fuel economy adjusted factor'!$A$2:$F$52,6,FALSE)*INDEX('Year data'!$B$111:$AC$161,MATCH($A174,'Year data'!$A$111:$A$161,0),MATCH('TCO Inputs'!$AZ$12,'Year data'!$B$110:$AC$110,0))/(1+$AZ$41)^N$168</f>
        <v>641.39831840708746</v>
      </c>
      <c r="O174" s="106">
        <f>VLOOKUP($A174,'VKT US'!$B$63:$AA$113,(O$168+1),FALSE)/VLOOKUP($A174,'Fuel economy adjusted factor'!$A$2:$F$52,6,FALSE)*INDEX('Year data'!$B$111:$AC$161,MATCH($A174,'Year data'!$A$111:$A$161,0),MATCH('TCO Inputs'!$AZ$12,'Year data'!$B$110:$AC$110,0))/(1+$AZ$41)^O$168</f>
        <v>617.69257945088498</v>
      </c>
      <c r="P174" s="106">
        <f>VLOOKUP($A174,'VKT US'!$B$63:$AA$113,(P$168+1),FALSE)/VLOOKUP($A174,'Fuel economy adjusted factor'!$A$2:$F$52,6,FALSE)*INDEX('Year data'!$B$111:$AC$161,MATCH($A174,'Year data'!$A$111:$A$161,0),MATCH('TCO Inputs'!$AZ$12,'Year data'!$B$110:$AC$110,0))/(1+$AZ$41)^P$168</f>
        <v>595.28945470680674</v>
      </c>
      <c r="Q174" s="106">
        <f>VLOOKUP($A174,'VKT US'!$B$63:$AA$113,(Q$168+1),FALSE)/VLOOKUP($A174,'Fuel economy adjusted factor'!$A$2:$F$52,6,FALSE)*INDEX('Year data'!$B$111:$AC$161,MATCH($A174,'Year data'!$A$111:$A$161,0),MATCH('TCO Inputs'!$AZ$12,'Year data'!$B$110:$AC$110,0))/(1+$AZ$41)^Q$168</f>
        <v>574.27780660337339</v>
      </c>
      <c r="R174" s="106">
        <f>VLOOKUP($A174,'VKT US'!$B$63:$AA$113,(R$168+1),FALSE)/VLOOKUP($A174,'Fuel economy adjusted factor'!$A$2:$F$52,6,FALSE)*INDEX('Year data'!$B$111:$AC$161,MATCH($A174,'Year data'!$A$111:$A$161,0),MATCH('TCO Inputs'!$AZ$12,'Year data'!$B$110:$AC$110,0))/(1+$AZ$41)^R$168</f>
        <v>554.42939641672172</v>
      </c>
      <c r="S174" s="106">
        <f>VLOOKUP($A174,'VKT US'!$B$63:$AA$113,(S$168+1),FALSE)/VLOOKUP($A174,'Fuel economy adjusted factor'!$A$2:$F$52,6,FALSE)*INDEX('Year data'!$B$111:$AC$161,MATCH($A174,'Year data'!$A$111:$A$161,0),MATCH('TCO Inputs'!$AZ$12,'Year data'!$B$110:$AC$110,0))/(1+$AZ$41)^S$168</f>
        <v>535.89565509270358</v>
      </c>
      <c r="T174" s="106">
        <f>VLOOKUP($A174,'VKT US'!$B$63:$AA$113,(T$168+1),FALSE)/VLOOKUP($A174,'Fuel economy adjusted factor'!$A$2:$F$52,6,FALSE)*INDEX('Year data'!$B$111:$AC$161,MATCH($A174,'Year data'!$A$111:$A$161,0),MATCH('TCO Inputs'!$AZ$12,'Year data'!$B$110:$AC$110,0))/(1+$AZ$41)^T$168</f>
        <v>518.45448321897265</v>
      </c>
      <c r="U174" s="106">
        <f>VLOOKUP($A174,'VKT US'!$B$63:$AA$113,(U$168+1),FALSE)/VLOOKUP($A174,'Fuel economy adjusted factor'!$A$2:$F$52,6,FALSE)*INDEX('Year data'!$B$111:$AC$161,MATCH($A174,'Year data'!$A$111:$A$161,0),MATCH('TCO Inputs'!$AZ$12,'Year data'!$B$110:$AC$110,0))/(1+$AZ$41)^U$168</f>
        <v>502.2544886086859</v>
      </c>
      <c r="V174" s="110" cm="1">
        <f t="array" ref="V174">SUMPRODUCT(INDEX(B174:U174,,_xlfn.SEQUENCE($AZ$13)))</f>
        <v>11350.43504274157</v>
      </c>
    </row>
    <row r="175" spans="1:46" x14ac:dyDescent="0.25">
      <c r="A175" s="102" t="s">
        <v>191</v>
      </c>
      <c r="B175" s="106">
        <f>VLOOKUP($A175,'VKT US'!$B$63:$AA$113,(B$168+1),FALSE)/VLOOKUP($A175,'Fuel economy adjusted factor'!$A$2:$F$52,6,FALSE)*INDEX('Year data'!$B$111:$AC$161,MATCH($A175,'Year data'!$A$111:$A$161,0),MATCH('TCO Inputs'!$AZ$12,'Year data'!$B$110:$AC$110,0))/(1+$AZ$41)^B$168</f>
        <v>937.86442350458708</v>
      </c>
      <c r="C175" s="106">
        <f>VLOOKUP($A175,'VKT US'!$B$63:$AA$113,(C$168+1),FALSE)/VLOOKUP($A175,'Fuel economy adjusted factor'!$A$2:$F$52,6,FALSE)*INDEX('Year data'!$B$111:$AC$161,MATCH($A175,'Year data'!$A$111:$A$161,0),MATCH('TCO Inputs'!$AZ$12,'Year data'!$B$110:$AC$110,0))/(1+$AZ$41)^C$168</f>
        <v>899.17937193054183</v>
      </c>
      <c r="D175" s="106">
        <f>VLOOKUP($A175,'VKT US'!$B$63:$AA$113,(D$168+1),FALSE)/VLOOKUP($A175,'Fuel economy adjusted factor'!$A$2:$F$52,6,FALSE)*INDEX('Year data'!$B$111:$AC$161,MATCH($A175,'Year data'!$A$111:$A$161,0),MATCH('TCO Inputs'!$AZ$12,'Year data'!$B$110:$AC$110,0))/(1+$AZ$41)^D$168</f>
        <v>862.13931257544846</v>
      </c>
      <c r="E175" s="106">
        <f>VLOOKUP($A175,'VKT US'!$B$63:$AA$113,(E$168+1),FALSE)/VLOOKUP($A175,'Fuel economy adjusted factor'!$A$2:$F$52,6,FALSE)*INDEX('Year data'!$B$111:$AC$161,MATCH($A175,'Year data'!$A$111:$A$161,0),MATCH('TCO Inputs'!$AZ$12,'Year data'!$B$110:$AC$110,0))/(1+$AZ$41)^E$168</f>
        <v>826.76580822741755</v>
      </c>
      <c r="F175" s="106">
        <f>VLOOKUP($A175,'VKT US'!$B$63:$AA$113,(F$168+1),FALSE)/VLOOKUP($A175,'Fuel economy adjusted factor'!$A$2:$F$52,6,FALSE)*INDEX('Year data'!$B$111:$AC$161,MATCH($A175,'Year data'!$A$111:$A$161,0),MATCH('TCO Inputs'!$AZ$12,'Year data'!$B$110:$AC$110,0))/(1+$AZ$41)^F$168</f>
        <v>792.94914785731748</v>
      </c>
      <c r="G175" s="106">
        <f>VLOOKUP($A175,'VKT US'!$B$63:$AA$113,(G$168+1),FALSE)/VLOOKUP($A175,'Fuel economy adjusted factor'!$A$2:$F$52,6,FALSE)*INDEX('Year data'!$B$111:$AC$161,MATCH($A175,'Year data'!$A$111:$A$161,0),MATCH('TCO Inputs'!$AZ$12,'Year data'!$B$110:$AC$110,0))/(1+$AZ$41)^G$168</f>
        <v>760.77500525235973</v>
      </c>
      <c r="H175" s="106">
        <f>VLOOKUP($A175,'VKT US'!$B$63:$AA$113,(H$168+1),FALSE)/VLOOKUP($A175,'Fuel economy adjusted factor'!$A$2:$F$52,6,FALSE)*INDEX('Year data'!$B$111:$AC$161,MATCH($A175,'Year data'!$A$111:$A$161,0),MATCH('TCO Inputs'!$AZ$12,'Year data'!$B$110:$AC$110,0))/(1+$AZ$41)^H$168</f>
        <v>730.00874811500114</v>
      </c>
      <c r="I175" s="106">
        <f>VLOOKUP($A175,'VKT US'!$B$63:$AA$113,(I$168+1),FALSE)/VLOOKUP($A175,'Fuel economy adjusted factor'!$A$2:$F$52,6,FALSE)*INDEX('Year data'!$B$111:$AC$161,MATCH($A175,'Year data'!$A$111:$A$161,0),MATCH('TCO Inputs'!$AZ$12,'Year data'!$B$110:$AC$110,0))/(1+$AZ$41)^I$168</f>
        <v>700.73710748533381</v>
      </c>
      <c r="J175" s="106">
        <f>VLOOKUP($A175,'VKT US'!$B$63:$AA$113,(J$168+1),FALSE)/VLOOKUP($A175,'Fuel economy adjusted factor'!$A$2:$F$52,6,FALSE)*INDEX('Year data'!$B$111:$AC$161,MATCH($A175,'Year data'!$A$111:$A$161,0),MATCH('TCO Inputs'!$AZ$12,'Year data'!$B$110:$AC$110,0))/(1+$AZ$41)^J$168</f>
        <v>672.91862447050289</v>
      </c>
      <c r="K175" s="106">
        <f>VLOOKUP($A175,'VKT US'!$B$63:$AA$113,(K$168+1),FALSE)/VLOOKUP($A175,'Fuel economy adjusted factor'!$A$2:$F$52,6,FALSE)*INDEX('Year data'!$B$111:$AC$161,MATCH($A175,'Year data'!$A$111:$A$161,0),MATCH('TCO Inputs'!$AZ$12,'Year data'!$B$110:$AC$110,0))/(1+$AZ$41)^K$168</f>
        <v>646.51273584246383</v>
      </c>
      <c r="L175" s="106">
        <f>VLOOKUP($A175,'VKT US'!$B$63:$AA$113,(L$168+1),FALSE)/VLOOKUP($A175,'Fuel economy adjusted factor'!$A$2:$F$52,6,FALSE)*INDEX('Year data'!$B$111:$AC$161,MATCH($A175,'Year data'!$A$111:$A$161,0),MATCH('TCO Inputs'!$AZ$12,'Year data'!$B$110:$AC$110,0))/(1+$AZ$41)^L$168</f>
        <v>621.41966437059841</v>
      </c>
      <c r="M175" s="106">
        <f>VLOOKUP($A175,'VKT US'!$B$63:$AA$113,(M$168+1),FALSE)/VLOOKUP($A175,'Fuel economy adjusted factor'!$A$2:$F$52,6,FALSE)*INDEX('Year data'!$B$111:$AC$161,MATCH($A175,'Year data'!$A$111:$A$161,0),MATCH('TCO Inputs'!$AZ$12,'Year data'!$B$110:$AC$110,0))/(1+$AZ$41)^M$168</f>
        <v>597.66210577891457</v>
      </c>
      <c r="N175" s="106">
        <f>VLOOKUP($A175,'VKT US'!$B$63:$AA$113,(N$168+1),FALSE)/VLOOKUP($A175,'Fuel economy adjusted factor'!$A$2:$F$52,6,FALSE)*INDEX('Year data'!$B$111:$AC$161,MATCH($A175,'Year data'!$A$111:$A$161,0),MATCH('TCO Inputs'!$AZ$12,'Year data'!$B$110:$AC$110,0))/(1+$AZ$41)^N$168</f>
        <v>575.14338232760986</v>
      </c>
      <c r="O175" s="106">
        <f>VLOOKUP($A175,'VKT US'!$B$63:$AA$113,(O$168+1),FALSE)/VLOOKUP($A175,'Fuel economy adjusted factor'!$A$2:$F$52,6,FALSE)*INDEX('Year data'!$B$111:$AC$161,MATCH($A175,'Year data'!$A$111:$A$161,0),MATCH('TCO Inputs'!$AZ$12,'Year data'!$B$110:$AC$110,0))/(1+$AZ$41)^O$168</f>
        <v>553.88639038895599</v>
      </c>
      <c r="P175" s="106">
        <f>VLOOKUP($A175,'VKT US'!$B$63:$AA$113,(P$168+1),FALSE)/VLOOKUP($A175,'Fuel economy adjusted factor'!$A$2:$F$52,6,FALSE)*INDEX('Year data'!$B$111:$AC$161,MATCH($A175,'Year data'!$A$111:$A$161,0),MATCH('TCO Inputs'!$AZ$12,'Year data'!$B$110:$AC$110,0))/(1+$AZ$41)^P$168</f>
        <v>533.79745568139947</v>
      </c>
      <c r="Q175" s="106">
        <f>VLOOKUP($A175,'VKT US'!$B$63:$AA$113,(Q$168+1),FALSE)/VLOOKUP($A175,'Fuel economy adjusted factor'!$A$2:$F$52,6,FALSE)*INDEX('Year data'!$B$111:$AC$161,MATCH($A175,'Year data'!$A$111:$A$161,0),MATCH('TCO Inputs'!$AZ$12,'Year data'!$B$110:$AC$110,0))/(1+$AZ$41)^Q$168</f>
        <v>514.9562613538269</v>
      </c>
      <c r="R175" s="106">
        <f>VLOOKUP($A175,'VKT US'!$B$63:$AA$113,(R$168+1),FALSE)/VLOOKUP($A175,'Fuel economy adjusted factor'!$A$2:$F$52,6,FALSE)*INDEX('Year data'!$B$111:$AC$161,MATCH($A175,'Year data'!$A$111:$A$161,0),MATCH('TCO Inputs'!$AZ$12,'Year data'!$B$110:$AC$110,0))/(1+$AZ$41)^R$168</f>
        <v>497.15814520514806</v>
      </c>
      <c r="S175" s="106">
        <f>VLOOKUP($A175,'VKT US'!$B$63:$AA$113,(S$168+1),FALSE)/VLOOKUP($A175,'Fuel economy adjusted factor'!$A$2:$F$52,6,FALSE)*INDEX('Year data'!$B$111:$AC$161,MATCH($A175,'Year data'!$A$111:$A$161,0),MATCH('TCO Inputs'!$AZ$12,'Year data'!$B$110:$AC$110,0))/(1+$AZ$41)^S$168</f>
        <v>480.53889572106186</v>
      </c>
      <c r="T175" s="106">
        <f>VLOOKUP($A175,'VKT US'!$B$63:$AA$113,(T$168+1),FALSE)/VLOOKUP($A175,'Fuel economy adjusted factor'!$A$2:$F$52,6,FALSE)*INDEX('Year data'!$B$111:$AC$161,MATCH($A175,'Year data'!$A$111:$A$161,0),MATCH('TCO Inputs'!$AZ$12,'Year data'!$B$110:$AC$110,0))/(1+$AZ$41)^T$168</f>
        <v>464.89935583557042</v>
      </c>
      <c r="U175" s="106">
        <f>VLOOKUP($A175,'VKT US'!$B$63:$AA$113,(U$168+1),FALSE)/VLOOKUP($A175,'Fuel economy adjusted factor'!$A$2:$F$52,6,FALSE)*INDEX('Year data'!$B$111:$AC$161,MATCH($A175,'Year data'!$A$111:$A$161,0),MATCH('TCO Inputs'!$AZ$12,'Year data'!$B$110:$AC$110,0))/(1+$AZ$41)^U$168</f>
        <v>450.37278252463796</v>
      </c>
      <c r="V175" s="110" cm="1">
        <f t="array" ref="V175">SUMPRODUCT(INDEX(B175:U175,,_xlfn.SEQUENCE($AZ$13)))</f>
        <v>10177.96182812705</v>
      </c>
    </row>
    <row r="176" spans="1:46" x14ac:dyDescent="0.25">
      <c r="A176" s="102" t="s">
        <v>192</v>
      </c>
      <c r="B176" s="106">
        <f>VLOOKUP($A176,'VKT US'!$B$63:$AA$113,(B$168+1),FALSE)/VLOOKUP($A176,'Fuel economy adjusted factor'!$A$2:$F$52,6,FALSE)*INDEX('Year data'!$B$111:$AC$161,MATCH($A176,'Year data'!$A$111:$A$161,0),MATCH('TCO Inputs'!$AZ$12,'Year data'!$B$110:$AC$110,0))/(1+$AZ$41)^B$168</f>
        <v>991.18803749856647</v>
      </c>
      <c r="C176" s="106">
        <f>VLOOKUP($A176,'VKT US'!$B$63:$AA$113,(C$168+1),FALSE)/VLOOKUP($A176,'Fuel economy adjusted factor'!$A$2:$F$52,6,FALSE)*INDEX('Year data'!$B$111:$AC$161,MATCH($A176,'Year data'!$A$111:$A$161,0),MATCH('TCO Inputs'!$AZ$12,'Year data'!$B$110:$AC$110,0))/(1+$AZ$41)^C$168</f>
        <v>950.30349236684572</v>
      </c>
      <c r="D176" s="106">
        <f>VLOOKUP($A176,'VKT US'!$B$63:$AA$113,(D$168+1),FALSE)/VLOOKUP($A176,'Fuel economy adjusted factor'!$A$2:$F$52,6,FALSE)*INDEX('Year data'!$B$111:$AC$161,MATCH($A176,'Year data'!$A$111:$A$161,0),MATCH('TCO Inputs'!$AZ$12,'Year data'!$B$110:$AC$110,0))/(1+$AZ$41)^D$168</f>
        <v>911.15746782332508</v>
      </c>
      <c r="E176" s="106">
        <f>VLOOKUP($A176,'VKT US'!$B$63:$AA$113,(E$168+1),FALSE)/VLOOKUP($A176,'Fuel economy adjusted factor'!$A$2:$F$52,6,FALSE)*INDEX('Year data'!$B$111:$AC$161,MATCH($A176,'Year data'!$A$111:$A$161,0),MATCH('TCO Inputs'!$AZ$12,'Year data'!$B$110:$AC$110,0))/(1+$AZ$41)^E$168</f>
        <v>873.77275263906211</v>
      </c>
      <c r="F176" s="106">
        <f>VLOOKUP($A176,'VKT US'!$B$63:$AA$113,(F$168+1),FALSE)/VLOOKUP($A176,'Fuel economy adjusted factor'!$A$2:$F$52,6,FALSE)*INDEX('Year data'!$B$111:$AC$161,MATCH($A176,'Year data'!$A$111:$A$161,0),MATCH('TCO Inputs'!$AZ$12,'Year data'!$B$110:$AC$110,0))/(1+$AZ$41)^F$168</f>
        <v>838.03339800852484</v>
      </c>
      <c r="G176" s="106">
        <f>VLOOKUP($A176,'VKT US'!$B$63:$AA$113,(G$168+1),FALSE)/VLOOKUP($A176,'Fuel economy adjusted factor'!$A$2:$F$52,6,FALSE)*INDEX('Year data'!$B$111:$AC$161,MATCH($A176,'Year data'!$A$111:$A$161,0),MATCH('TCO Inputs'!$AZ$12,'Year data'!$B$110:$AC$110,0))/(1+$AZ$41)^G$168</f>
        <v>804.02994882379176</v>
      </c>
      <c r="H176" s="106">
        <f>VLOOKUP($A176,'VKT US'!$B$63:$AA$113,(H$168+1),FALSE)/VLOOKUP($A176,'Fuel economy adjusted factor'!$A$2:$F$52,6,FALSE)*INDEX('Year data'!$B$111:$AC$161,MATCH($A176,'Year data'!$A$111:$A$161,0),MATCH('TCO Inputs'!$AZ$12,'Year data'!$B$110:$AC$110,0))/(1+$AZ$41)^H$168</f>
        <v>771.51443243475842</v>
      </c>
      <c r="I176" s="106">
        <f>VLOOKUP($A176,'VKT US'!$B$63:$AA$113,(I$168+1),FALSE)/VLOOKUP($A176,'Fuel economy adjusted factor'!$A$2:$F$52,6,FALSE)*INDEX('Year data'!$B$111:$AC$161,MATCH($A176,'Year data'!$A$111:$A$161,0),MATCH('TCO Inputs'!$AZ$12,'Year data'!$B$110:$AC$110,0))/(1+$AZ$41)^I$168</f>
        <v>740.5785110979989</v>
      </c>
      <c r="J176" s="106">
        <f>VLOOKUP($A176,'VKT US'!$B$63:$AA$113,(J$168+1),FALSE)/VLOOKUP($A176,'Fuel economy adjusted factor'!$A$2:$F$52,6,FALSE)*INDEX('Year data'!$B$111:$AC$161,MATCH($A176,'Year data'!$A$111:$A$161,0),MATCH('TCO Inputs'!$AZ$12,'Year data'!$B$110:$AC$110,0))/(1+$AZ$41)^J$168</f>
        <v>711.17836871641441</v>
      </c>
      <c r="K176" s="106">
        <f>VLOOKUP($A176,'VKT US'!$B$63:$AA$113,(K$168+1),FALSE)/VLOOKUP($A176,'Fuel economy adjusted factor'!$A$2:$F$52,6,FALSE)*INDEX('Year data'!$B$111:$AC$161,MATCH($A176,'Year data'!$A$111:$A$161,0),MATCH('TCO Inputs'!$AZ$12,'Year data'!$B$110:$AC$110,0))/(1+$AZ$41)^K$168</f>
        <v>683.2711357820117</v>
      </c>
      <c r="L176" s="106">
        <f>VLOOKUP($A176,'VKT US'!$B$63:$AA$113,(L$168+1),FALSE)/VLOOKUP($A176,'Fuel economy adjusted factor'!$A$2:$F$52,6,FALSE)*INDEX('Year data'!$B$111:$AC$161,MATCH($A176,'Year data'!$A$111:$A$161,0),MATCH('TCO Inputs'!$AZ$12,'Year data'!$B$110:$AC$110,0))/(1+$AZ$41)^L$168</f>
        <v>656.75136208799688</v>
      </c>
      <c r="M176" s="106">
        <f>VLOOKUP($A176,'VKT US'!$B$63:$AA$113,(M$168+1),FALSE)/VLOOKUP($A176,'Fuel economy adjusted factor'!$A$2:$F$52,6,FALSE)*INDEX('Year data'!$B$111:$AC$161,MATCH($A176,'Year data'!$A$111:$A$161,0),MATCH('TCO Inputs'!$AZ$12,'Year data'!$B$110:$AC$110,0))/(1+$AZ$41)^M$168</f>
        <v>631.643033756004</v>
      </c>
      <c r="N176" s="106">
        <f>VLOOKUP($A176,'VKT US'!$B$63:$AA$113,(N$168+1),FALSE)/VLOOKUP($A176,'Fuel economy adjusted factor'!$A$2:$F$52,6,FALSE)*INDEX('Year data'!$B$111:$AC$161,MATCH($A176,'Year data'!$A$111:$A$161,0),MATCH('TCO Inputs'!$AZ$12,'Year data'!$B$110:$AC$110,0))/(1+$AZ$41)^N$168</f>
        <v>607.84397629600778</v>
      </c>
      <c r="O176" s="106">
        <f>VLOOKUP($A176,'VKT US'!$B$63:$AA$113,(O$168+1),FALSE)/VLOOKUP($A176,'Fuel economy adjusted factor'!$A$2:$F$52,6,FALSE)*INDEX('Year data'!$B$111:$AC$161,MATCH($A176,'Year data'!$A$111:$A$161,0),MATCH('TCO Inputs'!$AZ$12,'Year data'!$B$110:$AC$110,0))/(1+$AZ$41)^O$168</f>
        <v>585.37838788604927</v>
      </c>
      <c r="P176" s="106">
        <f>VLOOKUP($A176,'VKT US'!$B$63:$AA$113,(P$168+1),FALSE)/VLOOKUP($A176,'Fuel economy adjusted factor'!$A$2:$F$52,6,FALSE)*INDEX('Year data'!$B$111:$AC$161,MATCH($A176,'Year data'!$A$111:$A$161,0),MATCH('TCO Inputs'!$AZ$12,'Year data'!$B$110:$AC$110,0))/(1+$AZ$41)^P$168</f>
        <v>564.14726826023639</v>
      </c>
      <c r="Q176" s="106">
        <f>VLOOKUP($A176,'VKT US'!$B$63:$AA$113,(Q$168+1),FALSE)/VLOOKUP($A176,'Fuel economy adjusted factor'!$A$2:$F$52,6,FALSE)*INDEX('Year data'!$B$111:$AC$161,MATCH($A176,'Year data'!$A$111:$A$161,0),MATCH('TCO Inputs'!$AZ$12,'Year data'!$B$110:$AC$110,0))/(1+$AZ$41)^Q$168</f>
        <v>544.23483106607284</v>
      </c>
      <c r="R176" s="106">
        <f>VLOOKUP($A176,'VKT US'!$B$63:$AA$113,(R$168+1),FALSE)/VLOOKUP($A176,'Fuel economy adjusted factor'!$A$2:$F$52,6,FALSE)*INDEX('Year data'!$B$111:$AC$161,MATCH($A176,'Year data'!$A$111:$A$161,0),MATCH('TCO Inputs'!$AZ$12,'Year data'!$B$110:$AC$110,0))/(1+$AZ$41)^R$168</f>
        <v>525.42477774231088</v>
      </c>
      <c r="S176" s="106">
        <f>VLOOKUP($A176,'VKT US'!$B$63:$AA$113,(S$168+1),FALSE)/VLOOKUP($A176,'Fuel economy adjusted factor'!$A$2:$F$52,6,FALSE)*INDEX('Year data'!$B$111:$AC$161,MATCH($A176,'Year data'!$A$111:$A$161,0),MATCH('TCO Inputs'!$AZ$12,'Year data'!$B$110:$AC$110,0))/(1+$AZ$41)^S$168</f>
        <v>507.86061722188583</v>
      </c>
      <c r="T176" s="106">
        <f>VLOOKUP($A176,'VKT US'!$B$63:$AA$113,(T$168+1),FALSE)/VLOOKUP($A176,'Fuel economy adjusted factor'!$A$2:$F$52,6,FALSE)*INDEX('Year data'!$B$111:$AC$161,MATCH($A176,'Year data'!$A$111:$A$161,0),MATCH('TCO Inputs'!$AZ$12,'Year data'!$B$110:$AC$110,0))/(1+$AZ$41)^T$168</f>
        <v>491.33186908091841</v>
      </c>
      <c r="U176" s="106">
        <f>VLOOKUP($A176,'VKT US'!$B$63:$AA$113,(U$168+1),FALSE)/VLOOKUP($A176,'Fuel economy adjusted factor'!$A$2:$F$52,6,FALSE)*INDEX('Year data'!$B$111:$AC$161,MATCH($A176,'Year data'!$A$111:$A$161,0),MATCH('TCO Inputs'!$AZ$12,'Year data'!$B$110:$AC$110,0))/(1+$AZ$41)^U$168</f>
        <v>475.97936681002727</v>
      </c>
      <c r="V176" s="110" cm="1">
        <f t="array" ref="V176">SUMPRODUCT(INDEX(B176:U176,,_xlfn.SEQUENCE($AZ$13)))</f>
        <v>10756.644305217356</v>
      </c>
    </row>
    <row r="177" spans="1:22" x14ac:dyDescent="0.25">
      <c r="A177" s="102" t="s">
        <v>193</v>
      </c>
      <c r="B177" s="106">
        <f>VLOOKUP($A177,'VKT US'!$B$63:$AA$113,(B$168+1),FALSE)/VLOOKUP($A177,'Fuel economy adjusted factor'!$A$2:$F$52,6,FALSE)*INDEX('Year data'!$B$111:$AC$161,MATCH($A177,'Year data'!$A$111:$A$161,0),MATCH('TCO Inputs'!$AZ$12,'Year data'!$B$110:$AC$110,0))/(1+$AZ$41)^B$168</f>
        <v>1042.1016246802919</v>
      </c>
      <c r="C177" s="106">
        <f>VLOOKUP($A177,'VKT US'!$B$63:$AA$113,(C$168+1),FALSE)/VLOOKUP($A177,'Fuel economy adjusted factor'!$A$2:$F$52,6,FALSE)*INDEX('Year data'!$B$111:$AC$161,MATCH($A177,'Year data'!$A$111:$A$161,0),MATCH('TCO Inputs'!$AZ$12,'Year data'!$B$110:$AC$110,0))/(1+$AZ$41)^C$168</f>
        <v>999.11699482781307</v>
      </c>
      <c r="D177" s="106">
        <f>VLOOKUP($A177,'VKT US'!$B$63:$AA$113,(D$168+1),FALSE)/VLOOKUP($A177,'Fuel economy adjusted factor'!$A$2:$F$52,6,FALSE)*INDEX('Year data'!$B$111:$AC$161,MATCH($A177,'Year data'!$A$111:$A$161,0),MATCH('TCO Inputs'!$AZ$12,'Year data'!$B$110:$AC$110,0))/(1+$AZ$41)^D$168</f>
        <v>957.96018680223551</v>
      </c>
      <c r="E177" s="106">
        <f>VLOOKUP($A177,'VKT US'!$B$63:$AA$113,(E$168+1),FALSE)/VLOOKUP($A177,'Fuel economy adjusted factor'!$A$2:$F$52,6,FALSE)*INDEX('Year data'!$B$111:$AC$161,MATCH($A177,'Year data'!$A$111:$A$161,0),MATCH('TCO Inputs'!$AZ$12,'Year data'!$B$110:$AC$110,0))/(1+$AZ$41)^E$168</f>
        <v>918.65515994774557</v>
      </c>
      <c r="F177" s="106">
        <f>VLOOKUP($A177,'VKT US'!$B$63:$AA$113,(F$168+1),FALSE)/VLOOKUP($A177,'Fuel economy adjusted factor'!$A$2:$F$52,6,FALSE)*INDEX('Year data'!$B$111:$AC$161,MATCH($A177,'Year data'!$A$111:$A$161,0),MATCH('TCO Inputs'!$AZ$12,'Year data'!$B$110:$AC$110,0))/(1+$AZ$41)^F$168</f>
        <v>881.08000960644404</v>
      </c>
      <c r="G177" s="106">
        <f>VLOOKUP($A177,'VKT US'!$B$63:$AA$113,(G$168+1),FALSE)/VLOOKUP($A177,'Fuel economy adjusted factor'!$A$2:$F$52,6,FALSE)*INDEX('Year data'!$B$111:$AC$161,MATCH($A177,'Year data'!$A$111:$A$161,0),MATCH('TCO Inputs'!$AZ$12,'Year data'!$B$110:$AC$110,0))/(1+$AZ$41)^G$168</f>
        <v>845.32993161965737</v>
      </c>
      <c r="H177" s="106">
        <f>VLOOKUP($A177,'VKT US'!$B$63:$AA$113,(H$168+1),FALSE)/VLOOKUP($A177,'Fuel economy adjusted factor'!$A$2:$F$52,6,FALSE)*INDEX('Year data'!$B$111:$AC$161,MATCH($A177,'Year data'!$A$111:$A$161,0),MATCH('TCO Inputs'!$AZ$12,'Year data'!$B$110:$AC$110,0))/(1+$AZ$41)^H$168</f>
        <v>811.1442159184835</v>
      </c>
      <c r="I177" s="106">
        <f>VLOOKUP($A177,'VKT US'!$B$63:$AA$113,(I$168+1),FALSE)/VLOOKUP($A177,'Fuel economy adjusted factor'!$A$2:$F$52,6,FALSE)*INDEX('Year data'!$B$111:$AC$161,MATCH($A177,'Year data'!$A$111:$A$161,0),MATCH('TCO Inputs'!$AZ$12,'Year data'!$B$110:$AC$110,0))/(1+$AZ$41)^I$168</f>
        <v>778.61923310353973</v>
      </c>
      <c r="J177" s="106">
        <f>VLOOKUP($A177,'VKT US'!$B$63:$AA$113,(J$168+1),FALSE)/VLOOKUP($A177,'Fuel economy adjusted factor'!$A$2:$F$52,6,FALSE)*INDEX('Year data'!$B$111:$AC$161,MATCH($A177,'Year data'!$A$111:$A$161,0),MATCH('TCO Inputs'!$AZ$12,'Year data'!$B$110:$AC$110,0))/(1+$AZ$41)^J$168</f>
        <v>747.7089164102498</v>
      </c>
      <c r="K177" s="106">
        <f>VLOOKUP($A177,'VKT US'!$B$63:$AA$113,(K$168+1),FALSE)/VLOOKUP($A177,'Fuel economy adjusted factor'!$A$2:$F$52,6,FALSE)*INDEX('Year data'!$B$111:$AC$161,MATCH($A177,'Year data'!$A$111:$A$161,0),MATCH('TCO Inputs'!$AZ$12,'Year data'!$B$110:$AC$110,0))/(1+$AZ$41)^K$168</f>
        <v>718.36819428585238</v>
      </c>
      <c r="L177" s="106">
        <f>VLOOKUP($A177,'VKT US'!$B$63:$AA$113,(L$168+1),FALSE)/VLOOKUP($A177,'Fuel economy adjusted factor'!$A$2:$F$52,6,FALSE)*INDEX('Year data'!$B$111:$AC$161,MATCH($A177,'Year data'!$A$111:$A$161,0),MATCH('TCO Inputs'!$AZ$12,'Year data'!$B$110:$AC$110,0))/(1+$AZ$41)^L$168</f>
        <v>690.48619994456499</v>
      </c>
      <c r="M177" s="106">
        <f>VLOOKUP($A177,'VKT US'!$B$63:$AA$113,(M$168+1),FALSE)/VLOOKUP($A177,'Fuel economy adjusted factor'!$A$2:$F$52,6,FALSE)*INDEX('Year data'!$B$111:$AC$161,MATCH($A177,'Year data'!$A$111:$A$161,0),MATCH('TCO Inputs'!$AZ$12,'Year data'!$B$110:$AC$110,0))/(1+$AZ$41)^M$168</f>
        <v>664.08815158452944</v>
      </c>
      <c r="N177" s="106">
        <f>VLOOKUP($A177,'VKT US'!$B$63:$AA$113,(N$168+1),FALSE)/VLOOKUP($A177,'Fuel economy adjusted factor'!$A$2:$F$52,6,FALSE)*INDEX('Year data'!$B$111:$AC$161,MATCH($A177,'Year data'!$A$111:$A$161,0),MATCH('TCO Inputs'!$AZ$12,'Year data'!$B$110:$AC$110,0))/(1+$AZ$41)^N$168</f>
        <v>639.06662639793501</v>
      </c>
      <c r="O177" s="106">
        <f>VLOOKUP($A177,'VKT US'!$B$63:$AA$113,(O$168+1),FALSE)/VLOOKUP($A177,'Fuel economy adjusted factor'!$A$2:$F$52,6,FALSE)*INDEX('Year data'!$B$111:$AC$161,MATCH($A177,'Year data'!$A$111:$A$161,0),MATCH('TCO Inputs'!$AZ$12,'Year data'!$B$110:$AC$110,0))/(1+$AZ$41)^O$168</f>
        <v>615.44706553186631</v>
      </c>
      <c r="P177" s="106">
        <f>VLOOKUP($A177,'VKT US'!$B$63:$AA$113,(P$168+1),FALSE)/VLOOKUP($A177,'Fuel economy adjusted factor'!$A$2:$F$52,6,FALSE)*INDEX('Year data'!$B$111:$AC$161,MATCH($A177,'Year data'!$A$111:$A$161,0),MATCH('TCO Inputs'!$AZ$12,'Year data'!$B$110:$AC$110,0))/(1+$AZ$41)^P$168</f>
        <v>593.12538345055566</v>
      </c>
      <c r="Q177" s="106">
        <f>VLOOKUP($A177,'VKT US'!$B$63:$AA$113,(Q$168+1),FALSE)/VLOOKUP($A177,'Fuel economy adjusted factor'!$A$2:$F$52,6,FALSE)*INDEX('Year data'!$B$111:$AC$161,MATCH($A177,'Year data'!$A$111:$A$161,0),MATCH('TCO Inputs'!$AZ$12,'Year data'!$B$110:$AC$110,0))/(1+$AZ$41)^Q$168</f>
        <v>572.19011953862389</v>
      </c>
      <c r="R177" s="106">
        <f>VLOOKUP($A177,'VKT US'!$B$63:$AA$113,(R$168+1),FALSE)/VLOOKUP($A177,'Fuel economy adjusted factor'!$A$2:$F$52,6,FALSE)*INDEX('Year data'!$B$111:$AC$161,MATCH($A177,'Year data'!$A$111:$A$161,0),MATCH('TCO Inputs'!$AZ$12,'Year data'!$B$110:$AC$110,0))/(1+$AZ$41)^R$168</f>
        <v>552.41386479438358</v>
      </c>
      <c r="S177" s="106">
        <f>VLOOKUP($A177,'VKT US'!$B$63:$AA$113,(S$168+1),FALSE)/VLOOKUP($A177,'Fuel economy adjusted factor'!$A$2:$F$52,6,FALSE)*INDEX('Year data'!$B$111:$AC$161,MATCH($A177,'Year data'!$A$111:$A$161,0),MATCH('TCO Inputs'!$AZ$12,'Year data'!$B$110:$AC$110,0))/(1+$AZ$41)^S$168</f>
        <v>533.94749966282609</v>
      </c>
      <c r="T177" s="106">
        <f>VLOOKUP($A177,'VKT US'!$B$63:$AA$113,(T$168+1),FALSE)/VLOOKUP($A177,'Fuel economy adjusted factor'!$A$2:$F$52,6,FALSE)*INDEX('Year data'!$B$111:$AC$161,MATCH($A177,'Year data'!$A$111:$A$161,0),MATCH('TCO Inputs'!$AZ$12,'Year data'!$B$110:$AC$110,0))/(1+$AZ$41)^T$168</f>
        <v>516.5697321353822</v>
      </c>
      <c r="U177" s="106">
        <f>VLOOKUP($A177,'VKT US'!$B$63:$AA$113,(U$168+1),FALSE)/VLOOKUP($A177,'Fuel economy adjusted factor'!$A$2:$F$52,6,FALSE)*INDEX('Year data'!$B$111:$AC$161,MATCH($A177,'Year data'!$A$111:$A$161,0),MATCH('TCO Inputs'!$AZ$12,'Year data'!$B$110:$AC$110,0))/(1+$AZ$41)^U$168</f>
        <v>500.4286297873561</v>
      </c>
      <c r="V177" s="110" cm="1">
        <f t="array" ref="V177">SUMPRODUCT(INDEX(B177:U177,,_xlfn.SEQUENCE($AZ$13)))</f>
        <v>11309.172510661208</v>
      </c>
    </row>
    <row r="178" spans="1:22" x14ac:dyDescent="0.25">
      <c r="A178" s="102" t="s">
        <v>194</v>
      </c>
      <c r="B178" s="106">
        <f>VLOOKUP($A178,'VKT US'!$B$63:$AA$113,(B$168+1),FALSE)/VLOOKUP($A178,'Fuel economy adjusted factor'!$A$2:$F$52,6,FALSE)*INDEX('Year data'!$B$111:$AC$161,MATCH($A178,'Year data'!$A$111:$A$161,0),MATCH('TCO Inputs'!$AZ$12,'Year data'!$B$110:$AC$110,0))/(1+$AZ$41)^B$168</f>
        <v>1309.9121997069474</v>
      </c>
      <c r="C178" s="106">
        <f>VLOOKUP($A178,'VKT US'!$B$63:$AA$113,(C$168+1),FALSE)/VLOOKUP($A178,'Fuel economy adjusted factor'!$A$2:$F$52,6,FALSE)*INDEX('Year data'!$B$111:$AC$161,MATCH($A178,'Year data'!$A$111:$A$161,0),MATCH('TCO Inputs'!$AZ$12,'Year data'!$B$110:$AC$110,0))/(1+$AZ$41)^C$168</f>
        <v>1255.8809135922902</v>
      </c>
      <c r="D178" s="106">
        <f>VLOOKUP($A178,'VKT US'!$B$63:$AA$113,(D$168+1),FALSE)/VLOOKUP($A178,'Fuel economy adjusted factor'!$A$2:$F$52,6,FALSE)*INDEX('Year data'!$B$111:$AC$161,MATCH($A178,'Year data'!$A$111:$A$161,0),MATCH('TCO Inputs'!$AZ$12,'Year data'!$B$110:$AC$110,0))/(1+$AZ$41)^D$168</f>
        <v>1204.1471827766986</v>
      </c>
      <c r="E178" s="106">
        <f>VLOOKUP($A178,'VKT US'!$B$63:$AA$113,(E$168+1),FALSE)/VLOOKUP($A178,'Fuel economy adjusted factor'!$A$2:$F$52,6,FALSE)*INDEX('Year data'!$B$111:$AC$161,MATCH($A178,'Year data'!$A$111:$A$161,0),MATCH('TCO Inputs'!$AZ$12,'Year data'!$B$110:$AC$110,0))/(1+$AZ$41)^E$168</f>
        <v>1154.7411239364192</v>
      </c>
      <c r="F178" s="106">
        <f>VLOOKUP($A178,'VKT US'!$B$63:$AA$113,(F$168+1),FALSE)/VLOOKUP($A178,'Fuel economy adjusted factor'!$A$2:$F$52,6,FALSE)*INDEX('Year data'!$B$111:$AC$161,MATCH($A178,'Year data'!$A$111:$A$161,0),MATCH('TCO Inputs'!$AZ$12,'Year data'!$B$110:$AC$110,0))/(1+$AZ$41)^F$168</f>
        <v>1107.5095040327521</v>
      </c>
      <c r="G178" s="106">
        <f>VLOOKUP($A178,'VKT US'!$B$63:$AA$113,(G$168+1),FALSE)/VLOOKUP($A178,'Fuel economy adjusted factor'!$A$2:$F$52,6,FALSE)*INDEX('Year data'!$B$111:$AC$161,MATCH($A178,'Year data'!$A$111:$A$161,0),MATCH('TCO Inputs'!$AZ$12,'Year data'!$B$110:$AC$110,0))/(1+$AZ$41)^G$168</f>
        <v>1062.5719833665371</v>
      </c>
      <c r="H178" s="106">
        <f>VLOOKUP($A178,'VKT US'!$B$63:$AA$113,(H$168+1),FALSE)/VLOOKUP($A178,'Fuel economy adjusted factor'!$A$2:$F$52,6,FALSE)*INDEX('Year data'!$B$111:$AC$161,MATCH($A178,'Year data'!$A$111:$A$161,0),MATCH('TCO Inputs'!$AZ$12,'Year data'!$B$110:$AC$110,0))/(1+$AZ$41)^H$168</f>
        <v>1019.6008517684847</v>
      </c>
      <c r="I178" s="106">
        <f>VLOOKUP($A178,'VKT US'!$B$63:$AA$113,(I$168+1),FALSE)/VLOOKUP($A178,'Fuel economy adjusted factor'!$A$2:$F$52,6,FALSE)*INDEX('Year data'!$B$111:$AC$161,MATCH($A178,'Year data'!$A$111:$A$161,0),MATCH('TCO Inputs'!$AZ$12,'Year data'!$B$110:$AC$110,0))/(1+$AZ$41)^I$168</f>
        <v>978.71724620110604</v>
      </c>
      <c r="J178" s="106">
        <f>VLOOKUP($A178,'VKT US'!$B$63:$AA$113,(J$168+1),FALSE)/VLOOKUP($A178,'Fuel economy adjusted factor'!$A$2:$F$52,6,FALSE)*INDEX('Year data'!$B$111:$AC$161,MATCH($A178,'Year data'!$A$111:$A$161,0),MATCH('TCO Inputs'!$AZ$12,'Year data'!$B$110:$AC$110,0))/(1+$AZ$41)^J$168</f>
        <v>939.86326116316161</v>
      </c>
      <c r="K178" s="106">
        <f>VLOOKUP($A178,'VKT US'!$B$63:$AA$113,(K$168+1),FALSE)/VLOOKUP($A178,'Fuel economy adjusted factor'!$A$2:$F$52,6,FALSE)*INDEX('Year data'!$B$111:$AC$161,MATCH($A178,'Year data'!$A$111:$A$161,0),MATCH('TCO Inputs'!$AZ$12,'Year data'!$B$110:$AC$110,0))/(1+$AZ$41)^K$168</f>
        <v>902.98224212554999</v>
      </c>
      <c r="L178" s="106">
        <f>VLOOKUP($A178,'VKT US'!$B$63:$AA$113,(L$168+1),FALSE)/VLOOKUP($A178,'Fuel economy adjusted factor'!$A$2:$F$52,6,FALSE)*INDEX('Year data'!$B$111:$AC$161,MATCH($A178,'Year data'!$A$111:$A$161,0),MATCH('TCO Inputs'!$AZ$12,'Year data'!$B$110:$AC$110,0))/(1+$AZ$41)^L$168</f>
        <v>867.93483055374918</v>
      </c>
      <c r="M178" s="106">
        <f>VLOOKUP($A178,'VKT US'!$B$63:$AA$113,(M$168+1),FALSE)/VLOOKUP($A178,'Fuel economy adjusted factor'!$A$2:$F$52,6,FALSE)*INDEX('Year data'!$B$111:$AC$161,MATCH($A178,'Year data'!$A$111:$A$161,0),MATCH('TCO Inputs'!$AZ$12,'Year data'!$B$110:$AC$110,0))/(1+$AZ$41)^M$168</f>
        <v>834.75272549190072</v>
      </c>
      <c r="N178" s="106">
        <f>VLOOKUP($A178,'VKT US'!$B$63:$AA$113,(N$168+1),FALSE)/VLOOKUP($A178,'Fuel economy adjusted factor'!$A$2:$F$52,6,FALSE)*INDEX('Year data'!$B$111:$AC$161,MATCH($A178,'Year data'!$A$111:$A$161,0),MATCH('TCO Inputs'!$AZ$12,'Year data'!$B$110:$AC$110,0))/(1+$AZ$41)^N$168</f>
        <v>803.30089745425596</v>
      </c>
      <c r="O178" s="106">
        <f>VLOOKUP($A178,'VKT US'!$B$63:$AA$113,(O$168+1),FALSE)/VLOOKUP($A178,'Fuel economy adjusted factor'!$A$2:$F$52,6,FALSE)*INDEX('Year data'!$B$111:$AC$161,MATCH($A178,'Year data'!$A$111:$A$161,0),MATCH('TCO Inputs'!$AZ$12,'Year data'!$B$110:$AC$110,0))/(1+$AZ$41)^O$168</f>
        <v>773.61132572973611</v>
      </c>
      <c r="P178" s="106">
        <f>VLOOKUP($A178,'VKT US'!$B$63:$AA$113,(P$168+1),FALSE)/VLOOKUP($A178,'Fuel economy adjusted factor'!$A$2:$F$52,6,FALSE)*INDEX('Year data'!$B$111:$AC$161,MATCH($A178,'Year data'!$A$111:$A$161,0),MATCH('TCO Inputs'!$AZ$12,'Year data'!$B$110:$AC$110,0))/(1+$AZ$41)^P$168</f>
        <v>745.55317575299159</v>
      </c>
      <c r="Q178" s="106">
        <f>VLOOKUP($A178,'VKT US'!$B$63:$AA$113,(Q$168+1),FALSE)/VLOOKUP($A178,'Fuel economy adjusted factor'!$A$2:$F$52,6,FALSE)*INDEX('Year data'!$B$111:$AC$161,MATCH($A178,'Year data'!$A$111:$A$161,0),MATCH('TCO Inputs'!$AZ$12,'Year data'!$B$110:$AC$110,0))/(1+$AZ$41)^Q$168</f>
        <v>719.23774071973628</v>
      </c>
      <c r="R178" s="106">
        <f>VLOOKUP($A178,'VKT US'!$B$63:$AA$113,(R$168+1),FALSE)/VLOOKUP($A178,'Fuel economy adjusted factor'!$A$2:$F$52,6,FALSE)*INDEX('Year data'!$B$111:$AC$161,MATCH($A178,'Year data'!$A$111:$A$161,0),MATCH('TCO Inputs'!$AZ$12,'Year data'!$B$110:$AC$110,0))/(1+$AZ$41)^R$168</f>
        <v>694.37916959723157</v>
      </c>
      <c r="S178" s="106">
        <f>VLOOKUP($A178,'VKT US'!$B$63:$AA$113,(S$168+1),FALSE)/VLOOKUP($A178,'Fuel economy adjusted factor'!$A$2:$F$52,6,FALSE)*INDEX('Year data'!$B$111:$AC$161,MATCH($A178,'Year data'!$A$111:$A$161,0),MATCH('TCO Inputs'!$AZ$12,'Year data'!$B$110:$AC$110,0))/(1+$AZ$41)^S$168</f>
        <v>671.16711772322049</v>
      </c>
      <c r="T178" s="106">
        <f>VLOOKUP($A178,'VKT US'!$B$63:$AA$113,(T$168+1),FALSE)/VLOOKUP($A178,'Fuel economy adjusted factor'!$A$2:$F$52,6,FALSE)*INDEX('Year data'!$B$111:$AC$161,MATCH($A178,'Year data'!$A$111:$A$161,0),MATCH('TCO Inputs'!$AZ$12,'Year data'!$B$110:$AC$110,0))/(1+$AZ$41)^T$168</f>
        <v>649.32342306930082</v>
      </c>
      <c r="U178" s="106">
        <f>VLOOKUP($A178,'VKT US'!$B$63:$AA$113,(U$168+1),FALSE)/VLOOKUP($A178,'Fuel economy adjusted factor'!$A$2:$F$52,6,FALSE)*INDEX('Year data'!$B$111:$AC$161,MATCH($A178,'Year data'!$A$111:$A$161,0),MATCH('TCO Inputs'!$AZ$12,'Year data'!$B$110:$AC$110,0))/(1+$AZ$41)^U$168</f>
        <v>629.03420522177601</v>
      </c>
      <c r="V178" s="110" cm="1">
        <f t="array" ref="V178">SUMPRODUCT(INDEX(B178:U178,,_xlfn.SEQUENCE($AZ$13)))</f>
        <v>14215.526287899591</v>
      </c>
    </row>
    <row r="179" spans="1:22" x14ac:dyDescent="0.25">
      <c r="A179" s="102" t="s">
        <v>233</v>
      </c>
      <c r="B179" s="106">
        <f>VLOOKUP($A179,'VKT US'!$B$63:$AA$113,(B$168+1),FALSE)/VLOOKUP($A179,'Fuel economy adjusted factor'!$A$2:$F$52,6,FALSE)*INDEX('Year data'!$B$111:$AC$161,MATCH($A179,'Year data'!$A$111:$A$161,0),MATCH('TCO Inputs'!$AZ$12,'Year data'!$B$110:$AC$110,0))/(1+$AZ$41)^B$168</f>
        <v>1153.0010091395959</v>
      </c>
      <c r="C179" s="106">
        <f>VLOOKUP($A179,'VKT US'!$B$63:$AA$113,(C$168+1),FALSE)/VLOOKUP($A179,'Fuel economy adjusted factor'!$A$2:$F$52,6,FALSE)*INDEX('Year data'!$B$111:$AC$161,MATCH($A179,'Year data'!$A$111:$A$161,0),MATCH('TCO Inputs'!$AZ$12,'Year data'!$B$110:$AC$110,0))/(1+$AZ$41)^C$168</f>
        <v>1105.4419991317136</v>
      </c>
      <c r="D179" s="106">
        <f>VLOOKUP($A179,'VKT US'!$B$63:$AA$113,(D$168+1),FALSE)/VLOOKUP($A179,'Fuel economy adjusted factor'!$A$2:$F$52,6,FALSE)*INDEX('Year data'!$B$111:$AC$161,MATCH($A179,'Year data'!$A$111:$A$161,0),MATCH('TCO Inputs'!$AZ$12,'Year data'!$B$110:$AC$110,0))/(1+$AZ$41)^D$168</f>
        <v>1059.9053258720264</v>
      </c>
      <c r="E179" s="106">
        <f>VLOOKUP($A179,'VKT US'!$B$63:$AA$113,(E$168+1),FALSE)/VLOOKUP($A179,'Fuel economy adjusted factor'!$A$2:$F$52,6,FALSE)*INDEX('Year data'!$B$111:$AC$161,MATCH($A179,'Year data'!$A$111:$A$161,0),MATCH('TCO Inputs'!$AZ$12,'Year data'!$B$110:$AC$110,0))/(1+$AZ$41)^E$168</f>
        <v>1016.4174984335182</v>
      </c>
      <c r="F179" s="106">
        <f>VLOOKUP($A179,'VKT US'!$B$63:$AA$113,(F$168+1),FALSE)/VLOOKUP($A179,'Fuel economy adjusted factor'!$A$2:$F$52,6,FALSE)*INDEX('Year data'!$B$111:$AC$161,MATCH($A179,'Year data'!$A$111:$A$161,0),MATCH('TCO Inputs'!$AZ$12,'Year data'!$B$110:$AC$110,0))/(1+$AZ$41)^F$168</f>
        <v>974.84363918981535</v>
      </c>
      <c r="G179" s="106">
        <f>VLOOKUP($A179,'VKT US'!$B$63:$AA$113,(G$168+1),FALSE)/VLOOKUP($A179,'Fuel economy adjusted factor'!$A$2:$F$52,6,FALSE)*INDEX('Year data'!$B$111:$AC$161,MATCH($A179,'Year data'!$A$111:$A$161,0),MATCH('TCO Inputs'!$AZ$12,'Year data'!$B$110:$AC$110,0))/(1+$AZ$41)^G$168</f>
        <v>935.28907462589348</v>
      </c>
      <c r="H179" s="106">
        <f>VLOOKUP($A179,'VKT US'!$B$63:$AA$113,(H$168+1),FALSE)/VLOOKUP($A179,'Fuel economy adjusted factor'!$A$2:$F$52,6,FALSE)*INDEX('Year data'!$B$111:$AC$161,MATCH($A179,'Year data'!$A$111:$A$161,0),MATCH('TCO Inputs'!$AZ$12,'Year data'!$B$110:$AC$110,0))/(1+$AZ$41)^H$168</f>
        <v>897.46535017511803</v>
      </c>
      <c r="I179" s="106">
        <f>VLOOKUP($A179,'VKT US'!$B$63:$AA$113,(I$168+1),FALSE)/VLOOKUP($A179,'Fuel economy adjusted factor'!$A$2:$F$52,6,FALSE)*INDEX('Year data'!$B$111:$AC$161,MATCH($A179,'Year data'!$A$111:$A$161,0),MATCH('TCO Inputs'!$AZ$12,'Year data'!$B$110:$AC$110,0))/(1+$AZ$41)^I$168</f>
        <v>861.47909209843249</v>
      </c>
      <c r="J179" s="106">
        <f>VLOOKUP($A179,'VKT US'!$B$63:$AA$113,(J$168+1),FALSE)/VLOOKUP($A179,'Fuel economy adjusted factor'!$A$2:$F$52,6,FALSE)*INDEX('Year data'!$B$111:$AC$161,MATCH($A179,'Year data'!$A$111:$A$161,0),MATCH('TCO Inputs'!$AZ$12,'Year data'!$B$110:$AC$110,0))/(1+$AZ$41)^J$168</f>
        <v>827.27933125349421</v>
      </c>
      <c r="K179" s="106">
        <f>VLOOKUP($A179,'VKT US'!$B$63:$AA$113,(K$168+1),FALSE)/VLOOKUP($A179,'Fuel economy adjusted factor'!$A$2:$F$52,6,FALSE)*INDEX('Year data'!$B$111:$AC$161,MATCH($A179,'Year data'!$A$111:$A$161,0),MATCH('TCO Inputs'!$AZ$12,'Year data'!$B$110:$AC$110,0))/(1+$AZ$41)^K$168</f>
        <v>794.81619961919353</v>
      </c>
      <c r="L179" s="106">
        <f>VLOOKUP($A179,'VKT US'!$B$63:$AA$113,(L$168+1),FALSE)/VLOOKUP($A179,'Fuel economy adjusted factor'!$A$2:$F$52,6,FALSE)*INDEX('Year data'!$B$111:$AC$161,MATCH($A179,'Year data'!$A$111:$A$161,0),MATCH('TCO Inputs'!$AZ$12,'Year data'!$B$110:$AC$110,0))/(1+$AZ$41)^L$168</f>
        <v>763.96703208028725</v>
      </c>
      <c r="M179" s="106">
        <f>VLOOKUP($A179,'VKT US'!$B$63:$AA$113,(M$168+1),FALSE)/VLOOKUP($A179,'Fuel economy adjusted factor'!$A$2:$F$52,6,FALSE)*INDEX('Year data'!$B$111:$AC$161,MATCH($A179,'Year data'!$A$111:$A$161,0),MATCH('TCO Inputs'!$AZ$12,'Year data'!$B$110:$AC$110,0))/(1+$AZ$41)^M$168</f>
        <v>734.75973052965912</v>
      </c>
      <c r="N179" s="106">
        <f>VLOOKUP($A179,'VKT US'!$B$63:$AA$113,(N$168+1),FALSE)/VLOOKUP($A179,'Fuel economy adjusted factor'!$A$2:$F$52,6,FALSE)*INDEX('Year data'!$B$111:$AC$161,MATCH($A179,'Year data'!$A$111:$A$161,0),MATCH('TCO Inputs'!$AZ$12,'Year data'!$B$110:$AC$110,0))/(1+$AZ$41)^N$168</f>
        <v>707.07544033463512</v>
      </c>
      <c r="O179" s="106">
        <f>VLOOKUP($A179,'VKT US'!$B$63:$AA$113,(O$168+1),FALSE)/VLOOKUP($A179,'Fuel economy adjusted factor'!$A$2:$F$52,6,FALSE)*INDEX('Year data'!$B$111:$AC$161,MATCH($A179,'Year data'!$A$111:$A$161,0),MATCH('TCO Inputs'!$AZ$12,'Year data'!$B$110:$AC$110,0))/(1+$AZ$41)^O$168</f>
        <v>680.9423100630396</v>
      </c>
      <c r="P179" s="106">
        <f>VLOOKUP($A179,'VKT US'!$B$63:$AA$113,(P$168+1),FALSE)/VLOOKUP($A179,'Fuel economy adjusted factor'!$A$2:$F$52,6,FALSE)*INDEX('Year data'!$B$111:$AC$161,MATCH($A179,'Year data'!$A$111:$A$161,0),MATCH('TCO Inputs'!$AZ$12,'Year data'!$B$110:$AC$110,0))/(1+$AZ$41)^P$168</f>
        <v>656.2451775033046</v>
      </c>
      <c r="Q179" s="106">
        <f>VLOOKUP($A179,'VKT US'!$B$63:$AA$113,(Q$168+1),FALSE)/VLOOKUP($A179,'Fuel economy adjusted factor'!$A$2:$F$52,6,FALSE)*INDEX('Year data'!$B$111:$AC$161,MATCH($A179,'Year data'!$A$111:$A$161,0),MATCH('TCO Inputs'!$AZ$12,'Year data'!$B$110:$AC$110,0))/(1+$AZ$41)^Q$168</f>
        <v>633.08200431041519</v>
      </c>
      <c r="R179" s="106">
        <f>VLOOKUP($A179,'VKT US'!$B$63:$AA$113,(R$168+1),FALSE)/VLOOKUP($A179,'Fuel economy adjusted factor'!$A$2:$F$52,6,FALSE)*INDEX('Year data'!$B$111:$AC$161,MATCH($A179,'Year data'!$A$111:$A$161,0),MATCH('TCO Inputs'!$AZ$12,'Year data'!$B$110:$AC$110,0))/(1+$AZ$41)^R$168</f>
        <v>611.2011808503172</v>
      </c>
      <c r="S179" s="106">
        <f>VLOOKUP($A179,'VKT US'!$B$63:$AA$113,(S$168+1),FALSE)/VLOOKUP($A179,'Fuel economy adjusted factor'!$A$2:$F$52,6,FALSE)*INDEX('Year data'!$B$111:$AC$161,MATCH($A179,'Year data'!$A$111:$A$161,0),MATCH('TCO Inputs'!$AZ$12,'Year data'!$B$110:$AC$110,0))/(1+$AZ$41)^S$168</f>
        <v>590.76964410997448</v>
      </c>
      <c r="T179" s="106">
        <f>VLOOKUP($A179,'VKT US'!$B$63:$AA$113,(T$168+1),FALSE)/VLOOKUP($A179,'Fuel economy adjusted factor'!$A$2:$F$52,6,FALSE)*INDEX('Year data'!$B$111:$AC$161,MATCH($A179,'Year data'!$A$111:$A$161,0),MATCH('TCO Inputs'!$AZ$12,'Year data'!$B$110:$AC$110,0))/(1+$AZ$41)^T$168</f>
        <v>571.5425524125759</v>
      </c>
      <c r="U179" s="106">
        <f>VLOOKUP($A179,'VKT US'!$B$63:$AA$113,(U$168+1),FALSE)/VLOOKUP($A179,'Fuel economy adjusted factor'!$A$2:$F$52,6,FALSE)*INDEX('Year data'!$B$111:$AC$161,MATCH($A179,'Year data'!$A$111:$A$161,0),MATCH('TCO Inputs'!$AZ$12,'Year data'!$B$110:$AC$110,0))/(1+$AZ$41)^U$168</f>
        <v>553.68373053269511</v>
      </c>
      <c r="V179" s="110" cm="1">
        <f t="array" ref="V179">SUMPRODUCT(INDEX(B179:U179,,_xlfn.SEQUENCE($AZ$13)))</f>
        <v>12512.683032546422</v>
      </c>
    </row>
    <row r="180" spans="1:22" x14ac:dyDescent="0.25">
      <c r="A180" s="102" t="s">
        <v>196</v>
      </c>
      <c r="B180" s="106">
        <f>VLOOKUP($A180,'VKT US'!$B$63:$AA$113,(B$168+1),FALSE)/VLOOKUP($A180,'Fuel economy adjusted factor'!$A$2:$F$52,6,FALSE)*INDEX('Year data'!$B$111:$AC$161,MATCH($A180,'Year data'!$A$111:$A$161,0),MATCH('TCO Inputs'!$AZ$12,'Year data'!$B$110:$AC$110,0))/(1+$AZ$41)^B$168</f>
        <v>1176.7679394635561</v>
      </c>
      <c r="C180" s="106">
        <f>VLOOKUP($A180,'VKT US'!$B$63:$AA$113,(C$168+1),FALSE)/VLOOKUP($A180,'Fuel economy adjusted factor'!$A$2:$F$52,6,FALSE)*INDEX('Year data'!$B$111:$AC$161,MATCH($A180,'Year data'!$A$111:$A$161,0),MATCH('TCO Inputs'!$AZ$12,'Year data'!$B$110:$AC$110,0))/(1+$AZ$41)^C$168</f>
        <v>1128.2285906110642</v>
      </c>
      <c r="D180" s="106">
        <f>VLOOKUP($A180,'VKT US'!$B$63:$AA$113,(D$168+1),FALSE)/VLOOKUP($A180,'Fuel economy adjusted factor'!$A$2:$F$52,6,FALSE)*INDEX('Year data'!$B$111:$AC$161,MATCH($A180,'Year data'!$A$111:$A$161,0),MATCH('TCO Inputs'!$AZ$12,'Year data'!$B$110:$AC$110,0))/(1+$AZ$41)^D$168</f>
        <v>1081.7532651455515</v>
      </c>
      <c r="E180" s="106">
        <f>VLOOKUP($A180,'VKT US'!$B$63:$AA$113,(E$168+1),FALSE)/VLOOKUP($A180,'Fuel economy adjusted factor'!$A$2:$F$52,6,FALSE)*INDEX('Year data'!$B$111:$AC$161,MATCH($A180,'Year data'!$A$111:$A$161,0),MATCH('TCO Inputs'!$AZ$12,'Year data'!$B$110:$AC$110,0))/(1+$AZ$41)^E$168</f>
        <v>1037.3690185742942</v>
      </c>
      <c r="F180" s="106">
        <f>VLOOKUP($A180,'VKT US'!$B$63:$AA$113,(F$168+1),FALSE)/VLOOKUP($A180,'Fuel economy adjusted factor'!$A$2:$F$52,6,FALSE)*INDEX('Year data'!$B$111:$AC$161,MATCH($A180,'Year data'!$A$111:$A$161,0),MATCH('TCO Inputs'!$AZ$12,'Year data'!$B$110:$AC$110,0))/(1+$AZ$41)^F$168</f>
        <v>994.93819302430825</v>
      </c>
      <c r="G180" s="106">
        <f>VLOOKUP($A180,'VKT US'!$B$63:$AA$113,(G$168+1),FALSE)/VLOOKUP($A180,'Fuel economy adjusted factor'!$A$2:$F$52,6,FALSE)*INDEX('Year data'!$B$111:$AC$161,MATCH($A180,'Year data'!$A$111:$A$161,0),MATCH('TCO Inputs'!$AZ$12,'Year data'!$B$110:$AC$110,0))/(1+$AZ$41)^G$168</f>
        <v>954.56828608641308</v>
      </c>
      <c r="H180" s="106">
        <f>VLOOKUP($A180,'VKT US'!$B$63:$AA$113,(H$168+1),FALSE)/VLOOKUP($A180,'Fuel economy adjusted factor'!$A$2:$F$52,6,FALSE)*INDEX('Year data'!$B$111:$AC$161,MATCH($A180,'Year data'!$A$111:$A$161,0),MATCH('TCO Inputs'!$AZ$12,'Year data'!$B$110:$AC$110,0))/(1+$AZ$41)^H$168</f>
        <v>915.96489724984065</v>
      </c>
      <c r="I180" s="106">
        <f>VLOOKUP($A180,'VKT US'!$B$63:$AA$113,(I$168+1),FALSE)/VLOOKUP($A180,'Fuel economy adjusted factor'!$A$2:$F$52,6,FALSE)*INDEX('Year data'!$B$111:$AC$161,MATCH($A180,'Year data'!$A$111:$A$161,0),MATCH('TCO Inputs'!$AZ$12,'Year data'!$B$110:$AC$110,0))/(1+$AZ$41)^I$168</f>
        <v>879.23685067379654</v>
      </c>
      <c r="J180" s="106">
        <f>VLOOKUP($A180,'VKT US'!$B$63:$AA$113,(J$168+1),FALSE)/VLOOKUP($A180,'Fuel economy adjusted factor'!$A$2:$F$52,6,FALSE)*INDEX('Year data'!$B$111:$AC$161,MATCH($A180,'Year data'!$A$111:$A$161,0),MATCH('TCO Inputs'!$AZ$12,'Year data'!$B$110:$AC$110,0))/(1+$AZ$41)^J$168</f>
        <v>844.33212658367916</v>
      </c>
      <c r="K180" s="106">
        <f>VLOOKUP($A180,'VKT US'!$B$63:$AA$113,(K$168+1),FALSE)/VLOOKUP($A180,'Fuel economy adjusted factor'!$A$2:$F$52,6,FALSE)*INDEX('Year data'!$B$111:$AC$161,MATCH($A180,'Year data'!$A$111:$A$161,0),MATCH('TCO Inputs'!$AZ$12,'Year data'!$B$110:$AC$110,0))/(1+$AZ$41)^K$168</f>
        <v>811.19982902364734</v>
      </c>
      <c r="L180" s="106">
        <f>VLOOKUP($A180,'VKT US'!$B$63:$AA$113,(L$168+1),FALSE)/VLOOKUP($A180,'Fuel economy adjusted factor'!$A$2:$F$52,6,FALSE)*INDEX('Year data'!$B$111:$AC$161,MATCH($A180,'Year data'!$A$111:$A$161,0),MATCH('TCO Inputs'!$AZ$12,'Year data'!$B$110:$AC$110,0))/(1+$AZ$41)^L$168</f>
        <v>779.71476436961484</v>
      </c>
      <c r="M180" s="106">
        <f>VLOOKUP($A180,'VKT US'!$B$63:$AA$113,(M$168+1),FALSE)/VLOOKUP($A180,'Fuel economy adjusted factor'!$A$2:$F$52,6,FALSE)*INDEX('Year data'!$B$111:$AC$161,MATCH($A180,'Year data'!$A$111:$A$161,0),MATCH('TCO Inputs'!$AZ$12,'Year data'!$B$110:$AC$110,0))/(1+$AZ$41)^M$168</f>
        <v>749.90540965910043</v>
      </c>
      <c r="N180" s="106">
        <f>VLOOKUP($A180,'VKT US'!$B$63:$AA$113,(N$168+1),FALSE)/VLOOKUP($A180,'Fuel economy adjusted factor'!$A$2:$F$52,6,FALSE)*INDEX('Year data'!$B$111:$AC$161,MATCH($A180,'Year data'!$A$111:$A$161,0),MATCH('TCO Inputs'!$AZ$12,'Year data'!$B$110:$AC$110,0))/(1+$AZ$41)^N$168</f>
        <v>721.65046029646248</v>
      </c>
      <c r="O180" s="106">
        <f>VLOOKUP($A180,'VKT US'!$B$63:$AA$113,(O$168+1),FALSE)/VLOOKUP($A180,'Fuel economy adjusted factor'!$A$2:$F$52,6,FALSE)*INDEX('Year data'!$B$111:$AC$161,MATCH($A180,'Year data'!$A$111:$A$161,0),MATCH('TCO Inputs'!$AZ$12,'Year data'!$B$110:$AC$110,0))/(1+$AZ$41)^O$168</f>
        <v>694.97864507889688</v>
      </c>
      <c r="P180" s="106">
        <f>VLOOKUP($A180,'VKT US'!$B$63:$AA$113,(P$168+1),FALSE)/VLOOKUP($A180,'Fuel economy adjusted factor'!$A$2:$F$52,6,FALSE)*INDEX('Year data'!$B$111:$AC$161,MATCH($A180,'Year data'!$A$111:$A$161,0),MATCH('TCO Inputs'!$AZ$12,'Year data'!$B$110:$AC$110,0))/(1+$AZ$41)^P$168</f>
        <v>669.77242794413041</v>
      </c>
      <c r="Q180" s="106">
        <f>VLOOKUP($A180,'VKT US'!$B$63:$AA$113,(Q$168+1),FALSE)/VLOOKUP($A180,'Fuel economy adjusted factor'!$A$2:$F$52,6,FALSE)*INDEX('Year data'!$B$111:$AC$161,MATCH($A180,'Year data'!$A$111:$A$161,0),MATCH('TCO Inputs'!$AZ$12,'Year data'!$B$110:$AC$110,0))/(1+$AZ$41)^Q$168</f>
        <v>646.13178984098181</v>
      </c>
      <c r="R180" s="106">
        <f>VLOOKUP($A180,'VKT US'!$B$63:$AA$113,(R$168+1),FALSE)/VLOOKUP($A180,'Fuel economy adjusted factor'!$A$2:$F$52,6,FALSE)*INDEX('Year data'!$B$111:$AC$161,MATCH($A180,'Year data'!$A$111:$A$161,0),MATCH('TCO Inputs'!$AZ$12,'Year data'!$B$110:$AC$110,0))/(1+$AZ$41)^R$168</f>
        <v>623.7999346797103</v>
      </c>
      <c r="S180" s="106">
        <f>VLOOKUP($A180,'VKT US'!$B$63:$AA$113,(S$168+1),FALSE)/VLOOKUP($A180,'Fuel economy adjusted factor'!$A$2:$F$52,6,FALSE)*INDEX('Year data'!$B$111:$AC$161,MATCH($A180,'Year data'!$A$111:$A$161,0),MATCH('TCO Inputs'!$AZ$12,'Year data'!$B$110:$AC$110,0))/(1+$AZ$41)^S$168</f>
        <v>602.94724053684172</v>
      </c>
      <c r="T180" s="106">
        <f>VLOOKUP($A180,'VKT US'!$B$63:$AA$113,(T$168+1),FALSE)/VLOOKUP($A180,'Fuel economy adjusted factor'!$A$2:$F$52,6,FALSE)*INDEX('Year data'!$B$111:$AC$161,MATCH($A180,'Year data'!$A$111:$A$161,0),MATCH('TCO Inputs'!$AZ$12,'Year data'!$B$110:$AC$110,0))/(1+$AZ$41)^T$168</f>
        <v>583.3238187884873</v>
      </c>
      <c r="U180" s="106">
        <f>VLOOKUP($A180,'VKT US'!$B$63:$AA$113,(U$168+1),FALSE)/VLOOKUP($A180,'Fuel economy adjusted factor'!$A$2:$F$52,6,FALSE)*INDEX('Year data'!$B$111:$AC$161,MATCH($A180,'Year data'!$A$111:$A$161,0),MATCH('TCO Inputs'!$AZ$12,'Year data'!$B$110:$AC$110,0))/(1+$AZ$41)^U$168</f>
        <v>565.0968711464235</v>
      </c>
      <c r="V180" s="110" cm="1">
        <f t="array" ref="V180">SUMPRODUCT(INDEX(B180:U180,,_xlfn.SEQUENCE($AZ$13)))</f>
        <v>12770.608275840228</v>
      </c>
    </row>
    <row r="181" spans="1:22" x14ac:dyDescent="0.25">
      <c r="A181" s="102" t="s">
        <v>197</v>
      </c>
      <c r="B181" s="106">
        <f>VLOOKUP($A181,'VKT US'!$B$63:$AA$113,(B$168+1),FALSE)/VLOOKUP($A181,'Fuel economy adjusted factor'!$A$2:$F$52,6,FALSE)*INDEX('Year data'!$B$111:$AC$161,MATCH($A181,'Year data'!$A$111:$A$161,0),MATCH('TCO Inputs'!$AZ$12,'Year data'!$B$110:$AC$110,0))/(1+$AZ$41)^B$168</f>
        <v>942.95077469014245</v>
      </c>
      <c r="C181" s="106">
        <f>VLOOKUP($A181,'VKT US'!$B$63:$AA$113,(C$168+1),FALSE)/VLOOKUP($A181,'Fuel economy adjusted factor'!$A$2:$F$52,6,FALSE)*INDEX('Year data'!$B$111:$AC$161,MATCH($A181,'Year data'!$A$111:$A$161,0),MATCH('TCO Inputs'!$AZ$12,'Year data'!$B$110:$AC$110,0))/(1+$AZ$41)^C$168</f>
        <v>904.05592119483265</v>
      </c>
      <c r="D181" s="106">
        <f>VLOOKUP($A181,'VKT US'!$B$63:$AA$113,(D$168+1),FALSE)/VLOOKUP($A181,'Fuel economy adjusted factor'!$A$2:$F$52,6,FALSE)*INDEX('Year data'!$B$111:$AC$161,MATCH($A181,'Year data'!$A$111:$A$161,0),MATCH('TCO Inputs'!$AZ$12,'Year data'!$B$110:$AC$110,0))/(1+$AZ$41)^D$168</f>
        <v>866.81498125925009</v>
      </c>
      <c r="E181" s="106">
        <f>VLOOKUP($A181,'VKT US'!$B$63:$AA$113,(E$168+1),FALSE)/VLOOKUP($A181,'Fuel economy adjusted factor'!$A$2:$F$52,6,FALSE)*INDEX('Year data'!$B$111:$AC$161,MATCH($A181,'Year data'!$A$111:$A$161,0),MATCH('TCO Inputs'!$AZ$12,'Year data'!$B$110:$AC$110,0))/(1+$AZ$41)^E$168</f>
        <v>831.24963461368793</v>
      </c>
      <c r="F181" s="106">
        <f>VLOOKUP($A181,'VKT US'!$B$63:$AA$113,(F$168+1),FALSE)/VLOOKUP($A181,'Fuel economy adjusted factor'!$A$2:$F$52,6,FALSE)*INDEX('Year data'!$B$111:$AC$161,MATCH($A181,'Year data'!$A$111:$A$161,0),MATCH('TCO Inputs'!$AZ$12,'Year data'!$B$110:$AC$110,0))/(1+$AZ$41)^F$168</f>
        <v>797.24957522955742</v>
      </c>
      <c r="G181" s="106">
        <f>VLOOKUP($A181,'VKT US'!$B$63:$AA$113,(G$168+1),FALSE)/VLOOKUP($A181,'Fuel economy adjusted factor'!$A$2:$F$52,6,FALSE)*INDEX('Year data'!$B$111:$AC$161,MATCH($A181,'Year data'!$A$111:$A$161,0),MATCH('TCO Inputs'!$AZ$12,'Year data'!$B$110:$AC$110,0))/(1+$AZ$41)^G$168</f>
        <v>764.90094153155724</v>
      </c>
      <c r="H181" s="106">
        <f>VLOOKUP($A181,'VKT US'!$B$63:$AA$113,(H$168+1),FALSE)/VLOOKUP($A181,'Fuel economy adjusted factor'!$A$2:$F$52,6,FALSE)*INDEX('Year data'!$B$111:$AC$161,MATCH($A181,'Year data'!$A$111:$A$161,0),MATCH('TCO Inputs'!$AZ$12,'Year data'!$B$110:$AC$110,0))/(1+$AZ$41)^H$168</f>
        <v>733.96782873303493</v>
      </c>
      <c r="I181" s="106">
        <f>VLOOKUP($A181,'VKT US'!$B$63:$AA$113,(I$168+1),FALSE)/VLOOKUP($A181,'Fuel economy adjusted factor'!$A$2:$F$52,6,FALSE)*INDEX('Year data'!$B$111:$AC$161,MATCH($A181,'Year data'!$A$111:$A$161,0),MATCH('TCO Inputs'!$AZ$12,'Year data'!$B$110:$AC$110,0))/(1+$AZ$41)^I$168</f>
        <v>704.5374382454047</v>
      </c>
      <c r="J181" s="106">
        <f>VLOOKUP($A181,'VKT US'!$B$63:$AA$113,(J$168+1),FALSE)/VLOOKUP($A181,'Fuel economy adjusted factor'!$A$2:$F$52,6,FALSE)*INDEX('Year data'!$B$111:$AC$161,MATCH($A181,'Year data'!$A$111:$A$161,0),MATCH('TCO Inputs'!$AZ$12,'Year data'!$B$110:$AC$110,0))/(1+$AZ$41)^J$168</f>
        <v>676.56808633042499</v>
      </c>
      <c r="K181" s="106">
        <f>VLOOKUP($A181,'VKT US'!$B$63:$AA$113,(K$168+1),FALSE)/VLOOKUP($A181,'Fuel economy adjusted factor'!$A$2:$F$52,6,FALSE)*INDEX('Year data'!$B$111:$AC$161,MATCH($A181,'Year data'!$A$111:$A$161,0),MATCH('TCO Inputs'!$AZ$12,'Year data'!$B$110:$AC$110,0))/(1+$AZ$41)^K$168</f>
        <v>650.0189897721533</v>
      </c>
      <c r="L181" s="106">
        <f>VLOOKUP($A181,'VKT US'!$B$63:$AA$113,(L$168+1),FALSE)/VLOOKUP($A181,'Fuel economy adjusted factor'!$A$2:$F$52,6,FALSE)*INDEX('Year data'!$B$111:$AC$161,MATCH($A181,'Year data'!$A$111:$A$161,0),MATCH('TCO Inputs'!$AZ$12,'Year data'!$B$110:$AC$110,0))/(1+$AZ$41)^L$168</f>
        <v>624.78983021481258</v>
      </c>
      <c r="M181" s="106">
        <f>VLOOKUP($A181,'VKT US'!$B$63:$AA$113,(M$168+1),FALSE)/VLOOKUP($A181,'Fuel economy adjusted factor'!$A$2:$F$52,6,FALSE)*INDEX('Year data'!$B$111:$AC$161,MATCH($A181,'Year data'!$A$111:$A$161,0),MATCH('TCO Inputs'!$AZ$12,'Year data'!$B$110:$AC$110,0))/(1+$AZ$41)^M$168</f>
        <v>600.90342646888234</v>
      </c>
      <c r="N181" s="106">
        <f>VLOOKUP($A181,'VKT US'!$B$63:$AA$113,(N$168+1),FALSE)/VLOOKUP($A181,'Fuel economy adjusted factor'!$A$2:$F$52,6,FALSE)*INDEX('Year data'!$B$111:$AC$161,MATCH($A181,'Year data'!$A$111:$A$161,0),MATCH('TCO Inputs'!$AZ$12,'Year data'!$B$110:$AC$110,0))/(1+$AZ$41)^N$168</f>
        <v>578.26257647897216</v>
      </c>
      <c r="O181" s="106">
        <f>VLOOKUP($A181,'VKT US'!$B$63:$AA$113,(O$168+1),FALSE)/VLOOKUP($A181,'Fuel economy adjusted factor'!$A$2:$F$52,6,FALSE)*INDEX('Year data'!$B$111:$AC$161,MATCH($A181,'Year data'!$A$111:$A$161,0),MATCH('TCO Inputs'!$AZ$12,'Year data'!$B$110:$AC$110,0))/(1+$AZ$41)^O$168</f>
        <v>556.89030079200791</v>
      </c>
      <c r="P181" s="106">
        <f>VLOOKUP($A181,'VKT US'!$B$63:$AA$113,(P$168+1),FALSE)/VLOOKUP($A181,'Fuel economy adjusted factor'!$A$2:$F$52,6,FALSE)*INDEX('Year data'!$B$111:$AC$161,MATCH($A181,'Year data'!$A$111:$A$161,0),MATCH('TCO Inputs'!$AZ$12,'Year data'!$B$110:$AC$110,0))/(1+$AZ$41)^P$168</f>
        <v>536.69241709960295</v>
      </c>
      <c r="Q181" s="106">
        <f>VLOOKUP($A181,'VKT US'!$B$63:$AA$113,(Q$168+1),FALSE)/VLOOKUP($A181,'Fuel economy adjusted factor'!$A$2:$F$52,6,FALSE)*INDEX('Year data'!$B$111:$AC$161,MATCH($A181,'Year data'!$A$111:$A$161,0),MATCH('TCO Inputs'!$AZ$12,'Year data'!$B$110:$AC$110,0))/(1+$AZ$41)^Q$168</f>
        <v>517.74904069890385</v>
      </c>
      <c r="R181" s="106">
        <f>VLOOKUP($A181,'VKT US'!$B$63:$AA$113,(R$168+1),FALSE)/VLOOKUP($A181,'Fuel economy adjusted factor'!$A$2:$F$52,6,FALSE)*INDEX('Year data'!$B$111:$AC$161,MATCH($A181,'Year data'!$A$111:$A$161,0),MATCH('TCO Inputs'!$AZ$12,'Year data'!$B$110:$AC$110,0))/(1+$AZ$41)^R$168</f>
        <v>499.85439943752789</v>
      </c>
      <c r="S181" s="106">
        <f>VLOOKUP($A181,'VKT US'!$B$63:$AA$113,(S$168+1),FALSE)/VLOOKUP($A181,'Fuel economy adjusted factor'!$A$2:$F$52,6,FALSE)*INDEX('Year data'!$B$111:$AC$161,MATCH($A181,'Year data'!$A$111:$A$161,0),MATCH('TCO Inputs'!$AZ$12,'Year data'!$B$110:$AC$110,0))/(1+$AZ$41)^S$168</f>
        <v>483.14501822736497</v>
      </c>
      <c r="T181" s="106">
        <f>VLOOKUP($A181,'VKT US'!$B$63:$AA$113,(T$168+1),FALSE)/VLOOKUP($A181,'Fuel economy adjusted factor'!$A$2:$F$52,6,FALSE)*INDEX('Year data'!$B$111:$AC$161,MATCH($A181,'Year data'!$A$111:$A$161,0),MATCH('TCO Inputs'!$AZ$12,'Year data'!$B$110:$AC$110,0))/(1+$AZ$41)^T$168</f>
        <v>467.42065990730606</v>
      </c>
      <c r="U181" s="106">
        <f>VLOOKUP($A181,'VKT US'!$B$63:$AA$113,(U$168+1),FALSE)/VLOOKUP($A181,'Fuel economy adjusted factor'!$A$2:$F$52,6,FALSE)*INDEX('Year data'!$B$111:$AC$161,MATCH($A181,'Year data'!$A$111:$A$161,0),MATCH('TCO Inputs'!$AZ$12,'Year data'!$B$110:$AC$110,0))/(1+$AZ$41)^U$168</f>
        <v>452.81530415028607</v>
      </c>
      <c r="V181" s="110" cm="1">
        <f t="array" ref="V181">SUMPRODUCT(INDEX(B181:U181,,_xlfn.SEQUENCE($AZ$13)))</f>
        <v>10233.16030555472</v>
      </c>
    </row>
    <row r="182" spans="1:22" x14ac:dyDescent="0.25">
      <c r="A182" s="102" t="s">
        <v>198</v>
      </c>
      <c r="B182" s="106">
        <f>VLOOKUP($A182,'VKT US'!$B$63:$AA$113,(B$168+1),FALSE)/VLOOKUP($A182,'Fuel economy adjusted factor'!$A$2:$F$52,6,FALSE)*INDEX('Year data'!$B$111:$AC$161,MATCH($A182,'Year data'!$A$111:$A$161,0),MATCH('TCO Inputs'!$AZ$12,'Year data'!$B$110:$AC$110,0))/(1+$AZ$41)^B$168</f>
        <v>1348.3078164272208</v>
      </c>
      <c r="C182" s="106">
        <f>VLOOKUP($A182,'VKT US'!$B$63:$AA$113,(C$168+1),FALSE)/VLOOKUP($A182,'Fuel economy adjusted factor'!$A$2:$F$52,6,FALSE)*INDEX('Year data'!$B$111:$AC$161,MATCH($A182,'Year data'!$A$111:$A$161,0),MATCH('TCO Inputs'!$AZ$12,'Year data'!$B$110:$AC$110,0))/(1+$AZ$41)^C$168</f>
        <v>1292.6927871021212</v>
      </c>
      <c r="D182" s="106">
        <f>VLOOKUP($A182,'VKT US'!$B$63:$AA$113,(D$168+1),FALSE)/VLOOKUP($A182,'Fuel economy adjusted factor'!$A$2:$F$52,6,FALSE)*INDEX('Year data'!$B$111:$AC$161,MATCH($A182,'Year data'!$A$111:$A$161,0),MATCH('TCO Inputs'!$AZ$12,'Year data'!$B$110:$AC$110,0))/(1+$AZ$41)^D$168</f>
        <v>1239.4426580879715</v>
      </c>
      <c r="E182" s="106">
        <f>VLOOKUP($A182,'VKT US'!$B$63:$AA$113,(E$168+1),FALSE)/VLOOKUP($A182,'Fuel economy adjusted factor'!$A$2:$F$52,6,FALSE)*INDEX('Year data'!$B$111:$AC$161,MATCH($A182,'Year data'!$A$111:$A$161,0),MATCH('TCO Inputs'!$AZ$12,'Year data'!$B$110:$AC$110,0))/(1+$AZ$41)^E$168</f>
        <v>1188.5884288288537</v>
      </c>
      <c r="F182" s="106">
        <f>VLOOKUP($A182,'VKT US'!$B$63:$AA$113,(F$168+1),FALSE)/VLOOKUP($A182,'Fuel economy adjusted factor'!$A$2:$F$52,6,FALSE)*INDEX('Year data'!$B$111:$AC$161,MATCH($A182,'Year data'!$A$111:$A$161,0),MATCH('TCO Inputs'!$AZ$12,'Year data'!$B$110:$AC$110,0))/(1+$AZ$41)^F$168</f>
        <v>1139.9723747812002</v>
      </c>
      <c r="G182" s="106">
        <f>VLOOKUP($A182,'VKT US'!$B$63:$AA$113,(G$168+1),FALSE)/VLOOKUP($A182,'Fuel economy adjusted factor'!$A$2:$F$52,6,FALSE)*INDEX('Year data'!$B$111:$AC$161,MATCH($A182,'Year data'!$A$111:$A$161,0),MATCH('TCO Inputs'!$AZ$12,'Year data'!$B$110:$AC$110,0))/(1+$AZ$41)^G$168</f>
        <v>1093.7176636802023</v>
      </c>
      <c r="H182" s="106">
        <f>VLOOKUP($A182,'VKT US'!$B$63:$AA$113,(H$168+1),FALSE)/VLOOKUP($A182,'Fuel economy adjusted factor'!$A$2:$F$52,6,FALSE)*INDEX('Year data'!$B$111:$AC$161,MATCH($A182,'Year data'!$A$111:$A$161,0),MATCH('TCO Inputs'!$AZ$12,'Year data'!$B$110:$AC$110,0))/(1+$AZ$41)^H$168</f>
        <v>1049.4869796486018</v>
      </c>
      <c r="I182" s="106">
        <f>VLOOKUP($A182,'VKT US'!$B$63:$AA$113,(I$168+1),FALSE)/VLOOKUP($A182,'Fuel economy adjusted factor'!$A$2:$F$52,6,FALSE)*INDEX('Year data'!$B$111:$AC$161,MATCH($A182,'Year data'!$A$111:$A$161,0),MATCH('TCO Inputs'!$AZ$12,'Year data'!$B$110:$AC$110,0))/(1+$AZ$41)^I$168</f>
        <v>1007.4050103665718</v>
      </c>
      <c r="J182" s="106">
        <f>VLOOKUP($A182,'VKT US'!$B$63:$AA$113,(J$168+1),FALSE)/VLOOKUP($A182,'Fuel economy adjusted factor'!$A$2:$F$52,6,FALSE)*INDEX('Year data'!$B$111:$AC$161,MATCH($A182,'Year data'!$A$111:$A$161,0),MATCH('TCO Inputs'!$AZ$12,'Year data'!$B$110:$AC$110,0))/(1+$AZ$41)^J$168</f>
        <v>967.41215303023512</v>
      </c>
      <c r="K182" s="106">
        <f>VLOOKUP($A182,'VKT US'!$B$63:$AA$113,(K$168+1),FALSE)/VLOOKUP($A182,'Fuel economy adjusted factor'!$A$2:$F$52,6,FALSE)*INDEX('Year data'!$B$111:$AC$161,MATCH($A182,'Year data'!$A$111:$A$161,0),MATCH('TCO Inputs'!$AZ$12,'Year data'!$B$110:$AC$110,0))/(1+$AZ$41)^K$168</f>
        <v>929.45009247584244</v>
      </c>
      <c r="L182" s="106">
        <f>VLOOKUP($A182,'VKT US'!$B$63:$AA$113,(L$168+1),FALSE)/VLOOKUP($A182,'Fuel economy adjusted factor'!$A$2:$F$52,6,FALSE)*INDEX('Year data'!$B$111:$AC$161,MATCH($A182,'Year data'!$A$111:$A$161,0),MATCH('TCO Inputs'!$AZ$12,'Year data'!$B$110:$AC$110,0))/(1+$AZ$41)^L$168</f>
        <v>893.37538534785904</v>
      </c>
      <c r="M182" s="106">
        <f>VLOOKUP($A182,'VKT US'!$B$63:$AA$113,(M$168+1),FALSE)/VLOOKUP($A182,'Fuel economy adjusted factor'!$A$2:$F$52,6,FALSE)*INDEX('Year data'!$B$111:$AC$161,MATCH($A182,'Year data'!$A$111:$A$161,0),MATCH('TCO Inputs'!$AZ$12,'Year data'!$B$110:$AC$110,0))/(1+$AZ$41)^M$168</f>
        <v>859.22065983999005</v>
      </c>
      <c r="N182" s="106">
        <f>VLOOKUP($A182,'VKT US'!$B$63:$AA$113,(N$168+1),FALSE)/VLOOKUP($A182,'Fuel economy adjusted factor'!$A$2:$F$52,6,FALSE)*INDEX('Year data'!$B$111:$AC$161,MATCH($A182,'Year data'!$A$111:$A$161,0),MATCH('TCO Inputs'!$AZ$12,'Year data'!$B$110:$AC$110,0))/(1+$AZ$41)^N$168</f>
        <v>826.84692853680156</v>
      </c>
      <c r="O182" s="106">
        <f>VLOOKUP($A182,'VKT US'!$B$63:$AA$113,(O$168+1),FALSE)/VLOOKUP($A182,'Fuel economy adjusted factor'!$A$2:$F$52,6,FALSE)*INDEX('Year data'!$B$111:$AC$161,MATCH($A182,'Year data'!$A$111:$A$161,0),MATCH('TCO Inputs'!$AZ$12,'Year data'!$B$110:$AC$110,0))/(1+$AZ$41)^O$168</f>
        <v>796.28710809120037</v>
      </c>
      <c r="P182" s="106">
        <f>VLOOKUP($A182,'VKT US'!$B$63:$AA$113,(P$168+1),FALSE)/VLOOKUP($A182,'Fuel economy adjusted factor'!$A$2:$F$52,6,FALSE)*INDEX('Year data'!$B$111:$AC$161,MATCH($A182,'Year data'!$A$111:$A$161,0),MATCH('TCO Inputs'!$AZ$12,'Year data'!$B$110:$AC$110,0))/(1+$AZ$41)^P$168</f>
        <v>767.406528967962</v>
      </c>
      <c r="Q182" s="106">
        <f>VLOOKUP($A182,'VKT US'!$B$63:$AA$113,(Q$168+1),FALSE)/VLOOKUP($A182,'Fuel economy adjusted factor'!$A$2:$F$52,6,FALSE)*INDEX('Year data'!$B$111:$AC$161,MATCH($A182,'Year data'!$A$111:$A$161,0),MATCH('TCO Inputs'!$AZ$12,'Year data'!$B$110:$AC$110,0))/(1+$AZ$41)^Q$168</f>
        <v>740.31974654394992</v>
      </c>
      <c r="R182" s="106">
        <f>VLOOKUP($A182,'VKT US'!$B$63:$AA$113,(R$168+1),FALSE)/VLOOKUP($A182,'Fuel economy adjusted factor'!$A$2:$F$52,6,FALSE)*INDEX('Year data'!$B$111:$AC$161,MATCH($A182,'Year data'!$A$111:$A$161,0),MATCH('TCO Inputs'!$AZ$12,'Year data'!$B$110:$AC$110,0))/(1+$AZ$41)^R$168</f>
        <v>714.73253103654167</v>
      </c>
      <c r="S182" s="106">
        <f>VLOOKUP($A182,'VKT US'!$B$63:$AA$113,(S$168+1),FALSE)/VLOOKUP($A182,'Fuel economy adjusted factor'!$A$2:$F$52,6,FALSE)*INDEX('Year data'!$B$111:$AC$161,MATCH($A182,'Year data'!$A$111:$A$161,0),MATCH('TCO Inputs'!$AZ$12,'Year data'!$B$110:$AC$110,0))/(1+$AZ$41)^S$168</f>
        <v>690.84009688405035</v>
      </c>
      <c r="T182" s="106">
        <f>VLOOKUP($A182,'VKT US'!$B$63:$AA$113,(T$168+1),FALSE)/VLOOKUP($A182,'Fuel economy adjusted factor'!$A$2:$F$52,6,FALSE)*INDEX('Year data'!$B$111:$AC$161,MATCH($A182,'Year data'!$A$111:$A$161,0),MATCH('TCO Inputs'!$AZ$12,'Year data'!$B$110:$AC$110,0))/(1+$AZ$41)^T$168</f>
        <v>668.35612868517524</v>
      </c>
      <c r="U182" s="106">
        <f>VLOOKUP($A182,'VKT US'!$B$63:$AA$113,(U$168+1),FALSE)/VLOOKUP($A182,'Fuel economy adjusted factor'!$A$2:$F$52,6,FALSE)*INDEX('Year data'!$B$111:$AC$161,MATCH($A182,'Year data'!$A$111:$A$161,0),MATCH('TCO Inputs'!$AZ$12,'Year data'!$B$110:$AC$110,0))/(1+$AZ$41)^U$168</f>
        <v>647.47220148827432</v>
      </c>
      <c r="V182" s="110" cm="1">
        <f t="array" ref="V182">SUMPRODUCT(INDEX(B182:U182,,_xlfn.SEQUENCE($AZ$13)))</f>
        <v>14632.206046244673</v>
      </c>
    </row>
    <row r="183" spans="1:22" x14ac:dyDescent="0.25">
      <c r="A183" s="102" t="s">
        <v>195</v>
      </c>
      <c r="B183" s="106">
        <f>VLOOKUP($A183,'VKT US'!$B$63:$AA$113,(B$168+1),FALSE)/VLOOKUP($A183,'Fuel economy adjusted factor'!$A$2:$F$52,6,FALSE)*INDEX('Year data'!$B$111:$AC$161,MATCH($A183,'Year data'!$A$111:$A$161,0),MATCH('TCO Inputs'!$AZ$12,'Year data'!$B$110:$AC$110,0))/(1+$AZ$41)^B$168</f>
        <v>1116.8324213419551</v>
      </c>
      <c r="C183" s="106">
        <f>VLOOKUP($A183,'VKT US'!$B$63:$AA$113,(C$168+1),FALSE)/VLOOKUP($A183,'Fuel economy adjusted factor'!$A$2:$F$52,6,FALSE)*INDEX('Year data'!$B$111:$AC$161,MATCH($A183,'Year data'!$A$111:$A$161,0),MATCH('TCO Inputs'!$AZ$12,'Year data'!$B$110:$AC$110,0))/(1+$AZ$41)^C$168</f>
        <v>1070.7652940084188</v>
      </c>
      <c r="D183" s="106">
        <f>VLOOKUP($A183,'VKT US'!$B$63:$AA$113,(D$168+1),FALSE)/VLOOKUP($A183,'Fuel economy adjusted factor'!$A$2:$F$52,6,FALSE)*INDEX('Year data'!$B$111:$AC$161,MATCH($A183,'Year data'!$A$111:$A$161,0),MATCH('TCO Inputs'!$AZ$12,'Year data'!$B$110:$AC$110,0))/(1+$AZ$41)^D$168</f>
        <v>1026.6570645677311</v>
      </c>
      <c r="E183" s="106">
        <f>VLOOKUP($A183,'VKT US'!$B$63:$AA$113,(E$168+1),FALSE)/VLOOKUP($A183,'Fuel economy adjusted factor'!$A$2:$F$52,6,FALSE)*INDEX('Year data'!$B$111:$AC$161,MATCH($A183,'Year data'!$A$111:$A$161,0),MATCH('TCO Inputs'!$AZ$12,'Year data'!$B$110:$AC$110,0))/(1+$AZ$41)^E$168</f>
        <v>984.53341052748556</v>
      </c>
      <c r="F183" s="106">
        <f>VLOOKUP($A183,'VKT US'!$B$63:$AA$113,(F$168+1),FALSE)/VLOOKUP($A183,'Fuel economy adjusted factor'!$A$2:$F$52,6,FALSE)*INDEX('Year data'!$B$111:$AC$161,MATCH($A183,'Year data'!$A$111:$A$161,0),MATCH('TCO Inputs'!$AZ$12,'Year data'!$B$110:$AC$110,0))/(1+$AZ$41)^F$168</f>
        <v>944.26368524916802</v>
      </c>
      <c r="G183" s="106">
        <f>VLOOKUP($A183,'VKT US'!$B$63:$AA$113,(G$168+1),FALSE)/VLOOKUP($A183,'Fuel economy adjusted factor'!$A$2:$F$52,6,FALSE)*INDEX('Year data'!$B$111:$AC$161,MATCH($A183,'Year data'!$A$111:$A$161,0),MATCH('TCO Inputs'!$AZ$12,'Year data'!$B$110:$AC$110,0))/(1+$AZ$41)^G$168</f>
        <v>905.94991122219039</v>
      </c>
      <c r="H183" s="106">
        <f>VLOOKUP($A183,'VKT US'!$B$63:$AA$113,(H$168+1),FALSE)/VLOOKUP($A183,'Fuel economy adjusted factor'!$A$2:$F$52,6,FALSE)*INDEX('Year data'!$B$111:$AC$161,MATCH($A183,'Year data'!$A$111:$A$161,0),MATCH('TCO Inputs'!$AZ$12,'Year data'!$B$110:$AC$110,0))/(1+$AZ$41)^H$168</f>
        <v>869.31268243602199</v>
      </c>
      <c r="I183" s="106">
        <f>VLOOKUP($A183,'VKT US'!$B$63:$AA$113,(I$168+1),FALSE)/VLOOKUP($A183,'Fuel economy adjusted factor'!$A$2:$F$52,6,FALSE)*INDEX('Year data'!$B$111:$AC$161,MATCH($A183,'Year data'!$A$111:$A$161,0),MATCH('TCO Inputs'!$AZ$12,'Year data'!$B$110:$AC$110,0))/(1+$AZ$41)^I$168</f>
        <v>834.45528038325835</v>
      </c>
      <c r="J183" s="106">
        <f>VLOOKUP($A183,'VKT US'!$B$63:$AA$113,(J$168+1),FALSE)/VLOOKUP($A183,'Fuel economy adjusted factor'!$A$2:$F$52,6,FALSE)*INDEX('Year data'!$B$111:$AC$161,MATCH($A183,'Year data'!$A$111:$A$161,0),MATCH('TCO Inputs'!$AZ$12,'Year data'!$B$110:$AC$110,0))/(1+$AZ$41)^J$168</f>
        <v>801.32833477696568</v>
      </c>
      <c r="K183" s="106">
        <f>VLOOKUP($A183,'VKT US'!$B$63:$AA$113,(K$168+1),FALSE)/VLOOKUP($A183,'Fuel economy adjusted factor'!$A$2:$F$52,6,FALSE)*INDEX('Year data'!$B$111:$AC$161,MATCH($A183,'Year data'!$A$111:$A$161,0),MATCH('TCO Inputs'!$AZ$12,'Year data'!$B$110:$AC$110,0))/(1+$AZ$41)^K$168</f>
        <v>769.88354191027588</v>
      </c>
      <c r="L183" s="106">
        <f>VLOOKUP($A183,'VKT US'!$B$63:$AA$113,(L$168+1),FALSE)/VLOOKUP($A183,'Fuel economy adjusted factor'!$A$2:$F$52,6,FALSE)*INDEX('Year data'!$B$111:$AC$161,MATCH($A183,'Year data'!$A$111:$A$161,0),MATCH('TCO Inputs'!$AZ$12,'Year data'!$B$110:$AC$110,0))/(1+$AZ$41)^L$168</f>
        <v>740.00208456049404</v>
      </c>
      <c r="M183" s="106">
        <f>VLOOKUP($A183,'VKT US'!$B$63:$AA$113,(M$168+1),FALSE)/VLOOKUP($A183,'Fuel economy adjusted factor'!$A$2:$F$52,6,FALSE)*INDEX('Year data'!$B$111:$AC$161,MATCH($A183,'Year data'!$A$111:$A$161,0),MATCH('TCO Inputs'!$AZ$12,'Year data'!$B$110:$AC$110,0))/(1+$AZ$41)^M$168</f>
        <v>711.71098936362648</v>
      </c>
      <c r="N183" s="106">
        <f>VLOOKUP($A183,'VKT US'!$B$63:$AA$113,(N$168+1),FALSE)/VLOOKUP($A183,'Fuel economy adjusted factor'!$A$2:$F$52,6,FALSE)*INDEX('Year data'!$B$111:$AC$161,MATCH($A183,'Year data'!$A$111:$A$161,0),MATCH('TCO Inputs'!$AZ$12,'Year data'!$B$110:$AC$110,0))/(1+$AZ$41)^N$168</f>
        <v>684.89513004819139</v>
      </c>
      <c r="O183" s="106">
        <f>VLOOKUP($A183,'VKT US'!$B$63:$AA$113,(O$168+1),FALSE)/VLOOKUP($A183,'Fuel economy adjusted factor'!$A$2:$F$52,6,FALSE)*INDEX('Year data'!$B$111:$AC$161,MATCH($A183,'Year data'!$A$111:$A$161,0),MATCH('TCO Inputs'!$AZ$12,'Year data'!$B$110:$AC$110,0))/(1+$AZ$41)^O$168</f>
        <v>659.58177218716889</v>
      </c>
      <c r="P183" s="106">
        <f>VLOOKUP($A183,'VKT US'!$B$63:$AA$113,(P$168+1),FALSE)/VLOOKUP($A183,'Fuel economy adjusted factor'!$A$2:$F$52,6,FALSE)*INDEX('Year data'!$B$111:$AC$161,MATCH($A183,'Year data'!$A$111:$A$161,0),MATCH('TCO Inputs'!$AZ$12,'Year data'!$B$110:$AC$110,0))/(1+$AZ$41)^P$168</f>
        <v>635.65936610230779</v>
      </c>
      <c r="Q183" s="106">
        <f>VLOOKUP($A183,'VKT US'!$B$63:$AA$113,(Q$168+1),FALSE)/VLOOKUP($A183,'Fuel economy adjusted factor'!$A$2:$F$52,6,FALSE)*INDEX('Year data'!$B$111:$AC$161,MATCH($A183,'Year data'!$A$111:$A$161,0),MATCH('TCO Inputs'!$AZ$12,'Year data'!$B$110:$AC$110,0))/(1+$AZ$41)^Q$168</f>
        <v>613.22280048101459</v>
      </c>
      <c r="R183" s="106">
        <f>VLOOKUP($A183,'VKT US'!$B$63:$AA$113,(R$168+1),FALSE)/VLOOKUP($A183,'Fuel economy adjusted factor'!$A$2:$F$52,6,FALSE)*INDEX('Year data'!$B$111:$AC$161,MATCH($A183,'Year data'!$A$111:$A$161,0),MATCH('TCO Inputs'!$AZ$12,'Year data'!$B$110:$AC$110,0))/(1+$AZ$41)^R$168</f>
        <v>592.02835845348068</v>
      </c>
      <c r="S183" s="106">
        <f>VLOOKUP($A183,'VKT US'!$B$63:$AA$113,(S$168+1),FALSE)/VLOOKUP($A183,'Fuel economy adjusted factor'!$A$2:$F$52,6,FALSE)*INDEX('Year data'!$B$111:$AC$161,MATCH($A183,'Year data'!$A$111:$A$161,0),MATCH('TCO Inputs'!$AZ$12,'Year data'!$B$110:$AC$110,0))/(1+$AZ$41)^S$168</f>
        <v>572.23774034597216</v>
      </c>
      <c r="T183" s="106">
        <f>VLOOKUP($A183,'VKT US'!$B$63:$AA$113,(T$168+1),FALSE)/VLOOKUP($A183,'Fuel economy adjusted factor'!$A$2:$F$52,6,FALSE)*INDEX('Year data'!$B$111:$AC$161,MATCH($A183,'Year data'!$A$111:$A$161,0),MATCH('TCO Inputs'!$AZ$12,'Year data'!$B$110:$AC$110,0))/(1+$AZ$41)^T$168</f>
        <v>553.61378494128985</v>
      </c>
      <c r="U183" s="106">
        <f>VLOOKUP($A183,'VKT US'!$B$63:$AA$113,(U$168+1),FALSE)/VLOOKUP($A183,'Fuel economy adjusted factor'!$A$2:$F$52,6,FALSE)*INDEX('Year data'!$B$111:$AC$161,MATCH($A183,'Year data'!$A$111:$A$161,0),MATCH('TCO Inputs'!$AZ$12,'Year data'!$B$110:$AC$110,0))/(1+$AZ$41)^U$168</f>
        <v>536.31517798056757</v>
      </c>
      <c r="V183" s="110" cm="1">
        <f t="array" ref="V183">SUMPRODUCT(INDEX(B183:U183,,_xlfn.SEQUENCE($AZ$13)))</f>
        <v>12120.17160258295</v>
      </c>
    </row>
    <row r="184" spans="1:22" x14ac:dyDescent="0.25">
      <c r="A184" s="102" t="s">
        <v>199</v>
      </c>
      <c r="B184" s="106">
        <f>VLOOKUP($A184,'VKT US'!$B$63:$AA$113,(B$168+1),FALSE)/VLOOKUP($A184,'Fuel economy adjusted factor'!$A$2:$F$52,6,FALSE)*INDEX('Year data'!$B$111:$AC$161,MATCH($A184,'Year data'!$A$111:$A$161,0),MATCH('TCO Inputs'!$AZ$12,'Year data'!$B$110:$AC$110,0))/(1+$AZ$41)^B$168</f>
        <v>1106.7763860432165</v>
      </c>
      <c r="C184" s="106">
        <f>VLOOKUP($A184,'VKT US'!$B$63:$AA$113,(C$168+1),FALSE)/VLOOKUP($A184,'Fuel economy adjusted factor'!$A$2:$F$52,6,FALSE)*INDEX('Year data'!$B$111:$AC$161,MATCH($A184,'Year data'!$A$111:$A$161,0),MATCH('TCO Inputs'!$AZ$12,'Year data'!$B$110:$AC$110,0))/(1+$AZ$41)^C$168</f>
        <v>1061.1240502663413</v>
      </c>
      <c r="D184" s="106">
        <f>VLOOKUP($A184,'VKT US'!$B$63:$AA$113,(D$168+1),FALSE)/VLOOKUP($A184,'Fuel economy adjusted factor'!$A$2:$F$52,6,FALSE)*INDEX('Year data'!$B$111:$AC$161,MATCH($A184,'Year data'!$A$111:$A$161,0),MATCH('TCO Inputs'!$AZ$12,'Year data'!$B$110:$AC$110,0))/(1+$AZ$41)^D$168</f>
        <v>1017.4129743320743</v>
      </c>
      <c r="E184" s="106">
        <f>VLOOKUP($A184,'VKT US'!$B$63:$AA$113,(E$168+1),FALSE)/VLOOKUP($A184,'Fuel economy adjusted factor'!$A$2:$F$52,6,FALSE)*INDEX('Year data'!$B$111:$AC$161,MATCH($A184,'Year data'!$A$111:$A$161,0),MATCH('TCO Inputs'!$AZ$12,'Year data'!$B$110:$AC$110,0))/(1+$AZ$41)^E$168</f>
        <v>975.66860454597986</v>
      </c>
      <c r="F184" s="106">
        <f>VLOOKUP($A184,'VKT US'!$B$63:$AA$113,(F$168+1),FALSE)/VLOOKUP($A184,'Fuel economy adjusted factor'!$A$2:$F$52,6,FALSE)*INDEX('Year data'!$B$111:$AC$161,MATCH($A184,'Year data'!$A$111:$A$161,0),MATCH('TCO Inputs'!$AZ$12,'Year data'!$B$110:$AC$110,0))/(1+$AZ$41)^F$168</f>
        <v>935.76147062078826</v>
      </c>
      <c r="G184" s="106">
        <f>VLOOKUP($A184,'VKT US'!$B$63:$AA$113,(G$168+1),FALSE)/VLOOKUP($A184,'Fuel economy adjusted factor'!$A$2:$F$52,6,FALSE)*INDEX('Year data'!$B$111:$AC$161,MATCH($A184,'Year data'!$A$111:$A$161,0),MATCH('TCO Inputs'!$AZ$12,'Year data'!$B$110:$AC$110,0))/(1+$AZ$41)^G$168</f>
        <v>897.79267642845798</v>
      </c>
      <c r="H184" s="106">
        <f>VLOOKUP($A184,'VKT US'!$B$63:$AA$113,(H$168+1),FALSE)/VLOOKUP($A184,'Fuel economy adjusted factor'!$A$2:$F$52,6,FALSE)*INDEX('Year data'!$B$111:$AC$161,MATCH($A184,'Year data'!$A$111:$A$161,0),MATCH('TCO Inputs'!$AZ$12,'Year data'!$B$110:$AC$110,0))/(1+$AZ$41)^H$168</f>
        <v>861.48533174923455</v>
      </c>
      <c r="I184" s="106">
        <f>VLOOKUP($A184,'VKT US'!$B$63:$AA$113,(I$168+1),FALSE)/VLOOKUP($A184,'Fuel economy adjusted factor'!$A$2:$F$52,6,FALSE)*INDEX('Year data'!$B$111:$AC$161,MATCH($A184,'Year data'!$A$111:$A$161,0),MATCH('TCO Inputs'!$AZ$12,'Year data'!$B$110:$AC$110,0))/(1+$AZ$41)^I$168</f>
        <v>826.94178812210976</v>
      </c>
      <c r="J184" s="106">
        <f>VLOOKUP($A184,'VKT US'!$B$63:$AA$113,(J$168+1),FALSE)/VLOOKUP($A184,'Fuel economy adjusted factor'!$A$2:$F$52,6,FALSE)*INDEX('Year data'!$B$111:$AC$161,MATCH($A184,'Year data'!$A$111:$A$161,0),MATCH('TCO Inputs'!$AZ$12,'Year data'!$B$110:$AC$110,0))/(1+$AZ$41)^J$168</f>
        <v>794.11311979358084</v>
      </c>
      <c r="K184" s="106">
        <f>VLOOKUP($A184,'VKT US'!$B$63:$AA$113,(K$168+1),FALSE)/VLOOKUP($A184,'Fuel economy adjusted factor'!$A$2:$F$52,6,FALSE)*INDEX('Year data'!$B$111:$AC$161,MATCH($A184,'Year data'!$A$111:$A$161,0),MATCH('TCO Inputs'!$AZ$12,'Year data'!$B$110:$AC$110,0))/(1+$AZ$41)^K$168</f>
        <v>762.95145798665123</v>
      </c>
      <c r="L184" s="106">
        <f>VLOOKUP($A184,'VKT US'!$B$63:$AA$113,(L$168+1),FALSE)/VLOOKUP($A184,'Fuel economy adjusted factor'!$A$2:$F$52,6,FALSE)*INDEX('Year data'!$B$111:$AC$161,MATCH($A184,'Year data'!$A$111:$A$161,0),MATCH('TCO Inputs'!$AZ$12,'Year data'!$B$110:$AC$110,0))/(1+$AZ$41)^L$168</f>
        <v>733.33905531700316</v>
      </c>
      <c r="M184" s="106">
        <f>VLOOKUP($A184,'VKT US'!$B$63:$AA$113,(M$168+1),FALSE)/VLOOKUP($A184,'Fuel economy adjusted factor'!$A$2:$F$52,6,FALSE)*INDEX('Year data'!$B$111:$AC$161,MATCH($A184,'Year data'!$A$111:$A$161,0),MATCH('TCO Inputs'!$AZ$12,'Year data'!$B$110:$AC$110,0))/(1+$AZ$41)^M$168</f>
        <v>705.30269507096898</v>
      </c>
      <c r="N184" s="106">
        <f>VLOOKUP($A184,'VKT US'!$B$63:$AA$113,(N$168+1),FALSE)/VLOOKUP($A184,'Fuel economy adjusted factor'!$A$2:$F$52,6,FALSE)*INDEX('Year data'!$B$111:$AC$161,MATCH($A184,'Year data'!$A$111:$A$161,0),MATCH('TCO Inputs'!$AZ$12,'Year data'!$B$110:$AC$110,0))/(1+$AZ$41)^N$168</f>
        <v>678.7282875818679</v>
      </c>
      <c r="O184" s="106">
        <f>VLOOKUP($A184,'VKT US'!$B$63:$AA$113,(O$168+1),FALSE)/VLOOKUP($A184,'Fuel economy adjusted factor'!$A$2:$F$52,6,FALSE)*INDEX('Year data'!$B$111:$AC$161,MATCH($A184,'Year data'!$A$111:$A$161,0),MATCH('TCO Inputs'!$AZ$12,'Year data'!$B$110:$AC$110,0))/(1+$AZ$41)^O$168</f>
        <v>653.64285292160105</v>
      </c>
      <c r="P184" s="106">
        <f>VLOOKUP($A184,'VKT US'!$B$63:$AA$113,(P$168+1),FALSE)/VLOOKUP($A184,'Fuel economy adjusted factor'!$A$2:$F$52,6,FALSE)*INDEX('Year data'!$B$111:$AC$161,MATCH($A184,'Year data'!$A$111:$A$161,0),MATCH('TCO Inputs'!$AZ$12,'Year data'!$B$110:$AC$110,0))/(1+$AZ$41)^P$168</f>
        <v>629.93584581282903</v>
      </c>
      <c r="Q184" s="106">
        <f>VLOOKUP($A184,'VKT US'!$B$63:$AA$113,(Q$168+1),FALSE)/VLOOKUP($A184,'Fuel economy adjusted factor'!$A$2:$F$52,6,FALSE)*INDEX('Year data'!$B$111:$AC$161,MATCH($A184,'Year data'!$A$111:$A$161,0),MATCH('TCO Inputs'!$AZ$12,'Year data'!$B$110:$AC$110,0))/(1+$AZ$41)^Q$168</f>
        <v>607.70130055874461</v>
      </c>
      <c r="R184" s="106">
        <f>VLOOKUP($A184,'VKT US'!$B$63:$AA$113,(R$168+1),FALSE)/VLOOKUP($A184,'Fuel economy adjusted factor'!$A$2:$F$52,6,FALSE)*INDEX('Year data'!$B$111:$AC$161,MATCH($A184,'Year data'!$A$111:$A$161,0),MATCH('TCO Inputs'!$AZ$12,'Year data'!$B$110:$AC$110,0))/(1+$AZ$41)^R$168</f>
        <v>586.69769473285851</v>
      </c>
      <c r="S184" s="106">
        <f>VLOOKUP($A184,'VKT US'!$B$63:$AA$113,(S$168+1),FALSE)/VLOOKUP($A184,'Fuel economy adjusted factor'!$A$2:$F$52,6,FALSE)*INDEX('Year data'!$B$111:$AC$161,MATCH($A184,'Year data'!$A$111:$A$161,0),MATCH('TCO Inputs'!$AZ$12,'Year data'!$B$110:$AC$110,0))/(1+$AZ$41)^S$168</f>
        <v>567.08527270066952</v>
      </c>
      <c r="T184" s="106">
        <f>VLOOKUP($A184,'VKT US'!$B$63:$AA$113,(T$168+1),FALSE)/VLOOKUP($A184,'Fuel economy adjusted factor'!$A$2:$F$52,6,FALSE)*INDEX('Year data'!$B$111:$AC$161,MATCH($A184,'Year data'!$A$111:$A$161,0),MATCH('TCO Inputs'!$AZ$12,'Year data'!$B$110:$AC$110,0))/(1+$AZ$41)^T$168</f>
        <v>548.62900866075495</v>
      </c>
      <c r="U184" s="106">
        <f>VLOOKUP($A184,'VKT US'!$B$63:$AA$113,(U$168+1),FALSE)/VLOOKUP($A184,'Fuel economy adjusted factor'!$A$2:$F$52,6,FALSE)*INDEX('Year data'!$B$111:$AC$161,MATCH($A184,'Year data'!$A$111:$A$161,0),MATCH('TCO Inputs'!$AZ$12,'Year data'!$B$110:$AC$110,0))/(1+$AZ$41)^U$168</f>
        <v>531.48615953701164</v>
      </c>
      <c r="V184" s="110" cm="1">
        <f t="array" ref="V184">SUMPRODUCT(INDEX(B184:U184,,_xlfn.SEQUENCE($AZ$13)))</f>
        <v>12011.040750779874</v>
      </c>
    </row>
    <row r="185" spans="1:22" x14ac:dyDescent="0.25">
      <c r="A185" s="102" t="s">
        <v>157</v>
      </c>
      <c r="B185" s="106">
        <f>VLOOKUP($A185,'VKT US'!$B$63:$AA$113,(B$168+1),FALSE)/VLOOKUP($A185,'Fuel economy adjusted factor'!$A$2:$F$52,6,FALSE)*INDEX('Year data'!$B$111:$AC$161,MATCH($A185,'Year data'!$A$111:$A$161,0),MATCH('TCO Inputs'!$AZ$12,'Year data'!$B$110:$AC$110,0))/(1+$AZ$41)^B$168</f>
        <v>1209.140304701009</v>
      </c>
      <c r="C185" s="106">
        <f>VLOOKUP($A185,'VKT US'!$B$63:$AA$113,(C$168+1),FALSE)/VLOOKUP($A185,'Fuel economy adjusted factor'!$A$2:$F$52,6,FALSE)*INDEX('Year data'!$B$111:$AC$161,MATCH($A185,'Year data'!$A$111:$A$161,0),MATCH('TCO Inputs'!$AZ$12,'Year data'!$B$110:$AC$110,0))/(1+$AZ$41)^C$168</f>
        <v>1159.2656598426133</v>
      </c>
      <c r="D185" s="106">
        <f>VLOOKUP($A185,'VKT US'!$B$63:$AA$113,(D$168+1),FALSE)/VLOOKUP($A185,'Fuel economy adjusted factor'!$A$2:$F$52,6,FALSE)*INDEX('Year data'!$B$111:$AC$161,MATCH($A185,'Year data'!$A$111:$A$161,0),MATCH('TCO Inputs'!$AZ$12,'Year data'!$B$110:$AC$110,0))/(1+$AZ$41)^D$168</f>
        <v>1111.5118187411422</v>
      </c>
      <c r="E185" s="106">
        <f>VLOOKUP($A185,'VKT US'!$B$63:$AA$113,(E$168+1),FALSE)/VLOOKUP($A185,'Fuel economy adjusted factor'!$A$2:$F$52,6,FALSE)*INDEX('Year data'!$B$111:$AC$161,MATCH($A185,'Year data'!$A$111:$A$161,0),MATCH('TCO Inputs'!$AZ$12,'Year data'!$B$110:$AC$110,0))/(1+$AZ$41)^E$168</f>
        <v>1065.9065811889027</v>
      </c>
      <c r="F185" s="106">
        <f>VLOOKUP($A185,'VKT US'!$B$63:$AA$113,(F$168+1),FALSE)/VLOOKUP($A185,'Fuel economy adjusted factor'!$A$2:$F$52,6,FALSE)*INDEX('Year data'!$B$111:$AC$161,MATCH($A185,'Year data'!$A$111:$A$161,0),MATCH('TCO Inputs'!$AZ$12,'Year data'!$B$110:$AC$110,0))/(1+$AZ$41)^F$168</f>
        <v>1022.3085024057453</v>
      </c>
      <c r="G185" s="106">
        <f>VLOOKUP($A185,'VKT US'!$B$63:$AA$113,(G$168+1),FALSE)/VLOOKUP($A185,'Fuel economy adjusted factor'!$A$2:$F$52,6,FALSE)*INDEX('Year data'!$B$111:$AC$161,MATCH($A185,'Year data'!$A$111:$A$161,0),MATCH('TCO Inputs'!$AZ$12,'Year data'!$B$110:$AC$110,0))/(1+$AZ$41)^G$168</f>
        <v>980.82803719364119</v>
      </c>
      <c r="H185" s="106">
        <f>VLOOKUP($A185,'VKT US'!$B$63:$AA$113,(H$168+1),FALSE)/VLOOKUP($A185,'Fuel economy adjusted factor'!$A$2:$F$52,6,FALSE)*INDEX('Year data'!$B$111:$AC$161,MATCH($A185,'Year data'!$A$111:$A$161,0),MATCH('TCO Inputs'!$AZ$12,'Year data'!$B$110:$AC$110,0))/(1+$AZ$41)^H$168</f>
        <v>941.16268621405652</v>
      </c>
      <c r="I185" s="106">
        <f>VLOOKUP($A185,'VKT US'!$B$63:$AA$113,(I$168+1),FALSE)/VLOOKUP($A185,'Fuel economy adjusted factor'!$A$2:$F$52,6,FALSE)*INDEX('Year data'!$B$111:$AC$161,MATCH($A185,'Year data'!$A$111:$A$161,0),MATCH('TCO Inputs'!$AZ$12,'Year data'!$B$110:$AC$110,0))/(1+$AZ$41)^I$168</f>
        <v>903.42426733065668</v>
      </c>
      <c r="J185" s="106">
        <f>VLOOKUP($A185,'VKT US'!$B$63:$AA$113,(J$168+1),FALSE)/VLOOKUP($A185,'Fuel economy adjusted factor'!$A$2:$F$52,6,FALSE)*INDEX('Year data'!$B$111:$AC$161,MATCH($A185,'Year data'!$A$111:$A$161,0),MATCH('TCO Inputs'!$AZ$12,'Year data'!$B$110:$AC$110,0))/(1+$AZ$41)^J$168</f>
        <v>867.55932972786252</v>
      </c>
      <c r="K185" s="106">
        <f>VLOOKUP($A185,'VKT US'!$B$63:$AA$113,(K$168+1),FALSE)/VLOOKUP($A185,'Fuel economy adjusted factor'!$A$2:$F$52,6,FALSE)*INDEX('Year data'!$B$111:$AC$161,MATCH($A185,'Year data'!$A$111:$A$161,0),MATCH('TCO Inputs'!$AZ$12,'Year data'!$B$110:$AC$110,0))/(1+$AZ$41)^K$168</f>
        <v>833.51557732461129</v>
      </c>
      <c r="L185" s="106">
        <f>VLOOKUP($A185,'VKT US'!$B$63:$AA$113,(L$168+1),FALSE)/VLOOKUP($A185,'Fuel economy adjusted factor'!$A$2:$F$52,6,FALSE)*INDEX('Year data'!$B$111:$AC$161,MATCH($A185,'Year data'!$A$111:$A$161,0),MATCH('TCO Inputs'!$AZ$12,'Year data'!$B$110:$AC$110,0))/(1+$AZ$41)^L$168</f>
        <v>801.1643724756226</v>
      </c>
      <c r="M185" s="106">
        <f>VLOOKUP($A185,'VKT US'!$B$63:$AA$113,(M$168+1),FALSE)/VLOOKUP($A185,'Fuel economy adjusted factor'!$A$2:$F$52,6,FALSE)*INDEX('Year data'!$B$111:$AC$161,MATCH($A185,'Year data'!$A$111:$A$161,0),MATCH('TCO Inputs'!$AZ$12,'Year data'!$B$110:$AC$110,0))/(1+$AZ$41)^M$168</f>
        <v>770.53497560911489</v>
      </c>
      <c r="N185" s="106">
        <f>VLOOKUP($A185,'VKT US'!$B$63:$AA$113,(N$168+1),FALSE)/VLOOKUP($A185,'Fuel economy adjusted factor'!$A$2:$F$52,6,FALSE)*INDEX('Year data'!$B$111:$AC$161,MATCH($A185,'Year data'!$A$111:$A$161,0),MATCH('TCO Inputs'!$AZ$12,'Year data'!$B$110:$AC$110,0))/(1+$AZ$41)^N$168</f>
        <v>741.50274509370365</v>
      </c>
      <c r="O185" s="106">
        <f>VLOOKUP($A185,'VKT US'!$B$63:$AA$113,(O$168+1),FALSE)/VLOOKUP($A185,'Fuel economy adjusted factor'!$A$2:$F$52,6,FALSE)*INDEX('Year data'!$B$111:$AC$161,MATCH($A185,'Year data'!$A$111:$A$161,0),MATCH('TCO Inputs'!$AZ$12,'Year data'!$B$110:$AC$110,0))/(1+$AZ$41)^O$168</f>
        <v>714.09720004308122</v>
      </c>
      <c r="P185" s="106">
        <f>VLOOKUP($A185,'VKT US'!$B$63:$AA$113,(P$168+1),FALSE)/VLOOKUP($A185,'Fuel economy adjusted factor'!$A$2:$F$52,6,FALSE)*INDEX('Year data'!$B$111:$AC$161,MATCH($A185,'Year data'!$A$111:$A$161,0),MATCH('TCO Inputs'!$AZ$12,'Year data'!$B$110:$AC$110,0))/(1+$AZ$41)^P$168</f>
        <v>688.19757102991741</v>
      </c>
      <c r="Q185" s="106">
        <f>VLOOKUP($A185,'VKT US'!$B$63:$AA$113,(Q$168+1),FALSE)/VLOOKUP($A185,'Fuel economy adjusted factor'!$A$2:$F$52,6,FALSE)*INDEX('Year data'!$B$111:$AC$161,MATCH($A185,'Year data'!$A$111:$A$161,0),MATCH('TCO Inputs'!$AZ$12,'Year data'!$B$110:$AC$110,0))/(1+$AZ$41)^Q$168</f>
        <v>663.90658943468634</v>
      </c>
      <c r="R185" s="106">
        <f>VLOOKUP($A185,'VKT US'!$B$63:$AA$113,(R$168+1),FALSE)/VLOOKUP($A185,'Fuel economy adjusted factor'!$A$2:$F$52,6,FALSE)*INDEX('Year data'!$B$111:$AC$161,MATCH($A185,'Year data'!$A$111:$A$161,0),MATCH('TCO Inputs'!$AZ$12,'Year data'!$B$110:$AC$110,0))/(1+$AZ$41)^R$168</f>
        <v>640.96039482086303</v>
      </c>
      <c r="S185" s="106">
        <f>VLOOKUP($A185,'VKT US'!$B$63:$AA$113,(S$168+1),FALSE)/VLOOKUP($A185,'Fuel economy adjusted factor'!$A$2:$F$52,6,FALSE)*INDEX('Year data'!$B$111:$AC$161,MATCH($A185,'Year data'!$A$111:$A$161,0),MATCH('TCO Inputs'!$AZ$12,'Year data'!$B$110:$AC$110,0))/(1+$AZ$41)^S$168</f>
        <v>619.53405229045802</v>
      </c>
      <c r="T185" s="106">
        <f>VLOOKUP($A185,'VKT US'!$B$63:$AA$113,(T$168+1),FALSE)/VLOOKUP($A185,'Fuel economy adjusted factor'!$A$2:$F$52,6,FALSE)*INDEX('Year data'!$B$111:$AC$161,MATCH($A185,'Year data'!$A$111:$A$161,0),MATCH('TCO Inputs'!$AZ$12,'Year data'!$B$110:$AC$110,0))/(1+$AZ$41)^T$168</f>
        <v>599.37079889412712</v>
      </c>
      <c r="U185" s="106">
        <f>VLOOKUP($A185,'VKT US'!$B$63:$AA$113,(U$168+1),FALSE)/VLOOKUP($A185,'Fuel economy adjusted factor'!$A$2:$F$52,6,FALSE)*INDEX('Year data'!$B$111:$AC$161,MATCH($A185,'Year data'!$A$111:$A$161,0),MATCH('TCO Inputs'!$AZ$12,'Year data'!$B$110:$AC$110,0))/(1+$AZ$41)^U$168</f>
        <v>580.64243598874339</v>
      </c>
      <c r="V185" s="110" cm="1">
        <f t="array" ref="V185">SUMPRODUCT(INDEX(B185:U185,,_xlfn.SEQUENCE($AZ$13)))</f>
        <v>13121.922057891763</v>
      </c>
    </row>
    <row r="186" spans="1:22" x14ac:dyDescent="0.25">
      <c r="A186" s="102" t="s">
        <v>200</v>
      </c>
      <c r="B186" s="106">
        <f>VLOOKUP($A186,'VKT US'!$B$63:$AA$113,(B$168+1),FALSE)/VLOOKUP($A186,'Fuel economy adjusted factor'!$A$2:$F$52,6,FALSE)*INDEX('Year data'!$B$111:$AC$161,MATCH($A186,'Year data'!$A$111:$A$161,0),MATCH('TCO Inputs'!$AZ$12,'Year data'!$B$110:$AC$110,0))/(1+$AZ$41)^B$168</f>
        <v>1008.932222432107</v>
      </c>
      <c r="C186" s="106">
        <f>VLOOKUP($A186,'VKT US'!$B$63:$AA$113,(C$168+1),FALSE)/VLOOKUP($A186,'Fuel economy adjusted factor'!$A$2:$F$52,6,FALSE)*INDEX('Year data'!$B$111:$AC$161,MATCH($A186,'Year data'!$A$111:$A$161,0),MATCH('TCO Inputs'!$AZ$12,'Year data'!$B$110:$AC$110,0))/(1+$AZ$41)^C$168</f>
        <v>967.31576478500517</v>
      </c>
      <c r="D186" s="106">
        <f>VLOOKUP($A186,'VKT US'!$B$63:$AA$113,(D$168+1),FALSE)/VLOOKUP($A186,'Fuel economy adjusted factor'!$A$2:$F$52,6,FALSE)*INDEX('Year data'!$B$111:$AC$161,MATCH($A186,'Year data'!$A$111:$A$161,0),MATCH('TCO Inputs'!$AZ$12,'Year data'!$B$110:$AC$110,0))/(1+$AZ$41)^D$168</f>
        <v>927.46895061062287</v>
      </c>
      <c r="E186" s="106">
        <f>VLOOKUP($A186,'VKT US'!$B$63:$AA$113,(E$168+1),FALSE)/VLOOKUP($A186,'Fuel economy adjusted factor'!$A$2:$F$52,6,FALSE)*INDEX('Year data'!$B$111:$AC$161,MATCH($A186,'Year data'!$A$111:$A$161,0),MATCH('TCO Inputs'!$AZ$12,'Year data'!$B$110:$AC$110,0))/(1+$AZ$41)^E$168</f>
        <v>889.41497664314136</v>
      </c>
      <c r="F186" s="106">
        <f>VLOOKUP($A186,'VKT US'!$B$63:$AA$113,(F$168+1),FALSE)/VLOOKUP($A186,'Fuel economy adjusted factor'!$A$2:$F$52,6,FALSE)*INDEX('Year data'!$B$111:$AC$161,MATCH($A186,'Year data'!$A$111:$A$161,0),MATCH('TCO Inputs'!$AZ$12,'Year data'!$B$110:$AC$110,0))/(1+$AZ$41)^F$168</f>
        <v>853.03581836891783</v>
      </c>
      <c r="G186" s="106">
        <f>VLOOKUP($A186,'VKT US'!$B$63:$AA$113,(G$168+1),FALSE)/VLOOKUP($A186,'Fuel economy adjusted factor'!$A$2:$F$52,6,FALSE)*INDEX('Year data'!$B$111:$AC$161,MATCH($A186,'Year data'!$A$111:$A$161,0),MATCH('TCO Inputs'!$AZ$12,'Year data'!$B$110:$AC$110,0))/(1+$AZ$41)^G$168</f>
        <v>818.42364160890565</v>
      </c>
      <c r="H186" s="106">
        <f>VLOOKUP($A186,'VKT US'!$B$63:$AA$113,(H$168+1),FALSE)/VLOOKUP($A186,'Fuel economy adjusted factor'!$A$2:$F$52,6,FALSE)*INDEX('Year data'!$B$111:$AC$161,MATCH($A186,'Year data'!$A$111:$A$161,0),MATCH('TCO Inputs'!$AZ$12,'Year data'!$B$110:$AC$110,0))/(1+$AZ$41)^H$168</f>
        <v>785.32603452245769</v>
      </c>
      <c r="I186" s="106">
        <f>VLOOKUP($A186,'VKT US'!$B$63:$AA$113,(I$168+1),FALSE)/VLOOKUP($A186,'Fuel economy adjusted factor'!$A$2:$F$52,6,FALSE)*INDEX('Year data'!$B$111:$AC$161,MATCH($A186,'Year data'!$A$111:$A$161,0),MATCH('TCO Inputs'!$AZ$12,'Year data'!$B$110:$AC$110,0))/(1+$AZ$41)^I$168</f>
        <v>753.83630029801031</v>
      </c>
      <c r="J186" s="106">
        <f>VLOOKUP($A186,'VKT US'!$B$63:$AA$113,(J$168+1),FALSE)/VLOOKUP($A186,'Fuel economy adjusted factor'!$A$2:$F$52,6,FALSE)*INDEX('Year data'!$B$111:$AC$161,MATCH($A186,'Year data'!$A$111:$A$161,0),MATCH('TCO Inputs'!$AZ$12,'Year data'!$B$110:$AC$110,0))/(1+$AZ$41)^J$168</f>
        <v>723.90983844549282</v>
      </c>
      <c r="K186" s="106">
        <f>VLOOKUP($A186,'VKT US'!$B$63:$AA$113,(K$168+1),FALSE)/VLOOKUP($A186,'Fuel economy adjusted factor'!$A$2:$F$52,6,FALSE)*INDEX('Year data'!$B$111:$AC$161,MATCH($A186,'Year data'!$A$111:$A$161,0),MATCH('TCO Inputs'!$AZ$12,'Year data'!$B$110:$AC$110,0))/(1+$AZ$41)^K$168</f>
        <v>695.50301200971865</v>
      </c>
      <c r="L186" s="106">
        <f>VLOOKUP($A186,'VKT US'!$B$63:$AA$113,(L$168+1),FALSE)/VLOOKUP($A186,'Fuel economy adjusted factor'!$A$2:$F$52,6,FALSE)*INDEX('Year data'!$B$111:$AC$161,MATCH($A186,'Year data'!$A$111:$A$161,0),MATCH('TCO Inputs'!$AZ$12,'Year data'!$B$110:$AC$110,0))/(1+$AZ$41)^L$168</f>
        <v>668.50848302102736</v>
      </c>
      <c r="M186" s="106">
        <f>VLOOKUP($A186,'VKT US'!$B$63:$AA$113,(M$168+1),FALSE)/VLOOKUP($A186,'Fuel economy adjusted factor'!$A$2:$F$52,6,FALSE)*INDEX('Year data'!$B$111:$AC$161,MATCH($A186,'Year data'!$A$111:$A$161,0),MATCH('TCO Inputs'!$AZ$12,'Year data'!$B$110:$AC$110,0))/(1+$AZ$41)^M$168</f>
        <v>642.95066699907079</v>
      </c>
      <c r="N186" s="106">
        <f>VLOOKUP($A186,'VKT US'!$B$63:$AA$113,(N$168+1),FALSE)/VLOOKUP($A186,'Fuel economy adjusted factor'!$A$2:$F$52,6,FALSE)*INDEX('Year data'!$B$111:$AC$161,MATCH($A186,'Year data'!$A$111:$A$161,0),MATCH('TCO Inputs'!$AZ$12,'Year data'!$B$110:$AC$110,0))/(1+$AZ$41)^N$168</f>
        <v>618.7255603326297</v>
      </c>
      <c r="O186" s="106">
        <f>VLOOKUP($A186,'VKT US'!$B$63:$AA$113,(O$168+1),FALSE)/VLOOKUP($A186,'Fuel economy adjusted factor'!$A$2:$F$52,6,FALSE)*INDEX('Year data'!$B$111:$AC$161,MATCH($A186,'Year data'!$A$111:$A$161,0),MATCH('TCO Inputs'!$AZ$12,'Year data'!$B$110:$AC$110,0))/(1+$AZ$41)^O$168</f>
        <v>595.8577943939822</v>
      </c>
      <c r="P186" s="106">
        <f>VLOOKUP($A186,'VKT US'!$B$63:$AA$113,(P$168+1),FALSE)/VLOOKUP($A186,'Fuel economy adjusted factor'!$A$2:$F$52,6,FALSE)*INDEX('Year data'!$B$111:$AC$161,MATCH($A186,'Year data'!$A$111:$A$161,0),MATCH('TCO Inputs'!$AZ$12,'Year data'!$B$110:$AC$110,0))/(1+$AZ$41)^P$168</f>
        <v>574.24659662080069</v>
      </c>
      <c r="Q186" s="106">
        <f>VLOOKUP($A186,'VKT US'!$B$63:$AA$113,(Q$168+1),FALSE)/VLOOKUP($A186,'Fuel economy adjusted factor'!$A$2:$F$52,6,FALSE)*INDEX('Year data'!$B$111:$AC$161,MATCH($A186,'Year data'!$A$111:$A$161,0),MATCH('TCO Inputs'!$AZ$12,'Year data'!$B$110:$AC$110,0))/(1+$AZ$41)^Q$168</f>
        <v>553.97768824792649</v>
      </c>
      <c r="R186" s="106">
        <f>VLOOKUP($A186,'VKT US'!$B$63:$AA$113,(R$168+1),FALSE)/VLOOKUP($A186,'Fuel economy adjusted factor'!$A$2:$F$52,6,FALSE)*INDEX('Year data'!$B$111:$AC$161,MATCH($A186,'Year data'!$A$111:$A$161,0),MATCH('TCO Inputs'!$AZ$12,'Year data'!$B$110:$AC$110,0))/(1+$AZ$41)^R$168</f>
        <v>534.83089855108551</v>
      </c>
      <c r="S186" s="106">
        <f>VLOOKUP($A186,'VKT US'!$B$63:$AA$113,(S$168+1),FALSE)/VLOOKUP($A186,'Fuel economy adjusted factor'!$A$2:$F$52,6,FALSE)*INDEX('Year data'!$B$111:$AC$161,MATCH($A186,'Year data'!$A$111:$A$161,0),MATCH('TCO Inputs'!$AZ$12,'Year data'!$B$110:$AC$110,0))/(1+$AZ$41)^S$168</f>
        <v>516.95230555096339</v>
      </c>
      <c r="T186" s="106">
        <f>VLOOKUP($A186,'VKT US'!$B$63:$AA$113,(T$168+1),FALSE)/VLOOKUP($A186,'Fuel economy adjusted factor'!$A$2:$F$52,6,FALSE)*INDEX('Year data'!$B$111:$AC$161,MATCH($A186,'Year data'!$A$111:$A$161,0),MATCH('TCO Inputs'!$AZ$12,'Year data'!$B$110:$AC$110,0))/(1+$AZ$41)^T$168</f>
        <v>500.1276608165773</v>
      </c>
      <c r="U186" s="106">
        <f>VLOOKUP($A186,'VKT US'!$B$63:$AA$113,(U$168+1),FALSE)/VLOOKUP($A186,'Fuel economy adjusted factor'!$A$2:$F$52,6,FALSE)*INDEX('Year data'!$B$111:$AC$161,MATCH($A186,'Year data'!$A$111:$A$161,0),MATCH('TCO Inputs'!$AZ$12,'Year data'!$B$110:$AC$110,0))/(1+$AZ$41)^U$168</f>
        <v>484.50031903069885</v>
      </c>
      <c r="V186" s="110" cm="1">
        <f t="array" ref="V186">SUMPRODUCT(INDEX(B186:U186,,_xlfn.SEQUENCE($AZ$13)))</f>
        <v>10949.209064471092</v>
      </c>
    </row>
    <row r="187" spans="1:22" x14ac:dyDescent="0.25">
      <c r="A187" s="102" t="s">
        <v>203</v>
      </c>
      <c r="B187" s="106">
        <f>VLOOKUP($A187,'VKT US'!$B$63:$AA$113,(B$168+1),FALSE)/VLOOKUP($A187,'Fuel economy adjusted factor'!$A$2:$F$52,6,FALSE)*INDEX('Year data'!$B$111:$AC$161,MATCH($A187,'Year data'!$A$111:$A$161,0),MATCH('TCO Inputs'!$AZ$12,'Year data'!$B$110:$AC$110,0))/(1+$AZ$41)^B$168</f>
        <v>1123.5033016041975</v>
      </c>
      <c r="C187" s="106">
        <f>VLOOKUP($A187,'VKT US'!$B$63:$AA$113,(C$168+1),FALSE)/VLOOKUP($A187,'Fuel economy adjusted factor'!$A$2:$F$52,6,FALSE)*INDEX('Year data'!$B$111:$AC$161,MATCH($A187,'Year data'!$A$111:$A$161,0),MATCH('TCO Inputs'!$AZ$12,'Year data'!$B$110:$AC$110,0))/(1+$AZ$41)^C$168</f>
        <v>1077.1610136605332</v>
      </c>
      <c r="D187" s="106">
        <f>VLOOKUP($A187,'VKT US'!$B$63:$AA$113,(D$168+1),FALSE)/VLOOKUP($A187,'Fuel economy adjusted factor'!$A$2:$F$52,6,FALSE)*INDEX('Year data'!$B$111:$AC$161,MATCH($A187,'Year data'!$A$111:$A$161,0),MATCH('TCO Inputs'!$AZ$12,'Year data'!$B$110:$AC$110,0))/(1+$AZ$41)^D$168</f>
        <v>1032.7893241773577</v>
      </c>
      <c r="E187" s="106">
        <f>VLOOKUP($A187,'VKT US'!$B$63:$AA$113,(E$168+1),FALSE)/VLOOKUP($A187,'Fuel economy adjusted factor'!$A$2:$F$52,6,FALSE)*INDEX('Year data'!$B$111:$AC$161,MATCH($A187,'Year data'!$A$111:$A$161,0),MATCH('TCO Inputs'!$AZ$12,'Year data'!$B$110:$AC$110,0))/(1+$AZ$41)^E$168</f>
        <v>990.41406403494238</v>
      </c>
      <c r="F187" s="106">
        <f>VLOOKUP($A187,'VKT US'!$B$63:$AA$113,(F$168+1),FALSE)/VLOOKUP($A187,'Fuel economy adjusted factor'!$A$2:$F$52,6,FALSE)*INDEX('Year data'!$B$111:$AC$161,MATCH($A187,'Year data'!$A$111:$A$161,0),MATCH('TCO Inputs'!$AZ$12,'Year data'!$B$110:$AC$110,0))/(1+$AZ$41)^F$168</f>
        <v>949.90380623769761</v>
      </c>
      <c r="G187" s="106">
        <f>VLOOKUP($A187,'VKT US'!$B$63:$AA$113,(G$168+1),FALSE)/VLOOKUP($A187,'Fuel economy adjusted factor'!$A$2:$F$52,6,FALSE)*INDEX('Year data'!$B$111:$AC$161,MATCH($A187,'Year data'!$A$111:$A$161,0),MATCH('TCO Inputs'!$AZ$12,'Year data'!$B$110:$AC$110,0))/(1+$AZ$41)^G$168</f>
        <v>911.36118265903758</v>
      </c>
      <c r="H187" s="106">
        <f>VLOOKUP($A187,'VKT US'!$B$63:$AA$113,(H$168+1),FALSE)/VLOOKUP($A187,'Fuel economy adjusted factor'!$A$2:$F$52,6,FALSE)*INDEX('Year data'!$B$111:$AC$161,MATCH($A187,'Year data'!$A$111:$A$161,0),MATCH('TCO Inputs'!$AZ$12,'Year data'!$B$110:$AC$110,0))/(1+$AZ$41)^H$168</f>
        <v>874.50511838627096</v>
      </c>
      <c r="I187" s="106">
        <f>VLOOKUP($A187,'VKT US'!$B$63:$AA$113,(I$168+1),FALSE)/VLOOKUP($A187,'Fuel economy adjusted factor'!$A$2:$F$52,6,FALSE)*INDEX('Year data'!$B$111:$AC$161,MATCH($A187,'Year data'!$A$111:$A$161,0),MATCH('TCO Inputs'!$AZ$12,'Year data'!$B$110:$AC$110,0))/(1+$AZ$41)^I$168</f>
        <v>839.43951181606735</v>
      </c>
      <c r="J187" s="106">
        <f>VLOOKUP($A187,'VKT US'!$B$63:$AA$113,(J$168+1),FALSE)/VLOOKUP($A187,'Fuel economy adjusted factor'!$A$2:$F$52,6,FALSE)*INDEX('Year data'!$B$111:$AC$161,MATCH($A187,'Year data'!$A$111:$A$161,0),MATCH('TCO Inputs'!$AZ$12,'Year data'!$B$110:$AC$110,0))/(1+$AZ$41)^J$168</f>
        <v>806.11469777099137</v>
      </c>
      <c r="K187" s="106">
        <f>VLOOKUP($A187,'VKT US'!$B$63:$AA$113,(K$168+1),FALSE)/VLOOKUP($A187,'Fuel economy adjusted factor'!$A$2:$F$52,6,FALSE)*INDEX('Year data'!$B$111:$AC$161,MATCH($A187,'Year data'!$A$111:$A$161,0),MATCH('TCO Inputs'!$AZ$12,'Year data'!$B$110:$AC$110,0))/(1+$AZ$41)^K$168</f>
        <v>774.48208402439514</v>
      </c>
      <c r="L187" s="106">
        <f>VLOOKUP($A187,'VKT US'!$B$63:$AA$113,(L$168+1),FALSE)/VLOOKUP($A187,'Fuel economy adjusted factor'!$A$2:$F$52,6,FALSE)*INDEX('Year data'!$B$111:$AC$161,MATCH($A187,'Year data'!$A$111:$A$161,0),MATCH('TCO Inputs'!$AZ$12,'Year data'!$B$110:$AC$110,0))/(1+$AZ$41)^L$168</f>
        <v>744.42214365403413</v>
      </c>
      <c r="M187" s="106">
        <f>VLOOKUP($A187,'VKT US'!$B$63:$AA$113,(M$168+1),FALSE)/VLOOKUP($A187,'Fuel economy adjusted factor'!$A$2:$F$52,6,FALSE)*INDEX('Year data'!$B$111:$AC$161,MATCH($A187,'Year data'!$A$111:$A$161,0),MATCH('TCO Inputs'!$AZ$12,'Year data'!$B$110:$AC$110,0))/(1+$AZ$41)^M$168</f>
        <v>715.96206472698509</v>
      </c>
      <c r="N187" s="106">
        <f>VLOOKUP($A187,'VKT US'!$B$63:$AA$113,(N$168+1),FALSE)/VLOOKUP($A187,'Fuel economy adjusted factor'!$A$2:$F$52,6,FALSE)*INDEX('Year data'!$B$111:$AC$161,MATCH($A187,'Year data'!$A$111:$A$161,0),MATCH('TCO Inputs'!$AZ$12,'Year data'!$B$110:$AC$110,0))/(1+$AZ$41)^N$168</f>
        <v>688.98603331840161</v>
      </c>
      <c r="O187" s="106">
        <f>VLOOKUP($A187,'VKT US'!$B$63:$AA$113,(O$168+1),FALSE)/VLOOKUP($A187,'Fuel economy adjusted factor'!$A$2:$F$52,6,FALSE)*INDEX('Year data'!$B$111:$AC$161,MATCH($A187,'Year data'!$A$111:$A$161,0),MATCH('TCO Inputs'!$AZ$12,'Year data'!$B$110:$AC$110,0))/(1+$AZ$41)^O$168</f>
        <v>663.52147785951263</v>
      </c>
      <c r="P187" s="106">
        <f>VLOOKUP($A187,'VKT US'!$B$63:$AA$113,(P$168+1),FALSE)/VLOOKUP($A187,'Fuel economy adjusted factor'!$A$2:$F$52,6,FALSE)*INDEX('Year data'!$B$111:$AC$161,MATCH($A187,'Year data'!$A$111:$A$161,0),MATCH('TCO Inputs'!$AZ$12,'Year data'!$B$110:$AC$110,0))/(1+$AZ$41)^P$168</f>
        <v>639.45618238182306</v>
      </c>
      <c r="Q187" s="106">
        <f>VLOOKUP($A187,'VKT US'!$B$63:$AA$113,(Q$168+1),FALSE)/VLOOKUP($A187,'Fuel economy adjusted factor'!$A$2:$F$52,6,FALSE)*INDEX('Year data'!$B$111:$AC$161,MATCH($A187,'Year data'!$A$111:$A$161,0),MATCH('TCO Inputs'!$AZ$12,'Year data'!$B$110:$AC$110,0))/(1+$AZ$41)^Q$168</f>
        <v>616.88560234628505</v>
      </c>
      <c r="R187" s="106">
        <f>VLOOKUP($A187,'VKT US'!$B$63:$AA$113,(R$168+1),FALSE)/VLOOKUP($A187,'Fuel economy adjusted factor'!$A$2:$F$52,6,FALSE)*INDEX('Year data'!$B$111:$AC$161,MATCH($A187,'Year data'!$A$111:$A$161,0),MATCH('TCO Inputs'!$AZ$12,'Year data'!$B$110:$AC$110,0))/(1+$AZ$41)^R$168</f>
        <v>595.56456515345269</v>
      </c>
      <c r="S187" s="106">
        <f>VLOOKUP($A187,'VKT US'!$B$63:$AA$113,(S$168+1),FALSE)/VLOOKUP($A187,'Fuel economy adjusted factor'!$A$2:$F$52,6,FALSE)*INDEX('Year data'!$B$111:$AC$161,MATCH($A187,'Year data'!$A$111:$A$161,0),MATCH('TCO Inputs'!$AZ$12,'Year data'!$B$110:$AC$110,0))/(1+$AZ$41)^S$168</f>
        <v>575.65573697146169</v>
      </c>
      <c r="T187" s="106">
        <f>VLOOKUP($A187,'VKT US'!$B$63:$AA$113,(T$168+1),FALSE)/VLOOKUP($A187,'Fuel economy adjusted factor'!$A$2:$F$52,6,FALSE)*INDEX('Year data'!$B$111:$AC$161,MATCH($A187,'Year data'!$A$111:$A$161,0),MATCH('TCO Inputs'!$AZ$12,'Year data'!$B$110:$AC$110,0))/(1+$AZ$41)^T$168</f>
        <v>556.9205400106249</v>
      </c>
      <c r="U187" s="106">
        <f>VLOOKUP($A187,'VKT US'!$B$63:$AA$113,(U$168+1),FALSE)/VLOOKUP($A187,'Fuel economy adjusted factor'!$A$2:$F$52,6,FALSE)*INDEX('Year data'!$B$111:$AC$161,MATCH($A187,'Year data'!$A$111:$A$161,0),MATCH('TCO Inputs'!$AZ$12,'Year data'!$B$110:$AC$110,0))/(1+$AZ$41)^U$168</f>
        <v>539.51860784772066</v>
      </c>
      <c r="V187" s="110" cm="1">
        <f t="array" ref="V187">SUMPRODUCT(INDEX(B187:U187,,_xlfn.SEQUENCE($AZ$13)))</f>
        <v>12192.565823930425</v>
      </c>
    </row>
    <row r="188" spans="1:22" x14ac:dyDescent="0.25">
      <c r="A188" s="102" t="s">
        <v>202</v>
      </c>
      <c r="B188" s="106">
        <f>VLOOKUP($A188,'VKT US'!$B$63:$AA$113,(B$168+1),FALSE)/VLOOKUP($A188,'Fuel economy adjusted factor'!$A$2:$F$52,6,FALSE)*INDEX('Year data'!$B$111:$AC$161,MATCH($A188,'Year data'!$A$111:$A$161,0),MATCH('TCO Inputs'!$AZ$12,'Year data'!$B$110:$AC$110,0))/(1+$AZ$41)^B$168</f>
        <v>1061.4726229035962</v>
      </c>
      <c r="C188" s="106">
        <f>VLOOKUP($A188,'VKT US'!$B$63:$AA$113,(C$168+1),FALSE)/VLOOKUP($A188,'Fuel economy adjusted factor'!$A$2:$F$52,6,FALSE)*INDEX('Year data'!$B$111:$AC$161,MATCH($A188,'Year data'!$A$111:$A$161,0),MATCH('TCO Inputs'!$AZ$12,'Year data'!$B$110:$AC$110,0))/(1+$AZ$41)^C$168</f>
        <v>1017.6889777067573</v>
      </c>
      <c r="D188" s="106">
        <f>VLOOKUP($A188,'VKT US'!$B$63:$AA$113,(D$168+1),FALSE)/VLOOKUP($A188,'Fuel economy adjusted factor'!$A$2:$F$52,6,FALSE)*INDEX('Year data'!$B$111:$AC$161,MATCH($A188,'Year data'!$A$111:$A$161,0),MATCH('TCO Inputs'!$AZ$12,'Year data'!$B$110:$AC$110,0))/(1+$AZ$41)^D$168</f>
        <v>975.76713061372334</v>
      </c>
      <c r="E188" s="106">
        <f>VLOOKUP($A188,'VKT US'!$B$63:$AA$113,(E$168+1),FALSE)/VLOOKUP($A188,'Fuel economy adjusted factor'!$A$2:$F$52,6,FALSE)*INDEX('Year data'!$B$111:$AC$161,MATCH($A188,'Year data'!$A$111:$A$161,0),MATCH('TCO Inputs'!$AZ$12,'Year data'!$B$110:$AC$110,0))/(1+$AZ$41)^E$168</f>
        <v>935.73148633447033</v>
      </c>
      <c r="F188" s="106">
        <f>VLOOKUP($A188,'VKT US'!$B$63:$AA$113,(F$168+1),FALSE)/VLOOKUP($A188,'Fuel economy adjusted factor'!$A$2:$F$52,6,FALSE)*INDEX('Year data'!$B$111:$AC$161,MATCH($A188,'Year data'!$A$111:$A$161,0),MATCH('TCO Inputs'!$AZ$12,'Year data'!$B$110:$AC$110,0))/(1+$AZ$41)^F$168</f>
        <v>897.45787419897965</v>
      </c>
      <c r="G188" s="106">
        <f>VLOOKUP($A188,'VKT US'!$B$63:$AA$113,(G$168+1),FALSE)/VLOOKUP($A188,'Fuel economy adjusted factor'!$A$2:$F$52,6,FALSE)*INDEX('Year data'!$B$111:$AC$161,MATCH($A188,'Year data'!$A$111:$A$161,0),MATCH('TCO Inputs'!$AZ$12,'Year data'!$B$110:$AC$110,0))/(1+$AZ$41)^G$168</f>
        <v>861.04325958662389</v>
      </c>
      <c r="H188" s="106">
        <f>VLOOKUP($A188,'VKT US'!$B$63:$AA$113,(H$168+1),FALSE)/VLOOKUP($A188,'Fuel economy adjusted factor'!$A$2:$F$52,6,FALSE)*INDEX('Year data'!$B$111:$AC$161,MATCH($A188,'Year data'!$A$111:$A$161,0),MATCH('TCO Inputs'!$AZ$12,'Year data'!$B$110:$AC$110,0))/(1+$AZ$41)^H$168</f>
        <v>826.2220862463613</v>
      </c>
      <c r="I188" s="106">
        <f>VLOOKUP($A188,'VKT US'!$B$63:$AA$113,(I$168+1),FALSE)/VLOOKUP($A188,'Fuel economy adjusted factor'!$A$2:$F$52,6,FALSE)*INDEX('Year data'!$B$111:$AC$161,MATCH($A188,'Year data'!$A$111:$A$161,0),MATCH('TCO Inputs'!$AZ$12,'Year data'!$B$110:$AC$110,0))/(1+$AZ$41)^I$168</f>
        <v>793.09251615374706</v>
      </c>
      <c r="J188" s="106">
        <f>VLOOKUP($A188,'VKT US'!$B$63:$AA$113,(J$168+1),FALSE)/VLOOKUP($A188,'Fuel economy adjusted factor'!$A$2:$F$52,6,FALSE)*INDEX('Year data'!$B$111:$AC$161,MATCH($A188,'Year data'!$A$111:$A$161,0),MATCH('TCO Inputs'!$AZ$12,'Year data'!$B$110:$AC$110,0))/(1+$AZ$41)^J$168</f>
        <v>761.60762623691869</v>
      </c>
      <c r="K188" s="106">
        <f>VLOOKUP($A188,'VKT US'!$B$63:$AA$113,(K$168+1),FALSE)/VLOOKUP($A188,'Fuel economy adjusted factor'!$A$2:$F$52,6,FALSE)*INDEX('Year data'!$B$111:$AC$161,MATCH($A188,'Year data'!$A$111:$A$161,0),MATCH('TCO Inputs'!$AZ$12,'Year data'!$B$110:$AC$110,0))/(1+$AZ$41)^K$168</f>
        <v>731.7215071352191</v>
      </c>
      <c r="L188" s="106">
        <f>VLOOKUP($A188,'VKT US'!$B$63:$AA$113,(L$168+1),FALSE)/VLOOKUP($A188,'Fuel economy adjusted factor'!$A$2:$F$52,6,FALSE)*INDEX('Year data'!$B$111:$AC$161,MATCH($A188,'Year data'!$A$111:$A$161,0),MATCH('TCO Inputs'!$AZ$12,'Year data'!$B$110:$AC$110,0))/(1+$AZ$41)^L$168</f>
        <v>703.32123122709027</v>
      </c>
      <c r="M188" s="106">
        <f>VLOOKUP($A188,'VKT US'!$B$63:$AA$113,(M$168+1),FALSE)/VLOOKUP($A188,'Fuel economy adjusted factor'!$A$2:$F$52,6,FALSE)*INDEX('Year data'!$B$111:$AC$161,MATCH($A188,'Year data'!$A$111:$A$161,0),MATCH('TCO Inputs'!$AZ$12,'Year data'!$B$110:$AC$110,0))/(1+$AZ$41)^M$168</f>
        <v>676.43248547654093</v>
      </c>
      <c r="N188" s="106">
        <f>VLOOKUP($A188,'VKT US'!$B$63:$AA$113,(N$168+1),FALSE)/VLOOKUP($A188,'Fuel economy adjusted factor'!$A$2:$F$52,6,FALSE)*INDEX('Year data'!$B$111:$AC$161,MATCH($A188,'Year data'!$A$111:$A$161,0),MATCH('TCO Inputs'!$AZ$12,'Year data'!$B$110:$AC$110,0))/(1+$AZ$41)^N$168</f>
        <v>650.94585025801223</v>
      </c>
      <c r="O188" s="106">
        <f>VLOOKUP($A188,'VKT US'!$B$63:$AA$113,(O$168+1),FALSE)/VLOOKUP($A188,'Fuel economy adjusted factor'!$A$2:$F$52,6,FALSE)*INDEX('Year data'!$B$111:$AC$161,MATCH($A188,'Year data'!$A$111:$A$161,0),MATCH('TCO Inputs'!$AZ$12,'Year data'!$B$110:$AC$110,0))/(1+$AZ$41)^O$168</f>
        <v>626.88723962871882</v>
      </c>
      <c r="P188" s="106">
        <f>VLOOKUP($A188,'VKT US'!$B$63:$AA$113,(P$168+1),FALSE)/VLOOKUP($A188,'Fuel economy adjusted factor'!$A$2:$F$52,6,FALSE)*INDEX('Year data'!$B$111:$AC$161,MATCH($A188,'Year data'!$A$111:$A$161,0),MATCH('TCO Inputs'!$AZ$12,'Year data'!$B$110:$AC$110,0))/(1+$AZ$41)^P$168</f>
        <v>604.15063326968163</v>
      </c>
      <c r="Q188" s="106">
        <f>VLOOKUP($A188,'VKT US'!$B$63:$AA$113,(Q$168+1),FALSE)/VLOOKUP($A188,'Fuel economy adjusted factor'!$A$2:$F$52,6,FALSE)*INDEX('Year data'!$B$111:$AC$161,MATCH($A188,'Year data'!$A$111:$A$161,0),MATCH('TCO Inputs'!$AZ$12,'Year data'!$B$110:$AC$110,0))/(1+$AZ$41)^Q$168</f>
        <v>582.82621637071077</v>
      </c>
      <c r="R188" s="106">
        <f>VLOOKUP($A188,'VKT US'!$B$63:$AA$113,(R$168+1),FALSE)/VLOOKUP($A188,'Fuel economy adjusted factor'!$A$2:$F$52,6,FALSE)*INDEX('Year data'!$B$111:$AC$161,MATCH($A188,'Year data'!$A$111:$A$161,0),MATCH('TCO Inputs'!$AZ$12,'Year data'!$B$110:$AC$110,0))/(1+$AZ$41)^R$168</f>
        <v>562.68235276142173</v>
      </c>
      <c r="S188" s="106">
        <f>VLOOKUP($A188,'VKT US'!$B$63:$AA$113,(S$168+1),FALSE)/VLOOKUP($A188,'Fuel economy adjusted factor'!$A$2:$F$52,6,FALSE)*INDEX('Year data'!$B$111:$AC$161,MATCH($A188,'Year data'!$A$111:$A$161,0),MATCH('TCO Inputs'!$AZ$12,'Year data'!$B$110:$AC$110,0))/(1+$AZ$41)^S$168</f>
        <v>543.87272751234536</v>
      </c>
      <c r="T188" s="106">
        <f>VLOOKUP($A188,'VKT US'!$B$63:$AA$113,(T$168+1),FALSE)/VLOOKUP($A188,'Fuel economy adjusted factor'!$A$2:$F$52,6,FALSE)*INDEX('Year data'!$B$111:$AC$161,MATCH($A188,'Year data'!$A$111:$A$161,0),MATCH('TCO Inputs'!$AZ$12,'Year data'!$B$110:$AC$110,0))/(1+$AZ$41)^T$168</f>
        <v>526.17193515130873</v>
      </c>
      <c r="U188" s="106">
        <f>VLOOKUP($A188,'VKT US'!$B$63:$AA$113,(U$168+1),FALSE)/VLOOKUP($A188,'Fuel economy adjusted factor'!$A$2:$F$52,6,FALSE)*INDEX('Year data'!$B$111:$AC$161,MATCH($A188,'Year data'!$A$111:$A$161,0),MATCH('TCO Inputs'!$AZ$12,'Year data'!$B$110:$AC$110,0))/(1+$AZ$41)^U$168</f>
        <v>509.7307955924187</v>
      </c>
      <c r="V188" s="110" cm="1">
        <f t="array" ref="V188">SUMPRODUCT(INDEX(B188:U188,,_xlfn.SEQUENCE($AZ$13)))</f>
        <v>11519.391893706757</v>
      </c>
    </row>
    <row r="189" spans="1:22" x14ac:dyDescent="0.25">
      <c r="A189" s="102" t="s">
        <v>201</v>
      </c>
      <c r="B189" s="106">
        <f>VLOOKUP($A189,'VKT US'!$B$63:$AA$113,(B$168+1),FALSE)/VLOOKUP($A189,'Fuel economy adjusted factor'!$A$2:$F$52,6,FALSE)*INDEX('Year data'!$B$111:$AC$161,MATCH($A189,'Year data'!$A$111:$A$161,0),MATCH('TCO Inputs'!$AZ$12,'Year data'!$B$110:$AC$110,0))/(1+$AZ$41)^B$168</f>
        <v>1016.5952972775494</v>
      </c>
      <c r="C189" s="106">
        <f>VLOOKUP($A189,'VKT US'!$B$63:$AA$113,(C$168+1),FALSE)/VLOOKUP($A189,'Fuel economy adjusted factor'!$A$2:$F$52,6,FALSE)*INDEX('Year data'!$B$111:$AC$161,MATCH($A189,'Year data'!$A$111:$A$161,0),MATCH('TCO Inputs'!$AZ$12,'Year data'!$B$110:$AC$110,0))/(1+$AZ$41)^C$168</f>
        <v>974.66275295716935</v>
      </c>
      <c r="D189" s="106">
        <f>VLOOKUP($A189,'VKT US'!$B$63:$AA$113,(D$168+1),FALSE)/VLOOKUP($A189,'Fuel economy adjusted factor'!$A$2:$F$52,6,FALSE)*INDEX('Year data'!$B$111:$AC$161,MATCH($A189,'Year data'!$A$111:$A$161,0),MATCH('TCO Inputs'!$AZ$12,'Year data'!$B$110:$AC$110,0))/(1+$AZ$41)^D$168</f>
        <v>934.51329296319523</v>
      </c>
      <c r="E189" s="106">
        <f>VLOOKUP($A189,'VKT US'!$B$63:$AA$113,(E$168+1),FALSE)/VLOOKUP($A189,'Fuel economy adjusted factor'!$A$2:$F$52,6,FALSE)*INDEX('Year data'!$B$111:$AC$161,MATCH($A189,'Year data'!$A$111:$A$161,0),MATCH('TCO Inputs'!$AZ$12,'Year data'!$B$110:$AC$110,0))/(1+$AZ$41)^E$168</f>
        <v>896.17029021439816</v>
      </c>
      <c r="F189" s="106">
        <f>VLOOKUP($A189,'VKT US'!$B$63:$AA$113,(F$168+1),FALSE)/VLOOKUP($A189,'Fuel economy adjusted factor'!$A$2:$F$52,6,FALSE)*INDEX('Year data'!$B$111:$AC$161,MATCH($A189,'Year data'!$A$111:$A$161,0),MATCH('TCO Inputs'!$AZ$12,'Year data'!$B$110:$AC$110,0))/(1+$AZ$41)^F$168</f>
        <v>859.51482377350953</v>
      </c>
      <c r="G189" s="106">
        <f>VLOOKUP($A189,'VKT US'!$B$63:$AA$113,(G$168+1),FALSE)/VLOOKUP($A189,'Fuel economy adjusted factor'!$A$2:$F$52,6,FALSE)*INDEX('Year data'!$B$111:$AC$161,MATCH($A189,'Year data'!$A$111:$A$161,0),MATCH('TCO Inputs'!$AZ$12,'Year data'!$B$110:$AC$110,0))/(1+$AZ$41)^G$168</f>
        <v>824.63975948232485</v>
      </c>
      <c r="H189" s="106">
        <f>VLOOKUP($A189,'VKT US'!$B$63:$AA$113,(H$168+1),FALSE)/VLOOKUP($A189,'Fuel economy adjusted factor'!$A$2:$F$52,6,FALSE)*INDEX('Year data'!$B$111:$AC$161,MATCH($A189,'Year data'!$A$111:$A$161,0),MATCH('TCO Inputs'!$AZ$12,'Year data'!$B$110:$AC$110,0))/(1+$AZ$41)^H$168</f>
        <v>791.2907683735715</v>
      </c>
      <c r="I189" s="106">
        <f>VLOOKUP($A189,'VKT US'!$B$63:$AA$113,(I$168+1),FALSE)/VLOOKUP($A189,'Fuel economy adjusted factor'!$A$2:$F$52,6,FALSE)*INDEX('Year data'!$B$111:$AC$161,MATCH($A189,'Year data'!$A$111:$A$161,0),MATCH('TCO Inputs'!$AZ$12,'Year data'!$B$110:$AC$110,0))/(1+$AZ$41)^I$168</f>
        <v>759.56186229509842</v>
      </c>
      <c r="J189" s="106">
        <f>VLOOKUP($A189,'VKT US'!$B$63:$AA$113,(J$168+1),FALSE)/VLOOKUP($A189,'Fuel economy adjusted factor'!$A$2:$F$52,6,FALSE)*INDEX('Year data'!$B$111:$AC$161,MATCH($A189,'Year data'!$A$111:$A$161,0),MATCH('TCO Inputs'!$AZ$12,'Year data'!$B$110:$AC$110,0))/(1+$AZ$41)^J$168</f>
        <v>729.40810200574242</v>
      </c>
      <c r="K189" s="106">
        <f>VLOOKUP($A189,'VKT US'!$B$63:$AA$113,(K$168+1),FALSE)/VLOOKUP($A189,'Fuel economy adjusted factor'!$A$2:$F$52,6,FALSE)*INDEX('Year data'!$B$111:$AC$161,MATCH($A189,'Year data'!$A$111:$A$161,0),MATCH('TCO Inputs'!$AZ$12,'Year data'!$B$110:$AC$110,0))/(1+$AZ$41)^K$168</f>
        <v>700.785519117494</v>
      </c>
      <c r="L189" s="106">
        <f>VLOOKUP($A189,'VKT US'!$B$63:$AA$113,(L$168+1),FALSE)/VLOOKUP($A189,'Fuel economy adjusted factor'!$A$2:$F$52,6,FALSE)*INDEX('Year data'!$B$111:$AC$161,MATCH($A189,'Year data'!$A$111:$A$161,0),MATCH('TCO Inputs'!$AZ$12,'Year data'!$B$110:$AC$110,0))/(1+$AZ$41)^L$168</f>
        <v>673.58596040385339</v>
      </c>
      <c r="M189" s="106">
        <f>VLOOKUP($A189,'VKT US'!$B$63:$AA$113,(M$168+1),FALSE)/VLOOKUP($A189,'Fuel economy adjusted factor'!$A$2:$F$52,6,FALSE)*INDEX('Year data'!$B$111:$AC$161,MATCH($A189,'Year data'!$A$111:$A$161,0),MATCH('TCO Inputs'!$AZ$12,'Year data'!$B$110:$AC$110,0))/(1+$AZ$41)^M$168</f>
        <v>647.83402682602161</v>
      </c>
      <c r="N189" s="106">
        <f>VLOOKUP($A189,'VKT US'!$B$63:$AA$113,(N$168+1),FALSE)/VLOOKUP($A189,'Fuel economy adjusted factor'!$A$2:$F$52,6,FALSE)*INDEX('Year data'!$B$111:$AC$161,MATCH($A189,'Year data'!$A$111:$A$161,0),MATCH('TCO Inputs'!$AZ$12,'Year data'!$B$110:$AC$110,0))/(1+$AZ$41)^N$168</f>
        <v>623.42492484116735</v>
      </c>
      <c r="O189" s="106">
        <f>VLOOKUP($A189,'VKT US'!$B$63:$AA$113,(O$168+1),FALSE)/VLOOKUP($A189,'Fuel economy adjusted factor'!$A$2:$F$52,6,FALSE)*INDEX('Year data'!$B$111:$AC$161,MATCH($A189,'Year data'!$A$111:$A$161,0),MATCH('TCO Inputs'!$AZ$12,'Year data'!$B$110:$AC$110,0))/(1+$AZ$41)^O$168</f>
        <v>600.38347290256877</v>
      </c>
      <c r="P189" s="106">
        <f>VLOOKUP($A189,'VKT US'!$B$63:$AA$113,(P$168+1),FALSE)/VLOOKUP($A189,'Fuel economy adjusted factor'!$A$2:$F$52,6,FALSE)*INDEX('Year data'!$B$111:$AC$161,MATCH($A189,'Year data'!$A$111:$A$161,0),MATCH('TCO Inputs'!$AZ$12,'Year data'!$B$110:$AC$110,0))/(1+$AZ$41)^P$168</f>
        <v>578.60813305685406</v>
      </c>
      <c r="Q189" s="106">
        <f>VLOOKUP($A189,'VKT US'!$B$63:$AA$113,(Q$168+1),FALSE)/VLOOKUP($A189,'Fuel economy adjusted factor'!$A$2:$F$52,6,FALSE)*INDEX('Year data'!$B$111:$AC$161,MATCH($A189,'Year data'!$A$111:$A$161,0),MATCH('TCO Inputs'!$AZ$12,'Year data'!$B$110:$AC$110,0))/(1+$AZ$41)^Q$168</f>
        <v>558.18527761157657</v>
      </c>
      <c r="R189" s="106">
        <f>VLOOKUP($A189,'VKT US'!$B$63:$AA$113,(R$168+1),FALSE)/VLOOKUP($A189,'Fuel economy adjusted factor'!$A$2:$F$52,6,FALSE)*INDEX('Year data'!$B$111:$AC$161,MATCH($A189,'Year data'!$A$111:$A$161,0),MATCH('TCO Inputs'!$AZ$12,'Year data'!$B$110:$AC$110,0))/(1+$AZ$41)^R$168</f>
        <v>538.89306359461318</v>
      </c>
      <c r="S189" s="106">
        <f>VLOOKUP($A189,'VKT US'!$B$63:$AA$113,(S$168+1),FALSE)/VLOOKUP($A189,'Fuel economy adjusted factor'!$A$2:$F$52,6,FALSE)*INDEX('Year data'!$B$111:$AC$161,MATCH($A189,'Year data'!$A$111:$A$161,0),MATCH('TCO Inputs'!$AZ$12,'Year data'!$B$110:$AC$110,0))/(1+$AZ$41)^S$168</f>
        <v>520.87867852318516</v>
      </c>
      <c r="T189" s="106">
        <f>VLOOKUP($A189,'VKT US'!$B$63:$AA$113,(T$168+1),FALSE)/VLOOKUP($A189,'Fuel economy adjusted factor'!$A$2:$F$52,6,FALSE)*INDEX('Year data'!$B$111:$AC$161,MATCH($A189,'Year data'!$A$111:$A$161,0),MATCH('TCO Inputs'!$AZ$12,'Year data'!$B$110:$AC$110,0))/(1+$AZ$41)^T$168</f>
        <v>503.92624669965568</v>
      </c>
      <c r="U189" s="106">
        <f>VLOOKUP($A189,'VKT US'!$B$63:$AA$113,(U$168+1),FALSE)/VLOOKUP($A189,'Fuel economy adjusted factor'!$A$2:$F$52,6,FALSE)*INDEX('Year data'!$B$111:$AC$161,MATCH($A189,'Year data'!$A$111:$A$161,0),MATCH('TCO Inputs'!$AZ$12,'Year data'!$B$110:$AC$110,0))/(1+$AZ$41)^U$168</f>
        <v>488.1802116189474</v>
      </c>
      <c r="V189" s="110" cm="1">
        <f t="array" ref="V189">SUMPRODUCT(INDEX(B189:U189,,_xlfn.SEQUENCE($AZ$13)))</f>
        <v>11032.370853433666</v>
      </c>
    </row>
    <row r="190" spans="1:22" x14ac:dyDescent="0.25">
      <c r="A190" s="102" t="s">
        <v>204</v>
      </c>
      <c r="B190" s="106">
        <f>VLOOKUP($A190,'VKT US'!$B$63:$AA$113,(B$168+1),FALSE)/VLOOKUP($A190,'Fuel economy adjusted factor'!$A$2:$F$52,6,FALSE)*INDEX('Year data'!$B$111:$AC$161,MATCH($A190,'Year data'!$A$111:$A$161,0),MATCH('TCO Inputs'!$AZ$12,'Year data'!$B$110:$AC$110,0))/(1+$AZ$41)^B$168</f>
        <v>1088.812292541822</v>
      </c>
      <c r="C190" s="106">
        <f>VLOOKUP($A190,'VKT US'!$B$63:$AA$113,(C$168+1),FALSE)/VLOOKUP($A190,'Fuel economy adjusted factor'!$A$2:$F$52,6,FALSE)*INDEX('Year data'!$B$111:$AC$161,MATCH($A190,'Year data'!$A$111:$A$161,0),MATCH('TCO Inputs'!$AZ$12,'Year data'!$B$110:$AC$110,0))/(1+$AZ$41)^C$168</f>
        <v>1043.9009400735849</v>
      </c>
      <c r="D190" s="106">
        <f>VLOOKUP($A190,'VKT US'!$B$63:$AA$113,(D$168+1),FALSE)/VLOOKUP($A190,'Fuel economy adjusted factor'!$A$2:$F$52,6,FALSE)*INDEX('Year data'!$B$111:$AC$161,MATCH($A190,'Year data'!$A$111:$A$161,0),MATCH('TCO Inputs'!$AZ$12,'Year data'!$B$110:$AC$110,0))/(1+$AZ$41)^D$168</f>
        <v>1000.8993388489627</v>
      </c>
      <c r="E190" s="106">
        <f>VLOOKUP($A190,'VKT US'!$B$63:$AA$113,(E$168+1),FALSE)/VLOOKUP($A190,'Fuel economy adjusted factor'!$A$2:$F$52,6,FALSE)*INDEX('Year data'!$B$111:$AC$161,MATCH($A190,'Year data'!$A$111:$A$161,0),MATCH('TCO Inputs'!$AZ$12,'Year data'!$B$110:$AC$110,0))/(1+$AZ$41)^E$168</f>
        <v>959.83252215439666</v>
      </c>
      <c r="F190" s="106">
        <f>VLOOKUP($A190,'VKT US'!$B$63:$AA$113,(F$168+1),FALSE)/VLOOKUP($A190,'Fuel economy adjusted factor'!$A$2:$F$52,6,FALSE)*INDEX('Year data'!$B$111:$AC$161,MATCH($A190,'Year data'!$A$111:$A$161,0),MATCH('TCO Inputs'!$AZ$12,'Year data'!$B$110:$AC$110,0))/(1+$AZ$41)^F$168</f>
        <v>920.57312113554906</v>
      </c>
      <c r="G190" s="106">
        <f>VLOOKUP($A190,'VKT US'!$B$63:$AA$113,(G$168+1),FALSE)/VLOOKUP($A190,'Fuel economy adjusted factor'!$A$2:$F$52,6,FALSE)*INDEX('Year data'!$B$111:$AC$161,MATCH($A190,'Year data'!$A$111:$A$161,0),MATCH('TCO Inputs'!$AZ$12,'Year data'!$B$110:$AC$110,0))/(1+$AZ$41)^G$168</f>
        <v>883.22059864688674</v>
      </c>
      <c r="H190" s="106">
        <f>VLOOKUP($A190,'VKT US'!$B$63:$AA$113,(H$168+1),FALSE)/VLOOKUP($A190,'Fuel economy adjusted factor'!$A$2:$F$52,6,FALSE)*INDEX('Year data'!$B$111:$AC$161,MATCH($A190,'Year data'!$A$111:$A$161,0),MATCH('TCO Inputs'!$AZ$12,'Year data'!$B$110:$AC$110,0))/(1+$AZ$41)^H$168</f>
        <v>847.5025586753078</v>
      </c>
      <c r="I190" s="106">
        <f>VLOOKUP($A190,'VKT US'!$B$63:$AA$113,(I$168+1),FALSE)/VLOOKUP($A190,'Fuel economy adjusted factor'!$A$2:$F$52,6,FALSE)*INDEX('Year data'!$B$111:$AC$161,MATCH($A190,'Year data'!$A$111:$A$161,0),MATCH('TCO Inputs'!$AZ$12,'Year data'!$B$110:$AC$110,0))/(1+$AZ$41)^I$168</f>
        <v>813.51969149142167</v>
      </c>
      <c r="J190" s="106">
        <f>VLOOKUP($A190,'VKT US'!$B$63:$AA$113,(J$168+1),FALSE)/VLOOKUP($A190,'Fuel economy adjusted factor'!$A$2:$F$52,6,FALSE)*INDEX('Year data'!$B$111:$AC$161,MATCH($A190,'Year data'!$A$111:$A$161,0),MATCH('TCO Inputs'!$AZ$12,'Year data'!$B$110:$AC$110,0))/(1+$AZ$41)^J$168</f>
        <v>781.22386545589472</v>
      </c>
      <c r="K190" s="106">
        <f>VLOOKUP($A190,'VKT US'!$B$63:$AA$113,(K$168+1),FALSE)/VLOOKUP($A190,'Fuel economy adjusted factor'!$A$2:$F$52,6,FALSE)*INDEX('Year data'!$B$111:$AC$161,MATCH($A190,'Year data'!$A$111:$A$161,0),MATCH('TCO Inputs'!$AZ$12,'Year data'!$B$110:$AC$110,0))/(1+$AZ$41)^K$168</f>
        <v>750.56798875010907</v>
      </c>
      <c r="L190" s="106">
        <f>VLOOKUP($A190,'VKT US'!$B$63:$AA$113,(L$168+1),FALSE)/VLOOKUP($A190,'Fuel economy adjusted factor'!$A$2:$F$52,6,FALSE)*INDEX('Year data'!$B$111:$AC$161,MATCH($A190,'Year data'!$A$111:$A$161,0),MATCH('TCO Inputs'!$AZ$12,'Year data'!$B$110:$AC$110,0))/(1+$AZ$41)^L$168</f>
        <v>721.43622514817753</v>
      </c>
      <c r="M190" s="106">
        <f>VLOOKUP($A190,'VKT US'!$B$63:$AA$113,(M$168+1),FALSE)/VLOOKUP($A190,'Fuel economy adjusted factor'!$A$2:$F$52,6,FALSE)*INDEX('Year data'!$B$111:$AC$161,MATCH($A190,'Year data'!$A$111:$A$161,0),MATCH('TCO Inputs'!$AZ$12,'Year data'!$B$110:$AC$110,0))/(1+$AZ$41)^M$168</f>
        <v>693.85492321676736</v>
      </c>
      <c r="N190" s="106">
        <f>VLOOKUP($A190,'VKT US'!$B$63:$AA$113,(N$168+1),FALSE)/VLOOKUP($A190,'Fuel economy adjusted factor'!$A$2:$F$52,6,FALSE)*INDEX('Year data'!$B$111:$AC$161,MATCH($A190,'Year data'!$A$111:$A$161,0),MATCH('TCO Inputs'!$AZ$12,'Year data'!$B$110:$AC$110,0))/(1+$AZ$41)^N$168</f>
        <v>667.71184507919418</v>
      </c>
      <c r="O190" s="106">
        <f>VLOOKUP($A190,'VKT US'!$B$63:$AA$113,(O$168+1),FALSE)/VLOOKUP($A190,'Fuel economy adjusted factor'!$A$2:$F$52,6,FALSE)*INDEX('Year data'!$B$111:$AC$161,MATCH($A190,'Year data'!$A$111:$A$161,0),MATCH('TCO Inputs'!$AZ$12,'Year data'!$B$110:$AC$110,0))/(1+$AZ$41)^O$168</f>
        <v>643.03357224442618</v>
      </c>
      <c r="P190" s="106">
        <f>VLOOKUP($A190,'VKT US'!$B$63:$AA$113,(P$168+1),FALSE)/VLOOKUP($A190,'Fuel economy adjusted factor'!$A$2:$F$52,6,FALSE)*INDEX('Year data'!$B$111:$AC$161,MATCH($A190,'Year data'!$A$111:$A$161,0),MATCH('TCO Inputs'!$AZ$12,'Year data'!$B$110:$AC$110,0))/(1+$AZ$41)^P$168</f>
        <v>619.71135369611716</v>
      </c>
      <c r="Q190" s="106">
        <f>VLOOKUP($A190,'VKT US'!$B$63:$AA$113,(Q$168+1),FALSE)/VLOOKUP($A190,'Fuel economy adjusted factor'!$A$2:$F$52,6,FALSE)*INDEX('Year data'!$B$111:$AC$161,MATCH($A190,'Year data'!$A$111:$A$161,0),MATCH('TCO Inputs'!$AZ$12,'Year data'!$B$110:$AC$110,0))/(1+$AZ$41)^Q$168</f>
        <v>597.83769746617725</v>
      </c>
      <c r="R190" s="106">
        <f>VLOOKUP($A190,'VKT US'!$B$63:$AA$113,(R$168+1),FALSE)/VLOOKUP($A190,'Fuel economy adjusted factor'!$A$2:$F$52,6,FALSE)*INDEX('Year data'!$B$111:$AC$161,MATCH($A190,'Year data'!$A$111:$A$161,0),MATCH('TCO Inputs'!$AZ$12,'Year data'!$B$110:$AC$110,0))/(1+$AZ$41)^R$168</f>
        <v>577.17500127992628</v>
      </c>
      <c r="S190" s="106">
        <f>VLOOKUP($A190,'VKT US'!$B$63:$AA$113,(S$168+1),FALSE)/VLOOKUP($A190,'Fuel economy adjusted factor'!$A$2:$F$52,6,FALSE)*INDEX('Year data'!$B$111:$AC$161,MATCH($A190,'Year data'!$A$111:$A$161,0),MATCH('TCO Inputs'!$AZ$12,'Year data'!$B$110:$AC$110,0))/(1+$AZ$41)^S$168</f>
        <v>557.88090857570091</v>
      </c>
      <c r="T190" s="106">
        <f>VLOOKUP($A190,'VKT US'!$B$63:$AA$113,(T$168+1),FALSE)/VLOOKUP($A190,'Fuel economy adjusted factor'!$A$2:$F$52,6,FALSE)*INDEX('Year data'!$B$111:$AC$161,MATCH($A190,'Year data'!$A$111:$A$161,0),MATCH('TCO Inputs'!$AZ$12,'Year data'!$B$110:$AC$110,0))/(1+$AZ$41)^T$168</f>
        <v>539.72420825713095</v>
      </c>
      <c r="U190" s="106">
        <f>VLOOKUP($A190,'VKT US'!$B$63:$AA$113,(U$168+1),FALSE)/VLOOKUP($A190,'Fuel economy adjusted factor'!$A$2:$F$52,6,FALSE)*INDEX('Year data'!$B$111:$AC$161,MATCH($A190,'Year data'!$A$111:$A$161,0),MATCH('TCO Inputs'!$AZ$12,'Year data'!$B$110:$AC$110,0))/(1+$AZ$41)^U$168</f>
        <v>522.85960481013183</v>
      </c>
      <c r="V190" s="110" cm="1">
        <f t="array" ref="V190">SUMPRODUCT(INDEX(B190:U190,,_xlfn.SEQUENCE($AZ$13)))</f>
        <v>11816.089483462501</v>
      </c>
    </row>
    <row r="191" spans="1:22" x14ac:dyDescent="0.25">
      <c r="A191" s="102" t="s">
        <v>205</v>
      </c>
      <c r="B191" s="106">
        <f>VLOOKUP($A191,'VKT US'!$B$63:$AA$113,(B$168+1),FALSE)/VLOOKUP($A191,'Fuel economy adjusted factor'!$A$2:$F$52,6,FALSE)*INDEX('Year data'!$B$111:$AC$161,MATCH($A191,'Year data'!$A$111:$A$161,0),MATCH('TCO Inputs'!$AZ$12,'Year data'!$B$110:$AC$110,0))/(1+$AZ$41)^B$168</f>
        <v>1381.0062184429939</v>
      </c>
      <c r="C191" s="106">
        <f>VLOOKUP($A191,'VKT US'!$B$63:$AA$113,(C$168+1),FALSE)/VLOOKUP($A191,'Fuel economy adjusted factor'!$A$2:$F$52,6,FALSE)*INDEX('Year data'!$B$111:$AC$161,MATCH($A191,'Year data'!$A$111:$A$161,0),MATCH('TCO Inputs'!$AZ$12,'Year data'!$B$110:$AC$110,0))/(1+$AZ$41)^C$168</f>
        <v>1324.042444740064</v>
      </c>
      <c r="D191" s="106">
        <f>VLOOKUP($A191,'VKT US'!$B$63:$AA$113,(D$168+1),FALSE)/VLOOKUP($A191,'Fuel economy adjusted factor'!$A$2:$F$52,6,FALSE)*INDEX('Year data'!$B$111:$AC$161,MATCH($A191,'Year data'!$A$111:$A$161,0),MATCH('TCO Inputs'!$AZ$12,'Year data'!$B$110:$AC$110,0))/(1+$AZ$41)^D$168</f>
        <v>1269.5009235788966</v>
      </c>
      <c r="E191" s="106">
        <f>VLOOKUP($A191,'VKT US'!$B$63:$AA$113,(E$168+1),FALSE)/VLOOKUP($A191,'Fuel economy adjusted factor'!$A$2:$F$52,6,FALSE)*INDEX('Year data'!$B$111:$AC$161,MATCH($A191,'Year data'!$A$111:$A$161,0),MATCH('TCO Inputs'!$AZ$12,'Year data'!$B$110:$AC$110,0))/(1+$AZ$41)^E$168</f>
        <v>1217.4134061846382</v>
      </c>
      <c r="F191" s="106">
        <f>VLOOKUP($A191,'VKT US'!$B$63:$AA$113,(F$168+1),FALSE)/VLOOKUP($A191,'Fuel economy adjusted factor'!$A$2:$F$52,6,FALSE)*INDEX('Year data'!$B$111:$AC$161,MATCH($A191,'Year data'!$A$111:$A$161,0),MATCH('TCO Inputs'!$AZ$12,'Year data'!$B$110:$AC$110,0))/(1+$AZ$41)^F$168</f>
        <v>1167.6183429668956</v>
      </c>
      <c r="G191" s="106">
        <f>VLOOKUP($A191,'VKT US'!$B$63:$AA$113,(G$168+1),FALSE)/VLOOKUP($A191,'Fuel economy adjusted factor'!$A$2:$F$52,6,FALSE)*INDEX('Year data'!$B$111:$AC$161,MATCH($A191,'Year data'!$A$111:$A$161,0),MATCH('TCO Inputs'!$AZ$12,'Year data'!$B$110:$AC$110,0))/(1+$AZ$41)^G$168</f>
        <v>1120.2418886554256</v>
      </c>
      <c r="H191" s="106">
        <f>VLOOKUP($A191,'VKT US'!$B$63:$AA$113,(H$168+1),FALSE)/VLOOKUP($A191,'Fuel economy adjusted factor'!$A$2:$F$52,6,FALSE)*INDEX('Year data'!$B$111:$AC$161,MATCH($A191,'Year data'!$A$111:$A$161,0),MATCH('TCO Inputs'!$AZ$12,'Year data'!$B$110:$AC$110,0))/(1+$AZ$41)^H$168</f>
        <v>1074.9385469782362</v>
      </c>
      <c r="I191" s="106">
        <f>VLOOKUP($A191,'VKT US'!$B$63:$AA$113,(I$168+1),FALSE)/VLOOKUP($A191,'Fuel economy adjusted factor'!$A$2:$F$52,6,FALSE)*INDEX('Year data'!$B$111:$AC$161,MATCH($A191,'Year data'!$A$111:$A$161,0),MATCH('TCO Inputs'!$AZ$12,'Year data'!$B$110:$AC$110,0))/(1+$AZ$41)^I$168</f>
        <v>1031.8360294709159</v>
      </c>
      <c r="J191" s="106">
        <f>VLOOKUP($A191,'VKT US'!$B$63:$AA$113,(J$168+1),FALSE)/VLOOKUP($A191,'Fuel economy adjusted factor'!$A$2:$F$52,6,FALSE)*INDEX('Year data'!$B$111:$AC$161,MATCH($A191,'Year data'!$A$111:$A$161,0),MATCH('TCO Inputs'!$AZ$12,'Year data'!$B$110:$AC$110,0))/(1+$AZ$41)^J$168</f>
        <v>990.87328787594788</v>
      </c>
      <c r="K191" s="106">
        <f>VLOOKUP($A191,'VKT US'!$B$63:$AA$113,(K$168+1),FALSE)/VLOOKUP($A191,'Fuel economy adjusted factor'!$A$2:$F$52,6,FALSE)*INDEX('Year data'!$B$111:$AC$161,MATCH($A191,'Year data'!$A$111:$A$161,0),MATCH('TCO Inputs'!$AZ$12,'Year data'!$B$110:$AC$110,0))/(1+$AZ$41)^K$168</f>
        <v>951.99059280306369</v>
      </c>
      <c r="L191" s="106">
        <f>VLOOKUP($A191,'VKT US'!$B$63:$AA$113,(L$168+1),FALSE)/VLOOKUP($A191,'Fuel economy adjusted factor'!$A$2:$F$52,6,FALSE)*INDEX('Year data'!$B$111:$AC$161,MATCH($A191,'Year data'!$A$111:$A$161,0),MATCH('TCO Inputs'!$AZ$12,'Year data'!$B$110:$AC$110,0))/(1+$AZ$41)^L$168</f>
        <v>915.04102218923481</v>
      </c>
      <c r="M191" s="106">
        <f>VLOOKUP($A191,'VKT US'!$B$63:$AA$113,(M$168+1),FALSE)/VLOOKUP($A191,'Fuel economy adjusted factor'!$A$2:$F$52,6,FALSE)*INDEX('Year data'!$B$111:$AC$161,MATCH($A191,'Year data'!$A$111:$A$161,0),MATCH('TCO Inputs'!$AZ$12,'Year data'!$B$110:$AC$110,0))/(1+$AZ$41)^M$168</f>
        <v>880.05799550874951</v>
      </c>
      <c r="N191" s="106">
        <f>VLOOKUP($A191,'VKT US'!$B$63:$AA$113,(N$168+1),FALSE)/VLOOKUP($A191,'Fuel economy adjusted factor'!$A$2:$F$52,6,FALSE)*INDEX('Year data'!$B$111:$AC$161,MATCH($A191,'Year data'!$A$111:$A$161,0),MATCH('TCO Inputs'!$AZ$12,'Year data'!$B$110:$AC$110,0))/(1+$AZ$41)^N$168</f>
        <v>846.89915470162941</v>
      </c>
      <c r="O191" s="106">
        <f>VLOOKUP($A191,'VKT US'!$B$63:$AA$113,(O$168+1),FALSE)/VLOOKUP($A191,'Fuel economy adjusted factor'!$A$2:$F$52,6,FALSE)*INDEX('Year data'!$B$111:$AC$161,MATCH($A191,'Year data'!$A$111:$A$161,0),MATCH('TCO Inputs'!$AZ$12,'Year data'!$B$110:$AC$110,0))/(1+$AZ$41)^O$168</f>
        <v>815.5982146969144</v>
      </c>
      <c r="P191" s="106">
        <f>VLOOKUP($A191,'VKT US'!$B$63:$AA$113,(P$168+1),FALSE)/VLOOKUP($A191,'Fuel economy adjusted factor'!$A$2:$F$52,6,FALSE)*INDEX('Year data'!$B$111:$AC$161,MATCH($A191,'Year data'!$A$111:$A$161,0),MATCH('TCO Inputs'!$AZ$12,'Year data'!$B$110:$AC$110,0))/(1+$AZ$41)^P$168</f>
        <v>786.01724002963601</v>
      </c>
      <c r="Q191" s="106">
        <f>VLOOKUP($A191,'VKT US'!$B$63:$AA$113,(Q$168+1),FALSE)/VLOOKUP($A191,'Fuel economy adjusted factor'!$A$2:$F$52,6,FALSE)*INDEX('Year data'!$B$111:$AC$161,MATCH($A191,'Year data'!$A$111:$A$161,0),MATCH('TCO Inputs'!$AZ$12,'Year data'!$B$110:$AC$110,0))/(1+$AZ$41)^Q$168</f>
        <v>758.27356420915839</v>
      </c>
      <c r="R191" s="106">
        <f>VLOOKUP($A191,'VKT US'!$B$63:$AA$113,(R$168+1),FALSE)/VLOOKUP($A191,'Fuel economy adjusted factor'!$A$2:$F$52,6,FALSE)*INDEX('Year data'!$B$111:$AC$161,MATCH($A191,'Year data'!$A$111:$A$161,0),MATCH('TCO Inputs'!$AZ$12,'Year data'!$B$110:$AC$110,0))/(1+$AZ$41)^R$168</f>
        <v>732.0658219578329</v>
      </c>
      <c r="S191" s="106">
        <f>VLOOKUP($A191,'VKT US'!$B$63:$AA$113,(S$168+1),FALSE)/VLOOKUP($A191,'Fuel economy adjusted factor'!$A$2:$F$52,6,FALSE)*INDEX('Year data'!$B$111:$AC$161,MATCH($A191,'Year data'!$A$111:$A$161,0),MATCH('TCO Inputs'!$AZ$12,'Year data'!$B$110:$AC$110,0))/(1+$AZ$41)^S$168</f>
        <v>707.59396194461794</v>
      </c>
      <c r="T191" s="106">
        <f>VLOOKUP($A191,'VKT US'!$B$63:$AA$113,(T$168+1),FALSE)/VLOOKUP($A191,'Fuel economy adjusted factor'!$A$2:$F$52,6,FALSE)*INDEX('Year data'!$B$111:$AC$161,MATCH($A191,'Year data'!$A$111:$A$161,0),MATCH('TCO Inputs'!$AZ$12,'Year data'!$B$110:$AC$110,0))/(1+$AZ$41)^T$168</f>
        <v>684.5647252083071</v>
      </c>
      <c r="U191" s="106">
        <f>VLOOKUP($A191,'VKT US'!$B$63:$AA$113,(U$168+1),FALSE)/VLOOKUP($A191,'Fuel economy adjusted factor'!$A$2:$F$52,6,FALSE)*INDEX('Year data'!$B$111:$AC$161,MATCH($A191,'Year data'!$A$111:$A$161,0),MATCH('TCO Inputs'!$AZ$12,'Year data'!$B$110:$AC$110,0))/(1+$AZ$41)^U$168</f>
        <v>663.17433276746658</v>
      </c>
      <c r="V191" s="110" cm="1">
        <f t="array" ref="V191">SUMPRODUCT(INDEX(B191:U191,,_xlfn.SEQUENCE($AZ$13)))</f>
        <v>14987.058068793605</v>
      </c>
    </row>
    <row r="192" spans="1:22" x14ac:dyDescent="0.25">
      <c r="A192" s="102" t="s">
        <v>207</v>
      </c>
      <c r="B192" s="106">
        <f>VLOOKUP($A192,'VKT US'!$B$63:$AA$113,(B$168+1),FALSE)/VLOOKUP($A192,'Fuel economy adjusted factor'!$A$2:$F$52,6,FALSE)*INDEX('Year data'!$B$111:$AC$161,MATCH($A192,'Year data'!$A$111:$A$161,0),MATCH('TCO Inputs'!$AZ$12,'Year data'!$B$110:$AC$110,0))/(1+$AZ$41)^B$168</f>
        <v>1347.3574177700118</v>
      </c>
      <c r="C192" s="106">
        <f>VLOOKUP($A192,'VKT US'!$B$63:$AA$113,(C$168+1),FALSE)/VLOOKUP($A192,'Fuel economy adjusted factor'!$A$2:$F$52,6,FALSE)*INDEX('Year data'!$B$111:$AC$161,MATCH($A192,'Year data'!$A$111:$A$161,0),MATCH('TCO Inputs'!$AZ$12,'Year data'!$B$110:$AC$110,0))/(1+$AZ$41)^C$168</f>
        <v>1291.781590508823</v>
      </c>
      <c r="D192" s="106">
        <f>VLOOKUP($A192,'VKT US'!$B$63:$AA$113,(D$168+1),FALSE)/VLOOKUP($A192,'Fuel economy adjusted factor'!$A$2:$F$52,6,FALSE)*INDEX('Year data'!$B$111:$AC$161,MATCH($A192,'Year data'!$A$111:$A$161,0),MATCH('TCO Inputs'!$AZ$12,'Year data'!$B$110:$AC$110,0))/(1+$AZ$41)^D$168</f>
        <v>1238.568996581613</v>
      </c>
      <c r="E192" s="106">
        <f>VLOOKUP($A192,'VKT US'!$B$63:$AA$113,(E$168+1),FALSE)/VLOOKUP($A192,'Fuel economy adjusted factor'!$A$2:$F$52,6,FALSE)*INDEX('Year data'!$B$111:$AC$161,MATCH($A192,'Year data'!$A$111:$A$161,0),MATCH('TCO Inputs'!$AZ$12,'Year data'!$B$110:$AC$110,0))/(1+$AZ$41)^E$168</f>
        <v>1187.750613581497</v>
      </c>
      <c r="F192" s="106">
        <f>VLOOKUP($A192,'VKT US'!$B$63:$AA$113,(F$168+1),FALSE)/VLOOKUP($A192,'Fuel economy adjusted factor'!$A$2:$F$52,6,FALSE)*INDEX('Year data'!$B$111:$AC$161,MATCH($A192,'Year data'!$A$111:$A$161,0),MATCH('TCO Inputs'!$AZ$12,'Year data'!$B$110:$AC$110,0))/(1+$AZ$41)^F$168</f>
        <v>1139.1688281421852</v>
      </c>
      <c r="G192" s="106">
        <f>VLOOKUP($A192,'VKT US'!$B$63:$AA$113,(G$168+1),FALSE)/VLOOKUP($A192,'Fuel economy adjusted factor'!$A$2:$F$52,6,FALSE)*INDEX('Year data'!$B$111:$AC$161,MATCH($A192,'Year data'!$A$111:$A$161,0),MATCH('TCO Inputs'!$AZ$12,'Year data'!$B$110:$AC$110,0))/(1+$AZ$41)^G$168</f>
        <v>1092.9467211800825</v>
      </c>
      <c r="H192" s="106">
        <f>VLOOKUP($A192,'VKT US'!$B$63:$AA$113,(H$168+1),FALSE)/VLOOKUP($A192,'Fuel economy adjusted factor'!$A$2:$F$52,6,FALSE)*INDEX('Year data'!$B$111:$AC$161,MATCH($A192,'Year data'!$A$111:$A$161,0),MATCH('TCO Inputs'!$AZ$12,'Year data'!$B$110:$AC$110,0))/(1+$AZ$41)^H$168</f>
        <v>1048.7472145860067</v>
      </c>
      <c r="I192" s="106">
        <f>VLOOKUP($A192,'VKT US'!$B$63:$AA$113,(I$168+1),FALSE)/VLOOKUP($A192,'Fuel economy adjusted factor'!$A$2:$F$52,6,FALSE)*INDEX('Year data'!$B$111:$AC$161,MATCH($A192,'Year data'!$A$111:$A$161,0),MATCH('TCO Inputs'!$AZ$12,'Year data'!$B$110:$AC$110,0))/(1+$AZ$41)^I$168</f>
        <v>1006.6949081499612</v>
      </c>
      <c r="J192" s="106">
        <f>VLOOKUP($A192,'VKT US'!$B$63:$AA$113,(J$168+1),FALSE)/VLOOKUP($A192,'Fuel economy adjusted factor'!$A$2:$F$52,6,FALSE)*INDEX('Year data'!$B$111:$AC$161,MATCH($A192,'Year data'!$A$111:$A$161,0),MATCH('TCO Inputs'!$AZ$12,'Year data'!$B$110:$AC$110,0))/(1+$AZ$41)^J$168</f>
        <v>966.73024108104528</v>
      </c>
      <c r="K192" s="106">
        <f>VLOOKUP($A192,'VKT US'!$B$63:$AA$113,(K$168+1),FALSE)/VLOOKUP($A192,'Fuel economy adjusted factor'!$A$2:$F$52,6,FALSE)*INDEX('Year data'!$B$111:$AC$161,MATCH($A192,'Year data'!$A$111:$A$161,0),MATCH('TCO Inputs'!$AZ$12,'Year data'!$B$110:$AC$110,0))/(1+$AZ$41)^K$168</f>
        <v>928.79493932085097</v>
      </c>
      <c r="L192" s="106">
        <f>VLOOKUP($A192,'VKT US'!$B$63:$AA$113,(L$168+1),FALSE)/VLOOKUP($A192,'Fuel economy adjusted factor'!$A$2:$F$52,6,FALSE)*INDEX('Year data'!$B$111:$AC$161,MATCH($A192,'Year data'!$A$111:$A$161,0),MATCH('TCO Inputs'!$AZ$12,'Year data'!$B$110:$AC$110,0))/(1+$AZ$41)^L$168</f>
        <v>892.74566062456233</v>
      </c>
      <c r="M192" s="106">
        <f>VLOOKUP($A192,'VKT US'!$B$63:$AA$113,(M$168+1),FALSE)/VLOOKUP($A192,'Fuel economy adjusted factor'!$A$2:$F$52,6,FALSE)*INDEX('Year data'!$B$111:$AC$161,MATCH($A192,'Year data'!$A$111:$A$161,0),MATCH('TCO Inputs'!$AZ$12,'Year data'!$B$110:$AC$110,0))/(1+$AZ$41)^M$168</f>
        <v>858.61501018684021</v>
      </c>
      <c r="N192" s="106">
        <f>VLOOKUP($A192,'VKT US'!$B$63:$AA$113,(N$168+1),FALSE)/VLOOKUP($A192,'Fuel economy adjusted factor'!$A$2:$F$52,6,FALSE)*INDEX('Year data'!$B$111:$AC$161,MATCH($A192,'Year data'!$A$111:$A$161,0),MATCH('TCO Inputs'!$AZ$12,'Year data'!$B$110:$AC$110,0))/(1+$AZ$41)^N$168</f>
        <v>826.26409856205498</v>
      </c>
      <c r="O192" s="106">
        <f>VLOOKUP($A192,'VKT US'!$B$63:$AA$113,(O$168+1),FALSE)/VLOOKUP($A192,'Fuel economy adjusted factor'!$A$2:$F$52,6,FALSE)*INDEX('Year data'!$B$111:$AC$161,MATCH($A192,'Year data'!$A$111:$A$161,0),MATCH('TCO Inputs'!$AZ$12,'Year data'!$B$110:$AC$110,0))/(1+$AZ$41)^O$168</f>
        <v>795.72581920073901</v>
      </c>
      <c r="P192" s="106">
        <f>VLOOKUP($A192,'VKT US'!$B$63:$AA$113,(P$168+1),FALSE)/VLOOKUP($A192,'Fuel economy adjusted factor'!$A$2:$F$52,6,FALSE)*INDEX('Year data'!$B$111:$AC$161,MATCH($A192,'Year data'!$A$111:$A$161,0),MATCH('TCO Inputs'!$AZ$12,'Year data'!$B$110:$AC$110,0))/(1+$AZ$41)^P$168</f>
        <v>766.86559749387379</v>
      </c>
      <c r="Q192" s="106">
        <f>VLOOKUP($A192,'VKT US'!$B$63:$AA$113,(Q$168+1),FALSE)/VLOOKUP($A192,'Fuel economy adjusted factor'!$A$2:$F$52,6,FALSE)*INDEX('Year data'!$B$111:$AC$161,MATCH($A192,'Year data'!$A$111:$A$161,0),MATCH('TCO Inputs'!$AZ$12,'Year data'!$B$110:$AC$110,0))/(1+$AZ$41)^Q$168</f>
        <v>739.79790807023608</v>
      </c>
      <c r="R192" s="106">
        <f>VLOOKUP($A192,'VKT US'!$B$63:$AA$113,(R$168+1),FALSE)/VLOOKUP($A192,'Fuel economy adjusted factor'!$A$2:$F$52,6,FALSE)*INDEX('Year data'!$B$111:$AC$161,MATCH($A192,'Year data'!$A$111:$A$161,0),MATCH('TCO Inputs'!$AZ$12,'Year data'!$B$110:$AC$110,0))/(1+$AZ$41)^R$168</f>
        <v>714.22872854464424</v>
      </c>
      <c r="S192" s="106">
        <f>VLOOKUP($A192,'VKT US'!$B$63:$AA$113,(S$168+1),FALSE)/VLOOKUP($A192,'Fuel economy adjusted factor'!$A$2:$F$52,6,FALSE)*INDEX('Year data'!$B$111:$AC$161,MATCH($A192,'Year data'!$A$111:$A$161,0),MATCH('TCO Inputs'!$AZ$12,'Year data'!$B$110:$AC$110,0))/(1+$AZ$41)^S$168</f>
        <v>690.35313575215935</v>
      </c>
      <c r="T192" s="106">
        <f>VLOOKUP($A192,'VKT US'!$B$63:$AA$113,(T$168+1),FALSE)/VLOOKUP($A192,'Fuel economy adjusted factor'!$A$2:$F$52,6,FALSE)*INDEX('Year data'!$B$111:$AC$161,MATCH($A192,'Year data'!$A$111:$A$161,0),MATCH('TCO Inputs'!$AZ$12,'Year data'!$B$110:$AC$110,0))/(1+$AZ$41)^T$168</f>
        <v>667.88501611021206</v>
      </c>
      <c r="U192" s="106">
        <f>VLOOKUP($A192,'VKT US'!$B$63:$AA$113,(U$168+1),FALSE)/VLOOKUP($A192,'Fuel economy adjusted factor'!$A$2:$F$52,6,FALSE)*INDEX('Year data'!$B$111:$AC$161,MATCH($A192,'Year data'!$A$111:$A$161,0),MATCH('TCO Inputs'!$AZ$12,'Year data'!$B$110:$AC$110,0))/(1+$AZ$41)^U$168</f>
        <v>647.01580962925107</v>
      </c>
      <c r="V192" s="110" cm="1">
        <f t="array" ref="V192">SUMPRODUCT(INDEX(B192:U192,,_xlfn.SEQUENCE($AZ$13)))</f>
        <v>14621.892059476269</v>
      </c>
    </row>
    <row r="193" spans="1:22" x14ac:dyDescent="0.25">
      <c r="A193" s="102" t="s">
        <v>206</v>
      </c>
      <c r="B193" s="106">
        <f>VLOOKUP($A193,'VKT US'!$B$63:$AA$113,(B$168+1),FALSE)/VLOOKUP($A193,'Fuel economy adjusted factor'!$A$2:$F$52,6,FALSE)*INDEX('Year data'!$B$111:$AC$161,MATCH($A193,'Year data'!$A$111:$A$161,0),MATCH('TCO Inputs'!$AZ$12,'Year data'!$B$110:$AC$110,0))/(1+$AZ$41)^B$168</f>
        <v>1381.4822254458331</v>
      </c>
      <c r="C193" s="106">
        <f>VLOOKUP($A193,'VKT US'!$B$63:$AA$113,(C$168+1),FALSE)/VLOOKUP($A193,'Fuel economy adjusted factor'!$A$2:$F$52,6,FALSE)*INDEX('Year data'!$B$111:$AC$161,MATCH($A193,'Year data'!$A$111:$A$161,0),MATCH('TCO Inputs'!$AZ$12,'Year data'!$B$110:$AC$110,0))/(1+$AZ$41)^C$168</f>
        <v>1324.4988173959839</v>
      </c>
      <c r="D193" s="106">
        <f>VLOOKUP($A193,'VKT US'!$B$63:$AA$113,(D$168+1),FALSE)/VLOOKUP($A193,'Fuel economy adjusted factor'!$A$2:$F$52,6,FALSE)*INDEX('Year data'!$B$111:$AC$161,MATCH($A193,'Year data'!$A$111:$A$161,0),MATCH('TCO Inputs'!$AZ$12,'Year data'!$B$110:$AC$110,0))/(1+$AZ$41)^D$168</f>
        <v>1269.9384967930243</v>
      </c>
      <c r="E193" s="106">
        <f>VLOOKUP($A193,'VKT US'!$B$63:$AA$113,(E$168+1),FALSE)/VLOOKUP($A193,'Fuel economy adjusted factor'!$A$2:$F$52,6,FALSE)*INDEX('Year data'!$B$111:$AC$161,MATCH($A193,'Year data'!$A$111:$A$161,0),MATCH('TCO Inputs'!$AZ$12,'Year data'!$B$110:$AC$110,0))/(1+$AZ$41)^E$168</f>
        <v>1217.8330258061542</v>
      </c>
      <c r="F193" s="106">
        <f>VLOOKUP($A193,'VKT US'!$B$63:$AA$113,(F$168+1),FALSE)/VLOOKUP($A193,'Fuel economy adjusted factor'!$A$2:$F$52,6,FALSE)*INDEX('Year data'!$B$111:$AC$161,MATCH($A193,'Year data'!$A$111:$A$161,0),MATCH('TCO Inputs'!$AZ$12,'Year data'!$B$110:$AC$110,0))/(1+$AZ$41)^F$168</f>
        <v>1168.020799161859</v>
      </c>
      <c r="G193" s="106">
        <f>VLOOKUP($A193,'VKT US'!$B$63:$AA$113,(G$168+1),FALSE)/VLOOKUP($A193,'Fuel economy adjusted factor'!$A$2:$F$52,6,FALSE)*INDEX('Year data'!$B$111:$AC$161,MATCH($A193,'Year data'!$A$111:$A$161,0),MATCH('TCO Inputs'!$AZ$12,'Year data'!$B$110:$AC$110,0))/(1+$AZ$41)^G$168</f>
        <v>1120.6280150730711</v>
      </c>
      <c r="H193" s="106">
        <f>VLOOKUP($A193,'VKT US'!$B$63:$AA$113,(H$168+1),FALSE)/VLOOKUP($A193,'Fuel economy adjusted factor'!$A$2:$F$52,6,FALSE)*INDEX('Year data'!$B$111:$AC$161,MATCH($A193,'Year data'!$A$111:$A$161,0),MATCH('TCO Inputs'!$AZ$12,'Year data'!$B$110:$AC$110,0))/(1+$AZ$41)^H$168</f>
        <v>1075.3090581816978</v>
      </c>
      <c r="I193" s="106">
        <f>VLOOKUP($A193,'VKT US'!$B$63:$AA$113,(I$168+1),FALSE)/VLOOKUP($A193,'Fuel economy adjusted factor'!$A$2:$F$52,6,FALSE)*INDEX('Year data'!$B$111:$AC$161,MATCH($A193,'Year data'!$A$111:$A$161,0),MATCH('TCO Inputs'!$AZ$12,'Year data'!$B$110:$AC$110,0))/(1+$AZ$41)^I$168</f>
        <v>1032.1916840431045</v>
      </c>
      <c r="J193" s="106">
        <f>VLOOKUP($A193,'VKT US'!$B$63:$AA$113,(J$168+1),FALSE)/VLOOKUP($A193,'Fuel economy adjusted factor'!$A$2:$F$52,6,FALSE)*INDEX('Year data'!$B$111:$AC$161,MATCH($A193,'Year data'!$A$111:$A$161,0),MATCH('TCO Inputs'!$AZ$12,'Year data'!$B$110:$AC$110,0))/(1+$AZ$41)^J$168</f>
        <v>991.21482335758151</v>
      </c>
      <c r="K193" s="106">
        <f>VLOOKUP($A193,'VKT US'!$B$63:$AA$113,(K$168+1),FALSE)/VLOOKUP($A193,'Fuel economy adjusted factor'!$A$2:$F$52,6,FALSE)*INDEX('Year data'!$B$111:$AC$161,MATCH($A193,'Year data'!$A$111:$A$161,0),MATCH('TCO Inputs'!$AZ$12,'Year data'!$B$110:$AC$110,0))/(1+$AZ$41)^K$168</f>
        <v>952.3187261472583</v>
      </c>
      <c r="L193" s="106">
        <f>VLOOKUP($A193,'VKT US'!$B$63:$AA$113,(L$168+1),FALSE)/VLOOKUP($A193,'Fuel economy adjusted factor'!$A$2:$F$52,6,FALSE)*INDEX('Year data'!$B$111:$AC$161,MATCH($A193,'Year data'!$A$111:$A$161,0),MATCH('TCO Inputs'!$AZ$12,'Year data'!$B$110:$AC$110,0))/(1+$AZ$41)^L$168</f>
        <v>915.35641970781955</v>
      </c>
      <c r="M193" s="106">
        <f>VLOOKUP($A193,'VKT US'!$B$63:$AA$113,(M$168+1),FALSE)/VLOOKUP($A193,'Fuel economy adjusted factor'!$A$2:$F$52,6,FALSE)*INDEX('Year data'!$B$111:$AC$161,MATCH($A193,'Year data'!$A$111:$A$161,0),MATCH('TCO Inputs'!$AZ$12,'Year data'!$B$110:$AC$110,0))/(1+$AZ$41)^M$168</f>
        <v>880.36133503262135</v>
      </c>
      <c r="N193" s="106">
        <f>VLOOKUP($A193,'VKT US'!$B$63:$AA$113,(N$168+1),FALSE)/VLOOKUP($A193,'Fuel economy adjusted factor'!$A$2:$F$52,6,FALSE)*INDEX('Year data'!$B$111:$AC$161,MATCH($A193,'Year data'!$A$111:$A$161,0),MATCH('TCO Inputs'!$AZ$12,'Year data'!$B$110:$AC$110,0))/(1+$AZ$41)^N$168</f>
        <v>847.19106499352586</v>
      </c>
      <c r="O193" s="106">
        <f>VLOOKUP($A193,'VKT US'!$B$63:$AA$113,(O$168+1),FALSE)/VLOOKUP($A193,'Fuel economy adjusted factor'!$A$2:$F$52,6,FALSE)*INDEX('Year data'!$B$111:$AC$161,MATCH($A193,'Year data'!$A$111:$A$161,0),MATCH('TCO Inputs'!$AZ$12,'Year data'!$B$110:$AC$110,0))/(1+$AZ$41)^O$168</f>
        <v>815.8793361404779</v>
      </c>
      <c r="P193" s="106">
        <f>VLOOKUP($A193,'VKT US'!$B$63:$AA$113,(P$168+1),FALSE)/VLOOKUP($A193,'Fuel economy adjusted factor'!$A$2:$F$52,6,FALSE)*INDEX('Year data'!$B$111:$AC$161,MATCH($A193,'Year data'!$A$111:$A$161,0),MATCH('TCO Inputs'!$AZ$12,'Year data'!$B$110:$AC$110,0))/(1+$AZ$41)^P$168</f>
        <v>786.28816546473524</v>
      </c>
      <c r="Q193" s="106">
        <f>VLOOKUP($A193,'VKT US'!$B$63:$AA$113,(Q$168+1),FALSE)/VLOOKUP($A193,'Fuel economy adjusted factor'!$A$2:$F$52,6,FALSE)*INDEX('Year data'!$B$111:$AC$161,MATCH($A193,'Year data'!$A$111:$A$161,0),MATCH('TCO Inputs'!$AZ$12,'Year data'!$B$110:$AC$110,0))/(1+$AZ$41)^Q$168</f>
        <v>758.53492691832707</v>
      </c>
      <c r="R193" s="106">
        <f>VLOOKUP($A193,'VKT US'!$B$63:$AA$113,(R$168+1),FALSE)/VLOOKUP($A193,'Fuel economy adjusted factor'!$A$2:$F$52,6,FALSE)*INDEX('Year data'!$B$111:$AC$161,MATCH($A193,'Year data'!$A$111:$A$161,0),MATCH('TCO Inputs'!$AZ$12,'Year data'!$B$110:$AC$110,0))/(1+$AZ$41)^R$168</f>
        <v>732.31815134863314</v>
      </c>
      <c r="S193" s="106">
        <f>VLOOKUP($A193,'VKT US'!$B$63:$AA$113,(S$168+1),FALSE)/VLOOKUP($A193,'Fuel economy adjusted factor'!$A$2:$F$52,6,FALSE)*INDEX('Year data'!$B$111:$AC$161,MATCH($A193,'Year data'!$A$111:$A$161,0),MATCH('TCO Inputs'!$AZ$12,'Year data'!$B$110:$AC$110,0))/(1+$AZ$41)^S$168</f>
        <v>707.83785634317633</v>
      </c>
      <c r="T193" s="106">
        <f>VLOOKUP($A193,'VKT US'!$B$63:$AA$113,(T$168+1),FALSE)/VLOOKUP($A193,'Fuel economy adjusted factor'!$A$2:$F$52,6,FALSE)*INDEX('Year data'!$B$111:$AC$161,MATCH($A193,'Year data'!$A$111:$A$161,0),MATCH('TCO Inputs'!$AZ$12,'Year data'!$B$110:$AC$110,0))/(1+$AZ$41)^T$168</f>
        <v>684.80068185987318</v>
      </c>
      <c r="U193" s="106">
        <f>VLOOKUP($A193,'VKT US'!$B$63:$AA$113,(U$168+1),FALSE)/VLOOKUP($A193,'Fuel economy adjusted factor'!$A$2:$F$52,6,FALSE)*INDEX('Year data'!$B$111:$AC$161,MATCH($A193,'Year data'!$A$111:$A$161,0),MATCH('TCO Inputs'!$AZ$12,'Year data'!$B$110:$AC$110,0))/(1+$AZ$41)^U$168</f>
        <v>663.40291655100407</v>
      </c>
      <c r="V193" s="110" cm="1">
        <f t="array" ref="V193">SUMPRODUCT(INDEX(B193:U193,,_xlfn.SEQUENCE($AZ$13)))</f>
        <v>14992.22382728001</v>
      </c>
    </row>
    <row r="194" spans="1:22" x14ac:dyDescent="0.25">
      <c r="A194" s="102" t="s">
        <v>208</v>
      </c>
      <c r="B194" s="106">
        <f>VLOOKUP($A194,'VKT US'!$B$63:$AA$113,(B$168+1),FALSE)/VLOOKUP($A194,'Fuel economy adjusted factor'!$A$2:$F$52,6,FALSE)*INDEX('Year data'!$B$111:$AC$161,MATCH($A194,'Year data'!$A$111:$A$161,0),MATCH('TCO Inputs'!$AZ$12,'Year data'!$B$110:$AC$110,0))/(1+$AZ$41)^B$168</f>
        <v>1301.0791933768644</v>
      </c>
      <c r="C194" s="106">
        <f>VLOOKUP($A194,'VKT US'!$B$63:$AA$113,(C$168+1),FALSE)/VLOOKUP($A194,'Fuel economy adjusted factor'!$A$2:$F$52,6,FALSE)*INDEX('Year data'!$B$111:$AC$161,MATCH($A194,'Year data'!$A$111:$A$161,0),MATCH('TCO Inputs'!$AZ$12,'Year data'!$B$110:$AC$110,0))/(1+$AZ$41)^C$168</f>
        <v>1247.4122512941053</v>
      </c>
      <c r="D194" s="106">
        <f>VLOOKUP($A194,'VKT US'!$B$63:$AA$113,(D$168+1),FALSE)/VLOOKUP($A194,'Fuel economy adjusted factor'!$A$2:$F$52,6,FALSE)*INDEX('Year data'!$B$111:$AC$161,MATCH($A194,'Year data'!$A$111:$A$161,0),MATCH('TCO Inputs'!$AZ$12,'Year data'!$B$110:$AC$110,0))/(1+$AZ$41)^D$168</f>
        <v>1196.0273716243196</v>
      </c>
      <c r="E194" s="106">
        <f>VLOOKUP($A194,'VKT US'!$B$63:$AA$113,(E$168+1),FALSE)/VLOOKUP($A194,'Fuel economy adjusted factor'!$A$2:$F$52,6,FALSE)*INDEX('Year data'!$B$111:$AC$161,MATCH($A194,'Year data'!$A$111:$A$161,0),MATCH('TCO Inputs'!$AZ$12,'Year data'!$B$110:$AC$110,0))/(1+$AZ$41)^E$168</f>
        <v>1146.9544679608359</v>
      </c>
      <c r="F194" s="106">
        <f>VLOOKUP($A194,'VKT US'!$B$63:$AA$113,(F$168+1),FALSE)/VLOOKUP($A194,'Fuel economy adjusted factor'!$A$2:$F$52,6,FALSE)*INDEX('Year data'!$B$111:$AC$161,MATCH($A194,'Year data'!$A$111:$A$161,0),MATCH('TCO Inputs'!$AZ$12,'Year data'!$B$110:$AC$110,0))/(1+$AZ$41)^F$168</f>
        <v>1100.0413405467284</v>
      </c>
      <c r="G194" s="106">
        <f>VLOOKUP($A194,'VKT US'!$B$63:$AA$113,(G$168+1),FALSE)/VLOOKUP($A194,'Fuel economy adjusted factor'!$A$2:$F$52,6,FALSE)*INDEX('Year data'!$B$111:$AC$161,MATCH($A194,'Year data'!$A$111:$A$161,0),MATCH('TCO Inputs'!$AZ$12,'Year data'!$B$110:$AC$110,0))/(1+$AZ$41)^G$168</f>
        <v>1055.4068427889126</v>
      </c>
      <c r="H194" s="106">
        <f>VLOOKUP($A194,'VKT US'!$B$63:$AA$113,(H$168+1),FALSE)/VLOOKUP($A194,'Fuel economy adjusted factor'!$A$2:$F$52,6,FALSE)*INDEX('Year data'!$B$111:$AC$161,MATCH($A194,'Year data'!$A$111:$A$161,0),MATCH('TCO Inputs'!$AZ$12,'Year data'!$B$110:$AC$110,0))/(1+$AZ$41)^H$168</f>
        <v>1012.7254743349104</v>
      </c>
      <c r="I194" s="106">
        <f>VLOOKUP($A194,'VKT US'!$B$63:$AA$113,(I$168+1),FALSE)/VLOOKUP($A194,'Fuel economy adjusted factor'!$A$2:$F$52,6,FALSE)*INDEX('Year data'!$B$111:$AC$161,MATCH($A194,'Year data'!$A$111:$A$161,0),MATCH('TCO Inputs'!$AZ$12,'Year data'!$B$110:$AC$110,0))/(1+$AZ$41)^I$168</f>
        <v>972.11755529587606</v>
      </c>
      <c r="J194" s="106">
        <f>VLOOKUP($A194,'VKT US'!$B$63:$AA$113,(J$168+1),FALSE)/VLOOKUP($A194,'Fuel economy adjusted factor'!$A$2:$F$52,6,FALSE)*INDEX('Year data'!$B$111:$AC$161,MATCH($A194,'Year data'!$A$111:$A$161,0),MATCH('TCO Inputs'!$AZ$12,'Year data'!$B$110:$AC$110,0))/(1+$AZ$41)^J$168</f>
        <v>933.52557063922882</v>
      </c>
      <c r="K194" s="106">
        <f>VLOOKUP($A194,'VKT US'!$B$63:$AA$113,(K$168+1),FALSE)/VLOOKUP($A194,'Fuel economy adjusted factor'!$A$2:$F$52,6,FALSE)*INDEX('Year data'!$B$111:$AC$161,MATCH($A194,'Year data'!$A$111:$A$161,0),MATCH('TCO Inputs'!$AZ$12,'Year data'!$B$110:$AC$110,0))/(1+$AZ$41)^K$168</f>
        <v>896.89324786896395</v>
      </c>
      <c r="L194" s="106">
        <f>VLOOKUP($A194,'VKT US'!$B$63:$AA$113,(L$168+1),FALSE)/VLOOKUP($A194,'Fuel economy adjusted factor'!$A$2:$F$52,6,FALSE)*INDEX('Year data'!$B$111:$AC$161,MATCH($A194,'Year data'!$A$111:$A$161,0),MATCH('TCO Inputs'!$AZ$12,'Year data'!$B$110:$AC$110,0))/(1+$AZ$41)^L$168</f>
        <v>862.08216817370885</v>
      </c>
      <c r="M194" s="106">
        <f>VLOOKUP($A194,'VKT US'!$B$63:$AA$113,(M$168+1),FALSE)/VLOOKUP($A194,'Fuel economy adjusted factor'!$A$2:$F$52,6,FALSE)*INDEX('Year data'!$B$111:$AC$161,MATCH($A194,'Year data'!$A$111:$A$161,0),MATCH('TCO Inputs'!$AZ$12,'Year data'!$B$110:$AC$110,0))/(1+$AZ$41)^M$168</f>
        <v>829.12381684445586</v>
      </c>
      <c r="N194" s="106">
        <f>VLOOKUP($A194,'VKT US'!$B$63:$AA$113,(N$168+1),FALSE)/VLOOKUP($A194,'Fuel economy adjusted factor'!$A$2:$F$52,6,FALSE)*INDEX('Year data'!$B$111:$AC$161,MATCH($A194,'Year data'!$A$111:$A$161,0),MATCH('TCO Inputs'!$AZ$12,'Year data'!$B$110:$AC$110,0))/(1+$AZ$41)^N$168</f>
        <v>797.88407492694284</v>
      </c>
      <c r="O194" s="106">
        <f>VLOOKUP($A194,'VKT US'!$B$63:$AA$113,(O$168+1),FALSE)/VLOOKUP($A194,'Fuel economy adjusted factor'!$A$2:$F$52,6,FALSE)*INDEX('Year data'!$B$111:$AC$161,MATCH($A194,'Year data'!$A$111:$A$161,0),MATCH('TCO Inputs'!$AZ$12,'Year data'!$B$110:$AC$110,0))/(1+$AZ$41)^O$168</f>
        <v>768.39470606719431</v>
      </c>
      <c r="P194" s="106">
        <f>VLOOKUP($A194,'VKT US'!$B$63:$AA$113,(P$168+1),FALSE)/VLOOKUP($A194,'Fuel economy adjusted factor'!$A$2:$F$52,6,FALSE)*INDEX('Year data'!$B$111:$AC$161,MATCH($A194,'Year data'!$A$111:$A$161,0),MATCH('TCO Inputs'!$AZ$12,'Year data'!$B$110:$AC$110,0))/(1+$AZ$41)^P$168</f>
        <v>740.52575794413917</v>
      </c>
      <c r="Q194" s="106">
        <f>VLOOKUP($A194,'VKT US'!$B$63:$AA$113,(Q$168+1),FALSE)/VLOOKUP($A194,'Fuel economy adjusted factor'!$A$2:$F$52,6,FALSE)*INDEX('Year data'!$B$111:$AC$161,MATCH($A194,'Year data'!$A$111:$A$161,0),MATCH('TCO Inputs'!$AZ$12,'Year data'!$B$110:$AC$110,0))/(1+$AZ$41)^Q$168</f>
        <v>714.38777328067181</v>
      </c>
      <c r="R194" s="106">
        <f>VLOOKUP($A194,'VKT US'!$B$63:$AA$113,(R$168+1),FALSE)/VLOOKUP($A194,'Fuel economy adjusted factor'!$A$2:$F$52,6,FALSE)*INDEX('Year data'!$B$111:$AC$161,MATCH($A194,'Year data'!$A$111:$A$161,0),MATCH('TCO Inputs'!$AZ$12,'Year data'!$B$110:$AC$110,0))/(1+$AZ$41)^R$168</f>
        <v>689.69682859613067</v>
      </c>
      <c r="S194" s="106">
        <f>VLOOKUP($A194,'VKT US'!$B$63:$AA$113,(S$168+1),FALSE)/VLOOKUP($A194,'Fuel economy adjusted factor'!$A$2:$F$52,6,FALSE)*INDEX('Year data'!$B$111:$AC$161,MATCH($A194,'Year data'!$A$111:$A$161,0),MATCH('TCO Inputs'!$AZ$12,'Year data'!$B$110:$AC$110,0))/(1+$AZ$41)^S$168</f>
        <v>666.6413003434609</v>
      </c>
      <c r="T194" s="106">
        <f>VLOOKUP($A194,'VKT US'!$B$63:$AA$113,(T$168+1),FALSE)/VLOOKUP($A194,'Fuel economy adjusted factor'!$A$2:$F$52,6,FALSE)*INDEX('Year data'!$B$111:$AC$161,MATCH($A194,'Year data'!$A$111:$A$161,0),MATCH('TCO Inputs'!$AZ$12,'Year data'!$B$110:$AC$110,0))/(1+$AZ$41)^T$168</f>
        <v>644.94490219780607</v>
      </c>
      <c r="U194" s="106">
        <f>VLOOKUP($A194,'VKT US'!$B$63:$AA$113,(U$168+1),FALSE)/VLOOKUP($A194,'Fuel economy adjusted factor'!$A$2:$F$52,6,FALSE)*INDEX('Year data'!$B$111:$AC$161,MATCH($A194,'Year data'!$A$111:$A$161,0),MATCH('TCO Inputs'!$AZ$12,'Year data'!$B$110:$AC$110,0))/(1+$AZ$41)^U$168</f>
        <v>624.79249870296837</v>
      </c>
      <c r="V194" s="110" cm="1">
        <f t="array" ref="V194">SUMPRODUCT(INDEX(B194:U194,,_xlfn.SEQUENCE($AZ$13)))</f>
        <v>14119.668081743048</v>
      </c>
    </row>
    <row r="195" spans="1:22" x14ac:dyDescent="0.25">
      <c r="A195" s="102" t="s">
        <v>211</v>
      </c>
      <c r="B195" s="106">
        <f>VLOOKUP($A195,'VKT US'!$B$63:$AA$113,(B$168+1),FALSE)/VLOOKUP($A195,'Fuel economy adjusted factor'!$A$2:$F$52,6,FALSE)*INDEX('Year data'!$B$111:$AC$161,MATCH($A195,'Year data'!$A$111:$A$161,0),MATCH('TCO Inputs'!$AZ$12,'Year data'!$B$110:$AC$110,0))/(1+$AZ$41)^B$168</f>
        <v>1120.2028103656912</v>
      </c>
      <c r="C195" s="106">
        <f>VLOOKUP($A195,'VKT US'!$B$63:$AA$113,(C$168+1),FALSE)/VLOOKUP($A195,'Fuel economy adjusted factor'!$A$2:$F$52,6,FALSE)*INDEX('Year data'!$B$111:$AC$161,MATCH($A195,'Year data'!$A$111:$A$161,0),MATCH('TCO Inputs'!$AZ$12,'Year data'!$B$110:$AC$110,0))/(1+$AZ$41)^C$168</f>
        <v>1073.9966611544296</v>
      </c>
      <c r="D195" s="106">
        <f>VLOOKUP($A195,'VKT US'!$B$63:$AA$113,(D$168+1),FALSE)/VLOOKUP($A195,'Fuel economy adjusted factor'!$A$2:$F$52,6,FALSE)*INDEX('Year data'!$B$111:$AC$161,MATCH($A195,'Year data'!$A$111:$A$161,0),MATCH('TCO Inputs'!$AZ$12,'Year data'!$B$110:$AC$110,0))/(1+$AZ$41)^D$168</f>
        <v>1029.7553214193752</v>
      </c>
      <c r="E195" s="106">
        <f>VLOOKUP($A195,'VKT US'!$B$63:$AA$113,(E$168+1),FALSE)/VLOOKUP($A195,'Fuel economy adjusted factor'!$A$2:$F$52,6,FALSE)*INDEX('Year data'!$B$111:$AC$161,MATCH($A195,'Year data'!$A$111:$A$161,0),MATCH('TCO Inputs'!$AZ$12,'Year data'!$B$110:$AC$110,0))/(1+$AZ$41)^E$168</f>
        <v>987.50454615798287</v>
      </c>
      <c r="F195" s="106">
        <f>VLOOKUP($A195,'VKT US'!$B$63:$AA$113,(F$168+1),FALSE)/VLOOKUP($A195,'Fuel economy adjusted factor'!$A$2:$F$52,6,FALSE)*INDEX('Year data'!$B$111:$AC$161,MATCH($A195,'Year data'!$A$111:$A$161,0),MATCH('TCO Inputs'!$AZ$12,'Year data'!$B$110:$AC$110,0))/(1+$AZ$41)^F$168</f>
        <v>947.11329446489333</v>
      </c>
      <c r="G195" s="106">
        <f>VLOOKUP($A195,'VKT US'!$B$63:$AA$113,(G$168+1),FALSE)/VLOOKUP($A195,'Fuel economy adjusted factor'!$A$2:$F$52,6,FALSE)*INDEX('Year data'!$B$111:$AC$161,MATCH($A195,'Year data'!$A$111:$A$161,0),MATCH('TCO Inputs'!$AZ$12,'Year data'!$B$110:$AC$110,0))/(1+$AZ$41)^G$168</f>
        <v>908.68389671409591</v>
      </c>
      <c r="H195" s="106">
        <f>VLOOKUP($A195,'VKT US'!$B$63:$AA$113,(H$168+1),FALSE)/VLOOKUP($A195,'Fuel economy adjusted factor'!$A$2:$F$52,6,FALSE)*INDEX('Year data'!$B$111:$AC$161,MATCH($A195,'Year data'!$A$111:$A$161,0),MATCH('TCO Inputs'!$AZ$12,'Year data'!$B$110:$AC$110,0))/(1+$AZ$41)^H$168</f>
        <v>871.93610370056319</v>
      </c>
      <c r="I195" s="106">
        <f>VLOOKUP($A195,'VKT US'!$B$63:$AA$113,(I$168+1),FALSE)/VLOOKUP($A195,'Fuel economy adjusted factor'!$A$2:$F$52,6,FALSE)*INDEX('Year data'!$B$111:$AC$161,MATCH($A195,'Year data'!$A$111:$A$161,0),MATCH('TCO Inputs'!$AZ$12,'Year data'!$B$110:$AC$110,0))/(1+$AZ$41)^I$168</f>
        <v>836.97350860090228</v>
      </c>
      <c r="J195" s="106">
        <f>VLOOKUP($A195,'VKT US'!$B$63:$AA$113,(J$168+1),FALSE)/VLOOKUP($A195,'Fuel economy adjusted factor'!$A$2:$F$52,6,FALSE)*INDEX('Year data'!$B$111:$AC$161,MATCH($A195,'Year data'!$A$111:$A$161,0),MATCH('TCO Inputs'!$AZ$12,'Year data'!$B$110:$AC$110,0))/(1+$AZ$41)^J$168</f>
        <v>803.74659213799032</v>
      </c>
      <c r="K195" s="106">
        <f>VLOOKUP($A195,'VKT US'!$B$63:$AA$113,(K$168+1),FALSE)/VLOOKUP($A195,'Fuel economy adjusted factor'!$A$2:$F$52,6,FALSE)*INDEX('Year data'!$B$111:$AC$161,MATCH($A195,'Year data'!$A$111:$A$161,0),MATCH('TCO Inputs'!$AZ$12,'Year data'!$B$110:$AC$110,0))/(1+$AZ$41)^K$168</f>
        <v>772.20690483350847</v>
      </c>
      <c r="L195" s="106">
        <f>VLOOKUP($A195,'VKT US'!$B$63:$AA$113,(L$168+1),FALSE)/VLOOKUP($A195,'Fuel economy adjusted factor'!$A$2:$F$52,6,FALSE)*INDEX('Year data'!$B$111:$AC$161,MATCH($A195,'Year data'!$A$111:$A$161,0),MATCH('TCO Inputs'!$AZ$12,'Year data'!$B$110:$AC$110,0))/(1+$AZ$41)^L$168</f>
        <v>742.23527089685422</v>
      </c>
      <c r="M195" s="106">
        <f>VLOOKUP($A195,'VKT US'!$B$63:$AA$113,(M$168+1),FALSE)/VLOOKUP($A195,'Fuel economy adjusted factor'!$A$2:$F$52,6,FALSE)*INDEX('Year data'!$B$111:$AC$161,MATCH($A195,'Year data'!$A$111:$A$161,0),MATCH('TCO Inputs'!$AZ$12,'Year data'!$B$110:$AC$110,0))/(1+$AZ$41)^M$168</f>
        <v>713.85879852531036</v>
      </c>
      <c r="N195" s="106">
        <f>VLOOKUP($A195,'VKT US'!$B$63:$AA$113,(N$168+1),FALSE)/VLOOKUP($A195,'Fuel economy adjusted factor'!$A$2:$F$52,6,FALSE)*INDEX('Year data'!$B$111:$AC$161,MATCH($A195,'Year data'!$A$111:$A$161,0),MATCH('TCO Inputs'!$AZ$12,'Year data'!$B$110:$AC$110,0))/(1+$AZ$41)^N$168</f>
        <v>686.96201401808139</v>
      </c>
      <c r="O195" s="106">
        <f>VLOOKUP($A195,'VKT US'!$B$63:$AA$113,(O$168+1),FALSE)/VLOOKUP($A195,'Fuel economy adjusted factor'!$A$2:$F$52,6,FALSE)*INDEX('Year data'!$B$111:$AC$161,MATCH($A195,'Year data'!$A$111:$A$161,0),MATCH('TCO Inputs'!$AZ$12,'Year data'!$B$110:$AC$110,0))/(1+$AZ$41)^O$168</f>
        <v>661.57226523048973</v>
      </c>
      <c r="P195" s="106">
        <f>VLOOKUP($A195,'VKT US'!$B$63:$AA$113,(P$168+1),FALSE)/VLOOKUP($A195,'Fuel economy adjusted factor'!$A$2:$F$52,6,FALSE)*INDEX('Year data'!$B$111:$AC$161,MATCH($A195,'Year data'!$A$111:$A$161,0),MATCH('TCO Inputs'!$AZ$12,'Year data'!$B$110:$AC$110,0))/(1+$AZ$41)^P$168</f>
        <v>637.57766584845263</v>
      </c>
      <c r="Q195" s="106">
        <f>VLOOKUP($A195,'VKT US'!$B$63:$AA$113,(Q$168+1),FALSE)/VLOOKUP($A195,'Fuel economy adjusted factor'!$A$2:$F$52,6,FALSE)*INDEX('Year data'!$B$111:$AC$161,MATCH($A195,'Year data'!$A$111:$A$161,0),MATCH('TCO Inputs'!$AZ$12,'Year data'!$B$110:$AC$110,0))/(1+$AZ$41)^Q$168</f>
        <v>615.07339091548886</v>
      </c>
      <c r="R195" s="106">
        <f>VLOOKUP($A195,'VKT US'!$B$63:$AA$113,(R$168+1),FALSE)/VLOOKUP($A195,'Fuel economy adjusted factor'!$A$2:$F$52,6,FALSE)*INDEX('Year data'!$B$111:$AC$161,MATCH($A195,'Year data'!$A$111:$A$161,0),MATCH('TCO Inputs'!$AZ$12,'Year data'!$B$110:$AC$110,0))/(1+$AZ$41)^R$168</f>
        <v>593.81498807037065</v>
      </c>
      <c r="S195" s="106">
        <f>VLOOKUP($A195,'VKT US'!$B$63:$AA$113,(S$168+1),FALSE)/VLOOKUP($A195,'Fuel economy adjusted factor'!$A$2:$F$52,6,FALSE)*INDEX('Year data'!$B$111:$AC$161,MATCH($A195,'Year data'!$A$111:$A$161,0),MATCH('TCO Inputs'!$AZ$12,'Year data'!$B$110:$AC$110,0))/(1+$AZ$41)^S$168</f>
        <v>573.96464562036635</v>
      </c>
      <c r="T195" s="106">
        <f>VLOOKUP($A195,'VKT US'!$B$63:$AA$113,(T$168+1),FALSE)/VLOOKUP($A195,'Fuel economy adjusted factor'!$A$2:$F$52,6,FALSE)*INDEX('Year data'!$B$111:$AC$161,MATCH($A195,'Year data'!$A$111:$A$161,0),MATCH('TCO Inputs'!$AZ$12,'Year data'!$B$110:$AC$110,0))/(1+$AZ$41)^T$168</f>
        <v>555.28448664057726</v>
      </c>
      <c r="U195" s="106">
        <f>VLOOKUP($A195,'VKT US'!$B$63:$AA$113,(U$168+1),FALSE)/VLOOKUP($A195,'Fuel economy adjusted factor'!$A$2:$F$52,6,FALSE)*INDEX('Year data'!$B$111:$AC$161,MATCH($A195,'Year data'!$A$111:$A$161,0),MATCH('TCO Inputs'!$AZ$12,'Year data'!$B$110:$AC$110,0))/(1+$AZ$41)^U$168</f>
        <v>537.93367575569221</v>
      </c>
      <c r="V195" s="110" cm="1">
        <f t="array" ref="V195">SUMPRODUCT(INDEX(B195:U195,,_xlfn.SEQUENCE($AZ$13)))</f>
        <v>12156.747988220168</v>
      </c>
    </row>
    <row r="196" spans="1:22" x14ac:dyDescent="0.25">
      <c r="A196" s="102" t="s">
        <v>215</v>
      </c>
      <c r="B196" s="106">
        <f>VLOOKUP($A196,'VKT US'!$B$63:$AA$113,(B$168+1),FALSE)/VLOOKUP($A196,'Fuel economy adjusted factor'!$A$2:$F$52,6,FALSE)*INDEX('Year data'!$B$111:$AC$161,MATCH($A196,'Year data'!$A$111:$A$161,0),MATCH('TCO Inputs'!$AZ$12,'Year data'!$B$110:$AC$110,0))/(1+$AZ$41)^B$168</f>
        <v>1408.4095106528309</v>
      </c>
      <c r="C196" s="106">
        <f>VLOOKUP($A196,'VKT US'!$B$63:$AA$113,(C$168+1),FALSE)/VLOOKUP($A196,'Fuel economy adjusted factor'!$A$2:$F$52,6,FALSE)*INDEX('Year data'!$B$111:$AC$161,MATCH($A196,'Year data'!$A$111:$A$161,0),MATCH('TCO Inputs'!$AZ$12,'Year data'!$B$110:$AC$110,0))/(1+$AZ$41)^C$168</f>
        <v>1350.3154053733233</v>
      </c>
      <c r="D196" s="106">
        <f>VLOOKUP($A196,'VKT US'!$B$63:$AA$113,(D$168+1),FALSE)/VLOOKUP($A196,'Fuel economy adjusted factor'!$A$2:$F$52,6,FALSE)*INDEX('Year data'!$B$111:$AC$161,MATCH($A196,'Year data'!$A$111:$A$161,0),MATCH('TCO Inputs'!$AZ$12,'Year data'!$B$110:$AC$110,0))/(1+$AZ$41)^D$168</f>
        <v>1294.6916173678878</v>
      </c>
      <c r="E196" s="106">
        <f>VLOOKUP($A196,'VKT US'!$B$63:$AA$113,(E$168+1),FALSE)/VLOOKUP($A196,'Fuel economy adjusted factor'!$A$2:$F$52,6,FALSE)*INDEX('Year data'!$B$111:$AC$161,MATCH($A196,'Year data'!$A$111:$A$161,0),MATCH('TCO Inputs'!$AZ$12,'Year data'!$B$110:$AC$110,0))/(1+$AZ$41)^E$168</f>
        <v>1241.5705279009067</v>
      </c>
      <c r="F196" s="106">
        <f>VLOOKUP($A196,'VKT US'!$B$63:$AA$113,(F$168+1),FALSE)/VLOOKUP($A196,'Fuel economy adjusted factor'!$A$2:$F$52,6,FALSE)*INDEX('Year data'!$B$111:$AC$161,MATCH($A196,'Year data'!$A$111:$A$161,0),MATCH('TCO Inputs'!$AZ$12,'Year data'!$B$110:$AC$110,0))/(1+$AZ$41)^F$168</f>
        <v>1190.7873817551217</v>
      </c>
      <c r="G196" s="106">
        <f>VLOOKUP($A196,'VKT US'!$B$63:$AA$113,(G$168+1),FALSE)/VLOOKUP($A196,'Fuel economy adjusted factor'!$A$2:$F$52,6,FALSE)*INDEX('Year data'!$B$111:$AC$161,MATCH($A196,'Year data'!$A$111:$A$161,0),MATCH('TCO Inputs'!$AZ$12,'Year data'!$B$110:$AC$110,0))/(1+$AZ$41)^G$168</f>
        <v>1142.4708369472985</v>
      </c>
      <c r="H196" s="106">
        <f>VLOOKUP($A196,'VKT US'!$B$63:$AA$113,(H$168+1),FALSE)/VLOOKUP($A196,'Fuel economy adjusted factor'!$A$2:$F$52,6,FALSE)*INDEX('Year data'!$B$111:$AC$161,MATCH($A196,'Year data'!$A$111:$A$161,0),MATCH('TCO Inputs'!$AZ$12,'Year data'!$B$110:$AC$110,0))/(1+$AZ$41)^H$168</f>
        <v>1096.2685415264673</v>
      </c>
      <c r="I196" s="106">
        <f>VLOOKUP($A196,'VKT US'!$B$63:$AA$113,(I$168+1),FALSE)/VLOOKUP($A196,'Fuel economy adjusted factor'!$A$2:$F$52,6,FALSE)*INDEX('Year data'!$B$111:$AC$161,MATCH($A196,'Year data'!$A$111:$A$161,0),MATCH('TCO Inputs'!$AZ$12,'Year data'!$B$110:$AC$110,0))/(1+$AZ$41)^I$168</f>
        <v>1052.3107412069057</v>
      </c>
      <c r="J196" s="106">
        <f>VLOOKUP($A196,'VKT US'!$B$63:$AA$113,(J$168+1),FALSE)/VLOOKUP($A196,'Fuel economy adjusted factor'!$A$2:$F$52,6,FALSE)*INDEX('Year data'!$B$111:$AC$161,MATCH($A196,'Year data'!$A$111:$A$161,0),MATCH('TCO Inputs'!$AZ$12,'Year data'!$B$110:$AC$110,0))/(1+$AZ$41)^J$168</f>
        <v>1010.5351763511497</v>
      </c>
      <c r="K196" s="106">
        <f>VLOOKUP($A196,'VKT US'!$B$63:$AA$113,(K$168+1),FALSE)/VLOOKUP($A196,'Fuel economy adjusted factor'!$A$2:$F$52,6,FALSE)*INDEX('Year data'!$B$111:$AC$161,MATCH($A196,'Year data'!$A$111:$A$161,0),MATCH('TCO Inputs'!$AZ$12,'Year data'!$B$110:$AC$110,0))/(1+$AZ$41)^K$168</f>
        <v>970.88093235925373</v>
      </c>
      <c r="L196" s="106">
        <f>VLOOKUP($A196,'VKT US'!$B$63:$AA$113,(L$168+1),FALSE)/VLOOKUP($A196,'Fuel economy adjusted factor'!$A$2:$F$52,6,FALSE)*INDEX('Year data'!$B$111:$AC$161,MATCH($A196,'Year data'!$A$111:$A$161,0),MATCH('TCO Inputs'!$AZ$12,'Year data'!$B$110:$AC$110,0))/(1+$AZ$41)^L$168</f>
        <v>933.19817179520123</v>
      </c>
      <c r="M196" s="106">
        <f>VLOOKUP($A196,'VKT US'!$B$63:$AA$113,(M$168+1),FALSE)/VLOOKUP($A196,'Fuel economy adjusted factor'!$A$2:$F$52,6,FALSE)*INDEX('Year data'!$B$111:$AC$161,MATCH($A196,'Year data'!$A$111:$A$161,0),MATCH('TCO Inputs'!$AZ$12,'Year data'!$B$110:$AC$110,0))/(1+$AZ$41)^M$168</f>
        <v>897.52097727556543</v>
      </c>
      <c r="N196" s="106">
        <f>VLOOKUP($A196,'VKT US'!$B$63:$AA$113,(N$168+1),FALSE)/VLOOKUP($A196,'Fuel economy adjusted factor'!$A$2:$F$52,6,FALSE)*INDEX('Year data'!$B$111:$AC$161,MATCH($A196,'Year data'!$A$111:$A$161,0),MATCH('TCO Inputs'!$AZ$12,'Year data'!$B$110:$AC$110,0))/(1+$AZ$41)^N$168</f>
        <v>863.7041659308461</v>
      </c>
      <c r="O196" s="106">
        <f>VLOOKUP($A196,'VKT US'!$B$63:$AA$113,(O$168+1),FALSE)/VLOOKUP($A196,'Fuel economy adjusted factor'!$A$2:$F$52,6,FALSE)*INDEX('Year data'!$B$111:$AC$161,MATCH($A196,'Year data'!$A$111:$A$161,0),MATCH('TCO Inputs'!$AZ$12,'Year data'!$B$110:$AC$110,0))/(1+$AZ$41)^O$168</f>
        <v>831.78212169507367</v>
      </c>
      <c r="P196" s="106">
        <f>VLOOKUP($A196,'VKT US'!$B$63:$AA$113,(P$168+1),FALSE)/VLOOKUP($A196,'Fuel economy adjusted factor'!$A$2:$F$52,6,FALSE)*INDEX('Year data'!$B$111:$AC$161,MATCH($A196,'Year data'!$A$111:$A$161,0),MATCH('TCO Inputs'!$AZ$12,'Year data'!$B$110:$AC$110,0))/(1+$AZ$41)^P$168</f>
        <v>801.6141720512644</v>
      </c>
      <c r="Q196" s="106">
        <f>VLOOKUP($A196,'VKT US'!$B$63:$AA$113,(Q$168+1),FALSE)/VLOOKUP($A196,'Fuel economy adjusted factor'!$A$2:$F$52,6,FALSE)*INDEX('Year data'!$B$111:$AC$161,MATCH($A196,'Year data'!$A$111:$A$161,0),MATCH('TCO Inputs'!$AZ$12,'Year data'!$B$110:$AC$110,0))/(1+$AZ$41)^Q$168</f>
        <v>773.31997875640457</v>
      </c>
      <c r="R196" s="106">
        <f>VLOOKUP($A196,'VKT US'!$B$63:$AA$113,(R$168+1),FALSE)/VLOOKUP($A196,'Fuel economy adjusted factor'!$A$2:$F$52,6,FALSE)*INDEX('Year data'!$B$111:$AC$161,MATCH($A196,'Year data'!$A$111:$A$161,0),MATCH('TCO Inputs'!$AZ$12,'Year data'!$B$110:$AC$110,0))/(1+$AZ$41)^R$168</f>
        <v>746.59219654473554</v>
      </c>
      <c r="S196" s="106">
        <f>VLOOKUP($A196,'VKT US'!$B$63:$AA$113,(S$168+1),FALSE)/VLOOKUP($A196,'Fuel economy adjusted factor'!$A$2:$F$52,6,FALSE)*INDEX('Year data'!$B$111:$AC$161,MATCH($A196,'Year data'!$A$111:$A$161,0),MATCH('TCO Inputs'!$AZ$12,'Year data'!$B$110:$AC$110,0))/(1+$AZ$41)^S$168</f>
        <v>721.63474166460094</v>
      </c>
      <c r="T196" s="106">
        <f>VLOOKUP($A196,'VKT US'!$B$63:$AA$113,(T$168+1),FALSE)/VLOOKUP($A196,'Fuel economy adjusted factor'!$A$2:$F$52,6,FALSE)*INDEX('Year data'!$B$111:$AC$161,MATCH($A196,'Year data'!$A$111:$A$161,0),MATCH('TCO Inputs'!$AZ$12,'Year data'!$B$110:$AC$110,0))/(1+$AZ$41)^T$168</f>
        <v>698.14853602023823</v>
      </c>
      <c r="U196" s="106">
        <f>VLOOKUP($A196,'VKT US'!$B$63:$AA$113,(U$168+1),FALSE)/VLOOKUP($A196,'Fuel economy adjusted factor'!$A$2:$F$52,6,FALSE)*INDEX('Year data'!$B$111:$AC$161,MATCH($A196,'Year data'!$A$111:$A$161,0),MATCH('TCO Inputs'!$AZ$12,'Year data'!$B$110:$AC$110,0))/(1+$AZ$41)^U$168</f>
        <v>676.33369424187026</v>
      </c>
      <c r="V196" s="110" cm="1">
        <f t="array" ref="V196">SUMPRODUCT(INDEX(B196:U196,,_xlfn.SEQUENCE($AZ$13)))</f>
        <v>15284.446108137834</v>
      </c>
    </row>
    <row r="197" spans="1:22" x14ac:dyDescent="0.25">
      <c r="A197" s="102" t="s">
        <v>212</v>
      </c>
      <c r="B197" s="106">
        <f>VLOOKUP($A197,'VKT US'!$B$63:$AA$113,(B$168+1),FALSE)/VLOOKUP($A197,'Fuel economy adjusted factor'!$A$2:$F$52,6,FALSE)*INDEX('Year data'!$B$111:$AC$161,MATCH($A197,'Year data'!$A$111:$A$161,0),MATCH('TCO Inputs'!$AZ$12,'Year data'!$B$110:$AC$110,0))/(1+$AZ$41)^B$168</f>
        <v>908.43007043994498</v>
      </c>
      <c r="C197" s="106">
        <f>VLOOKUP($A197,'VKT US'!$B$63:$AA$113,(C$168+1),FALSE)/VLOOKUP($A197,'Fuel economy adjusted factor'!$A$2:$F$52,6,FALSE)*INDEX('Year data'!$B$111:$AC$161,MATCH($A197,'Year data'!$A$111:$A$161,0),MATCH('TCO Inputs'!$AZ$12,'Year data'!$B$110:$AC$110,0))/(1+$AZ$41)^C$168</f>
        <v>870.95912768356811</v>
      </c>
      <c r="D197" s="106">
        <f>VLOOKUP($A197,'VKT US'!$B$63:$AA$113,(D$168+1),FALSE)/VLOOKUP($A197,'Fuel economy adjusted factor'!$A$2:$F$52,6,FALSE)*INDEX('Year data'!$B$111:$AC$161,MATCH($A197,'Year data'!$A$111:$A$161,0),MATCH('TCO Inputs'!$AZ$12,'Year data'!$B$110:$AC$110,0))/(1+$AZ$41)^D$168</f>
        <v>835.08154998069381</v>
      </c>
      <c r="E197" s="106">
        <f>VLOOKUP($A197,'VKT US'!$B$63:$AA$113,(E$168+1),FALSE)/VLOOKUP($A197,'Fuel economy adjusted factor'!$A$2:$F$52,6,FALSE)*INDEX('Year data'!$B$111:$AC$161,MATCH($A197,'Year data'!$A$111:$A$161,0),MATCH('TCO Inputs'!$AZ$12,'Year data'!$B$110:$AC$110,0))/(1+$AZ$41)^E$168</f>
        <v>800.8182233833262</v>
      </c>
      <c r="F197" s="106">
        <f>VLOOKUP($A197,'VKT US'!$B$63:$AA$113,(F$168+1),FALSE)/VLOOKUP($A197,'Fuel economy adjusted factor'!$A$2:$F$52,6,FALSE)*INDEX('Year data'!$B$111:$AC$161,MATCH($A197,'Year data'!$A$111:$A$161,0),MATCH('TCO Inputs'!$AZ$12,'Year data'!$B$110:$AC$110,0))/(1+$AZ$41)^F$168</f>
        <v>768.06288008193553</v>
      </c>
      <c r="G197" s="106">
        <f>VLOOKUP($A197,'VKT US'!$B$63:$AA$113,(G$168+1),FALSE)/VLOOKUP($A197,'Fuel economy adjusted factor'!$A$2:$F$52,6,FALSE)*INDEX('Year data'!$B$111:$AC$161,MATCH($A197,'Year data'!$A$111:$A$161,0),MATCH('TCO Inputs'!$AZ$12,'Year data'!$B$110:$AC$110,0))/(1+$AZ$41)^G$168</f>
        <v>736.89850503959372</v>
      </c>
      <c r="H197" s="106">
        <f>VLOOKUP($A197,'VKT US'!$B$63:$AA$113,(H$168+1),FALSE)/VLOOKUP($A197,'Fuel economy adjusted factor'!$A$2:$F$52,6,FALSE)*INDEX('Year data'!$B$111:$AC$161,MATCH($A197,'Year data'!$A$111:$A$161,0),MATCH('TCO Inputs'!$AZ$12,'Year data'!$B$110:$AC$110,0))/(1+$AZ$41)^H$168</f>
        <v>707.09782976285692</v>
      </c>
      <c r="I197" s="106">
        <f>VLOOKUP($A197,'VKT US'!$B$63:$AA$113,(I$168+1),FALSE)/VLOOKUP($A197,'Fuel economy adjusted factor'!$A$2:$F$52,6,FALSE)*INDEX('Year data'!$B$111:$AC$161,MATCH($A197,'Year data'!$A$111:$A$161,0),MATCH('TCO Inputs'!$AZ$12,'Year data'!$B$110:$AC$110,0))/(1+$AZ$41)^I$168</f>
        <v>678.74486328638477</v>
      </c>
      <c r="J197" s="106">
        <f>VLOOKUP($A197,'VKT US'!$B$63:$AA$113,(J$168+1),FALSE)/VLOOKUP($A197,'Fuel economy adjusted factor'!$A$2:$F$52,6,FALSE)*INDEX('Year data'!$B$111:$AC$161,MATCH($A197,'Year data'!$A$111:$A$161,0),MATCH('TCO Inputs'!$AZ$12,'Year data'!$B$110:$AC$110,0))/(1+$AZ$41)^J$168</f>
        <v>651.79944788160526</v>
      </c>
      <c r="K197" s="106">
        <f>VLOOKUP($A197,'VKT US'!$B$63:$AA$113,(K$168+1),FALSE)/VLOOKUP($A197,'Fuel economy adjusted factor'!$A$2:$F$52,6,FALSE)*INDEX('Year data'!$B$111:$AC$161,MATCH($A197,'Year data'!$A$111:$A$161,0),MATCH('TCO Inputs'!$AZ$12,'Year data'!$B$110:$AC$110,0))/(1+$AZ$41)^K$168</f>
        <v>626.22229337481451</v>
      </c>
      <c r="L197" s="106">
        <f>VLOOKUP($A197,'VKT US'!$B$63:$AA$113,(L$168+1),FALSE)/VLOOKUP($A197,'Fuel economy adjusted factor'!$A$2:$F$52,6,FALSE)*INDEX('Year data'!$B$111:$AC$161,MATCH($A197,'Year data'!$A$111:$A$161,0),MATCH('TCO Inputs'!$AZ$12,'Year data'!$B$110:$AC$110,0))/(1+$AZ$41)^L$168</f>
        <v>601.91675398825771</v>
      </c>
      <c r="M197" s="106">
        <f>VLOOKUP($A197,'VKT US'!$B$63:$AA$113,(M$168+1),FALSE)/VLOOKUP($A197,'Fuel economy adjusted factor'!$A$2:$F$52,6,FALSE)*INDEX('Year data'!$B$111:$AC$161,MATCH($A197,'Year data'!$A$111:$A$161,0),MATCH('TCO Inputs'!$AZ$12,'Year data'!$B$110:$AC$110,0))/(1+$AZ$41)^M$168</f>
        <v>578.90481315327315</v>
      </c>
      <c r="N197" s="106">
        <f>VLOOKUP($A197,'VKT US'!$B$63:$AA$113,(N$168+1),FALSE)/VLOOKUP($A197,'Fuel economy adjusted factor'!$A$2:$F$52,6,FALSE)*INDEX('Year data'!$B$111:$AC$161,MATCH($A197,'Year data'!$A$111:$A$161,0),MATCH('TCO Inputs'!$AZ$12,'Year data'!$B$110:$AC$110,0))/(1+$AZ$41)^N$168</f>
        <v>557.09282730712653</v>
      </c>
      <c r="O197" s="106">
        <f>VLOOKUP($A197,'VKT US'!$B$63:$AA$113,(O$168+1),FALSE)/VLOOKUP($A197,'Fuel economy adjusted factor'!$A$2:$F$52,6,FALSE)*INDEX('Year data'!$B$111:$AC$161,MATCH($A197,'Year data'!$A$111:$A$161,0),MATCH('TCO Inputs'!$AZ$12,'Year data'!$B$110:$AC$110,0))/(1+$AZ$41)^O$168</f>
        <v>536.50297423218672</v>
      </c>
      <c r="P197" s="106">
        <f>VLOOKUP($A197,'VKT US'!$B$63:$AA$113,(P$168+1),FALSE)/VLOOKUP($A197,'Fuel economy adjusted factor'!$A$2:$F$52,6,FALSE)*INDEX('Year data'!$B$111:$AC$161,MATCH($A197,'Year data'!$A$111:$A$161,0),MATCH('TCO Inputs'!$AZ$12,'Year data'!$B$110:$AC$110,0))/(1+$AZ$41)^P$168</f>
        <v>517.04451956210198</v>
      </c>
      <c r="Q197" s="106">
        <f>VLOOKUP($A197,'VKT US'!$B$63:$AA$113,(Q$168+1),FALSE)/VLOOKUP($A197,'Fuel economy adjusted factor'!$A$2:$F$52,6,FALSE)*INDEX('Year data'!$B$111:$AC$161,MATCH($A197,'Year data'!$A$111:$A$161,0),MATCH('TCO Inputs'!$AZ$12,'Year data'!$B$110:$AC$110,0))/(1+$AZ$41)^Q$168</f>
        <v>498.79464563447073</v>
      </c>
      <c r="R197" s="106">
        <f>VLOOKUP($A197,'VKT US'!$B$63:$AA$113,(R$168+1),FALSE)/VLOOKUP($A197,'Fuel economy adjusted factor'!$A$2:$F$52,6,FALSE)*INDEX('Year data'!$B$111:$AC$161,MATCH($A197,'Year data'!$A$111:$A$161,0),MATCH('TCO Inputs'!$AZ$12,'Year data'!$B$110:$AC$110,0))/(1+$AZ$41)^R$168</f>
        <v>481.55511345750085</v>
      </c>
      <c r="S197" s="106">
        <f>VLOOKUP($A197,'VKT US'!$B$63:$AA$113,(S$168+1),FALSE)/VLOOKUP($A197,'Fuel economy adjusted factor'!$A$2:$F$52,6,FALSE)*INDEX('Year data'!$B$111:$AC$161,MATCH($A197,'Year data'!$A$111:$A$161,0),MATCH('TCO Inputs'!$AZ$12,'Year data'!$B$110:$AC$110,0))/(1+$AZ$41)^S$168</f>
        <v>465.45744987082605</v>
      </c>
      <c r="T197" s="106">
        <f>VLOOKUP($A197,'VKT US'!$B$63:$AA$113,(T$168+1),FALSE)/VLOOKUP($A197,'Fuel economy adjusted factor'!$A$2:$F$52,6,FALSE)*INDEX('Year data'!$B$111:$AC$161,MATCH($A197,'Year data'!$A$111:$A$161,0),MATCH('TCO Inputs'!$AZ$12,'Year data'!$B$110:$AC$110,0))/(1+$AZ$41)^T$168</f>
        <v>450.30874824214567</v>
      </c>
      <c r="U197" s="106">
        <f>VLOOKUP($A197,'VKT US'!$B$63:$AA$113,(U$168+1),FALSE)/VLOOKUP($A197,'Fuel economy adjusted factor'!$A$2:$F$52,6,FALSE)*INDEX('Year data'!$B$111:$AC$161,MATCH($A197,'Year data'!$A$111:$A$161,0),MATCH('TCO Inputs'!$AZ$12,'Year data'!$B$110:$AC$110,0))/(1+$AZ$41)^U$168</f>
        <v>436.23808335138301</v>
      </c>
      <c r="V197" s="110" cm="1">
        <f t="array" ref="V197">SUMPRODUCT(INDEX(B197:U197,,_xlfn.SEQUENCE($AZ$13)))</f>
        <v>9858.5321595955684</v>
      </c>
    </row>
    <row r="198" spans="1:22" x14ac:dyDescent="0.25">
      <c r="A198" s="102" t="s">
        <v>213</v>
      </c>
      <c r="B198" s="106">
        <f>VLOOKUP($A198,'VKT US'!$B$63:$AA$113,(B$168+1),FALSE)/VLOOKUP($A198,'Fuel economy adjusted factor'!$A$2:$F$52,6,FALSE)*INDEX('Year data'!$B$111:$AC$161,MATCH($A198,'Year data'!$A$111:$A$161,0),MATCH('TCO Inputs'!$AZ$12,'Year data'!$B$110:$AC$110,0))/(1+$AZ$41)^B$168</f>
        <v>967.73277421472324</v>
      </c>
      <c r="C198" s="106">
        <f>VLOOKUP($A198,'VKT US'!$B$63:$AA$113,(C$168+1),FALSE)/VLOOKUP($A198,'Fuel economy adjusted factor'!$A$2:$F$52,6,FALSE)*INDEX('Year data'!$B$111:$AC$161,MATCH($A198,'Year data'!$A$111:$A$161,0),MATCH('TCO Inputs'!$AZ$12,'Year data'!$B$110:$AC$110,0))/(1+$AZ$41)^C$168</f>
        <v>927.81571227895063</v>
      </c>
      <c r="D198" s="106">
        <f>VLOOKUP($A198,'VKT US'!$B$63:$AA$113,(D$168+1),FALSE)/VLOOKUP($A198,'Fuel economy adjusted factor'!$A$2:$F$52,6,FALSE)*INDEX('Year data'!$B$111:$AC$161,MATCH($A198,'Year data'!$A$111:$A$161,0),MATCH('TCO Inputs'!$AZ$12,'Year data'!$B$110:$AC$110,0))/(1+$AZ$41)^D$168</f>
        <v>889.59603094927786</v>
      </c>
      <c r="E198" s="106">
        <f>VLOOKUP($A198,'VKT US'!$B$63:$AA$113,(E$168+1),FALSE)/VLOOKUP($A198,'Fuel economy adjusted factor'!$A$2:$F$52,6,FALSE)*INDEX('Year data'!$B$111:$AC$161,MATCH($A198,'Year data'!$A$111:$A$161,0),MATCH('TCO Inputs'!$AZ$12,'Year data'!$B$110:$AC$110,0))/(1+$AZ$41)^E$168</f>
        <v>853.09597972812264</v>
      </c>
      <c r="F198" s="106">
        <f>VLOOKUP($A198,'VKT US'!$B$63:$AA$113,(F$168+1),FALSE)/VLOOKUP($A198,'Fuel economy adjusted factor'!$A$2:$F$52,6,FALSE)*INDEX('Year data'!$B$111:$AC$161,MATCH($A198,'Year data'!$A$111:$A$161,0),MATCH('TCO Inputs'!$AZ$12,'Year data'!$B$110:$AC$110,0))/(1+$AZ$41)^F$168</f>
        <v>818.20235359787011</v>
      </c>
      <c r="G198" s="106">
        <f>VLOOKUP($A198,'VKT US'!$B$63:$AA$113,(G$168+1),FALSE)/VLOOKUP($A198,'Fuel economy adjusted factor'!$A$2:$F$52,6,FALSE)*INDEX('Year data'!$B$111:$AC$161,MATCH($A198,'Year data'!$A$111:$A$161,0),MATCH('TCO Inputs'!$AZ$12,'Year data'!$B$110:$AC$110,0))/(1+$AZ$41)^G$168</f>
        <v>785.00355481549616</v>
      </c>
      <c r="H198" s="106">
        <f>VLOOKUP($A198,'VKT US'!$B$63:$AA$113,(H$168+1),FALSE)/VLOOKUP($A198,'Fuel economy adjusted factor'!$A$2:$F$52,6,FALSE)*INDEX('Year data'!$B$111:$AC$161,MATCH($A198,'Year data'!$A$111:$A$161,0),MATCH('TCO Inputs'!$AZ$12,'Year data'!$B$110:$AC$110,0))/(1+$AZ$41)^H$168</f>
        <v>753.2574787030419</v>
      </c>
      <c r="I198" s="106">
        <f>VLOOKUP($A198,'VKT US'!$B$63:$AA$113,(I$168+1),FALSE)/VLOOKUP($A198,'Fuel economy adjusted factor'!$A$2:$F$52,6,FALSE)*INDEX('Year data'!$B$111:$AC$161,MATCH($A198,'Year data'!$A$111:$A$161,0),MATCH('TCO Inputs'!$AZ$12,'Year data'!$B$110:$AC$110,0))/(1+$AZ$41)^I$168</f>
        <v>723.05361844090271</v>
      </c>
      <c r="J198" s="106">
        <f>VLOOKUP($A198,'VKT US'!$B$63:$AA$113,(J$168+1),FALSE)/VLOOKUP($A198,'Fuel economy adjusted factor'!$A$2:$F$52,6,FALSE)*INDEX('Year data'!$B$111:$AC$161,MATCH($A198,'Year data'!$A$111:$A$161,0),MATCH('TCO Inputs'!$AZ$12,'Year data'!$B$110:$AC$110,0))/(1+$AZ$41)^J$168</f>
        <v>694.34919478679888</v>
      </c>
      <c r="K198" s="106">
        <f>VLOOKUP($A198,'VKT US'!$B$63:$AA$113,(K$168+1),FALSE)/VLOOKUP($A198,'Fuel economy adjusted factor'!$A$2:$F$52,6,FALSE)*INDEX('Year data'!$B$111:$AC$161,MATCH($A198,'Year data'!$A$111:$A$161,0),MATCH('TCO Inputs'!$AZ$12,'Year data'!$B$110:$AC$110,0))/(1+$AZ$41)^K$168</f>
        <v>667.10235268767292</v>
      </c>
      <c r="L198" s="106">
        <f>VLOOKUP($A198,'VKT US'!$B$63:$AA$113,(L$168+1),FALSE)/VLOOKUP($A198,'Fuel economy adjusted factor'!$A$2:$F$52,6,FALSE)*INDEX('Year data'!$B$111:$AC$161,MATCH($A198,'Year data'!$A$111:$A$161,0),MATCH('TCO Inputs'!$AZ$12,'Year data'!$B$110:$AC$110,0))/(1+$AZ$41)^L$168</f>
        <v>641.21013728803644</v>
      </c>
      <c r="M198" s="106">
        <f>VLOOKUP($A198,'VKT US'!$B$63:$AA$113,(M$168+1),FALSE)/VLOOKUP($A198,'Fuel economy adjusted factor'!$A$2:$F$52,6,FALSE)*INDEX('Year data'!$B$111:$AC$161,MATCH($A198,'Year data'!$A$111:$A$161,0),MATCH('TCO Inputs'!$AZ$12,'Year data'!$B$110:$AC$110,0))/(1+$AZ$41)^M$168</f>
        <v>616.69596710703422</v>
      </c>
      <c r="N198" s="106">
        <f>VLOOKUP($A198,'VKT US'!$B$63:$AA$113,(N$168+1),FALSE)/VLOOKUP($A198,'Fuel economy adjusted factor'!$A$2:$F$52,6,FALSE)*INDEX('Year data'!$B$111:$AC$161,MATCH($A198,'Year data'!$A$111:$A$161,0),MATCH('TCO Inputs'!$AZ$12,'Year data'!$B$110:$AC$110,0))/(1+$AZ$41)^N$168</f>
        <v>593.46008549008036</v>
      </c>
      <c r="O198" s="106">
        <f>VLOOKUP($A198,'VKT US'!$B$63:$AA$113,(O$168+1),FALSE)/VLOOKUP($A198,'Fuel economy adjusted factor'!$A$2:$F$52,6,FALSE)*INDEX('Year data'!$B$111:$AC$161,MATCH($A198,'Year data'!$A$111:$A$161,0),MATCH('TCO Inputs'!$AZ$12,'Year data'!$B$110:$AC$110,0))/(1+$AZ$41)^O$168</f>
        <v>571.52611799466763</v>
      </c>
      <c r="P198" s="106">
        <f>VLOOKUP($A198,'VKT US'!$B$63:$AA$113,(P$168+1),FALSE)/VLOOKUP($A198,'Fuel economy adjusted factor'!$A$2:$F$52,6,FALSE)*INDEX('Year data'!$B$111:$AC$161,MATCH($A198,'Year data'!$A$111:$A$161,0),MATCH('TCO Inputs'!$AZ$12,'Year data'!$B$110:$AC$110,0))/(1+$AZ$41)^P$168</f>
        <v>550.7974070761785</v>
      </c>
      <c r="Q198" s="106">
        <f>VLOOKUP($A198,'VKT US'!$B$63:$AA$113,(Q$168+1),FALSE)/VLOOKUP($A198,'Fuel economy adjusted factor'!$A$2:$F$52,6,FALSE)*INDEX('Year data'!$B$111:$AC$161,MATCH($A198,'Year data'!$A$111:$A$161,0),MATCH('TCO Inputs'!$AZ$12,'Year data'!$B$110:$AC$110,0))/(1+$AZ$41)^Q$168</f>
        <v>531.35617356824037</v>
      </c>
      <c r="R198" s="106">
        <f>VLOOKUP($A198,'VKT US'!$B$63:$AA$113,(R$168+1),FALSE)/VLOOKUP($A198,'Fuel economy adjusted factor'!$A$2:$F$52,6,FALSE)*INDEX('Year data'!$B$111:$AC$161,MATCH($A198,'Year data'!$A$111:$A$161,0),MATCH('TCO Inputs'!$AZ$12,'Year data'!$B$110:$AC$110,0))/(1+$AZ$41)^R$168</f>
        <v>512.99123735283808</v>
      </c>
      <c r="S198" s="106">
        <f>VLOOKUP($A198,'VKT US'!$B$63:$AA$113,(S$168+1),FALSE)/VLOOKUP($A198,'Fuel economy adjusted factor'!$A$2:$F$52,6,FALSE)*INDEX('Year data'!$B$111:$AC$161,MATCH($A198,'Year data'!$A$111:$A$161,0),MATCH('TCO Inputs'!$AZ$12,'Year data'!$B$110:$AC$110,0))/(1+$AZ$41)^S$168</f>
        <v>495.84271139798534</v>
      </c>
      <c r="T198" s="106">
        <f>VLOOKUP($A198,'VKT US'!$B$63:$AA$113,(T$168+1),FALSE)/VLOOKUP($A198,'Fuel economy adjusted factor'!$A$2:$F$52,6,FALSE)*INDEX('Year data'!$B$111:$AC$161,MATCH($A198,'Year data'!$A$111:$A$161,0),MATCH('TCO Inputs'!$AZ$12,'Year data'!$B$110:$AC$110,0))/(1+$AZ$41)^T$168</f>
        <v>479.70509604386751</v>
      </c>
      <c r="U198" s="106">
        <f>VLOOKUP($A198,'VKT US'!$B$63:$AA$113,(U$168+1),FALSE)/VLOOKUP($A198,'Fuel economy adjusted factor'!$A$2:$F$52,6,FALSE)*INDEX('Year data'!$B$111:$AC$161,MATCH($A198,'Year data'!$A$111:$A$161,0),MATCH('TCO Inputs'!$AZ$12,'Year data'!$B$110:$AC$110,0))/(1+$AZ$41)^U$168</f>
        <v>464.71589212728088</v>
      </c>
      <c r="V198" s="110" cm="1">
        <f t="array" ref="V198">SUMPRODUCT(INDEX(B198:U198,,_xlfn.SEQUENCE($AZ$13)))</f>
        <v>10502.101358082677</v>
      </c>
    </row>
    <row r="199" spans="1:22" x14ac:dyDescent="0.25">
      <c r="A199" s="102" t="s">
        <v>214</v>
      </c>
      <c r="B199" s="106">
        <f>VLOOKUP($A199,'VKT US'!$B$63:$AA$113,(B$168+1),FALSE)/VLOOKUP($A199,'Fuel economy adjusted factor'!$A$2:$F$52,6,FALSE)*INDEX('Year data'!$B$111:$AC$161,MATCH($A199,'Year data'!$A$111:$A$161,0),MATCH('TCO Inputs'!$AZ$12,'Year data'!$B$110:$AC$110,0))/(1+$AZ$41)^B$168</f>
        <v>1309.2565745423335</v>
      </c>
      <c r="C199" s="106">
        <f>VLOOKUP($A199,'VKT US'!$B$63:$AA$113,(C$168+1),FALSE)/VLOOKUP($A199,'Fuel economy adjusted factor'!$A$2:$F$52,6,FALSE)*INDEX('Year data'!$B$111:$AC$161,MATCH($A199,'Year data'!$A$111:$A$161,0),MATCH('TCO Inputs'!$AZ$12,'Year data'!$B$110:$AC$110,0))/(1+$AZ$41)^C$168</f>
        <v>1255.252331668331</v>
      </c>
      <c r="D199" s="106">
        <f>VLOOKUP($A199,'VKT US'!$B$63:$AA$113,(D$168+1),FALSE)/VLOOKUP($A199,'Fuel economy adjusted factor'!$A$2:$F$52,6,FALSE)*INDEX('Year data'!$B$111:$AC$161,MATCH($A199,'Year data'!$A$111:$A$161,0),MATCH('TCO Inputs'!$AZ$12,'Year data'!$B$110:$AC$110,0))/(1+$AZ$41)^D$168</f>
        <v>1203.5444941422206</v>
      </c>
      <c r="E199" s="106">
        <f>VLOOKUP($A199,'VKT US'!$B$63:$AA$113,(E$168+1),FALSE)/VLOOKUP($A199,'Fuel economy adjusted factor'!$A$2:$F$52,6,FALSE)*INDEX('Year data'!$B$111:$AC$161,MATCH($A199,'Year data'!$A$111:$A$161,0),MATCH('TCO Inputs'!$AZ$12,'Year data'!$B$110:$AC$110,0))/(1+$AZ$41)^E$168</f>
        <v>1154.1631635665283</v>
      </c>
      <c r="F199" s="106">
        <f>VLOOKUP($A199,'VKT US'!$B$63:$AA$113,(F$168+1),FALSE)/VLOOKUP($A199,'Fuel economy adjusted factor'!$A$2:$F$52,6,FALSE)*INDEX('Year data'!$B$111:$AC$161,MATCH($A199,'Year data'!$A$111:$A$161,0),MATCH('TCO Inputs'!$AZ$12,'Year data'!$B$110:$AC$110,0))/(1+$AZ$41)^F$168</f>
        <v>1106.9551835973402</v>
      </c>
      <c r="G199" s="106">
        <f>VLOOKUP($A199,'VKT US'!$B$63:$AA$113,(G$168+1),FALSE)/VLOOKUP($A199,'Fuel economy adjusted factor'!$A$2:$F$52,6,FALSE)*INDEX('Year data'!$B$111:$AC$161,MATCH($A199,'Year data'!$A$111:$A$161,0),MATCH('TCO Inputs'!$AZ$12,'Year data'!$B$110:$AC$110,0))/(1+$AZ$41)^G$168</f>
        <v>1062.040154644227</v>
      </c>
      <c r="H199" s="106">
        <f>VLOOKUP($A199,'VKT US'!$B$63:$AA$113,(H$168+1),FALSE)/VLOOKUP($A199,'Fuel economy adjusted factor'!$A$2:$F$52,6,FALSE)*INDEX('Year data'!$B$111:$AC$161,MATCH($A199,'Year data'!$A$111:$A$161,0),MATCH('TCO Inputs'!$AZ$12,'Year data'!$B$110:$AC$110,0))/(1+$AZ$41)^H$168</f>
        <v>1019.0905305603683</v>
      </c>
      <c r="I199" s="106">
        <f>VLOOKUP($A199,'VKT US'!$B$63:$AA$113,(I$168+1),FALSE)/VLOOKUP($A199,'Fuel economy adjusted factor'!$A$2:$F$52,6,FALSE)*INDEX('Year data'!$B$111:$AC$161,MATCH($A199,'Year data'!$A$111:$A$161,0),MATCH('TCO Inputs'!$AZ$12,'Year data'!$B$110:$AC$110,0))/(1+$AZ$41)^I$168</f>
        <v>978.22738767792055</v>
      </c>
      <c r="J199" s="106">
        <f>VLOOKUP($A199,'VKT US'!$B$63:$AA$113,(J$168+1),FALSE)/VLOOKUP($A199,'Fuel economy adjusted factor'!$A$2:$F$52,6,FALSE)*INDEX('Year data'!$B$111:$AC$161,MATCH($A199,'Year data'!$A$111:$A$161,0),MATCH('TCO Inputs'!$AZ$12,'Year data'!$B$110:$AC$110,0))/(1+$AZ$41)^J$168</f>
        <v>939.39284947797205</v>
      </c>
      <c r="K199" s="106">
        <f>VLOOKUP($A199,'VKT US'!$B$63:$AA$113,(K$168+1),FALSE)/VLOOKUP($A199,'Fuel economy adjusted factor'!$A$2:$F$52,6,FALSE)*INDEX('Year data'!$B$111:$AC$161,MATCH($A199,'Year data'!$A$111:$A$161,0),MATCH('TCO Inputs'!$AZ$12,'Year data'!$B$110:$AC$110,0))/(1+$AZ$41)^K$168</f>
        <v>902.53028978762256</v>
      </c>
      <c r="L199" s="106">
        <f>VLOOKUP($A199,'VKT US'!$B$63:$AA$113,(L$168+1),FALSE)/VLOOKUP($A199,'Fuel economy adjusted factor'!$A$2:$F$52,6,FALSE)*INDEX('Year data'!$B$111:$AC$161,MATCH($A199,'Year data'!$A$111:$A$161,0),MATCH('TCO Inputs'!$AZ$12,'Year data'!$B$110:$AC$110,0))/(1+$AZ$41)^L$168</f>
        <v>867.50041982279856</v>
      </c>
      <c r="M199" s="106">
        <f>VLOOKUP($A199,'VKT US'!$B$63:$AA$113,(M$168+1),FALSE)/VLOOKUP($A199,'Fuel economy adjusted factor'!$A$2:$F$52,6,FALSE)*INDEX('Year data'!$B$111:$AC$161,MATCH($A199,'Year data'!$A$111:$A$161,0),MATCH('TCO Inputs'!$AZ$12,'Year data'!$B$110:$AC$110,0))/(1+$AZ$41)^M$168</f>
        <v>834.33492276192771</v>
      </c>
      <c r="N199" s="106">
        <f>VLOOKUP($A199,'VKT US'!$B$63:$AA$113,(N$168+1),FALSE)/VLOOKUP($A199,'Fuel economy adjusted factor'!$A$2:$F$52,6,FALSE)*INDEX('Year data'!$B$111:$AC$161,MATCH($A199,'Year data'!$A$111:$A$161,0),MATCH('TCO Inputs'!$AZ$12,'Year data'!$B$110:$AC$110,0))/(1+$AZ$41)^N$168</f>
        <v>802.89883670297377</v>
      </c>
      <c r="O199" s="106">
        <f>VLOOKUP($A199,'VKT US'!$B$63:$AA$113,(O$168+1),FALSE)/VLOOKUP($A199,'Fuel economy adjusted factor'!$A$2:$F$52,6,FALSE)*INDEX('Year data'!$B$111:$AC$161,MATCH($A199,'Year data'!$A$111:$A$161,0),MATCH('TCO Inputs'!$AZ$12,'Year data'!$B$110:$AC$110,0))/(1+$AZ$41)^O$168</f>
        <v>773.22412492887929</v>
      </c>
      <c r="P199" s="106">
        <f>VLOOKUP($A199,'VKT US'!$B$63:$AA$113,(P$168+1),FALSE)/VLOOKUP($A199,'Fuel economy adjusted factor'!$A$2:$F$52,6,FALSE)*INDEX('Year data'!$B$111:$AC$161,MATCH($A199,'Year data'!$A$111:$A$161,0),MATCH('TCO Inputs'!$AZ$12,'Year data'!$B$110:$AC$110,0))/(1+$AZ$41)^P$168</f>
        <v>745.1800183584038</v>
      </c>
      <c r="Q199" s="106">
        <f>VLOOKUP($A199,'VKT US'!$B$63:$AA$113,(Q$168+1),FALSE)/VLOOKUP($A199,'Fuel economy adjusted factor'!$A$2:$F$52,6,FALSE)*INDEX('Year data'!$B$111:$AC$161,MATCH($A199,'Year data'!$A$111:$A$161,0),MATCH('TCO Inputs'!$AZ$12,'Year data'!$B$110:$AC$110,0))/(1+$AZ$41)^Q$168</f>
        <v>718.87775448381797</v>
      </c>
      <c r="R199" s="106">
        <f>VLOOKUP($A199,'VKT US'!$B$63:$AA$113,(R$168+1),FALSE)/VLOOKUP($A199,'Fuel economy adjusted factor'!$A$2:$F$52,6,FALSE)*INDEX('Year data'!$B$111:$AC$161,MATCH($A199,'Year data'!$A$111:$A$161,0),MATCH('TCO Inputs'!$AZ$12,'Year data'!$B$110:$AC$110,0))/(1+$AZ$41)^R$168</f>
        <v>694.03162534390412</v>
      </c>
      <c r="S199" s="106">
        <f>VLOOKUP($A199,'VKT US'!$B$63:$AA$113,(S$168+1),FALSE)/VLOOKUP($A199,'Fuel economy adjusted factor'!$A$2:$F$52,6,FALSE)*INDEX('Year data'!$B$111:$AC$161,MATCH($A199,'Year data'!$A$111:$A$161,0),MATCH('TCO Inputs'!$AZ$12,'Year data'!$B$110:$AC$110,0))/(1+$AZ$41)^S$168</f>
        <v>670.83119135186587</v>
      </c>
      <c r="T199" s="106">
        <f>VLOOKUP($A199,'VKT US'!$B$63:$AA$113,(T$168+1),FALSE)/VLOOKUP($A199,'Fuel economy adjusted factor'!$A$2:$F$52,6,FALSE)*INDEX('Year data'!$B$111:$AC$161,MATCH($A199,'Year data'!$A$111:$A$161,0),MATCH('TCO Inputs'!$AZ$12,'Year data'!$B$110:$AC$110,0))/(1+$AZ$41)^T$168</f>
        <v>648.99842970239206</v>
      </c>
      <c r="U199" s="106">
        <f>VLOOKUP($A199,'VKT US'!$B$63:$AA$113,(U$168+1),FALSE)/VLOOKUP($A199,'Fuel economy adjusted factor'!$A$2:$F$52,6,FALSE)*INDEX('Year data'!$B$111:$AC$161,MATCH($A199,'Year data'!$A$111:$A$161,0),MATCH('TCO Inputs'!$AZ$12,'Year data'!$B$110:$AC$110,0))/(1+$AZ$41)^U$168</f>
        <v>628.71936682692899</v>
      </c>
      <c r="V199" s="110" cm="1">
        <f t="array" ref="V199">SUMPRODUCT(INDEX(B199:U199,,_xlfn.SEQUENCE($AZ$13)))</f>
        <v>14208.411263881444</v>
      </c>
    </row>
    <row r="200" spans="1:22" x14ac:dyDescent="0.25">
      <c r="A200" s="102" t="s">
        <v>216</v>
      </c>
      <c r="B200" s="106">
        <f>VLOOKUP($A200,'VKT US'!$B$63:$AA$113,(B$168+1),FALSE)/VLOOKUP($A200,'Fuel economy adjusted factor'!$A$2:$F$52,6,FALSE)*INDEX('Year data'!$B$111:$AC$161,MATCH($A200,'Year data'!$A$111:$A$161,0),MATCH('TCO Inputs'!$AZ$12,'Year data'!$B$110:$AC$110,0))/(1+$AZ$41)^B$168</f>
        <v>815.51832100877004</v>
      </c>
      <c r="C200" s="106">
        <f>VLOOKUP($A200,'VKT US'!$B$63:$AA$113,(C$168+1),FALSE)/VLOOKUP($A200,'Fuel economy adjusted factor'!$A$2:$F$52,6,FALSE)*INDEX('Year data'!$B$111:$AC$161,MATCH($A200,'Year data'!$A$111:$A$161,0),MATCH('TCO Inputs'!$AZ$12,'Year data'!$B$110:$AC$110,0))/(1+$AZ$41)^C$168</f>
        <v>781.87980405776568</v>
      </c>
      <c r="D200" s="106">
        <f>VLOOKUP($A200,'VKT US'!$B$63:$AA$113,(D$168+1),FALSE)/VLOOKUP($A200,'Fuel economy adjusted factor'!$A$2:$F$52,6,FALSE)*INDEX('Year data'!$B$111:$AC$161,MATCH($A200,'Year data'!$A$111:$A$161,0),MATCH('TCO Inputs'!$AZ$12,'Year data'!$B$110:$AC$110,0))/(1+$AZ$41)^D$168</f>
        <v>749.67168712924979</v>
      </c>
      <c r="E200" s="106">
        <f>VLOOKUP($A200,'VKT US'!$B$63:$AA$113,(E$168+1),FALSE)/VLOOKUP($A200,'Fuel economy adjusted factor'!$A$2:$F$52,6,FALSE)*INDEX('Year data'!$B$111:$AC$161,MATCH($A200,'Year data'!$A$111:$A$161,0),MATCH('TCO Inputs'!$AZ$12,'Year data'!$B$110:$AC$110,0))/(1+$AZ$41)^E$168</f>
        <v>718.91272010680393</v>
      </c>
      <c r="F200" s="106">
        <f>VLOOKUP($A200,'VKT US'!$B$63:$AA$113,(F$168+1),FALSE)/VLOOKUP($A200,'Fuel economy adjusted factor'!$A$2:$F$52,6,FALSE)*INDEX('Year data'!$B$111:$AC$161,MATCH($A200,'Year data'!$A$111:$A$161,0),MATCH('TCO Inputs'!$AZ$12,'Year data'!$B$110:$AC$110,0))/(1+$AZ$41)^F$168</f>
        <v>689.50750396256149</v>
      </c>
      <c r="G200" s="106">
        <f>VLOOKUP($A200,'VKT US'!$B$63:$AA$113,(G$168+1),FALSE)/VLOOKUP($A200,'Fuel economy adjusted factor'!$A$2:$F$52,6,FALSE)*INDEX('Year data'!$B$111:$AC$161,MATCH($A200,'Year data'!$A$111:$A$161,0),MATCH('TCO Inputs'!$AZ$12,'Year data'!$B$110:$AC$110,0))/(1+$AZ$41)^G$168</f>
        <v>661.53053618395222</v>
      </c>
      <c r="H200" s="106">
        <f>VLOOKUP($A200,'VKT US'!$B$63:$AA$113,(H$168+1),FALSE)/VLOOKUP($A200,'Fuel economy adjusted factor'!$A$2:$F$52,6,FALSE)*INDEX('Year data'!$B$111:$AC$161,MATCH($A200,'Year data'!$A$111:$A$161,0),MATCH('TCO Inputs'!$AZ$12,'Year data'!$B$110:$AC$110,0))/(1+$AZ$41)^H$168</f>
        <v>634.77779267905896</v>
      </c>
      <c r="I200" s="106">
        <f>VLOOKUP($A200,'VKT US'!$B$63:$AA$113,(I$168+1),FALSE)/VLOOKUP($A200,'Fuel economy adjusted factor'!$A$2:$F$52,6,FALSE)*INDEX('Year data'!$B$111:$AC$161,MATCH($A200,'Year data'!$A$111:$A$161,0),MATCH('TCO Inputs'!$AZ$12,'Year data'!$B$110:$AC$110,0))/(1+$AZ$41)^I$168</f>
        <v>609.32469026765102</v>
      </c>
      <c r="J200" s="106">
        <f>VLOOKUP($A200,'VKT US'!$B$63:$AA$113,(J$168+1),FALSE)/VLOOKUP($A200,'Fuel economy adjusted factor'!$A$2:$F$52,6,FALSE)*INDEX('Year data'!$B$111:$AC$161,MATCH($A200,'Year data'!$A$111:$A$161,0),MATCH('TCO Inputs'!$AZ$12,'Year data'!$B$110:$AC$110,0))/(1+$AZ$41)^J$168</f>
        <v>585.13517844408511</v>
      </c>
      <c r="K200" s="106">
        <f>VLOOKUP($A200,'VKT US'!$B$63:$AA$113,(K$168+1),FALSE)/VLOOKUP($A200,'Fuel economy adjusted factor'!$A$2:$F$52,6,FALSE)*INDEX('Year data'!$B$111:$AC$161,MATCH($A200,'Year data'!$A$111:$A$161,0),MATCH('TCO Inputs'!$AZ$12,'Year data'!$B$110:$AC$110,0))/(1+$AZ$41)^K$168</f>
        <v>562.17398552644192</v>
      </c>
      <c r="L200" s="106">
        <f>VLOOKUP($A200,'VKT US'!$B$63:$AA$113,(L$168+1),FALSE)/VLOOKUP($A200,'Fuel economy adjusted factor'!$A$2:$F$52,6,FALSE)*INDEX('Year data'!$B$111:$AC$161,MATCH($A200,'Year data'!$A$111:$A$161,0),MATCH('TCO Inputs'!$AZ$12,'Year data'!$B$110:$AC$110,0))/(1+$AZ$41)^L$168</f>
        <v>540.35435040346772</v>
      </c>
      <c r="M200" s="106">
        <f>VLOOKUP($A200,'VKT US'!$B$63:$AA$113,(M$168+1),FALSE)/VLOOKUP($A200,'Fuel economy adjusted factor'!$A$2:$F$52,6,FALSE)*INDEX('Year data'!$B$111:$AC$161,MATCH($A200,'Year data'!$A$111:$A$161,0),MATCH('TCO Inputs'!$AZ$12,'Year data'!$B$110:$AC$110,0))/(1+$AZ$41)^M$168</f>
        <v>519.69600810111388</v>
      </c>
      <c r="N200" s="106">
        <f>VLOOKUP($A200,'VKT US'!$B$63:$AA$113,(N$168+1),FALSE)/VLOOKUP($A200,'Fuel economy adjusted factor'!$A$2:$F$52,6,FALSE)*INDEX('Year data'!$B$111:$AC$161,MATCH($A200,'Year data'!$A$111:$A$161,0),MATCH('TCO Inputs'!$AZ$12,'Year data'!$B$110:$AC$110,0))/(1+$AZ$41)^N$168</f>
        <v>500.11489266478543</v>
      </c>
      <c r="O200" s="106">
        <f>VLOOKUP($A200,'VKT US'!$B$63:$AA$113,(O$168+1),FALSE)/VLOOKUP($A200,'Fuel economy adjusted factor'!$A$2:$F$52,6,FALSE)*INDEX('Year data'!$B$111:$AC$161,MATCH($A200,'Year data'!$A$111:$A$161,0),MATCH('TCO Inputs'!$AZ$12,'Year data'!$B$110:$AC$110,0))/(1+$AZ$41)^O$168</f>
        <v>481.63091359377091</v>
      </c>
      <c r="P200" s="106">
        <f>VLOOKUP($A200,'VKT US'!$B$63:$AA$113,(P$168+1),FALSE)/VLOOKUP($A200,'Fuel economy adjusted factor'!$A$2:$F$52,6,FALSE)*INDEX('Year data'!$B$111:$AC$161,MATCH($A200,'Year data'!$A$111:$A$161,0),MATCH('TCO Inputs'!$AZ$12,'Year data'!$B$110:$AC$110,0))/(1+$AZ$41)^P$168</f>
        <v>464.16261658518818</v>
      </c>
      <c r="Q200" s="106">
        <f>VLOOKUP($A200,'VKT US'!$B$63:$AA$113,(Q$168+1),FALSE)/VLOOKUP($A200,'Fuel economy adjusted factor'!$A$2:$F$52,6,FALSE)*INDEX('Year data'!$B$111:$AC$161,MATCH($A200,'Year data'!$A$111:$A$161,0),MATCH('TCO Inputs'!$AZ$12,'Year data'!$B$110:$AC$110,0))/(1+$AZ$41)^Q$168</f>
        <v>447.7792899776972</v>
      </c>
      <c r="R200" s="106">
        <f>VLOOKUP($A200,'VKT US'!$B$63:$AA$113,(R$168+1),FALSE)/VLOOKUP($A200,'Fuel economy adjusted factor'!$A$2:$F$52,6,FALSE)*INDEX('Year data'!$B$111:$AC$161,MATCH($A200,'Year data'!$A$111:$A$161,0),MATCH('TCO Inputs'!$AZ$12,'Year data'!$B$110:$AC$110,0))/(1+$AZ$41)^R$168</f>
        <v>432.3029701227959</v>
      </c>
      <c r="S200" s="106">
        <f>VLOOKUP($A200,'VKT US'!$B$63:$AA$113,(S$168+1),FALSE)/VLOOKUP($A200,'Fuel economy adjusted factor'!$A$2:$F$52,6,FALSE)*INDEX('Year data'!$B$111:$AC$161,MATCH($A200,'Year data'!$A$111:$A$161,0),MATCH('TCO Inputs'!$AZ$12,'Year data'!$B$110:$AC$110,0))/(1+$AZ$41)^S$168</f>
        <v>417.85173165376182</v>
      </c>
      <c r="T200" s="106">
        <f>VLOOKUP($A200,'VKT US'!$B$63:$AA$113,(T$168+1),FALSE)/VLOOKUP($A200,'Fuel economy adjusted factor'!$A$2:$F$52,6,FALSE)*INDEX('Year data'!$B$111:$AC$161,MATCH($A200,'Year data'!$A$111:$A$161,0),MATCH('TCO Inputs'!$AZ$12,'Year data'!$B$110:$AC$110,0))/(1+$AZ$41)^T$168</f>
        <v>404.25239790240187</v>
      </c>
      <c r="U200" s="106">
        <f>VLOOKUP($A200,'VKT US'!$B$63:$AA$113,(U$168+1),FALSE)/VLOOKUP($A200,'Fuel economy adjusted factor'!$A$2:$F$52,6,FALSE)*INDEX('Year data'!$B$111:$AC$161,MATCH($A200,'Year data'!$A$111:$A$161,0),MATCH('TCO Inputs'!$AZ$12,'Year data'!$B$110:$AC$110,0))/(1+$AZ$41)^U$168</f>
        <v>391.6208422322614</v>
      </c>
      <c r="V200" s="110" cm="1">
        <f t="array" ref="V200">SUMPRODUCT(INDEX(B200:U200,,_xlfn.SEQUENCE($AZ$13)))</f>
        <v>8850.2283841294775</v>
      </c>
    </row>
    <row r="201" spans="1:22" x14ac:dyDescent="0.25">
      <c r="A201" s="102" t="s">
        <v>209</v>
      </c>
      <c r="B201" s="106">
        <f>VLOOKUP($A201,'VKT US'!$B$63:$AA$113,(B$168+1),FALSE)/VLOOKUP($A201,'Fuel economy adjusted factor'!$A$2:$F$52,6,FALSE)*INDEX('Year data'!$B$111:$AC$161,MATCH($A201,'Year data'!$A$111:$A$161,0),MATCH('TCO Inputs'!$AZ$12,'Year data'!$B$110:$AC$110,0))/(1+$AZ$41)^B$168</f>
        <v>1152.8868717132973</v>
      </c>
      <c r="C201" s="106">
        <f>VLOOKUP($A201,'VKT US'!$B$63:$AA$113,(C$168+1),FALSE)/VLOOKUP($A201,'Fuel economy adjusted factor'!$A$2:$F$52,6,FALSE)*INDEX('Year data'!$B$111:$AC$161,MATCH($A201,'Year data'!$A$111:$A$161,0),MATCH('TCO Inputs'!$AZ$12,'Year data'!$B$110:$AC$110,0))/(1+$AZ$41)^C$168</f>
        <v>1105.3325696483887</v>
      </c>
      <c r="D201" s="106">
        <f>VLOOKUP($A201,'VKT US'!$B$63:$AA$113,(D$168+1),FALSE)/VLOOKUP($A201,'Fuel economy adjusted factor'!$A$2:$F$52,6,FALSE)*INDEX('Year data'!$B$111:$AC$161,MATCH($A201,'Year data'!$A$111:$A$161,0),MATCH('TCO Inputs'!$AZ$12,'Year data'!$B$110:$AC$110,0))/(1+$AZ$41)^D$168</f>
        <v>1059.8004041373047</v>
      </c>
      <c r="E201" s="106">
        <f>VLOOKUP($A201,'VKT US'!$B$63:$AA$113,(E$168+1),FALSE)/VLOOKUP($A201,'Fuel economy adjusted factor'!$A$2:$F$52,6,FALSE)*INDEX('Year data'!$B$111:$AC$161,MATCH($A201,'Year data'!$A$111:$A$161,0),MATCH('TCO Inputs'!$AZ$12,'Year data'!$B$110:$AC$110,0))/(1+$AZ$41)^E$168</f>
        <v>1016.3168816288521</v>
      </c>
      <c r="F201" s="106">
        <f>VLOOKUP($A201,'VKT US'!$B$63:$AA$113,(F$168+1),FALSE)/VLOOKUP($A201,'Fuel economy adjusted factor'!$A$2:$F$52,6,FALSE)*INDEX('Year data'!$B$111:$AC$161,MATCH($A201,'Year data'!$A$111:$A$161,0),MATCH('TCO Inputs'!$AZ$12,'Year data'!$B$110:$AC$110,0))/(1+$AZ$41)^F$168</f>
        <v>974.74713784841231</v>
      </c>
      <c r="G201" s="106">
        <f>VLOOKUP($A201,'VKT US'!$B$63:$AA$113,(G$168+1),FALSE)/VLOOKUP($A201,'Fuel economy adjusted factor'!$A$2:$F$52,6,FALSE)*INDEX('Year data'!$B$111:$AC$161,MATCH($A201,'Year data'!$A$111:$A$161,0),MATCH('TCO Inputs'!$AZ$12,'Year data'!$B$110:$AC$110,0))/(1+$AZ$41)^G$168</f>
        <v>935.19648885452204</v>
      </c>
      <c r="H201" s="106">
        <f>VLOOKUP($A201,'VKT US'!$B$63:$AA$113,(H$168+1),FALSE)/VLOOKUP($A201,'Fuel economy adjusted factor'!$A$2:$F$52,6,FALSE)*INDEX('Year data'!$B$111:$AC$161,MATCH($A201,'Year data'!$A$111:$A$161,0),MATCH('TCO Inputs'!$AZ$12,'Year data'!$B$110:$AC$110,0))/(1+$AZ$41)^H$168</f>
        <v>897.37650863512863</v>
      </c>
      <c r="I201" s="106">
        <f>VLOOKUP($A201,'VKT US'!$B$63:$AA$113,(I$168+1),FALSE)/VLOOKUP($A201,'Fuel economy adjusted factor'!$A$2:$F$52,6,FALSE)*INDEX('Year data'!$B$111:$AC$161,MATCH($A201,'Year data'!$A$111:$A$161,0),MATCH('TCO Inputs'!$AZ$12,'Year data'!$B$110:$AC$110,0))/(1+$AZ$41)^I$168</f>
        <v>861.39381289607024</v>
      </c>
      <c r="J201" s="106">
        <f>VLOOKUP($A201,'VKT US'!$B$63:$AA$113,(J$168+1),FALSE)/VLOOKUP($A201,'Fuel economy adjusted factor'!$A$2:$F$52,6,FALSE)*INDEX('Year data'!$B$111:$AC$161,MATCH($A201,'Year data'!$A$111:$A$161,0),MATCH('TCO Inputs'!$AZ$12,'Year data'!$B$110:$AC$110,0))/(1+$AZ$41)^J$168</f>
        <v>827.19743754052172</v>
      </c>
      <c r="K201" s="106">
        <f>VLOOKUP($A201,'VKT US'!$B$63:$AA$113,(K$168+1),FALSE)/VLOOKUP($A201,'Fuel economy adjusted factor'!$A$2:$F$52,6,FALSE)*INDEX('Year data'!$B$111:$AC$161,MATCH($A201,'Year data'!$A$111:$A$161,0),MATCH('TCO Inputs'!$AZ$12,'Year data'!$B$110:$AC$110,0))/(1+$AZ$41)^K$168</f>
        <v>794.73751948388929</v>
      </c>
      <c r="L201" s="106">
        <f>VLOOKUP($A201,'VKT US'!$B$63:$AA$113,(L$168+1),FALSE)/VLOOKUP($A201,'Fuel economy adjusted factor'!$A$2:$F$52,6,FALSE)*INDEX('Year data'!$B$111:$AC$161,MATCH($A201,'Year data'!$A$111:$A$161,0),MATCH('TCO Inputs'!$AZ$12,'Year data'!$B$110:$AC$110,0))/(1+$AZ$41)^L$168</f>
        <v>763.89140575374677</v>
      </c>
      <c r="M201" s="106">
        <f>VLOOKUP($A201,'VKT US'!$B$63:$AA$113,(M$168+1),FALSE)/VLOOKUP($A201,'Fuel economy adjusted factor'!$A$2:$F$52,6,FALSE)*INDEX('Year data'!$B$111:$AC$161,MATCH($A201,'Year data'!$A$111:$A$161,0),MATCH('TCO Inputs'!$AZ$12,'Year data'!$B$110:$AC$110,0))/(1+$AZ$41)^M$168</f>
        <v>734.68699548092491</v>
      </c>
      <c r="N201" s="106">
        <f>VLOOKUP($A201,'VKT US'!$B$63:$AA$113,(N$168+1),FALSE)/VLOOKUP($A201,'Fuel economy adjusted factor'!$A$2:$F$52,6,FALSE)*INDEX('Year data'!$B$111:$AC$161,MATCH($A201,'Year data'!$A$111:$A$161,0),MATCH('TCO Inputs'!$AZ$12,'Year data'!$B$110:$AC$110,0))/(1+$AZ$41)^N$168</f>
        <v>707.0054457983606</v>
      </c>
      <c r="O201" s="106">
        <f>VLOOKUP($A201,'VKT US'!$B$63:$AA$113,(O$168+1),FALSE)/VLOOKUP($A201,'Fuel economy adjusted factor'!$A$2:$F$52,6,FALSE)*INDEX('Year data'!$B$111:$AC$161,MATCH($A201,'Year data'!$A$111:$A$161,0),MATCH('TCO Inputs'!$AZ$12,'Year data'!$B$110:$AC$110,0))/(1+$AZ$41)^O$168</f>
        <v>680.87490248740664</v>
      </c>
      <c r="P201" s="106">
        <f>VLOOKUP($A201,'VKT US'!$B$63:$AA$113,(P$168+1),FALSE)/VLOOKUP($A201,'Fuel economy adjusted factor'!$A$2:$F$52,6,FALSE)*INDEX('Year data'!$B$111:$AC$161,MATCH($A201,'Year data'!$A$111:$A$161,0),MATCH('TCO Inputs'!$AZ$12,'Year data'!$B$110:$AC$110,0))/(1+$AZ$41)^P$168</f>
        <v>656.18021473658769</v>
      </c>
      <c r="Q201" s="106">
        <f>VLOOKUP($A201,'VKT US'!$B$63:$AA$113,(Q$168+1),FALSE)/VLOOKUP($A201,'Fuel economy adjusted factor'!$A$2:$F$52,6,FALSE)*INDEX('Year data'!$B$111:$AC$161,MATCH($A201,'Year data'!$A$111:$A$161,0),MATCH('TCO Inputs'!$AZ$12,'Year data'!$B$110:$AC$110,0))/(1+$AZ$41)^Q$168</f>
        <v>633.0193345035068</v>
      </c>
      <c r="R201" s="106">
        <f>VLOOKUP($A201,'VKT US'!$B$63:$AA$113,(R$168+1),FALSE)/VLOOKUP($A201,'Fuel economy adjusted factor'!$A$2:$F$52,6,FALSE)*INDEX('Year data'!$B$111:$AC$161,MATCH($A201,'Year data'!$A$111:$A$161,0),MATCH('TCO Inputs'!$AZ$12,'Year data'!$B$110:$AC$110,0))/(1+$AZ$41)^R$168</f>
        <v>611.14067706135256</v>
      </c>
      <c r="S201" s="106">
        <f>VLOOKUP($A201,'VKT US'!$B$63:$AA$113,(S$168+1),FALSE)/VLOOKUP($A201,'Fuel economy adjusted factor'!$A$2:$F$52,6,FALSE)*INDEX('Year data'!$B$111:$AC$161,MATCH($A201,'Year data'!$A$111:$A$161,0),MATCH('TCO Inputs'!$AZ$12,'Year data'!$B$110:$AC$110,0))/(1+$AZ$41)^S$168</f>
        <v>590.71116287172788</v>
      </c>
      <c r="T201" s="106">
        <f>VLOOKUP($A201,'VKT US'!$B$63:$AA$113,(T$168+1),FALSE)/VLOOKUP($A201,'Fuel economy adjusted factor'!$A$2:$F$52,6,FALSE)*INDEX('Year data'!$B$111:$AC$161,MATCH($A201,'Year data'!$A$111:$A$161,0),MATCH('TCO Inputs'!$AZ$12,'Year data'!$B$110:$AC$110,0))/(1+$AZ$41)^T$168</f>
        <v>571.48597449509327</v>
      </c>
      <c r="U201" s="106">
        <f>VLOOKUP($A201,'VKT US'!$B$63:$AA$113,(U$168+1),FALSE)/VLOOKUP($A201,'Fuel economy adjusted factor'!$A$2:$F$52,6,FALSE)*INDEX('Year data'!$B$111:$AC$161,MATCH($A201,'Year data'!$A$111:$A$161,0),MATCH('TCO Inputs'!$AZ$12,'Year data'!$B$110:$AC$110,0))/(1+$AZ$41)^U$168</f>
        <v>553.62892048874414</v>
      </c>
      <c r="V201" s="110" cm="1">
        <f t="array" ref="V201">SUMPRODUCT(INDEX(B201:U201,,_xlfn.SEQUENCE($AZ$13)))</f>
        <v>12511.444381906826</v>
      </c>
    </row>
    <row r="202" spans="1:22" x14ac:dyDescent="0.25">
      <c r="A202" s="102" t="s">
        <v>210</v>
      </c>
      <c r="B202" s="106">
        <f>VLOOKUP($A202,'VKT US'!$B$63:$AA$113,(B$168+1),FALSE)/VLOOKUP($A202,'Fuel economy adjusted factor'!$A$2:$F$52,6,FALSE)*INDEX('Year data'!$B$111:$AC$161,MATCH($A202,'Year data'!$A$111:$A$161,0),MATCH('TCO Inputs'!$AZ$12,'Year data'!$B$110:$AC$110,0))/(1+$AZ$41)^B$168</f>
        <v>1363.9269718728424</v>
      </c>
      <c r="C202" s="106">
        <f>VLOOKUP($A202,'VKT US'!$B$63:$AA$113,(C$168+1),FALSE)/VLOOKUP($A202,'Fuel economy adjusted factor'!$A$2:$F$52,6,FALSE)*INDEX('Year data'!$B$111:$AC$161,MATCH($A202,'Year data'!$A$111:$A$161,0),MATCH('TCO Inputs'!$AZ$12,'Year data'!$B$110:$AC$110,0))/(1+$AZ$41)^C$168</f>
        <v>1307.6676832936184</v>
      </c>
      <c r="D202" s="106">
        <f>VLOOKUP($A202,'VKT US'!$B$63:$AA$113,(D$168+1),FALSE)/VLOOKUP($A202,'Fuel economy adjusted factor'!$A$2:$F$52,6,FALSE)*INDEX('Year data'!$B$111:$AC$161,MATCH($A202,'Year data'!$A$111:$A$161,0),MATCH('TCO Inputs'!$AZ$12,'Year data'!$B$110:$AC$110,0))/(1+$AZ$41)^D$168</f>
        <v>1253.800690657944</v>
      </c>
      <c r="E202" s="106">
        <f>VLOOKUP($A202,'VKT US'!$B$63:$AA$113,(E$168+1),FALSE)/VLOOKUP($A202,'Fuel economy adjusted factor'!$A$2:$F$52,6,FALSE)*INDEX('Year data'!$B$111:$AC$161,MATCH($A202,'Year data'!$A$111:$A$161,0),MATCH('TCO Inputs'!$AZ$12,'Year data'!$B$110:$AC$110,0))/(1+$AZ$41)^E$168</f>
        <v>1202.3573525156853</v>
      </c>
      <c r="F202" s="106">
        <f>VLOOKUP($A202,'VKT US'!$B$63:$AA$113,(F$168+1),FALSE)/VLOOKUP($A202,'Fuel economy adjusted factor'!$A$2:$F$52,6,FALSE)*INDEX('Year data'!$B$111:$AC$161,MATCH($A202,'Year data'!$A$111:$A$161,0),MATCH('TCO Inputs'!$AZ$12,'Year data'!$B$110:$AC$110,0))/(1+$AZ$41)^F$168</f>
        <v>1153.1781172003184</v>
      </c>
      <c r="G202" s="106">
        <f>VLOOKUP($A202,'VKT US'!$B$63:$AA$113,(G$168+1),FALSE)/VLOOKUP($A202,'Fuel economy adjusted factor'!$A$2:$F$52,6,FALSE)*INDEX('Year data'!$B$111:$AC$161,MATCH($A202,'Year data'!$A$111:$A$161,0),MATCH('TCO Inputs'!$AZ$12,'Year data'!$B$110:$AC$110,0))/(1+$AZ$41)^G$168</f>
        <v>1106.3875792547553</v>
      </c>
      <c r="H202" s="106">
        <f>VLOOKUP($A202,'VKT US'!$B$63:$AA$113,(H$168+1),FALSE)/VLOOKUP($A202,'Fuel economy adjusted factor'!$A$2:$F$52,6,FALSE)*INDEX('Year data'!$B$111:$AC$161,MATCH($A202,'Year data'!$A$111:$A$161,0),MATCH('TCO Inputs'!$AZ$12,'Year data'!$B$110:$AC$110,0))/(1+$AZ$41)^H$168</f>
        <v>1061.6445152451274</v>
      </c>
      <c r="I202" s="106">
        <f>VLOOKUP($A202,'VKT US'!$B$63:$AA$113,(I$168+1),FALSE)/VLOOKUP($A202,'Fuel economy adjusted factor'!$A$2:$F$52,6,FALSE)*INDEX('Year data'!$B$111:$AC$161,MATCH($A202,'Year data'!$A$111:$A$161,0),MATCH('TCO Inputs'!$AZ$12,'Year data'!$B$110:$AC$110,0))/(1+$AZ$41)^I$168</f>
        <v>1019.0750572667727</v>
      </c>
      <c r="J202" s="106">
        <f>VLOOKUP($A202,'VKT US'!$B$63:$AA$113,(J$168+1),FALSE)/VLOOKUP($A202,'Fuel economy adjusted factor'!$A$2:$F$52,6,FALSE)*INDEX('Year data'!$B$111:$AC$161,MATCH($A202,'Year data'!$A$111:$A$161,0),MATCH('TCO Inputs'!$AZ$12,'Year data'!$B$110:$AC$110,0))/(1+$AZ$41)^J$168</f>
        <v>978.61891206112318</v>
      </c>
      <c r="K202" s="106">
        <f>VLOOKUP($A202,'VKT US'!$B$63:$AA$113,(K$168+1),FALSE)/VLOOKUP($A202,'Fuel economy adjusted factor'!$A$2:$F$52,6,FALSE)*INDEX('Year data'!$B$111:$AC$161,MATCH($A202,'Year data'!$A$111:$A$161,0),MATCH('TCO Inputs'!$AZ$12,'Year data'!$B$110:$AC$110,0))/(1+$AZ$41)^K$168</f>
        <v>940.2170889261007</v>
      </c>
      <c r="L202" s="106">
        <f>VLOOKUP($A202,'VKT US'!$B$63:$AA$113,(L$168+1),FALSE)/VLOOKUP($A202,'Fuel economy adjusted factor'!$A$2:$F$52,6,FALSE)*INDEX('Year data'!$B$111:$AC$161,MATCH($A202,'Year data'!$A$111:$A$161,0),MATCH('TCO Inputs'!$AZ$12,'Year data'!$B$110:$AC$110,0))/(1+$AZ$41)^L$168</f>
        <v>903.72448282028574</v>
      </c>
      <c r="M202" s="106">
        <f>VLOOKUP($A202,'VKT US'!$B$63:$AA$113,(M$168+1),FALSE)/VLOOKUP($A202,'Fuel economy adjusted factor'!$A$2:$F$52,6,FALSE)*INDEX('Year data'!$B$111:$AC$161,MATCH($A202,'Year data'!$A$111:$A$161,0),MATCH('TCO Inputs'!$AZ$12,'Year data'!$B$110:$AC$110,0))/(1+$AZ$41)^M$168</f>
        <v>869.17409991103523</v>
      </c>
      <c r="N202" s="106">
        <f>VLOOKUP($A202,'VKT US'!$B$63:$AA$113,(N$168+1),FALSE)/VLOOKUP($A202,'Fuel economy adjusted factor'!$A$2:$F$52,6,FALSE)*INDEX('Year data'!$B$111:$AC$161,MATCH($A202,'Year data'!$A$111:$A$161,0),MATCH('TCO Inputs'!$AZ$12,'Year data'!$B$110:$AC$110,0))/(1+$AZ$41)^N$168</f>
        <v>836.42534271582235</v>
      </c>
      <c r="O202" s="106">
        <f>VLOOKUP($A202,'VKT US'!$B$63:$AA$113,(O$168+1),FALSE)/VLOOKUP($A202,'Fuel economy adjusted factor'!$A$2:$F$52,6,FALSE)*INDEX('Year data'!$B$111:$AC$161,MATCH($A202,'Year data'!$A$111:$A$161,0),MATCH('TCO Inputs'!$AZ$12,'Year data'!$B$110:$AC$110,0))/(1+$AZ$41)^O$168</f>
        <v>805.51150920279349</v>
      </c>
      <c r="P202" s="106">
        <f>VLOOKUP($A202,'VKT US'!$B$63:$AA$113,(P$168+1),FALSE)/VLOOKUP($A202,'Fuel economy adjusted factor'!$A$2:$F$52,6,FALSE)*INDEX('Year data'!$B$111:$AC$161,MATCH($A202,'Year data'!$A$111:$A$161,0),MATCH('TCO Inputs'!$AZ$12,'Year data'!$B$110:$AC$110,0))/(1+$AZ$41)^P$168</f>
        <v>776.29636978910082</v>
      </c>
      <c r="Q202" s="106">
        <f>VLOOKUP($A202,'VKT US'!$B$63:$AA$113,(Q$168+1),FALSE)/VLOOKUP($A202,'Fuel economy adjusted factor'!$A$2:$F$52,6,FALSE)*INDEX('Year data'!$B$111:$AC$161,MATCH($A202,'Year data'!$A$111:$A$161,0),MATCH('TCO Inputs'!$AZ$12,'Year data'!$B$110:$AC$110,0))/(1+$AZ$41)^Q$168</f>
        <v>748.89580689148511</v>
      </c>
      <c r="R202" s="106">
        <f>VLOOKUP($A202,'VKT US'!$B$63:$AA$113,(R$168+1),FALSE)/VLOOKUP($A202,'Fuel economy adjusted factor'!$A$2:$F$52,6,FALSE)*INDEX('Year data'!$B$111:$AC$161,MATCH($A202,'Year data'!$A$111:$A$161,0),MATCH('TCO Inputs'!$AZ$12,'Year data'!$B$110:$AC$110,0))/(1+$AZ$41)^R$168</f>
        <v>723.0121822914632</v>
      </c>
      <c r="S202" s="106">
        <f>VLOOKUP($A202,'VKT US'!$B$63:$AA$113,(S$168+1),FALSE)/VLOOKUP($A202,'Fuel economy adjusted factor'!$A$2:$F$52,6,FALSE)*INDEX('Year data'!$B$111:$AC$161,MATCH($A202,'Year data'!$A$111:$A$161,0),MATCH('TCO Inputs'!$AZ$12,'Year data'!$B$110:$AC$110,0))/(1+$AZ$41)^S$168</f>
        <v>698.84297184319178</v>
      </c>
      <c r="T202" s="106">
        <f>VLOOKUP($A202,'VKT US'!$B$63:$AA$113,(T$168+1),FALSE)/VLOOKUP($A202,'Fuel economy adjusted factor'!$A$2:$F$52,6,FALSE)*INDEX('Year data'!$B$111:$AC$161,MATCH($A202,'Year data'!$A$111:$A$161,0),MATCH('TCO Inputs'!$AZ$12,'Year data'!$B$110:$AC$110,0))/(1+$AZ$41)^T$168</f>
        <v>676.0985433918031</v>
      </c>
      <c r="U202" s="106">
        <f>VLOOKUP($A202,'VKT US'!$B$63:$AA$113,(U$168+1),FALSE)/VLOOKUP($A202,'Fuel economy adjusted factor'!$A$2:$F$52,6,FALSE)*INDEX('Year data'!$B$111:$AC$161,MATCH($A202,'Year data'!$A$111:$A$161,0),MATCH('TCO Inputs'!$AZ$12,'Year data'!$B$110:$AC$110,0))/(1+$AZ$41)^U$168</f>
        <v>654.97269124183936</v>
      </c>
      <c r="V202" s="110" cm="1">
        <f t="array" ref="V202">SUMPRODUCT(INDEX(B202:U202,,_xlfn.SEQUENCE($AZ$13)))</f>
        <v>14801.709402944225</v>
      </c>
    </row>
    <row r="203" spans="1:22" x14ac:dyDescent="0.25">
      <c r="A203" s="102" t="s">
        <v>217</v>
      </c>
      <c r="B203" s="106">
        <f>VLOOKUP($A203,'VKT US'!$B$63:$AA$113,(B$168+1),FALSE)/VLOOKUP($A203,'Fuel economy adjusted factor'!$A$2:$F$52,6,FALSE)*INDEX('Year data'!$B$111:$AC$161,MATCH($A203,'Year data'!$A$111:$A$161,0),MATCH('TCO Inputs'!$AZ$12,'Year data'!$B$110:$AC$110,0))/(1+$AZ$41)^B$168</f>
        <v>1069.1125931888944</v>
      </c>
      <c r="C203" s="106">
        <f>VLOOKUP($A203,'VKT US'!$B$63:$AA$113,(C$168+1),FALSE)/VLOOKUP($A203,'Fuel economy adjusted factor'!$A$2:$F$52,6,FALSE)*INDEX('Year data'!$B$111:$AC$161,MATCH($A203,'Year data'!$A$111:$A$161,0),MATCH('TCO Inputs'!$AZ$12,'Year data'!$B$110:$AC$110,0))/(1+$AZ$41)^C$168</f>
        <v>1025.0138143361626</v>
      </c>
      <c r="D203" s="106">
        <f>VLOOKUP($A203,'VKT US'!$B$63:$AA$113,(D$168+1),FALSE)/VLOOKUP($A203,'Fuel economy adjusted factor'!$A$2:$F$52,6,FALSE)*INDEX('Year data'!$B$111:$AC$161,MATCH($A203,'Year data'!$A$111:$A$161,0),MATCH('TCO Inputs'!$AZ$12,'Year data'!$B$110:$AC$110,0))/(1+$AZ$41)^D$168</f>
        <v>982.79023391606506</v>
      </c>
      <c r="E203" s="106">
        <f>VLOOKUP($A203,'VKT US'!$B$63:$AA$113,(E$168+1),FALSE)/VLOOKUP($A203,'Fuel economy adjusted factor'!$A$2:$F$52,6,FALSE)*INDEX('Year data'!$B$111:$AC$161,MATCH($A203,'Year data'!$A$111:$A$161,0),MATCH('TCO Inputs'!$AZ$12,'Year data'!$B$110:$AC$110,0))/(1+$AZ$41)^E$168</f>
        <v>942.46643229196263</v>
      </c>
      <c r="F203" s="106">
        <f>VLOOKUP($A203,'VKT US'!$B$63:$AA$113,(F$168+1),FALSE)/VLOOKUP($A203,'Fuel economy adjusted factor'!$A$2:$F$52,6,FALSE)*INDEX('Year data'!$B$111:$AC$161,MATCH($A203,'Year data'!$A$111:$A$161,0),MATCH('TCO Inputs'!$AZ$12,'Year data'!$B$110:$AC$110,0))/(1+$AZ$41)^F$168</f>
        <v>903.91734507297303</v>
      </c>
      <c r="G203" s="106">
        <f>VLOOKUP($A203,'VKT US'!$B$63:$AA$113,(G$168+1),FALSE)/VLOOKUP($A203,'Fuel economy adjusted factor'!$A$2:$F$52,6,FALSE)*INDEX('Year data'!$B$111:$AC$161,MATCH($A203,'Year data'!$A$111:$A$161,0),MATCH('TCO Inputs'!$AZ$12,'Year data'!$B$110:$AC$110,0))/(1+$AZ$41)^G$168</f>
        <v>867.2406355487127</v>
      </c>
      <c r="H203" s="106">
        <f>VLOOKUP($A203,'VKT US'!$B$63:$AA$113,(H$168+1),FALSE)/VLOOKUP($A203,'Fuel economy adjusted factor'!$A$2:$F$52,6,FALSE)*INDEX('Year data'!$B$111:$AC$161,MATCH($A203,'Year data'!$A$111:$A$161,0),MATCH('TCO Inputs'!$AZ$12,'Year data'!$B$110:$AC$110,0))/(1+$AZ$41)^H$168</f>
        <v>832.16883612174888</v>
      </c>
      <c r="I203" s="106">
        <f>VLOOKUP($A203,'VKT US'!$B$63:$AA$113,(I$168+1),FALSE)/VLOOKUP($A203,'Fuel economy adjusted factor'!$A$2:$F$52,6,FALSE)*INDEX('Year data'!$B$111:$AC$161,MATCH($A203,'Year data'!$A$111:$A$161,0),MATCH('TCO Inputs'!$AZ$12,'Year data'!$B$110:$AC$110,0))/(1+$AZ$41)^I$168</f>
        <v>798.80081529040547</v>
      </c>
      <c r="J203" s="106">
        <f>VLOOKUP($A203,'VKT US'!$B$63:$AA$113,(J$168+1),FALSE)/VLOOKUP($A203,'Fuel economy adjusted factor'!$A$2:$F$52,6,FALSE)*INDEX('Year data'!$B$111:$AC$161,MATCH($A203,'Year data'!$A$111:$A$161,0),MATCH('TCO Inputs'!$AZ$12,'Year data'!$B$110:$AC$110,0))/(1+$AZ$41)^J$168</f>
        <v>767.08931225307799</v>
      </c>
      <c r="K203" s="106">
        <f>VLOOKUP($A203,'VKT US'!$B$63:$AA$113,(K$168+1),FALSE)/VLOOKUP($A203,'Fuel economy adjusted factor'!$A$2:$F$52,6,FALSE)*INDEX('Year data'!$B$111:$AC$161,MATCH($A203,'Year data'!$A$111:$A$161,0),MATCH('TCO Inputs'!$AZ$12,'Year data'!$B$110:$AC$110,0))/(1+$AZ$41)^K$168</f>
        <v>736.98808721557464</v>
      </c>
      <c r="L203" s="106">
        <f>VLOOKUP($A203,'VKT US'!$B$63:$AA$113,(L$168+1),FALSE)/VLOOKUP($A203,'Fuel economy adjusted factor'!$A$2:$F$52,6,FALSE)*INDEX('Year data'!$B$111:$AC$161,MATCH($A203,'Year data'!$A$111:$A$161,0),MATCH('TCO Inputs'!$AZ$12,'Year data'!$B$110:$AC$110,0))/(1+$AZ$41)^L$168</f>
        <v>708.3833997575382</v>
      </c>
      <c r="M203" s="106">
        <f>VLOOKUP($A203,'VKT US'!$B$63:$AA$113,(M$168+1),FALSE)/VLOOKUP($A203,'Fuel economy adjusted factor'!$A$2:$F$52,6,FALSE)*INDEX('Year data'!$B$111:$AC$161,MATCH($A203,'Year data'!$A$111:$A$161,0),MATCH('TCO Inputs'!$AZ$12,'Year data'!$B$110:$AC$110,0))/(1+$AZ$41)^M$168</f>
        <v>681.30112172541067</v>
      </c>
      <c r="N203" s="106">
        <f>VLOOKUP($A203,'VKT US'!$B$63:$AA$113,(N$168+1),FALSE)/VLOOKUP($A203,'Fuel economy adjusted factor'!$A$2:$F$52,6,FALSE)*INDEX('Year data'!$B$111:$AC$161,MATCH($A203,'Year data'!$A$111:$A$161,0),MATCH('TCO Inputs'!$AZ$12,'Year data'!$B$110:$AC$110,0))/(1+$AZ$41)^N$168</f>
        <v>655.63104594370532</v>
      </c>
      <c r="O203" s="106">
        <f>VLOOKUP($A203,'VKT US'!$B$63:$AA$113,(O$168+1),FALSE)/VLOOKUP($A203,'Fuel economy adjusted factor'!$A$2:$F$52,6,FALSE)*INDEX('Year data'!$B$111:$AC$161,MATCH($A203,'Year data'!$A$111:$A$161,0),MATCH('TCO Inputs'!$AZ$12,'Year data'!$B$110:$AC$110,0))/(1+$AZ$41)^O$168</f>
        <v>631.39927298657881</v>
      </c>
      <c r="P203" s="106">
        <f>VLOOKUP($A203,'VKT US'!$B$63:$AA$113,(P$168+1),FALSE)/VLOOKUP($A203,'Fuel economy adjusted factor'!$A$2:$F$52,6,FALSE)*INDEX('Year data'!$B$111:$AC$161,MATCH($A203,'Year data'!$A$111:$A$161,0),MATCH('TCO Inputs'!$AZ$12,'Year data'!$B$110:$AC$110,0))/(1+$AZ$41)^P$168</f>
        <v>608.49901945169961</v>
      </c>
      <c r="Q203" s="106">
        <f>VLOOKUP($A203,'VKT US'!$B$63:$AA$113,(Q$168+1),FALSE)/VLOOKUP($A203,'Fuel economy adjusted factor'!$A$2:$F$52,6,FALSE)*INDEX('Year data'!$B$111:$AC$161,MATCH($A203,'Year data'!$A$111:$A$161,0),MATCH('TCO Inputs'!$AZ$12,'Year data'!$B$110:$AC$110,0))/(1+$AZ$41)^Q$168</f>
        <v>587.02111963857351</v>
      </c>
      <c r="R203" s="106">
        <f>VLOOKUP($A203,'VKT US'!$B$63:$AA$113,(R$168+1),FALSE)/VLOOKUP($A203,'Fuel economy adjusted factor'!$A$2:$F$52,6,FALSE)*INDEX('Year data'!$B$111:$AC$161,MATCH($A203,'Year data'!$A$111:$A$161,0),MATCH('TCO Inputs'!$AZ$12,'Year data'!$B$110:$AC$110,0))/(1+$AZ$41)^R$168</f>
        <v>566.73227017087845</v>
      </c>
      <c r="S203" s="106">
        <f>VLOOKUP($A203,'VKT US'!$B$63:$AA$113,(S$168+1),FALSE)/VLOOKUP($A203,'Fuel economy adjusted factor'!$A$2:$F$52,6,FALSE)*INDEX('Year data'!$B$111:$AC$161,MATCH($A203,'Year data'!$A$111:$A$161,0),MATCH('TCO Inputs'!$AZ$12,'Year data'!$B$110:$AC$110,0))/(1+$AZ$41)^S$168</f>
        <v>547.78726227049322</v>
      </c>
      <c r="T203" s="106">
        <f>VLOOKUP($A203,'VKT US'!$B$63:$AA$113,(T$168+1),FALSE)/VLOOKUP($A203,'Fuel economy adjusted factor'!$A$2:$F$52,6,FALSE)*INDEX('Year data'!$B$111:$AC$161,MATCH($A203,'Year data'!$A$111:$A$161,0),MATCH('TCO Inputs'!$AZ$12,'Year data'!$B$110:$AC$110,0))/(1+$AZ$41)^T$168</f>
        <v>529.95906810488191</v>
      </c>
      <c r="U203" s="106">
        <f>VLOOKUP($A203,'VKT US'!$B$63:$AA$113,(U$168+1),FALSE)/VLOOKUP($A203,'Fuel economy adjusted factor'!$A$2:$F$52,6,FALSE)*INDEX('Year data'!$B$111:$AC$161,MATCH($A203,'Year data'!$A$111:$A$161,0),MATCH('TCO Inputs'!$AZ$12,'Year data'!$B$110:$AC$110,0))/(1+$AZ$41)^U$168</f>
        <v>513.3995931174785</v>
      </c>
      <c r="V203" s="110" cm="1">
        <f t="array" ref="V203">SUMPRODUCT(INDEX(B203:U203,,_xlfn.SEQUENCE($AZ$13)))</f>
        <v>11602.302945648811</v>
      </c>
    </row>
    <row r="204" spans="1:22" x14ac:dyDescent="0.25">
      <c r="A204" s="102" t="s">
        <v>218</v>
      </c>
      <c r="B204" s="106">
        <f>VLOOKUP($A204,'VKT US'!$B$63:$AA$113,(B$168+1),FALSE)/VLOOKUP($A204,'Fuel economy adjusted factor'!$A$2:$F$52,6,FALSE)*INDEX('Year data'!$B$111:$AC$161,MATCH($A204,'Year data'!$A$111:$A$161,0),MATCH('TCO Inputs'!$AZ$12,'Year data'!$B$110:$AC$110,0))/(1+$AZ$41)^B$168</f>
        <v>1313.7915793411046</v>
      </c>
      <c r="C204" s="106">
        <f>VLOOKUP($A204,'VKT US'!$B$63:$AA$113,(C$168+1),FALSE)/VLOOKUP($A204,'Fuel economy adjusted factor'!$A$2:$F$52,6,FALSE)*INDEX('Year data'!$B$111:$AC$161,MATCH($A204,'Year data'!$A$111:$A$161,0),MATCH('TCO Inputs'!$AZ$12,'Year data'!$B$110:$AC$110,0))/(1+$AZ$41)^C$168</f>
        <v>1259.6002764932596</v>
      </c>
      <c r="D204" s="106">
        <f>VLOOKUP($A204,'VKT US'!$B$63:$AA$113,(D$168+1),FALSE)/VLOOKUP($A204,'Fuel economy adjusted factor'!$A$2:$F$52,6,FALSE)*INDEX('Year data'!$B$111:$AC$161,MATCH($A204,'Year data'!$A$111:$A$161,0),MATCH('TCO Inputs'!$AZ$12,'Year data'!$B$110:$AC$110,0))/(1+$AZ$41)^D$168</f>
        <v>1207.7133332854405</v>
      </c>
      <c r="E204" s="106">
        <f>VLOOKUP($A204,'VKT US'!$B$63:$AA$113,(E$168+1),FALSE)/VLOOKUP($A204,'Fuel economy adjusted factor'!$A$2:$F$52,6,FALSE)*INDEX('Year data'!$B$111:$AC$161,MATCH($A204,'Year data'!$A$111:$A$161,0),MATCH('TCO Inputs'!$AZ$12,'Year data'!$B$110:$AC$110,0))/(1+$AZ$41)^E$168</f>
        <v>1158.1609555861476</v>
      </c>
      <c r="F204" s="106">
        <f>VLOOKUP($A204,'VKT US'!$B$63:$AA$113,(F$168+1),FALSE)/VLOOKUP($A204,'Fuel economy adjusted factor'!$A$2:$F$52,6,FALSE)*INDEX('Year data'!$B$111:$AC$161,MATCH($A204,'Year data'!$A$111:$A$161,0),MATCH('TCO Inputs'!$AZ$12,'Year data'!$B$110:$AC$110,0))/(1+$AZ$41)^F$168</f>
        <v>1110.7894565483034</v>
      </c>
      <c r="G204" s="106">
        <f>VLOOKUP($A204,'VKT US'!$B$63:$AA$113,(G$168+1),FALSE)/VLOOKUP($A204,'Fuel economy adjusted factor'!$A$2:$F$52,6,FALSE)*INDEX('Year data'!$B$111:$AC$161,MATCH($A204,'Year data'!$A$111:$A$161,0),MATCH('TCO Inputs'!$AZ$12,'Year data'!$B$110:$AC$110,0))/(1+$AZ$41)^G$168</f>
        <v>1065.7188508535492</v>
      </c>
      <c r="H204" s="106">
        <f>VLOOKUP($A204,'VKT US'!$B$63:$AA$113,(H$168+1),FALSE)/VLOOKUP($A204,'Fuel economy adjusted factor'!$A$2:$F$52,6,FALSE)*INDEX('Year data'!$B$111:$AC$161,MATCH($A204,'Year data'!$A$111:$A$161,0),MATCH('TCO Inputs'!$AZ$12,'Year data'!$B$110:$AC$110,0))/(1+$AZ$41)^H$168</f>
        <v>1022.6204578002518</v>
      </c>
      <c r="I204" s="106">
        <f>VLOOKUP($A204,'VKT US'!$B$63:$AA$113,(I$168+1),FALSE)/VLOOKUP($A204,'Fuel economy adjusted factor'!$A$2:$F$52,6,FALSE)*INDEX('Year data'!$B$111:$AC$161,MATCH($A204,'Year data'!$A$111:$A$161,0),MATCH('TCO Inputs'!$AZ$12,'Year data'!$B$110:$AC$110,0))/(1+$AZ$41)^I$168</f>
        <v>981.6157731049401</v>
      </c>
      <c r="J204" s="106">
        <f>VLOOKUP($A204,'VKT US'!$B$63:$AA$113,(J$168+1),FALSE)/VLOOKUP($A204,'Fuel economy adjusted factor'!$A$2:$F$52,6,FALSE)*INDEX('Year data'!$B$111:$AC$161,MATCH($A204,'Year data'!$A$111:$A$161,0),MATCH('TCO Inputs'!$AZ$12,'Year data'!$B$110:$AC$110,0))/(1+$AZ$41)^J$168</f>
        <v>942.64671977593343</v>
      </c>
      <c r="K204" s="106">
        <f>VLOOKUP($A204,'VKT US'!$B$63:$AA$113,(K$168+1),FALSE)/VLOOKUP($A204,'Fuel economy adjusted factor'!$A$2:$F$52,6,FALSE)*INDEX('Year data'!$B$111:$AC$161,MATCH($A204,'Year data'!$A$111:$A$161,0),MATCH('TCO Inputs'!$AZ$12,'Year data'!$B$110:$AC$110,0))/(1+$AZ$41)^K$168</f>
        <v>905.6564754985128</v>
      </c>
      <c r="L204" s="106">
        <f>VLOOKUP($A204,'VKT US'!$B$63:$AA$113,(L$168+1),FALSE)/VLOOKUP($A204,'Fuel economy adjusted factor'!$A$2:$F$52,6,FALSE)*INDEX('Year data'!$B$111:$AC$161,MATCH($A204,'Year data'!$A$111:$A$161,0),MATCH('TCO Inputs'!$AZ$12,'Year data'!$B$110:$AC$110,0))/(1+$AZ$41)^L$168</f>
        <v>870.50526901991464</v>
      </c>
      <c r="M204" s="106">
        <f>VLOOKUP($A204,'VKT US'!$B$63:$AA$113,(M$168+1),FALSE)/VLOOKUP($A204,'Fuel economy adjusted factor'!$A$2:$F$52,6,FALSE)*INDEX('Year data'!$B$111:$AC$161,MATCH($A204,'Year data'!$A$111:$A$161,0),MATCH('TCO Inputs'!$AZ$12,'Year data'!$B$110:$AC$110,0))/(1+$AZ$41)^M$168</f>
        <v>837.22489326280549</v>
      </c>
      <c r="N204" s="106">
        <f>VLOOKUP($A204,'VKT US'!$B$63:$AA$113,(N$168+1),FALSE)/VLOOKUP($A204,'Fuel economy adjusted factor'!$A$2:$F$52,6,FALSE)*INDEX('Year data'!$B$111:$AC$161,MATCH($A204,'Year data'!$A$111:$A$161,0),MATCH('TCO Inputs'!$AZ$12,'Year data'!$B$110:$AC$110,0))/(1+$AZ$41)^N$168</f>
        <v>805.67991884391972</v>
      </c>
      <c r="O204" s="106">
        <f>VLOOKUP($A204,'VKT US'!$B$63:$AA$113,(O$168+1),FALSE)/VLOOKUP($A204,'Fuel economy adjusted factor'!$A$2:$F$52,6,FALSE)*INDEX('Year data'!$B$111:$AC$161,MATCH($A204,'Year data'!$A$111:$A$161,0),MATCH('TCO Inputs'!$AZ$12,'Year data'!$B$110:$AC$110,0))/(1+$AZ$41)^O$168</f>
        <v>775.90241976066477</v>
      </c>
      <c r="P204" s="106">
        <f>VLOOKUP($A204,'VKT US'!$B$63:$AA$113,(P$168+1),FALSE)/VLOOKUP($A204,'Fuel economy adjusted factor'!$A$2:$F$52,6,FALSE)*INDEX('Year data'!$B$111:$AC$161,MATCH($A204,'Year data'!$A$111:$A$161,0),MATCH('TCO Inputs'!$AZ$12,'Year data'!$B$110:$AC$110,0))/(1+$AZ$41)^P$168</f>
        <v>747.76117397366966</v>
      </c>
      <c r="Q204" s="106">
        <f>VLOOKUP($A204,'VKT US'!$B$63:$AA$113,(Q$168+1),FALSE)/VLOOKUP($A204,'Fuel economy adjusted factor'!$A$2:$F$52,6,FALSE)*INDEX('Year data'!$B$111:$AC$161,MATCH($A204,'Year data'!$A$111:$A$161,0),MATCH('TCO Inputs'!$AZ$12,'Year data'!$B$110:$AC$110,0))/(1+$AZ$41)^Q$168</f>
        <v>721.36780427978988</v>
      </c>
      <c r="R204" s="106">
        <f>VLOOKUP($A204,'VKT US'!$B$63:$AA$113,(R$168+1),FALSE)/VLOOKUP($A204,'Fuel economy adjusted factor'!$A$2:$F$52,6,FALSE)*INDEX('Year data'!$B$111:$AC$161,MATCH($A204,'Year data'!$A$111:$A$161,0),MATCH('TCO Inputs'!$AZ$12,'Year data'!$B$110:$AC$110,0))/(1+$AZ$41)^R$168</f>
        <v>696.43561308216226</v>
      </c>
      <c r="S204" s="106">
        <f>VLOOKUP($A204,'VKT US'!$B$63:$AA$113,(S$168+1),FALSE)/VLOOKUP($A204,'Fuel economy adjusted factor'!$A$2:$F$52,6,FALSE)*INDEX('Year data'!$B$111:$AC$161,MATCH($A204,'Year data'!$A$111:$A$161,0),MATCH('TCO Inputs'!$AZ$12,'Year data'!$B$110:$AC$110,0))/(1+$AZ$41)^S$168</f>
        <v>673.15481739362133</v>
      </c>
      <c r="T204" s="106">
        <f>VLOOKUP($A204,'VKT US'!$B$63:$AA$113,(T$168+1),FALSE)/VLOOKUP($A204,'Fuel economy adjusted factor'!$A$2:$F$52,6,FALSE)*INDEX('Year data'!$B$111:$AC$161,MATCH($A204,'Year data'!$A$111:$A$161,0),MATCH('TCO Inputs'!$AZ$12,'Year data'!$B$110:$AC$110,0))/(1+$AZ$41)^T$168</f>
        <v>651.24643139306465</v>
      </c>
      <c r="U204" s="106">
        <f>VLOOKUP($A204,'VKT US'!$B$63:$AA$113,(U$168+1),FALSE)/VLOOKUP($A204,'Fuel economy adjusted factor'!$A$2:$F$52,6,FALSE)*INDEX('Year data'!$B$111:$AC$161,MATCH($A204,'Year data'!$A$111:$A$161,0),MATCH('TCO Inputs'!$AZ$12,'Year data'!$B$110:$AC$110,0))/(1+$AZ$41)^U$168</f>
        <v>630.89712587055817</v>
      </c>
      <c r="V204" s="110" cm="1">
        <f t="array" ref="V204">SUMPRODUCT(INDEX(B204:U204,,_xlfn.SEQUENCE($AZ$13)))</f>
        <v>14257.626379174748</v>
      </c>
    </row>
    <row r="205" spans="1:22" x14ac:dyDescent="0.25">
      <c r="A205" s="102" t="s">
        <v>219</v>
      </c>
      <c r="B205" s="106">
        <f>VLOOKUP($A205,'VKT US'!$B$63:$AA$113,(B$168+1),FALSE)/VLOOKUP($A205,'Fuel economy adjusted factor'!$A$2:$F$52,6,FALSE)*INDEX('Year data'!$B$111:$AC$161,MATCH($A205,'Year data'!$A$111:$A$161,0),MATCH('TCO Inputs'!$AZ$12,'Year data'!$B$110:$AC$110,0))/(1+$AZ$41)^B$168</f>
        <v>1233.6442310676407</v>
      </c>
      <c r="C205" s="106">
        <f>VLOOKUP($A205,'VKT US'!$B$63:$AA$113,(C$168+1),FALSE)/VLOOKUP($A205,'Fuel economy adjusted factor'!$A$2:$F$52,6,FALSE)*INDEX('Year data'!$B$111:$AC$161,MATCH($A205,'Year data'!$A$111:$A$161,0),MATCH('TCO Inputs'!$AZ$12,'Year data'!$B$110:$AC$110,0))/(1+$AZ$41)^C$168</f>
        <v>1182.7588477362817</v>
      </c>
      <c r="D205" s="106">
        <f>VLOOKUP($A205,'VKT US'!$B$63:$AA$113,(D$168+1),FALSE)/VLOOKUP($A205,'Fuel economy adjusted factor'!$A$2:$F$52,6,FALSE)*INDEX('Year data'!$B$111:$AC$161,MATCH($A205,'Year data'!$A$111:$A$161,0),MATCH('TCO Inputs'!$AZ$12,'Year data'!$B$110:$AC$110,0))/(1+$AZ$41)^D$168</f>
        <v>1134.0372474744181</v>
      </c>
      <c r="E205" s="106">
        <f>VLOOKUP($A205,'VKT US'!$B$63:$AA$113,(E$168+1),FALSE)/VLOOKUP($A205,'Fuel economy adjusted factor'!$A$2:$F$52,6,FALSE)*INDEX('Year data'!$B$111:$AC$161,MATCH($A205,'Year data'!$A$111:$A$161,0),MATCH('TCO Inputs'!$AZ$12,'Year data'!$B$110:$AC$110,0))/(1+$AZ$41)^E$168</f>
        <v>1087.5077934531978</v>
      </c>
      <c r="F205" s="106">
        <f>VLOOKUP($A205,'VKT US'!$B$63:$AA$113,(F$168+1),FALSE)/VLOOKUP($A205,'Fuel economy adjusted factor'!$A$2:$F$52,6,FALSE)*INDEX('Year data'!$B$111:$AC$161,MATCH($A205,'Year data'!$A$111:$A$161,0),MATCH('TCO Inputs'!$AZ$12,'Year data'!$B$110:$AC$110,0))/(1+$AZ$41)^F$168</f>
        <v>1043.02617443234</v>
      </c>
      <c r="G205" s="106">
        <f>VLOOKUP($A205,'VKT US'!$B$63:$AA$113,(G$168+1),FALSE)/VLOOKUP($A205,'Fuel economy adjusted factor'!$A$2:$F$52,6,FALSE)*INDEX('Year data'!$B$111:$AC$161,MATCH($A205,'Year data'!$A$111:$A$161,0),MATCH('TCO Inputs'!$AZ$12,'Year data'!$B$110:$AC$110,0))/(1+$AZ$41)^G$168</f>
        <v>1000.7050836441473</v>
      </c>
      <c r="H205" s="106">
        <f>VLOOKUP($A205,'VKT US'!$B$63:$AA$113,(H$168+1),FALSE)/VLOOKUP($A205,'Fuel economy adjusted factor'!$A$2:$F$52,6,FALSE)*INDEX('Year data'!$B$111:$AC$161,MATCH($A205,'Year data'!$A$111:$A$161,0),MATCH('TCO Inputs'!$AZ$12,'Year data'!$B$110:$AC$110,0))/(1+$AZ$41)^H$168</f>
        <v>960.2358914263441</v>
      </c>
      <c r="I205" s="106">
        <f>VLOOKUP($A205,'VKT US'!$B$63:$AA$113,(I$168+1),FALSE)/VLOOKUP($A205,'Fuel economy adjusted factor'!$A$2:$F$52,6,FALSE)*INDEX('Year data'!$B$111:$AC$161,MATCH($A205,'Year data'!$A$111:$A$161,0),MATCH('TCO Inputs'!$AZ$12,'Year data'!$B$110:$AC$110,0))/(1+$AZ$41)^I$168</f>
        <v>921.73268169616131</v>
      </c>
      <c r="J205" s="106">
        <f>VLOOKUP($A205,'VKT US'!$B$63:$AA$113,(J$168+1),FALSE)/VLOOKUP($A205,'Fuel economy adjusted factor'!$A$2:$F$52,6,FALSE)*INDEX('Year data'!$B$111:$AC$161,MATCH($A205,'Year data'!$A$111:$A$161,0),MATCH('TCO Inputs'!$AZ$12,'Year data'!$B$110:$AC$110,0))/(1+$AZ$41)^J$168</f>
        <v>885.14092042638185</v>
      </c>
      <c r="K205" s="106">
        <f>VLOOKUP($A205,'VKT US'!$B$63:$AA$113,(K$168+1),FALSE)/VLOOKUP($A205,'Fuel economy adjusted factor'!$A$2:$F$52,6,FALSE)*INDEX('Year data'!$B$111:$AC$161,MATCH($A205,'Year data'!$A$111:$A$161,0),MATCH('TCO Inputs'!$AZ$12,'Year data'!$B$110:$AC$110,0))/(1+$AZ$41)^K$168</f>
        <v>850.40725172566715</v>
      </c>
      <c r="L205" s="106">
        <f>VLOOKUP($A205,'VKT US'!$B$63:$AA$113,(L$168+1),FALSE)/VLOOKUP($A205,'Fuel economy adjusted factor'!$A$2:$F$52,6,FALSE)*INDEX('Year data'!$B$111:$AC$161,MATCH($A205,'Year data'!$A$111:$A$161,0),MATCH('TCO Inputs'!$AZ$12,'Year data'!$B$110:$AC$110,0))/(1+$AZ$41)^L$168</f>
        <v>817.40043103258711</v>
      </c>
      <c r="M205" s="106">
        <f>VLOOKUP($A205,'VKT US'!$B$63:$AA$113,(M$168+1),FALSE)/VLOOKUP($A205,'Fuel economy adjusted factor'!$A$2:$F$52,6,FALSE)*INDEX('Year data'!$B$111:$AC$161,MATCH($A205,'Year data'!$A$111:$A$161,0),MATCH('TCO Inputs'!$AZ$12,'Year data'!$B$110:$AC$110,0))/(1+$AZ$41)^M$168</f>
        <v>786.15031175483114</v>
      </c>
      <c r="N205" s="106">
        <f>VLOOKUP($A205,'VKT US'!$B$63:$AA$113,(N$168+1),FALSE)/VLOOKUP($A205,'Fuel economy adjusted factor'!$A$2:$F$52,6,FALSE)*INDEX('Year data'!$B$111:$AC$161,MATCH($A205,'Year data'!$A$111:$A$161,0),MATCH('TCO Inputs'!$AZ$12,'Year data'!$B$110:$AC$110,0))/(1+$AZ$41)^N$168</f>
        <v>756.52972632639376</v>
      </c>
      <c r="O205" s="106">
        <f>VLOOKUP($A205,'VKT US'!$B$63:$AA$113,(O$168+1),FALSE)/VLOOKUP($A205,'Fuel economy adjusted factor'!$A$2:$F$52,6,FALSE)*INDEX('Year data'!$B$111:$AC$161,MATCH($A205,'Year data'!$A$111:$A$161,0),MATCH('TCO Inputs'!$AZ$12,'Year data'!$B$110:$AC$110,0))/(1+$AZ$41)^O$168</f>
        <v>728.56879208284909</v>
      </c>
      <c r="P205" s="106">
        <f>VLOOKUP($A205,'VKT US'!$B$63:$AA$113,(P$168+1),FALSE)/VLOOKUP($A205,'Fuel economy adjusted factor'!$A$2:$F$52,6,FALSE)*INDEX('Year data'!$B$111:$AC$161,MATCH($A205,'Year data'!$A$111:$A$161,0),MATCH('TCO Inputs'!$AZ$12,'Year data'!$B$110:$AC$110,0))/(1+$AZ$41)^P$168</f>
        <v>702.144292134696</v>
      </c>
      <c r="Q205" s="106">
        <f>VLOOKUP($A205,'VKT US'!$B$63:$AA$113,(Q$168+1),FALSE)/VLOOKUP($A205,'Fuel economy adjusted factor'!$A$2:$F$52,6,FALSE)*INDEX('Year data'!$B$111:$AC$161,MATCH($A205,'Year data'!$A$111:$A$161,0),MATCH('TCO Inputs'!$AZ$12,'Year data'!$B$110:$AC$110,0))/(1+$AZ$41)^Q$168</f>
        <v>677.36103977314565</v>
      </c>
      <c r="R205" s="106">
        <f>VLOOKUP($A205,'VKT US'!$B$63:$AA$113,(R$168+1),FALSE)/VLOOKUP($A205,'Fuel economy adjusted factor'!$A$2:$F$52,6,FALSE)*INDEX('Year data'!$B$111:$AC$161,MATCH($A205,'Year data'!$A$111:$A$161,0),MATCH('TCO Inputs'!$AZ$12,'Year data'!$B$110:$AC$110,0))/(1+$AZ$41)^R$168</f>
        <v>653.94982727758804</v>
      </c>
      <c r="S205" s="106">
        <f>VLOOKUP($A205,'VKT US'!$B$63:$AA$113,(S$168+1),FALSE)/VLOOKUP($A205,'Fuel economy adjusted factor'!$A$2:$F$52,6,FALSE)*INDEX('Year data'!$B$111:$AC$161,MATCH($A205,'Year data'!$A$111:$A$161,0),MATCH('TCO Inputs'!$AZ$12,'Year data'!$B$110:$AC$110,0))/(1+$AZ$41)^S$168</f>
        <v>632.08926754539925</v>
      </c>
      <c r="T205" s="106">
        <f>VLOOKUP($A205,'VKT US'!$B$63:$AA$113,(T$168+1),FALSE)/VLOOKUP($A205,'Fuel economy adjusted factor'!$A$2:$F$52,6,FALSE)*INDEX('Year data'!$B$111:$AC$161,MATCH($A205,'Year data'!$A$111:$A$161,0),MATCH('TCO Inputs'!$AZ$12,'Year data'!$B$110:$AC$110,0))/(1+$AZ$41)^T$168</f>
        <v>611.51739417782562</v>
      </c>
      <c r="U205" s="106">
        <f>VLOOKUP($A205,'VKT US'!$B$63:$AA$113,(U$168+1),FALSE)/VLOOKUP($A205,'Fuel economy adjusted factor'!$A$2:$F$52,6,FALSE)*INDEX('Year data'!$B$111:$AC$161,MATCH($A205,'Year data'!$A$111:$A$161,0),MATCH('TCO Inputs'!$AZ$12,'Year data'!$B$110:$AC$110,0))/(1+$AZ$41)^U$168</f>
        <v>592.40949018542585</v>
      </c>
      <c r="V205" s="110" cm="1">
        <f t="array" ref="V205">SUMPRODUCT(INDEX(B205:U205,,_xlfn.SEQUENCE($AZ$13)))</f>
        <v>13387.845384279241</v>
      </c>
    </row>
    <row r="206" spans="1:22" x14ac:dyDescent="0.25">
      <c r="A206" s="102" t="s">
        <v>220</v>
      </c>
      <c r="B206" s="106">
        <f>VLOOKUP($A206,'VKT US'!$B$63:$AA$113,(B$168+1),FALSE)/VLOOKUP($A206,'Fuel economy adjusted factor'!$A$2:$F$52,6,FALSE)*INDEX('Year data'!$B$111:$AC$161,MATCH($A206,'Year data'!$A$111:$A$161,0),MATCH('TCO Inputs'!$AZ$12,'Year data'!$B$110:$AC$110,0))/(1+$AZ$41)^B$168</f>
        <v>910.1682853221871</v>
      </c>
      <c r="C206" s="106">
        <f>VLOOKUP($A206,'VKT US'!$B$63:$AA$113,(C$168+1),FALSE)/VLOOKUP($A206,'Fuel economy adjusted factor'!$A$2:$F$52,6,FALSE)*INDEX('Year data'!$B$111:$AC$161,MATCH($A206,'Year data'!$A$111:$A$161,0),MATCH('TCO Inputs'!$AZ$12,'Year data'!$B$110:$AC$110,0))/(1+$AZ$41)^C$168</f>
        <v>872.62564464158902</v>
      </c>
      <c r="D206" s="106">
        <f>VLOOKUP($A206,'VKT US'!$B$63:$AA$113,(D$168+1),FALSE)/VLOOKUP($A206,'Fuel economy adjusted factor'!$A$2:$F$52,6,FALSE)*INDEX('Year data'!$B$111:$AC$161,MATCH($A206,'Year data'!$A$111:$A$161,0),MATCH('TCO Inputs'!$AZ$12,'Year data'!$B$110:$AC$110,0))/(1+$AZ$41)^D$168</f>
        <v>836.67941780265994</v>
      </c>
      <c r="E206" s="106">
        <f>VLOOKUP($A206,'VKT US'!$B$63:$AA$113,(E$168+1),FALSE)/VLOOKUP($A206,'Fuel economy adjusted factor'!$A$2:$F$52,6,FALSE)*INDEX('Year data'!$B$111:$AC$161,MATCH($A206,'Year data'!$A$111:$A$161,0),MATCH('TCO Inputs'!$AZ$12,'Year data'!$B$110:$AC$110,0))/(1+$AZ$41)^E$168</f>
        <v>802.35053082134573</v>
      </c>
      <c r="F206" s="106">
        <f>VLOOKUP($A206,'VKT US'!$B$63:$AA$113,(F$168+1),FALSE)/VLOOKUP($A206,'Fuel economy adjusted factor'!$A$2:$F$52,6,FALSE)*INDEX('Year data'!$B$111:$AC$161,MATCH($A206,'Year data'!$A$111:$A$161,0),MATCH('TCO Inputs'!$AZ$12,'Year data'!$B$110:$AC$110,0))/(1+$AZ$41)^F$168</f>
        <v>769.53251255239047</v>
      </c>
      <c r="G206" s="106">
        <f>VLOOKUP($A206,'VKT US'!$B$63:$AA$113,(G$168+1),FALSE)/VLOOKUP($A206,'Fuel economy adjusted factor'!$A$2:$F$52,6,FALSE)*INDEX('Year data'!$B$111:$AC$161,MATCH($A206,'Year data'!$A$111:$A$161,0),MATCH('TCO Inputs'!$AZ$12,'Year data'!$B$110:$AC$110,0))/(1+$AZ$41)^G$168</f>
        <v>738.30850674455871</v>
      </c>
      <c r="H206" s="106">
        <f>VLOOKUP($A206,'VKT US'!$B$63:$AA$113,(H$168+1),FALSE)/VLOOKUP($A206,'Fuel economy adjusted factor'!$A$2:$F$52,6,FALSE)*INDEX('Year data'!$B$111:$AC$161,MATCH($A206,'Year data'!$A$111:$A$161,0),MATCH('TCO Inputs'!$AZ$12,'Year data'!$B$110:$AC$110,0))/(1+$AZ$41)^H$168</f>
        <v>708.45081004267058</v>
      </c>
      <c r="I206" s="106">
        <f>VLOOKUP($A206,'VKT US'!$B$63:$AA$113,(I$168+1),FALSE)/VLOOKUP($A206,'Fuel economy adjusted factor'!$A$2:$F$52,6,FALSE)*INDEX('Year data'!$B$111:$AC$161,MATCH($A206,'Year data'!$A$111:$A$161,0),MATCH('TCO Inputs'!$AZ$12,'Year data'!$B$110:$AC$110,0))/(1+$AZ$41)^I$168</f>
        <v>680.04359222656456</v>
      </c>
      <c r="J206" s="106">
        <f>VLOOKUP($A206,'VKT US'!$B$63:$AA$113,(J$168+1),FALSE)/VLOOKUP($A206,'Fuel economy adjusted factor'!$A$2:$F$52,6,FALSE)*INDEX('Year data'!$B$111:$AC$161,MATCH($A206,'Year data'!$A$111:$A$161,0),MATCH('TCO Inputs'!$AZ$12,'Year data'!$B$110:$AC$110,0))/(1+$AZ$41)^J$168</f>
        <v>653.046618728775</v>
      </c>
      <c r="K206" s="106">
        <f>VLOOKUP($A206,'VKT US'!$B$63:$AA$113,(K$168+1),FALSE)/VLOOKUP($A206,'Fuel economy adjusted factor'!$A$2:$F$52,6,FALSE)*INDEX('Year data'!$B$111:$AC$161,MATCH($A206,'Year data'!$A$111:$A$161,0),MATCH('TCO Inputs'!$AZ$12,'Year data'!$B$110:$AC$110,0))/(1+$AZ$41)^K$168</f>
        <v>627.42052419670802</v>
      </c>
      <c r="L206" s="106">
        <f>VLOOKUP($A206,'VKT US'!$B$63:$AA$113,(L$168+1),FALSE)/VLOOKUP($A206,'Fuel economy adjusted factor'!$A$2:$F$52,6,FALSE)*INDEX('Year data'!$B$111:$AC$161,MATCH($A206,'Year data'!$A$111:$A$161,0),MATCH('TCO Inputs'!$AZ$12,'Year data'!$B$110:$AC$110,0))/(1+$AZ$41)^L$168</f>
        <v>603.06847792794031</v>
      </c>
      <c r="M206" s="106">
        <f>VLOOKUP($A206,'VKT US'!$B$63:$AA$113,(M$168+1),FALSE)/VLOOKUP($A206,'Fuel economy adjusted factor'!$A$2:$F$52,6,FALSE)*INDEX('Year data'!$B$111:$AC$161,MATCH($A206,'Year data'!$A$111:$A$161,0),MATCH('TCO Inputs'!$AZ$12,'Year data'!$B$110:$AC$110,0))/(1+$AZ$41)^M$168</f>
        <v>580.01250541750801</v>
      </c>
      <c r="N206" s="106">
        <f>VLOOKUP($A206,'VKT US'!$B$63:$AA$113,(N$168+1),FALSE)/VLOOKUP($A206,'Fuel economy adjusted factor'!$A$2:$F$52,6,FALSE)*INDEX('Year data'!$B$111:$AC$161,MATCH($A206,'Year data'!$A$111:$A$161,0),MATCH('TCO Inputs'!$AZ$12,'Year data'!$B$110:$AC$110,0))/(1+$AZ$41)^N$168</f>
        <v>558.15878392252864</v>
      </c>
      <c r="O206" s="106">
        <f>VLOOKUP($A206,'VKT US'!$B$63:$AA$113,(O$168+1),FALSE)/VLOOKUP($A206,'Fuel economy adjusted factor'!$A$2:$F$52,6,FALSE)*INDEX('Year data'!$B$111:$AC$161,MATCH($A206,'Year data'!$A$111:$A$161,0),MATCH('TCO Inputs'!$AZ$12,'Year data'!$B$110:$AC$110,0))/(1+$AZ$41)^O$168</f>
        <v>537.52953366094482</v>
      </c>
      <c r="P206" s="106">
        <f>VLOOKUP($A206,'VKT US'!$B$63:$AA$113,(P$168+1),FALSE)/VLOOKUP($A206,'Fuel economy adjusted factor'!$A$2:$F$52,6,FALSE)*INDEX('Year data'!$B$111:$AC$161,MATCH($A206,'Year data'!$A$111:$A$161,0),MATCH('TCO Inputs'!$AZ$12,'Year data'!$B$110:$AC$110,0))/(1+$AZ$41)^P$168</f>
        <v>518.03384665279304</v>
      </c>
      <c r="Q206" s="106">
        <f>VLOOKUP($A206,'VKT US'!$B$63:$AA$113,(Q$168+1),FALSE)/VLOOKUP($A206,'Fuel economy adjusted factor'!$A$2:$F$52,6,FALSE)*INDEX('Year data'!$B$111:$AC$161,MATCH($A206,'Year data'!$A$111:$A$161,0),MATCH('TCO Inputs'!$AZ$12,'Year data'!$B$110:$AC$110,0))/(1+$AZ$41)^Q$168</f>
        <v>499.74905291846204</v>
      </c>
      <c r="R206" s="106">
        <f>VLOOKUP($A206,'VKT US'!$B$63:$AA$113,(R$168+1),FALSE)/VLOOKUP($A206,'Fuel economy adjusted factor'!$A$2:$F$52,6,FALSE)*INDEX('Year data'!$B$111:$AC$161,MATCH($A206,'Year data'!$A$111:$A$161,0),MATCH('TCO Inputs'!$AZ$12,'Year data'!$B$110:$AC$110,0))/(1+$AZ$41)^R$168</f>
        <v>482.476534150264</v>
      </c>
      <c r="S206" s="106">
        <f>VLOOKUP($A206,'VKT US'!$B$63:$AA$113,(S$168+1),FALSE)/VLOOKUP($A206,'Fuel economy adjusted factor'!$A$2:$F$52,6,FALSE)*INDEX('Year data'!$B$111:$AC$161,MATCH($A206,'Year data'!$A$111:$A$161,0),MATCH('TCO Inputs'!$AZ$12,'Year data'!$B$110:$AC$110,0))/(1+$AZ$41)^S$168</f>
        <v>466.34806885487637</v>
      </c>
      <c r="T206" s="106">
        <f>VLOOKUP($A206,'VKT US'!$B$63:$AA$113,(T$168+1),FALSE)/VLOOKUP($A206,'Fuel economy adjusted factor'!$A$2:$F$52,6,FALSE)*INDEX('Year data'!$B$111:$AC$161,MATCH($A206,'Year data'!$A$111:$A$161,0),MATCH('TCO Inputs'!$AZ$12,'Year data'!$B$110:$AC$110,0))/(1+$AZ$41)^T$168</f>
        <v>451.17038128718491</v>
      </c>
      <c r="U206" s="106">
        <f>VLOOKUP($A206,'VKT US'!$B$63:$AA$113,(U$168+1),FALSE)/VLOOKUP($A206,'Fuel economy adjusted factor'!$A$2:$F$52,6,FALSE)*INDEX('Year data'!$B$111:$AC$161,MATCH($A206,'Year data'!$A$111:$A$161,0),MATCH('TCO Inputs'!$AZ$12,'Year data'!$B$110:$AC$110,0))/(1+$AZ$41)^U$168</f>
        <v>437.07279320231845</v>
      </c>
      <c r="V206" s="110" cm="1">
        <f t="array" ref="V206">SUMPRODUCT(INDEX(B206:U206,,_xlfn.SEQUENCE($AZ$13)))</f>
        <v>9877.3957440083705</v>
      </c>
    </row>
    <row r="207" spans="1:22" x14ac:dyDescent="0.25">
      <c r="A207" s="102" t="s">
        <v>221</v>
      </c>
      <c r="B207" s="106">
        <f>VLOOKUP($A207,'VKT US'!$B$63:$AA$113,(B$168+1),FALSE)/VLOOKUP($A207,'Fuel economy adjusted factor'!$A$2:$F$52,6,FALSE)*INDEX('Year data'!$B$111:$AC$161,MATCH($A207,'Year data'!$A$111:$A$161,0),MATCH('TCO Inputs'!$AZ$12,'Year data'!$B$110:$AC$110,0))/(1+$AZ$41)^B$168</f>
        <v>768.76662026393012</v>
      </c>
      <c r="C207" s="106">
        <f>VLOOKUP($A207,'VKT US'!$B$63:$AA$113,(C$168+1),FALSE)/VLOOKUP($A207,'Fuel economy adjusted factor'!$A$2:$F$52,6,FALSE)*INDEX('Year data'!$B$111:$AC$161,MATCH($A207,'Year data'!$A$111:$A$161,0),MATCH('TCO Inputs'!$AZ$12,'Year data'!$B$110:$AC$110,0))/(1+$AZ$41)^C$168</f>
        <v>737.05651845392254</v>
      </c>
      <c r="D207" s="106">
        <f>VLOOKUP($A207,'VKT US'!$B$63:$AA$113,(D$168+1),FALSE)/VLOOKUP($A207,'Fuel economy adjusted factor'!$A$2:$F$52,6,FALSE)*INDEX('Year data'!$B$111:$AC$161,MATCH($A207,'Year data'!$A$111:$A$161,0),MATCH('TCO Inputs'!$AZ$12,'Year data'!$B$110:$AC$110,0))/(1+$AZ$41)^D$168</f>
        <v>706.69481527897415</v>
      </c>
      <c r="E207" s="106">
        <f>VLOOKUP($A207,'VKT US'!$B$63:$AA$113,(E$168+1),FALSE)/VLOOKUP($A207,'Fuel economy adjusted factor'!$A$2:$F$52,6,FALSE)*INDEX('Year data'!$B$111:$AC$161,MATCH($A207,'Year data'!$A$111:$A$161,0),MATCH('TCO Inputs'!$AZ$12,'Year data'!$B$110:$AC$110,0))/(1+$AZ$41)^E$168</f>
        <v>677.69918573700943</v>
      </c>
      <c r="F207" s="106">
        <f>VLOOKUP($A207,'VKT US'!$B$63:$AA$113,(F$168+1),FALSE)/VLOOKUP($A207,'Fuel economy adjusted factor'!$A$2:$F$52,6,FALSE)*INDEX('Year data'!$B$111:$AC$161,MATCH($A207,'Year data'!$A$111:$A$161,0),MATCH('TCO Inputs'!$AZ$12,'Year data'!$B$110:$AC$110,0))/(1+$AZ$41)^F$168</f>
        <v>649.97969979661138</v>
      </c>
      <c r="G207" s="106">
        <f>VLOOKUP($A207,'VKT US'!$B$63:$AA$113,(G$168+1),FALSE)/VLOOKUP($A207,'Fuel economy adjusted factor'!$A$2:$F$52,6,FALSE)*INDEX('Year data'!$B$111:$AC$161,MATCH($A207,'Year data'!$A$111:$A$161,0),MATCH('TCO Inputs'!$AZ$12,'Year data'!$B$110:$AC$110,0))/(1+$AZ$41)^G$168</f>
        <v>623.60658418372111</v>
      </c>
      <c r="H207" s="106">
        <f>VLOOKUP($A207,'VKT US'!$B$63:$AA$113,(H$168+1),FALSE)/VLOOKUP($A207,'Fuel economy adjusted factor'!$A$2:$F$52,6,FALSE)*INDEX('Year data'!$B$111:$AC$161,MATCH($A207,'Year data'!$A$111:$A$161,0),MATCH('TCO Inputs'!$AZ$12,'Year data'!$B$110:$AC$110,0))/(1+$AZ$41)^H$168</f>
        <v>598.38751101611365</v>
      </c>
      <c r="I207" s="106">
        <f>VLOOKUP($A207,'VKT US'!$B$63:$AA$113,(I$168+1),FALSE)/VLOOKUP($A207,'Fuel economy adjusted factor'!$A$2:$F$52,6,FALSE)*INDEX('Year data'!$B$111:$AC$161,MATCH($A207,'Year data'!$A$111:$A$161,0),MATCH('TCO Inputs'!$AZ$12,'Year data'!$B$110:$AC$110,0))/(1+$AZ$41)^I$168</f>
        <v>574.39357364896125</v>
      </c>
      <c r="J207" s="106">
        <f>VLOOKUP($A207,'VKT US'!$B$63:$AA$113,(J$168+1),FALSE)/VLOOKUP($A207,'Fuel economy adjusted factor'!$A$2:$F$52,6,FALSE)*INDEX('Year data'!$B$111:$AC$161,MATCH($A207,'Year data'!$A$111:$A$161,0),MATCH('TCO Inputs'!$AZ$12,'Year data'!$B$110:$AC$110,0))/(1+$AZ$41)^J$168</f>
        <v>551.59078826526263</v>
      </c>
      <c r="K207" s="106">
        <f>VLOOKUP($A207,'VKT US'!$B$63:$AA$113,(K$168+1),FALSE)/VLOOKUP($A207,'Fuel economy adjusted factor'!$A$2:$F$52,6,FALSE)*INDEX('Year data'!$B$111:$AC$161,MATCH($A207,'Year data'!$A$111:$A$161,0),MATCH('TCO Inputs'!$AZ$12,'Year data'!$B$110:$AC$110,0))/(1+$AZ$41)^K$168</f>
        <v>529.94590522365309</v>
      </c>
      <c r="L207" s="106">
        <f>VLOOKUP($A207,'VKT US'!$B$63:$AA$113,(L$168+1),FALSE)/VLOOKUP($A207,'Fuel economy adjusted factor'!$A$2:$F$52,6,FALSE)*INDEX('Year data'!$B$111:$AC$161,MATCH($A207,'Year data'!$A$111:$A$161,0),MATCH('TCO Inputs'!$AZ$12,'Year data'!$B$110:$AC$110,0))/(1+$AZ$41)^L$168</f>
        <v>509.3771372183777</v>
      </c>
      <c r="M207" s="106">
        <f>VLOOKUP($A207,'VKT US'!$B$63:$AA$113,(M$168+1),FALSE)/VLOOKUP($A207,'Fuel economy adjusted factor'!$A$2:$F$52,6,FALSE)*INDEX('Year data'!$B$111:$AC$161,MATCH($A207,'Year data'!$A$111:$A$161,0),MATCH('TCO Inputs'!$AZ$12,'Year data'!$B$110:$AC$110,0))/(1+$AZ$41)^M$168</f>
        <v>489.90308791389253</v>
      </c>
      <c r="N207" s="106">
        <f>VLOOKUP($A207,'VKT US'!$B$63:$AA$113,(N$168+1),FALSE)/VLOOKUP($A207,'Fuel economy adjusted factor'!$A$2:$F$52,6,FALSE)*INDEX('Year data'!$B$111:$AC$161,MATCH($A207,'Year data'!$A$111:$A$161,0),MATCH('TCO Inputs'!$AZ$12,'Year data'!$B$110:$AC$110,0))/(1+$AZ$41)^N$168</f>
        <v>471.4445106542625</v>
      </c>
      <c r="O207" s="106">
        <f>VLOOKUP($A207,'VKT US'!$B$63:$AA$113,(O$168+1),FALSE)/VLOOKUP($A207,'Fuel economy adjusted factor'!$A$2:$F$52,6,FALSE)*INDEX('Year data'!$B$111:$AC$161,MATCH($A207,'Year data'!$A$111:$A$161,0),MATCH('TCO Inputs'!$AZ$12,'Year data'!$B$110:$AC$110,0))/(1+$AZ$41)^O$168</f>
        <v>454.02017357514461</v>
      </c>
      <c r="P207" s="106">
        <f>VLOOKUP($A207,'VKT US'!$B$63:$AA$113,(P$168+1),FALSE)/VLOOKUP($A207,'Fuel economy adjusted factor'!$A$2:$F$52,6,FALSE)*INDEX('Year data'!$B$111:$AC$161,MATCH($A207,'Year data'!$A$111:$A$161,0),MATCH('TCO Inputs'!$AZ$12,'Year data'!$B$110:$AC$110,0))/(1+$AZ$41)^P$168</f>
        <v>437.55329195261595</v>
      </c>
      <c r="Q207" s="106">
        <f>VLOOKUP($A207,'VKT US'!$B$63:$AA$113,(Q$168+1),FALSE)/VLOOKUP($A207,'Fuel economy adjusted factor'!$A$2:$F$52,6,FALSE)*INDEX('Year data'!$B$111:$AC$161,MATCH($A207,'Year data'!$A$111:$A$161,0),MATCH('TCO Inputs'!$AZ$12,'Year data'!$B$110:$AC$110,0))/(1+$AZ$41)^Q$168</f>
        <v>422.10918199179827</v>
      </c>
      <c r="R207" s="106">
        <f>VLOOKUP($A207,'VKT US'!$B$63:$AA$113,(R$168+1),FALSE)/VLOOKUP($A207,'Fuel economy adjusted factor'!$A$2:$F$52,6,FALSE)*INDEX('Year data'!$B$111:$AC$161,MATCH($A207,'Year data'!$A$111:$A$161,0),MATCH('TCO Inputs'!$AZ$12,'Year data'!$B$110:$AC$110,0))/(1+$AZ$41)^R$168</f>
        <v>407.52008227143995</v>
      </c>
      <c r="S207" s="106">
        <f>VLOOKUP($A207,'VKT US'!$B$63:$AA$113,(S$168+1),FALSE)/VLOOKUP($A207,'Fuel economy adjusted factor'!$A$2:$F$52,6,FALSE)*INDEX('Year data'!$B$111:$AC$161,MATCH($A207,'Year data'!$A$111:$A$161,0),MATCH('TCO Inputs'!$AZ$12,'Year data'!$B$110:$AC$110,0))/(1+$AZ$41)^S$168</f>
        <v>393.89729849053725</v>
      </c>
      <c r="T207" s="106">
        <f>VLOOKUP($A207,'VKT US'!$B$63:$AA$113,(T$168+1),FALSE)/VLOOKUP($A207,'Fuel economy adjusted factor'!$A$2:$F$52,6,FALSE)*INDEX('Year data'!$B$111:$AC$161,MATCH($A207,'Year data'!$A$111:$A$161,0),MATCH('TCO Inputs'!$AZ$12,'Year data'!$B$110:$AC$110,0))/(1+$AZ$41)^T$168</f>
        <v>381.07758178209826</v>
      </c>
      <c r="U207" s="106">
        <f>VLOOKUP($A207,'VKT US'!$B$63:$AA$113,(U$168+1),FALSE)/VLOOKUP($A207,'Fuel economy adjusted factor'!$A$2:$F$52,6,FALSE)*INDEX('Year data'!$B$111:$AC$161,MATCH($A207,'Year data'!$A$111:$A$161,0),MATCH('TCO Inputs'!$AZ$12,'Year data'!$B$110:$AC$110,0))/(1+$AZ$41)^U$168</f>
        <v>369.17016276887762</v>
      </c>
      <c r="V207" s="110" cm="1">
        <f t="array" ref="V207">SUMPRODUCT(INDEX(B207:U207,,_xlfn.SEQUENCE($AZ$13)))</f>
        <v>8342.866111229836</v>
      </c>
    </row>
    <row r="208" spans="1:22" x14ac:dyDescent="0.25">
      <c r="A208" s="102" t="s">
        <v>222</v>
      </c>
      <c r="B208" s="106">
        <f>VLOOKUP($A208,'VKT US'!$B$63:$AA$113,(B$168+1),FALSE)/VLOOKUP($A208,'Fuel economy adjusted factor'!$A$2:$F$52,6,FALSE)*INDEX('Year data'!$B$111:$AC$161,MATCH($A208,'Year data'!$A$111:$A$161,0),MATCH('TCO Inputs'!$AZ$12,'Year data'!$B$110:$AC$110,0))/(1+$AZ$41)^B$168</f>
        <v>1068.5416396757623</v>
      </c>
      <c r="C208" s="106">
        <f>VLOOKUP($A208,'VKT US'!$B$63:$AA$113,(C$168+1),FALSE)/VLOOKUP($A208,'Fuel economy adjusted factor'!$A$2:$F$52,6,FALSE)*INDEX('Year data'!$B$111:$AC$161,MATCH($A208,'Year data'!$A$111:$A$161,0),MATCH('TCO Inputs'!$AZ$12,'Year data'!$B$110:$AC$110,0))/(1+$AZ$41)^C$168</f>
        <v>1024.4664115256146</v>
      </c>
      <c r="D208" s="106">
        <f>VLOOKUP($A208,'VKT US'!$B$63:$AA$113,(D$168+1),FALSE)/VLOOKUP($A208,'Fuel economy adjusted factor'!$A$2:$F$52,6,FALSE)*INDEX('Year data'!$B$111:$AC$161,MATCH($A208,'Year data'!$A$111:$A$161,0),MATCH('TCO Inputs'!$AZ$12,'Year data'!$B$110:$AC$110,0))/(1+$AZ$41)^D$168</f>
        <v>982.26538036901957</v>
      </c>
      <c r="E208" s="106">
        <f>VLOOKUP($A208,'VKT US'!$B$63:$AA$113,(E$168+1),FALSE)/VLOOKUP($A208,'Fuel economy adjusted factor'!$A$2:$F$52,6,FALSE)*INDEX('Year data'!$B$111:$AC$161,MATCH($A208,'Year data'!$A$111:$A$161,0),MATCH('TCO Inputs'!$AZ$12,'Year data'!$B$110:$AC$110,0))/(1+$AZ$41)^E$168</f>
        <v>941.96311344233527</v>
      </c>
      <c r="F208" s="106">
        <f>VLOOKUP($A208,'VKT US'!$B$63:$AA$113,(F$168+1),FALSE)/VLOOKUP($A208,'Fuel economy adjusted factor'!$A$2:$F$52,6,FALSE)*INDEX('Year data'!$B$111:$AC$161,MATCH($A208,'Year data'!$A$111:$A$161,0),MATCH('TCO Inputs'!$AZ$12,'Year data'!$B$110:$AC$110,0))/(1+$AZ$41)^F$168</f>
        <v>903.43461314460706</v>
      </c>
      <c r="G208" s="106">
        <f>VLOOKUP($A208,'VKT US'!$B$63:$AA$113,(G$168+1),FALSE)/VLOOKUP($A208,'Fuel economy adjusted factor'!$A$2:$F$52,6,FALSE)*INDEX('Year data'!$B$111:$AC$161,MATCH($A208,'Year data'!$A$111:$A$161,0),MATCH('TCO Inputs'!$AZ$12,'Year data'!$B$110:$AC$110,0))/(1+$AZ$41)^G$168</f>
        <v>866.77749060892643</v>
      </c>
      <c r="H208" s="106">
        <f>VLOOKUP($A208,'VKT US'!$B$63:$AA$113,(H$168+1),FALSE)/VLOOKUP($A208,'Fuel economy adjusted factor'!$A$2:$F$52,6,FALSE)*INDEX('Year data'!$B$111:$AC$161,MATCH($A208,'Year data'!$A$111:$A$161,0),MATCH('TCO Inputs'!$AZ$12,'Year data'!$B$110:$AC$110,0))/(1+$AZ$41)^H$168</f>
        <v>831.72442107741244</v>
      </c>
      <c r="I208" s="106">
        <f>VLOOKUP($A208,'VKT US'!$B$63:$AA$113,(I$168+1),FALSE)/VLOOKUP($A208,'Fuel economy adjusted factor'!$A$2:$F$52,6,FALSE)*INDEX('Year data'!$B$111:$AC$161,MATCH($A208,'Year data'!$A$111:$A$161,0),MATCH('TCO Inputs'!$AZ$12,'Year data'!$B$110:$AC$110,0))/(1+$AZ$41)^I$168</f>
        <v>798.37422024822911</v>
      </c>
      <c r="J208" s="106">
        <f>VLOOKUP($A208,'VKT US'!$B$63:$AA$113,(J$168+1),FALSE)/VLOOKUP($A208,'Fuel economy adjusted factor'!$A$2:$F$52,6,FALSE)*INDEX('Year data'!$B$111:$AC$161,MATCH($A208,'Year data'!$A$111:$A$161,0),MATCH('TCO Inputs'!$AZ$12,'Year data'!$B$110:$AC$110,0))/(1+$AZ$41)^J$168</f>
        <v>766.67965255913441</v>
      </c>
      <c r="K208" s="106">
        <f>VLOOKUP($A208,'VKT US'!$B$63:$AA$113,(K$168+1),FALSE)/VLOOKUP($A208,'Fuel economy adjusted factor'!$A$2:$F$52,6,FALSE)*INDEX('Year data'!$B$111:$AC$161,MATCH($A208,'Year data'!$A$111:$A$161,0),MATCH('TCO Inputs'!$AZ$12,'Year data'!$B$110:$AC$110,0))/(1+$AZ$41)^K$168</f>
        <v>736.59450291003645</v>
      </c>
      <c r="L208" s="106">
        <f>VLOOKUP($A208,'VKT US'!$B$63:$AA$113,(L$168+1),FALSE)/VLOOKUP($A208,'Fuel economy adjusted factor'!$A$2:$F$52,6,FALSE)*INDEX('Year data'!$B$111:$AC$161,MATCH($A208,'Year data'!$A$111:$A$161,0),MATCH('TCO Inputs'!$AZ$12,'Year data'!$B$110:$AC$110,0))/(1+$AZ$41)^L$168</f>
        <v>708.0050916230042</v>
      </c>
      <c r="M208" s="106">
        <f>VLOOKUP($A208,'VKT US'!$B$63:$AA$113,(M$168+1),FALSE)/VLOOKUP($A208,'Fuel economy adjusted factor'!$A$2:$F$52,6,FALSE)*INDEX('Year data'!$B$111:$AC$161,MATCH($A208,'Year data'!$A$111:$A$161,0),MATCH('TCO Inputs'!$AZ$12,'Year data'!$B$110:$AC$110,0))/(1+$AZ$41)^M$168</f>
        <v>680.93727672776663</v>
      </c>
      <c r="N208" s="106">
        <f>VLOOKUP($A208,'VKT US'!$B$63:$AA$113,(N$168+1),FALSE)/VLOOKUP($A208,'Fuel economy adjusted factor'!$A$2:$F$52,6,FALSE)*INDEX('Year data'!$B$111:$AC$161,MATCH($A208,'Year data'!$A$111:$A$161,0),MATCH('TCO Inputs'!$AZ$12,'Year data'!$B$110:$AC$110,0))/(1+$AZ$41)^N$168</f>
        <v>655.28090990435385</v>
      </c>
      <c r="O208" s="106">
        <f>VLOOKUP($A208,'VKT US'!$B$63:$AA$113,(O$168+1),FALSE)/VLOOKUP($A208,'Fuel economy adjusted factor'!$A$2:$F$52,6,FALSE)*INDEX('Year data'!$B$111:$AC$161,MATCH($A208,'Year data'!$A$111:$A$161,0),MATCH('TCO Inputs'!$AZ$12,'Year data'!$B$110:$AC$110,0))/(1+$AZ$41)^O$168</f>
        <v>631.06207778805867</v>
      </c>
      <c r="P208" s="106">
        <f>VLOOKUP($A208,'VKT US'!$B$63:$AA$113,(P$168+1),FALSE)/VLOOKUP($A208,'Fuel economy adjusted factor'!$A$2:$F$52,6,FALSE)*INDEX('Year data'!$B$111:$AC$161,MATCH($A208,'Year data'!$A$111:$A$161,0),MATCH('TCO Inputs'!$AZ$12,'Year data'!$B$110:$AC$110,0))/(1+$AZ$41)^P$168</f>
        <v>608.17405400361997</v>
      </c>
      <c r="Q208" s="106">
        <f>VLOOKUP($A208,'VKT US'!$B$63:$AA$113,(Q$168+1),FALSE)/VLOOKUP($A208,'Fuel economy adjusted factor'!$A$2:$F$52,6,FALSE)*INDEX('Year data'!$B$111:$AC$161,MATCH($A208,'Year data'!$A$111:$A$161,0),MATCH('TCO Inputs'!$AZ$12,'Year data'!$B$110:$AC$110,0))/(1+$AZ$41)^Q$168</f>
        <v>586.70762434100095</v>
      </c>
      <c r="R208" s="106">
        <f>VLOOKUP($A208,'VKT US'!$B$63:$AA$113,(R$168+1),FALSE)/VLOOKUP($A208,'Fuel economy adjusted factor'!$A$2:$F$52,6,FALSE)*INDEX('Year data'!$B$111:$AC$161,MATCH($A208,'Year data'!$A$111:$A$161,0),MATCH('TCO Inputs'!$AZ$12,'Year data'!$B$110:$AC$110,0))/(1+$AZ$41)^R$168</f>
        <v>566.42961001822391</v>
      </c>
      <c r="S208" s="106">
        <f>VLOOKUP($A208,'VKT US'!$B$63:$AA$113,(S$168+1),FALSE)/VLOOKUP($A208,'Fuel economy adjusted factor'!$A$2:$F$52,6,FALSE)*INDEX('Year data'!$B$111:$AC$161,MATCH($A208,'Year data'!$A$111:$A$161,0),MATCH('TCO Inputs'!$AZ$12,'Year data'!$B$110:$AC$110,0))/(1+$AZ$41)^S$168</f>
        <v>547.49471959179414</v>
      </c>
      <c r="T208" s="106">
        <f>VLOOKUP($A208,'VKT US'!$B$63:$AA$113,(T$168+1),FALSE)/VLOOKUP($A208,'Fuel economy adjusted factor'!$A$2:$F$52,6,FALSE)*INDEX('Year data'!$B$111:$AC$161,MATCH($A208,'Year data'!$A$111:$A$161,0),MATCH('TCO Inputs'!$AZ$12,'Year data'!$B$110:$AC$110,0))/(1+$AZ$41)^T$168</f>
        <v>529.67604647210123</v>
      </c>
      <c r="U208" s="106">
        <f>VLOOKUP($A208,'VKT US'!$B$63:$AA$113,(U$168+1),FALSE)/VLOOKUP($A208,'Fuel economy adjusted factor'!$A$2:$F$52,6,FALSE)*INDEX('Year data'!$B$111:$AC$161,MATCH($A208,'Year data'!$A$111:$A$161,0),MATCH('TCO Inputs'!$AZ$12,'Year data'!$B$110:$AC$110,0))/(1+$AZ$41)^U$168</f>
        <v>513.12541497833934</v>
      </c>
      <c r="V208" s="110" cm="1">
        <f t="array" ref="V208">SUMPRODUCT(INDEX(B208:U208,,_xlfn.SEQUENCE($AZ$13)))</f>
        <v>11596.106801604263</v>
      </c>
    </row>
    <row r="209" spans="1:22" x14ac:dyDescent="0.25">
      <c r="A209" s="102" t="s">
        <v>223</v>
      </c>
      <c r="B209" s="106">
        <f>VLOOKUP($A209,'VKT US'!$B$63:$AA$113,(B$168+1),FALSE)/VLOOKUP($A209,'Fuel economy adjusted factor'!$A$2:$F$52,6,FALSE)*INDEX('Year data'!$B$111:$AC$161,MATCH($A209,'Year data'!$A$111:$A$161,0),MATCH('TCO Inputs'!$AZ$12,'Year data'!$B$110:$AC$110,0))/(1+$AZ$41)^B$168</f>
        <v>1184.9639774911004</v>
      </c>
      <c r="C209" s="106">
        <f>VLOOKUP($A209,'VKT US'!$B$63:$AA$113,(C$168+1),FALSE)/VLOOKUP($A209,'Fuel economy adjusted factor'!$A$2:$F$52,6,FALSE)*INDEX('Year data'!$B$111:$AC$161,MATCH($A209,'Year data'!$A$111:$A$161,0),MATCH('TCO Inputs'!$AZ$12,'Year data'!$B$110:$AC$110,0))/(1+$AZ$41)^C$168</f>
        <v>1136.0865582887236</v>
      </c>
      <c r="D209" s="106">
        <f>VLOOKUP($A209,'VKT US'!$B$63:$AA$113,(D$168+1),FALSE)/VLOOKUP($A209,'Fuel economy adjusted factor'!$A$2:$F$52,6,FALSE)*INDEX('Year data'!$B$111:$AC$161,MATCH($A209,'Year data'!$A$111:$A$161,0),MATCH('TCO Inputs'!$AZ$12,'Year data'!$B$110:$AC$110,0))/(1+$AZ$41)^D$168</f>
        <v>1089.2875381319441</v>
      </c>
      <c r="E209" s="106">
        <f>VLOOKUP($A209,'VKT US'!$B$63:$AA$113,(E$168+1),FALSE)/VLOOKUP($A209,'Fuel economy adjusted factor'!$A$2:$F$52,6,FALSE)*INDEX('Year data'!$B$111:$AC$161,MATCH($A209,'Year data'!$A$111:$A$161,0),MATCH('TCO Inputs'!$AZ$12,'Year data'!$B$110:$AC$110,0))/(1+$AZ$41)^E$168</f>
        <v>1044.5941609661807</v>
      </c>
      <c r="F209" s="106">
        <f>VLOOKUP($A209,'VKT US'!$B$63:$AA$113,(F$168+1),FALSE)/VLOOKUP($A209,'Fuel economy adjusted factor'!$A$2:$F$52,6,FALSE)*INDEX('Year data'!$B$111:$AC$161,MATCH($A209,'Year data'!$A$111:$A$161,0),MATCH('TCO Inputs'!$AZ$12,'Year data'!$B$110:$AC$110,0))/(1+$AZ$41)^F$168</f>
        <v>1001.8678101489901</v>
      </c>
      <c r="G209" s="106">
        <f>VLOOKUP($A209,'VKT US'!$B$63:$AA$113,(G$168+1),FALSE)/VLOOKUP($A209,'Fuel economy adjusted factor'!$A$2:$F$52,6,FALSE)*INDEX('Year data'!$B$111:$AC$161,MATCH($A209,'Year data'!$A$111:$A$161,0),MATCH('TCO Inputs'!$AZ$12,'Year data'!$B$110:$AC$110,0))/(1+$AZ$41)^G$168</f>
        <v>961.216731978148</v>
      </c>
      <c r="H209" s="106">
        <f>VLOOKUP($A209,'VKT US'!$B$63:$AA$113,(H$168+1),FALSE)/VLOOKUP($A209,'Fuel economy adjusted factor'!$A$2:$F$52,6,FALSE)*INDEX('Year data'!$B$111:$AC$161,MATCH($A209,'Year data'!$A$111:$A$161,0),MATCH('TCO Inputs'!$AZ$12,'Year data'!$B$110:$AC$110,0))/(1+$AZ$41)^H$168</f>
        <v>922.3444754810231</v>
      </c>
      <c r="I209" s="106">
        <f>VLOOKUP($A209,'VKT US'!$B$63:$AA$113,(I$168+1),FALSE)/VLOOKUP($A209,'Fuel economy adjusted factor'!$A$2:$F$52,6,FALSE)*INDEX('Year data'!$B$111:$AC$161,MATCH($A209,'Year data'!$A$111:$A$161,0),MATCH('TCO Inputs'!$AZ$12,'Year data'!$B$110:$AC$110,0))/(1+$AZ$41)^I$168</f>
        <v>885.36062276315658</v>
      </c>
      <c r="J209" s="106">
        <f>VLOOKUP($A209,'VKT US'!$B$63:$AA$113,(J$168+1),FALSE)/VLOOKUP($A209,'Fuel economy adjusted factor'!$A$2:$F$52,6,FALSE)*INDEX('Year data'!$B$111:$AC$161,MATCH($A209,'Year data'!$A$111:$A$161,0),MATCH('TCO Inputs'!$AZ$12,'Year data'!$B$110:$AC$110,0))/(1+$AZ$41)^J$168</f>
        <v>850.21279173887694</v>
      </c>
      <c r="K209" s="106">
        <f>VLOOKUP($A209,'VKT US'!$B$63:$AA$113,(K$168+1),FALSE)/VLOOKUP($A209,'Fuel economy adjusted factor'!$A$2:$F$52,6,FALSE)*INDEX('Year data'!$B$111:$AC$161,MATCH($A209,'Year data'!$A$111:$A$161,0),MATCH('TCO Inputs'!$AZ$12,'Year data'!$B$110:$AC$110,0))/(1+$AZ$41)^K$168</f>
        <v>816.84973196852695</v>
      </c>
      <c r="L209" s="106">
        <f>VLOOKUP($A209,'VKT US'!$B$63:$AA$113,(L$168+1),FALSE)/VLOOKUP($A209,'Fuel economy adjusted factor'!$A$2:$F$52,6,FALSE)*INDEX('Year data'!$B$111:$AC$161,MATCH($A209,'Year data'!$A$111:$A$161,0),MATCH('TCO Inputs'!$AZ$12,'Year data'!$B$110:$AC$110,0))/(1+$AZ$41)^L$168</f>
        <v>785.14537787045879</v>
      </c>
      <c r="M209" s="106">
        <f>VLOOKUP($A209,'VKT US'!$B$63:$AA$113,(M$168+1),FALSE)/VLOOKUP($A209,'Fuel economy adjusted factor'!$A$2:$F$52,6,FALSE)*INDEX('Year data'!$B$111:$AC$161,MATCH($A209,'Year data'!$A$111:$A$161,0),MATCH('TCO Inputs'!$AZ$12,'Year data'!$B$110:$AC$110,0))/(1+$AZ$41)^M$168</f>
        <v>755.12840482111062</v>
      </c>
      <c r="N209" s="106">
        <f>VLOOKUP($A209,'VKT US'!$B$63:$AA$113,(N$168+1),FALSE)/VLOOKUP($A209,'Fuel economy adjusted factor'!$A$2:$F$52,6,FALSE)*INDEX('Year data'!$B$111:$AC$161,MATCH($A209,'Year data'!$A$111:$A$161,0),MATCH('TCO Inputs'!$AZ$12,'Year data'!$B$110:$AC$110,0))/(1+$AZ$41)^N$168</f>
        <v>726.67666335386468</v>
      </c>
      <c r="O209" s="106">
        <f>VLOOKUP($A209,'VKT US'!$B$63:$AA$113,(O$168+1),FALSE)/VLOOKUP($A209,'Fuel economy adjusted factor'!$A$2:$F$52,6,FALSE)*INDEX('Year data'!$B$111:$AC$161,MATCH($A209,'Year data'!$A$111:$A$161,0),MATCH('TCO Inputs'!$AZ$12,'Year data'!$B$110:$AC$110,0))/(1+$AZ$41)^O$168</f>
        <v>699.81908235831008</v>
      </c>
      <c r="P209" s="106">
        <f>VLOOKUP($A209,'VKT US'!$B$63:$AA$113,(P$168+1),FALSE)/VLOOKUP($A209,'Fuel economy adjusted factor'!$A$2:$F$52,6,FALSE)*INDEX('Year data'!$B$111:$AC$161,MATCH($A209,'Year data'!$A$111:$A$161,0),MATCH('TCO Inputs'!$AZ$12,'Year data'!$B$110:$AC$110,0))/(1+$AZ$41)^P$168</f>
        <v>674.43730714854939</v>
      </c>
      <c r="Q209" s="106">
        <f>VLOOKUP($A209,'VKT US'!$B$63:$AA$113,(Q$168+1),FALSE)/VLOOKUP($A209,'Fuel economy adjusted factor'!$A$2:$F$52,6,FALSE)*INDEX('Year data'!$B$111:$AC$161,MATCH($A209,'Year data'!$A$111:$A$161,0),MATCH('TCO Inputs'!$AZ$12,'Year data'!$B$110:$AC$110,0))/(1+$AZ$41)^Q$168</f>
        <v>650.63201502790855</v>
      </c>
      <c r="R209" s="106">
        <f>VLOOKUP($A209,'VKT US'!$B$63:$AA$113,(R$168+1),FALSE)/VLOOKUP($A209,'Fuel economy adjusted factor'!$A$2:$F$52,6,FALSE)*INDEX('Year data'!$B$111:$AC$161,MATCH($A209,'Year data'!$A$111:$A$161,0),MATCH('TCO Inputs'!$AZ$12,'Year data'!$B$110:$AC$110,0))/(1+$AZ$41)^R$168</f>
        <v>628.14462135476128</v>
      </c>
      <c r="S209" s="106">
        <f>VLOOKUP($A209,'VKT US'!$B$63:$AA$113,(S$168+1),FALSE)/VLOOKUP($A209,'Fuel economy adjusted factor'!$A$2:$F$52,6,FALSE)*INDEX('Year data'!$B$111:$AC$161,MATCH($A209,'Year data'!$A$111:$A$161,0),MATCH('TCO Inputs'!$AZ$12,'Year data'!$B$110:$AC$110,0))/(1+$AZ$41)^S$168</f>
        <v>607.14669086712138</v>
      </c>
      <c r="T209" s="106">
        <f>VLOOKUP($A209,'VKT US'!$B$63:$AA$113,(T$168+1),FALSE)/VLOOKUP($A209,'Fuel economy adjusted factor'!$A$2:$F$52,6,FALSE)*INDEX('Year data'!$B$111:$AC$161,MATCH($A209,'Year data'!$A$111:$A$161,0),MATCH('TCO Inputs'!$AZ$12,'Year data'!$B$110:$AC$110,0))/(1+$AZ$41)^T$168</f>
        <v>587.38659449883016</v>
      </c>
      <c r="U209" s="106">
        <f>VLOOKUP($A209,'VKT US'!$B$63:$AA$113,(U$168+1),FALSE)/VLOOKUP($A209,'Fuel economy adjusted factor'!$A$2:$F$52,6,FALSE)*INDEX('Year data'!$B$111:$AC$161,MATCH($A209,'Year data'!$A$111:$A$161,0),MATCH('TCO Inputs'!$AZ$12,'Year data'!$B$110:$AC$110,0))/(1+$AZ$41)^U$168</f>
        <v>569.03269850017841</v>
      </c>
      <c r="V209" s="110" cm="1">
        <f t="array" ref="V209">SUMPRODUCT(INDEX(B209:U209,,_xlfn.SEQUENCE($AZ$13)))</f>
        <v>12859.553927360415</v>
      </c>
    </row>
    <row r="210" spans="1:22" x14ac:dyDescent="0.25">
      <c r="A210" s="102" t="s">
        <v>224</v>
      </c>
      <c r="B210" s="106">
        <f>VLOOKUP($A210,'VKT US'!$B$63:$AA$113,(B$168+1),FALSE)/VLOOKUP($A210,'Fuel economy adjusted factor'!$A$2:$F$52,6,FALSE)*INDEX('Year data'!$B$111:$AC$161,MATCH($A210,'Year data'!$A$111:$A$161,0),MATCH('TCO Inputs'!$AZ$12,'Year data'!$B$110:$AC$110,0))/(1+$AZ$41)^B$168</f>
        <v>1129.2410338701682</v>
      </c>
      <c r="C210" s="106">
        <f>VLOOKUP($A210,'VKT US'!$B$63:$AA$113,(C$168+1),FALSE)/VLOOKUP($A210,'Fuel economy adjusted factor'!$A$2:$F$52,6,FALSE)*INDEX('Year data'!$B$111:$AC$161,MATCH($A210,'Year data'!$A$111:$A$161,0),MATCH('TCO Inputs'!$AZ$12,'Year data'!$B$110:$AC$110,0))/(1+$AZ$41)^C$168</f>
        <v>1082.6620758246593</v>
      </c>
      <c r="D210" s="106">
        <f>VLOOKUP($A210,'VKT US'!$B$63:$AA$113,(D$168+1),FALSE)/VLOOKUP($A210,'Fuel economy adjusted factor'!$A$2:$F$52,6,FALSE)*INDEX('Year data'!$B$111:$AC$161,MATCH($A210,'Year data'!$A$111:$A$161,0),MATCH('TCO Inputs'!$AZ$12,'Year data'!$B$110:$AC$110,0))/(1+$AZ$41)^D$168</f>
        <v>1038.0637800875643</v>
      </c>
      <c r="E210" s="106">
        <f>VLOOKUP($A210,'VKT US'!$B$63:$AA$113,(E$168+1),FALSE)/VLOOKUP($A210,'Fuel economy adjusted factor'!$A$2:$F$52,6,FALSE)*INDEX('Year data'!$B$111:$AC$161,MATCH($A210,'Year data'!$A$111:$A$161,0),MATCH('TCO Inputs'!$AZ$12,'Year data'!$B$110:$AC$110,0))/(1+$AZ$41)^E$168</f>
        <v>995.47210945747963</v>
      </c>
      <c r="F210" s="106">
        <f>VLOOKUP($A210,'VKT US'!$B$63:$AA$113,(F$168+1),FALSE)/VLOOKUP($A210,'Fuel economy adjusted factor'!$A$2:$F$52,6,FALSE)*INDEX('Year data'!$B$111:$AC$161,MATCH($A210,'Year data'!$A$111:$A$161,0),MATCH('TCO Inputs'!$AZ$12,'Year data'!$B$110:$AC$110,0))/(1+$AZ$41)^F$168</f>
        <v>954.75496574104409</v>
      </c>
      <c r="G210" s="106">
        <f>VLOOKUP($A210,'VKT US'!$B$63:$AA$113,(G$168+1),FALSE)/VLOOKUP($A210,'Fuel economy adjusted factor'!$A$2:$F$52,6,FALSE)*INDEX('Year data'!$B$111:$AC$161,MATCH($A210,'Year data'!$A$111:$A$161,0),MATCH('TCO Inputs'!$AZ$12,'Year data'!$B$110:$AC$110,0))/(1+$AZ$41)^G$168</f>
        <v>916.01550495273216</v>
      </c>
      <c r="H210" s="106">
        <f>VLOOKUP($A210,'VKT US'!$B$63:$AA$113,(H$168+1),FALSE)/VLOOKUP($A210,'Fuel economy adjusted factor'!$A$2:$F$52,6,FALSE)*INDEX('Year data'!$B$111:$AC$161,MATCH($A210,'Year data'!$A$111:$A$161,0),MATCH('TCO Inputs'!$AZ$12,'Year data'!$B$110:$AC$110,0))/(1+$AZ$41)^H$168</f>
        <v>878.97121673004722</v>
      </c>
      <c r="I210" s="106">
        <f>VLOOKUP($A210,'VKT US'!$B$63:$AA$113,(I$168+1),FALSE)/VLOOKUP($A210,'Fuel economy adjusted factor'!$A$2:$F$52,6,FALSE)*INDEX('Year data'!$B$111:$AC$161,MATCH($A210,'Year data'!$A$111:$A$161,0),MATCH('TCO Inputs'!$AZ$12,'Year data'!$B$110:$AC$110,0))/(1+$AZ$41)^I$168</f>
        <v>843.72653007885367</v>
      </c>
      <c r="J210" s="106">
        <f>VLOOKUP($A210,'VKT US'!$B$63:$AA$113,(J$168+1),FALSE)/VLOOKUP($A210,'Fuel economy adjusted factor'!$A$2:$F$52,6,FALSE)*INDEX('Year data'!$B$111:$AC$161,MATCH($A210,'Year data'!$A$111:$A$161,0),MATCH('TCO Inputs'!$AZ$12,'Year data'!$B$110:$AC$110,0))/(1+$AZ$41)^J$168</f>
        <v>810.23152618161521</v>
      </c>
      <c r="K210" s="106">
        <f>VLOOKUP($A210,'VKT US'!$B$63:$AA$113,(K$168+1),FALSE)/VLOOKUP($A210,'Fuel economy adjusted factor'!$A$2:$F$52,6,FALSE)*INDEX('Year data'!$B$111:$AC$161,MATCH($A210,'Year data'!$A$111:$A$161,0),MATCH('TCO Inputs'!$AZ$12,'Year data'!$B$110:$AC$110,0))/(1+$AZ$41)^K$168</f>
        <v>778.43736465114353</v>
      </c>
      <c r="L210" s="106">
        <f>VLOOKUP($A210,'VKT US'!$B$63:$AA$113,(L$168+1),FALSE)/VLOOKUP($A210,'Fuel economy adjusted factor'!$A$2:$F$52,6,FALSE)*INDEX('Year data'!$B$111:$AC$161,MATCH($A210,'Year data'!$A$111:$A$161,0),MATCH('TCO Inputs'!$AZ$12,'Year data'!$B$110:$AC$110,0))/(1+$AZ$41)^L$168</f>
        <v>748.22390814110599</v>
      </c>
      <c r="M210" s="106">
        <f>VLOOKUP($A210,'VKT US'!$B$63:$AA$113,(M$168+1),FALSE)/VLOOKUP($A210,'Fuel economy adjusted factor'!$A$2:$F$52,6,FALSE)*INDEX('Year data'!$B$111:$AC$161,MATCH($A210,'Year data'!$A$111:$A$161,0),MATCH('TCO Inputs'!$AZ$12,'Year data'!$B$110:$AC$110,0))/(1+$AZ$41)^M$168</f>
        <v>719.61848356805967</v>
      </c>
      <c r="N210" s="106">
        <f>VLOOKUP($A210,'VKT US'!$B$63:$AA$113,(N$168+1),FALSE)/VLOOKUP($A210,'Fuel economy adjusted factor'!$A$2:$F$52,6,FALSE)*INDEX('Year data'!$B$111:$AC$161,MATCH($A210,'Year data'!$A$111:$A$161,0),MATCH('TCO Inputs'!$AZ$12,'Year data'!$B$110:$AC$110,0))/(1+$AZ$41)^N$168</f>
        <v>692.50468554535064</v>
      </c>
      <c r="O210" s="106">
        <f>VLOOKUP($A210,'VKT US'!$B$63:$AA$113,(O$168+1),FALSE)/VLOOKUP($A210,'Fuel economy adjusted factor'!$A$2:$F$52,6,FALSE)*INDEX('Year data'!$B$111:$AC$161,MATCH($A210,'Year data'!$A$111:$A$161,0),MATCH('TCO Inputs'!$AZ$12,'Year data'!$B$110:$AC$110,0))/(1+$AZ$41)^O$168</f>
        <v>666.91008258122827</v>
      </c>
      <c r="P210" s="106">
        <f>VLOOKUP($A210,'VKT US'!$B$63:$AA$113,(P$168+1),FALSE)/VLOOKUP($A210,'Fuel economy adjusted factor'!$A$2:$F$52,6,FALSE)*INDEX('Year data'!$B$111:$AC$161,MATCH($A210,'Year data'!$A$111:$A$161,0),MATCH('TCO Inputs'!$AZ$12,'Year data'!$B$110:$AC$110,0))/(1+$AZ$41)^P$168</f>
        <v>642.72188562015594</v>
      </c>
      <c r="Q210" s="106">
        <f>VLOOKUP($A210,'VKT US'!$B$63:$AA$113,(Q$168+1),FALSE)/VLOOKUP($A210,'Fuel economy adjusted factor'!$A$2:$F$52,6,FALSE)*INDEX('Year data'!$B$111:$AC$161,MATCH($A210,'Year data'!$A$111:$A$161,0),MATCH('TCO Inputs'!$AZ$12,'Year data'!$B$110:$AC$110,0))/(1+$AZ$41)^Q$168</f>
        <v>620.03603761420197</v>
      </c>
      <c r="R210" s="106">
        <f>VLOOKUP($A210,'VKT US'!$B$63:$AA$113,(R$168+1),FALSE)/VLOOKUP($A210,'Fuel economy adjusted factor'!$A$2:$F$52,6,FALSE)*INDEX('Year data'!$B$111:$AC$161,MATCH($A210,'Year data'!$A$111:$A$161,0),MATCH('TCO Inputs'!$AZ$12,'Year data'!$B$110:$AC$110,0))/(1+$AZ$41)^R$168</f>
        <v>598.60611386725759</v>
      </c>
      <c r="S210" s="106">
        <f>VLOOKUP($A210,'VKT US'!$B$63:$AA$113,(S$168+1),FALSE)/VLOOKUP($A210,'Fuel economy adjusted factor'!$A$2:$F$52,6,FALSE)*INDEX('Year data'!$B$111:$AC$161,MATCH($A210,'Year data'!$A$111:$A$161,0),MATCH('TCO Inputs'!$AZ$12,'Year data'!$B$110:$AC$110,0))/(1+$AZ$41)^S$168</f>
        <v>578.59561128371001</v>
      </c>
      <c r="T210" s="106">
        <f>VLOOKUP($A210,'VKT US'!$B$63:$AA$113,(T$168+1),FALSE)/VLOOKUP($A210,'Fuel economy adjusted factor'!$A$2:$F$52,6,FALSE)*INDEX('Year data'!$B$111:$AC$161,MATCH($A210,'Year data'!$A$111:$A$161,0),MATCH('TCO Inputs'!$AZ$12,'Year data'!$B$110:$AC$110,0))/(1+$AZ$41)^T$168</f>
        <v>559.76473365690811</v>
      </c>
      <c r="U210" s="106">
        <f>VLOOKUP($A210,'VKT US'!$B$63:$AA$113,(U$168+1),FALSE)/VLOOKUP($A210,'Fuel economy adjusted factor'!$A$2:$F$52,6,FALSE)*INDEX('Year data'!$B$111:$AC$161,MATCH($A210,'Year data'!$A$111:$A$161,0),MATCH('TCO Inputs'!$AZ$12,'Year data'!$B$110:$AC$110,0))/(1+$AZ$41)^U$168</f>
        <v>542.27392981243531</v>
      </c>
      <c r="V210" s="110" cm="1">
        <f t="array" ref="V210">SUMPRODUCT(INDEX(B210:U210,,_xlfn.SEQUENCE($AZ$13)))</f>
        <v>12254.833267411052</v>
      </c>
    </row>
    <row r="211" spans="1:22" x14ac:dyDescent="0.25">
      <c r="A211" s="102" t="s">
        <v>225</v>
      </c>
      <c r="B211" s="106">
        <f>VLOOKUP($A211,'VKT US'!$B$63:$AA$113,(B$168+1),FALSE)/VLOOKUP($A211,'Fuel economy adjusted factor'!$A$2:$F$52,6,FALSE)*INDEX('Year data'!$B$111:$AC$161,MATCH($A211,'Year data'!$A$111:$A$161,0),MATCH('TCO Inputs'!$AZ$12,'Year data'!$B$110:$AC$110,0))/(1+$AZ$41)^B$168</f>
        <v>1096.6833656480426</v>
      </c>
      <c r="C211" s="106">
        <f>VLOOKUP($A211,'VKT US'!$B$63:$AA$113,(C$168+1),FALSE)/VLOOKUP($A211,'Fuel economy adjusted factor'!$A$2:$F$52,6,FALSE)*INDEX('Year data'!$B$111:$AC$161,MATCH($A211,'Year data'!$A$111:$A$161,0),MATCH('TCO Inputs'!$AZ$12,'Year data'!$B$110:$AC$110,0))/(1+$AZ$41)^C$168</f>
        <v>1051.4473469898678</v>
      </c>
      <c r="D211" s="106">
        <f>VLOOKUP($A211,'VKT US'!$B$63:$AA$113,(D$168+1),FALSE)/VLOOKUP($A211,'Fuel economy adjusted factor'!$A$2:$F$52,6,FALSE)*INDEX('Year data'!$B$111:$AC$161,MATCH($A211,'Year data'!$A$111:$A$161,0),MATCH('TCO Inputs'!$AZ$12,'Year data'!$B$110:$AC$110,0))/(1+$AZ$41)^D$168</f>
        <v>1008.1348852530693</v>
      </c>
      <c r="E211" s="106">
        <f>VLOOKUP($A211,'VKT US'!$B$63:$AA$113,(E$168+1),FALSE)/VLOOKUP($A211,'Fuel economy adjusted factor'!$A$2:$F$52,6,FALSE)*INDEX('Year data'!$B$111:$AC$161,MATCH($A211,'Year data'!$A$111:$A$161,0),MATCH('TCO Inputs'!$AZ$12,'Year data'!$B$110:$AC$110,0))/(1+$AZ$41)^E$168</f>
        <v>966.77119469084334</v>
      </c>
      <c r="F211" s="106">
        <f>VLOOKUP($A211,'VKT US'!$B$63:$AA$113,(F$168+1),FALSE)/VLOOKUP($A211,'Fuel economy adjusted factor'!$A$2:$F$52,6,FALSE)*INDEX('Year data'!$B$111:$AC$161,MATCH($A211,'Year data'!$A$111:$A$161,0),MATCH('TCO Inputs'!$AZ$12,'Year data'!$B$110:$AC$110,0))/(1+$AZ$41)^F$168</f>
        <v>927.22798569366694</v>
      </c>
      <c r="G211" s="106">
        <f>VLOOKUP($A211,'VKT US'!$B$63:$AA$113,(G$168+1),FALSE)/VLOOKUP($A211,'Fuel economy adjusted factor'!$A$2:$F$52,6,FALSE)*INDEX('Year data'!$B$111:$AC$161,MATCH($A211,'Year data'!$A$111:$A$161,0),MATCH('TCO Inputs'!$AZ$12,'Year data'!$B$110:$AC$110,0))/(1+$AZ$41)^G$168</f>
        <v>889.6054401374621</v>
      </c>
      <c r="H211" s="106">
        <f>VLOOKUP($A211,'VKT US'!$B$63:$AA$113,(H$168+1),FALSE)/VLOOKUP($A211,'Fuel economy adjusted factor'!$A$2:$F$52,6,FALSE)*INDEX('Year data'!$B$111:$AC$161,MATCH($A211,'Year data'!$A$111:$A$161,0),MATCH('TCO Inputs'!$AZ$12,'Year data'!$B$110:$AC$110,0))/(1+$AZ$41)^H$168</f>
        <v>853.62919284607892</v>
      </c>
      <c r="I211" s="106">
        <f>VLOOKUP($A211,'VKT US'!$B$63:$AA$113,(I$168+1),FALSE)/VLOOKUP($A211,'Fuel economy adjusted factor'!$A$2:$F$52,6,FALSE)*INDEX('Year data'!$B$111:$AC$161,MATCH($A211,'Year data'!$A$111:$A$161,0),MATCH('TCO Inputs'!$AZ$12,'Year data'!$B$110:$AC$110,0))/(1+$AZ$41)^I$168</f>
        <v>819.40066198462807</v>
      </c>
      <c r="J211" s="106">
        <f>VLOOKUP($A211,'VKT US'!$B$63:$AA$113,(J$168+1),FALSE)/VLOOKUP($A211,'Fuel economy adjusted factor'!$A$2:$F$52,6,FALSE)*INDEX('Year data'!$B$111:$AC$161,MATCH($A211,'Year data'!$A$111:$A$161,0),MATCH('TCO Inputs'!$AZ$12,'Year data'!$B$110:$AC$110,0))/(1+$AZ$41)^J$168</f>
        <v>786.87136796798768</v>
      </c>
      <c r="K211" s="106">
        <f>VLOOKUP($A211,'VKT US'!$B$63:$AA$113,(K$168+1),FALSE)/VLOOKUP($A211,'Fuel economy adjusted factor'!$A$2:$F$52,6,FALSE)*INDEX('Year data'!$B$111:$AC$161,MATCH($A211,'Year data'!$A$111:$A$161,0),MATCH('TCO Inputs'!$AZ$12,'Year data'!$B$110:$AC$110,0))/(1+$AZ$41)^K$168</f>
        <v>755.99387854866143</v>
      </c>
      <c r="L211" s="106">
        <f>VLOOKUP($A211,'VKT US'!$B$63:$AA$113,(L$168+1),FALSE)/VLOOKUP($A211,'Fuel economy adjusted factor'!$A$2:$F$52,6,FALSE)*INDEX('Year data'!$B$111:$AC$161,MATCH($A211,'Year data'!$A$111:$A$161,0),MATCH('TCO Inputs'!$AZ$12,'Year data'!$B$110:$AC$110,0))/(1+$AZ$41)^L$168</f>
        <v>726.65152011546775</v>
      </c>
      <c r="M211" s="106">
        <f>VLOOKUP($A211,'VKT US'!$B$63:$AA$113,(M$168+1),FALSE)/VLOOKUP($A211,'Fuel economy adjusted factor'!$A$2:$F$52,6,FALSE)*INDEX('Year data'!$B$111:$AC$161,MATCH($A211,'Year data'!$A$111:$A$161,0),MATCH('TCO Inputs'!$AZ$12,'Year data'!$B$110:$AC$110,0))/(1+$AZ$41)^M$168</f>
        <v>698.8708317100494</v>
      </c>
      <c r="N211" s="106">
        <f>VLOOKUP($A211,'VKT US'!$B$63:$AA$113,(N$168+1),FALSE)/VLOOKUP($A211,'Fuel economy adjusted factor'!$A$2:$F$52,6,FALSE)*INDEX('Year data'!$B$111:$AC$161,MATCH($A211,'Year data'!$A$111:$A$161,0),MATCH('TCO Inputs'!$AZ$12,'Year data'!$B$110:$AC$110,0))/(1+$AZ$41)^N$168</f>
        <v>672.5387640830553</v>
      </c>
      <c r="O211" s="106">
        <f>VLOOKUP($A211,'VKT US'!$B$63:$AA$113,(O$168+1),FALSE)/VLOOKUP($A211,'Fuel economy adjusted factor'!$A$2:$F$52,6,FALSE)*INDEX('Year data'!$B$111:$AC$161,MATCH($A211,'Year data'!$A$111:$A$161,0),MATCH('TCO Inputs'!$AZ$12,'Year data'!$B$110:$AC$110,0))/(1+$AZ$41)^O$168</f>
        <v>647.68209090237974</v>
      </c>
      <c r="P211" s="106">
        <f>VLOOKUP($A211,'VKT US'!$B$63:$AA$113,(P$168+1),FALSE)/VLOOKUP($A211,'Fuel economy adjusted factor'!$A$2:$F$52,6,FALSE)*INDEX('Year data'!$B$111:$AC$161,MATCH($A211,'Year data'!$A$111:$A$161,0),MATCH('TCO Inputs'!$AZ$12,'Year data'!$B$110:$AC$110,0))/(1+$AZ$41)^P$168</f>
        <v>624.19127498568128</v>
      </c>
      <c r="Q211" s="106">
        <f>VLOOKUP($A211,'VKT US'!$B$63:$AA$113,(Q$168+1),FALSE)/VLOOKUP($A211,'Fuel economy adjusted factor'!$A$2:$F$52,6,FALSE)*INDEX('Year data'!$B$111:$AC$161,MATCH($A211,'Year data'!$A$111:$A$161,0),MATCH('TCO Inputs'!$AZ$12,'Year data'!$B$110:$AC$110,0))/(1+$AZ$41)^Q$168</f>
        <v>602.15949310959866</v>
      </c>
      <c r="R211" s="106">
        <f>VLOOKUP($A211,'VKT US'!$B$63:$AA$113,(R$168+1),FALSE)/VLOOKUP($A211,'Fuel economy adjusted factor'!$A$2:$F$52,6,FALSE)*INDEX('Year data'!$B$111:$AC$161,MATCH($A211,'Year data'!$A$111:$A$161,0),MATCH('TCO Inputs'!$AZ$12,'Year data'!$B$110:$AC$110,0))/(1+$AZ$41)^R$168</f>
        <v>581.34742536190629</v>
      </c>
      <c r="S211" s="106">
        <f>VLOOKUP($A211,'VKT US'!$B$63:$AA$113,(S$168+1),FALSE)/VLOOKUP($A211,'Fuel economy adjusted factor'!$A$2:$F$52,6,FALSE)*INDEX('Year data'!$B$111:$AC$161,MATCH($A211,'Year data'!$A$111:$A$161,0),MATCH('TCO Inputs'!$AZ$12,'Year data'!$B$110:$AC$110,0))/(1+$AZ$41)^S$168</f>
        <v>561.91385479245707</v>
      </c>
      <c r="T211" s="106">
        <f>VLOOKUP($A211,'VKT US'!$B$63:$AA$113,(T$168+1),FALSE)/VLOOKUP($A211,'Fuel economy adjusted factor'!$A$2:$F$52,6,FALSE)*INDEX('Year data'!$B$111:$AC$161,MATCH($A211,'Year data'!$A$111:$A$161,0),MATCH('TCO Inputs'!$AZ$12,'Year data'!$B$110:$AC$110,0))/(1+$AZ$41)^T$168</f>
        <v>543.62589886945091</v>
      </c>
      <c r="U211" s="106">
        <f>VLOOKUP($A211,'VKT US'!$B$63:$AA$113,(U$168+1),FALSE)/VLOOKUP($A211,'Fuel economy adjusted factor'!$A$2:$F$52,6,FALSE)*INDEX('Year data'!$B$111:$AC$161,MATCH($A211,'Year data'!$A$111:$A$161,0),MATCH('TCO Inputs'!$AZ$12,'Year data'!$B$110:$AC$110,0))/(1+$AZ$41)^U$168</f>
        <v>526.63938044450003</v>
      </c>
      <c r="V211" s="110" cm="1">
        <f t="array" ref="V211">SUMPRODUCT(INDEX(B211:U211,,_xlfn.SEQUENCE($AZ$13)))</f>
        <v>11901.508526571259</v>
      </c>
    </row>
    <row r="212" spans="1:22" x14ac:dyDescent="0.25">
      <c r="A212" s="102" t="s">
        <v>226</v>
      </c>
      <c r="B212" s="106">
        <f>VLOOKUP($A212,'VKT US'!$B$63:$AA$113,(B$168+1),FALSE)/VLOOKUP($A212,'Fuel economy adjusted factor'!$A$2:$F$52,6,FALSE)*INDEX('Year data'!$B$111:$AC$161,MATCH($A212,'Year data'!$A$111:$A$161,0),MATCH('TCO Inputs'!$AZ$12,'Year data'!$B$110:$AC$110,0))/(1+$AZ$41)^B$168</f>
        <v>1250.9254393605534</v>
      </c>
      <c r="C212" s="106">
        <f>VLOOKUP($A212,'VKT US'!$B$63:$AA$113,(C$168+1),FALSE)/VLOOKUP($A212,'Fuel economy adjusted factor'!$A$2:$F$52,6,FALSE)*INDEX('Year data'!$B$111:$AC$161,MATCH($A212,'Year data'!$A$111:$A$161,0),MATCH('TCO Inputs'!$AZ$12,'Year data'!$B$110:$AC$110,0))/(1+$AZ$41)^C$168</f>
        <v>1199.3272403840765</v>
      </c>
      <c r="D212" s="106">
        <f>VLOOKUP($A212,'VKT US'!$B$63:$AA$113,(D$168+1),FALSE)/VLOOKUP($A212,'Fuel economy adjusted factor'!$A$2:$F$52,6,FALSE)*INDEX('Year data'!$B$111:$AC$161,MATCH($A212,'Year data'!$A$111:$A$161,0),MATCH('TCO Inputs'!$AZ$12,'Year data'!$B$110:$AC$110,0))/(1+$AZ$41)^D$168</f>
        <v>1149.9231353114374</v>
      </c>
      <c r="E212" s="106">
        <f>VLOOKUP($A212,'VKT US'!$B$63:$AA$113,(E$168+1),FALSE)/VLOOKUP($A212,'Fuel economy adjusted factor'!$A$2:$F$52,6,FALSE)*INDEX('Year data'!$B$111:$AC$161,MATCH($A212,'Year data'!$A$111:$A$161,0),MATCH('TCO Inputs'!$AZ$12,'Year data'!$B$110:$AC$110,0))/(1+$AZ$41)^E$168</f>
        <v>1102.7418846324399</v>
      </c>
      <c r="F212" s="106">
        <f>VLOOKUP($A212,'VKT US'!$B$63:$AA$113,(F$168+1),FALSE)/VLOOKUP($A212,'Fuel economy adjusted factor'!$A$2:$F$52,6,FALSE)*INDEX('Year data'!$B$111:$AC$161,MATCH($A212,'Year data'!$A$111:$A$161,0),MATCH('TCO Inputs'!$AZ$12,'Year data'!$B$110:$AC$110,0))/(1+$AZ$41)^F$168</f>
        <v>1057.6371555575267</v>
      </c>
      <c r="G212" s="106">
        <f>VLOOKUP($A212,'VKT US'!$B$63:$AA$113,(G$168+1),FALSE)/VLOOKUP($A212,'Fuel economy adjusted factor'!$A$2:$F$52,6,FALSE)*INDEX('Year data'!$B$111:$AC$161,MATCH($A212,'Year data'!$A$111:$A$161,0),MATCH('TCO Inputs'!$AZ$12,'Year data'!$B$110:$AC$110,0))/(1+$AZ$41)^G$168</f>
        <v>1014.7232199550223</v>
      </c>
      <c r="H212" s="106">
        <f>VLOOKUP($A212,'VKT US'!$B$63:$AA$113,(H$168+1),FALSE)/VLOOKUP($A212,'Fuel economy adjusted factor'!$A$2:$F$52,6,FALSE)*INDEX('Year data'!$B$111:$AC$161,MATCH($A212,'Year data'!$A$111:$A$161,0),MATCH('TCO Inputs'!$AZ$12,'Year data'!$B$110:$AC$110,0))/(1+$AZ$41)^H$168</f>
        <v>973.68712479830936</v>
      </c>
      <c r="I212" s="106">
        <f>VLOOKUP($A212,'VKT US'!$B$63:$AA$113,(I$168+1),FALSE)/VLOOKUP($A212,'Fuel economy adjusted factor'!$A$2:$F$52,6,FALSE)*INDEX('Year data'!$B$111:$AC$161,MATCH($A212,'Year data'!$A$111:$A$161,0),MATCH('TCO Inputs'!$AZ$12,'Year data'!$B$110:$AC$110,0))/(1+$AZ$41)^I$168</f>
        <v>934.64455212171424</v>
      </c>
      <c r="J212" s="106">
        <f>VLOOKUP($A212,'VKT US'!$B$63:$AA$113,(J$168+1),FALSE)/VLOOKUP($A212,'Fuel economy adjusted factor'!$A$2:$F$52,6,FALSE)*INDEX('Year data'!$B$111:$AC$161,MATCH($A212,'Year data'!$A$111:$A$161,0),MATCH('TCO Inputs'!$AZ$12,'Year data'!$B$110:$AC$110,0))/(1+$AZ$41)^J$168</f>
        <v>897.54020397122565</v>
      </c>
      <c r="K212" s="106">
        <f>VLOOKUP($A212,'VKT US'!$B$63:$AA$113,(K$168+1),FALSE)/VLOOKUP($A212,'Fuel economy adjusted factor'!$A$2:$F$52,6,FALSE)*INDEX('Year data'!$B$111:$AC$161,MATCH($A212,'Year data'!$A$111:$A$161,0),MATCH('TCO Inputs'!$AZ$12,'Year data'!$B$110:$AC$110,0))/(1+$AZ$41)^K$168</f>
        <v>862.3199770323431</v>
      </c>
      <c r="L212" s="106">
        <f>VLOOKUP($A212,'VKT US'!$B$63:$AA$113,(L$168+1),FALSE)/VLOOKUP($A212,'Fuel economy adjusted factor'!$A$2:$F$52,6,FALSE)*INDEX('Year data'!$B$111:$AC$161,MATCH($A212,'Year data'!$A$111:$A$161,0),MATCH('TCO Inputs'!$AZ$12,'Year data'!$B$110:$AC$110,0))/(1+$AZ$41)^L$168</f>
        <v>828.85078823578635</v>
      </c>
      <c r="M212" s="106">
        <f>VLOOKUP($A212,'VKT US'!$B$63:$AA$113,(M$168+1),FALSE)/VLOOKUP($A212,'Fuel economy adjusted factor'!$A$2:$F$52,6,FALSE)*INDEX('Year data'!$B$111:$AC$161,MATCH($A212,'Year data'!$A$111:$A$161,0),MATCH('TCO Inputs'!$AZ$12,'Year data'!$B$110:$AC$110,0))/(1+$AZ$41)^M$168</f>
        <v>797.16290918352081</v>
      </c>
      <c r="N212" s="106">
        <f>VLOOKUP($A212,'VKT US'!$B$63:$AA$113,(N$168+1),FALSE)/VLOOKUP($A212,'Fuel economy adjusted factor'!$A$2:$F$52,6,FALSE)*INDEX('Year data'!$B$111:$AC$161,MATCH($A212,'Year data'!$A$111:$A$161,0),MATCH('TCO Inputs'!$AZ$12,'Year data'!$B$110:$AC$110,0))/(1+$AZ$41)^N$168</f>
        <v>767.12739091329991</v>
      </c>
      <c r="O212" s="106">
        <f>VLOOKUP($A212,'VKT US'!$B$63:$AA$113,(O$168+1),FALSE)/VLOOKUP($A212,'Fuel economy adjusted factor'!$A$2:$F$52,6,FALSE)*INDEX('Year data'!$B$111:$AC$161,MATCH($A212,'Year data'!$A$111:$A$161,0),MATCH('TCO Inputs'!$AZ$12,'Year data'!$B$110:$AC$110,0))/(1+$AZ$41)^O$168</f>
        <v>738.77477265214429</v>
      </c>
      <c r="P212" s="106">
        <f>VLOOKUP($A212,'VKT US'!$B$63:$AA$113,(P$168+1),FALSE)/VLOOKUP($A212,'Fuel economy adjusted factor'!$A$2:$F$52,6,FALSE)*INDEX('Year data'!$B$111:$AC$161,MATCH($A212,'Year data'!$A$111:$A$161,0),MATCH('TCO Inputs'!$AZ$12,'Year data'!$B$110:$AC$110,0))/(1+$AZ$41)^P$168</f>
        <v>711.98011145641249</v>
      </c>
      <c r="Q212" s="106">
        <f>VLOOKUP($A212,'VKT US'!$B$63:$AA$113,(Q$168+1),FALSE)/VLOOKUP($A212,'Fuel economy adjusted factor'!$A$2:$F$52,6,FALSE)*INDEX('Year data'!$B$111:$AC$161,MATCH($A212,'Year data'!$A$111:$A$161,0),MATCH('TCO Inputs'!$AZ$12,'Year data'!$B$110:$AC$110,0))/(1+$AZ$41)^Q$168</f>
        <v>686.84968886907905</v>
      </c>
      <c r="R212" s="106">
        <f>VLOOKUP($A212,'VKT US'!$B$63:$AA$113,(R$168+1),FALSE)/VLOOKUP($A212,'Fuel economy adjusted factor'!$A$2:$F$52,6,FALSE)*INDEX('Year data'!$B$111:$AC$161,MATCH($A212,'Year data'!$A$111:$A$161,0),MATCH('TCO Inputs'!$AZ$12,'Year data'!$B$110:$AC$110,0))/(1+$AZ$41)^R$168</f>
        <v>663.11052603797361</v>
      </c>
      <c r="S212" s="106">
        <f>VLOOKUP($A212,'VKT US'!$B$63:$AA$113,(S$168+1),FALSE)/VLOOKUP($A212,'Fuel economy adjusted factor'!$A$2:$F$52,6,FALSE)*INDEX('Year data'!$B$111:$AC$161,MATCH($A212,'Year data'!$A$111:$A$161,0),MATCH('TCO Inputs'!$AZ$12,'Year data'!$B$110:$AC$110,0))/(1+$AZ$41)^S$168</f>
        <v>640.94373791625571</v>
      </c>
      <c r="T212" s="106">
        <f>VLOOKUP($A212,'VKT US'!$B$63:$AA$113,(T$168+1),FALSE)/VLOOKUP($A212,'Fuel economy adjusted factor'!$A$2:$F$52,6,FALSE)*INDEX('Year data'!$B$111:$AC$161,MATCH($A212,'Year data'!$A$111:$A$161,0),MATCH('TCO Inputs'!$AZ$12,'Year data'!$B$110:$AC$110,0))/(1+$AZ$41)^T$168</f>
        <v>620.08368841192612</v>
      </c>
      <c r="U212" s="106">
        <f>VLOOKUP($A212,'VKT US'!$B$63:$AA$113,(U$168+1),FALSE)/VLOOKUP($A212,'Fuel economy adjusted factor'!$A$2:$F$52,6,FALSE)*INDEX('Year data'!$B$111:$AC$161,MATCH($A212,'Year data'!$A$111:$A$161,0),MATCH('TCO Inputs'!$AZ$12,'Year data'!$B$110:$AC$110,0))/(1+$AZ$41)^U$168</f>
        <v>600.70811594540896</v>
      </c>
      <c r="V212" s="110" cm="1">
        <f t="array" ref="V212">SUMPRODUCT(INDEX(B212:U212,,_xlfn.SEQUENCE($AZ$13)))</f>
        <v>13575.385794109399</v>
      </c>
    </row>
    <row r="213" spans="1:22" x14ac:dyDescent="0.25">
      <c r="A213" s="102" t="s">
        <v>228</v>
      </c>
      <c r="B213" s="106">
        <f>VLOOKUP($A213,'VKT US'!$B$63:$AA$113,(B$168+1),FALSE)/VLOOKUP($A213,'Fuel economy adjusted factor'!$A$2:$F$52,6,FALSE)*INDEX('Year data'!$B$111:$AC$161,MATCH($A213,'Year data'!$A$111:$A$161,0),MATCH('TCO Inputs'!$AZ$12,'Year data'!$B$110:$AC$110,0))/(1+$AZ$41)^B$168</f>
        <v>1023.9226390028014</v>
      </c>
      <c r="C213" s="106">
        <f>VLOOKUP($A213,'VKT US'!$B$63:$AA$113,(C$168+1),FALSE)/VLOOKUP($A213,'Fuel economy adjusted factor'!$A$2:$F$52,6,FALSE)*INDEX('Year data'!$B$111:$AC$161,MATCH($A213,'Year data'!$A$111:$A$161,0),MATCH('TCO Inputs'!$AZ$12,'Year data'!$B$110:$AC$110,0))/(1+$AZ$41)^C$168</f>
        <v>981.68785633598418</v>
      </c>
      <c r="D213" s="106">
        <f>VLOOKUP($A213,'VKT US'!$B$63:$AA$113,(D$168+1),FALSE)/VLOOKUP($A213,'Fuel economy adjusted factor'!$A$2:$F$52,6,FALSE)*INDEX('Year data'!$B$111:$AC$161,MATCH($A213,'Year data'!$A$111:$A$161,0),MATCH('TCO Inputs'!$AZ$12,'Year data'!$B$110:$AC$110,0))/(1+$AZ$41)^D$168</f>
        <v>941.24900998123485</v>
      </c>
      <c r="E213" s="106">
        <f>VLOOKUP($A213,'VKT US'!$B$63:$AA$113,(E$168+1),FALSE)/VLOOKUP($A213,'Fuel economy adjusted factor'!$A$2:$F$52,6,FALSE)*INDEX('Year data'!$B$111:$AC$161,MATCH($A213,'Year data'!$A$111:$A$161,0),MATCH('TCO Inputs'!$AZ$12,'Year data'!$B$110:$AC$110,0))/(1+$AZ$41)^E$168</f>
        <v>902.62964132295065</v>
      </c>
      <c r="F213" s="106">
        <f>VLOOKUP($A213,'VKT US'!$B$63:$AA$113,(F$168+1),FALSE)/VLOOKUP($A213,'Fuel economy adjusted factor'!$A$2:$F$52,6,FALSE)*INDEX('Year data'!$B$111:$AC$161,MATCH($A213,'Year data'!$A$111:$A$161,0),MATCH('TCO Inputs'!$AZ$12,'Year data'!$B$110:$AC$110,0))/(1+$AZ$41)^F$168</f>
        <v>865.70997227417047</v>
      </c>
      <c r="G213" s="106">
        <f>VLOOKUP($A213,'VKT US'!$B$63:$AA$113,(G$168+1),FALSE)/VLOOKUP($A213,'Fuel economy adjusted factor'!$A$2:$F$52,6,FALSE)*INDEX('Year data'!$B$111:$AC$161,MATCH($A213,'Year data'!$A$111:$A$161,0),MATCH('TCO Inputs'!$AZ$12,'Year data'!$B$110:$AC$110,0))/(1+$AZ$41)^G$168</f>
        <v>830.58353802835813</v>
      </c>
      <c r="H213" s="106">
        <f>VLOOKUP($A213,'VKT US'!$B$63:$AA$113,(H$168+1),FALSE)/VLOOKUP($A213,'Fuel economy adjusted factor'!$A$2:$F$52,6,FALSE)*INDEX('Year data'!$B$111:$AC$161,MATCH($A213,'Year data'!$A$111:$A$161,0),MATCH('TCO Inputs'!$AZ$12,'Year data'!$B$110:$AC$110,0))/(1+$AZ$41)^H$168</f>
        <v>796.99417648438748</v>
      </c>
      <c r="I213" s="106">
        <f>VLOOKUP($A213,'VKT US'!$B$63:$AA$113,(I$168+1),FALSE)/VLOOKUP($A213,'Fuel economy adjusted factor'!$A$2:$F$52,6,FALSE)*INDEX('Year data'!$B$111:$AC$161,MATCH($A213,'Year data'!$A$111:$A$161,0),MATCH('TCO Inputs'!$AZ$12,'Year data'!$B$110:$AC$110,0))/(1+$AZ$41)^I$168</f>
        <v>765.03657710187497</v>
      </c>
      <c r="J213" s="106">
        <f>VLOOKUP($A213,'VKT US'!$B$63:$AA$113,(J$168+1),FALSE)/VLOOKUP($A213,'Fuel economy adjusted factor'!$A$2:$F$52,6,FALSE)*INDEX('Year data'!$B$111:$AC$161,MATCH($A213,'Year data'!$A$111:$A$161,0),MATCH('TCO Inputs'!$AZ$12,'Year data'!$B$110:$AC$110,0))/(1+$AZ$41)^J$168</f>
        <v>734.66547672985951</v>
      </c>
      <c r="K213" s="106">
        <f>VLOOKUP($A213,'VKT US'!$B$63:$AA$113,(K$168+1),FALSE)/VLOOKUP($A213,'Fuel economy adjusted factor'!$A$2:$F$52,6,FALSE)*INDEX('Year data'!$B$111:$AC$161,MATCH($A213,'Year data'!$A$111:$A$161,0),MATCH('TCO Inputs'!$AZ$12,'Year data'!$B$110:$AC$110,0))/(1+$AZ$41)^K$168</f>
        <v>705.83659006817925</v>
      </c>
      <c r="L213" s="106">
        <f>VLOOKUP($A213,'VKT US'!$B$63:$AA$113,(L$168+1),FALSE)/VLOOKUP($A213,'Fuel economy adjusted factor'!$A$2:$F$52,6,FALSE)*INDEX('Year data'!$B$111:$AC$161,MATCH($A213,'Year data'!$A$111:$A$161,0),MATCH('TCO Inputs'!$AZ$12,'Year data'!$B$110:$AC$110,0))/(1+$AZ$41)^L$168</f>
        <v>678.44098435136561</v>
      </c>
      <c r="M213" s="106">
        <f>VLOOKUP($A213,'VKT US'!$B$63:$AA$113,(M$168+1),FALSE)/VLOOKUP($A213,'Fuel economy adjusted factor'!$A$2:$F$52,6,FALSE)*INDEX('Year data'!$B$111:$AC$161,MATCH($A213,'Year data'!$A$111:$A$161,0),MATCH('TCO Inputs'!$AZ$12,'Year data'!$B$110:$AC$110,0))/(1+$AZ$41)^M$168</f>
        <v>652.50343785764085</v>
      </c>
      <c r="N213" s="106">
        <f>VLOOKUP($A213,'VKT US'!$B$63:$AA$113,(N$168+1),FALSE)/VLOOKUP($A213,'Fuel economy adjusted factor'!$A$2:$F$52,6,FALSE)*INDEX('Year data'!$B$111:$AC$161,MATCH($A213,'Year data'!$A$111:$A$161,0),MATCH('TCO Inputs'!$AZ$12,'Year data'!$B$110:$AC$110,0))/(1+$AZ$41)^N$168</f>
        <v>627.91840172088916</v>
      </c>
      <c r="O213" s="106">
        <f>VLOOKUP($A213,'VKT US'!$B$63:$AA$113,(O$168+1),FALSE)/VLOOKUP($A213,'Fuel economy adjusted factor'!$A$2:$F$52,6,FALSE)*INDEX('Year data'!$B$111:$AC$161,MATCH($A213,'Year data'!$A$111:$A$161,0),MATCH('TCO Inputs'!$AZ$12,'Year data'!$B$110:$AC$110,0))/(1+$AZ$41)^O$168</f>
        <v>604.71087327903285</v>
      </c>
      <c r="P213" s="106">
        <f>VLOOKUP($A213,'VKT US'!$B$63:$AA$113,(P$168+1),FALSE)/VLOOKUP($A213,'Fuel economy adjusted factor'!$A$2:$F$52,6,FALSE)*INDEX('Year data'!$B$111:$AC$161,MATCH($A213,'Year data'!$A$111:$A$161,0),MATCH('TCO Inputs'!$AZ$12,'Year data'!$B$110:$AC$110,0))/(1+$AZ$41)^P$168</f>
        <v>582.77858272081698</v>
      </c>
      <c r="Q213" s="106">
        <f>VLOOKUP($A213,'VKT US'!$B$63:$AA$113,(Q$168+1),FALSE)/VLOOKUP($A213,'Fuel economy adjusted factor'!$A$2:$F$52,6,FALSE)*INDEX('Year data'!$B$111:$AC$161,MATCH($A213,'Year data'!$A$111:$A$161,0),MATCH('TCO Inputs'!$AZ$12,'Year data'!$B$110:$AC$110,0))/(1+$AZ$41)^Q$168</f>
        <v>562.20852490183813</v>
      </c>
      <c r="R213" s="106">
        <f>VLOOKUP($A213,'VKT US'!$B$63:$AA$113,(R$168+1),FALSE)/VLOOKUP($A213,'Fuel economy adjusted factor'!$A$2:$F$52,6,FALSE)*INDEX('Year data'!$B$111:$AC$161,MATCH($A213,'Year data'!$A$111:$A$161,0),MATCH('TCO Inputs'!$AZ$12,'Year data'!$B$110:$AC$110,0))/(1+$AZ$41)^R$168</f>
        <v>542.77725786631595</v>
      </c>
      <c r="S213" s="106">
        <f>VLOOKUP($A213,'VKT US'!$B$63:$AA$113,(S$168+1),FALSE)/VLOOKUP($A213,'Fuel economy adjusted factor'!$A$2:$F$52,6,FALSE)*INDEX('Year data'!$B$111:$AC$161,MATCH($A213,'Year data'!$A$111:$A$161,0),MATCH('TCO Inputs'!$AZ$12,'Year data'!$B$110:$AC$110,0))/(1+$AZ$41)^S$168</f>
        <v>524.6330300189652</v>
      </c>
      <c r="T213" s="106">
        <f>VLOOKUP($A213,'VKT US'!$B$63:$AA$113,(T$168+1),FALSE)/VLOOKUP($A213,'Fuel economy adjusted factor'!$A$2:$F$52,6,FALSE)*INDEX('Year data'!$B$111:$AC$161,MATCH($A213,'Year data'!$A$111:$A$161,0),MATCH('TCO Inputs'!$AZ$12,'Year data'!$B$110:$AC$110,0))/(1+$AZ$41)^T$168</f>
        <v>507.55840968897928</v>
      </c>
      <c r="U213" s="106">
        <f>VLOOKUP($A213,'VKT US'!$B$63:$AA$113,(U$168+1),FALSE)/VLOOKUP($A213,'Fuel economy adjusted factor'!$A$2:$F$52,6,FALSE)*INDEX('Year data'!$B$111:$AC$161,MATCH($A213,'Year data'!$A$111:$A$161,0),MATCH('TCO Inputs'!$AZ$12,'Year data'!$B$110:$AC$110,0))/(1+$AZ$41)^U$168</f>
        <v>491.69888148060926</v>
      </c>
      <c r="V213" s="110" cm="1">
        <f t="array" ref="V213">SUMPRODUCT(INDEX(B213:U213,,_xlfn.SEQUENCE($AZ$13)))</f>
        <v>11111.88917453873</v>
      </c>
    </row>
    <row r="214" spans="1:22" x14ac:dyDescent="0.25">
      <c r="A214" s="102" t="s">
        <v>227</v>
      </c>
      <c r="B214" s="106">
        <f>VLOOKUP($A214,'VKT US'!$B$63:$AA$113,(B$168+1),FALSE)/VLOOKUP($A214,'Fuel economy adjusted factor'!$A$2:$F$52,6,FALSE)*INDEX('Year data'!$B$111:$AC$161,MATCH($A214,'Year data'!$A$111:$A$161,0),MATCH('TCO Inputs'!$AZ$12,'Year data'!$B$110:$AC$110,0))/(1+$AZ$41)^B$168</f>
        <v>1085.3566675591342</v>
      </c>
      <c r="C214" s="106">
        <f>VLOOKUP($A214,'VKT US'!$B$63:$AA$113,(C$168+1),FALSE)/VLOOKUP($A214,'Fuel economy adjusted factor'!$A$2:$F$52,6,FALSE)*INDEX('Year data'!$B$111:$AC$161,MATCH($A214,'Year data'!$A$111:$A$161,0),MATCH('TCO Inputs'!$AZ$12,'Year data'!$B$110:$AC$110,0))/(1+$AZ$41)^C$168</f>
        <v>1040.5878527832599</v>
      </c>
      <c r="D214" s="106">
        <f>VLOOKUP($A214,'VKT US'!$B$63:$AA$113,(D$168+1),FALSE)/VLOOKUP($A214,'Fuel economy adjusted factor'!$A$2:$F$52,6,FALSE)*INDEX('Year data'!$B$111:$AC$161,MATCH($A214,'Year data'!$A$111:$A$161,0),MATCH('TCO Inputs'!$AZ$12,'Year data'!$B$110:$AC$110,0))/(1+$AZ$41)^D$168</f>
        <v>997.72272816576765</v>
      </c>
      <c r="E214" s="106">
        <f>VLOOKUP($A214,'VKT US'!$B$63:$AA$113,(E$168+1),FALSE)/VLOOKUP($A214,'Fuel economy adjusted factor'!$A$2:$F$52,6,FALSE)*INDEX('Year data'!$B$111:$AC$161,MATCH($A214,'Year data'!$A$111:$A$161,0),MATCH('TCO Inputs'!$AZ$12,'Year data'!$B$110:$AC$110,0))/(1+$AZ$41)^E$168</f>
        <v>956.78624754354519</v>
      </c>
      <c r="F214" s="106">
        <f>VLOOKUP($A214,'VKT US'!$B$63:$AA$113,(F$168+1),FALSE)/VLOOKUP($A214,'Fuel economy adjusted factor'!$A$2:$F$52,6,FALSE)*INDEX('Year data'!$B$111:$AC$161,MATCH($A214,'Year data'!$A$111:$A$161,0),MATCH('TCO Inputs'!$AZ$12,'Year data'!$B$110:$AC$110,0))/(1+$AZ$41)^F$168</f>
        <v>917.65144629997144</v>
      </c>
      <c r="G214" s="106">
        <f>VLOOKUP($A214,'VKT US'!$B$63:$AA$113,(G$168+1),FALSE)/VLOOKUP($A214,'Fuel economy adjusted factor'!$A$2:$F$52,6,FALSE)*INDEX('Year data'!$B$111:$AC$161,MATCH($A214,'Year data'!$A$111:$A$161,0),MATCH('TCO Inputs'!$AZ$12,'Year data'!$B$110:$AC$110,0))/(1+$AZ$41)^G$168</f>
        <v>880.41747161864214</v>
      </c>
      <c r="H214" s="106">
        <f>VLOOKUP($A214,'VKT US'!$B$63:$AA$113,(H$168+1),FALSE)/VLOOKUP($A214,'Fuel economy adjusted factor'!$A$2:$F$52,6,FALSE)*INDEX('Year data'!$B$111:$AC$161,MATCH($A214,'Year data'!$A$111:$A$161,0),MATCH('TCO Inputs'!$AZ$12,'Year data'!$B$110:$AC$110,0))/(1+$AZ$41)^H$168</f>
        <v>844.81279200504594</v>
      </c>
      <c r="I214" s="106">
        <f>VLOOKUP($A214,'VKT US'!$B$63:$AA$113,(I$168+1),FALSE)/VLOOKUP($A214,'Fuel economy adjusted factor'!$A$2:$F$52,6,FALSE)*INDEX('Year data'!$B$111:$AC$161,MATCH($A214,'Year data'!$A$111:$A$161,0),MATCH('TCO Inputs'!$AZ$12,'Year data'!$B$110:$AC$110,0))/(1+$AZ$41)^I$168</f>
        <v>810.93777816340094</v>
      </c>
      <c r="J214" s="106">
        <f>VLOOKUP($A214,'VKT US'!$B$63:$AA$113,(J$168+1),FALSE)/VLOOKUP($A214,'Fuel economy adjusted factor'!$A$2:$F$52,6,FALSE)*INDEX('Year data'!$B$111:$AC$161,MATCH($A214,'Year data'!$A$111:$A$161,0),MATCH('TCO Inputs'!$AZ$12,'Year data'!$B$110:$AC$110,0))/(1+$AZ$41)^J$168</f>
        <v>778.74445121247243</v>
      </c>
      <c r="K214" s="106">
        <f>VLOOKUP($A214,'VKT US'!$B$63:$AA$113,(K$168+1),FALSE)/VLOOKUP($A214,'Fuel economy adjusted factor'!$A$2:$F$52,6,FALSE)*INDEX('Year data'!$B$111:$AC$161,MATCH($A214,'Year data'!$A$111:$A$161,0),MATCH('TCO Inputs'!$AZ$12,'Year data'!$B$110:$AC$110,0))/(1+$AZ$41)^K$168</f>
        <v>748.18586879160296</v>
      </c>
      <c r="L214" s="106">
        <f>VLOOKUP($A214,'VKT US'!$B$63:$AA$113,(L$168+1),FALSE)/VLOOKUP($A214,'Fuel economy adjusted factor'!$A$2:$F$52,6,FALSE)*INDEX('Year data'!$B$111:$AC$161,MATCH($A214,'Year data'!$A$111:$A$161,0),MATCH('TCO Inputs'!$AZ$12,'Year data'!$B$110:$AC$110,0))/(1+$AZ$41)^L$168</f>
        <v>719.14656231086849</v>
      </c>
      <c r="M214" s="106">
        <f>VLOOKUP($A214,'VKT US'!$B$63:$AA$113,(M$168+1),FALSE)/VLOOKUP($A214,'Fuel economy adjusted factor'!$A$2:$F$52,6,FALSE)*INDEX('Year data'!$B$111:$AC$161,MATCH($A214,'Year data'!$A$111:$A$161,0),MATCH('TCO Inputs'!$AZ$12,'Year data'!$B$110:$AC$110,0))/(1+$AZ$41)^M$168</f>
        <v>691.65279671300482</v>
      </c>
      <c r="N214" s="106">
        <f>VLOOKUP($A214,'VKT US'!$B$63:$AA$113,(N$168+1),FALSE)/VLOOKUP($A214,'Fuel economy adjusted factor'!$A$2:$F$52,6,FALSE)*INDEX('Year data'!$B$111:$AC$161,MATCH($A214,'Year data'!$A$111:$A$161,0),MATCH('TCO Inputs'!$AZ$12,'Year data'!$B$110:$AC$110,0))/(1+$AZ$41)^N$168</f>
        <v>665.5926903370065</v>
      </c>
      <c r="O214" s="106">
        <f>VLOOKUP($A214,'VKT US'!$B$63:$AA$113,(O$168+1),FALSE)/VLOOKUP($A214,'Fuel economy adjusted factor'!$A$2:$F$52,6,FALSE)*INDEX('Year data'!$B$111:$AC$161,MATCH($A214,'Year data'!$A$111:$A$161,0),MATCH('TCO Inputs'!$AZ$12,'Year data'!$B$110:$AC$110,0))/(1+$AZ$41)^O$168</f>
        <v>640.99274032860751</v>
      </c>
      <c r="P214" s="106">
        <f>VLOOKUP($A214,'VKT US'!$B$63:$AA$113,(P$168+1),FALSE)/VLOOKUP($A214,'Fuel economy adjusted factor'!$A$2:$F$52,6,FALSE)*INDEX('Year data'!$B$111:$AC$161,MATCH($A214,'Year data'!$A$111:$A$161,0),MATCH('TCO Inputs'!$AZ$12,'Year data'!$B$110:$AC$110,0))/(1+$AZ$41)^P$168</f>
        <v>617.74454082069633</v>
      </c>
      <c r="Q214" s="106">
        <f>VLOOKUP($A214,'VKT US'!$B$63:$AA$113,(Q$168+1),FALSE)/VLOOKUP($A214,'Fuel economy adjusted factor'!$A$2:$F$52,6,FALSE)*INDEX('Year data'!$B$111:$AC$161,MATCH($A214,'Year data'!$A$111:$A$161,0),MATCH('TCO Inputs'!$AZ$12,'Year data'!$B$110:$AC$110,0))/(1+$AZ$41)^Q$168</f>
        <v>595.94030624722438</v>
      </c>
      <c r="R214" s="106">
        <f>VLOOKUP($A214,'VKT US'!$B$63:$AA$113,(R$168+1),FALSE)/VLOOKUP($A214,'Fuel economy adjusted factor'!$A$2:$F$52,6,FALSE)*INDEX('Year data'!$B$111:$AC$161,MATCH($A214,'Year data'!$A$111:$A$161,0),MATCH('TCO Inputs'!$AZ$12,'Year data'!$B$110:$AC$110,0))/(1+$AZ$41)^R$168</f>
        <v>575.3431884252517</v>
      </c>
      <c r="S214" s="106">
        <f>VLOOKUP($A214,'VKT US'!$B$63:$AA$113,(S$168+1),FALSE)/VLOOKUP($A214,'Fuel economy adjusted factor'!$A$2:$F$52,6,FALSE)*INDEX('Year data'!$B$111:$AC$161,MATCH($A214,'Year data'!$A$111:$A$161,0),MATCH('TCO Inputs'!$AZ$12,'Year data'!$B$110:$AC$110,0))/(1+$AZ$41)^S$168</f>
        <v>556.11033047124329</v>
      </c>
      <c r="T214" s="106">
        <f>VLOOKUP($A214,'VKT US'!$B$63:$AA$113,(T$168+1),FALSE)/VLOOKUP($A214,'Fuel economy adjusted factor'!$A$2:$F$52,6,FALSE)*INDEX('Year data'!$B$111:$AC$161,MATCH($A214,'Year data'!$A$111:$A$161,0),MATCH('TCO Inputs'!$AZ$12,'Year data'!$B$110:$AC$110,0))/(1+$AZ$41)^T$168</f>
        <v>538.01125509652616</v>
      </c>
      <c r="U214" s="106">
        <f>VLOOKUP($A214,'VKT US'!$B$63:$AA$113,(U$168+1),FALSE)/VLOOKUP($A214,'Fuel economy adjusted factor'!$A$2:$F$52,6,FALSE)*INDEX('Year data'!$B$111:$AC$161,MATCH($A214,'Year data'!$A$111:$A$161,0),MATCH('TCO Inputs'!$AZ$12,'Year data'!$B$110:$AC$110,0))/(1+$AZ$41)^U$168</f>
        <v>521.20017579266334</v>
      </c>
      <c r="V214" s="110" cm="1">
        <f t="array" ref="V214">SUMPRODUCT(INDEX(B214:U214,,_xlfn.SEQUENCE($AZ$13)))</f>
        <v>11778.58809383233</v>
      </c>
    </row>
    <row r="215" spans="1:22" x14ac:dyDescent="0.25">
      <c r="A215" s="102" t="s">
        <v>229</v>
      </c>
      <c r="B215" s="106">
        <f>VLOOKUP($A215,'VKT US'!$B$63:$AA$113,(B$168+1),FALSE)/VLOOKUP($A215,'Fuel economy adjusted factor'!$A$2:$F$52,6,FALSE)*INDEX('Year data'!$B$111:$AC$161,MATCH($A215,'Year data'!$A$111:$A$161,0),MATCH('TCO Inputs'!$AZ$12,'Year data'!$B$110:$AC$110,0))/(1+$AZ$41)^B$168</f>
        <v>1107.6318948986248</v>
      </c>
      <c r="C215" s="106">
        <f>VLOOKUP($A215,'VKT US'!$B$63:$AA$113,(C$168+1),FALSE)/VLOOKUP($A215,'Fuel economy adjusted factor'!$A$2:$F$52,6,FALSE)*INDEX('Year data'!$B$111:$AC$161,MATCH($A215,'Year data'!$A$111:$A$161,0),MATCH('TCO Inputs'!$AZ$12,'Year data'!$B$110:$AC$110,0))/(1+$AZ$41)^C$168</f>
        <v>1061.9442710743897</v>
      </c>
      <c r="D215" s="106">
        <f>VLOOKUP($A215,'VKT US'!$B$63:$AA$113,(D$168+1),FALSE)/VLOOKUP($A215,'Fuel economy adjusted factor'!$A$2:$F$52,6,FALSE)*INDEX('Year data'!$B$111:$AC$161,MATCH($A215,'Year data'!$A$111:$A$161,0),MATCH('TCO Inputs'!$AZ$12,'Year data'!$B$110:$AC$110,0))/(1+$AZ$41)^D$168</f>
        <v>1018.1994076352458</v>
      </c>
      <c r="E215" s="106">
        <f>VLOOKUP($A215,'VKT US'!$B$63:$AA$113,(E$168+1),FALSE)/VLOOKUP($A215,'Fuel economy adjusted factor'!$A$2:$F$52,6,FALSE)*INDEX('Year data'!$B$111:$AC$161,MATCH($A215,'Year data'!$A$111:$A$161,0),MATCH('TCO Inputs'!$AZ$12,'Year data'!$B$110:$AC$110,0))/(1+$AZ$41)^E$168</f>
        <v>976.42277055607781</v>
      </c>
      <c r="F215" s="106">
        <f>VLOOKUP($A215,'VKT US'!$B$63:$AA$113,(F$168+1),FALSE)/VLOOKUP($A215,'Fuel economy adjusted factor'!$A$2:$F$52,6,FALSE)*INDEX('Year data'!$B$111:$AC$161,MATCH($A215,'Year data'!$A$111:$A$161,0),MATCH('TCO Inputs'!$AZ$12,'Year data'!$B$110:$AC$110,0))/(1+$AZ$41)^F$168</f>
        <v>936.48478947251022</v>
      </c>
      <c r="G215" s="106">
        <f>VLOOKUP($A215,'VKT US'!$B$63:$AA$113,(G$168+1),FALSE)/VLOOKUP($A215,'Fuel economy adjusted factor'!$A$2:$F$52,6,FALSE)*INDEX('Year data'!$B$111:$AC$161,MATCH($A215,'Year data'!$A$111:$A$161,0),MATCH('TCO Inputs'!$AZ$12,'Year data'!$B$110:$AC$110,0))/(1+$AZ$41)^G$168</f>
        <v>898.486646407119</v>
      </c>
      <c r="H215" s="106">
        <f>VLOOKUP($A215,'VKT US'!$B$63:$AA$113,(H$168+1),FALSE)/VLOOKUP($A215,'Fuel economy adjusted factor'!$A$2:$F$52,6,FALSE)*INDEX('Year data'!$B$111:$AC$161,MATCH($A215,'Year data'!$A$111:$A$161,0),MATCH('TCO Inputs'!$AZ$12,'Year data'!$B$110:$AC$110,0))/(1+$AZ$41)^H$168</f>
        <v>862.15123711133799</v>
      </c>
      <c r="I215" s="106">
        <f>VLOOKUP($A215,'VKT US'!$B$63:$AA$113,(I$168+1),FALSE)/VLOOKUP($A215,'Fuel economy adjusted factor'!$A$2:$F$52,6,FALSE)*INDEX('Year data'!$B$111:$AC$161,MATCH($A215,'Year data'!$A$111:$A$161,0),MATCH('TCO Inputs'!$AZ$12,'Year data'!$B$110:$AC$110,0))/(1+$AZ$41)^I$168</f>
        <v>827.58099223918964</v>
      </c>
      <c r="J215" s="106">
        <f>VLOOKUP($A215,'VKT US'!$B$63:$AA$113,(J$168+1),FALSE)/VLOOKUP($A215,'Fuel economy adjusted factor'!$A$2:$F$52,6,FALSE)*INDEX('Year data'!$B$111:$AC$161,MATCH($A215,'Year data'!$A$111:$A$161,0),MATCH('TCO Inputs'!$AZ$12,'Year data'!$B$110:$AC$110,0))/(1+$AZ$41)^J$168</f>
        <v>794.72694821885818</v>
      </c>
      <c r="K215" s="106">
        <f>VLOOKUP($A215,'VKT US'!$B$63:$AA$113,(K$168+1),FALSE)/VLOOKUP($A215,'Fuel economy adjusted factor'!$A$2:$F$52,6,FALSE)*INDEX('Year data'!$B$111:$AC$161,MATCH($A215,'Year data'!$A$111:$A$161,0),MATCH('TCO Inputs'!$AZ$12,'Year data'!$B$110:$AC$110,0))/(1+$AZ$41)^K$168</f>
        <v>763.54119927205011</v>
      </c>
      <c r="L215" s="106">
        <f>VLOOKUP($A215,'VKT US'!$B$63:$AA$113,(L$168+1),FALSE)/VLOOKUP($A215,'Fuel economy adjusted factor'!$A$2:$F$52,6,FALSE)*INDEX('Year data'!$B$111:$AC$161,MATCH($A215,'Year data'!$A$111:$A$161,0),MATCH('TCO Inputs'!$AZ$12,'Year data'!$B$110:$AC$110,0))/(1+$AZ$41)^L$168</f>
        <v>733.90590699883489</v>
      </c>
      <c r="M215" s="106">
        <f>VLOOKUP($A215,'VKT US'!$B$63:$AA$113,(M$168+1),FALSE)/VLOOKUP($A215,'Fuel economy adjusted factor'!$A$2:$F$52,6,FALSE)*INDEX('Year data'!$B$111:$AC$161,MATCH($A215,'Year data'!$A$111:$A$161,0),MATCH('TCO Inputs'!$AZ$12,'Year data'!$B$110:$AC$110,0))/(1+$AZ$41)^M$168</f>
        <v>705.84787538831699</v>
      </c>
      <c r="N215" s="106">
        <f>VLOOKUP($A215,'VKT US'!$B$63:$AA$113,(N$168+1),FALSE)/VLOOKUP($A215,'Fuel economy adjusted factor'!$A$2:$F$52,6,FALSE)*INDEX('Year data'!$B$111:$AC$161,MATCH($A215,'Year data'!$A$111:$A$161,0),MATCH('TCO Inputs'!$AZ$12,'Year data'!$B$110:$AC$110,0))/(1+$AZ$41)^N$168</f>
        <v>679.25292658552257</v>
      </c>
      <c r="O215" s="106">
        <f>VLOOKUP($A215,'VKT US'!$B$63:$AA$113,(O$168+1),FALSE)/VLOOKUP($A215,'Fuel economy adjusted factor'!$A$2:$F$52,6,FALSE)*INDEX('Year data'!$B$111:$AC$161,MATCH($A215,'Year data'!$A$111:$A$161,0),MATCH('TCO Inputs'!$AZ$12,'Year data'!$B$110:$AC$110,0))/(1+$AZ$41)^O$168</f>
        <v>654.14810154815325</v>
      </c>
      <c r="P215" s="106">
        <f>VLOOKUP($A215,'VKT US'!$B$63:$AA$113,(P$168+1),FALSE)/VLOOKUP($A215,'Fuel economy adjusted factor'!$A$2:$F$52,6,FALSE)*INDEX('Year data'!$B$111:$AC$161,MATCH($A215,'Year data'!$A$111:$A$161,0),MATCH('TCO Inputs'!$AZ$12,'Year data'!$B$110:$AC$110,0))/(1+$AZ$41)^P$168</f>
        <v>630.4227695502957</v>
      </c>
      <c r="Q215" s="106">
        <f>VLOOKUP($A215,'VKT US'!$B$63:$AA$113,(Q$168+1),FALSE)/VLOOKUP($A215,'Fuel economy adjusted factor'!$A$2:$F$52,6,FALSE)*INDEX('Year data'!$B$111:$AC$161,MATCH($A215,'Year data'!$A$111:$A$161,0),MATCH('TCO Inputs'!$AZ$12,'Year data'!$B$110:$AC$110,0))/(1+$AZ$41)^Q$168</f>
        <v>608.17103758117025</v>
      </c>
      <c r="R215" s="106">
        <f>VLOOKUP($A215,'VKT US'!$B$63:$AA$113,(R$168+1),FALSE)/VLOOKUP($A215,'Fuel economy adjusted factor'!$A$2:$F$52,6,FALSE)*INDEX('Year data'!$B$111:$AC$161,MATCH($A215,'Year data'!$A$111:$A$161,0),MATCH('TCO Inputs'!$AZ$12,'Year data'!$B$110:$AC$110,0))/(1+$AZ$41)^R$168</f>
        <v>587.15119652384442</v>
      </c>
      <c r="S215" s="106">
        <f>VLOOKUP($A215,'VKT US'!$B$63:$AA$113,(S$168+1),FALSE)/VLOOKUP($A215,'Fuel economy adjusted factor'!$A$2:$F$52,6,FALSE)*INDEX('Year data'!$B$111:$AC$161,MATCH($A215,'Year data'!$A$111:$A$161,0),MATCH('TCO Inputs'!$AZ$12,'Year data'!$B$110:$AC$110,0))/(1+$AZ$41)^S$168</f>
        <v>567.52361460847021</v>
      </c>
      <c r="T215" s="106">
        <f>VLOOKUP($A215,'VKT US'!$B$63:$AA$113,(T$168+1),FALSE)/VLOOKUP($A215,'Fuel economy adjusted factor'!$A$2:$F$52,6,FALSE)*INDEX('Year data'!$B$111:$AC$161,MATCH($A215,'Year data'!$A$111:$A$161,0),MATCH('TCO Inputs'!$AZ$12,'Year data'!$B$110:$AC$110,0))/(1+$AZ$41)^T$168</f>
        <v>549.05308436490066</v>
      </c>
      <c r="U215" s="106">
        <f>VLOOKUP($A215,'VKT US'!$B$63:$AA$113,(U$168+1),FALSE)/VLOOKUP($A215,'Fuel economy adjusted factor'!$A$2:$F$52,6,FALSE)*INDEX('Year data'!$B$111:$AC$161,MATCH($A215,'Year data'!$A$111:$A$161,0),MATCH('TCO Inputs'!$AZ$12,'Year data'!$B$110:$AC$110,0))/(1+$AZ$41)^U$168</f>
        <v>531.89698427247265</v>
      </c>
      <c r="V215" s="110" cm="1">
        <f t="array" ref="V215">SUMPRODUCT(INDEX(B215:U215,,_xlfn.SEQUENCE($AZ$13)))</f>
        <v>12020.324967406232</v>
      </c>
    </row>
    <row r="216" spans="1:22" x14ac:dyDescent="0.25">
      <c r="A216" s="102" t="s">
        <v>159</v>
      </c>
      <c r="B216" s="106">
        <f>VLOOKUP($A216,'VKT US'!$B$63:$AA$113,(B$168+1),FALSE)/VLOOKUP($A216,'Fuel economy adjusted factor'!$A$2:$F$52,6,FALSE)*INDEX('Year data'!$B$111:$AC$161,MATCH($A216,'Year data'!$A$111:$A$161,0),MATCH('TCO Inputs'!$AZ$12,'Year data'!$B$110:$AC$110,0))/(1+$AZ$41)^B$168</f>
        <v>1225.8972263626506</v>
      </c>
      <c r="C216" s="106">
        <f>VLOOKUP($A216,'VKT US'!$B$63:$AA$113,(C$168+1),FALSE)/VLOOKUP($A216,'Fuel economy adjusted factor'!$A$2:$F$52,6,FALSE)*INDEX('Year data'!$B$111:$AC$161,MATCH($A216,'Year data'!$A$111:$A$161,0),MATCH('TCO Inputs'!$AZ$12,'Year data'!$B$110:$AC$110,0))/(1+$AZ$41)^C$168</f>
        <v>1175.3313916451918</v>
      </c>
      <c r="D216" s="106">
        <f>VLOOKUP($A216,'VKT US'!$B$63:$AA$113,(D$168+1),FALSE)/VLOOKUP($A216,'Fuel economy adjusted factor'!$A$2:$F$52,6,FALSE)*INDEX('Year data'!$B$111:$AC$161,MATCH($A216,'Year data'!$A$111:$A$161,0),MATCH('TCO Inputs'!$AZ$12,'Year data'!$B$110:$AC$110,0))/(1+$AZ$41)^D$168</f>
        <v>1126.9157519325345</v>
      </c>
      <c r="E216" s="106">
        <f>VLOOKUP($A216,'VKT US'!$B$63:$AA$113,(E$168+1),FALSE)/VLOOKUP($A216,'Fuel economy adjusted factor'!$A$2:$F$52,6,FALSE)*INDEX('Year data'!$B$111:$AC$161,MATCH($A216,'Year data'!$A$111:$A$161,0),MATCH('TCO Inputs'!$AZ$12,'Year data'!$B$110:$AC$110,0))/(1+$AZ$41)^E$168</f>
        <v>1080.6784922815759</v>
      </c>
      <c r="F216" s="106">
        <f>VLOOKUP($A216,'VKT US'!$B$63:$AA$113,(F$168+1),FALSE)/VLOOKUP($A216,'Fuel economy adjusted factor'!$A$2:$F$52,6,FALSE)*INDEX('Year data'!$B$111:$AC$161,MATCH($A216,'Year data'!$A$111:$A$161,0),MATCH('TCO Inputs'!$AZ$12,'Year data'!$B$110:$AC$110,0))/(1+$AZ$41)^F$168</f>
        <v>1036.4762076937432</v>
      </c>
      <c r="G216" s="106">
        <f>VLOOKUP($A216,'VKT US'!$B$63:$AA$113,(G$168+1),FALSE)/VLOOKUP($A216,'Fuel economy adjusted factor'!$A$2:$F$52,6,FALSE)*INDEX('Year data'!$B$111:$AC$161,MATCH($A216,'Year data'!$A$111:$A$161,0),MATCH('TCO Inputs'!$AZ$12,'Year data'!$B$110:$AC$110,0))/(1+$AZ$41)^G$168</f>
        <v>994.42088371351622</v>
      </c>
      <c r="H216" s="106">
        <f>VLOOKUP($A216,'VKT US'!$B$63:$AA$113,(H$168+1),FALSE)/VLOOKUP($A216,'Fuel economy adjusted factor'!$A$2:$F$52,6,FALSE)*INDEX('Year data'!$B$111:$AC$161,MATCH($A216,'Year data'!$A$111:$A$161,0),MATCH('TCO Inputs'!$AZ$12,'Year data'!$B$110:$AC$110,0))/(1+$AZ$41)^H$168</f>
        <v>954.20582880258257</v>
      </c>
      <c r="I216" s="106">
        <f>VLOOKUP($A216,'VKT US'!$B$63:$AA$113,(I$168+1),FALSE)/VLOOKUP($A216,'Fuel economy adjusted factor'!$A$2:$F$52,6,FALSE)*INDEX('Year data'!$B$111:$AC$161,MATCH($A216,'Year data'!$A$111:$A$161,0),MATCH('TCO Inputs'!$AZ$12,'Year data'!$B$110:$AC$110,0))/(1+$AZ$41)^I$168</f>
        <v>915.94441045716451</v>
      </c>
      <c r="J216" s="106">
        <f>VLOOKUP($A216,'VKT US'!$B$63:$AA$113,(J$168+1),FALSE)/VLOOKUP($A216,'Fuel economy adjusted factor'!$A$2:$F$52,6,FALSE)*INDEX('Year data'!$B$111:$AC$161,MATCH($A216,'Year data'!$A$111:$A$161,0),MATCH('TCO Inputs'!$AZ$12,'Year data'!$B$110:$AC$110,0))/(1+$AZ$41)^J$168</f>
        <v>879.58243711131138</v>
      </c>
      <c r="K216" s="106">
        <f>VLOOKUP($A216,'VKT US'!$B$63:$AA$113,(K$168+1),FALSE)/VLOOKUP($A216,'Fuel economy adjusted factor'!$A$2:$F$52,6,FALSE)*INDEX('Year data'!$B$111:$AC$161,MATCH($A216,'Year data'!$A$111:$A$161,0),MATCH('TCO Inputs'!$AZ$12,'Year data'!$B$110:$AC$110,0))/(1+$AZ$41)^K$168</f>
        <v>845.06688793652597</v>
      </c>
      <c r="L216" s="106">
        <f>VLOOKUP($A216,'VKT US'!$B$63:$AA$113,(L$168+1),FALSE)/VLOOKUP($A216,'Fuel economy adjusted factor'!$A$2:$F$52,6,FALSE)*INDEX('Year data'!$B$111:$AC$161,MATCH($A216,'Year data'!$A$111:$A$161,0),MATCH('TCO Inputs'!$AZ$12,'Year data'!$B$110:$AC$110,0))/(1+$AZ$41)^L$168</f>
        <v>812.26734255732219</v>
      </c>
      <c r="M216" s="106">
        <f>VLOOKUP($A216,'VKT US'!$B$63:$AA$113,(M$168+1),FALSE)/VLOOKUP($A216,'Fuel economy adjusted factor'!$A$2:$F$52,6,FALSE)*INDEX('Year data'!$B$111:$AC$161,MATCH($A216,'Year data'!$A$111:$A$161,0),MATCH('TCO Inputs'!$AZ$12,'Year data'!$B$110:$AC$110,0))/(1+$AZ$41)^M$168</f>
        <v>781.21346690879045</v>
      </c>
      <c r="N216" s="106">
        <f>VLOOKUP($A216,'VKT US'!$B$63:$AA$113,(N$168+1),FALSE)/VLOOKUP($A216,'Fuel economy adjusted factor'!$A$2:$F$52,6,FALSE)*INDEX('Year data'!$B$111:$AC$161,MATCH($A216,'Year data'!$A$111:$A$161,0),MATCH('TCO Inputs'!$AZ$12,'Year data'!$B$110:$AC$110,0))/(1+$AZ$41)^N$168</f>
        <v>751.77889200826689</v>
      </c>
      <c r="O216" s="106">
        <f>VLOOKUP($A216,'VKT US'!$B$63:$AA$113,(O$168+1),FALSE)/VLOOKUP($A216,'Fuel economy adjusted factor'!$A$2:$F$52,6,FALSE)*INDEX('Year data'!$B$111:$AC$161,MATCH($A216,'Year data'!$A$111:$A$161,0),MATCH('TCO Inputs'!$AZ$12,'Year data'!$B$110:$AC$110,0))/(1+$AZ$41)^O$168</f>
        <v>723.99354606131999</v>
      </c>
      <c r="P216" s="106">
        <f>VLOOKUP($A216,'VKT US'!$B$63:$AA$113,(P$168+1),FALSE)/VLOOKUP($A216,'Fuel economy adjusted factor'!$A$2:$F$52,6,FALSE)*INDEX('Year data'!$B$111:$AC$161,MATCH($A216,'Year data'!$A$111:$A$161,0),MATCH('TCO Inputs'!$AZ$12,'Year data'!$B$110:$AC$110,0))/(1+$AZ$41)^P$168</f>
        <v>697.73498595244132</v>
      </c>
      <c r="Q216" s="106">
        <f>VLOOKUP($A216,'VKT US'!$B$63:$AA$113,(Q$168+1),FALSE)/VLOOKUP($A216,'Fuel economy adjusted factor'!$A$2:$F$52,6,FALSE)*INDEX('Year data'!$B$111:$AC$161,MATCH($A216,'Year data'!$A$111:$A$161,0),MATCH('TCO Inputs'!$AZ$12,'Year data'!$B$110:$AC$110,0))/(1+$AZ$41)^Q$168</f>
        <v>673.10736676925364</v>
      </c>
      <c r="R216" s="106">
        <f>VLOOKUP($A216,'VKT US'!$B$63:$AA$113,(R$168+1),FALSE)/VLOOKUP($A216,'Fuel economy adjusted factor'!$A$2:$F$52,6,FALSE)*INDEX('Year data'!$B$111:$AC$161,MATCH($A216,'Year data'!$A$111:$A$161,0),MATCH('TCO Inputs'!$AZ$12,'Year data'!$B$110:$AC$110,0))/(1+$AZ$41)^R$168</f>
        <v>649.84317135429774</v>
      </c>
      <c r="S216" s="106">
        <f>VLOOKUP($A216,'VKT US'!$B$63:$AA$113,(S$168+1),FALSE)/VLOOKUP($A216,'Fuel economy adjusted factor'!$A$2:$F$52,6,FALSE)*INDEX('Year data'!$B$111:$AC$161,MATCH($A216,'Year data'!$A$111:$A$161,0),MATCH('TCO Inputs'!$AZ$12,'Year data'!$B$110:$AC$110,0))/(1+$AZ$41)^S$168</f>
        <v>628.11989095664796</v>
      </c>
      <c r="T216" s="106">
        <f>VLOOKUP($A216,'VKT US'!$B$63:$AA$113,(T$168+1),FALSE)/VLOOKUP($A216,'Fuel economy adjusted factor'!$A$2:$F$52,6,FALSE)*INDEX('Year data'!$B$111:$AC$161,MATCH($A216,'Year data'!$A$111:$A$161,0),MATCH('TCO Inputs'!$AZ$12,'Year data'!$B$110:$AC$110,0))/(1+$AZ$41)^T$168</f>
        <v>607.67720426685037</v>
      </c>
      <c r="U216" s="106">
        <f>VLOOKUP($A216,'VKT US'!$B$63:$AA$113,(U$168+1),FALSE)/VLOOKUP($A216,'Fuel economy adjusted factor'!$A$2:$F$52,6,FALSE)*INDEX('Year data'!$B$111:$AC$161,MATCH($A216,'Year data'!$A$111:$A$161,0),MATCH('TCO Inputs'!$AZ$12,'Year data'!$B$110:$AC$110,0))/(1+$AZ$41)^U$168</f>
        <v>588.68929355809246</v>
      </c>
      <c r="V216" s="110" cm="1">
        <f t="array" ref="V216">SUMPRODUCT(INDEX(B216:U216,,_xlfn.SEQUENCE($AZ$13)))</f>
        <v>13303.772765472499</v>
      </c>
    </row>
    <row r="217" spans="1:22" x14ac:dyDescent="0.25">
      <c r="A217" s="102" t="s">
        <v>158</v>
      </c>
      <c r="B217" s="106">
        <f>VLOOKUP($A217,'VKT US'!$B$63:$AA$113,(B$168+1),FALSE)/VLOOKUP($A217,'Fuel economy adjusted factor'!$A$2:$F$52,6,FALSE)*INDEX('Year data'!$B$111:$AC$161,MATCH($A217,'Year data'!$A$111:$A$161,0),MATCH('TCO Inputs'!$AZ$12,'Year data'!$B$110:$AC$110,0))/(1+$AZ$41)^B$168</f>
        <v>1181.8669411640738</v>
      </c>
      <c r="C217" s="106">
        <f>VLOOKUP($A217,'VKT US'!$B$63:$AA$113,(C$168+1),FALSE)/VLOOKUP($A217,'Fuel economy adjusted factor'!$A$2:$F$52,6,FALSE)*INDEX('Year data'!$B$111:$AC$161,MATCH($A217,'Year data'!$A$111:$A$161,0),MATCH('TCO Inputs'!$AZ$12,'Year data'!$B$110:$AC$110,0))/(1+$AZ$41)^C$168</f>
        <v>1133.1172685816084</v>
      </c>
      <c r="D217" s="106">
        <f>VLOOKUP($A217,'VKT US'!$B$63:$AA$113,(D$168+1),FALSE)/VLOOKUP($A217,'Fuel economy adjusted factor'!$A$2:$F$52,6,FALSE)*INDEX('Year data'!$B$111:$AC$161,MATCH($A217,'Year data'!$A$111:$A$161,0),MATCH('TCO Inputs'!$AZ$12,'Year data'!$B$110:$AC$110,0))/(1+$AZ$41)^D$168</f>
        <v>1086.4405629156047</v>
      </c>
      <c r="E217" s="106">
        <f>VLOOKUP($A217,'VKT US'!$B$63:$AA$113,(E$168+1),FALSE)/VLOOKUP($A217,'Fuel economy adjusted factor'!$A$2:$F$52,6,FALSE)*INDEX('Year data'!$B$111:$AC$161,MATCH($A217,'Year data'!$A$111:$A$161,0),MATCH('TCO Inputs'!$AZ$12,'Year data'!$B$110:$AC$110,0))/(1+$AZ$41)^E$168</f>
        <v>1041.8639969063738</v>
      </c>
      <c r="F217" s="106">
        <f>VLOOKUP($A217,'VKT US'!$B$63:$AA$113,(F$168+1),FALSE)/VLOOKUP($A217,'Fuel economy adjusted factor'!$A$2:$F$52,6,FALSE)*INDEX('Year data'!$B$111:$AC$161,MATCH($A217,'Year data'!$A$111:$A$161,0),MATCH('TCO Inputs'!$AZ$12,'Year data'!$B$110:$AC$110,0))/(1+$AZ$41)^F$168</f>
        <v>999.24931620162158</v>
      </c>
      <c r="G217" s="106">
        <f>VLOOKUP($A217,'VKT US'!$B$63:$AA$113,(G$168+1),FALSE)/VLOOKUP($A217,'Fuel economy adjusted factor'!$A$2:$F$52,6,FALSE)*INDEX('Year data'!$B$111:$AC$161,MATCH($A217,'Year data'!$A$111:$A$161,0),MATCH('TCO Inputs'!$AZ$12,'Year data'!$B$110:$AC$110,0))/(1+$AZ$41)^G$168</f>
        <v>958.70448418527837</v>
      </c>
      <c r="H217" s="106">
        <f>VLOOKUP($A217,'VKT US'!$B$63:$AA$113,(H$168+1),FALSE)/VLOOKUP($A217,'Fuel economy adjusted factor'!$A$2:$F$52,6,FALSE)*INDEX('Year data'!$B$111:$AC$161,MATCH($A217,'Year data'!$A$111:$A$161,0),MATCH('TCO Inputs'!$AZ$12,'Year data'!$B$110:$AC$110,0))/(1+$AZ$41)^H$168</f>
        <v>919.93382469259575</v>
      </c>
      <c r="I217" s="106">
        <f>VLOOKUP($A217,'VKT US'!$B$63:$AA$113,(I$168+1),FALSE)/VLOOKUP($A217,'Fuel economy adjusted factor'!$A$2:$F$52,6,FALSE)*INDEX('Year data'!$B$111:$AC$161,MATCH($A217,'Year data'!$A$111:$A$161,0),MATCH('TCO Inputs'!$AZ$12,'Year data'!$B$110:$AC$110,0))/(1+$AZ$41)^I$168</f>
        <v>883.04663342398521</v>
      </c>
      <c r="J217" s="106">
        <f>VLOOKUP($A217,'VKT US'!$B$63:$AA$113,(J$168+1),FALSE)/VLOOKUP($A217,'Fuel economy adjusted factor'!$A$2:$F$52,6,FALSE)*INDEX('Year data'!$B$111:$AC$161,MATCH($A217,'Year data'!$A$111:$A$161,0),MATCH('TCO Inputs'!$AZ$12,'Year data'!$B$110:$AC$110,0))/(1+$AZ$41)^J$168</f>
        <v>847.99066520023462</v>
      </c>
      <c r="K217" s="106">
        <f>VLOOKUP($A217,'VKT US'!$B$63:$AA$113,(K$168+1),FALSE)/VLOOKUP($A217,'Fuel economy adjusted factor'!$A$2:$F$52,6,FALSE)*INDEX('Year data'!$B$111:$AC$161,MATCH($A217,'Year data'!$A$111:$A$161,0),MATCH('TCO Inputs'!$AZ$12,'Year data'!$B$110:$AC$110,0))/(1+$AZ$41)^K$168</f>
        <v>814.71480353046172</v>
      </c>
      <c r="L217" s="106">
        <f>VLOOKUP($A217,'VKT US'!$B$63:$AA$113,(L$168+1),FALSE)/VLOOKUP($A217,'Fuel economy adjusted factor'!$A$2:$F$52,6,FALSE)*INDEX('Year data'!$B$111:$AC$161,MATCH($A217,'Year data'!$A$111:$A$161,0),MATCH('TCO Inputs'!$AZ$12,'Year data'!$B$110:$AC$110,0))/(1+$AZ$41)^L$168</f>
        <v>783.09331231956298</v>
      </c>
      <c r="M217" s="106">
        <f>VLOOKUP($A217,'VKT US'!$B$63:$AA$113,(M$168+1),FALSE)/VLOOKUP($A217,'Fuel economy adjusted factor'!$A$2:$F$52,6,FALSE)*INDEX('Year data'!$B$111:$AC$161,MATCH($A217,'Year data'!$A$111:$A$161,0),MATCH('TCO Inputs'!$AZ$12,'Year data'!$B$110:$AC$110,0))/(1+$AZ$41)^M$168</f>
        <v>753.15479199766241</v>
      </c>
      <c r="N217" s="106">
        <f>VLOOKUP($A217,'VKT US'!$B$63:$AA$113,(N$168+1),FALSE)/VLOOKUP($A217,'Fuel economy adjusted factor'!$A$2:$F$52,6,FALSE)*INDEX('Year data'!$B$111:$AC$161,MATCH($A217,'Year data'!$A$111:$A$161,0),MATCH('TCO Inputs'!$AZ$12,'Year data'!$B$110:$AC$110,0))/(1+$AZ$41)^N$168</f>
        <v>724.77741234948019</v>
      </c>
      <c r="O217" s="106">
        <f>VLOOKUP($A217,'VKT US'!$B$63:$AA$113,(O$168+1),FALSE)/VLOOKUP($A217,'Fuel economy adjusted factor'!$A$2:$F$52,6,FALSE)*INDEX('Year data'!$B$111:$AC$161,MATCH($A217,'Year data'!$A$111:$A$161,0),MATCH('TCO Inputs'!$AZ$12,'Year data'!$B$110:$AC$110,0))/(1+$AZ$41)^O$168</f>
        <v>697.9900266557064</v>
      </c>
      <c r="P217" s="106">
        <f>VLOOKUP($A217,'VKT US'!$B$63:$AA$113,(P$168+1),FALSE)/VLOOKUP($A217,'Fuel economy adjusted factor'!$A$2:$F$52,6,FALSE)*INDEX('Year data'!$B$111:$AC$161,MATCH($A217,'Year data'!$A$111:$A$161,0),MATCH('TCO Inputs'!$AZ$12,'Year data'!$B$110:$AC$110,0))/(1+$AZ$41)^P$168</f>
        <v>672.67458956369626</v>
      </c>
      <c r="Q217" s="106">
        <f>VLOOKUP($A217,'VKT US'!$B$63:$AA$113,(Q$168+1),FALSE)/VLOOKUP($A217,'Fuel economy adjusted factor'!$A$2:$F$52,6,FALSE)*INDEX('Year data'!$B$111:$AC$161,MATCH($A217,'Year data'!$A$111:$A$161,0),MATCH('TCO Inputs'!$AZ$12,'Year data'!$B$110:$AC$110,0))/(1+$AZ$41)^Q$168</f>
        <v>648.93151524534619</v>
      </c>
      <c r="R217" s="106">
        <f>VLOOKUP($A217,'VKT US'!$B$63:$AA$113,(R$168+1),FALSE)/VLOOKUP($A217,'Fuel economy adjusted factor'!$A$2:$F$52,6,FALSE)*INDEX('Year data'!$B$111:$AC$161,MATCH($A217,'Year data'!$A$111:$A$161,0),MATCH('TCO Inputs'!$AZ$12,'Year data'!$B$110:$AC$110,0))/(1+$AZ$41)^R$168</f>
        <v>626.50289489900774</v>
      </c>
      <c r="S217" s="106">
        <f>VLOOKUP($A217,'VKT US'!$B$63:$AA$113,(S$168+1),FALSE)/VLOOKUP($A217,'Fuel economy adjusted factor'!$A$2:$F$52,6,FALSE)*INDEX('Year data'!$B$111:$AC$161,MATCH($A217,'Year data'!$A$111:$A$161,0),MATCH('TCO Inputs'!$AZ$12,'Year data'!$B$110:$AC$110,0))/(1+$AZ$41)^S$168</f>
        <v>605.55984485900001</v>
      </c>
      <c r="T217" s="106">
        <f>VLOOKUP($A217,'VKT US'!$B$63:$AA$113,(T$168+1),FALSE)/VLOOKUP($A217,'Fuel economy adjusted factor'!$A$2:$F$52,6,FALSE)*INDEX('Year data'!$B$111:$AC$161,MATCH($A217,'Year data'!$A$111:$A$161,0),MATCH('TCO Inputs'!$AZ$12,'Year data'!$B$110:$AC$110,0))/(1+$AZ$41)^T$168</f>
        <v>585.85139371996502</v>
      </c>
      <c r="U217" s="106">
        <f>VLOOKUP($A217,'VKT US'!$B$63:$AA$113,(U$168+1),FALSE)/VLOOKUP($A217,'Fuel economy adjusted factor'!$A$2:$F$52,6,FALSE)*INDEX('Year data'!$B$111:$AC$161,MATCH($A217,'Year data'!$A$111:$A$161,0),MATCH('TCO Inputs'!$AZ$12,'Year data'!$B$110:$AC$110,0))/(1+$AZ$41)^U$168</f>
        <v>567.54546768810553</v>
      </c>
      <c r="V217" s="110" cm="1">
        <f t="array" ref="V217">SUMPRODUCT(INDEX(B217:U217,,_xlfn.SEQUENCE($AZ$13)))</f>
        <v>12825.94404012425</v>
      </c>
    </row>
    <row r="218" spans="1:22" x14ac:dyDescent="0.25">
      <c r="A218" s="102" t="s">
        <v>160</v>
      </c>
      <c r="B218" s="106">
        <f>VLOOKUP($A218,'VKT US'!$B$63:$AA$113,(B$168+1),FALSE)/VLOOKUP($A218,'Fuel economy adjusted factor'!$A$2:$F$52,6,FALSE)*INDEX('Year data'!$B$111:$AC$161,MATCH($A218,'Year data'!$A$111:$A$161,0),MATCH('TCO Inputs'!$AZ$12,'Year data'!$B$110:$AC$110,0))/(1+$AZ$41)^B$168</f>
        <v>1975.7301342404553</v>
      </c>
      <c r="C218" s="106">
        <f>VLOOKUP($A218,'VKT US'!$B$63:$AA$113,(C$168+1),FALSE)/VLOOKUP($A218,'Fuel economy adjusted factor'!$A$2:$F$52,6,FALSE)*INDEX('Year data'!$B$111:$AC$161,MATCH($A218,'Year data'!$A$111:$A$161,0),MATCH('TCO Inputs'!$AZ$12,'Year data'!$B$110:$AC$110,0))/(1+$AZ$41)^C$168</f>
        <v>1894.2351758818888</v>
      </c>
      <c r="D218" s="106">
        <f>VLOOKUP($A218,'VKT US'!$B$63:$AA$113,(D$168+1),FALSE)/VLOOKUP($A218,'Fuel economy adjusted factor'!$A$2:$F$52,6,FALSE)*INDEX('Year data'!$B$111:$AC$161,MATCH($A218,'Year data'!$A$111:$A$161,0),MATCH('TCO Inputs'!$AZ$12,'Year data'!$B$110:$AC$110,0))/(1+$AZ$41)^D$168</f>
        <v>1816.2056018753906</v>
      </c>
      <c r="E218" s="106">
        <f>VLOOKUP($A218,'VKT US'!$B$63:$AA$113,(E$168+1),FALSE)/VLOOKUP($A218,'Fuel economy adjusted factor'!$A$2:$F$52,6,FALSE)*INDEX('Year data'!$B$111:$AC$161,MATCH($A218,'Year data'!$A$111:$A$161,0),MATCH('TCO Inputs'!$AZ$12,'Year data'!$B$110:$AC$110,0))/(1+$AZ$41)^E$168</f>
        <v>1741.6868369637918</v>
      </c>
      <c r="F218" s="106">
        <f>VLOOKUP($A218,'VKT US'!$B$63:$AA$113,(F$168+1),FALSE)/VLOOKUP($A218,'Fuel economy adjusted factor'!$A$2:$F$52,6,FALSE)*INDEX('Year data'!$B$111:$AC$161,MATCH($A218,'Year data'!$A$111:$A$161,0),MATCH('TCO Inputs'!$AZ$12,'Year data'!$B$110:$AC$110,0))/(1+$AZ$41)^F$168</f>
        <v>1670.4477609756884</v>
      </c>
      <c r="G218" s="106">
        <f>VLOOKUP($A218,'VKT US'!$B$63:$AA$113,(G$168+1),FALSE)/VLOOKUP($A218,'Fuel economy adjusted factor'!$A$2:$F$52,6,FALSE)*INDEX('Year data'!$B$111:$AC$161,MATCH($A218,'Year data'!$A$111:$A$161,0),MATCH('TCO Inputs'!$AZ$12,'Year data'!$B$110:$AC$110,0))/(1+$AZ$41)^G$168</f>
        <v>1602.6688565894578</v>
      </c>
      <c r="H218" s="106">
        <f>VLOOKUP($A218,'VKT US'!$B$63:$AA$113,(H$168+1),FALSE)/VLOOKUP($A218,'Fuel economy adjusted factor'!$A$2:$F$52,6,FALSE)*INDEX('Year data'!$B$111:$AC$161,MATCH($A218,'Year data'!$A$111:$A$161,0),MATCH('TCO Inputs'!$AZ$12,'Year data'!$B$110:$AC$110,0))/(1+$AZ$41)^H$168</f>
        <v>1537.8558411677545</v>
      </c>
      <c r="I218" s="106">
        <f>VLOOKUP($A218,'VKT US'!$B$63:$AA$113,(I$168+1),FALSE)/VLOOKUP($A218,'Fuel economy adjusted factor'!$A$2:$F$52,6,FALSE)*INDEX('Year data'!$B$111:$AC$161,MATCH($A218,'Year data'!$A$111:$A$161,0),MATCH('TCO Inputs'!$AZ$12,'Year data'!$B$110:$AC$110,0))/(1+$AZ$41)^I$168</f>
        <v>1476.1914246259876</v>
      </c>
      <c r="J218" s="106">
        <f>VLOOKUP($A218,'VKT US'!$B$63:$AA$113,(J$168+1),FALSE)/VLOOKUP($A218,'Fuel economy adjusted factor'!$A$2:$F$52,6,FALSE)*INDEX('Year data'!$B$111:$AC$161,MATCH($A218,'Year data'!$A$111:$A$161,0),MATCH('TCO Inputs'!$AZ$12,'Year data'!$B$110:$AC$110,0))/(1+$AZ$41)^J$168</f>
        <v>1417.5882685579945</v>
      </c>
      <c r="K218" s="106">
        <f>VLOOKUP($A218,'VKT US'!$B$63:$AA$113,(K$168+1),FALSE)/VLOOKUP($A218,'Fuel economy adjusted factor'!$A$2:$F$52,6,FALSE)*INDEX('Year data'!$B$111:$AC$161,MATCH($A218,'Year data'!$A$111:$A$161,0),MATCH('TCO Inputs'!$AZ$12,'Year data'!$B$110:$AC$110,0))/(1+$AZ$41)^K$168</f>
        <v>1361.9609213889191</v>
      </c>
      <c r="L218" s="106">
        <f>VLOOKUP($A218,'VKT US'!$B$63:$AA$113,(L$168+1),FALSE)/VLOOKUP($A218,'Fuel economy adjusted factor'!$A$2:$F$52,6,FALSE)*INDEX('Year data'!$B$111:$AC$161,MATCH($A218,'Year data'!$A$111:$A$161,0),MATCH('TCO Inputs'!$AZ$12,'Year data'!$B$110:$AC$110,0))/(1+$AZ$41)^L$168</f>
        <v>1309.0991897514664</v>
      </c>
      <c r="M218" s="106">
        <f>VLOOKUP($A218,'VKT US'!$B$63:$AA$113,(M$168+1),FALSE)/VLOOKUP($A218,'Fuel economy adjusted factor'!$A$2:$F$52,6,FALSE)*INDEX('Year data'!$B$111:$AC$161,MATCH($A218,'Year data'!$A$111:$A$161,0),MATCH('TCO Inputs'!$AZ$12,'Year data'!$B$110:$AC$110,0))/(1+$AZ$41)^M$168</f>
        <v>1259.0508850613553</v>
      </c>
      <c r="N218" s="106">
        <f>VLOOKUP($A218,'VKT US'!$B$63:$AA$113,(N$168+1),FALSE)/VLOOKUP($A218,'Fuel economy adjusted factor'!$A$2:$F$52,6,FALSE)*INDEX('Year data'!$B$111:$AC$161,MATCH($A218,'Year data'!$A$111:$A$161,0),MATCH('TCO Inputs'!$AZ$12,'Year data'!$B$110:$AC$110,0))/(1+$AZ$41)^N$168</f>
        <v>1211.612343421064</v>
      </c>
      <c r="O218" s="106">
        <f>VLOOKUP($A218,'VKT US'!$B$63:$AA$113,(O$168+1),FALSE)/VLOOKUP($A218,'Fuel economy adjusted factor'!$A$2:$F$52,6,FALSE)*INDEX('Year data'!$B$111:$AC$161,MATCH($A218,'Year data'!$A$111:$A$161,0),MATCH('TCO Inputs'!$AZ$12,'Year data'!$B$110:$AC$110,0))/(1+$AZ$41)^O$168</f>
        <v>1166.8317989372806</v>
      </c>
      <c r="P218" s="106">
        <f>VLOOKUP($A218,'VKT US'!$B$63:$AA$113,(P$168+1),FALSE)/VLOOKUP($A218,'Fuel economy adjusted factor'!$A$2:$F$52,6,FALSE)*INDEX('Year data'!$B$111:$AC$161,MATCH($A218,'Year data'!$A$111:$A$161,0),MATCH('TCO Inputs'!$AZ$12,'Year data'!$B$110:$AC$110,0))/(1+$AZ$41)^P$168</f>
        <v>1124.5119148774986</v>
      </c>
      <c r="Q218" s="106">
        <f>VLOOKUP($A218,'VKT US'!$B$63:$AA$113,(Q$168+1),FALSE)/VLOOKUP($A218,'Fuel economy adjusted factor'!$A$2:$F$52,6,FALSE)*INDEX('Year data'!$B$111:$AC$161,MATCH($A218,'Year data'!$A$111:$A$161,0),MATCH('TCO Inputs'!$AZ$12,'Year data'!$B$110:$AC$110,0))/(1+$AZ$41)^Q$168</f>
        <v>1084.8205538820964</v>
      </c>
      <c r="R218" s="106">
        <f>VLOOKUP($A218,'VKT US'!$B$63:$AA$113,(R$168+1),FALSE)/VLOOKUP($A218,'Fuel economy adjusted factor'!$A$2:$F$52,6,FALSE)*INDEX('Year data'!$B$111:$AC$161,MATCH($A218,'Year data'!$A$111:$A$161,0),MATCH('TCO Inputs'!$AZ$12,'Year data'!$B$110:$AC$110,0))/(1+$AZ$41)^R$168</f>
        <v>1047.3265691158811</v>
      </c>
      <c r="S218" s="106">
        <f>VLOOKUP($A218,'VKT US'!$B$63:$AA$113,(S$168+1),FALSE)/VLOOKUP($A218,'Fuel economy adjusted factor'!$A$2:$F$52,6,FALSE)*INDEX('Year data'!$B$111:$AC$161,MATCH($A218,'Year data'!$A$111:$A$161,0),MATCH('TCO Inputs'!$AZ$12,'Year data'!$B$110:$AC$110,0))/(1+$AZ$41)^S$168</f>
        <v>1012.3160162137121</v>
      </c>
      <c r="T218" s="106">
        <f>VLOOKUP($A218,'VKT US'!$B$63:$AA$113,(T$168+1),FALSE)/VLOOKUP($A218,'Fuel economy adjusted factor'!$A$2:$F$52,6,FALSE)*INDEX('Year data'!$B$111:$AC$161,MATCH($A218,'Year data'!$A$111:$A$161,0),MATCH('TCO Inputs'!$AZ$12,'Year data'!$B$110:$AC$110,0))/(1+$AZ$41)^T$168</f>
        <v>979.36934560437567</v>
      </c>
      <c r="U218" s="106">
        <f>VLOOKUP($A218,'VKT US'!$B$63:$AA$113,(U$168+1),FALSE)/VLOOKUP($A218,'Fuel economy adjusted factor'!$A$2:$F$52,6,FALSE)*INDEX('Year data'!$B$111:$AC$161,MATCH($A218,'Year data'!$A$111:$A$161,0),MATCH('TCO Inputs'!$AZ$12,'Year data'!$B$110:$AC$110,0))/(1+$AZ$41)^U$168</f>
        <v>948.76727997700641</v>
      </c>
      <c r="V218" s="110" cm="1">
        <f t="array" ref="V218">SUMPRODUCT(INDEX(B218:U218,,_xlfn.SEQUENCE($AZ$13)))</f>
        <v>21441.165039438496</v>
      </c>
    </row>
    <row r="219" spans="1:22" x14ac:dyDescent="0.25">
      <c r="A219" s="103" t="s">
        <v>134</v>
      </c>
      <c r="B219" s="106">
        <f>VLOOKUP($A219,'VKT US'!$B$63:$AA$113,(B$168+1),FALSE)/VLOOKUP($A219,'Fuel economy adjusted factor'!$A$2:$F$52,6,FALSE)*INDEX('Year data'!$B$111:$AC$161,MATCH($A219,'Year data'!$A$111:$A$161,0),MATCH('TCO Inputs'!$AZ$12,'Year data'!$B$110:$AC$110,0))/(1+$AZ$41)^B$168</f>
        <v>1121.159721140506</v>
      </c>
      <c r="C219" s="106">
        <f>VLOOKUP($A219,'VKT US'!$B$63:$AA$113,(C$168+1),FALSE)/VLOOKUP($A219,'Fuel economy adjusted factor'!$A$2:$F$52,6,FALSE)*INDEX('Year data'!$B$111:$AC$161,MATCH($A219,'Year data'!$A$111:$A$161,0),MATCH('TCO Inputs'!$AZ$12,'Year data'!$B$110:$AC$110,0))/(1+$AZ$41)^C$168</f>
        <v>1074.9141012533685</v>
      </c>
      <c r="D219" s="106">
        <f>VLOOKUP($A219,'VKT US'!$B$63:$AA$113,(D$168+1),FALSE)/VLOOKUP($A219,'Fuel economy adjusted factor'!$A$2:$F$52,6,FALSE)*INDEX('Year data'!$B$111:$AC$161,MATCH($A219,'Year data'!$A$111:$A$161,0),MATCH('TCO Inputs'!$AZ$12,'Year data'!$B$110:$AC$110,0))/(1+$AZ$41)^D$168</f>
        <v>1030.6349692415108</v>
      </c>
      <c r="E219" s="106">
        <f>VLOOKUP($A219,'VKT US'!$B$63:$AA$113,(E$168+1),FALSE)/VLOOKUP($A219,'Fuel economy adjusted factor'!$A$2:$F$52,6,FALSE)*INDEX('Year data'!$B$111:$AC$161,MATCH($A219,'Year data'!$A$111:$A$161,0),MATCH('TCO Inputs'!$AZ$12,'Year data'!$B$110:$AC$110,0))/(1+$AZ$41)^E$168</f>
        <v>988.34810210307842</v>
      </c>
      <c r="F219" s="106">
        <f>VLOOKUP($A219,'VKT US'!$B$63:$AA$113,(F$168+1),FALSE)/VLOOKUP($A219,'Fuel economy adjusted factor'!$A$2:$F$52,6,FALSE)*INDEX('Year data'!$B$111:$AC$161,MATCH($A219,'Year data'!$A$111:$A$161,0),MATCH('TCO Inputs'!$AZ$12,'Year data'!$B$110:$AC$110,0))/(1+$AZ$41)^F$168</f>
        <v>947.92234699364701</v>
      </c>
      <c r="G219" s="106">
        <f>VLOOKUP($A219,'VKT US'!$B$63:$AA$113,(G$168+1),FALSE)/VLOOKUP($A219,'Fuel economy adjusted factor'!$A$2:$F$52,6,FALSE)*INDEX('Year data'!$B$111:$AC$161,MATCH($A219,'Year data'!$A$111:$A$161,0),MATCH('TCO Inputs'!$AZ$12,'Year data'!$B$110:$AC$110,0))/(1+$AZ$41)^G$168</f>
        <v>909.46012170087499</v>
      </c>
      <c r="H219" s="106">
        <f>VLOOKUP($A219,'VKT US'!$B$63:$AA$113,(H$168+1),FALSE)/VLOOKUP($A219,'Fuel economy adjusted factor'!$A$2:$F$52,6,FALSE)*INDEX('Year data'!$B$111:$AC$161,MATCH($A219,'Year data'!$A$111:$A$161,0),MATCH('TCO Inputs'!$AZ$12,'Year data'!$B$110:$AC$110,0))/(1+$AZ$41)^H$168</f>
        <v>872.68093762247452</v>
      </c>
      <c r="I219" s="106">
        <f>VLOOKUP($A219,'VKT US'!$B$63:$AA$113,(I$168+1),FALSE)/VLOOKUP($A219,'Fuel economy adjusted factor'!$A$2:$F$52,6,FALSE)*INDEX('Year data'!$B$111:$AC$161,MATCH($A219,'Year data'!$A$111:$A$161,0),MATCH('TCO Inputs'!$AZ$12,'Year data'!$B$110:$AC$110,0))/(1+$AZ$41)^I$168</f>
        <v>837.68847642744493</v>
      </c>
      <c r="J219" s="106">
        <f>VLOOKUP($A219,'VKT US'!$B$63:$AA$113,(J$168+1),FALSE)/VLOOKUP($A219,'Fuel economy adjusted factor'!$A$2:$F$52,6,FALSE)*INDEX('Year data'!$B$111:$AC$161,MATCH($A219,'Year data'!$A$111:$A$161,0),MATCH('TCO Inputs'!$AZ$12,'Year data'!$B$110:$AC$110,0))/(1+$AZ$41)^J$168</f>
        <v>804.43317653781548</v>
      </c>
      <c r="K219" s="106">
        <f>VLOOKUP($A219,'VKT US'!$B$63:$AA$113,(K$168+1),FALSE)/VLOOKUP($A219,'Fuel economy adjusted factor'!$A$2:$F$52,6,FALSE)*INDEX('Year data'!$B$111:$AC$161,MATCH($A219,'Year data'!$A$111:$A$161,0),MATCH('TCO Inputs'!$AZ$12,'Year data'!$B$110:$AC$110,0))/(1+$AZ$41)^K$168</f>
        <v>772.86654708827132</v>
      </c>
      <c r="L219" s="106">
        <f>VLOOKUP($A219,'VKT US'!$B$63:$AA$113,(L$168+1),FALSE)/VLOOKUP($A219,'Fuel economy adjusted factor'!$A$2:$F$52,6,FALSE)*INDEX('Year data'!$B$111:$AC$161,MATCH($A219,'Year data'!$A$111:$A$161,0),MATCH('TCO Inputs'!$AZ$12,'Year data'!$B$110:$AC$110,0))/(1+$AZ$41)^L$168</f>
        <v>742.86931048468261</v>
      </c>
      <c r="M219" s="106">
        <f>VLOOKUP($A219,'VKT US'!$B$63:$AA$113,(M$168+1),FALSE)/VLOOKUP($A219,'Fuel economy adjusted factor'!$A$2:$F$52,6,FALSE)*INDEX('Year data'!$B$111:$AC$161,MATCH($A219,'Year data'!$A$111:$A$161,0),MATCH('TCO Inputs'!$AZ$12,'Year data'!$B$110:$AC$110,0))/(1+$AZ$41)^M$168</f>
        <v>714.46859808096588</v>
      </c>
      <c r="N219" s="106">
        <f>VLOOKUP($A219,'VKT US'!$B$63:$AA$113,(N$168+1),FALSE)/VLOOKUP($A219,'Fuel economy adjusted factor'!$A$2:$F$52,6,FALSE)*INDEX('Year data'!$B$111:$AC$161,MATCH($A219,'Year data'!$A$111:$A$161,0),MATCH('TCO Inputs'!$AZ$12,'Year data'!$B$110:$AC$110,0))/(1+$AZ$41)^N$168</f>
        <v>687.54883753523325</v>
      </c>
      <c r="O219" s="106">
        <f>VLOOKUP($A219,'VKT US'!$B$63:$AA$113,(O$168+1),FALSE)/VLOOKUP($A219,'Fuel economy adjusted factor'!$A$2:$F$52,6,FALSE)*INDEX('Year data'!$B$111:$AC$161,MATCH($A219,'Year data'!$A$111:$A$161,0),MATCH('TCO Inputs'!$AZ$12,'Year data'!$B$110:$AC$110,0))/(1+$AZ$41)^O$168</f>
        <v>662.13740006416401</v>
      </c>
      <c r="P219" s="106">
        <f>VLOOKUP($A219,'VKT US'!$B$63:$AA$113,(P$168+1),FALSE)/VLOOKUP($A219,'Fuel economy adjusted factor'!$A$2:$F$52,6,FALSE)*INDEX('Year data'!$B$111:$AC$161,MATCH($A219,'Year data'!$A$111:$A$161,0),MATCH('TCO Inputs'!$AZ$12,'Year data'!$B$110:$AC$110,0))/(1+$AZ$41)^P$168</f>
        <v>638.12230377703656</v>
      </c>
      <c r="Q219" s="106">
        <f>VLOOKUP($A219,'VKT US'!$B$63:$AA$113,(Q$168+1),FALSE)/VLOOKUP($A219,'Fuel economy adjusted factor'!$A$2:$F$52,6,FALSE)*INDEX('Year data'!$B$111:$AC$161,MATCH($A219,'Year data'!$A$111:$A$161,0),MATCH('TCO Inputs'!$AZ$12,'Year data'!$B$110:$AC$110,0))/(1+$AZ$41)^Q$168</f>
        <v>615.59880501874102</v>
      </c>
      <c r="R219" s="106">
        <f>VLOOKUP($A219,'VKT US'!$B$63:$AA$113,(R$168+1),FALSE)/VLOOKUP($A219,'Fuel economy adjusted factor'!$A$2:$F$52,6,FALSE)*INDEX('Year data'!$B$111:$AC$161,MATCH($A219,'Year data'!$A$111:$A$161,0),MATCH('TCO Inputs'!$AZ$12,'Year data'!$B$110:$AC$110,0))/(1+$AZ$41)^R$168</f>
        <v>594.32224260952455</v>
      </c>
      <c r="S219" s="106">
        <f>VLOOKUP($A219,'VKT US'!$B$63:$AA$113,(S$168+1),FALSE)/VLOOKUP($A219,'Fuel economy adjusted factor'!$A$2:$F$52,6,FALSE)*INDEX('Year data'!$B$111:$AC$161,MATCH($A219,'Year data'!$A$111:$A$161,0),MATCH('TCO Inputs'!$AZ$12,'Year data'!$B$110:$AC$110,0))/(1+$AZ$41)^S$168</f>
        <v>574.45494340276286</v>
      </c>
      <c r="T219" s="106">
        <f>VLOOKUP($A219,'VKT US'!$B$63:$AA$113,(T$168+1),FALSE)/VLOOKUP($A219,'Fuel economy adjusted factor'!$A$2:$F$52,6,FALSE)*INDEX('Year data'!$B$111:$AC$161,MATCH($A219,'Year data'!$A$111:$A$161,0),MATCH('TCO Inputs'!$AZ$12,'Year data'!$B$110:$AC$110,0))/(1+$AZ$41)^T$168</f>
        <v>555.75882727196733</v>
      </c>
      <c r="U219" s="106">
        <f>VLOOKUP($A219,'VKT US'!$B$63:$AA$113,(U$168+1),FALSE)/VLOOKUP($A219,'Fuel economy adjusted factor'!$A$2:$F$52,6,FALSE)*INDEX('Year data'!$B$111:$AC$161,MATCH($A219,'Year data'!$A$111:$A$161,0),MATCH('TCO Inputs'!$AZ$12,'Year data'!$B$110:$AC$110,0))/(1+$AZ$41)^U$168</f>
        <v>538.39319480501354</v>
      </c>
      <c r="V219" s="111" cm="1">
        <f t="array" ref="V219">SUMPRODUCT(INDEX(B219:U219,,_xlfn.SEQUENCE($AZ$13)))</f>
        <v>12167.132646274036</v>
      </c>
    </row>
    <row r="221" spans="1:22" x14ac:dyDescent="0.25">
      <c r="A221" s="104" t="s">
        <v>457</v>
      </c>
    </row>
    <row r="222" spans="1:22" x14ac:dyDescent="0.25">
      <c r="A222" s="213" t="s">
        <v>3</v>
      </c>
      <c r="B222" s="213" t="s">
        <v>317</v>
      </c>
      <c r="C222" s="213"/>
      <c r="D222" s="213"/>
      <c r="E222" s="213"/>
      <c r="F222" s="213"/>
      <c r="G222" s="213"/>
      <c r="H222" s="213"/>
      <c r="I222" s="213"/>
      <c r="J222" s="213"/>
      <c r="K222" s="213"/>
      <c r="L222" s="213"/>
      <c r="M222" s="213"/>
      <c r="N222" s="213"/>
      <c r="O222" s="213"/>
      <c r="P222" s="213"/>
      <c r="Q222" s="213"/>
      <c r="R222" s="213"/>
      <c r="S222" s="213"/>
      <c r="T222" s="213"/>
      <c r="U222" s="213"/>
      <c r="V222" s="214" t="s">
        <v>453</v>
      </c>
    </row>
    <row r="223" spans="1:22" x14ac:dyDescent="0.25">
      <c r="A223" s="213"/>
      <c r="B223" s="73">
        <v>1</v>
      </c>
      <c r="C223" s="73">
        <v>2</v>
      </c>
      <c r="D223" s="73">
        <v>3</v>
      </c>
      <c r="E223" s="73">
        <v>4</v>
      </c>
      <c r="F223" s="73">
        <v>5</v>
      </c>
      <c r="G223" s="73">
        <v>6</v>
      </c>
      <c r="H223" s="73">
        <v>7</v>
      </c>
      <c r="I223" s="73">
        <v>8</v>
      </c>
      <c r="J223" s="73">
        <v>9</v>
      </c>
      <c r="K223" s="73">
        <v>10</v>
      </c>
      <c r="L223" s="73">
        <v>11</v>
      </c>
      <c r="M223" s="73">
        <v>12</v>
      </c>
      <c r="N223" s="73">
        <v>13</v>
      </c>
      <c r="O223" s="73">
        <v>14</v>
      </c>
      <c r="P223" s="73">
        <v>15</v>
      </c>
      <c r="Q223" s="73">
        <v>16</v>
      </c>
      <c r="R223" s="73">
        <v>17</v>
      </c>
      <c r="S223" s="73">
        <v>18</v>
      </c>
      <c r="T223" s="73">
        <v>19</v>
      </c>
      <c r="U223" s="73">
        <v>20</v>
      </c>
      <c r="V223" s="215"/>
    </row>
    <row r="224" spans="1:22" x14ac:dyDescent="0.25">
      <c r="A224" s="102" t="s">
        <v>187</v>
      </c>
      <c r="B224" s="106">
        <f>VLOOKUP($A224,'VKT US'!$B$63:$AA$113,(B$223+1),FALSE)/VLOOKUP($A224,'Fuel economy adjusted factor'!$A$2:$G$52,7,FALSE)*VLOOKUP($A224,'US Grid mix, emissions&amp;prices'!$AE$2:$AI$52,5,FALSE)/(1+$AZ$41)^B$223</f>
        <v>1943.3059540678059</v>
      </c>
      <c r="C224" s="106">
        <f>VLOOKUP($A224,'VKT US'!$B$63:$AA$113,(C$223+1),FALSE)/VLOOKUP($A224,'Fuel economy adjusted factor'!$A$2:$G$52,7,FALSE)*VLOOKUP($A224,'US Grid mix, emissions&amp;prices'!$AE$2:$AI$52,5,FALSE)/(1+$AZ$41)^C$223</f>
        <v>1863.1484289786861</v>
      </c>
      <c r="D224" s="106">
        <f>VLOOKUP($A224,'VKT US'!$B$63:$AA$113,(D$223+1),FALSE)/VLOOKUP($A224,'Fuel economy adjusted factor'!$A$2:$G$52,7,FALSE)*VLOOKUP($A224,'US Grid mix, emissions&amp;prices'!$AE$2:$AI$52,5,FALSE)/(1+$AZ$41)^D$223</f>
        <v>1786.3994169895075</v>
      </c>
      <c r="E224" s="106">
        <f>VLOOKUP($A224,'VKT US'!$B$63:$AA$113,(E$223+1),FALSE)/VLOOKUP($A224,'Fuel economy adjusted factor'!$A$2:$G$52,7,FALSE)*VLOOKUP($A224,'US Grid mix, emissions&amp;prices'!$AE$2:$AI$52,5,FALSE)/(1+$AZ$41)^E$223</f>
        <v>1713.1035973667726</v>
      </c>
      <c r="F224" s="106">
        <f>VLOOKUP($A224,'VKT US'!$B$63:$AA$113,(F$223+1),FALSE)/VLOOKUP($A224,'Fuel economy adjusted factor'!$A$2:$G$52,7,FALSE)*VLOOKUP($A224,'US Grid mix, emissions&amp;prices'!$AE$2:$AI$52,5,FALSE)/(1+$AZ$41)^F$223</f>
        <v>1643.0336429075364</v>
      </c>
      <c r="G224" s="106">
        <f>VLOOKUP($A224,'VKT US'!$B$63:$AA$113,(G$223+1),FALSE)/VLOOKUP($A224,'Fuel economy adjusted factor'!$A$2:$G$52,7,FALSE)*VLOOKUP($A224,'US Grid mix, emissions&amp;prices'!$AE$2:$AI$52,5,FALSE)/(1+$AZ$41)^G$223</f>
        <v>1576.3670743457371</v>
      </c>
      <c r="H224" s="106">
        <f>VLOOKUP($A224,'VKT US'!$B$63:$AA$113,(H$223+1),FALSE)/VLOOKUP($A224,'Fuel economy adjusted factor'!$A$2:$G$52,7,FALSE)*VLOOKUP($A224,'US Grid mix, emissions&amp;prices'!$AE$2:$AI$52,5,FALSE)/(1+$AZ$41)^H$223</f>
        <v>1512.6177208347092</v>
      </c>
      <c r="I224" s="106">
        <f>VLOOKUP($A224,'VKT US'!$B$63:$AA$113,(I$223+1),FALSE)/VLOOKUP($A224,'Fuel economy adjusted factor'!$A$2:$G$52,7,FALSE)*VLOOKUP($A224,'US Grid mix, emissions&amp;prices'!$AE$2:$AI$52,5,FALSE)/(1+$AZ$41)^I$223</f>
        <v>1451.9652937937049</v>
      </c>
      <c r="J224" s="106">
        <f>VLOOKUP($A224,'VKT US'!$B$63:$AA$113,(J$223+1),FALSE)/VLOOKUP($A224,'Fuel economy adjusted factor'!$A$2:$G$52,7,FALSE)*VLOOKUP($A224,'US Grid mix, emissions&amp;prices'!$AE$2:$AI$52,5,FALSE)/(1+$AZ$41)^J$223</f>
        <v>1394.3238881480513</v>
      </c>
      <c r="K224" s="106">
        <f>VLOOKUP($A224,'VKT US'!$B$63:$AA$113,(K$223+1),FALSE)/VLOOKUP($A224,'Fuel economy adjusted factor'!$A$2:$G$52,7,FALSE)*VLOOKUP($A224,'US Grid mix, emissions&amp;prices'!$AE$2:$AI$52,5,FALSE)/(1+$AZ$41)^K$223</f>
        <v>1339.6094546891422</v>
      </c>
      <c r="L224" s="106">
        <f>VLOOKUP($A224,'VKT US'!$B$63:$AA$113,(L$223+1),FALSE)/VLOOKUP($A224,'Fuel economy adjusted factor'!$A$2:$G$52,7,FALSE)*VLOOKUP($A224,'US Grid mix, emissions&amp;prices'!$AE$2:$AI$52,5,FALSE)/(1+$AZ$41)^L$223</f>
        <v>1287.615249583348</v>
      </c>
      <c r="M224" s="106">
        <f>VLOOKUP($A224,'VKT US'!$B$63:$AA$113,(M$223+1),FALSE)/VLOOKUP($A224,'Fuel economy adjusted factor'!$A$2:$G$52,7,FALSE)*VLOOKUP($A224,'US Grid mix, emissions&amp;prices'!$AE$2:$AI$52,5,FALSE)/(1+$AZ$41)^M$223</f>
        <v>1238.3882996017999</v>
      </c>
      <c r="N224" s="106">
        <f>VLOOKUP($A224,'VKT US'!$B$63:$AA$113,(N$223+1),FALSE)/VLOOKUP($A224,'Fuel economy adjusted factor'!$A$2:$G$52,7,FALSE)*VLOOKUP($A224,'US Grid mix, emissions&amp;prices'!$AE$2:$AI$52,5,FALSE)/(1+$AZ$41)^N$223</f>
        <v>1191.7282832239496</v>
      </c>
      <c r="O224" s="106">
        <f>VLOOKUP($A224,'VKT US'!$B$63:$AA$113,(O$223+1),FALSE)/VLOOKUP($A224,'Fuel economy adjusted factor'!$A$2:$G$52,7,FALSE)*VLOOKUP($A224,'US Grid mix, emissions&amp;prices'!$AE$2:$AI$52,5,FALSE)/(1+$AZ$41)^O$223</f>
        <v>1147.6826429750151</v>
      </c>
      <c r="P224" s="106">
        <f>VLOOKUP($A224,'VKT US'!$B$63:$AA$113,(P$223+1),FALSE)/VLOOKUP($A224,'Fuel economy adjusted factor'!$A$2:$G$52,7,FALSE)*VLOOKUP($A224,'US Grid mix, emissions&amp;prices'!$AE$2:$AI$52,5,FALSE)/(1+$AZ$41)^P$223</f>
        <v>1106.0572806628438</v>
      </c>
      <c r="Q224" s="106">
        <f>VLOOKUP($A224,'VKT US'!$B$63:$AA$113,(Q$223+1),FALSE)/VLOOKUP($A224,'Fuel economy adjusted factor'!$A$2:$G$52,7,FALSE)*VLOOKUP($A224,'US Grid mix, emissions&amp;prices'!$AE$2:$AI$52,5,FALSE)/(1+$AZ$41)^Q$223</f>
        <v>1067.0173040938414</v>
      </c>
      <c r="R224" s="106">
        <f>VLOOKUP($A224,'VKT US'!$B$63:$AA$113,(R$223+1),FALSE)/VLOOKUP($A224,'Fuel economy adjusted factor'!$A$2:$G$52,7,FALSE)*VLOOKUP($A224,'US Grid mix, emissions&amp;prices'!$AE$2:$AI$52,5,FALSE)/(1+$AZ$41)^R$223</f>
        <v>1030.1386420867323</v>
      </c>
      <c r="S224" s="106">
        <f>VLOOKUP($A224,'VKT US'!$B$63:$AA$113,(S$223+1),FALSE)/VLOOKUP($A224,'Fuel economy adjusted factor'!$A$2:$G$52,7,FALSE)*VLOOKUP($A224,'US Grid mix, emissions&amp;prices'!$AE$2:$AI$52,5,FALSE)/(1+$AZ$41)^S$223</f>
        <v>995.70265574887844</v>
      </c>
      <c r="T224" s="106">
        <f>VLOOKUP($A224,'VKT US'!$B$63:$AA$113,(T$223+1),FALSE)/VLOOKUP($A224,'Fuel economy adjusted factor'!$A$2:$G$52,7,FALSE)*VLOOKUP($A224,'US Grid mix, emissions&amp;prices'!$AE$2:$AI$52,5,FALSE)/(1+$AZ$41)^T$223</f>
        <v>963.29668083750801</v>
      </c>
      <c r="U224" s="109">
        <f>VLOOKUP($A224,'VKT US'!$B$63:$AA$113,(U$223+1),FALSE)/VLOOKUP($A224,'Fuel economy adjusted factor'!$A$2:$G$52,7,FALSE)*VLOOKUP($A224,'US Grid mix, emissions&amp;prices'!$AE$2:$AI$52,5,FALSE)/(1+$AZ$41)^U$223</f>
        <v>933.19683303450677</v>
      </c>
      <c r="V224" s="109" cm="1">
        <f t="array" ref="V224">SUMPRODUCT(INDEX(B224:U224,,_xlfn.SEQUENCE($AZ$13)))</f>
        <v>21089.288947505764</v>
      </c>
    </row>
    <row r="225" spans="1:22" x14ac:dyDescent="0.25">
      <c r="A225" s="102" t="s">
        <v>231</v>
      </c>
      <c r="B225" s="106">
        <f>VLOOKUP($A225,'VKT US'!$B$63:$AA$113,(B$223+1),FALSE)/VLOOKUP($A225,'Fuel economy adjusted factor'!$A$2:$G$52,7,FALSE)*VLOOKUP($A225,'US Grid mix, emissions&amp;prices'!$AE$2:$AI$52,5,FALSE)/(1+$AZ$41)^B$223</f>
        <v>1428.5426694410455</v>
      </c>
      <c r="C225" s="106">
        <f>VLOOKUP($A225,'VKT US'!$B$63:$AA$113,(C$223+1),FALSE)/VLOOKUP($A225,'Fuel economy adjusted factor'!$A$2:$G$52,7,FALSE)*VLOOKUP($A225,'US Grid mix, emissions&amp;prices'!$AE$2:$AI$52,5,FALSE)/(1+$AZ$41)^C$223</f>
        <v>1369.618111202079</v>
      </c>
      <c r="D225" s="106">
        <f>VLOOKUP($A225,'VKT US'!$B$63:$AA$113,(D$223+1),FALSE)/VLOOKUP($A225,'Fuel economy adjusted factor'!$A$2:$G$52,7,FALSE)*VLOOKUP($A225,'US Grid mix, emissions&amp;prices'!$AE$2:$AI$52,5,FALSE)/(1+$AZ$41)^D$223</f>
        <v>1313.1991833258571</v>
      </c>
      <c r="E225" s="106">
        <f>VLOOKUP($A225,'VKT US'!$B$63:$AA$113,(E$223+1),FALSE)/VLOOKUP($A225,'Fuel economy adjusted factor'!$A$2:$G$52,7,FALSE)*VLOOKUP($A225,'US Grid mix, emissions&amp;prices'!$AE$2:$AI$52,5,FALSE)/(1+$AZ$41)^E$223</f>
        <v>1259.3187299656665</v>
      </c>
      <c r="F225" s="106">
        <f>VLOOKUP($A225,'VKT US'!$B$63:$AA$113,(F$223+1),FALSE)/VLOOKUP($A225,'Fuel economy adjusted factor'!$A$2:$G$52,7,FALSE)*VLOOKUP($A225,'US Grid mix, emissions&amp;prices'!$AE$2:$AI$52,5,FALSE)/(1+$AZ$41)^F$223</f>
        <v>1207.8096407348737</v>
      </c>
      <c r="G225" s="106">
        <f>VLOOKUP($A225,'VKT US'!$B$63:$AA$113,(G$223+1),FALSE)/VLOOKUP($A225,'Fuel economy adjusted factor'!$A$2:$G$52,7,FALSE)*VLOOKUP($A225,'US Grid mix, emissions&amp;prices'!$AE$2:$AI$52,5,FALSE)/(1+$AZ$41)^G$223</f>
        <v>1158.802412811553</v>
      </c>
      <c r="H225" s="106">
        <f>VLOOKUP($A225,'VKT US'!$B$63:$AA$113,(H$223+1),FALSE)/VLOOKUP($A225,'Fuel economy adjusted factor'!$A$2:$G$52,7,FALSE)*VLOOKUP($A225,'US Grid mix, emissions&amp;prices'!$AE$2:$AI$52,5,FALSE)/(1+$AZ$41)^H$223</f>
        <v>1111.9396573873976</v>
      </c>
      <c r="I225" s="106">
        <f>VLOOKUP($A225,'VKT US'!$B$63:$AA$113,(I$223+1),FALSE)/VLOOKUP($A225,'Fuel economy adjusted factor'!$A$2:$G$52,7,FALSE)*VLOOKUP($A225,'US Grid mix, emissions&amp;prices'!$AE$2:$AI$52,5,FALSE)/(1+$AZ$41)^I$223</f>
        <v>1067.353482034069</v>
      </c>
      <c r="J225" s="106">
        <f>VLOOKUP($A225,'VKT US'!$B$63:$AA$113,(J$223+1),FALSE)/VLOOKUP($A225,'Fuel economy adjusted factor'!$A$2:$G$52,7,FALSE)*VLOOKUP($A225,'US Grid mix, emissions&amp;prices'!$AE$2:$AI$52,5,FALSE)/(1+$AZ$41)^J$223</f>
        <v>1024.9807371150241</v>
      </c>
      <c r="K225" s="106">
        <f>VLOOKUP($A225,'VKT US'!$B$63:$AA$113,(K$223+1),FALSE)/VLOOKUP($A225,'Fuel economy adjusted factor'!$A$2:$G$52,7,FALSE)*VLOOKUP($A225,'US Grid mix, emissions&amp;prices'!$AE$2:$AI$52,5,FALSE)/(1+$AZ$41)^K$223</f>
        <v>984.75963725849726</v>
      </c>
      <c r="L225" s="106">
        <f>VLOOKUP($A225,'VKT US'!$B$63:$AA$113,(L$223+1),FALSE)/VLOOKUP($A225,'Fuel economy adjusted factor'!$A$2:$G$52,7,FALSE)*VLOOKUP($A225,'US Grid mix, emissions&amp;prices'!$AE$2:$AI$52,5,FALSE)/(1+$AZ$41)^L$223</f>
        <v>946.53820310819333</v>
      </c>
      <c r="M225" s="106">
        <f>VLOOKUP($A225,'VKT US'!$B$63:$AA$113,(M$223+1),FALSE)/VLOOKUP($A225,'Fuel economy adjusted factor'!$A$2:$G$52,7,FALSE)*VLOOKUP($A225,'US Grid mix, emissions&amp;prices'!$AE$2:$AI$52,5,FALSE)/(1+$AZ$41)^M$223</f>
        <v>910.3510044903536</v>
      </c>
      <c r="N225" s="106">
        <f>VLOOKUP($A225,'VKT US'!$B$63:$AA$113,(N$223+1),FALSE)/VLOOKUP($A225,'Fuel economy adjusted factor'!$A$2:$G$52,7,FALSE)*VLOOKUP($A225,'US Grid mix, emissions&amp;prices'!$AE$2:$AI$52,5,FALSE)/(1+$AZ$41)^N$223</f>
        <v>876.05078315204617</v>
      </c>
      <c r="O225" s="106">
        <f>VLOOKUP($A225,'VKT US'!$B$63:$AA$113,(O$223+1),FALSE)/VLOOKUP($A225,'Fuel economy adjusted factor'!$A$2:$G$52,7,FALSE)*VLOOKUP($A225,'US Grid mix, emissions&amp;prices'!$AE$2:$AI$52,5,FALSE)/(1+$AZ$41)^O$223</f>
        <v>843.67241454429097</v>
      </c>
      <c r="P225" s="106">
        <f>VLOOKUP($A225,'VKT US'!$B$63:$AA$113,(P$223+1),FALSE)/VLOOKUP($A225,'Fuel economy adjusted factor'!$A$2:$G$52,7,FALSE)*VLOOKUP($A225,'US Grid mix, emissions&amp;prices'!$AE$2:$AI$52,5,FALSE)/(1+$AZ$41)^P$223</f>
        <v>813.07321524198426</v>
      </c>
      <c r="Q225" s="106">
        <f>VLOOKUP($A225,'VKT US'!$B$63:$AA$113,(Q$223+1),FALSE)/VLOOKUP($A225,'Fuel economy adjusted factor'!$A$2:$G$52,7,FALSE)*VLOOKUP($A225,'US Grid mix, emissions&amp;prices'!$AE$2:$AI$52,5,FALSE)/(1+$AZ$41)^Q$223</f>
        <v>784.37455756224097</v>
      </c>
      <c r="R225" s="106">
        <f>VLOOKUP($A225,'VKT US'!$B$63:$AA$113,(R$223+1),FALSE)/VLOOKUP($A225,'Fuel economy adjusted factor'!$A$2:$G$52,7,FALSE)*VLOOKUP($A225,'US Grid mix, emissions&amp;prices'!$AE$2:$AI$52,5,FALSE)/(1+$AZ$41)^R$223</f>
        <v>757.26470275076781</v>
      </c>
      <c r="S225" s="106">
        <f>VLOOKUP($A225,'VKT US'!$B$63:$AA$113,(S$223+1),FALSE)/VLOOKUP($A225,'Fuel economy adjusted factor'!$A$2:$G$52,7,FALSE)*VLOOKUP($A225,'US Grid mix, emissions&amp;prices'!$AE$2:$AI$52,5,FALSE)/(1+$AZ$41)^S$223</f>
        <v>731.95048203069041</v>
      </c>
      <c r="T225" s="106">
        <f>VLOOKUP($A225,'VKT US'!$B$63:$AA$113,(T$223+1),FALSE)/VLOOKUP($A225,'Fuel economy adjusted factor'!$A$2:$G$52,7,FALSE)*VLOOKUP($A225,'US Grid mix, emissions&amp;prices'!$AE$2:$AI$52,5,FALSE)/(1+$AZ$41)^T$223</f>
        <v>708.12854199658216</v>
      </c>
      <c r="U225" s="109">
        <f>VLOOKUP($A225,'VKT US'!$B$63:$AA$113,(U$223+1),FALSE)/VLOOKUP($A225,'Fuel economy adjusted factor'!$A$2:$G$52,7,FALSE)*VLOOKUP($A225,'US Grid mix, emissions&amp;prices'!$AE$2:$AI$52,5,FALSE)/(1+$AZ$41)^U$223</f>
        <v>686.00185790946682</v>
      </c>
      <c r="V225" s="110" cm="1">
        <f t="array" ref="V225">SUMPRODUCT(INDEX(B225:U225,,_xlfn.SEQUENCE($AZ$13)))</f>
        <v>15502.936666570948</v>
      </c>
    </row>
    <row r="226" spans="1:22" x14ac:dyDescent="0.25">
      <c r="A226" s="102" t="s">
        <v>189</v>
      </c>
      <c r="B226" s="106">
        <f>VLOOKUP($A226,'VKT US'!$B$63:$AA$113,(B$223+1),FALSE)/VLOOKUP($A226,'Fuel economy adjusted factor'!$A$2:$G$52,7,FALSE)*VLOOKUP($A226,'US Grid mix, emissions&amp;prices'!$AE$2:$AI$52,5,FALSE)/(1+$AZ$41)^B$223</f>
        <v>1444.5603642991018</v>
      </c>
      <c r="C226" s="106">
        <f>VLOOKUP($A226,'VKT US'!$B$63:$AA$113,(C$223+1),FALSE)/VLOOKUP($A226,'Fuel economy adjusted factor'!$A$2:$G$52,7,FALSE)*VLOOKUP($A226,'US Grid mix, emissions&amp;prices'!$AE$2:$AI$52,5,FALSE)/(1+$AZ$41)^C$223</f>
        <v>1384.9751078438987</v>
      </c>
      <c r="D226" s="106">
        <f>VLOOKUP($A226,'VKT US'!$B$63:$AA$113,(D$223+1),FALSE)/VLOOKUP($A226,'Fuel economy adjusted factor'!$A$2:$G$52,7,FALSE)*VLOOKUP($A226,'US Grid mix, emissions&amp;prices'!$AE$2:$AI$52,5,FALSE)/(1+$AZ$41)^D$223</f>
        <v>1327.9235764128293</v>
      </c>
      <c r="E226" s="106">
        <f>VLOOKUP($A226,'VKT US'!$B$63:$AA$113,(E$223+1),FALSE)/VLOOKUP($A226,'Fuel economy adjusted factor'!$A$2:$G$52,7,FALSE)*VLOOKUP($A226,'US Grid mix, emissions&amp;prices'!$AE$2:$AI$52,5,FALSE)/(1+$AZ$41)^E$223</f>
        <v>1273.4389824279315</v>
      </c>
      <c r="F226" s="106">
        <f>VLOOKUP($A226,'VKT US'!$B$63:$AA$113,(F$223+1),FALSE)/VLOOKUP($A226,'Fuel economy adjusted factor'!$A$2:$G$52,7,FALSE)*VLOOKUP($A226,'US Grid mix, emissions&amp;prices'!$AE$2:$AI$52,5,FALSE)/(1+$AZ$41)^F$223</f>
        <v>1221.3523417586237</v>
      </c>
      <c r="G226" s="106">
        <f>VLOOKUP($A226,'VKT US'!$B$63:$AA$113,(G$223+1),FALSE)/VLOOKUP($A226,'Fuel economy adjusted factor'!$A$2:$G$52,7,FALSE)*VLOOKUP($A226,'US Grid mix, emissions&amp;prices'!$AE$2:$AI$52,5,FALSE)/(1+$AZ$41)^G$223</f>
        <v>1171.7956147972222</v>
      </c>
      <c r="H226" s="106">
        <f>VLOOKUP($A226,'VKT US'!$B$63:$AA$113,(H$223+1),FALSE)/VLOOKUP($A226,'Fuel economy adjusted factor'!$A$2:$G$52,7,FALSE)*VLOOKUP($A226,'US Grid mix, emissions&amp;prices'!$AE$2:$AI$52,5,FALSE)/(1+$AZ$41)^H$223</f>
        <v>1124.4074054733346</v>
      </c>
      <c r="I226" s="106">
        <f>VLOOKUP($A226,'VKT US'!$B$63:$AA$113,(I$223+1),FALSE)/VLOOKUP($A226,'Fuel economy adjusted factor'!$A$2:$G$52,7,FALSE)*VLOOKUP($A226,'US Grid mix, emissions&amp;prices'!$AE$2:$AI$52,5,FALSE)/(1+$AZ$41)^I$223</f>
        <v>1079.3213026295821</v>
      </c>
      <c r="J226" s="106">
        <f>VLOOKUP($A226,'VKT US'!$B$63:$AA$113,(J$223+1),FALSE)/VLOOKUP($A226,'Fuel economy adjusted factor'!$A$2:$G$52,7,FALSE)*VLOOKUP($A226,'US Grid mix, emissions&amp;prices'!$AE$2:$AI$52,5,FALSE)/(1+$AZ$41)^J$223</f>
        <v>1036.4734485570409</v>
      </c>
      <c r="K226" s="106">
        <f>VLOOKUP($A226,'VKT US'!$B$63:$AA$113,(K$223+1),FALSE)/VLOOKUP($A226,'Fuel economy adjusted factor'!$A$2:$G$52,7,FALSE)*VLOOKUP($A226,'US Grid mix, emissions&amp;prices'!$AE$2:$AI$52,5,FALSE)/(1+$AZ$41)^K$223</f>
        <v>995.80136510853663</v>
      </c>
      <c r="L226" s="106">
        <f>VLOOKUP($A226,'VKT US'!$B$63:$AA$113,(L$223+1),FALSE)/VLOOKUP($A226,'Fuel economy adjusted factor'!$A$2:$G$52,7,FALSE)*VLOOKUP($A226,'US Grid mix, emissions&amp;prices'!$AE$2:$AI$52,5,FALSE)/(1+$AZ$41)^L$223</f>
        <v>957.15136884220135</v>
      </c>
      <c r="M226" s="106">
        <f>VLOOKUP($A226,'VKT US'!$B$63:$AA$113,(M$223+1),FALSE)/VLOOKUP($A226,'Fuel economy adjusted factor'!$A$2:$G$52,7,FALSE)*VLOOKUP($A226,'US Grid mix, emissions&amp;prices'!$AE$2:$AI$52,5,FALSE)/(1+$AZ$41)^M$223</f>
        <v>920.558417202329</v>
      </c>
      <c r="N226" s="106">
        <f>VLOOKUP($A226,'VKT US'!$B$63:$AA$113,(N$223+1),FALSE)/VLOOKUP($A226,'Fuel economy adjusted factor'!$A$2:$G$52,7,FALSE)*VLOOKUP($A226,'US Grid mix, emissions&amp;prices'!$AE$2:$AI$52,5,FALSE)/(1+$AZ$41)^N$223</f>
        <v>885.8736007863148</v>
      </c>
      <c r="O226" s="106">
        <f>VLOOKUP($A226,'VKT US'!$B$63:$AA$113,(O$223+1),FALSE)/VLOOKUP($A226,'Fuel economy adjusted factor'!$A$2:$G$52,7,FALSE)*VLOOKUP($A226,'US Grid mix, emissions&amp;prices'!$AE$2:$AI$52,5,FALSE)/(1+$AZ$41)^O$223</f>
        <v>853.13218609008425</v>
      </c>
      <c r="P226" s="106">
        <f>VLOOKUP($A226,'VKT US'!$B$63:$AA$113,(P$223+1),FALSE)/VLOOKUP($A226,'Fuel economy adjusted factor'!$A$2:$G$52,7,FALSE)*VLOOKUP($A226,'US Grid mix, emissions&amp;prices'!$AE$2:$AI$52,5,FALSE)/(1+$AZ$41)^P$223</f>
        <v>822.189889834631</v>
      </c>
      <c r="Q226" s="106">
        <f>VLOOKUP($A226,'VKT US'!$B$63:$AA$113,(Q$223+1),FALSE)/VLOOKUP($A226,'Fuel economy adjusted factor'!$A$2:$G$52,7,FALSE)*VLOOKUP($A226,'US Grid mix, emissions&amp;prices'!$AE$2:$AI$52,5,FALSE)/(1+$AZ$41)^Q$223</f>
        <v>793.16944523778443</v>
      </c>
      <c r="R226" s="106">
        <f>VLOOKUP($A226,'VKT US'!$B$63:$AA$113,(R$223+1),FALSE)/VLOOKUP($A226,'Fuel economy adjusted factor'!$A$2:$G$52,7,FALSE)*VLOOKUP($A226,'US Grid mix, emissions&amp;prices'!$AE$2:$AI$52,5,FALSE)/(1+$AZ$41)^R$223</f>
        <v>765.7556181395147</v>
      </c>
      <c r="S226" s="106">
        <f>VLOOKUP($A226,'VKT US'!$B$63:$AA$113,(S$223+1),FALSE)/VLOOKUP($A226,'Fuel economy adjusted factor'!$A$2:$G$52,7,FALSE)*VLOOKUP($A226,'US Grid mix, emissions&amp;prices'!$AE$2:$AI$52,5,FALSE)/(1+$AZ$41)^S$223</f>
        <v>740.15755888122794</v>
      </c>
      <c r="T226" s="106">
        <f>VLOOKUP($A226,'VKT US'!$B$63:$AA$113,(T$223+1),FALSE)/VLOOKUP($A226,'Fuel economy adjusted factor'!$A$2:$G$52,7,FALSE)*VLOOKUP($A226,'US Grid mix, emissions&amp;prices'!$AE$2:$AI$52,5,FALSE)/(1+$AZ$41)^T$223</f>
        <v>716.06851267342574</v>
      </c>
      <c r="U226" s="109">
        <f>VLOOKUP($A226,'VKT US'!$B$63:$AA$113,(U$223+1),FALSE)/VLOOKUP($A226,'Fuel economy adjusted factor'!$A$2:$G$52,7,FALSE)*VLOOKUP($A226,'US Grid mix, emissions&amp;prices'!$AE$2:$AI$52,5,FALSE)/(1+$AZ$41)^U$223</f>
        <v>693.69373066000435</v>
      </c>
      <c r="V226" s="110" cm="1">
        <f t="array" ref="V226">SUMPRODUCT(INDEX(B226:U226,,_xlfn.SEQUENCE($AZ$13)))</f>
        <v>15676.765082229029</v>
      </c>
    </row>
    <row r="227" spans="1:22" x14ac:dyDescent="0.25">
      <c r="A227" s="102" t="s">
        <v>188</v>
      </c>
      <c r="B227" s="106">
        <f>VLOOKUP($A227,'VKT US'!$B$63:$AA$113,(B$223+1),FALSE)/VLOOKUP($A227,'Fuel economy adjusted factor'!$A$2:$G$52,7,FALSE)*VLOOKUP($A227,'US Grid mix, emissions&amp;prices'!$AE$2:$AI$52,5,FALSE)/(1+$AZ$41)^B$223</f>
        <v>1889.6997114702724</v>
      </c>
      <c r="C227" s="106">
        <f>VLOOKUP($A227,'VKT US'!$B$63:$AA$113,(C$223+1),FALSE)/VLOOKUP($A227,'Fuel economy adjusted factor'!$A$2:$G$52,7,FALSE)*VLOOKUP($A227,'US Grid mix, emissions&amp;prices'!$AE$2:$AI$52,5,FALSE)/(1+$AZ$41)^C$223</f>
        <v>1811.753337809444</v>
      </c>
      <c r="D227" s="106">
        <f>VLOOKUP($A227,'VKT US'!$B$63:$AA$113,(D$223+1),FALSE)/VLOOKUP($A227,'Fuel economy adjusted factor'!$A$2:$G$52,7,FALSE)*VLOOKUP($A227,'US Grid mix, emissions&amp;prices'!$AE$2:$AI$52,5,FALSE)/(1+$AZ$41)^D$223</f>
        <v>1737.1214531553617</v>
      </c>
      <c r="E227" s="106">
        <f>VLOOKUP($A227,'VKT US'!$B$63:$AA$113,(E$223+1),FALSE)/VLOOKUP($A227,'Fuel economy adjusted factor'!$A$2:$G$52,7,FALSE)*VLOOKUP($A227,'US Grid mix, emissions&amp;prices'!$AE$2:$AI$52,5,FALSE)/(1+$AZ$41)^E$223</f>
        <v>1665.8475042935629</v>
      </c>
      <c r="F227" s="106">
        <f>VLOOKUP($A227,'VKT US'!$B$63:$AA$113,(F$223+1),FALSE)/VLOOKUP($A227,'Fuel economy adjusted factor'!$A$2:$G$52,7,FALSE)*VLOOKUP($A227,'US Grid mix, emissions&amp;prices'!$AE$2:$AI$52,5,FALSE)/(1+$AZ$41)^F$223</f>
        <v>1597.71043485929</v>
      </c>
      <c r="G227" s="106">
        <f>VLOOKUP($A227,'VKT US'!$B$63:$AA$113,(G$223+1),FALSE)/VLOOKUP($A227,'Fuel economy adjusted factor'!$A$2:$G$52,7,FALSE)*VLOOKUP($A227,'US Grid mix, emissions&amp;prices'!$AE$2:$AI$52,5,FALSE)/(1+$AZ$41)^G$223</f>
        <v>1532.8828686635297</v>
      </c>
      <c r="H227" s="106">
        <f>VLOOKUP($A227,'VKT US'!$B$63:$AA$113,(H$223+1),FALSE)/VLOOKUP($A227,'Fuel economy adjusted factor'!$A$2:$G$52,7,FALSE)*VLOOKUP($A227,'US Grid mix, emissions&amp;prices'!$AE$2:$AI$52,5,FALSE)/(1+$AZ$41)^H$223</f>
        <v>1470.8920459194126</v>
      </c>
      <c r="I227" s="106">
        <f>VLOOKUP($A227,'VKT US'!$B$63:$AA$113,(I$223+1),FALSE)/VLOOKUP($A227,'Fuel economy adjusted factor'!$A$2:$G$52,7,FALSE)*VLOOKUP($A227,'US Grid mix, emissions&amp;prices'!$AE$2:$AI$52,5,FALSE)/(1+$AZ$41)^I$223</f>
        <v>1411.9127206930159</v>
      </c>
      <c r="J227" s="106">
        <f>VLOOKUP($A227,'VKT US'!$B$63:$AA$113,(J$223+1),FALSE)/VLOOKUP($A227,'Fuel economy adjusted factor'!$A$2:$G$52,7,FALSE)*VLOOKUP($A227,'US Grid mix, emissions&amp;prices'!$AE$2:$AI$52,5,FALSE)/(1+$AZ$41)^J$223</f>
        <v>1355.8613576076889</v>
      </c>
      <c r="K227" s="106">
        <f>VLOOKUP($A227,'VKT US'!$B$63:$AA$113,(K$223+1),FALSE)/VLOOKUP($A227,'Fuel economy adjusted factor'!$A$2:$G$52,7,FALSE)*VLOOKUP($A227,'US Grid mix, emissions&amp;prices'!$AE$2:$AI$52,5,FALSE)/(1+$AZ$41)^K$223</f>
        <v>1302.656225958639</v>
      </c>
      <c r="L227" s="106">
        <f>VLOOKUP($A227,'VKT US'!$B$63:$AA$113,(L$223+1),FALSE)/VLOOKUP($A227,'Fuel economy adjusted factor'!$A$2:$G$52,7,FALSE)*VLOOKUP($A227,'US Grid mix, emissions&amp;prices'!$AE$2:$AI$52,5,FALSE)/(1+$AZ$41)^L$223</f>
        <v>1252.0962849566174</v>
      </c>
      <c r="M227" s="106">
        <f>VLOOKUP($A227,'VKT US'!$B$63:$AA$113,(M$223+1),FALSE)/VLOOKUP($A227,'Fuel economy adjusted factor'!$A$2:$G$52,7,FALSE)*VLOOKUP($A227,'US Grid mix, emissions&amp;prices'!$AE$2:$AI$52,5,FALSE)/(1+$AZ$41)^M$223</f>
        <v>1204.2272641356956</v>
      </c>
      <c r="N227" s="106">
        <f>VLOOKUP($A227,'VKT US'!$B$63:$AA$113,(N$223+1),FALSE)/VLOOKUP($A227,'Fuel economy adjusted factor'!$A$2:$G$52,7,FALSE)*VLOOKUP($A227,'US Grid mix, emissions&amp;prices'!$AE$2:$AI$52,5,FALSE)/(1+$AZ$41)^N$223</f>
        <v>1158.8543678597111</v>
      </c>
      <c r="O227" s="106">
        <f>VLOOKUP($A227,'VKT US'!$B$63:$AA$113,(O$223+1),FALSE)/VLOOKUP($A227,'Fuel economy adjusted factor'!$A$2:$G$52,7,FALSE)*VLOOKUP($A227,'US Grid mix, emissions&amp;prices'!$AE$2:$AI$52,5,FALSE)/(1+$AZ$41)^O$223</f>
        <v>1116.0237299482139</v>
      </c>
      <c r="P227" s="106">
        <f>VLOOKUP($A227,'VKT US'!$B$63:$AA$113,(P$223+1),FALSE)/VLOOKUP($A227,'Fuel economy adjusted factor'!$A$2:$G$52,7,FALSE)*VLOOKUP($A227,'US Grid mix, emissions&amp;prices'!$AE$2:$AI$52,5,FALSE)/(1+$AZ$41)^P$223</f>
        <v>1075.5466064224497</v>
      </c>
      <c r="Q227" s="106">
        <f>VLOOKUP($A227,'VKT US'!$B$63:$AA$113,(Q$223+1),FALSE)/VLOOKUP($A227,'Fuel economy adjusted factor'!$A$2:$G$52,7,FALSE)*VLOOKUP($A227,'US Grid mix, emissions&amp;prices'!$AE$2:$AI$52,5,FALSE)/(1+$AZ$41)^Q$223</f>
        <v>1037.5835505774223</v>
      </c>
      <c r="R227" s="106">
        <f>VLOOKUP($A227,'VKT US'!$B$63:$AA$113,(R$223+1),FALSE)/VLOOKUP($A227,'Fuel economy adjusted factor'!$A$2:$G$52,7,FALSE)*VLOOKUP($A227,'US Grid mix, emissions&amp;prices'!$AE$2:$AI$52,5,FALSE)/(1+$AZ$41)^R$223</f>
        <v>1001.722189267657</v>
      </c>
      <c r="S227" s="106">
        <f>VLOOKUP($A227,'VKT US'!$B$63:$AA$113,(S$223+1),FALSE)/VLOOKUP($A227,'Fuel economy adjusted factor'!$A$2:$G$52,7,FALSE)*VLOOKUP($A227,'US Grid mix, emissions&amp;prices'!$AE$2:$AI$52,5,FALSE)/(1+$AZ$41)^S$223</f>
        <v>968.23612223296209</v>
      </c>
      <c r="T227" s="106">
        <f>VLOOKUP($A227,'VKT US'!$B$63:$AA$113,(T$223+1),FALSE)/VLOOKUP($A227,'Fuel economy adjusted factor'!$A$2:$G$52,7,FALSE)*VLOOKUP($A227,'US Grid mix, emissions&amp;prices'!$AE$2:$AI$52,5,FALSE)/(1+$AZ$41)^T$223</f>
        <v>936.72406860509943</v>
      </c>
      <c r="U227" s="109">
        <f>VLOOKUP($A227,'VKT US'!$B$63:$AA$113,(U$223+1),FALSE)/VLOOKUP($A227,'Fuel economy adjusted factor'!$A$2:$G$52,7,FALSE)*VLOOKUP($A227,'US Grid mix, emissions&amp;prices'!$AE$2:$AI$52,5,FALSE)/(1+$AZ$41)^U$223</f>
        <v>907.45452739386212</v>
      </c>
      <c r="V227" s="110" cm="1">
        <f t="array" ref="V227">SUMPRODUCT(INDEX(B227:U227,,_xlfn.SEQUENCE($AZ$13)))</f>
        <v>20507.539307330455</v>
      </c>
    </row>
    <row r="228" spans="1:22" x14ac:dyDescent="0.25">
      <c r="A228" s="102" t="s">
        <v>149</v>
      </c>
      <c r="B228" s="106">
        <f>VLOOKUP($A228,'VKT US'!$B$63:$AA$113,(B$223+1),FALSE)/VLOOKUP($A228,'Fuel economy adjusted factor'!$A$2:$G$52,7,FALSE)*VLOOKUP($A228,'US Grid mix, emissions&amp;prices'!$AE$2:$AI$52,5,FALSE)/(1+$AZ$41)^B$223</f>
        <v>1371.3641058939645</v>
      </c>
      <c r="C228" s="106">
        <f>VLOOKUP($A228,'VKT US'!$B$63:$AA$113,(C$223+1),FALSE)/VLOOKUP($A228,'Fuel economy adjusted factor'!$A$2:$G$52,7,FALSE)*VLOOKUP($A228,'US Grid mix, emissions&amp;prices'!$AE$2:$AI$52,5,FALSE)/(1+$AZ$41)^C$223</f>
        <v>1314.7980502533621</v>
      </c>
      <c r="D228" s="106">
        <f>VLOOKUP($A228,'VKT US'!$B$63:$AA$113,(D$223+1),FALSE)/VLOOKUP($A228,'Fuel economy adjusted factor'!$A$2:$G$52,7,FALSE)*VLOOKUP($A228,'US Grid mix, emissions&amp;prices'!$AE$2:$AI$52,5,FALSE)/(1+$AZ$41)^D$223</f>
        <v>1260.6373351150844</v>
      </c>
      <c r="E228" s="106">
        <f>VLOOKUP($A228,'VKT US'!$B$63:$AA$113,(E$223+1),FALSE)/VLOOKUP($A228,'Fuel economy adjusted factor'!$A$2:$G$52,7,FALSE)*VLOOKUP($A228,'US Grid mix, emissions&amp;prices'!$AE$2:$AI$52,5,FALSE)/(1+$AZ$41)^E$223</f>
        <v>1208.9134900188994</v>
      </c>
      <c r="F228" s="106">
        <f>VLOOKUP($A228,'VKT US'!$B$63:$AA$113,(F$223+1),FALSE)/VLOOKUP($A228,'Fuel economy adjusted factor'!$A$2:$G$52,7,FALSE)*VLOOKUP($A228,'US Grid mix, emissions&amp;prices'!$AE$2:$AI$52,5,FALSE)/(1+$AZ$41)^F$223</f>
        <v>1159.4660933051298</v>
      </c>
      <c r="G228" s="106">
        <f>VLOOKUP($A228,'VKT US'!$B$63:$AA$113,(G$223+1),FALSE)/VLOOKUP($A228,'Fuel economy adjusted factor'!$A$2:$G$52,7,FALSE)*VLOOKUP($A228,'US Grid mix, emissions&amp;prices'!$AE$2:$AI$52,5,FALSE)/(1+$AZ$41)^G$223</f>
        <v>1112.4204188978663</v>
      </c>
      <c r="H228" s="106">
        <f>VLOOKUP($A228,'VKT US'!$B$63:$AA$113,(H$223+1),FALSE)/VLOOKUP($A228,'Fuel economy adjusted factor'!$A$2:$G$52,7,FALSE)*VLOOKUP($A228,'US Grid mix, emissions&amp;prices'!$AE$2:$AI$52,5,FALSE)/(1+$AZ$41)^H$223</f>
        <v>1067.433382761858</v>
      </c>
      <c r="I228" s="106">
        <f>VLOOKUP($A228,'VKT US'!$B$63:$AA$113,(I$223+1),FALSE)/VLOOKUP($A228,'Fuel economy adjusted factor'!$A$2:$G$52,7,FALSE)*VLOOKUP($A228,'US Grid mix, emissions&amp;prices'!$AE$2:$AI$52,5,FALSE)/(1+$AZ$41)^I$223</f>
        <v>1024.63180475749</v>
      </c>
      <c r="J228" s="106">
        <f>VLOOKUP($A228,'VKT US'!$B$63:$AA$113,(J$223+1),FALSE)/VLOOKUP($A228,'Fuel economy adjusted factor'!$A$2:$G$52,7,FALSE)*VLOOKUP($A228,'US Grid mix, emissions&amp;prices'!$AE$2:$AI$52,5,FALSE)/(1+$AZ$41)^J$223</f>
        <v>983.95506286295813</v>
      </c>
      <c r="K228" s="106">
        <f>VLOOKUP($A228,'VKT US'!$B$63:$AA$113,(K$223+1),FALSE)/VLOOKUP($A228,'Fuel economy adjusted factor'!$A$2:$G$52,7,FALSE)*VLOOKUP($A228,'US Grid mix, emissions&amp;prices'!$AE$2:$AI$52,5,FALSE)/(1+$AZ$41)^K$223</f>
        <v>945.34384471544581</v>
      </c>
      <c r="L228" s="106">
        <f>VLOOKUP($A228,'VKT US'!$B$63:$AA$113,(L$223+1),FALSE)/VLOOKUP($A228,'Fuel economy adjusted factor'!$A$2:$G$52,7,FALSE)*VLOOKUP($A228,'US Grid mix, emissions&amp;prices'!$AE$2:$AI$52,5,FALSE)/(1+$AZ$41)^L$223</f>
        <v>908.65225405401623</v>
      </c>
      <c r="M228" s="106">
        <f>VLOOKUP($A228,'VKT US'!$B$63:$AA$113,(M$223+1),FALSE)/VLOOKUP($A228,'Fuel economy adjusted factor'!$A$2:$G$52,7,FALSE)*VLOOKUP($A228,'US Grid mix, emissions&amp;prices'!$AE$2:$AI$52,5,FALSE)/(1+$AZ$41)^M$223</f>
        <v>873.91347701995096</v>
      </c>
      <c r="N228" s="106">
        <f>VLOOKUP($A228,'VKT US'!$B$63:$AA$113,(N$223+1),FALSE)/VLOOKUP($A228,'Fuel economy adjusted factor'!$A$2:$G$52,7,FALSE)*VLOOKUP($A228,'US Grid mix, emissions&amp;prices'!$AE$2:$AI$52,5,FALSE)/(1+$AZ$41)^N$223</f>
        <v>840.98614948973579</v>
      </c>
      <c r="O228" s="106">
        <f>VLOOKUP($A228,'VKT US'!$B$63:$AA$113,(O$223+1),FALSE)/VLOOKUP($A228,'Fuel economy adjusted factor'!$A$2:$G$52,7,FALSE)*VLOOKUP($A228,'US Grid mix, emissions&amp;prices'!$AE$2:$AI$52,5,FALSE)/(1+$AZ$41)^O$223</f>
        <v>809.90375099655444</v>
      </c>
      <c r="P228" s="106">
        <f>VLOOKUP($A228,'VKT US'!$B$63:$AA$113,(P$223+1),FALSE)/VLOOKUP($A228,'Fuel economy adjusted factor'!$A$2:$G$52,7,FALSE)*VLOOKUP($A228,'US Grid mix, emissions&amp;prices'!$AE$2:$AI$52,5,FALSE)/(1+$AZ$41)^P$223</f>
        <v>780.5293091335767</v>
      </c>
      <c r="Q228" s="106">
        <f>VLOOKUP($A228,'VKT US'!$B$63:$AA$113,(Q$223+1),FALSE)/VLOOKUP($A228,'Fuel economy adjusted factor'!$A$2:$G$52,7,FALSE)*VLOOKUP($A228,'US Grid mix, emissions&amp;prices'!$AE$2:$AI$52,5,FALSE)/(1+$AZ$41)^Q$223</f>
        <v>752.9793381937958</v>
      </c>
      <c r="R228" s="106">
        <f>VLOOKUP($A228,'VKT US'!$B$63:$AA$113,(R$223+1),FALSE)/VLOOKUP($A228,'Fuel economy adjusted factor'!$A$2:$G$52,7,FALSE)*VLOOKUP($A228,'US Grid mix, emissions&amp;prices'!$AE$2:$AI$52,5,FALSE)/(1+$AZ$41)^R$223</f>
        <v>726.95457701603004</v>
      </c>
      <c r="S228" s="106">
        <f>VLOOKUP($A228,'VKT US'!$B$63:$AA$113,(S$223+1),FALSE)/VLOOKUP($A228,'Fuel economy adjusted factor'!$A$2:$G$52,7,FALSE)*VLOOKUP($A228,'US Grid mix, emissions&amp;prices'!$AE$2:$AI$52,5,FALSE)/(1+$AZ$41)^S$223</f>
        <v>702.65357823818124</v>
      </c>
      <c r="T228" s="106">
        <f>VLOOKUP($A228,'VKT US'!$B$63:$AA$113,(T$223+1),FALSE)/VLOOKUP($A228,'Fuel economy adjusted factor'!$A$2:$G$52,7,FALSE)*VLOOKUP($A228,'US Grid mix, emissions&amp;prices'!$AE$2:$AI$52,5,FALSE)/(1+$AZ$41)^T$223</f>
        <v>679.78513041763642</v>
      </c>
      <c r="U228" s="109">
        <f>VLOOKUP($A228,'VKT US'!$B$63:$AA$113,(U$223+1),FALSE)/VLOOKUP($A228,'Fuel economy adjusted factor'!$A$2:$G$52,7,FALSE)*VLOOKUP($A228,'US Grid mix, emissions&amp;prices'!$AE$2:$AI$52,5,FALSE)/(1+$AZ$41)^U$223</f>
        <v>658.54408456816395</v>
      </c>
      <c r="V228" s="110" cm="1">
        <f t="array" ref="V228">SUMPRODUCT(INDEX(B228:U228,,_xlfn.SEQUENCE($AZ$13)))</f>
        <v>14882.419220142316</v>
      </c>
    </row>
    <row r="229" spans="1:22" x14ac:dyDescent="0.25">
      <c r="A229" s="102" t="s">
        <v>190</v>
      </c>
      <c r="B229" s="106">
        <f>VLOOKUP($A229,'VKT US'!$B$63:$AA$113,(B$223+1),FALSE)/VLOOKUP($A229,'Fuel economy adjusted factor'!$A$2:$G$52,7,FALSE)*VLOOKUP($A229,'US Grid mix, emissions&amp;prices'!$AE$2:$AI$52,5,FALSE)/(1+$AZ$41)^B$223</f>
        <v>1453.8868412355841</v>
      </c>
      <c r="C229" s="106">
        <f>VLOOKUP($A229,'VKT US'!$B$63:$AA$113,(C$223+1),FALSE)/VLOOKUP($A229,'Fuel economy adjusted factor'!$A$2:$G$52,7,FALSE)*VLOOKUP($A229,'US Grid mix, emissions&amp;prices'!$AE$2:$AI$52,5,FALSE)/(1+$AZ$41)^C$223</f>
        <v>1393.916886062475</v>
      </c>
      <c r="D229" s="106">
        <f>VLOOKUP($A229,'VKT US'!$B$63:$AA$113,(D$223+1),FALSE)/VLOOKUP($A229,'Fuel economy adjusted factor'!$A$2:$G$52,7,FALSE)*VLOOKUP($A229,'US Grid mix, emissions&amp;prices'!$AE$2:$AI$52,5,FALSE)/(1+$AZ$41)^D$223</f>
        <v>1336.4970143354694</v>
      </c>
      <c r="E229" s="106">
        <f>VLOOKUP($A229,'VKT US'!$B$63:$AA$113,(E$223+1),FALSE)/VLOOKUP($A229,'Fuel economy adjusted factor'!$A$2:$G$52,7,FALSE)*VLOOKUP($A229,'US Grid mix, emissions&amp;prices'!$AE$2:$AI$52,5,FALSE)/(1+$AZ$41)^E$223</f>
        <v>1281.6606529050898</v>
      </c>
      <c r="F229" s="106">
        <f>VLOOKUP($A229,'VKT US'!$B$63:$AA$113,(F$223+1),FALSE)/VLOOKUP($A229,'Fuel economy adjusted factor'!$A$2:$G$52,7,FALSE)*VLOOKUP($A229,'US Grid mix, emissions&amp;prices'!$AE$2:$AI$52,5,FALSE)/(1+$AZ$41)^F$223</f>
        <v>1229.2377266329743</v>
      </c>
      <c r="G229" s="106">
        <f>VLOOKUP($A229,'VKT US'!$B$63:$AA$113,(G$223+1),FALSE)/VLOOKUP($A229,'Fuel economy adjusted factor'!$A$2:$G$52,7,FALSE)*VLOOKUP($A229,'US Grid mix, emissions&amp;prices'!$AE$2:$AI$52,5,FALSE)/(1+$AZ$41)^G$223</f>
        <v>1179.3610478838348</v>
      </c>
      <c r="H229" s="106">
        <f>VLOOKUP($A229,'VKT US'!$B$63:$AA$113,(H$223+1),FALSE)/VLOOKUP($A229,'Fuel economy adjusted factor'!$A$2:$G$52,7,FALSE)*VLOOKUP($A229,'US Grid mix, emissions&amp;prices'!$AE$2:$AI$52,5,FALSE)/(1+$AZ$41)^H$223</f>
        <v>1131.6668873153724</v>
      </c>
      <c r="I229" s="106">
        <f>VLOOKUP($A229,'VKT US'!$B$63:$AA$113,(I$223+1),FALSE)/VLOOKUP($A229,'Fuel economy adjusted factor'!$A$2:$G$52,7,FALSE)*VLOOKUP($A229,'US Grid mix, emissions&amp;prices'!$AE$2:$AI$52,5,FALSE)/(1+$AZ$41)^I$223</f>
        <v>1086.2896962563259</v>
      </c>
      <c r="J229" s="106">
        <f>VLOOKUP($A229,'VKT US'!$B$63:$AA$113,(J$223+1),FALSE)/VLOOKUP($A229,'Fuel economy adjusted factor'!$A$2:$G$52,7,FALSE)*VLOOKUP($A229,'US Grid mix, emissions&amp;prices'!$AE$2:$AI$52,5,FALSE)/(1+$AZ$41)^J$223</f>
        <v>1043.1652047149316</v>
      </c>
      <c r="K229" s="106">
        <f>VLOOKUP($A229,'VKT US'!$B$63:$AA$113,(K$223+1),FALSE)/VLOOKUP($A229,'Fuel economy adjusted factor'!$A$2:$G$52,7,FALSE)*VLOOKUP($A229,'US Grid mix, emissions&amp;prices'!$AE$2:$AI$52,5,FALSE)/(1+$AZ$41)^K$223</f>
        <v>1002.2305311680032</v>
      </c>
      <c r="L229" s="106">
        <f>VLOOKUP($A229,'VKT US'!$B$63:$AA$113,(L$223+1),FALSE)/VLOOKUP($A229,'Fuel economy adjusted factor'!$A$2:$G$52,7,FALSE)*VLOOKUP($A229,'US Grid mix, emissions&amp;prices'!$AE$2:$AI$52,5,FALSE)/(1+$AZ$41)^L$223</f>
        <v>963.33099995132454</v>
      </c>
      <c r="M229" s="106">
        <f>VLOOKUP($A229,'VKT US'!$B$63:$AA$113,(M$223+1),FALSE)/VLOOKUP($A229,'Fuel economy adjusted factor'!$A$2:$G$52,7,FALSE)*VLOOKUP($A229,'US Grid mix, emissions&amp;prices'!$AE$2:$AI$52,5,FALSE)/(1+$AZ$41)^M$223</f>
        <v>926.5017942040148</v>
      </c>
      <c r="N229" s="106">
        <f>VLOOKUP($A229,'VKT US'!$B$63:$AA$113,(N$223+1),FALSE)/VLOOKUP($A229,'Fuel economy adjusted factor'!$A$2:$G$52,7,FALSE)*VLOOKUP($A229,'US Grid mix, emissions&amp;prices'!$AE$2:$AI$52,5,FALSE)/(1+$AZ$41)^N$223</f>
        <v>891.59304312362462</v>
      </c>
      <c r="O229" s="106">
        <f>VLOOKUP($A229,'VKT US'!$B$63:$AA$113,(O$223+1),FALSE)/VLOOKUP($A229,'Fuel economy adjusted factor'!$A$2:$G$52,7,FALSE)*VLOOKUP($A229,'US Grid mix, emissions&amp;prices'!$AE$2:$AI$52,5,FALSE)/(1+$AZ$41)^O$223</f>
        <v>858.64024089622626</v>
      </c>
      <c r="P229" s="106">
        <f>VLOOKUP($A229,'VKT US'!$B$63:$AA$113,(P$223+1),FALSE)/VLOOKUP($A229,'Fuel economy adjusted factor'!$A$2:$G$52,7,FALSE)*VLOOKUP($A229,'US Grid mix, emissions&amp;prices'!$AE$2:$AI$52,5,FALSE)/(1+$AZ$41)^P$223</f>
        <v>827.49817271048846</v>
      </c>
      <c r="Q229" s="106">
        <f>VLOOKUP($A229,'VKT US'!$B$63:$AA$113,(Q$223+1),FALSE)/VLOOKUP($A229,'Fuel economy adjusted factor'!$A$2:$G$52,7,FALSE)*VLOOKUP($A229,'US Grid mix, emissions&amp;prices'!$AE$2:$AI$52,5,FALSE)/(1+$AZ$41)^Q$223</f>
        <v>798.29036418347482</v>
      </c>
      <c r="R229" s="106">
        <f>VLOOKUP($A229,'VKT US'!$B$63:$AA$113,(R$223+1),FALSE)/VLOOKUP($A229,'Fuel economy adjusted factor'!$A$2:$G$52,7,FALSE)*VLOOKUP($A229,'US Grid mix, emissions&amp;prices'!$AE$2:$AI$52,5,FALSE)/(1+$AZ$41)^R$223</f>
        <v>770.69954591717101</v>
      </c>
      <c r="S229" s="106">
        <f>VLOOKUP($A229,'VKT US'!$B$63:$AA$113,(S$223+1),FALSE)/VLOOKUP($A229,'Fuel economy adjusted factor'!$A$2:$G$52,7,FALSE)*VLOOKUP($A229,'US Grid mix, emissions&amp;prices'!$AE$2:$AI$52,5,FALSE)/(1+$AZ$41)^S$223</f>
        <v>744.93621858481049</v>
      </c>
      <c r="T229" s="106">
        <f>VLOOKUP($A229,'VKT US'!$B$63:$AA$113,(T$223+1),FALSE)/VLOOKUP($A229,'Fuel economy adjusted factor'!$A$2:$G$52,7,FALSE)*VLOOKUP($A229,'US Grid mix, emissions&amp;prices'!$AE$2:$AI$52,5,FALSE)/(1+$AZ$41)^T$223</f>
        <v>720.69164690404693</v>
      </c>
      <c r="U229" s="109">
        <f>VLOOKUP($A229,'VKT US'!$B$63:$AA$113,(U$223+1),FALSE)/VLOOKUP($A229,'Fuel economy adjusted factor'!$A$2:$G$52,7,FALSE)*VLOOKUP($A229,'US Grid mix, emissions&amp;prices'!$AE$2:$AI$52,5,FALSE)/(1+$AZ$41)^U$223</f>
        <v>698.17240717631728</v>
      </c>
      <c r="V229" s="110" cm="1">
        <f t="array" ref="V229">SUMPRODUCT(INDEX(B229:U229,,_xlfn.SEQUENCE($AZ$13)))</f>
        <v>15777.978566685248</v>
      </c>
    </row>
    <row r="230" spans="1:22" x14ac:dyDescent="0.25">
      <c r="A230" s="102" t="s">
        <v>191</v>
      </c>
      <c r="B230" s="106">
        <f>VLOOKUP($A230,'VKT US'!$B$63:$AA$113,(B$223+1),FALSE)/VLOOKUP($A230,'Fuel economy adjusted factor'!$A$2:$G$52,7,FALSE)*VLOOKUP($A230,'US Grid mix, emissions&amp;prices'!$AE$2:$AI$52,5,FALSE)/(1+$AZ$41)^B$223</f>
        <v>1351.464557508134</v>
      </c>
      <c r="C230" s="106">
        <f>VLOOKUP($A230,'VKT US'!$B$63:$AA$113,(C$223+1),FALSE)/VLOOKUP($A230,'Fuel economy adjusted factor'!$A$2:$G$52,7,FALSE)*VLOOKUP($A230,'US Grid mix, emissions&amp;prices'!$AE$2:$AI$52,5,FALSE)/(1+$AZ$41)^C$223</f>
        <v>1295.7193188601723</v>
      </c>
      <c r="D230" s="106">
        <f>VLOOKUP($A230,'VKT US'!$B$63:$AA$113,(D$223+1),FALSE)/VLOOKUP($A230,'Fuel economy adjusted factor'!$A$2:$G$52,7,FALSE)*VLOOKUP($A230,'US Grid mix, emissions&amp;prices'!$AE$2:$AI$52,5,FALSE)/(1+$AZ$41)^D$223</f>
        <v>1242.3445173730343</v>
      </c>
      <c r="E230" s="106">
        <f>VLOOKUP($A230,'VKT US'!$B$63:$AA$113,(E$223+1),FALSE)/VLOOKUP($A230,'Fuel economy adjusted factor'!$A$2:$G$52,7,FALSE)*VLOOKUP($A230,'US Grid mix, emissions&amp;prices'!$AE$2:$AI$52,5,FALSE)/(1+$AZ$41)^E$223</f>
        <v>1191.3712250686058</v>
      </c>
      <c r="F230" s="106">
        <f>VLOOKUP($A230,'VKT US'!$B$63:$AA$113,(F$223+1),FALSE)/VLOOKUP($A230,'Fuel economy adjusted factor'!$A$2:$G$52,7,FALSE)*VLOOKUP($A230,'US Grid mix, emissions&amp;prices'!$AE$2:$AI$52,5,FALSE)/(1+$AZ$41)^F$223</f>
        <v>1142.6413481289283</v>
      </c>
      <c r="G230" s="106">
        <f>VLOOKUP($A230,'VKT US'!$B$63:$AA$113,(G$223+1),FALSE)/VLOOKUP($A230,'Fuel economy adjusted factor'!$A$2:$G$52,7,FALSE)*VLOOKUP($A230,'US Grid mix, emissions&amp;prices'!$AE$2:$AI$52,5,FALSE)/(1+$AZ$41)^G$223</f>
        <v>1096.2783426570611</v>
      </c>
      <c r="H230" s="106">
        <f>VLOOKUP($A230,'VKT US'!$B$63:$AA$113,(H$223+1),FALSE)/VLOOKUP($A230,'Fuel economy adjusted factor'!$A$2:$G$52,7,FALSE)*VLOOKUP($A230,'US Grid mix, emissions&amp;prices'!$AE$2:$AI$52,5,FALSE)/(1+$AZ$41)^H$223</f>
        <v>1051.9441030310941</v>
      </c>
      <c r="I230" s="106">
        <f>VLOOKUP($A230,'VKT US'!$B$63:$AA$113,(I$223+1),FALSE)/VLOOKUP($A230,'Fuel economy adjusted factor'!$A$2:$G$52,7,FALSE)*VLOOKUP($A230,'US Grid mix, emissions&amp;prices'!$AE$2:$AI$52,5,FALSE)/(1+$AZ$41)^I$223</f>
        <v>1009.7636088576556</v>
      </c>
      <c r="J230" s="106">
        <f>VLOOKUP($A230,'VKT US'!$B$63:$AA$113,(J$223+1),FALSE)/VLOOKUP($A230,'Fuel economy adjusted factor'!$A$2:$G$52,7,FALSE)*VLOOKUP($A230,'US Grid mix, emissions&amp;prices'!$AE$2:$AI$52,5,FALSE)/(1+$AZ$41)^J$223</f>
        <v>969.67711778712385</v>
      </c>
      <c r="K230" s="106">
        <f>VLOOKUP($A230,'VKT US'!$B$63:$AA$113,(K$223+1),FALSE)/VLOOKUP($A230,'Fuel economy adjusted factor'!$A$2:$G$52,7,FALSE)*VLOOKUP($A230,'US Grid mix, emissions&amp;prices'!$AE$2:$AI$52,5,FALSE)/(1+$AZ$41)^K$223</f>
        <v>931.62617812470523</v>
      </c>
      <c r="L230" s="106">
        <f>VLOOKUP($A230,'VKT US'!$B$63:$AA$113,(L$223+1),FALSE)/VLOOKUP($A230,'Fuel economy adjusted factor'!$A$2:$G$52,7,FALSE)*VLOOKUP($A230,'US Grid mix, emissions&amp;prices'!$AE$2:$AI$52,5,FALSE)/(1+$AZ$41)^L$223</f>
        <v>895.46701067647052</v>
      </c>
      <c r="M230" s="106">
        <f>VLOOKUP($A230,'VKT US'!$B$63:$AA$113,(M$223+1),FALSE)/VLOOKUP($A230,'Fuel economy adjusted factor'!$A$2:$G$52,7,FALSE)*VLOOKUP($A230,'US Grid mix, emissions&amp;prices'!$AE$2:$AI$52,5,FALSE)/(1+$AZ$41)^M$223</f>
        <v>861.23232002725592</v>
      </c>
      <c r="N230" s="106">
        <f>VLOOKUP($A230,'VKT US'!$B$63:$AA$113,(N$223+1),FALSE)/VLOOKUP($A230,'Fuel economy adjusted factor'!$A$2:$G$52,7,FALSE)*VLOOKUP($A230,'US Grid mix, emissions&amp;prices'!$AE$2:$AI$52,5,FALSE)/(1+$AZ$41)^N$223</f>
        <v>828.78279335575337</v>
      </c>
      <c r="O230" s="106">
        <f>VLOOKUP($A230,'VKT US'!$B$63:$AA$113,(O$223+1),FALSE)/VLOOKUP($A230,'Fuel economy adjusted factor'!$A$2:$G$52,7,FALSE)*VLOOKUP($A230,'US Grid mix, emissions&amp;prices'!$AE$2:$AI$52,5,FALSE)/(1+$AZ$41)^O$223</f>
        <v>798.15142438135877</v>
      </c>
      <c r="P230" s="106">
        <f>VLOOKUP($A230,'VKT US'!$B$63:$AA$113,(P$223+1),FALSE)/VLOOKUP($A230,'Fuel economy adjusted factor'!$A$2:$G$52,7,FALSE)*VLOOKUP($A230,'US Grid mix, emissions&amp;prices'!$AE$2:$AI$52,5,FALSE)/(1+$AZ$41)^P$223</f>
        <v>769.20322827225982</v>
      </c>
      <c r="Q230" s="106">
        <f>VLOOKUP($A230,'VKT US'!$B$63:$AA$113,(Q$223+1),FALSE)/VLOOKUP($A230,'Fuel economy adjusted factor'!$A$2:$G$52,7,FALSE)*VLOOKUP($A230,'US Grid mix, emissions&amp;prices'!$AE$2:$AI$52,5,FALSE)/(1+$AZ$41)^Q$223</f>
        <v>742.05302860940526</v>
      </c>
      <c r="R230" s="106">
        <f>VLOOKUP($A230,'VKT US'!$B$63:$AA$113,(R$223+1),FALSE)/VLOOKUP($A230,'Fuel economy adjusted factor'!$A$2:$G$52,7,FALSE)*VLOOKUP($A230,'US Grid mix, emissions&amp;prices'!$AE$2:$AI$52,5,FALSE)/(1+$AZ$41)^R$223</f>
        <v>716.40590674133182</v>
      </c>
      <c r="S230" s="106">
        <f>VLOOKUP($A230,'VKT US'!$B$63:$AA$113,(S$223+1),FALSE)/VLOOKUP($A230,'Fuel economy adjusted factor'!$A$2:$G$52,7,FALSE)*VLOOKUP($A230,'US Grid mix, emissions&amp;prices'!$AE$2:$AI$52,5,FALSE)/(1+$AZ$41)^S$223</f>
        <v>692.45753415438719</v>
      </c>
      <c r="T230" s="106">
        <f>VLOOKUP($A230,'VKT US'!$B$63:$AA$113,(T$223+1),FALSE)/VLOOKUP($A230,'Fuel economy adjusted factor'!$A$2:$G$52,7,FALSE)*VLOOKUP($A230,'US Grid mix, emissions&amp;prices'!$AE$2:$AI$52,5,FALSE)/(1+$AZ$41)^T$223</f>
        <v>669.92092510806572</v>
      </c>
      <c r="U230" s="109">
        <f>VLOOKUP($A230,'VKT US'!$B$63:$AA$113,(U$223+1),FALSE)/VLOOKUP($A230,'Fuel economy adjusted factor'!$A$2:$G$52,7,FALSE)*VLOOKUP($A230,'US Grid mix, emissions&amp;prices'!$AE$2:$AI$52,5,FALSE)/(1+$AZ$41)^U$223</f>
        <v>648.98810317799621</v>
      </c>
      <c r="V230" s="110" cm="1">
        <f t="array" ref="V230">SUMPRODUCT(INDEX(B230:U230,,_xlfn.SEQUENCE($AZ$13)))</f>
        <v>14666.463865837351</v>
      </c>
    </row>
    <row r="231" spans="1:22" x14ac:dyDescent="0.25">
      <c r="A231" s="102" t="s">
        <v>192</v>
      </c>
      <c r="B231" s="106">
        <f>VLOOKUP($A231,'VKT US'!$B$63:$AA$113,(B$223+1),FALSE)/VLOOKUP($A231,'Fuel economy adjusted factor'!$A$2:$G$52,7,FALSE)*VLOOKUP($A231,'US Grid mix, emissions&amp;prices'!$AE$2:$AI$52,5,FALSE)/(1+$AZ$41)^B$223</f>
        <v>1391.4791163825346</v>
      </c>
      <c r="C231" s="106">
        <f>VLOOKUP($A231,'VKT US'!$B$63:$AA$113,(C$223+1),FALSE)/VLOOKUP($A231,'Fuel economy adjusted factor'!$A$2:$G$52,7,FALSE)*VLOOKUP($A231,'US Grid mix, emissions&amp;prices'!$AE$2:$AI$52,5,FALSE)/(1+$AZ$41)^C$223</f>
        <v>1334.0833563639205</v>
      </c>
      <c r="D231" s="106">
        <f>VLOOKUP($A231,'VKT US'!$B$63:$AA$113,(D$223+1),FALSE)/VLOOKUP($A231,'Fuel economy adjusted factor'!$A$2:$G$52,7,FALSE)*VLOOKUP($A231,'US Grid mix, emissions&amp;prices'!$AE$2:$AI$52,5,FALSE)/(1+$AZ$41)^D$223</f>
        <v>1279.1282181046113</v>
      </c>
      <c r="E231" s="106">
        <f>VLOOKUP($A231,'VKT US'!$B$63:$AA$113,(E$223+1),FALSE)/VLOOKUP($A231,'Fuel economy adjusted factor'!$A$2:$G$52,7,FALSE)*VLOOKUP($A231,'US Grid mix, emissions&amp;prices'!$AE$2:$AI$52,5,FALSE)/(1+$AZ$41)^E$223</f>
        <v>1226.6456936160266</v>
      </c>
      <c r="F231" s="106">
        <f>VLOOKUP($A231,'VKT US'!$B$63:$AA$113,(F$223+1),FALSE)/VLOOKUP($A231,'Fuel economy adjusted factor'!$A$2:$G$52,7,FALSE)*VLOOKUP($A231,'US Grid mix, emissions&amp;prices'!$AE$2:$AI$52,5,FALSE)/(1+$AZ$41)^F$223</f>
        <v>1176.4730081920923</v>
      </c>
      <c r="G231" s="106">
        <f>VLOOKUP($A231,'VKT US'!$B$63:$AA$113,(G$223+1),FALSE)/VLOOKUP($A231,'Fuel economy adjusted factor'!$A$2:$G$52,7,FALSE)*VLOOKUP($A231,'US Grid mix, emissions&amp;prices'!$AE$2:$AI$52,5,FALSE)/(1+$AZ$41)^G$223</f>
        <v>1128.7372732603649</v>
      </c>
      <c r="H231" s="106">
        <f>VLOOKUP($A231,'VKT US'!$B$63:$AA$113,(H$223+1),FALSE)/VLOOKUP($A231,'Fuel economy adjusted factor'!$A$2:$G$52,7,FALSE)*VLOOKUP($A231,'US Grid mix, emissions&amp;prices'!$AE$2:$AI$52,5,FALSE)/(1+$AZ$41)^H$223</f>
        <v>1083.0903724685468</v>
      </c>
      <c r="I231" s="106">
        <f>VLOOKUP($A231,'VKT US'!$B$63:$AA$113,(I$223+1),FALSE)/VLOOKUP($A231,'Fuel economy adjusted factor'!$A$2:$G$52,7,FALSE)*VLOOKUP($A231,'US Grid mix, emissions&amp;prices'!$AE$2:$AI$52,5,FALSE)/(1+$AZ$41)^I$223</f>
        <v>1039.6609858561039</v>
      </c>
      <c r="J231" s="106">
        <f>VLOOKUP($A231,'VKT US'!$B$63:$AA$113,(J$223+1),FALSE)/VLOOKUP($A231,'Fuel economy adjusted factor'!$A$2:$G$52,7,FALSE)*VLOOKUP($A231,'US Grid mix, emissions&amp;prices'!$AE$2:$AI$52,5,FALSE)/(1+$AZ$41)^J$223</f>
        <v>998.3876022044102</v>
      </c>
      <c r="K231" s="106">
        <f>VLOOKUP($A231,'VKT US'!$B$63:$AA$113,(K$223+1),FALSE)/VLOOKUP($A231,'Fuel economy adjusted factor'!$A$2:$G$52,7,FALSE)*VLOOKUP($A231,'US Grid mix, emissions&amp;prices'!$AE$2:$AI$52,5,FALSE)/(1+$AZ$41)^K$223</f>
        <v>959.210039163754</v>
      </c>
      <c r="L231" s="106">
        <f>VLOOKUP($A231,'VKT US'!$B$63:$AA$113,(L$223+1),FALSE)/VLOOKUP($A231,'Fuel economy adjusted factor'!$A$2:$G$52,7,FALSE)*VLOOKUP($A231,'US Grid mix, emissions&amp;prices'!$AE$2:$AI$52,5,FALSE)/(1+$AZ$41)^L$223</f>
        <v>921.98026048367592</v>
      </c>
      <c r="M231" s="106">
        <f>VLOOKUP($A231,'VKT US'!$B$63:$AA$113,(M$223+1),FALSE)/VLOOKUP($A231,'Fuel economy adjusted factor'!$A$2:$G$52,7,FALSE)*VLOOKUP($A231,'US Grid mix, emissions&amp;prices'!$AE$2:$AI$52,5,FALSE)/(1+$AZ$41)^M$223</f>
        <v>886.7319390759485</v>
      </c>
      <c r="N231" s="106">
        <f>VLOOKUP($A231,'VKT US'!$B$63:$AA$113,(N$223+1),FALSE)/VLOOKUP($A231,'Fuel economy adjusted factor'!$A$2:$G$52,7,FALSE)*VLOOKUP($A231,'US Grid mix, emissions&amp;prices'!$AE$2:$AI$52,5,FALSE)/(1+$AZ$41)^N$223</f>
        <v>853.32163730440357</v>
      </c>
      <c r="O231" s="106">
        <f>VLOOKUP($A231,'VKT US'!$B$63:$AA$113,(O$223+1),FALSE)/VLOOKUP($A231,'Fuel economy adjusted factor'!$A$2:$G$52,7,FALSE)*VLOOKUP($A231,'US Grid mix, emissions&amp;prices'!$AE$2:$AI$52,5,FALSE)/(1+$AZ$41)^O$223</f>
        <v>821.78332577615538</v>
      </c>
      <c r="P231" s="106">
        <f>VLOOKUP($A231,'VKT US'!$B$63:$AA$113,(P$223+1),FALSE)/VLOOKUP($A231,'Fuel economy adjusted factor'!$A$2:$G$52,7,FALSE)*VLOOKUP($A231,'US Grid mix, emissions&amp;prices'!$AE$2:$AI$52,5,FALSE)/(1+$AZ$41)^P$223</f>
        <v>791.97802298891224</v>
      </c>
      <c r="Q231" s="106">
        <f>VLOOKUP($A231,'VKT US'!$B$63:$AA$113,(Q$223+1),FALSE)/VLOOKUP($A231,'Fuel economy adjusted factor'!$A$2:$G$52,7,FALSE)*VLOOKUP($A231,'US Grid mix, emissions&amp;prices'!$AE$2:$AI$52,5,FALSE)/(1+$AZ$41)^Q$223</f>
        <v>764.02395225387511</v>
      </c>
      <c r="R231" s="106">
        <f>VLOOKUP($A231,'VKT US'!$B$63:$AA$113,(R$223+1),FALSE)/VLOOKUP($A231,'Fuel economy adjusted factor'!$A$2:$G$52,7,FALSE)*VLOOKUP($A231,'US Grid mix, emissions&amp;prices'!$AE$2:$AI$52,5,FALSE)/(1+$AZ$41)^R$223</f>
        <v>737.61746288167615</v>
      </c>
      <c r="S231" s="106">
        <f>VLOOKUP($A231,'VKT US'!$B$63:$AA$113,(S$223+1),FALSE)/VLOOKUP($A231,'Fuel economy adjusted factor'!$A$2:$G$52,7,FALSE)*VLOOKUP($A231,'US Grid mix, emissions&amp;prices'!$AE$2:$AI$52,5,FALSE)/(1+$AZ$41)^S$223</f>
        <v>712.96001985740293</v>
      </c>
      <c r="T231" s="106">
        <f>VLOOKUP($A231,'VKT US'!$B$63:$AA$113,(T$223+1),FALSE)/VLOOKUP($A231,'Fuel economy adjusted factor'!$A$2:$G$52,7,FALSE)*VLOOKUP($A231,'US Grid mix, emissions&amp;prices'!$AE$2:$AI$52,5,FALSE)/(1+$AZ$41)^T$223</f>
        <v>689.75614028259918</v>
      </c>
      <c r="U231" s="109">
        <f>VLOOKUP($A231,'VKT US'!$B$63:$AA$113,(U$223+1),FALSE)/VLOOKUP($A231,'Fuel economy adjusted factor'!$A$2:$G$52,7,FALSE)*VLOOKUP($A231,'US Grid mix, emissions&amp;prices'!$AE$2:$AI$52,5,FALSE)/(1+$AZ$41)^U$223</f>
        <v>668.20353322322342</v>
      </c>
      <c r="V231" s="110" cm="1">
        <f t="array" ref="V231">SUMPRODUCT(INDEX(B231:U231,,_xlfn.SEQUENCE($AZ$13)))</f>
        <v>15100.712828252546</v>
      </c>
    </row>
    <row r="232" spans="1:22" x14ac:dyDescent="0.25">
      <c r="A232" s="102" t="s">
        <v>193</v>
      </c>
      <c r="B232" s="106">
        <f>VLOOKUP($A232,'VKT US'!$B$63:$AA$113,(B$223+1),FALSE)/VLOOKUP($A232,'Fuel economy adjusted factor'!$A$2:$G$52,7,FALSE)*VLOOKUP($A232,'US Grid mix, emissions&amp;prices'!$AE$2:$AI$52,5,FALSE)/(1+$AZ$41)^B$223</f>
        <v>1589.2963621782701</v>
      </c>
      <c r="C232" s="106">
        <f>VLOOKUP($A232,'VKT US'!$B$63:$AA$113,(C$223+1),FALSE)/VLOOKUP($A232,'Fuel economy adjusted factor'!$A$2:$G$52,7,FALSE)*VLOOKUP($A232,'US Grid mix, emissions&amp;prices'!$AE$2:$AI$52,5,FALSE)/(1+$AZ$41)^C$223</f>
        <v>1523.7410322217675</v>
      </c>
      <c r="D232" s="106">
        <f>VLOOKUP($A232,'VKT US'!$B$63:$AA$113,(D$223+1),FALSE)/VLOOKUP($A232,'Fuel economy adjusted factor'!$A$2:$G$52,7,FALSE)*VLOOKUP($A232,'US Grid mix, emissions&amp;prices'!$AE$2:$AI$52,5,FALSE)/(1+$AZ$41)^D$223</f>
        <v>1460.973290837632</v>
      </c>
      <c r="E232" s="106">
        <f>VLOOKUP($A232,'VKT US'!$B$63:$AA$113,(E$223+1),FALSE)/VLOOKUP($A232,'Fuel economy adjusted factor'!$A$2:$G$52,7,FALSE)*VLOOKUP($A232,'US Grid mix, emissions&amp;prices'!$AE$2:$AI$52,5,FALSE)/(1+$AZ$41)^E$223</f>
        <v>1401.0296781268041</v>
      </c>
      <c r="F232" s="106">
        <f>VLOOKUP($A232,'VKT US'!$B$63:$AA$113,(F$223+1),FALSE)/VLOOKUP($A232,'Fuel economy adjusted factor'!$A$2:$G$52,7,FALSE)*VLOOKUP($A232,'US Grid mix, emissions&amp;prices'!$AE$2:$AI$52,5,FALSE)/(1+$AZ$41)^F$223</f>
        <v>1343.7242787958578</v>
      </c>
      <c r="G232" s="106">
        <f>VLOOKUP($A232,'VKT US'!$B$63:$AA$113,(G$223+1),FALSE)/VLOOKUP($A232,'Fuel economy adjusted factor'!$A$2:$G$52,7,FALSE)*VLOOKUP($A232,'US Grid mix, emissions&amp;prices'!$AE$2:$AI$52,5,FALSE)/(1+$AZ$41)^G$223</f>
        <v>1289.2022748507811</v>
      </c>
      <c r="H232" s="106">
        <f>VLOOKUP($A232,'VKT US'!$B$63:$AA$113,(H$223+1),FALSE)/VLOOKUP($A232,'Fuel economy adjusted factor'!$A$2:$G$52,7,FALSE)*VLOOKUP($A232,'US Grid mix, emissions&amp;prices'!$AE$2:$AI$52,5,FALSE)/(1+$AZ$41)^H$223</f>
        <v>1237.06606057417</v>
      </c>
      <c r="I232" s="106">
        <f>VLOOKUP($A232,'VKT US'!$B$63:$AA$113,(I$223+1),FALSE)/VLOOKUP($A232,'Fuel economy adjusted factor'!$A$2:$G$52,7,FALSE)*VLOOKUP($A232,'US Grid mix, emissions&amp;prices'!$AE$2:$AI$52,5,FALSE)/(1+$AZ$41)^I$223</f>
        <v>1187.4626095829487</v>
      </c>
      <c r="J232" s="106">
        <f>VLOOKUP($A232,'VKT US'!$B$63:$AA$113,(J$223+1),FALSE)/VLOOKUP($A232,'Fuel economy adjusted factor'!$A$2:$G$52,7,FALSE)*VLOOKUP($A232,'US Grid mix, emissions&amp;prices'!$AE$2:$AI$52,5,FALSE)/(1+$AZ$41)^J$223</f>
        <v>1140.3216660214271</v>
      </c>
      <c r="K232" s="106">
        <f>VLOOKUP($A232,'VKT US'!$B$63:$AA$113,(K$223+1),FALSE)/VLOOKUP($A232,'Fuel economy adjusted factor'!$A$2:$G$52,7,FALSE)*VLOOKUP($A232,'US Grid mix, emissions&amp;prices'!$AE$2:$AI$52,5,FALSE)/(1+$AZ$41)^K$223</f>
        <v>1095.5744918192042</v>
      </c>
      <c r="L232" s="106">
        <f>VLOOKUP($A232,'VKT US'!$B$63:$AA$113,(L$223+1),FALSE)/VLOOKUP($A232,'Fuel economy adjusted factor'!$A$2:$G$52,7,FALSE)*VLOOKUP($A232,'US Grid mix, emissions&amp;prices'!$AE$2:$AI$52,5,FALSE)/(1+$AZ$41)^L$223</f>
        <v>1053.0520054057724</v>
      </c>
      <c r="M232" s="106">
        <f>VLOOKUP($A232,'VKT US'!$B$63:$AA$113,(M$223+1),FALSE)/VLOOKUP($A232,'Fuel economy adjusted factor'!$A$2:$G$52,7,FALSE)*VLOOKUP($A232,'US Grid mix, emissions&amp;prices'!$AE$2:$AI$52,5,FALSE)/(1+$AZ$41)^M$223</f>
        <v>1012.792666744745</v>
      </c>
      <c r="N232" s="106">
        <f>VLOOKUP($A232,'VKT US'!$B$63:$AA$113,(N$223+1),FALSE)/VLOOKUP($A232,'Fuel economy adjusted factor'!$A$2:$G$52,7,FALSE)*VLOOKUP($A232,'US Grid mix, emissions&amp;prices'!$AE$2:$AI$52,5,FALSE)/(1+$AZ$41)^N$223</f>
        <v>974.6326466340322</v>
      </c>
      <c r="O232" s="106">
        <f>VLOOKUP($A232,'VKT US'!$B$63:$AA$113,(O$223+1),FALSE)/VLOOKUP($A232,'Fuel economy adjusted factor'!$A$2:$G$52,7,FALSE)*VLOOKUP($A232,'US Grid mix, emissions&amp;prices'!$AE$2:$AI$52,5,FALSE)/(1+$AZ$41)^O$223</f>
        <v>938.61074505393663</v>
      </c>
      <c r="P232" s="106">
        <f>VLOOKUP($A232,'VKT US'!$B$63:$AA$113,(P$223+1),FALSE)/VLOOKUP($A232,'Fuel economy adjusted factor'!$A$2:$G$52,7,FALSE)*VLOOKUP($A232,'US Grid mix, emissions&amp;prices'!$AE$2:$AI$52,5,FALSE)/(1+$AZ$41)^P$223</f>
        <v>904.56822243488716</v>
      </c>
      <c r="Q232" s="106">
        <f>VLOOKUP($A232,'VKT US'!$B$63:$AA$113,(Q$223+1),FALSE)/VLOOKUP($A232,'Fuel economy adjusted factor'!$A$2:$G$52,7,FALSE)*VLOOKUP($A232,'US Grid mix, emissions&amp;prices'!$AE$2:$AI$52,5,FALSE)/(1+$AZ$41)^Q$223</f>
        <v>872.64010910267461</v>
      </c>
      <c r="R232" s="106">
        <f>VLOOKUP($A232,'VKT US'!$B$63:$AA$113,(R$223+1),FALSE)/VLOOKUP($A232,'Fuel economy adjusted factor'!$A$2:$G$52,7,FALSE)*VLOOKUP($A232,'US Grid mix, emissions&amp;prices'!$AE$2:$AI$52,5,FALSE)/(1+$AZ$41)^R$223</f>
        <v>842.47958638765215</v>
      </c>
      <c r="S232" s="106">
        <f>VLOOKUP($A232,'VKT US'!$B$63:$AA$113,(S$223+1),FALSE)/VLOOKUP($A232,'Fuel economy adjusted factor'!$A$2:$G$52,7,FALSE)*VLOOKUP($A232,'US Grid mix, emissions&amp;prices'!$AE$2:$AI$52,5,FALSE)/(1+$AZ$41)^S$223</f>
        <v>814.31676019952101</v>
      </c>
      <c r="T232" s="106">
        <f>VLOOKUP($A232,'VKT US'!$B$63:$AA$113,(T$223+1),FALSE)/VLOOKUP($A232,'Fuel economy adjusted factor'!$A$2:$G$52,7,FALSE)*VLOOKUP($A232,'US Grid mix, emissions&amp;prices'!$AE$2:$AI$52,5,FALSE)/(1+$AZ$41)^T$223</f>
        <v>787.81414081955472</v>
      </c>
      <c r="U232" s="109">
        <f>VLOOKUP($A232,'VKT US'!$B$63:$AA$113,(U$223+1),FALSE)/VLOOKUP($A232,'Fuel economy adjusted factor'!$A$2:$G$52,7,FALSE)*VLOOKUP($A232,'US Grid mix, emissions&amp;prices'!$AE$2:$AI$52,5,FALSE)/(1+$AZ$41)^U$223</f>
        <v>763.19754428451415</v>
      </c>
      <c r="V232" s="110" cm="1">
        <f t="array" ref="V232">SUMPRODUCT(INDEX(B232:U232,,_xlfn.SEQUENCE($AZ$13)))</f>
        <v>17247.479808847347</v>
      </c>
    </row>
    <row r="233" spans="1:22" x14ac:dyDescent="0.25">
      <c r="A233" s="102" t="s">
        <v>194</v>
      </c>
      <c r="B233" s="106">
        <f>VLOOKUP($A233,'VKT US'!$B$63:$AA$113,(B$223+1),FALSE)/VLOOKUP($A233,'Fuel economy adjusted factor'!$A$2:$G$52,7,FALSE)*VLOOKUP($A233,'US Grid mix, emissions&amp;prices'!$AE$2:$AI$52,5,FALSE)/(1+$AZ$41)^B$223</f>
        <v>1997.7309740841042</v>
      </c>
      <c r="C233" s="106">
        <f>VLOOKUP($A233,'VKT US'!$B$63:$AA$113,(C$223+1),FALSE)/VLOOKUP($A233,'Fuel economy adjusted factor'!$A$2:$G$52,7,FALSE)*VLOOKUP($A233,'US Grid mix, emissions&amp;prices'!$AE$2:$AI$52,5,FALSE)/(1+$AZ$41)^C$223</f>
        <v>1915.328524618408</v>
      </c>
      <c r="D233" s="106">
        <f>VLOOKUP($A233,'VKT US'!$B$63:$AA$113,(D$223+1),FALSE)/VLOOKUP($A233,'Fuel economy adjusted factor'!$A$2:$G$52,7,FALSE)*VLOOKUP($A233,'US Grid mix, emissions&amp;prices'!$AE$2:$AI$52,5,FALSE)/(1+$AZ$41)^D$223</f>
        <v>1836.4300484622518</v>
      </c>
      <c r="E233" s="106">
        <f>VLOOKUP($A233,'VKT US'!$B$63:$AA$113,(E$223+1),FALSE)/VLOOKUP($A233,'Fuel economy adjusted factor'!$A$2:$G$52,7,FALSE)*VLOOKUP($A233,'US Grid mix, emissions&amp;prices'!$AE$2:$AI$52,5,FALSE)/(1+$AZ$41)^E$223</f>
        <v>1761.0814761879201</v>
      </c>
      <c r="F233" s="106">
        <f>VLOOKUP($A233,'VKT US'!$B$63:$AA$113,(F$223+1),FALSE)/VLOOKUP($A233,'Fuel economy adjusted factor'!$A$2:$G$52,7,FALSE)*VLOOKUP($A233,'US Grid mix, emissions&amp;prices'!$AE$2:$AI$52,5,FALSE)/(1+$AZ$41)^F$223</f>
        <v>1689.0491139740002</v>
      </c>
      <c r="G233" s="106">
        <f>VLOOKUP($A233,'VKT US'!$B$63:$AA$113,(G$223+1),FALSE)/VLOOKUP($A233,'Fuel economy adjusted factor'!$A$2:$G$52,7,FALSE)*VLOOKUP($A233,'US Grid mix, emissions&amp;prices'!$AE$2:$AI$52,5,FALSE)/(1+$AZ$41)^G$223</f>
        <v>1620.5154542725895</v>
      </c>
      <c r="H233" s="106">
        <f>VLOOKUP($A233,'VKT US'!$B$63:$AA$113,(H$223+1),FALSE)/VLOOKUP($A233,'Fuel economy adjusted factor'!$A$2:$G$52,7,FALSE)*VLOOKUP($A233,'US Grid mix, emissions&amp;prices'!$AE$2:$AI$52,5,FALSE)/(1+$AZ$41)^H$223</f>
        <v>1554.9807103377834</v>
      </c>
      <c r="I233" s="106">
        <f>VLOOKUP($A233,'VKT US'!$B$63:$AA$113,(I$223+1),FALSE)/VLOOKUP($A233,'Fuel economy adjusted factor'!$A$2:$G$52,7,FALSE)*VLOOKUP($A233,'US Grid mix, emissions&amp;prices'!$AE$2:$AI$52,5,FALSE)/(1+$AZ$41)^I$223</f>
        <v>1492.6296266602194</v>
      </c>
      <c r="J233" s="106">
        <f>VLOOKUP($A233,'VKT US'!$B$63:$AA$113,(J$223+1),FALSE)/VLOOKUP($A233,'Fuel economy adjusted factor'!$A$2:$G$52,7,FALSE)*VLOOKUP($A233,'US Grid mix, emissions&amp;prices'!$AE$2:$AI$52,5,FALSE)/(1+$AZ$41)^J$223</f>
        <v>1433.3738922726268</v>
      </c>
      <c r="K233" s="106">
        <f>VLOOKUP($A233,'VKT US'!$B$63:$AA$113,(K$223+1),FALSE)/VLOOKUP($A233,'Fuel economy adjusted factor'!$A$2:$G$52,7,FALSE)*VLOOKUP($A233,'US Grid mix, emissions&amp;prices'!$AE$2:$AI$52,5,FALSE)/(1+$AZ$41)^K$223</f>
        <v>1377.1271040499464</v>
      </c>
      <c r="L233" s="106">
        <f>VLOOKUP($A233,'VKT US'!$B$63:$AA$113,(L$223+1),FALSE)/VLOOKUP($A233,'Fuel economy adjusted factor'!$A$2:$G$52,7,FALSE)*VLOOKUP($A233,'US Grid mix, emissions&amp;prices'!$AE$2:$AI$52,5,FALSE)/(1+$AZ$41)^L$223</f>
        <v>1323.6767280063277</v>
      </c>
      <c r="M233" s="106">
        <f>VLOOKUP($A233,'VKT US'!$B$63:$AA$113,(M$223+1),FALSE)/VLOOKUP($A233,'Fuel economy adjusted factor'!$A$2:$G$52,7,FALSE)*VLOOKUP($A233,'US Grid mix, emissions&amp;prices'!$AE$2:$AI$52,5,FALSE)/(1+$AZ$41)^M$223</f>
        <v>1273.0711079638563</v>
      </c>
      <c r="N233" s="106">
        <f>VLOOKUP($A233,'VKT US'!$B$63:$AA$113,(N$223+1),FALSE)/VLOOKUP($A233,'Fuel economy adjusted factor'!$A$2:$G$52,7,FALSE)*VLOOKUP($A233,'US Grid mix, emissions&amp;prices'!$AE$2:$AI$52,5,FALSE)/(1+$AZ$41)^N$223</f>
        <v>1225.1043121156868</v>
      </c>
      <c r="O233" s="106">
        <f>VLOOKUP($A233,'VKT US'!$B$63:$AA$113,(O$223+1),FALSE)/VLOOKUP($A233,'Fuel economy adjusted factor'!$A$2:$G$52,7,FALSE)*VLOOKUP($A233,'US Grid mix, emissions&amp;prices'!$AE$2:$AI$52,5,FALSE)/(1+$AZ$41)^O$223</f>
        <v>1179.8251116817692</v>
      </c>
      <c r="P233" s="106">
        <f>VLOOKUP($A233,'VKT US'!$B$63:$AA$113,(P$223+1),FALSE)/VLOOKUP($A233,'Fuel economy adjusted factor'!$A$2:$G$52,7,FALSE)*VLOOKUP($A233,'US Grid mix, emissions&amp;prices'!$AE$2:$AI$52,5,FALSE)/(1+$AZ$41)^P$223</f>
        <v>1137.0339724767293</v>
      </c>
      <c r="Q233" s="106">
        <f>VLOOKUP($A233,'VKT US'!$B$63:$AA$113,(Q$223+1),FALSE)/VLOOKUP($A233,'Fuel economy adjusted factor'!$A$2:$G$52,7,FALSE)*VLOOKUP($A233,'US Grid mix, emissions&amp;prices'!$AE$2:$AI$52,5,FALSE)/(1+$AZ$41)^Q$223</f>
        <v>1096.9006263836145</v>
      </c>
      <c r="R233" s="106">
        <f>VLOOKUP($A233,'VKT US'!$B$63:$AA$113,(R$223+1),FALSE)/VLOOKUP($A233,'Fuel economy adjusted factor'!$A$2:$G$52,7,FALSE)*VLOOKUP($A233,'US Grid mix, emissions&amp;prices'!$AE$2:$AI$52,5,FALSE)/(1+$AZ$41)^R$223</f>
        <v>1058.9891255104947</v>
      </c>
      <c r="S233" s="106">
        <f>VLOOKUP($A233,'VKT US'!$B$63:$AA$113,(S$223+1),FALSE)/VLOOKUP($A233,'Fuel economy adjusted factor'!$A$2:$G$52,7,FALSE)*VLOOKUP($A233,'US Grid mix, emissions&amp;prices'!$AE$2:$AI$52,5,FALSE)/(1+$AZ$41)^S$223</f>
        <v>1023.5887108787866</v>
      </c>
      <c r="T233" s="106">
        <f>VLOOKUP($A233,'VKT US'!$B$63:$AA$113,(T$223+1),FALSE)/VLOOKUP($A233,'Fuel economy adjusted factor'!$A$2:$G$52,7,FALSE)*VLOOKUP($A233,'US Grid mix, emissions&amp;prices'!$AE$2:$AI$52,5,FALSE)/(1+$AZ$41)^T$223</f>
        <v>990.27516100244122</v>
      </c>
      <c r="U233" s="109">
        <f>VLOOKUP($A233,'VKT US'!$B$63:$AA$113,(U$223+1),FALSE)/VLOOKUP($A233,'Fuel economy adjusted factor'!$A$2:$G$52,7,FALSE)*VLOOKUP($A233,'US Grid mix, emissions&amp;prices'!$AE$2:$AI$52,5,FALSE)/(1+$AZ$41)^U$223</f>
        <v>959.33232457187114</v>
      </c>
      <c r="V233" s="110" cm="1">
        <f t="array" ref="V233">SUMPRODUCT(INDEX(B233:U233,,_xlfn.SEQUENCE($AZ$13)))</f>
        <v>21679.92418468749</v>
      </c>
    </row>
    <row r="234" spans="1:22" x14ac:dyDescent="0.25">
      <c r="A234" s="102" t="s">
        <v>233</v>
      </c>
      <c r="B234" s="106">
        <f>VLOOKUP($A234,'VKT US'!$B$63:$AA$113,(B$223+1),FALSE)/VLOOKUP($A234,'Fuel economy adjusted factor'!$A$2:$G$52,7,FALSE)*VLOOKUP($A234,'US Grid mix, emissions&amp;prices'!$AE$2:$AI$52,5,FALSE)/(1+$AZ$41)^B$223</f>
        <v>1277.3184872975341</v>
      </c>
      <c r="C234" s="106">
        <f>VLOOKUP($A234,'VKT US'!$B$63:$AA$113,(C$223+1),FALSE)/VLOOKUP($A234,'Fuel economy adjusted factor'!$A$2:$G$52,7,FALSE)*VLOOKUP($A234,'US Grid mix, emissions&amp;prices'!$AE$2:$AI$52,5,FALSE)/(1+$AZ$41)^C$223</f>
        <v>1224.6316273216105</v>
      </c>
      <c r="D234" s="106">
        <f>VLOOKUP($A234,'VKT US'!$B$63:$AA$113,(D$223+1),FALSE)/VLOOKUP($A234,'Fuel economy adjusted factor'!$A$2:$G$52,7,FALSE)*VLOOKUP($A234,'US Grid mix, emissions&amp;prices'!$AE$2:$AI$52,5,FALSE)/(1+$AZ$41)^D$223</f>
        <v>1174.1851540370556</v>
      </c>
      <c r="E234" s="106">
        <f>VLOOKUP($A234,'VKT US'!$B$63:$AA$113,(E$223+1),FALSE)/VLOOKUP($A234,'Fuel economy adjusted factor'!$A$2:$G$52,7,FALSE)*VLOOKUP($A234,'US Grid mix, emissions&amp;prices'!$AE$2:$AI$52,5,FALSE)/(1+$AZ$41)^E$223</f>
        <v>1126.0084347460092</v>
      </c>
      <c r="F234" s="106">
        <f>VLOOKUP($A234,'VKT US'!$B$63:$AA$113,(F$223+1),FALSE)/VLOOKUP($A234,'Fuel economy adjusted factor'!$A$2:$G$52,7,FALSE)*VLOOKUP($A234,'US Grid mix, emissions&amp;prices'!$AE$2:$AI$52,5,FALSE)/(1+$AZ$41)^F$223</f>
        <v>1079.9520492100464</v>
      </c>
      <c r="G234" s="106">
        <f>VLOOKUP($A234,'VKT US'!$B$63:$AA$113,(G$223+1),FALSE)/VLOOKUP($A234,'Fuel economy adjusted factor'!$A$2:$G$52,7,FALSE)*VLOOKUP($A234,'US Grid mix, emissions&amp;prices'!$AE$2:$AI$52,5,FALSE)/(1+$AZ$41)^G$223</f>
        <v>1036.1326802988226</v>
      </c>
      <c r="H234" s="106">
        <f>VLOOKUP($A234,'VKT US'!$B$63:$AA$113,(H$223+1),FALSE)/VLOOKUP($A234,'Fuel economy adjusted factor'!$A$2:$G$52,7,FALSE)*VLOOKUP($A234,'US Grid mix, emissions&amp;prices'!$AE$2:$AI$52,5,FALSE)/(1+$AZ$41)^H$223</f>
        <v>994.23077204682909</v>
      </c>
      <c r="I234" s="106">
        <f>VLOOKUP($A234,'VKT US'!$B$63:$AA$113,(I$223+1),FALSE)/VLOOKUP($A234,'Fuel economy adjusted factor'!$A$2:$G$52,7,FALSE)*VLOOKUP($A234,'US Grid mix, emissions&amp;prices'!$AE$2:$AI$52,5,FALSE)/(1+$AZ$41)^I$223</f>
        <v>954.36444724255887</v>
      </c>
      <c r="J234" s="106">
        <f>VLOOKUP($A234,'VKT US'!$B$63:$AA$113,(J$223+1),FALSE)/VLOOKUP($A234,'Fuel economy adjusted factor'!$A$2:$G$52,7,FALSE)*VLOOKUP($A234,'US Grid mix, emissions&amp;prices'!$AE$2:$AI$52,5,FALSE)/(1+$AZ$41)^J$223</f>
        <v>916.47724121054296</v>
      </c>
      <c r="K234" s="106">
        <f>VLOOKUP($A234,'VKT US'!$B$63:$AA$113,(K$223+1),FALSE)/VLOOKUP($A234,'Fuel economy adjusted factor'!$A$2:$G$52,7,FALSE)*VLOOKUP($A234,'US Grid mix, emissions&amp;prices'!$AE$2:$AI$52,5,FALSE)/(1+$AZ$41)^K$223</f>
        <v>880.51390912030604</v>
      </c>
      <c r="L234" s="106">
        <f>VLOOKUP($A234,'VKT US'!$B$63:$AA$113,(L$223+1),FALSE)/VLOOKUP($A234,'Fuel economy adjusted factor'!$A$2:$G$52,7,FALSE)*VLOOKUP($A234,'US Grid mix, emissions&amp;prices'!$AE$2:$AI$52,5,FALSE)/(1+$AZ$41)^L$223</f>
        <v>846.33856000713513</v>
      </c>
      <c r="M234" s="106">
        <f>VLOOKUP($A234,'VKT US'!$B$63:$AA$113,(M$223+1),FALSE)/VLOOKUP($A234,'Fuel economy adjusted factor'!$A$2:$G$52,7,FALSE)*VLOOKUP($A234,'US Grid mix, emissions&amp;prices'!$AE$2:$AI$52,5,FALSE)/(1+$AZ$41)^M$223</f>
        <v>813.98210416801066</v>
      </c>
      <c r="N234" s="106">
        <f>VLOOKUP($A234,'VKT US'!$B$63:$AA$113,(N$223+1),FALSE)/VLOOKUP($A234,'Fuel economy adjusted factor'!$A$2:$G$52,7,FALSE)*VLOOKUP($A234,'US Grid mix, emissions&amp;prices'!$AE$2:$AI$52,5,FALSE)/(1+$AZ$41)^N$223</f>
        <v>783.31287197002507</v>
      </c>
      <c r="O234" s="106">
        <f>VLOOKUP($A234,'VKT US'!$B$63:$AA$113,(O$223+1),FALSE)/VLOOKUP($A234,'Fuel economy adjusted factor'!$A$2:$G$52,7,FALSE)*VLOOKUP($A234,'US Grid mix, emissions&amp;prices'!$AE$2:$AI$52,5,FALSE)/(1+$AZ$41)^O$223</f>
        <v>754.36204698178574</v>
      </c>
      <c r="P234" s="106">
        <f>VLOOKUP($A234,'VKT US'!$B$63:$AA$113,(P$223+1),FALSE)/VLOOKUP($A234,'Fuel economy adjusted factor'!$A$2:$G$52,7,FALSE)*VLOOKUP($A234,'US Grid mix, emissions&amp;prices'!$AE$2:$AI$52,5,FALSE)/(1+$AZ$41)^P$223</f>
        <v>727.00205011124694</v>
      </c>
      <c r="Q234" s="106">
        <f>VLOOKUP($A234,'VKT US'!$B$63:$AA$113,(Q$223+1),FALSE)/VLOOKUP($A234,'Fuel economy adjusted factor'!$A$2:$G$52,7,FALSE)*VLOOKUP($A234,'US Grid mix, emissions&amp;prices'!$AE$2:$AI$52,5,FALSE)/(1+$AZ$41)^Q$223</f>
        <v>701.34140531629487</v>
      </c>
      <c r="R234" s="106">
        <f>VLOOKUP($A234,'VKT US'!$B$63:$AA$113,(R$223+1),FALSE)/VLOOKUP($A234,'Fuel economy adjusted factor'!$A$2:$G$52,7,FALSE)*VLOOKUP($A234,'US Grid mix, emissions&amp;prices'!$AE$2:$AI$52,5,FALSE)/(1+$AZ$41)^R$223</f>
        <v>677.10137421369177</v>
      </c>
      <c r="S234" s="106">
        <f>VLOOKUP($A234,'VKT US'!$B$63:$AA$113,(S$223+1),FALSE)/VLOOKUP($A234,'Fuel economy adjusted factor'!$A$2:$G$52,7,FALSE)*VLOOKUP($A234,'US Grid mix, emissions&amp;prices'!$AE$2:$AI$52,5,FALSE)/(1+$AZ$41)^S$223</f>
        <v>654.4668930679959</v>
      </c>
      <c r="T234" s="106">
        <f>VLOOKUP($A234,'VKT US'!$B$63:$AA$113,(T$223+1),FALSE)/VLOOKUP($A234,'Fuel economy adjusted factor'!$A$2:$G$52,7,FALSE)*VLOOKUP($A234,'US Grid mix, emissions&amp;prices'!$AE$2:$AI$52,5,FALSE)/(1+$AZ$41)^T$223</f>
        <v>633.16672117969995</v>
      </c>
      <c r="U234" s="109">
        <f>VLOOKUP($A234,'VKT US'!$B$63:$AA$113,(U$223+1),FALSE)/VLOOKUP($A234,'Fuel economy adjusted factor'!$A$2:$G$52,7,FALSE)*VLOOKUP($A234,'US Grid mix, emissions&amp;prices'!$AE$2:$AI$52,5,FALSE)/(1+$AZ$41)^U$223</f>
        <v>613.38234703977787</v>
      </c>
      <c r="V234" s="110" cm="1">
        <f t="array" ref="V234">SUMPRODUCT(INDEX(B234:U234,,_xlfn.SEQUENCE($AZ$13)))</f>
        <v>13861.810385658273</v>
      </c>
    </row>
    <row r="235" spans="1:22" x14ac:dyDescent="0.25">
      <c r="A235" s="102" t="s">
        <v>196</v>
      </c>
      <c r="B235" s="106">
        <f>VLOOKUP($A235,'VKT US'!$B$63:$AA$113,(B$223+1),FALSE)/VLOOKUP($A235,'Fuel economy adjusted factor'!$A$2:$G$52,7,FALSE)*VLOOKUP($A235,'US Grid mix, emissions&amp;prices'!$AE$2:$AI$52,5,FALSE)/(1+$AZ$41)^B$223</f>
        <v>1635.7980338992979</v>
      </c>
      <c r="C235" s="106">
        <f>VLOOKUP($A235,'VKT US'!$B$63:$AA$113,(C$223+1),FALSE)/VLOOKUP($A235,'Fuel economy adjusted factor'!$A$2:$G$52,7,FALSE)*VLOOKUP($A235,'US Grid mix, emissions&amp;prices'!$AE$2:$AI$52,5,FALSE)/(1+$AZ$41)^C$223</f>
        <v>1568.3246020042598</v>
      </c>
      <c r="D235" s="106">
        <f>VLOOKUP($A235,'VKT US'!$B$63:$AA$113,(D$223+1),FALSE)/VLOOKUP($A235,'Fuel economy adjusted factor'!$A$2:$G$52,7,FALSE)*VLOOKUP($A235,'US Grid mix, emissions&amp;prices'!$AE$2:$AI$52,5,FALSE)/(1+$AZ$41)^D$223</f>
        <v>1503.7203215239704</v>
      </c>
      <c r="E235" s="106">
        <f>VLOOKUP($A235,'VKT US'!$B$63:$AA$113,(E$223+1),FALSE)/VLOOKUP($A235,'Fuel economy adjusted factor'!$A$2:$G$52,7,FALSE)*VLOOKUP($A235,'US Grid mix, emissions&amp;prices'!$AE$2:$AI$52,5,FALSE)/(1+$AZ$41)^E$223</f>
        <v>1442.0228016965173</v>
      </c>
      <c r="F235" s="106">
        <f>VLOOKUP($A235,'VKT US'!$B$63:$AA$113,(F$223+1),FALSE)/VLOOKUP($A235,'Fuel economy adjusted factor'!$A$2:$G$52,7,FALSE)*VLOOKUP($A235,'US Grid mix, emissions&amp;prices'!$AE$2:$AI$52,5,FALSE)/(1+$AZ$41)^F$223</f>
        <v>1383.0406874803261</v>
      </c>
      <c r="G235" s="106">
        <f>VLOOKUP($A235,'VKT US'!$B$63:$AA$113,(G$223+1),FALSE)/VLOOKUP($A235,'Fuel economy adjusted factor'!$A$2:$G$52,7,FALSE)*VLOOKUP($A235,'US Grid mix, emissions&amp;prices'!$AE$2:$AI$52,5,FALSE)/(1+$AZ$41)^G$223</f>
        <v>1326.9234088027561</v>
      </c>
      <c r="H235" s="106">
        <f>VLOOKUP($A235,'VKT US'!$B$63:$AA$113,(H$223+1),FALSE)/VLOOKUP($A235,'Fuel economy adjusted factor'!$A$2:$G$52,7,FALSE)*VLOOKUP($A235,'US Grid mix, emissions&amp;prices'!$AE$2:$AI$52,5,FALSE)/(1+$AZ$41)^H$223</f>
        <v>1273.2617262882732</v>
      </c>
      <c r="I235" s="106">
        <f>VLOOKUP($A235,'VKT US'!$B$63:$AA$113,(I$223+1),FALSE)/VLOOKUP($A235,'Fuel economy adjusted factor'!$A$2:$G$52,7,FALSE)*VLOOKUP($A235,'US Grid mix, emissions&amp;prices'!$AE$2:$AI$52,5,FALSE)/(1+$AZ$41)^I$223</f>
        <v>1222.2069138964239</v>
      </c>
      <c r="J235" s="106">
        <f>VLOOKUP($A235,'VKT US'!$B$63:$AA$113,(J$223+1),FALSE)/VLOOKUP($A235,'Fuel economy adjusted factor'!$A$2:$G$52,7,FALSE)*VLOOKUP($A235,'US Grid mix, emissions&amp;prices'!$AE$2:$AI$52,5,FALSE)/(1+$AZ$41)^J$223</f>
        <v>1173.686660135568</v>
      </c>
      <c r="K235" s="106">
        <f>VLOOKUP($A235,'VKT US'!$B$63:$AA$113,(K$223+1),FALSE)/VLOOKUP($A235,'Fuel economy adjusted factor'!$A$2:$G$52,7,FALSE)*VLOOKUP($A235,'US Grid mix, emissions&amp;prices'!$AE$2:$AI$52,5,FALSE)/(1+$AZ$41)^K$223</f>
        <v>1127.6302157086629</v>
      </c>
      <c r="L235" s="106">
        <f>VLOOKUP($A235,'VKT US'!$B$63:$AA$113,(L$223+1),FALSE)/VLOOKUP($A235,'Fuel economy adjusted factor'!$A$2:$G$52,7,FALSE)*VLOOKUP($A235,'US Grid mix, emissions&amp;prices'!$AE$2:$AI$52,5,FALSE)/(1+$AZ$41)^L$223</f>
        <v>1083.863551839713</v>
      </c>
      <c r="M235" s="106">
        <f>VLOOKUP($A235,'VKT US'!$B$63:$AA$113,(M$223+1),FALSE)/VLOOKUP($A235,'Fuel economy adjusted factor'!$A$2:$G$52,7,FALSE)*VLOOKUP($A235,'US Grid mix, emissions&amp;prices'!$AE$2:$AI$52,5,FALSE)/(1+$AZ$41)^M$223</f>
        <v>1042.4262538032835</v>
      </c>
      <c r="N235" s="106">
        <f>VLOOKUP($A235,'VKT US'!$B$63:$AA$113,(N$223+1),FALSE)/VLOOKUP($A235,'Fuel economy adjusted factor'!$A$2:$G$52,7,FALSE)*VLOOKUP($A235,'US Grid mix, emissions&amp;prices'!$AE$2:$AI$52,5,FALSE)/(1+$AZ$41)^N$223</f>
        <v>1003.1496988723283</v>
      </c>
      <c r="O235" s="106">
        <f>VLOOKUP($A235,'VKT US'!$B$63:$AA$113,(O$223+1),FALSE)/VLOOKUP($A235,'Fuel economy adjusted factor'!$A$2:$G$52,7,FALSE)*VLOOKUP($A235,'US Grid mix, emissions&amp;prices'!$AE$2:$AI$52,5,FALSE)/(1+$AZ$41)^O$223</f>
        <v>966.07382228674737</v>
      </c>
      <c r="P235" s="106">
        <f>VLOOKUP($A235,'VKT US'!$B$63:$AA$113,(P$223+1),FALSE)/VLOOKUP($A235,'Fuel economy adjusted factor'!$A$2:$G$52,7,FALSE)*VLOOKUP($A235,'US Grid mix, emissions&amp;prices'!$AE$2:$AI$52,5,FALSE)/(1+$AZ$41)^P$223</f>
        <v>931.03523987101107</v>
      </c>
      <c r="Q235" s="106">
        <f>VLOOKUP($A235,'VKT US'!$B$63:$AA$113,(Q$223+1),FALSE)/VLOOKUP($A235,'Fuel economy adjusted factor'!$A$2:$G$52,7,FALSE)*VLOOKUP($A235,'US Grid mix, emissions&amp;prices'!$AE$2:$AI$52,5,FALSE)/(1+$AZ$41)^Q$223</f>
        <v>898.1729328413993</v>
      </c>
      <c r="R235" s="106">
        <f>VLOOKUP($A235,'VKT US'!$B$63:$AA$113,(R$223+1),FALSE)/VLOOKUP($A235,'Fuel economy adjusted factor'!$A$2:$G$52,7,FALSE)*VLOOKUP($A235,'US Grid mix, emissions&amp;prices'!$AE$2:$AI$52,5,FALSE)/(1+$AZ$41)^R$223</f>
        <v>867.12993486272831</v>
      </c>
      <c r="S235" s="106">
        <f>VLOOKUP($A235,'VKT US'!$B$63:$AA$113,(S$223+1),FALSE)/VLOOKUP($A235,'Fuel economy adjusted factor'!$A$2:$G$52,7,FALSE)*VLOOKUP($A235,'US Grid mix, emissions&amp;prices'!$AE$2:$AI$52,5,FALSE)/(1+$AZ$41)^S$223</f>
        <v>838.14308457858681</v>
      </c>
      <c r="T235" s="106">
        <f>VLOOKUP($A235,'VKT US'!$B$63:$AA$113,(T$223+1),FALSE)/VLOOKUP($A235,'Fuel economy adjusted factor'!$A$2:$G$52,7,FALSE)*VLOOKUP($A235,'US Grid mix, emissions&amp;prices'!$AE$2:$AI$52,5,FALSE)/(1+$AZ$41)^T$223</f>
        <v>810.86501756312407</v>
      </c>
      <c r="U235" s="109">
        <f>VLOOKUP($A235,'VKT US'!$B$63:$AA$113,(U$223+1),FALSE)/VLOOKUP($A235,'Fuel economy adjusted factor'!$A$2:$G$52,7,FALSE)*VLOOKUP($A235,'US Grid mix, emissions&amp;prices'!$AE$2:$AI$52,5,FALSE)/(1+$AZ$41)^U$223</f>
        <v>785.52815706838192</v>
      </c>
      <c r="V235" s="110" cm="1">
        <f t="array" ref="V235">SUMPRODUCT(INDEX(B235:U235,,_xlfn.SEQUENCE($AZ$13)))</f>
        <v>17752.128698238128</v>
      </c>
    </row>
    <row r="236" spans="1:22" x14ac:dyDescent="0.25">
      <c r="A236" s="102" t="s">
        <v>197</v>
      </c>
      <c r="B236" s="106">
        <f>VLOOKUP($A236,'VKT US'!$B$63:$AA$113,(B$223+1),FALSE)/VLOOKUP($A236,'Fuel economy adjusted factor'!$A$2:$G$52,7,FALSE)*VLOOKUP($A236,'US Grid mix, emissions&amp;prices'!$AE$2:$AI$52,5,FALSE)/(1+$AZ$41)^B$223</f>
        <v>1401.8686539770879</v>
      </c>
      <c r="C236" s="106">
        <f>VLOOKUP($A236,'VKT US'!$B$63:$AA$113,(C$223+1),FALSE)/VLOOKUP($A236,'Fuel economy adjusted factor'!$A$2:$G$52,7,FALSE)*VLOOKUP($A236,'US Grid mix, emissions&amp;prices'!$AE$2:$AI$52,5,FALSE)/(1+$AZ$41)^C$223</f>
        <v>1344.0443460920628</v>
      </c>
      <c r="D236" s="106">
        <f>VLOOKUP($A236,'VKT US'!$B$63:$AA$113,(D$223+1),FALSE)/VLOOKUP($A236,'Fuel economy adjusted factor'!$A$2:$G$52,7,FALSE)*VLOOKUP($A236,'US Grid mix, emissions&amp;prices'!$AE$2:$AI$52,5,FALSE)/(1+$AZ$41)^D$223</f>
        <v>1288.6788829717934</v>
      </c>
      <c r="E236" s="106">
        <f>VLOOKUP($A236,'VKT US'!$B$63:$AA$113,(E$223+1),FALSE)/VLOOKUP($A236,'Fuel economy adjusted factor'!$A$2:$G$52,7,FALSE)*VLOOKUP($A236,'US Grid mix, emissions&amp;prices'!$AE$2:$AI$52,5,FALSE)/(1+$AZ$41)^E$223</f>
        <v>1235.8044954974032</v>
      </c>
      <c r="F236" s="106">
        <f>VLOOKUP($A236,'VKT US'!$B$63:$AA$113,(F$223+1),FALSE)/VLOOKUP($A236,'Fuel economy adjusted factor'!$A$2:$G$52,7,FALSE)*VLOOKUP($A236,'US Grid mix, emissions&amp;prices'!$AE$2:$AI$52,5,FALSE)/(1+$AZ$41)^F$223</f>
        <v>1185.2571935986009</v>
      </c>
      <c r="G236" s="106">
        <f>VLOOKUP($A236,'VKT US'!$B$63:$AA$113,(G$223+1),FALSE)/VLOOKUP($A236,'Fuel economy adjusted factor'!$A$2:$G$52,7,FALSE)*VLOOKUP($A236,'US Grid mix, emissions&amp;prices'!$AE$2:$AI$52,5,FALSE)/(1+$AZ$41)^G$223</f>
        <v>1137.1650377857857</v>
      </c>
      <c r="H236" s="106">
        <f>VLOOKUP($A236,'VKT US'!$B$63:$AA$113,(H$223+1),FALSE)/VLOOKUP($A236,'Fuel economy adjusted factor'!$A$2:$G$52,7,FALSE)*VLOOKUP($A236,'US Grid mix, emissions&amp;prices'!$AE$2:$AI$52,5,FALSE)/(1+$AZ$41)^H$223</f>
        <v>1091.1773124812109</v>
      </c>
      <c r="I236" s="106">
        <f>VLOOKUP($A236,'VKT US'!$B$63:$AA$113,(I$223+1),FALSE)/VLOOKUP($A236,'Fuel economy adjusted factor'!$A$2:$G$52,7,FALSE)*VLOOKUP($A236,'US Grid mix, emissions&amp;prices'!$AE$2:$AI$52,5,FALSE)/(1+$AZ$41)^I$223</f>
        <v>1047.4236585192937</v>
      </c>
      <c r="J236" s="106">
        <f>VLOOKUP($A236,'VKT US'!$B$63:$AA$113,(J$223+1),FALSE)/VLOOKUP($A236,'Fuel economy adjusted factor'!$A$2:$G$52,7,FALSE)*VLOOKUP($A236,'US Grid mix, emissions&amp;prices'!$AE$2:$AI$52,5,FALSE)/(1+$AZ$41)^J$223</f>
        <v>1005.8421054052956</v>
      </c>
      <c r="K236" s="106">
        <f>VLOOKUP($A236,'VKT US'!$B$63:$AA$113,(K$223+1),FALSE)/VLOOKUP($A236,'Fuel economy adjusted factor'!$A$2:$G$52,7,FALSE)*VLOOKUP($A236,'US Grid mix, emissions&amp;prices'!$AE$2:$AI$52,5,FALSE)/(1+$AZ$41)^K$223</f>
        <v>966.37202143544846</v>
      </c>
      <c r="L236" s="106">
        <f>VLOOKUP($A236,'VKT US'!$B$63:$AA$113,(L$223+1),FALSE)/VLOOKUP($A236,'Fuel economy adjusted factor'!$A$2:$G$52,7,FALSE)*VLOOKUP($A236,'US Grid mix, emissions&amp;prices'!$AE$2:$AI$52,5,FALSE)/(1+$AZ$41)^L$223</f>
        <v>928.86426504037649</v>
      </c>
      <c r="M236" s="106">
        <f>VLOOKUP($A236,'VKT US'!$B$63:$AA$113,(M$223+1),FALSE)/VLOOKUP($A236,'Fuel economy adjusted factor'!$A$2:$G$52,7,FALSE)*VLOOKUP($A236,'US Grid mix, emissions&amp;prices'!$AE$2:$AI$52,5,FALSE)/(1+$AZ$41)^M$223</f>
        <v>893.35276055207055</v>
      </c>
      <c r="N236" s="106">
        <f>VLOOKUP($A236,'VKT US'!$B$63:$AA$113,(N$223+1),FALSE)/VLOOKUP($A236,'Fuel economy adjusted factor'!$A$2:$G$52,7,FALSE)*VLOOKUP($A236,'US Grid mix, emissions&amp;prices'!$AE$2:$AI$52,5,FALSE)/(1+$AZ$41)^N$223</f>
        <v>859.69299935119307</v>
      </c>
      <c r="O236" s="106">
        <f>VLOOKUP($A236,'VKT US'!$B$63:$AA$113,(O$223+1),FALSE)/VLOOKUP($A236,'Fuel economy adjusted factor'!$A$2:$G$52,7,FALSE)*VLOOKUP($A236,'US Grid mix, emissions&amp;prices'!$AE$2:$AI$52,5,FALSE)/(1+$AZ$41)^O$223</f>
        <v>827.91920568783121</v>
      </c>
      <c r="P236" s="106">
        <f>VLOOKUP($A236,'VKT US'!$B$63:$AA$113,(P$223+1),FALSE)/VLOOKUP($A236,'Fuel economy adjusted factor'!$A$2:$G$52,7,FALSE)*VLOOKUP($A236,'US Grid mix, emissions&amp;prices'!$AE$2:$AI$52,5,FALSE)/(1+$AZ$41)^P$223</f>
        <v>797.89136034843705</v>
      </c>
      <c r="Q236" s="106">
        <f>VLOOKUP($A236,'VKT US'!$B$63:$AA$113,(Q$223+1),FALSE)/VLOOKUP($A236,'Fuel economy adjusted factor'!$A$2:$G$52,7,FALSE)*VLOOKUP($A236,'US Grid mix, emissions&amp;prices'!$AE$2:$AI$52,5,FALSE)/(1+$AZ$41)^Q$223</f>
        <v>769.72856936355686</v>
      </c>
      <c r="R236" s="106">
        <f>VLOOKUP($A236,'VKT US'!$B$63:$AA$113,(R$223+1),FALSE)/VLOOKUP($A236,'Fuel economy adjusted factor'!$A$2:$G$52,7,FALSE)*VLOOKUP($A236,'US Grid mix, emissions&amp;prices'!$AE$2:$AI$52,5,FALSE)/(1+$AZ$41)^R$223</f>
        <v>743.12491482312623</v>
      </c>
      <c r="S236" s="106">
        <f>VLOOKUP($A236,'VKT US'!$B$63:$AA$113,(S$223+1),FALSE)/VLOOKUP($A236,'Fuel economy adjusted factor'!$A$2:$G$52,7,FALSE)*VLOOKUP($A236,'US Grid mix, emissions&amp;prices'!$AE$2:$AI$52,5,FALSE)/(1+$AZ$41)^S$223</f>
        <v>718.28336595905262</v>
      </c>
      <c r="T236" s="106">
        <f>VLOOKUP($A236,'VKT US'!$B$63:$AA$113,(T$223+1),FALSE)/VLOOKUP($A236,'Fuel economy adjusted factor'!$A$2:$G$52,7,FALSE)*VLOOKUP($A236,'US Grid mix, emissions&amp;prices'!$AE$2:$AI$52,5,FALSE)/(1+$AZ$41)^T$223</f>
        <v>694.90623363733846</v>
      </c>
      <c r="U236" s="109">
        <f>VLOOKUP($A236,'VKT US'!$B$63:$AA$113,(U$223+1),FALSE)/VLOOKUP($A236,'Fuel economy adjusted factor'!$A$2:$G$52,7,FALSE)*VLOOKUP($A236,'US Grid mix, emissions&amp;prices'!$AE$2:$AI$52,5,FALSE)/(1+$AZ$41)^U$223</f>
        <v>673.1927031270335</v>
      </c>
      <c r="V236" s="110" cm="1">
        <f t="array" ref="V236">SUMPRODUCT(INDEX(B236:U236,,_xlfn.SEQUENCE($AZ$13)))</f>
        <v>15213.462938395454</v>
      </c>
    </row>
    <row r="237" spans="1:22" x14ac:dyDescent="0.25">
      <c r="A237" s="102" t="s">
        <v>198</v>
      </c>
      <c r="B237" s="106">
        <f>VLOOKUP($A237,'VKT US'!$B$63:$AA$113,(B$223+1),FALSE)/VLOOKUP($A237,'Fuel economy adjusted factor'!$A$2:$G$52,7,FALSE)*VLOOKUP($A237,'US Grid mix, emissions&amp;prices'!$AE$2:$AI$52,5,FALSE)/(1+$AZ$41)^B$223</f>
        <v>2004.5059768710898</v>
      </c>
      <c r="C237" s="106">
        <f>VLOOKUP($A237,'VKT US'!$B$63:$AA$113,(C$223+1),FALSE)/VLOOKUP($A237,'Fuel economy adjusted factor'!$A$2:$G$52,7,FALSE)*VLOOKUP($A237,'US Grid mix, emissions&amp;prices'!$AE$2:$AI$52,5,FALSE)/(1+$AZ$41)^C$223</f>
        <v>1921.8240719471628</v>
      </c>
      <c r="D237" s="106">
        <f>VLOOKUP($A237,'VKT US'!$B$63:$AA$113,(D$223+1),FALSE)/VLOOKUP($A237,'Fuel economy adjusted factor'!$A$2:$G$52,7,FALSE)*VLOOKUP($A237,'US Grid mix, emissions&amp;prices'!$AE$2:$AI$52,5,FALSE)/(1+$AZ$41)^D$223</f>
        <v>1842.658023528885</v>
      </c>
      <c r="E237" s="106">
        <f>VLOOKUP($A237,'VKT US'!$B$63:$AA$113,(E$223+1),FALSE)/VLOOKUP($A237,'Fuel economy adjusted factor'!$A$2:$G$52,7,FALSE)*VLOOKUP($A237,'US Grid mix, emissions&amp;prices'!$AE$2:$AI$52,5,FALSE)/(1+$AZ$41)^E$223</f>
        <v>1767.0539179551363</v>
      </c>
      <c r="F237" s="106">
        <f>VLOOKUP($A237,'VKT US'!$B$63:$AA$113,(F$223+1),FALSE)/VLOOKUP($A237,'Fuel economy adjusted factor'!$A$2:$G$52,7,FALSE)*VLOOKUP($A237,'US Grid mix, emissions&amp;prices'!$AE$2:$AI$52,5,FALSE)/(1+$AZ$41)^F$223</f>
        <v>1694.7772688672167</v>
      </c>
      <c r="G237" s="106">
        <f>VLOOKUP($A237,'VKT US'!$B$63:$AA$113,(G$223+1),FALSE)/VLOOKUP($A237,'Fuel economy adjusted factor'!$A$2:$G$52,7,FALSE)*VLOOKUP($A237,'US Grid mix, emissions&amp;prices'!$AE$2:$AI$52,5,FALSE)/(1+$AZ$41)^G$223</f>
        <v>1626.0111876128026</v>
      </c>
      <c r="H237" s="106">
        <f>VLOOKUP($A237,'VKT US'!$B$63:$AA$113,(H$223+1),FALSE)/VLOOKUP($A237,'Fuel economy adjusted factor'!$A$2:$G$52,7,FALSE)*VLOOKUP($A237,'US Grid mix, emissions&amp;prices'!$AE$2:$AI$52,5,FALSE)/(1+$AZ$41)^H$223</f>
        <v>1560.2541924947477</v>
      </c>
      <c r="I237" s="106">
        <f>VLOOKUP($A237,'VKT US'!$B$63:$AA$113,(I$223+1),FALSE)/VLOOKUP($A237,'Fuel economy adjusted factor'!$A$2:$G$52,7,FALSE)*VLOOKUP($A237,'US Grid mix, emissions&amp;prices'!$AE$2:$AI$52,5,FALSE)/(1+$AZ$41)^I$223</f>
        <v>1497.6916545367189</v>
      </c>
      <c r="J237" s="106">
        <f>VLOOKUP($A237,'VKT US'!$B$63:$AA$113,(J$223+1),FALSE)/VLOOKUP($A237,'Fuel economy adjusted factor'!$A$2:$G$52,7,FALSE)*VLOOKUP($A237,'US Grid mix, emissions&amp;prices'!$AE$2:$AI$52,5,FALSE)/(1+$AZ$41)^J$223</f>
        <v>1438.234963278142</v>
      </c>
      <c r="K237" s="106">
        <f>VLOOKUP($A237,'VKT US'!$B$63:$AA$113,(K$223+1),FALSE)/VLOOKUP($A237,'Fuel economy adjusted factor'!$A$2:$G$52,7,FALSE)*VLOOKUP($A237,'US Grid mix, emissions&amp;prices'!$AE$2:$AI$52,5,FALSE)/(1+$AZ$41)^K$223</f>
        <v>1381.7974225708119</v>
      </c>
      <c r="L237" s="106">
        <f>VLOOKUP($A237,'VKT US'!$B$63:$AA$113,(L$223+1),FALSE)/VLOOKUP($A237,'Fuel economy adjusted factor'!$A$2:$G$52,7,FALSE)*VLOOKUP($A237,'US Grid mix, emissions&amp;prices'!$AE$2:$AI$52,5,FALSE)/(1+$AZ$41)^L$223</f>
        <v>1328.1657776519753</v>
      </c>
      <c r="M237" s="106">
        <f>VLOOKUP($A237,'VKT US'!$B$63:$AA$113,(M$223+1),FALSE)/VLOOKUP($A237,'Fuel economy adjusted factor'!$A$2:$G$52,7,FALSE)*VLOOKUP($A237,'US Grid mix, emissions&amp;prices'!$AE$2:$AI$52,5,FALSE)/(1+$AZ$41)^M$223</f>
        <v>1277.3885362944857</v>
      </c>
      <c r="N237" s="106">
        <f>VLOOKUP($A237,'VKT US'!$B$63:$AA$113,(N$223+1),FALSE)/VLOOKUP($A237,'Fuel economy adjusted factor'!$A$2:$G$52,7,FALSE)*VLOOKUP($A237,'US Grid mix, emissions&amp;prices'!$AE$2:$AI$52,5,FALSE)/(1+$AZ$41)^N$223</f>
        <v>1229.2590683048868</v>
      </c>
      <c r="O237" s="106">
        <f>VLOOKUP($A237,'VKT US'!$B$63:$AA$113,(O$223+1),FALSE)/VLOOKUP($A237,'Fuel economy adjusted factor'!$A$2:$G$52,7,FALSE)*VLOOKUP($A237,'US Grid mix, emissions&amp;prices'!$AE$2:$AI$52,5,FALSE)/(1+$AZ$41)^O$223</f>
        <v>1183.8263103033523</v>
      </c>
      <c r="P237" s="106">
        <f>VLOOKUP($A237,'VKT US'!$B$63:$AA$113,(P$223+1),FALSE)/VLOOKUP($A237,'Fuel economy adjusted factor'!$A$2:$G$52,7,FALSE)*VLOOKUP($A237,'US Grid mix, emissions&amp;prices'!$AE$2:$AI$52,5,FALSE)/(1+$AZ$41)^P$223</f>
        <v>1140.8900514144648</v>
      </c>
      <c r="Q237" s="106">
        <f>VLOOKUP($A237,'VKT US'!$B$63:$AA$113,(Q$223+1),FALSE)/VLOOKUP($A237,'Fuel economy adjusted factor'!$A$2:$G$52,7,FALSE)*VLOOKUP($A237,'US Grid mix, emissions&amp;prices'!$AE$2:$AI$52,5,FALSE)/(1+$AZ$41)^Q$223</f>
        <v>1100.6205991413092</v>
      </c>
      <c r="R237" s="106">
        <f>VLOOKUP($A237,'VKT US'!$B$63:$AA$113,(R$223+1),FALSE)/VLOOKUP($A237,'Fuel economy adjusted factor'!$A$2:$G$52,7,FALSE)*VLOOKUP($A237,'US Grid mix, emissions&amp;prices'!$AE$2:$AI$52,5,FALSE)/(1+$AZ$41)^R$223</f>
        <v>1062.5805271405418</v>
      </c>
      <c r="S237" s="106">
        <f>VLOOKUP($A237,'VKT US'!$B$63:$AA$113,(S$223+1),FALSE)/VLOOKUP($A237,'Fuel economy adjusted factor'!$A$2:$G$52,7,FALSE)*VLOOKUP($A237,'US Grid mix, emissions&amp;prices'!$AE$2:$AI$52,5,FALSE)/(1+$AZ$41)^S$223</f>
        <v>1027.0600573508061</v>
      </c>
      <c r="T237" s="106">
        <f>VLOOKUP($A237,'VKT US'!$B$63:$AA$113,(T$223+1),FALSE)/VLOOKUP($A237,'Fuel economy adjusted factor'!$A$2:$G$52,7,FALSE)*VLOOKUP($A237,'US Grid mix, emissions&amp;prices'!$AE$2:$AI$52,5,FALSE)/(1+$AZ$41)^T$223</f>
        <v>993.63352960297323</v>
      </c>
      <c r="U237" s="109">
        <f>VLOOKUP($A237,'VKT US'!$B$63:$AA$113,(U$223+1),FALSE)/VLOOKUP($A237,'Fuel economy adjusted factor'!$A$2:$G$52,7,FALSE)*VLOOKUP($A237,'US Grid mix, emissions&amp;prices'!$AE$2:$AI$52,5,FALSE)/(1+$AZ$41)^U$223</f>
        <v>962.58575521740636</v>
      </c>
      <c r="V237" s="110" cm="1">
        <f t="array" ref="V237">SUMPRODUCT(INDEX(B237:U237,,_xlfn.SEQUENCE($AZ$13)))</f>
        <v>21753.448372217415</v>
      </c>
    </row>
    <row r="238" spans="1:22" x14ac:dyDescent="0.25">
      <c r="A238" s="102" t="s">
        <v>195</v>
      </c>
      <c r="B238" s="106">
        <f>VLOOKUP($A238,'VKT US'!$B$63:$AA$113,(B$223+1),FALSE)/VLOOKUP($A238,'Fuel economy adjusted factor'!$A$2:$G$52,7,FALSE)*VLOOKUP($A238,'US Grid mix, emissions&amp;prices'!$AE$2:$AI$52,5,FALSE)/(1+$AZ$41)^B$223</f>
        <v>1660.3754991760823</v>
      </c>
      <c r="C238" s="106">
        <f>VLOOKUP($A238,'VKT US'!$B$63:$AA$113,(C$223+1),FALSE)/VLOOKUP($A238,'Fuel economy adjusted factor'!$A$2:$G$52,7,FALSE)*VLOOKUP($A238,'US Grid mix, emissions&amp;prices'!$AE$2:$AI$52,5,FALSE)/(1+$AZ$41)^C$223</f>
        <v>1591.8882954735593</v>
      </c>
      <c r="D238" s="106">
        <f>VLOOKUP($A238,'VKT US'!$B$63:$AA$113,(D$223+1),FALSE)/VLOOKUP($A238,'Fuel economy adjusted factor'!$A$2:$G$52,7,FALSE)*VLOOKUP($A238,'US Grid mix, emissions&amp;prices'!$AE$2:$AI$52,5,FALSE)/(1+$AZ$41)^D$223</f>
        <v>1526.3133514838814</v>
      </c>
      <c r="E238" s="106">
        <f>VLOOKUP($A238,'VKT US'!$B$63:$AA$113,(E$223+1),FALSE)/VLOOKUP($A238,'Fuel economy adjusted factor'!$A$2:$G$52,7,FALSE)*VLOOKUP($A238,'US Grid mix, emissions&amp;prices'!$AE$2:$AI$52,5,FALSE)/(1+$AZ$41)^E$223</f>
        <v>1463.6888415147366</v>
      </c>
      <c r="F238" s="106">
        <f>VLOOKUP($A238,'VKT US'!$B$63:$AA$113,(F$223+1),FALSE)/VLOOKUP($A238,'Fuel economy adjusted factor'!$A$2:$G$52,7,FALSE)*VLOOKUP($A238,'US Grid mix, emissions&amp;prices'!$AE$2:$AI$52,5,FALSE)/(1+$AZ$41)^F$223</f>
        <v>1403.8205354618649</v>
      </c>
      <c r="G238" s="106">
        <f>VLOOKUP($A238,'VKT US'!$B$63:$AA$113,(G$223+1),FALSE)/VLOOKUP($A238,'Fuel economy adjusted factor'!$A$2:$G$52,7,FALSE)*VLOOKUP($A238,'US Grid mix, emissions&amp;prices'!$AE$2:$AI$52,5,FALSE)/(1+$AZ$41)^G$223</f>
        <v>1346.8601084007266</v>
      </c>
      <c r="H238" s="106">
        <f>VLOOKUP($A238,'VKT US'!$B$63:$AA$113,(H$223+1),FALSE)/VLOOKUP($A238,'Fuel economy adjusted factor'!$A$2:$G$52,7,FALSE)*VLOOKUP($A238,'US Grid mix, emissions&amp;prices'!$AE$2:$AI$52,5,FALSE)/(1+$AZ$41)^H$223</f>
        <v>1292.3921722342882</v>
      </c>
      <c r="I238" s="106">
        <f>VLOOKUP($A238,'VKT US'!$B$63:$AA$113,(I$223+1),FALSE)/VLOOKUP($A238,'Fuel economy adjusted factor'!$A$2:$G$52,7,FALSE)*VLOOKUP($A238,'US Grid mix, emissions&amp;prices'!$AE$2:$AI$52,5,FALSE)/(1+$AZ$41)^I$223</f>
        <v>1240.5702737763295</v>
      </c>
      <c r="J238" s="106">
        <f>VLOOKUP($A238,'VKT US'!$B$63:$AA$113,(J$223+1),FALSE)/VLOOKUP($A238,'Fuel economy adjusted factor'!$A$2:$G$52,7,FALSE)*VLOOKUP($A238,'US Grid mix, emissions&amp;prices'!$AE$2:$AI$52,5,FALSE)/(1+$AZ$41)^J$223</f>
        <v>1191.3210150727391</v>
      </c>
      <c r="K238" s="106">
        <f>VLOOKUP($A238,'VKT US'!$B$63:$AA$113,(K$223+1),FALSE)/VLOOKUP($A238,'Fuel economy adjusted factor'!$A$2:$G$52,7,FALSE)*VLOOKUP($A238,'US Grid mix, emissions&amp;prices'!$AE$2:$AI$52,5,FALSE)/(1+$AZ$41)^K$223</f>
        <v>1144.5725838355943</v>
      </c>
      <c r="L238" s="106">
        <f>VLOOKUP($A238,'VKT US'!$B$63:$AA$113,(L$223+1),FALSE)/VLOOKUP($A238,'Fuel economy adjusted factor'!$A$2:$G$52,7,FALSE)*VLOOKUP($A238,'US Grid mix, emissions&amp;prices'!$AE$2:$AI$52,5,FALSE)/(1+$AZ$41)^L$223</f>
        <v>1100.1483365491147</v>
      </c>
      <c r="M238" s="106">
        <f>VLOOKUP($A238,'VKT US'!$B$63:$AA$113,(M$223+1),FALSE)/VLOOKUP($A238,'Fuel economy adjusted factor'!$A$2:$G$52,7,FALSE)*VLOOKUP($A238,'US Grid mix, emissions&amp;prices'!$AE$2:$AI$52,5,FALSE)/(1+$AZ$41)^M$223</f>
        <v>1058.0884532469315</v>
      </c>
      <c r="N238" s="106">
        <f>VLOOKUP($A238,'VKT US'!$B$63:$AA$113,(N$223+1),FALSE)/VLOOKUP($A238,'Fuel economy adjusted factor'!$A$2:$G$52,7,FALSE)*VLOOKUP($A238,'US Grid mix, emissions&amp;prices'!$AE$2:$AI$52,5,FALSE)/(1+$AZ$41)^N$223</f>
        <v>1018.2217776867774</v>
      </c>
      <c r="O238" s="106">
        <f>VLOOKUP($A238,'VKT US'!$B$63:$AA$113,(O$223+1),FALSE)/VLOOKUP($A238,'Fuel economy adjusted factor'!$A$2:$G$52,7,FALSE)*VLOOKUP($A238,'US Grid mix, emissions&amp;prices'!$AE$2:$AI$52,5,FALSE)/(1+$AZ$41)^O$223</f>
        <v>980.5888451257614</v>
      </c>
      <c r="P238" s="106">
        <f>VLOOKUP($A238,'VKT US'!$B$63:$AA$113,(P$223+1),FALSE)/VLOOKUP($A238,'Fuel economy adjusted factor'!$A$2:$G$52,7,FALSE)*VLOOKUP($A238,'US Grid mix, emissions&amp;prices'!$AE$2:$AI$52,5,FALSE)/(1+$AZ$41)^P$223</f>
        <v>945.0238165810872</v>
      </c>
      <c r="Q238" s="106">
        <f>VLOOKUP($A238,'VKT US'!$B$63:$AA$113,(Q$223+1),FALSE)/VLOOKUP($A238,'Fuel economy adjusted factor'!$A$2:$G$52,7,FALSE)*VLOOKUP($A238,'US Grid mix, emissions&amp;prices'!$AE$2:$AI$52,5,FALSE)/(1+$AZ$41)^Q$223</f>
        <v>911.66776142780884</v>
      </c>
      <c r="R238" s="106">
        <f>VLOOKUP($A238,'VKT US'!$B$63:$AA$113,(R$223+1),FALSE)/VLOOKUP($A238,'Fuel economy adjusted factor'!$A$2:$G$52,7,FALSE)*VLOOKUP($A238,'US Grid mix, emissions&amp;prices'!$AE$2:$AI$52,5,FALSE)/(1+$AZ$41)^R$223</f>
        <v>880.15834999888489</v>
      </c>
      <c r="S238" s="106">
        <f>VLOOKUP($A238,'VKT US'!$B$63:$AA$113,(S$223+1),FALSE)/VLOOKUP($A238,'Fuel economy adjusted factor'!$A$2:$G$52,7,FALSE)*VLOOKUP($A238,'US Grid mix, emissions&amp;prices'!$AE$2:$AI$52,5,FALSE)/(1+$AZ$41)^S$223</f>
        <v>850.73597938058367</v>
      </c>
      <c r="T238" s="106">
        <f>VLOOKUP($A238,'VKT US'!$B$63:$AA$113,(T$223+1),FALSE)/VLOOKUP($A238,'Fuel economy adjusted factor'!$A$2:$G$52,7,FALSE)*VLOOKUP($A238,'US Grid mix, emissions&amp;prices'!$AE$2:$AI$52,5,FALSE)/(1+$AZ$41)^T$223</f>
        <v>823.04806608153513</v>
      </c>
      <c r="U238" s="109">
        <f>VLOOKUP($A238,'VKT US'!$B$63:$AA$113,(U$223+1),FALSE)/VLOOKUP($A238,'Fuel economy adjusted factor'!$A$2:$G$52,7,FALSE)*VLOOKUP($A238,'US Grid mix, emissions&amp;prices'!$AE$2:$AI$52,5,FALSE)/(1+$AZ$41)^U$223</f>
        <v>797.33052545628334</v>
      </c>
      <c r="V238" s="110" cm="1">
        <f t="array" ref="V238">SUMPRODUCT(INDEX(B238:U238,,_xlfn.SEQUENCE($AZ$13)))</f>
        <v>18018.850089038384</v>
      </c>
    </row>
    <row r="239" spans="1:22" x14ac:dyDescent="0.25">
      <c r="A239" s="102" t="s">
        <v>199</v>
      </c>
      <c r="B239" s="106">
        <f>VLOOKUP($A239,'VKT US'!$B$63:$AA$113,(B$223+1),FALSE)/VLOOKUP($A239,'Fuel economy adjusted factor'!$A$2:$G$52,7,FALSE)*VLOOKUP($A239,'US Grid mix, emissions&amp;prices'!$AE$2:$AI$52,5,FALSE)/(1+$AZ$41)^B$223</f>
        <v>1645.4253649305049</v>
      </c>
      <c r="C239" s="106">
        <f>VLOOKUP($A239,'VKT US'!$B$63:$AA$113,(C$223+1),FALSE)/VLOOKUP($A239,'Fuel economy adjusted factor'!$A$2:$G$52,7,FALSE)*VLOOKUP($A239,'US Grid mix, emissions&amp;prices'!$AE$2:$AI$52,5,FALSE)/(1+$AZ$41)^C$223</f>
        <v>1577.5548246814997</v>
      </c>
      <c r="D239" s="106">
        <f>VLOOKUP($A239,'VKT US'!$B$63:$AA$113,(D$223+1),FALSE)/VLOOKUP($A239,'Fuel economy adjusted factor'!$A$2:$G$52,7,FALSE)*VLOOKUP($A239,'US Grid mix, emissions&amp;prices'!$AE$2:$AI$52,5,FALSE)/(1+$AZ$41)^D$223</f>
        <v>1512.5703219602442</v>
      </c>
      <c r="E239" s="106">
        <f>VLOOKUP($A239,'VKT US'!$B$63:$AA$113,(E$223+1),FALSE)/VLOOKUP($A239,'Fuel economy adjusted factor'!$A$2:$G$52,7,FALSE)*VLOOKUP($A239,'US Grid mix, emissions&amp;prices'!$AE$2:$AI$52,5,FALSE)/(1+$AZ$41)^E$223</f>
        <v>1450.5096873503583</v>
      </c>
      <c r="F239" s="106">
        <f>VLOOKUP($A239,'VKT US'!$B$63:$AA$113,(F$223+1),FALSE)/VLOOKUP($A239,'Fuel economy adjusted factor'!$A$2:$G$52,7,FALSE)*VLOOKUP($A239,'US Grid mix, emissions&amp;prices'!$AE$2:$AI$52,5,FALSE)/(1+$AZ$41)^F$223</f>
        <v>1391.1804396086875</v>
      </c>
      <c r="G239" s="106">
        <f>VLOOKUP($A239,'VKT US'!$B$63:$AA$113,(G$223+1),FALSE)/VLOOKUP($A239,'Fuel economy adjusted factor'!$A$2:$G$52,7,FALSE)*VLOOKUP($A239,'US Grid mix, emissions&amp;prices'!$AE$2:$AI$52,5,FALSE)/(1+$AZ$41)^G$223</f>
        <v>1334.7328881179687</v>
      </c>
      <c r="H239" s="106">
        <f>VLOOKUP($A239,'VKT US'!$B$63:$AA$113,(H$223+1),FALSE)/VLOOKUP($A239,'Fuel economy adjusted factor'!$A$2:$G$52,7,FALSE)*VLOOKUP($A239,'US Grid mix, emissions&amp;prices'!$AE$2:$AI$52,5,FALSE)/(1+$AZ$41)^H$223</f>
        <v>1280.7553849639251</v>
      </c>
      <c r="I239" s="106">
        <f>VLOOKUP($A239,'VKT US'!$B$63:$AA$113,(I$223+1),FALSE)/VLOOKUP($A239,'Fuel economy adjusted factor'!$A$2:$G$52,7,FALSE)*VLOOKUP($A239,'US Grid mix, emissions&amp;prices'!$AE$2:$AI$52,5,FALSE)/(1+$AZ$41)^I$223</f>
        <v>1229.4000944143531</v>
      </c>
      <c r="J239" s="106">
        <f>VLOOKUP($A239,'VKT US'!$B$63:$AA$113,(J$223+1),FALSE)/VLOOKUP($A239,'Fuel economy adjusted factor'!$A$2:$G$52,7,FALSE)*VLOOKUP($A239,'US Grid mix, emissions&amp;prices'!$AE$2:$AI$52,5,FALSE)/(1+$AZ$41)^J$223</f>
        <v>1180.5942793953261</v>
      </c>
      <c r="K239" s="106">
        <f>VLOOKUP($A239,'VKT US'!$B$63:$AA$113,(K$223+1),FALSE)/VLOOKUP($A239,'Fuel economy adjusted factor'!$A$2:$G$52,7,FALSE)*VLOOKUP($A239,'US Grid mix, emissions&amp;prices'!$AE$2:$AI$52,5,FALSE)/(1+$AZ$41)^K$223</f>
        <v>1134.2667742216606</v>
      </c>
      <c r="L239" s="106">
        <f>VLOOKUP($A239,'VKT US'!$B$63:$AA$113,(L$223+1),FALSE)/VLOOKUP($A239,'Fuel economy adjusted factor'!$A$2:$G$52,7,FALSE)*VLOOKUP($A239,'US Grid mix, emissions&amp;prices'!$AE$2:$AI$52,5,FALSE)/(1+$AZ$41)^L$223</f>
        <v>1090.24252588784</v>
      </c>
      <c r="M239" s="106">
        <f>VLOOKUP($A239,'VKT US'!$B$63:$AA$113,(M$223+1),FALSE)/VLOOKUP($A239,'Fuel economy adjusted factor'!$A$2:$G$52,7,FALSE)*VLOOKUP($A239,'US Grid mix, emissions&amp;prices'!$AE$2:$AI$52,5,FALSE)/(1+$AZ$41)^M$223</f>
        <v>1048.5613526437332</v>
      </c>
      <c r="N239" s="106">
        <f>VLOOKUP($A239,'VKT US'!$B$63:$AA$113,(N$223+1),FALSE)/VLOOKUP($A239,'Fuel economy adjusted factor'!$A$2:$G$52,7,FALSE)*VLOOKUP($A239,'US Grid mix, emissions&amp;prices'!$AE$2:$AI$52,5,FALSE)/(1+$AZ$41)^N$223</f>
        <v>1009.0536393495514</v>
      </c>
      <c r="O239" s="106">
        <f>VLOOKUP($A239,'VKT US'!$B$63:$AA$113,(O$223+1),FALSE)/VLOOKUP($A239,'Fuel economy adjusted factor'!$A$2:$G$52,7,FALSE)*VLOOKUP($A239,'US Grid mix, emissions&amp;prices'!$AE$2:$AI$52,5,FALSE)/(1+$AZ$41)^O$223</f>
        <v>971.75955628018414</v>
      </c>
      <c r="P239" s="106">
        <f>VLOOKUP($A239,'VKT US'!$B$63:$AA$113,(P$223+1),FALSE)/VLOOKUP($A239,'Fuel economy adjusted factor'!$A$2:$G$52,7,FALSE)*VLOOKUP($A239,'US Grid mix, emissions&amp;prices'!$AE$2:$AI$52,5,FALSE)/(1+$AZ$41)^P$223</f>
        <v>936.51475767834768</v>
      </c>
      <c r="Q239" s="106">
        <f>VLOOKUP($A239,'VKT US'!$B$63:$AA$113,(Q$223+1),FALSE)/VLOOKUP($A239,'Fuel economy adjusted factor'!$A$2:$G$52,7,FALSE)*VLOOKUP($A239,'US Grid mix, emissions&amp;prices'!$AE$2:$AI$52,5,FALSE)/(1+$AZ$41)^Q$223</f>
        <v>903.45904272082146</v>
      </c>
      <c r="R239" s="106">
        <f>VLOOKUP($A239,'VKT US'!$B$63:$AA$113,(R$223+1),FALSE)/VLOOKUP($A239,'Fuel economy adjusted factor'!$A$2:$G$52,7,FALSE)*VLOOKUP($A239,'US Grid mix, emissions&amp;prices'!$AE$2:$AI$52,5,FALSE)/(1+$AZ$41)^R$223</f>
        <v>872.23334418159948</v>
      </c>
      <c r="S239" s="106">
        <f>VLOOKUP($A239,'VKT US'!$B$63:$AA$113,(S$223+1),FALSE)/VLOOKUP($A239,'Fuel economy adjusted factor'!$A$2:$G$52,7,FALSE)*VLOOKUP($A239,'US Grid mix, emissions&amp;prices'!$AE$2:$AI$52,5,FALSE)/(1+$AZ$41)^S$223</f>
        <v>843.07589459518817</v>
      </c>
      <c r="T239" s="106">
        <f>VLOOKUP($A239,'VKT US'!$B$63:$AA$113,(T$223+1),FALSE)/VLOOKUP($A239,'Fuel economy adjusted factor'!$A$2:$G$52,7,FALSE)*VLOOKUP($A239,'US Grid mix, emissions&amp;prices'!$AE$2:$AI$52,5,FALSE)/(1+$AZ$41)^T$223</f>
        <v>815.63728515602327</v>
      </c>
      <c r="U239" s="109">
        <f>VLOOKUP($A239,'VKT US'!$B$63:$AA$113,(U$223+1),FALSE)/VLOOKUP($A239,'Fuel economy adjusted factor'!$A$2:$G$52,7,FALSE)*VLOOKUP($A239,'US Grid mix, emissions&amp;prices'!$AE$2:$AI$52,5,FALSE)/(1+$AZ$41)^U$223</f>
        <v>790.15130702070496</v>
      </c>
      <c r="V239" s="110" cm="1">
        <f t="array" ref="V239">SUMPRODUCT(INDEX(B239:U239,,_xlfn.SEQUENCE($AZ$13)))</f>
        <v>17856.607133805835</v>
      </c>
    </row>
    <row r="240" spans="1:22" x14ac:dyDescent="0.25">
      <c r="A240" s="102" t="s">
        <v>157</v>
      </c>
      <c r="B240" s="106">
        <f>VLOOKUP($A240,'VKT US'!$B$63:$AA$113,(B$223+1),FALSE)/VLOOKUP($A240,'Fuel economy adjusted factor'!$A$2:$G$52,7,FALSE)*VLOOKUP($A240,'US Grid mix, emissions&amp;prices'!$AE$2:$AI$52,5,FALSE)/(1+$AZ$41)^B$223</f>
        <v>1797.6080373629811</v>
      </c>
      <c r="C240" s="106">
        <f>VLOOKUP($A240,'VKT US'!$B$63:$AA$113,(C$223+1),FALSE)/VLOOKUP($A240,'Fuel economy adjusted factor'!$A$2:$G$52,7,FALSE)*VLOOKUP($A240,'US Grid mix, emissions&amp;prices'!$AE$2:$AI$52,5,FALSE)/(1+$AZ$41)^C$223</f>
        <v>1723.4602630232237</v>
      </c>
      <c r="D240" s="106">
        <f>VLOOKUP($A240,'VKT US'!$B$63:$AA$113,(D$223+1),FALSE)/VLOOKUP($A240,'Fuel economy adjusted factor'!$A$2:$G$52,7,FALSE)*VLOOKUP($A240,'US Grid mix, emissions&amp;prices'!$AE$2:$AI$52,5,FALSE)/(1+$AZ$41)^D$223</f>
        <v>1652.4654510520963</v>
      </c>
      <c r="E240" s="106">
        <f>VLOOKUP($A240,'VKT US'!$B$63:$AA$113,(E$223+1),FALSE)/VLOOKUP($A240,'Fuel economy adjusted factor'!$A$2:$G$52,7,FALSE)*VLOOKUP($A240,'US Grid mix, emissions&amp;prices'!$AE$2:$AI$52,5,FALSE)/(1+$AZ$41)^E$223</f>
        <v>1584.6649309213701</v>
      </c>
      <c r="F240" s="106">
        <f>VLOOKUP($A240,'VKT US'!$B$63:$AA$113,(F$223+1),FALSE)/VLOOKUP($A240,'Fuel economy adjusted factor'!$A$2:$G$52,7,FALSE)*VLOOKUP($A240,'US Grid mix, emissions&amp;prices'!$AE$2:$AI$52,5,FALSE)/(1+$AZ$41)^F$223</f>
        <v>1519.8484191158459</v>
      </c>
      <c r="G240" s="106">
        <f>VLOOKUP($A240,'VKT US'!$B$63:$AA$113,(G$223+1),FALSE)/VLOOKUP($A240,'Fuel economy adjusted factor'!$A$2:$G$52,7,FALSE)*VLOOKUP($A240,'US Grid mix, emissions&amp;prices'!$AE$2:$AI$52,5,FALSE)/(1+$AZ$41)^G$223</f>
        <v>1458.1801268846373</v>
      </c>
      <c r="H240" s="106">
        <f>VLOOKUP($A240,'VKT US'!$B$63:$AA$113,(H$223+1),FALSE)/VLOOKUP($A240,'Fuel economy adjusted factor'!$A$2:$G$52,7,FALSE)*VLOOKUP($A240,'US Grid mix, emissions&amp;prices'!$AE$2:$AI$52,5,FALSE)/(1+$AZ$41)^H$223</f>
        <v>1399.2103336782513</v>
      </c>
      <c r="I240" s="106">
        <f>VLOOKUP($A240,'VKT US'!$B$63:$AA$113,(I$223+1),FALSE)/VLOOKUP($A240,'Fuel economy adjusted factor'!$A$2:$G$52,7,FALSE)*VLOOKUP($A240,'US Grid mix, emissions&amp;prices'!$AE$2:$AI$52,5,FALSE)/(1+$AZ$41)^I$223</f>
        <v>1343.1052771861139</v>
      </c>
      <c r="J240" s="106">
        <f>VLOOKUP($A240,'VKT US'!$B$63:$AA$113,(J$223+1),FALSE)/VLOOKUP($A240,'Fuel economy adjusted factor'!$A$2:$G$52,7,FALSE)*VLOOKUP($A240,'US Grid mix, emissions&amp;prices'!$AE$2:$AI$52,5,FALSE)/(1+$AZ$41)^J$223</f>
        <v>1289.7854930025517</v>
      </c>
      <c r="K240" s="106">
        <f>VLOOKUP($A240,'VKT US'!$B$63:$AA$113,(K$223+1),FALSE)/VLOOKUP($A240,'Fuel economy adjusted factor'!$A$2:$G$52,7,FALSE)*VLOOKUP($A240,'US Grid mix, emissions&amp;prices'!$AE$2:$AI$52,5,FALSE)/(1+$AZ$41)^K$223</f>
        <v>1239.1732334457813</v>
      </c>
      <c r="L240" s="106">
        <f>VLOOKUP($A240,'VKT US'!$B$63:$AA$113,(L$223+1),FALSE)/VLOOKUP($A240,'Fuel economy adjusted factor'!$A$2:$G$52,7,FALSE)*VLOOKUP($A240,'US Grid mix, emissions&amp;prices'!$AE$2:$AI$52,5,FALSE)/(1+$AZ$41)^L$223</f>
        <v>1191.0772551471352</v>
      </c>
      <c r="M240" s="106">
        <f>VLOOKUP($A240,'VKT US'!$B$63:$AA$113,(M$223+1),FALSE)/VLOOKUP($A240,'Fuel economy adjusted factor'!$A$2:$G$52,7,FALSE)*VLOOKUP($A240,'US Grid mix, emissions&amp;prices'!$AE$2:$AI$52,5,FALSE)/(1+$AZ$41)^M$223</f>
        <v>1145.5410590806</v>
      </c>
      <c r="N240" s="106">
        <f>VLOOKUP($A240,'VKT US'!$B$63:$AA$113,(N$223+1),FALSE)/VLOOKUP($A240,'Fuel economy adjusted factor'!$A$2:$G$52,7,FALSE)*VLOOKUP($A240,'US Grid mix, emissions&amp;prices'!$AE$2:$AI$52,5,FALSE)/(1+$AZ$41)^N$223</f>
        <v>1102.37934268245</v>
      </c>
      <c r="O240" s="106">
        <f>VLOOKUP($A240,'VKT US'!$B$63:$AA$113,(O$223+1),FALSE)/VLOOKUP($A240,'Fuel economy adjusted factor'!$A$2:$G$52,7,FALSE)*VLOOKUP($A240,'US Grid mix, emissions&amp;prices'!$AE$2:$AI$52,5,FALSE)/(1+$AZ$41)^O$223</f>
        <v>1061.6359915099042</v>
      </c>
      <c r="P240" s="106">
        <f>VLOOKUP($A240,'VKT US'!$B$63:$AA$113,(P$223+1),FALSE)/VLOOKUP($A240,'Fuel economy adjusted factor'!$A$2:$G$52,7,FALSE)*VLOOKUP($A240,'US Grid mix, emissions&amp;prices'!$AE$2:$AI$52,5,FALSE)/(1+$AZ$41)^P$223</f>
        <v>1023.131459738221</v>
      </c>
      <c r="Q240" s="106">
        <f>VLOOKUP($A240,'VKT US'!$B$63:$AA$113,(Q$223+1),FALSE)/VLOOKUP($A240,'Fuel economy adjusted factor'!$A$2:$G$52,7,FALSE)*VLOOKUP($A240,'US Grid mix, emissions&amp;prices'!$AE$2:$AI$52,5,FALSE)/(1+$AZ$41)^Q$223</f>
        <v>987.01847633897773</v>
      </c>
      <c r="R240" s="106">
        <f>VLOOKUP($A240,'VKT US'!$B$63:$AA$113,(R$223+1),FALSE)/VLOOKUP($A240,'Fuel economy adjusted factor'!$A$2:$G$52,7,FALSE)*VLOOKUP($A240,'US Grid mix, emissions&amp;prices'!$AE$2:$AI$52,5,FALSE)/(1+$AZ$41)^R$223</f>
        <v>952.90476455190458</v>
      </c>
      <c r="S240" s="106">
        <f>VLOOKUP($A240,'VKT US'!$B$63:$AA$113,(S$223+1),FALSE)/VLOOKUP($A240,'Fuel economy adjusted factor'!$A$2:$G$52,7,FALSE)*VLOOKUP($A240,'US Grid mix, emissions&amp;prices'!$AE$2:$AI$52,5,FALSE)/(1+$AZ$41)^S$223</f>
        <v>921.05059064487193</v>
      </c>
      <c r="T240" s="106">
        <f>VLOOKUP($A240,'VKT US'!$B$63:$AA$113,(T$223+1),FALSE)/VLOOKUP($A240,'Fuel economy adjusted factor'!$A$2:$G$52,7,FALSE)*VLOOKUP($A240,'US Grid mix, emissions&amp;prices'!$AE$2:$AI$52,5,FALSE)/(1+$AZ$41)^T$223</f>
        <v>891.07422956939422</v>
      </c>
      <c r="U240" s="109">
        <f>VLOOKUP($A240,'VKT US'!$B$63:$AA$113,(U$223+1),FALSE)/VLOOKUP($A240,'Fuel economy adjusted factor'!$A$2:$G$52,7,FALSE)*VLOOKUP($A240,'US Grid mix, emissions&amp;prices'!$AE$2:$AI$52,5,FALSE)/(1+$AZ$41)^U$223</f>
        <v>863.23109543973362</v>
      </c>
      <c r="V240" s="110" cm="1">
        <f t="array" ref="V240">SUMPRODUCT(INDEX(B240:U240,,_xlfn.SEQUENCE($AZ$13)))</f>
        <v>19508.135214092941</v>
      </c>
    </row>
    <row r="241" spans="1:22" x14ac:dyDescent="0.25">
      <c r="A241" s="102" t="s">
        <v>200</v>
      </c>
      <c r="B241" s="106">
        <f>VLOOKUP($A241,'VKT US'!$B$63:$AA$113,(B$223+1),FALSE)/VLOOKUP($A241,'Fuel economy adjusted factor'!$A$2:$G$52,7,FALSE)*VLOOKUP($A241,'US Grid mix, emissions&amp;prices'!$AE$2:$AI$52,5,FALSE)/(1+$AZ$41)^B$223</f>
        <v>1632.3122835012243</v>
      </c>
      <c r="C241" s="106">
        <f>VLOOKUP($A241,'VKT US'!$B$63:$AA$113,(C$223+1),FALSE)/VLOOKUP($A241,'Fuel economy adjusted factor'!$A$2:$G$52,7,FALSE)*VLOOKUP($A241,'US Grid mix, emissions&amp;prices'!$AE$2:$AI$52,5,FALSE)/(1+$AZ$41)^C$223</f>
        <v>1564.9826319123201</v>
      </c>
      <c r="D241" s="106">
        <f>VLOOKUP($A241,'VKT US'!$B$63:$AA$113,(D$223+1),FALSE)/VLOOKUP($A241,'Fuel economy adjusted factor'!$A$2:$G$52,7,FALSE)*VLOOKUP($A241,'US Grid mix, emissions&amp;prices'!$AE$2:$AI$52,5,FALSE)/(1+$AZ$41)^D$223</f>
        <v>1500.5160178136591</v>
      </c>
      <c r="E241" s="106">
        <f>VLOOKUP($A241,'VKT US'!$B$63:$AA$113,(E$223+1),FALSE)/VLOOKUP($A241,'Fuel economy adjusted factor'!$A$2:$G$52,7,FALSE)*VLOOKUP($A241,'US Grid mix, emissions&amp;prices'!$AE$2:$AI$52,5,FALSE)/(1+$AZ$41)^E$223</f>
        <v>1438.9499703011506</v>
      </c>
      <c r="F241" s="106">
        <f>VLOOKUP($A241,'VKT US'!$B$63:$AA$113,(F$223+1),FALSE)/VLOOKUP($A241,'Fuel economy adjusted factor'!$A$2:$G$52,7,FALSE)*VLOOKUP($A241,'US Grid mix, emissions&amp;prices'!$AE$2:$AI$52,5,FALSE)/(1+$AZ$41)^F$223</f>
        <v>1380.093542094997</v>
      </c>
      <c r="G241" s="106">
        <f>VLOOKUP($A241,'VKT US'!$B$63:$AA$113,(G$223+1),FALSE)/VLOOKUP($A241,'Fuel economy adjusted factor'!$A$2:$G$52,7,FALSE)*VLOOKUP($A241,'US Grid mix, emissions&amp;prices'!$AE$2:$AI$52,5,FALSE)/(1+$AZ$41)^G$223</f>
        <v>1324.095844699734</v>
      </c>
      <c r="H241" s="106">
        <f>VLOOKUP($A241,'VKT US'!$B$63:$AA$113,(H$223+1),FALSE)/VLOOKUP($A241,'Fuel economy adjusted factor'!$A$2:$G$52,7,FALSE)*VLOOKUP($A241,'US Grid mix, emissions&amp;prices'!$AE$2:$AI$52,5,FALSE)/(1+$AZ$41)^H$223</f>
        <v>1270.5485107951099</v>
      </c>
      <c r="I241" s="106">
        <f>VLOOKUP($A241,'VKT US'!$B$63:$AA$113,(I$223+1),FALSE)/VLOOKUP($A241,'Fuel economy adjusted factor'!$A$2:$G$52,7,FALSE)*VLOOKUP($A241,'US Grid mix, emissions&amp;prices'!$AE$2:$AI$52,5,FALSE)/(1+$AZ$41)^I$223</f>
        <v>1219.6024919883678</v>
      </c>
      <c r="J241" s="106">
        <f>VLOOKUP($A241,'VKT US'!$B$63:$AA$113,(J$223+1),FALSE)/VLOOKUP($A241,'Fuel economy adjusted factor'!$A$2:$G$52,7,FALSE)*VLOOKUP($A241,'US Grid mix, emissions&amp;prices'!$AE$2:$AI$52,5,FALSE)/(1+$AZ$41)^J$223</f>
        <v>1171.185630877678</v>
      </c>
      <c r="K241" s="106">
        <f>VLOOKUP($A241,'VKT US'!$B$63:$AA$113,(K$223+1),FALSE)/VLOOKUP($A241,'Fuel economy adjusted factor'!$A$2:$G$52,7,FALSE)*VLOOKUP($A241,'US Grid mix, emissions&amp;prices'!$AE$2:$AI$52,5,FALSE)/(1+$AZ$41)^K$223</f>
        <v>1125.2273289269026</v>
      </c>
      <c r="L241" s="106">
        <f>VLOOKUP($A241,'VKT US'!$B$63:$AA$113,(L$223+1),FALSE)/VLOOKUP($A241,'Fuel economy adjusted factor'!$A$2:$G$52,7,FALSE)*VLOOKUP($A241,'US Grid mix, emissions&amp;prices'!$AE$2:$AI$52,5,FALSE)/(1+$AZ$41)^L$223</f>
        <v>1081.5539282009822</v>
      </c>
      <c r="M241" s="106">
        <f>VLOOKUP($A241,'VKT US'!$B$63:$AA$113,(M$223+1),FALSE)/VLOOKUP($A241,'Fuel economy adjusted factor'!$A$2:$G$52,7,FALSE)*VLOOKUP($A241,'US Grid mix, emissions&amp;prices'!$AE$2:$AI$52,5,FALSE)/(1+$AZ$41)^M$223</f>
        <v>1040.2049296215348</v>
      </c>
      <c r="N241" s="106">
        <f>VLOOKUP($A241,'VKT US'!$B$63:$AA$113,(N$223+1),FALSE)/VLOOKUP($A241,'Fuel economy adjusted factor'!$A$2:$G$52,7,FALSE)*VLOOKUP($A241,'US Grid mix, emissions&amp;prices'!$AE$2:$AI$52,5,FALSE)/(1+$AZ$41)^N$223</f>
        <v>1001.0120697826075</v>
      </c>
      <c r="O241" s="106">
        <f>VLOOKUP($A241,'VKT US'!$B$63:$AA$113,(O$223+1),FALSE)/VLOOKUP($A241,'Fuel economy adjusted factor'!$A$2:$G$52,7,FALSE)*VLOOKUP($A241,'US Grid mix, emissions&amp;prices'!$AE$2:$AI$52,5,FALSE)/(1+$AZ$41)^O$223</f>
        <v>964.0151988254039</v>
      </c>
      <c r="P241" s="106">
        <f>VLOOKUP($A241,'VKT US'!$B$63:$AA$113,(P$223+1),FALSE)/VLOOKUP($A241,'Fuel economy adjusted factor'!$A$2:$G$52,7,FALSE)*VLOOKUP($A241,'US Grid mix, emissions&amp;prices'!$AE$2:$AI$52,5,FALSE)/(1+$AZ$41)^P$223</f>
        <v>929.05128073256856</v>
      </c>
      <c r="Q241" s="106">
        <f>VLOOKUP($A241,'VKT US'!$B$63:$AA$113,(Q$223+1),FALSE)/VLOOKUP($A241,'Fuel economy adjusted factor'!$A$2:$G$52,7,FALSE)*VLOOKUP($A241,'US Grid mix, emissions&amp;prices'!$AE$2:$AI$52,5,FALSE)/(1+$AZ$41)^Q$223</f>
        <v>896.25900056289663</v>
      </c>
      <c r="R241" s="106">
        <f>VLOOKUP($A241,'VKT US'!$B$63:$AA$113,(R$223+1),FALSE)/VLOOKUP($A241,'Fuel economy adjusted factor'!$A$2:$G$52,7,FALSE)*VLOOKUP($A241,'US Grid mix, emissions&amp;prices'!$AE$2:$AI$52,5,FALSE)/(1+$AZ$41)^R$223</f>
        <v>865.28215264695916</v>
      </c>
      <c r="S241" s="106">
        <f>VLOOKUP($A241,'VKT US'!$B$63:$AA$113,(S$223+1),FALSE)/VLOOKUP($A241,'Fuel economy adjusted factor'!$A$2:$G$52,7,FALSE)*VLOOKUP($A241,'US Grid mix, emissions&amp;prices'!$AE$2:$AI$52,5,FALSE)/(1+$AZ$41)^S$223</f>
        <v>836.35707094477152</v>
      </c>
      <c r="T241" s="106">
        <f>VLOOKUP($A241,'VKT US'!$B$63:$AA$113,(T$223+1),FALSE)/VLOOKUP($A241,'Fuel economy adjusted factor'!$A$2:$G$52,7,FALSE)*VLOOKUP($A241,'US Grid mix, emissions&amp;prices'!$AE$2:$AI$52,5,FALSE)/(1+$AZ$41)^T$223</f>
        <v>809.13713123536195</v>
      </c>
      <c r="U241" s="109">
        <f>VLOOKUP($A241,'VKT US'!$B$63:$AA$113,(U$223+1),FALSE)/VLOOKUP($A241,'Fuel economy adjusted factor'!$A$2:$G$52,7,FALSE)*VLOOKUP($A241,'US Grid mix, emissions&amp;prices'!$AE$2:$AI$52,5,FALSE)/(1+$AZ$41)^U$223</f>
        <v>783.85426149603427</v>
      </c>
      <c r="V241" s="110" cm="1">
        <f t="array" ref="V241">SUMPRODUCT(INDEX(B241:U241,,_xlfn.SEQUENCE($AZ$13)))</f>
        <v>17714.300379341676</v>
      </c>
    </row>
    <row r="242" spans="1:22" x14ac:dyDescent="0.25">
      <c r="A242" s="102" t="s">
        <v>203</v>
      </c>
      <c r="B242" s="106">
        <f>VLOOKUP($A242,'VKT US'!$B$63:$AA$113,(B$223+1),FALSE)/VLOOKUP($A242,'Fuel economy adjusted factor'!$A$2:$G$52,7,FALSE)*VLOOKUP($A242,'US Grid mix, emissions&amp;prices'!$AE$2:$AI$52,5,FALSE)/(1+$AZ$41)^B$223</f>
        <v>1618.9705615312937</v>
      </c>
      <c r="C242" s="106">
        <f>VLOOKUP($A242,'VKT US'!$B$63:$AA$113,(C$223+1),FALSE)/VLOOKUP($A242,'Fuel economy adjusted factor'!$A$2:$G$52,7,FALSE)*VLOOKUP($A242,'US Grid mix, emissions&amp;prices'!$AE$2:$AI$52,5,FALSE)/(1+$AZ$41)^C$223</f>
        <v>1552.1912295723473</v>
      </c>
      <c r="D242" s="106">
        <f>VLOOKUP($A242,'VKT US'!$B$63:$AA$113,(D$223+1),FALSE)/VLOOKUP($A242,'Fuel economy adjusted factor'!$A$2:$G$52,7,FALSE)*VLOOKUP($A242,'US Grid mix, emissions&amp;prices'!$AE$2:$AI$52,5,FALSE)/(1+$AZ$41)^D$223</f>
        <v>1488.2515340359864</v>
      </c>
      <c r="E242" s="106">
        <f>VLOOKUP($A242,'VKT US'!$B$63:$AA$113,(E$223+1),FALSE)/VLOOKUP($A242,'Fuel economy adjusted factor'!$A$2:$G$52,7,FALSE)*VLOOKUP($A242,'US Grid mix, emissions&amp;prices'!$AE$2:$AI$52,5,FALSE)/(1+$AZ$41)^E$223</f>
        <v>1427.1886972736518</v>
      </c>
      <c r="F242" s="106">
        <f>VLOOKUP($A242,'VKT US'!$B$63:$AA$113,(F$223+1),FALSE)/VLOOKUP($A242,'Fuel economy adjusted factor'!$A$2:$G$52,7,FALSE)*VLOOKUP($A242,'US Grid mix, emissions&amp;prices'!$AE$2:$AI$52,5,FALSE)/(1+$AZ$41)^F$223</f>
        <v>1368.8133327151879</v>
      </c>
      <c r="G242" s="106">
        <f>VLOOKUP($A242,'VKT US'!$B$63:$AA$113,(G$223+1),FALSE)/VLOOKUP($A242,'Fuel economy adjusted factor'!$A$2:$G$52,7,FALSE)*VLOOKUP($A242,'US Grid mix, emissions&amp;prices'!$AE$2:$AI$52,5,FALSE)/(1+$AZ$41)^G$223</f>
        <v>1313.2733331006473</v>
      </c>
      <c r="H242" s="106">
        <f>VLOOKUP($A242,'VKT US'!$B$63:$AA$113,(H$223+1),FALSE)/VLOOKUP($A242,'Fuel economy adjusted factor'!$A$2:$G$52,7,FALSE)*VLOOKUP($A242,'US Grid mix, emissions&amp;prices'!$AE$2:$AI$52,5,FALSE)/(1+$AZ$41)^H$223</f>
        <v>1260.1636689044531</v>
      </c>
      <c r="I242" s="106">
        <f>VLOOKUP($A242,'VKT US'!$B$63:$AA$113,(I$223+1),FALSE)/VLOOKUP($A242,'Fuel economy adjusted factor'!$A$2:$G$52,7,FALSE)*VLOOKUP($A242,'US Grid mix, emissions&amp;prices'!$AE$2:$AI$52,5,FALSE)/(1+$AZ$41)^I$223</f>
        <v>1209.6340579292662</v>
      </c>
      <c r="J242" s="106">
        <f>VLOOKUP($A242,'VKT US'!$B$63:$AA$113,(J$223+1),FALSE)/VLOOKUP($A242,'Fuel economy adjusted factor'!$A$2:$G$52,7,FALSE)*VLOOKUP($A242,'US Grid mix, emissions&amp;prices'!$AE$2:$AI$52,5,FALSE)/(1+$AZ$41)^J$223</f>
        <v>1161.6129325525565</v>
      </c>
      <c r="K242" s="106">
        <f>VLOOKUP($A242,'VKT US'!$B$63:$AA$113,(K$223+1),FALSE)/VLOOKUP($A242,'Fuel economy adjusted factor'!$A$2:$G$52,7,FALSE)*VLOOKUP($A242,'US Grid mix, emissions&amp;prices'!$AE$2:$AI$52,5,FALSE)/(1+$AZ$41)^K$223</f>
        <v>1116.0302712760779</v>
      </c>
      <c r="L242" s="106">
        <f>VLOOKUP($A242,'VKT US'!$B$63:$AA$113,(L$223+1),FALSE)/VLOOKUP($A242,'Fuel economy adjusted factor'!$A$2:$G$52,7,FALSE)*VLOOKUP($A242,'US Grid mix, emissions&amp;prices'!$AE$2:$AI$52,5,FALSE)/(1+$AZ$41)^L$223</f>
        <v>1072.7138355597676</v>
      </c>
      <c r="M242" s="106">
        <f>VLOOKUP($A242,'VKT US'!$B$63:$AA$113,(M$223+1),FALSE)/VLOOKUP($A242,'Fuel economy adjusted factor'!$A$2:$G$52,7,FALSE)*VLOOKUP($A242,'US Grid mix, emissions&amp;prices'!$AE$2:$AI$52,5,FALSE)/(1+$AZ$41)^M$223</f>
        <v>1031.7028034640366</v>
      </c>
      <c r="N242" s="106">
        <f>VLOOKUP($A242,'VKT US'!$B$63:$AA$113,(N$223+1),FALSE)/VLOOKUP($A242,'Fuel economy adjusted factor'!$A$2:$G$52,7,FALSE)*VLOOKUP($A242,'US Grid mix, emissions&amp;prices'!$AE$2:$AI$52,5,FALSE)/(1+$AZ$41)^N$223</f>
        <v>992.83028688568652</v>
      </c>
      <c r="O242" s="106">
        <f>VLOOKUP($A242,'VKT US'!$B$63:$AA$113,(O$223+1),FALSE)/VLOOKUP($A242,'Fuel economy adjusted factor'!$A$2:$G$52,7,FALSE)*VLOOKUP($A242,'US Grid mix, emissions&amp;prices'!$AE$2:$AI$52,5,FALSE)/(1+$AZ$41)^O$223</f>
        <v>956.13581025036456</v>
      </c>
      <c r="P242" s="106">
        <f>VLOOKUP($A242,'VKT US'!$B$63:$AA$113,(P$223+1),FALSE)/VLOOKUP($A242,'Fuel economy adjusted factor'!$A$2:$G$52,7,FALSE)*VLOOKUP($A242,'US Grid mix, emissions&amp;prices'!$AE$2:$AI$52,5,FALSE)/(1+$AZ$41)^P$223</f>
        <v>921.45767011735279</v>
      </c>
      <c r="Q242" s="106">
        <f>VLOOKUP($A242,'VKT US'!$B$63:$AA$113,(Q$223+1),FALSE)/VLOOKUP($A242,'Fuel economy adjusted factor'!$A$2:$G$52,7,FALSE)*VLOOKUP($A242,'US Grid mix, emissions&amp;prices'!$AE$2:$AI$52,5,FALSE)/(1+$AZ$41)^Q$223</f>
        <v>888.93341800163012</v>
      </c>
      <c r="R242" s="106">
        <f>VLOOKUP($A242,'VKT US'!$B$63:$AA$113,(R$223+1),FALSE)/VLOOKUP($A242,'Fuel economy adjusted factor'!$A$2:$G$52,7,FALSE)*VLOOKUP($A242,'US Grid mix, emissions&amp;prices'!$AE$2:$AI$52,5,FALSE)/(1+$AZ$41)^R$223</f>
        <v>858.20975968462949</v>
      </c>
      <c r="S242" s="106">
        <f>VLOOKUP($A242,'VKT US'!$B$63:$AA$113,(S$223+1),FALSE)/VLOOKUP($A242,'Fuel economy adjusted factor'!$A$2:$G$52,7,FALSE)*VLOOKUP($A242,'US Grid mix, emissions&amp;prices'!$AE$2:$AI$52,5,FALSE)/(1+$AZ$41)^S$223</f>
        <v>829.52109744820734</v>
      </c>
      <c r="T242" s="106">
        <f>VLOOKUP($A242,'VKT US'!$B$63:$AA$113,(T$223+1),FALSE)/VLOOKUP($A242,'Fuel economy adjusted factor'!$A$2:$G$52,7,FALSE)*VLOOKUP($A242,'US Grid mix, emissions&amp;prices'!$AE$2:$AI$52,5,FALSE)/(1+$AZ$41)^T$223</f>
        <v>802.52364020818311</v>
      </c>
      <c r="U242" s="109">
        <f>VLOOKUP($A242,'VKT US'!$B$63:$AA$113,(U$223+1),FALSE)/VLOOKUP($A242,'Fuel economy adjusted factor'!$A$2:$G$52,7,FALSE)*VLOOKUP($A242,'US Grid mix, emissions&amp;prices'!$AE$2:$AI$52,5,FALSE)/(1+$AZ$41)^U$223</f>
        <v>777.44742027604821</v>
      </c>
      <c r="V242" s="110" cm="1">
        <f t="array" ref="V242">SUMPRODUCT(INDEX(B242:U242,,_xlfn.SEQUENCE($AZ$13)))</f>
        <v>17569.512355051327</v>
      </c>
    </row>
    <row r="243" spans="1:22" x14ac:dyDescent="0.25">
      <c r="A243" s="102" t="s">
        <v>202</v>
      </c>
      <c r="B243" s="106">
        <f>VLOOKUP($A243,'VKT US'!$B$63:$AA$113,(B$223+1),FALSE)/VLOOKUP($A243,'Fuel economy adjusted factor'!$A$2:$G$52,7,FALSE)*VLOOKUP($A243,'US Grid mix, emissions&amp;prices'!$AE$2:$AI$52,5,FALSE)/(1+$AZ$41)^B$223</f>
        <v>1490.1481167081615</v>
      </c>
      <c r="C243" s="106">
        <f>VLOOKUP($A243,'VKT US'!$B$63:$AA$113,(C$223+1),FALSE)/VLOOKUP($A243,'Fuel economy adjusted factor'!$A$2:$G$52,7,FALSE)*VLOOKUP($A243,'US Grid mix, emissions&amp;prices'!$AE$2:$AI$52,5,FALSE)/(1+$AZ$41)^C$223</f>
        <v>1428.68245567753</v>
      </c>
      <c r="D243" s="106">
        <f>VLOOKUP($A243,'VKT US'!$B$63:$AA$113,(D$223+1),FALSE)/VLOOKUP($A243,'Fuel economy adjusted factor'!$A$2:$G$52,7,FALSE)*VLOOKUP($A243,'US Grid mix, emissions&amp;prices'!$AE$2:$AI$52,5,FALSE)/(1+$AZ$41)^D$223</f>
        <v>1369.8304795203589</v>
      </c>
      <c r="E243" s="106">
        <f>VLOOKUP($A243,'VKT US'!$B$63:$AA$113,(E$223+1),FALSE)/VLOOKUP($A243,'Fuel economy adjusted factor'!$A$2:$G$52,7,FALSE)*VLOOKUP($A243,'US Grid mix, emissions&amp;prices'!$AE$2:$AI$52,5,FALSE)/(1+$AZ$41)^E$223</f>
        <v>1313.6264487835767</v>
      </c>
      <c r="F243" s="106">
        <f>VLOOKUP($A243,'VKT US'!$B$63:$AA$113,(F$223+1),FALSE)/VLOOKUP($A243,'Fuel economy adjusted factor'!$A$2:$G$52,7,FALSE)*VLOOKUP($A243,'US Grid mix, emissions&amp;prices'!$AE$2:$AI$52,5,FALSE)/(1+$AZ$41)^F$223</f>
        <v>1259.8960464983923</v>
      </c>
      <c r="G243" s="106">
        <f>VLOOKUP($A243,'VKT US'!$B$63:$AA$113,(G$223+1),FALSE)/VLOOKUP($A243,'Fuel economy adjusted factor'!$A$2:$G$52,7,FALSE)*VLOOKUP($A243,'US Grid mix, emissions&amp;prices'!$AE$2:$AI$52,5,FALSE)/(1+$AZ$41)^G$223</f>
        <v>1208.7753974920884</v>
      </c>
      <c r="H243" s="106">
        <f>VLOOKUP($A243,'VKT US'!$B$63:$AA$113,(H$223+1),FALSE)/VLOOKUP($A243,'Fuel economy adjusted factor'!$A$2:$G$52,7,FALSE)*VLOOKUP($A243,'US Grid mix, emissions&amp;prices'!$AE$2:$AI$52,5,FALSE)/(1+$AZ$41)^H$223</f>
        <v>1159.8917006779188</v>
      </c>
      <c r="I243" s="106">
        <f>VLOOKUP($A243,'VKT US'!$B$63:$AA$113,(I$223+1),FALSE)/VLOOKUP($A243,'Fuel economy adjusted factor'!$A$2:$G$52,7,FALSE)*VLOOKUP($A243,'US Grid mix, emissions&amp;prices'!$AE$2:$AI$52,5,FALSE)/(1+$AZ$41)^I$223</f>
        <v>1113.3827607244637</v>
      </c>
      <c r="J243" s="106">
        <f>VLOOKUP($A243,'VKT US'!$B$63:$AA$113,(J$223+1),FALSE)/VLOOKUP($A243,'Fuel economy adjusted factor'!$A$2:$G$52,7,FALSE)*VLOOKUP($A243,'US Grid mix, emissions&amp;prices'!$AE$2:$AI$52,5,FALSE)/(1+$AZ$41)^J$223</f>
        <v>1069.1827046872322</v>
      </c>
      <c r="K243" s="106">
        <f>VLOOKUP($A243,'VKT US'!$B$63:$AA$113,(K$223+1),FALSE)/VLOOKUP($A243,'Fuel economy adjusted factor'!$A$2:$G$52,7,FALSE)*VLOOKUP($A243,'US Grid mix, emissions&amp;prices'!$AE$2:$AI$52,5,FALSE)/(1+$AZ$41)^K$223</f>
        <v>1027.2270827199966</v>
      </c>
      <c r="L243" s="106">
        <f>VLOOKUP($A243,'VKT US'!$B$63:$AA$113,(L$223+1),FALSE)/VLOOKUP($A243,'Fuel economy adjusted factor'!$A$2:$G$52,7,FALSE)*VLOOKUP($A243,'US Grid mix, emissions&amp;prices'!$AE$2:$AI$52,5,FALSE)/(1+$AZ$41)^L$223</f>
        <v>987.35736140516462</v>
      </c>
      <c r="M243" s="106">
        <f>VLOOKUP($A243,'VKT US'!$B$63:$AA$113,(M$223+1),FALSE)/VLOOKUP($A243,'Fuel economy adjusted factor'!$A$2:$G$52,7,FALSE)*VLOOKUP($A243,'US Grid mix, emissions&amp;prices'!$AE$2:$AI$52,5,FALSE)/(1+$AZ$41)^M$223</f>
        <v>949.60960138171561</v>
      </c>
      <c r="N243" s="106">
        <f>VLOOKUP($A243,'VKT US'!$B$63:$AA$113,(N$223+1),FALSE)/VLOOKUP($A243,'Fuel economy adjusted factor'!$A$2:$G$52,7,FALSE)*VLOOKUP($A243,'US Grid mix, emissions&amp;prices'!$AE$2:$AI$52,5,FALSE)/(1+$AZ$41)^N$223</f>
        <v>913.83019393149857</v>
      </c>
      <c r="O243" s="106">
        <f>VLOOKUP($A243,'VKT US'!$B$63:$AA$113,(O$223+1),FALSE)/VLOOKUP($A243,'Fuel economy adjusted factor'!$A$2:$G$52,7,FALSE)*VLOOKUP($A243,'US Grid mix, emissions&amp;prices'!$AE$2:$AI$52,5,FALSE)/(1+$AZ$41)^O$223</f>
        <v>880.0555184982419</v>
      </c>
      <c r="P243" s="106">
        <f>VLOOKUP($A243,'VKT US'!$B$63:$AA$113,(P$223+1),FALSE)/VLOOKUP($A243,'Fuel economy adjusted factor'!$A$2:$G$52,7,FALSE)*VLOOKUP($A243,'US Grid mix, emissions&amp;prices'!$AE$2:$AI$52,5,FALSE)/(1+$AZ$41)^P$223</f>
        <v>848.1367384796157</v>
      </c>
      <c r="Q243" s="106">
        <f>VLOOKUP($A243,'VKT US'!$B$63:$AA$113,(Q$223+1),FALSE)/VLOOKUP($A243,'Fuel economy adjusted factor'!$A$2:$G$52,7,FALSE)*VLOOKUP($A243,'US Grid mix, emissions&amp;prices'!$AE$2:$AI$52,5,FALSE)/(1+$AZ$41)^Q$223</f>
        <v>818.20046033522226</v>
      </c>
      <c r="R243" s="106">
        <f>VLOOKUP($A243,'VKT US'!$B$63:$AA$113,(R$223+1),FALSE)/VLOOKUP($A243,'Fuel economy adjusted factor'!$A$2:$G$52,7,FALSE)*VLOOKUP($A243,'US Grid mix, emissions&amp;prices'!$AE$2:$AI$52,5,FALSE)/(1+$AZ$41)^R$223</f>
        <v>789.92150167635668</v>
      </c>
      <c r="S243" s="106">
        <f>VLOOKUP($A243,'VKT US'!$B$63:$AA$113,(S$223+1),FALSE)/VLOOKUP($A243,'Fuel economy adjusted factor'!$A$2:$G$52,7,FALSE)*VLOOKUP($A243,'US Grid mix, emissions&amp;prices'!$AE$2:$AI$52,5,FALSE)/(1+$AZ$41)^S$223</f>
        <v>763.51561325671457</v>
      </c>
      <c r="T243" s="106">
        <f>VLOOKUP($A243,'VKT US'!$B$63:$AA$113,(T$223+1),FALSE)/VLOOKUP($A243,'Fuel economy adjusted factor'!$A$2:$G$52,7,FALSE)*VLOOKUP($A243,'US Grid mix, emissions&amp;prices'!$AE$2:$AI$52,5,FALSE)/(1+$AZ$41)^T$223</f>
        <v>738.66635965195485</v>
      </c>
      <c r="U243" s="109">
        <f>VLOOKUP($A243,'VKT US'!$B$63:$AA$113,(U$223+1),FALSE)/VLOOKUP($A243,'Fuel economy adjusted factor'!$A$2:$G$52,7,FALSE)*VLOOKUP($A243,'US Grid mix, emissions&amp;prices'!$AE$2:$AI$52,5,FALSE)/(1+$AZ$41)^U$223</f>
        <v>715.58546936653363</v>
      </c>
      <c r="V243" s="110" cm="1">
        <f t="array" ref="V243">SUMPRODUCT(INDEX(B243:U243,,_xlfn.SEQUENCE($AZ$13)))</f>
        <v>16171.495868706339</v>
      </c>
    </row>
    <row r="244" spans="1:22" x14ac:dyDescent="0.25">
      <c r="A244" s="102" t="s">
        <v>201</v>
      </c>
      <c r="B244" s="106">
        <f>VLOOKUP($A244,'VKT US'!$B$63:$AA$113,(B$223+1),FALSE)/VLOOKUP($A244,'Fuel economy adjusted factor'!$A$2:$G$52,7,FALSE)*VLOOKUP($A244,'US Grid mix, emissions&amp;prices'!$AE$2:$AI$52,5,FALSE)/(1+$AZ$41)^B$223</f>
        <v>1464.9159080649717</v>
      </c>
      <c r="C244" s="106">
        <f>VLOOKUP($A244,'VKT US'!$B$63:$AA$113,(C$223+1),FALSE)/VLOOKUP($A244,'Fuel economy adjusted factor'!$A$2:$G$52,7,FALSE)*VLOOKUP($A244,'US Grid mix, emissions&amp;prices'!$AE$2:$AI$52,5,FALSE)/(1+$AZ$41)^C$223</f>
        <v>1404.4910257100482</v>
      </c>
      <c r="D244" s="106">
        <f>VLOOKUP($A244,'VKT US'!$B$63:$AA$113,(D$223+1),FALSE)/VLOOKUP($A244,'Fuel economy adjusted factor'!$A$2:$G$52,7,FALSE)*VLOOKUP($A244,'US Grid mix, emissions&amp;prices'!$AE$2:$AI$52,5,FALSE)/(1+$AZ$41)^D$223</f>
        <v>1346.6355715259699</v>
      </c>
      <c r="E244" s="106">
        <f>VLOOKUP($A244,'VKT US'!$B$63:$AA$113,(E$223+1),FALSE)/VLOOKUP($A244,'Fuel economy adjusted factor'!$A$2:$G$52,7,FALSE)*VLOOKUP($A244,'US Grid mix, emissions&amp;prices'!$AE$2:$AI$52,5,FALSE)/(1+$AZ$41)^E$223</f>
        <v>1291.3832259366154</v>
      </c>
      <c r="F244" s="106">
        <f>VLOOKUP($A244,'VKT US'!$B$63:$AA$113,(F$223+1),FALSE)/VLOOKUP($A244,'Fuel economy adjusted factor'!$A$2:$G$52,7,FALSE)*VLOOKUP($A244,'US Grid mix, emissions&amp;prices'!$AE$2:$AI$52,5,FALSE)/(1+$AZ$41)^F$223</f>
        <v>1238.5626236275145</v>
      </c>
      <c r="G244" s="106">
        <f>VLOOKUP($A244,'VKT US'!$B$63:$AA$113,(G$223+1),FALSE)/VLOOKUP($A244,'Fuel economy adjusted factor'!$A$2:$G$52,7,FALSE)*VLOOKUP($A244,'US Grid mix, emissions&amp;prices'!$AE$2:$AI$52,5,FALSE)/(1+$AZ$41)^G$223</f>
        <v>1188.3075844671312</v>
      </c>
      <c r="H244" s="106">
        <f>VLOOKUP($A244,'VKT US'!$B$63:$AA$113,(H$223+1),FALSE)/VLOOKUP($A244,'Fuel economy adjusted factor'!$A$2:$G$52,7,FALSE)*VLOOKUP($A244,'US Grid mix, emissions&amp;prices'!$AE$2:$AI$52,5,FALSE)/(1+$AZ$41)^H$223</f>
        <v>1140.2516198920832</v>
      </c>
      <c r="I244" s="106">
        <f>VLOOKUP($A244,'VKT US'!$B$63:$AA$113,(I$223+1),FALSE)/VLOOKUP($A244,'Fuel economy adjusted factor'!$A$2:$G$52,7,FALSE)*VLOOKUP($A244,'US Grid mix, emissions&amp;prices'!$AE$2:$AI$52,5,FALSE)/(1+$AZ$41)^I$223</f>
        <v>1094.5302011679078</v>
      </c>
      <c r="J244" s="106">
        <f>VLOOKUP($A244,'VKT US'!$B$63:$AA$113,(J$223+1),FALSE)/VLOOKUP($A244,'Fuel economy adjusted factor'!$A$2:$G$52,7,FALSE)*VLOOKUP($A244,'US Grid mix, emissions&amp;prices'!$AE$2:$AI$52,5,FALSE)/(1+$AZ$41)^J$223</f>
        <v>1051.078570755933</v>
      </c>
      <c r="K244" s="106">
        <f>VLOOKUP($A244,'VKT US'!$B$63:$AA$113,(K$223+1),FALSE)/VLOOKUP($A244,'Fuel economy adjusted factor'!$A$2:$G$52,7,FALSE)*VLOOKUP($A244,'US Grid mix, emissions&amp;prices'!$AE$2:$AI$52,5,FALSE)/(1+$AZ$41)^K$223</f>
        <v>1009.8333701188742</v>
      </c>
      <c r="L244" s="106">
        <f>VLOOKUP($A244,'VKT US'!$B$63:$AA$113,(L$223+1),FALSE)/VLOOKUP($A244,'Fuel economy adjusted factor'!$A$2:$G$52,7,FALSE)*VLOOKUP($A244,'US Grid mix, emissions&amp;prices'!$AE$2:$AI$52,5,FALSE)/(1+$AZ$41)^L$223</f>
        <v>970.63875023555863</v>
      </c>
      <c r="M244" s="106">
        <f>VLOOKUP($A244,'VKT US'!$B$63:$AA$113,(M$223+1),FALSE)/VLOOKUP($A244,'Fuel economy adjusted factor'!$A$2:$G$52,7,FALSE)*VLOOKUP($A244,'US Grid mix, emissions&amp;prices'!$AE$2:$AI$52,5,FALSE)/(1+$AZ$41)^M$223</f>
        <v>933.53016114152638</v>
      </c>
      <c r="N244" s="106">
        <f>VLOOKUP($A244,'VKT US'!$B$63:$AA$113,(N$223+1),FALSE)/VLOOKUP($A244,'Fuel economy adjusted factor'!$A$2:$G$52,7,FALSE)*VLOOKUP($A244,'US Grid mix, emissions&amp;prices'!$AE$2:$AI$52,5,FALSE)/(1+$AZ$41)^N$223</f>
        <v>898.3565951266612</v>
      </c>
      <c r="O244" s="106">
        <f>VLOOKUP($A244,'VKT US'!$B$63:$AA$113,(O$223+1),FALSE)/VLOOKUP($A244,'Fuel economy adjusted factor'!$A$2:$G$52,7,FALSE)*VLOOKUP($A244,'US Grid mix, emissions&amp;prices'!$AE$2:$AI$52,5,FALSE)/(1+$AZ$41)^O$223</f>
        <v>865.15381563303151</v>
      </c>
      <c r="P244" s="106">
        <f>VLOOKUP($A244,'VKT US'!$B$63:$AA$113,(P$223+1),FALSE)/VLOOKUP($A244,'Fuel economy adjusted factor'!$A$2:$G$52,7,FALSE)*VLOOKUP($A244,'US Grid mix, emissions&amp;prices'!$AE$2:$AI$52,5,FALSE)/(1+$AZ$41)^P$223</f>
        <v>833.7755062616086</v>
      </c>
      <c r="Q244" s="106">
        <f>VLOOKUP($A244,'VKT US'!$B$63:$AA$113,(Q$223+1),FALSE)/VLOOKUP($A244,'Fuel economy adjusted factor'!$A$2:$G$52,7,FALSE)*VLOOKUP($A244,'US Grid mix, emissions&amp;prices'!$AE$2:$AI$52,5,FALSE)/(1+$AZ$41)^Q$223</f>
        <v>804.34612968469719</v>
      </c>
      <c r="R244" s="106">
        <f>VLOOKUP($A244,'VKT US'!$B$63:$AA$113,(R$223+1),FALSE)/VLOOKUP($A244,'Fuel economy adjusted factor'!$A$2:$G$52,7,FALSE)*VLOOKUP($A244,'US Grid mix, emissions&amp;prices'!$AE$2:$AI$52,5,FALSE)/(1+$AZ$41)^R$223</f>
        <v>776.54600972454375</v>
      </c>
      <c r="S244" s="106">
        <f>VLOOKUP($A244,'VKT US'!$B$63:$AA$113,(S$223+1),FALSE)/VLOOKUP($A244,'Fuel economy adjusted factor'!$A$2:$G$52,7,FALSE)*VLOOKUP($A244,'US Grid mix, emissions&amp;prices'!$AE$2:$AI$52,5,FALSE)/(1+$AZ$41)^S$223</f>
        <v>750.58724389529539</v>
      </c>
      <c r="T244" s="106">
        <f>VLOOKUP($A244,'VKT US'!$B$63:$AA$113,(T$223+1),FALSE)/VLOOKUP($A244,'Fuel economy adjusted factor'!$A$2:$G$52,7,FALSE)*VLOOKUP($A244,'US Grid mix, emissions&amp;prices'!$AE$2:$AI$52,5,FALSE)/(1+$AZ$41)^T$223</f>
        <v>726.15875487397034</v>
      </c>
      <c r="U244" s="109">
        <f>VLOOKUP($A244,'VKT US'!$B$63:$AA$113,(U$223+1),FALSE)/VLOOKUP($A244,'Fuel economy adjusted factor'!$A$2:$G$52,7,FALSE)*VLOOKUP($A244,'US Grid mix, emissions&amp;prices'!$AE$2:$AI$52,5,FALSE)/(1+$AZ$41)^U$223</f>
        <v>703.46868603295638</v>
      </c>
      <c r="V244" s="110" cm="1">
        <f t="array" ref="V244">SUMPRODUCT(INDEX(B244:U244,,_xlfn.SEQUENCE($AZ$13)))</f>
        <v>15897.669023403831</v>
      </c>
    </row>
    <row r="245" spans="1:22" x14ac:dyDescent="0.25">
      <c r="A245" s="102" t="s">
        <v>204</v>
      </c>
      <c r="B245" s="106">
        <f>VLOOKUP($A245,'VKT US'!$B$63:$AA$113,(B$223+1),FALSE)/VLOOKUP($A245,'Fuel economy adjusted factor'!$A$2:$G$52,7,FALSE)*VLOOKUP($A245,'US Grid mix, emissions&amp;prices'!$AE$2:$AI$52,5,FALSE)/(1+$AZ$41)^B$223</f>
        <v>1618.7184569426583</v>
      </c>
      <c r="C245" s="106">
        <f>VLOOKUP($A245,'VKT US'!$B$63:$AA$113,(C$223+1),FALSE)/VLOOKUP($A245,'Fuel economy adjusted factor'!$A$2:$G$52,7,FALSE)*VLOOKUP($A245,'US Grid mix, emissions&amp;prices'!$AE$2:$AI$52,5,FALSE)/(1+$AZ$41)^C$223</f>
        <v>1551.949523799115</v>
      </c>
      <c r="D245" s="106">
        <f>VLOOKUP($A245,'VKT US'!$B$63:$AA$113,(D$223+1),FALSE)/VLOOKUP($A245,'Fuel economy adjusted factor'!$A$2:$G$52,7,FALSE)*VLOOKUP($A245,'US Grid mix, emissions&amp;prices'!$AE$2:$AI$52,5,FALSE)/(1+$AZ$41)^D$223</f>
        <v>1488.0197848926175</v>
      </c>
      <c r="E245" s="106">
        <f>VLOOKUP($A245,'VKT US'!$B$63:$AA$113,(E$223+1),FALSE)/VLOOKUP($A245,'Fuel economy adjusted factor'!$A$2:$G$52,7,FALSE)*VLOOKUP($A245,'US Grid mix, emissions&amp;prices'!$AE$2:$AI$52,5,FALSE)/(1+$AZ$41)^E$223</f>
        <v>1426.9664567783764</v>
      </c>
      <c r="F245" s="106">
        <f>VLOOKUP($A245,'VKT US'!$B$63:$AA$113,(F$223+1),FALSE)/VLOOKUP($A245,'Fuel economy adjusted factor'!$A$2:$G$52,7,FALSE)*VLOOKUP($A245,'US Grid mix, emissions&amp;prices'!$AE$2:$AI$52,5,FALSE)/(1+$AZ$41)^F$223</f>
        <v>1368.6001823773358</v>
      </c>
      <c r="G245" s="106">
        <f>VLOOKUP($A245,'VKT US'!$B$63:$AA$113,(G$223+1),FALSE)/VLOOKUP($A245,'Fuel economy adjusted factor'!$A$2:$G$52,7,FALSE)*VLOOKUP($A245,'US Grid mix, emissions&amp;prices'!$AE$2:$AI$52,5,FALSE)/(1+$AZ$41)^G$223</f>
        <v>1313.0688313998294</v>
      </c>
      <c r="H245" s="106">
        <f>VLOOKUP($A245,'VKT US'!$B$63:$AA$113,(H$223+1),FALSE)/VLOOKUP($A245,'Fuel economy adjusted factor'!$A$2:$G$52,7,FALSE)*VLOOKUP($A245,'US Grid mix, emissions&amp;prices'!$AE$2:$AI$52,5,FALSE)/(1+$AZ$41)^H$223</f>
        <v>1259.9674373911007</v>
      </c>
      <c r="I245" s="106">
        <f>VLOOKUP($A245,'VKT US'!$B$63:$AA$113,(I$223+1),FALSE)/VLOOKUP($A245,'Fuel economy adjusted factor'!$A$2:$G$52,7,FALSE)*VLOOKUP($A245,'US Grid mix, emissions&amp;prices'!$AE$2:$AI$52,5,FALSE)/(1+$AZ$41)^I$223</f>
        <v>1209.4456948398933</v>
      </c>
      <c r="J245" s="106">
        <f>VLOOKUP($A245,'VKT US'!$B$63:$AA$113,(J$223+1),FALSE)/VLOOKUP($A245,'Fuel economy adjusted factor'!$A$2:$G$52,7,FALSE)*VLOOKUP($A245,'US Grid mix, emissions&amp;prices'!$AE$2:$AI$52,5,FALSE)/(1+$AZ$41)^J$223</f>
        <v>1161.4320472681211</v>
      </c>
      <c r="K245" s="106">
        <f>VLOOKUP($A245,'VKT US'!$B$63:$AA$113,(K$223+1),FALSE)/VLOOKUP($A245,'Fuel economy adjusted factor'!$A$2:$G$52,7,FALSE)*VLOOKUP($A245,'US Grid mix, emissions&amp;prices'!$AE$2:$AI$52,5,FALSE)/(1+$AZ$41)^K$223</f>
        <v>1115.8564840812207</v>
      </c>
      <c r="L245" s="106">
        <f>VLOOKUP($A245,'VKT US'!$B$63:$AA$113,(L$223+1),FALSE)/VLOOKUP($A245,'Fuel economy adjusted factor'!$A$2:$G$52,7,FALSE)*VLOOKUP($A245,'US Grid mix, emissions&amp;prices'!$AE$2:$AI$52,5,FALSE)/(1+$AZ$41)^L$223</f>
        <v>1072.5467935599543</v>
      </c>
      <c r="M245" s="106">
        <f>VLOOKUP($A245,'VKT US'!$B$63:$AA$113,(M$223+1),FALSE)/VLOOKUP($A245,'Fuel economy adjusted factor'!$A$2:$G$52,7,FALSE)*VLOOKUP($A245,'US Grid mix, emissions&amp;prices'!$AE$2:$AI$52,5,FALSE)/(1+$AZ$41)^M$223</f>
        <v>1031.5421476639613</v>
      </c>
      <c r="N245" s="106">
        <f>VLOOKUP($A245,'VKT US'!$B$63:$AA$113,(N$223+1),FALSE)/VLOOKUP($A245,'Fuel economy adjusted factor'!$A$2:$G$52,7,FALSE)*VLOOKUP($A245,'US Grid mix, emissions&amp;prices'!$AE$2:$AI$52,5,FALSE)/(1+$AZ$41)^N$223</f>
        <v>992.67568427770368</v>
      </c>
      <c r="O245" s="106">
        <f>VLOOKUP($A245,'VKT US'!$B$63:$AA$113,(O$223+1),FALSE)/VLOOKUP($A245,'Fuel economy adjusted factor'!$A$2:$G$52,7,FALSE)*VLOOKUP($A245,'US Grid mix, emissions&amp;prices'!$AE$2:$AI$52,5,FALSE)/(1+$AZ$41)^O$223</f>
        <v>955.98692167212221</v>
      </c>
      <c r="P245" s="106">
        <f>VLOOKUP($A245,'VKT US'!$B$63:$AA$113,(P$223+1),FALSE)/VLOOKUP($A245,'Fuel economy adjusted factor'!$A$2:$G$52,7,FALSE)*VLOOKUP($A245,'US Grid mix, emissions&amp;prices'!$AE$2:$AI$52,5,FALSE)/(1+$AZ$41)^P$223</f>
        <v>921.31418158680765</v>
      </c>
      <c r="Q245" s="106">
        <f>VLOOKUP($A245,'VKT US'!$B$63:$AA$113,(Q$223+1),FALSE)/VLOOKUP($A245,'Fuel economy adjusted factor'!$A$2:$G$52,7,FALSE)*VLOOKUP($A245,'US Grid mix, emissions&amp;prices'!$AE$2:$AI$52,5,FALSE)/(1+$AZ$41)^Q$223</f>
        <v>888.79499411734548</v>
      </c>
      <c r="R245" s="106">
        <f>VLOOKUP($A245,'VKT US'!$B$63:$AA$113,(R$223+1),FALSE)/VLOOKUP($A245,'Fuel economy adjusted factor'!$A$2:$G$52,7,FALSE)*VLOOKUP($A245,'US Grid mix, emissions&amp;prices'!$AE$2:$AI$52,5,FALSE)/(1+$AZ$41)^R$223</f>
        <v>858.07612005981514</v>
      </c>
      <c r="S245" s="106">
        <f>VLOOKUP($A245,'VKT US'!$B$63:$AA$113,(S$223+1),FALSE)/VLOOKUP($A245,'Fuel economy adjusted factor'!$A$2:$G$52,7,FALSE)*VLOOKUP($A245,'US Grid mix, emissions&amp;prices'!$AE$2:$AI$52,5,FALSE)/(1+$AZ$41)^S$223</f>
        <v>829.39192519516848</v>
      </c>
      <c r="T245" s="106">
        <f>VLOOKUP($A245,'VKT US'!$B$63:$AA$113,(T$223+1),FALSE)/VLOOKUP($A245,'Fuel economy adjusted factor'!$A$2:$G$52,7,FALSE)*VLOOKUP($A245,'US Grid mix, emissions&amp;prices'!$AE$2:$AI$52,5,FALSE)/(1+$AZ$41)^T$223</f>
        <v>802.39867197405181</v>
      </c>
      <c r="U245" s="109">
        <f>VLOOKUP($A245,'VKT US'!$B$63:$AA$113,(U$223+1),FALSE)/VLOOKUP($A245,'Fuel economy adjusted factor'!$A$2:$G$52,7,FALSE)*VLOOKUP($A245,'US Grid mix, emissions&amp;prices'!$AE$2:$AI$52,5,FALSE)/(1+$AZ$41)^U$223</f>
        <v>777.32635688753976</v>
      </c>
      <c r="V245" s="110" cm="1">
        <f t="array" ref="V245">SUMPRODUCT(INDEX(B245:U245,,_xlfn.SEQUENCE($AZ$13)))</f>
        <v>17566.776446944008</v>
      </c>
    </row>
    <row r="246" spans="1:22" x14ac:dyDescent="0.25">
      <c r="A246" s="102" t="s">
        <v>205</v>
      </c>
      <c r="B246" s="106">
        <f>VLOOKUP($A246,'VKT US'!$B$63:$AA$113,(B$223+1),FALSE)/VLOOKUP($A246,'Fuel economy adjusted factor'!$A$2:$G$52,7,FALSE)*VLOOKUP($A246,'US Grid mix, emissions&amp;prices'!$AE$2:$AI$52,5,FALSE)/(1+$AZ$41)^B$223</f>
        <v>2053.1181272096023</v>
      </c>
      <c r="C246" s="106">
        <f>VLOOKUP($A246,'VKT US'!$B$63:$AA$113,(C$223+1),FALSE)/VLOOKUP($A246,'Fuel economy adjusted factor'!$A$2:$G$52,7,FALSE)*VLOOKUP($A246,'US Grid mix, emissions&amp;prices'!$AE$2:$AI$52,5,FALSE)/(1+$AZ$41)^C$223</f>
        <v>1968.431067280495</v>
      </c>
      <c r="D246" s="106">
        <f>VLOOKUP($A246,'VKT US'!$B$63:$AA$113,(D$223+1),FALSE)/VLOOKUP($A246,'Fuel economy adjusted factor'!$A$2:$G$52,7,FALSE)*VLOOKUP($A246,'US Grid mix, emissions&amp;prices'!$AE$2:$AI$52,5,FALSE)/(1+$AZ$41)^D$223</f>
        <v>1887.345128429452</v>
      </c>
      <c r="E246" s="106">
        <f>VLOOKUP($A246,'VKT US'!$B$63:$AA$113,(E$223+1),FALSE)/VLOOKUP($A246,'Fuel economy adjusted factor'!$A$2:$G$52,7,FALSE)*VLOOKUP($A246,'US Grid mix, emissions&amp;prices'!$AE$2:$AI$52,5,FALSE)/(1+$AZ$41)^E$223</f>
        <v>1809.9075146552955</v>
      </c>
      <c r="F246" s="106">
        <f>VLOOKUP($A246,'VKT US'!$B$63:$AA$113,(F$223+1),FALSE)/VLOOKUP($A246,'Fuel economy adjusted factor'!$A$2:$G$52,7,FALSE)*VLOOKUP($A246,'US Grid mix, emissions&amp;prices'!$AE$2:$AI$52,5,FALSE)/(1+$AZ$41)^F$223</f>
        <v>1735.8780529681781</v>
      </c>
      <c r="G246" s="106">
        <f>VLOOKUP($A246,'VKT US'!$B$63:$AA$113,(G$223+1),FALSE)/VLOOKUP($A246,'Fuel economy adjusted factor'!$A$2:$G$52,7,FALSE)*VLOOKUP($A246,'US Grid mix, emissions&amp;prices'!$AE$2:$AI$52,5,FALSE)/(1+$AZ$41)^G$223</f>
        <v>1665.4442954290832</v>
      </c>
      <c r="H246" s="106">
        <f>VLOOKUP($A246,'VKT US'!$B$63:$AA$113,(H$223+1),FALSE)/VLOOKUP($A246,'Fuel economy adjusted factor'!$A$2:$G$52,7,FALSE)*VLOOKUP($A246,'US Grid mix, emissions&amp;prices'!$AE$2:$AI$52,5,FALSE)/(1+$AZ$41)^H$223</f>
        <v>1598.092598689097</v>
      </c>
      <c r="I246" s="106">
        <f>VLOOKUP($A246,'VKT US'!$B$63:$AA$113,(I$223+1),FALSE)/VLOOKUP($A246,'Fuel economy adjusted factor'!$A$2:$G$52,7,FALSE)*VLOOKUP($A246,'US Grid mix, emissions&amp;prices'!$AE$2:$AI$52,5,FALSE)/(1+$AZ$41)^I$223</f>
        <v>1534.0128292855813</v>
      </c>
      <c r="J246" s="106">
        <f>VLOOKUP($A246,'VKT US'!$B$63:$AA$113,(J$223+1),FALSE)/VLOOKUP($A246,'Fuel economy adjusted factor'!$A$2:$G$52,7,FALSE)*VLOOKUP($A246,'US Grid mix, emissions&amp;prices'!$AE$2:$AI$52,5,FALSE)/(1+$AZ$41)^J$223</f>
        <v>1473.1142278269642</v>
      </c>
      <c r="K246" s="106">
        <f>VLOOKUP($A246,'VKT US'!$B$63:$AA$113,(K$223+1),FALSE)/VLOOKUP($A246,'Fuel economy adjusted factor'!$A$2:$G$52,7,FALSE)*VLOOKUP($A246,'US Grid mix, emissions&amp;prices'!$AE$2:$AI$52,5,FALSE)/(1+$AZ$41)^K$223</f>
        <v>1415.3079956588665</v>
      </c>
      <c r="L246" s="106">
        <f>VLOOKUP($A246,'VKT US'!$B$63:$AA$113,(L$223+1),FALSE)/VLOOKUP($A246,'Fuel economy adjusted factor'!$A$2:$G$52,7,FALSE)*VLOOKUP($A246,'US Grid mix, emissions&amp;prices'!$AE$2:$AI$52,5,FALSE)/(1+$AZ$41)^L$223</f>
        <v>1360.3757062840996</v>
      </c>
      <c r="M246" s="106">
        <f>VLOOKUP($A246,'VKT US'!$B$63:$AA$113,(M$223+1),FALSE)/VLOOKUP($A246,'Fuel economy adjusted factor'!$A$2:$G$52,7,FALSE)*VLOOKUP($A246,'US Grid mix, emissions&amp;prices'!$AE$2:$AI$52,5,FALSE)/(1+$AZ$41)^M$223</f>
        <v>1308.3670438587128</v>
      </c>
      <c r="N246" s="106">
        <f>VLOOKUP($A246,'VKT US'!$B$63:$AA$113,(N$223+1),FALSE)/VLOOKUP($A246,'Fuel economy adjusted factor'!$A$2:$G$52,7,FALSE)*VLOOKUP($A246,'US Grid mix, emissions&amp;prices'!$AE$2:$AI$52,5,FALSE)/(1+$AZ$41)^N$223</f>
        <v>1259.070367110138</v>
      </c>
      <c r="O246" s="106">
        <f>VLOOKUP($A246,'VKT US'!$B$63:$AA$113,(O$223+1),FALSE)/VLOOKUP($A246,'Fuel economy adjusted factor'!$A$2:$G$52,7,FALSE)*VLOOKUP($A246,'US Grid mix, emissions&amp;prices'!$AE$2:$AI$52,5,FALSE)/(1+$AZ$41)^O$223</f>
        <v>1212.5357994419091</v>
      </c>
      <c r="P246" s="106">
        <f>VLOOKUP($A246,'VKT US'!$B$63:$AA$113,(P$223+1),FALSE)/VLOOKUP($A246,'Fuel economy adjusted factor'!$A$2:$G$52,7,FALSE)*VLOOKUP($A246,'US Grid mix, emissions&amp;prices'!$AE$2:$AI$52,5,FALSE)/(1+$AZ$41)^P$223</f>
        <v>1168.558274577184</v>
      </c>
      <c r="Q246" s="106">
        <f>VLOOKUP($A246,'VKT US'!$B$63:$AA$113,(Q$223+1),FALSE)/VLOOKUP($A246,'Fuel economy adjusted factor'!$A$2:$G$52,7,FALSE)*VLOOKUP($A246,'US Grid mix, emissions&amp;prices'!$AE$2:$AI$52,5,FALSE)/(1+$AZ$41)^Q$223</f>
        <v>1127.3122302207219</v>
      </c>
      <c r="R246" s="106">
        <f>VLOOKUP($A246,'VKT US'!$B$63:$AA$113,(R$223+1),FALSE)/VLOOKUP($A246,'Fuel economy adjusted factor'!$A$2:$G$52,7,FALSE)*VLOOKUP($A246,'US Grid mix, emissions&amp;prices'!$AE$2:$AI$52,5,FALSE)/(1+$AZ$41)^R$223</f>
        <v>1088.3496318117889</v>
      </c>
      <c r="S246" s="106">
        <f>VLOOKUP($A246,'VKT US'!$B$63:$AA$113,(S$223+1),FALSE)/VLOOKUP($A246,'Fuel economy adjusted factor'!$A$2:$G$52,7,FALSE)*VLOOKUP($A246,'US Grid mix, emissions&amp;prices'!$AE$2:$AI$52,5,FALSE)/(1+$AZ$41)^S$223</f>
        <v>1051.9677395880785</v>
      </c>
      <c r="T246" s="106">
        <f>VLOOKUP($A246,'VKT US'!$B$63:$AA$113,(T$223+1),FALSE)/VLOOKUP($A246,'Fuel economy adjusted factor'!$A$2:$G$52,7,FALSE)*VLOOKUP($A246,'US Grid mix, emissions&amp;prices'!$AE$2:$AI$52,5,FALSE)/(1+$AZ$41)^T$223</f>
        <v>1017.7305705097025</v>
      </c>
      <c r="U246" s="109">
        <f>VLOOKUP($A246,'VKT US'!$B$63:$AA$113,(U$223+1),FALSE)/VLOOKUP($A246,'Fuel economy adjusted factor'!$A$2:$G$52,7,FALSE)*VLOOKUP($A246,'US Grid mix, emissions&amp;prices'!$AE$2:$AI$52,5,FALSE)/(1+$AZ$41)^U$223</f>
        <v>985.92984298080637</v>
      </c>
      <c r="V246" s="110" cm="1">
        <f t="array" ref="V246">SUMPRODUCT(INDEX(B246:U246,,_xlfn.SEQUENCE($AZ$13)))</f>
        <v>22281.000754127475</v>
      </c>
    </row>
    <row r="247" spans="1:22" x14ac:dyDescent="0.25">
      <c r="A247" s="102" t="s">
        <v>207</v>
      </c>
      <c r="B247" s="106">
        <f>VLOOKUP($A247,'VKT US'!$B$63:$AA$113,(B$223+1),FALSE)/VLOOKUP($A247,'Fuel economy adjusted factor'!$A$2:$G$52,7,FALSE)*VLOOKUP($A247,'US Grid mix, emissions&amp;prices'!$AE$2:$AI$52,5,FALSE)/(1+$AZ$41)^B$223</f>
        <v>2179.8372719139484</v>
      </c>
      <c r="C247" s="106">
        <f>VLOOKUP($A247,'VKT US'!$B$63:$AA$113,(C$223+1),FALSE)/VLOOKUP($A247,'Fuel economy adjusted factor'!$A$2:$G$52,7,FALSE)*VLOOKUP($A247,'US Grid mix, emissions&amp;prices'!$AE$2:$AI$52,5,FALSE)/(1+$AZ$41)^C$223</f>
        <v>2089.923298024305</v>
      </c>
      <c r="D247" s="106">
        <f>VLOOKUP($A247,'VKT US'!$B$63:$AA$113,(D$223+1),FALSE)/VLOOKUP($A247,'Fuel economy adjusted factor'!$A$2:$G$52,7,FALSE)*VLOOKUP($A247,'US Grid mix, emissions&amp;prices'!$AE$2:$AI$52,5,FALSE)/(1+$AZ$41)^D$223</f>
        <v>2003.8327076227356</v>
      </c>
      <c r="E247" s="106">
        <f>VLOOKUP($A247,'VKT US'!$B$63:$AA$113,(E$223+1),FALSE)/VLOOKUP($A247,'Fuel economy adjusted factor'!$A$2:$G$52,7,FALSE)*VLOOKUP($A247,'US Grid mix, emissions&amp;prices'!$AE$2:$AI$52,5,FALSE)/(1+$AZ$41)^E$223</f>
        <v>1921.6156181548242</v>
      </c>
      <c r="F247" s="106">
        <f>VLOOKUP($A247,'VKT US'!$B$63:$AA$113,(F$223+1),FALSE)/VLOOKUP($A247,'Fuel economy adjusted factor'!$A$2:$G$52,7,FALSE)*VLOOKUP($A247,'US Grid mix, emissions&amp;prices'!$AE$2:$AI$52,5,FALSE)/(1+$AZ$41)^F$223</f>
        <v>1843.0170330726178</v>
      </c>
      <c r="G247" s="106">
        <f>VLOOKUP($A247,'VKT US'!$B$63:$AA$113,(G$223+1),FALSE)/VLOOKUP($A247,'Fuel economy adjusted factor'!$A$2:$G$52,7,FALSE)*VLOOKUP($A247,'US Grid mix, emissions&amp;prices'!$AE$2:$AI$52,5,FALSE)/(1+$AZ$41)^G$223</f>
        <v>1768.2360802136905</v>
      </c>
      <c r="H247" s="106">
        <f>VLOOKUP($A247,'VKT US'!$B$63:$AA$113,(H$223+1),FALSE)/VLOOKUP($A247,'Fuel economy adjusted factor'!$A$2:$G$52,7,FALSE)*VLOOKUP($A247,'US Grid mix, emissions&amp;prices'!$AE$2:$AI$52,5,FALSE)/(1+$AZ$41)^H$223</f>
        <v>1696.7274139880387</v>
      </c>
      <c r="I247" s="106">
        <f>VLOOKUP($A247,'VKT US'!$B$63:$AA$113,(I$223+1),FALSE)/VLOOKUP($A247,'Fuel economy adjusted factor'!$A$2:$G$52,7,FALSE)*VLOOKUP($A247,'US Grid mix, emissions&amp;prices'!$AE$2:$AI$52,5,FALSE)/(1+$AZ$41)^I$223</f>
        <v>1628.6926195598787</v>
      </c>
      <c r="J247" s="106">
        <f>VLOOKUP($A247,'VKT US'!$B$63:$AA$113,(J$223+1),FALSE)/VLOOKUP($A247,'Fuel economy adjusted factor'!$A$2:$G$52,7,FALSE)*VLOOKUP($A247,'US Grid mix, emissions&amp;prices'!$AE$2:$AI$52,5,FALSE)/(1+$AZ$41)^J$223</f>
        <v>1564.0353358373166</v>
      </c>
      <c r="K247" s="106">
        <f>VLOOKUP($A247,'VKT US'!$B$63:$AA$113,(K$223+1),FALSE)/VLOOKUP($A247,'Fuel economy adjusted factor'!$A$2:$G$52,7,FALSE)*VLOOKUP($A247,'US Grid mix, emissions&amp;prices'!$AE$2:$AI$52,5,FALSE)/(1+$AZ$41)^K$223</f>
        <v>1502.6612834830137</v>
      </c>
      <c r="L247" s="106">
        <f>VLOOKUP($A247,'VKT US'!$B$63:$AA$113,(L$223+1),FALSE)/VLOOKUP($A247,'Fuel economy adjusted factor'!$A$2:$G$52,7,FALSE)*VLOOKUP($A247,'US Grid mix, emissions&amp;prices'!$AE$2:$AI$52,5,FALSE)/(1+$AZ$41)^L$223</f>
        <v>1444.3385546425534</v>
      </c>
      <c r="M247" s="106">
        <f>VLOOKUP($A247,'VKT US'!$B$63:$AA$113,(M$223+1),FALSE)/VLOOKUP($A247,'Fuel economy adjusted factor'!$A$2:$G$52,7,FALSE)*VLOOKUP($A247,'US Grid mix, emissions&amp;prices'!$AE$2:$AI$52,5,FALSE)/(1+$AZ$41)^M$223</f>
        <v>1389.1198999948876</v>
      </c>
      <c r="N247" s="106">
        <f>VLOOKUP($A247,'VKT US'!$B$63:$AA$113,(N$223+1),FALSE)/VLOOKUP($A247,'Fuel economy adjusted factor'!$A$2:$G$52,7,FALSE)*VLOOKUP($A247,'US Grid mix, emissions&amp;prices'!$AE$2:$AI$52,5,FALSE)/(1+$AZ$41)^N$223</f>
        <v>1336.780615696578</v>
      </c>
      <c r="O247" s="106">
        <f>VLOOKUP($A247,'VKT US'!$B$63:$AA$113,(O$223+1),FALSE)/VLOOKUP($A247,'Fuel economy adjusted factor'!$A$2:$G$52,7,FALSE)*VLOOKUP($A247,'US Grid mix, emissions&amp;prices'!$AE$2:$AI$52,5,FALSE)/(1+$AZ$41)^O$223</f>
        <v>1287.3739187845638</v>
      </c>
      <c r="P247" s="106">
        <f>VLOOKUP($A247,'VKT US'!$B$63:$AA$113,(P$223+1),FALSE)/VLOOKUP($A247,'Fuel economy adjusted factor'!$A$2:$G$52,7,FALSE)*VLOOKUP($A247,'US Grid mix, emissions&amp;prices'!$AE$2:$AI$52,5,FALSE)/(1+$AZ$41)^P$223</f>
        <v>1240.6820862220898</v>
      </c>
      <c r="Q247" s="106">
        <f>VLOOKUP($A247,'VKT US'!$B$63:$AA$113,(Q$223+1),FALSE)/VLOOKUP($A247,'Fuel economy adjusted factor'!$A$2:$G$52,7,FALSE)*VLOOKUP($A247,'US Grid mix, emissions&amp;prices'!$AE$2:$AI$52,5,FALSE)/(1+$AZ$41)^Q$223</f>
        <v>1196.8903220680083</v>
      </c>
      <c r="R247" s="106">
        <f>VLOOKUP($A247,'VKT US'!$B$63:$AA$113,(R$223+1),FALSE)/VLOOKUP($A247,'Fuel economy adjusted factor'!$A$2:$G$52,7,FALSE)*VLOOKUP($A247,'US Grid mix, emissions&amp;prices'!$AE$2:$AI$52,5,FALSE)/(1+$AZ$41)^R$223</f>
        <v>1155.522938917075</v>
      </c>
      <c r="S247" s="106">
        <f>VLOOKUP($A247,'VKT US'!$B$63:$AA$113,(S$223+1),FALSE)/VLOOKUP($A247,'Fuel economy adjusted factor'!$A$2:$G$52,7,FALSE)*VLOOKUP($A247,'US Grid mix, emissions&amp;prices'!$AE$2:$AI$52,5,FALSE)/(1+$AZ$41)^S$223</f>
        <v>1116.8955440093175</v>
      </c>
      <c r="T247" s="106">
        <f>VLOOKUP($A247,'VKT US'!$B$63:$AA$113,(T$223+1),FALSE)/VLOOKUP($A247,'Fuel economy adjusted factor'!$A$2:$G$52,7,FALSE)*VLOOKUP($A247,'US Grid mix, emissions&amp;prices'!$AE$2:$AI$52,5,FALSE)/(1+$AZ$41)^T$223</f>
        <v>1080.5452452842776</v>
      </c>
      <c r="U247" s="109">
        <f>VLOOKUP($A247,'VKT US'!$B$63:$AA$113,(U$223+1),FALSE)/VLOOKUP($A247,'Fuel economy adjusted factor'!$A$2:$G$52,7,FALSE)*VLOOKUP($A247,'US Grid mix, emissions&amp;prices'!$AE$2:$AI$52,5,FALSE)/(1+$AZ$41)^U$223</f>
        <v>1046.7817661045963</v>
      </c>
      <c r="V247" s="110" cm="1">
        <f t="array" ref="V247">SUMPRODUCT(INDEX(B247:U247,,_xlfn.SEQUENCE($AZ$13)))</f>
        <v>23656.191650988949</v>
      </c>
    </row>
    <row r="248" spans="1:22" x14ac:dyDescent="0.25">
      <c r="A248" s="102" t="s">
        <v>206</v>
      </c>
      <c r="B248" s="106">
        <f>VLOOKUP($A248,'VKT US'!$B$63:$AA$113,(B$223+1),FALSE)/VLOOKUP($A248,'Fuel economy adjusted factor'!$A$2:$G$52,7,FALSE)*VLOOKUP($A248,'US Grid mix, emissions&amp;prices'!$AE$2:$AI$52,5,FALSE)/(1+$AZ$41)^B$223</f>
        <v>2053.8257986111903</v>
      </c>
      <c r="C248" s="106">
        <f>VLOOKUP($A248,'VKT US'!$B$63:$AA$113,(C$223+1),FALSE)/VLOOKUP($A248,'Fuel economy adjusted factor'!$A$2:$G$52,7,FALSE)*VLOOKUP($A248,'US Grid mix, emissions&amp;prices'!$AE$2:$AI$52,5,FALSE)/(1+$AZ$41)^C$223</f>
        <v>1969.1095486371453</v>
      </c>
      <c r="D248" s="106">
        <f>VLOOKUP($A248,'VKT US'!$B$63:$AA$113,(D$223+1),FALSE)/VLOOKUP($A248,'Fuel economy adjusted factor'!$A$2:$G$52,7,FALSE)*VLOOKUP($A248,'US Grid mix, emissions&amp;prices'!$AE$2:$AI$52,5,FALSE)/(1+$AZ$41)^D$223</f>
        <v>1887.9956609802175</v>
      </c>
      <c r="E248" s="106">
        <f>VLOOKUP($A248,'VKT US'!$B$63:$AA$113,(E$223+1),FALSE)/VLOOKUP($A248,'Fuel economy adjusted factor'!$A$2:$G$52,7,FALSE)*VLOOKUP($A248,'US Grid mix, emissions&amp;prices'!$AE$2:$AI$52,5,FALSE)/(1+$AZ$41)^E$223</f>
        <v>1810.5313559095644</v>
      </c>
      <c r="F248" s="106">
        <f>VLOOKUP($A248,'VKT US'!$B$63:$AA$113,(F$223+1),FALSE)/VLOOKUP($A248,'Fuel economy adjusted factor'!$A$2:$G$52,7,FALSE)*VLOOKUP($A248,'US Grid mix, emissions&amp;prices'!$AE$2:$AI$52,5,FALSE)/(1+$AZ$41)^F$223</f>
        <v>1736.4763776522041</v>
      </c>
      <c r="G248" s="106">
        <f>VLOOKUP($A248,'VKT US'!$B$63:$AA$113,(G$223+1),FALSE)/VLOOKUP($A248,'Fuel economy adjusted factor'!$A$2:$G$52,7,FALSE)*VLOOKUP($A248,'US Grid mix, emissions&amp;prices'!$AE$2:$AI$52,5,FALSE)/(1+$AZ$41)^G$223</f>
        <v>1666.0183429148046</v>
      </c>
      <c r="H248" s="106">
        <f>VLOOKUP($A248,'VKT US'!$B$63:$AA$113,(H$223+1),FALSE)/VLOOKUP($A248,'Fuel economy adjusted factor'!$A$2:$G$52,7,FALSE)*VLOOKUP($A248,'US Grid mix, emissions&amp;prices'!$AE$2:$AI$52,5,FALSE)/(1+$AZ$41)^H$223</f>
        <v>1598.6434313052011</v>
      </c>
      <c r="I248" s="106">
        <f>VLOOKUP($A248,'VKT US'!$B$63:$AA$113,(I$223+1),FALSE)/VLOOKUP($A248,'Fuel economy adjusted factor'!$A$2:$G$52,7,FALSE)*VLOOKUP($A248,'US Grid mix, emissions&amp;prices'!$AE$2:$AI$52,5,FALSE)/(1+$AZ$41)^I$223</f>
        <v>1534.5415748041992</v>
      </c>
      <c r="J248" s="106">
        <f>VLOOKUP($A248,'VKT US'!$B$63:$AA$113,(J$223+1),FALSE)/VLOOKUP($A248,'Fuel economy adjusted factor'!$A$2:$G$52,7,FALSE)*VLOOKUP($A248,'US Grid mix, emissions&amp;prices'!$AE$2:$AI$52,5,FALSE)/(1+$AZ$41)^J$223</f>
        <v>1473.6219827371613</v>
      </c>
      <c r="K248" s="106">
        <f>VLOOKUP($A248,'VKT US'!$B$63:$AA$113,(K$223+1),FALSE)/VLOOKUP($A248,'Fuel economy adjusted factor'!$A$2:$G$52,7,FALSE)*VLOOKUP($A248,'US Grid mix, emissions&amp;prices'!$AE$2:$AI$52,5,FALSE)/(1+$AZ$41)^K$223</f>
        <v>1415.7958258424753</v>
      </c>
      <c r="L248" s="106">
        <f>VLOOKUP($A248,'VKT US'!$B$63:$AA$113,(L$223+1),FALSE)/VLOOKUP($A248,'Fuel economy adjusted factor'!$A$2:$G$52,7,FALSE)*VLOOKUP($A248,'US Grid mix, emissions&amp;prices'!$AE$2:$AI$52,5,FALSE)/(1+$AZ$41)^L$223</f>
        <v>1360.8446023354247</v>
      </c>
      <c r="M248" s="106">
        <f>VLOOKUP($A248,'VKT US'!$B$63:$AA$113,(M$223+1),FALSE)/VLOOKUP($A248,'Fuel economy adjusted factor'!$A$2:$G$52,7,FALSE)*VLOOKUP($A248,'US Grid mix, emissions&amp;prices'!$AE$2:$AI$52,5,FALSE)/(1+$AZ$41)^M$223</f>
        <v>1308.8180134972583</v>
      </c>
      <c r="N248" s="106">
        <f>VLOOKUP($A248,'VKT US'!$B$63:$AA$113,(N$223+1),FALSE)/VLOOKUP($A248,'Fuel economy adjusted factor'!$A$2:$G$52,7,FALSE)*VLOOKUP($A248,'US Grid mix, emissions&amp;prices'!$AE$2:$AI$52,5,FALSE)/(1+$AZ$41)^N$223</f>
        <v>1259.5043451066222</v>
      </c>
      <c r="O248" s="106">
        <f>VLOOKUP($A248,'VKT US'!$B$63:$AA$113,(O$223+1),FALSE)/VLOOKUP($A248,'Fuel economy adjusted factor'!$A$2:$G$52,7,FALSE)*VLOOKUP($A248,'US Grid mix, emissions&amp;prices'!$AE$2:$AI$52,5,FALSE)/(1+$AZ$41)^O$223</f>
        <v>1212.953737843648</v>
      </c>
      <c r="P248" s="106">
        <f>VLOOKUP($A248,'VKT US'!$B$63:$AA$113,(P$223+1),FALSE)/VLOOKUP($A248,'Fuel economy adjusted factor'!$A$2:$G$52,7,FALSE)*VLOOKUP($A248,'US Grid mix, emissions&amp;prices'!$AE$2:$AI$52,5,FALSE)/(1+$AZ$41)^P$223</f>
        <v>1168.961054748986</v>
      </c>
      <c r="Q248" s="106">
        <f>VLOOKUP($A248,'VKT US'!$B$63:$AA$113,(Q$223+1),FALSE)/VLOOKUP($A248,'Fuel economy adjusted factor'!$A$2:$G$52,7,FALSE)*VLOOKUP($A248,'US Grid mix, emissions&amp;prices'!$AE$2:$AI$52,5,FALSE)/(1+$AZ$41)^Q$223</f>
        <v>1127.7007936528084</v>
      </c>
      <c r="R248" s="106">
        <f>VLOOKUP($A248,'VKT US'!$B$63:$AA$113,(R$223+1),FALSE)/VLOOKUP($A248,'Fuel economy adjusted factor'!$A$2:$G$52,7,FALSE)*VLOOKUP($A248,'US Grid mix, emissions&amp;prices'!$AE$2:$AI$52,5,FALSE)/(1+$AZ$41)^R$223</f>
        <v>1088.7247655652518</v>
      </c>
      <c r="S248" s="106">
        <f>VLOOKUP($A248,'VKT US'!$B$63:$AA$113,(S$223+1),FALSE)/VLOOKUP($A248,'Fuel economy adjusted factor'!$A$2:$G$52,7,FALSE)*VLOOKUP($A248,'US Grid mix, emissions&amp;prices'!$AE$2:$AI$52,5,FALSE)/(1+$AZ$41)^S$223</f>
        <v>1052.3303331840505</v>
      </c>
      <c r="T248" s="106">
        <f>VLOOKUP($A248,'VKT US'!$B$63:$AA$113,(T$223+1),FALSE)/VLOOKUP($A248,'Fuel economy adjusted factor'!$A$2:$G$52,7,FALSE)*VLOOKUP($A248,'US Grid mix, emissions&amp;prices'!$AE$2:$AI$52,5,FALSE)/(1+$AZ$41)^T$223</f>
        <v>1018.081363194121</v>
      </c>
      <c r="U248" s="109">
        <f>VLOOKUP($A248,'VKT US'!$B$63:$AA$113,(U$223+1),FALSE)/VLOOKUP($A248,'Fuel economy adjusted factor'!$A$2:$G$52,7,FALSE)*VLOOKUP($A248,'US Grid mix, emissions&amp;prices'!$AE$2:$AI$52,5,FALSE)/(1+$AZ$41)^U$223</f>
        <v>986.26967454948397</v>
      </c>
      <c r="V248" s="110" cm="1">
        <f t="array" ref="V248">SUMPRODUCT(INDEX(B248:U248,,_xlfn.SEQUENCE($AZ$13)))</f>
        <v>22288.680598177118</v>
      </c>
    </row>
    <row r="249" spans="1:22" x14ac:dyDescent="0.25">
      <c r="A249" s="102" t="s">
        <v>208</v>
      </c>
      <c r="B249" s="106">
        <f>VLOOKUP($A249,'VKT US'!$B$63:$AA$113,(B$223+1),FALSE)/VLOOKUP($A249,'Fuel economy adjusted factor'!$A$2:$G$52,7,FALSE)*VLOOKUP($A249,'US Grid mix, emissions&amp;prices'!$AE$2:$AI$52,5,FALSE)/(1+$AZ$41)^B$223</f>
        <v>1808.6002474229299</v>
      </c>
      <c r="C249" s="106">
        <f>VLOOKUP($A249,'VKT US'!$B$63:$AA$113,(C$223+1),FALSE)/VLOOKUP($A249,'Fuel economy adjusted factor'!$A$2:$G$52,7,FALSE)*VLOOKUP($A249,'US Grid mix, emissions&amp;prices'!$AE$2:$AI$52,5,FALSE)/(1+$AZ$41)^C$223</f>
        <v>1733.9990661701636</v>
      </c>
      <c r="D249" s="106">
        <f>VLOOKUP($A249,'VKT US'!$B$63:$AA$113,(D$223+1),FALSE)/VLOOKUP($A249,'Fuel economy adjusted factor'!$A$2:$G$52,7,FALSE)*VLOOKUP($A249,'US Grid mix, emissions&amp;prices'!$AE$2:$AI$52,5,FALSE)/(1+$AZ$41)^D$223</f>
        <v>1662.5701273648585</v>
      </c>
      <c r="E249" s="106">
        <f>VLOOKUP($A249,'VKT US'!$B$63:$AA$113,(E$223+1),FALSE)/VLOOKUP($A249,'Fuel economy adjusted factor'!$A$2:$G$52,7,FALSE)*VLOOKUP($A249,'US Grid mix, emissions&amp;prices'!$AE$2:$AI$52,5,FALSE)/(1+$AZ$41)^E$223</f>
        <v>1594.3550132047553</v>
      </c>
      <c r="F249" s="106">
        <f>VLOOKUP($A249,'VKT US'!$B$63:$AA$113,(F$223+1),FALSE)/VLOOKUP($A249,'Fuel economy adjusted factor'!$A$2:$G$52,7,FALSE)*VLOOKUP($A249,'US Grid mix, emissions&amp;prices'!$AE$2:$AI$52,5,FALSE)/(1+$AZ$41)^F$223</f>
        <v>1529.1421543100378</v>
      </c>
      <c r="G249" s="106">
        <f>VLOOKUP($A249,'VKT US'!$B$63:$AA$113,(G$223+1),FALSE)/VLOOKUP($A249,'Fuel economy adjusted factor'!$A$2:$G$52,7,FALSE)*VLOOKUP($A249,'US Grid mix, emissions&amp;prices'!$AE$2:$AI$52,5,FALSE)/(1+$AZ$41)^G$223</f>
        <v>1467.0967660667095</v>
      </c>
      <c r="H249" s="106">
        <f>VLOOKUP($A249,'VKT US'!$B$63:$AA$113,(H$223+1),FALSE)/VLOOKUP($A249,'Fuel economy adjusted factor'!$A$2:$G$52,7,FALSE)*VLOOKUP($A249,'US Grid mix, emissions&amp;prices'!$AE$2:$AI$52,5,FALSE)/(1+$AZ$41)^H$223</f>
        <v>1407.7663779249183</v>
      </c>
      <c r="I249" s="106">
        <f>VLOOKUP($A249,'VKT US'!$B$63:$AA$113,(I$223+1),FALSE)/VLOOKUP($A249,'Fuel economy adjusted factor'!$A$2:$G$52,7,FALSE)*VLOOKUP($A249,'US Grid mix, emissions&amp;prices'!$AE$2:$AI$52,5,FALSE)/(1+$AZ$41)^I$223</f>
        <v>1351.3182441024796</v>
      </c>
      <c r="J249" s="106">
        <f>VLOOKUP($A249,'VKT US'!$B$63:$AA$113,(J$223+1),FALSE)/VLOOKUP($A249,'Fuel economy adjusted factor'!$A$2:$G$52,7,FALSE)*VLOOKUP($A249,'US Grid mix, emissions&amp;prices'!$AE$2:$AI$52,5,FALSE)/(1+$AZ$41)^J$223</f>
        <v>1297.6724142760881</v>
      </c>
      <c r="K249" s="106">
        <f>VLOOKUP($A249,'VKT US'!$B$63:$AA$113,(K$223+1),FALSE)/VLOOKUP($A249,'Fuel economy adjusted factor'!$A$2:$G$52,7,FALSE)*VLOOKUP($A249,'US Grid mix, emissions&amp;prices'!$AE$2:$AI$52,5,FALSE)/(1+$AZ$41)^K$223</f>
        <v>1246.7506653439407</v>
      </c>
      <c r="L249" s="106">
        <f>VLOOKUP($A249,'VKT US'!$B$63:$AA$113,(L$223+1),FALSE)/VLOOKUP($A249,'Fuel economy adjusted factor'!$A$2:$G$52,7,FALSE)*VLOOKUP($A249,'US Grid mix, emissions&amp;prices'!$AE$2:$AI$52,5,FALSE)/(1+$AZ$41)^L$223</f>
        <v>1198.3605845015204</v>
      </c>
      <c r="M249" s="106">
        <f>VLOOKUP($A249,'VKT US'!$B$63:$AA$113,(M$223+1),FALSE)/VLOOKUP($A249,'Fuel economy adjusted factor'!$A$2:$G$52,7,FALSE)*VLOOKUP($A249,'US Grid mix, emissions&amp;prices'!$AE$2:$AI$52,5,FALSE)/(1+$AZ$41)^M$223</f>
        <v>1152.5459387273233</v>
      </c>
      <c r="N249" s="106">
        <f>VLOOKUP($A249,'VKT US'!$B$63:$AA$113,(N$223+1),FALSE)/VLOOKUP($A249,'Fuel economy adjusted factor'!$A$2:$G$52,7,FALSE)*VLOOKUP($A249,'US Grid mix, emissions&amp;prices'!$AE$2:$AI$52,5,FALSE)/(1+$AZ$41)^N$223</f>
        <v>1109.1202923492579</v>
      </c>
      <c r="O249" s="106">
        <f>VLOOKUP($A249,'VKT US'!$B$63:$AA$113,(O$223+1),FALSE)/VLOOKUP($A249,'Fuel economy adjusted factor'!$A$2:$G$52,7,FALSE)*VLOOKUP($A249,'US Grid mix, emissions&amp;prices'!$AE$2:$AI$52,5,FALSE)/(1+$AZ$41)^O$223</f>
        <v>1068.1277992807452</v>
      </c>
      <c r="P249" s="106">
        <f>VLOOKUP($A249,'VKT US'!$B$63:$AA$113,(P$223+1),FALSE)/VLOOKUP($A249,'Fuel economy adjusted factor'!$A$2:$G$52,7,FALSE)*VLOOKUP($A249,'US Grid mix, emissions&amp;prices'!$AE$2:$AI$52,5,FALSE)/(1+$AZ$41)^P$223</f>
        <v>1029.3878157906129</v>
      </c>
      <c r="Q249" s="106">
        <f>VLOOKUP($A249,'VKT US'!$B$63:$AA$113,(Q$223+1),FALSE)/VLOOKUP($A249,'Fuel economy adjusted factor'!$A$2:$G$52,7,FALSE)*VLOOKUP($A249,'US Grid mix, emissions&amp;prices'!$AE$2:$AI$52,5,FALSE)/(1+$AZ$41)^Q$223</f>
        <v>993.0540047742445</v>
      </c>
      <c r="R249" s="106">
        <f>VLOOKUP($A249,'VKT US'!$B$63:$AA$113,(R$223+1),FALSE)/VLOOKUP($A249,'Fuel economy adjusted factor'!$A$2:$G$52,7,FALSE)*VLOOKUP($A249,'US Grid mix, emissions&amp;prices'!$AE$2:$AI$52,5,FALSE)/(1+$AZ$41)^R$223</f>
        <v>958.73169073457007</v>
      </c>
      <c r="S249" s="106">
        <f>VLOOKUP($A249,'VKT US'!$B$63:$AA$113,(S$223+1),FALSE)/VLOOKUP($A249,'Fuel economy adjusted factor'!$A$2:$G$52,7,FALSE)*VLOOKUP($A249,'US Grid mix, emissions&amp;prices'!$AE$2:$AI$52,5,FALSE)/(1+$AZ$41)^S$223</f>
        <v>926.68273144407544</v>
      </c>
      <c r="T249" s="106">
        <f>VLOOKUP($A249,'VKT US'!$B$63:$AA$113,(T$223+1),FALSE)/VLOOKUP($A249,'Fuel economy adjusted factor'!$A$2:$G$52,7,FALSE)*VLOOKUP($A249,'US Grid mix, emissions&amp;prices'!$AE$2:$AI$52,5,FALSE)/(1+$AZ$41)^T$223</f>
        <v>896.52306764023535</v>
      </c>
      <c r="U249" s="109">
        <f>VLOOKUP($A249,'VKT US'!$B$63:$AA$113,(U$223+1),FALSE)/VLOOKUP($A249,'Fuel economy adjusted factor'!$A$2:$G$52,7,FALSE)*VLOOKUP($A249,'US Grid mix, emissions&amp;prices'!$AE$2:$AI$52,5,FALSE)/(1+$AZ$41)^U$223</f>
        <v>868.50967527144894</v>
      </c>
      <c r="V249" s="110" cm="1">
        <f t="array" ref="V249">SUMPRODUCT(INDEX(B249:U249,,_xlfn.SEQUENCE($AZ$13)))</f>
        <v>19627.425691045726</v>
      </c>
    </row>
    <row r="250" spans="1:22" x14ac:dyDescent="0.25">
      <c r="A250" s="102" t="s">
        <v>211</v>
      </c>
      <c r="B250" s="106">
        <f>VLOOKUP($A250,'VKT US'!$B$63:$AA$113,(B$223+1),FALSE)/VLOOKUP($A250,'Fuel economy adjusted factor'!$A$2:$G$52,7,FALSE)*VLOOKUP($A250,'US Grid mix, emissions&amp;prices'!$AE$2:$AI$52,5,FALSE)/(1+$AZ$41)^B$223</f>
        <v>1665.3861984097055</v>
      </c>
      <c r="C250" s="106">
        <f>VLOOKUP($A250,'VKT US'!$B$63:$AA$113,(C$223+1),FALSE)/VLOOKUP($A250,'Fuel economy adjusted factor'!$A$2:$G$52,7,FALSE)*VLOOKUP($A250,'US Grid mix, emissions&amp;prices'!$AE$2:$AI$52,5,FALSE)/(1+$AZ$41)^C$223</f>
        <v>1596.6923132792317</v>
      </c>
      <c r="D250" s="106">
        <f>VLOOKUP($A250,'VKT US'!$B$63:$AA$113,(D$223+1),FALSE)/VLOOKUP($A250,'Fuel economy adjusted factor'!$A$2:$G$52,7,FALSE)*VLOOKUP($A250,'US Grid mix, emissions&amp;prices'!$AE$2:$AI$52,5,FALSE)/(1+$AZ$41)^D$223</f>
        <v>1530.919476510627</v>
      </c>
      <c r="E250" s="106">
        <f>VLOOKUP($A250,'VKT US'!$B$63:$AA$113,(E$223+1),FALSE)/VLOOKUP($A250,'Fuel economy adjusted factor'!$A$2:$G$52,7,FALSE)*VLOOKUP($A250,'US Grid mix, emissions&amp;prices'!$AE$2:$AI$52,5,FALSE)/(1+$AZ$41)^E$223</f>
        <v>1468.1059776144207</v>
      </c>
      <c r="F250" s="106">
        <f>VLOOKUP($A250,'VKT US'!$B$63:$AA$113,(F$223+1),FALSE)/VLOOKUP($A250,'Fuel economy adjusted factor'!$A$2:$G$52,7,FALSE)*VLOOKUP($A250,'US Grid mix, emissions&amp;prices'!$AE$2:$AI$52,5,FALSE)/(1+$AZ$41)^F$223</f>
        <v>1408.0570003366322</v>
      </c>
      <c r="G250" s="106">
        <f>VLOOKUP($A250,'VKT US'!$B$63:$AA$113,(G$223+1),FALSE)/VLOOKUP($A250,'Fuel economy adjusted factor'!$A$2:$G$52,7,FALSE)*VLOOKUP($A250,'US Grid mix, emissions&amp;prices'!$AE$2:$AI$52,5,FALSE)/(1+$AZ$41)^G$223</f>
        <v>1350.9246774794146</v>
      </c>
      <c r="H250" s="106">
        <f>VLOOKUP($A250,'VKT US'!$B$63:$AA$113,(H$223+1),FALSE)/VLOOKUP($A250,'Fuel economy adjusted factor'!$A$2:$G$52,7,FALSE)*VLOOKUP($A250,'US Grid mix, emissions&amp;prices'!$AE$2:$AI$52,5,FALSE)/(1+$AZ$41)^H$223</f>
        <v>1296.2923673830178</v>
      </c>
      <c r="I250" s="106">
        <f>VLOOKUP($A250,'VKT US'!$B$63:$AA$113,(I$223+1),FALSE)/VLOOKUP($A250,'Fuel economy adjusted factor'!$A$2:$G$52,7,FALSE)*VLOOKUP($A250,'US Grid mix, emissions&amp;prices'!$AE$2:$AI$52,5,FALSE)/(1+$AZ$41)^I$223</f>
        <v>1244.3140802364658</v>
      </c>
      <c r="J250" s="106">
        <f>VLOOKUP($A250,'VKT US'!$B$63:$AA$113,(J$223+1),FALSE)/VLOOKUP($A250,'Fuel economy adjusted factor'!$A$2:$G$52,7,FALSE)*VLOOKUP($A250,'US Grid mix, emissions&amp;prices'!$AE$2:$AI$52,5,FALSE)/(1+$AZ$41)^J$223</f>
        <v>1194.9161965845035</v>
      </c>
      <c r="K250" s="106">
        <f>VLOOKUP($A250,'VKT US'!$B$63:$AA$113,(K$223+1),FALSE)/VLOOKUP($A250,'Fuel economy adjusted factor'!$A$2:$G$52,7,FALSE)*VLOOKUP($A250,'US Grid mix, emissions&amp;prices'!$AE$2:$AI$52,5,FALSE)/(1+$AZ$41)^K$223</f>
        <v>1148.0266874233055</v>
      </c>
      <c r="L250" s="106">
        <f>VLOOKUP($A250,'VKT US'!$B$63:$AA$113,(L$223+1),FALSE)/VLOOKUP($A250,'Fuel economy adjusted factor'!$A$2:$G$52,7,FALSE)*VLOOKUP($A250,'US Grid mix, emissions&amp;prices'!$AE$2:$AI$52,5,FALSE)/(1+$AZ$41)^L$223</f>
        <v>1103.4683761603678</v>
      </c>
      <c r="M250" s="106">
        <f>VLOOKUP($A250,'VKT US'!$B$63:$AA$113,(M$223+1),FALSE)/VLOOKUP($A250,'Fuel economy adjusted factor'!$A$2:$G$52,7,FALSE)*VLOOKUP($A250,'US Grid mix, emissions&amp;prices'!$AE$2:$AI$52,5,FALSE)/(1+$AZ$41)^M$223</f>
        <v>1061.2815640850652</v>
      </c>
      <c r="N250" s="106">
        <f>VLOOKUP($A250,'VKT US'!$B$63:$AA$113,(N$223+1),FALSE)/VLOOKUP($A250,'Fuel economy adjusted factor'!$A$2:$G$52,7,FALSE)*VLOOKUP($A250,'US Grid mix, emissions&amp;prices'!$AE$2:$AI$52,5,FALSE)/(1+$AZ$41)^N$223</f>
        <v>1021.2945784379606</v>
      </c>
      <c r="O250" s="106">
        <f>VLOOKUP($A250,'VKT US'!$B$63:$AA$113,(O$223+1),FALSE)/VLOOKUP($A250,'Fuel economy adjusted factor'!$A$2:$G$52,7,FALSE)*VLOOKUP($A250,'US Grid mix, emissions&amp;prices'!$AE$2:$AI$52,5,FALSE)/(1+$AZ$41)^O$223</f>
        <v>983.54807680390275</v>
      </c>
      <c r="P250" s="106">
        <f>VLOOKUP($A250,'VKT US'!$B$63:$AA$113,(P$223+1),FALSE)/VLOOKUP($A250,'Fuel economy adjusted factor'!$A$2:$G$52,7,FALSE)*VLOOKUP($A250,'US Grid mix, emissions&amp;prices'!$AE$2:$AI$52,5,FALSE)/(1+$AZ$41)^P$223</f>
        <v>947.87571972941032</v>
      </c>
      <c r="Q250" s="106">
        <f>VLOOKUP($A250,'VKT US'!$B$63:$AA$113,(Q$223+1),FALSE)/VLOOKUP($A250,'Fuel economy adjusted factor'!$A$2:$G$52,7,FALSE)*VLOOKUP($A250,'US Grid mix, emissions&amp;prices'!$AE$2:$AI$52,5,FALSE)/(1+$AZ$41)^Q$223</f>
        <v>914.41900231023124</v>
      </c>
      <c r="R250" s="106">
        <f>VLOOKUP($A250,'VKT US'!$B$63:$AA$113,(R$223+1),FALSE)/VLOOKUP($A250,'Fuel economy adjusted factor'!$A$2:$G$52,7,FALSE)*VLOOKUP($A250,'US Grid mix, emissions&amp;prices'!$AE$2:$AI$52,5,FALSE)/(1+$AZ$41)^R$223</f>
        <v>882.81450143691529</v>
      </c>
      <c r="S250" s="106">
        <f>VLOOKUP($A250,'VKT US'!$B$63:$AA$113,(S$223+1),FALSE)/VLOOKUP($A250,'Fuel economy adjusted factor'!$A$2:$G$52,7,FALSE)*VLOOKUP($A250,'US Grid mix, emissions&amp;prices'!$AE$2:$AI$52,5,FALSE)/(1+$AZ$41)^S$223</f>
        <v>853.30333966867124</v>
      </c>
      <c r="T250" s="106">
        <f>VLOOKUP($A250,'VKT US'!$B$63:$AA$113,(T$223+1),FALSE)/VLOOKUP($A250,'Fuel economy adjusted factor'!$A$2:$G$52,7,FALSE)*VLOOKUP($A250,'US Grid mix, emissions&amp;prices'!$AE$2:$AI$52,5,FALSE)/(1+$AZ$41)^T$223</f>
        <v>825.53186948383564</v>
      </c>
      <c r="U250" s="109">
        <f>VLOOKUP($A250,'VKT US'!$B$63:$AA$113,(U$223+1),FALSE)/VLOOKUP($A250,'Fuel economy adjusted factor'!$A$2:$G$52,7,FALSE)*VLOOKUP($A250,'US Grid mix, emissions&amp;prices'!$AE$2:$AI$52,5,FALSE)/(1+$AZ$41)^U$223</f>
        <v>799.73671818487458</v>
      </c>
      <c r="V250" s="110" cm="1">
        <f t="array" ref="V250">SUMPRODUCT(INDEX(B250:U250,,_xlfn.SEQUENCE($AZ$13)))</f>
        <v>18073.227570744617</v>
      </c>
    </row>
    <row r="251" spans="1:22" x14ac:dyDescent="0.25">
      <c r="A251" s="102" t="s">
        <v>215</v>
      </c>
      <c r="B251" s="106">
        <f>VLOOKUP($A251,'VKT US'!$B$63:$AA$113,(B$223+1),FALSE)/VLOOKUP($A251,'Fuel economy adjusted factor'!$A$2:$G$52,7,FALSE)*VLOOKUP($A251,'US Grid mix, emissions&amp;prices'!$AE$2:$AI$52,5,FALSE)/(1+$AZ$41)^B$223</f>
        <v>1560.2653348803162</v>
      </c>
      <c r="C251" s="106">
        <f>VLOOKUP($A251,'VKT US'!$B$63:$AA$113,(C$223+1),FALSE)/VLOOKUP($A251,'Fuel economy adjusted factor'!$A$2:$G$52,7,FALSE)*VLOOKUP($A251,'US Grid mix, emissions&amp;prices'!$AE$2:$AI$52,5,FALSE)/(1+$AZ$41)^C$223</f>
        <v>1495.9074773517286</v>
      </c>
      <c r="D251" s="106">
        <f>VLOOKUP($A251,'VKT US'!$B$63:$AA$113,(D$223+1),FALSE)/VLOOKUP($A251,'Fuel economy adjusted factor'!$A$2:$G$52,7,FALSE)*VLOOKUP($A251,'US Grid mix, emissions&amp;prices'!$AE$2:$AI$52,5,FALSE)/(1+$AZ$41)^D$223</f>
        <v>1434.2862886540006</v>
      </c>
      <c r="E251" s="106">
        <f>VLOOKUP($A251,'VKT US'!$B$63:$AA$113,(E$223+1),FALSE)/VLOOKUP($A251,'Fuel economy adjusted factor'!$A$2:$G$52,7,FALSE)*VLOOKUP($A251,'US Grid mix, emissions&amp;prices'!$AE$2:$AI$52,5,FALSE)/(1+$AZ$41)^E$223</f>
        <v>1375.4376414249796</v>
      </c>
      <c r="F251" s="106">
        <f>VLOOKUP($A251,'VKT US'!$B$63:$AA$113,(F$223+1),FALSE)/VLOOKUP($A251,'Fuel economy adjusted factor'!$A$2:$G$52,7,FALSE)*VLOOKUP($A251,'US Grid mix, emissions&amp;prices'!$AE$2:$AI$52,5,FALSE)/(1+$AZ$41)^F$223</f>
        <v>1319.1790164099427</v>
      </c>
      <c r="G251" s="106">
        <f>VLOOKUP($A251,'VKT US'!$B$63:$AA$113,(G$223+1),FALSE)/VLOOKUP($A251,'Fuel economy adjusted factor'!$A$2:$G$52,7,FALSE)*VLOOKUP($A251,'US Grid mix, emissions&amp;prices'!$AE$2:$AI$52,5,FALSE)/(1+$AZ$41)^G$223</f>
        <v>1265.6529436344936</v>
      </c>
      <c r="H251" s="106">
        <f>VLOOKUP($A251,'VKT US'!$B$63:$AA$113,(H$223+1),FALSE)/VLOOKUP($A251,'Fuel economy adjusted factor'!$A$2:$G$52,7,FALSE)*VLOOKUP($A251,'US Grid mix, emissions&amp;prices'!$AE$2:$AI$52,5,FALSE)/(1+$AZ$41)^H$223</f>
        <v>1214.469080282415</v>
      </c>
      <c r="I251" s="106">
        <f>VLOOKUP($A251,'VKT US'!$B$63:$AA$113,(I$223+1),FALSE)/VLOOKUP($A251,'Fuel economy adjusted factor'!$A$2:$G$52,7,FALSE)*VLOOKUP($A251,'US Grid mix, emissions&amp;prices'!$AE$2:$AI$52,5,FALSE)/(1+$AZ$41)^I$223</f>
        <v>1165.7717152636203</v>
      </c>
      <c r="J251" s="106">
        <f>VLOOKUP($A251,'VKT US'!$B$63:$AA$113,(J$223+1),FALSE)/VLOOKUP($A251,'Fuel economy adjusted factor'!$A$2:$G$52,7,FALSE)*VLOOKUP($A251,'US Grid mix, emissions&amp;prices'!$AE$2:$AI$52,5,FALSE)/(1+$AZ$41)^J$223</f>
        <v>1119.4918760574312</v>
      </c>
      <c r="K251" s="106">
        <f>VLOOKUP($A251,'VKT US'!$B$63:$AA$113,(K$223+1),FALSE)/VLOOKUP($A251,'Fuel economy adjusted factor'!$A$2:$G$52,7,FALSE)*VLOOKUP($A251,'US Grid mix, emissions&amp;prices'!$AE$2:$AI$52,5,FALSE)/(1+$AZ$41)^K$223</f>
        <v>1075.5620802036933</v>
      </c>
      <c r="L251" s="106">
        <f>VLOOKUP($A251,'VKT US'!$B$63:$AA$113,(L$223+1),FALSE)/VLOOKUP($A251,'Fuel economy adjusted factor'!$A$2:$G$52,7,FALSE)*VLOOKUP($A251,'US Grid mix, emissions&amp;prices'!$AE$2:$AI$52,5,FALSE)/(1+$AZ$41)^L$223</f>
        <v>1033.8163346758652</v>
      </c>
      <c r="M251" s="106">
        <f>VLOOKUP($A251,'VKT US'!$B$63:$AA$113,(M$223+1),FALSE)/VLOOKUP($A251,'Fuel economy adjusted factor'!$A$2:$G$52,7,FALSE)*VLOOKUP($A251,'US Grid mix, emissions&amp;prices'!$AE$2:$AI$52,5,FALSE)/(1+$AZ$41)^M$223</f>
        <v>994.29239690511895</v>
      </c>
      <c r="N251" s="106">
        <f>VLOOKUP($A251,'VKT US'!$B$63:$AA$113,(N$223+1),FALSE)/VLOOKUP($A251,'Fuel economy adjusted factor'!$A$2:$G$52,7,FALSE)*VLOOKUP($A251,'US Grid mix, emissions&amp;prices'!$AE$2:$AI$52,5,FALSE)/(1+$AZ$41)^N$223</f>
        <v>956.82943029046157</v>
      </c>
      <c r="O251" s="106">
        <f>VLOOKUP($A251,'VKT US'!$B$63:$AA$113,(O$223+1),FALSE)/VLOOKUP($A251,'Fuel economy adjusted factor'!$A$2:$G$52,7,FALSE)*VLOOKUP($A251,'US Grid mix, emissions&amp;prices'!$AE$2:$AI$52,5,FALSE)/(1+$AZ$41)^O$223</f>
        <v>921.46552606880857</v>
      </c>
      <c r="P251" s="106">
        <f>VLOOKUP($A251,'VKT US'!$B$63:$AA$113,(P$223+1),FALSE)/VLOOKUP($A251,'Fuel economy adjusted factor'!$A$2:$G$52,7,FALSE)*VLOOKUP($A251,'US Grid mix, emissions&amp;prices'!$AE$2:$AI$52,5,FALSE)/(1+$AZ$41)^P$223</f>
        <v>888.04484430144942</v>
      </c>
      <c r="Q251" s="106">
        <f>VLOOKUP($A251,'VKT US'!$B$63:$AA$113,(Q$223+1),FALSE)/VLOOKUP($A251,'Fuel economy adjusted factor'!$A$2:$G$52,7,FALSE)*VLOOKUP($A251,'US Grid mix, emissions&amp;prices'!$AE$2:$AI$52,5,FALSE)/(1+$AZ$41)^Q$223</f>
        <v>856.699948770383</v>
      </c>
      <c r="R251" s="106">
        <f>VLOOKUP($A251,'VKT US'!$B$63:$AA$113,(R$223+1),FALSE)/VLOOKUP($A251,'Fuel economy adjusted factor'!$A$2:$G$52,7,FALSE)*VLOOKUP($A251,'US Grid mix, emissions&amp;prices'!$AE$2:$AI$52,5,FALSE)/(1+$AZ$41)^R$223</f>
        <v>827.09035600089965</v>
      </c>
      <c r="S251" s="106">
        <f>VLOOKUP($A251,'VKT US'!$B$63:$AA$113,(S$223+1),FALSE)/VLOOKUP($A251,'Fuel economy adjusted factor'!$A$2:$G$52,7,FALSE)*VLOOKUP($A251,'US Grid mix, emissions&amp;prices'!$AE$2:$AI$52,5,FALSE)/(1+$AZ$41)^S$223</f>
        <v>799.44196865206402</v>
      </c>
      <c r="T251" s="106">
        <f>VLOOKUP($A251,'VKT US'!$B$63:$AA$113,(T$223+1),FALSE)/VLOOKUP($A251,'Fuel economy adjusted factor'!$A$2:$G$52,7,FALSE)*VLOOKUP($A251,'US Grid mix, emissions&amp;prices'!$AE$2:$AI$52,5,FALSE)/(1+$AZ$41)^T$223</f>
        <v>773.42346179195056</v>
      </c>
      <c r="U251" s="109">
        <f>VLOOKUP($A251,'VKT US'!$B$63:$AA$113,(U$223+1),FALSE)/VLOOKUP($A251,'Fuel economy adjusted factor'!$A$2:$G$52,7,FALSE)*VLOOKUP($A251,'US Grid mix, emissions&amp;prices'!$AE$2:$AI$52,5,FALSE)/(1+$AZ$41)^U$223</f>
        <v>749.25652656804004</v>
      </c>
      <c r="V251" s="110" cm="1">
        <f t="array" ref="V251">SUMPRODUCT(INDEX(B251:U251,,_xlfn.SEQUENCE($AZ$13)))</f>
        <v>16932.427142102872</v>
      </c>
    </row>
    <row r="252" spans="1:22" x14ac:dyDescent="0.25">
      <c r="A252" s="102" t="s">
        <v>212</v>
      </c>
      <c r="B252" s="106">
        <f>VLOOKUP($A252,'VKT US'!$B$63:$AA$113,(B$223+1),FALSE)/VLOOKUP($A252,'Fuel economy adjusted factor'!$A$2:$G$52,7,FALSE)*VLOOKUP($A252,'US Grid mix, emissions&amp;prices'!$AE$2:$AI$52,5,FALSE)/(1+$AZ$41)^B$223</f>
        <v>1309.0495943822295</v>
      </c>
      <c r="C252" s="106">
        <f>VLOOKUP($A252,'VKT US'!$B$63:$AA$113,(C$223+1),FALSE)/VLOOKUP($A252,'Fuel economy adjusted factor'!$A$2:$G$52,7,FALSE)*VLOOKUP($A252,'US Grid mix, emissions&amp;prices'!$AE$2:$AI$52,5,FALSE)/(1+$AZ$41)^C$223</f>
        <v>1255.0538890302482</v>
      </c>
      <c r="D252" s="106">
        <f>VLOOKUP($A252,'VKT US'!$B$63:$AA$113,(D$223+1),FALSE)/VLOOKUP($A252,'Fuel economy adjusted factor'!$A$2:$G$52,7,FALSE)*VLOOKUP($A252,'US Grid mix, emissions&amp;prices'!$AE$2:$AI$52,5,FALSE)/(1+$AZ$41)^D$223</f>
        <v>1203.3542259878091</v>
      </c>
      <c r="E252" s="106">
        <f>VLOOKUP($A252,'VKT US'!$B$63:$AA$113,(E$223+1),FALSE)/VLOOKUP($A252,'Fuel economy adjusted factor'!$A$2:$G$52,7,FALSE)*VLOOKUP($A252,'US Grid mix, emissions&amp;prices'!$AE$2:$AI$52,5,FALSE)/(1+$AZ$41)^E$223</f>
        <v>1153.98070209868</v>
      </c>
      <c r="F252" s="106">
        <f>VLOOKUP($A252,'VKT US'!$B$63:$AA$113,(F$223+1),FALSE)/VLOOKUP($A252,'Fuel economy adjusted factor'!$A$2:$G$52,7,FALSE)*VLOOKUP($A252,'US Grid mix, emissions&amp;prices'!$AE$2:$AI$52,5,FALSE)/(1+$AZ$41)^F$223</f>
        <v>1106.7801852314094</v>
      </c>
      <c r="G252" s="106">
        <f>VLOOKUP($A252,'VKT US'!$B$63:$AA$113,(G$223+1),FALSE)/VLOOKUP($A252,'Fuel economy adjusted factor'!$A$2:$G$52,7,FALSE)*VLOOKUP($A252,'US Grid mix, emissions&amp;prices'!$AE$2:$AI$52,5,FALSE)/(1+$AZ$41)^G$223</f>
        <v>1061.8722568879587</v>
      </c>
      <c r="H252" s="106">
        <f>VLOOKUP($A252,'VKT US'!$B$63:$AA$113,(H$223+1),FALSE)/VLOOKUP($A252,'Fuel economy adjusted factor'!$A$2:$G$52,7,FALSE)*VLOOKUP($A252,'US Grid mix, emissions&amp;prices'!$AE$2:$AI$52,5,FALSE)/(1+$AZ$41)^H$223</f>
        <v>1018.9294227032246</v>
      </c>
      <c r="I252" s="106">
        <f>VLOOKUP($A252,'VKT US'!$B$63:$AA$113,(I$223+1),FALSE)/VLOOKUP($A252,'Fuel economy adjusted factor'!$A$2:$G$52,7,FALSE)*VLOOKUP($A252,'US Grid mix, emissions&amp;prices'!$AE$2:$AI$52,5,FALSE)/(1+$AZ$41)^I$223</f>
        <v>978.07273986842563</v>
      </c>
      <c r="J252" s="106">
        <f>VLOOKUP($A252,'VKT US'!$B$63:$AA$113,(J$223+1),FALSE)/VLOOKUP($A252,'Fuel economy adjusted factor'!$A$2:$G$52,7,FALSE)*VLOOKUP($A252,'US Grid mix, emissions&amp;prices'!$AE$2:$AI$52,5,FALSE)/(1+$AZ$41)^J$223</f>
        <v>939.24434101433985</v>
      </c>
      <c r="K252" s="106">
        <f>VLOOKUP($A252,'VKT US'!$B$63:$AA$113,(K$223+1),FALSE)/VLOOKUP($A252,'Fuel economy adjusted factor'!$A$2:$G$52,7,FALSE)*VLOOKUP($A252,'US Grid mix, emissions&amp;prices'!$AE$2:$AI$52,5,FALSE)/(1+$AZ$41)^K$223</f>
        <v>902.38760892008975</v>
      </c>
      <c r="L252" s="106">
        <f>VLOOKUP($A252,'VKT US'!$B$63:$AA$113,(L$223+1),FALSE)/VLOOKUP($A252,'Fuel economy adjusted factor'!$A$2:$G$52,7,FALSE)*VLOOKUP($A252,'US Grid mix, emissions&amp;prices'!$AE$2:$AI$52,5,FALSE)/(1+$AZ$41)^L$223</f>
        <v>867.36327682174249</v>
      </c>
      <c r="M252" s="106">
        <f>VLOOKUP($A252,'VKT US'!$B$63:$AA$113,(M$223+1),FALSE)/VLOOKUP($A252,'Fuel economy adjusted factor'!$A$2:$G$52,7,FALSE)*VLOOKUP($A252,'US Grid mix, emissions&amp;prices'!$AE$2:$AI$52,5,FALSE)/(1+$AZ$41)^M$223</f>
        <v>834.20302288893765</v>
      </c>
      <c r="N252" s="106">
        <f>VLOOKUP($A252,'VKT US'!$B$63:$AA$113,(N$223+1),FALSE)/VLOOKUP($A252,'Fuel economy adjusted factor'!$A$2:$G$52,7,FALSE)*VLOOKUP($A252,'US Grid mix, emissions&amp;prices'!$AE$2:$AI$52,5,FALSE)/(1+$AZ$41)^N$223</f>
        <v>802.77190655574407</v>
      </c>
      <c r="O252" s="106">
        <f>VLOOKUP($A252,'VKT US'!$B$63:$AA$113,(O$223+1),FALSE)/VLOOKUP($A252,'Fuel economy adjusted factor'!$A$2:$G$52,7,FALSE)*VLOOKUP($A252,'US Grid mix, emissions&amp;prices'!$AE$2:$AI$52,5,FALSE)/(1+$AZ$41)^O$223</f>
        <v>773.10188605203427</v>
      </c>
      <c r="P252" s="106">
        <f>VLOOKUP($A252,'VKT US'!$B$63:$AA$113,(P$223+1),FALSE)/VLOOKUP($A252,'Fuel economy adjusted factor'!$A$2:$G$52,7,FALSE)*VLOOKUP($A252,'US Grid mix, emissions&amp;prices'!$AE$2:$AI$52,5,FALSE)/(1+$AZ$41)^P$223</f>
        <v>745.06221296983063</v>
      </c>
      <c r="Q252" s="106">
        <f>VLOOKUP($A252,'VKT US'!$B$63:$AA$113,(Q$223+1),FALSE)/VLOOKUP($A252,'Fuel economy adjusted factor'!$A$2:$G$52,7,FALSE)*VLOOKUP($A252,'US Grid mix, emissions&amp;prices'!$AE$2:$AI$52,5,FALSE)/(1+$AZ$41)^Q$223</f>
        <v>718.76410721588638</v>
      </c>
      <c r="R252" s="106">
        <f>VLOOKUP($A252,'VKT US'!$B$63:$AA$113,(R$223+1),FALSE)/VLOOKUP($A252,'Fuel economy adjusted factor'!$A$2:$G$52,7,FALSE)*VLOOKUP($A252,'US Grid mix, emissions&amp;prices'!$AE$2:$AI$52,5,FALSE)/(1+$AZ$41)^R$223</f>
        <v>693.92190599650951</v>
      </c>
      <c r="S252" s="106">
        <f>VLOOKUP($A252,'VKT US'!$B$63:$AA$113,(S$223+1),FALSE)/VLOOKUP($A252,'Fuel economy adjusted factor'!$A$2:$G$52,7,FALSE)*VLOOKUP($A252,'US Grid mix, emissions&amp;prices'!$AE$2:$AI$52,5,FALSE)/(1+$AZ$41)^S$223</f>
        <v>670.72513975732841</v>
      </c>
      <c r="T252" s="106">
        <f>VLOOKUP($A252,'VKT US'!$B$63:$AA$113,(T$223+1),FALSE)/VLOOKUP($A252,'Fuel economy adjusted factor'!$A$2:$G$52,7,FALSE)*VLOOKUP($A252,'US Grid mix, emissions&amp;prices'!$AE$2:$AI$52,5,FALSE)/(1+$AZ$41)^T$223</f>
        <v>648.89582964561259</v>
      </c>
      <c r="U252" s="109">
        <f>VLOOKUP($A252,'VKT US'!$B$63:$AA$113,(U$223+1),FALSE)/VLOOKUP($A252,'Fuel economy adjusted factor'!$A$2:$G$52,7,FALSE)*VLOOKUP($A252,'US Grid mix, emissions&amp;prices'!$AE$2:$AI$52,5,FALSE)/(1+$AZ$41)^U$223</f>
        <v>628.6199726839194</v>
      </c>
      <c r="V252" s="110" cm="1">
        <f t="array" ref="V252">SUMPRODUCT(INDEX(B252:U252,,_xlfn.SEQUENCE($AZ$13)))</f>
        <v>14206.165058442873</v>
      </c>
    </row>
    <row r="253" spans="1:22" x14ac:dyDescent="0.25">
      <c r="A253" s="102" t="s">
        <v>213</v>
      </c>
      <c r="B253" s="106">
        <f>VLOOKUP($A253,'VKT US'!$B$63:$AA$113,(B$223+1),FALSE)/VLOOKUP($A253,'Fuel economy adjusted factor'!$A$2:$G$52,7,FALSE)*VLOOKUP($A253,'US Grid mix, emissions&amp;prices'!$AE$2:$AI$52,5,FALSE)/(1+$AZ$41)^B$223</f>
        <v>1358.5514499923224</v>
      </c>
      <c r="C253" s="106">
        <f>VLOOKUP($A253,'VKT US'!$B$63:$AA$113,(C$223+1),FALSE)/VLOOKUP($A253,'Fuel economy adjusted factor'!$A$2:$G$52,7,FALSE)*VLOOKUP($A253,'US Grid mix, emissions&amp;prices'!$AE$2:$AI$52,5,FALSE)/(1+$AZ$41)^C$223</f>
        <v>1302.513891053304</v>
      </c>
      <c r="D253" s="106">
        <f>VLOOKUP($A253,'VKT US'!$B$63:$AA$113,(D$223+1),FALSE)/VLOOKUP($A253,'Fuel economy adjusted factor'!$A$2:$G$52,7,FALSE)*VLOOKUP($A253,'US Grid mix, emissions&amp;prices'!$AE$2:$AI$52,5,FALSE)/(1+$AZ$41)^D$223</f>
        <v>1248.8591995184379</v>
      </c>
      <c r="E253" s="106">
        <f>VLOOKUP($A253,'VKT US'!$B$63:$AA$113,(E$223+1),FALSE)/VLOOKUP($A253,'Fuel economy adjusted factor'!$A$2:$G$52,7,FALSE)*VLOOKUP($A253,'US Grid mix, emissions&amp;prices'!$AE$2:$AI$52,5,FALSE)/(1+$AZ$41)^E$223</f>
        <v>1197.6186103469774</v>
      </c>
      <c r="F253" s="106">
        <f>VLOOKUP($A253,'VKT US'!$B$63:$AA$113,(F$223+1),FALSE)/VLOOKUP($A253,'Fuel economy adjusted factor'!$A$2:$G$52,7,FALSE)*VLOOKUP($A253,'US Grid mix, emissions&amp;prices'!$AE$2:$AI$52,5,FALSE)/(1+$AZ$41)^F$223</f>
        <v>1148.6332006989348</v>
      </c>
      <c r="G253" s="106">
        <f>VLOOKUP($A253,'VKT US'!$B$63:$AA$113,(G$223+1),FALSE)/VLOOKUP($A253,'Fuel economy adjusted factor'!$A$2:$G$52,7,FALSE)*VLOOKUP($A253,'US Grid mix, emissions&amp;prices'!$AE$2:$AI$52,5,FALSE)/(1+$AZ$41)^G$223</f>
        <v>1102.0270740640319</v>
      </c>
      <c r="H253" s="106">
        <f>VLOOKUP($A253,'VKT US'!$B$63:$AA$113,(H$223+1),FALSE)/VLOOKUP($A253,'Fuel economy adjusted factor'!$A$2:$G$52,7,FALSE)*VLOOKUP($A253,'US Grid mix, emissions&amp;prices'!$AE$2:$AI$52,5,FALSE)/(1+$AZ$41)^H$223</f>
        <v>1057.460351841424</v>
      </c>
      <c r="I253" s="106">
        <f>VLOOKUP($A253,'VKT US'!$B$63:$AA$113,(I$223+1),FALSE)/VLOOKUP($A253,'Fuel economy adjusted factor'!$A$2:$G$52,7,FALSE)*VLOOKUP($A253,'US Grid mix, emissions&amp;prices'!$AE$2:$AI$52,5,FALSE)/(1+$AZ$41)^I$223</f>
        <v>1015.058669013443</v>
      </c>
      <c r="J253" s="106">
        <f>VLOOKUP($A253,'VKT US'!$B$63:$AA$113,(J$223+1),FALSE)/VLOOKUP($A253,'Fuel economy adjusted factor'!$A$2:$G$52,7,FALSE)*VLOOKUP($A253,'US Grid mix, emissions&amp;prices'!$AE$2:$AI$52,5,FALSE)/(1+$AZ$41)^J$223</f>
        <v>974.76196994988106</v>
      </c>
      <c r="K253" s="106">
        <f>VLOOKUP($A253,'VKT US'!$B$63:$AA$113,(K$223+1),FALSE)/VLOOKUP($A253,'Fuel economy adjusted factor'!$A$2:$G$52,7,FALSE)*VLOOKUP($A253,'US Grid mix, emissions&amp;prices'!$AE$2:$AI$52,5,FALSE)/(1+$AZ$41)^K$223</f>
        <v>936.5114964433734</v>
      </c>
      <c r="L253" s="106">
        <f>VLOOKUP($A253,'VKT US'!$B$63:$AA$113,(L$223+1),FALSE)/VLOOKUP($A253,'Fuel economy adjusted factor'!$A$2:$G$52,7,FALSE)*VLOOKUP($A253,'US Grid mix, emissions&amp;prices'!$AE$2:$AI$52,5,FALSE)/(1+$AZ$41)^L$223</f>
        <v>900.1627153418616</v>
      </c>
      <c r="M253" s="106">
        <f>VLOOKUP($A253,'VKT US'!$B$63:$AA$113,(M$223+1),FALSE)/VLOOKUP($A253,'Fuel economy adjusted factor'!$A$2:$G$52,7,FALSE)*VLOOKUP($A253,'US Grid mix, emissions&amp;prices'!$AE$2:$AI$52,5,FALSE)/(1+$AZ$41)^M$223</f>
        <v>865.74850272848414</v>
      </c>
      <c r="N253" s="106">
        <f>VLOOKUP($A253,'VKT US'!$B$63:$AA$113,(N$223+1),FALSE)/VLOOKUP($A253,'Fuel economy adjusted factor'!$A$2:$G$52,7,FALSE)*VLOOKUP($A253,'US Grid mix, emissions&amp;prices'!$AE$2:$AI$52,5,FALSE)/(1+$AZ$41)^N$223</f>
        <v>833.12881524484169</v>
      </c>
      <c r="O253" s="106">
        <f>VLOOKUP($A253,'VKT US'!$B$63:$AA$113,(O$223+1),FALSE)/VLOOKUP($A253,'Fuel economy adjusted factor'!$A$2:$G$52,7,FALSE)*VLOOKUP($A253,'US Grid mix, emissions&amp;prices'!$AE$2:$AI$52,5,FALSE)/(1+$AZ$41)^O$223</f>
        <v>802.33681962481364</v>
      </c>
      <c r="P253" s="106">
        <f>VLOOKUP($A253,'VKT US'!$B$63:$AA$113,(P$223+1),FALSE)/VLOOKUP($A253,'Fuel economy adjusted factor'!$A$2:$G$52,7,FALSE)*VLOOKUP($A253,'US Grid mix, emissions&amp;prices'!$AE$2:$AI$52,5,FALSE)/(1+$AZ$41)^P$223</f>
        <v>773.23682319487273</v>
      </c>
      <c r="Q253" s="106">
        <f>VLOOKUP($A253,'VKT US'!$B$63:$AA$113,(Q$223+1),FALSE)/VLOOKUP($A253,'Fuel economy adjusted factor'!$A$2:$G$52,7,FALSE)*VLOOKUP($A253,'US Grid mix, emissions&amp;prices'!$AE$2:$AI$52,5,FALSE)/(1+$AZ$41)^Q$223</f>
        <v>745.94425165488246</v>
      </c>
      <c r="R253" s="106">
        <f>VLOOKUP($A253,'VKT US'!$B$63:$AA$113,(R$223+1),FALSE)/VLOOKUP($A253,'Fuel economy adjusted factor'!$A$2:$G$52,7,FALSE)*VLOOKUP($A253,'US Grid mix, emissions&amp;prices'!$AE$2:$AI$52,5,FALSE)/(1+$AZ$41)^R$223</f>
        <v>720.16263984092166</v>
      </c>
      <c r="S253" s="106">
        <f>VLOOKUP($A253,'VKT US'!$B$63:$AA$113,(S$223+1),FALSE)/VLOOKUP($A253,'Fuel economy adjusted factor'!$A$2:$G$52,7,FALSE)*VLOOKUP($A253,'US Grid mix, emissions&amp;prices'!$AE$2:$AI$52,5,FALSE)/(1+$AZ$41)^S$223</f>
        <v>696.08868531344297</v>
      </c>
      <c r="T253" s="106">
        <f>VLOOKUP($A253,'VKT US'!$B$63:$AA$113,(T$223+1),FALSE)/VLOOKUP($A253,'Fuel economy adjusted factor'!$A$2:$G$52,7,FALSE)*VLOOKUP($A253,'US Grid mix, emissions&amp;prices'!$AE$2:$AI$52,5,FALSE)/(1+$AZ$41)^T$223</f>
        <v>673.43389741856629</v>
      </c>
      <c r="U253" s="109">
        <f>VLOOKUP($A253,'VKT US'!$B$63:$AA$113,(U$223+1),FALSE)/VLOOKUP($A253,'Fuel economy adjusted factor'!$A$2:$G$52,7,FALSE)*VLOOKUP($A253,'US Grid mix, emissions&amp;prices'!$AE$2:$AI$52,5,FALSE)/(1+$AZ$41)^U$223</f>
        <v>652.39130667688801</v>
      </c>
      <c r="V253" s="110" cm="1">
        <f t="array" ref="V253">SUMPRODUCT(INDEX(B253:U253,,_xlfn.SEQUENCE($AZ$13)))</f>
        <v>14743.37276586213</v>
      </c>
    </row>
    <row r="254" spans="1:22" x14ac:dyDescent="0.25">
      <c r="A254" s="102" t="s">
        <v>214</v>
      </c>
      <c r="B254" s="106">
        <f>VLOOKUP($A254,'VKT US'!$B$63:$AA$113,(B$223+1),FALSE)/VLOOKUP($A254,'Fuel economy adjusted factor'!$A$2:$G$52,7,FALSE)*VLOOKUP($A254,'US Grid mix, emissions&amp;prices'!$AE$2:$AI$52,5,FALSE)/(1+$AZ$41)^B$223</f>
        <v>2118.1953964444806</v>
      </c>
      <c r="C254" s="106">
        <f>VLOOKUP($A254,'VKT US'!$B$63:$AA$113,(C$223+1),FALSE)/VLOOKUP($A254,'Fuel economy adjusted factor'!$A$2:$G$52,7,FALSE)*VLOOKUP($A254,'US Grid mix, emissions&amp;prices'!$AE$2:$AI$52,5,FALSE)/(1+$AZ$41)^C$223</f>
        <v>2030.8240279377624</v>
      </c>
      <c r="D254" s="106">
        <f>VLOOKUP($A254,'VKT US'!$B$63:$AA$113,(D$223+1),FALSE)/VLOOKUP($A254,'Fuel economy adjusted factor'!$A$2:$G$52,7,FALSE)*VLOOKUP($A254,'US Grid mix, emissions&amp;prices'!$AE$2:$AI$52,5,FALSE)/(1+$AZ$41)^D$223</f>
        <v>1947.1679245141895</v>
      </c>
      <c r="E254" s="106">
        <f>VLOOKUP($A254,'VKT US'!$B$63:$AA$113,(E$223+1),FALSE)/VLOOKUP($A254,'Fuel economy adjusted factor'!$A$2:$G$52,7,FALSE)*VLOOKUP($A254,'US Grid mix, emissions&amp;prices'!$AE$2:$AI$52,5,FALSE)/(1+$AZ$41)^E$223</f>
        <v>1867.2757863881702</v>
      </c>
      <c r="F254" s="106">
        <f>VLOOKUP($A254,'VKT US'!$B$63:$AA$113,(F$223+1),FALSE)/VLOOKUP($A254,'Fuel economy adjusted factor'!$A$2:$G$52,7,FALSE)*VLOOKUP($A254,'US Grid mix, emissions&amp;prices'!$AE$2:$AI$52,5,FALSE)/(1+$AZ$41)^F$223</f>
        <v>1790.8998278552663</v>
      </c>
      <c r="G254" s="106">
        <f>VLOOKUP($A254,'VKT US'!$B$63:$AA$113,(G$223+1),FALSE)/VLOOKUP($A254,'Fuel economy adjusted factor'!$A$2:$G$52,7,FALSE)*VLOOKUP($A254,'US Grid mix, emissions&amp;prices'!$AE$2:$AI$52,5,FALSE)/(1+$AZ$41)^G$223</f>
        <v>1718.233545776131</v>
      </c>
      <c r="H254" s="106">
        <f>VLOOKUP($A254,'VKT US'!$B$63:$AA$113,(H$223+1),FALSE)/VLOOKUP($A254,'Fuel economy adjusted factor'!$A$2:$G$52,7,FALSE)*VLOOKUP($A254,'US Grid mix, emissions&amp;prices'!$AE$2:$AI$52,5,FALSE)/(1+$AZ$41)^H$223</f>
        <v>1648.747015952707</v>
      </c>
      <c r="I254" s="106">
        <f>VLOOKUP($A254,'VKT US'!$B$63:$AA$113,(I$223+1),FALSE)/VLOOKUP($A254,'Fuel economy adjusted factor'!$A$2:$G$52,7,FALSE)*VLOOKUP($A254,'US Grid mix, emissions&amp;prices'!$AE$2:$AI$52,5,FALSE)/(1+$AZ$41)^I$223</f>
        <v>1582.6361230835146</v>
      </c>
      <c r="J254" s="106">
        <f>VLOOKUP($A254,'VKT US'!$B$63:$AA$113,(J$223+1),FALSE)/VLOOKUP($A254,'Fuel economy adjusted factor'!$A$2:$G$52,7,FALSE)*VLOOKUP($A254,'US Grid mix, emissions&amp;prices'!$AE$2:$AI$52,5,FALSE)/(1+$AZ$41)^J$223</f>
        <v>1519.8072309949393</v>
      </c>
      <c r="K254" s="106">
        <f>VLOOKUP($A254,'VKT US'!$B$63:$AA$113,(K$223+1),FALSE)/VLOOKUP($A254,'Fuel economy adjusted factor'!$A$2:$G$52,7,FALSE)*VLOOKUP($A254,'US Grid mix, emissions&amp;prices'!$AE$2:$AI$52,5,FALSE)/(1+$AZ$41)^K$223</f>
        <v>1460.168726399648</v>
      </c>
      <c r="L254" s="106">
        <f>VLOOKUP($A254,'VKT US'!$B$63:$AA$113,(L$223+1),FALSE)/VLOOKUP($A254,'Fuel economy adjusted factor'!$A$2:$G$52,7,FALSE)*VLOOKUP($A254,'US Grid mix, emissions&amp;prices'!$AE$2:$AI$52,5,FALSE)/(1+$AZ$41)^L$223</f>
        <v>1403.4952593800333</v>
      </c>
      <c r="M254" s="106">
        <f>VLOOKUP($A254,'VKT US'!$B$63:$AA$113,(M$223+1),FALSE)/VLOOKUP($A254,'Fuel economy adjusted factor'!$A$2:$G$52,7,FALSE)*VLOOKUP($A254,'US Grid mix, emissions&amp;prices'!$AE$2:$AI$52,5,FALSE)/(1+$AZ$41)^M$223</f>
        <v>1349.8380889207695</v>
      </c>
      <c r="N254" s="106">
        <f>VLOOKUP($A254,'VKT US'!$B$63:$AA$113,(N$223+1),FALSE)/VLOOKUP($A254,'Fuel economy adjusted factor'!$A$2:$G$52,7,FALSE)*VLOOKUP($A254,'US Grid mix, emissions&amp;prices'!$AE$2:$AI$52,5,FALSE)/(1+$AZ$41)^N$223</f>
        <v>1298.97886539876</v>
      </c>
      <c r="O254" s="106">
        <f>VLOOKUP($A254,'VKT US'!$B$63:$AA$113,(O$223+1),FALSE)/VLOOKUP($A254,'Fuel economy adjusted factor'!$A$2:$G$52,7,FALSE)*VLOOKUP($A254,'US Grid mix, emissions&amp;prices'!$AE$2:$AI$52,5,FALSE)/(1+$AZ$41)^O$223</f>
        <v>1250.9693009689033</v>
      </c>
      <c r="P254" s="106">
        <f>VLOOKUP($A254,'VKT US'!$B$63:$AA$113,(P$223+1),FALSE)/VLOOKUP($A254,'Fuel economy adjusted factor'!$A$2:$G$52,7,FALSE)*VLOOKUP($A254,'US Grid mix, emissions&amp;prices'!$AE$2:$AI$52,5,FALSE)/(1+$AZ$41)^P$223</f>
        <v>1205.597829410134</v>
      </c>
      <c r="Q254" s="106">
        <f>VLOOKUP($A254,'VKT US'!$B$63:$AA$113,(Q$223+1),FALSE)/VLOOKUP($A254,'Fuel economy adjusted factor'!$A$2:$G$52,7,FALSE)*VLOOKUP($A254,'US Grid mix, emissions&amp;prices'!$AE$2:$AI$52,5,FALSE)/(1+$AZ$41)^Q$223</f>
        <v>1163.0444175437922</v>
      </c>
      <c r="R254" s="106">
        <f>VLOOKUP($A254,'VKT US'!$B$63:$AA$113,(R$223+1),FALSE)/VLOOKUP($A254,'Fuel economy adjusted factor'!$A$2:$G$52,7,FALSE)*VLOOKUP($A254,'US Grid mix, emissions&amp;prices'!$AE$2:$AI$52,5,FALSE)/(1+$AZ$41)^R$223</f>
        <v>1122.8468295484615</v>
      </c>
      <c r="S254" s="106">
        <f>VLOOKUP($A254,'VKT US'!$B$63:$AA$113,(S$223+1),FALSE)/VLOOKUP($A254,'Fuel economy adjusted factor'!$A$2:$G$52,7,FALSE)*VLOOKUP($A254,'US Grid mix, emissions&amp;prices'!$AE$2:$AI$52,5,FALSE)/(1+$AZ$41)^S$223</f>
        <v>1085.3117478593524</v>
      </c>
      <c r="T254" s="106">
        <f>VLOOKUP($A254,'VKT US'!$B$63:$AA$113,(T$223+1),FALSE)/VLOOKUP($A254,'Fuel economy adjusted factor'!$A$2:$G$52,7,FALSE)*VLOOKUP($A254,'US Grid mix, emissions&amp;prices'!$AE$2:$AI$52,5,FALSE)/(1+$AZ$41)^T$223</f>
        <v>1049.9893701705096</v>
      </c>
      <c r="U254" s="109">
        <f>VLOOKUP($A254,'VKT US'!$B$63:$AA$113,(U$223+1),FALSE)/VLOOKUP($A254,'Fuel economy adjusted factor'!$A$2:$G$52,7,FALSE)*VLOOKUP($A254,'US Grid mix, emissions&amp;prices'!$AE$2:$AI$52,5,FALSE)/(1+$AZ$41)^U$223</f>
        <v>1017.1806614252206</v>
      </c>
      <c r="V254" s="110" cm="1">
        <f t="array" ref="V254">SUMPRODUCT(INDEX(B254:U254,,_xlfn.SEQUENCE($AZ$13)))</f>
        <v>22987.237120015274</v>
      </c>
    </row>
    <row r="255" spans="1:22" x14ac:dyDescent="0.25">
      <c r="A255" s="102" t="s">
        <v>216</v>
      </c>
      <c r="B255" s="106">
        <f>VLOOKUP($A255,'VKT US'!$B$63:$AA$113,(B$223+1),FALSE)/VLOOKUP($A255,'Fuel economy adjusted factor'!$A$2:$G$52,7,FALSE)*VLOOKUP($A255,'US Grid mix, emissions&amp;prices'!$AE$2:$AI$52,5,FALSE)/(1+$AZ$41)^B$223</f>
        <v>1144.8652221175464</v>
      </c>
      <c r="C255" s="106">
        <f>VLOOKUP($A255,'VKT US'!$B$63:$AA$113,(C$223+1),FALSE)/VLOOKUP($A255,'Fuel economy adjusted factor'!$A$2:$G$52,7,FALSE)*VLOOKUP($A255,'US Grid mix, emissions&amp;prices'!$AE$2:$AI$52,5,FALSE)/(1+$AZ$41)^C$223</f>
        <v>1097.6417972248</v>
      </c>
      <c r="D255" s="106">
        <f>VLOOKUP($A255,'VKT US'!$B$63:$AA$113,(D$223+1),FALSE)/VLOOKUP($A255,'Fuel economy adjusted factor'!$A$2:$G$52,7,FALSE)*VLOOKUP($A255,'US Grid mix, emissions&amp;prices'!$AE$2:$AI$52,5,FALSE)/(1+$AZ$41)^D$223</f>
        <v>1052.4264391004831</v>
      </c>
      <c r="E255" s="106">
        <f>VLOOKUP($A255,'VKT US'!$B$63:$AA$113,(E$223+1),FALSE)/VLOOKUP($A255,'Fuel economy adjusted factor'!$A$2:$G$52,7,FALSE)*VLOOKUP($A255,'US Grid mix, emissions&amp;prices'!$AE$2:$AI$52,5,FALSE)/(1+$AZ$41)^E$223</f>
        <v>1009.245469764688</v>
      </c>
      <c r="F255" s="106">
        <f>VLOOKUP($A255,'VKT US'!$B$63:$AA$113,(F$223+1),FALSE)/VLOOKUP($A255,'Fuel economy adjusted factor'!$A$2:$G$52,7,FALSE)*VLOOKUP($A255,'US Grid mix, emissions&amp;prices'!$AE$2:$AI$52,5,FALSE)/(1+$AZ$41)^F$223</f>
        <v>967.9649633123621</v>
      </c>
      <c r="G255" s="106">
        <f>VLOOKUP($A255,'VKT US'!$B$63:$AA$113,(G$223+1),FALSE)/VLOOKUP($A255,'Fuel economy adjusted factor'!$A$2:$G$52,7,FALSE)*VLOOKUP($A255,'US Grid mix, emissions&amp;prices'!$AE$2:$AI$52,5,FALSE)/(1+$AZ$41)^G$223</f>
        <v>928.68950302544522</v>
      </c>
      <c r="H255" s="106">
        <f>VLOOKUP($A255,'VKT US'!$B$63:$AA$113,(H$223+1),FALSE)/VLOOKUP($A255,'Fuel economy adjusted factor'!$A$2:$G$52,7,FALSE)*VLOOKUP($A255,'US Grid mix, emissions&amp;prices'!$AE$2:$AI$52,5,FALSE)/(1+$AZ$41)^H$223</f>
        <v>891.1326697257382</v>
      </c>
      <c r="I255" s="106">
        <f>VLOOKUP($A255,'VKT US'!$B$63:$AA$113,(I$223+1),FALSE)/VLOOKUP($A255,'Fuel economy adjusted factor'!$A$2:$G$52,7,FALSE)*VLOOKUP($A255,'US Grid mix, emissions&amp;prices'!$AE$2:$AI$52,5,FALSE)/(1+$AZ$41)^I$223</f>
        <v>855.40033729969105</v>
      </c>
      <c r="J255" s="106">
        <f>VLOOKUP($A255,'VKT US'!$B$63:$AA$113,(J$223+1),FALSE)/VLOOKUP($A255,'Fuel economy adjusted factor'!$A$2:$G$52,7,FALSE)*VLOOKUP($A255,'US Grid mix, emissions&amp;prices'!$AE$2:$AI$52,5,FALSE)/(1+$AZ$41)^J$223</f>
        <v>821.44189625259662</v>
      </c>
      <c r="K255" s="106">
        <f>VLOOKUP($A255,'VKT US'!$B$63:$AA$113,(K$223+1),FALSE)/VLOOKUP($A255,'Fuel economy adjusted factor'!$A$2:$G$52,7,FALSE)*VLOOKUP($A255,'US Grid mix, emissions&amp;prices'!$AE$2:$AI$52,5,FALSE)/(1+$AZ$41)^K$223</f>
        <v>789.20783044126722</v>
      </c>
      <c r="L255" s="106">
        <f>VLOOKUP($A255,'VKT US'!$B$63:$AA$113,(L$223+1),FALSE)/VLOOKUP($A255,'Fuel economy adjusted factor'!$A$2:$G$52,7,FALSE)*VLOOKUP($A255,'US Grid mix, emissions&amp;prices'!$AE$2:$AI$52,5,FALSE)/(1+$AZ$41)^L$223</f>
        <v>758.57634029805683</v>
      </c>
      <c r="M255" s="106">
        <f>VLOOKUP($A255,'VKT US'!$B$63:$AA$113,(M$223+1),FALSE)/VLOOKUP($A255,'Fuel economy adjusted factor'!$A$2:$G$52,7,FALSE)*VLOOKUP($A255,'US Grid mix, emissions&amp;prices'!$AE$2:$AI$52,5,FALSE)/(1+$AZ$41)^M$223</f>
        <v>729.57513083496474</v>
      </c>
      <c r="N255" s="106">
        <f>VLOOKUP($A255,'VKT US'!$B$63:$AA$113,(N$223+1),FALSE)/VLOOKUP($A255,'Fuel economy adjusted factor'!$A$2:$G$52,7,FALSE)*VLOOKUP($A255,'US Grid mix, emissions&amp;prices'!$AE$2:$AI$52,5,FALSE)/(1+$AZ$41)^N$223</f>
        <v>702.08618607944845</v>
      </c>
      <c r="O255" s="106">
        <f>VLOOKUP($A255,'VKT US'!$B$63:$AA$113,(O$223+1),FALSE)/VLOOKUP($A255,'Fuel economy adjusted factor'!$A$2:$G$52,7,FALSE)*VLOOKUP($A255,'US Grid mix, emissions&amp;prices'!$AE$2:$AI$52,5,FALSE)/(1+$AZ$41)^O$223</f>
        <v>676.13745597786476</v>
      </c>
      <c r="P255" s="106">
        <f>VLOOKUP($A255,'VKT US'!$B$63:$AA$113,(P$223+1),FALSE)/VLOOKUP($A255,'Fuel economy adjusted factor'!$A$2:$G$52,7,FALSE)*VLOOKUP($A255,'US Grid mix, emissions&amp;prices'!$AE$2:$AI$52,5,FALSE)/(1+$AZ$41)^P$223</f>
        <v>651.61459092437531</v>
      </c>
      <c r="Q255" s="106">
        <f>VLOOKUP($A255,'VKT US'!$B$63:$AA$113,(Q$223+1),FALSE)/VLOOKUP($A255,'Fuel economy adjusted factor'!$A$2:$G$52,7,FALSE)*VLOOKUP($A255,'US Grid mix, emissions&amp;prices'!$AE$2:$AI$52,5,FALSE)/(1+$AZ$41)^Q$223</f>
        <v>628.61486133852372</v>
      </c>
      <c r="R255" s="106">
        <f>VLOOKUP($A255,'VKT US'!$B$63:$AA$113,(R$223+1),FALSE)/VLOOKUP($A255,'Fuel economy adjusted factor'!$A$2:$G$52,7,FALSE)*VLOOKUP($A255,'US Grid mix, emissions&amp;prices'!$AE$2:$AI$52,5,FALSE)/(1+$AZ$41)^R$223</f>
        <v>606.88843299007556</v>
      </c>
      <c r="S255" s="106">
        <f>VLOOKUP($A255,'VKT US'!$B$63:$AA$113,(S$223+1),FALSE)/VLOOKUP($A255,'Fuel economy adjusted factor'!$A$2:$G$52,7,FALSE)*VLOOKUP($A255,'US Grid mix, emissions&amp;prices'!$AE$2:$AI$52,5,FALSE)/(1+$AZ$41)^S$223</f>
        <v>586.60106492793432</v>
      </c>
      <c r="T255" s="106">
        <f>VLOOKUP($A255,'VKT US'!$B$63:$AA$113,(T$223+1),FALSE)/VLOOKUP($A255,'Fuel economy adjusted factor'!$A$2:$G$52,7,FALSE)*VLOOKUP($A255,'US Grid mix, emissions&amp;prices'!$AE$2:$AI$52,5,FALSE)/(1+$AZ$41)^T$223</f>
        <v>567.50964312315807</v>
      </c>
      <c r="U255" s="109">
        <f>VLOOKUP($A255,'VKT US'!$B$63:$AA$113,(U$223+1),FALSE)/VLOOKUP($A255,'Fuel economy adjusted factor'!$A$2:$G$52,7,FALSE)*VLOOKUP($A255,'US Grid mix, emissions&amp;prices'!$AE$2:$AI$52,5,FALSE)/(1+$AZ$41)^U$223</f>
        <v>549.77683637260327</v>
      </c>
      <c r="V255" s="110" cm="1">
        <f t="array" ref="V255">SUMPRODUCT(INDEX(B255:U255,,_xlfn.SEQUENCE($AZ$13)))</f>
        <v>12424.391241454954</v>
      </c>
    </row>
    <row r="256" spans="1:22" x14ac:dyDescent="0.25">
      <c r="A256" s="102" t="s">
        <v>209</v>
      </c>
      <c r="B256" s="106">
        <f>VLOOKUP($A256,'VKT US'!$B$63:$AA$113,(B$223+1),FALSE)/VLOOKUP($A256,'Fuel economy adjusted factor'!$A$2:$G$52,7,FALSE)*VLOOKUP($A256,'US Grid mix, emissions&amp;prices'!$AE$2:$AI$52,5,FALSE)/(1+$AZ$41)^B$223</f>
        <v>1758.2535789435672</v>
      </c>
      <c r="C256" s="106">
        <f>VLOOKUP($A256,'VKT US'!$B$63:$AA$113,(C$223+1),FALSE)/VLOOKUP($A256,'Fuel economy adjusted factor'!$A$2:$G$52,7,FALSE)*VLOOKUP($A256,'US Grid mix, emissions&amp;prices'!$AE$2:$AI$52,5,FALSE)/(1+$AZ$41)^C$223</f>
        <v>1685.7290981369351</v>
      </c>
      <c r="D256" s="106">
        <f>VLOOKUP($A256,'VKT US'!$B$63:$AA$113,(D$223+1),FALSE)/VLOOKUP($A256,'Fuel economy adjusted factor'!$A$2:$G$52,7,FALSE)*VLOOKUP($A256,'US Grid mix, emissions&amp;prices'!$AE$2:$AI$52,5,FALSE)/(1+$AZ$41)^D$223</f>
        <v>1616.2885529011812</v>
      </c>
      <c r="E256" s="106">
        <f>VLOOKUP($A256,'VKT US'!$B$63:$AA$113,(E$223+1),FALSE)/VLOOKUP($A256,'Fuel economy adjusted factor'!$A$2:$G$52,7,FALSE)*VLOOKUP($A256,'US Grid mix, emissions&amp;prices'!$AE$2:$AI$52,5,FALSE)/(1+$AZ$41)^E$223</f>
        <v>1549.9723678951534</v>
      </c>
      <c r="F256" s="106">
        <f>VLOOKUP($A256,'VKT US'!$B$63:$AA$113,(F$223+1),FALSE)/VLOOKUP($A256,'Fuel economy adjusted factor'!$A$2:$G$52,7,FALSE)*VLOOKUP($A256,'US Grid mix, emissions&amp;prices'!$AE$2:$AI$52,5,FALSE)/(1+$AZ$41)^F$223</f>
        <v>1486.5748632734669</v>
      </c>
      <c r="G256" s="106">
        <f>VLOOKUP($A256,'VKT US'!$B$63:$AA$113,(G$223+1),FALSE)/VLOOKUP($A256,'Fuel economy adjusted factor'!$A$2:$G$52,7,FALSE)*VLOOKUP($A256,'US Grid mix, emissions&amp;prices'!$AE$2:$AI$52,5,FALSE)/(1+$AZ$41)^G$223</f>
        <v>1426.2566552608232</v>
      </c>
      <c r="H256" s="106">
        <f>VLOOKUP($A256,'VKT US'!$B$63:$AA$113,(H$223+1),FALSE)/VLOOKUP($A256,'Fuel economy adjusted factor'!$A$2:$G$52,7,FALSE)*VLOOKUP($A256,'US Grid mix, emissions&amp;prices'!$AE$2:$AI$52,5,FALSE)/(1+$AZ$41)^H$223</f>
        <v>1368.5778688960327</v>
      </c>
      <c r="I256" s="106">
        <f>VLOOKUP($A256,'VKT US'!$B$63:$AA$113,(I$223+1),FALSE)/VLOOKUP($A256,'Fuel economy adjusted factor'!$A$2:$G$52,7,FALSE)*VLOOKUP($A256,'US Grid mix, emissions&amp;prices'!$AE$2:$AI$52,5,FALSE)/(1+$AZ$41)^I$223</f>
        <v>1313.7011024798994</v>
      </c>
      <c r="J256" s="106">
        <f>VLOOKUP($A256,'VKT US'!$B$63:$AA$113,(J$223+1),FALSE)/VLOOKUP($A256,'Fuel economy adjusted factor'!$A$2:$G$52,7,FALSE)*VLOOKUP($A256,'US Grid mix, emissions&amp;prices'!$AE$2:$AI$52,5,FALSE)/(1+$AZ$41)^J$223</f>
        <v>1261.548631295595</v>
      </c>
      <c r="K256" s="106">
        <f>VLOOKUP($A256,'VKT US'!$B$63:$AA$113,(K$223+1),FALSE)/VLOOKUP($A256,'Fuel economy adjusted factor'!$A$2:$G$52,7,FALSE)*VLOOKUP($A256,'US Grid mix, emissions&amp;prices'!$AE$2:$AI$52,5,FALSE)/(1+$AZ$41)^K$223</f>
        <v>1212.0444097664927</v>
      </c>
      <c r="L256" s="106">
        <f>VLOOKUP($A256,'VKT US'!$B$63:$AA$113,(L$223+1),FALSE)/VLOOKUP($A256,'Fuel economy adjusted factor'!$A$2:$G$52,7,FALSE)*VLOOKUP($A256,'US Grid mix, emissions&amp;prices'!$AE$2:$AI$52,5,FALSE)/(1+$AZ$41)^L$223</f>
        <v>1165.0013813538915</v>
      </c>
      <c r="M256" s="106">
        <f>VLOOKUP($A256,'VKT US'!$B$63:$AA$113,(M$223+1),FALSE)/VLOOKUP($A256,'Fuel economy adjusted factor'!$A$2:$G$52,7,FALSE)*VLOOKUP($A256,'US Grid mix, emissions&amp;prices'!$AE$2:$AI$52,5,FALSE)/(1+$AZ$41)^M$223</f>
        <v>1120.4620946788541</v>
      </c>
      <c r="N256" s="106">
        <f>VLOOKUP($A256,'VKT US'!$B$63:$AA$113,(N$223+1),FALSE)/VLOOKUP($A256,'Fuel economy adjusted factor'!$A$2:$G$52,7,FALSE)*VLOOKUP($A256,'US Grid mix, emissions&amp;prices'!$AE$2:$AI$52,5,FALSE)/(1+$AZ$41)^N$223</f>
        <v>1078.2453039474767</v>
      </c>
      <c r="O256" s="106">
        <f>VLOOKUP($A256,'VKT US'!$B$63:$AA$113,(O$223+1),FALSE)/VLOOKUP($A256,'Fuel economy adjusted factor'!$A$2:$G$52,7,FALSE)*VLOOKUP($A256,'US Grid mix, emissions&amp;prices'!$AE$2:$AI$52,5,FALSE)/(1+$AZ$41)^O$223</f>
        <v>1038.3939339444967</v>
      </c>
      <c r="P256" s="106">
        <f>VLOOKUP($A256,'VKT US'!$B$63:$AA$113,(P$223+1),FALSE)/VLOOKUP($A256,'Fuel economy adjusted factor'!$A$2:$G$52,7,FALSE)*VLOOKUP($A256,'US Grid mix, emissions&amp;prices'!$AE$2:$AI$52,5,FALSE)/(1+$AZ$41)^P$223</f>
        <v>1000.7323695845471</v>
      </c>
      <c r="Q256" s="106">
        <f>VLOOKUP($A256,'VKT US'!$B$63:$AA$113,(Q$223+1),FALSE)/VLOOKUP($A256,'Fuel economy adjusted factor'!$A$2:$G$52,7,FALSE)*VLOOKUP($A256,'US Grid mix, emissions&amp;prices'!$AE$2:$AI$52,5,FALSE)/(1+$AZ$41)^Q$223</f>
        <v>965.40999619262868</v>
      </c>
      <c r="R256" s="106">
        <f>VLOOKUP($A256,'VKT US'!$B$63:$AA$113,(R$223+1),FALSE)/VLOOKUP($A256,'Fuel economy adjusted factor'!$A$2:$G$52,7,FALSE)*VLOOKUP($A256,'US Grid mix, emissions&amp;prices'!$AE$2:$AI$52,5,FALSE)/(1+$AZ$41)^R$223</f>
        <v>932.04312499824982</v>
      </c>
      <c r="S256" s="106">
        <f>VLOOKUP($A256,'VKT US'!$B$63:$AA$113,(S$223+1),FALSE)/VLOOKUP($A256,'Fuel economy adjusted factor'!$A$2:$G$52,7,FALSE)*VLOOKUP($A256,'US Grid mix, emissions&amp;prices'!$AE$2:$AI$52,5,FALSE)/(1+$AZ$41)^S$223</f>
        <v>900.88632434303463</v>
      </c>
      <c r="T256" s="106">
        <f>VLOOKUP($A256,'VKT US'!$B$63:$AA$113,(T$223+1),FALSE)/VLOOKUP($A256,'Fuel economy adjusted factor'!$A$2:$G$52,7,FALSE)*VLOOKUP($A256,'US Grid mix, emissions&amp;prices'!$AE$2:$AI$52,5,FALSE)/(1+$AZ$41)^T$223</f>
        <v>871.56622616302138</v>
      </c>
      <c r="U256" s="109">
        <f>VLOOKUP($A256,'VKT US'!$B$63:$AA$113,(U$223+1),FALSE)/VLOOKUP($A256,'Fuel economy adjusted factor'!$A$2:$G$52,7,FALSE)*VLOOKUP($A256,'US Grid mix, emissions&amp;prices'!$AE$2:$AI$52,5,FALSE)/(1+$AZ$41)^U$223</f>
        <v>844.33265287287497</v>
      </c>
      <c r="V256" s="110" cm="1">
        <f t="array" ref="V256">SUMPRODUCT(INDEX(B256:U256,,_xlfn.SEQUENCE($AZ$13)))</f>
        <v>19081.04984277386</v>
      </c>
    </row>
    <row r="257" spans="1:22" x14ac:dyDescent="0.25">
      <c r="A257" s="102" t="s">
        <v>210</v>
      </c>
      <c r="B257" s="106">
        <f>VLOOKUP($A257,'VKT US'!$B$63:$AA$113,(B$223+1),FALSE)/VLOOKUP($A257,'Fuel economy adjusted factor'!$A$2:$G$52,7,FALSE)*VLOOKUP($A257,'US Grid mix, emissions&amp;prices'!$AE$2:$AI$52,5,FALSE)/(1+$AZ$41)^B$223</f>
        <v>2027.7267058937764</v>
      </c>
      <c r="C257" s="106">
        <f>VLOOKUP($A257,'VKT US'!$B$63:$AA$113,(C$223+1),FALSE)/VLOOKUP($A257,'Fuel economy adjusted factor'!$A$2:$G$52,7,FALSE)*VLOOKUP($A257,'US Grid mix, emissions&amp;prices'!$AE$2:$AI$52,5,FALSE)/(1+$AZ$41)^C$223</f>
        <v>1944.0869918480653</v>
      </c>
      <c r="D257" s="106">
        <f>VLOOKUP($A257,'VKT US'!$B$63:$AA$113,(D$223+1),FALSE)/VLOOKUP($A257,'Fuel economy adjusted factor'!$A$2:$G$52,7,FALSE)*VLOOKUP($A257,'US Grid mix, emissions&amp;prices'!$AE$2:$AI$52,5,FALSE)/(1+$AZ$41)^D$223</f>
        <v>1864.0038629225062</v>
      </c>
      <c r="E257" s="106">
        <f>VLOOKUP($A257,'VKT US'!$B$63:$AA$113,(E$223+1),FALSE)/VLOOKUP($A257,'Fuel economy adjusted factor'!$A$2:$G$52,7,FALSE)*VLOOKUP($A257,'US Grid mix, emissions&amp;prices'!$AE$2:$AI$52,5,FALSE)/(1+$AZ$41)^E$223</f>
        <v>1787.5239393323548</v>
      </c>
      <c r="F257" s="106">
        <f>VLOOKUP($A257,'VKT US'!$B$63:$AA$113,(F$223+1),FALSE)/VLOOKUP($A257,'Fuel economy adjusted factor'!$A$2:$G$52,7,FALSE)*VLOOKUP($A257,'US Grid mix, emissions&amp;prices'!$AE$2:$AI$52,5,FALSE)/(1+$AZ$41)^F$223</f>
        <v>1714.4100183667233</v>
      </c>
      <c r="G257" s="106">
        <f>VLOOKUP($A257,'VKT US'!$B$63:$AA$113,(G$223+1),FALSE)/VLOOKUP($A257,'Fuel economy adjusted factor'!$A$2:$G$52,7,FALSE)*VLOOKUP($A257,'US Grid mix, emissions&amp;prices'!$AE$2:$AI$52,5,FALSE)/(1+$AZ$41)^G$223</f>
        <v>1644.8473325837197</v>
      </c>
      <c r="H257" s="106">
        <f>VLOOKUP($A257,'VKT US'!$B$63:$AA$113,(H$223+1),FALSE)/VLOOKUP($A257,'Fuel economy adjusted factor'!$A$2:$G$52,7,FALSE)*VLOOKUP($A257,'US Grid mix, emissions&amp;prices'!$AE$2:$AI$52,5,FALSE)/(1+$AZ$41)^H$223</f>
        <v>1578.3285909891763</v>
      </c>
      <c r="I257" s="106">
        <f>VLOOKUP($A257,'VKT US'!$B$63:$AA$113,(I$223+1),FALSE)/VLOOKUP($A257,'Fuel economy adjusted factor'!$A$2:$G$52,7,FALSE)*VLOOKUP($A257,'US Grid mix, emissions&amp;prices'!$AE$2:$AI$52,5,FALSE)/(1+$AZ$41)^I$223</f>
        <v>1515.0413119938755</v>
      </c>
      <c r="J257" s="106">
        <f>VLOOKUP($A257,'VKT US'!$B$63:$AA$113,(J$223+1),FALSE)/VLOOKUP($A257,'Fuel economy adjusted factor'!$A$2:$G$52,7,FALSE)*VLOOKUP($A257,'US Grid mix, emissions&amp;prices'!$AE$2:$AI$52,5,FALSE)/(1+$AZ$41)^J$223</f>
        <v>1454.8958586501608</v>
      </c>
      <c r="K257" s="106">
        <f>VLOOKUP($A257,'VKT US'!$B$63:$AA$113,(K$223+1),FALSE)/VLOOKUP($A257,'Fuel economy adjusted factor'!$A$2:$G$52,7,FALSE)*VLOOKUP($A257,'US Grid mix, emissions&amp;prices'!$AE$2:$AI$52,5,FALSE)/(1+$AZ$41)^K$223</f>
        <v>1397.8045304986458</v>
      </c>
      <c r="L257" s="106">
        <f>VLOOKUP($A257,'VKT US'!$B$63:$AA$113,(L$223+1),FALSE)/VLOOKUP($A257,'Fuel economy adjusted factor'!$A$2:$G$52,7,FALSE)*VLOOKUP($A257,'US Grid mix, emissions&amp;prices'!$AE$2:$AI$52,5,FALSE)/(1+$AZ$41)^L$223</f>
        <v>1343.5516023768298</v>
      </c>
      <c r="M257" s="106">
        <f>VLOOKUP($A257,'VKT US'!$B$63:$AA$113,(M$223+1),FALSE)/VLOOKUP($A257,'Fuel economy adjusted factor'!$A$2:$G$52,7,FALSE)*VLOOKUP($A257,'US Grid mix, emissions&amp;prices'!$AE$2:$AI$52,5,FALSE)/(1+$AZ$41)^M$223</f>
        <v>1292.1861439844765</v>
      </c>
      <c r="N257" s="106">
        <f>VLOOKUP($A257,'VKT US'!$B$63:$AA$113,(N$223+1),FALSE)/VLOOKUP($A257,'Fuel economy adjusted factor'!$A$2:$G$52,7,FALSE)*VLOOKUP($A257,'US Grid mix, emissions&amp;prices'!$AE$2:$AI$52,5,FALSE)/(1+$AZ$41)^N$223</f>
        <v>1243.4991314691504</v>
      </c>
      <c r="O257" s="106">
        <f>VLOOKUP($A257,'VKT US'!$B$63:$AA$113,(O$223+1),FALSE)/VLOOKUP($A257,'Fuel economy adjusted factor'!$A$2:$G$52,7,FALSE)*VLOOKUP($A257,'US Grid mix, emissions&amp;prices'!$AE$2:$AI$52,5,FALSE)/(1+$AZ$41)^O$223</f>
        <v>1197.5400683458154</v>
      </c>
      <c r="P257" s="106">
        <f>VLOOKUP($A257,'VKT US'!$B$63:$AA$113,(P$223+1),FALSE)/VLOOKUP($A257,'Fuel economy adjusted factor'!$A$2:$G$52,7,FALSE)*VLOOKUP($A257,'US Grid mix, emissions&amp;prices'!$AE$2:$AI$52,5,FALSE)/(1+$AZ$41)^P$223</f>
        <v>1154.1064244431584</v>
      </c>
      <c r="Q257" s="106">
        <f>VLOOKUP($A257,'VKT US'!$B$63:$AA$113,(Q$223+1),FALSE)/VLOOKUP($A257,'Fuel economy adjusted factor'!$A$2:$G$52,7,FALSE)*VLOOKUP($A257,'US Grid mix, emissions&amp;prices'!$AE$2:$AI$52,5,FALSE)/(1+$AZ$41)^Q$223</f>
        <v>1113.3704801515623</v>
      </c>
      <c r="R257" s="106">
        <f>VLOOKUP($A257,'VKT US'!$B$63:$AA$113,(R$223+1),FALSE)/VLOOKUP($A257,'Fuel economy adjusted factor'!$A$2:$G$52,7,FALSE)*VLOOKUP($A257,'US Grid mix, emissions&amp;prices'!$AE$2:$AI$52,5,FALSE)/(1+$AZ$41)^R$223</f>
        <v>1074.8897418648744</v>
      </c>
      <c r="S257" s="106">
        <f>VLOOKUP($A257,'VKT US'!$B$63:$AA$113,(S$223+1),FALSE)/VLOOKUP($A257,'Fuel economy adjusted factor'!$A$2:$G$52,7,FALSE)*VLOOKUP($A257,'US Grid mix, emissions&amp;prices'!$AE$2:$AI$52,5,FALSE)/(1+$AZ$41)^S$223</f>
        <v>1038.95779352967</v>
      </c>
      <c r="T257" s="106">
        <f>VLOOKUP($A257,'VKT US'!$B$63:$AA$113,(T$223+1),FALSE)/VLOOKUP($A257,'Fuel economy adjusted factor'!$A$2:$G$52,7,FALSE)*VLOOKUP($A257,'US Grid mix, emissions&amp;prices'!$AE$2:$AI$52,5,FALSE)/(1+$AZ$41)^T$223</f>
        <v>1005.1440440164954</v>
      </c>
      <c r="U257" s="109">
        <f>VLOOKUP($A257,'VKT US'!$B$63:$AA$113,(U$223+1),FALSE)/VLOOKUP($A257,'Fuel economy adjusted factor'!$A$2:$G$52,7,FALSE)*VLOOKUP($A257,'US Grid mix, emissions&amp;prices'!$AE$2:$AI$52,5,FALSE)/(1+$AZ$41)^U$223</f>
        <v>973.7366039756082</v>
      </c>
      <c r="V257" s="110" cm="1">
        <f t="array" ref="V257">SUMPRODUCT(INDEX(B257:U257,,_xlfn.SEQUENCE($AZ$13)))</f>
        <v>22005.446089255274</v>
      </c>
    </row>
    <row r="258" spans="1:22" x14ac:dyDescent="0.25">
      <c r="A258" s="102" t="s">
        <v>217</v>
      </c>
      <c r="B258" s="106">
        <f>VLOOKUP($A258,'VKT US'!$B$63:$AA$113,(B$223+1),FALSE)/VLOOKUP($A258,'Fuel economy adjusted factor'!$A$2:$G$52,7,FALSE)*VLOOKUP($A258,'US Grid mix, emissions&amp;prices'!$AE$2:$AI$52,5,FALSE)/(1+$AZ$41)^B$223</f>
        <v>1589.4312536687471</v>
      </c>
      <c r="C258" s="106">
        <f>VLOOKUP($A258,'VKT US'!$B$63:$AA$113,(C$223+1),FALSE)/VLOOKUP($A258,'Fuel economy adjusted factor'!$A$2:$G$52,7,FALSE)*VLOOKUP($A258,'US Grid mix, emissions&amp;prices'!$AE$2:$AI$52,5,FALSE)/(1+$AZ$41)^C$223</f>
        <v>1523.8703597051924</v>
      </c>
      <c r="D258" s="106">
        <f>VLOOKUP($A258,'VKT US'!$B$63:$AA$113,(D$223+1),FALSE)/VLOOKUP($A258,'Fuel economy adjusted factor'!$A$2:$G$52,7,FALSE)*VLOOKUP($A258,'US Grid mix, emissions&amp;prices'!$AE$2:$AI$52,5,FALSE)/(1+$AZ$41)^D$223</f>
        <v>1461.0972909105183</v>
      </c>
      <c r="E258" s="106">
        <f>VLOOKUP($A258,'VKT US'!$B$63:$AA$113,(E$223+1),FALSE)/VLOOKUP($A258,'Fuel economy adjusted factor'!$A$2:$G$52,7,FALSE)*VLOOKUP($A258,'US Grid mix, emissions&amp;prices'!$AE$2:$AI$52,5,FALSE)/(1+$AZ$41)^E$223</f>
        <v>1401.1485904870044</v>
      </c>
      <c r="F258" s="106">
        <f>VLOOKUP($A258,'VKT US'!$B$63:$AA$113,(F$223+1),FALSE)/VLOOKUP($A258,'Fuel economy adjusted factor'!$A$2:$G$52,7,FALSE)*VLOOKUP($A258,'US Grid mix, emissions&amp;prices'!$AE$2:$AI$52,5,FALSE)/(1+$AZ$41)^F$223</f>
        <v>1343.8383273616698</v>
      </c>
      <c r="G258" s="106">
        <f>VLOOKUP($A258,'VKT US'!$B$63:$AA$113,(G$223+1),FALSE)/VLOOKUP($A258,'Fuel economy adjusted factor'!$A$2:$G$52,7,FALSE)*VLOOKUP($A258,'US Grid mix, emissions&amp;prices'!$AE$2:$AI$52,5,FALSE)/(1+$AZ$41)^G$223</f>
        <v>1289.3116958628209</v>
      </c>
      <c r="H258" s="106">
        <f>VLOOKUP($A258,'VKT US'!$B$63:$AA$113,(H$223+1),FALSE)/VLOOKUP($A258,'Fuel economy adjusted factor'!$A$2:$G$52,7,FALSE)*VLOOKUP($A258,'US Grid mix, emissions&amp;prices'!$AE$2:$AI$52,5,FALSE)/(1+$AZ$41)^H$223</f>
        <v>1237.1710565262783</v>
      </c>
      <c r="I258" s="106">
        <f>VLOOKUP($A258,'VKT US'!$B$63:$AA$113,(I$223+1),FALSE)/VLOOKUP($A258,'Fuel economy adjusted factor'!$A$2:$G$52,7,FALSE)*VLOOKUP($A258,'US Grid mix, emissions&amp;prices'!$AE$2:$AI$52,5,FALSE)/(1+$AZ$41)^I$223</f>
        <v>1187.5633954433483</v>
      </c>
      <c r="J258" s="106">
        <f>VLOOKUP($A258,'VKT US'!$B$63:$AA$113,(J$223+1),FALSE)/VLOOKUP($A258,'Fuel economy adjusted factor'!$A$2:$G$52,7,FALSE)*VLOOKUP($A258,'US Grid mix, emissions&amp;prices'!$AE$2:$AI$52,5,FALSE)/(1+$AZ$41)^J$223</f>
        <v>1140.4184507953769</v>
      </c>
      <c r="K258" s="106">
        <f>VLOOKUP($A258,'VKT US'!$B$63:$AA$113,(K$223+1),FALSE)/VLOOKUP($A258,'Fuel economy adjusted factor'!$A$2:$G$52,7,FALSE)*VLOOKUP($A258,'US Grid mix, emissions&amp;prices'!$AE$2:$AI$52,5,FALSE)/(1+$AZ$41)^K$223</f>
        <v>1095.6674786778208</v>
      </c>
      <c r="L258" s="106">
        <f>VLOOKUP($A258,'VKT US'!$B$63:$AA$113,(L$223+1),FALSE)/VLOOKUP($A258,'Fuel economy adjusted factor'!$A$2:$G$52,7,FALSE)*VLOOKUP($A258,'US Grid mix, emissions&amp;prices'!$AE$2:$AI$52,5,FALSE)/(1+$AZ$41)^L$223</f>
        <v>1053.1413831693783</v>
      </c>
      <c r="M258" s="106">
        <f>VLOOKUP($A258,'VKT US'!$B$63:$AA$113,(M$223+1),FALSE)/VLOOKUP($A258,'Fuel economy adjusted factor'!$A$2:$G$52,7,FALSE)*VLOOKUP($A258,'US Grid mix, emissions&amp;prices'!$AE$2:$AI$52,5,FALSE)/(1+$AZ$41)^M$223</f>
        <v>1012.8786274979515</v>
      </c>
      <c r="N258" s="106">
        <f>VLOOKUP($A258,'VKT US'!$B$63:$AA$113,(N$223+1),FALSE)/VLOOKUP($A258,'Fuel economy adjusted factor'!$A$2:$G$52,7,FALSE)*VLOOKUP($A258,'US Grid mix, emissions&amp;prices'!$AE$2:$AI$52,5,FALSE)/(1+$AZ$41)^N$223</f>
        <v>974.71536855645047</v>
      </c>
      <c r="O258" s="106">
        <f>VLOOKUP($A258,'VKT US'!$B$63:$AA$113,(O$223+1),FALSE)/VLOOKUP($A258,'Fuel economy adjusted factor'!$A$2:$G$52,7,FALSE)*VLOOKUP($A258,'US Grid mix, emissions&amp;prices'!$AE$2:$AI$52,5,FALSE)/(1+$AZ$41)^O$223</f>
        <v>938.69040961832559</v>
      </c>
      <c r="P258" s="106">
        <f>VLOOKUP($A258,'VKT US'!$B$63:$AA$113,(P$223+1),FALSE)/VLOOKUP($A258,'Fuel economy adjusted factor'!$A$2:$G$52,7,FALSE)*VLOOKUP($A258,'US Grid mix, emissions&amp;prices'!$AE$2:$AI$52,5,FALSE)/(1+$AZ$41)^P$223</f>
        <v>904.64499764098855</v>
      </c>
      <c r="Q258" s="106">
        <f>VLOOKUP($A258,'VKT US'!$B$63:$AA$113,(Q$223+1),FALSE)/VLOOKUP($A258,'Fuel economy adjusted factor'!$A$2:$G$52,7,FALSE)*VLOOKUP($A258,'US Grid mix, emissions&amp;prices'!$AE$2:$AI$52,5,FALSE)/(1+$AZ$41)^Q$223</f>
        <v>872.71417441092535</v>
      </c>
      <c r="R258" s="106">
        <f>VLOOKUP($A258,'VKT US'!$B$63:$AA$113,(R$223+1),FALSE)/VLOOKUP($A258,'Fuel economy adjusted factor'!$A$2:$G$52,7,FALSE)*VLOOKUP($A258,'US Grid mix, emissions&amp;prices'!$AE$2:$AI$52,5,FALSE)/(1+$AZ$41)^R$223</f>
        <v>842.55109182226363</v>
      </c>
      <c r="S258" s="106">
        <f>VLOOKUP($A258,'VKT US'!$B$63:$AA$113,(S$223+1),FALSE)/VLOOKUP($A258,'Fuel economy adjusted factor'!$A$2:$G$52,7,FALSE)*VLOOKUP($A258,'US Grid mix, emissions&amp;prices'!$AE$2:$AI$52,5,FALSE)/(1+$AZ$41)^S$223</f>
        <v>814.38587531493783</v>
      </c>
      <c r="T258" s="106">
        <f>VLOOKUP($A258,'VKT US'!$B$63:$AA$113,(T$223+1),FALSE)/VLOOKUP($A258,'Fuel economy adjusted factor'!$A$2:$G$52,7,FALSE)*VLOOKUP($A258,'US Grid mix, emissions&amp;prices'!$AE$2:$AI$52,5,FALSE)/(1+$AZ$41)^T$223</f>
        <v>787.88100652578976</v>
      </c>
      <c r="U258" s="109">
        <f>VLOOKUP($A258,'VKT US'!$B$63:$AA$113,(U$223+1),FALSE)/VLOOKUP($A258,'Fuel economy adjusted factor'!$A$2:$G$52,7,FALSE)*VLOOKUP($A258,'US Grid mix, emissions&amp;prices'!$AE$2:$AI$52,5,FALSE)/(1+$AZ$41)^U$223</f>
        <v>763.2623206577108</v>
      </c>
      <c r="V258" s="110" cm="1">
        <f t="array" ref="V258">SUMPRODUCT(INDEX(B258:U258,,_xlfn.SEQUENCE($AZ$13)))</f>
        <v>17248.943688280884</v>
      </c>
    </row>
    <row r="259" spans="1:22" x14ac:dyDescent="0.25">
      <c r="A259" s="102" t="s">
        <v>218</v>
      </c>
      <c r="B259" s="106">
        <f>VLOOKUP($A259,'VKT US'!$B$63:$AA$113,(B$223+1),FALSE)/VLOOKUP($A259,'Fuel economy adjusted factor'!$A$2:$G$52,7,FALSE)*VLOOKUP($A259,'US Grid mix, emissions&amp;prices'!$AE$2:$AI$52,5,FALSE)/(1+$AZ$41)^B$223</f>
        <v>1953.1912824850885</v>
      </c>
      <c r="C259" s="106">
        <f>VLOOKUP($A259,'VKT US'!$B$63:$AA$113,(C$223+1),FALSE)/VLOOKUP($A259,'Fuel economy adjusted factor'!$A$2:$G$52,7,FALSE)*VLOOKUP($A259,'US Grid mix, emissions&amp;prices'!$AE$2:$AI$52,5,FALSE)/(1+$AZ$41)^C$223</f>
        <v>1872.6260071603642</v>
      </c>
      <c r="D259" s="106">
        <f>VLOOKUP($A259,'VKT US'!$B$63:$AA$113,(D$223+1),FALSE)/VLOOKUP($A259,'Fuel economy adjusted factor'!$A$2:$G$52,7,FALSE)*VLOOKUP($A259,'US Grid mix, emissions&amp;prices'!$AE$2:$AI$52,5,FALSE)/(1+$AZ$41)^D$223</f>
        <v>1795.4865835699516</v>
      </c>
      <c r="E259" s="106">
        <f>VLOOKUP($A259,'VKT US'!$B$63:$AA$113,(E$223+1),FALSE)/VLOOKUP($A259,'Fuel economy adjusted factor'!$A$2:$G$52,7,FALSE)*VLOOKUP($A259,'US Grid mix, emissions&amp;prices'!$AE$2:$AI$52,5,FALSE)/(1+$AZ$41)^E$223</f>
        <v>1721.8179182575982</v>
      </c>
      <c r="F259" s="106">
        <f>VLOOKUP($A259,'VKT US'!$B$63:$AA$113,(F$223+1),FALSE)/VLOOKUP($A259,'Fuel economy adjusted factor'!$A$2:$G$52,7,FALSE)*VLOOKUP($A259,'US Grid mix, emissions&amp;prices'!$AE$2:$AI$52,5,FALSE)/(1+$AZ$41)^F$223</f>
        <v>1651.3915276383409</v>
      </c>
      <c r="G259" s="106">
        <f>VLOOKUP($A259,'VKT US'!$B$63:$AA$113,(G$223+1),FALSE)/VLOOKUP($A259,'Fuel economy adjusted factor'!$A$2:$G$52,7,FALSE)*VLOOKUP($A259,'US Grid mix, emissions&amp;prices'!$AE$2:$AI$52,5,FALSE)/(1+$AZ$41)^G$223</f>
        <v>1584.3858354695217</v>
      </c>
      <c r="H259" s="106">
        <f>VLOOKUP($A259,'VKT US'!$B$63:$AA$113,(H$223+1),FALSE)/VLOOKUP($A259,'Fuel economy adjusted factor'!$A$2:$G$52,7,FALSE)*VLOOKUP($A259,'US Grid mix, emissions&amp;prices'!$AE$2:$AI$52,5,FALSE)/(1+$AZ$41)^H$223</f>
        <v>1520.3121978206686</v>
      </c>
      <c r="I259" s="106">
        <f>VLOOKUP($A259,'VKT US'!$B$63:$AA$113,(I$223+1),FALSE)/VLOOKUP($A259,'Fuel economy adjusted factor'!$A$2:$G$52,7,FALSE)*VLOOKUP($A259,'US Grid mix, emissions&amp;prices'!$AE$2:$AI$52,5,FALSE)/(1+$AZ$41)^I$223</f>
        <v>1459.3512402781491</v>
      </c>
      <c r="J259" s="106">
        <f>VLOOKUP($A259,'VKT US'!$B$63:$AA$113,(J$223+1),FALSE)/VLOOKUP($A259,'Fuel economy adjusted factor'!$A$2:$G$52,7,FALSE)*VLOOKUP($A259,'US Grid mix, emissions&amp;prices'!$AE$2:$AI$52,5,FALSE)/(1+$AZ$41)^J$223</f>
        <v>1401.4166207800663</v>
      </c>
      <c r="K259" s="106">
        <f>VLOOKUP($A259,'VKT US'!$B$63:$AA$113,(K$223+1),FALSE)/VLOOKUP($A259,'Fuel economy adjusted factor'!$A$2:$G$52,7,FALSE)*VLOOKUP($A259,'US Grid mix, emissions&amp;prices'!$AE$2:$AI$52,5,FALSE)/(1+$AZ$41)^K$223</f>
        <v>1346.4238625711225</v>
      </c>
      <c r="L259" s="106">
        <f>VLOOKUP($A259,'VKT US'!$B$63:$AA$113,(L$223+1),FALSE)/VLOOKUP($A259,'Fuel economy adjusted factor'!$A$2:$G$52,7,FALSE)*VLOOKUP($A259,'US Grid mix, emissions&amp;prices'!$AE$2:$AI$52,5,FALSE)/(1+$AZ$41)^L$223</f>
        <v>1294.1651701404217</v>
      </c>
      <c r="M259" s="106">
        <f>VLOOKUP($A259,'VKT US'!$B$63:$AA$113,(M$223+1),FALSE)/VLOOKUP($A259,'Fuel economy adjusted factor'!$A$2:$G$52,7,FALSE)*VLOOKUP($A259,'US Grid mix, emissions&amp;prices'!$AE$2:$AI$52,5,FALSE)/(1+$AZ$41)^M$223</f>
        <v>1244.6878094777708</v>
      </c>
      <c r="N259" s="106">
        <f>VLOOKUP($A259,'VKT US'!$B$63:$AA$113,(N$223+1),FALSE)/VLOOKUP($A259,'Fuel economy adjusted factor'!$A$2:$G$52,7,FALSE)*VLOOKUP($A259,'US Grid mix, emissions&amp;prices'!$AE$2:$AI$52,5,FALSE)/(1+$AZ$41)^N$223</f>
        <v>1197.7904400547736</v>
      </c>
      <c r="O259" s="106">
        <f>VLOOKUP($A259,'VKT US'!$B$63:$AA$113,(O$223+1),FALSE)/VLOOKUP($A259,'Fuel economy adjusted factor'!$A$2:$G$52,7,FALSE)*VLOOKUP($A259,'US Grid mix, emissions&amp;prices'!$AE$2:$AI$52,5,FALSE)/(1+$AZ$41)^O$223</f>
        <v>1153.520745730206</v>
      </c>
      <c r="P259" s="106">
        <f>VLOOKUP($A259,'VKT US'!$B$63:$AA$113,(P$223+1),FALSE)/VLOOKUP($A259,'Fuel economy adjusted factor'!$A$2:$G$52,7,FALSE)*VLOOKUP($A259,'US Grid mix, emissions&amp;prices'!$AE$2:$AI$52,5,FALSE)/(1+$AZ$41)^P$223</f>
        <v>1111.6836409612783</v>
      </c>
      <c r="Q259" s="106">
        <f>VLOOKUP($A259,'VKT US'!$B$63:$AA$113,(Q$223+1),FALSE)/VLOOKUP($A259,'Fuel economy adjusted factor'!$A$2:$G$52,7,FALSE)*VLOOKUP($A259,'US Grid mix, emissions&amp;prices'!$AE$2:$AI$52,5,FALSE)/(1+$AZ$41)^Q$223</f>
        <v>1072.4450734349541</v>
      </c>
      <c r="R259" s="106">
        <f>VLOOKUP($A259,'VKT US'!$B$63:$AA$113,(R$223+1),FALSE)/VLOOKUP($A259,'Fuel economy adjusted factor'!$A$2:$G$52,7,FALSE)*VLOOKUP($A259,'US Grid mix, emissions&amp;prices'!$AE$2:$AI$52,5,FALSE)/(1+$AZ$41)^R$223</f>
        <v>1035.3788147785538</v>
      </c>
      <c r="S259" s="106">
        <f>VLOOKUP($A259,'VKT US'!$B$63:$AA$113,(S$223+1),FALSE)/VLOOKUP($A259,'Fuel economy adjusted factor'!$A$2:$G$52,7,FALSE)*VLOOKUP($A259,'US Grid mix, emissions&amp;prices'!$AE$2:$AI$52,5,FALSE)/(1+$AZ$41)^S$223</f>
        <v>1000.7676573444502</v>
      </c>
      <c r="T259" s="106">
        <f>VLOOKUP($A259,'VKT US'!$B$63:$AA$113,(T$223+1),FALSE)/VLOOKUP($A259,'Fuel economy adjusted factor'!$A$2:$G$52,7,FALSE)*VLOOKUP($A259,'US Grid mix, emissions&amp;prices'!$AE$2:$AI$52,5,FALSE)/(1+$AZ$41)^T$223</f>
        <v>968.19683772398491</v>
      </c>
      <c r="U259" s="109">
        <f>VLOOKUP($A259,'VKT US'!$B$63:$AA$113,(U$223+1),FALSE)/VLOOKUP($A259,'Fuel economy adjusted factor'!$A$2:$G$52,7,FALSE)*VLOOKUP($A259,'US Grid mix, emissions&amp;prices'!$AE$2:$AI$52,5,FALSE)/(1+$AZ$41)^U$223</f>
        <v>937.94387616129995</v>
      </c>
      <c r="V259" s="110" cm="1">
        <f t="array" ref="V259">SUMPRODUCT(INDEX(B259:U259,,_xlfn.SEQUENCE($AZ$13)))</f>
        <v>21196.567241434044</v>
      </c>
    </row>
    <row r="260" spans="1:22" x14ac:dyDescent="0.25">
      <c r="A260" s="102" t="s">
        <v>219</v>
      </c>
      <c r="B260" s="106">
        <f>VLOOKUP($A260,'VKT US'!$B$63:$AA$113,(B$223+1),FALSE)/VLOOKUP($A260,'Fuel economy adjusted factor'!$A$2:$G$52,7,FALSE)*VLOOKUP($A260,'US Grid mix, emissions&amp;prices'!$AE$2:$AI$52,5,FALSE)/(1+$AZ$41)^B$223</f>
        <v>1366.6567250158139</v>
      </c>
      <c r="C260" s="106">
        <f>VLOOKUP($A260,'VKT US'!$B$63:$AA$113,(C$223+1),FALSE)/VLOOKUP($A260,'Fuel economy adjusted factor'!$A$2:$G$52,7,FALSE)*VLOOKUP($A260,'US Grid mix, emissions&amp;prices'!$AE$2:$AI$52,5,FALSE)/(1+$AZ$41)^C$223</f>
        <v>1310.2848395212216</v>
      </c>
      <c r="D260" s="106">
        <f>VLOOKUP($A260,'VKT US'!$B$63:$AA$113,(D$223+1),FALSE)/VLOOKUP($A260,'Fuel economy adjusted factor'!$A$2:$G$52,7,FALSE)*VLOOKUP($A260,'US Grid mix, emissions&amp;prices'!$AE$2:$AI$52,5,FALSE)/(1+$AZ$41)^D$223</f>
        <v>1256.3100378932168</v>
      </c>
      <c r="E260" s="106">
        <f>VLOOKUP($A260,'VKT US'!$B$63:$AA$113,(E$223+1),FALSE)/VLOOKUP($A260,'Fuel economy adjusted factor'!$A$2:$G$52,7,FALSE)*VLOOKUP($A260,'US Grid mix, emissions&amp;prices'!$AE$2:$AI$52,5,FALSE)/(1+$AZ$41)^E$223</f>
        <v>1204.763741442431</v>
      </c>
      <c r="F260" s="106">
        <f>VLOOKUP($A260,'VKT US'!$B$63:$AA$113,(F$223+1),FALSE)/VLOOKUP($A260,'Fuel economy adjusted factor'!$A$2:$G$52,7,FALSE)*VLOOKUP($A260,'US Grid mix, emissions&amp;prices'!$AE$2:$AI$52,5,FALSE)/(1+$AZ$41)^F$223</f>
        <v>1155.4860791768392</v>
      </c>
      <c r="G260" s="106">
        <f>VLOOKUP($A260,'VKT US'!$B$63:$AA$113,(G$223+1),FALSE)/VLOOKUP($A260,'Fuel economy adjusted factor'!$A$2:$G$52,7,FALSE)*VLOOKUP($A260,'US Grid mix, emissions&amp;prices'!$AE$2:$AI$52,5,FALSE)/(1+$AZ$41)^G$223</f>
        <v>1108.6018950019309</v>
      </c>
      <c r="H260" s="106">
        <f>VLOOKUP($A260,'VKT US'!$B$63:$AA$113,(H$223+1),FALSE)/VLOOKUP($A260,'Fuel economy adjusted factor'!$A$2:$G$52,7,FALSE)*VLOOKUP($A260,'US Grid mix, emissions&amp;prices'!$AE$2:$AI$52,5,FALSE)/(1+$AZ$41)^H$223</f>
        <v>1063.7692825618328</v>
      </c>
      <c r="I260" s="106">
        <f>VLOOKUP($A260,'VKT US'!$B$63:$AA$113,(I$223+1),FALSE)/VLOOKUP($A260,'Fuel economy adjusted factor'!$A$2:$G$52,7,FALSE)*VLOOKUP($A260,'US Grid mix, emissions&amp;prices'!$AE$2:$AI$52,5,FALSE)/(1+$AZ$41)^I$223</f>
        <v>1021.1146263917077</v>
      </c>
      <c r="J260" s="106">
        <f>VLOOKUP($A260,'VKT US'!$B$63:$AA$113,(J$223+1),FALSE)/VLOOKUP($A260,'Fuel economy adjusted factor'!$A$2:$G$52,7,FALSE)*VLOOKUP($A260,'US Grid mix, emissions&amp;prices'!$AE$2:$AI$52,5,FALSE)/(1+$AZ$41)^J$223</f>
        <v>980.57751256251379</v>
      </c>
      <c r="K260" s="106">
        <f>VLOOKUP($A260,'VKT US'!$B$63:$AA$113,(K$223+1),FALSE)/VLOOKUP($A260,'Fuel economy adjusted factor'!$A$2:$G$52,7,FALSE)*VLOOKUP($A260,'US Grid mix, emissions&amp;prices'!$AE$2:$AI$52,5,FALSE)/(1+$AZ$41)^K$223</f>
        <v>942.09883230862761</v>
      </c>
      <c r="L260" s="106">
        <f>VLOOKUP($A260,'VKT US'!$B$63:$AA$113,(L$223+1),FALSE)/VLOOKUP($A260,'Fuel economy adjusted factor'!$A$2:$G$52,7,FALSE)*VLOOKUP($A260,'US Grid mix, emissions&amp;prices'!$AE$2:$AI$52,5,FALSE)/(1+$AZ$41)^L$223</f>
        <v>905.53319017649517</v>
      </c>
      <c r="M260" s="106">
        <f>VLOOKUP($A260,'VKT US'!$B$63:$AA$113,(M$223+1),FALSE)/VLOOKUP($A260,'Fuel economy adjusted factor'!$A$2:$G$52,7,FALSE)*VLOOKUP($A260,'US Grid mix, emissions&amp;prices'!$AE$2:$AI$52,5,FALSE)/(1+$AZ$41)^M$223</f>
        <v>870.91365839176808</v>
      </c>
      <c r="N260" s="106">
        <f>VLOOKUP($A260,'VKT US'!$B$63:$AA$113,(N$223+1),FALSE)/VLOOKUP($A260,'Fuel economy adjusted factor'!$A$2:$G$52,7,FALSE)*VLOOKUP($A260,'US Grid mix, emissions&amp;prices'!$AE$2:$AI$52,5,FALSE)/(1+$AZ$41)^N$223</f>
        <v>838.09935808117893</v>
      </c>
      <c r="O260" s="106">
        <f>VLOOKUP($A260,'VKT US'!$B$63:$AA$113,(O$223+1),FALSE)/VLOOKUP($A260,'Fuel economy adjusted factor'!$A$2:$G$52,7,FALSE)*VLOOKUP($A260,'US Grid mix, emissions&amp;prices'!$AE$2:$AI$52,5,FALSE)/(1+$AZ$41)^O$223</f>
        <v>807.1236538551766</v>
      </c>
      <c r="P260" s="106">
        <f>VLOOKUP($A260,'VKT US'!$B$63:$AA$113,(P$223+1),FALSE)/VLOOKUP($A260,'Fuel economy adjusted factor'!$A$2:$G$52,7,FALSE)*VLOOKUP($A260,'US Grid mix, emissions&amp;prices'!$AE$2:$AI$52,5,FALSE)/(1+$AZ$41)^P$223</f>
        <v>777.85004348205484</v>
      </c>
      <c r="Q260" s="106">
        <f>VLOOKUP($A260,'VKT US'!$B$63:$AA$113,(Q$223+1),FALSE)/VLOOKUP($A260,'Fuel economy adjusted factor'!$A$2:$G$52,7,FALSE)*VLOOKUP($A260,'US Grid mix, emissions&amp;prices'!$AE$2:$AI$52,5,FALSE)/(1+$AZ$41)^Q$223</f>
        <v>750.39464130474778</v>
      </c>
      <c r="R260" s="106">
        <f>VLOOKUP($A260,'VKT US'!$B$63:$AA$113,(R$223+1),FALSE)/VLOOKUP($A260,'Fuel economy adjusted factor'!$A$2:$G$52,7,FALSE)*VLOOKUP($A260,'US Grid mix, emissions&amp;prices'!$AE$2:$AI$52,5,FALSE)/(1+$AZ$41)^R$223</f>
        <v>724.45921341388964</v>
      </c>
      <c r="S260" s="106">
        <f>VLOOKUP($A260,'VKT US'!$B$63:$AA$113,(S$223+1),FALSE)/VLOOKUP($A260,'Fuel economy adjusted factor'!$A$2:$G$52,7,FALSE)*VLOOKUP($A260,'US Grid mix, emissions&amp;prices'!$AE$2:$AI$52,5,FALSE)/(1+$AZ$41)^S$223</f>
        <v>700.24163089032027</v>
      </c>
      <c r="T260" s="106">
        <f>VLOOKUP($A260,'VKT US'!$B$63:$AA$113,(T$223+1),FALSE)/VLOOKUP($A260,'Fuel economy adjusted factor'!$A$2:$G$52,7,FALSE)*VLOOKUP($A260,'US Grid mix, emissions&amp;prices'!$AE$2:$AI$52,5,FALSE)/(1+$AZ$41)^T$223</f>
        <v>677.45168191156426</v>
      </c>
      <c r="U260" s="109">
        <f>VLOOKUP($A260,'VKT US'!$B$63:$AA$113,(U$223+1),FALSE)/VLOOKUP($A260,'Fuel economy adjusted factor'!$A$2:$G$52,7,FALSE)*VLOOKUP($A260,'US Grid mix, emissions&amp;prices'!$AE$2:$AI$52,5,FALSE)/(1+$AZ$41)^U$223</f>
        <v>656.28354864062146</v>
      </c>
      <c r="V260" s="110" cm="1">
        <f t="array" ref="V260">SUMPRODUCT(INDEX(B260:U260,,_xlfn.SEQUENCE($AZ$13)))</f>
        <v>14831.333432380752</v>
      </c>
    </row>
    <row r="261" spans="1:22" x14ac:dyDescent="0.25">
      <c r="A261" s="102" t="s">
        <v>220</v>
      </c>
      <c r="B261" s="106">
        <f>VLOOKUP($A261,'VKT US'!$B$63:$AA$113,(B$223+1),FALSE)/VLOOKUP($A261,'Fuel economy adjusted factor'!$A$2:$G$52,7,FALSE)*VLOOKUP($A261,'US Grid mix, emissions&amp;prices'!$AE$2:$AI$52,5,FALSE)/(1+$AZ$41)^B$223</f>
        <v>1277.7395544600236</v>
      </c>
      <c r="C261" s="106">
        <f>VLOOKUP($A261,'VKT US'!$B$63:$AA$113,(C$223+1),FALSE)/VLOOKUP($A261,'Fuel economy adjusted factor'!$A$2:$G$52,7,FALSE)*VLOOKUP($A261,'US Grid mix, emissions&amp;prices'!$AE$2:$AI$52,5,FALSE)/(1+$AZ$41)^C$223</f>
        <v>1225.0353262968774</v>
      </c>
      <c r="D261" s="106">
        <f>VLOOKUP($A261,'VKT US'!$B$63:$AA$113,(D$223+1),FALSE)/VLOOKUP($A261,'Fuel economy adjusted factor'!$A$2:$G$52,7,FALSE)*VLOOKUP($A261,'US Grid mix, emissions&amp;prices'!$AE$2:$AI$52,5,FALSE)/(1+$AZ$41)^D$223</f>
        <v>1174.5722233670342</v>
      </c>
      <c r="E261" s="106">
        <f>VLOOKUP($A261,'VKT US'!$B$63:$AA$113,(E$223+1),FALSE)/VLOOKUP($A261,'Fuel economy adjusted factor'!$A$2:$G$52,7,FALSE)*VLOOKUP($A261,'US Grid mix, emissions&amp;prices'!$AE$2:$AI$52,5,FALSE)/(1+$AZ$41)^E$223</f>
        <v>1126.3796226535455</v>
      </c>
      <c r="F261" s="106">
        <f>VLOOKUP($A261,'VKT US'!$B$63:$AA$113,(F$223+1),FALSE)/VLOOKUP($A261,'Fuel economy adjusted factor'!$A$2:$G$52,7,FALSE)*VLOOKUP($A261,'US Grid mix, emissions&amp;prices'!$AE$2:$AI$52,5,FALSE)/(1+$AZ$41)^F$223</f>
        <v>1080.3080546617075</v>
      </c>
      <c r="G261" s="106">
        <f>VLOOKUP($A261,'VKT US'!$B$63:$AA$113,(G$223+1),FALSE)/VLOOKUP($A261,'Fuel economy adjusted factor'!$A$2:$G$52,7,FALSE)*VLOOKUP($A261,'US Grid mix, emissions&amp;prices'!$AE$2:$AI$52,5,FALSE)/(1+$AZ$41)^G$223</f>
        <v>1036.4742407256031</v>
      </c>
      <c r="H261" s="106">
        <f>VLOOKUP($A261,'VKT US'!$B$63:$AA$113,(H$223+1),FALSE)/VLOOKUP($A261,'Fuel economy adjusted factor'!$A$2:$G$52,7,FALSE)*VLOOKUP($A261,'US Grid mix, emissions&amp;prices'!$AE$2:$AI$52,5,FALSE)/(1+$AZ$41)^H$223</f>
        <v>994.55851953831905</v>
      </c>
      <c r="I261" s="106">
        <f>VLOOKUP($A261,'VKT US'!$B$63:$AA$113,(I$223+1),FALSE)/VLOOKUP($A261,'Fuel economy adjusted factor'!$A$2:$G$52,7,FALSE)*VLOOKUP($A261,'US Grid mix, emissions&amp;prices'!$AE$2:$AI$52,5,FALSE)/(1+$AZ$41)^I$223</f>
        <v>954.67905282744414</v>
      </c>
      <c r="J261" s="106">
        <f>VLOOKUP($A261,'VKT US'!$B$63:$AA$113,(J$223+1),FALSE)/VLOOKUP($A261,'Fuel economy adjusted factor'!$A$2:$G$52,7,FALSE)*VLOOKUP($A261,'US Grid mix, emissions&amp;prices'!$AE$2:$AI$52,5,FALSE)/(1+$AZ$41)^J$223</f>
        <v>916.77935730396871</v>
      </c>
      <c r="K261" s="106">
        <f>VLOOKUP($A261,'VKT US'!$B$63:$AA$113,(K$223+1),FALSE)/VLOOKUP($A261,'Fuel economy adjusted factor'!$A$2:$G$52,7,FALSE)*VLOOKUP($A261,'US Grid mix, emissions&amp;prices'!$AE$2:$AI$52,5,FALSE)/(1+$AZ$41)^K$223</f>
        <v>880.80416992599601</v>
      </c>
      <c r="L261" s="106">
        <f>VLOOKUP($A261,'VKT US'!$B$63:$AA$113,(L$223+1),FALSE)/VLOOKUP($A261,'Fuel economy adjusted factor'!$A$2:$G$52,7,FALSE)*VLOOKUP($A261,'US Grid mix, emissions&amp;prices'!$AE$2:$AI$52,5,FALSE)/(1+$AZ$41)^L$223</f>
        <v>846.6175549324505</v>
      </c>
      <c r="M261" s="106">
        <f>VLOOKUP($A261,'VKT US'!$B$63:$AA$113,(M$223+1),FALSE)/VLOOKUP($A261,'Fuel economy adjusted factor'!$A$2:$G$52,7,FALSE)*VLOOKUP($A261,'US Grid mix, emissions&amp;prices'!$AE$2:$AI$52,5,FALSE)/(1+$AZ$41)^M$223</f>
        <v>814.25043280987074</v>
      </c>
      <c r="N261" s="106">
        <f>VLOOKUP($A261,'VKT US'!$B$63:$AA$113,(N$223+1),FALSE)/VLOOKUP($A261,'Fuel economy adjusted factor'!$A$2:$G$52,7,FALSE)*VLOOKUP($A261,'US Grid mix, emissions&amp;prices'!$AE$2:$AI$52,5,FALSE)/(1+$AZ$41)^N$223</f>
        <v>783.57109052054466</v>
      </c>
      <c r="O261" s="106">
        <f>VLOOKUP($A261,'VKT US'!$B$63:$AA$113,(O$223+1),FALSE)/VLOOKUP($A261,'Fuel economy adjusted factor'!$A$2:$G$52,7,FALSE)*VLOOKUP($A261,'US Grid mix, emissions&amp;prices'!$AE$2:$AI$52,5,FALSE)/(1+$AZ$41)^O$223</f>
        <v>754.61072191272194</v>
      </c>
      <c r="P261" s="106">
        <f>VLOOKUP($A261,'VKT US'!$B$63:$AA$113,(P$223+1),FALSE)/VLOOKUP($A261,'Fuel economy adjusted factor'!$A$2:$G$52,7,FALSE)*VLOOKUP($A261,'US Grid mix, emissions&amp;prices'!$AE$2:$AI$52,5,FALSE)/(1+$AZ$41)^P$223</f>
        <v>727.24170583799685</v>
      </c>
      <c r="Q261" s="106">
        <f>VLOOKUP($A261,'VKT US'!$B$63:$AA$113,(Q$223+1),FALSE)/VLOOKUP($A261,'Fuel economy adjusted factor'!$A$2:$G$52,7,FALSE)*VLOOKUP($A261,'US Grid mix, emissions&amp;prices'!$AE$2:$AI$52,5,FALSE)/(1+$AZ$41)^Q$223</f>
        <v>701.57260202910356</v>
      </c>
      <c r="R261" s="106">
        <f>VLOOKUP($A261,'VKT US'!$B$63:$AA$113,(R$223+1),FALSE)/VLOOKUP($A261,'Fuel economy adjusted factor'!$A$2:$G$52,7,FALSE)*VLOOKUP($A261,'US Grid mix, emissions&amp;prices'!$AE$2:$AI$52,5,FALSE)/(1+$AZ$41)^R$223</f>
        <v>677.32458021688763</v>
      </c>
      <c r="S261" s="106">
        <f>VLOOKUP($A261,'VKT US'!$B$63:$AA$113,(S$223+1),FALSE)/VLOOKUP($A261,'Fuel economy adjusted factor'!$A$2:$G$52,7,FALSE)*VLOOKUP($A261,'US Grid mix, emissions&amp;prices'!$AE$2:$AI$52,5,FALSE)/(1+$AZ$41)^S$223</f>
        <v>654.68263763002017</v>
      </c>
      <c r="T261" s="106">
        <f>VLOOKUP($A261,'VKT US'!$B$63:$AA$113,(T$223+1),FALSE)/VLOOKUP($A261,'Fuel economy adjusted factor'!$A$2:$G$52,7,FALSE)*VLOOKUP($A261,'US Grid mix, emissions&amp;prices'!$AE$2:$AI$52,5,FALSE)/(1+$AZ$41)^T$223</f>
        <v>633.37544415468312</v>
      </c>
      <c r="U261" s="109">
        <f>VLOOKUP($A261,'VKT US'!$B$63:$AA$113,(U$223+1),FALSE)/VLOOKUP($A261,'Fuel economy adjusted factor'!$A$2:$G$52,7,FALSE)*VLOOKUP($A261,'US Grid mix, emissions&amp;prices'!$AE$2:$AI$52,5,FALSE)/(1+$AZ$41)^U$223</f>
        <v>613.58454810940748</v>
      </c>
      <c r="V261" s="110" cm="1">
        <f t="array" ref="V261">SUMPRODUCT(INDEX(B261:U261,,_xlfn.SEQUENCE($AZ$13)))</f>
        <v>13866.37992193611</v>
      </c>
    </row>
    <row r="262" spans="1:22" x14ac:dyDescent="0.25">
      <c r="A262" s="102" t="s">
        <v>221</v>
      </c>
      <c r="B262" s="106">
        <f>VLOOKUP($A262,'VKT US'!$B$63:$AA$113,(B$223+1),FALSE)/VLOOKUP($A262,'Fuel economy adjusted factor'!$A$2:$G$52,7,FALSE)*VLOOKUP($A262,'US Grid mix, emissions&amp;prices'!$AE$2:$AI$52,5,FALSE)/(1+$AZ$41)^B$223</f>
        <v>1107.7942762767934</v>
      </c>
      <c r="C262" s="106">
        <f>VLOOKUP($A262,'VKT US'!$B$63:$AA$113,(C$223+1),FALSE)/VLOOKUP($A262,'Fuel economy adjusted factor'!$A$2:$G$52,7,FALSE)*VLOOKUP($A262,'US Grid mix, emissions&amp;prices'!$AE$2:$AI$52,5,FALSE)/(1+$AZ$41)^C$223</f>
        <v>1062.0999545420377</v>
      </c>
      <c r="D262" s="106">
        <f>VLOOKUP($A262,'VKT US'!$B$63:$AA$113,(D$223+1),FALSE)/VLOOKUP($A262,'Fuel economy adjusted factor'!$A$2:$G$52,7,FALSE)*VLOOKUP($A262,'US Grid mix, emissions&amp;prices'!$AE$2:$AI$52,5,FALSE)/(1+$AZ$41)^D$223</f>
        <v>1018.348678005505</v>
      </c>
      <c r="E262" s="106">
        <f>VLOOKUP($A262,'VKT US'!$B$63:$AA$113,(E$223+1),FALSE)/VLOOKUP($A262,'Fuel economy adjusted factor'!$A$2:$G$52,7,FALSE)*VLOOKUP($A262,'US Grid mix, emissions&amp;prices'!$AE$2:$AI$52,5,FALSE)/(1+$AZ$41)^E$223</f>
        <v>976.56591637545</v>
      </c>
      <c r="F262" s="106">
        <f>VLOOKUP($A262,'VKT US'!$B$63:$AA$113,(F$223+1),FALSE)/VLOOKUP($A262,'Fuel economy adjusted factor'!$A$2:$G$52,7,FALSE)*VLOOKUP($A262,'US Grid mix, emissions&amp;prices'!$AE$2:$AI$52,5,FALSE)/(1+$AZ$41)^F$223</f>
        <v>936.62208029218505</v>
      </c>
      <c r="G262" s="106">
        <f>VLOOKUP($A262,'VKT US'!$B$63:$AA$113,(G$223+1),FALSE)/VLOOKUP($A262,'Fuel economy adjusted factor'!$A$2:$G$52,7,FALSE)*VLOOKUP($A262,'US Grid mix, emissions&amp;prices'!$AE$2:$AI$52,5,FALSE)/(1+$AZ$41)^G$223</f>
        <v>898.61836661180234</v>
      </c>
      <c r="H262" s="106">
        <f>VLOOKUP($A262,'VKT US'!$B$63:$AA$113,(H$223+1),FALSE)/VLOOKUP($A262,'Fuel economy adjusted factor'!$A$2:$G$52,7,FALSE)*VLOOKUP($A262,'US Grid mix, emissions&amp;prices'!$AE$2:$AI$52,5,FALSE)/(1+$AZ$41)^H$223</f>
        <v>862.27763046161704</v>
      </c>
      <c r="I262" s="106">
        <f>VLOOKUP($A262,'VKT US'!$B$63:$AA$113,(I$223+1),FALSE)/VLOOKUP($A262,'Fuel economy adjusted factor'!$A$2:$G$52,7,FALSE)*VLOOKUP($A262,'US Grid mix, emissions&amp;prices'!$AE$2:$AI$52,5,FALSE)/(1+$AZ$41)^I$223</f>
        <v>827.70231751222036</v>
      </c>
      <c r="J262" s="106">
        <f>VLOOKUP($A262,'VKT US'!$B$63:$AA$113,(J$223+1),FALSE)/VLOOKUP($A262,'Fuel economy adjusted factor'!$A$2:$G$52,7,FALSE)*VLOOKUP($A262,'US Grid mix, emissions&amp;prices'!$AE$2:$AI$52,5,FALSE)/(1+$AZ$41)^J$223</f>
        <v>794.84345701362474</v>
      </c>
      <c r="K262" s="106">
        <f>VLOOKUP($A262,'VKT US'!$B$63:$AA$113,(K$223+1),FALSE)/VLOOKUP($A262,'Fuel economy adjusted factor'!$A$2:$G$52,7,FALSE)*VLOOKUP($A262,'US Grid mix, emissions&amp;prices'!$AE$2:$AI$52,5,FALSE)/(1+$AZ$41)^K$223</f>
        <v>763.6531361644395</v>
      </c>
      <c r="L262" s="106">
        <f>VLOOKUP($A262,'VKT US'!$B$63:$AA$113,(L$223+1),FALSE)/VLOOKUP($A262,'Fuel economy adjusted factor'!$A$2:$G$52,7,FALSE)*VLOOKUP($A262,'US Grid mix, emissions&amp;prices'!$AE$2:$AI$52,5,FALSE)/(1+$AZ$41)^L$223</f>
        <v>734.0134992893544</v>
      </c>
      <c r="M262" s="106">
        <f>VLOOKUP($A262,'VKT US'!$B$63:$AA$113,(M$223+1),FALSE)/VLOOKUP($A262,'Fuel economy adjusted factor'!$A$2:$G$52,7,FALSE)*VLOOKUP($A262,'US Grid mix, emissions&amp;prices'!$AE$2:$AI$52,5,FALSE)/(1+$AZ$41)^M$223</f>
        <v>705.95135430700009</v>
      </c>
      <c r="N262" s="106">
        <f>VLOOKUP($A262,'VKT US'!$B$63:$AA$113,(N$223+1),FALSE)/VLOOKUP($A262,'Fuel economy adjusted factor'!$A$2:$G$52,7,FALSE)*VLOOKUP($A262,'US Grid mix, emissions&amp;prices'!$AE$2:$AI$52,5,FALSE)/(1+$AZ$41)^N$223</f>
        <v>679.35250662366707</v>
      </c>
      <c r="O262" s="106">
        <f>VLOOKUP($A262,'VKT US'!$B$63:$AA$113,(O$223+1),FALSE)/VLOOKUP($A262,'Fuel economy adjusted factor'!$A$2:$G$52,7,FALSE)*VLOOKUP($A262,'US Grid mix, emissions&amp;prices'!$AE$2:$AI$52,5,FALSE)/(1+$AZ$41)^O$223</f>
        <v>654.24400116132358</v>
      </c>
      <c r="P262" s="106">
        <f>VLOOKUP($A262,'VKT US'!$B$63:$AA$113,(P$223+1),FALSE)/VLOOKUP($A262,'Fuel economy adjusted factor'!$A$2:$G$52,7,FALSE)*VLOOKUP($A262,'US Grid mix, emissions&amp;prices'!$AE$2:$AI$52,5,FALSE)/(1+$AZ$41)^P$223</f>
        <v>630.51519097533753</v>
      </c>
      <c r="Q262" s="106">
        <f>VLOOKUP($A262,'VKT US'!$B$63:$AA$113,(Q$223+1),FALSE)/VLOOKUP($A262,'Fuel economy adjusted factor'!$A$2:$G$52,7,FALSE)*VLOOKUP($A262,'US Grid mix, emissions&amp;prices'!$AE$2:$AI$52,5,FALSE)/(1+$AZ$41)^Q$223</f>
        <v>608.2601968512306</v>
      </c>
      <c r="R262" s="106">
        <f>VLOOKUP($A262,'VKT US'!$B$63:$AA$113,(R$223+1),FALSE)/VLOOKUP($A262,'Fuel economy adjusted factor'!$A$2:$G$52,7,FALSE)*VLOOKUP($A262,'US Grid mix, emissions&amp;prices'!$AE$2:$AI$52,5,FALSE)/(1+$AZ$41)^R$223</f>
        <v>587.23727423695834</v>
      </c>
      <c r="S262" s="106">
        <f>VLOOKUP($A262,'VKT US'!$B$63:$AA$113,(S$223+1),FALSE)/VLOOKUP($A262,'Fuel economy adjusted factor'!$A$2:$G$52,7,FALSE)*VLOOKUP($A262,'US Grid mix, emissions&amp;prices'!$AE$2:$AI$52,5,FALSE)/(1+$AZ$41)^S$223</f>
        <v>567.60681487302372</v>
      </c>
      <c r="T262" s="106">
        <f>VLOOKUP($A262,'VKT US'!$B$63:$AA$113,(T$223+1),FALSE)/VLOOKUP($A262,'Fuel economy adjusted factor'!$A$2:$G$52,7,FALSE)*VLOOKUP($A262,'US Grid mix, emissions&amp;prices'!$AE$2:$AI$52,5,FALSE)/(1+$AZ$41)^T$223</f>
        <v>549.1335768073244</v>
      </c>
      <c r="U262" s="109">
        <f>VLOOKUP($A262,'VKT US'!$B$63:$AA$113,(U$223+1),FALSE)/VLOOKUP($A262,'Fuel economy adjusted factor'!$A$2:$G$52,7,FALSE)*VLOOKUP($A262,'US Grid mix, emissions&amp;prices'!$AE$2:$AI$52,5,FALSE)/(1+$AZ$41)^U$223</f>
        <v>531.9749615912441</v>
      </c>
      <c r="V262" s="110" cm="1">
        <f t="array" ref="V262">SUMPRODUCT(INDEX(B262:U262,,_xlfn.SEQUENCE($AZ$13)))</f>
        <v>12022.087174637021</v>
      </c>
    </row>
    <row r="263" spans="1:22" x14ac:dyDescent="0.25">
      <c r="A263" s="102" t="s">
        <v>222</v>
      </c>
      <c r="B263" s="106">
        <f>VLOOKUP($A263,'VKT US'!$B$63:$AA$113,(B$223+1),FALSE)/VLOOKUP($A263,'Fuel economy adjusted factor'!$A$2:$G$52,7,FALSE)*VLOOKUP($A263,'US Grid mix, emissions&amp;prices'!$AE$2:$AI$52,5,FALSE)/(1+$AZ$41)^B$223</f>
        <v>1629.6197036384965</v>
      </c>
      <c r="C263" s="106">
        <f>VLOOKUP($A263,'VKT US'!$B$63:$AA$113,(C$223+1),FALSE)/VLOOKUP($A263,'Fuel economy adjusted factor'!$A$2:$G$52,7,FALSE)*VLOOKUP($A263,'US Grid mix, emissions&amp;prices'!$AE$2:$AI$52,5,FALSE)/(1+$AZ$41)^C$223</f>
        <v>1562.4011156407114</v>
      </c>
      <c r="D263" s="106">
        <f>VLOOKUP($A263,'VKT US'!$B$63:$AA$113,(D$223+1),FALSE)/VLOOKUP($A263,'Fuel economy adjusted factor'!$A$2:$G$52,7,FALSE)*VLOOKUP($A263,'US Grid mix, emissions&amp;prices'!$AE$2:$AI$52,5,FALSE)/(1+$AZ$41)^D$223</f>
        <v>1498.0408424111934</v>
      </c>
      <c r="E263" s="106">
        <f>VLOOKUP($A263,'VKT US'!$B$63:$AA$113,(E$223+1),FALSE)/VLOOKUP($A263,'Fuel economy adjusted factor'!$A$2:$G$52,7,FALSE)*VLOOKUP($A263,'US Grid mix, emissions&amp;prices'!$AE$2:$AI$52,5,FALSE)/(1+$AZ$41)^E$223</f>
        <v>1436.5763511397515</v>
      </c>
      <c r="F263" s="106">
        <f>VLOOKUP($A263,'VKT US'!$B$63:$AA$113,(F$223+1),FALSE)/VLOOKUP($A263,'Fuel economy adjusted factor'!$A$2:$G$52,7,FALSE)*VLOOKUP($A263,'US Grid mix, emissions&amp;prices'!$AE$2:$AI$52,5,FALSE)/(1+$AZ$41)^F$223</f>
        <v>1377.8170095235732</v>
      </c>
      <c r="G263" s="106">
        <f>VLOOKUP($A263,'VKT US'!$B$63:$AA$113,(G$223+1),FALSE)/VLOOKUP($A263,'Fuel economy adjusted factor'!$A$2:$G$52,7,FALSE)*VLOOKUP($A263,'US Grid mix, emissions&amp;prices'!$AE$2:$AI$52,5,FALSE)/(1+$AZ$41)^G$223</f>
        <v>1321.9116831003907</v>
      </c>
      <c r="H263" s="106">
        <f>VLOOKUP($A263,'VKT US'!$B$63:$AA$113,(H$223+1),FALSE)/VLOOKUP($A263,'Fuel economy adjusted factor'!$A$2:$G$52,7,FALSE)*VLOOKUP($A263,'US Grid mix, emissions&amp;prices'!$AE$2:$AI$52,5,FALSE)/(1+$AZ$41)^H$223</f>
        <v>1268.4526781720488</v>
      </c>
      <c r="I263" s="106">
        <f>VLOOKUP($A263,'VKT US'!$B$63:$AA$113,(I$223+1),FALSE)/VLOOKUP($A263,'Fuel economy adjusted factor'!$A$2:$G$52,7,FALSE)*VLOOKUP($A263,'US Grid mix, emissions&amp;prices'!$AE$2:$AI$52,5,FALSE)/(1+$AZ$41)^I$223</f>
        <v>1217.5906973436463</v>
      </c>
      <c r="J263" s="106">
        <f>VLOOKUP($A263,'VKT US'!$B$63:$AA$113,(J$223+1),FALSE)/VLOOKUP($A263,'Fuel economy adjusted factor'!$A$2:$G$52,7,FALSE)*VLOOKUP($A263,'US Grid mix, emissions&amp;prices'!$AE$2:$AI$52,5,FALSE)/(1+$AZ$41)^J$223</f>
        <v>1169.2537022405586</v>
      </c>
      <c r="K263" s="106">
        <f>VLOOKUP($A263,'VKT US'!$B$63:$AA$113,(K$223+1),FALSE)/VLOOKUP($A263,'Fuel economy adjusted factor'!$A$2:$G$52,7,FALSE)*VLOOKUP($A263,'US Grid mix, emissions&amp;prices'!$AE$2:$AI$52,5,FALSE)/(1+$AZ$41)^K$223</f>
        <v>1123.3712107824254</v>
      </c>
      <c r="L263" s="106">
        <f>VLOOKUP($A263,'VKT US'!$B$63:$AA$113,(L$223+1),FALSE)/VLOOKUP($A263,'Fuel economy adjusted factor'!$A$2:$G$52,7,FALSE)*VLOOKUP($A263,'US Grid mix, emissions&amp;prices'!$AE$2:$AI$52,5,FALSE)/(1+$AZ$41)^L$223</f>
        <v>1079.7698514915419</v>
      </c>
      <c r="M263" s="106">
        <f>VLOOKUP($A263,'VKT US'!$B$63:$AA$113,(M$223+1),FALSE)/VLOOKUP($A263,'Fuel economy adjusted factor'!$A$2:$G$52,7,FALSE)*VLOOKUP($A263,'US Grid mix, emissions&amp;prices'!$AE$2:$AI$52,5,FALSE)/(1+$AZ$41)^M$223</f>
        <v>1038.4890601308016</v>
      </c>
      <c r="N263" s="106">
        <f>VLOOKUP($A263,'VKT US'!$B$63:$AA$113,(N$223+1),FALSE)/VLOOKUP($A263,'Fuel economy adjusted factor'!$A$2:$G$52,7,FALSE)*VLOOKUP($A263,'US Grid mix, emissions&amp;prices'!$AE$2:$AI$52,5,FALSE)/(1+$AZ$41)^N$223</f>
        <v>999.36085085306354</v>
      </c>
      <c r="O263" s="106">
        <f>VLOOKUP($A263,'VKT US'!$B$63:$AA$113,(O$223+1),FALSE)/VLOOKUP($A263,'Fuel economy adjusted factor'!$A$2:$G$52,7,FALSE)*VLOOKUP($A263,'US Grid mix, emissions&amp;prices'!$AE$2:$AI$52,5,FALSE)/(1+$AZ$41)^O$223</f>
        <v>962.425008064753</v>
      </c>
      <c r="P263" s="106">
        <f>VLOOKUP($A263,'VKT US'!$B$63:$AA$113,(P$223+1),FALSE)/VLOOKUP($A263,'Fuel economy adjusted factor'!$A$2:$G$52,7,FALSE)*VLOOKUP($A263,'US Grid mix, emissions&amp;prices'!$AE$2:$AI$52,5,FALSE)/(1+$AZ$41)^P$223</f>
        <v>927.5187646844895</v>
      </c>
      <c r="Q263" s="106">
        <f>VLOOKUP($A263,'VKT US'!$B$63:$AA$113,(Q$223+1),FALSE)/VLOOKUP($A263,'Fuel economy adjusted factor'!$A$2:$G$52,7,FALSE)*VLOOKUP($A263,'US Grid mix, emissions&amp;prices'!$AE$2:$AI$52,5,FALSE)/(1+$AZ$41)^Q$223</f>
        <v>894.78057700320403</v>
      </c>
      <c r="R263" s="106">
        <f>VLOOKUP($A263,'VKT US'!$B$63:$AA$113,(R$223+1),FALSE)/VLOOKUP($A263,'Fuel economy adjusted factor'!$A$2:$G$52,7,FALSE)*VLOOKUP($A263,'US Grid mix, emissions&amp;prices'!$AE$2:$AI$52,5,FALSE)/(1+$AZ$41)^R$223</f>
        <v>863.85482693033987</v>
      </c>
      <c r="S263" s="106">
        <f>VLOOKUP($A263,'VKT US'!$B$63:$AA$113,(S$223+1),FALSE)/VLOOKUP($A263,'Fuel economy adjusted factor'!$A$2:$G$52,7,FALSE)*VLOOKUP($A263,'US Grid mix, emissions&amp;prices'!$AE$2:$AI$52,5,FALSE)/(1+$AZ$41)^S$223</f>
        <v>834.97745858135443</v>
      </c>
      <c r="T263" s="106">
        <f>VLOOKUP($A263,'VKT US'!$B$63:$AA$113,(T$223+1),FALSE)/VLOOKUP($A263,'Fuel economy adjusted factor'!$A$2:$G$52,7,FALSE)*VLOOKUP($A263,'US Grid mix, emissions&amp;prices'!$AE$2:$AI$52,5,FALSE)/(1+$AZ$41)^T$223</f>
        <v>807.80241950907612</v>
      </c>
      <c r="U263" s="109">
        <f>VLOOKUP($A263,'VKT US'!$B$63:$AA$113,(U$223+1),FALSE)/VLOOKUP($A263,'Fuel economy adjusted factor'!$A$2:$G$52,7,FALSE)*VLOOKUP($A263,'US Grid mix, emissions&amp;prices'!$AE$2:$AI$52,5,FALSE)/(1+$AZ$41)^U$223</f>
        <v>782.56125511413632</v>
      </c>
      <c r="V263" s="110" cm="1">
        <f t="array" ref="V263">SUMPRODUCT(INDEX(B263:U263,,_xlfn.SEQUENCE($AZ$13)))</f>
        <v>17685.079764532959</v>
      </c>
    </row>
    <row r="264" spans="1:22" x14ac:dyDescent="0.25">
      <c r="A264" s="102" t="s">
        <v>223</v>
      </c>
      <c r="B264" s="106">
        <f>VLOOKUP($A264,'VKT US'!$B$63:$AA$113,(B$223+1),FALSE)/VLOOKUP($A264,'Fuel economy adjusted factor'!$A$2:$G$52,7,FALSE)*VLOOKUP($A264,'US Grid mix, emissions&amp;prices'!$AE$2:$AI$52,5,FALSE)/(1+$AZ$41)^B$223</f>
        <v>1761.665508660991</v>
      </c>
      <c r="C264" s="106">
        <f>VLOOKUP($A264,'VKT US'!$B$63:$AA$113,(C$223+1),FALSE)/VLOOKUP($A264,'Fuel economy adjusted factor'!$A$2:$G$52,7,FALSE)*VLOOKUP($A264,'US Grid mix, emissions&amp;prices'!$AE$2:$AI$52,5,FALSE)/(1+$AZ$41)^C$223</f>
        <v>1689.0002925052215</v>
      </c>
      <c r="D264" s="106">
        <f>VLOOKUP($A264,'VKT US'!$B$63:$AA$113,(D$223+1),FALSE)/VLOOKUP($A264,'Fuel economy adjusted factor'!$A$2:$G$52,7,FALSE)*VLOOKUP($A264,'US Grid mix, emissions&amp;prices'!$AE$2:$AI$52,5,FALSE)/(1+$AZ$41)^D$223</f>
        <v>1619.4249963650918</v>
      </c>
      <c r="E264" s="106">
        <f>VLOOKUP($A264,'VKT US'!$B$63:$AA$113,(E$223+1),FALSE)/VLOOKUP($A264,'Fuel economy adjusted factor'!$A$2:$G$52,7,FALSE)*VLOOKUP($A264,'US Grid mix, emissions&amp;prices'!$AE$2:$AI$52,5,FALSE)/(1+$AZ$41)^E$223</f>
        <v>1552.98012334439</v>
      </c>
      <c r="F264" s="106">
        <f>VLOOKUP($A264,'VKT US'!$B$63:$AA$113,(F$223+1),FALSE)/VLOOKUP($A264,'Fuel economy adjusted factor'!$A$2:$G$52,7,FALSE)*VLOOKUP($A264,'US Grid mix, emissions&amp;prices'!$AE$2:$AI$52,5,FALSE)/(1+$AZ$41)^F$223</f>
        <v>1489.4595944714695</v>
      </c>
      <c r="G264" s="106">
        <f>VLOOKUP($A264,'VKT US'!$B$63:$AA$113,(G$223+1),FALSE)/VLOOKUP($A264,'Fuel economy adjusted factor'!$A$2:$G$52,7,FALSE)*VLOOKUP($A264,'US Grid mix, emissions&amp;prices'!$AE$2:$AI$52,5,FALSE)/(1+$AZ$41)^G$223</f>
        <v>1429.0243376503465</v>
      </c>
      <c r="H264" s="106">
        <f>VLOOKUP($A264,'VKT US'!$B$63:$AA$113,(H$223+1),FALSE)/VLOOKUP($A264,'Fuel economy adjusted factor'!$A$2:$G$52,7,FALSE)*VLOOKUP($A264,'US Grid mix, emissions&amp;prices'!$AE$2:$AI$52,5,FALSE)/(1+$AZ$41)^H$223</f>
        <v>1371.2336243327998</v>
      </c>
      <c r="I264" s="106">
        <f>VLOOKUP($A264,'VKT US'!$B$63:$AA$113,(I$223+1),FALSE)/VLOOKUP($A264,'Fuel economy adjusted factor'!$A$2:$G$52,7,FALSE)*VLOOKUP($A264,'US Grid mix, emissions&amp;prices'!$AE$2:$AI$52,5,FALSE)/(1+$AZ$41)^I$223</f>
        <v>1316.2503683452117</v>
      </c>
      <c r="J264" s="106">
        <f>VLOOKUP($A264,'VKT US'!$B$63:$AA$113,(J$223+1),FALSE)/VLOOKUP($A264,'Fuel economy adjusted factor'!$A$2:$G$52,7,FALSE)*VLOOKUP($A264,'US Grid mix, emissions&amp;prices'!$AE$2:$AI$52,5,FALSE)/(1+$AZ$41)^J$223</f>
        <v>1263.996694144231</v>
      </c>
      <c r="K264" s="106">
        <f>VLOOKUP($A264,'VKT US'!$B$63:$AA$113,(K$223+1),FALSE)/VLOOKUP($A264,'Fuel economy adjusted factor'!$A$2:$G$52,7,FALSE)*VLOOKUP($A264,'US Grid mix, emissions&amp;prices'!$AE$2:$AI$52,5,FALSE)/(1+$AZ$41)^K$223</f>
        <v>1214.3964085851183</v>
      </c>
      <c r="L264" s="106">
        <f>VLOOKUP($A264,'VKT US'!$B$63:$AA$113,(L$223+1),FALSE)/VLOOKUP($A264,'Fuel economy adjusted factor'!$A$2:$G$52,7,FALSE)*VLOOKUP($A264,'US Grid mix, emissions&amp;prices'!$AE$2:$AI$52,5,FALSE)/(1+$AZ$41)^L$223</f>
        <v>1167.2620921418481</v>
      </c>
      <c r="M264" s="106">
        <f>VLOOKUP($A264,'VKT US'!$B$63:$AA$113,(M$223+1),FALSE)/VLOOKUP($A264,'Fuel economy adjusted factor'!$A$2:$G$52,7,FALSE)*VLOOKUP($A264,'US Grid mix, emissions&amp;prices'!$AE$2:$AI$52,5,FALSE)/(1+$AZ$41)^M$223</f>
        <v>1122.6363760020172</v>
      </c>
      <c r="N264" s="106">
        <f>VLOOKUP($A264,'VKT US'!$B$63:$AA$113,(N$223+1),FALSE)/VLOOKUP($A264,'Fuel economy adjusted factor'!$A$2:$G$52,7,FALSE)*VLOOKUP($A264,'US Grid mix, emissions&amp;prices'!$AE$2:$AI$52,5,FALSE)/(1+$AZ$41)^N$223</f>
        <v>1080.3376626602746</v>
      </c>
      <c r="O264" s="106">
        <f>VLOOKUP($A264,'VKT US'!$B$63:$AA$113,(O$223+1),FALSE)/VLOOKUP($A264,'Fuel economy adjusted factor'!$A$2:$G$52,7,FALSE)*VLOOKUP($A264,'US Grid mix, emissions&amp;prices'!$AE$2:$AI$52,5,FALSE)/(1+$AZ$41)^O$223</f>
        <v>1040.4089601978467</v>
      </c>
      <c r="P264" s="106">
        <f>VLOOKUP($A264,'VKT US'!$B$63:$AA$113,(P$223+1),FALSE)/VLOOKUP($A264,'Fuel economy adjusted factor'!$A$2:$G$52,7,FALSE)*VLOOKUP($A264,'US Grid mix, emissions&amp;prices'!$AE$2:$AI$52,5,FALSE)/(1+$AZ$41)^P$223</f>
        <v>1002.6743127444327</v>
      </c>
      <c r="Q264" s="106">
        <f>VLOOKUP($A264,'VKT US'!$B$63:$AA$113,(Q$223+1),FALSE)/VLOOKUP($A264,'Fuel economy adjusted factor'!$A$2:$G$52,7,FALSE)*VLOOKUP($A264,'US Grid mix, emissions&amp;prices'!$AE$2:$AI$52,5,FALSE)/(1+$AZ$41)^Q$223</f>
        <v>967.28339551053966</v>
      </c>
      <c r="R264" s="106">
        <f>VLOOKUP($A264,'VKT US'!$B$63:$AA$113,(R$223+1),FALSE)/VLOOKUP($A264,'Fuel economy adjusted factor'!$A$2:$G$52,7,FALSE)*VLOOKUP($A264,'US Grid mix, emissions&amp;prices'!$AE$2:$AI$52,5,FALSE)/(1+$AZ$41)^R$223</f>
        <v>933.85177516918407</v>
      </c>
      <c r="S264" s="106">
        <f>VLOOKUP($A264,'VKT US'!$B$63:$AA$113,(S$223+1),FALSE)/VLOOKUP($A264,'Fuel economy adjusted factor'!$A$2:$G$52,7,FALSE)*VLOOKUP($A264,'US Grid mix, emissions&amp;prices'!$AE$2:$AI$52,5,FALSE)/(1+$AZ$41)^S$223</f>
        <v>902.63451405745207</v>
      </c>
      <c r="T264" s="106">
        <f>VLOOKUP($A264,'VKT US'!$B$63:$AA$113,(T$223+1),FALSE)/VLOOKUP($A264,'Fuel economy adjusted factor'!$A$2:$G$52,7,FALSE)*VLOOKUP($A264,'US Grid mix, emissions&amp;prices'!$AE$2:$AI$52,5,FALSE)/(1+$AZ$41)^T$223</f>
        <v>873.25751958244689</v>
      </c>
      <c r="U264" s="109">
        <f>VLOOKUP($A264,'VKT US'!$B$63:$AA$113,(U$223+1),FALSE)/VLOOKUP($A264,'Fuel economy adjusted factor'!$A$2:$G$52,7,FALSE)*VLOOKUP($A264,'US Grid mix, emissions&amp;prices'!$AE$2:$AI$52,5,FALSE)/(1+$AZ$41)^U$223</f>
        <v>845.97109894472032</v>
      </c>
      <c r="V264" s="110" cm="1">
        <f t="array" ref="V264">SUMPRODUCT(INDEX(B264:U264,,_xlfn.SEQUENCE($AZ$13)))</f>
        <v>19118.077039406853</v>
      </c>
    </row>
    <row r="265" spans="1:22" x14ac:dyDescent="0.25">
      <c r="A265" s="102" t="s">
        <v>224</v>
      </c>
      <c r="B265" s="106">
        <f>VLOOKUP($A265,'VKT US'!$B$63:$AA$113,(B$223+1),FALSE)/VLOOKUP($A265,'Fuel economy adjusted factor'!$A$2:$G$52,7,FALSE)*VLOOKUP($A265,'US Grid mix, emissions&amp;prices'!$AE$2:$AI$52,5,FALSE)/(1+$AZ$41)^B$223</f>
        <v>1678.8231694146114</v>
      </c>
      <c r="C265" s="106">
        <f>VLOOKUP($A265,'VKT US'!$B$63:$AA$113,(C$223+1),FALSE)/VLOOKUP($A265,'Fuel economy adjusted factor'!$A$2:$G$52,7,FALSE)*VLOOKUP($A265,'US Grid mix, emissions&amp;prices'!$AE$2:$AI$52,5,FALSE)/(1+$AZ$41)^C$223</f>
        <v>1609.5750358199707</v>
      </c>
      <c r="D265" s="106">
        <f>VLOOKUP($A265,'VKT US'!$B$63:$AA$113,(D$223+1),FALSE)/VLOOKUP($A265,'Fuel economy adjusted factor'!$A$2:$G$52,7,FALSE)*VLOOKUP($A265,'US Grid mix, emissions&amp;prices'!$AE$2:$AI$52,5,FALSE)/(1+$AZ$41)^D$223</f>
        <v>1543.2715187194326</v>
      </c>
      <c r="E265" s="106">
        <f>VLOOKUP($A265,'VKT US'!$B$63:$AA$113,(E$223+1),FALSE)/VLOOKUP($A265,'Fuel economy adjusted factor'!$A$2:$G$52,7,FALSE)*VLOOKUP($A265,'US Grid mix, emissions&amp;prices'!$AE$2:$AI$52,5,FALSE)/(1+$AZ$41)^E$223</f>
        <v>1479.9512165578985</v>
      </c>
      <c r="F265" s="106">
        <f>VLOOKUP($A265,'VKT US'!$B$63:$AA$113,(F$223+1),FALSE)/VLOOKUP($A265,'Fuel economy adjusted factor'!$A$2:$G$52,7,FALSE)*VLOOKUP($A265,'US Grid mix, emissions&amp;prices'!$AE$2:$AI$52,5,FALSE)/(1+$AZ$41)^F$223</f>
        <v>1419.4177412295521</v>
      </c>
      <c r="G265" s="106">
        <f>VLOOKUP($A265,'VKT US'!$B$63:$AA$113,(G$223+1),FALSE)/VLOOKUP($A265,'Fuel economy adjusted factor'!$A$2:$G$52,7,FALSE)*VLOOKUP($A265,'US Grid mix, emissions&amp;prices'!$AE$2:$AI$52,5,FALSE)/(1+$AZ$41)^G$223</f>
        <v>1361.8244530020147</v>
      </c>
      <c r="H265" s="106">
        <f>VLOOKUP($A265,'VKT US'!$B$63:$AA$113,(H$223+1),FALSE)/VLOOKUP($A265,'Fuel economy adjusted factor'!$A$2:$G$52,7,FALSE)*VLOOKUP($A265,'US Grid mix, emissions&amp;prices'!$AE$2:$AI$52,5,FALSE)/(1+$AZ$41)^H$223</f>
        <v>1306.7513485917241</v>
      </c>
      <c r="I265" s="106">
        <f>VLOOKUP($A265,'VKT US'!$B$63:$AA$113,(I$223+1),FALSE)/VLOOKUP($A265,'Fuel economy adjusted factor'!$A$2:$G$52,7,FALSE)*VLOOKUP($A265,'US Grid mix, emissions&amp;prices'!$AE$2:$AI$52,5,FALSE)/(1+$AZ$41)^I$223</f>
        <v>1254.3536808006468</v>
      </c>
      <c r="J265" s="106">
        <f>VLOOKUP($A265,'VKT US'!$B$63:$AA$113,(J$223+1),FALSE)/VLOOKUP($A265,'Fuel economy adjusted factor'!$A$2:$G$52,7,FALSE)*VLOOKUP($A265,'US Grid mix, emissions&amp;prices'!$AE$2:$AI$52,5,FALSE)/(1+$AZ$41)^J$223</f>
        <v>1204.5572361836851</v>
      </c>
      <c r="K265" s="106">
        <f>VLOOKUP($A265,'VKT US'!$B$63:$AA$113,(K$223+1),FALSE)/VLOOKUP($A265,'Fuel economy adjusted factor'!$A$2:$G$52,7,FALSE)*VLOOKUP($A265,'US Grid mix, emissions&amp;prices'!$AE$2:$AI$52,5,FALSE)/(1+$AZ$41)^K$223</f>
        <v>1157.2894045795395</v>
      </c>
      <c r="L265" s="106">
        <f>VLOOKUP($A265,'VKT US'!$B$63:$AA$113,(L$223+1),FALSE)/VLOOKUP($A265,'Fuel economy adjusted factor'!$A$2:$G$52,7,FALSE)*VLOOKUP($A265,'US Grid mix, emissions&amp;prices'!$AE$2:$AI$52,5,FALSE)/(1+$AZ$41)^L$223</f>
        <v>1112.3715798673854</v>
      </c>
      <c r="M265" s="106">
        <f>VLOOKUP($A265,'VKT US'!$B$63:$AA$113,(M$223+1),FALSE)/VLOOKUP($A265,'Fuel economy adjusted factor'!$A$2:$G$52,7,FALSE)*VLOOKUP($A265,'US Grid mix, emissions&amp;prices'!$AE$2:$AI$52,5,FALSE)/(1+$AZ$41)^M$223</f>
        <v>1069.8443885027702</v>
      </c>
      <c r="N265" s="106">
        <f>VLOOKUP($A265,'VKT US'!$B$63:$AA$113,(N$223+1),FALSE)/VLOOKUP($A265,'Fuel economy adjusted factor'!$A$2:$G$52,7,FALSE)*VLOOKUP($A265,'US Grid mix, emissions&amp;prices'!$AE$2:$AI$52,5,FALSE)/(1+$AZ$41)^N$223</f>
        <v>1029.5347726049606</v>
      </c>
      <c r="O265" s="106">
        <f>VLOOKUP($A265,'VKT US'!$B$63:$AA$113,(O$223+1),FALSE)/VLOOKUP($A265,'Fuel economy adjusted factor'!$A$2:$G$52,7,FALSE)*VLOOKUP($A265,'US Grid mix, emissions&amp;prices'!$AE$2:$AI$52,5,FALSE)/(1+$AZ$41)^O$223</f>
        <v>991.4837177997058</v>
      </c>
      <c r="P265" s="106">
        <f>VLOOKUP($A265,'VKT US'!$B$63:$AA$113,(P$223+1),FALSE)/VLOOKUP($A265,'Fuel economy adjusted factor'!$A$2:$G$52,7,FALSE)*VLOOKUP($A265,'US Grid mix, emissions&amp;prices'!$AE$2:$AI$52,5,FALSE)/(1+$AZ$41)^P$223</f>
        <v>955.52354254337422</v>
      </c>
      <c r="Q265" s="106">
        <f>VLOOKUP($A265,'VKT US'!$B$63:$AA$113,(Q$223+1),FALSE)/VLOOKUP($A265,'Fuel economy adjusted factor'!$A$2:$G$52,7,FALSE)*VLOOKUP($A265,'US Grid mix, emissions&amp;prices'!$AE$2:$AI$52,5,FALSE)/(1+$AZ$41)^Q$223</f>
        <v>921.79688356811016</v>
      </c>
      <c r="R265" s="106">
        <f>VLOOKUP($A265,'VKT US'!$B$63:$AA$113,(R$223+1),FALSE)/VLOOKUP($A265,'Fuel economy adjusted factor'!$A$2:$G$52,7,FALSE)*VLOOKUP($A265,'US Grid mix, emissions&amp;prices'!$AE$2:$AI$52,5,FALSE)/(1+$AZ$41)^R$223</f>
        <v>889.93738552821253</v>
      </c>
      <c r="S265" s="106">
        <f>VLOOKUP($A265,'VKT US'!$B$63:$AA$113,(S$223+1),FALSE)/VLOOKUP($A265,'Fuel economy adjusted factor'!$A$2:$G$52,7,FALSE)*VLOOKUP($A265,'US Grid mix, emissions&amp;prices'!$AE$2:$AI$52,5,FALSE)/(1+$AZ$41)^S$223</f>
        <v>860.18811645165761</v>
      </c>
      <c r="T265" s="106">
        <f>VLOOKUP($A265,'VKT US'!$B$63:$AA$113,(T$223+1),FALSE)/VLOOKUP($A265,'Fuel economy adjusted factor'!$A$2:$G$52,7,FALSE)*VLOOKUP($A265,'US Grid mix, emissions&amp;prices'!$AE$2:$AI$52,5,FALSE)/(1+$AZ$41)^T$223</f>
        <v>832.19257545370181</v>
      </c>
      <c r="U265" s="109">
        <f>VLOOKUP($A265,'VKT US'!$B$63:$AA$113,(U$223+1),FALSE)/VLOOKUP($A265,'Fuel economy adjusted factor'!$A$2:$G$52,7,FALSE)*VLOOKUP($A265,'US Grid mix, emissions&amp;prices'!$AE$2:$AI$52,5,FALSE)/(1+$AZ$41)^U$223</f>
        <v>806.18929903613309</v>
      </c>
      <c r="V265" s="110" cm="1">
        <f t="array" ref="V265">SUMPRODUCT(INDEX(B265:U265,,_xlfn.SEQUENCE($AZ$13)))</f>
        <v>18219.0492636739</v>
      </c>
    </row>
    <row r="266" spans="1:22" x14ac:dyDescent="0.25">
      <c r="A266" s="102" t="s">
        <v>225</v>
      </c>
      <c r="B266" s="106">
        <f>VLOOKUP($A266,'VKT US'!$B$63:$AA$113,(B$223+1),FALSE)/VLOOKUP($A266,'Fuel economy adjusted factor'!$A$2:$G$52,7,FALSE)*VLOOKUP($A266,'US Grid mix, emissions&amp;prices'!$AE$2:$AI$52,5,FALSE)/(1+$AZ$41)^B$223</f>
        <v>1774.2814522699277</v>
      </c>
      <c r="C266" s="106">
        <f>VLOOKUP($A266,'VKT US'!$B$63:$AA$113,(C$223+1),FALSE)/VLOOKUP($A266,'Fuel economy adjusted factor'!$A$2:$G$52,7,FALSE)*VLOOKUP($A266,'US Grid mix, emissions&amp;prices'!$AE$2:$AI$52,5,FALSE)/(1+$AZ$41)^C$223</f>
        <v>1701.0958534053837</v>
      </c>
      <c r="D266" s="106">
        <f>VLOOKUP($A266,'VKT US'!$B$63:$AA$113,(D$223+1),FALSE)/VLOOKUP($A266,'Fuel economy adjusted factor'!$A$2:$G$52,7,FALSE)*VLOOKUP($A266,'US Grid mix, emissions&amp;prices'!$AE$2:$AI$52,5,FALSE)/(1+$AZ$41)^D$223</f>
        <v>1631.0223026259005</v>
      </c>
      <c r="E266" s="106">
        <f>VLOOKUP($A266,'VKT US'!$B$63:$AA$113,(E$223+1),FALSE)/VLOOKUP($A266,'Fuel economy adjusted factor'!$A$2:$G$52,7,FALSE)*VLOOKUP($A266,'US Grid mix, emissions&amp;prices'!$AE$2:$AI$52,5,FALSE)/(1+$AZ$41)^E$223</f>
        <v>1564.1015930930969</v>
      </c>
      <c r="F266" s="106">
        <f>VLOOKUP($A266,'VKT US'!$B$63:$AA$113,(F$223+1),FALSE)/VLOOKUP($A266,'Fuel economy adjusted factor'!$A$2:$G$52,7,FALSE)*VLOOKUP($A266,'US Grid mix, emissions&amp;prices'!$AE$2:$AI$52,5,FALSE)/(1+$AZ$41)^F$223</f>
        <v>1500.1261700269645</v>
      </c>
      <c r="G266" s="106">
        <f>VLOOKUP($A266,'VKT US'!$B$63:$AA$113,(G$223+1),FALSE)/VLOOKUP($A266,'Fuel economy adjusted factor'!$A$2:$G$52,7,FALSE)*VLOOKUP($A266,'US Grid mix, emissions&amp;prices'!$AE$2:$AI$52,5,FALSE)/(1+$AZ$41)^G$223</f>
        <v>1439.2581137962497</v>
      </c>
      <c r="H266" s="106">
        <f>VLOOKUP($A266,'VKT US'!$B$63:$AA$113,(H$223+1),FALSE)/VLOOKUP($A266,'Fuel economy adjusted factor'!$A$2:$G$52,7,FALSE)*VLOOKUP($A266,'US Grid mix, emissions&amp;prices'!$AE$2:$AI$52,5,FALSE)/(1+$AZ$41)^H$223</f>
        <v>1381.053539631255</v>
      </c>
      <c r="I266" s="106">
        <f>VLOOKUP($A266,'VKT US'!$B$63:$AA$113,(I$223+1),FALSE)/VLOOKUP($A266,'Fuel economy adjusted factor'!$A$2:$G$52,7,FALSE)*VLOOKUP($A266,'US Grid mix, emissions&amp;prices'!$AE$2:$AI$52,5,FALSE)/(1+$AZ$41)^I$223</f>
        <v>1325.6765280450218</v>
      </c>
      <c r="J266" s="106">
        <f>VLOOKUP($A266,'VKT US'!$B$63:$AA$113,(J$223+1),FALSE)/VLOOKUP($A266,'Fuel economy adjusted factor'!$A$2:$G$52,7,FALSE)*VLOOKUP($A266,'US Grid mix, emissions&amp;prices'!$AE$2:$AI$52,5,FALSE)/(1+$AZ$41)^J$223</f>
        <v>1273.0486457983943</v>
      </c>
      <c r="K266" s="106">
        <f>VLOOKUP($A266,'VKT US'!$B$63:$AA$113,(K$223+1),FALSE)/VLOOKUP($A266,'Fuel economy adjusted factor'!$A$2:$G$52,7,FALSE)*VLOOKUP($A266,'US Grid mix, emissions&amp;prices'!$AE$2:$AI$52,5,FALSE)/(1+$AZ$41)^K$223</f>
        <v>1223.0931540991126</v>
      </c>
      <c r="L266" s="106">
        <f>VLOOKUP($A266,'VKT US'!$B$63:$AA$113,(L$223+1),FALSE)/VLOOKUP($A266,'Fuel economy adjusted factor'!$A$2:$G$52,7,FALSE)*VLOOKUP($A266,'US Grid mix, emissions&amp;prices'!$AE$2:$AI$52,5,FALSE)/(1+$AZ$41)^L$223</f>
        <v>1175.6212912400383</v>
      </c>
      <c r="M266" s="106">
        <f>VLOOKUP($A266,'VKT US'!$B$63:$AA$113,(M$223+1),FALSE)/VLOOKUP($A266,'Fuel economy adjusted factor'!$A$2:$G$52,7,FALSE)*VLOOKUP($A266,'US Grid mix, emissions&amp;prices'!$AE$2:$AI$52,5,FALSE)/(1+$AZ$41)^M$223</f>
        <v>1130.6759937065997</v>
      </c>
      <c r="N266" s="106">
        <f>VLOOKUP($A266,'VKT US'!$B$63:$AA$113,(N$223+1),FALSE)/VLOOKUP($A266,'Fuel economy adjusted factor'!$A$2:$G$52,7,FALSE)*VLOOKUP($A266,'US Grid mix, emissions&amp;prices'!$AE$2:$AI$52,5,FALSE)/(1+$AZ$41)^N$223</f>
        <v>1088.0743635059946</v>
      </c>
      <c r="O266" s="106">
        <f>VLOOKUP($A266,'VKT US'!$B$63:$AA$113,(O$223+1),FALSE)/VLOOKUP($A266,'Fuel economy adjusted factor'!$A$2:$G$52,7,FALSE)*VLOOKUP($A266,'US Grid mix, emissions&amp;prices'!$AE$2:$AI$52,5,FALSE)/(1+$AZ$41)^O$223</f>
        <v>1047.8597167163559</v>
      </c>
      <c r="P266" s="106">
        <f>VLOOKUP($A266,'VKT US'!$B$63:$AA$113,(P$223+1),FALSE)/VLOOKUP($A266,'Fuel economy adjusted factor'!$A$2:$G$52,7,FALSE)*VLOOKUP($A266,'US Grid mix, emissions&amp;prices'!$AE$2:$AI$52,5,FALSE)/(1+$AZ$41)^P$223</f>
        <v>1009.8548373817846</v>
      </c>
      <c r="Q266" s="106">
        <f>VLOOKUP($A266,'VKT US'!$B$63:$AA$113,(Q$223+1),FALSE)/VLOOKUP($A266,'Fuel economy adjusted factor'!$A$2:$G$52,7,FALSE)*VLOOKUP($A266,'US Grid mix, emissions&amp;prices'!$AE$2:$AI$52,5,FALSE)/(1+$AZ$41)^Q$223</f>
        <v>974.21047259278203</v>
      </c>
      <c r="R266" s="106">
        <f>VLOOKUP($A266,'VKT US'!$B$63:$AA$113,(R$223+1),FALSE)/VLOOKUP($A266,'Fuel economy adjusted factor'!$A$2:$G$52,7,FALSE)*VLOOKUP($A266,'US Grid mix, emissions&amp;prices'!$AE$2:$AI$52,5,FALSE)/(1+$AZ$41)^R$223</f>
        <v>940.53943595195949</v>
      </c>
      <c r="S266" s="106">
        <f>VLOOKUP($A266,'VKT US'!$B$63:$AA$113,(S$223+1),FALSE)/VLOOKUP($A266,'Fuel economy adjusted factor'!$A$2:$G$52,7,FALSE)*VLOOKUP($A266,'US Grid mix, emissions&amp;prices'!$AE$2:$AI$52,5,FALSE)/(1+$AZ$41)^S$223</f>
        <v>909.09861639290898</v>
      </c>
      <c r="T266" s="106">
        <f>VLOOKUP($A266,'VKT US'!$B$63:$AA$113,(T$223+1),FALSE)/VLOOKUP($A266,'Fuel economy adjusted factor'!$A$2:$G$52,7,FALSE)*VLOOKUP($A266,'US Grid mix, emissions&amp;prices'!$AE$2:$AI$52,5,FALSE)/(1+$AZ$41)^T$223</f>
        <v>879.51124230618143</v>
      </c>
      <c r="U266" s="109">
        <f>VLOOKUP($A266,'VKT US'!$B$63:$AA$113,(U$223+1),FALSE)/VLOOKUP($A266,'Fuel economy adjusted factor'!$A$2:$G$52,7,FALSE)*VLOOKUP($A266,'US Grid mix, emissions&amp;prices'!$AE$2:$AI$52,5,FALSE)/(1+$AZ$41)^U$223</f>
        <v>852.02941343552823</v>
      </c>
      <c r="V266" s="110" cm="1">
        <f t="array" ref="V266">SUMPRODUCT(INDEX(B266:U266,,_xlfn.SEQUENCE($AZ$13)))</f>
        <v>19254.988717960296</v>
      </c>
    </row>
    <row r="267" spans="1:22" x14ac:dyDescent="0.25">
      <c r="A267" s="102" t="s">
        <v>226</v>
      </c>
      <c r="B267" s="106">
        <f>VLOOKUP($A267,'VKT US'!$B$63:$AA$113,(B$223+1),FALSE)/VLOOKUP($A267,'Fuel economy adjusted factor'!$A$2:$G$52,7,FALSE)*VLOOKUP($A267,'US Grid mix, emissions&amp;prices'!$AE$2:$AI$52,5,FALSE)/(1+$AZ$41)^B$223</f>
        <v>1738.8826680589389</v>
      </c>
      <c r="C267" s="106">
        <f>VLOOKUP($A267,'VKT US'!$B$63:$AA$113,(C$223+1),FALSE)/VLOOKUP($A267,'Fuel economy adjusted factor'!$A$2:$G$52,7,FALSE)*VLOOKUP($A267,'US Grid mix, emissions&amp;prices'!$AE$2:$AI$52,5,FALSE)/(1+$AZ$41)^C$223</f>
        <v>1667.1571989941187</v>
      </c>
      <c r="D267" s="106">
        <f>VLOOKUP($A267,'VKT US'!$B$63:$AA$113,(D$223+1),FALSE)/VLOOKUP($A267,'Fuel economy adjusted factor'!$A$2:$G$52,7,FALSE)*VLOOKUP($A267,'US Grid mix, emissions&amp;prices'!$AE$2:$AI$52,5,FALSE)/(1+$AZ$41)^D$223</f>
        <v>1598.4816893764635</v>
      </c>
      <c r="E267" s="106">
        <f>VLOOKUP($A267,'VKT US'!$B$63:$AA$113,(E$223+1),FALSE)/VLOOKUP($A267,'Fuel economy adjusted factor'!$A$2:$G$52,7,FALSE)*VLOOKUP($A267,'US Grid mix, emissions&amp;prices'!$AE$2:$AI$52,5,FALSE)/(1+$AZ$41)^E$223</f>
        <v>1532.8961185010396</v>
      </c>
      <c r="F267" s="106">
        <f>VLOOKUP($A267,'VKT US'!$B$63:$AA$113,(F$223+1),FALSE)/VLOOKUP($A267,'Fuel economy adjusted factor'!$A$2:$G$52,7,FALSE)*VLOOKUP($A267,'US Grid mix, emissions&amp;prices'!$AE$2:$AI$52,5,FALSE)/(1+$AZ$41)^F$223</f>
        <v>1470.1970725243639</v>
      </c>
      <c r="G267" s="106">
        <f>VLOOKUP($A267,'VKT US'!$B$63:$AA$113,(G$223+1),FALSE)/VLOOKUP($A267,'Fuel economy adjusted factor'!$A$2:$G$52,7,FALSE)*VLOOKUP($A267,'US Grid mix, emissions&amp;prices'!$AE$2:$AI$52,5,FALSE)/(1+$AZ$41)^G$223</f>
        <v>1410.5433981410706</v>
      </c>
      <c r="H267" s="106">
        <f>VLOOKUP($A267,'VKT US'!$B$63:$AA$113,(H$223+1),FALSE)/VLOOKUP($A267,'Fuel economy adjusted factor'!$A$2:$G$52,7,FALSE)*VLOOKUP($A267,'US Grid mix, emissions&amp;prices'!$AE$2:$AI$52,5,FALSE)/(1+$AZ$41)^H$223</f>
        <v>1353.5000665502591</v>
      </c>
      <c r="I267" s="106">
        <f>VLOOKUP($A267,'VKT US'!$B$63:$AA$113,(I$223+1),FALSE)/VLOOKUP($A267,'Fuel economy adjusted factor'!$A$2:$G$52,7,FALSE)*VLOOKUP($A267,'US Grid mix, emissions&amp;prices'!$AE$2:$AI$52,5,FALSE)/(1+$AZ$41)^I$223</f>
        <v>1299.2278846858733</v>
      </c>
      <c r="J267" s="106">
        <f>VLOOKUP($A267,'VKT US'!$B$63:$AA$113,(J$223+1),FALSE)/VLOOKUP($A267,'Fuel economy adjusted factor'!$A$2:$G$52,7,FALSE)*VLOOKUP($A267,'US Grid mix, emissions&amp;prices'!$AE$2:$AI$52,5,FALSE)/(1+$AZ$41)^J$223</f>
        <v>1247.6499841345099</v>
      </c>
      <c r="K267" s="106">
        <f>VLOOKUP($A267,'VKT US'!$B$63:$AA$113,(K$223+1),FALSE)/VLOOKUP($A267,'Fuel economy adjusted factor'!$A$2:$G$52,7,FALSE)*VLOOKUP($A267,'US Grid mix, emissions&amp;prices'!$AE$2:$AI$52,5,FALSE)/(1+$AZ$41)^K$223</f>
        <v>1198.6911571236594</v>
      </c>
      <c r="L267" s="106">
        <f>VLOOKUP($A267,'VKT US'!$B$63:$AA$113,(L$223+1),FALSE)/VLOOKUP($A267,'Fuel economy adjusted factor'!$A$2:$G$52,7,FALSE)*VLOOKUP($A267,'US Grid mix, emissions&amp;prices'!$AE$2:$AI$52,5,FALSE)/(1+$AZ$41)^L$223</f>
        <v>1152.1664079411062</v>
      </c>
      <c r="M267" s="106">
        <f>VLOOKUP($A267,'VKT US'!$B$63:$AA$113,(M$223+1),FALSE)/VLOOKUP($A267,'Fuel economy adjusted factor'!$A$2:$G$52,7,FALSE)*VLOOKUP($A267,'US Grid mix, emissions&amp;prices'!$AE$2:$AI$52,5,FALSE)/(1+$AZ$41)^M$223</f>
        <v>1108.1178164441587</v>
      </c>
      <c r="N267" s="106">
        <f>VLOOKUP($A267,'VKT US'!$B$63:$AA$113,(N$223+1),FALSE)/VLOOKUP($A267,'Fuel economy adjusted factor'!$A$2:$G$52,7,FALSE)*VLOOKUP($A267,'US Grid mix, emissions&amp;prices'!$AE$2:$AI$52,5,FALSE)/(1+$AZ$41)^N$223</f>
        <v>1066.3661336476582</v>
      </c>
      <c r="O267" s="106">
        <f>VLOOKUP($A267,'VKT US'!$B$63:$AA$113,(O$223+1),FALSE)/VLOOKUP($A267,'Fuel economy adjusted factor'!$A$2:$G$52,7,FALSE)*VLOOKUP($A267,'US Grid mix, emissions&amp;prices'!$AE$2:$AI$52,5,FALSE)/(1+$AZ$41)^O$223</f>
        <v>1026.9538114283444</v>
      </c>
      <c r="P267" s="106">
        <f>VLOOKUP($A267,'VKT US'!$B$63:$AA$113,(P$223+1),FALSE)/VLOOKUP($A267,'Fuel economy adjusted factor'!$A$2:$G$52,7,FALSE)*VLOOKUP($A267,'US Grid mix, emissions&amp;prices'!$AE$2:$AI$52,5,FALSE)/(1+$AZ$41)^P$223</f>
        <v>989.70716947533833</v>
      </c>
      <c r="Q267" s="106">
        <f>VLOOKUP($A267,'VKT US'!$B$63:$AA$113,(Q$223+1),FALSE)/VLOOKUP($A267,'Fuel economy adjusted factor'!$A$2:$G$52,7,FALSE)*VLOOKUP($A267,'US Grid mix, emissions&amp;prices'!$AE$2:$AI$52,5,FALSE)/(1+$AZ$41)^Q$223</f>
        <v>954.7739473158714</v>
      </c>
      <c r="R267" s="106">
        <f>VLOOKUP($A267,'VKT US'!$B$63:$AA$113,(R$223+1),FALSE)/VLOOKUP($A267,'Fuel economy adjusted factor'!$A$2:$G$52,7,FALSE)*VLOOKUP($A267,'US Grid mix, emissions&amp;prices'!$AE$2:$AI$52,5,FALSE)/(1+$AZ$41)^R$223</f>
        <v>921.77468332909098</v>
      </c>
      <c r="S267" s="106">
        <f>VLOOKUP($A267,'VKT US'!$B$63:$AA$113,(S$223+1),FALSE)/VLOOKUP($A267,'Fuel economy adjusted factor'!$A$2:$G$52,7,FALSE)*VLOOKUP($A267,'US Grid mix, emissions&amp;prices'!$AE$2:$AI$52,5,FALSE)/(1+$AZ$41)^S$223</f>
        <v>890.96114124372605</v>
      </c>
      <c r="T267" s="106">
        <f>VLOOKUP($A267,'VKT US'!$B$63:$AA$113,(T$223+1),FALSE)/VLOOKUP($A267,'Fuel economy adjusted factor'!$A$2:$G$52,7,FALSE)*VLOOKUP($A267,'US Grid mix, emissions&amp;prices'!$AE$2:$AI$52,5,FALSE)/(1+$AZ$41)^T$223</f>
        <v>861.96406644087267</v>
      </c>
      <c r="U267" s="109">
        <f>VLOOKUP($A267,'VKT US'!$B$63:$AA$113,(U$223+1),FALSE)/VLOOKUP($A267,'Fuel economy adjusted factor'!$A$2:$G$52,7,FALSE)*VLOOKUP($A267,'US Grid mix, emissions&amp;prices'!$AE$2:$AI$52,5,FALSE)/(1+$AZ$41)^U$223</f>
        <v>835.03052900880209</v>
      </c>
      <c r="V267" s="110" cm="1">
        <f t="array" ref="V267">SUMPRODUCT(INDEX(B267:U267,,_xlfn.SEQUENCE($AZ$13)))</f>
        <v>18870.831407551566</v>
      </c>
    </row>
    <row r="268" spans="1:22" x14ac:dyDescent="0.25">
      <c r="A268" s="102" t="s">
        <v>228</v>
      </c>
      <c r="B268" s="106">
        <f>VLOOKUP($A268,'VKT US'!$B$63:$AA$113,(B$223+1),FALSE)/VLOOKUP($A268,'Fuel economy adjusted factor'!$A$2:$G$52,7,FALSE)*VLOOKUP($A268,'US Grid mix, emissions&amp;prices'!$AE$2:$AI$52,5,FALSE)/(1+$AZ$41)^B$223</f>
        <v>1475.4746225169224</v>
      </c>
      <c r="C268" s="106">
        <f>VLOOKUP($A268,'VKT US'!$B$63:$AA$113,(C$223+1),FALSE)/VLOOKUP($A268,'Fuel economy adjusted factor'!$A$2:$G$52,7,FALSE)*VLOOKUP($A268,'US Grid mix, emissions&amp;prices'!$AE$2:$AI$52,5,FALSE)/(1+$AZ$41)^C$223</f>
        <v>1414.6142140849963</v>
      </c>
      <c r="D268" s="106">
        <f>VLOOKUP($A268,'VKT US'!$B$63:$AA$113,(D$223+1),FALSE)/VLOOKUP($A268,'Fuel economy adjusted factor'!$A$2:$G$52,7,FALSE)*VLOOKUP($A268,'US Grid mix, emissions&amp;prices'!$AE$2:$AI$52,5,FALSE)/(1+$AZ$41)^D$223</f>
        <v>1356.3417535616086</v>
      </c>
      <c r="E268" s="106">
        <f>VLOOKUP($A268,'VKT US'!$B$63:$AA$113,(E$223+1),FALSE)/VLOOKUP($A268,'Fuel economy adjusted factor'!$A$2:$G$52,7,FALSE)*VLOOKUP($A268,'US Grid mix, emissions&amp;prices'!$AE$2:$AI$52,5,FALSE)/(1+$AZ$41)^E$223</f>
        <v>1300.6911641299516</v>
      </c>
      <c r="F268" s="106">
        <f>VLOOKUP($A268,'VKT US'!$B$63:$AA$113,(F$223+1),FALSE)/VLOOKUP($A268,'Fuel economy adjusted factor'!$A$2:$G$52,7,FALSE)*VLOOKUP($A268,'US Grid mix, emissions&amp;prices'!$AE$2:$AI$52,5,FALSE)/(1+$AZ$41)^F$223</f>
        <v>1247.4898453210903</v>
      </c>
      <c r="G268" s="106">
        <f>VLOOKUP($A268,'VKT US'!$B$63:$AA$113,(G$223+1),FALSE)/VLOOKUP($A268,'Fuel economy adjusted factor'!$A$2:$G$52,7,FALSE)*VLOOKUP($A268,'US Grid mix, emissions&amp;prices'!$AE$2:$AI$52,5,FALSE)/(1+$AZ$41)^G$223</f>
        <v>1196.8725815406146</v>
      </c>
      <c r="H268" s="106">
        <f>VLOOKUP($A268,'VKT US'!$B$63:$AA$113,(H$223+1),FALSE)/VLOOKUP($A268,'Fuel economy adjusted factor'!$A$2:$G$52,7,FALSE)*VLOOKUP($A268,'US Grid mix, emissions&amp;prices'!$AE$2:$AI$52,5,FALSE)/(1+$AZ$41)^H$223</f>
        <v>1148.4702426755016</v>
      </c>
      <c r="I268" s="106">
        <f>VLOOKUP($A268,'VKT US'!$B$63:$AA$113,(I$223+1),FALSE)/VLOOKUP($A268,'Fuel economy adjusted factor'!$A$2:$G$52,7,FALSE)*VLOOKUP($A268,'US Grid mix, emissions&amp;prices'!$AE$2:$AI$52,5,FALSE)/(1+$AZ$41)^I$223</f>
        <v>1102.4192764312338</v>
      </c>
      <c r="J268" s="106">
        <f>VLOOKUP($A268,'VKT US'!$B$63:$AA$113,(J$223+1),FALSE)/VLOOKUP($A268,'Fuel economy adjusted factor'!$A$2:$G$52,7,FALSE)*VLOOKUP($A268,'US Grid mix, emissions&amp;prices'!$AE$2:$AI$52,5,FALSE)/(1+$AZ$41)^J$223</f>
        <v>1058.654458514457</v>
      </c>
      <c r="K268" s="106">
        <f>VLOOKUP($A268,'VKT US'!$B$63:$AA$113,(K$223+1),FALSE)/VLOOKUP($A268,'Fuel economy adjusted factor'!$A$2:$G$52,7,FALSE)*VLOOKUP($A268,'US Grid mix, emissions&amp;prices'!$AE$2:$AI$52,5,FALSE)/(1+$AZ$41)^K$223</f>
        <v>1017.1119737168244</v>
      </c>
      <c r="L268" s="106">
        <f>VLOOKUP($A268,'VKT US'!$B$63:$AA$113,(L$223+1),FALSE)/VLOOKUP($A268,'Fuel economy adjusted factor'!$A$2:$G$52,7,FALSE)*VLOOKUP($A268,'US Grid mix, emissions&amp;prices'!$AE$2:$AI$52,5,FALSE)/(1+$AZ$41)^L$223</f>
        <v>977.63484969991168</v>
      </c>
      <c r="M268" s="106">
        <f>VLOOKUP($A268,'VKT US'!$B$63:$AA$113,(M$223+1),FALSE)/VLOOKUP($A268,'Fuel economy adjusted factor'!$A$2:$G$52,7,FALSE)*VLOOKUP($A268,'US Grid mix, emissions&amp;prices'!$AE$2:$AI$52,5,FALSE)/(1+$AZ$41)^M$223</f>
        <v>940.25879201344912</v>
      </c>
      <c r="N268" s="106">
        <f>VLOOKUP($A268,'VKT US'!$B$63:$AA$113,(N$223+1),FALSE)/VLOOKUP($A268,'Fuel economy adjusted factor'!$A$2:$G$52,7,FALSE)*VLOOKUP($A268,'US Grid mix, emissions&amp;prices'!$AE$2:$AI$52,5,FALSE)/(1+$AZ$41)^N$223</f>
        <v>904.83170452491913</v>
      </c>
      <c r="O268" s="106">
        <f>VLOOKUP($A268,'VKT US'!$B$63:$AA$113,(O$223+1),FALSE)/VLOOKUP($A268,'Fuel economy adjusted factor'!$A$2:$G$52,7,FALSE)*VLOOKUP($A268,'US Grid mix, emissions&amp;prices'!$AE$2:$AI$52,5,FALSE)/(1+$AZ$41)^O$223</f>
        <v>871.38960844952931</v>
      </c>
      <c r="P268" s="106">
        <f>VLOOKUP($A268,'VKT US'!$B$63:$AA$113,(P$223+1),FALSE)/VLOOKUP($A268,'Fuel economy adjusted factor'!$A$2:$G$52,7,FALSE)*VLOOKUP($A268,'US Grid mix, emissions&amp;prices'!$AE$2:$AI$52,5,FALSE)/(1+$AZ$41)^P$223</f>
        <v>839.78513277954005</v>
      </c>
      <c r="Q268" s="106">
        <f>VLOOKUP($A268,'VKT US'!$B$63:$AA$113,(Q$223+1),FALSE)/VLOOKUP($A268,'Fuel economy adjusted factor'!$A$2:$G$52,7,FALSE)*VLOOKUP($A268,'US Grid mix, emissions&amp;prices'!$AE$2:$AI$52,5,FALSE)/(1+$AZ$41)^Q$223</f>
        <v>810.14363728026331</v>
      </c>
      <c r="R268" s="106">
        <f>VLOOKUP($A268,'VKT US'!$B$63:$AA$113,(R$223+1),FALSE)/VLOOKUP($A268,'Fuel economy adjusted factor'!$A$2:$G$52,7,FALSE)*VLOOKUP($A268,'US Grid mix, emissions&amp;prices'!$AE$2:$AI$52,5,FALSE)/(1+$AZ$41)^R$223</f>
        <v>782.14314163521669</v>
      </c>
      <c r="S268" s="106">
        <f>VLOOKUP($A268,'VKT US'!$B$63:$AA$113,(S$223+1),FALSE)/VLOOKUP($A268,'Fuel economy adjusted factor'!$A$2:$G$52,7,FALSE)*VLOOKUP($A268,'US Grid mix, emissions&amp;prices'!$AE$2:$AI$52,5,FALSE)/(1+$AZ$41)^S$223</f>
        <v>755.99727209960065</v>
      </c>
      <c r="T268" s="106">
        <f>VLOOKUP($A268,'VKT US'!$B$63:$AA$113,(T$223+1),FALSE)/VLOOKUP($A268,'Fuel economy adjusted factor'!$A$2:$G$52,7,FALSE)*VLOOKUP($A268,'US Grid mix, emissions&amp;prices'!$AE$2:$AI$52,5,FALSE)/(1+$AZ$41)^T$223</f>
        <v>731.3927091899053</v>
      </c>
      <c r="U268" s="109">
        <f>VLOOKUP($A268,'VKT US'!$B$63:$AA$113,(U$223+1),FALSE)/VLOOKUP($A268,'Fuel economy adjusted factor'!$A$2:$G$52,7,FALSE)*VLOOKUP($A268,'US Grid mix, emissions&amp;prices'!$AE$2:$AI$52,5,FALSE)/(1+$AZ$41)^U$223</f>
        <v>708.53909651919525</v>
      </c>
      <c r="V268" s="110" cm="1">
        <f t="array" ref="V268">SUMPRODUCT(INDEX(B268:U268,,_xlfn.SEQUENCE($AZ$13)))</f>
        <v>16012.255087181007</v>
      </c>
    </row>
    <row r="269" spans="1:22" x14ac:dyDescent="0.25">
      <c r="A269" s="102" t="s">
        <v>227</v>
      </c>
      <c r="B269" s="106">
        <f>VLOOKUP($A269,'VKT US'!$B$63:$AA$113,(B$223+1),FALSE)/VLOOKUP($A269,'Fuel economy adjusted factor'!$A$2:$G$52,7,FALSE)*VLOOKUP($A269,'US Grid mix, emissions&amp;prices'!$AE$2:$AI$52,5,FALSE)/(1+$AZ$41)^B$223</f>
        <v>1596.4920035606585</v>
      </c>
      <c r="C269" s="106">
        <f>VLOOKUP($A269,'VKT US'!$B$63:$AA$113,(C$223+1),FALSE)/VLOOKUP($A269,'Fuel economy adjusted factor'!$A$2:$G$52,7,FALSE)*VLOOKUP($A269,'US Grid mix, emissions&amp;prices'!$AE$2:$AI$52,5,FALSE)/(1+$AZ$41)^C$223</f>
        <v>1530.6398676362464</v>
      </c>
      <c r="D269" s="106">
        <f>VLOOKUP($A269,'VKT US'!$B$63:$AA$113,(D$223+1),FALSE)/VLOOKUP($A269,'Fuel economy adjusted factor'!$A$2:$G$52,7,FALSE)*VLOOKUP($A269,'US Grid mix, emissions&amp;prices'!$AE$2:$AI$52,5,FALSE)/(1+$AZ$41)^D$223</f>
        <v>1467.5879412705485</v>
      </c>
      <c r="E269" s="106">
        <f>VLOOKUP($A269,'VKT US'!$B$63:$AA$113,(E$223+1),FALSE)/VLOOKUP($A269,'Fuel economy adjusted factor'!$A$2:$G$52,7,FALSE)*VLOOKUP($A269,'US Grid mix, emissions&amp;prices'!$AE$2:$AI$52,5,FALSE)/(1+$AZ$41)^E$223</f>
        <v>1407.37293000216</v>
      </c>
      <c r="F269" s="106">
        <f>VLOOKUP($A269,'VKT US'!$B$63:$AA$113,(F$223+1),FALSE)/VLOOKUP($A269,'Fuel economy adjusted factor'!$A$2:$G$52,7,FALSE)*VLOOKUP($A269,'US Grid mix, emissions&amp;prices'!$AE$2:$AI$52,5,FALSE)/(1+$AZ$41)^F$223</f>
        <v>1349.808076794219</v>
      </c>
      <c r="G269" s="106">
        <f>VLOOKUP($A269,'VKT US'!$B$63:$AA$113,(G$223+1),FALSE)/VLOOKUP($A269,'Fuel economy adjusted factor'!$A$2:$G$52,7,FALSE)*VLOOKUP($A269,'US Grid mix, emissions&amp;prices'!$AE$2:$AI$52,5,FALSE)/(1+$AZ$41)^G$223</f>
        <v>1295.0392209735739</v>
      </c>
      <c r="H269" s="106">
        <f>VLOOKUP($A269,'VKT US'!$B$63:$AA$113,(H$223+1),FALSE)/VLOOKUP($A269,'Fuel economy adjusted factor'!$A$2:$G$52,7,FALSE)*VLOOKUP($A269,'US Grid mix, emissions&amp;prices'!$AE$2:$AI$52,5,FALSE)/(1+$AZ$41)^H$223</f>
        <v>1242.666956637391</v>
      </c>
      <c r="I269" s="106">
        <f>VLOOKUP($A269,'VKT US'!$B$63:$AA$113,(I$223+1),FALSE)/VLOOKUP($A269,'Fuel economy adjusted factor'!$A$2:$G$52,7,FALSE)*VLOOKUP($A269,'US Grid mix, emissions&amp;prices'!$AE$2:$AI$52,5,FALSE)/(1+$AZ$41)^I$223</f>
        <v>1192.8389228350868</v>
      </c>
      <c r="J269" s="106">
        <f>VLOOKUP($A269,'VKT US'!$B$63:$AA$113,(J$223+1),FALSE)/VLOOKUP($A269,'Fuel economy adjusted factor'!$A$2:$G$52,7,FALSE)*VLOOKUP($A269,'US Grid mix, emissions&amp;prices'!$AE$2:$AI$52,5,FALSE)/(1+$AZ$41)^J$223</f>
        <v>1145.4845456230714</v>
      </c>
      <c r="K269" s="106">
        <f>VLOOKUP($A269,'VKT US'!$B$63:$AA$113,(K$223+1),FALSE)/VLOOKUP($A269,'Fuel economy adjusted factor'!$A$2:$G$52,7,FALSE)*VLOOKUP($A269,'US Grid mix, emissions&amp;prices'!$AE$2:$AI$52,5,FALSE)/(1+$AZ$41)^K$223</f>
        <v>1100.5347757149141</v>
      </c>
      <c r="L269" s="106">
        <f>VLOOKUP($A269,'VKT US'!$B$63:$AA$113,(L$223+1),FALSE)/VLOOKUP($A269,'Fuel economy adjusted factor'!$A$2:$G$52,7,FALSE)*VLOOKUP($A269,'US Grid mix, emissions&amp;prices'!$AE$2:$AI$52,5,FALSE)/(1+$AZ$41)^L$223</f>
        <v>1057.819766012434</v>
      </c>
      <c r="M269" s="106">
        <f>VLOOKUP($A269,'VKT US'!$B$63:$AA$113,(M$223+1),FALSE)/VLOOKUP($A269,'Fuel economy adjusted factor'!$A$2:$G$52,7,FALSE)*VLOOKUP($A269,'US Grid mix, emissions&amp;prices'!$AE$2:$AI$52,5,FALSE)/(1+$AZ$41)^M$223</f>
        <v>1017.3781506092016</v>
      </c>
      <c r="N269" s="106">
        <f>VLOOKUP($A269,'VKT US'!$B$63:$AA$113,(N$223+1),FALSE)/VLOOKUP($A269,'Fuel economy adjusted factor'!$A$2:$G$52,7,FALSE)*VLOOKUP($A269,'US Grid mix, emissions&amp;prices'!$AE$2:$AI$52,5,FALSE)/(1+$AZ$41)^N$223</f>
        <v>979.04535855588824</v>
      </c>
      <c r="O269" s="106">
        <f>VLOOKUP($A269,'VKT US'!$B$63:$AA$113,(O$223+1),FALSE)/VLOOKUP($A269,'Fuel economy adjusted factor'!$A$2:$G$52,7,FALSE)*VLOOKUP($A269,'US Grid mix, emissions&amp;prices'!$AE$2:$AI$52,5,FALSE)/(1+$AZ$41)^O$223</f>
        <v>942.86036550220058</v>
      </c>
      <c r="P269" s="106">
        <f>VLOOKUP($A269,'VKT US'!$B$63:$AA$113,(P$223+1),FALSE)/VLOOKUP($A269,'Fuel economy adjusted factor'!$A$2:$G$52,7,FALSE)*VLOOKUP($A269,'US Grid mix, emissions&amp;prices'!$AE$2:$AI$52,5,FALSE)/(1+$AZ$41)^P$223</f>
        <v>908.66371317496839</v>
      </c>
      <c r="Q269" s="106">
        <f>VLOOKUP($A269,'VKT US'!$B$63:$AA$113,(Q$223+1),FALSE)/VLOOKUP($A269,'Fuel economy adjusted factor'!$A$2:$G$52,7,FALSE)*VLOOKUP($A269,'US Grid mix, emissions&amp;prices'!$AE$2:$AI$52,5,FALSE)/(1+$AZ$41)^Q$223</f>
        <v>876.59104325845692</v>
      </c>
      <c r="R269" s="106">
        <f>VLOOKUP($A269,'VKT US'!$B$63:$AA$113,(R$223+1),FALSE)/VLOOKUP($A269,'Fuel economy adjusted factor'!$A$2:$G$52,7,FALSE)*VLOOKUP($A269,'US Grid mix, emissions&amp;prices'!$AE$2:$AI$52,5,FALSE)/(1+$AZ$41)^R$223</f>
        <v>846.2939668392122</v>
      </c>
      <c r="S269" s="106">
        <f>VLOOKUP($A269,'VKT US'!$B$63:$AA$113,(S$223+1),FALSE)/VLOOKUP($A269,'Fuel economy adjusted factor'!$A$2:$G$52,7,FALSE)*VLOOKUP($A269,'US Grid mix, emissions&amp;prices'!$AE$2:$AI$52,5,FALSE)/(1+$AZ$41)^S$223</f>
        <v>818.00363164622399</v>
      </c>
      <c r="T269" s="106">
        <f>VLOOKUP($A269,'VKT US'!$B$63:$AA$113,(T$223+1),FALSE)/VLOOKUP($A269,'Fuel economy adjusted factor'!$A$2:$G$52,7,FALSE)*VLOOKUP($A269,'US Grid mix, emissions&amp;prices'!$AE$2:$AI$52,5,FALSE)/(1+$AZ$41)^T$223</f>
        <v>791.38101995438274</v>
      </c>
      <c r="U269" s="109">
        <f>VLOOKUP($A269,'VKT US'!$B$63:$AA$113,(U$223+1),FALSE)/VLOOKUP($A269,'Fuel economy adjusted factor'!$A$2:$G$52,7,FALSE)*VLOOKUP($A269,'US Grid mix, emissions&amp;prices'!$AE$2:$AI$52,5,FALSE)/(1+$AZ$41)^U$223</f>
        <v>766.65297019706315</v>
      </c>
      <c r="V269" s="110" cm="1">
        <f t="array" ref="V269">SUMPRODUCT(INDEX(B269:U269,,_xlfn.SEQUENCE($AZ$13)))</f>
        <v>17325.568881727595</v>
      </c>
    </row>
    <row r="270" spans="1:22" x14ac:dyDescent="0.25">
      <c r="A270" s="102" t="s">
        <v>229</v>
      </c>
      <c r="B270" s="106">
        <f>VLOOKUP($A270,'VKT US'!$B$63:$AA$113,(B$223+1),FALSE)/VLOOKUP($A270,'Fuel economy adjusted factor'!$A$2:$G$52,7,FALSE)*VLOOKUP($A270,'US Grid mix, emissions&amp;prices'!$AE$2:$AI$52,5,FALSE)/(1+$AZ$41)^B$223</f>
        <v>1227.0576393772442</v>
      </c>
      <c r="C270" s="106">
        <f>VLOOKUP($A270,'VKT US'!$B$63:$AA$113,(C$223+1),FALSE)/VLOOKUP($A270,'Fuel economy adjusted factor'!$A$2:$G$52,7,FALSE)*VLOOKUP($A270,'US Grid mix, emissions&amp;prices'!$AE$2:$AI$52,5,FALSE)/(1+$AZ$41)^C$223</f>
        <v>1176.4439399192192</v>
      </c>
      <c r="D270" s="106">
        <f>VLOOKUP($A270,'VKT US'!$B$63:$AA$113,(D$223+1),FALSE)/VLOOKUP($A270,'Fuel economy adjusted factor'!$A$2:$G$52,7,FALSE)*VLOOKUP($A270,'US Grid mix, emissions&amp;prices'!$AE$2:$AI$52,5,FALSE)/(1+$AZ$41)^D$223</f>
        <v>1127.9824708032288</v>
      </c>
      <c r="E270" s="106">
        <f>VLOOKUP($A270,'VKT US'!$B$63:$AA$113,(E$223+1),FALSE)/VLOOKUP($A270,'Fuel economy adjusted factor'!$A$2:$G$52,7,FALSE)*VLOOKUP($A270,'US Grid mix, emissions&amp;prices'!$AE$2:$AI$52,5,FALSE)/(1+$AZ$41)^E$223</f>
        <v>1081.7014437656537</v>
      </c>
      <c r="F270" s="106">
        <f>VLOOKUP($A270,'VKT US'!$B$63:$AA$113,(F$223+1),FALSE)/VLOOKUP($A270,'Fuel economy adjusted factor'!$A$2:$G$52,7,FALSE)*VLOOKUP($A270,'US Grid mix, emissions&amp;prices'!$AE$2:$AI$52,5,FALSE)/(1+$AZ$41)^F$223</f>
        <v>1037.4573180632417</v>
      </c>
      <c r="G270" s="106">
        <f>VLOOKUP($A270,'VKT US'!$B$63:$AA$113,(G$223+1),FALSE)/VLOOKUP($A270,'Fuel economy adjusted factor'!$A$2:$G$52,7,FALSE)*VLOOKUP($A270,'US Grid mix, emissions&amp;prices'!$AE$2:$AI$52,5,FALSE)/(1+$AZ$41)^G$223</f>
        <v>995.36218524404353</v>
      </c>
      <c r="H270" s="106">
        <f>VLOOKUP($A270,'VKT US'!$B$63:$AA$113,(H$223+1),FALSE)/VLOOKUP($A270,'Fuel economy adjusted factor'!$A$2:$G$52,7,FALSE)*VLOOKUP($A270,'US Grid mix, emissions&amp;prices'!$AE$2:$AI$52,5,FALSE)/(1+$AZ$41)^H$223</f>
        <v>955.10906346086517</v>
      </c>
      <c r="I270" s="106">
        <f>VLOOKUP($A270,'VKT US'!$B$63:$AA$113,(I$223+1),FALSE)/VLOOKUP($A270,'Fuel economy adjusted factor'!$A$2:$G$52,7,FALSE)*VLOOKUP($A270,'US Grid mix, emissions&amp;prices'!$AE$2:$AI$52,5,FALSE)/(1+$AZ$41)^I$223</f>
        <v>916.811427521631</v>
      </c>
      <c r="J270" s="106">
        <f>VLOOKUP($A270,'VKT US'!$B$63:$AA$113,(J$223+1),FALSE)/VLOOKUP($A270,'Fuel economy adjusted factor'!$A$2:$G$52,7,FALSE)*VLOOKUP($A270,'US Grid mix, emissions&amp;prices'!$AE$2:$AI$52,5,FALSE)/(1+$AZ$41)^J$223</f>
        <v>880.41503456359533</v>
      </c>
      <c r="K270" s="106">
        <f>VLOOKUP($A270,'VKT US'!$B$63:$AA$113,(K$223+1),FALSE)/VLOOKUP($A270,'Fuel economy adjusted factor'!$A$2:$G$52,7,FALSE)*VLOOKUP($A270,'US Grid mix, emissions&amp;prices'!$AE$2:$AI$52,5,FALSE)/(1+$AZ$41)^K$223</f>
        <v>845.86681356966676</v>
      </c>
      <c r="L270" s="106">
        <f>VLOOKUP($A270,'VKT US'!$B$63:$AA$113,(L$223+1),FALSE)/VLOOKUP($A270,'Fuel economy adjusted factor'!$A$2:$G$52,7,FALSE)*VLOOKUP($A270,'US Grid mix, emissions&amp;prices'!$AE$2:$AI$52,5,FALSE)/(1+$AZ$41)^L$223</f>
        <v>813.03622071069674</v>
      </c>
      <c r="M270" s="106">
        <f>VLOOKUP($A270,'VKT US'!$B$63:$AA$113,(M$223+1),FALSE)/VLOOKUP($A270,'Fuel economy adjusted factor'!$A$2:$G$52,7,FALSE)*VLOOKUP($A270,'US Grid mix, emissions&amp;prices'!$AE$2:$AI$52,5,FALSE)/(1+$AZ$41)^M$223</f>
        <v>781.95295000303508</v>
      </c>
      <c r="N270" s="106">
        <f>VLOOKUP($A270,'VKT US'!$B$63:$AA$113,(N$223+1),FALSE)/VLOOKUP($A270,'Fuel economy adjusted factor'!$A$2:$G$52,7,FALSE)*VLOOKUP($A270,'US Grid mix, emissions&amp;prices'!$AE$2:$AI$52,5,FALSE)/(1+$AZ$41)^N$223</f>
        <v>752.49051284533448</v>
      </c>
      <c r="O270" s="106">
        <f>VLOOKUP($A270,'VKT US'!$B$63:$AA$113,(O$223+1),FALSE)/VLOOKUP($A270,'Fuel economy adjusted factor'!$A$2:$G$52,7,FALSE)*VLOOKUP($A270,'US Grid mix, emissions&amp;prices'!$AE$2:$AI$52,5,FALSE)/(1+$AZ$41)^O$223</f>
        <v>724.67886577268268</v>
      </c>
      <c r="P270" s="106">
        <f>VLOOKUP($A270,'VKT US'!$B$63:$AA$113,(P$223+1),FALSE)/VLOOKUP($A270,'Fuel economy adjusted factor'!$A$2:$G$52,7,FALSE)*VLOOKUP($A270,'US Grid mix, emissions&amp;prices'!$AE$2:$AI$52,5,FALSE)/(1+$AZ$41)^P$223</f>
        <v>698.39544976704565</v>
      </c>
      <c r="Q270" s="106">
        <f>VLOOKUP($A270,'VKT US'!$B$63:$AA$113,(Q$223+1),FALSE)/VLOOKUP($A270,'Fuel economy adjusted factor'!$A$2:$G$52,7,FALSE)*VLOOKUP($A270,'US Grid mix, emissions&amp;prices'!$AE$2:$AI$52,5,FALSE)/(1+$AZ$41)^Q$223</f>
        <v>673.74451850744231</v>
      </c>
      <c r="R270" s="106">
        <f>VLOOKUP($A270,'VKT US'!$B$63:$AA$113,(R$223+1),FALSE)/VLOOKUP($A270,'Fuel economy adjusted factor'!$A$2:$G$52,7,FALSE)*VLOOKUP($A270,'US Grid mix, emissions&amp;prices'!$AE$2:$AI$52,5,FALSE)/(1+$AZ$41)^R$223</f>
        <v>650.45830160932053</v>
      </c>
      <c r="S270" s="106">
        <f>VLOOKUP($A270,'VKT US'!$B$63:$AA$113,(S$223+1),FALSE)/VLOOKUP($A270,'Fuel economy adjusted factor'!$A$2:$G$52,7,FALSE)*VLOOKUP($A270,'US Grid mix, emissions&amp;prices'!$AE$2:$AI$52,5,FALSE)/(1+$AZ$41)^S$223</f>
        <v>628.71445833188682</v>
      </c>
      <c r="T270" s="106">
        <f>VLOOKUP($A270,'VKT US'!$B$63:$AA$113,(T$223+1),FALSE)/VLOOKUP($A270,'Fuel economy adjusted factor'!$A$2:$G$52,7,FALSE)*VLOOKUP($A270,'US Grid mix, emissions&amp;prices'!$AE$2:$AI$52,5,FALSE)/(1+$AZ$41)^T$223</f>
        <v>608.25242095005899</v>
      </c>
      <c r="U270" s="109">
        <f>VLOOKUP($A270,'VKT US'!$B$63:$AA$113,(U$223+1),FALSE)/VLOOKUP($A270,'Fuel economy adjusted factor'!$A$2:$G$52,7,FALSE)*VLOOKUP($A270,'US Grid mix, emissions&amp;prices'!$AE$2:$AI$52,5,FALSE)/(1+$AZ$41)^U$223</f>
        <v>589.24653661493778</v>
      </c>
      <c r="V270" s="110" cm="1">
        <f t="array" ref="V270">SUMPRODUCT(INDEX(B270:U270,,_xlfn.SEQUENCE($AZ$13)))</f>
        <v>13316.365885620138</v>
      </c>
    </row>
    <row r="271" spans="1:22" x14ac:dyDescent="0.25">
      <c r="A271" s="102" t="s">
        <v>159</v>
      </c>
      <c r="B271" s="106">
        <f>VLOOKUP($A271,'VKT US'!$B$63:$AA$113,(B$223+1),FALSE)/VLOOKUP($A271,'Fuel economy adjusted factor'!$A$2:$G$52,7,FALSE)*VLOOKUP($A271,'US Grid mix, emissions&amp;prices'!$AE$2:$AI$52,5,FALSE)/(1+$AZ$41)^B$223</f>
        <v>1869.6007722474462</v>
      </c>
      <c r="C271" s="106">
        <f>VLOOKUP($A271,'VKT US'!$B$63:$AA$113,(C$223+1),FALSE)/VLOOKUP($A271,'Fuel economy adjusted factor'!$A$2:$G$52,7,FALSE)*VLOOKUP($A271,'US Grid mix, emissions&amp;prices'!$AE$2:$AI$52,5,FALSE)/(1+$AZ$41)^C$223</f>
        <v>1792.4834400567204</v>
      </c>
      <c r="D271" s="106">
        <f>VLOOKUP($A271,'VKT US'!$B$63:$AA$113,(D$223+1),FALSE)/VLOOKUP($A271,'Fuel economy adjusted factor'!$A$2:$G$52,7,FALSE)*VLOOKUP($A271,'US Grid mix, emissions&amp;prices'!$AE$2:$AI$52,5,FALSE)/(1+$AZ$41)^D$223</f>
        <v>1718.6453438043834</v>
      </c>
      <c r="E271" s="106">
        <f>VLOOKUP($A271,'VKT US'!$B$63:$AA$113,(E$223+1),FALSE)/VLOOKUP($A271,'Fuel economy adjusted factor'!$A$2:$G$52,7,FALSE)*VLOOKUP($A271,'US Grid mix, emissions&amp;prices'!$AE$2:$AI$52,5,FALSE)/(1+$AZ$41)^E$223</f>
        <v>1648.1294681738225</v>
      </c>
      <c r="F271" s="106">
        <f>VLOOKUP($A271,'VKT US'!$B$63:$AA$113,(F$223+1),FALSE)/VLOOKUP($A271,'Fuel economy adjusted factor'!$A$2:$G$52,7,FALSE)*VLOOKUP($A271,'US Grid mix, emissions&amp;prices'!$AE$2:$AI$52,5,FALSE)/(1+$AZ$41)^F$223</f>
        <v>1580.7171079666659</v>
      </c>
      <c r="G271" s="106">
        <f>VLOOKUP($A271,'VKT US'!$B$63:$AA$113,(G$223+1),FALSE)/VLOOKUP($A271,'Fuel economy adjusted factor'!$A$2:$G$52,7,FALSE)*VLOOKUP($A271,'US Grid mix, emissions&amp;prices'!$AE$2:$AI$52,5,FALSE)/(1+$AZ$41)^G$223</f>
        <v>1516.579050958542</v>
      </c>
      <c r="H271" s="106">
        <f>VLOOKUP($A271,'VKT US'!$B$63:$AA$113,(H$223+1),FALSE)/VLOOKUP($A271,'Fuel economy adjusted factor'!$A$2:$G$52,7,FALSE)*VLOOKUP($A271,'US Grid mix, emissions&amp;prices'!$AE$2:$AI$52,5,FALSE)/(1+$AZ$41)^H$223</f>
        <v>1455.2475656589638</v>
      </c>
      <c r="I271" s="106">
        <f>VLOOKUP($A271,'VKT US'!$B$63:$AA$113,(I$223+1),FALSE)/VLOOKUP($A271,'Fuel economy adjusted factor'!$A$2:$G$52,7,FALSE)*VLOOKUP($A271,'US Grid mix, emissions&amp;prices'!$AE$2:$AI$52,5,FALSE)/(1+$AZ$41)^I$223</f>
        <v>1396.8955474411534</v>
      </c>
      <c r="J271" s="106">
        <f>VLOOKUP($A271,'VKT US'!$B$63:$AA$113,(J$223+1),FALSE)/VLOOKUP($A271,'Fuel economy adjusted factor'!$A$2:$G$52,7,FALSE)*VLOOKUP($A271,'US Grid mix, emissions&amp;prices'!$AE$2:$AI$52,5,FALSE)/(1+$AZ$41)^J$223</f>
        <v>1341.440349414841</v>
      </c>
      <c r="K271" s="106">
        <f>VLOOKUP($A271,'VKT US'!$B$63:$AA$113,(K$223+1),FALSE)/VLOOKUP($A271,'Fuel economy adjusted factor'!$A$2:$G$52,7,FALSE)*VLOOKUP($A271,'US Grid mix, emissions&amp;prices'!$AE$2:$AI$52,5,FALSE)/(1+$AZ$41)^K$223</f>
        <v>1288.8011101670365</v>
      </c>
      <c r="L271" s="106">
        <f>VLOOKUP($A271,'VKT US'!$B$63:$AA$113,(L$223+1),FALSE)/VLOOKUP($A271,'Fuel economy adjusted factor'!$A$2:$G$52,7,FALSE)*VLOOKUP($A271,'US Grid mix, emissions&amp;prices'!$AE$2:$AI$52,5,FALSE)/(1+$AZ$41)^L$223</f>
        <v>1238.7789271882295</v>
      </c>
      <c r="M271" s="106">
        <f>VLOOKUP($A271,'VKT US'!$B$63:$AA$113,(M$223+1),FALSE)/VLOOKUP($A271,'Fuel economy adjusted factor'!$A$2:$G$52,7,FALSE)*VLOOKUP($A271,'US Grid mix, emissions&amp;prices'!$AE$2:$AI$52,5,FALSE)/(1+$AZ$41)^M$223</f>
        <v>1191.4190436309141</v>
      </c>
      <c r="N271" s="106">
        <f>VLOOKUP($A271,'VKT US'!$B$63:$AA$113,(N$223+1),FALSE)/VLOOKUP($A271,'Fuel economy adjusted factor'!$A$2:$G$52,7,FALSE)*VLOOKUP($A271,'US Grid mix, emissions&amp;prices'!$AE$2:$AI$52,5,FALSE)/(1+$AZ$41)^N$223</f>
        <v>1146.5287357149105</v>
      </c>
      <c r="O271" s="106">
        <f>VLOOKUP($A271,'VKT US'!$B$63:$AA$113,(O$223+1),FALSE)/VLOOKUP($A271,'Fuel economy adjusted factor'!$A$2:$G$52,7,FALSE)*VLOOKUP($A271,'US Grid mix, emissions&amp;prices'!$AE$2:$AI$52,5,FALSE)/(1+$AZ$41)^O$223</f>
        <v>1104.153646578191</v>
      </c>
      <c r="P271" s="106">
        <f>VLOOKUP($A271,'VKT US'!$B$63:$AA$113,(P$223+1),FALSE)/VLOOKUP($A271,'Fuel economy adjusted factor'!$A$2:$G$52,7,FALSE)*VLOOKUP($A271,'US Grid mix, emissions&amp;prices'!$AE$2:$AI$52,5,FALSE)/(1+$AZ$41)^P$223</f>
        <v>1064.1070397322574</v>
      </c>
      <c r="Q271" s="106">
        <f>VLOOKUP($A271,'VKT US'!$B$63:$AA$113,(Q$223+1),FALSE)/VLOOKUP($A271,'Fuel economy adjusted factor'!$A$2:$G$52,7,FALSE)*VLOOKUP($A271,'US Grid mix, emissions&amp;prices'!$AE$2:$AI$52,5,FALSE)/(1+$AZ$41)^Q$223</f>
        <v>1026.5477608193587</v>
      </c>
      <c r="R271" s="106">
        <f>VLOOKUP($A271,'VKT US'!$B$63:$AA$113,(R$223+1),FALSE)/VLOOKUP($A271,'Fuel economy adjusted factor'!$A$2:$G$52,7,FALSE)*VLOOKUP($A271,'US Grid mix, emissions&amp;prices'!$AE$2:$AI$52,5,FALSE)/(1+$AZ$41)^R$223</f>
        <v>991.06782271510997</v>
      </c>
      <c r="S271" s="106">
        <f>VLOOKUP($A271,'VKT US'!$B$63:$AA$113,(S$223+1),FALSE)/VLOOKUP($A271,'Fuel economy adjusted factor'!$A$2:$G$52,7,FALSE)*VLOOKUP($A271,'US Grid mix, emissions&amp;prices'!$AE$2:$AI$52,5,FALSE)/(1+$AZ$41)^S$223</f>
        <v>957.93791513900862</v>
      </c>
      <c r="T271" s="106">
        <f>VLOOKUP($A271,'VKT US'!$B$63:$AA$113,(T$223+1),FALSE)/VLOOKUP($A271,'Fuel economy adjusted factor'!$A$2:$G$52,7,FALSE)*VLOOKUP($A271,'US Grid mix, emissions&amp;prices'!$AE$2:$AI$52,5,FALSE)/(1+$AZ$41)^T$223</f>
        <v>926.76102526589932</v>
      </c>
      <c r="U271" s="109">
        <f>VLOOKUP($A271,'VKT US'!$B$63:$AA$113,(U$223+1),FALSE)/VLOOKUP($A271,'Fuel economy adjusted factor'!$A$2:$G$52,7,FALSE)*VLOOKUP($A271,'US Grid mix, emissions&amp;prices'!$AE$2:$AI$52,5,FALSE)/(1+$AZ$41)^U$223</f>
        <v>897.80279633688019</v>
      </c>
      <c r="V271" s="110" cm="1">
        <f t="array" ref="V271">SUMPRODUCT(INDEX(B271:U271,,_xlfn.SEQUENCE($AZ$13)))</f>
        <v>20289.420109001821</v>
      </c>
    </row>
    <row r="272" spans="1:22" x14ac:dyDescent="0.25">
      <c r="A272" s="102" t="s">
        <v>158</v>
      </c>
      <c r="B272" s="106">
        <f>VLOOKUP($A272,'VKT US'!$B$63:$AA$113,(B$223+1),FALSE)/VLOOKUP($A272,'Fuel economy adjusted factor'!$A$2:$G$52,7,FALSE)*VLOOKUP($A272,'US Grid mix, emissions&amp;prices'!$AE$2:$AI$52,5,FALSE)/(1+$AZ$41)^B$223</f>
        <v>1757.0611981671441</v>
      </c>
      <c r="C272" s="106">
        <f>VLOOKUP($A272,'VKT US'!$B$63:$AA$113,(C$223+1),FALSE)/VLOOKUP($A272,'Fuel economy adjusted factor'!$A$2:$G$52,7,FALSE)*VLOOKUP($A272,'US Grid mix, emissions&amp;prices'!$AE$2:$AI$52,5,FALSE)/(1+$AZ$41)^C$223</f>
        <v>1684.5859007079937</v>
      </c>
      <c r="D272" s="106">
        <f>VLOOKUP($A272,'VKT US'!$B$63:$AA$113,(D$223+1),FALSE)/VLOOKUP($A272,'Fuel economy adjusted factor'!$A$2:$G$52,7,FALSE)*VLOOKUP($A272,'US Grid mix, emissions&amp;prices'!$AE$2:$AI$52,5,FALSE)/(1+$AZ$41)^D$223</f>
        <v>1615.1924474117836</v>
      </c>
      <c r="E272" s="106">
        <f>VLOOKUP($A272,'VKT US'!$B$63:$AA$113,(E$223+1),FALSE)/VLOOKUP($A272,'Fuel economy adjusted factor'!$A$2:$G$52,7,FALSE)*VLOOKUP($A272,'US Grid mix, emissions&amp;prices'!$AE$2:$AI$52,5,FALSE)/(1+$AZ$41)^E$223</f>
        <v>1548.921235522896</v>
      </c>
      <c r="F272" s="106">
        <f>VLOOKUP($A272,'VKT US'!$B$63:$AA$113,(F$223+1),FALSE)/VLOOKUP($A272,'Fuel economy adjusted factor'!$A$2:$G$52,7,FALSE)*VLOOKUP($A272,'US Grid mix, emissions&amp;prices'!$AE$2:$AI$52,5,FALSE)/(1+$AZ$41)^F$223</f>
        <v>1485.5667246802009</v>
      </c>
      <c r="G272" s="106">
        <f>VLOOKUP($A272,'VKT US'!$B$63:$AA$113,(G$223+1),FALSE)/VLOOKUP($A272,'Fuel economy adjusted factor'!$A$2:$G$52,7,FALSE)*VLOOKUP($A272,'US Grid mix, emissions&amp;prices'!$AE$2:$AI$52,5,FALSE)/(1+$AZ$41)^G$223</f>
        <v>1425.2894221845793</v>
      </c>
      <c r="H272" s="106">
        <f>VLOOKUP($A272,'VKT US'!$B$63:$AA$113,(H$223+1),FALSE)/VLOOKUP($A272,'Fuel economy adjusted factor'!$A$2:$G$52,7,FALSE)*VLOOKUP($A272,'US Grid mix, emissions&amp;prices'!$AE$2:$AI$52,5,FALSE)/(1+$AZ$41)^H$223</f>
        <v>1367.6497513813279</v>
      </c>
      <c r="I272" s="106">
        <f>VLOOKUP($A272,'VKT US'!$B$63:$AA$113,(I$223+1),FALSE)/VLOOKUP($A272,'Fuel economy adjusted factor'!$A$2:$G$52,7,FALSE)*VLOOKUP($A272,'US Grid mix, emissions&amp;prices'!$AE$2:$AI$52,5,FALSE)/(1+$AZ$41)^I$223</f>
        <v>1312.8102003032614</v>
      </c>
      <c r="J272" s="106">
        <f>VLOOKUP($A272,'VKT US'!$B$63:$AA$113,(J$223+1),FALSE)/VLOOKUP($A272,'Fuel economy adjusted factor'!$A$2:$G$52,7,FALSE)*VLOOKUP($A272,'US Grid mix, emissions&amp;prices'!$AE$2:$AI$52,5,FALSE)/(1+$AZ$41)^J$223</f>
        <v>1260.6930969435002</v>
      </c>
      <c r="K272" s="106">
        <f>VLOOKUP($A272,'VKT US'!$B$63:$AA$113,(K$223+1),FALSE)/VLOOKUP($A272,'Fuel economy adjusted factor'!$A$2:$G$52,7,FALSE)*VLOOKUP($A272,'US Grid mix, emissions&amp;prices'!$AE$2:$AI$52,5,FALSE)/(1+$AZ$41)^K$223</f>
        <v>1211.2224472966393</v>
      </c>
      <c r="L272" s="106">
        <f>VLOOKUP($A272,'VKT US'!$B$63:$AA$113,(L$223+1),FALSE)/VLOOKUP($A272,'Fuel economy adjusted factor'!$A$2:$G$52,7,FALSE)*VLOOKUP($A272,'US Grid mix, emissions&amp;prices'!$AE$2:$AI$52,5,FALSE)/(1+$AZ$41)^L$223</f>
        <v>1164.2113216786154</v>
      </c>
      <c r="M272" s="106">
        <f>VLOOKUP($A272,'VKT US'!$B$63:$AA$113,(M$223+1),FALSE)/VLOOKUP($A272,'Fuel economy adjusted factor'!$A$2:$G$52,7,FALSE)*VLOOKUP($A272,'US Grid mix, emissions&amp;prices'!$AE$2:$AI$52,5,FALSE)/(1+$AZ$41)^M$223</f>
        <v>1119.702239855633</v>
      </c>
      <c r="N272" s="106">
        <f>VLOOKUP($A272,'VKT US'!$B$63:$AA$113,(N$223+1),FALSE)/VLOOKUP($A272,'Fuel economy adjusted factor'!$A$2:$G$52,7,FALSE)*VLOOKUP($A272,'US Grid mix, emissions&amp;prices'!$AE$2:$AI$52,5,FALSE)/(1+$AZ$41)^N$223</f>
        <v>1077.5140789477996</v>
      </c>
      <c r="O272" s="106">
        <f>VLOOKUP($A272,'VKT US'!$B$63:$AA$113,(O$223+1),FALSE)/VLOOKUP($A272,'Fuel economy adjusted factor'!$A$2:$G$52,7,FALSE)*VLOOKUP($A272,'US Grid mix, emissions&amp;prices'!$AE$2:$AI$52,5,FALSE)/(1+$AZ$41)^O$223</f>
        <v>1037.6897346298942</v>
      </c>
      <c r="P272" s="106">
        <f>VLOOKUP($A272,'VKT US'!$B$63:$AA$113,(P$223+1),FALSE)/VLOOKUP($A272,'Fuel economy adjusted factor'!$A$2:$G$52,7,FALSE)*VLOOKUP($A272,'US Grid mix, emissions&amp;prices'!$AE$2:$AI$52,5,FALSE)/(1+$AZ$41)^P$223</f>
        <v>1000.0537109120286</v>
      </c>
      <c r="Q272" s="106">
        <f>VLOOKUP($A272,'VKT US'!$B$63:$AA$113,(Q$223+1),FALSE)/VLOOKUP($A272,'Fuel economy adjusted factor'!$A$2:$G$52,7,FALSE)*VLOOKUP($A272,'US Grid mix, emissions&amp;prices'!$AE$2:$AI$52,5,FALSE)/(1+$AZ$41)^Q$223</f>
        <v>964.7552918117517</v>
      </c>
      <c r="R272" s="106">
        <f>VLOOKUP($A272,'VKT US'!$B$63:$AA$113,(R$223+1),FALSE)/VLOOKUP($A272,'Fuel economy adjusted factor'!$A$2:$G$52,7,FALSE)*VLOOKUP($A272,'US Grid mix, emissions&amp;prices'!$AE$2:$AI$52,5,FALSE)/(1+$AZ$41)^R$223</f>
        <v>931.41104876171903</v>
      </c>
      <c r="S272" s="106">
        <f>VLOOKUP($A272,'VKT US'!$B$63:$AA$113,(S$223+1),FALSE)/VLOOKUP($A272,'Fuel economy adjusted factor'!$A$2:$G$52,7,FALSE)*VLOOKUP($A272,'US Grid mix, emissions&amp;prices'!$AE$2:$AI$52,5,FALSE)/(1+$AZ$41)^S$223</f>
        <v>900.27537746497705</v>
      </c>
      <c r="T272" s="106">
        <f>VLOOKUP($A272,'VKT US'!$B$63:$AA$113,(T$223+1),FALSE)/VLOOKUP($A272,'Fuel economy adjusted factor'!$A$2:$G$52,7,FALSE)*VLOOKUP($A272,'US Grid mix, emissions&amp;prices'!$AE$2:$AI$52,5,FALSE)/(1+$AZ$41)^T$223</f>
        <v>870.97516306159946</v>
      </c>
      <c r="U272" s="109">
        <f>VLOOKUP($A272,'VKT US'!$B$63:$AA$113,(U$223+1),FALSE)/VLOOKUP($A272,'Fuel economy adjusted factor'!$A$2:$G$52,7,FALSE)*VLOOKUP($A272,'US Grid mix, emissions&amp;prices'!$AE$2:$AI$52,5,FALSE)/(1+$AZ$41)^U$223</f>
        <v>843.7600585461812</v>
      </c>
      <c r="V272" s="110" cm="1">
        <f t="array" ref="V272">SUMPRODUCT(INDEX(B272:U272,,_xlfn.SEQUENCE($AZ$13)))</f>
        <v>19068.109799711267</v>
      </c>
    </row>
    <row r="273" spans="1:22" x14ac:dyDescent="0.25">
      <c r="A273" s="102" t="s">
        <v>160</v>
      </c>
      <c r="B273" s="106">
        <f>VLOOKUP($A273,'VKT US'!$B$63:$AA$113,(B$223+1),FALSE)/VLOOKUP($A273,'Fuel economy adjusted factor'!$A$2:$G$52,7,FALSE)*VLOOKUP($A273,'US Grid mix, emissions&amp;prices'!$AE$2:$AI$52,5,FALSE)/(1+$AZ$41)^B$223</f>
        <v>2746.416995843234</v>
      </c>
      <c r="C273" s="106">
        <f>VLOOKUP($A273,'VKT US'!$B$63:$AA$113,(C$223+1),FALSE)/VLOOKUP($A273,'Fuel economy adjusted factor'!$A$2:$G$52,7,FALSE)*VLOOKUP($A273,'US Grid mix, emissions&amp;prices'!$AE$2:$AI$52,5,FALSE)/(1+$AZ$41)^C$223</f>
        <v>2633.1327295193068</v>
      </c>
      <c r="D273" s="106">
        <f>VLOOKUP($A273,'VKT US'!$B$63:$AA$113,(D$223+1),FALSE)/VLOOKUP($A273,'Fuel economy adjusted factor'!$A$2:$G$52,7,FALSE)*VLOOKUP($A273,'US Grid mix, emissions&amp;prices'!$AE$2:$AI$52,5,FALSE)/(1+$AZ$41)^D$223</f>
        <v>2524.6656142408128</v>
      </c>
      <c r="E273" s="106">
        <f>VLOOKUP($A273,'VKT US'!$B$63:$AA$113,(E$223+1),FALSE)/VLOOKUP($A273,'Fuel economy adjusted factor'!$A$2:$G$52,7,FALSE)*VLOOKUP($A273,'US Grid mix, emissions&amp;prices'!$AE$2:$AI$52,5,FALSE)/(1+$AZ$41)^E$223</f>
        <v>2421.0787938974868</v>
      </c>
      <c r="F273" s="106">
        <f>VLOOKUP($A273,'VKT US'!$B$63:$AA$113,(F$223+1),FALSE)/VLOOKUP($A273,'Fuel economy adjusted factor'!$A$2:$G$52,7,FALSE)*VLOOKUP($A273,'US Grid mix, emissions&amp;prices'!$AE$2:$AI$52,5,FALSE)/(1+$AZ$41)^F$223</f>
        <v>2322.0509936573949</v>
      </c>
      <c r="G273" s="106">
        <f>VLOOKUP($A273,'VKT US'!$B$63:$AA$113,(G$223+1),FALSE)/VLOOKUP($A273,'Fuel economy adjusted factor'!$A$2:$G$52,7,FALSE)*VLOOKUP($A273,'US Grid mix, emissions&amp;prices'!$AE$2:$AI$52,5,FALSE)/(1+$AZ$41)^G$223</f>
        <v>2227.83309833864</v>
      </c>
      <c r="H273" s="106">
        <f>VLOOKUP($A273,'VKT US'!$B$63:$AA$113,(H$223+1),FALSE)/VLOOKUP($A273,'Fuel economy adjusted factor'!$A$2:$G$52,7,FALSE)*VLOOKUP($A273,'US Grid mix, emissions&amp;prices'!$AE$2:$AI$52,5,FALSE)/(1+$AZ$41)^H$223</f>
        <v>2137.7380170210449</v>
      </c>
      <c r="I273" s="106">
        <f>VLOOKUP($A273,'VKT US'!$B$63:$AA$113,(I$223+1),FALSE)/VLOOKUP($A273,'Fuel economy adjusted factor'!$A$2:$G$52,7,FALSE)*VLOOKUP($A273,'US Grid mix, emissions&amp;prices'!$AE$2:$AI$52,5,FALSE)/(1+$AZ$41)^I$223</f>
        <v>2052.0197305536617</v>
      </c>
      <c r="J273" s="106">
        <f>VLOOKUP($A273,'VKT US'!$B$63:$AA$113,(J$223+1),FALSE)/VLOOKUP($A273,'Fuel economy adjusted factor'!$A$2:$G$52,7,FALSE)*VLOOKUP($A273,'US Grid mix, emissions&amp;prices'!$AE$2:$AI$52,5,FALSE)/(1+$AZ$41)^J$223</f>
        <v>1970.556831827837</v>
      </c>
      <c r="K273" s="106">
        <f>VLOOKUP($A273,'VKT US'!$B$63:$AA$113,(K$223+1),FALSE)/VLOOKUP($A273,'Fuel economy adjusted factor'!$A$2:$G$52,7,FALSE)*VLOOKUP($A273,'US Grid mix, emissions&amp;prices'!$AE$2:$AI$52,5,FALSE)/(1+$AZ$41)^K$223</f>
        <v>1893.2305365757006</v>
      </c>
      <c r="L273" s="106">
        <f>VLOOKUP($A273,'VKT US'!$B$63:$AA$113,(L$223+1),FALSE)/VLOOKUP($A273,'Fuel economy adjusted factor'!$A$2:$G$52,7,FALSE)*VLOOKUP($A273,'US Grid mix, emissions&amp;prices'!$AE$2:$AI$52,5,FALSE)/(1+$AZ$41)^L$223</f>
        <v>1819.74865983416</v>
      </c>
      <c r="M273" s="106">
        <f>VLOOKUP($A273,'VKT US'!$B$63:$AA$113,(M$223+1),FALSE)/VLOOKUP($A273,'Fuel economy adjusted factor'!$A$2:$G$52,7,FALSE)*VLOOKUP($A273,'US Grid mix, emissions&amp;prices'!$AE$2:$AI$52,5,FALSE)/(1+$AZ$41)^M$223</f>
        <v>1750.1776631520127</v>
      </c>
      <c r="N273" s="106">
        <f>VLOOKUP($A273,'VKT US'!$B$63:$AA$113,(N$223+1),FALSE)/VLOOKUP($A273,'Fuel economy adjusted factor'!$A$2:$G$52,7,FALSE)*VLOOKUP($A273,'US Grid mix, emissions&amp;prices'!$AE$2:$AI$52,5,FALSE)/(1+$AZ$41)^N$223</f>
        <v>1684.2344380318473</v>
      </c>
      <c r="O273" s="106">
        <f>VLOOKUP($A273,'VKT US'!$B$63:$AA$113,(O$223+1),FALSE)/VLOOKUP($A273,'Fuel economy adjusted factor'!$A$2:$G$52,7,FALSE)*VLOOKUP($A273,'US Grid mix, emissions&amp;prices'!$AE$2:$AI$52,5,FALSE)/(1+$AZ$41)^O$223</f>
        <v>1621.9860335954504</v>
      </c>
      <c r="P273" s="106">
        <f>VLOOKUP($A273,'VKT US'!$B$63:$AA$113,(P$223+1),FALSE)/VLOOKUP($A273,'Fuel economy adjusted factor'!$A$2:$G$52,7,FALSE)*VLOOKUP($A273,'US Grid mix, emissions&amp;prices'!$AE$2:$AI$52,5,FALSE)/(1+$AZ$41)^P$223</f>
        <v>1563.1581365919039</v>
      </c>
      <c r="Q273" s="106">
        <f>VLOOKUP($A273,'VKT US'!$B$63:$AA$113,(Q$223+1),FALSE)/VLOOKUP($A273,'Fuel economy adjusted factor'!$A$2:$G$52,7,FALSE)*VLOOKUP($A273,'US Grid mix, emissions&amp;prices'!$AE$2:$AI$52,5,FALSE)/(1+$AZ$41)^Q$223</f>
        <v>1507.9840890148907</v>
      </c>
      <c r="R273" s="106">
        <f>VLOOKUP($A273,'VKT US'!$B$63:$AA$113,(R$223+1),FALSE)/VLOOKUP($A273,'Fuel economy adjusted factor'!$A$2:$G$52,7,FALSE)*VLOOKUP($A273,'US Grid mix, emissions&amp;prices'!$AE$2:$AI$52,5,FALSE)/(1+$AZ$41)^R$223</f>
        <v>1455.8645635699806</v>
      </c>
      <c r="S273" s="106">
        <f>VLOOKUP($A273,'VKT US'!$B$63:$AA$113,(S$223+1),FALSE)/VLOOKUP($A273,'Fuel economy adjusted factor'!$A$2:$G$52,7,FALSE)*VLOOKUP($A273,'US Grid mix, emissions&amp;prices'!$AE$2:$AI$52,5,FALSE)/(1+$AZ$41)^S$223</f>
        <v>1407.1971996127313</v>
      </c>
      <c r="T273" s="106">
        <f>VLOOKUP($A273,'VKT US'!$B$63:$AA$113,(T$223+1),FALSE)/VLOOKUP($A273,'Fuel economy adjusted factor'!$A$2:$G$52,7,FALSE)*VLOOKUP($A273,'US Grid mix, emissions&amp;prices'!$AE$2:$AI$52,5,FALSE)/(1+$AZ$41)^T$223</f>
        <v>1361.3987909385037</v>
      </c>
      <c r="U273" s="109">
        <f>VLOOKUP($A273,'VKT US'!$B$63:$AA$113,(U$223+1),FALSE)/VLOOKUP($A273,'Fuel economy adjusted factor'!$A$2:$G$52,7,FALSE)*VLOOKUP($A273,'US Grid mix, emissions&amp;prices'!$AE$2:$AI$52,5,FALSE)/(1+$AZ$41)^U$223</f>
        <v>1318.8595636977209</v>
      </c>
      <c r="V273" s="110" cm="1">
        <f t="array" ref="V273">SUMPRODUCT(INDEX(B273:U273,,_xlfn.SEQUENCE($AZ$13)))</f>
        <v>29804.87013608859</v>
      </c>
    </row>
    <row r="274" spans="1:22" x14ac:dyDescent="0.25">
      <c r="A274" s="103" t="s">
        <v>134</v>
      </c>
      <c r="B274" s="113">
        <f>VLOOKUP($A274,'VKT US'!$B$63:$AA$113,(B$223+1),FALSE)/VLOOKUP($A274,'Fuel economy adjusted factor'!$A$2:$G$52,7,FALSE)*VLOOKUP($A274,'US Grid mix, emissions&amp;prices'!$AE$2:$AI$52,5,FALSE)/(1+$AZ$41)^B$223</f>
        <v>1593.1744038418074</v>
      </c>
      <c r="C274" s="113">
        <f>VLOOKUP($A274,'VKT US'!$B$63:$AA$113,(C$223+1),FALSE)/VLOOKUP($A274,'Fuel economy adjusted factor'!$A$2:$G$52,7,FALSE)*VLOOKUP($A274,'US Grid mix, emissions&amp;prices'!$AE$2:$AI$52,5,FALSE)/(1+$AZ$41)^C$223</f>
        <v>1527.4591123407567</v>
      </c>
      <c r="D274" s="113">
        <f>VLOOKUP($A274,'VKT US'!$B$63:$AA$113,(D$223+1),FALSE)/VLOOKUP($A274,'Fuel economy adjusted factor'!$A$2:$G$52,7,FALSE)*VLOOKUP($A274,'US Grid mix, emissions&amp;prices'!$AE$2:$AI$52,5,FALSE)/(1+$AZ$41)^D$223</f>
        <v>1464.5382114062652</v>
      </c>
      <c r="E274" s="113">
        <f>VLOOKUP($A274,'VKT US'!$B$63:$AA$113,(E$223+1),FALSE)/VLOOKUP($A274,'Fuel economy adjusted factor'!$A$2:$G$52,7,FALSE)*VLOOKUP($A274,'US Grid mix, emissions&amp;prices'!$AE$2:$AI$52,5,FALSE)/(1+$AZ$41)^E$223</f>
        <v>1404.4483303007642</v>
      </c>
      <c r="F274" s="113">
        <f>VLOOKUP($A274,'VKT US'!$B$63:$AA$113,(F$223+1),FALSE)/VLOOKUP($A274,'Fuel economy adjusted factor'!$A$2:$G$52,7,FALSE)*VLOOKUP($A274,'US Grid mix, emissions&amp;prices'!$AE$2:$AI$52,5,FALSE)/(1+$AZ$41)^F$223</f>
        <v>1347.0031000789659</v>
      </c>
      <c r="G274" s="113">
        <f>VLOOKUP($A274,'VKT US'!$B$63:$AA$113,(G$223+1),FALSE)/VLOOKUP($A274,'Fuel economy adjusted factor'!$A$2:$G$52,7,FALSE)*VLOOKUP($A274,'US Grid mix, emissions&amp;prices'!$AE$2:$AI$52,5,FALSE)/(1+$AZ$41)^G$223</f>
        <v>1292.348057005436</v>
      </c>
      <c r="H274" s="113">
        <f>VLOOKUP($A274,'VKT US'!$B$63:$AA$113,(H$223+1),FALSE)/VLOOKUP($A274,'Fuel economy adjusted factor'!$A$2:$G$52,7,FALSE)*VLOOKUP($A274,'US Grid mix, emissions&amp;prices'!$AE$2:$AI$52,5,FALSE)/(1+$AZ$41)^H$223</f>
        <v>1240.084625165156</v>
      </c>
      <c r="I274" s="113">
        <f>VLOOKUP($A274,'VKT US'!$B$63:$AA$113,(I$223+1),FALSE)/VLOOKUP($A274,'Fuel economy adjusted factor'!$A$2:$G$52,7,FALSE)*VLOOKUP($A274,'US Grid mix, emissions&amp;prices'!$AE$2:$AI$52,5,FALSE)/(1+$AZ$41)^I$223</f>
        <v>1190.3601368053376</v>
      </c>
      <c r="J274" s="113">
        <f>VLOOKUP($A274,'VKT US'!$B$63:$AA$113,(J$223+1),FALSE)/VLOOKUP($A274,'Fuel economy adjusted factor'!$A$2:$G$52,7,FALSE)*VLOOKUP($A274,'US Grid mix, emissions&amp;prices'!$AE$2:$AI$52,5,FALSE)/(1+$AZ$41)^J$223</f>
        <v>1143.104164638994</v>
      </c>
      <c r="K274" s="113">
        <f>VLOOKUP($A274,'VKT US'!$B$63:$AA$113,(K$223+1),FALSE)/VLOOKUP($A274,'Fuel economy adjusted factor'!$A$2:$G$52,7,FALSE)*VLOOKUP($A274,'US Grid mix, emissions&amp;prices'!$AE$2:$AI$52,5,FALSE)/(1+$AZ$41)^K$223</f>
        <v>1098.2478028679757</v>
      </c>
      <c r="L274" s="113">
        <f>VLOOKUP($A274,'VKT US'!$B$63:$AA$113,(L$223+1),FALSE)/VLOOKUP($A274,'Fuel economy adjusted factor'!$A$2:$G$52,7,FALSE)*VLOOKUP($A274,'US Grid mix, emissions&amp;prices'!$AE$2:$AI$52,5,FALSE)/(1+$AZ$41)^L$223</f>
        <v>1055.621557345876</v>
      </c>
      <c r="M274" s="113">
        <f>VLOOKUP($A274,'VKT US'!$B$63:$AA$113,(M$223+1),FALSE)/VLOOKUP($A274,'Fuel economy adjusted factor'!$A$2:$G$52,7,FALSE)*VLOOKUP($A274,'US Grid mix, emissions&amp;prices'!$AE$2:$AI$52,5,FALSE)/(1+$AZ$41)^M$223</f>
        <v>1015.2639818824566</v>
      </c>
      <c r="N274" s="113">
        <f>VLOOKUP($A274,'VKT US'!$B$63:$AA$113,(N$223+1),FALSE)/VLOOKUP($A274,'Fuel economy adjusted factor'!$A$2:$G$52,7,FALSE)*VLOOKUP($A274,'US Grid mix, emissions&amp;prices'!$AE$2:$AI$52,5,FALSE)/(1+$AZ$41)^N$223</f>
        <v>977.01084751603128</v>
      </c>
      <c r="O274" s="113">
        <f>VLOOKUP($A274,'VKT US'!$B$63:$AA$113,(O$223+1),FALSE)/VLOOKUP($A274,'Fuel economy adjusted factor'!$A$2:$G$52,7,FALSE)*VLOOKUP($A274,'US Grid mix, emissions&amp;prices'!$AE$2:$AI$52,5,FALSE)/(1+$AZ$41)^O$223</f>
        <v>940.90104890272505</v>
      </c>
      <c r="P274" s="113">
        <f>VLOOKUP($A274,'VKT US'!$B$63:$AA$113,(P$223+1),FALSE)/VLOOKUP($A274,'Fuel economy adjusted factor'!$A$2:$G$52,7,FALSE)*VLOOKUP($A274,'US Grid mix, emissions&amp;prices'!$AE$2:$AI$52,5,FALSE)/(1+$AZ$41)^P$223</f>
        <v>906.77545913258291</v>
      </c>
      <c r="Q274" s="113">
        <f>VLOOKUP($A274,'VKT US'!$B$63:$AA$113,(Q$223+1),FALSE)/VLOOKUP($A274,'Fuel economy adjusted factor'!$A$2:$G$52,7,FALSE)*VLOOKUP($A274,'US Grid mix, emissions&amp;prices'!$AE$2:$AI$52,5,FALSE)/(1+$AZ$41)^Q$223</f>
        <v>874.76943801885966</v>
      </c>
      <c r="R274" s="113">
        <f>VLOOKUP($A274,'VKT US'!$B$63:$AA$113,(R$223+1),FALSE)/VLOOKUP($A274,'Fuel economy adjusted factor'!$A$2:$G$52,7,FALSE)*VLOOKUP($A274,'US Grid mix, emissions&amp;prices'!$AE$2:$AI$52,5,FALSE)/(1+$AZ$41)^R$223</f>
        <v>844.53532061975761</v>
      </c>
      <c r="S274" s="113">
        <f>VLOOKUP($A274,'VKT US'!$B$63:$AA$113,(S$223+1),FALSE)/VLOOKUP($A274,'Fuel economy adjusted factor'!$A$2:$G$52,7,FALSE)*VLOOKUP($A274,'US Grid mix, emissions&amp;prices'!$AE$2:$AI$52,5,FALSE)/(1+$AZ$41)^S$223</f>
        <v>816.3037743263526</v>
      </c>
      <c r="T274" s="113">
        <f>VLOOKUP($A274,'VKT US'!$B$63:$AA$113,(T$223+1),FALSE)/VLOOKUP($A274,'Fuel economy adjusted factor'!$A$2:$G$52,7,FALSE)*VLOOKUP($A274,'US Grid mix, emissions&amp;prices'!$AE$2:$AI$52,5,FALSE)/(1+$AZ$41)^T$223</f>
        <v>789.73648591133781</v>
      </c>
      <c r="U274" s="98">
        <f>VLOOKUP($A274,'VKT US'!$B$63:$AA$113,(U$223+1),FALSE)/VLOOKUP($A274,'Fuel economy adjusted factor'!$A$2:$G$52,7,FALSE)*VLOOKUP($A274,'US Grid mix, emissions&amp;prices'!$AE$2:$AI$52,5,FALSE)/(1+$AZ$41)^U$223</f>
        <v>765.05982242512982</v>
      </c>
      <c r="V274" s="111" cm="1">
        <f t="array" ref="V274">SUMPRODUCT(INDEX(B274:U274,,_xlfn.SEQUENCE($AZ$13)))</f>
        <v>17289.565380098546</v>
      </c>
    </row>
    <row r="278" spans="1:22" x14ac:dyDescent="0.25">
      <c r="A278" s="105" t="s">
        <v>458</v>
      </c>
    </row>
    <row r="279" spans="1:22" x14ac:dyDescent="0.25">
      <c r="A279" s="213" t="s">
        <v>3</v>
      </c>
      <c r="B279" s="216" t="s">
        <v>317</v>
      </c>
      <c r="C279" s="216"/>
      <c r="D279" s="216"/>
      <c r="E279" s="216"/>
      <c r="F279" s="216"/>
      <c r="G279" s="216"/>
      <c r="H279" s="216"/>
      <c r="I279" s="216"/>
      <c r="J279" s="216"/>
      <c r="K279" s="216"/>
      <c r="L279" s="216"/>
      <c r="M279" s="216"/>
      <c r="N279" s="216"/>
      <c r="O279" s="216"/>
      <c r="P279" s="216"/>
      <c r="Q279" s="216"/>
      <c r="R279" s="216"/>
      <c r="S279" s="216"/>
      <c r="T279" s="216"/>
      <c r="U279" s="216"/>
      <c r="V279" s="214" t="s">
        <v>453</v>
      </c>
    </row>
    <row r="280" spans="1:22" x14ac:dyDescent="0.25">
      <c r="A280" s="213"/>
      <c r="B280" s="73">
        <v>1</v>
      </c>
      <c r="C280" s="73">
        <v>2</v>
      </c>
      <c r="D280" s="73">
        <v>3</v>
      </c>
      <c r="E280" s="73">
        <v>4</v>
      </c>
      <c r="F280" s="73">
        <v>5</v>
      </c>
      <c r="G280" s="73">
        <v>6</v>
      </c>
      <c r="H280" s="73">
        <v>7</v>
      </c>
      <c r="I280" s="73">
        <v>8</v>
      </c>
      <c r="J280" s="73">
        <v>9</v>
      </c>
      <c r="K280" s="73">
        <v>10</v>
      </c>
      <c r="L280" s="73">
        <v>11</v>
      </c>
      <c r="M280" s="73">
        <v>12</v>
      </c>
      <c r="N280" s="73">
        <v>13</v>
      </c>
      <c r="O280" s="73">
        <v>14</v>
      </c>
      <c r="P280" s="73">
        <v>15</v>
      </c>
      <c r="Q280" s="73">
        <v>16</v>
      </c>
      <c r="R280" s="73">
        <v>17</v>
      </c>
      <c r="S280" s="73">
        <v>18</v>
      </c>
      <c r="T280" s="73">
        <v>19</v>
      </c>
      <c r="U280" s="73">
        <v>20</v>
      </c>
      <c r="V280" s="215"/>
    </row>
    <row r="281" spans="1:22" x14ac:dyDescent="0.25">
      <c r="A281" s="102" t="s">
        <v>187</v>
      </c>
      <c r="B281" s="106">
        <f>VLOOKUP($A281,'VKT US'!$B$63:$AA$113,(B$280+1),FALSE)*($AZ$69+$AZ$75)/(1+$AZ$41)^B$280</f>
        <v>2799.2768674312683</v>
      </c>
      <c r="C281" s="106">
        <f>VLOOKUP($A281,'VKT US'!$B$63:$AA$113,(C$280+1),FALSE)*($AZ$69+$AZ$75)/(1+$AZ$41)^C$280</f>
        <v>2683.8122360062334</v>
      </c>
      <c r="D281" s="106">
        <f>VLOOKUP($A281,'VKT US'!$B$63:$AA$113,(D$280+1),FALSE)*($AZ$69+$AZ$75)/(1+$AZ$41)^D$280</f>
        <v>2573.2574706025675</v>
      </c>
      <c r="E281" s="106">
        <f>VLOOKUP($A281,'VKT US'!$B$63:$AA$113,(E$280+1),FALSE)*($AZ$69+$AZ$75)/(1+$AZ$41)^E$280</f>
        <v>2467.67693043088</v>
      </c>
      <c r="F281" s="106">
        <f>VLOOKUP($A281,'VKT US'!$B$63:$AA$113,(F$280+1),FALSE)*($AZ$69+$AZ$75)/(1+$AZ$41)^F$280</f>
        <v>2366.7431571312491</v>
      </c>
      <c r="G281" s="106">
        <f>VLOOKUP($A281,'VKT US'!$B$63:$AA$113,(G$280+1),FALSE)*($AZ$69+$AZ$75)/(1+$AZ$41)^G$280</f>
        <v>2270.7118642638397</v>
      </c>
      <c r="H281" s="106">
        <f>VLOOKUP($A281,'VKT US'!$B$63:$AA$113,(H$280+1),FALSE)*($AZ$69+$AZ$75)/(1+$AZ$41)^H$280</f>
        <v>2178.8827365736915</v>
      </c>
      <c r="I281" s="106">
        <f>VLOOKUP($A281,'VKT US'!$B$63:$AA$113,(I$280+1),FALSE)*($AZ$69+$AZ$75)/(1+$AZ$41)^I$280</f>
        <v>2091.5146432407555</v>
      </c>
      <c r="J281" s="106">
        <f>VLOOKUP($A281,'VKT US'!$B$63:$AA$113,(J$280+1),FALSE)*($AZ$69+$AZ$75)/(1+$AZ$41)^J$280</f>
        <v>2008.483840452164</v>
      </c>
      <c r="K281" s="106">
        <f>VLOOKUP($A281,'VKT US'!$B$63:$AA$113,(K$280+1),FALSE)*($AZ$69+$AZ$75)/(1+$AZ$41)^K$280</f>
        <v>1929.6692577172482</v>
      </c>
      <c r="L281" s="106">
        <f>VLOOKUP($A281,'VKT US'!$B$63:$AA$113,(L$280+1),FALSE)*($AZ$69+$AZ$75)/(1+$AZ$41)^L$280</f>
        <v>1854.7730864332236</v>
      </c>
      <c r="M281" s="106">
        <f>VLOOKUP($A281,'VKT US'!$B$63:$AA$113,(M$280+1),FALSE)*($AZ$69+$AZ$75)/(1+$AZ$41)^M$280</f>
        <v>1783.863067324243</v>
      </c>
      <c r="N281" s="106">
        <f>VLOOKUP($A281,'VKT US'!$B$63:$AA$113,(N$280+1),FALSE)*($AZ$69+$AZ$75)/(1+$AZ$41)^N$280</f>
        <v>1716.6506429465619</v>
      </c>
      <c r="O281" s="106">
        <f>VLOOKUP($A281,'VKT US'!$B$63:$AA$113,(O$280+1),FALSE)*($AZ$69+$AZ$75)/(1+$AZ$41)^O$280</f>
        <v>1653.2041529062499</v>
      </c>
      <c r="P281" s="106">
        <f>VLOOKUP($A281,'VKT US'!$B$63:$AA$113,(P$280+1),FALSE)*($AZ$69+$AZ$75)/(1+$AZ$41)^P$280</f>
        <v>1593.2440042868313</v>
      </c>
      <c r="Q281" s="106">
        <f>VLOOKUP($A281,'VKT US'!$B$63:$AA$113,(Q$280+1),FALSE)*($AZ$69+$AZ$75)/(1+$AZ$41)^Q$280</f>
        <v>1537.0080301799696</v>
      </c>
      <c r="R281" s="106">
        <f>VLOOKUP($A281,'VKT US'!$B$63:$AA$113,(R$280+1),FALSE)*($AZ$69+$AZ$75)/(1+$AZ$41)^R$280</f>
        <v>1483.8853681296505</v>
      </c>
      <c r="S281" s="106">
        <f>VLOOKUP($A281,'VKT US'!$B$63:$AA$113,(S$280+1),FALSE)*($AZ$69+$AZ$75)/(1+$AZ$41)^S$280</f>
        <v>1434.2813107958302</v>
      </c>
      <c r="T281" s="106">
        <f>VLOOKUP($A281,'VKT US'!$B$63:$AA$113,(T$280+1),FALSE)*($AZ$69+$AZ$75)/(1+$AZ$41)^T$280</f>
        <v>1387.6014270924575</v>
      </c>
      <c r="U281" s="106">
        <f>VLOOKUP($A281,'VKT US'!$B$63:$AA$113,(U$280+1),FALSE)*($AZ$69+$AZ$75)/(1+$AZ$41)^U$280</f>
        <v>1344.2434537935176</v>
      </c>
      <c r="V281" s="109" cm="1">
        <f t="array" ref="V281">SUMPRODUCT(INDEX(B281:U281,,_xlfn.SEQUENCE($AZ$13)))</f>
        <v>30378.519953460178</v>
      </c>
    </row>
    <row r="282" spans="1:22" x14ac:dyDescent="0.25">
      <c r="A282" s="102" t="s">
        <v>231</v>
      </c>
      <c r="B282" s="106">
        <f>VLOOKUP($A282,'VKT US'!$B$63:$AA$113,(B$280+1),FALSE)*($AZ$69+$AZ$75)/(1+$AZ$41)^B$280</f>
        <v>1745.6791420569582</v>
      </c>
      <c r="C282" s="106">
        <f>VLOOKUP($A282,'VKT US'!$B$63:$AA$113,(C$280+1),FALSE)*($AZ$69+$AZ$75)/(1+$AZ$41)^C$280</f>
        <v>1673.6733318889408</v>
      </c>
      <c r="D282" s="106">
        <f>VLOOKUP($A282,'VKT US'!$B$63:$AA$113,(D$280+1),FALSE)*($AZ$69+$AZ$75)/(1+$AZ$41)^D$280</f>
        <v>1604.7294020241975</v>
      </c>
      <c r="E282" s="106">
        <f>VLOOKUP($A282,'VKT US'!$B$63:$AA$113,(E$280+1),FALSE)*($AZ$69+$AZ$75)/(1+$AZ$41)^E$280</f>
        <v>1538.8874880180449</v>
      </c>
      <c r="F282" s="106">
        <f>VLOOKUP($A282,'VKT US'!$B$63:$AA$113,(F$280+1),FALSE)*($AZ$69+$AZ$75)/(1+$AZ$41)^F$280</f>
        <v>1475.943380978016</v>
      </c>
      <c r="G282" s="106">
        <f>VLOOKUP($A282,'VKT US'!$B$63:$AA$113,(G$280+1),FALSE)*($AZ$69+$AZ$75)/(1+$AZ$41)^G$280</f>
        <v>1416.056548455718</v>
      </c>
      <c r="H282" s="106">
        <f>VLOOKUP($A282,'VKT US'!$B$63:$AA$113,(H$280+1),FALSE)*($AZ$69+$AZ$75)/(1+$AZ$41)^H$280</f>
        <v>1358.7902613274</v>
      </c>
      <c r="I282" s="106">
        <f>VLOOKUP($A282,'VKT US'!$B$63:$AA$113,(I$280+1),FALSE)*($AZ$69+$AZ$75)/(1+$AZ$41)^I$280</f>
        <v>1304.3059550456323</v>
      </c>
      <c r="J282" s="106">
        <f>VLOOKUP($A282,'VKT US'!$B$63:$AA$113,(J$280+1),FALSE)*($AZ$69+$AZ$75)/(1+$AZ$41)^J$280</f>
        <v>1252.5264607545598</v>
      </c>
      <c r="K282" s="106">
        <f>VLOOKUP($A282,'VKT US'!$B$63:$AA$113,(K$280+1),FALSE)*($AZ$69+$AZ$75)/(1+$AZ$41)^K$280</f>
        <v>1203.376276729884</v>
      </c>
      <c r="L282" s="106">
        <f>VLOOKUP($A282,'VKT US'!$B$63:$AA$113,(L$280+1),FALSE)*($AZ$69+$AZ$75)/(1+$AZ$41)^L$280</f>
        <v>1156.6696841982123</v>
      </c>
      <c r="M282" s="106">
        <f>VLOOKUP($A282,'VKT US'!$B$63:$AA$113,(M$280+1),FALSE)*($AZ$69+$AZ$75)/(1+$AZ$41)^M$280</f>
        <v>1112.4489274872124</v>
      </c>
      <c r="N282" s="106">
        <f>VLOOKUP($A282,'VKT US'!$B$63:$AA$113,(N$280+1),FALSE)*($AZ$69+$AZ$75)/(1+$AZ$41)^N$280</f>
        <v>1070.5340570118005</v>
      </c>
      <c r="O282" s="106">
        <f>VLOOKUP($A282,'VKT US'!$B$63:$AA$113,(O$280+1),FALSE)*($AZ$69+$AZ$75)/(1+$AZ$41)^O$280</f>
        <v>1030.9676905731235</v>
      </c>
      <c r="P282" s="106">
        <f>VLOOKUP($A282,'VKT US'!$B$63:$AA$113,(P$280+1),FALSE)*($AZ$69+$AZ$75)/(1+$AZ$41)^P$280</f>
        <v>993.57546902570493</v>
      </c>
      <c r="Q282" s="106">
        <f>VLOOKUP($A282,'VKT US'!$B$63:$AA$113,(Q$280+1),FALSE)*($AZ$69+$AZ$75)/(1+$AZ$41)^Q$280</f>
        <v>958.50570934105883</v>
      </c>
      <c r="R282" s="106">
        <f>VLOOKUP($A282,'VKT US'!$B$63:$AA$113,(R$280+1),FALSE)*($AZ$69+$AZ$75)/(1+$AZ$41)^R$280</f>
        <v>925.37746676143831</v>
      </c>
      <c r="S282" s="106">
        <f>VLOOKUP($A282,'VKT US'!$B$63:$AA$113,(S$280+1),FALSE)*($AZ$69+$AZ$75)/(1+$AZ$41)^S$280</f>
        <v>894.44348904150377</v>
      </c>
      <c r="T282" s="106">
        <f>VLOOKUP($A282,'VKT US'!$B$63:$AA$113,(T$280+1),FALSE)*($AZ$69+$AZ$75)/(1+$AZ$41)^T$280</f>
        <v>865.33307831982347</v>
      </c>
      <c r="U282" s="106">
        <f>VLOOKUP($A282,'VKT US'!$B$63:$AA$113,(U$280+1),FALSE)*($AZ$69+$AZ$75)/(1+$AZ$41)^U$280</f>
        <v>838.29427036536856</v>
      </c>
      <c r="V282" s="110" cm="1">
        <f t="array" ref="V282">SUMPRODUCT(INDEX(B282:U282,,_xlfn.SEQUENCE($AZ$13)))</f>
        <v>18944.588606549703</v>
      </c>
    </row>
    <row r="283" spans="1:22" x14ac:dyDescent="0.25">
      <c r="A283" s="102" t="s">
        <v>189</v>
      </c>
      <c r="B283" s="106">
        <f>VLOOKUP($A283,'VKT US'!$B$63:$AA$113,(B$280+1),FALSE)*($AZ$69+$AZ$75)/(1+$AZ$41)^B$280</f>
        <v>2056.6051633089355</v>
      </c>
      <c r="C283" s="106">
        <f>VLOOKUP($A283,'VKT US'!$B$63:$AA$113,(C$280+1),FALSE)*($AZ$69+$AZ$75)/(1+$AZ$41)^C$280</f>
        <v>1971.7742700410615</v>
      </c>
      <c r="D283" s="106">
        <f>VLOOKUP($A283,'VKT US'!$B$63:$AA$113,(D$280+1),FALSE)*($AZ$69+$AZ$75)/(1+$AZ$41)^D$280</f>
        <v>1890.5506140308473</v>
      </c>
      <c r="E283" s="106">
        <f>VLOOKUP($A283,'VKT US'!$B$63:$AA$113,(E$280+1),FALSE)*($AZ$69+$AZ$75)/(1+$AZ$41)^E$280</f>
        <v>1812.9814794488532</v>
      </c>
      <c r="F283" s="106">
        <f>VLOOKUP($A283,'VKT US'!$B$63:$AA$113,(F$280+1),FALSE)*($AZ$69+$AZ$75)/(1+$AZ$41)^F$280</f>
        <v>1738.8262853930546</v>
      </c>
      <c r="G283" s="106">
        <f>VLOOKUP($A283,'VKT US'!$B$63:$AA$113,(G$280+1),FALSE)*($AZ$69+$AZ$75)/(1+$AZ$41)^G$280</f>
        <v>1668.2729024647058</v>
      </c>
      <c r="H283" s="106">
        <f>VLOOKUP($A283,'VKT US'!$B$63:$AA$113,(H$280+1),FALSE)*($AZ$69+$AZ$75)/(1+$AZ$41)^H$280</f>
        <v>1600.8068149379592</v>
      </c>
      <c r="I283" s="106">
        <f>VLOOKUP($A283,'VKT US'!$B$63:$AA$113,(I$280+1),FALSE)*($AZ$69+$AZ$75)/(1+$AZ$41)^I$280</f>
        <v>1536.6182118213781</v>
      </c>
      <c r="J283" s="106">
        <f>VLOOKUP($A283,'VKT US'!$B$63:$AA$113,(J$280+1),FALSE)*($AZ$69+$AZ$75)/(1+$AZ$41)^J$280</f>
        <v>1475.6161795767428</v>
      </c>
      <c r="K283" s="106">
        <f>VLOOKUP($A283,'VKT US'!$B$63:$AA$113,(K$280+1),FALSE)*($AZ$69+$AZ$75)/(1+$AZ$41)^K$280</f>
        <v>1417.7117687331636</v>
      </c>
      <c r="L283" s="106">
        <f>VLOOKUP($A283,'VKT US'!$B$63:$AA$113,(L$280+1),FALSE)*($AZ$69+$AZ$75)/(1+$AZ$41)^L$280</f>
        <v>1362.686181815732</v>
      </c>
      <c r="M283" s="106">
        <f>VLOOKUP($A283,'VKT US'!$B$63:$AA$113,(M$280+1),FALSE)*($AZ$69+$AZ$75)/(1+$AZ$41)^M$280</f>
        <v>1310.5891873645587</v>
      </c>
      <c r="N283" s="106">
        <f>VLOOKUP($A283,'VKT US'!$B$63:$AA$113,(N$280+1),FALSE)*($AZ$69+$AZ$75)/(1+$AZ$41)^N$280</f>
        <v>1261.2087846534487</v>
      </c>
      <c r="O283" s="106">
        <f>VLOOKUP($A283,'VKT US'!$B$63:$AA$113,(O$280+1),FALSE)*($AZ$69+$AZ$75)/(1+$AZ$41)^O$280</f>
        <v>1214.5951822160191</v>
      </c>
      <c r="P283" s="106">
        <f>VLOOKUP($A283,'VKT US'!$B$63:$AA$113,(P$280+1),FALSE)*($AZ$69+$AZ$75)/(1+$AZ$41)^P$280</f>
        <v>1170.5429654888378</v>
      </c>
      <c r="Q283" s="106">
        <f>VLOOKUP($A283,'VKT US'!$B$63:$AA$113,(Q$280+1),FALSE)*($AZ$69+$AZ$75)/(1+$AZ$41)^Q$280</f>
        <v>1129.2268684433857</v>
      </c>
      <c r="R283" s="106">
        <f>VLOOKUP($A283,'VKT US'!$B$63:$AA$113,(R$280+1),FALSE)*($AZ$69+$AZ$75)/(1+$AZ$41)^R$280</f>
        <v>1090.1980955726062</v>
      </c>
      <c r="S283" s="106">
        <f>VLOOKUP($A283,'VKT US'!$B$63:$AA$113,(S$280+1),FALSE)*($AZ$69+$AZ$75)/(1+$AZ$41)^S$280</f>
        <v>1053.7544119839154</v>
      </c>
      <c r="T283" s="106">
        <f>VLOOKUP($A283,'VKT US'!$B$63:$AA$113,(T$280+1),FALSE)*($AZ$69+$AZ$75)/(1+$AZ$41)^T$280</f>
        <v>1019.4590941595258</v>
      </c>
      <c r="U283" s="106">
        <f>VLOOKUP($A283,'VKT US'!$B$63:$AA$113,(U$280+1),FALSE)*($AZ$69+$AZ$75)/(1+$AZ$41)^U$280</f>
        <v>987.60435596100035</v>
      </c>
      <c r="V283" s="110" cm="1">
        <f t="array" ref="V283">SUMPRODUCT(INDEX(B283:U283,,_xlfn.SEQUENCE($AZ$13)))</f>
        <v>22318.843025806462</v>
      </c>
    </row>
    <row r="284" spans="1:22" x14ac:dyDescent="0.25">
      <c r="A284" s="102" t="s">
        <v>188</v>
      </c>
      <c r="B284" s="106">
        <f>VLOOKUP($A284,'VKT US'!$B$63:$AA$113,(B$280+1),FALSE)*($AZ$69+$AZ$75)/(1+$AZ$41)^B$280</f>
        <v>2706.1090399414138</v>
      </c>
      <c r="C284" s="106">
        <f>VLOOKUP($A284,'VKT US'!$B$63:$AA$113,(C$280+1),FALSE)*($AZ$69+$AZ$75)/(1+$AZ$41)^C$280</f>
        <v>2594.4873970349304</v>
      </c>
      <c r="D284" s="106">
        <f>VLOOKUP($A284,'VKT US'!$B$63:$AA$113,(D$280+1),FALSE)*($AZ$69+$AZ$75)/(1+$AZ$41)^D$280</f>
        <v>2487.6122059638892</v>
      </c>
      <c r="E284" s="106">
        <f>VLOOKUP($A284,'VKT US'!$B$63:$AA$113,(E$280+1),FALSE)*($AZ$69+$AZ$75)/(1+$AZ$41)^E$280</f>
        <v>2385.5456838828918</v>
      </c>
      <c r="F284" s="106">
        <f>VLOOKUP($A284,'VKT US'!$B$63:$AA$113,(F$280+1),FALSE)*($AZ$69+$AZ$75)/(1+$AZ$41)^F$280</f>
        <v>2287.9712711695929</v>
      </c>
      <c r="G284" s="106">
        <f>VLOOKUP($A284,'VKT US'!$B$63:$AA$113,(G$280+1),FALSE)*($AZ$69+$AZ$75)/(1+$AZ$41)^G$280</f>
        <v>2195.136170515821</v>
      </c>
      <c r="H284" s="106">
        <f>VLOOKUP($A284,'VKT US'!$B$63:$AA$113,(H$280+1),FALSE)*($AZ$69+$AZ$75)/(1+$AZ$41)^H$280</f>
        <v>2106.363375133034</v>
      </c>
      <c r="I284" s="106">
        <f>VLOOKUP($A284,'VKT US'!$B$63:$AA$113,(I$280+1),FALSE)*($AZ$69+$AZ$75)/(1+$AZ$41)^I$280</f>
        <v>2021.9031383049207</v>
      </c>
      <c r="J284" s="106">
        <f>VLOOKUP($A284,'VKT US'!$B$63:$AA$113,(J$280+1),FALSE)*($AZ$69+$AZ$75)/(1+$AZ$41)^J$280</f>
        <v>1941.6358347616358</v>
      </c>
      <c r="K284" s="106">
        <f>VLOOKUP($A284,'VKT US'!$B$63:$AA$113,(K$280+1),FALSE)*($AZ$69+$AZ$75)/(1+$AZ$41)^K$280</f>
        <v>1865.4444235798326</v>
      </c>
      <c r="L284" s="106">
        <f>VLOOKUP($A284,'VKT US'!$B$63:$AA$113,(L$280+1),FALSE)*($AZ$69+$AZ$75)/(1+$AZ$41)^L$280</f>
        <v>1793.0410080667814</v>
      </c>
      <c r="M284" s="106">
        <f>VLOOKUP($A284,'VKT US'!$B$63:$AA$113,(M$280+1),FALSE)*($AZ$69+$AZ$75)/(1+$AZ$41)^M$280</f>
        <v>1724.4910743443206</v>
      </c>
      <c r="N284" s="106">
        <f>VLOOKUP($A284,'VKT US'!$B$63:$AA$113,(N$280+1),FALSE)*($AZ$69+$AZ$75)/(1+$AZ$41)^N$280</f>
        <v>1659.5156689741023</v>
      </c>
      <c r="O284" s="106">
        <f>VLOOKUP($A284,'VKT US'!$B$63:$AA$113,(O$280+1),FALSE)*($AZ$69+$AZ$75)/(1+$AZ$41)^O$280</f>
        <v>1598.1808570274034</v>
      </c>
      <c r="P284" s="106">
        <f>VLOOKUP($A284,'VKT US'!$B$63:$AA$113,(P$280+1),FALSE)*($AZ$69+$AZ$75)/(1+$AZ$41)^P$280</f>
        <v>1540.2163512283989</v>
      </c>
      <c r="Q284" s="106">
        <f>VLOOKUP($A284,'VKT US'!$B$63:$AA$113,(Q$280+1),FALSE)*($AZ$69+$AZ$75)/(1+$AZ$41)^Q$280</f>
        <v>1485.8520689128247</v>
      </c>
      <c r="R284" s="106">
        <f>VLOOKUP($A284,'VKT US'!$B$63:$AA$113,(R$280+1),FALSE)*($AZ$69+$AZ$75)/(1+$AZ$41)^R$280</f>
        <v>1434.4974788496997</v>
      </c>
      <c r="S284" s="106">
        <f>VLOOKUP($A284,'VKT US'!$B$63:$AA$113,(S$280+1),FALSE)*($AZ$69+$AZ$75)/(1+$AZ$41)^S$280</f>
        <v>1386.5443844164215</v>
      </c>
      <c r="T284" s="106">
        <f>VLOOKUP($A284,'VKT US'!$B$63:$AA$113,(T$280+1),FALSE)*($AZ$69+$AZ$75)/(1+$AZ$41)^T$280</f>
        <v>1341.4181388696463</v>
      </c>
      <c r="U284" s="106">
        <f>VLOOKUP($A284,'VKT US'!$B$63:$AA$113,(U$280+1),FALSE)*($AZ$69+$AZ$75)/(1+$AZ$41)^U$280</f>
        <v>1299.5032411819916</v>
      </c>
      <c r="V284" s="110" cm="1">
        <f t="array" ref="V284">SUMPRODUCT(INDEX(B284:U284,,_xlfn.SEQUENCE($AZ$13)))</f>
        <v>29367.437148700574</v>
      </c>
    </row>
    <row r="285" spans="1:22" x14ac:dyDescent="0.25">
      <c r="A285" s="102" t="s">
        <v>149</v>
      </c>
      <c r="B285" s="106">
        <f>VLOOKUP($A285,'VKT US'!$B$63:$AA$113,(B$280+1),FALSE)*($AZ$69+$AZ$75)/(1+$AZ$41)^B$280</f>
        <v>1967.6793785547063</v>
      </c>
      <c r="C285" s="106">
        <f>VLOOKUP($A285,'VKT US'!$B$63:$AA$113,(C$280+1),FALSE)*($AZ$69+$AZ$75)/(1+$AZ$41)^C$280</f>
        <v>1886.5164979369179</v>
      </c>
      <c r="D285" s="106">
        <f>VLOOKUP($A285,'VKT US'!$B$63:$AA$113,(D$280+1),FALSE)*($AZ$69+$AZ$75)/(1+$AZ$41)^D$280</f>
        <v>1808.8048808344029</v>
      </c>
      <c r="E285" s="106">
        <f>VLOOKUP($A285,'VKT US'!$B$63:$AA$113,(E$280+1),FALSE)*($AZ$69+$AZ$75)/(1+$AZ$41)^E$280</f>
        <v>1734.5897668920882</v>
      </c>
      <c r="F285" s="106">
        <f>VLOOKUP($A285,'VKT US'!$B$63:$AA$113,(F$280+1),FALSE)*($AZ$69+$AZ$75)/(1+$AZ$41)^F$280</f>
        <v>1663.6409777129577</v>
      </c>
      <c r="G285" s="106">
        <f>VLOOKUP($A285,'VKT US'!$B$63:$AA$113,(G$280+1),FALSE)*($AZ$69+$AZ$75)/(1+$AZ$41)^G$280</f>
        <v>1596.1382605399522</v>
      </c>
      <c r="H285" s="106">
        <f>VLOOKUP($A285,'VKT US'!$B$63:$AA$113,(H$280+1),FALSE)*($AZ$69+$AZ$75)/(1+$AZ$41)^H$280</f>
        <v>1531.5893468512606</v>
      </c>
      <c r="I285" s="106">
        <f>VLOOKUP($A285,'VKT US'!$B$63:$AA$113,(I$280+1),FALSE)*($AZ$69+$AZ$75)/(1+$AZ$41)^I$280</f>
        <v>1470.1762020512556</v>
      </c>
      <c r="J285" s="106">
        <f>VLOOKUP($A285,'VKT US'!$B$63:$AA$113,(J$280+1),FALSE)*($AZ$69+$AZ$75)/(1+$AZ$41)^J$280</f>
        <v>1411.8118436225457</v>
      </c>
      <c r="K285" s="106">
        <f>VLOOKUP($A285,'VKT US'!$B$63:$AA$113,(K$280+1),FALSE)*($AZ$69+$AZ$75)/(1+$AZ$41)^K$280</f>
        <v>1356.4111681905379</v>
      </c>
      <c r="L285" s="106">
        <f>VLOOKUP($A285,'VKT US'!$B$63:$AA$113,(L$280+1),FALSE)*($AZ$69+$AZ$75)/(1+$AZ$41)^L$280</f>
        <v>1303.764838889246</v>
      </c>
      <c r="M285" s="106">
        <f>VLOOKUP($A285,'VKT US'!$B$63:$AA$113,(M$280+1),FALSE)*($AZ$69+$AZ$75)/(1+$AZ$41)^M$280</f>
        <v>1253.9204723112096</v>
      </c>
      <c r="N285" s="106">
        <f>VLOOKUP($A285,'VKT US'!$B$63:$AA$113,(N$280+1),FALSE)*($AZ$69+$AZ$75)/(1+$AZ$41)^N$280</f>
        <v>1206.6752344537654</v>
      </c>
      <c r="O285" s="106">
        <f>VLOOKUP($A285,'VKT US'!$B$63:$AA$113,(O$280+1),FALSE)*($AZ$69+$AZ$75)/(1+$AZ$41)^O$280</f>
        <v>1162.0771628780305</v>
      </c>
      <c r="P285" s="106">
        <f>VLOOKUP($A285,'VKT US'!$B$63:$AA$113,(P$280+1),FALSE)*($AZ$69+$AZ$75)/(1+$AZ$41)^P$280</f>
        <v>1119.9297249642632</v>
      </c>
      <c r="Q285" s="106">
        <f>VLOOKUP($A285,'VKT US'!$B$63:$AA$113,(Q$280+1),FALSE)*($AZ$69+$AZ$75)/(1+$AZ$41)^Q$280</f>
        <v>1080.4000993418613</v>
      </c>
      <c r="R285" s="106">
        <f>VLOOKUP($A285,'VKT US'!$B$63:$AA$113,(R$280+1),FALSE)*($AZ$69+$AZ$75)/(1+$AZ$41)^R$280</f>
        <v>1043.0588960237833</v>
      </c>
      <c r="S285" s="106">
        <f>VLOOKUP($A285,'VKT US'!$B$63:$AA$113,(S$280+1),FALSE)*($AZ$69+$AZ$75)/(1+$AZ$41)^S$280</f>
        <v>1008.1910050180716</v>
      </c>
      <c r="T285" s="106">
        <f>VLOOKUP($A285,'VKT US'!$B$63:$AA$113,(T$280+1),FALSE)*($AZ$69+$AZ$75)/(1+$AZ$41)^T$280</f>
        <v>975.37858634483575</v>
      </c>
      <c r="U285" s="106">
        <f>VLOOKUP($A285,'VKT US'!$B$63:$AA$113,(U$280+1),FALSE)*($AZ$69+$AZ$75)/(1+$AZ$41)^U$280</f>
        <v>944.90121879721676</v>
      </c>
      <c r="V285" s="110" cm="1">
        <f t="array" ref="V285">SUMPRODUCT(INDEX(B285:U285,,_xlfn.SEQUENCE($AZ$13)))</f>
        <v>21353.796031718874</v>
      </c>
    </row>
    <row r="286" spans="1:22" x14ac:dyDescent="0.25">
      <c r="A286" s="102" t="s">
        <v>190</v>
      </c>
      <c r="B286" s="106">
        <f>VLOOKUP($A286,'VKT US'!$B$63:$AA$113,(B$280+1),FALSE)*($AZ$69+$AZ$75)/(1+$AZ$41)^B$280</f>
        <v>2026.596638771731</v>
      </c>
      <c r="C286" s="106">
        <f>VLOOKUP($A286,'VKT US'!$B$63:$AA$113,(C$280+1),FALSE)*($AZ$69+$AZ$75)/(1+$AZ$41)^C$280</f>
        <v>1943.003537758568</v>
      </c>
      <c r="D286" s="106">
        <f>VLOOKUP($A286,'VKT US'!$B$63:$AA$113,(D$280+1),FALSE)*($AZ$69+$AZ$75)/(1+$AZ$41)^D$280</f>
        <v>1862.9650397543087</v>
      </c>
      <c r="E286" s="106">
        <f>VLOOKUP($A286,'VKT US'!$B$63:$AA$113,(E$280+1),FALSE)*($AZ$69+$AZ$75)/(1+$AZ$41)^E$280</f>
        <v>1786.5277389924186</v>
      </c>
      <c r="F286" s="106">
        <f>VLOOKUP($A286,'VKT US'!$B$63:$AA$113,(F$280+1),FALSE)*($AZ$69+$AZ$75)/(1+$AZ$41)^F$280</f>
        <v>1713.4545649568381</v>
      </c>
      <c r="G286" s="106">
        <f>VLOOKUP($A286,'VKT US'!$B$63:$AA$113,(G$280+1),FALSE)*($AZ$69+$AZ$75)/(1+$AZ$41)^G$280</f>
        <v>1643.9306469741973</v>
      </c>
      <c r="H286" s="106">
        <f>VLOOKUP($A286,'VKT US'!$B$63:$AA$113,(H$280+1),FALSE)*($AZ$69+$AZ$75)/(1+$AZ$41)^H$280</f>
        <v>1577.4489767673595</v>
      </c>
      <c r="I286" s="106">
        <f>VLOOKUP($A286,'VKT US'!$B$63:$AA$113,(I$280+1),FALSE)*($AZ$69+$AZ$75)/(1+$AZ$41)^I$280</f>
        <v>1514.196968241708</v>
      </c>
      <c r="J286" s="106">
        <f>VLOOKUP($A286,'VKT US'!$B$63:$AA$113,(J$280+1),FALSE)*($AZ$69+$AZ$75)/(1+$AZ$41)^J$280</f>
        <v>1454.08503440492</v>
      </c>
      <c r="K286" s="106">
        <f>VLOOKUP($A286,'VKT US'!$B$63:$AA$113,(K$280+1),FALSE)*($AZ$69+$AZ$75)/(1+$AZ$41)^K$280</f>
        <v>1397.0255236737262</v>
      </c>
      <c r="L286" s="106">
        <f>VLOOKUP($A286,'VKT US'!$B$63:$AA$113,(L$280+1),FALSE)*($AZ$69+$AZ$75)/(1+$AZ$41)^L$280</f>
        <v>1342.8028311108578</v>
      </c>
      <c r="M286" s="106">
        <f>VLOOKUP($A286,'VKT US'!$B$63:$AA$113,(M$280+1),FALSE)*($AZ$69+$AZ$75)/(1+$AZ$41)^M$280</f>
        <v>1291.4659990691705</v>
      </c>
      <c r="N286" s="106">
        <f>VLOOKUP($A286,'VKT US'!$B$63:$AA$113,(N$280+1),FALSE)*($AZ$69+$AZ$75)/(1+$AZ$41)^N$280</f>
        <v>1242.8061201867713</v>
      </c>
      <c r="O286" s="106">
        <f>VLOOKUP($A286,'VKT US'!$B$63:$AA$113,(O$280+1),FALSE)*($AZ$69+$AZ$75)/(1+$AZ$41)^O$280</f>
        <v>1196.8726703899488</v>
      </c>
      <c r="P286" s="106">
        <f>VLOOKUP($A286,'VKT US'!$B$63:$AA$113,(P$280+1),FALSE)*($AZ$69+$AZ$75)/(1+$AZ$41)^P$280</f>
        <v>1153.4632323789549</v>
      </c>
      <c r="Q286" s="106">
        <f>VLOOKUP($A286,'VKT US'!$B$63:$AA$113,(Q$280+1),FALSE)*($AZ$69+$AZ$75)/(1+$AZ$41)^Q$280</f>
        <v>1112.7499905310337</v>
      </c>
      <c r="R286" s="106">
        <f>VLOOKUP($A286,'VKT US'!$B$63:$AA$113,(R$280+1),FALSE)*($AZ$69+$AZ$75)/(1+$AZ$41)^R$280</f>
        <v>1074.2906978449998</v>
      </c>
      <c r="S286" s="106">
        <f>VLOOKUP($A286,'VKT US'!$B$63:$AA$113,(S$280+1),FALSE)*($AZ$69+$AZ$75)/(1+$AZ$41)^S$280</f>
        <v>1038.3787746509186</v>
      </c>
      <c r="T286" s="106">
        <f>VLOOKUP($A286,'VKT US'!$B$63:$AA$113,(T$280+1),FALSE)*($AZ$69+$AZ$75)/(1+$AZ$41)^T$280</f>
        <v>1004.5838697909644</v>
      </c>
      <c r="U286" s="106">
        <f>VLOOKUP($A286,'VKT US'!$B$63:$AA$113,(U$280+1),FALSE)*($AZ$69+$AZ$75)/(1+$AZ$41)^U$280</f>
        <v>973.19393334919368</v>
      </c>
      <c r="V286" s="110" cm="1">
        <f t="array" ref="V286">SUMPRODUCT(INDEX(B286:U286,,_xlfn.SEQUENCE($AZ$13)))</f>
        <v>21993.182291052519</v>
      </c>
    </row>
    <row r="287" spans="1:22" x14ac:dyDescent="0.25">
      <c r="A287" s="102" t="s">
        <v>191</v>
      </c>
      <c r="B287" s="106">
        <f>VLOOKUP($A287,'VKT US'!$B$63:$AA$113,(B$280+1),FALSE)*($AZ$69+$AZ$75)/(1+$AZ$41)^B$280</f>
        <v>1903.7345121324959</v>
      </c>
      <c r="C287" s="106">
        <f>VLOOKUP($A287,'VKT US'!$B$63:$AA$113,(C$280+1),FALSE)*($AZ$69+$AZ$75)/(1+$AZ$41)^C$280</f>
        <v>1825.2092307171538</v>
      </c>
      <c r="D287" s="106">
        <f>VLOOKUP($A287,'VKT US'!$B$63:$AA$113,(D$280+1),FALSE)*($AZ$69+$AZ$75)/(1+$AZ$41)^D$280</f>
        <v>1750.0230550199981</v>
      </c>
      <c r="E287" s="106">
        <f>VLOOKUP($A287,'VKT US'!$B$63:$AA$113,(E$280+1),FALSE)*($AZ$69+$AZ$75)/(1+$AZ$41)^E$280</f>
        <v>1678.2197545058636</v>
      </c>
      <c r="F287" s="106">
        <f>VLOOKUP($A287,'VKT US'!$B$63:$AA$113,(F$280+1),FALSE)*($AZ$69+$AZ$75)/(1+$AZ$41)^F$280</f>
        <v>1609.5766310242659</v>
      </c>
      <c r="G287" s="106">
        <f>VLOOKUP($A287,'VKT US'!$B$63:$AA$113,(G$280+1),FALSE)*($AZ$69+$AZ$75)/(1+$AZ$41)^G$280</f>
        <v>1544.2675904633188</v>
      </c>
      <c r="H287" s="106">
        <f>VLOOKUP($A287,'VKT US'!$B$63:$AA$113,(H$280+1),FALSE)*($AZ$69+$AZ$75)/(1+$AZ$41)^H$280</f>
        <v>1481.8163618489882</v>
      </c>
      <c r="I287" s="106">
        <f>VLOOKUP($A287,'VKT US'!$B$63:$AA$113,(I$280+1),FALSE)*($AZ$69+$AZ$75)/(1+$AZ$41)^I$280</f>
        <v>1422.3989971458852</v>
      </c>
      <c r="J287" s="106">
        <f>VLOOKUP($A287,'VKT US'!$B$63:$AA$113,(J$280+1),FALSE)*($AZ$69+$AZ$75)/(1+$AZ$41)^J$280</f>
        <v>1365.9313405600756</v>
      </c>
      <c r="K287" s="106">
        <f>VLOOKUP($A287,'VKT US'!$B$63:$AA$113,(K$280+1),FALSE)*($AZ$69+$AZ$75)/(1+$AZ$41)^K$280</f>
        <v>1312.3310543727841</v>
      </c>
      <c r="L287" s="106">
        <f>VLOOKUP($A287,'VKT US'!$B$63:$AA$113,(L$280+1),FALSE)*($AZ$69+$AZ$75)/(1+$AZ$41)^L$280</f>
        <v>1261.3956046647231</v>
      </c>
      <c r="M287" s="106">
        <f>VLOOKUP($A287,'VKT US'!$B$63:$AA$113,(M$280+1),FALSE)*($AZ$69+$AZ$75)/(1+$AZ$41)^M$280</f>
        <v>1213.1710606032357</v>
      </c>
      <c r="N287" s="106">
        <f>VLOOKUP($A287,'VKT US'!$B$63:$AA$113,(N$280+1),FALSE)*($AZ$69+$AZ$75)/(1+$AZ$41)^N$280</f>
        <v>1167.4611798048768</v>
      </c>
      <c r="O287" s="106">
        <f>VLOOKUP($A287,'VKT US'!$B$63:$AA$113,(O$280+1),FALSE)*($AZ$69+$AZ$75)/(1+$AZ$41)^O$280</f>
        <v>1124.3124387250957</v>
      </c>
      <c r="P287" s="106">
        <f>VLOOKUP($A287,'VKT US'!$B$63:$AA$113,(P$280+1),FALSE)*($AZ$69+$AZ$75)/(1+$AZ$41)^P$280</f>
        <v>1083.5346915835178</v>
      </c>
      <c r="Q287" s="106">
        <f>VLOOKUP($A287,'VKT US'!$B$63:$AA$113,(Q$280+1),FALSE)*($AZ$69+$AZ$75)/(1+$AZ$41)^Q$280</f>
        <v>1045.2896841045458</v>
      </c>
      <c r="R287" s="106">
        <f>VLOOKUP($A287,'VKT US'!$B$63:$AA$113,(R$280+1),FALSE)*($AZ$69+$AZ$75)/(1+$AZ$41)^R$280</f>
        <v>1009.1619804471558</v>
      </c>
      <c r="S287" s="106">
        <f>VLOOKUP($A287,'VKT US'!$B$63:$AA$113,(S$280+1),FALSE)*($AZ$69+$AZ$75)/(1+$AZ$41)^S$280</f>
        <v>975.42721237655473</v>
      </c>
      <c r="T287" s="106">
        <f>VLOOKUP($A287,'VKT US'!$B$63:$AA$113,(T$280+1),FALSE)*($AZ$69+$AZ$75)/(1+$AZ$41)^T$280</f>
        <v>943.68111871130429</v>
      </c>
      <c r="U287" s="106">
        <f>VLOOKUP($A287,'VKT US'!$B$63:$AA$113,(U$280+1),FALSE)*($AZ$69+$AZ$75)/(1+$AZ$41)^U$280</f>
        <v>914.19419260347161</v>
      </c>
      <c r="V287" s="110" cm="1">
        <f t="array" ref="V287">SUMPRODUCT(INDEX(B287:U287,,_xlfn.SEQUENCE($AZ$13)))</f>
        <v>20659.848811588759</v>
      </c>
    </row>
    <row r="288" spans="1:22" x14ac:dyDescent="0.25">
      <c r="A288" s="102" t="s">
        <v>192</v>
      </c>
      <c r="B288" s="106">
        <f>VLOOKUP($A288,'VKT US'!$B$63:$AA$113,(B$280+1),FALSE)*($AZ$69+$AZ$75)/(1+$AZ$41)^B$280</f>
        <v>1981.033957537232</v>
      </c>
      <c r="C288" s="106">
        <f>VLOOKUP($A288,'VKT US'!$B$63:$AA$113,(C$280+1),FALSE)*($AZ$69+$AZ$75)/(1+$AZ$41)^C$280</f>
        <v>1899.3202269631586</v>
      </c>
      <c r="D288" s="106">
        <f>VLOOKUP($A288,'VKT US'!$B$63:$AA$113,(D$280+1),FALSE)*($AZ$69+$AZ$75)/(1+$AZ$41)^D$280</f>
        <v>1821.0811835229147</v>
      </c>
      <c r="E288" s="106">
        <f>VLOOKUP($A288,'VKT US'!$B$63:$AA$113,(E$280+1),FALSE)*($AZ$69+$AZ$75)/(1+$AZ$41)^E$280</f>
        <v>1746.3623739014965</v>
      </c>
      <c r="F288" s="106">
        <f>VLOOKUP($A288,'VKT US'!$B$63:$AA$113,(F$280+1),FALSE)*($AZ$69+$AZ$75)/(1+$AZ$41)^F$280</f>
        <v>1674.9320574882372</v>
      </c>
      <c r="G288" s="106">
        <f>VLOOKUP($A288,'VKT US'!$B$63:$AA$113,(G$280+1),FALSE)*($AZ$69+$AZ$75)/(1+$AZ$41)^G$280</f>
        <v>1606.9712014650479</v>
      </c>
      <c r="H288" s="106">
        <f>VLOOKUP($A288,'VKT US'!$B$63:$AA$113,(H$280+1),FALSE)*($AZ$69+$AZ$75)/(1+$AZ$41)^H$280</f>
        <v>1541.9841962989099</v>
      </c>
      <c r="I288" s="106">
        <f>VLOOKUP($A288,'VKT US'!$B$63:$AA$113,(I$280+1),FALSE)*($AZ$69+$AZ$75)/(1+$AZ$41)^I$280</f>
        <v>1480.1542423877584</v>
      </c>
      <c r="J288" s="106">
        <f>VLOOKUP($A288,'VKT US'!$B$63:$AA$113,(J$280+1),FALSE)*($AZ$69+$AZ$75)/(1+$AZ$41)^J$280</f>
        <v>1421.3937668665505</v>
      </c>
      <c r="K288" s="106">
        <f>VLOOKUP($A288,'VKT US'!$B$63:$AA$113,(K$280+1),FALSE)*($AZ$69+$AZ$75)/(1+$AZ$41)^K$280</f>
        <v>1365.6170887667272</v>
      </c>
      <c r="L288" s="106">
        <f>VLOOKUP($A288,'VKT US'!$B$63:$AA$113,(L$280+1),FALSE)*($AZ$69+$AZ$75)/(1+$AZ$41)^L$280</f>
        <v>1312.6134504594779</v>
      </c>
      <c r="M288" s="106">
        <f>VLOOKUP($A288,'VKT US'!$B$63:$AA$113,(M$280+1),FALSE)*($AZ$69+$AZ$75)/(1+$AZ$41)^M$280</f>
        <v>1262.4307917096808</v>
      </c>
      <c r="N288" s="106">
        <f>VLOOKUP($A288,'VKT US'!$B$63:$AA$113,(N$280+1),FALSE)*($AZ$69+$AZ$75)/(1+$AZ$41)^N$280</f>
        <v>1214.8649018865801</v>
      </c>
      <c r="O288" s="106">
        <f>VLOOKUP($A288,'VKT US'!$B$63:$AA$113,(O$280+1),FALSE)*($AZ$69+$AZ$75)/(1+$AZ$41)^O$280</f>
        <v>1169.9641445807324</v>
      </c>
      <c r="P288" s="106">
        <f>VLOOKUP($A288,'VKT US'!$B$63:$AA$113,(P$280+1),FALSE)*($AZ$69+$AZ$75)/(1+$AZ$41)^P$280</f>
        <v>1127.5306533115934</v>
      </c>
      <c r="Q288" s="106">
        <f>VLOOKUP($A288,'VKT US'!$B$63:$AA$113,(Q$280+1),FALSE)*($AZ$69+$AZ$75)/(1+$AZ$41)^Q$280</f>
        <v>1087.7327413447404</v>
      </c>
      <c r="R288" s="106">
        <f>VLOOKUP($A288,'VKT US'!$B$63:$AA$113,(R$280+1),FALSE)*($AZ$69+$AZ$75)/(1+$AZ$41)^R$280</f>
        <v>1050.1381044365921</v>
      </c>
      <c r="S288" s="106">
        <f>VLOOKUP($A288,'VKT US'!$B$63:$AA$113,(S$280+1),FALSE)*($AZ$69+$AZ$75)/(1+$AZ$41)^S$280</f>
        <v>1015.0335661348503</v>
      </c>
      <c r="T288" s="106">
        <f>VLOOKUP($A288,'VKT US'!$B$63:$AA$113,(T$280+1),FALSE)*($AZ$69+$AZ$75)/(1+$AZ$41)^T$280</f>
        <v>981.99845059262498</v>
      </c>
      <c r="U288" s="106">
        <f>VLOOKUP($A288,'VKT US'!$B$63:$AA$113,(U$280+1),FALSE)*($AZ$69+$AZ$75)/(1+$AZ$41)^U$280</f>
        <v>951.31423409566492</v>
      </c>
      <c r="V288" s="110" cm="1">
        <f t="array" ref="V288">SUMPRODUCT(INDEX(B288:U288,,_xlfn.SEQUENCE($AZ$13)))</f>
        <v>21498.723583834504</v>
      </c>
    </row>
    <row r="289" spans="1:22" x14ac:dyDescent="0.25">
      <c r="A289" s="102" t="s">
        <v>193</v>
      </c>
      <c r="B289" s="106">
        <f>VLOOKUP($A289,'VKT US'!$B$63:$AA$113,(B$280+1),FALSE)*($AZ$69+$AZ$75)/(1+$AZ$41)^B$280</f>
        <v>2287.0894852779347</v>
      </c>
      <c r="C289" s="106">
        <f>VLOOKUP($A289,'VKT US'!$B$63:$AA$113,(C$280+1),FALSE)*($AZ$69+$AZ$75)/(1+$AZ$41)^C$280</f>
        <v>2192.751569823356</v>
      </c>
      <c r="D289" s="106">
        <f>VLOOKUP($A289,'VKT US'!$B$63:$AA$113,(D$280+1),FALSE)*($AZ$69+$AZ$75)/(1+$AZ$41)^D$280</f>
        <v>2102.4251557255193</v>
      </c>
      <c r="E289" s="106">
        <f>VLOOKUP($A289,'VKT US'!$B$63:$AA$113,(E$280+1),FALSE)*($AZ$69+$AZ$75)/(1+$AZ$41)^E$280</f>
        <v>2016.1628263053444</v>
      </c>
      <c r="F289" s="106">
        <f>VLOOKUP($A289,'VKT US'!$B$63:$AA$113,(F$280+1),FALSE)*($AZ$69+$AZ$75)/(1+$AZ$41)^F$280</f>
        <v>1933.697038691115</v>
      </c>
      <c r="G289" s="106">
        <f>VLOOKUP($A289,'VKT US'!$B$63:$AA$113,(G$280+1),FALSE)*($AZ$69+$AZ$75)/(1+$AZ$41)^G$280</f>
        <v>1855.2367181954717</v>
      </c>
      <c r="H289" s="106">
        <f>VLOOKUP($A289,'VKT US'!$B$63:$AA$113,(H$280+1),FALSE)*($AZ$69+$AZ$75)/(1+$AZ$41)^H$280</f>
        <v>1780.2096871697383</v>
      </c>
      <c r="I289" s="106">
        <f>VLOOKUP($A289,'VKT US'!$B$63:$AA$113,(I$280+1),FALSE)*($AZ$69+$AZ$75)/(1+$AZ$41)^I$280</f>
        <v>1708.8274491584264</v>
      </c>
      <c r="J289" s="106">
        <f>VLOOKUP($A289,'VKT US'!$B$63:$AA$113,(J$280+1),FALSE)*($AZ$69+$AZ$75)/(1+$AZ$41)^J$280</f>
        <v>1640.9889019173904</v>
      </c>
      <c r="K289" s="106">
        <f>VLOOKUP($A289,'VKT US'!$B$63:$AA$113,(K$280+1),FALSE)*($AZ$69+$AZ$75)/(1+$AZ$41)^K$280</f>
        <v>1576.5951273833969</v>
      </c>
      <c r="L289" s="106">
        <f>VLOOKUP($A289,'VKT US'!$B$63:$AA$113,(L$280+1),FALSE)*($AZ$69+$AZ$75)/(1+$AZ$41)^L$280</f>
        <v>1515.4028073866778</v>
      </c>
      <c r="M289" s="106">
        <f>VLOOKUP($A289,'VKT US'!$B$63:$AA$113,(M$280+1),FALSE)*($AZ$69+$AZ$75)/(1+$AZ$41)^M$280</f>
        <v>1457.467288041702</v>
      </c>
      <c r="N289" s="106">
        <f>VLOOKUP($A289,'VKT US'!$B$63:$AA$113,(N$280+1),FALSE)*($AZ$69+$AZ$75)/(1+$AZ$41)^N$280</f>
        <v>1402.5528096409666</v>
      </c>
      <c r="O289" s="106">
        <f>VLOOKUP($A289,'VKT US'!$B$63:$AA$113,(O$280+1),FALSE)*($AZ$69+$AZ$75)/(1+$AZ$41)^O$280</f>
        <v>1350.7152076026425</v>
      </c>
      <c r="P289" s="106">
        <f>VLOOKUP($A289,'VKT US'!$B$63:$AA$113,(P$280+1),FALSE)*($AZ$69+$AZ$75)/(1+$AZ$41)^P$280</f>
        <v>1301.7260464951119</v>
      </c>
      <c r="Q289" s="106">
        <f>VLOOKUP($A289,'VKT US'!$B$63:$AA$113,(Q$280+1),FALSE)*($AZ$69+$AZ$75)/(1+$AZ$41)^Q$280</f>
        <v>1255.779642775429</v>
      </c>
      <c r="R289" s="106">
        <f>VLOOKUP($A289,'VKT US'!$B$63:$AA$113,(R$280+1),FALSE)*($AZ$69+$AZ$75)/(1+$AZ$41)^R$280</f>
        <v>1212.376904297206</v>
      </c>
      <c r="S289" s="106">
        <f>VLOOKUP($A289,'VKT US'!$B$63:$AA$113,(S$280+1),FALSE)*($AZ$69+$AZ$75)/(1+$AZ$41)^S$280</f>
        <v>1171.8489667876131</v>
      </c>
      <c r="T289" s="106">
        <f>VLOOKUP($A289,'VKT US'!$B$63:$AA$113,(T$280+1),FALSE)*($AZ$69+$AZ$75)/(1+$AZ$41)^T$280</f>
        <v>1133.7101630007805</v>
      </c>
      <c r="U289" s="106">
        <f>VLOOKUP($A289,'VKT US'!$B$63:$AA$113,(U$280+1),FALSE)*($AZ$69+$AZ$75)/(1+$AZ$41)^U$280</f>
        <v>1098.2854552883334</v>
      </c>
      <c r="V289" s="110" cm="1">
        <f t="array" ref="V289">SUMPRODUCT(INDEX(B289:U289,,_xlfn.SEQUENCE($AZ$13)))</f>
        <v>24820.122072319682</v>
      </c>
    </row>
    <row r="290" spans="1:22" x14ac:dyDescent="0.25">
      <c r="A290" s="102" t="s">
        <v>194</v>
      </c>
      <c r="B290" s="106">
        <f>VLOOKUP($A290,'VKT US'!$B$63:$AA$113,(B$280+1),FALSE)*($AZ$69+$AZ$75)/(1+$AZ$41)^B$280</f>
        <v>2880.5041301838064</v>
      </c>
      <c r="C290" s="106">
        <f>VLOOKUP($A290,'VKT US'!$B$63:$AA$113,(C$280+1),FALSE)*($AZ$69+$AZ$75)/(1+$AZ$41)^C$280</f>
        <v>2761.6890349070145</v>
      </c>
      <c r="D290" s="106">
        <f>VLOOKUP($A290,'VKT US'!$B$63:$AA$113,(D$280+1),FALSE)*($AZ$69+$AZ$75)/(1+$AZ$41)^D$280</f>
        <v>2647.9262763668107</v>
      </c>
      <c r="E290" s="106">
        <f>VLOOKUP($A290,'VKT US'!$B$63:$AA$113,(E$280+1),FALSE)*($AZ$69+$AZ$75)/(1+$AZ$41)^E$280</f>
        <v>2539.2820812998684</v>
      </c>
      <c r="F290" s="106">
        <f>VLOOKUP($A290,'VKT US'!$B$63:$AA$113,(F$280+1),FALSE)*($AZ$69+$AZ$75)/(1+$AZ$41)^F$280</f>
        <v>2435.4194894114789</v>
      </c>
      <c r="G290" s="106">
        <f>VLOOKUP($A290,'VKT US'!$B$63:$AA$113,(G$280+1),FALSE)*($AZ$69+$AZ$75)/(1+$AZ$41)^G$280</f>
        <v>2336.6016343611855</v>
      </c>
      <c r="H290" s="106">
        <f>VLOOKUP($A290,'VKT US'!$B$63:$AA$113,(H$280+1),FALSE)*($AZ$69+$AZ$75)/(1+$AZ$41)^H$280</f>
        <v>2242.1078796846864</v>
      </c>
      <c r="I290" s="106">
        <f>VLOOKUP($A290,'VKT US'!$B$63:$AA$113,(I$280+1),FALSE)*($AZ$69+$AZ$75)/(1+$AZ$41)^I$280</f>
        <v>2152.2046062286586</v>
      </c>
      <c r="J290" s="106">
        <f>VLOOKUP($A290,'VKT US'!$B$63:$AA$113,(J$280+1),FALSE)*($AZ$69+$AZ$75)/(1+$AZ$41)^J$280</f>
        <v>2066.7644794774633</v>
      </c>
      <c r="K290" s="106">
        <f>VLOOKUP($A290,'VKT US'!$B$63:$AA$113,(K$280+1),FALSE)*($AZ$69+$AZ$75)/(1+$AZ$41)^K$280</f>
        <v>1985.6629158100704</v>
      </c>
      <c r="L290" s="106">
        <f>VLOOKUP($A290,'VKT US'!$B$63:$AA$113,(L$280+1),FALSE)*($AZ$69+$AZ$75)/(1+$AZ$41)^L$280</f>
        <v>1908.5934650427525</v>
      </c>
      <c r="M290" s="106">
        <f>VLOOKUP($A290,'VKT US'!$B$63:$AA$113,(M$280+1),FALSE)*($AZ$69+$AZ$75)/(1+$AZ$41)^M$280</f>
        <v>1835.6258335478851</v>
      </c>
      <c r="N290" s="106">
        <f>VLOOKUP($A290,'VKT US'!$B$63:$AA$113,(N$280+1),FALSE)*($AZ$69+$AZ$75)/(1+$AZ$41)^N$280</f>
        <v>1766.4630907437988</v>
      </c>
      <c r="O290" s="106">
        <f>VLOOKUP($A290,'VKT US'!$B$63:$AA$113,(O$280+1),FALSE)*($AZ$69+$AZ$75)/(1+$AZ$41)^O$280</f>
        <v>1701.175559262681</v>
      </c>
      <c r="P290" s="106">
        <f>VLOOKUP($A290,'VKT US'!$B$63:$AA$113,(P$280+1),FALSE)*($AZ$69+$AZ$75)/(1+$AZ$41)^P$280</f>
        <v>1639.4755331758863</v>
      </c>
      <c r="Q290" s="106">
        <f>VLOOKUP($A290,'VKT US'!$B$63:$AA$113,(Q$280+1),FALSE)*($AZ$69+$AZ$75)/(1+$AZ$41)^Q$280</f>
        <v>1581.6077468327758</v>
      </c>
      <c r="R290" s="106">
        <f>VLOOKUP($A290,'VKT US'!$B$63:$AA$113,(R$280+1),FALSE)*($AZ$69+$AZ$75)/(1+$AZ$41)^R$280</f>
        <v>1526.9436122405014</v>
      </c>
      <c r="S290" s="106">
        <f>VLOOKUP($A290,'VKT US'!$B$63:$AA$113,(S$280+1),FALSE)*($AZ$69+$AZ$75)/(1+$AZ$41)^S$280</f>
        <v>1475.9001825296489</v>
      </c>
      <c r="T290" s="106">
        <f>VLOOKUP($A290,'VKT US'!$B$63:$AA$113,(T$280+1),FALSE)*($AZ$69+$AZ$75)/(1+$AZ$41)^T$280</f>
        <v>1427.8657778701868</v>
      </c>
      <c r="U290" s="106">
        <f>VLOOKUP($A290,'VKT US'!$B$63:$AA$113,(U$280+1),FALSE)*($AZ$69+$AZ$75)/(1+$AZ$41)^U$280</f>
        <v>1383.2496762558426</v>
      </c>
      <c r="V290" s="110" cm="1">
        <f t="array" ref="V290">SUMPRODUCT(INDEX(B290:U290,,_xlfn.SEQUENCE($AZ$13)))</f>
        <v>31260.020476328158</v>
      </c>
    </row>
    <row r="291" spans="1:22" x14ac:dyDescent="0.25">
      <c r="A291" s="102" t="s">
        <v>233</v>
      </c>
      <c r="B291" s="106">
        <f>VLOOKUP($A291,'VKT US'!$B$63:$AA$113,(B$280+1),FALSE)*($AZ$69+$AZ$75)/(1+$AZ$41)^B$280</f>
        <v>1836.3331664442198</v>
      </c>
      <c r="C291" s="106">
        <f>VLOOKUP($A291,'VKT US'!$B$63:$AA$113,(C$280+1),FALSE)*($AZ$69+$AZ$75)/(1+$AZ$41)^C$280</f>
        <v>1760.5880571611863</v>
      </c>
      <c r="D291" s="106">
        <f>VLOOKUP($A291,'VKT US'!$B$63:$AA$113,(D$280+1),FALSE)*($AZ$69+$AZ$75)/(1+$AZ$41)^D$280</f>
        <v>1688.0638332156259</v>
      </c>
      <c r="E291" s="106">
        <f>VLOOKUP($A291,'VKT US'!$B$63:$AA$113,(E$280+1),FALSE)*($AZ$69+$AZ$75)/(1+$AZ$41)^E$280</f>
        <v>1618.8027144230862</v>
      </c>
      <c r="F291" s="106">
        <f>VLOOKUP($A291,'VKT US'!$B$63:$AA$113,(F$280+1),FALSE)*($AZ$69+$AZ$75)/(1+$AZ$41)^F$280</f>
        <v>1552.5898872172668</v>
      </c>
      <c r="G291" s="106">
        <f>VLOOKUP($A291,'VKT US'!$B$63:$AA$113,(G$280+1),FALSE)*($AZ$69+$AZ$75)/(1+$AZ$41)^G$280</f>
        <v>1489.5931003825426</v>
      </c>
      <c r="H291" s="106">
        <f>VLOOKUP($A291,'VKT US'!$B$63:$AA$113,(H$280+1),FALSE)*($AZ$69+$AZ$75)/(1+$AZ$41)^H$280</f>
        <v>1429.3529452249709</v>
      </c>
      <c r="I291" s="106">
        <f>VLOOKUP($A291,'VKT US'!$B$63:$AA$113,(I$280+1),FALSE)*($AZ$69+$AZ$75)/(1+$AZ$41)^I$280</f>
        <v>1372.039240624008</v>
      </c>
      <c r="J291" s="106">
        <f>VLOOKUP($A291,'VKT US'!$B$63:$AA$113,(J$280+1),FALSE)*($AZ$69+$AZ$75)/(1+$AZ$41)^J$280</f>
        <v>1317.5708103050395</v>
      </c>
      <c r="K291" s="106">
        <f>VLOOKUP($A291,'VKT US'!$B$63:$AA$113,(K$280+1),FALSE)*($AZ$69+$AZ$75)/(1+$AZ$41)^K$280</f>
        <v>1265.8682317000164</v>
      </c>
      <c r="L291" s="106">
        <f>VLOOKUP($A291,'VKT US'!$B$63:$AA$113,(L$280+1),FALSE)*($AZ$69+$AZ$75)/(1+$AZ$41)^L$280</f>
        <v>1216.736141563199</v>
      </c>
      <c r="M291" s="106">
        <f>VLOOKUP($A291,'VKT US'!$B$63:$AA$113,(M$280+1),FALSE)*($AZ$69+$AZ$75)/(1+$AZ$41)^M$280</f>
        <v>1170.2189779921284</v>
      </c>
      <c r="N291" s="106">
        <f>VLOOKUP($A291,'VKT US'!$B$63:$AA$113,(N$280+1),FALSE)*($AZ$69+$AZ$75)/(1+$AZ$41)^N$280</f>
        <v>1126.1274465263184</v>
      </c>
      <c r="O291" s="106">
        <f>VLOOKUP($A291,'VKT US'!$B$63:$AA$113,(O$280+1),FALSE)*($AZ$69+$AZ$75)/(1+$AZ$41)^O$280</f>
        <v>1084.5063781314616</v>
      </c>
      <c r="P291" s="106">
        <f>VLOOKUP($A291,'VKT US'!$B$63:$AA$113,(P$280+1),FALSE)*($AZ$69+$AZ$75)/(1+$AZ$41)^P$280</f>
        <v>1045.1723591011105</v>
      </c>
      <c r="Q291" s="106">
        <f>VLOOKUP($A291,'VKT US'!$B$63:$AA$113,(Q$280+1),FALSE)*($AZ$69+$AZ$75)/(1+$AZ$41)^Q$280</f>
        <v>1008.2814085841324</v>
      </c>
      <c r="R291" s="106">
        <f>VLOOKUP($A291,'VKT US'!$B$63:$AA$113,(R$280+1),FALSE)*($AZ$69+$AZ$75)/(1+$AZ$41)^R$280</f>
        <v>973.43279916368397</v>
      </c>
      <c r="S291" s="106">
        <f>VLOOKUP($A291,'VKT US'!$B$63:$AA$113,(S$280+1),FALSE)*($AZ$69+$AZ$75)/(1+$AZ$41)^S$280</f>
        <v>940.89240391657768</v>
      </c>
      <c r="T291" s="106">
        <f>VLOOKUP($A291,'VKT US'!$B$63:$AA$113,(T$280+1),FALSE)*($AZ$69+$AZ$75)/(1+$AZ$41)^T$280</f>
        <v>910.27027444893326</v>
      </c>
      <c r="U291" s="106">
        <f>VLOOKUP($A291,'VKT US'!$B$63:$AA$113,(U$280+1),FALSE)*($AZ$69+$AZ$75)/(1+$AZ$41)^U$280</f>
        <v>881.82732715601026</v>
      </c>
      <c r="V291" s="110" cm="1">
        <f t="array" ref="V291">SUMPRODUCT(INDEX(B291:U291,,_xlfn.SEQUENCE($AZ$13)))</f>
        <v>19928.390930911071</v>
      </c>
    </row>
    <row r="292" spans="1:22" x14ac:dyDescent="0.25">
      <c r="A292" s="102" t="s">
        <v>196</v>
      </c>
      <c r="B292" s="106">
        <f>VLOOKUP($A292,'VKT US'!$B$63:$AA$113,(B$280+1),FALSE)*($AZ$69+$AZ$75)/(1+$AZ$41)^B$280</f>
        <v>2265.0937081302459</v>
      </c>
      <c r="C292" s="106">
        <f>VLOOKUP($A292,'VKT US'!$B$63:$AA$113,(C$280+1),FALSE)*($AZ$69+$AZ$75)/(1+$AZ$41)^C$280</f>
        <v>2171.663074956607</v>
      </c>
      <c r="D292" s="106">
        <f>VLOOKUP($A292,'VKT US'!$B$63:$AA$113,(D$280+1),FALSE)*($AZ$69+$AZ$75)/(1+$AZ$41)^D$280</f>
        <v>2082.2053630620876</v>
      </c>
      <c r="E292" s="106">
        <f>VLOOKUP($A292,'VKT US'!$B$63:$AA$113,(E$280+1),FALSE)*($AZ$69+$AZ$75)/(1+$AZ$41)^E$280</f>
        <v>1996.7726500545541</v>
      </c>
      <c r="F292" s="106">
        <f>VLOOKUP($A292,'VKT US'!$B$63:$AA$113,(F$280+1),FALSE)*($AZ$69+$AZ$75)/(1+$AZ$41)^F$280</f>
        <v>1915.0999661200663</v>
      </c>
      <c r="G292" s="106">
        <f>VLOOKUP($A292,'VKT US'!$B$63:$AA$113,(G$280+1),FALSE)*($AZ$69+$AZ$75)/(1+$AZ$41)^G$280</f>
        <v>1837.3942272600204</v>
      </c>
      <c r="H292" s="106">
        <f>VLOOKUP($A292,'VKT US'!$B$63:$AA$113,(H$280+1),FALSE)*($AZ$69+$AZ$75)/(1+$AZ$41)^H$280</f>
        <v>1763.0887586677279</v>
      </c>
      <c r="I292" s="106">
        <f>VLOOKUP($A292,'VKT US'!$B$63:$AA$113,(I$280+1),FALSE)*($AZ$69+$AZ$75)/(1+$AZ$41)^I$280</f>
        <v>1692.3930297806576</v>
      </c>
      <c r="J292" s="106">
        <f>VLOOKUP($A292,'VKT US'!$B$63:$AA$113,(J$280+1),FALSE)*($AZ$69+$AZ$75)/(1+$AZ$41)^J$280</f>
        <v>1625.2069106919707</v>
      </c>
      <c r="K292" s="106">
        <f>VLOOKUP($A292,'VKT US'!$B$63:$AA$113,(K$280+1),FALSE)*($AZ$69+$AZ$75)/(1+$AZ$41)^K$280</f>
        <v>1561.4324346696731</v>
      </c>
      <c r="L292" s="106">
        <f>VLOOKUP($A292,'VKT US'!$B$63:$AA$113,(L$280+1),FALSE)*($AZ$69+$AZ$75)/(1+$AZ$41)^L$280</f>
        <v>1500.8286236239428</v>
      </c>
      <c r="M292" s="106">
        <f>VLOOKUP($A292,'VKT US'!$B$63:$AA$113,(M$280+1),FALSE)*($AZ$69+$AZ$75)/(1+$AZ$41)^M$280</f>
        <v>1443.4502913853967</v>
      </c>
      <c r="N292" s="106">
        <f>VLOOKUP($A292,'VKT US'!$B$63:$AA$113,(N$280+1),FALSE)*($AZ$69+$AZ$75)/(1+$AZ$41)^N$280</f>
        <v>1389.0639456339779</v>
      </c>
      <c r="O292" s="106">
        <f>VLOOKUP($A292,'VKT US'!$B$63:$AA$113,(O$280+1),FALSE)*($AZ$69+$AZ$75)/(1+$AZ$41)^O$280</f>
        <v>1337.724884798193</v>
      </c>
      <c r="P292" s="106">
        <f>VLOOKUP($A292,'VKT US'!$B$63:$AA$113,(P$280+1),FALSE)*($AZ$69+$AZ$75)/(1+$AZ$41)^P$280</f>
        <v>1289.206870393627</v>
      </c>
      <c r="Q292" s="106">
        <f>VLOOKUP($A292,'VKT US'!$B$63:$AA$113,(Q$280+1),FALSE)*($AZ$69+$AZ$75)/(1+$AZ$41)^Q$280</f>
        <v>1243.7023500648047</v>
      </c>
      <c r="R292" s="106">
        <f>VLOOKUP($A292,'VKT US'!$B$63:$AA$113,(R$280+1),FALSE)*($AZ$69+$AZ$75)/(1+$AZ$41)^R$280</f>
        <v>1200.7170316172851</v>
      </c>
      <c r="S292" s="106">
        <f>VLOOKUP($A292,'VKT US'!$B$63:$AA$113,(S$280+1),FALSE)*($AZ$69+$AZ$75)/(1+$AZ$41)^S$280</f>
        <v>1160.5788661246836</v>
      </c>
      <c r="T292" s="106">
        <f>VLOOKUP($A292,'VKT US'!$B$63:$AA$113,(T$280+1),FALSE)*($AZ$69+$AZ$75)/(1+$AZ$41)^T$280</f>
        <v>1122.8068571808926</v>
      </c>
      <c r="U292" s="106">
        <f>VLOOKUP($A292,'VKT US'!$B$63:$AA$113,(U$280+1),FALSE)*($AZ$69+$AZ$75)/(1+$AZ$41)^U$280</f>
        <v>1087.7228418555953</v>
      </c>
      <c r="V292" s="110" cm="1">
        <f t="array" ref="V292">SUMPRODUCT(INDEX(B292:U292,,_xlfn.SEQUENCE($AZ$13)))</f>
        <v>24581.417868835124</v>
      </c>
    </row>
    <row r="293" spans="1:22" x14ac:dyDescent="0.25">
      <c r="A293" s="102" t="s">
        <v>197</v>
      </c>
      <c r="B293" s="106">
        <f>VLOOKUP($A293,'VKT US'!$B$63:$AA$113,(B$280+1),FALSE)*($AZ$69+$AZ$75)/(1+$AZ$41)^B$280</f>
        <v>1976.6348021076942</v>
      </c>
      <c r="C293" s="106">
        <f>VLOOKUP($A293,'VKT US'!$B$63:$AA$113,(C$280+1),FALSE)*($AZ$69+$AZ$75)/(1+$AZ$41)^C$280</f>
        <v>1895.1025279898088</v>
      </c>
      <c r="D293" s="106">
        <f>VLOOKUP($A293,'VKT US'!$B$63:$AA$113,(D$280+1),FALSE)*($AZ$69+$AZ$75)/(1+$AZ$41)^D$280</f>
        <v>1817.0372249902287</v>
      </c>
      <c r="E293" s="106">
        <f>VLOOKUP($A293,'VKT US'!$B$63:$AA$113,(E$280+1),FALSE)*($AZ$69+$AZ$75)/(1+$AZ$41)^E$280</f>
        <v>1742.4843386513387</v>
      </c>
      <c r="F293" s="106">
        <f>VLOOKUP($A293,'VKT US'!$B$63:$AA$113,(F$280+1),FALSE)*($AZ$69+$AZ$75)/(1+$AZ$41)^F$280</f>
        <v>1671.2126429740276</v>
      </c>
      <c r="G293" s="106">
        <f>VLOOKUP($A293,'VKT US'!$B$63:$AA$113,(G$280+1),FALSE)*($AZ$69+$AZ$75)/(1+$AZ$41)^G$280</f>
        <v>1603.4027032779577</v>
      </c>
      <c r="H293" s="106">
        <f>VLOOKUP($A293,'VKT US'!$B$63:$AA$113,(H$280+1),FALSE)*($AZ$69+$AZ$75)/(1+$AZ$41)^H$280</f>
        <v>1538.5600105985079</v>
      </c>
      <c r="I293" s="106">
        <f>VLOOKUP($A293,'VKT US'!$B$63:$AA$113,(I$280+1),FALSE)*($AZ$69+$AZ$75)/(1+$AZ$41)^I$280</f>
        <v>1476.8673585122044</v>
      </c>
      <c r="J293" s="106">
        <f>VLOOKUP($A293,'VKT US'!$B$63:$AA$113,(J$280+1),FALSE)*($AZ$69+$AZ$75)/(1+$AZ$41)^J$280</f>
        <v>1418.2373686214667</v>
      </c>
      <c r="K293" s="106">
        <f>VLOOKUP($A293,'VKT US'!$B$63:$AA$113,(K$280+1),FALSE)*($AZ$69+$AZ$75)/(1+$AZ$41)^K$280</f>
        <v>1362.5845502239824</v>
      </c>
      <c r="L293" s="106">
        <f>VLOOKUP($A293,'VKT US'!$B$63:$AA$113,(L$280+1),FALSE)*($AZ$69+$AZ$75)/(1+$AZ$41)^L$280</f>
        <v>1309.6986137069309</v>
      </c>
      <c r="M293" s="106">
        <f>VLOOKUP($A293,'VKT US'!$B$63:$AA$113,(M$280+1),FALSE)*($AZ$69+$AZ$75)/(1+$AZ$41)^M$280</f>
        <v>1259.6273923784195</v>
      </c>
      <c r="N293" s="106">
        <f>VLOOKUP($A293,'VKT US'!$B$63:$AA$113,(N$280+1),FALSE)*($AZ$69+$AZ$75)/(1+$AZ$41)^N$280</f>
        <v>1212.1671290851825</v>
      </c>
      <c r="O293" s="106">
        <f>VLOOKUP($A293,'VKT US'!$B$63:$AA$113,(O$280+1),FALSE)*($AZ$69+$AZ$75)/(1+$AZ$41)^O$280</f>
        <v>1167.3660800198422</v>
      </c>
      <c r="P293" s="106">
        <f>VLOOKUP($A293,'VKT US'!$B$63:$AA$113,(P$280+1),FALSE)*($AZ$69+$AZ$75)/(1+$AZ$41)^P$280</f>
        <v>1125.0268180912963</v>
      </c>
      <c r="Q293" s="106">
        <f>VLOOKUP($A293,'VKT US'!$B$63:$AA$113,(Q$280+1),FALSE)*($AZ$69+$AZ$75)/(1+$AZ$41)^Q$280</f>
        <v>1085.3172828026154</v>
      </c>
      <c r="R293" s="106">
        <f>VLOOKUP($A293,'VKT US'!$B$63:$AA$113,(R$280+1),FALSE)*($AZ$69+$AZ$75)/(1+$AZ$41)^R$280</f>
        <v>1047.8061299006081</v>
      </c>
      <c r="S293" s="106">
        <f>VLOOKUP($A293,'VKT US'!$B$63:$AA$113,(S$280+1),FALSE)*($AZ$69+$AZ$75)/(1+$AZ$41)^S$280</f>
        <v>1012.7795460022644</v>
      </c>
      <c r="T293" s="106">
        <f>VLOOKUP($A293,'VKT US'!$B$63:$AA$113,(T$280+1),FALSE)*($AZ$69+$AZ$75)/(1+$AZ$41)^T$280</f>
        <v>979.8177894286473</v>
      </c>
      <c r="U293" s="106">
        <f>VLOOKUP($A293,'VKT US'!$B$63:$AA$113,(U$280+1),FALSE)*($AZ$69+$AZ$75)/(1+$AZ$41)^U$280</f>
        <v>949.20171140911725</v>
      </c>
      <c r="V293" s="110" cm="1">
        <f t="array" ref="V293">SUMPRODUCT(INDEX(B293:U293,,_xlfn.SEQUENCE($AZ$13)))</f>
        <v>21450.982743137592</v>
      </c>
    </row>
    <row r="294" spans="1:22" x14ac:dyDescent="0.25">
      <c r="A294" s="102" t="s">
        <v>198</v>
      </c>
      <c r="B294" s="106">
        <f>VLOOKUP($A294,'VKT US'!$B$63:$AA$113,(B$280+1),FALSE)*($AZ$69+$AZ$75)/(1+$AZ$41)^B$280</f>
        <v>2831.7991950710657</v>
      </c>
      <c r="C294" s="106">
        <f>VLOOKUP($A294,'VKT US'!$B$63:$AA$113,(C$280+1),FALSE)*($AZ$69+$AZ$75)/(1+$AZ$41)^C$280</f>
        <v>2714.9930819877841</v>
      </c>
      <c r="D294" s="106">
        <f>VLOOKUP($A294,'VKT US'!$B$63:$AA$113,(D$280+1),FALSE)*($AZ$69+$AZ$75)/(1+$AZ$41)^D$280</f>
        <v>2603.1538783263554</v>
      </c>
      <c r="E294" s="106">
        <f>VLOOKUP($A294,'VKT US'!$B$63:$AA$113,(E$280+1),FALSE)*($AZ$69+$AZ$75)/(1+$AZ$41)^E$280</f>
        <v>2496.3466910302623</v>
      </c>
      <c r="F294" s="106">
        <f>VLOOKUP($A294,'VKT US'!$B$63:$AA$113,(F$280+1),FALSE)*($AZ$69+$AZ$75)/(1+$AZ$41)^F$280</f>
        <v>2394.2402572898714</v>
      </c>
      <c r="G294" s="106">
        <f>VLOOKUP($A294,'VKT US'!$B$63:$AA$113,(G$280+1),FALSE)*($AZ$69+$AZ$75)/(1+$AZ$41)^G$280</f>
        <v>2297.0932615755432</v>
      </c>
      <c r="H294" s="106">
        <f>VLOOKUP($A294,'VKT US'!$B$63:$AA$113,(H$280+1),FALSE)*($AZ$69+$AZ$75)/(1+$AZ$41)^H$280</f>
        <v>2204.197252287378</v>
      </c>
      <c r="I294" s="106">
        <f>VLOOKUP($A294,'VKT US'!$B$63:$AA$113,(I$280+1),FALSE)*($AZ$69+$AZ$75)/(1+$AZ$41)^I$280</f>
        <v>2115.8141061778852</v>
      </c>
      <c r="J294" s="106">
        <f>VLOOKUP($A294,'VKT US'!$B$63:$AA$113,(J$280+1),FALSE)*($AZ$69+$AZ$75)/(1+$AZ$41)^J$280</f>
        <v>2031.8186417640343</v>
      </c>
      <c r="K294" s="106">
        <f>VLOOKUP($A294,'VKT US'!$B$63:$AA$113,(K$280+1),FALSE)*($AZ$69+$AZ$75)/(1+$AZ$41)^K$280</f>
        <v>1952.0883819439682</v>
      </c>
      <c r="L294" s="106">
        <f>VLOOKUP($A294,'VKT US'!$B$63:$AA$113,(L$280+1),FALSE)*($AZ$69+$AZ$75)/(1+$AZ$41)^L$280</f>
        <v>1876.3220581395535</v>
      </c>
      <c r="M294" s="106">
        <f>VLOOKUP($A294,'VKT US'!$B$63:$AA$113,(M$280+1),FALSE)*($AZ$69+$AZ$75)/(1+$AZ$41)^M$280</f>
        <v>1804.5881980946376</v>
      </c>
      <c r="N294" s="106">
        <f>VLOOKUP($A294,'VKT US'!$B$63:$AA$113,(N$280+1),FALSE)*($AZ$69+$AZ$75)/(1+$AZ$41)^N$280</f>
        <v>1736.5948918711811</v>
      </c>
      <c r="O294" s="106">
        <f>VLOOKUP($A294,'VKT US'!$B$63:$AA$113,(O$280+1),FALSE)*($AZ$69+$AZ$75)/(1+$AZ$41)^O$280</f>
        <v>1672.4112730528286</v>
      </c>
      <c r="P294" s="106">
        <f>VLOOKUP($A294,'VKT US'!$B$63:$AA$113,(P$280+1),FALSE)*($AZ$69+$AZ$75)/(1+$AZ$41)^P$280</f>
        <v>1611.7545003797411</v>
      </c>
      <c r="Q294" s="106">
        <f>VLOOKUP($A294,'VKT US'!$B$63:$AA$113,(Q$280+1),FALSE)*($AZ$69+$AZ$75)/(1+$AZ$41)^Q$280</f>
        <v>1554.8651701163928</v>
      </c>
      <c r="R294" s="106">
        <f>VLOOKUP($A294,'VKT US'!$B$63:$AA$113,(R$280+1),FALSE)*($AZ$69+$AZ$75)/(1+$AZ$41)^R$280</f>
        <v>1501.1253227349623</v>
      </c>
      <c r="S294" s="106">
        <f>VLOOKUP($A294,'VKT US'!$B$63:$AA$113,(S$280+1),FALSE)*($AZ$69+$AZ$75)/(1+$AZ$41)^S$280</f>
        <v>1450.9449596331622</v>
      </c>
      <c r="T294" s="106">
        <f>VLOOKUP($A294,'VKT US'!$B$63:$AA$113,(T$280+1),FALSE)*($AZ$69+$AZ$75)/(1+$AZ$41)^T$280</f>
        <v>1403.7227435547206</v>
      </c>
      <c r="U294" s="106">
        <f>VLOOKUP($A294,'VKT US'!$B$63:$AA$113,(U$280+1),FALSE)*($AZ$69+$AZ$75)/(1+$AZ$41)^U$280</f>
        <v>1359.8610322262089</v>
      </c>
      <c r="V294" s="110" cm="1">
        <f t="array" ref="V294">SUMPRODUCT(INDEX(B294:U294,,_xlfn.SEQUENCE($AZ$13)))</f>
        <v>30731.46116861235</v>
      </c>
    </row>
    <row r="295" spans="1:22" x14ac:dyDescent="0.25">
      <c r="A295" s="102" t="s">
        <v>195</v>
      </c>
      <c r="B295" s="106">
        <f>VLOOKUP($A295,'VKT US'!$B$63:$AA$113,(B$280+1),FALSE)*($AZ$69+$AZ$75)/(1+$AZ$41)^B$280</f>
        <v>2316.6266717334038</v>
      </c>
      <c r="C295" s="106">
        <f>VLOOKUP($A295,'VKT US'!$B$63:$AA$113,(C$280+1),FALSE)*($AZ$69+$AZ$75)/(1+$AZ$41)^C$280</f>
        <v>2221.0704057872767</v>
      </c>
      <c r="D295" s="106">
        <f>VLOOKUP($A295,'VKT US'!$B$63:$AA$113,(D$280+1),FALSE)*($AZ$69+$AZ$75)/(1+$AZ$41)^D$280</f>
        <v>2129.5774487306985</v>
      </c>
      <c r="E295" s="106">
        <f>VLOOKUP($A295,'VKT US'!$B$63:$AA$113,(E$280+1),FALSE)*($AZ$69+$AZ$75)/(1+$AZ$41)^E$280</f>
        <v>2042.2010629849767</v>
      </c>
      <c r="F295" s="106">
        <f>VLOOKUP($A295,'VKT US'!$B$63:$AA$113,(F$280+1),FALSE)*($AZ$69+$AZ$75)/(1+$AZ$41)^F$280</f>
        <v>1958.6702504293803</v>
      </c>
      <c r="G295" s="106">
        <f>VLOOKUP($A295,'VKT US'!$B$63:$AA$113,(G$280+1),FALSE)*($AZ$69+$AZ$75)/(1+$AZ$41)^G$280</f>
        <v>1879.1966345945063</v>
      </c>
      <c r="H295" s="106">
        <f>VLOOKUP($A295,'VKT US'!$B$63:$AA$113,(H$280+1),FALSE)*($AZ$69+$AZ$75)/(1+$AZ$41)^H$280</f>
        <v>1803.2006483010093</v>
      </c>
      <c r="I295" s="106">
        <f>VLOOKUP($A295,'VKT US'!$B$63:$AA$113,(I$280+1),FALSE)*($AZ$69+$AZ$75)/(1+$AZ$41)^I$280</f>
        <v>1730.8965266085729</v>
      </c>
      <c r="J295" s="106">
        <f>VLOOKUP($A295,'VKT US'!$B$63:$AA$113,(J$280+1),FALSE)*($AZ$69+$AZ$75)/(1+$AZ$41)^J$280</f>
        <v>1662.1818615629541</v>
      </c>
      <c r="K295" s="106">
        <f>VLOOKUP($A295,'VKT US'!$B$63:$AA$113,(K$280+1),FALSE)*($AZ$69+$AZ$75)/(1+$AZ$41)^K$280</f>
        <v>1596.9564575989684</v>
      </c>
      <c r="L295" s="106">
        <f>VLOOKUP($A295,'VKT US'!$B$63:$AA$113,(L$280+1),FALSE)*($AZ$69+$AZ$75)/(1+$AZ$41)^L$280</f>
        <v>1534.9738541537793</v>
      </c>
      <c r="M295" s="106">
        <f>VLOOKUP($A295,'VKT US'!$B$63:$AA$113,(M$280+1),FALSE)*($AZ$69+$AZ$75)/(1+$AZ$41)^M$280</f>
        <v>1476.2901121230266</v>
      </c>
      <c r="N295" s="106">
        <f>VLOOKUP($A295,'VKT US'!$B$63:$AA$113,(N$280+1),FALSE)*($AZ$69+$AZ$75)/(1+$AZ$41)^N$280</f>
        <v>1420.66642702178</v>
      </c>
      <c r="O295" s="106">
        <f>VLOOKUP($A295,'VKT US'!$B$63:$AA$113,(O$280+1),FALSE)*($AZ$69+$AZ$75)/(1+$AZ$41)^O$280</f>
        <v>1368.1593553686173</v>
      </c>
      <c r="P295" s="106">
        <f>VLOOKUP($A295,'VKT US'!$B$63:$AA$113,(P$280+1),FALSE)*($AZ$69+$AZ$75)/(1+$AZ$41)^P$280</f>
        <v>1318.5375115456773</v>
      </c>
      <c r="Q295" s="106">
        <f>VLOOKUP($A295,'VKT US'!$B$63:$AA$113,(Q$280+1),FALSE)*($AZ$69+$AZ$75)/(1+$AZ$41)^Q$280</f>
        <v>1271.9977215582676</v>
      </c>
      <c r="R295" s="106">
        <f>VLOOKUP($A295,'VKT US'!$B$63:$AA$113,(R$280+1),FALSE)*($AZ$69+$AZ$75)/(1+$AZ$41)^R$280</f>
        <v>1228.0344476102428</v>
      </c>
      <c r="S295" s="106">
        <f>VLOOKUP($A295,'VKT US'!$B$63:$AA$113,(S$280+1),FALSE)*($AZ$69+$AZ$75)/(1+$AZ$41)^S$280</f>
        <v>1186.9831019635471</v>
      </c>
      <c r="T295" s="106">
        <f>VLOOKUP($A295,'VKT US'!$B$63:$AA$113,(T$280+1),FALSE)*($AZ$69+$AZ$75)/(1+$AZ$41)^T$280</f>
        <v>1148.3517451017728</v>
      </c>
      <c r="U295" s="106">
        <f>VLOOKUP($A295,'VKT US'!$B$63:$AA$113,(U$280+1),FALSE)*($AZ$69+$AZ$75)/(1+$AZ$41)^U$280</f>
        <v>1112.4695361837241</v>
      </c>
      <c r="V295" s="110" cm="1">
        <f t="array" ref="V295">SUMPRODUCT(INDEX(B295:U295,,_xlfn.SEQUENCE($AZ$13)))</f>
        <v>25140.667716998956</v>
      </c>
    </row>
    <row r="296" spans="1:22" x14ac:dyDescent="0.25">
      <c r="A296" s="102" t="s">
        <v>199</v>
      </c>
      <c r="B296" s="106">
        <f>VLOOKUP($A296,'VKT US'!$B$63:$AA$113,(B$280+1),FALSE)*($AZ$69+$AZ$75)/(1+$AZ$41)^B$280</f>
        <v>2322.2827287142381</v>
      </c>
      <c r="C296" s="106">
        <f>VLOOKUP($A296,'VKT US'!$B$63:$AA$113,(C$280+1),FALSE)*($AZ$69+$AZ$75)/(1+$AZ$41)^C$280</f>
        <v>2226.4931616101553</v>
      </c>
      <c r="D296" s="106">
        <f>VLOOKUP($A296,'VKT US'!$B$63:$AA$113,(D$280+1),FALSE)*($AZ$69+$AZ$75)/(1+$AZ$41)^D$280</f>
        <v>2134.7768239870097</v>
      </c>
      <c r="E296" s="106">
        <f>VLOOKUP($A296,'VKT US'!$B$63:$AA$113,(E$280+1),FALSE)*($AZ$69+$AZ$75)/(1+$AZ$41)^E$280</f>
        <v>2047.1871083066078</v>
      </c>
      <c r="F296" s="106">
        <f>VLOOKUP($A296,'VKT US'!$B$63:$AA$113,(F$280+1),FALSE)*($AZ$69+$AZ$75)/(1+$AZ$41)^F$280</f>
        <v>1963.4523548047928</v>
      </c>
      <c r="G296" s="106">
        <f>VLOOKUP($A296,'VKT US'!$B$63:$AA$113,(G$280+1),FALSE)*($AZ$69+$AZ$75)/(1+$AZ$41)^G$280</f>
        <v>1883.7847036921939</v>
      </c>
      <c r="H296" s="106">
        <f>VLOOKUP($A296,'VKT US'!$B$63:$AA$113,(H$280+1),FALSE)*($AZ$69+$AZ$75)/(1+$AZ$41)^H$280</f>
        <v>1807.6031727729548</v>
      </c>
      <c r="I296" s="106">
        <f>VLOOKUP($A296,'VKT US'!$B$63:$AA$113,(I$280+1),FALSE)*($AZ$69+$AZ$75)/(1+$AZ$41)^I$280</f>
        <v>1735.1225201628563</v>
      </c>
      <c r="J296" s="106">
        <f>VLOOKUP($A296,'VKT US'!$B$63:$AA$113,(J$280+1),FALSE)*($AZ$69+$AZ$75)/(1+$AZ$41)^J$280</f>
        <v>1666.240087878062</v>
      </c>
      <c r="K296" s="106">
        <f>VLOOKUP($A296,'VKT US'!$B$63:$AA$113,(K$280+1),FALSE)*($AZ$69+$AZ$75)/(1+$AZ$41)^K$280</f>
        <v>1600.8554357253545</v>
      </c>
      <c r="L296" s="106">
        <f>VLOOKUP($A296,'VKT US'!$B$63:$AA$113,(L$280+1),FALSE)*($AZ$69+$AZ$75)/(1+$AZ$41)^L$280</f>
        <v>1538.7215014070539</v>
      </c>
      <c r="M296" s="106">
        <f>VLOOKUP($A296,'VKT US'!$B$63:$AA$113,(M$280+1),FALSE)*($AZ$69+$AZ$75)/(1+$AZ$41)^M$280</f>
        <v>1479.8944826917907</v>
      </c>
      <c r="N296" s="106">
        <f>VLOOKUP($A296,'VKT US'!$B$63:$AA$113,(N$280+1),FALSE)*($AZ$69+$AZ$75)/(1+$AZ$41)^N$280</f>
        <v>1424.1349920521486</v>
      </c>
      <c r="O296" s="106">
        <f>VLOOKUP($A296,'VKT US'!$B$63:$AA$113,(O$280+1),FALSE)*($AZ$69+$AZ$75)/(1+$AZ$41)^O$280</f>
        <v>1371.4997240897615</v>
      </c>
      <c r="P296" s="106">
        <f>VLOOKUP($A296,'VKT US'!$B$63:$AA$113,(P$280+1),FALSE)*($AZ$69+$AZ$75)/(1+$AZ$41)^P$280</f>
        <v>1321.7567282574876</v>
      </c>
      <c r="Q296" s="106">
        <f>VLOOKUP($A296,'VKT US'!$B$63:$AA$113,(Q$280+1),FALSE)*($AZ$69+$AZ$75)/(1+$AZ$41)^Q$280</f>
        <v>1275.1033111124282</v>
      </c>
      <c r="R296" s="106">
        <f>VLOOKUP($A296,'VKT US'!$B$63:$AA$113,(R$280+1),FALSE)*($AZ$69+$AZ$75)/(1+$AZ$41)^R$280</f>
        <v>1231.0327005850795</v>
      </c>
      <c r="S296" s="106">
        <f>VLOOKUP($A296,'VKT US'!$B$63:$AA$113,(S$280+1),FALSE)*($AZ$69+$AZ$75)/(1+$AZ$41)^S$280</f>
        <v>1189.8811278483006</v>
      </c>
      <c r="T296" s="106">
        <f>VLOOKUP($A296,'VKT US'!$B$63:$AA$113,(T$280+1),FALSE)*($AZ$69+$AZ$75)/(1+$AZ$41)^T$280</f>
        <v>1151.155452312601</v>
      </c>
      <c r="U296" s="106">
        <f>VLOOKUP($A296,'VKT US'!$B$63:$AA$113,(U$280+1),FALSE)*($AZ$69+$AZ$75)/(1+$AZ$41)^U$280</f>
        <v>1115.1856367807143</v>
      </c>
      <c r="V296" s="110" cm="1">
        <f t="array" ref="V296">SUMPRODUCT(INDEX(B296:U296,,_xlfn.SEQUENCE($AZ$13)))</f>
        <v>25202.048797894982</v>
      </c>
    </row>
    <row r="297" spans="1:22" x14ac:dyDescent="0.25">
      <c r="A297" s="102" t="s">
        <v>157</v>
      </c>
      <c r="B297" s="106">
        <f>VLOOKUP($A297,'VKT US'!$B$63:$AA$113,(B$280+1),FALSE)*($AZ$69+$AZ$75)/(1+$AZ$41)^B$280</f>
        <v>2561.7224742362255</v>
      </c>
      <c r="C297" s="106">
        <f>VLOOKUP($A297,'VKT US'!$B$63:$AA$113,(C$280+1),FALSE)*($AZ$69+$AZ$75)/(1+$AZ$41)^C$280</f>
        <v>2456.0564914453407</v>
      </c>
      <c r="D297" s="106">
        <f>VLOOKUP($A297,'VKT US'!$B$63:$AA$113,(D$280+1),FALSE)*($AZ$69+$AZ$75)/(1+$AZ$41)^D$280</f>
        <v>2354.883709837507</v>
      </c>
      <c r="E297" s="106">
        <f>VLOOKUP($A297,'VKT US'!$B$63:$AA$113,(E$280+1),FALSE)*($AZ$69+$AZ$75)/(1+$AZ$41)^E$280</f>
        <v>2258.2630269223496</v>
      </c>
      <c r="F297" s="106">
        <f>VLOOKUP($A297,'VKT US'!$B$63:$AA$113,(F$280+1),FALSE)*($AZ$69+$AZ$75)/(1+$AZ$41)^F$280</f>
        <v>2165.8947733639229</v>
      </c>
      <c r="G297" s="106">
        <f>VLOOKUP($A297,'VKT US'!$B$63:$AA$113,(G$280+1),FALSE)*($AZ$69+$AZ$75)/(1+$AZ$41)^G$280</f>
        <v>2078.0129621609649</v>
      </c>
      <c r="H297" s="106">
        <f>VLOOKUP($A297,'VKT US'!$B$63:$AA$113,(H$280+1),FALSE)*($AZ$69+$AZ$75)/(1+$AZ$41)^H$280</f>
        <v>1993.9767087519811</v>
      </c>
      <c r="I297" s="106">
        <f>VLOOKUP($A297,'VKT US'!$B$63:$AA$113,(I$280+1),FALSE)*($AZ$69+$AZ$75)/(1+$AZ$41)^I$280</f>
        <v>1914.0229139608532</v>
      </c>
      <c r="J297" s="106">
        <f>VLOOKUP($A297,'VKT US'!$B$63:$AA$113,(J$280+1),FALSE)*($AZ$69+$AZ$75)/(1+$AZ$41)^J$280</f>
        <v>1838.0383352176309</v>
      </c>
      <c r="K297" s="106">
        <f>VLOOKUP($A297,'VKT US'!$B$63:$AA$113,(K$280+1),FALSE)*($AZ$69+$AZ$75)/(1+$AZ$41)^K$280</f>
        <v>1765.9121764090323</v>
      </c>
      <c r="L297" s="106">
        <f>VLOOKUP($A297,'VKT US'!$B$63:$AA$113,(L$280+1),FALSE)*($AZ$69+$AZ$75)/(1+$AZ$41)^L$280</f>
        <v>1697.3719017956846</v>
      </c>
      <c r="M297" s="106">
        <f>VLOOKUP($A297,'VKT US'!$B$63:$AA$113,(M$280+1),FALSE)*($AZ$69+$AZ$75)/(1+$AZ$41)^M$280</f>
        <v>1632.4795034361443</v>
      </c>
      <c r="N297" s="106">
        <f>VLOOKUP($A297,'VKT US'!$B$63:$AA$113,(N$280+1),FALSE)*($AZ$69+$AZ$75)/(1+$AZ$41)^N$280</f>
        <v>1570.9709116710835</v>
      </c>
      <c r="O297" s="106">
        <f>VLOOKUP($A297,'VKT US'!$B$63:$AA$113,(O$280+1),FALSE)*($AZ$69+$AZ$75)/(1+$AZ$41)^O$280</f>
        <v>1512.9086666181963</v>
      </c>
      <c r="P297" s="106">
        <f>VLOOKUP($A297,'VKT US'!$B$63:$AA$113,(P$280+1),FALSE)*($AZ$69+$AZ$75)/(1+$AZ$41)^P$280</f>
        <v>1458.0369023907945</v>
      </c>
      <c r="Q297" s="106">
        <f>VLOOKUP($A297,'VKT US'!$B$63:$AA$113,(Q$280+1),FALSE)*($AZ$69+$AZ$75)/(1+$AZ$41)^Q$280</f>
        <v>1406.5732689052256</v>
      </c>
      <c r="R297" s="106">
        <f>VLOOKUP($A297,'VKT US'!$B$63:$AA$113,(R$280+1),FALSE)*($AZ$69+$AZ$75)/(1+$AZ$41)^R$280</f>
        <v>1357.9587431865045</v>
      </c>
      <c r="S297" s="106">
        <f>VLOOKUP($A297,'VKT US'!$B$63:$AA$113,(S$280+1),FALSE)*($AZ$69+$AZ$75)/(1+$AZ$41)^S$280</f>
        <v>1312.5642236361909</v>
      </c>
      <c r="T297" s="106">
        <f>VLOOKUP($A297,'VKT US'!$B$63:$AA$113,(T$280+1),FALSE)*($AZ$69+$AZ$75)/(1+$AZ$41)^T$280</f>
        <v>1269.8457242376676</v>
      </c>
      <c r="U297" s="106">
        <f>VLOOKUP($A297,'VKT US'!$B$63:$AA$113,(U$280+1),FALSE)*($AZ$69+$AZ$75)/(1+$AZ$41)^U$280</f>
        <v>1230.1672287199474</v>
      </c>
      <c r="V297" s="110" cm="1">
        <f t="array" ref="V297">SUMPRODUCT(INDEX(B297:U297,,_xlfn.SEQUENCE($AZ$13)))</f>
        <v>27800.514555826918</v>
      </c>
    </row>
    <row r="298" spans="1:22" x14ac:dyDescent="0.25">
      <c r="A298" s="102" t="s">
        <v>200</v>
      </c>
      <c r="B298" s="106">
        <f>VLOOKUP($A298,'VKT US'!$B$63:$AA$113,(B$280+1),FALSE)*($AZ$69+$AZ$75)/(1+$AZ$41)^B$280</f>
        <v>2348.9918866792891</v>
      </c>
      <c r="C298" s="106">
        <f>VLOOKUP($A298,'VKT US'!$B$63:$AA$113,(C$280+1),FALSE)*($AZ$69+$AZ$75)/(1+$AZ$41)^C$280</f>
        <v>2252.1006196626363</v>
      </c>
      <c r="D298" s="106">
        <f>VLOOKUP($A298,'VKT US'!$B$63:$AA$113,(D$280+1),FALSE)*($AZ$69+$AZ$75)/(1+$AZ$41)^D$280</f>
        <v>2159.3294293640333</v>
      </c>
      <c r="E298" s="106">
        <f>VLOOKUP($A298,'VKT US'!$B$63:$AA$113,(E$280+1),FALSE)*($AZ$69+$AZ$75)/(1+$AZ$41)^E$280</f>
        <v>2070.7323223254243</v>
      </c>
      <c r="F298" s="106">
        <f>VLOOKUP($A298,'VKT US'!$B$63:$AA$113,(F$280+1),FALSE)*($AZ$69+$AZ$75)/(1+$AZ$41)^F$280</f>
        <v>1986.0345143553523</v>
      </c>
      <c r="G298" s="106">
        <f>VLOOKUP($A298,'VKT US'!$B$63:$AA$113,(G$280+1),FALSE)*($AZ$69+$AZ$75)/(1+$AZ$41)^G$280</f>
        <v>1905.4505855423849</v>
      </c>
      <c r="H298" s="106">
        <f>VLOOKUP($A298,'VKT US'!$B$63:$AA$113,(H$280+1),FALSE)*($AZ$69+$AZ$75)/(1+$AZ$41)^H$280</f>
        <v>1828.3928716682528</v>
      </c>
      <c r="I298" s="106">
        <f>VLOOKUP($A298,'VKT US'!$B$63:$AA$113,(I$280+1),FALSE)*($AZ$69+$AZ$75)/(1+$AZ$41)^I$280</f>
        <v>1755.0786008358612</v>
      </c>
      <c r="J298" s="106">
        <f>VLOOKUP($A298,'VKT US'!$B$63:$AA$113,(J$280+1),FALSE)*($AZ$69+$AZ$75)/(1+$AZ$41)^J$280</f>
        <v>1685.4039343660718</v>
      </c>
      <c r="K298" s="106">
        <f>VLOOKUP($A298,'VKT US'!$B$63:$AA$113,(K$280+1),FALSE)*($AZ$69+$AZ$75)/(1+$AZ$41)^K$280</f>
        <v>1619.2672768777331</v>
      </c>
      <c r="L298" s="106">
        <f>VLOOKUP($A298,'VKT US'!$B$63:$AA$113,(L$280+1),FALSE)*($AZ$69+$AZ$75)/(1+$AZ$41)^L$280</f>
        <v>1556.418724547518</v>
      </c>
      <c r="M298" s="106">
        <f>VLOOKUP($A298,'VKT US'!$B$63:$AA$113,(M$280+1),FALSE)*($AZ$69+$AZ$75)/(1+$AZ$41)^M$280</f>
        <v>1496.9151214887329</v>
      </c>
      <c r="N298" s="106">
        <f>VLOOKUP($A298,'VKT US'!$B$63:$AA$113,(N$280+1),FALSE)*($AZ$69+$AZ$75)/(1+$AZ$41)^N$280</f>
        <v>1440.5143269177779</v>
      </c>
      <c r="O298" s="106">
        <f>VLOOKUP($A298,'VKT US'!$B$63:$AA$113,(O$280+1),FALSE)*($AZ$69+$AZ$75)/(1+$AZ$41)^O$280</f>
        <v>1387.2736874951643</v>
      </c>
      <c r="P298" s="106">
        <f>VLOOKUP($A298,'VKT US'!$B$63:$AA$113,(P$280+1),FALSE)*($AZ$69+$AZ$75)/(1+$AZ$41)^P$280</f>
        <v>1336.9585849521479</v>
      </c>
      <c r="Q298" s="106">
        <f>VLOOKUP($A298,'VKT US'!$B$63:$AA$113,(Q$280+1),FALSE)*($AZ$69+$AZ$75)/(1+$AZ$41)^Q$280</f>
        <v>1289.7685951181863</v>
      </c>
      <c r="R298" s="106">
        <f>VLOOKUP($A298,'VKT US'!$B$63:$AA$113,(R$280+1),FALSE)*($AZ$69+$AZ$75)/(1+$AZ$41)^R$280</f>
        <v>1245.1911174106979</v>
      </c>
      <c r="S298" s="106">
        <f>VLOOKUP($A298,'VKT US'!$B$63:$AA$113,(S$280+1),FALSE)*($AZ$69+$AZ$75)/(1+$AZ$41)^S$280</f>
        <v>1203.5662500818578</v>
      </c>
      <c r="T298" s="106">
        <f>VLOOKUP($A298,'VKT US'!$B$63:$AA$113,(T$280+1),FALSE)*($AZ$69+$AZ$75)/(1+$AZ$41)^T$280</f>
        <v>1164.3951808081795</v>
      </c>
      <c r="U298" s="106">
        <f>VLOOKUP($A298,'VKT US'!$B$63:$AA$113,(U$280+1),FALSE)*($AZ$69+$AZ$75)/(1+$AZ$41)^U$280</f>
        <v>1128.0116673776101</v>
      </c>
      <c r="V298" s="110" cm="1">
        <f t="array" ref="V298">SUMPRODUCT(INDEX(B298:U298,,_xlfn.SEQUENCE($AZ$13)))</f>
        <v>25491.903902126236</v>
      </c>
    </row>
    <row r="299" spans="1:22" x14ac:dyDescent="0.25">
      <c r="A299" s="102" t="s">
        <v>203</v>
      </c>
      <c r="B299" s="106">
        <f>VLOOKUP($A299,'VKT US'!$B$63:$AA$113,(B$280+1),FALSE)*($AZ$69+$AZ$75)/(1+$AZ$41)^B$280</f>
        <v>2233.3569439600092</v>
      </c>
      <c r="C299" s="106">
        <f>VLOOKUP($A299,'VKT US'!$B$63:$AA$113,(C$280+1),FALSE)*($AZ$69+$AZ$75)/(1+$AZ$41)^C$280</f>
        <v>2141.2353895060114</v>
      </c>
      <c r="D299" s="106">
        <f>VLOOKUP($A299,'VKT US'!$B$63:$AA$113,(D$280+1),FALSE)*($AZ$69+$AZ$75)/(1+$AZ$41)^D$280</f>
        <v>2053.031090790565</v>
      </c>
      <c r="E299" s="106">
        <f>VLOOKUP($A299,'VKT US'!$B$63:$AA$113,(E$280+1),FALSE)*($AZ$69+$AZ$75)/(1+$AZ$41)^E$280</f>
        <v>1968.795395749843</v>
      </c>
      <c r="F299" s="106">
        <f>VLOOKUP($A299,'VKT US'!$B$63:$AA$113,(F$280+1),FALSE)*($AZ$69+$AZ$75)/(1+$AZ$41)^F$280</f>
        <v>1888.2670471246961</v>
      </c>
      <c r="G299" s="106">
        <f>VLOOKUP($A299,'VKT US'!$B$63:$AA$113,(G$280+1),FALSE)*($AZ$69+$AZ$75)/(1+$AZ$41)^G$280</f>
        <v>1811.6500617674403</v>
      </c>
      <c r="H299" s="106">
        <f>VLOOKUP($A299,'VKT US'!$B$63:$AA$113,(H$280+1),FALSE)*($AZ$69+$AZ$75)/(1+$AZ$41)^H$280</f>
        <v>1738.3857046862561</v>
      </c>
      <c r="I299" s="106">
        <f>VLOOKUP($A299,'VKT US'!$B$63:$AA$113,(I$280+1),FALSE)*($AZ$69+$AZ$75)/(1+$AZ$41)^I$280</f>
        <v>1668.6805103927338</v>
      </c>
      <c r="J299" s="106">
        <f>VLOOKUP($A299,'VKT US'!$B$63:$AA$113,(J$280+1),FALSE)*($AZ$69+$AZ$75)/(1+$AZ$41)^J$280</f>
        <v>1602.4357519238654</v>
      </c>
      <c r="K299" s="106">
        <f>VLOOKUP($A299,'VKT US'!$B$63:$AA$113,(K$280+1),FALSE)*($AZ$69+$AZ$75)/(1+$AZ$41)^K$280</f>
        <v>1539.554835182729</v>
      </c>
      <c r="L299" s="106">
        <f>VLOOKUP($A299,'VKT US'!$B$63:$AA$113,(L$280+1),FALSE)*($AZ$69+$AZ$75)/(1+$AZ$41)^L$280</f>
        <v>1479.8001584805677</v>
      </c>
      <c r="M299" s="106">
        <f>VLOOKUP($A299,'VKT US'!$B$63:$AA$113,(M$280+1),FALSE)*($AZ$69+$AZ$75)/(1+$AZ$41)^M$280</f>
        <v>1423.2257676384415</v>
      </c>
      <c r="N299" s="106">
        <f>VLOOKUP($A299,'VKT US'!$B$63:$AA$113,(N$280+1),FALSE)*($AZ$69+$AZ$75)/(1+$AZ$41)^N$280</f>
        <v>1369.6014418524655</v>
      </c>
      <c r="O299" s="106">
        <f>VLOOKUP($A299,'VKT US'!$B$63:$AA$113,(O$280+1),FALSE)*($AZ$69+$AZ$75)/(1+$AZ$41)^O$280</f>
        <v>1318.9817047517731</v>
      </c>
      <c r="P299" s="106">
        <f>VLOOKUP($A299,'VKT US'!$B$63:$AA$113,(P$280+1),FALSE)*($AZ$69+$AZ$75)/(1+$AZ$41)^P$280</f>
        <v>1271.1434877329127</v>
      </c>
      <c r="Q299" s="106">
        <f>VLOOKUP($A299,'VKT US'!$B$63:$AA$113,(Q$280+1),FALSE)*($AZ$69+$AZ$75)/(1+$AZ$41)^Q$280</f>
        <v>1226.2765420109035</v>
      </c>
      <c r="R299" s="106">
        <f>VLOOKUP($A299,'VKT US'!$B$63:$AA$113,(R$280+1),FALSE)*($AZ$69+$AZ$75)/(1+$AZ$41)^R$280</f>
        <v>1183.8935010362566</v>
      </c>
      <c r="S299" s="106">
        <f>VLOOKUP($A299,'VKT US'!$B$63:$AA$113,(S$280+1),FALSE)*($AZ$69+$AZ$75)/(1+$AZ$41)^S$280</f>
        <v>1144.3177208824568</v>
      </c>
      <c r="T299" s="106">
        <f>VLOOKUP($A299,'VKT US'!$B$63:$AA$113,(T$280+1),FALSE)*($AZ$69+$AZ$75)/(1+$AZ$41)^T$280</f>
        <v>1107.0749444979112</v>
      </c>
      <c r="U299" s="106">
        <f>VLOOKUP($A299,'VKT US'!$B$63:$AA$113,(U$280+1),FALSE)*($AZ$69+$AZ$75)/(1+$AZ$41)^U$280</f>
        <v>1072.4824996169305</v>
      </c>
      <c r="V299" s="110" cm="1">
        <f t="array" ref="V299">SUMPRODUCT(INDEX(B299:U299,,_xlfn.SEQUENCE($AZ$13)))</f>
        <v>24237.00180380739</v>
      </c>
    </row>
    <row r="300" spans="1:22" x14ac:dyDescent="0.25">
      <c r="A300" s="102" t="s">
        <v>202</v>
      </c>
      <c r="B300" s="106">
        <f>VLOOKUP($A300,'VKT US'!$B$63:$AA$113,(B$280+1),FALSE)*($AZ$69+$AZ$75)/(1+$AZ$41)^B$280</f>
        <v>2119.4502408737617</v>
      </c>
      <c r="C300" s="106">
        <f>VLOOKUP($A300,'VKT US'!$B$63:$AA$113,(C$280+1),FALSE)*($AZ$69+$AZ$75)/(1+$AZ$41)^C$280</f>
        <v>2032.0271125174884</v>
      </c>
      <c r="D300" s="106">
        <f>VLOOKUP($A300,'VKT US'!$B$63:$AA$113,(D$280+1),FALSE)*($AZ$69+$AZ$75)/(1+$AZ$41)^D$280</f>
        <v>1948.3214502120802</v>
      </c>
      <c r="E300" s="106">
        <f>VLOOKUP($A300,'VKT US'!$B$63:$AA$113,(E$280+1),FALSE)*($AZ$69+$AZ$75)/(1+$AZ$41)^E$280</f>
        <v>1868.3819830225386</v>
      </c>
      <c r="F300" s="106">
        <f>VLOOKUP($A300,'VKT US'!$B$63:$AA$113,(F$280+1),FALSE)*($AZ$69+$AZ$75)/(1+$AZ$41)^F$280</f>
        <v>1791.9607784531936</v>
      </c>
      <c r="G300" s="106">
        <f>VLOOKUP($A300,'VKT US'!$B$63:$AA$113,(G$280+1),FALSE)*($AZ$69+$AZ$75)/(1+$AZ$41)^G$280</f>
        <v>1719.2514479945671</v>
      </c>
      <c r="H300" s="106">
        <f>VLOOKUP($A300,'VKT US'!$B$63:$AA$113,(H$280+1),FALSE)*($AZ$69+$AZ$75)/(1+$AZ$41)^H$280</f>
        <v>1649.7237535151314</v>
      </c>
      <c r="I300" s="106">
        <f>VLOOKUP($A300,'VKT US'!$B$63:$AA$113,(I$280+1),FALSE)*($AZ$69+$AZ$75)/(1+$AZ$41)^I$280</f>
        <v>1583.5736957578599</v>
      </c>
      <c r="J300" s="106">
        <f>VLOOKUP($A300,'VKT US'!$B$63:$AA$113,(J$280+1),FALSE)*($AZ$69+$AZ$75)/(1+$AZ$41)^J$280</f>
        <v>1520.7075830779418</v>
      </c>
      <c r="K300" s="106">
        <f>VLOOKUP($A300,'VKT US'!$B$63:$AA$113,(K$280+1),FALSE)*($AZ$69+$AZ$75)/(1+$AZ$41)^K$280</f>
        <v>1461.0337479152311</v>
      </c>
      <c r="L300" s="106">
        <f>VLOOKUP($A300,'VKT US'!$B$63:$AA$113,(L$280+1),FALSE)*($AZ$69+$AZ$75)/(1+$AZ$41)^L$280</f>
        <v>1404.3267068521179</v>
      </c>
      <c r="M300" s="106">
        <f>VLOOKUP($A300,'VKT US'!$B$63:$AA$113,(M$280+1),FALSE)*($AZ$69+$AZ$75)/(1+$AZ$41)^M$280</f>
        <v>1350.6377492397169</v>
      </c>
      <c r="N300" s="106">
        <f>VLOOKUP($A300,'VKT US'!$B$63:$AA$113,(N$280+1),FALSE)*($AZ$69+$AZ$75)/(1+$AZ$41)^N$280</f>
        <v>1299.7483961019882</v>
      </c>
      <c r="O300" s="106">
        <f>VLOOKUP($A300,'VKT US'!$B$63:$AA$113,(O$280+1),FALSE)*($AZ$69+$AZ$75)/(1+$AZ$41)^O$280</f>
        <v>1251.7103902287315</v>
      </c>
      <c r="P300" s="106">
        <f>VLOOKUP($A300,'VKT US'!$B$63:$AA$113,(P$280+1),FALSE)*($AZ$69+$AZ$75)/(1+$AZ$41)^P$280</f>
        <v>1206.3120400645091</v>
      </c>
      <c r="Q300" s="106">
        <f>VLOOKUP($A300,'VKT US'!$B$63:$AA$113,(Q$280+1),FALSE)*($AZ$69+$AZ$75)/(1+$AZ$41)^Q$280</f>
        <v>1163.7334190451697</v>
      </c>
      <c r="R300" s="106">
        <f>VLOOKUP($A300,'VKT US'!$B$63:$AA$113,(R$280+1),FALSE)*($AZ$69+$AZ$75)/(1+$AZ$41)^R$280</f>
        <v>1123.5120175152374</v>
      </c>
      <c r="S300" s="106">
        <f>VLOOKUP($A300,'VKT US'!$B$63:$AA$113,(S$280+1),FALSE)*($AZ$69+$AZ$75)/(1+$AZ$41)^S$280</f>
        <v>1085.9546995922856</v>
      </c>
      <c r="T300" s="106">
        <f>VLOOKUP($A300,'VKT US'!$B$63:$AA$113,(T$280+1),FALSE)*($AZ$69+$AZ$75)/(1+$AZ$41)^T$280</f>
        <v>1050.6113965020629</v>
      </c>
      <c r="U300" s="106">
        <f>VLOOKUP($A300,'VKT US'!$B$63:$AA$113,(U$280+1),FALSE)*($AZ$69+$AZ$75)/(1+$AZ$41)^U$280</f>
        <v>1017.7832514831089</v>
      </c>
      <c r="V300" s="110" cm="1">
        <f t="array" ref="V300">SUMPRODUCT(INDEX(B300:U300,,_xlfn.SEQUENCE($AZ$13)))</f>
        <v>23000.855035762343</v>
      </c>
    </row>
    <row r="301" spans="1:22" x14ac:dyDescent="0.25">
      <c r="A301" s="102" t="s">
        <v>201</v>
      </c>
      <c r="B301" s="106">
        <f>VLOOKUP($A301,'VKT US'!$B$63:$AA$113,(B$280+1),FALSE)*($AZ$69+$AZ$75)/(1+$AZ$41)^B$280</f>
        <v>2059.5903044932647</v>
      </c>
      <c r="C301" s="106">
        <f>VLOOKUP($A301,'VKT US'!$B$63:$AA$113,(C$280+1),FALSE)*($AZ$69+$AZ$75)/(1+$AZ$41)^C$280</f>
        <v>1974.6362800586919</v>
      </c>
      <c r="D301" s="106">
        <f>VLOOKUP($A301,'VKT US'!$B$63:$AA$113,(D$280+1),FALSE)*($AZ$69+$AZ$75)/(1+$AZ$41)^D$280</f>
        <v>1893.294728749456</v>
      </c>
      <c r="E301" s="106">
        <f>VLOOKUP($A301,'VKT US'!$B$63:$AA$113,(E$280+1),FALSE)*($AZ$69+$AZ$75)/(1+$AZ$41)^E$280</f>
        <v>1815.6130033686031</v>
      </c>
      <c r="F301" s="106">
        <f>VLOOKUP($A301,'VKT US'!$B$63:$AA$113,(F$280+1),FALSE)*($AZ$69+$AZ$75)/(1+$AZ$41)^F$280</f>
        <v>1741.3501738134112</v>
      </c>
      <c r="G301" s="106">
        <f>VLOOKUP($A301,'VKT US'!$B$63:$AA$113,(G$280+1),FALSE)*($AZ$69+$AZ$75)/(1+$AZ$41)^G$280</f>
        <v>1670.6943833773744</v>
      </c>
      <c r="H301" s="106">
        <f>VLOOKUP($A301,'VKT US'!$B$63:$AA$113,(H$280+1),FALSE)*($AZ$69+$AZ$75)/(1+$AZ$41)^H$280</f>
        <v>1603.1303695203751</v>
      </c>
      <c r="I301" s="106">
        <f>VLOOKUP($A301,'VKT US'!$B$63:$AA$113,(I$280+1),FALSE)*($AZ$69+$AZ$75)/(1+$AZ$41)^I$280</f>
        <v>1538.8485973083607</v>
      </c>
      <c r="J301" s="106">
        <f>VLOOKUP($A301,'VKT US'!$B$63:$AA$113,(J$280+1),FALSE)*($AZ$69+$AZ$75)/(1+$AZ$41)^J$280</f>
        <v>1477.7580212430496</v>
      </c>
      <c r="K301" s="106">
        <f>VLOOKUP($A301,'VKT US'!$B$63:$AA$113,(K$280+1),FALSE)*($AZ$69+$AZ$75)/(1+$AZ$41)^K$280</f>
        <v>1419.7695627443118</v>
      </c>
      <c r="L301" s="106">
        <f>VLOOKUP($A301,'VKT US'!$B$63:$AA$113,(L$280+1),FALSE)*($AZ$69+$AZ$75)/(1+$AZ$41)^L$280</f>
        <v>1364.6641067549604</v>
      </c>
      <c r="M301" s="106">
        <f>VLOOKUP($A301,'VKT US'!$B$63:$AA$113,(M$280+1),FALSE)*($AZ$69+$AZ$75)/(1+$AZ$41)^M$280</f>
        <v>1312.4914940536287</v>
      </c>
      <c r="N301" s="106">
        <f>VLOOKUP($A301,'VKT US'!$B$63:$AA$113,(N$280+1),FALSE)*($AZ$69+$AZ$75)/(1+$AZ$41)^N$280</f>
        <v>1263.0394161972545</v>
      </c>
      <c r="O301" s="106">
        <f>VLOOKUP($A301,'VKT US'!$B$63:$AA$113,(O$280+1),FALSE)*($AZ$69+$AZ$75)/(1+$AZ$41)^O$280</f>
        <v>1216.3581545966229</v>
      </c>
      <c r="P301" s="106">
        <f>VLOOKUP($A301,'VKT US'!$B$63:$AA$113,(P$280+1),FALSE)*($AZ$69+$AZ$75)/(1+$AZ$41)^P$280</f>
        <v>1172.2419965311822</v>
      </c>
      <c r="Q301" s="106">
        <f>VLOOKUP($A301,'VKT US'!$B$63:$AA$113,(Q$280+1),FALSE)*($AZ$69+$AZ$75)/(1+$AZ$41)^Q$280</f>
        <v>1130.8659295969703</v>
      </c>
      <c r="R301" s="106">
        <f>VLOOKUP($A301,'VKT US'!$B$63:$AA$113,(R$280+1),FALSE)*($AZ$69+$AZ$75)/(1+$AZ$41)^R$280</f>
        <v>1091.7805068648813</v>
      </c>
      <c r="S301" s="106">
        <f>VLOOKUP($A301,'VKT US'!$B$63:$AA$113,(S$280+1),FALSE)*($AZ$69+$AZ$75)/(1+$AZ$41)^S$280</f>
        <v>1055.2839256453128</v>
      </c>
      <c r="T301" s="106">
        <f>VLOOKUP($A301,'VKT US'!$B$63:$AA$113,(T$280+1),FALSE)*($AZ$69+$AZ$75)/(1+$AZ$41)^T$280</f>
        <v>1020.9388285207962</v>
      </c>
      <c r="U301" s="106">
        <f>VLOOKUP($A301,'VKT US'!$B$63:$AA$113,(U$280+1),FALSE)*($AZ$69+$AZ$75)/(1+$AZ$41)^U$280</f>
        <v>989.03785349830059</v>
      </c>
      <c r="V301" s="110" cm="1">
        <f t="array" ref="V301">SUMPRODUCT(INDEX(B301:U301,,_xlfn.SEQUENCE($AZ$13)))</f>
        <v>22351.238596279367</v>
      </c>
    </row>
    <row r="302" spans="1:22" x14ac:dyDescent="0.25">
      <c r="A302" s="102" t="s">
        <v>204</v>
      </c>
      <c r="B302" s="106">
        <f>VLOOKUP($A302,'VKT US'!$B$63:$AA$113,(B$280+1),FALSE)*($AZ$69+$AZ$75)/(1+$AZ$41)^B$280</f>
        <v>2247.8113117999192</v>
      </c>
      <c r="C302" s="106">
        <f>VLOOKUP($A302,'VKT US'!$B$63:$AA$113,(C$280+1),FALSE)*($AZ$69+$AZ$75)/(1+$AZ$41)^C$280</f>
        <v>2155.0935432755896</v>
      </c>
      <c r="D302" s="106">
        <f>VLOOKUP($A302,'VKT US'!$B$63:$AA$113,(D$280+1),FALSE)*($AZ$69+$AZ$75)/(1+$AZ$41)^D$280</f>
        <v>2066.3183831122487</v>
      </c>
      <c r="E302" s="106">
        <f>VLOOKUP($A302,'VKT US'!$B$63:$AA$113,(E$280+1),FALSE)*($AZ$69+$AZ$75)/(1+$AZ$41)^E$280</f>
        <v>1981.5375115717911</v>
      </c>
      <c r="F302" s="106">
        <f>VLOOKUP($A302,'VKT US'!$B$63:$AA$113,(F$280+1),FALSE)*($AZ$69+$AZ$75)/(1+$AZ$41)^F$280</f>
        <v>1900.4879805285279</v>
      </c>
      <c r="G302" s="106">
        <f>VLOOKUP($A302,'VKT US'!$B$63:$AA$113,(G$280+1),FALSE)*($AZ$69+$AZ$75)/(1+$AZ$41)^G$280</f>
        <v>1823.3751272393083</v>
      </c>
      <c r="H302" s="106">
        <f>VLOOKUP($A302,'VKT US'!$B$63:$AA$113,(H$280+1),FALSE)*($AZ$69+$AZ$75)/(1+$AZ$41)^H$280</f>
        <v>1749.6366005590057</v>
      </c>
      <c r="I302" s="106">
        <f>VLOOKUP($A302,'VKT US'!$B$63:$AA$113,(I$280+1),FALSE)*($AZ$69+$AZ$75)/(1+$AZ$41)^I$280</f>
        <v>1679.4802716981249</v>
      </c>
      <c r="J302" s="106">
        <f>VLOOKUP($A302,'VKT US'!$B$63:$AA$113,(J$280+1),FALSE)*($AZ$69+$AZ$75)/(1+$AZ$41)^J$280</f>
        <v>1612.8067747291409</v>
      </c>
      <c r="K302" s="106">
        <f>VLOOKUP($A302,'VKT US'!$B$63:$AA$113,(K$280+1),FALSE)*($AZ$69+$AZ$75)/(1+$AZ$41)^K$280</f>
        <v>1549.5188903946043</v>
      </c>
      <c r="L302" s="106">
        <f>VLOOKUP($A302,'VKT US'!$B$63:$AA$113,(L$280+1),FALSE)*($AZ$69+$AZ$75)/(1+$AZ$41)^L$280</f>
        <v>1489.3774792389365</v>
      </c>
      <c r="M302" s="106">
        <f>VLOOKUP($A302,'VKT US'!$B$63:$AA$113,(M$280+1),FALSE)*($AZ$69+$AZ$75)/(1+$AZ$41)^M$280</f>
        <v>1432.436936869728</v>
      </c>
      <c r="N302" s="106">
        <f>VLOOKUP($A302,'VKT US'!$B$63:$AA$113,(N$280+1),FALSE)*($AZ$69+$AZ$75)/(1+$AZ$41)^N$280</f>
        <v>1378.4655524856296</v>
      </c>
      <c r="O302" s="106">
        <f>VLOOKUP($A302,'VKT US'!$B$63:$AA$113,(O$280+1),FALSE)*($AZ$69+$AZ$75)/(1+$AZ$41)^O$280</f>
        <v>1327.5182025946972</v>
      </c>
      <c r="P302" s="106">
        <f>VLOOKUP($A302,'VKT US'!$B$63:$AA$113,(P$280+1),FALSE)*($AZ$69+$AZ$75)/(1+$AZ$41)^P$280</f>
        <v>1279.3703748853172</v>
      </c>
      <c r="Q302" s="106">
        <f>VLOOKUP($A302,'VKT US'!$B$63:$AA$113,(Q$280+1),FALSE)*($AZ$69+$AZ$75)/(1+$AZ$41)^Q$280</f>
        <v>1234.2130486493138</v>
      </c>
      <c r="R302" s="106">
        <f>VLOOKUP($A302,'VKT US'!$B$63:$AA$113,(R$280+1),FALSE)*($AZ$69+$AZ$75)/(1+$AZ$41)^R$280</f>
        <v>1191.5557030830616</v>
      </c>
      <c r="S302" s="106">
        <f>VLOOKUP($A302,'VKT US'!$B$63:$AA$113,(S$280+1),FALSE)*($AZ$69+$AZ$75)/(1+$AZ$41)^S$280</f>
        <v>1151.7237870323818</v>
      </c>
      <c r="T302" s="106">
        <f>VLOOKUP($A302,'VKT US'!$B$63:$AA$113,(T$280+1),FALSE)*($AZ$69+$AZ$75)/(1+$AZ$41)^T$280</f>
        <v>1114.2399740366948</v>
      </c>
      <c r="U302" s="106">
        <f>VLOOKUP($A302,'VKT US'!$B$63:$AA$113,(U$280+1),FALSE)*($AZ$69+$AZ$75)/(1+$AZ$41)^U$280</f>
        <v>1079.4236455870155</v>
      </c>
      <c r="V302" s="110" cm="1">
        <f t="array" ref="V302">SUMPRODUCT(INDEX(B302:U302,,_xlfn.SEQUENCE($AZ$13)))</f>
        <v>24393.864566097251</v>
      </c>
    </row>
    <row r="303" spans="1:22" x14ac:dyDescent="0.25">
      <c r="A303" s="102" t="s">
        <v>205</v>
      </c>
      <c r="B303" s="106">
        <f>VLOOKUP($A303,'VKT US'!$B$63:$AA$113,(B$280+1),FALSE)*($AZ$69+$AZ$75)/(1+$AZ$41)^B$280</f>
        <v>2813.7312352711779</v>
      </c>
      <c r="C303" s="106">
        <f>VLOOKUP($A303,'VKT US'!$B$63:$AA$113,(C$280+1),FALSE)*($AZ$69+$AZ$75)/(1+$AZ$41)^C$280</f>
        <v>2697.6703897758111</v>
      </c>
      <c r="D303" s="106">
        <f>VLOOKUP($A303,'VKT US'!$B$63:$AA$113,(D$280+1),FALSE)*($AZ$69+$AZ$75)/(1+$AZ$41)^D$280</f>
        <v>2586.5447629242508</v>
      </c>
      <c r="E303" s="106">
        <f>VLOOKUP($A303,'VKT US'!$B$63:$AA$113,(E$280+1),FALSE)*($AZ$69+$AZ$75)/(1+$AZ$41)^E$280</f>
        <v>2480.4190462528272</v>
      </c>
      <c r="F303" s="106">
        <f>VLOOKUP($A303,'VKT US'!$B$63:$AA$113,(F$280+1),FALSE)*($AZ$69+$AZ$75)/(1+$AZ$41)^F$280</f>
        <v>2378.9640905350811</v>
      </c>
      <c r="G303" s="106">
        <f>VLOOKUP($A303,'VKT US'!$B$63:$AA$113,(G$280+1),FALSE)*($AZ$69+$AZ$75)/(1+$AZ$41)^G$280</f>
        <v>2282.436929735708</v>
      </c>
      <c r="H303" s="106">
        <f>VLOOKUP($A303,'VKT US'!$B$63:$AA$113,(H$280+1),FALSE)*($AZ$69+$AZ$75)/(1+$AZ$41)^H$280</f>
        <v>2190.1336324464414</v>
      </c>
      <c r="I303" s="106">
        <f>VLOOKUP($A303,'VKT US'!$B$63:$AA$113,(I$280+1),FALSE)*($AZ$69+$AZ$75)/(1+$AZ$41)^I$280</f>
        <v>2102.3144045461463</v>
      </c>
      <c r="J303" s="106">
        <f>VLOOKUP($A303,'VKT US'!$B$63:$AA$113,(J$280+1),FALSE)*($AZ$69+$AZ$75)/(1+$AZ$41)^J$280</f>
        <v>2018.8548632574393</v>
      </c>
      <c r="K303" s="106">
        <f>VLOOKUP($A303,'VKT US'!$B$63:$AA$113,(K$280+1),FALSE)*($AZ$69+$AZ$75)/(1+$AZ$41)^K$280</f>
        <v>1939.6333129291236</v>
      </c>
      <c r="L303" s="106">
        <f>VLOOKUP($A303,'VKT US'!$B$63:$AA$113,(L$280+1),FALSE)*($AZ$69+$AZ$75)/(1+$AZ$41)^L$280</f>
        <v>1864.3504071915925</v>
      </c>
      <c r="M303" s="106">
        <f>VLOOKUP($A303,'VKT US'!$B$63:$AA$113,(M$280+1),FALSE)*($AZ$69+$AZ$75)/(1+$AZ$41)^M$280</f>
        <v>1793.0742365555298</v>
      </c>
      <c r="N303" s="106">
        <f>VLOOKUP($A303,'VKT US'!$B$63:$AA$113,(N$280+1),FALSE)*($AZ$69+$AZ$75)/(1+$AZ$41)^N$280</f>
        <v>1725.5147535797259</v>
      </c>
      <c r="O303" s="106">
        <f>VLOOKUP($A303,'VKT US'!$B$63:$AA$113,(O$280+1),FALSE)*($AZ$69+$AZ$75)/(1+$AZ$41)^O$280</f>
        <v>1661.7406507491737</v>
      </c>
      <c r="P303" s="106">
        <f>VLOOKUP($A303,'VKT US'!$B$63:$AA$113,(P$280+1),FALSE)*($AZ$69+$AZ$75)/(1+$AZ$41)^P$280</f>
        <v>1601.4708914392359</v>
      </c>
      <c r="Q303" s="106">
        <f>VLOOKUP($A303,'VKT US'!$B$63:$AA$113,(Q$280+1),FALSE)*($AZ$69+$AZ$75)/(1+$AZ$41)^Q$280</f>
        <v>1544.9445368183801</v>
      </c>
      <c r="R303" s="106">
        <f>VLOOKUP($A303,'VKT US'!$B$63:$AA$113,(R$280+1),FALSE)*($AZ$69+$AZ$75)/(1+$AZ$41)^R$280</f>
        <v>1491.5475701764556</v>
      </c>
      <c r="S303" s="106">
        <f>VLOOKUP($A303,'VKT US'!$B$63:$AA$113,(S$280+1),FALSE)*($AZ$69+$AZ$75)/(1+$AZ$41)^S$280</f>
        <v>1441.6873769457557</v>
      </c>
      <c r="T303" s="106">
        <f>VLOOKUP($A303,'VKT US'!$B$63:$AA$113,(T$280+1),FALSE)*($AZ$69+$AZ$75)/(1+$AZ$41)^T$280</f>
        <v>1394.766456631241</v>
      </c>
      <c r="U303" s="106">
        <f>VLOOKUP($A303,'VKT US'!$B$63:$AA$113,(U$280+1),FALSE)*($AZ$69+$AZ$75)/(1+$AZ$41)^U$280</f>
        <v>1351.1845997636026</v>
      </c>
      <c r="V303" s="110" cm="1">
        <f t="array" ref="V303">SUMPRODUCT(INDEX(B303:U303,,_xlfn.SEQUENCE($AZ$13)))</f>
        <v>30535.382715750024</v>
      </c>
    </row>
    <row r="304" spans="1:22" x14ac:dyDescent="0.25">
      <c r="A304" s="102" t="s">
        <v>207</v>
      </c>
      <c r="B304" s="106">
        <f>VLOOKUP($A304,'VKT US'!$B$63:$AA$113,(B$280+1),FALSE)*($AZ$69+$AZ$75)/(1+$AZ$41)^B$280</f>
        <v>3136.9120466482968</v>
      </c>
      <c r="C304" s="106">
        <f>VLOOKUP($A304,'VKT US'!$B$63:$AA$113,(C$280+1),FALSE)*($AZ$69+$AZ$75)/(1+$AZ$41)^C$280</f>
        <v>3007.5206322108356</v>
      </c>
      <c r="D304" s="106">
        <f>VLOOKUP($A304,'VKT US'!$B$63:$AA$113,(D$280+1),FALSE)*($AZ$69+$AZ$75)/(1+$AZ$41)^D$280</f>
        <v>2883.6312879862412</v>
      </c>
      <c r="E304" s="106">
        <f>VLOOKUP($A304,'VKT US'!$B$63:$AA$113,(E$280+1),FALSE)*($AZ$69+$AZ$75)/(1+$AZ$41)^E$280</f>
        <v>2765.3161358805046</v>
      </c>
      <c r="F304" s="106">
        <f>VLOOKUP($A304,'VKT US'!$B$63:$AA$113,(F$280+1),FALSE)*($AZ$69+$AZ$75)/(1+$AZ$41)^F$280</f>
        <v>2652.208221096847</v>
      </c>
      <c r="G304" s="106">
        <f>VLOOKUP($A304,'VKT US'!$B$63:$AA$113,(G$280+1),FALSE)*($AZ$69+$AZ$75)/(1+$AZ$41)^G$280</f>
        <v>2544.594100123019</v>
      </c>
      <c r="H304" s="106">
        <f>VLOOKUP($A304,'VKT US'!$B$63:$AA$113,(H$280+1),FALSE)*($AZ$69+$AZ$75)/(1+$AZ$41)^H$280</f>
        <v>2441.6889890795492</v>
      </c>
      <c r="I304" s="106">
        <f>VLOOKUP($A304,'VKT US'!$B$63:$AA$113,(I$280+1),FALSE)*($AZ$69+$AZ$75)/(1+$AZ$41)^I$280</f>
        <v>2343.7829806895061</v>
      </c>
      <c r="J304" s="106">
        <f>VLOOKUP($A304,'VKT US'!$B$63:$AA$113,(J$280+1),FALSE)*($AZ$69+$AZ$75)/(1+$AZ$41)^J$280</f>
        <v>2250.7374057623565</v>
      </c>
      <c r="K304" s="106">
        <f>VLOOKUP($A304,'VKT US'!$B$63:$AA$113,(K$280+1),FALSE)*($AZ$69+$AZ$75)/(1+$AZ$41)^K$280</f>
        <v>2162.416590872906</v>
      </c>
      <c r="L304" s="106">
        <f>VLOOKUP($A304,'VKT US'!$B$63:$AA$113,(L$280+1),FALSE)*($AZ$69+$AZ$75)/(1+$AZ$41)^L$280</f>
        <v>2078.4868071912074</v>
      </c>
      <c r="M304" s="106">
        <f>VLOOKUP($A304,'VKT US'!$B$63:$AA$113,(M$280+1),FALSE)*($AZ$69+$AZ$75)/(1+$AZ$41)^M$280</f>
        <v>1999.0239659985314</v>
      </c>
      <c r="N304" s="106">
        <f>VLOOKUP($A304,'VKT US'!$B$63:$AA$113,(N$280+1),FALSE)*($AZ$69+$AZ$75)/(1+$AZ$41)^N$280</f>
        <v>1923.7047054538391</v>
      </c>
      <c r="O304" s="106">
        <f>VLOOKUP($A304,'VKT US'!$B$63:$AA$113,(O$280+1),FALSE)*($AZ$69+$AZ$75)/(1+$AZ$41)^O$280</f>
        <v>1852.6056079545483</v>
      </c>
      <c r="P304" s="106">
        <f>VLOOKUP($A304,'VKT US'!$B$63:$AA$113,(P$280+1),FALSE)*($AZ$69+$AZ$75)/(1+$AZ$41)^P$280</f>
        <v>1785.4133574446246</v>
      </c>
      <c r="Q304" s="106">
        <f>VLOOKUP($A304,'VKT US'!$B$63:$AA$113,(Q$280+1),FALSE)*($AZ$69+$AZ$75)/(1+$AZ$41)^Q$280</f>
        <v>1722.3944732880548</v>
      </c>
      <c r="R304" s="106">
        <f>VLOOKUP($A304,'VKT US'!$B$63:$AA$113,(R$280+1),FALSE)*($AZ$69+$AZ$75)/(1+$AZ$41)^R$280</f>
        <v>1662.8644137664367</v>
      </c>
      <c r="S304" s="106">
        <f>VLOOKUP($A304,'VKT US'!$B$63:$AA$113,(S$280+1),FALSE)*($AZ$69+$AZ$75)/(1+$AZ$41)^S$280</f>
        <v>1607.2773559717994</v>
      </c>
      <c r="T304" s="106">
        <f>VLOOKUP($A304,'VKT US'!$B$63:$AA$113,(T$280+1),FALSE)*($AZ$69+$AZ$75)/(1+$AZ$41)^T$280</f>
        <v>1554.9671714277379</v>
      </c>
      <c r="U304" s="106">
        <f>VLOOKUP($A304,'VKT US'!$B$63:$AA$113,(U$280+1),FALSE)*($AZ$69+$AZ$75)/(1+$AZ$41)^U$280</f>
        <v>1506.3795699860455</v>
      </c>
      <c r="V304" s="110" cm="1">
        <f t="array" ref="V304">SUMPRODUCT(INDEX(B304:U304,,_xlfn.SEQUENCE($AZ$13)))</f>
        <v>34042.629476948183</v>
      </c>
    </row>
    <row r="305" spans="1:22" x14ac:dyDescent="0.25">
      <c r="A305" s="102" t="s">
        <v>206</v>
      </c>
      <c r="B305" s="106">
        <f>VLOOKUP($A305,'VKT US'!$B$63:$AA$113,(B$280+1),FALSE)*($AZ$69+$AZ$75)/(1+$AZ$41)^B$280</f>
        <v>2909.8842039453625</v>
      </c>
      <c r="C305" s="106">
        <f>VLOOKUP($A305,'VKT US'!$B$63:$AA$113,(C$280+1),FALSE)*($AZ$69+$AZ$75)/(1+$AZ$41)^C$280</f>
        <v>2789.8572387647441</v>
      </c>
      <c r="D305" s="106">
        <f>VLOOKUP($A305,'VKT US'!$B$63:$AA$113,(D$280+1),FALSE)*($AZ$69+$AZ$75)/(1+$AZ$41)^D$280</f>
        <v>2674.9341422815378</v>
      </c>
      <c r="E305" s="106">
        <f>VLOOKUP($A305,'VKT US'!$B$63:$AA$113,(E$280+1),FALSE)*($AZ$69+$AZ$75)/(1+$AZ$41)^E$280</f>
        <v>2565.1818167205661</v>
      </c>
      <c r="F305" s="106">
        <f>VLOOKUP($A305,'VKT US'!$B$63:$AA$113,(F$280+1),FALSE)*($AZ$69+$AZ$75)/(1+$AZ$41)^F$280</f>
        <v>2460.2598649170941</v>
      </c>
      <c r="G305" s="106">
        <f>VLOOKUP($A305,'VKT US'!$B$63:$AA$113,(G$280+1),FALSE)*($AZ$69+$AZ$75)/(1+$AZ$41)^G$280</f>
        <v>2360.4341043963955</v>
      </c>
      <c r="H305" s="106">
        <f>VLOOKUP($A305,'VKT US'!$B$63:$AA$113,(H$280+1),FALSE)*($AZ$69+$AZ$75)/(1+$AZ$41)^H$280</f>
        <v>2264.9765484695145</v>
      </c>
      <c r="I305" s="106">
        <f>VLOOKUP($A305,'VKT US'!$B$63:$AA$113,(I$280+1),FALSE)*($AZ$69+$AZ$75)/(1+$AZ$41)^I$280</f>
        <v>2174.1562949689642</v>
      </c>
      <c r="J305" s="106">
        <f>VLOOKUP($A305,'VKT US'!$B$63:$AA$113,(J$280+1),FALSE)*($AZ$69+$AZ$75)/(1+$AZ$41)^J$280</f>
        <v>2087.8447106142744</v>
      </c>
      <c r="K305" s="106">
        <f>VLOOKUP($A305,'VKT US'!$B$63:$AA$113,(K$280+1),FALSE)*($AZ$69+$AZ$75)/(1+$AZ$41)^K$280</f>
        <v>2005.915941077687</v>
      </c>
      <c r="L305" s="106">
        <f>VLOOKUP($A305,'VKT US'!$B$63:$AA$113,(L$280+1),FALSE)*($AZ$69+$AZ$75)/(1+$AZ$41)^L$280</f>
        <v>1928.0604104972629</v>
      </c>
      <c r="M305" s="106">
        <f>VLOOKUP($A305,'VKT US'!$B$63:$AA$113,(M$280+1),FALSE)*($AZ$69+$AZ$75)/(1+$AZ$41)^M$280</f>
        <v>1854.3485362245215</v>
      </c>
      <c r="N305" s="106">
        <f>VLOOKUP($A305,'VKT US'!$B$63:$AA$113,(N$280+1),FALSE)*($AZ$69+$AZ$75)/(1+$AZ$41)^N$280</f>
        <v>1784.4803590959912</v>
      </c>
      <c r="O305" s="106">
        <f>VLOOKUP($A305,'VKT US'!$B$63:$AA$113,(O$280+1),FALSE)*($AZ$69+$AZ$75)/(1+$AZ$41)^O$280</f>
        <v>1718.526919008624</v>
      </c>
      <c r="P305" s="106">
        <f>VLOOKUP($A305,'VKT US'!$B$63:$AA$113,(P$280+1),FALSE)*($AZ$69+$AZ$75)/(1+$AZ$41)^P$280</f>
        <v>1656.1975755400126</v>
      </c>
      <c r="Q305" s="106">
        <f>VLOOKUP($A305,'VKT US'!$B$63:$AA$113,(Q$280+1),FALSE)*($AZ$69+$AZ$75)/(1+$AZ$41)^Q$280</f>
        <v>1597.7395592391097</v>
      </c>
      <c r="R305" s="106">
        <f>VLOOKUP($A305,'VKT US'!$B$63:$AA$113,(R$280+1),FALSE)*($AZ$69+$AZ$75)/(1+$AZ$41)^R$280</f>
        <v>1542.5178707486814</v>
      </c>
      <c r="S305" s="106">
        <f>VLOOKUP($A305,'VKT US'!$B$63:$AA$113,(S$280+1),FALSE)*($AZ$69+$AZ$75)/(1+$AZ$41)^S$280</f>
        <v>1490.9538169865621</v>
      </c>
      <c r="T305" s="106">
        <f>VLOOKUP($A305,'VKT US'!$B$63:$AA$113,(T$280+1),FALSE)*($AZ$69+$AZ$75)/(1+$AZ$41)^T$280</f>
        <v>1442.4294792153228</v>
      </c>
      <c r="U305" s="106">
        <f>VLOOKUP($A305,'VKT US'!$B$63:$AA$113,(U$280+1),FALSE)*($AZ$69+$AZ$75)/(1+$AZ$41)^U$280</f>
        <v>1397.3583099124285</v>
      </c>
      <c r="V305" s="110" cm="1">
        <f t="array" ref="V305">SUMPRODUCT(INDEX(B305:U305,,_xlfn.SEQUENCE($AZ$13)))</f>
        <v>31578.861090982547</v>
      </c>
    </row>
    <row r="306" spans="1:22" x14ac:dyDescent="0.25">
      <c r="A306" s="102" t="s">
        <v>208</v>
      </c>
      <c r="B306" s="106">
        <f>VLOOKUP($A306,'VKT US'!$B$63:$AA$113,(B$280+1),FALSE)*($AZ$69+$AZ$75)/(1+$AZ$41)^B$280</f>
        <v>2494.9495793235978</v>
      </c>
      <c r="C306" s="106">
        <f>VLOOKUP($A306,'VKT US'!$B$63:$AA$113,(C$280+1),FALSE)*($AZ$69+$AZ$75)/(1+$AZ$41)^C$280</f>
        <v>2392.0378463141374</v>
      </c>
      <c r="D306" s="106">
        <f>VLOOKUP($A306,'VKT US'!$B$63:$AA$113,(D$280+1),FALSE)*($AZ$69+$AZ$75)/(1+$AZ$41)^D$280</f>
        <v>2293.5021963949471</v>
      </c>
      <c r="E306" s="106">
        <f>VLOOKUP($A306,'VKT US'!$B$63:$AA$113,(E$280+1),FALSE)*($AZ$69+$AZ$75)/(1+$AZ$41)^E$280</f>
        <v>2199.3999918753088</v>
      </c>
      <c r="F306" s="106">
        <f>VLOOKUP($A306,'VKT US'!$B$63:$AA$113,(F$280+1),FALSE)*($AZ$69+$AZ$75)/(1+$AZ$41)^F$280</f>
        <v>2109.4393744875256</v>
      </c>
      <c r="G306" s="106">
        <f>VLOOKUP($A306,'VKT US'!$B$63:$AA$113,(G$280+1),FALSE)*($AZ$69+$AZ$75)/(1+$AZ$41)^G$280</f>
        <v>2023.8482575354874</v>
      </c>
      <c r="H306" s="106">
        <f>VLOOKUP($A306,'VKT US'!$B$63:$AA$113,(H$280+1),FALSE)*($AZ$69+$AZ$75)/(1+$AZ$41)^H$280</f>
        <v>1942.0024615137354</v>
      </c>
      <c r="I306" s="106">
        <f>VLOOKUP($A306,'VKT US'!$B$63:$AA$113,(I$280+1),FALSE)*($AZ$69+$AZ$75)/(1+$AZ$41)^I$280</f>
        <v>1864.1327122783409</v>
      </c>
      <c r="J306" s="106">
        <f>VLOOKUP($A306,'VKT US'!$B$63:$AA$113,(J$280+1),FALSE)*($AZ$69+$AZ$75)/(1+$AZ$41)^J$280</f>
        <v>1790.1287189976067</v>
      </c>
      <c r="K306" s="106">
        <f>VLOOKUP($A306,'VKT US'!$B$63:$AA$113,(K$280+1),FALSE)*($AZ$69+$AZ$75)/(1+$AZ$41)^K$280</f>
        <v>1719.8825735280855</v>
      </c>
      <c r="L306" s="106">
        <f>VLOOKUP($A306,'VKT US'!$B$63:$AA$113,(L$280+1),FALSE)*($AZ$69+$AZ$75)/(1+$AZ$41)^L$280</f>
        <v>1653.1288439445243</v>
      </c>
      <c r="M306" s="106">
        <f>VLOOKUP($A306,'VKT US'!$B$63:$AA$113,(M$280+1),FALSE)*($AZ$69+$AZ$75)/(1+$AZ$41)^M$280</f>
        <v>1589.9279064437883</v>
      </c>
      <c r="N306" s="106">
        <f>VLOOKUP($A306,'VKT US'!$B$63:$AA$113,(N$280+1),FALSE)*($AZ$69+$AZ$75)/(1+$AZ$41)^N$280</f>
        <v>1530.0225745070102</v>
      </c>
      <c r="O306" s="106">
        <f>VLOOKUP($A306,'VKT US'!$B$63:$AA$113,(O$280+1),FALSE)*($AZ$69+$AZ$75)/(1+$AZ$41)^O$280</f>
        <v>1473.4737581046893</v>
      </c>
      <c r="P306" s="106">
        <f>VLOOKUP($A306,'VKT US'!$B$63:$AA$113,(P$280+1),FALSE)*($AZ$69+$AZ$75)/(1+$AZ$41)^P$280</f>
        <v>1420.0322606541438</v>
      </c>
      <c r="Q306" s="106">
        <f>VLOOKUP($A306,'VKT US'!$B$63:$AA$113,(Q$280+1),FALSE)*($AZ$69+$AZ$75)/(1+$AZ$41)^Q$280</f>
        <v>1369.91005889083</v>
      </c>
      <c r="R306" s="106">
        <f>VLOOKUP($A306,'VKT US'!$B$63:$AA$113,(R$280+1),FALSE)*($AZ$69+$AZ$75)/(1+$AZ$41)^R$280</f>
        <v>1322.5627011224587</v>
      </c>
      <c r="S306" s="106">
        <f>VLOOKUP($A306,'VKT US'!$B$63:$AA$113,(S$280+1),FALSE)*($AZ$69+$AZ$75)/(1+$AZ$41)^S$280</f>
        <v>1278.3514180522977</v>
      </c>
      <c r="T306" s="106">
        <f>VLOOKUP($A306,'VKT US'!$B$63:$AA$113,(T$280+1),FALSE)*($AZ$69+$AZ$75)/(1+$AZ$41)^T$280</f>
        <v>1236.7464029987218</v>
      </c>
      <c r="U306" s="106">
        <f>VLOOKUP($A306,'VKT US'!$B$63:$AA$113,(U$280+1),FALSE)*($AZ$69+$AZ$75)/(1+$AZ$41)^U$280</f>
        <v>1198.1021522277072</v>
      </c>
      <c r="V306" s="110" cm="1">
        <f t="array" ref="V306">SUMPRODUCT(INDEX(B306:U306,,_xlfn.SEQUENCE($AZ$13)))</f>
        <v>27075.876795248783</v>
      </c>
    </row>
    <row r="307" spans="1:22" x14ac:dyDescent="0.25">
      <c r="A307" s="102" t="s">
        <v>211</v>
      </c>
      <c r="B307" s="106">
        <f>VLOOKUP($A307,'VKT US'!$B$63:$AA$113,(B$280+1),FALSE)*($AZ$69+$AZ$75)/(1+$AZ$41)^B$280</f>
        <v>2332.4950538185221</v>
      </c>
      <c r="C307" s="106">
        <f>VLOOKUP($A307,'VKT US'!$B$63:$AA$113,(C$280+1),FALSE)*($AZ$69+$AZ$75)/(1+$AZ$41)^C$280</f>
        <v>2236.2842485125748</v>
      </c>
      <c r="D307" s="106">
        <f>VLOOKUP($A307,'VKT US'!$B$63:$AA$113,(D$280+1),FALSE)*($AZ$69+$AZ$75)/(1+$AZ$41)^D$280</f>
        <v>2144.1645848664598</v>
      </c>
      <c r="E307" s="106">
        <f>VLOOKUP($A307,'VKT US'!$B$63:$AA$113,(E$280+1),FALSE)*($AZ$69+$AZ$75)/(1+$AZ$41)^E$280</f>
        <v>2056.1896901373316</v>
      </c>
      <c r="F307" s="106">
        <f>VLOOKUP($A307,'VKT US'!$B$63:$AA$113,(F$280+1),FALSE)*($AZ$69+$AZ$75)/(1+$AZ$41)^F$280</f>
        <v>1972.0867099270654</v>
      </c>
      <c r="G307" s="106">
        <f>VLOOKUP($A307,'VKT US'!$B$63:$AA$113,(G$280+1),FALSE)*($AZ$69+$AZ$75)/(1+$AZ$41)^G$280</f>
        <v>1892.0687173407964</v>
      </c>
      <c r="H307" s="106">
        <f>VLOOKUP($A307,'VKT US'!$B$63:$AA$113,(H$280+1),FALSE)*($AZ$69+$AZ$75)/(1+$AZ$41)^H$280</f>
        <v>1815.5521752917452</v>
      </c>
      <c r="I307" s="106">
        <f>VLOOKUP($A307,'VKT US'!$B$63:$AA$113,(I$280+1),FALSE)*($AZ$69+$AZ$75)/(1+$AZ$41)^I$280</f>
        <v>1742.7527863025346</v>
      </c>
      <c r="J307" s="106">
        <f>VLOOKUP($A307,'VKT US'!$B$63:$AA$113,(J$280+1),FALSE)*($AZ$69+$AZ$75)/(1+$AZ$41)^J$280</f>
        <v>1673.5674409470068</v>
      </c>
      <c r="K307" s="106">
        <f>VLOOKUP($A307,'VKT US'!$B$63:$AA$113,(K$280+1),FALSE)*($AZ$69+$AZ$75)/(1+$AZ$41)^K$280</f>
        <v>1607.8952573424406</v>
      </c>
      <c r="L307" s="106">
        <f>VLOOKUP($A307,'VKT US'!$B$63:$AA$113,(L$280+1),FALSE)*($AZ$69+$AZ$75)/(1+$AZ$41)^L$280</f>
        <v>1545.4880867254667</v>
      </c>
      <c r="M307" s="106">
        <f>VLOOKUP($A307,'VKT US'!$B$63:$AA$113,(M$280+1),FALSE)*($AZ$69+$AZ$75)/(1+$AZ$41)^M$280</f>
        <v>1486.4023739965039</v>
      </c>
      <c r="N307" s="106">
        <f>VLOOKUP($A307,'VKT US'!$B$63:$AA$113,(N$280+1),FALSE)*($AZ$69+$AZ$75)/(1+$AZ$41)^N$280</f>
        <v>1430.3976789125363</v>
      </c>
      <c r="O307" s="106">
        <f>VLOOKUP($A307,'VKT US'!$B$63:$AA$113,(O$280+1),FALSE)*($AZ$69+$AZ$75)/(1+$AZ$41)^O$280</f>
        <v>1377.5309453918273</v>
      </c>
      <c r="P307" s="106">
        <f>VLOOKUP($A307,'VKT US'!$B$63:$AA$113,(P$280+1),FALSE)*($AZ$69+$AZ$75)/(1+$AZ$41)^P$280</f>
        <v>1327.5692028760341</v>
      </c>
      <c r="Q307" s="106">
        <f>VLOOKUP($A307,'VKT US'!$B$63:$AA$113,(Q$280+1),FALSE)*($AZ$69+$AZ$75)/(1+$AZ$41)^Q$280</f>
        <v>1280.7106255852179</v>
      </c>
      <c r="R307" s="106">
        <f>VLOOKUP($A307,'VKT US'!$B$63:$AA$113,(R$280+1),FALSE)*($AZ$69+$AZ$75)/(1+$AZ$41)^R$280</f>
        <v>1236.4462129007572</v>
      </c>
      <c r="S307" s="106">
        <f>VLOOKUP($A307,'VKT US'!$B$63:$AA$113,(S$280+1),FALSE)*($AZ$69+$AZ$75)/(1+$AZ$41)^S$280</f>
        <v>1195.1136745846607</v>
      </c>
      <c r="T307" s="106">
        <f>VLOOKUP($A307,'VKT US'!$B$63:$AA$113,(T$280+1),FALSE)*($AZ$69+$AZ$75)/(1+$AZ$41)^T$280</f>
        <v>1156.2177014432636</v>
      </c>
      <c r="U307" s="106">
        <f>VLOOKUP($A307,'VKT US'!$B$63:$AA$113,(U$280+1),FALSE)*($AZ$69+$AZ$75)/(1+$AZ$41)^U$280</f>
        <v>1120.0897073030567</v>
      </c>
      <c r="V307" s="110" cm="1">
        <f t="array" ref="V307">SUMPRODUCT(INDEX(B307:U307,,_xlfn.SEQUENCE($AZ$13)))</f>
        <v>25312.875749512812</v>
      </c>
    </row>
    <row r="308" spans="1:22" x14ac:dyDescent="0.25">
      <c r="A308" s="102" t="s">
        <v>215</v>
      </c>
      <c r="B308" s="106">
        <f>VLOOKUP($A308,'VKT US'!$B$63:$AA$113,(B$280+1),FALSE)*($AZ$69+$AZ$75)/(1+$AZ$41)^B$280</f>
        <v>2202.0915178715077</v>
      </c>
      <c r="C308" s="106">
        <f>VLOOKUP($A308,'VKT US'!$B$63:$AA$113,(C$280+1),FALSE)*($AZ$69+$AZ$75)/(1+$AZ$41)^C$280</f>
        <v>2111.2596003739891</v>
      </c>
      <c r="D308" s="106">
        <f>VLOOKUP($A308,'VKT US'!$B$63:$AA$113,(D$280+1),FALSE)*($AZ$69+$AZ$75)/(1+$AZ$41)^D$280</f>
        <v>2024.2900997904012</v>
      </c>
      <c r="E308" s="106">
        <f>VLOOKUP($A308,'VKT US'!$B$63:$AA$113,(E$280+1),FALSE)*($AZ$69+$AZ$75)/(1+$AZ$41)^E$280</f>
        <v>1941.2336452219349</v>
      </c>
      <c r="F308" s="106">
        <f>VLOOKUP($A308,'VKT US'!$B$63:$AA$113,(F$280+1),FALSE)*($AZ$69+$AZ$75)/(1+$AZ$41)^F$280</f>
        <v>1861.8326368272769</v>
      </c>
      <c r="G308" s="106">
        <f>VLOOKUP($A308,'VKT US'!$B$63:$AA$113,(G$280+1),FALSE)*($AZ$69+$AZ$75)/(1+$AZ$41)^G$280</f>
        <v>1786.2882353663347</v>
      </c>
      <c r="H308" s="106">
        <f>VLOOKUP($A308,'VKT US'!$B$63:$AA$113,(H$280+1),FALSE)*($AZ$69+$AZ$75)/(1+$AZ$41)^H$280</f>
        <v>1714.0495277441128</v>
      </c>
      <c r="I308" s="106">
        <f>VLOOKUP($A308,'VKT US'!$B$63:$AA$113,(I$280+1),FALSE)*($AZ$69+$AZ$75)/(1+$AZ$41)^I$280</f>
        <v>1645.3201571343341</v>
      </c>
      <c r="J308" s="106">
        <f>VLOOKUP($A308,'VKT US'!$B$63:$AA$113,(J$280+1),FALSE)*($AZ$69+$AZ$75)/(1+$AZ$41)^J$280</f>
        <v>1580.0027786820187</v>
      </c>
      <c r="K308" s="106">
        <f>VLOOKUP($A308,'VKT US'!$B$63:$AA$113,(K$280+1),FALSE)*($AZ$69+$AZ$75)/(1+$AZ$41)^K$280</f>
        <v>1518.0021505396501</v>
      </c>
      <c r="L308" s="106">
        <f>VLOOKUP($A308,'VKT US'!$B$63:$AA$113,(L$280+1),FALSE)*($AZ$69+$AZ$75)/(1+$AZ$41)^L$280</f>
        <v>1459.0839972749654</v>
      </c>
      <c r="M308" s="106">
        <f>VLOOKUP($A308,'VKT US'!$B$63:$AA$113,(M$280+1),FALSE)*($AZ$69+$AZ$75)/(1+$AZ$41)^M$280</f>
        <v>1403.3016081055503</v>
      </c>
      <c r="N308" s="106">
        <f>VLOOKUP($A308,'VKT US'!$B$63:$AA$113,(N$280+1),FALSE)*($AZ$69+$AZ$75)/(1+$AZ$41)^N$280</f>
        <v>1350.4279851568172</v>
      </c>
      <c r="O308" s="106">
        <f>VLOOKUP($A308,'VKT US'!$B$63:$AA$113,(O$280+1),FALSE)*($AZ$69+$AZ$75)/(1+$AZ$41)^O$280</f>
        <v>1300.5168887654486</v>
      </c>
      <c r="P308" s="106">
        <f>VLOOKUP($A308,'VKT US'!$B$63:$AA$113,(P$280+1),FALSE)*($AZ$69+$AZ$75)/(1+$AZ$41)^P$280</f>
        <v>1253.3483731315166</v>
      </c>
      <c r="Q308" s="106">
        <f>VLOOKUP($A308,'VKT US'!$B$63:$AA$113,(Q$280+1),FALSE)*($AZ$69+$AZ$75)/(1+$AZ$41)^Q$280</f>
        <v>1209.1095330865157</v>
      </c>
      <c r="R308" s="106">
        <f>VLOOKUP($A308,'VKT US'!$B$63:$AA$113,(R$280+1),FALSE)*($AZ$69+$AZ$75)/(1+$AZ$41)^R$280</f>
        <v>1167.3198248697975</v>
      </c>
      <c r="S308" s="106">
        <f>VLOOKUP($A308,'VKT US'!$B$63:$AA$113,(S$280+1),FALSE)*($AZ$69+$AZ$75)/(1+$AZ$41)^S$280</f>
        <v>1128.2980777972925</v>
      </c>
      <c r="T308" s="106">
        <f>VLOOKUP($A308,'VKT US'!$B$63:$AA$113,(T$280+1),FALSE)*($AZ$69+$AZ$75)/(1+$AZ$41)^T$280</f>
        <v>1091.576674082499</v>
      </c>
      <c r="U308" s="106">
        <f>VLOOKUP($A308,'VKT US'!$B$63:$AA$113,(U$280+1),FALSE)*($AZ$69+$AZ$75)/(1+$AZ$41)^U$280</f>
        <v>1057.4684990946814</v>
      </c>
      <c r="V308" s="110" cm="1">
        <f t="array" ref="V308">SUMPRODUCT(INDEX(B308:U308,,_xlfn.SEQUENCE($AZ$13)))</f>
        <v>23897.70082885434</v>
      </c>
    </row>
    <row r="309" spans="1:22" x14ac:dyDescent="0.25">
      <c r="A309" s="102" t="s">
        <v>212</v>
      </c>
      <c r="B309" s="106">
        <f>VLOOKUP($A309,'VKT US'!$B$63:$AA$113,(B$280+1),FALSE)*($AZ$69+$AZ$75)/(1+$AZ$41)^B$280</f>
        <v>1817.7938685625961</v>
      </c>
      <c r="C309" s="106">
        <f>VLOOKUP($A309,'VKT US'!$B$63:$AA$113,(C$280+1),FALSE)*($AZ$69+$AZ$75)/(1+$AZ$41)^C$280</f>
        <v>1742.8134686306403</v>
      </c>
      <c r="D309" s="106">
        <f>VLOOKUP($A309,'VKT US'!$B$63:$AA$113,(D$280+1),FALSE)*($AZ$69+$AZ$75)/(1+$AZ$41)^D$280</f>
        <v>1671.0214365421623</v>
      </c>
      <c r="E309" s="106">
        <f>VLOOKUP($A309,'VKT US'!$B$63:$AA$113,(E$280+1),FALSE)*($AZ$69+$AZ$75)/(1+$AZ$41)^E$280</f>
        <v>1602.459565868849</v>
      </c>
      <c r="F309" s="106">
        <f>VLOOKUP($A309,'VKT US'!$B$63:$AA$113,(F$280+1),FALSE)*($AZ$69+$AZ$75)/(1+$AZ$41)^F$280</f>
        <v>1536.9152117645256</v>
      </c>
      <c r="G309" s="106">
        <f>VLOOKUP($A309,'VKT US'!$B$63:$AA$113,(G$280+1),FALSE)*($AZ$69+$AZ$75)/(1+$AZ$41)^G$280</f>
        <v>1474.5544294512335</v>
      </c>
      <c r="H309" s="106">
        <f>VLOOKUP($A309,'VKT US'!$B$63:$AA$113,(H$280+1),FALSE)*($AZ$69+$AZ$75)/(1+$AZ$41)^H$280</f>
        <v>1414.9224483447051</v>
      </c>
      <c r="I309" s="106">
        <f>VLOOKUP($A309,'VKT US'!$B$63:$AA$113,(I$280+1),FALSE)*($AZ$69+$AZ$75)/(1+$AZ$41)^I$280</f>
        <v>1358.1873728627459</v>
      </c>
      <c r="J309" s="106">
        <f>VLOOKUP($A309,'VKT US'!$B$63:$AA$113,(J$280+1),FALSE)*($AZ$69+$AZ$75)/(1+$AZ$41)^J$280</f>
        <v>1304.2688462721858</v>
      </c>
      <c r="K309" s="106">
        <f>VLOOKUP($A309,'VKT US'!$B$63:$AA$113,(K$280+1),FALSE)*($AZ$69+$AZ$75)/(1+$AZ$41)^K$280</f>
        <v>1253.0882478413066</v>
      </c>
      <c r="L309" s="106">
        <f>VLOOKUP($A309,'VKT US'!$B$63:$AA$113,(L$280+1),FALSE)*($AZ$69+$AZ$75)/(1+$AZ$41)^L$280</f>
        <v>1204.4521866774651</v>
      </c>
      <c r="M309" s="106">
        <f>VLOOKUP($A309,'VKT US'!$B$63:$AA$113,(M$280+1),FALSE)*($AZ$69+$AZ$75)/(1+$AZ$41)^M$280</f>
        <v>1158.4046522389567</v>
      </c>
      <c r="N309" s="106">
        <f>VLOOKUP($A309,'VKT US'!$B$63:$AA$113,(N$280+1),FALSE)*($AZ$69+$AZ$75)/(1+$AZ$41)^N$280</f>
        <v>1114.7582611489995</v>
      </c>
      <c r="O309" s="106">
        <f>VLOOKUP($A309,'VKT US'!$B$63:$AA$113,(O$280+1),FALSE)*($AZ$69+$AZ$75)/(1+$AZ$41)^O$280</f>
        <v>1073.5573917677114</v>
      </c>
      <c r="P309" s="106">
        <f>VLOOKUP($A309,'VKT US'!$B$63:$AA$113,(P$280+1),FALSE)*($AZ$69+$AZ$75)/(1+$AZ$41)^P$280</f>
        <v>1034.6204821012877</v>
      </c>
      <c r="Q309" s="106">
        <f>VLOOKUP($A309,'VKT US'!$B$63:$AA$113,(Q$280+1),FALSE)*($AZ$69+$AZ$75)/(1+$AZ$41)^Q$280</f>
        <v>998.10197615660593</v>
      </c>
      <c r="R309" s="106">
        <f>VLOOKUP($A309,'VKT US'!$B$63:$AA$113,(R$280+1),FALSE)*($AZ$69+$AZ$75)/(1+$AZ$41)^R$280</f>
        <v>963.60519219060757</v>
      </c>
      <c r="S309" s="106">
        <f>VLOOKUP($A309,'VKT US'!$B$63:$AA$113,(S$280+1),FALSE)*($AZ$69+$AZ$75)/(1+$AZ$41)^S$280</f>
        <v>931.39331907210851</v>
      </c>
      <c r="T309" s="106">
        <f>VLOOKUP($A309,'VKT US'!$B$63:$AA$113,(T$280+1),FALSE)*($AZ$69+$AZ$75)/(1+$AZ$41)^T$280</f>
        <v>901.08034525788491</v>
      </c>
      <c r="U309" s="106">
        <f>VLOOKUP($A309,'VKT US'!$B$63:$AA$113,(U$280+1),FALSE)*($AZ$69+$AZ$75)/(1+$AZ$41)^U$280</f>
        <v>872.92455297698814</v>
      </c>
      <c r="V309" s="110" cm="1">
        <f t="array" ref="V309">SUMPRODUCT(INDEX(B309:U309,,_xlfn.SEQUENCE($AZ$13)))</f>
        <v>19727.19738797408</v>
      </c>
    </row>
    <row r="310" spans="1:22" x14ac:dyDescent="0.25">
      <c r="A310" s="102" t="s">
        <v>213</v>
      </c>
      <c r="B310" s="106">
        <f>VLOOKUP($A310,'VKT US'!$B$63:$AA$113,(B$280+1),FALSE)*($AZ$69+$AZ$75)/(1+$AZ$41)^B$280</f>
        <v>1926.6729654436574</v>
      </c>
      <c r="C310" s="106">
        <f>VLOOKUP($A310,'VKT US'!$B$63:$AA$113,(C$280+1),FALSE)*($AZ$69+$AZ$75)/(1+$AZ$41)^C$280</f>
        <v>1847.2015182210494</v>
      </c>
      <c r="D310" s="106">
        <f>VLOOKUP($A310,'VKT US'!$B$63:$AA$113,(D$280+1),FALSE)*($AZ$69+$AZ$75)/(1+$AZ$41)^D$280</f>
        <v>1771.1094102261484</v>
      </c>
      <c r="E310" s="106">
        <f>VLOOKUP($A310,'VKT US'!$B$63:$AA$113,(E$280+1),FALSE)*($AZ$69+$AZ$75)/(1+$AZ$41)^E$280</f>
        <v>1698.4409383102588</v>
      </c>
      <c r="F310" s="106">
        <f>VLOOKUP($A310,'VKT US'!$B$63:$AA$113,(F$280+1),FALSE)*($AZ$69+$AZ$75)/(1+$AZ$41)^F$280</f>
        <v>1628.9707209912167</v>
      </c>
      <c r="G310" s="106">
        <f>VLOOKUP($A310,'VKT US'!$B$63:$AA$113,(G$280+1),FALSE)*($AZ$69+$AZ$75)/(1+$AZ$41)^G$280</f>
        <v>1562.8747595817181</v>
      </c>
      <c r="H310" s="106">
        <f>VLOOKUP($A310,'VKT US'!$B$63:$AA$113,(H$280+1),FALSE)*($AZ$69+$AZ$75)/(1+$AZ$41)^H$280</f>
        <v>1499.6710444296559</v>
      </c>
      <c r="I310" s="106">
        <f>VLOOKUP($A310,'VKT US'!$B$63:$AA$113,(I$280+1),FALSE)*($AZ$69+$AZ$75)/(1+$AZ$41)^I$280</f>
        <v>1439.5377487827011</v>
      </c>
      <c r="J310" s="106">
        <f>VLOOKUP($A310,'VKT US'!$B$63:$AA$113,(J$280+1),FALSE)*($AZ$69+$AZ$75)/(1+$AZ$41)^J$280</f>
        <v>1382.3897028380134</v>
      </c>
      <c r="K310" s="106">
        <f>VLOOKUP($A310,'VKT US'!$B$63:$AA$113,(K$280+1),FALSE)*($AZ$69+$AZ$75)/(1+$AZ$41)^K$280</f>
        <v>1328.1435767742387</v>
      </c>
      <c r="L310" s="106">
        <f>VLOOKUP($A310,'VKT US'!$B$63:$AA$113,(L$280+1),FALSE)*($AZ$69+$AZ$75)/(1+$AZ$41)^L$280</f>
        <v>1276.594396303004</v>
      </c>
      <c r="M310" s="106">
        <f>VLOOKUP($A310,'VKT US'!$B$63:$AA$113,(M$280+1),FALSE)*($AZ$69+$AZ$75)/(1+$AZ$41)^M$280</f>
        <v>1227.7887856876685</v>
      </c>
      <c r="N310" s="106">
        <f>VLOOKUP($A310,'VKT US'!$B$63:$AA$113,(N$280+1),FALSE)*($AZ$69+$AZ$75)/(1+$AZ$41)^N$280</f>
        <v>1181.5281379835938</v>
      </c>
      <c r="O310" s="106">
        <f>VLOOKUP($A310,'VKT US'!$B$63:$AA$113,(O$280+1),FALSE)*($AZ$69+$AZ$75)/(1+$AZ$41)^O$280</f>
        <v>1137.8594896497359</v>
      </c>
      <c r="P310" s="106">
        <f>VLOOKUP($A310,'VKT US'!$B$63:$AA$113,(P$280+1),FALSE)*($AZ$69+$AZ$75)/(1+$AZ$41)^P$280</f>
        <v>1096.5904038036379</v>
      </c>
      <c r="Q310" s="106">
        <f>VLOOKUP($A310,'VKT US'!$B$63:$AA$113,(Q$280+1),FALSE)*($AZ$69+$AZ$75)/(1+$AZ$41)^Q$280</f>
        <v>1057.8845750741971</v>
      </c>
      <c r="R310" s="106">
        <f>VLOOKUP($A310,'VKT US'!$B$63:$AA$113,(R$280+1),FALSE)*($AZ$69+$AZ$75)/(1+$AZ$41)^R$280</f>
        <v>1021.3215619562163</v>
      </c>
      <c r="S310" s="106">
        <f>VLOOKUP($A310,'VKT US'!$B$63:$AA$113,(S$280+1),FALSE)*($AZ$69+$AZ$75)/(1+$AZ$41)^S$280</f>
        <v>987.18031735361001</v>
      </c>
      <c r="T310" s="106">
        <f>VLOOKUP($A310,'VKT US'!$B$63:$AA$113,(T$280+1),FALSE)*($AZ$69+$AZ$75)/(1+$AZ$41)^T$280</f>
        <v>955.05170906633032</v>
      </c>
      <c r="U310" s="106">
        <f>VLOOKUP($A310,'VKT US'!$B$63:$AA$113,(U$280+1),FALSE)*($AZ$69+$AZ$75)/(1+$AZ$41)^U$280</f>
        <v>925.20948946904105</v>
      </c>
      <c r="V310" s="110" cm="1">
        <f t="array" ref="V310">SUMPRODUCT(INDEX(B310:U310,,_xlfn.SEQUENCE($AZ$13)))</f>
        <v>20908.783195222659</v>
      </c>
    </row>
    <row r="311" spans="1:22" x14ac:dyDescent="0.25">
      <c r="A311" s="102" t="s">
        <v>214</v>
      </c>
      <c r="B311" s="106">
        <f>VLOOKUP($A311,'VKT US'!$B$63:$AA$113,(B$280+1),FALSE)*($AZ$69+$AZ$75)/(1+$AZ$41)^B$280</f>
        <v>3009.8078772734361</v>
      </c>
      <c r="C311" s="106">
        <f>VLOOKUP($A311,'VKT US'!$B$63:$AA$113,(C$280+1),FALSE)*($AZ$69+$AZ$75)/(1+$AZ$41)^C$280</f>
        <v>2885.6592583022625</v>
      </c>
      <c r="D311" s="106">
        <f>VLOOKUP($A311,'VKT US'!$B$63:$AA$113,(D$280+1),FALSE)*($AZ$69+$AZ$75)/(1+$AZ$41)^D$280</f>
        <v>2766.7897718096974</v>
      </c>
      <c r="E311" s="106">
        <f>VLOOKUP($A311,'VKT US'!$B$63:$AA$113,(E$280+1),FALSE)*($AZ$69+$AZ$75)/(1+$AZ$41)^E$280</f>
        <v>2653.2686174027253</v>
      </c>
      <c r="F311" s="106">
        <f>VLOOKUP($A311,'VKT US'!$B$63:$AA$113,(F$280+1),FALSE)*($AZ$69+$AZ$75)/(1+$AZ$41)^F$280</f>
        <v>2544.7437088827155</v>
      </c>
      <c r="G311" s="106">
        <f>VLOOKUP($A311,'VKT US'!$B$63:$AA$113,(G$280+1),FALSE)*($AZ$69+$AZ$75)/(1+$AZ$41)^G$280</f>
        <v>2441.4899917888747</v>
      </c>
      <c r="H311" s="106">
        <f>VLOOKUP($A311,'VKT US'!$B$63:$AA$113,(H$280+1),FALSE)*($AZ$69+$AZ$75)/(1+$AZ$41)^H$280</f>
        <v>2342.7544808072184</v>
      </c>
      <c r="I311" s="106">
        <f>VLOOKUP($A311,'VKT US'!$B$63:$AA$113,(I$280+1),FALSE)*($AZ$69+$AZ$75)/(1+$AZ$41)^I$280</f>
        <v>2248.8155144279708</v>
      </c>
      <c r="J311" s="106">
        <f>VLOOKUP($A311,'VKT US'!$B$63:$AA$113,(J$280+1),FALSE)*($AZ$69+$AZ$75)/(1+$AZ$41)^J$280</f>
        <v>2159.5400421811814</v>
      </c>
      <c r="K311" s="106">
        <f>VLOOKUP($A311,'VKT US'!$B$63:$AA$113,(K$280+1),FALSE)*($AZ$69+$AZ$75)/(1+$AZ$41)^K$280</f>
        <v>2074.7978879771745</v>
      </c>
      <c r="L311" s="106">
        <f>VLOOKUP($A311,'VKT US'!$B$63:$AA$113,(L$280+1),FALSE)*($AZ$69+$AZ$75)/(1+$AZ$41)^L$280</f>
        <v>1994.2688453051169</v>
      </c>
      <c r="M311" s="106">
        <f>VLOOKUP($A311,'VKT US'!$B$63:$AA$113,(M$280+1),FALSE)*($AZ$69+$AZ$75)/(1+$AZ$41)^M$280</f>
        <v>1918.025749606024</v>
      </c>
      <c r="N311" s="106">
        <f>VLOOKUP($A311,'VKT US'!$B$63:$AA$113,(N$280+1),FALSE)*($AZ$69+$AZ$75)/(1+$AZ$41)^N$280</f>
        <v>1845.7583412991687</v>
      </c>
      <c r="O311" s="106">
        <f>VLOOKUP($A311,'VKT US'!$B$63:$AA$113,(O$280+1),FALSE)*($AZ$69+$AZ$75)/(1+$AZ$41)^O$280</f>
        <v>1777.5400997488371</v>
      </c>
      <c r="P311" s="106">
        <f>VLOOKUP($A311,'VKT US'!$B$63:$AA$113,(P$280+1),FALSE)*($AZ$69+$AZ$75)/(1+$AZ$41)^P$280</f>
        <v>1713.0704041153297</v>
      </c>
      <c r="Q311" s="106">
        <f>VLOOKUP($A311,'VKT US'!$B$63:$AA$113,(Q$280+1),FALSE)*($AZ$69+$AZ$75)/(1+$AZ$41)^Q$280</f>
        <v>1652.6049746959463</v>
      </c>
      <c r="R311" s="106">
        <f>VLOOKUP($A311,'VKT US'!$B$63:$AA$113,(R$280+1),FALSE)*($AZ$69+$AZ$75)/(1+$AZ$41)^R$280</f>
        <v>1595.4870066374649</v>
      </c>
      <c r="S311" s="106">
        <f>VLOOKUP($A311,'VKT US'!$B$63:$AA$113,(S$280+1),FALSE)*($AZ$69+$AZ$75)/(1+$AZ$41)^S$280</f>
        <v>1542.1522742838706</v>
      </c>
      <c r="T311" s="106">
        <f>VLOOKUP($A311,'VKT US'!$B$63:$AA$113,(T$280+1),FALSE)*($AZ$69+$AZ$75)/(1+$AZ$41)^T$280</f>
        <v>1491.9616399399567</v>
      </c>
      <c r="U311" s="106">
        <f>VLOOKUP($A311,'VKT US'!$B$63:$AA$113,(U$280+1),FALSE)*($AZ$69+$AZ$75)/(1+$AZ$41)^U$280</f>
        <v>1445.3427537925811</v>
      </c>
      <c r="V311" s="110" cm="1">
        <f t="array" ref="V311">SUMPRODUCT(INDEX(B311:U311,,_xlfn.SEQUENCE($AZ$13)))</f>
        <v>32663.260186812404</v>
      </c>
    </row>
    <row r="312" spans="1:22" x14ac:dyDescent="0.25">
      <c r="A312" s="102" t="s">
        <v>216</v>
      </c>
      <c r="B312" s="106">
        <f>VLOOKUP($A312,'VKT US'!$B$63:$AA$113,(B$280+1),FALSE)*($AZ$69+$AZ$75)/(1+$AZ$41)^B$280</f>
        <v>1597.3647590039682</v>
      </c>
      <c r="C312" s="106">
        <f>VLOOKUP($A312,'VKT US'!$B$63:$AA$113,(C$280+1),FALSE)*($AZ$69+$AZ$75)/(1+$AZ$41)^C$280</f>
        <v>1531.4766236445739</v>
      </c>
      <c r="D312" s="106">
        <f>VLOOKUP($A312,'VKT US'!$B$63:$AA$113,(D$280+1),FALSE)*($AZ$69+$AZ$75)/(1+$AZ$41)^D$280</f>
        <v>1468.3902286364878</v>
      </c>
      <c r="E312" s="106">
        <f>VLOOKUP($A312,'VKT US'!$B$63:$AA$113,(E$280+1),FALSE)*($AZ$69+$AZ$75)/(1+$AZ$41)^E$280</f>
        <v>1408.1422995841474</v>
      </c>
      <c r="F312" s="106">
        <f>VLOOKUP($A312,'VKT US'!$B$63:$AA$113,(F$280+1),FALSE)*($AZ$69+$AZ$75)/(1+$AZ$41)^F$280</f>
        <v>1350.5459773560876</v>
      </c>
      <c r="G312" s="106">
        <f>VLOOKUP($A312,'VKT US'!$B$63:$AA$113,(G$280+1),FALSE)*($AZ$69+$AZ$75)/(1+$AZ$41)^G$280</f>
        <v>1295.7471810052457</v>
      </c>
      <c r="H312" s="106">
        <f>VLOOKUP($A312,'VKT US'!$B$63:$AA$113,(H$280+1),FALSE)*($AZ$69+$AZ$75)/(1+$AZ$41)^H$280</f>
        <v>1243.3462862852737</v>
      </c>
      <c r="I312" s="106">
        <f>VLOOKUP($A312,'VKT US'!$B$63:$AA$113,(I$280+1),FALSE)*($AZ$69+$AZ$75)/(1+$AZ$41)^I$280</f>
        <v>1193.4910129555349</v>
      </c>
      <c r="J312" s="106">
        <f>VLOOKUP($A312,'VKT US'!$B$63:$AA$113,(J$280+1),FALSE)*($AZ$69+$AZ$75)/(1+$AZ$41)^J$280</f>
        <v>1146.1107484917297</v>
      </c>
      <c r="K312" s="106">
        <f>VLOOKUP($A312,'VKT US'!$B$63:$AA$113,(K$280+1),FALSE)*($AZ$69+$AZ$75)/(1+$AZ$41)^K$280</f>
        <v>1101.1364058602044</v>
      </c>
      <c r="L312" s="106">
        <f>VLOOKUP($A312,'VKT US'!$B$63:$AA$113,(L$280+1),FALSE)*($AZ$69+$AZ$75)/(1+$AZ$41)^L$280</f>
        <v>1058.3980451123414</v>
      </c>
      <c r="M312" s="106">
        <f>VLOOKUP($A312,'VKT US'!$B$63:$AA$113,(M$280+1),FALSE)*($AZ$69+$AZ$75)/(1+$AZ$41)^M$280</f>
        <v>1017.9343214618385</v>
      </c>
      <c r="N312" s="106">
        <f>VLOOKUP($A312,'VKT US'!$B$63:$AA$113,(N$280+1),FALSE)*($AZ$69+$AZ$75)/(1+$AZ$41)^N$280</f>
        <v>979.58057399324775</v>
      </c>
      <c r="O312" s="106">
        <f>VLOOKUP($A312,'VKT US'!$B$63:$AA$113,(O$280+1),FALSE)*($AZ$69+$AZ$75)/(1+$AZ$41)^O$280</f>
        <v>943.37579966312205</v>
      </c>
      <c r="P312" s="106">
        <f>VLOOKUP($A312,'VKT US'!$B$63:$AA$113,(P$280+1),FALSE)*($AZ$69+$AZ$75)/(1+$AZ$41)^P$280</f>
        <v>909.16045302712098</v>
      </c>
      <c r="Q312" s="106">
        <f>VLOOKUP($A312,'VKT US'!$B$63:$AA$113,(Q$280+1),FALSE)*($AZ$69+$AZ$75)/(1+$AZ$41)^Q$280</f>
        <v>877.07024992084814</v>
      </c>
      <c r="R312" s="106">
        <f>VLOOKUP($A312,'VKT US'!$B$63:$AA$113,(R$280+1),FALSE)*($AZ$69+$AZ$75)/(1+$AZ$41)^R$280</f>
        <v>846.75661097682871</v>
      </c>
      <c r="S312" s="106">
        <f>VLOOKUP($A312,'VKT US'!$B$63:$AA$113,(S$280+1),FALSE)*($AZ$69+$AZ$75)/(1+$AZ$41)^S$280</f>
        <v>818.45081028574998</v>
      </c>
      <c r="T312" s="106">
        <f>VLOOKUP($A312,'VKT US'!$B$63:$AA$113,(T$280+1),FALSE)*($AZ$69+$AZ$75)/(1+$AZ$41)^T$280</f>
        <v>791.8136447914361</v>
      </c>
      <c r="U312" s="106">
        <f>VLOOKUP($A312,'VKT US'!$B$63:$AA$113,(U$280+1),FALSE)*($AZ$69+$AZ$75)/(1+$AZ$41)^U$280</f>
        <v>767.07207693319265</v>
      </c>
      <c r="V312" s="110" cm="1">
        <f t="array" ref="V312">SUMPRODUCT(INDEX(B312:U312,,_xlfn.SEQUENCE($AZ$13)))</f>
        <v>17335.040263053805</v>
      </c>
    </row>
    <row r="313" spans="1:22" x14ac:dyDescent="0.25">
      <c r="A313" s="102" t="s">
        <v>209</v>
      </c>
      <c r="B313" s="106">
        <f>VLOOKUP($A313,'VKT US'!$B$63:$AA$113,(B$280+1),FALSE)*($AZ$69+$AZ$75)/(1+$AZ$41)^B$280</f>
        <v>2525.2723292486266</v>
      </c>
      <c r="C313" s="106">
        <f>VLOOKUP($A313,'VKT US'!$B$63:$AA$113,(C$280+1),FALSE)*($AZ$69+$AZ$75)/(1+$AZ$41)^C$280</f>
        <v>2421.1098428090131</v>
      </c>
      <c r="D313" s="106">
        <f>VLOOKUP($A313,'VKT US'!$B$63:$AA$113,(D$280+1),FALSE)*($AZ$69+$AZ$75)/(1+$AZ$41)^D$280</f>
        <v>2321.3766248523921</v>
      </c>
      <c r="E313" s="106">
        <f>VLOOKUP($A313,'VKT US'!$B$63:$AA$113,(E$280+1),FALSE)*($AZ$69+$AZ$75)/(1+$AZ$41)^E$280</f>
        <v>2226.1307348496116</v>
      </c>
      <c r="F313" s="106">
        <f>VLOOKUP($A313,'VKT US'!$B$63:$AA$113,(F$280+1),FALSE)*($AZ$69+$AZ$75)/(1+$AZ$41)^F$280</f>
        <v>2135.0767673890423</v>
      </c>
      <c r="G313" s="106">
        <f>VLOOKUP($A313,'VKT US'!$B$63:$AA$113,(G$280+1),FALSE)*($AZ$69+$AZ$75)/(1+$AZ$41)^G$280</f>
        <v>2048.4454057536454</v>
      </c>
      <c r="H313" s="106">
        <f>VLOOKUP($A313,'VKT US'!$B$63:$AA$113,(H$280+1),FALSE)*($AZ$69+$AZ$75)/(1+$AZ$41)^H$280</f>
        <v>1965.6048843772207</v>
      </c>
      <c r="I313" s="106">
        <f>VLOOKUP($A313,'VKT US'!$B$63:$AA$113,(I$280+1),FALSE)*($AZ$69+$AZ$75)/(1+$AZ$41)^I$280</f>
        <v>1886.7887332776934</v>
      </c>
      <c r="J313" s="106">
        <f>VLOOKUP($A313,'VKT US'!$B$63:$AA$113,(J$280+1),FALSE)*($AZ$69+$AZ$75)/(1+$AZ$41)^J$280</f>
        <v>1811.8853211869355</v>
      </c>
      <c r="K313" s="106">
        <f>VLOOKUP($A313,'VKT US'!$B$63:$AA$113,(K$280+1),FALSE)*($AZ$69+$AZ$75)/(1+$AZ$41)^K$280</f>
        <v>1740.785428483433</v>
      </c>
      <c r="L313" s="106">
        <f>VLOOKUP($A313,'VKT US'!$B$63:$AA$113,(L$280+1),FALSE)*($AZ$69+$AZ$75)/(1+$AZ$41)^L$280</f>
        <v>1673.2203972745806</v>
      </c>
      <c r="M313" s="106">
        <f>VLOOKUP($A313,'VKT US'!$B$63:$AA$113,(M$280+1),FALSE)*($AZ$69+$AZ$75)/(1+$AZ$41)^M$280</f>
        <v>1609.2513375485526</v>
      </c>
      <c r="N313" s="106">
        <f>VLOOKUP($A313,'VKT US'!$B$63:$AA$113,(N$280+1),FALSE)*($AZ$69+$AZ$75)/(1+$AZ$41)^N$280</f>
        <v>1548.6179370309308</v>
      </c>
      <c r="O313" s="106">
        <f>VLOOKUP($A313,'VKT US'!$B$63:$AA$113,(O$280+1),FALSE)*($AZ$69+$AZ$75)/(1+$AZ$41)^O$280</f>
        <v>1491.3818459708232</v>
      </c>
      <c r="P313" s="106">
        <f>VLOOKUP($A313,'VKT US'!$B$63:$AA$113,(P$280+1),FALSE)*($AZ$69+$AZ$75)/(1+$AZ$41)^P$280</f>
        <v>1437.2908391369053</v>
      </c>
      <c r="Q313" s="106">
        <f>VLOOKUP($A313,'VKT US'!$B$63:$AA$113,(Q$280+1),FALSE)*($AZ$69+$AZ$75)/(1+$AZ$41)^Q$280</f>
        <v>1386.5594695561908</v>
      </c>
      <c r="R313" s="106">
        <f>VLOOKUP($A313,'VKT US'!$B$63:$AA$113,(R$280+1),FALSE)*($AZ$69+$AZ$75)/(1+$AZ$41)^R$280</f>
        <v>1338.6366684597783</v>
      </c>
      <c r="S313" s="106">
        <f>VLOOKUP($A313,'VKT US'!$B$63:$AA$113,(S$280+1),FALSE)*($AZ$69+$AZ$75)/(1+$AZ$41)^S$280</f>
        <v>1293.8880568233362</v>
      </c>
      <c r="T313" s="106">
        <f>VLOOKUP($A313,'VKT US'!$B$63:$AA$113,(T$280+1),FALSE)*($AZ$69+$AZ$75)/(1+$AZ$41)^T$280</f>
        <v>1251.7773888789959</v>
      </c>
      <c r="U313" s="106">
        <f>VLOOKUP($A313,'VKT US'!$B$63:$AA$113,(U$280+1),FALSE)*($AZ$69+$AZ$75)/(1+$AZ$41)^U$280</f>
        <v>1212.6634693171247</v>
      </c>
      <c r="V313" s="110" cm="1">
        <f t="array" ref="V313">SUMPRODUCT(INDEX(B313:U313,,_xlfn.SEQUENCE($AZ$13)))</f>
        <v>27404.947590052499</v>
      </c>
    </row>
    <row r="314" spans="1:22" x14ac:dyDescent="0.25">
      <c r="A314" s="102" t="s">
        <v>210</v>
      </c>
      <c r="B314" s="106">
        <f>VLOOKUP($A314,'VKT US'!$B$63:$AA$113,(B$280+1),FALSE)*($AZ$69+$AZ$75)/(1+$AZ$41)^B$280</f>
        <v>2776.3384141201068</v>
      </c>
      <c r="C314" s="106">
        <f>VLOOKUP($A314,'VKT US'!$B$63:$AA$113,(C$280+1),FALSE)*($AZ$69+$AZ$75)/(1+$AZ$41)^C$280</f>
        <v>2661.8199485023374</v>
      </c>
      <c r="D314" s="106">
        <f>VLOOKUP($A314,'VKT US'!$B$63:$AA$113,(D$280+1),FALSE)*($AZ$69+$AZ$75)/(1+$AZ$41)^D$280</f>
        <v>2552.1711153964175</v>
      </c>
      <c r="E314" s="106">
        <f>VLOOKUP($A314,'VKT US'!$B$63:$AA$113,(E$280+1),FALSE)*($AZ$69+$AZ$75)/(1+$AZ$41)^E$280</f>
        <v>2447.4557466264851</v>
      </c>
      <c r="F314" s="106">
        <f>VLOOKUP($A314,'VKT US'!$B$63:$AA$113,(F$280+1),FALSE)*($AZ$69+$AZ$75)/(1+$AZ$41)^F$280</f>
        <v>2347.3490671642985</v>
      </c>
      <c r="G314" s="106">
        <f>VLOOKUP($A314,'VKT US'!$B$63:$AA$113,(G$280+1),FALSE)*($AZ$69+$AZ$75)/(1+$AZ$41)^G$280</f>
        <v>2252.1046951454405</v>
      </c>
      <c r="H314" s="106">
        <f>VLOOKUP($A314,'VKT US'!$B$63:$AA$113,(H$280+1),FALSE)*($AZ$69+$AZ$75)/(1+$AZ$41)^H$280</f>
        <v>2161.0280539930236</v>
      </c>
      <c r="I314" s="106">
        <f>VLOOKUP($A314,'VKT US'!$B$63:$AA$113,(I$280+1),FALSE)*($AZ$69+$AZ$75)/(1+$AZ$41)^I$280</f>
        <v>2074.3758916039396</v>
      </c>
      <c r="J314" s="106">
        <f>VLOOKUP($A314,'VKT US'!$B$63:$AA$113,(J$280+1),FALSE)*($AZ$69+$AZ$75)/(1+$AZ$41)^J$280</f>
        <v>1992.0254781742262</v>
      </c>
      <c r="K314" s="106">
        <f>VLOOKUP($A314,'VKT US'!$B$63:$AA$113,(K$280+1),FALSE)*($AZ$69+$AZ$75)/(1+$AZ$41)^K$280</f>
        <v>1913.856735315793</v>
      </c>
      <c r="L314" s="106">
        <f>VLOOKUP($A314,'VKT US'!$B$63:$AA$113,(L$280+1),FALSE)*($AZ$69+$AZ$75)/(1+$AZ$41)^L$280</f>
        <v>1839.5742947949427</v>
      </c>
      <c r="M314" s="106">
        <f>VLOOKUP($A314,'VKT US'!$B$63:$AA$113,(M$280+1),FALSE)*($AZ$69+$AZ$75)/(1+$AZ$41)^M$280</f>
        <v>1769.2453422398103</v>
      </c>
      <c r="N314" s="106">
        <f>VLOOKUP($A314,'VKT US'!$B$63:$AA$113,(N$280+1),FALSE)*($AZ$69+$AZ$75)/(1+$AZ$41)^N$280</f>
        <v>1702.5836847678452</v>
      </c>
      <c r="O314" s="106">
        <f>VLOOKUP($A314,'VKT US'!$B$63:$AA$113,(O$280+1),FALSE)*($AZ$69+$AZ$75)/(1+$AZ$41)^O$280</f>
        <v>1639.6571019816099</v>
      </c>
      <c r="P314" s="106">
        <f>VLOOKUP($A314,'VKT US'!$B$63:$AA$113,(P$280+1),FALSE)*($AZ$69+$AZ$75)/(1+$AZ$41)^P$280</f>
        <v>1580.1882920667113</v>
      </c>
      <c r="Q314" s="106">
        <f>VLOOKUP($A314,'VKT US'!$B$63:$AA$113,(Q$280+1),FALSE)*($AZ$69+$AZ$75)/(1+$AZ$41)^Q$280</f>
        <v>1524.4131392103186</v>
      </c>
      <c r="R314" s="106">
        <f>VLOOKUP($A314,'VKT US'!$B$63:$AA$113,(R$280+1),FALSE)*($AZ$69+$AZ$75)/(1+$AZ$41)^R$280</f>
        <v>1471.72578662059</v>
      </c>
      <c r="S314" s="106">
        <f>VLOOKUP($A314,'VKT US'!$B$63:$AA$113,(S$280+1),FALSE)*($AZ$69+$AZ$75)/(1+$AZ$41)^S$280</f>
        <v>1422.5282058187754</v>
      </c>
      <c r="T314" s="106">
        <f>VLOOKUP($A314,'VKT US'!$B$63:$AA$113,(T$280+1),FALSE)*($AZ$69+$AZ$75)/(1+$AZ$41)^T$280</f>
        <v>1376.2308367374314</v>
      </c>
      <c r="U314" s="106">
        <f>VLOOKUP($A314,'VKT US'!$B$63:$AA$113,(U$280+1),FALSE)*($AZ$69+$AZ$75)/(1+$AZ$41)^U$280</f>
        <v>1333.228156927948</v>
      </c>
      <c r="V314" s="110" cm="1">
        <f t="array" ref="V314">SUMPRODUCT(INDEX(B314:U314,,_xlfn.SEQUENCE($AZ$13)))</f>
        <v>30129.585569826279</v>
      </c>
    </row>
    <row r="315" spans="1:22" x14ac:dyDescent="0.25">
      <c r="A315" s="102" t="s">
        <v>217</v>
      </c>
      <c r="B315" s="106">
        <f>VLOOKUP($A315,'VKT US'!$B$63:$AA$113,(B$280+1),FALSE)*($AZ$69+$AZ$75)/(1+$AZ$41)^B$280</f>
        <v>2243.2550436764686</v>
      </c>
      <c r="C315" s="106">
        <f>VLOOKUP($A315,'VKT US'!$B$63:$AA$113,(C$280+1),FALSE)*($AZ$69+$AZ$75)/(1+$AZ$41)^C$280</f>
        <v>2150.7252121960487</v>
      </c>
      <c r="D315" s="106">
        <f>VLOOKUP($A315,'VKT US'!$B$63:$AA$113,(D$280+1),FALSE)*($AZ$69+$AZ$75)/(1+$AZ$41)^D$280</f>
        <v>2062.129997489109</v>
      </c>
      <c r="E315" s="106">
        <f>VLOOKUP($A315,'VKT US'!$B$63:$AA$113,(E$280+1),FALSE)*($AZ$69+$AZ$75)/(1+$AZ$41)^E$280</f>
        <v>1977.5209750626989</v>
      </c>
      <c r="F315" s="106">
        <f>VLOOKUP($A315,'VKT US'!$B$63:$AA$113,(F$280+1),FALSE)*($AZ$69+$AZ$75)/(1+$AZ$41)^F$280</f>
        <v>1896.6357297816678</v>
      </c>
      <c r="G315" s="106">
        <f>VLOOKUP($A315,'VKT US'!$B$63:$AA$113,(G$280+1),FALSE)*($AZ$69+$AZ$75)/(1+$AZ$41)^G$280</f>
        <v>1819.6791826883937</v>
      </c>
      <c r="H315" s="106">
        <f>VLOOKUP($A315,'VKT US'!$B$63:$AA$113,(H$280+1),FALSE)*($AZ$69+$AZ$75)/(1+$AZ$41)^H$280</f>
        <v>1746.0901225121606</v>
      </c>
      <c r="I315" s="106">
        <f>VLOOKUP($A315,'VKT US'!$B$63:$AA$113,(I$280+1),FALSE)*($AZ$69+$AZ$75)/(1+$AZ$41)^I$280</f>
        <v>1676.07599911273</v>
      </c>
      <c r="J315" s="106">
        <f>VLOOKUP($A315,'VKT US'!$B$63:$AA$113,(J$280+1),FALSE)*($AZ$69+$AZ$75)/(1+$AZ$41)^J$280</f>
        <v>1609.5376479753043</v>
      </c>
      <c r="K315" s="106">
        <f>VLOOKUP($A315,'VKT US'!$B$63:$AA$113,(K$280+1),FALSE)*($AZ$69+$AZ$75)/(1+$AZ$41)^K$280</f>
        <v>1546.3780469039045</v>
      </c>
      <c r="L315" s="106">
        <f>VLOOKUP($A315,'VKT US'!$B$63:$AA$113,(L$280+1),FALSE)*($AZ$69+$AZ$75)/(1+$AZ$41)^L$280</f>
        <v>1486.3585411737986</v>
      </c>
      <c r="M315" s="106">
        <f>VLOOKUP($A315,'VKT US'!$B$63:$AA$113,(M$280+1),FALSE)*($AZ$69+$AZ$75)/(1+$AZ$41)^M$280</f>
        <v>1429.5334161337792</v>
      </c>
      <c r="N315" s="106">
        <f>VLOOKUP($A315,'VKT US'!$B$63:$AA$113,(N$280+1),FALSE)*($AZ$69+$AZ$75)/(1+$AZ$41)^N$280</f>
        <v>1375.6714306556105</v>
      </c>
      <c r="O315" s="106">
        <f>VLOOKUP($A315,'VKT US'!$B$63:$AA$113,(O$280+1),FALSE)*($AZ$69+$AZ$75)/(1+$AZ$41)^O$280</f>
        <v>1324.8273500137755</v>
      </c>
      <c r="P315" s="106">
        <f>VLOOKUP($A315,'VKT US'!$B$63:$AA$113,(P$280+1),FALSE)*($AZ$69+$AZ$75)/(1+$AZ$41)^P$280</f>
        <v>1276.777116978581</v>
      </c>
      <c r="Q315" s="106">
        <f>VLOOKUP($A315,'VKT US'!$B$63:$AA$113,(Q$280+1),FALSE)*($AZ$69+$AZ$75)/(1+$AZ$41)^Q$280</f>
        <v>1231.7113237306844</v>
      </c>
      <c r="R315" s="106">
        <f>VLOOKUP($A315,'VKT US'!$B$63:$AA$113,(R$280+1),FALSE)*($AZ$69+$AZ$75)/(1+$AZ$41)^R$280</f>
        <v>1189.1404437422209</v>
      </c>
      <c r="S315" s="106">
        <f>VLOOKUP($A315,'VKT US'!$B$63:$AA$113,(S$280+1),FALSE)*($AZ$69+$AZ$75)/(1+$AZ$41)^S$280</f>
        <v>1149.3892661807749</v>
      </c>
      <c r="T315" s="106">
        <f>VLOOKUP($A315,'VKT US'!$B$63:$AA$113,(T$280+1),FALSE)*($AZ$69+$AZ$75)/(1+$AZ$41)^T$280</f>
        <v>1111.9814321168608</v>
      </c>
      <c r="U315" s="106">
        <f>VLOOKUP($A315,'VKT US'!$B$63:$AA$113,(U$280+1),FALSE)*($AZ$69+$AZ$75)/(1+$AZ$41)^U$280</f>
        <v>1077.2356756616628</v>
      </c>
      <c r="V315" s="110" cm="1">
        <f t="array" ref="V315">SUMPRODUCT(INDEX(B315:U315,,_xlfn.SEQUENCE($AZ$13)))</f>
        <v>24344.418695375447</v>
      </c>
    </row>
    <row r="316" spans="1:22" x14ac:dyDescent="0.25">
      <c r="A316" s="102" t="s">
        <v>218</v>
      </c>
      <c r="B316" s="106">
        <f>VLOOKUP($A316,'VKT US'!$B$63:$AA$113,(B$280+1),FALSE)*($AZ$69+$AZ$75)/(1+$AZ$41)^B$280</f>
        <v>2780.7375695496444</v>
      </c>
      <c r="C316" s="106">
        <f>VLOOKUP($A316,'VKT US'!$B$63:$AA$113,(C$280+1),FALSE)*($AZ$69+$AZ$75)/(1+$AZ$41)^C$280</f>
        <v>2666.0376474756877</v>
      </c>
      <c r="D316" s="106">
        <f>VLOOKUP($A316,'VKT US'!$B$63:$AA$113,(D$280+1),FALSE)*($AZ$69+$AZ$75)/(1+$AZ$41)^D$280</f>
        <v>2556.2150739291042</v>
      </c>
      <c r="E316" s="106">
        <f>VLOOKUP($A316,'VKT US'!$B$63:$AA$113,(E$280+1),FALSE)*($AZ$69+$AZ$75)/(1+$AZ$41)^E$280</f>
        <v>2451.3337818766427</v>
      </c>
      <c r="F316" s="106">
        <f>VLOOKUP($A316,'VKT US'!$B$63:$AA$113,(F$280+1),FALSE)*($AZ$69+$AZ$75)/(1+$AZ$41)^F$280</f>
        <v>2351.0684816785083</v>
      </c>
      <c r="G316" s="106">
        <f>VLOOKUP($A316,'VKT US'!$B$63:$AA$113,(G$280+1),FALSE)*($AZ$69+$AZ$75)/(1+$AZ$41)^G$280</f>
        <v>2255.6731933325309</v>
      </c>
      <c r="H316" s="106">
        <f>VLOOKUP($A316,'VKT US'!$B$63:$AA$113,(H$280+1),FALSE)*($AZ$69+$AZ$75)/(1+$AZ$41)^H$280</f>
        <v>2164.4522396934258</v>
      </c>
      <c r="I316" s="106">
        <f>VLOOKUP($A316,'VKT US'!$B$63:$AA$113,(I$280+1),FALSE)*($AZ$69+$AZ$75)/(1+$AZ$41)^I$280</f>
        <v>2077.6627754794931</v>
      </c>
      <c r="J316" s="106">
        <f>VLOOKUP($A316,'VKT US'!$B$63:$AA$113,(J$280+1),FALSE)*($AZ$69+$AZ$75)/(1+$AZ$41)^J$280</f>
        <v>1995.1818764193101</v>
      </c>
      <c r="K316" s="106">
        <f>VLOOKUP($A316,'VKT US'!$B$63:$AA$113,(K$280+1),FALSE)*($AZ$69+$AZ$75)/(1+$AZ$41)^K$280</f>
        <v>1916.8892738585382</v>
      </c>
      <c r="L316" s="106">
        <f>VLOOKUP($A316,'VKT US'!$B$63:$AA$113,(L$280+1),FALSE)*($AZ$69+$AZ$75)/(1+$AZ$41)^L$280</f>
        <v>1842.4891315474897</v>
      </c>
      <c r="M316" s="106">
        <f>VLOOKUP($A316,'VKT US'!$B$63:$AA$113,(M$280+1),FALSE)*($AZ$69+$AZ$75)/(1+$AZ$41)^M$280</f>
        <v>1772.0487415710711</v>
      </c>
      <c r="N316" s="106">
        <f>VLOOKUP($A316,'VKT US'!$B$63:$AA$113,(N$280+1),FALSE)*($AZ$69+$AZ$75)/(1+$AZ$41)^N$280</f>
        <v>1705.2814575692428</v>
      </c>
      <c r="O316" s="106">
        <f>VLOOKUP($A316,'VKT US'!$B$63:$AA$113,(O$280+1),FALSE)*($AZ$69+$AZ$75)/(1+$AZ$41)^O$280</f>
        <v>1642.2551665424996</v>
      </c>
      <c r="P316" s="106">
        <f>VLOOKUP($A316,'VKT US'!$B$63:$AA$113,(P$280+1),FALSE)*($AZ$69+$AZ$75)/(1+$AZ$41)^P$280</f>
        <v>1582.6921272870084</v>
      </c>
      <c r="Q316" s="106">
        <f>VLOOKUP($A316,'VKT US'!$B$63:$AA$113,(Q$280+1),FALSE)*($AZ$69+$AZ$75)/(1+$AZ$41)^Q$280</f>
        <v>1526.8285977524433</v>
      </c>
      <c r="R316" s="106">
        <f>VLOOKUP($A316,'VKT US'!$B$63:$AA$113,(R$280+1),FALSE)*($AZ$69+$AZ$75)/(1+$AZ$41)^R$280</f>
        <v>1474.0577611565743</v>
      </c>
      <c r="S316" s="106">
        <f>VLOOKUP($A316,'VKT US'!$B$63:$AA$113,(S$280+1),FALSE)*($AZ$69+$AZ$75)/(1+$AZ$41)^S$280</f>
        <v>1424.7822259513612</v>
      </c>
      <c r="T316" s="106">
        <f>VLOOKUP($A316,'VKT US'!$B$63:$AA$113,(T$280+1),FALSE)*($AZ$69+$AZ$75)/(1+$AZ$41)^T$280</f>
        <v>1378.4114979014091</v>
      </c>
      <c r="U316" s="106">
        <f>VLOOKUP($A316,'VKT US'!$B$63:$AA$113,(U$280+1),FALSE)*($AZ$69+$AZ$75)/(1+$AZ$41)^U$280</f>
        <v>1335.3406796144955</v>
      </c>
      <c r="V316" s="110" cm="1">
        <f t="array" ref="V316">SUMPRODUCT(INDEX(B316:U316,,_xlfn.SEQUENCE($AZ$13)))</f>
        <v>30177.326410523186</v>
      </c>
    </row>
    <row r="317" spans="1:22" x14ac:dyDescent="0.25">
      <c r="A317" s="102" t="s">
        <v>219</v>
      </c>
      <c r="B317" s="106">
        <f>VLOOKUP($A317,'VKT US'!$B$63:$AA$113,(B$280+1),FALSE)*($AZ$69+$AZ$75)/(1+$AZ$41)^B$280</f>
        <v>1919.6028942176144</v>
      </c>
      <c r="C317" s="106">
        <f>VLOOKUP($A317,'VKT US'!$B$63:$AA$113,(C$280+1),FALSE)*($AZ$69+$AZ$75)/(1+$AZ$41)^C$280</f>
        <v>1840.4230734424516</v>
      </c>
      <c r="D317" s="106">
        <f>VLOOKUP($A317,'VKT US'!$B$63:$AA$113,(D$280+1),FALSE)*($AZ$69+$AZ$75)/(1+$AZ$41)^D$280</f>
        <v>1764.6101911557596</v>
      </c>
      <c r="E317" s="106">
        <f>VLOOKUP($A317,'VKT US'!$B$63:$AA$113,(E$280+1),FALSE)*($AZ$69+$AZ$75)/(1+$AZ$41)^E$280</f>
        <v>1692.2083816582192</v>
      </c>
      <c r="F317" s="106">
        <f>VLOOKUP($A317,'VKT US'!$B$63:$AA$113,(F$280+1),FALSE)*($AZ$69+$AZ$75)/(1+$AZ$41)^F$280</f>
        <v>1622.9930905219512</v>
      </c>
      <c r="G317" s="106">
        <f>VLOOKUP($A317,'VKT US'!$B$63:$AA$113,(G$280+1),FALSE)*($AZ$69+$AZ$75)/(1+$AZ$41)^G$280</f>
        <v>1557.1396732096086</v>
      </c>
      <c r="H317" s="106">
        <f>VLOOKUP($A317,'VKT US'!$B$63:$AA$113,(H$280+1),FALSE)*($AZ$69+$AZ$75)/(1+$AZ$41)^H$280</f>
        <v>1494.1678888397239</v>
      </c>
      <c r="I317" s="106">
        <f>VLOOKUP($A317,'VKT US'!$B$63:$AA$113,(I$280+1),FALSE)*($AZ$69+$AZ$75)/(1+$AZ$41)^I$280</f>
        <v>1434.2552568398469</v>
      </c>
      <c r="J317" s="106">
        <f>VLOOKUP($A317,'VKT US'!$B$63:$AA$113,(J$280+1),FALSE)*($AZ$69+$AZ$75)/(1+$AZ$41)^J$280</f>
        <v>1377.3169199441284</v>
      </c>
      <c r="K317" s="106">
        <f>VLOOKUP($A317,'VKT US'!$B$63:$AA$113,(K$280+1),FALSE)*($AZ$69+$AZ$75)/(1+$AZ$41)^K$280</f>
        <v>1323.2698541162563</v>
      </c>
      <c r="L317" s="106">
        <f>VLOOKUP($A317,'VKT US'!$B$63:$AA$113,(L$280+1),FALSE)*($AZ$69+$AZ$75)/(1+$AZ$41)^L$280</f>
        <v>1271.9098372364106</v>
      </c>
      <c r="M317" s="106">
        <f>VLOOKUP($A317,'VKT US'!$B$63:$AA$113,(M$280+1),FALSE)*($AZ$69+$AZ$75)/(1+$AZ$41)^M$280</f>
        <v>1223.2833224767132</v>
      </c>
      <c r="N317" s="106">
        <f>VLOOKUP($A317,'VKT US'!$B$63:$AA$113,(N$280+1),FALSE)*($AZ$69+$AZ$75)/(1+$AZ$41)^N$280</f>
        <v>1177.1924316956329</v>
      </c>
      <c r="O317" s="106">
        <f>VLOOKUP($A317,'VKT US'!$B$63:$AA$113,(O$280+1),FALSE)*($AZ$69+$AZ$75)/(1+$AZ$41)^O$280</f>
        <v>1133.6840287483058</v>
      </c>
      <c r="P317" s="106">
        <f>VLOOKUP($A317,'VKT US'!$B$63:$AA$113,(P$280+1),FALSE)*($AZ$69+$AZ$75)/(1+$AZ$41)^P$280</f>
        <v>1092.5663829138748</v>
      </c>
      <c r="Q317" s="106">
        <f>VLOOKUP($A317,'VKT US'!$B$63:$AA$113,(Q$280+1),FALSE)*($AZ$69+$AZ$75)/(1+$AZ$41)^Q$280</f>
        <v>1054.0025881314962</v>
      </c>
      <c r="R317" s="106">
        <f>VLOOKUP($A317,'VKT US'!$B$63:$AA$113,(R$280+1),FALSE)*($AZ$69+$AZ$75)/(1+$AZ$41)^R$280</f>
        <v>1017.5737457376702</v>
      </c>
      <c r="S317" s="106">
        <f>VLOOKUP($A317,'VKT US'!$B$63:$AA$113,(S$280+1),FALSE)*($AZ$69+$AZ$75)/(1+$AZ$41)^S$280</f>
        <v>983.55778499766825</v>
      </c>
      <c r="T317" s="106">
        <f>VLOOKUP($A317,'VKT US'!$B$63:$AA$113,(T$280+1),FALSE)*($AZ$69+$AZ$75)/(1+$AZ$41)^T$280</f>
        <v>951.54707505279498</v>
      </c>
      <c r="U317" s="106">
        <f>VLOOKUP($A317,'VKT US'!$B$63:$AA$113,(U$280+1),FALSE)*($AZ$69+$AZ$75)/(1+$AZ$41)^U$280</f>
        <v>921.81436372280393</v>
      </c>
      <c r="V317" s="110" cm="1">
        <f t="array" ref="V317">SUMPRODUCT(INDEX(B317:U317,,_xlfn.SEQUENCE($AZ$13)))</f>
        <v>20832.056844102623</v>
      </c>
    </row>
    <row r="318" spans="1:22" x14ac:dyDescent="0.25">
      <c r="A318" s="102" t="s">
        <v>220</v>
      </c>
      <c r="B318" s="106">
        <f>VLOOKUP($A318,'VKT US'!$B$63:$AA$113,(B$280+1),FALSE)*($AZ$69+$AZ$75)/(1+$AZ$41)^B$280</f>
        <v>1798.1547818235877</v>
      </c>
      <c r="C318" s="106">
        <f>VLOOKUP($A318,'VKT US'!$B$63:$AA$113,(C$280+1),FALSE)*($AZ$69+$AZ$75)/(1+$AZ$41)^C$280</f>
        <v>1723.9844553567571</v>
      </c>
      <c r="D318" s="106">
        <f>VLOOKUP($A318,'VKT US'!$B$63:$AA$113,(D$280+1),FALSE)*($AZ$69+$AZ$75)/(1+$AZ$41)^D$280</f>
        <v>1652.968050235527</v>
      </c>
      <c r="E318" s="106">
        <f>VLOOKUP($A318,'VKT US'!$B$63:$AA$113,(E$280+1),FALSE)*($AZ$69+$AZ$75)/(1+$AZ$41)^E$280</f>
        <v>1585.1469085020722</v>
      </c>
      <c r="F318" s="106">
        <f>VLOOKUP($A318,'VKT US'!$B$63:$AA$113,(F$280+1),FALSE)*($AZ$69+$AZ$75)/(1+$AZ$41)^F$280</f>
        <v>1520.3106826832322</v>
      </c>
      <c r="G318" s="106">
        <f>VLOOKUP($A318,'VKT US'!$B$63:$AA$113,(G$280+1),FALSE)*($AZ$69+$AZ$75)/(1+$AZ$41)^G$280</f>
        <v>1458.623633973152</v>
      </c>
      <c r="H318" s="106">
        <f>VLOOKUP($A318,'VKT US'!$B$63:$AA$113,(H$280+1),FALSE)*($AZ$69+$AZ$75)/(1+$AZ$41)^H$280</f>
        <v>1399.6359050393389</v>
      </c>
      <c r="I318" s="106">
        <f>VLOOKUP($A318,'VKT US'!$B$63:$AA$113,(I$280+1),FALSE)*($AZ$69+$AZ$75)/(1+$AZ$41)^I$280</f>
        <v>1343.5137841325952</v>
      </c>
      <c r="J318" s="106">
        <f>VLOOKUP($A318,'VKT US'!$B$63:$AA$113,(J$280+1),FALSE)*($AZ$69+$AZ$75)/(1+$AZ$41)^J$280</f>
        <v>1290.177782678061</v>
      </c>
      <c r="K318" s="106">
        <f>VLOOKUP($A318,'VKT US'!$B$63:$AA$113,(K$280+1),FALSE)*($AZ$69+$AZ$75)/(1+$AZ$41)^K$280</f>
        <v>1239.5501293469104</v>
      </c>
      <c r="L318" s="106">
        <f>VLOOKUP($A318,'VKT US'!$B$63:$AA$113,(L$280+1),FALSE)*($AZ$69+$AZ$75)/(1+$AZ$41)^L$280</f>
        <v>1191.4395226035947</v>
      </c>
      <c r="M318" s="106">
        <f>VLOOKUP($A318,'VKT US'!$B$63:$AA$113,(M$280+1),FALSE)*($AZ$69+$AZ$75)/(1+$AZ$41)^M$280</f>
        <v>1145.8894766529697</v>
      </c>
      <c r="N318" s="106">
        <f>VLOOKUP($A318,'VKT US'!$B$63:$AA$113,(N$280+1),FALSE)*($AZ$69+$AZ$75)/(1+$AZ$41)^N$280</f>
        <v>1102.7146325713306</v>
      </c>
      <c r="O318" s="106">
        <f>VLOOKUP($A318,'VKT US'!$B$63:$AA$113,(O$280+1),FALSE)*($AZ$69+$AZ$75)/(1+$AZ$41)^O$280</f>
        <v>1061.9588892637387</v>
      </c>
      <c r="P318" s="106">
        <f>VLOOKUP($A318,'VKT US'!$B$63:$AA$113,(P$280+1),FALSE)*($AZ$69+$AZ$75)/(1+$AZ$41)^P$280</f>
        <v>1023.4426462963903</v>
      </c>
      <c r="Q318" s="106">
        <f>VLOOKUP($A318,'VKT US'!$B$63:$AA$113,(Q$280+1),FALSE)*($AZ$69+$AZ$75)/(1+$AZ$41)^Q$280</f>
        <v>987.31867909354855</v>
      </c>
      <c r="R318" s="106">
        <f>VLOOKUP($A318,'VKT US'!$B$63:$AA$113,(R$280+1),FALSE)*($AZ$69+$AZ$75)/(1+$AZ$41)^R$280</f>
        <v>953.19459158353538</v>
      </c>
      <c r="S318" s="106">
        <f>VLOOKUP($A318,'VKT US'!$B$63:$AA$113,(S$280+1),FALSE)*($AZ$69+$AZ$75)/(1+$AZ$41)^S$280</f>
        <v>921.33072919449285</v>
      </c>
      <c r="T318" s="106">
        <f>VLOOKUP($A318,'VKT US'!$B$63:$AA$113,(T$280+1),FALSE)*($AZ$69+$AZ$75)/(1+$AZ$41)^T$280</f>
        <v>891.34525077584215</v>
      </c>
      <c r="U318" s="106">
        <f>VLOOKUP($A318,'VKT US'!$B$63:$AA$113,(U$280+1),FALSE)*($AZ$69+$AZ$75)/(1+$AZ$41)^U$280</f>
        <v>863.49364812632928</v>
      </c>
      <c r="V318" s="110" cm="1">
        <f t="array" ref="V318">SUMPRODUCT(INDEX(B318:U318,,_xlfn.SEQUENCE($AZ$13)))</f>
        <v>19514.068634862866</v>
      </c>
    </row>
    <row r="319" spans="1:22" x14ac:dyDescent="0.25">
      <c r="A319" s="102" t="s">
        <v>221</v>
      </c>
      <c r="B319" s="106">
        <f>VLOOKUP($A319,'VKT US'!$B$63:$AA$113,(B$280+1),FALSE)*($AZ$69+$AZ$75)/(1+$AZ$41)^B$280</f>
        <v>1564.9995440580828</v>
      </c>
      <c r="C319" s="106">
        <f>VLOOKUP($A319,'VKT US'!$B$63:$AA$113,(C$280+1),FALSE)*($AZ$69+$AZ$75)/(1+$AZ$41)^C$280</f>
        <v>1500.4464097692141</v>
      </c>
      <c r="D319" s="106">
        <f>VLOOKUP($A319,'VKT US'!$B$63:$AA$113,(D$280+1),FALSE)*($AZ$69+$AZ$75)/(1+$AZ$41)^D$280</f>
        <v>1438.638248003153</v>
      </c>
      <c r="E319" s="106">
        <f>VLOOKUP($A319,'VKT US'!$B$63:$AA$113,(E$280+1),FALSE)*($AZ$69+$AZ$75)/(1+$AZ$41)^E$280</f>
        <v>1379.6110402436996</v>
      </c>
      <c r="F319" s="106">
        <f>VLOOKUP($A319,'VKT US'!$B$63:$AA$113,(F$280+1),FALSE)*($AZ$69+$AZ$75)/(1+$AZ$41)^F$280</f>
        <v>1323.1817134301159</v>
      </c>
      <c r="G319" s="106">
        <f>VLOOKUP($A319,'VKT US'!$B$63:$AA$113,(G$280+1),FALSE)*($AZ$69+$AZ$75)/(1+$AZ$41)^G$280</f>
        <v>1269.4932300573671</v>
      </c>
      <c r="H319" s="106">
        <f>VLOOKUP($A319,'VKT US'!$B$63:$AA$113,(H$280+1),FALSE)*($AZ$69+$AZ$75)/(1+$AZ$41)^H$280</f>
        <v>1218.1540629180301</v>
      </c>
      <c r="I319" s="106">
        <f>VLOOKUP($A319,'VKT US'!$B$63:$AA$113,(I$280+1),FALSE)*($AZ$69+$AZ$75)/(1+$AZ$41)^I$280</f>
        <v>1169.3089387282464</v>
      </c>
      <c r="J319" s="106">
        <f>VLOOKUP($A319,'VKT US'!$B$63:$AA$113,(J$280+1),FALSE)*($AZ$69+$AZ$75)/(1+$AZ$41)^J$280</f>
        <v>1122.888675688612</v>
      </c>
      <c r="K319" s="106">
        <f>VLOOKUP($A319,'VKT US'!$B$63:$AA$113,(K$280+1),FALSE)*($AZ$69+$AZ$75)/(1+$AZ$41)^K$280</f>
        <v>1078.8255865814394</v>
      </c>
      <c r="L319" s="106">
        <f>VLOOKUP($A319,'VKT US'!$B$63:$AA$113,(L$280+1),FALSE)*($AZ$69+$AZ$75)/(1+$AZ$41)^L$280</f>
        <v>1036.9531747186027</v>
      </c>
      <c r="M319" s="106">
        <f>VLOOKUP($A319,'VKT US'!$B$63:$AA$113,(M$280+1),FALSE)*($AZ$69+$AZ$75)/(1+$AZ$41)^M$280</f>
        <v>997.3093120961322</v>
      </c>
      <c r="N319" s="106">
        <f>VLOOKUP($A319,'VKT US'!$B$63:$AA$113,(N$280+1),FALSE)*($AZ$69+$AZ$75)/(1+$AZ$41)^N$280</f>
        <v>959.73267409725008</v>
      </c>
      <c r="O319" s="106">
        <f>VLOOKUP($A319,'VKT US'!$B$63:$AA$113,(O$280+1),FALSE)*($AZ$69+$AZ$75)/(1+$AZ$41)^O$280</f>
        <v>924.26146753657486</v>
      </c>
      <c r="P319" s="106">
        <f>VLOOKUP($A319,'VKT US'!$B$63:$AA$113,(P$280+1),FALSE)*($AZ$69+$AZ$75)/(1+$AZ$41)^P$280</f>
        <v>890.73937962065031</v>
      </c>
      <c r="Q319" s="106">
        <f>VLOOKUP($A319,'VKT US'!$B$63:$AA$113,(Q$280+1),FALSE)*($AZ$69+$AZ$75)/(1+$AZ$41)^Q$280</f>
        <v>859.29937636092916</v>
      </c>
      <c r="R319" s="106">
        <f>VLOOKUP($A319,'VKT US'!$B$63:$AA$113,(R$280+1),FALSE)*($AZ$69+$AZ$75)/(1+$AZ$41)^R$280</f>
        <v>829.59994117637359</v>
      </c>
      <c r="S319" s="106">
        <f>VLOOKUP($A319,'VKT US'!$B$63:$AA$113,(S$280+1),FALSE)*($AZ$69+$AZ$75)/(1+$AZ$41)^S$280</f>
        <v>801.86766216743922</v>
      </c>
      <c r="T319" s="106">
        <f>VLOOKUP($A319,'VKT US'!$B$63:$AA$113,(T$280+1),FALSE)*($AZ$69+$AZ$75)/(1+$AZ$41)^T$280</f>
        <v>775.77020908502948</v>
      </c>
      <c r="U319" s="106">
        <f>VLOOKUP($A319,'VKT US'!$B$63:$AA$113,(U$280+1),FALSE)*($AZ$69+$AZ$75)/(1+$AZ$41)^U$280</f>
        <v>751.52994573930675</v>
      </c>
      <c r="V319" s="110" cm="1">
        <f t="array" ref="V319">SUMPRODUCT(INDEX(B319:U319,,_xlfn.SEQUENCE($AZ$13)))</f>
        <v>16983.804077926521</v>
      </c>
    </row>
    <row r="320" spans="1:22" x14ac:dyDescent="0.25">
      <c r="A320" s="102" t="s">
        <v>222</v>
      </c>
      <c r="B320" s="106">
        <f>VLOOKUP($A320,'VKT US'!$B$63:$AA$113,(B$280+1),FALSE)*($AZ$69+$AZ$75)/(1+$AZ$41)^B$280</f>
        <v>2347.4207597401683</v>
      </c>
      <c r="C320" s="106">
        <f>VLOOKUP($A320,'VKT US'!$B$63:$AA$113,(C$280+1),FALSE)*($AZ$69+$AZ$75)/(1+$AZ$41)^C$280</f>
        <v>2250.5942986007258</v>
      </c>
      <c r="D320" s="106">
        <f>VLOOKUP($A320,'VKT US'!$B$63:$AA$113,(D$280+1),FALSE)*($AZ$69+$AZ$75)/(1+$AZ$41)^D$280</f>
        <v>2157.8851584595027</v>
      </c>
      <c r="E320" s="106">
        <f>VLOOKUP($A320,'VKT US'!$B$63:$AA$113,(E$280+1),FALSE)*($AZ$69+$AZ$75)/(1+$AZ$41)^E$280</f>
        <v>2069.347309736082</v>
      </c>
      <c r="F320" s="106">
        <f>VLOOKUP($A320,'VKT US'!$B$63:$AA$113,(F$280+1),FALSE)*($AZ$69+$AZ$75)/(1+$AZ$41)^F$280</f>
        <v>1984.7061520288485</v>
      </c>
      <c r="G320" s="106">
        <f>VLOOKUP($A320,'VKT US'!$B$63:$AA$113,(G$280+1),FALSE)*($AZ$69+$AZ$75)/(1+$AZ$41)^G$280</f>
        <v>1904.1761219041387</v>
      </c>
      <c r="H320" s="106">
        <f>VLOOKUP($A320,'VKT US'!$B$63:$AA$113,(H$280+1),FALSE)*($AZ$69+$AZ$75)/(1+$AZ$41)^H$280</f>
        <v>1827.1699482038237</v>
      </c>
      <c r="I320" s="106">
        <f>VLOOKUP($A320,'VKT US'!$B$63:$AA$113,(I$280+1),FALSE)*($AZ$69+$AZ$75)/(1+$AZ$41)^I$280</f>
        <v>1753.9047137374491</v>
      </c>
      <c r="J320" s="106">
        <f>VLOOKUP($A320,'VKT US'!$B$63:$AA$113,(J$280+1),FALSE)*($AZ$69+$AZ$75)/(1+$AZ$41)^J$280</f>
        <v>1684.2766492785418</v>
      </c>
      <c r="K320" s="106">
        <f>VLOOKUP($A320,'VKT US'!$B$63:$AA$113,(K$280+1),FALSE)*($AZ$69+$AZ$75)/(1+$AZ$41)^K$280</f>
        <v>1618.1842273981815</v>
      </c>
      <c r="L320" s="106">
        <f>VLOOKUP($A320,'VKT US'!$B$63:$AA$113,(L$280+1),FALSE)*($AZ$69+$AZ$75)/(1+$AZ$41)^L$280</f>
        <v>1555.3777114216084</v>
      </c>
      <c r="M320" s="106">
        <f>VLOOKUP($A320,'VKT US'!$B$63:$AA$113,(M$280+1),FALSE)*($AZ$69+$AZ$75)/(1+$AZ$41)^M$280</f>
        <v>1495.9139074418542</v>
      </c>
      <c r="N320" s="106">
        <f>VLOOKUP($A320,'VKT US'!$B$63:$AA$113,(N$280+1),FALSE)*($AZ$69+$AZ$75)/(1+$AZ$41)^N$280</f>
        <v>1439.5508366315644</v>
      </c>
      <c r="O320" s="106">
        <f>VLOOKUP($A320,'VKT US'!$B$63:$AA$113,(O$280+1),FALSE)*($AZ$69+$AZ$75)/(1+$AZ$41)^O$280</f>
        <v>1386.3458072948465</v>
      </c>
      <c r="P320" s="106">
        <f>VLOOKUP($A320,'VKT US'!$B$63:$AA$113,(P$280+1),FALSE)*($AZ$69+$AZ$75)/(1+$AZ$41)^P$280</f>
        <v>1336.0643580877561</v>
      </c>
      <c r="Q320" s="106">
        <f>VLOOKUP($A320,'VKT US'!$B$63:$AA$113,(Q$280+1),FALSE)*($AZ$69+$AZ$75)/(1+$AZ$41)^Q$280</f>
        <v>1288.9059313531418</v>
      </c>
      <c r="R320" s="106">
        <f>VLOOKUP($A320,'VKT US'!$B$63:$AA$113,(R$280+1),FALSE)*($AZ$69+$AZ$75)/(1+$AZ$41)^R$280</f>
        <v>1244.3582693621322</v>
      </c>
      <c r="S320" s="106">
        <f>VLOOKUP($A320,'VKT US'!$B$63:$AA$113,(S$280+1),FALSE)*($AZ$69+$AZ$75)/(1+$AZ$41)^S$280</f>
        <v>1202.7612428916486</v>
      </c>
      <c r="T320" s="106">
        <f>VLOOKUP($A320,'VKT US'!$B$63:$AA$113,(T$280+1),FALSE)*($AZ$69+$AZ$75)/(1+$AZ$41)^T$280</f>
        <v>1163.6163732496161</v>
      </c>
      <c r="U320" s="106">
        <f>VLOOKUP($A320,'VKT US'!$B$63:$AA$113,(U$280+1),FALSE)*($AZ$69+$AZ$75)/(1+$AZ$41)^U$280</f>
        <v>1127.2571949895575</v>
      </c>
      <c r="V320" s="110" cm="1">
        <f t="array" ref="V320">SUMPRODUCT(INDEX(B320:U320,,_xlfn.SEQUENCE($AZ$13)))</f>
        <v>25474.853601877334</v>
      </c>
    </row>
    <row r="321" spans="1:22" x14ac:dyDescent="0.25">
      <c r="A321" s="102" t="s">
        <v>223</v>
      </c>
      <c r="B321" s="106">
        <f>VLOOKUP($A321,'VKT US'!$B$63:$AA$113,(B$280+1),FALSE)*($AZ$69+$AZ$75)/(1+$AZ$41)^B$280</f>
        <v>2441.6883760874075</v>
      </c>
      <c r="C321" s="106">
        <f>VLOOKUP($A321,'VKT US'!$B$63:$AA$113,(C$280+1),FALSE)*($AZ$69+$AZ$75)/(1+$AZ$41)^C$280</f>
        <v>2340.9735623153656</v>
      </c>
      <c r="D321" s="106">
        <f>VLOOKUP($A321,'VKT US'!$B$63:$AA$113,(D$280+1),FALSE)*($AZ$69+$AZ$75)/(1+$AZ$41)^D$280</f>
        <v>2244.5414127313525</v>
      </c>
      <c r="E321" s="106">
        <f>VLOOKUP($A321,'VKT US'!$B$63:$AA$113,(E$280+1),FALSE)*($AZ$69+$AZ$75)/(1+$AZ$41)^E$280</f>
        <v>2152.4480650966102</v>
      </c>
      <c r="F321" s="106">
        <f>VLOOKUP($A321,'VKT US'!$B$63:$AA$113,(F$280+1),FALSE)*($AZ$69+$AZ$75)/(1+$AZ$41)^F$280</f>
        <v>2064.4078916190574</v>
      </c>
      <c r="G321" s="106">
        <f>VLOOKUP($A321,'VKT US'!$B$63:$AA$113,(G$280+1),FALSE)*($AZ$69+$AZ$75)/(1+$AZ$41)^G$280</f>
        <v>1980.6439401989298</v>
      </c>
      <c r="H321" s="106">
        <f>VLOOKUP($A321,'VKT US'!$B$63:$AA$113,(H$280+1),FALSE)*($AZ$69+$AZ$75)/(1+$AZ$41)^H$280</f>
        <v>1900.5453560695819</v>
      </c>
      <c r="I321" s="106">
        <f>VLOOKUP($A321,'VKT US'!$B$63:$AA$113,(I$280+1),FALSE)*($AZ$69+$AZ$75)/(1+$AZ$41)^I$280</f>
        <v>1824.3379396421724</v>
      </c>
      <c r="J321" s="106">
        <f>VLOOKUP($A321,'VKT US'!$B$63:$AA$113,(J$280+1),FALSE)*($AZ$69+$AZ$75)/(1+$AZ$41)^J$280</f>
        <v>1751.9137545303406</v>
      </c>
      <c r="K321" s="106">
        <f>VLOOKUP($A321,'VKT US'!$B$63:$AA$113,(K$280+1),FALSE)*($AZ$69+$AZ$75)/(1+$AZ$41)^K$280</f>
        <v>1683.1671961712832</v>
      </c>
      <c r="L321" s="106">
        <f>VLOOKUP($A321,'VKT US'!$B$63:$AA$113,(L$280+1),FALSE)*($AZ$69+$AZ$75)/(1+$AZ$41)^L$280</f>
        <v>1617.8384989761873</v>
      </c>
      <c r="M321" s="106">
        <f>VLOOKUP($A321,'VKT US'!$B$63:$AA$113,(M$280+1),FALSE)*($AZ$69+$AZ$75)/(1+$AZ$41)^M$280</f>
        <v>1555.9867502545919</v>
      </c>
      <c r="N321" s="106">
        <f>VLOOKUP($A321,'VKT US'!$B$63:$AA$113,(N$280+1),FALSE)*($AZ$69+$AZ$75)/(1+$AZ$41)^N$280</f>
        <v>1497.3602538043733</v>
      </c>
      <c r="O321" s="106">
        <f>VLOOKUP($A321,'VKT US'!$B$63:$AA$113,(O$280+1),FALSE)*($AZ$69+$AZ$75)/(1+$AZ$41)^O$280</f>
        <v>1442.0186193139155</v>
      </c>
      <c r="P321" s="106">
        <f>VLOOKUP($A321,'VKT US'!$B$63:$AA$113,(P$280+1),FALSE)*($AZ$69+$AZ$75)/(1+$AZ$41)^P$280</f>
        <v>1389.7179699512626</v>
      </c>
      <c r="Q321" s="106">
        <f>VLOOKUP($A321,'VKT US'!$B$63:$AA$113,(Q$280+1),FALSE)*($AZ$69+$AZ$75)/(1+$AZ$41)^Q$280</f>
        <v>1340.6657572558179</v>
      </c>
      <c r="R321" s="106">
        <f>VLOOKUP($A321,'VKT US'!$B$63:$AA$113,(R$280+1),FALSE)*($AZ$69+$AZ$75)/(1+$AZ$41)^R$280</f>
        <v>1294.329152276079</v>
      </c>
      <c r="S321" s="106">
        <f>VLOOKUP($A321,'VKT US'!$B$63:$AA$113,(S$280+1),FALSE)*($AZ$69+$AZ$75)/(1+$AZ$41)^S$280</f>
        <v>1251.0616743042037</v>
      </c>
      <c r="T321" s="106">
        <f>VLOOKUP($A321,'VKT US'!$B$63:$AA$113,(T$280+1),FALSE)*($AZ$69+$AZ$75)/(1+$AZ$41)^T$280</f>
        <v>1210.3448267634217</v>
      </c>
      <c r="U321" s="106">
        <f>VLOOKUP($A321,'VKT US'!$B$63:$AA$113,(U$280+1),FALSE)*($AZ$69+$AZ$75)/(1+$AZ$41)^U$280</f>
        <v>1172.5255382727203</v>
      </c>
      <c r="V321" s="110" cm="1">
        <f t="array" ref="V321">SUMPRODUCT(INDEX(B321:U321,,_xlfn.SEQUENCE($AZ$13)))</f>
        <v>26497.871616811171</v>
      </c>
    </row>
    <row r="322" spans="1:22" x14ac:dyDescent="0.25">
      <c r="A322" s="102" t="s">
        <v>224</v>
      </c>
      <c r="B322" s="106">
        <f>VLOOKUP($A322,'VKT US'!$B$63:$AA$113,(B$280+1),FALSE)*($AZ$69+$AZ$75)/(1+$AZ$41)^B$280</f>
        <v>2401.7817518337429</v>
      </c>
      <c r="C322" s="106">
        <f>VLOOKUP($A322,'VKT US'!$B$63:$AA$113,(C$280+1),FALSE)*($AZ$69+$AZ$75)/(1+$AZ$41)^C$280</f>
        <v>2302.7130073428348</v>
      </c>
      <c r="D322" s="106">
        <f>VLOOKUP($A322,'VKT US'!$B$63:$AA$113,(D$280+1),FALSE)*($AZ$69+$AZ$75)/(1+$AZ$41)^D$280</f>
        <v>2207.8569317562692</v>
      </c>
      <c r="E322" s="106">
        <f>VLOOKUP($A322,'VKT US'!$B$63:$AA$113,(E$280+1),FALSE)*($AZ$69+$AZ$75)/(1+$AZ$41)^E$280</f>
        <v>2117.2687453273197</v>
      </c>
      <c r="F322" s="106">
        <f>VLOOKUP($A322,'VKT US'!$B$63:$AA$113,(F$280+1),FALSE)*($AZ$69+$AZ$75)/(1+$AZ$41)^F$280</f>
        <v>2030.667488525869</v>
      </c>
      <c r="G322" s="106">
        <f>VLOOKUP($A322,'VKT US'!$B$63:$AA$113,(G$280+1),FALSE)*($AZ$69+$AZ$75)/(1+$AZ$41)^G$280</f>
        <v>1948.2725637874685</v>
      </c>
      <c r="H322" s="106">
        <f>VLOOKUP($A322,'VKT US'!$B$63:$AA$113,(H$280+1),FALSE)*($AZ$69+$AZ$75)/(1+$AZ$41)^H$280</f>
        <v>1869.4831000730776</v>
      </c>
      <c r="I322" s="106">
        <f>VLOOKUP($A322,'VKT US'!$B$63:$AA$113,(I$280+1),FALSE)*($AZ$69+$AZ$75)/(1+$AZ$41)^I$280</f>
        <v>1794.5212073425062</v>
      </c>
      <c r="J322" s="106">
        <f>VLOOKUP($A322,'VKT US'!$B$63:$AA$113,(J$280+1),FALSE)*($AZ$69+$AZ$75)/(1+$AZ$41)^J$280</f>
        <v>1723.2807133070789</v>
      </c>
      <c r="K322" s="106">
        <f>VLOOKUP($A322,'VKT US'!$B$63:$AA$113,(K$280+1),FALSE)*($AZ$69+$AZ$75)/(1+$AZ$41)^K$280</f>
        <v>1655.65773939067</v>
      </c>
      <c r="L322" s="106">
        <f>VLOOKUP($A322,'VKT US'!$B$63:$AA$113,(L$280+1),FALSE)*($AZ$69+$AZ$75)/(1+$AZ$41)^L$280</f>
        <v>1591.3967655780823</v>
      </c>
      <c r="M322" s="106">
        <f>VLOOKUP($A322,'VKT US'!$B$63:$AA$113,(M$280+1),FALSE)*($AZ$69+$AZ$75)/(1+$AZ$41)^M$280</f>
        <v>1530.5559134638661</v>
      </c>
      <c r="N322" s="106">
        <f>VLOOKUP($A322,'VKT US'!$B$63:$AA$113,(N$280+1),FALSE)*($AZ$69+$AZ$75)/(1+$AZ$41)^N$280</f>
        <v>1472.8876005345508</v>
      </c>
      <c r="O322" s="106">
        <f>VLOOKUP($A322,'VKT US'!$B$63:$AA$113,(O$280+1),FALSE)*($AZ$69+$AZ$75)/(1+$AZ$41)^O$280</f>
        <v>1418.4504622258428</v>
      </c>
      <c r="P322" s="106">
        <f>VLOOKUP($A322,'VKT US'!$B$63:$AA$113,(P$280+1),FALSE)*($AZ$69+$AZ$75)/(1+$AZ$41)^P$280</f>
        <v>1367.0046075957114</v>
      </c>
      <c r="Q322" s="106">
        <f>VLOOKUP($A322,'VKT US'!$B$63:$AA$113,(Q$280+1),FALSE)*($AZ$69+$AZ$75)/(1+$AZ$41)^Q$280</f>
        <v>1318.7540976236849</v>
      </c>
      <c r="R322" s="106">
        <f>VLOOKUP($A322,'VKT US'!$B$63:$AA$113,(R$280+1),FALSE)*($AZ$69+$AZ$75)/(1+$AZ$41)^R$280</f>
        <v>1273.1748118425082</v>
      </c>
      <c r="S322" s="106">
        <f>VLOOKUP($A322,'VKT US'!$B$63:$AA$113,(S$280+1),FALSE)*($AZ$69+$AZ$75)/(1+$AZ$41)^S$280</f>
        <v>1230.6144916728886</v>
      </c>
      <c r="T322" s="106">
        <f>VLOOKUP($A322,'VKT US'!$B$63:$AA$113,(T$280+1),FALSE)*($AZ$69+$AZ$75)/(1+$AZ$41)^T$280</f>
        <v>1190.5631147759107</v>
      </c>
      <c r="U322" s="106">
        <f>VLOOKUP($A322,'VKT US'!$B$63:$AA$113,(U$280+1),FALSE)*($AZ$69+$AZ$75)/(1+$AZ$41)^U$280</f>
        <v>1153.3619396161812</v>
      </c>
      <c r="V322" s="110" cm="1">
        <f t="array" ref="V322">SUMPRODUCT(INDEX(B322:U322,,_xlfn.SEQUENCE($AZ$13)))</f>
        <v>26064.793990489179</v>
      </c>
    </row>
    <row r="323" spans="1:22" x14ac:dyDescent="0.25">
      <c r="A323" s="102" t="s">
        <v>225</v>
      </c>
      <c r="B323" s="106">
        <f>VLOOKUP($A323,'VKT US'!$B$63:$AA$113,(B$280+1),FALSE)*($AZ$69+$AZ$75)/(1+$AZ$41)^B$280</f>
        <v>2540.8264859459205</v>
      </c>
      <c r="C323" s="106">
        <f>VLOOKUP($A323,'VKT US'!$B$63:$AA$113,(C$280+1),FALSE)*($AZ$69+$AZ$75)/(1+$AZ$41)^C$280</f>
        <v>2436.0224213219285</v>
      </c>
      <c r="D323" s="106">
        <f>VLOOKUP($A323,'VKT US'!$B$63:$AA$113,(D$280+1),FALSE)*($AZ$69+$AZ$75)/(1+$AZ$41)^D$280</f>
        <v>2335.6749068072468</v>
      </c>
      <c r="E323" s="106">
        <f>VLOOKUP($A323,'VKT US'!$B$63:$AA$113,(E$280+1),FALSE)*($AZ$69+$AZ$75)/(1+$AZ$41)^E$280</f>
        <v>2239.8423594840988</v>
      </c>
      <c r="F323" s="106">
        <f>VLOOKUP($A323,'VKT US'!$B$63:$AA$113,(F$280+1),FALSE)*($AZ$69+$AZ$75)/(1+$AZ$41)^F$280</f>
        <v>2148.2275544214272</v>
      </c>
      <c r="G323" s="106">
        <f>VLOOKUP($A323,'VKT US'!$B$63:$AA$113,(G$280+1),FALSE)*($AZ$69+$AZ$75)/(1+$AZ$41)^G$280</f>
        <v>2061.0625957722859</v>
      </c>
      <c r="H323" s="106">
        <f>VLOOKUP($A323,'VKT US'!$B$63:$AA$113,(H$280+1),FALSE)*($AZ$69+$AZ$75)/(1+$AZ$41)^H$280</f>
        <v>1977.7118266750711</v>
      </c>
      <c r="I323" s="106">
        <f>VLOOKUP($A323,'VKT US'!$B$63:$AA$113,(I$280+1),FALSE)*($AZ$69+$AZ$75)/(1+$AZ$41)^I$280</f>
        <v>1898.4102155519727</v>
      </c>
      <c r="J323" s="106">
        <f>VLOOKUP($A323,'VKT US'!$B$63:$AA$113,(J$280+1),FALSE)*($AZ$69+$AZ$75)/(1+$AZ$41)^J$280</f>
        <v>1823.0454435534821</v>
      </c>
      <c r="K323" s="106">
        <f>VLOOKUP($A323,'VKT US'!$B$63:$AA$113,(K$280+1),FALSE)*($AZ$69+$AZ$75)/(1+$AZ$41)^K$280</f>
        <v>1751.5076183309948</v>
      </c>
      <c r="L323" s="106">
        <f>VLOOKUP($A323,'VKT US'!$B$63:$AA$113,(L$280+1),FALSE)*($AZ$69+$AZ$75)/(1+$AZ$41)^L$280</f>
        <v>1683.5264272210861</v>
      </c>
      <c r="M323" s="106">
        <f>VLOOKUP($A323,'VKT US'!$B$63:$AA$113,(M$280+1),FALSE)*($AZ$69+$AZ$75)/(1+$AZ$41)^M$280</f>
        <v>1619.1633566126541</v>
      </c>
      <c r="N323" s="106">
        <f>VLOOKUP($A323,'VKT US'!$B$63:$AA$113,(N$280+1),FALSE)*($AZ$69+$AZ$75)/(1+$AZ$41)^N$280</f>
        <v>1558.1564908644441</v>
      </c>
      <c r="O323" s="106">
        <f>VLOOKUP($A323,'VKT US'!$B$63:$AA$113,(O$280+1),FALSE)*($AZ$69+$AZ$75)/(1+$AZ$41)^O$280</f>
        <v>1500.5678599539694</v>
      </c>
      <c r="P323" s="106">
        <f>VLOOKUP($A323,'VKT US'!$B$63:$AA$113,(P$280+1),FALSE)*($AZ$69+$AZ$75)/(1+$AZ$41)^P$280</f>
        <v>1446.143685094384</v>
      </c>
      <c r="Q323" s="106">
        <f>VLOOKUP($A323,'VKT US'!$B$63:$AA$113,(Q$280+1),FALSE)*($AZ$69+$AZ$75)/(1+$AZ$41)^Q$280</f>
        <v>1395.0998408301325</v>
      </c>
      <c r="R323" s="106">
        <f>VLOOKUP($A323,'VKT US'!$B$63:$AA$113,(R$280+1),FALSE)*($AZ$69+$AZ$75)/(1+$AZ$41)^R$280</f>
        <v>1346.8818641405796</v>
      </c>
      <c r="S323" s="106">
        <f>VLOOKUP($A323,'VKT US'!$B$63:$AA$113,(S$280+1),FALSE)*($AZ$69+$AZ$75)/(1+$AZ$41)^S$280</f>
        <v>1301.8576280064078</v>
      </c>
      <c r="T323" s="106">
        <f>VLOOKUP($A323,'VKT US'!$B$63:$AA$113,(T$280+1),FALSE)*($AZ$69+$AZ$75)/(1+$AZ$41)^T$280</f>
        <v>1259.4875837087739</v>
      </c>
      <c r="U323" s="106">
        <f>VLOOKUP($A323,'VKT US'!$B$63:$AA$113,(U$280+1),FALSE)*($AZ$69+$AZ$75)/(1+$AZ$41)^U$280</f>
        <v>1220.1327459588463</v>
      </c>
      <c r="V323" s="110" cm="1">
        <f t="array" ref="V323">SUMPRODUCT(INDEX(B323:U323,,_xlfn.SEQUENCE($AZ$13)))</f>
        <v>27573.745562516582</v>
      </c>
    </row>
    <row r="324" spans="1:22" x14ac:dyDescent="0.25">
      <c r="A324" s="102" t="s">
        <v>226</v>
      </c>
      <c r="B324" s="106">
        <f>VLOOKUP($A324,'VKT US'!$B$63:$AA$113,(B$280+1),FALSE)*($AZ$69+$AZ$75)/(1+$AZ$41)^B$280</f>
        <v>2437.760558739606</v>
      </c>
      <c r="C324" s="106">
        <f>VLOOKUP($A324,'VKT US'!$B$63:$AA$113,(C$280+1),FALSE)*($AZ$69+$AZ$75)/(1+$AZ$41)^C$280</f>
        <v>2337.2077596605891</v>
      </c>
      <c r="D324" s="106">
        <f>VLOOKUP($A324,'VKT US'!$B$63:$AA$113,(D$280+1),FALSE)*($AZ$69+$AZ$75)/(1+$AZ$41)^D$280</f>
        <v>2240.930735470025</v>
      </c>
      <c r="E324" s="106">
        <f>VLOOKUP($A324,'VKT US'!$B$63:$AA$113,(E$280+1),FALSE)*($AZ$69+$AZ$75)/(1+$AZ$41)^E$280</f>
        <v>2148.9855336232554</v>
      </c>
      <c r="F324" s="106">
        <f>VLOOKUP($A324,'VKT US'!$B$63:$AA$113,(F$280+1),FALSE)*($AZ$69+$AZ$75)/(1+$AZ$41)^F$280</f>
        <v>2061.0869858027986</v>
      </c>
      <c r="G324" s="106">
        <f>VLOOKUP($A324,'VKT US'!$B$63:$AA$113,(G$280+1),FALSE)*($AZ$69+$AZ$75)/(1+$AZ$41)^G$280</f>
        <v>1977.4577811033134</v>
      </c>
      <c r="H324" s="106">
        <f>VLOOKUP($A324,'VKT US'!$B$63:$AA$113,(H$280+1),FALSE)*($AZ$69+$AZ$75)/(1+$AZ$41)^H$280</f>
        <v>1897.4880474085087</v>
      </c>
      <c r="I324" s="106">
        <f>VLOOKUP($A324,'VKT US'!$B$63:$AA$113,(I$280+1),FALSE)*($AZ$69+$AZ$75)/(1+$AZ$41)^I$280</f>
        <v>1821.4032218961422</v>
      </c>
      <c r="J324" s="106">
        <f>VLOOKUP($A324,'VKT US'!$B$63:$AA$113,(J$280+1),FALSE)*($AZ$69+$AZ$75)/(1+$AZ$41)^J$280</f>
        <v>1749.0955418115154</v>
      </c>
      <c r="K324" s="106">
        <f>VLOOKUP($A324,'VKT US'!$B$63:$AA$113,(K$280+1),FALSE)*($AZ$69+$AZ$75)/(1+$AZ$41)^K$280</f>
        <v>1680.4595724724038</v>
      </c>
      <c r="L324" s="106">
        <f>VLOOKUP($A324,'VKT US'!$B$63:$AA$113,(L$280+1),FALSE)*($AZ$69+$AZ$75)/(1+$AZ$41)^L$280</f>
        <v>1615.2359661614132</v>
      </c>
      <c r="M324" s="106">
        <f>VLOOKUP($A324,'VKT US'!$B$63:$AA$113,(M$280+1),FALSE)*($AZ$69+$AZ$75)/(1+$AZ$41)^M$280</f>
        <v>1553.4837151373945</v>
      </c>
      <c r="N324" s="106">
        <f>VLOOKUP($A324,'VKT US'!$B$63:$AA$113,(N$280+1),FALSE)*($AZ$69+$AZ$75)/(1+$AZ$41)^N$280</f>
        <v>1494.9515280888395</v>
      </c>
      <c r="O324" s="106">
        <f>VLOOKUP($A324,'VKT US'!$B$63:$AA$113,(O$280+1),FALSE)*($AZ$69+$AZ$75)/(1+$AZ$41)^O$280</f>
        <v>1439.6989188131208</v>
      </c>
      <c r="P324" s="106">
        <f>VLOOKUP($A324,'VKT US'!$B$63:$AA$113,(P$280+1),FALSE)*($AZ$69+$AZ$75)/(1+$AZ$41)^P$280</f>
        <v>1387.4824027902832</v>
      </c>
      <c r="Q324" s="106">
        <f>VLOOKUP($A324,'VKT US'!$B$63:$AA$113,(Q$280+1),FALSE)*($AZ$69+$AZ$75)/(1+$AZ$41)^Q$280</f>
        <v>1338.5090978432065</v>
      </c>
      <c r="R324" s="106">
        <f>VLOOKUP($A324,'VKT US'!$B$63:$AA$113,(R$280+1),FALSE)*($AZ$69+$AZ$75)/(1+$AZ$41)^R$280</f>
        <v>1292.2470321546646</v>
      </c>
      <c r="S324" s="106">
        <f>VLOOKUP($A324,'VKT US'!$B$63:$AA$113,(S$280+1),FALSE)*($AZ$69+$AZ$75)/(1+$AZ$41)^S$280</f>
        <v>1249.0491563286807</v>
      </c>
      <c r="T324" s="106">
        <f>VLOOKUP($A324,'VKT US'!$B$63:$AA$113,(T$280+1),FALSE)*($AZ$69+$AZ$75)/(1+$AZ$41)^T$280</f>
        <v>1208.3978078670132</v>
      </c>
      <c r="U324" s="106">
        <f>VLOOKUP($A324,'VKT US'!$B$63:$AA$113,(U$280+1),FALSE)*($AZ$69+$AZ$75)/(1+$AZ$41)^U$280</f>
        <v>1170.6393573025885</v>
      </c>
      <c r="V324" s="110" cm="1">
        <f t="array" ref="V324">SUMPRODUCT(INDEX(B324:U324,,_xlfn.SEQUENCE($AZ$13)))</f>
        <v>26455.245866188925</v>
      </c>
    </row>
    <row r="325" spans="1:22" x14ac:dyDescent="0.25">
      <c r="A325" s="102" t="s">
        <v>228</v>
      </c>
      <c r="B325" s="106">
        <f>VLOOKUP($A325,'VKT US'!$B$63:$AA$113,(B$280+1),FALSE)*($AZ$69+$AZ$75)/(1+$AZ$41)^B$280</f>
        <v>2043.0934716324978</v>
      </c>
      <c r="C325" s="106">
        <f>VLOOKUP($A325,'VKT US'!$B$63:$AA$113,(C$280+1),FALSE)*($AZ$69+$AZ$75)/(1+$AZ$41)^C$280</f>
        <v>1958.8199089086297</v>
      </c>
      <c r="D325" s="106">
        <f>VLOOKUP($A325,'VKT US'!$B$63:$AA$113,(D$280+1),FALSE)*($AZ$69+$AZ$75)/(1+$AZ$41)^D$280</f>
        <v>1878.1298842518822</v>
      </c>
      <c r="E325" s="106">
        <f>VLOOKUP($A325,'VKT US'!$B$63:$AA$113,(E$280+1),FALSE)*($AZ$69+$AZ$75)/(1+$AZ$41)^E$280</f>
        <v>1801.0703711805108</v>
      </c>
      <c r="F325" s="106">
        <f>VLOOKUP($A325,'VKT US'!$B$63:$AA$113,(F$280+1),FALSE)*($AZ$69+$AZ$75)/(1+$AZ$41)^F$280</f>
        <v>1727.4023693851245</v>
      </c>
      <c r="G325" s="106">
        <f>VLOOKUP($A325,'VKT US'!$B$63:$AA$113,(G$280+1),FALSE)*($AZ$69+$AZ$75)/(1+$AZ$41)^G$280</f>
        <v>1657.3125151757858</v>
      </c>
      <c r="H325" s="106">
        <f>VLOOKUP($A325,'VKT US'!$B$63:$AA$113,(H$280+1),FALSE)*($AZ$69+$AZ$75)/(1+$AZ$41)^H$280</f>
        <v>1590.2896731438673</v>
      </c>
      <c r="I325" s="106">
        <f>VLOOKUP($A325,'VKT US'!$B$63:$AA$113,(I$280+1),FALSE)*($AZ$69+$AZ$75)/(1+$AZ$41)^I$280</f>
        <v>1526.5227827750341</v>
      </c>
      <c r="J325" s="106">
        <f>VLOOKUP($A325,'VKT US'!$B$63:$AA$113,(J$280+1),FALSE)*($AZ$69+$AZ$75)/(1+$AZ$41)^J$280</f>
        <v>1465.9215278239849</v>
      </c>
      <c r="K325" s="106">
        <f>VLOOKUP($A325,'VKT US'!$B$63:$AA$113,(K$280+1),FALSE)*($AZ$69+$AZ$75)/(1+$AZ$41)^K$280</f>
        <v>1408.3975432090192</v>
      </c>
      <c r="L325" s="106">
        <f>VLOOKUP($A325,'VKT US'!$B$63:$AA$113,(L$280+1),FALSE)*($AZ$69+$AZ$75)/(1+$AZ$41)^L$280</f>
        <v>1353.7334689329089</v>
      </c>
      <c r="M325" s="106">
        <f>VLOOKUP($A325,'VKT US'!$B$63:$AA$113,(M$280+1),FALSE)*($AZ$69+$AZ$75)/(1+$AZ$41)^M$280</f>
        <v>1301.9787465613995</v>
      </c>
      <c r="N325" s="106">
        <f>VLOOKUP($A325,'VKT US'!$B$63:$AA$113,(N$280+1),FALSE)*($AZ$69+$AZ$75)/(1+$AZ$41)^N$280</f>
        <v>1252.9227681920129</v>
      </c>
      <c r="O325" s="106">
        <f>VLOOKUP($A325,'VKT US'!$B$63:$AA$113,(O$280+1),FALSE)*($AZ$69+$AZ$75)/(1+$AZ$41)^O$280</f>
        <v>1206.6154124932859</v>
      </c>
      <c r="P325" s="106">
        <f>VLOOKUP($A325,'VKT US'!$B$63:$AA$113,(P$280+1),FALSE)*($AZ$69+$AZ$75)/(1+$AZ$41)^P$280</f>
        <v>1162.8526144550688</v>
      </c>
      <c r="Q325" s="106">
        <f>VLOOKUP($A325,'VKT US'!$B$63:$AA$113,(Q$280+1),FALSE)*($AZ$69+$AZ$75)/(1+$AZ$41)^Q$280</f>
        <v>1121.8079600640021</v>
      </c>
      <c r="R325" s="106">
        <f>VLOOKUP($A325,'VKT US'!$B$63:$AA$113,(R$280+1),FALSE)*($AZ$69+$AZ$75)/(1+$AZ$41)^R$280</f>
        <v>1083.0356023549407</v>
      </c>
      <c r="S325" s="106">
        <f>VLOOKUP($A325,'VKT US'!$B$63:$AA$113,(S$280+1),FALSE)*($AZ$69+$AZ$75)/(1+$AZ$41)^S$280</f>
        <v>1046.8313501481157</v>
      </c>
      <c r="T325" s="106">
        <f>VLOOKUP($A325,'VKT US'!$B$63:$AA$113,(T$280+1),FALSE)*($AZ$69+$AZ$75)/(1+$AZ$41)^T$280</f>
        <v>1012.7613491558802</v>
      </c>
      <c r="U325" s="106">
        <f>VLOOKUP($A325,'VKT US'!$B$63:$AA$113,(U$280+1),FALSE)*($AZ$69+$AZ$75)/(1+$AZ$41)^U$280</f>
        <v>981.11589342374714</v>
      </c>
      <c r="V325" s="110" cm="1">
        <f t="array" ref="V325">SUMPRODUCT(INDEX(B325:U325,,_xlfn.SEQUENCE($AZ$13)))</f>
        <v>22172.210443665947</v>
      </c>
    </row>
    <row r="326" spans="1:22" x14ac:dyDescent="0.25">
      <c r="A326" s="102" t="s">
        <v>227</v>
      </c>
      <c r="B326" s="106">
        <f>VLOOKUP($A326,'VKT US'!$B$63:$AA$113,(B$280+1),FALSE)*($AZ$69+$AZ$75)/(1+$AZ$41)^B$280</f>
        <v>2279.5480759701563</v>
      </c>
      <c r="C326" s="106">
        <f>VLOOKUP($A326,'VKT US'!$B$63:$AA$113,(C$280+1),FALSE)*($AZ$69+$AZ$75)/(1+$AZ$41)^C$280</f>
        <v>2185.5212287261847</v>
      </c>
      <c r="D326" s="106">
        <f>VLOOKUP($A326,'VKT US'!$B$63:$AA$113,(D$280+1),FALSE)*($AZ$69+$AZ$75)/(1+$AZ$41)^D$280</f>
        <v>2095.4926553837709</v>
      </c>
      <c r="E326" s="106">
        <f>VLOOKUP($A326,'VKT US'!$B$63:$AA$113,(E$280+1),FALSE)*($AZ$69+$AZ$75)/(1+$AZ$41)^E$280</f>
        <v>2009.5147658765022</v>
      </c>
      <c r="F326" s="106">
        <f>VLOOKUP($A326,'VKT US'!$B$63:$AA$113,(F$280+1),FALSE)*($AZ$69+$AZ$75)/(1+$AZ$41)^F$280</f>
        <v>1927.3208995238983</v>
      </c>
      <c r="G326" s="106">
        <f>VLOOKUP($A326,'VKT US'!$B$63:$AA$113,(G$280+1),FALSE)*($AZ$69+$AZ$75)/(1+$AZ$41)^G$280</f>
        <v>1849.1192927318884</v>
      </c>
      <c r="H326" s="106">
        <f>VLOOKUP($A326,'VKT US'!$B$63:$AA$113,(H$280+1),FALSE)*($AZ$69+$AZ$75)/(1+$AZ$41)^H$280</f>
        <v>1774.3396545404776</v>
      </c>
      <c r="I326" s="106">
        <f>VLOOKUP($A326,'VKT US'!$B$63:$AA$113,(I$280+1),FALSE)*($AZ$69+$AZ$75)/(1+$AZ$41)^I$280</f>
        <v>1703.1927910860484</v>
      </c>
      <c r="J326" s="106">
        <f>VLOOKUP($A326,'VKT US'!$B$63:$AA$113,(J$280+1),FALSE)*($AZ$69+$AZ$75)/(1+$AZ$41)^J$280</f>
        <v>1635.5779334972465</v>
      </c>
      <c r="K326" s="106">
        <f>VLOOKUP($A326,'VKT US'!$B$63:$AA$113,(K$280+1),FALSE)*($AZ$69+$AZ$75)/(1+$AZ$41)^K$280</f>
        <v>1571.3964898815486</v>
      </c>
      <c r="L326" s="106">
        <f>VLOOKUP($A326,'VKT US'!$B$63:$AA$113,(L$280+1),FALSE)*($AZ$69+$AZ$75)/(1+$AZ$41)^L$280</f>
        <v>1510.4059443823114</v>
      </c>
      <c r="M326" s="106">
        <f>VLOOKUP($A326,'VKT US'!$B$63:$AA$113,(M$280+1),FALSE)*($AZ$69+$AZ$75)/(1+$AZ$41)^M$280</f>
        <v>1452.6614606166831</v>
      </c>
      <c r="N326" s="106">
        <f>VLOOKUP($A326,'VKT US'!$B$63:$AA$113,(N$280+1),FALSE)*($AZ$69+$AZ$75)/(1+$AZ$41)^N$280</f>
        <v>1397.9280562671418</v>
      </c>
      <c r="O326" s="106">
        <f>VLOOKUP($A326,'VKT US'!$B$63:$AA$113,(O$280+1),FALSE)*($AZ$69+$AZ$75)/(1+$AZ$41)^O$280</f>
        <v>1346.2613826411171</v>
      </c>
      <c r="P326" s="106">
        <f>VLOOKUP($A326,'VKT US'!$B$63:$AA$113,(P$280+1),FALSE)*($AZ$69+$AZ$75)/(1+$AZ$41)^P$280</f>
        <v>1297.4337575460311</v>
      </c>
      <c r="Q326" s="106">
        <f>VLOOKUP($A326,'VKT US'!$B$63:$AA$113,(Q$280+1),FALSE)*($AZ$69+$AZ$75)/(1+$AZ$41)^Q$280</f>
        <v>1251.638856703215</v>
      </c>
      <c r="R326" s="106">
        <f>VLOOKUP($A326,'VKT US'!$B$63:$AA$113,(R$280+1),FALSE)*($AZ$69+$AZ$75)/(1+$AZ$41)^R$280</f>
        <v>1208.3792336640904</v>
      </c>
      <c r="S326" s="106">
        <f>VLOOKUP($A326,'VKT US'!$B$63:$AA$113,(S$280+1),FALSE)*($AZ$69+$AZ$75)/(1+$AZ$41)^S$280</f>
        <v>1167.9849322746086</v>
      </c>
      <c r="T326" s="106">
        <f>VLOOKUP($A326,'VKT US'!$B$63:$AA$113,(T$280+1),FALSE)*($AZ$69+$AZ$75)/(1+$AZ$41)^T$280</f>
        <v>1129.9718867196759</v>
      </c>
      <c r="U326" s="106">
        <f>VLOOKUP($A326,'VKT US'!$B$63:$AA$113,(U$280+1),FALSE)*($AZ$69+$AZ$75)/(1+$AZ$41)^U$280</f>
        <v>1094.6639878256804</v>
      </c>
      <c r="V326" s="110" cm="1">
        <f t="array" ref="V326">SUMPRODUCT(INDEX(B326:U326,,_xlfn.SEQUENCE($AZ$13)))</f>
        <v>24738.280631124973</v>
      </c>
    </row>
    <row r="327" spans="1:22" x14ac:dyDescent="0.25">
      <c r="A327" s="102" t="s">
        <v>229</v>
      </c>
      <c r="B327" s="106">
        <f>VLOOKUP($A327,'VKT US'!$B$63:$AA$113,(B$280+1),FALSE)*($AZ$69+$AZ$75)/(1+$AZ$41)^B$280</f>
        <v>1720.2268856432033</v>
      </c>
      <c r="C327" s="106">
        <f>VLOOKUP($A327,'VKT US'!$B$63:$AA$113,(C$280+1),FALSE)*($AZ$69+$AZ$75)/(1+$AZ$41)^C$280</f>
        <v>1649.2709306859881</v>
      </c>
      <c r="D327" s="106">
        <f>VLOOKUP($A327,'VKT US'!$B$63:$AA$113,(D$280+1),FALSE)*($AZ$69+$AZ$75)/(1+$AZ$41)^D$280</f>
        <v>1581.3322133707982</v>
      </c>
      <c r="E327" s="106">
        <f>VLOOKUP($A327,'VKT US'!$B$63:$AA$113,(E$280+1),FALSE)*($AZ$69+$AZ$75)/(1+$AZ$41)^E$280</f>
        <v>1516.4502840707023</v>
      </c>
      <c r="F327" s="106">
        <f>VLOOKUP($A327,'VKT US'!$B$63:$AA$113,(F$280+1),FALSE)*($AZ$69+$AZ$75)/(1+$AZ$41)^F$280</f>
        <v>1454.4239112886596</v>
      </c>
      <c r="G327" s="106">
        <f>VLOOKUP($A327,'VKT US'!$B$63:$AA$113,(G$280+1),FALSE)*($AZ$69+$AZ$75)/(1+$AZ$41)^G$280</f>
        <v>1395.410237516124</v>
      </c>
      <c r="H327" s="106">
        <f>VLOOKUP($A327,'VKT US'!$B$63:$AA$113,(H$280+1),FALSE)*($AZ$69+$AZ$75)/(1+$AZ$41)^H$280</f>
        <v>1338.9789012036451</v>
      </c>
      <c r="I327" s="106">
        <f>VLOOKUP($A327,'VKT US'!$B$63:$AA$113,(I$280+1),FALSE)*($AZ$69+$AZ$75)/(1+$AZ$41)^I$280</f>
        <v>1285.2889840513574</v>
      </c>
      <c r="J327" s="106">
        <f>VLOOKUP($A327,'VKT US'!$B$63:$AA$113,(J$280+1),FALSE)*($AZ$69+$AZ$75)/(1+$AZ$41)^J$280</f>
        <v>1234.2644423365739</v>
      </c>
      <c r="K327" s="106">
        <f>VLOOKUP($A327,'VKT US'!$B$63:$AA$113,(K$280+1),FALSE)*($AZ$69+$AZ$75)/(1+$AZ$41)^K$280</f>
        <v>1185.8308751611467</v>
      </c>
      <c r="L327" s="106">
        <f>VLOOKUP($A327,'VKT US'!$B$63:$AA$113,(L$280+1),FALSE)*($AZ$69+$AZ$75)/(1+$AZ$41)^L$280</f>
        <v>1139.8052715584759</v>
      </c>
      <c r="M327" s="106">
        <f>VLOOKUP($A327,'VKT US'!$B$63:$AA$113,(M$280+1),FALSE)*($AZ$69+$AZ$75)/(1+$AZ$41)^M$280</f>
        <v>1096.2292599277732</v>
      </c>
      <c r="N327" s="106">
        <f>VLOOKUP($A327,'VKT US'!$B$63:$AA$113,(N$280+1),FALSE)*($AZ$69+$AZ$75)/(1+$AZ$41)^N$280</f>
        <v>1054.925514375142</v>
      </c>
      <c r="O327" s="106">
        <f>VLOOKUP($A327,'VKT US'!$B$63:$AA$113,(O$280+1),FALSE)*($AZ$69+$AZ$75)/(1+$AZ$41)^O$280</f>
        <v>1015.9360313279751</v>
      </c>
      <c r="P327" s="106">
        <f>VLOOKUP($A327,'VKT US'!$B$63:$AA$113,(P$280+1),FALSE)*($AZ$69+$AZ$75)/(1+$AZ$41)^P$280</f>
        <v>979.08899382255811</v>
      </c>
      <c r="Q327" s="106">
        <f>VLOOKUP($A327,'VKT US'!$B$63:$AA$113,(Q$280+1),FALSE)*($AZ$69+$AZ$75)/(1+$AZ$41)^Q$280</f>
        <v>944.53055634733607</v>
      </c>
      <c r="R327" s="106">
        <f>VLOOKUP($A327,'VKT US'!$B$63:$AA$113,(R$280+1),FALSE)*($AZ$69+$AZ$75)/(1+$AZ$41)^R$280</f>
        <v>911.88532837467267</v>
      </c>
      <c r="S327" s="106">
        <f>VLOOKUP($A327,'VKT US'!$B$63:$AA$113,(S$280+1),FALSE)*($AZ$69+$AZ$75)/(1+$AZ$41)^S$280</f>
        <v>881.4023725601138</v>
      </c>
      <c r="T327" s="106">
        <f>VLOOKUP($A327,'VKT US'!$B$63:$AA$113,(T$280+1),FALSE)*($AZ$69+$AZ$75)/(1+$AZ$41)^T$280</f>
        <v>852.71639587109598</v>
      </c>
      <c r="U327" s="106">
        <f>VLOOKUP($A327,'VKT US'!$B$63:$AA$113,(U$280+1),FALSE)*($AZ$69+$AZ$75)/(1+$AZ$41)^U$280</f>
        <v>826.07181767891473</v>
      </c>
      <c r="V327" s="110" cm="1">
        <f t="array" ref="V327">SUMPRODUCT(INDEX(B327:U327,,_xlfn.SEQUENCE($AZ$13)))</f>
        <v>18668.373742517571</v>
      </c>
    </row>
    <row r="328" spans="1:22" x14ac:dyDescent="0.25">
      <c r="A328" s="102" t="s">
        <v>159</v>
      </c>
      <c r="B328" s="106">
        <f>VLOOKUP($A328,'VKT US'!$B$63:$AA$113,(B$280+1),FALSE)*($AZ$69+$AZ$75)/(1+$AZ$41)^B$280</f>
        <v>2651.4338224600147</v>
      </c>
      <c r="C328" s="106">
        <f>VLOOKUP($A328,'VKT US'!$B$63:$AA$113,(C$280+1),FALSE)*($AZ$69+$AZ$75)/(1+$AZ$41)^C$280</f>
        <v>2542.0674240804397</v>
      </c>
      <c r="D328" s="106">
        <f>VLOOKUP($A328,'VKT US'!$B$63:$AA$113,(D$280+1),FALSE)*($AZ$69+$AZ$75)/(1+$AZ$41)^D$280</f>
        <v>2437.3515784862166</v>
      </c>
      <c r="E328" s="106">
        <f>VLOOKUP($A328,'VKT US'!$B$63:$AA$113,(E$280+1),FALSE)*($AZ$69+$AZ$75)/(1+$AZ$41)^E$280</f>
        <v>2337.3472457737853</v>
      </c>
      <c r="F328" s="106">
        <f>VLOOKUP($A328,'VKT US'!$B$63:$AA$113,(F$280+1),FALSE)*($AZ$69+$AZ$75)/(1+$AZ$41)^F$280</f>
        <v>2241.7442622072717</v>
      </c>
      <c r="G328" s="106">
        <f>VLOOKUP($A328,'VKT US'!$B$63:$AA$113,(G$280+1),FALSE)*($AZ$69+$AZ$75)/(1+$AZ$41)^G$280</f>
        <v>2150.7848359048417</v>
      </c>
      <c r="H328" s="106">
        <f>VLOOKUP($A328,'VKT US'!$B$63:$AA$113,(H$280+1),FALSE)*($AZ$69+$AZ$75)/(1+$AZ$41)^H$280</f>
        <v>2063.8056385708942</v>
      </c>
      <c r="I328" s="106">
        <f>VLOOKUP($A328,'VKT US'!$B$63:$AA$113,(I$280+1),FALSE)*($AZ$69+$AZ$75)/(1+$AZ$41)^I$280</f>
        <v>1981.0518672801813</v>
      </c>
      <c r="J328" s="106">
        <f>VLOOKUP($A328,'VKT US'!$B$63:$AA$113,(J$280+1),FALSE)*($AZ$69+$AZ$75)/(1+$AZ$41)^J$280</f>
        <v>1902.4063137155929</v>
      </c>
      <c r="K328" s="106">
        <f>VLOOKUP($A328,'VKT US'!$B$63:$AA$113,(K$280+1),FALSE)*($AZ$69+$AZ$75)/(1+$AZ$41)^K$280</f>
        <v>1827.754301691434</v>
      </c>
      <c r="L328" s="106">
        <f>VLOOKUP($A328,'VKT US'!$B$63:$AA$113,(L$280+1),FALSE)*($AZ$69+$AZ$75)/(1+$AZ$41)^L$280</f>
        <v>1756.8137512851256</v>
      </c>
      <c r="M328" s="106">
        <f>VLOOKUP($A328,'VKT US'!$B$63:$AA$113,(M$280+1),FALSE)*($AZ$69+$AZ$75)/(1+$AZ$41)^M$280</f>
        <v>1689.6488255129329</v>
      </c>
      <c r="N328" s="106">
        <f>VLOOKUP($A328,'VKT US'!$B$63:$AA$113,(N$280+1),FALSE)*($AZ$69+$AZ$75)/(1+$AZ$41)^N$280</f>
        <v>1625.9862070138731</v>
      </c>
      <c r="O328" s="106">
        <f>VLOOKUP($A328,'VKT US'!$B$63:$AA$113,(O$280+1),FALSE)*($AZ$69+$AZ$75)/(1+$AZ$41)^O$280</f>
        <v>1565.8906260563435</v>
      </c>
      <c r="P328" s="106">
        <f>VLOOKUP($A328,'VKT US'!$B$63:$AA$113,(P$280+1),FALSE)*($AZ$69+$AZ$75)/(1+$AZ$41)^P$280</f>
        <v>1509.097256347565</v>
      </c>
      <c r="Q328" s="106">
        <f>VLOOKUP($A328,'VKT US'!$B$63:$AA$113,(Q$280+1),FALSE)*($AZ$69+$AZ$75)/(1+$AZ$41)^Q$280</f>
        <v>1455.8313698892725</v>
      </c>
      <c r="R328" s="106">
        <f>VLOOKUP($A328,'VKT US'!$B$63:$AA$113,(R$280+1),FALSE)*($AZ$69+$AZ$75)/(1+$AZ$41)^R$280</f>
        <v>1405.5143667596105</v>
      </c>
      <c r="S328" s="106">
        <f>VLOOKUP($A328,'VKT US'!$B$63:$AA$113,(S$280+1),FALSE)*($AZ$69+$AZ$75)/(1+$AZ$41)^S$280</f>
        <v>1358.5301341971394</v>
      </c>
      <c r="T328" s="106">
        <f>VLOOKUP($A328,'VKT US'!$B$63:$AA$113,(T$280+1),FALSE)*($AZ$69+$AZ$75)/(1+$AZ$41)^T$280</f>
        <v>1314.3156358316392</v>
      </c>
      <c r="U328" s="106">
        <f>VLOOKUP($A328,'VKT US'!$B$63:$AA$113,(U$280+1),FALSE)*($AZ$69+$AZ$75)/(1+$AZ$41)^U$280</f>
        <v>1273.2476020777572</v>
      </c>
      <c r="V328" s="110" cm="1">
        <f t="array" ref="V328">SUMPRODUCT(INDEX(B328:U328,,_xlfn.SEQUENCE($AZ$13)))</f>
        <v>28774.086700038948</v>
      </c>
    </row>
    <row r="329" spans="1:22" x14ac:dyDescent="0.25">
      <c r="A329" s="102" t="s">
        <v>158</v>
      </c>
      <c r="B329" s="106">
        <f>VLOOKUP($A329,'VKT US'!$B$63:$AA$113,(B$280+1),FALSE)*($AZ$69+$AZ$75)/(1+$AZ$41)^B$280</f>
        <v>2426.1342193901132</v>
      </c>
      <c r="C329" s="106">
        <f>VLOOKUP($A329,'VKT US'!$B$63:$AA$113,(C$280+1),FALSE)*($AZ$69+$AZ$75)/(1+$AZ$41)^C$280</f>
        <v>2326.0609838024498</v>
      </c>
      <c r="D329" s="106">
        <f>VLOOKUP($A329,'VKT US'!$B$63:$AA$113,(D$280+1),FALSE)*($AZ$69+$AZ$75)/(1+$AZ$41)^D$280</f>
        <v>2230.2431307764973</v>
      </c>
      <c r="E329" s="106">
        <f>VLOOKUP($A329,'VKT US'!$B$63:$AA$113,(E$280+1),FALSE)*($AZ$69+$AZ$75)/(1+$AZ$41)^E$280</f>
        <v>2138.7364404621235</v>
      </c>
      <c r="F329" s="106">
        <f>VLOOKUP($A329,'VKT US'!$B$63:$AA$113,(F$280+1),FALSE)*($AZ$69+$AZ$75)/(1+$AZ$41)^F$280</f>
        <v>2051.257104586673</v>
      </c>
      <c r="G329" s="106">
        <f>VLOOKUP($A329,'VKT US'!$B$63:$AA$113,(G$280+1),FALSE)*($AZ$69+$AZ$75)/(1+$AZ$41)^G$280</f>
        <v>1968.0267501802894</v>
      </c>
      <c r="H329" s="106">
        <f>VLOOKUP($A329,'VKT US'!$B$63:$AA$113,(H$280+1),FALSE)*($AZ$69+$AZ$75)/(1+$AZ$41)^H$280</f>
        <v>1888.438413771732</v>
      </c>
      <c r="I329" s="106">
        <f>VLOOKUP($A329,'VKT US'!$B$63:$AA$113,(I$280+1),FALSE)*($AZ$69+$AZ$75)/(1+$AZ$41)^I$280</f>
        <v>1812.7164573678929</v>
      </c>
      <c r="J329" s="106">
        <f>VLOOKUP($A329,'VKT US'!$B$63:$AA$113,(J$280+1),FALSE)*($AZ$69+$AZ$75)/(1+$AZ$41)^J$280</f>
        <v>1740.7536321637936</v>
      </c>
      <c r="K329" s="106">
        <f>VLOOKUP($A329,'VKT US'!$B$63:$AA$113,(K$280+1),FALSE)*($AZ$69+$AZ$75)/(1+$AZ$41)^K$280</f>
        <v>1672.4450063237211</v>
      </c>
      <c r="L329" s="106">
        <f>VLOOKUP($A329,'VKT US'!$B$63:$AA$113,(L$280+1),FALSE)*($AZ$69+$AZ$75)/(1+$AZ$41)^L$280</f>
        <v>1607.5324690296818</v>
      </c>
      <c r="M329" s="106">
        <f>VLOOKUP($A329,'VKT US'!$B$63:$AA$113,(M$280+1),FALSE)*($AZ$69+$AZ$75)/(1+$AZ$41)^M$280</f>
        <v>1546.07473119049</v>
      </c>
      <c r="N329" s="106">
        <f>VLOOKUP($A329,'VKT US'!$B$63:$AA$113,(N$280+1),FALSE)*($AZ$69+$AZ$75)/(1+$AZ$41)^N$280</f>
        <v>1487.8216999708598</v>
      </c>
      <c r="O329" s="106">
        <f>VLOOKUP($A329,'VKT US'!$B$63:$AA$113,(O$280+1),FALSE)*($AZ$69+$AZ$75)/(1+$AZ$41)^O$280</f>
        <v>1432.832605330769</v>
      </c>
      <c r="P329" s="106">
        <f>VLOOKUP($A329,'VKT US'!$B$63:$AA$113,(P$280+1),FALSE)*($AZ$69+$AZ$75)/(1+$AZ$41)^P$280</f>
        <v>1380.865123993784</v>
      </c>
      <c r="Q329" s="106">
        <f>VLOOKUP($A329,'VKT US'!$B$63:$AA$113,(Q$280+1),FALSE)*($AZ$69+$AZ$75)/(1+$AZ$41)^Q$280</f>
        <v>1332.1253859818764</v>
      </c>
      <c r="R329" s="106">
        <f>VLOOKUP($A329,'VKT US'!$B$63:$AA$113,(R$280+1),FALSE)*($AZ$69+$AZ$75)/(1+$AZ$41)^R$280</f>
        <v>1286.0839565952779</v>
      </c>
      <c r="S329" s="106">
        <f>VLOOKUP($A329,'VKT US'!$B$63:$AA$113,(S$280+1),FALSE)*($AZ$69+$AZ$75)/(1+$AZ$41)^S$280</f>
        <v>1243.0921031211321</v>
      </c>
      <c r="T329" s="106">
        <f>VLOOKUP($A329,'VKT US'!$B$63:$AA$113,(T$280+1),FALSE)*($AZ$69+$AZ$75)/(1+$AZ$41)^T$280</f>
        <v>1202.6346319336437</v>
      </c>
      <c r="U329" s="106">
        <f>VLOOKUP($A329,'VKT US'!$B$63:$AA$113,(U$280+1),FALSE)*($AZ$69+$AZ$75)/(1+$AZ$41)^U$280</f>
        <v>1165.0562616309983</v>
      </c>
      <c r="V329" s="110" cm="1">
        <f t="array" ref="V329">SUMPRODUCT(INDEX(B329:U329,,_xlfn.SEQUENCE($AZ$13)))</f>
        <v>26329.073644347081</v>
      </c>
    </row>
    <row r="330" spans="1:22" x14ac:dyDescent="0.25">
      <c r="A330" s="102" t="s">
        <v>160</v>
      </c>
      <c r="B330" s="106">
        <f>VLOOKUP($A330,'VKT US'!$B$63:$AA$113,(B$280+1),FALSE)*($AZ$69+$AZ$75)/(1+$AZ$41)^B$280</f>
        <v>3781.545429769501</v>
      </c>
      <c r="C330" s="106">
        <f>VLOOKUP($A330,'VKT US'!$B$63:$AA$113,(C$280+1),FALSE)*($AZ$69+$AZ$75)/(1+$AZ$41)^C$280</f>
        <v>3625.5641639127812</v>
      </c>
      <c r="D330" s="106">
        <f>VLOOKUP($A330,'VKT US'!$B$63:$AA$113,(D$280+1),FALSE)*($AZ$69+$AZ$75)/(1+$AZ$41)^D$280</f>
        <v>3476.2156401152379</v>
      </c>
      <c r="E330" s="106">
        <f>VLOOKUP($A330,'VKT US'!$B$63:$AA$113,(E$280+1),FALSE)*($AZ$69+$AZ$75)/(1+$AZ$41)^E$280</f>
        <v>3333.5868012875821</v>
      </c>
      <c r="F330" s="106">
        <f>VLOOKUP($A330,'VKT US'!$B$63:$AA$113,(F$280+1),FALSE)*($AZ$69+$AZ$75)/(1+$AZ$41)^F$280</f>
        <v>3197.2352836612245</v>
      </c>
      <c r="G330" s="106">
        <f>VLOOKUP($A330,'VKT US'!$B$63:$AA$113,(G$280+1),FALSE)*($AZ$69+$AZ$75)/(1+$AZ$41)^G$280</f>
        <v>3067.5065308955695</v>
      </c>
      <c r="H330" s="106">
        <f>VLOOKUP($A330,'VKT US'!$B$63:$AA$113,(H$280+1),FALSE)*($AZ$69+$AZ$75)/(1+$AZ$41)^H$280</f>
        <v>2943.4544865348926</v>
      </c>
      <c r="I330" s="106">
        <f>VLOOKUP($A330,'VKT US'!$B$63:$AA$113,(I$280+1),FALSE)*($AZ$69+$AZ$75)/(1+$AZ$41)^I$280</f>
        <v>2825.4288571679717</v>
      </c>
      <c r="J330" s="106">
        <f>VLOOKUP($A330,'VKT US'!$B$63:$AA$113,(J$280+1),FALSE)*($AZ$69+$AZ$75)/(1+$AZ$41)^J$280</f>
        <v>2713.2624771759065</v>
      </c>
      <c r="K330" s="106">
        <f>VLOOKUP($A330,'VKT US'!$B$63:$AA$113,(K$280+1),FALSE)*($AZ$69+$AZ$75)/(1+$AZ$41)^K$280</f>
        <v>2606.7917923329655</v>
      </c>
      <c r="L330" s="106">
        <f>VLOOKUP($A330,'VKT US'!$B$63:$AA$113,(L$280+1),FALSE)*($AZ$69+$AZ$75)/(1+$AZ$41)^L$280</f>
        <v>2505.6144927519367</v>
      </c>
      <c r="M330" s="106">
        <f>VLOOKUP($A330,'VKT US'!$B$63:$AA$113,(M$280+1),FALSE)*($AZ$69+$AZ$75)/(1+$AZ$41)^M$280</f>
        <v>2409.8220894329684</v>
      </c>
      <c r="N330" s="106">
        <f>VLOOKUP($A330,'VKT US'!$B$63:$AA$113,(N$280+1),FALSE)*($AZ$69+$AZ$75)/(1+$AZ$41)^N$280</f>
        <v>2319.0247698872313</v>
      </c>
      <c r="O330" s="106">
        <f>VLOOKUP($A330,'VKT US'!$B$63:$AA$113,(O$280+1),FALSE)*($AZ$69+$AZ$75)/(1+$AZ$41)^O$280</f>
        <v>2233.3148541449473</v>
      </c>
      <c r="P330" s="106">
        <f>VLOOKUP($A330,'VKT US'!$B$63:$AA$113,(P$280+1),FALSE)*($AZ$69+$AZ$75)/(1+$AZ$41)^P$280</f>
        <v>2152.3146399045713</v>
      </c>
      <c r="Q330" s="106">
        <f>VLOOKUP($A330,'VKT US'!$B$63:$AA$113,(Q$280+1),FALSE)*($AZ$69+$AZ$75)/(1+$AZ$41)^Q$280</f>
        <v>2076.3454160858555</v>
      </c>
      <c r="R330" s="106">
        <f>VLOOKUP($A330,'VKT US'!$B$63:$AA$113,(R$280+1),FALSE)*($AZ$69+$AZ$75)/(1+$AZ$41)^R$280</f>
        <v>2004.5819680929765</v>
      </c>
      <c r="S330" s="106">
        <f>VLOOKUP($A330,'VKT US'!$B$63:$AA$113,(S$280+1),FALSE)*($AZ$69+$AZ$75)/(1+$AZ$41)^S$280</f>
        <v>1937.5718061146567</v>
      </c>
      <c r="T330" s="106">
        <f>VLOOKUP($A330,'VKT US'!$B$63:$AA$113,(T$280+1),FALSE)*($AZ$69+$AZ$75)/(1+$AZ$41)^T$280</f>
        <v>1874.5119127063119</v>
      </c>
      <c r="U330" s="106">
        <f>VLOOKUP($A330,'VKT US'!$B$63:$AA$113,(U$280+1),FALSE)*($AZ$69+$AZ$75)/(1+$AZ$41)^U$280</f>
        <v>1815.9395908040733</v>
      </c>
      <c r="V330" s="110" cm="1">
        <f t="array" ref="V330">SUMPRODUCT(INDEX(B330:U330,,_xlfn.SEQUENCE($AZ$13)))</f>
        <v>41038.367669070722</v>
      </c>
    </row>
    <row r="331" spans="1:22" x14ac:dyDescent="0.25">
      <c r="A331" s="103" t="s">
        <v>134</v>
      </c>
      <c r="B331" s="113">
        <f>VLOOKUP($A331,'VKT US'!$B$63:$AA$113,(B$280+1),FALSE)*($AZ$69+$AZ$75)/(1+$AZ$41)^B$280</f>
        <v>2240.5160980834999</v>
      </c>
      <c r="C331" s="113">
        <f>VLOOKUP($A331,'VKT US'!$B$63:$AA$113,(C$280+1),FALSE)*($AZ$69+$AZ$75)/(1+$AZ$41)^C$280</f>
        <v>2148.0992426888197</v>
      </c>
      <c r="D331" s="113">
        <f>VLOOKUP($A331,'VKT US'!$B$63:$AA$113,(D$280+1),FALSE)*($AZ$69+$AZ$75)/(1+$AZ$41)^D$280</f>
        <v>2059.6122000212404</v>
      </c>
      <c r="E331" s="113">
        <f>VLOOKUP($A331,'VKT US'!$B$63:$AA$113,(E$280+1),FALSE)*($AZ$69+$AZ$75)/(1+$AZ$41)^E$280</f>
        <v>1975.1064826156985</v>
      </c>
      <c r="F331" s="113">
        <f>VLOOKUP($A331,'VKT US'!$B$63:$AA$113,(F$280+1),FALSE)*($AZ$69+$AZ$75)/(1+$AZ$41)^F$280</f>
        <v>1894.3199957378743</v>
      </c>
      <c r="G331" s="113">
        <f>VLOOKUP($A331,'VKT US'!$B$63:$AA$113,(G$280+1),FALSE)*($AZ$69+$AZ$75)/(1+$AZ$41)^G$280</f>
        <v>1817.4574102278382</v>
      </c>
      <c r="H331" s="113">
        <f>VLOOKUP($A331,'VKT US'!$B$63:$AA$113,(H$280+1),FALSE)*($AZ$69+$AZ$75)/(1+$AZ$41)^H$280</f>
        <v>1743.9582000366208</v>
      </c>
      <c r="I331" s="113">
        <f>VLOOKUP($A331,'VKT US'!$B$63:$AA$113,(I$280+1),FALSE)*($AZ$69+$AZ$75)/(1+$AZ$41)^I$280</f>
        <v>1674.029561734068</v>
      </c>
      <c r="J331" s="113">
        <f>VLOOKUP($A331,'VKT US'!$B$63:$AA$113,(J$280+1),FALSE)*($AZ$69+$AZ$75)/(1+$AZ$41)^J$280</f>
        <v>1607.572451882213</v>
      </c>
      <c r="K331" s="113">
        <f>VLOOKUP($A331,'VKT US'!$B$63:$AA$113,(K$280+1),FALSE)*($AZ$69+$AZ$75)/(1+$AZ$41)^K$280</f>
        <v>1544.4899667462021</v>
      </c>
      <c r="L331" s="113">
        <f>VLOOKUP($A331,'VKT US'!$B$63:$AA$113,(L$280+1),FALSE)*($AZ$69+$AZ$75)/(1+$AZ$41)^L$280</f>
        <v>1484.5437429914</v>
      </c>
      <c r="M331" s="113">
        <f>VLOOKUP($A331,'VKT US'!$B$63:$AA$113,(M$280+1),FALSE)*($AZ$69+$AZ$75)/(1+$AZ$41)^M$280</f>
        <v>1427.7879996858549</v>
      </c>
      <c r="N331" s="113">
        <f>VLOOKUP($A331,'VKT US'!$B$63:$AA$113,(N$280+1),FALSE)*($AZ$69+$AZ$75)/(1+$AZ$41)^N$280</f>
        <v>1373.9917780396545</v>
      </c>
      <c r="O331" s="113">
        <f>VLOOKUP($A331,'VKT US'!$B$63:$AA$113,(O$280+1),FALSE)*($AZ$69+$AZ$75)/(1+$AZ$41)^O$280</f>
        <v>1323.2097764605614</v>
      </c>
      <c r="P331" s="113">
        <f>VLOOKUP($A331,'VKT US'!$B$63:$AA$113,(P$280+1),FALSE)*($AZ$69+$AZ$75)/(1+$AZ$41)^P$280</f>
        <v>1275.2182112858868</v>
      </c>
      <c r="Q331" s="113">
        <f>VLOOKUP($A331,'VKT US'!$B$63:$AA$113,(Q$280+1),FALSE)*($AZ$69+$AZ$75)/(1+$AZ$41)^Q$280</f>
        <v>1230.2074419890823</v>
      </c>
      <c r="R331" s="113">
        <f>VLOOKUP($A331,'VKT US'!$B$63:$AA$113,(R$280+1),FALSE)*($AZ$69+$AZ$75)/(1+$AZ$41)^R$280</f>
        <v>1187.6885397391561</v>
      </c>
      <c r="S331" s="113">
        <f>VLOOKUP($A331,'VKT US'!$B$63:$AA$113,(S$280+1),FALSE)*($AZ$69+$AZ$75)/(1+$AZ$41)^S$280</f>
        <v>1147.9858971460828</v>
      </c>
      <c r="T331" s="113">
        <f>VLOOKUP($A331,'VKT US'!$B$63:$AA$113,(T$280+1),FALSE)*($AZ$69+$AZ$75)/(1+$AZ$41)^T$280</f>
        <v>1110.6237369000171</v>
      </c>
      <c r="U331" s="113">
        <f>VLOOKUP($A331,'VKT US'!$B$63:$AA$113,(U$280+1),FALSE)*($AZ$69+$AZ$75)/(1+$AZ$41)^U$280</f>
        <v>1075.9204039475705</v>
      </c>
      <c r="V331" s="98" cm="1">
        <f t="array" ref="V331">SUMPRODUCT(INDEX(B331:U331,,_xlfn.SEQUENCE($AZ$13)))</f>
        <v>24314.694906951539</v>
      </c>
    </row>
    <row r="334" spans="1:22" x14ac:dyDescent="0.25">
      <c r="A334" s="105" t="s">
        <v>459</v>
      </c>
    </row>
    <row r="335" spans="1:22" x14ac:dyDescent="0.25">
      <c r="A335" s="213" t="s">
        <v>3</v>
      </c>
      <c r="B335" s="216" t="s">
        <v>317</v>
      </c>
      <c r="C335" s="216"/>
      <c r="D335" s="216"/>
      <c r="E335" s="216"/>
      <c r="F335" s="216"/>
      <c r="G335" s="216"/>
      <c r="H335" s="216"/>
      <c r="I335" s="216"/>
      <c r="J335" s="216"/>
      <c r="K335" s="216"/>
      <c r="L335" s="216"/>
      <c r="M335" s="216"/>
      <c r="N335" s="216"/>
      <c r="O335" s="216"/>
      <c r="P335" s="216"/>
      <c r="Q335" s="216"/>
      <c r="R335" s="216"/>
      <c r="S335" s="216"/>
      <c r="T335" s="216"/>
      <c r="U335" s="216"/>
      <c r="V335" s="214" t="s">
        <v>453</v>
      </c>
    </row>
    <row r="336" spans="1:22" x14ac:dyDescent="0.25">
      <c r="A336" s="213"/>
      <c r="B336" s="73">
        <v>1</v>
      </c>
      <c r="C336" s="73">
        <v>2</v>
      </c>
      <c r="D336" s="73">
        <v>3</v>
      </c>
      <c r="E336" s="73">
        <v>4</v>
      </c>
      <c r="F336" s="73">
        <v>5</v>
      </c>
      <c r="G336" s="73">
        <v>6</v>
      </c>
      <c r="H336" s="73">
        <v>7</v>
      </c>
      <c r="I336" s="73">
        <v>8</v>
      </c>
      <c r="J336" s="73">
        <v>9</v>
      </c>
      <c r="K336" s="73">
        <v>10</v>
      </c>
      <c r="L336" s="73">
        <v>11</v>
      </c>
      <c r="M336" s="73">
        <v>12</v>
      </c>
      <c r="N336" s="73">
        <v>13</v>
      </c>
      <c r="O336" s="73">
        <v>14</v>
      </c>
      <c r="P336" s="73">
        <v>15</v>
      </c>
      <c r="Q336" s="73">
        <v>16</v>
      </c>
      <c r="R336" s="73">
        <v>17</v>
      </c>
      <c r="S336" s="73">
        <v>18</v>
      </c>
      <c r="T336" s="73">
        <v>19</v>
      </c>
      <c r="U336" s="73">
        <v>20</v>
      </c>
      <c r="V336" s="215"/>
    </row>
    <row r="337" spans="1:22" x14ac:dyDescent="0.25">
      <c r="A337" s="102" t="s">
        <v>187</v>
      </c>
      <c r="B337" s="106">
        <f>VLOOKUP($A337,'VKT US'!$B$63:$AA$113,(B$336+1),FALSE)*($BA$69+$BA$75)/(1+$AZ$41)^B$336</f>
        <v>1743.0958082302504</v>
      </c>
      <c r="C337" s="106">
        <f>VLOOKUP($A337,'VKT US'!$B$63:$AA$113,(C$336+1),FALSE)*($BA$69+$BA$75)/(1+$AZ$41)^C$336</f>
        <v>1671.1965554705482</v>
      </c>
      <c r="D337" s="106">
        <f>VLOOKUP($A337,'VKT US'!$B$63:$AA$113,(D$336+1),FALSE)*($BA$69+$BA$75)/(1+$AZ$41)^D$336</f>
        <v>1602.3546519071306</v>
      </c>
      <c r="E337" s="106">
        <f>VLOOKUP($A337,'VKT US'!$B$63:$AA$113,(E$336+1),FALSE)*($BA$69+$BA$75)/(1+$AZ$41)^E$336</f>
        <v>1536.610173700931</v>
      </c>
      <c r="F337" s="106">
        <f>VLOOKUP($A337,'VKT US'!$B$63:$AA$113,(F$336+1),FALSE)*($BA$69+$BA$75)/(1+$AZ$41)^F$336</f>
        <v>1473.7592141569053</v>
      </c>
      <c r="G337" s="106">
        <f>VLOOKUP($A337,'VKT US'!$B$63:$AA$113,(G$336+1),FALSE)*($BA$69+$BA$75)/(1+$AZ$41)^G$336</f>
        <v>1413.9610048394691</v>
      </c>
      <c r="H337" s="106">
        <f>VLOOKUP($A337,'VKT US'!$B$63:$AA$113,(H$336+1),FALSE)*($BA$69+$BA$75)/(1+$AZ$41)^H$336</f>
        <v>1356.7794629161001</v>
      </c>
      <c r="I337" s="106">
        <f>VLOOKUP($A337,'VKT US'!$B$63:$AA$113,(I$336+1),FALSE)*($BA$69+$BA$75)/(1+$AZ$41)^I$336</f>
        <v>1302.3757849399881</v>
      </c>
      <c r="J337" s="106">
        <f>VLOOKUP($A337,'VKT US'!$B$63:$AA$113,(J$336+1),FALSE)*($BA$69+$BA$75)/(1+$AZ$41)^J$336</f>
        <v>1250.6729162531913</v>
      </c>
      <c r="K337" s="106">
        <f>VLOOKUP($A337,'VKT US'!$B$63:$AA$113,(K$336+1),FALSE)*($BA$69+$BA$75)/(1+$AZ$41)^K$336</f>
        <v>1201.5954668622296</v>
      </c>
      <c r="L337" s="106">
        <f>VLOOKUP($A337,'VKT US'!$B$63:$AA$113,(L$336+1),FALSE)*($BA$69+$BA$75)/(1+$AZ$41)^L$336</f>
        <v>1154.9579928286314</v>
      </c>
      <c r="M337" s="106">
        <f>VLOOKUP($A337,'VKT US'!$B$63:$AA$113,(M$336+1),FALSE)*($BA$69+$BA$75)/(1+$AZ$41)^M$336</f>
        <v>1110.8026759650249</v>
      </c>
      <c r="N337" s="106">
        <f>VLOOKUP($A337,'VKT US'!$B$63:$AA$113,(N$336+1),FALSE)*($BA$69+$BA$75)/(1+$AZ$41)^N$336</f>
        <v>1068.9498329837454</v>
      </c>
      <c r="O337" s="106">
        <f>VLOOKUP($A337,'VKT US'!$B$63:$AA$113,(O$336+1),FALSE)*($BA$69+$BA$75)/(1+$AZ$41)^O$336</f>
        <v>1029.4420186182181</v>
      </c>
      <c r="P337" s="106">
        <f>VLOOKUP($A337,'VKT US'!$B$63:$AA$113,(P$336+1),FALSE)*($BA$69+$BA$75)/(1+$AZ$41)^P$336</f>
        <v>992.10513174740277</v>
      </c>
      <c r="Q337" s="106">
        <f>VLOOKUP($A337,'VKT US'!$B$63:$AA$113,(Q$336+1),FALSE)*($BA$69+$BA$75)/(1+$AZ$41)^Q$336</f>
        <v>957.08726985674707</v>
      </c>
      <c r="R337" s="106">
        <f>VLOOKUP($A337,'VKT US'!$B$63:$AA$113,(R$336+1),FALSE)*($BA$69+$BA$75)/(1+$AZ$41)^R$336</f>
        <v>924.00805192754115</v>
      </c>
      <c r="S337" s="106">
        <f>VLOOKUP($A337,'VKT US'!$B$63:$AA$113,(S$336+1),FALSE)*($BA$69+$BA$75)/(1+$AZ$41)^S$336</f>
        <v>893.11985168704894</v>
      </c>
      <c r="T337" s="106">
        <f>VLOOKUP($A337,'VKT US'!$B$63:$AA$113,(T$336+1),FALSE)*($BA$69+$BA$75)/(1+$AZ$41)^T$336</f>
        <v>864.05251984906226</v>
      </c>
      <c r="U337" s="106">
        <f>VLOOKUP($A337,'VKT US'!$B$63:$AA$113,(U$336+1),FALSE)*($BA$69+$BA$75)/(1+$AZ$41)^U$336</f>
        <v>837.05372512816189</v>
      </c>
      <c r="V337" s="109" cm="1">
        <f t="array" ref="V337">SUMPRODUCT(INDEX(B337:U337,,_xlfn.SEQUENCE($AZ$13)))</f>
        <v>18916.553559672364</v>
      </c>
    </row>
    <row r="338" spans="1:22" x14ac:dyDescent="0.25">
      <c r="A338" s="102" t="s">
        <v>231</v>
      </c>
      <c r="B338" s="106">
        <f>VLOOKUP($A338,'VKT US'!$B$63:$AA$113,(B$336+1),FALSE)*($BA$69+$BA$75)/(1+$AZ$41)^B$336</f>
        <v>1087.0257352666733</v>
      </c>
      <c r="C338" s="106">
        <f>VLOOKUP($A338,'VKT US'!$B$63:$AA$113,(C$336+1),FALSE)*($BA$69+$BA$75)/(1+$AZ$41)^C$336</f>
        <v>1042.1880747507021</v>
      </c>
      <c r="D338" s="106">
        <f>VLOOKUP($A338,'VKT US'!$B$63:$AA$113,(D$336+1),FALSE)*($BA$69+$BA$75)/(1+$AZ$41)^D$336</f>
        <v>999.25703189875549</v>
      </c>
      <c r="E338" s="106">
        <f>VLOOKUP($A338,'VKT US'!$B$63:$AA$113,(E$336+1),FALSE)*($BA$69+$BA$75)/(1+$AZ$41)^E$336</f>
        <v>958.25759892187466</v>
      </c>
      <c r="F338" s="106">
        <f>VLOOKUP($A338,'VKT US'!$B$63:$AA$113,(F$336+1),FALSE)*($BA$69+$BA$75)/(1+$AZ$41)^F$336</f>
        <v>919.06261595652336</v>
      </c>
      <c r="G338" s="106">
        <f>VLOOKUP($A338,'VKT US'!$B$63:$AA$113,(G$336+1),FALSE)*($BA$69+$BA$75)/(1+$AZ$41)^G$336</f>
        <v>881.77138265540452</v>
      </c>
      <c r="H338" s="106">
        <f>VLOOKUP($A338,'VKT US'!$B$63:$AA$113,(H$336+1),FALSE)*($BA$69+$BA$75)/(1+$AZ$41)^H$336</f>
        <v>846.11194996131712</v>
      </c>
      <c r="I338" s="106">
        <f>VLOOKUP($A338,'VKT US'!$B$63:$AA$113,(I$336+1),FALSE)*($BA$69+$BA$75)/(1+$AZ$41)^I$336</f>
        <v>812.18484292912433</v>
      </c>
      <c r="J338" s="106">
        <f>VLOOKUP($A338,'VKT US'!$B$63:$AA$113,(J$336+1),FALSE)*($BA$69+$BA$75)/(1+$AZ$41)^J$336</f>
        <v>779.94200889539252</v>
      </c>
      <c r="K338" s="106">
        <f>VLOOKUP($A338,'VKT US'!$B$63:$AA$113,(K$336+1),FALSE)*($BA$69+$BA$75)/(1+$AZ$41)^K$336</f>
        <v>749.33643331123255</v>
      </c>
      <c r="L338" s="106">
        <f>VLOOKUP($A338,'VKT US'!$B$63:$AA$113,(L$336+1),FALSE)*($BA$69+$BA$75)/(1+$AZ$41)^L$336</f>
        <v>720.25247001846117</v>
      </c>
      <c r="M338" s="106">
        <f>VLOOKUP($A338,'VKT US'!$B$63:$AA$113,(M$336+1),FALSE)*($BA$69+$BA$75)/(1+$AZ$41)^M$336</f>
        <v>692.71642435019317</v>
      </c>
      <c r="N338" s="106">
        <f>VLOOKUP($A338,'VKT US'!$B$63:$AA$113,(N$336+1),FALSE)*($BA$69+$BA$75)/(1+$AZ$41)^N$336</f>
        <v>666.61624259316375</v>
      </c>
      <c r="O338" s="106">
        <f>VLOOKUP($A338,'VKT US'!$B$63:$AA$113,(O$336+1),FALSE)*($BA$69+$BA$75)/(1+$AZ$41)^O$336</f>
        <v>641.97846264056909</v>
      </c>
      <c r="P338" s="106">
        <f>VLOOKUP($A338,'VKT US'!$B$63:$AA$113,(P$336+1),FALSE)*($BA$69+$BA$75)/(1+$AZ$41)^P$336</f>
        <v>618.69451191813391</v>
      </c>
      <c r="Q338" s="106">
        <f>VLOOKUP($A338,'VKT US'!$B$63:$AA$113,(Q$336+1),FALSE)*($BA$69+$BA$75)/(1+$AZ$41)^Q$336</f>
        <v>596.85674666769467</v>
      </c>
      <c r="R338" s="106">
        <f>VLOOKUP($A338,'VKT US'!$B$63:$AA$113,(R$336+1),FALSE)*($BA$69+$BA$75)/(1+$AZ$41)^R$336</f>
        <v>576.22795447981764</v>
      </c>
      <c r="S338" s="106">
        <f>VLOOKUP($A338,'VKT US'!$B$63:$AA$113,(S$336+1),FALSE)*($BA$69+$BA$75)/(1+$AZ$41)^S$336</f>
        <v>556.96552012655332</v>
      </c>
      <c r="T338" s="106">
        <f>VLOOKUP($A338,'VKT US'!$B$63:$AA$113,(T$336+1),FALSE)*($BA$69+$BA$75)/(1+$AZ$41)^T$336</f>
        <v>538.83861188993262</v>
      </c>
      <c r="U338" s="106">
        <f>VLOOKUP($A338,'VKT US'!$B$63:$AA$113,(U$336+1),FALSE)*($BA$69+$BA$75)/(1+$AZ$41)^U$336</f>
        <v>522.00168041191034</v>
      </c>
      <c r="V338" s="110" cm="1">
        <f t="array" ref="V338">SUMPRODUCT(INDEX(B338:U338,,_xlfn.SEQUENCE($AZ$13)))</f>
        <v>11796.701274149387</v>
      </c>
    </row>
    <row r="339" spans="1:22" x14ac:dyDescent="0.25">
      <c r="A339" s="102" t="s">
        <v>189</v>
      </c>
      <c r="B339" s="106">
        <f>VLOOKUP($A339,'VKT US'!$B$63:$AA$113,(B$336+1),FALSE)*($BA$69+$BA$75)/(1+$AZ$41)^B$336</f>
        <v>1280.6378250959185</v>
      </c>
      <c r="C339" s="106">
        <f>VLOOKUP($A339,'VKT US'!$B$63:$AA$113,(C$336+1),FALSE)*($BA$69+$BA$75)/(1+$AZ$41)^C$336</f>
        <v>1227.8140490042922</v>
      </c>
      <c r="D339" s="106">
        <f>VLOOKUP($A339,'VKT US'!$B$63:$AA$113,(D$336+1),FALSE)*($BA$69+$BA$75)/(1+$AZ$41)^D$336</f>
        <v>1177.2364816447403</v>
      </c>
      <c r="E339" s="106">
        <f>VLOOKUP($A339,'VKT US'!$B$63:$AA$113,(E$336+1),FALSE)*($BA$69+$BA$75)/(1+$AZ$41)^E$336</f>
        <v>1128.9345666355268</v>
      </c>
      <c r="F339" s="106">
        <f>VLOOKUP($A339,'VKT US'!$B$63:$AA$113,(F$336+1),FALSE)*($BA$69+$BA$75)/(1+$AZ$41)^F$336</f>
        <v>1082.7584954433346</v>
      </c>
      <c r="G339" s="106">
        <f>VLOOKUP($A339,'VKT US'!$B$63:$AA$113,(G$336+1),FALSE)*($BA$69+$BA$75)/(1+$AZ$41)^G$336</f>
        <v>1038.8252541588736</v>
      </c>
      <c r="H339" s="106">
        <f>VLOOKUP($A339,'VKT US'!$B$63:$AA$113,(H$336+1),FALSE)*($BA$69+$BA$75)/(1+$AZ$41)^H$336</f>
        <v>996.81445639399158</v>
      </c>
      <c r="I339" s="106">
        <f>VLOOKUP($A339,'VKT US'!$B$63:$AA$113,(I$336+1),FALSE)*($BA$69+$BA$75)/(1+$AZ$41)^I$336</f>
        <v>956.8445319001205</v>
      </c>
      <c r="J339" s="106">
        <f>VLOOKUP($A339,'VKT US'!$B$63:$AA$113,(J$336+1),FALSE)*($BA$69+$BA$75)/(1+$AZ$41)^J$336</f>
        <v>918.85886926835462</v>
      </c>
      <c r="K339" s="106">
        <f>VLOOKUP($A339,'VKT US'!$B$63:$AA$113,(K$336+1),FALSE)*($BA$69+$BA$75)/(1+$AZ$41)^K$336</f>
        <v>882.80208010476417</v>
      </c>
      <c r="L339" s="106">
        <f>VLOOKUP($A339,'VKT US'!$B$63:$AA$113,(L$336+1),FALSE)*($BA$69+$BA$75)/(1+$AZ$41)^L$336</f>
        <v>848.53792030795216</v>
      </c>
      <c r="M339" s="106">
        <f>VLOOKUP($A339,'VKT US'!$B$63:$AA$113,(M$336+1),FALSE)*($BA$69+$BA$75)/(1+$AZ$41)^M$336</f>
        <v>816.09738050076771</v>
      </c>
      <c r="N339" s="106">
        <f>VLOOKUP($A339,'VKT US'!$B$63:$AA$113,(N$336+1),FALSE)*($BA$69+$BA$75)/(1+$AZ$41)^N$336</f>
        <v>785.34844888349505</v>
      </c>
      <c r="O339" s="106">
        <f>VLOOKUP($A339,'VKT US'!$B$63:$AA$113,(O$336+1),FALSE)*($BA$69+$BA$75)/(1+$AZ$41)^O$336</f>
        <v>756.32239006075508</v>
      </c>
      <c r="P339" s="106">
        <f>VLOOKUP($A339,'VKT US'!$B$63:$AA$113,(P$336+1),FALSE)*($BA$69+$BA$75)/(1+$AZ$41)^P$336</f>
        <v>728.89129340368754</v>
      </c>
      <c r="Q339" s="106">
        <f>VLOOKUP($A339,'VKT US'!$B$63:$AA$113,(Q$336+1),FALSE)*($BA$69+$BA$75)/(1+$AZ$41)^Q$336</f>
        <v>703.16396488885994</v>
      </c>
      <c r="R339" s="106">
        <f>VLOOKUP($A339,'VKT US'!$B$63:$AA$113,(R$336+1),FALSE)*($BA$69+$BA$75)/(1+$AZ$41)^R$336</f>
        <v>678.860941782091</v>
      </c>
      <c r="S339" s="106">
        <f>VLOOKUP($A339,'VKT US'!$B$63:$AA$113,(S$336+1),FALSE)*($BA$69+$BA$75)/(1+$AZ$41)^S$336</f>
        <v>656.1676409375018</v>
      </c>
      <c r="T339" s="106">
        <f>VLOOKUP($A339,'VKT US'!$B$63:$AA$113,(T$336+1),FALSE)*($BA$69+$BA$75)/(1+$AZ$41)^T$336</f>
        <v>634.81211678869761</v>
      </c>
      <c r="U339" s="106">
        <f>VLOOKUP($A339,'VKT US'!$B$63:$AA$113,(U$336+1),FALSE)*($BA$69+$BA$75)/(1+$AZ$41)^U$336</f>
        <v>614.97632945656619</v>
      </c>
      <c r="V339" s="110" cm="1">
        <f t="array" ref="V339">SUMPRODUCT(INDEX(B339:U339,,_xlfn.SEQUENCE($AZ$13)))</f>
        <v>13897.832749402885</v>
      </c>
    </row>
    <row r="340" spans="1:22" x14ac:dyDescent="0.25">
      <c r="A340" s="102" t="s">
        <v>188</v>
      </c>
      <c r="B340" s="106">
        <f>VLOOKUP($A340,'VKT US'!$B$63:$AA$113,(B$336+1),FALSE)*($BA$69+$BA$75)/(1+$AZ$41)^B$336</f>
        <v>1685.0806645876321</v>
      </c>
      <c r="C340" s="106">
        <f>VLOOKUP($A340,'VKT US'!$B$63:$AA$113,(C$336+1),FALSE)*($BA$69+$BA$75)/(1+$AZ$41)^C$336</f>
        <v>1615.5744216997653</v>
      </c>
      <c r="D340" s="106">
        <f>VLOOKUP($A340,'VKT US'!$B$63:$AA$113,(D$336+1),FALSE)*($BA$69+$BA$75)/(1+$AZ$41)^D$336</f>
        <v>1549.0237708058828</v>
      </c>
      <c r="E340" s="106">
        <f>VLOOKUP($A340,'VKT US'!$B$63:$AA$113,(E$336+1),FALSE)*($BA$69+$BA$75)/(1+$AZ$41)^E$336</f>
        <v>1485.4674542192756</v>
      </c>
      <c r="F340" s="106">
        <f>VLOOKUP($A340,'VKT US'!$B$63:$AA$113,(F$336+1),FALSE)*($BA$69+$BA$75)/(1+$AZ$41)^F$336</f>
        <v>1424.7083518346826</v>
      </c>
      <c r="G340" s="106">
        <f>VLOOKUP($A340,'VKT US'!$B$63:$AA$113,(G$336+1),FALSE)*($BA$69+$BA$75)/(1+$AZ$41)^G$336</f>
        <v>1366.9003955410572</v>
      </c>
      <c r="H340" s="106">
        <f>VLOOKUP($A340,'VKT US'!$B$63:$AA$113,(H$336+1),FALSE)*($BA$69+$BA$75)/(1+$AZ$41)^H$336</f>
        <v>1311.6220165722011</v>
      </c>
      <c r="I340" s="106">
        <f>VLOOKUP($A340,'VKT US'!$B$63:$AA$113,(I$336+1),FALSE)*($BA$69+$BA$75)/(1+$AZ$41)^I$336</f>
        <v>1259.0290464054756</v>
      </c>
      <c r="J340" s="106">
        <f>VLOOKUP($A340,'VKT US'!$B$63:$AA$113,(J$336+1),FALSE)*($BA$69+$BA$75)/(1+$AZ$41)^J$336</f>
        <v>1209.0469949792314</v>
      </c>
      <c r="K340" s="106">
        <f>VLOOKUP($A340,'VKT US'!$B$63:$AA$113,(K$336+1),FALSE)*($BA$69+$BA$75)/(1+$AZ$41)^K$336</f>
        <v>1161.6029814915553</v>
      </c>
      <c r="L340" s="106">
        <f>VLOOKUP($A340,'VKT US'!$B$63:$AA$113,(L$336+1),FALSE)*($BA$69+$BA$75)/(1+$AZ$41)^L$336</f>
        <v>1116.5177341011588</v>
      </c>
      <c r="M340" s="106">
        <f>VLOOKUP($A340,'VKT US'!$B$63:$AA$113,(M$336+1),FALSE)*($BA$69+$BA$75)/(1+$AZ$41)^M$336</f>
        <v>1073.8320306910023</v>
      </c>
      <c r="N340" s="106">
        <f>VLOOKUP($A340,'VKT US'!$B$63:$AA$113,(N$336+1),FALSE)*($BA$69+$BA$75)/(1+$AZ$41)^N$336</f>
        <v>1033.3721683399019</v>
      </c>
      <c r="O340" s="106">
        <f>VLOOKUP($A340,'VKT US'!$B$63:$AA$113,(O$336+1),FALSE)*($BA$69+$BA$75)/(1+$AZ$41)^O$336</f>
        <v>995.17928543975904</v>
      </c>
      <c r="P340" s="106">
        <f>VLOOKUP($A340,'VKT US'!$B$63:$AA$113,(P$336+1),FALSE)*($BA$69+$BA$75)/(1+$AZ$41)^P$336</f>
        <v>959.08507544576878</v>
      </c>
      <c r="Q340" s="106">
        <f>VLOOKUP($A340,'VKT US'!$B$63:$AA$113,(Q$336+1),FALSE)*($BA$69+$BA$75)/(1+$AZ$41)^Q$336</f>
        <v>925.2327067414609</v>
      </c>
      <c r="R340" s="106">
        <f>VLOOKUP($A340,'VKT US'!$B$63:$AA$113,(R$336+1),FALSE)*($BA$69+$BA$75)/(1+$AZ$41)^R$336</f>
        <v>893.25445846101866</v>
      </c>
      <c r="S340" s="106">
        <f>VLOOKUP($A340,'VKT US'!$B$63:$AA$113,(S$336+1),FALSE)*($BA$69+$BA$75)/(1+$AZ$41)^S$336</f>
        <v>863.39430462242399</v>
      </c>
      <c r="T340" s="106">
        <f>VLOOKUP($A340,'VKT US'!$B$63:$AA$113,(T$336+1),FALSE)*($BA$69+$BA$75)/(1+$AZ$41)^T$336</f>
        <v>835.29441555145343</v>
      </c>
      <c r="U340" s="106">
        <f>VLOOKUP($A340,'VKT US'!$B$63:$AA$113,(U$336+1),FALSE)*($BA$69+$BA$75)/(1+$AZ$41)^U$336</f>
        <v>809.19421684949555</v>
      </c>
      <c r="V340" s="110" cm="1">
        <f t="array" ref="V340">SUMPRODUCT(INDEX(B340:U340,,_xlfn.SEQUENCE($AZ$13)))</f>
        <v>18286.957316708584</v>
      </c>
    </row>
    <row r="341" spans="1:22" x14ac:dyDescent="0.25">
      <c r="A341" s="102" t="s">
        <v>149</v>
      </c>
      <c r="B341" s="106">
        <f>VLOOKUP($A341,'VKT US'!$B$63:$AA$113,(B$336+1),FALSE)*($BA$69+$BA$75)/(1+$AZ$41)^B$336</f>
        <v>1225.2641804049874</v>
      </c>
      <c r="C341" s="106">
        <f>VLOOKUP($A341,'VKT US'!$B$63:$AA$113,(C$336+1),FALSE)*($BA$69+$BA$75)/(1+$AZ$41)^C$336</f>
        <v>1174.7244575805773</v>
      </c>
      <c r="D341" s="106">
        <f>VLOOKUP($A341,'VKT US'!$B$63:$AA$113,(D$336+1),FALSE)*($BA$69+$BA$75)/(1+$AZ$41)^D$336</f>
        <v>1126.3338194131954</v>
      </c>
      <c r="E341" s="106">
        <f>VLOOKUP($A341,'VKT US'!$B$63:$AA$113,(E$336+1),FALSE)*($BA$69+$BA$75)/(1+$AZ$41)^E$336</f>
        <v>1080.1204364051443</v>
      </c>
      <c r="F341" s="106">
        <f>VLOOKUP($A341,'VKT US'!$B$63:$AA$113,(F$336+1),FALSE)*($BA$69+$BA$75)/(1+$AZ$41)^F$336</f>
        <v>1035.9409776113312</v>
      </c>
      <c r="G341" s="106">
        <f>VLOOKUP($A341,'VKT US'!$B$63:$AA$113,(G$336+1),FALSE)*($BA$69+$BA$75)/(1+$AZ$41)^G$336</f>
        <v>993.90737074757317</v>
      </c>
      <c r="H341" s="106">
        <f>VLOOKUP($A341,'VKT US'!$B$63:$AA$113,(H$336+1),FALSE)*($BA$69+$BA$75)/(1+$AZ$41)^H$336</f>
        <v>953.7130826492247</v>
      </c>
      <c r="I341" s="106">
        <f>VLOOKUP($A341,'VKT US'!$B$63:$AA$113,(I$336+1),FALSE)*($BA$69+$BA$75)/(1+$AZ$41)^I$336</f>
        <v>915.47142227021436</v>
      </c>
      <c r="J341" s="106">
        <f>VLOOKUP($A341,'VKT US'!$B$63:$AA$113,(J$336+1),FALSE)*($BA$69+$BA$75)/(1+$AZ$41)^J$336</f>
        <v>879.12822602879089</v>
      </c>
      <c r="K341" s="106">
        <f>VLOOKUP($A341,'VKT US'!$B$63:$AA$113,(K$336+1),FALSE)*($BA$69+$BA$75)/(1+$AZ$41)^K$336</f>
        <v>844.63050047609374</v>
      </c>
      <c r="L341" s="106">
        <f>VLOOKUP($A341,'VKT US'!$B$63:$AA$113,(L$336+1),FALSE)*($BA$69+$BA$75)/(1+$AZ$41)^L$336</f>
        <v>811.84789258493458</v>
      </c>
      <c r="M341" s="106">
        <f>VLOOKUP($A341,'VKT US'!$B$63:$AA$113,(M$336+1),FALSE)*($BA$69+$BA$75)/(1+$AZ$41)^M$336</f>
        <v>780.81005297109357</v>
      </c>
      <c r="N341" s="106">
        <f>VLOOKUP($A341,'VKT US'!$B$63:$AA$113,(N$336+1),FALSE)*($BA$69+$BA$75)/(1+$AZ$41)^N$336</f>
        <v>751.3906779080894</v>
      </c>
      <c r="O341" s="106">
        <f>VLOOKUP($A341,'VKT US'!$B$63:$AA$113,(O$336+1),FALSE)*($BA$69+$BA$75)/(1+$AZ$41)^O$336</f>
        <v>723.61968014674528</v>
      </c>
      <c r="P341" s="106">
        <f>VLOOKUP($A341,'VKT US'!$B$63:$AA$113,(P$336+1),FALSE)*($BA$69+$BA$75)/(1+$AZ$41)^P$336</f>
        <v>697.37467980044175</v>
      </c>
      <c r="Q341" s="106">
        <f>VLOOKUP($A341,'VKT US'!$B$63:$AA$113,(Q$336+1),FALSE)*($BA$69+$BA$75)/(1+$AZ$41)^Q$336</f>
        <v>672.75977817174055</v>
      </c>
      <c r="R341" s="106">
        <f>VLOOKUP($A341,'VKT US'!$B$63:$AA$113,(R$336+1),FALSE)*($BA$69+$BA$75)/(1+$AZ$41)^R$336</f>
        <v>649.50759624743375</v>
      </c>
      <c r="S341" s="106">
        <f>VLOOKUP($A341,'VKT US'!$B$63:$AA$113,(S$336+1),FALSE)*($BA$69+$BA$75)/(1+$AZ$41)^S$336</f>
        <v>627.79553362118213</v>
      </c>
      <c r="T341" s="106">
        <f>VLOOKUP($A341,'VKT US'!$B$63:$AA$113,(T$336+1),FALSE)*($BA$69+$BA$75)/(1+$AZ$41)^T$336</f>
        <v>607.36340341189054</v>
      </c>
      <c r="U341" s="106">
        <f>VLOOKUP($A341,'VKT US'!$B$63:$AA$113,(U$336+1),FALSE)*($BA$69+$BA$75)/(1+$AZ$41)^U$336</f>
        <v>588.38529794606825</v>
      </c>
      <c r="V341" s="110" cm="1">
        <f t="array" ref="V341">SUMPRODUCT(INDEX(B341:U341,,_xlfn.SEQUENCE($AZ$13)))</f>
        <v>13296.902777197996</v>
      </c>
    </row>
    <row r="342" spans="1:22" x14ac:dyDescent="0.25">
      <c r="A342" s="102" t="s">
        <v>190</v>
      </c>
      <c r="B342" s="106">
        <f>VLOOKUP($A342,'VKT US'!$B$63:$AA$113,(B$336+1),FALSE)*($BA$69+$BA$75)/(1+$AZ$41)^B$336</f>
        <v>1261.9516658450918</v>
      </c>
      <c r="C342" s="106">
        <f>VLOOKUP($A342,'VKT US'!$B$63:$AA$113,(C$336+1),FALSE)*($BA$69+$BA$75)/(1+$AZ$41)^C$336</f>
        <v>1209.8986568454061</v>
      </c>
      <c r="D342" s="106">
        <f>VLOOKUP($A342,'VKT US'!$B$63:$AA$113,(D$336+1),FALSE)*($BA$69+$BA$75)/(1+$AZ$41)^D$336</f>
        <v>1160.0590814923992</v>
      </c>
      <c r="E342" s="106">
        <f>VLOOKUP($A342,'VKT US'!$B$63:$AA$113,(E$336+1),FALSE)*($BA$69+$BA$75)/(1+$AZ$41)^E$336</f>
        <v>1112.4619537839314</v>
      </c>
      <c r="F342" s="106">
        <f>VLOOKUP($A342,'VKT US'!$B$63:$AA$113,(F$336+1),FALSE)*($BA$69+$BA$75)/(1+$AZ$41)^F$336</f>
        <v>1066.9596510865986</v>
      </c>
      <c r="G342" s="106">
        <f>VLOOKUP($A342,'VKT US'!$B$63:$AA$113,(G$336+1),FALSE)*($BA$69+$BA$75)/(1+$AZ$41)^G$336</f>
        <v>1023.6674525130107</v>
      </c>
      <c r="H342" s="106">
        <f>VLOOKUP($A342,'VKT US'!$B$63:$AA$113,(H$336+1),FALSE)*($BA$69+$BA$75)/(1+$AZ$41)^H$336</f>
        <v>982.26964652605784</v>
      </c>
      <c r="I342" s="106">
        <f>VLOOKUP($A342,'VKT US'!$B$63:$AA$113,(I$336+1),FALSE)*($BA$69+$BA$75)/(1+$AZ$41)^I$336</f>
        <v>942.88293483419807</v>
      </c>
      <c r="J342" s="106">
        <f>VLOOKUP($A342,'VKT US'!$B$63:$AA$113,(J$336+1),FALSE)*($BA$69+$BA$75)/(1+$AZ$41)^J$336</f>
        <v>905.45153206207078</v>
      </c>
      <c r="K342" s="106">
        <f>VLOOKUP($A342,'VKT US'!$B$63:$AA$113,(K$336+1),FALSE)*($BA$69+$BA$75)/(1+$AZ$41)^K$336</f>
        <v>869.92085800392306</v>
      </c>
      <c r="L342" s="106">
        <f>VLOOKUP($A342,'VKT US'!$B$63:$AA$113,(L$336+1),FALSE)*($BA$69+$BA$75)/(1+$AZ$41)^L$336</f>
        <v>836.15665653569715</v>
      </c>
      <c r="M342" s="106">
        <f>VLOOKUP($A342,'VKT US'!$B$63:$AA$113,(M$336+1),FALSE)*($BA$69+$BA$75)/(1+$AZ$41)^M$336</f>
        <v>804.18946608704357</v>
      </c>
      <c r="N342" s="106">
        <f>VLOOKUP($A342,'VKT US'!$B$63:$AA$113,(N$336+1),FALSE)*($BA$69+$BA$75)/(1+$AZ$41)^N$336</f>
        <v>773.88920108084051</v>
      </c>
      <c r="O342" s="106">
        <f>VLOOKUP($A342,'VKT US'!$B$63:$AA$113,(O$336+1),FALSE)*($BA$69+$BA$75)/(1+$AZ$41)^O$336</f>
        <v>745.2866699307624</v>
      </c>
      <c r="P342" s="106">
        <f>VLOOKUP($A342,'VKT US'!$B$63:$AA$113,(P$336+1),FALSE)*($BA$69+$BA$75)/(1+$AZ$41)^P$336</f>
        <v>718.25582838916478</v>
      </c>
      <c r="Q342" s="106">
        <f>VLOOKUP($A342,'VKT US'!$B$63:$AA$113,(Q$336+1),FALSE)*($BA$69+$BA$75)/(1+$AZ$41)^Q$336</f>
        <v>692.90389481294153</v>
      </c>
      <c r="R342" s="106">
        <f>VLOOKUP($A342,'VKT US'!$B$63:$AA$113,(R$336+1),FALSE)*($BA$69+$BA$75)/(1+$AZ$41)^R$336</f>
        <v>668.95548419000704</v>
      </c>
      <c r="S342" s="106">
        <f>VLOOKUP($A342,'VKT US'!$B$63:$AA$113,(S$336+1),FALSE)*($BA$69+$BA$75)/(1+$AZ$41)^S$336</f>
        <v>646.59330790319609</v>
      </c>
      <c r="T342" s="106">
        <f>VLOOKUP($A342,'VKT US'!$B$63:$AA$113,(T$336+1),FALSE)*($BA$69+$BA$75)/(1+$AZ$41)^T$336</f>
        <v>625.54938842302602</v>
      </c>
      <c r="U342" s="106">
        <f>VLOOKUP($A342,'VKT US'!$B$63:$AA$113,(U$336+1),FALSE)*($BA$69+$BA$75)/(1+$AZ$41)^U$336</f>
        <v>606.00303083729932</v>
      </c>
      <c r="V342" s="110" cm="1">
        <f t="array" ref="V342">SUMPRODUCT(INDEX(B342:U342,,_xlfn.SEQUENCE($AZ$13)))</f>
        <v>13695.045426627032</v>
      </c>
    </row>
    <row r="343" spans="1:22" x14ac:dyDescent="0.25">
      <c r="A343" s="102" t="s">
        <v>191</v>
      </c>
      <c r="B343" s="106">
        <f>VLOOKUP($A343,'VKT US'!$B$63:$AA$113,(B$336+1),FALSE)*($BA$69+$BA$75)/(1+$AZ$41)^B$336</f>
        <v>1185.4460295406604</v>
      </c>
      <c r="C343" s="106">
        <f>VLOOKUP($A343,'VKT US'!$B$63:$AA$113,(C$336+1),FALSE)*($BA$69+$BA$75)/(1+$AZ$41)^C$336</f>
        <v>1136.5487266451496</v>
      </c>
      <c r="D343" s="106">
        <f>VLOOKUP($A343,'VKT US'!$B$63:$AA$113,(D$336+1),FALSE)*($BA$69+$BA$75)/(1+$AZ$41)^D$336</f>
        <v>1089.7306683032327</v>
      </c>
      <c r="E343" s="106">
        <f>VLOOKUP($A343,'VKT US'!$B$63:$AA$113,(E$336+1),FALSE)*($BA$69+$BA$75)/(1+$AZ$41)^E$336</f>
        <v>1045.0191095433674</v>
      </c>
      <c r="F343" s="106">
        <f>VLOOKUP($A343,'VKT US'!$B$63:$AA$113,(F$336+1),FALSE)*($BA$69+$BA$75)/(1+$AZ$41)^F$336</f>
        <v>1002.2753773328409</v>
      </c>
      <c r="G343" s="106">
        <f>VLOOKUP($A343,'VKT US'!$B$63:$AA$113,(G$336+1),FALSE)*($BA$69+$BA$75)/(1+$AZ$41)^G$336</f>
        <v>961.60776200481814</v>
      </c>
      <c r="H343" s="106">
        <f>VLOOKUP($A343,'VKT US'!$B$63:$AA$113,(H$336+1),FALSE)*($BA$69+$BA$75)/(1+$AZ$41)^H$336</f>
        <v>922.71969198823501</v>
      </c>
      <c r="I343" s="106">
        <f>VLOOKUP($A343,'VKT US'!$B$63:$AA$113,(I$336+1),FALSE)*($BA$69+$BA$75)/(1+$AZ$41)^I$336</f>
        <v>885.72079396743766</v>
      </c>
      <c r="J343" s="106">
        <f>VLOOKUP($A343,'VKT US'!$B$63:$AA$113,(J$336+1),FALSE)*($BA$69+$BA$75)/(1+$AZ$41)^J$336</f>
        <v>850.5586645473378</v>
      </c>
      <c r="K343" s="106">
        <f>VLOOKUP($A343,'VKT US'!$B$63:$AA$113,(K$336+1),FALSE)*($BA$69+$BA$75)/(1+$AZ$41)^K$336</f>
        <v>817.18203243922301</v>
      </c>
      <c r="L343" s="106">
        <f>VLOOKUP($A343,'VKT US'!$B$63:$AA$113,(L$336+1),FALSE)*($BA$69+$BA$75)/(1+$AZ$41)^L$336</f>
        <v>785.46478077704023</v>
      </c>
      <c r="M343" s="106">
        <f>VLOOKUP($A343,'VKT US'!$B$63:$AA$113,(M$336+1),FALSE)*($BA$69+$BA$75)/(1+$AZ$41)^M$336</f>
        <v>755.43559660258222</v>
      </c>
      <c r="N343" s="106">
        <f>VLOOKUP($A343,'VKT US'!$B$63:$AA$113,(N$336+1),FALSE)*($BA$69+$BA$75)/(1+$AZ$41)^N$336</f>
        <v>726.97228075793043</v>
      </c>
      <c r="O343" s="106">
        <f>VLOOKUP($A343,'VKT US'!$B$63:$AA$113,(O$336+1),FALSE)*($BA$69+$BA$75)/(1+$AZ$41)^O$336</f>
        <v>700.10377390115889</v>
      </c>
      <c r="P343" s="106">
        <f>VLOOKUP($A343,'VKT US'!$B$63:$AA$113,(P$336+1),FALSE)*($BA$69+$BA$75)/(1+$AZ$41)^P$336</f>
        <v>674.71167319881465</v>
      </c>
      <c r="Q343" s="106">
        <f>VLOOKUP($A343,'VKT US'!$B$63:$AA$113,(Q$336+1),FALSE)*($BA$69+$BA$75)/(1+$AZ$41)^Q$336</f>
        <v>650.89669691049016</v>
      </c>
      <c r="R343" s="106">
        <f>VLOOKUP($A343,'VKT US'!$B$63:$AA$113,(R$336+1),FALSE)*($BA$69+$BA$75)/(1+$AZ$41)^R$336</f>
        <v>628.40015520042743</v>
      </c>
      <c r="S343" s="106">
        <f>VLOOKUP($A343,'VKT US'!$B$63:$AA$113,(S$336+1),FALSE)*($BA$69+$BA$75)/(1+$AZ$41)^S$336</f>
        <v>607.39368260043625</v>
      </c>
      <c r="T343" s="106">
        <f>VLOOKUP($A343,'VKT US'!$B$63:$AA$113,(T$336+1),FALSE)*($BA$69+$BA$75)/(1+$AZ$41)^T$336</f>
        <v>587.62554767980498</v>
      </c>
      <c r="U343" s="106">
        <f>VLOOKUP($A343,'VKT US'!$B$63:$AA$113,(U$336+1),FALSE)*($BA$69+$BA$75)/(1+$AZ$41)^U$336</f>
        <v>569.26418518145249</v>
      </c>
      <c r="V343" s="110" cm="1">
        <f t="array" ref="V343">SUMPRODUCT(INDEX(B343:U343,,_xlfn.SEQUENCE($AZ$13)))</f>
        <v>12864.785288351013</v>
      </c>
    </row>
    <row r="344" spans="1:22" x14ac:dyDescent="0.25">
      <c r="A344" s="102" t="s">
        <v>192</v>
      </c>
      <c r="B344" s="106">
        <f>VLOOKUP($A344,'VKT US'!$B$63:$AA$113,(B$336+1),FALSE)*($BA$69+$BA$75)/(1+$AZ$41)^B$336</f>
        <v>1233.5800104380778</v>
      </c>
      <c r="C344" s="106">
        <f>VLOOKUP($A344,'VKT US'!$B$63:$AA$113,(C$336+1),FALSE)*($BA$69+$BA$75)/(1+$AZ$41)^C$336</f>
        <v>1182.697276080605</v>
      </c>
      <c r="D344" s="106">
        <f>VLOOKUP($A344,'VKT US'!$B$63:$AA$113,(D$336+1),FALSE)*($BA$69+$BA$75)/(1+$AZ$41)^D$336</f>
        <v>1133.9782121511482</v>
      </c>
      <c r="E344" s="106">
        <f>VLOOKUP($A344,'VKT US'!$B$63:$AA$113,(E$336+1),FALSE)*($BA$69+$BA$75)/(1+$AZ$41)^E$336</f>
        <v>1087.4511803443361</v>
      </c>
      <c r="F344" s="106">
        <f>VLOOKUP($A344,'VKT US'!$B$63:$AA$113,(F$336+1),FALSE)*($BA$69+$BA$75)/(1+$AZ$41)^F$336</f>
        <v>1042.9718769323918</v>
      </c>
      <c r="G344" s="106">
        <f>VLOOKUP($A344,'VKT US'!$B$63:$AA$113,(G$336+1),FALSE)*($BA$69+$BA$75)/(1+$AZ$41)^G$336</f>
        <v>1000.6529892810722</v>
      </c>
      <c r="H344" s="106">
        <f>VLOOKUP($A344,'VKT US'!$B$63:$AA$113,(H$336+1),FALSE)*($BA$69+$BA$75)/(1+$AZ$41)^H$336</f>
        <v>960.18590379464035</v>
      </c>
      <c r="I344" s="106">
        <f>VLOOKUP($A344,'VKT US'!$B$63:$AA$113,(I$336+1),FALSE)*($BA$69+$BA$75)/(1+$AZ$41)^I$336</f>
        <v>921.68469845138407</v>
      </c>
      <c r="J344" s="106">
        <f>VLOOKUP($A344,'VKT US'!$B$63:$AA$113,(J$336+1),FALSE)*($BA$69+$BA$75)/(1+$AZ$41)^J$336</f>
        <v>885.09484206300101</v>
      </c>
      <c r="K344" s="106">
        <f>VLOOKUP($A344,'VKT US'!$B$63:$AA$113,(K$336+1),FALSE)*($BA$69+$BA$75)/(1+$AZ$41)^K$336</f>
        <v>850.3629815157351</v>
      </c>
      <c r="L344" s="106">
        <f>VLOOKUP($A344,'VKT US'!$B$63:$AA$113,(L$336+1),FALSE)*($BA$69+$BA$75)/(1+$AZ$41)^L$336</f>
        <v>817.35787908044085</v>
      </c>
      <c r="M344" s="106">
        <f>VLOOKUP($A344,'VKT US'!$B$63:$AA$113,(M$336+1),FALSE)*($BA$69+$BA$75)/(1+$AZ$41)^M$336</f>
        <v>786.10938661070884</v>
      </c>
      <c r="N344" s="106">
        <f>VLOOKUP($A344,'VKT US'!$B$63:$AA$113,(N$336+1),FALSE)*($BA$69+$BA$75)/(1+$AZ$41)^N$336</f>
        <v>756.49034316057964</v>
      </c>
      <c r="O344" s="106">
        <f>VLOOKUP($A344,'VKT US'!$B$63:$AA$113,(O$336+1),FALSE)*($BA$69+$BA$75)/(1+$AZ$41)^O$336</f>
        <v>728.53086449778925</v>
      </c>
      <c r="P344" s="106">
        <f>VLOOKUP($A344,'VKT US'!$B$63:$AA$113,(P$336+1),FALSE)*($BA$69+$BA$75)/(1+$AZ$41)^P$336</f>
        <v>702.10774014721903</v>
      </c>
      <c r="Q344" s="106">
        <f>VLOOKUP($A344,'VKT US'!$B$63:$AA$113,(Q$336+1),FALSE)*($BA$69+$BA$75)/(1+$AZ$41)^Q$336</f>
        <v>677.32577794374606</v>
      </c>
      <c r="R344" s="106">
        <f>VLOOKUP($A344,'VKT US'!$B$63:$AA$113,(R$336+1),FALSE)*($BA$69+$BA$75)/(1+$AZ$41)^R$336</f>
        <v>653.91578418108361</v>
      </c>
      <c r="S344" s="106">
        <f>VLOOKUP($A344,'VKT US'!$B$63:$AA$113,(S$336+1),FALSE)*($BA$69+$BA$75)/(1+$AZ$41)^S$336</f>
        <v>632.05636245843857</v>
      </c>
      <c r="T344" s="106">
        <f>VLOOKUP($A344,'VKT US'!$B$63:$AA$113,(T$336+1),FALSE)*($BA$69+$BA$75)/(1+$AZ$41)^T$336</f>
        <v>611.48556001441466</v>
      </c>
      <c r="U344" s="106">
        <f>VLOOKUP($A344,'VKT US'!$B$63:$AA$113,(U$336+1),FALSE)*($BA$69+$BA$75)/(1+$AZ$41)^U$336</f>
        <v>592.37865073474734</v>
      </c>
      <c r="V344" s="110" cm="1">
        <f t="array" ref="V344">SUMPRODUCT(INDEX(B344:U344,,_xlfn.SEQUENCE($AZ$13)))</f>
        <v>13387.14844440191</v>
      </c>
    </row>
    <row r="345" spans="1:22" x14ac:dyDescent="0.25">
      <c r="A345" s="102" t="s">
        <v>193</v>
      </c>
      <c r="B345" s="106">
        <f>VLOOKUP($A345,'VKT US'!$B$63:$AA$113,(B$336+1),FALSE)*($BA$69+$BA$75)/(1+$AZ$41)^B$336</f>
        <v>1424.1592681376078</v>
      </c>
      <c r="C345" s="106">
        <f>VLOOKUP($A345,'VKT US'!$B$63:$AA$113,(C$336+1),FALSE)*($BA$69+$BA$75)/(1+$AZ$41)^C$336</f>
        <v>1365.4155165283025</v>
      </c>
      <c r="D345" s="106">
        <f>VLOOKUP($A345,'VKT US'!$B$63:$AA$113,(D$336+1),FALSE)*($BA$69+$BA$75)/(1+$AZ$41)^D$336</f>
        <v>1309.1697068985857</v>
      </c>
      <c r="E345" s="106">
        <f>VLOOKUP($A345,'VKT US'!$B$63:$AA$113,(E$336+1),FALSE)*($BA$69+$BA$75)/(1+$AZ$41)^E$336</f>
        <v>1255.4545826213421</v>
      </c>
      <c r="F345" s="106">
        <f>VLOOKUP($A345,'VKT US'!$B$63:$AA$113,(F$336+1),FALSE)*($BA$69+$BA$75)/(1+$AZ$41)^F$336</f>
        <v>1204.1035460785808</v>
      </c>
      <c r="G345" s="106">
        <f>VLOOKUP($A345,'VKT US'!$B$63:$AA$113,(G$336+1),FALSE)*($BA$69+$BA$75)/(1+$AZ$41)^G$336</f>
        <v>1155.2466940252652</v>
      </c>
      <c r="H345" s="106">
        <f>VLOOKUP($A345,'VKT US'!$B$63:$AA$113,(H$336+1),FALSE)*($BA$69+$BA$75)/(1+$AZ$41)^H$336</f>
        <v>1108.5277342801633</v>
      </c>
      <c r="I345" s="106">
        <f>VLOOKUP($A345,'VKT US'!$B$63:$AA$113,(I$336+1),FALSE)*($BA$69+$BA$75)/(1+$AZ$41)^I$336</f>
        <v>1064.0783690504243</v>
      </c>
      <c r="J345" s="106">
        <f>VLOOKUP($A345,'VKT US'!$B$63:$AA$113,(J$336+1),FALSE)*($BA$69+$BA$75)/(1+$AZ$41)^J$336</f>
        <v>1021.8356424705452</v>
      </c>
      <c r="K345" s="106">
        <f>VLOOKUP($A345,'VKT US'!$B$63:$AA$113,(K$336+1),FALSE)*($BA$69+$BA$75)/(1+$AZ$41)^K$336</f>
        <v>981.73795875363271</v>
      </c>
      <c r="L345" s="106">
        <f>VLOOKUP($A345,'VKT US'!$B$63:$AA$113,(L$336+1),FALSE)*($BA$69+$BA$75)/(1+$AZ$41)^L$336</f>
        <v>943.63380488333553</v>
      </c>
      <c r="M345" s="106">
        <f>VLOOKUP($A345,'VKT US'!$B$63:$AA$113,(M$336+1),FALSE)*($BA$69+$BA$75)/(1+$AZ$41)^M$336</f>
        <v>907.55764461036472</v>
      </c>
      <c r="N345" s="106">
        <f>VLOOKUP($A345,'VKT US'!$B$63:$AA$113,(N$336+1),FALSE)*($BA$69+$BA$75)/(1+$AZ$41)^N$336</f>
        <v>873.36267153529684</v>
      </c>
      <c r="O345" s="106">
        <f>VLOOKUP($A345,'VKT US'!$B$63:$AA$113,(O$336+1),FALSE)*($BA$69+$BA$75)/(1+$AZ$41)^O$336</f>
        <v>841.08365409582984</v>
      </c>
      <c r="P345" s="106">
        <f>VLOOKUP($A345,'VKT US'!$B$63:$AA$113,(P$336+1),FALSE)*($BA$69+$BA$75)/(1+$AZ$41)^P$336</f>
        <v>810.57834668277155</v>
      </c>
      <c r="Q345" s="106">
        <f>VLOOKUP($A345,'VKT US'!$B$63:$AA$113,(Q$336+1),FALSE)*($BA$69+$BA$75)/(1+$AZ$41)^Q$336</f>
        <v>781.9677491892387</v>
      </c>
      <c r="R345" s="106">
        <f>VLOOKUP($A345,'VKT US'!$B$63:$AA$113,(R$336+1),FALSE)*($BA$69+$BA$75)/(1+$AZ$41)^R$336</f>
        <v>754.94107941343748</v>
      </c>
      <c r="S345" s="106">
        <f>VLOOKUP($A345,'VKT US'!$B$63:$AA$113,(S$336+1),FALSE)*($BA$69+$BA$75)/(1+$AZ$41)^S$336</f>
        <v>729.7045339287406</v>
      </c>
      <c r="T345" s="106">
        <f>VLOOKUP($A345,'VKT US'!$B$63:$AA$113,(T$336+1),FALSE)*($BA$69+$BA$75)/(1+$AZ$41)^T$336</f>
        <v>705.95569015225897</v>
      </c>
      <c r="U345" s="106">
        <f>VLOOKUP($A345,'VKT US'!$B$63:$AA$113,(U$336+1),FALSE)*($BA$69+$BA$75)/(1+$AZ$41)^U$336</f>
        <v>683.89690052706146</v>
      </c>
      <c r="V345" s="110" cm="1">
        <f t="array" ref="V345">SUMPRODUCT(INDEX(B345:U345,,_xlfn.SEQUENCE($AZ$13)))</f>
        <v>15455.366793969277</v>
      </c>
    </row>
    <row r="346" spans="1:22" x14ac:dyDescent="0.25">
      <c r="A346" s="102" t="s">
        <v>194</v>
      </c>
      <c r="B346" s="106">
        <f>VLOOKUP($A346,'VKT US'!$B$63:$AA$113,(B$336+1),FALSE)*($BA$69+$BA$75)/(1+$AZ$41)^B$336</f>
        <v>1793.6756214903414</v>
      </c>
      <c r="C346" s="106">
        <f>VLOOKUP($A346,'VKT US'!$B$63:$AA$113,(C$336+1),FALSE)*($BA$69+$BA$75)/(1+$AZ$41)^C$336</f>
        <v>1719.6900515236584</v>
      </c>
      <c r="D346" s="106">
        <f>VLOOKUP($A346,'VKT US'!$B$63:$AA$113,(D$336+1),FALSE)*($BA$69+$BA$75)/(1+$AZ$41)^D$336</f>
        <v>1648.8505465603262</v>
      </c>
      <c r="E346" s="106">
        <f>VLOOKUP($A346,'VKT US'!$B$63:$AA$113,(E$336+1),FALSE)*($BA$69+$BA$75)/(1+$AZ$41)^E$336</f>
        <v>1581.1983456604853</v>
      </c>
      <c r="F346" s="106">
        <f>VLOOKUP($A346,'VKT US'!$B$63:$AA$113,(F$336+1),FALSE)*($BA$69+$BA$75)/(1+$AZ$41)^F$336</f>
        <v>1516.5236253214741</v>
      </c>
      <c r="G346" s="106">
        <f>VLOOKUP($A346,'VKT US'!$B$63:$AA$113,(G$336+1),FALSE)*($BA$69+$BA$75)/(1+$AZ$41)^G$336</f>
        <v>1454.9902375667521</v>
      </c>
      <c r="H346" s="106">
        <f>VLOOKUP($A346,'VKT US'!$B$63:$AA$113,(H$336+1),FALSE)*($BA$69+$BA$75)/(1+$AZ$41)^H$336</f>
        <v>1396.1494456476271</v>
      </c>
      <c r="I346" s="106">
        <f>VLOOKUP($A346,'VKT US'!$B$63:$AA$113,(I$336+1),FALSE)*($BA$69+$BA$75)/(1+$AZ$41)^I$336</f>
        <v>1340.1671235948668</v>
      </c>
      <c r="J346" s="106">
        <f>VLOOKUP($A346,'VKT US'!$B$63:$AA$113,(J$336+1),FALSE)*($BA$69+$BA$75)/(1+$AZ$41)^J$336</f>
        <v>1286.9639808377397</v>
      </c>
      <c r="K346" s="106">
        <f>VLOOKUP($A346,'VKT US'!$B$63:$AA$113,(K$336+1),FALSE)*($BA$69+$BA$75)/(1+$AZ$41)^K$336</f>
        <v>1236.4624397739303</v>
      </c>
      <c r="L346" s="106">
        <f>VLOOKUP($A346,'VKT US'!$B$63:$AA$113,(L$336+1),FALSE)*($BA$69+$BA$75)/(1+$AZ$41)^L$336</f>
        <v>1188.471675395416</v>
      </c>
      <c r="M346" s="106">
        <f>VLOOKUP($A346,'VKT US'!$B$63:$AA$113,(M$336+1),FALSE)*($BA$69+$BA$75)/(1+$AZ$41)^M$336</f>
        <v>1143.0350935142151</v>
      </c>
      <c r="N346" s="106">
        <f>VLOOKUP($A346,'VKT US'!$B$63:$AA$113,(N$336+1),FALSE)*($BA$69+$BA$75)/(1+$AZ$41)^N$336</f>
        <v>1099.9677969312449</v>
      </c>
      <c r="O346" s="106">
        <f>VLOOKUP($A346,'VKT US'!$B$63:$AA$113,(O$336+1),FALSE)*($BA$69+$BA$75)/(1+$AZ$41)^O$336</f>
        <v>1059.3135752004496</v>
      </c>
      <c r="P346" s="106">
        <f>VLOOKUP($A346,'VKT US'!$B$63:$AA$113,(P$336+1),FALSE)*($BA$69+$BA$75)/(1+$AZ$41)^P$336</f>
        <v>1020.8932752683887</v>
      </c>
      <c r="Q346" s="106">
        <f>VLOOKUP($A346,'VKT US'!$B$63:$AA$113,(Q$336+1),FALSE)*($BA$69+$BA$75)/(1+$AZ$41)^Q$336</f>
        <v>984.85929199941631</v>
      </c>
      <c r="R346" s="106">
        <f>VLOOKUP($A346,'VKT US'!$B$63:$AA$113,(R$336+1),FALSE)*($BA$69+$BA$75)/(1+$AZ$41)^R$336</f>
        <v>950.82020677103549</v>
      </c>
      <c r="S346" s="106">
        <f>VLOOKUP($A346,'VKT US'!$B$63:$AA$113,(S$336+1),FALSE)*($BA$69+$BA$75)/(1+$AZ$41)^S$336</f>
        <v>919.03571649718549</v>
      </c>
      <c r="T346" s="106">
        <f>VLOOKUP($A346,'VKT US'!$B$63:$AA$113,(T$336+1),FALSE)*($BA$69+$BA$75)/(1+$AZ$41)^T$336</f>
        <v>889.12493118441409</v>
      </c>
      <c r="U346" s="106">
        <f>VLOOKUP($A346,'VKT US'!$B$63:$AA$113,(U$336+1),FALSE)*($BA$69+$BA$75)/(1+$AZ$41)^U$336</f>
        <v>861.34270620753887</v>
      </c>
      <c r="V346" s="110" cm="1">
        <f t="array" ref="V346">SUMPRODUCT(INDEX(B346:U346,,_xlfn.SEQUENCE($AZ$13)))</f>
        <v>19465.459559018524</v>
      </c>
    </row>
    <row r="347" spans="1:22" x14ac:dyDescent="0.25">
      <c r="A347" s="102" t="s">
        <v>233</v>
      </c>
      <c r="B347" s="106">
        <f>VLOOKUP($A347,'VKT US'!$B$63:$AA$113,(B$336+1),FALSE)*($BA$69+$BA$75)/(1+$AZ$41)^B$336</f>
        <v>1143.4755461971808</v>
      </c>
      <c r="C347" s="106">
        <f>VLOOKUP($A347,'VKT US'!$B$63:$AA$113,(C$336+1),FALSE)*($BA$69+$BA$75)/(1+$AZ$41)^C$336</f>
        <v>1096.3094426861853</v>
      </c>
      <c r="D347" s="106">
        <f>VLOOKUP($A347,'VKT US'!$B$63:$AA$113,(D$336+1),FALSE)*($BA$69+$BA$75)/(1+$AZ$41)^D$336</f>
        <v>1051.1489684846238</v>
      </c>
      <c r="E347" s="106">
        <f>VLOOKUP($A347,'VKT US'!$B$63:$AA$113,(E$336+1),FALSE)*($BA$69+$BA$75)/(1+$AZ$41)^E$336</f>
        <v>1008.020413662035</v>
      </c>
      <c r="F347" s="106">
        <f>VLOOKUP($A347,'VKT US'!$B$63:$AA$113,(F$336+1),FALSE)*($BA$69+$BA$75)/(1+$AZ$41)^F$336</f>
        <v>966.79001487713481</v>
      </c>
      <c r="G347" s="106">
        <f>VLOOKUP($A347,'VKT US'!$B$63:$AA$113,(G$336+1),FALSE)*($BA$69+$BA$75)/(1+$AZ$41)^G$336</f>
        <v>927.56222846515766</v>
      </c>
      <c r="H347" s="106">
        <f>VLOOKUP($A347,'VKT US'!$B$63:$AA$113,(H$336+1),FALSE)*($BA$69+$BA$75)/(1+$AZ$41)^H$336</f>
        <v>890.05098291313789</v>
      </c>
      <c r="I347" s="106">
        <f>VLOOKUP($A347,'VKT US'!$B$63:$AA$113,(I$336+1),FALSE)*($BA$69+$BA$75)/(1+$AZ$41)^I$336</f>
        <v>854.36202359424055</v>
      </c>
      <c r="J347" s="106">
        <f>VLOOKUP($A347,'VKT US'!$B$63:$AA$113,(J$336+1),FALSE)*($BA$69+$BA$75)/(1+$AZ$41)^J$336</f>
        <v>820.44480244526562</v>
      </c>
      <c r="K347" s="106">
        <f>VLOOKUP($A347,'VKT US'!$B$63:$AA$113,(K$336+1),FALSE)*($BA$69+$BA$75)/(1+$AZ$41)^K$336</f>
        <v>788.24986342738612</v>
      </c>
      <c r="L347" s="106">
        <f>VLOOKUP($A347,'VKT US'!$B$63:$AA$113,(L$336+1),FALSE)*($BA$69+$BA$75)/(1+$AZ$41)^L$336</f>
        <v>757.65555481736783</v>
      </c>
      <c r="M347" s="106">
        <f>VLOOKUP($A347,'VKT US'!$B$63:$AA$113,(M$336+1),FALSE)*($BA$69+$BA$75)/(1+$AZ$41)^M$336</f>
        <v>728.68954799793516</v>
      </c>
      <c r="N347" s="106">
        <f>VLOOKUP($A347,'VKT US'!$B$63:$AA$113,(N$336+1),FALSE)*($BA$69+$BA$75)/(1+$AZ$41)^N$336</f>
        <v>701.23397024830319</v>
      </c>
      <c r="O347" s="106">
        <f>VLOOKUP($A347,'VKT US'!$B$63:$AA$113,(O$336+1),FALSE)*($BA$69+$BA$75)/(1+$AZ$41)^O$336</f>
        <v>675.31673758824331</v>
      </c>
      <c r="P347" s="106">
        <f>VLOOKUP($A347,'VKT US'!$B$63:$AA$113,(P$336+1),FALSE)*($BA$69+$BA$75)/(1+$AZ$41)^P$336</f>
        <v>650.82363921331557</v>
      </c>
      <c r="Q347" s="106">
        <f>VLOOKUP($A347,'VKT US'!$B$63:$AA$113,(Q$336+1),FALSE)*($BA$69+$BA$75)/(1+$AZ$41)^Q$336</f>
        <v>627.85182747295619</v>
      </c>
      <c r="R347" s="106">
        <f>VLOOKUP($A347,'VKT US'!$B$63:$AA$113,(R$336+1),FALSE)*($BA$69+$BA$75)/(1+$AZ$41)^R$336</f>
        <v>606.15177139412378</v>
      </c>
      <c r="S347" s="106">
        <f>VLOOKUP($A347,'VKT US'!$B$63:$AA$113,(S$336+1),FALSE)*($BA$69+$BA$75)/(1+$AZ$41)^S$336</f>
        <v>585.88902882181219</v>
      </c>
      <c r="T347" s="106">
        <f>VLOOKUP($A347,'VKT US'!$B$63:$AA$113,(T$336+1),FALSE)*($BA$69+$BA$75)/(1+$AZ$41)^T$336</f>
        <v>566.82078082706619</v>
      </c>
      <c r="U347" s="106">
        <f>VLOOKUP($A347,'VKT US'!$B$63:$AA$113,(U$336+1),FALSE)*($BA$69+$BA$75)/(1+$AZ$41)^U$336</f>
        <v>549.10949875388428</v>
      </c>
      <c r="V347" s="110" cm="1">
        <f t="array" ref="V347">SUMPRODUCT(INDEX(B347:U347,,_xlfn.SEQUENCE($AZ$13)))</f>
        <v>12409.310097404199</v>
      </c>
    </row>
    <row r="348" spans="1:22" x14ac:dyDescent="0.25">
      <c r="A348" s="102" t="s">
        <v>196</v>
      </c>
      <c r="B348" s="106">
        <f>VLOOKUP($A348,'VKT US'!$B$63:$AA$113,(B$336+1),FALSE)*($BA$69+$BA$75)/(1+$AZ$41)^B$336</f>
        <v>1410.4626069066353</v>
      </c>
      <c r="C348" s="106">
        <f>VLOOKUP($A348,'VKT US'!$B$63:$AA$113,(C$336+1),FALSE)*($BA$69+$BA$75)/(1+$AZ$41)^C$336</f>
        <v>1352.2838154694332</v>
      </c>
      <c r="D348" s="106">
        <f>VLOOKUP($A348,'VKT US'!$B$63:$AA$113,(D$336+1),FALSE)*($BA$69+$BA$75)/(1+$AZ$41)^D$336</f>
        <v>1296.5789423890162</v>
      </c>
      <c r="E348" s="106">
        <f>VLOOKUP($A348,'VKT US'!$B$63:$AA$113,(E$336+1),FALSE)*($BA$69+$BA$75)/(1+$AZ$41)^E$336</f>
        <v>1243.3804161332614</v>
      </c>
      <c r="F348" s="106">
        <f>VLOOKUP($A348,'VKT US'!$B$63:$AA$113,(F$336+1),FALSE)*($BA$69+$BA$75)/(1+$AZ$41)^F$336</f>
        <v>1192.5232413144809</v>
      </c>
      <c r="G348" s="106">
        <f>VLOOKUP($A348,'VKT US'!$B$63:$AA$113,(G$336+1),FALSE)*($BA$69+$BA$75)/(1+$AZ$41)^G$336</f>
        <v>1144.1362634995019</v>
      </c>
      <c r="H348" s="106">
        <f>VLOOKUP($A348,'VKT US'!$B$63:$AA$113,(H$336+1),FALSE)*($BA$69+$BA$75)/(1+$AZ$41)^H$336</f>
        <v>1097.8666170994786</v>
      </c>
      <c r="I348" s="106">
        <f>VLOOKUP($A348,'VKT US'!$B$63:$AA$113,(I$336+1),FALSE)*($BA$69+$BA$75)/(1+$AZ$41)^I$336</f>
        <v>1053.8447376932038</v>
      </c>
      <c r="J348" s="106">
        <f>VLOOKUP($A348,'VKT US'!$B$63:$AA$113,(J$336+1),FALSE)*($BA$69+$BA$75)/(1+$AZ$41)^J$336</f>
        <v>1012.0082748847874</v>
      </c>
      <c r="K348" s="106">
        <f>VLOOKUP($A348,'VKT US'!$B$63:$AA$113,(K$336+1),FALSE)*($BA$69+$BA$75)/(1+$AZ$41)^K$336</f>
        <v>972.29622527657637</v>
      </c>
      <c r="L348" s="106">
        <f>VLOOKUP($A348,'VKT US'!$B$63:$AA$113,(L$336+1),FALSE)*($BA$69+$BA$75)/(1+$AZ$41)^L$336</f>
        <v>934.55853300838419</v>
      </c>
      <c r="M348" s="106">
        <f>VLOOKUP($A348,'VKT US'!$B$63:$AA$113,(M$336+1),FALSE)*($BA$69+$BA$75)/(1+$AZ$41)^M$336</f>
        <v>898.82933038041006</v>
      </c>
      <c r="N348" s="106">
        <f>VLOOKUP($A348,'VKT US'!$B$63:$AA$113,(N$336+1),FALSE)*($BA$69+$BA$75)/(1+$AZ$41)^N$336</f>
        <v>864.96322288413648</v>
      </c>
      <c r="O348" s="106">
        <f>VLOOKUP($A348,'VKT US'!$B$63:$AA$113,(O$336+1),FALSE)*($BA$69+$BA$75)/(1+$AZ$41)^O$336</f>
        <v>832.99464457646343</v>
      </c>
      <c r="P348" s="106">
        <f>VLOOKUP($A348,'VKT US'!$B$63:$AA$113,(P$336+1),FALSE)*($BA$69+$BA$75)/(1+$AZ$41)^P$336</f>
        <v>802.78271787631513</v>
      </c>
      <c r="Q348" s="106">
        <f>VLOOKUP($A348,'VKT US'!$B$63:$AA$113,(Q$336+1),FALSE)*($BA$69+$BA$75)/(1+$AZ$41)^Q$336</f>
        <v>774.44727897652365</v>
      </c>
      <c r="R348" s="106">
        <f>VLOOKUP($A348,'VKT US'!$B$63:$AA$113,(R$336+1),FALSE)*($BA$69+$BA$75)/(1+$AZ$41)^R$336</f>
        <v>747.6805345815435</v>
      </c>
      <c r="S348" s="106">
        <f>VLOOKUP($A348,'VKT US'!$B$63:$AA$113,(S$336+1),FALSE)*($BA$69+$BA$75)/(1+$AZ$41)^S$336</f>
        <v>722.68669819678871</v>
      </c>
      <c r="T348" s="106">
        <f>VLOOKUP($A348,'VKT US'!$B$63:$AA$113,(T$336+1),FALSE)*($BA$69+$BA$75)/(1+$AZ$41)^T$336</f>
        <v>699.16625574810178</v>
      </c>
      <c r="U348" s="106">
        <f>VLOOKUP($A348,'VKT US'!$B$63:$AA$113,(U$336+1),FALSE)*($BA$69+$BA$75)/(1+$AZ$41)^U$336</f>
        <v>677.31961358100182</v>
      </c>
      <c r="V348" s="110" cm="1">
        <f t="array" ref="V348">SUMPRODUCT(INDEX(B348:U348,,_xlfn.SEQUENCE($AZ$13)))</f>
        <v>15306.726871515768</v>
      </c>
    </row>
    <row r="349" spans="1:22" x14ac:dyDescent="0.25">
      <c r="A349" s="102" t="s">
        <v>197</v>
      </c>
      <c r="B349" s="106">
        <f>VLOOKUP($A349,'VKT US'!$B$63:$AA$113,(B$336+1),FALSE)*($BA$69+$BA$75)/(1+$AZ$41)^B$336</f>
        <v>1230.8406781918834</v>
      </c>
      <c r="C349" s="106">
        <f>VLOOKUP($A349,'VKT US'!$B$63:$AA$113,(C$336+1),FALSE)*($BA$69+$BA$75)/(1+$AZ$41)^C$336</f>
        <v>1180.0709358688312</v>
      </c>
      <c r="D349" s="106">
        <f>VLOOKUP($A349,'VKT US'!$B$63:$AA$113,(D$336+1),FALSE)*($BA$69+$BA$75)/(1+$AZ$41)^D$336</f>
        <v>1131.4600592492343</v>
      </c>
      <c r="E349" s="106">
        <f>VLOOKUP($A349,'VKT US'!$B$63:$AA$113,(E$336+1),FALSE)*($BA$69+$BA$75)/(1+$AZ$41)^E$336</f>
        <v>1085.03634704672</v>
      </c>
      <c r="F349" s="106">
        <f>VLOOKUP($A349,'VKT US'!$B$63:$AA$113,(F$336+1),FALSE)*($BA$69+$BA$75)/(1+$AZ$41)^F$336</f>
        <v>1040.6558159795718</v>
      </c>
      <c r="G349" s="106">
        <f>VLOOKUP($A349,'VKT US'!$B$63:$AA$113,(G$336+1),FALSE)*($BA$69+$BA$75)/(1+$AZ$41)^G$336</f>
        <v>998.43090317591964</v>
      </c>
      <c r="H349" s="106">
        <f>VLOOKUP($A349,'VKT US'!$B$63:$AA$113,(H$336+1),FALSE)*($BA$69+$BA$75)/(1+$AZ$41)^H$336</f>
        <v>958.05368035850336</v>
      </c>
      <c r="I349" s="106">
        <f>VLOOKUP($A349,'VKT US'!$B$63:$AA$113,(I$336+1),FALSE)*($BA$69+$BA$75)/(1+$AZ$41)^I$336</f>
        <v>919.63797217993999</v>
      </c>
      <c r="J349" s="106">
        <f>VLOOKUP($A349,'VKT US'!$B$63:$AA$113,(J$336+1),FALSE)*($BA$69+$BA$75)/(1+$AZ$41)^J$336</f>
        <v>883.12936854584927</v>
      </c>
      <c r="K349" s="106">
        <f>VLOOKUP($A349,'VKT US'!$B$63:$AA$113,(K$336+1),FALSE)*($BA$69+$BA$75)/(1+$AZ$41)^K$336</f>
        <v>848.47463482032379</v>
      </c>
      <c r="L349" s="106">
        <f>VLOOKUP($A349,'VKT US'!$B$63:$AA$113,(L$336+1),FALSE)*($BA$69+$BA$75)/(1+$AZ$41)^L$336</f>
        <v>815.54282470545058</v>
      </c>
      <c r="M349" s="106">
        <f>VLOOKUP($A349,'VKT US'!$B$63:$AA$113,(M$336+1),FALSE)*($BA$69+$BA$75)/(1+$AZ$41)^M$336</f>
        <v>784.36372376471797</v>
      </c>
      <c r="N349" s="106">
        <f>VLOOKUP($A349,'VKT US'!$B$63:$AA$113,(N$336+1),FALSE)*($BA$69+$BA$75)/(1+$AZ$41)^N$336</f>
        <v>754.81045343034771</v>
      </c>
      <c r="O349" s="106">
        <f>VLOOKUP($A349,'VKT US'!$B$63:$AA$113,(O$336+1),FALSE)*($BA$69+$BA$75)/(1+$AZ$41)^O$336</f>
        <v>726.91306259391592</v>
      </c>
      <c r="P349" s="106">
        <f>VLOOKUP($A349,'VKT US'!$B$63:$AA$113,(P$336+1),FALSE)*($BA$69+$BA$75)/(1+$AZ$41)^P$336</f>
        <v>700.54861438592775</v>
      </c>
      <c r="Q349" s="106">
        <f>VLOOKUP($A349,'VKT US'!$B$63:$AA$113,(Q$336+1),FALSE)*($BA$69+$BA$75)/(1+$AZ$41)^Q$336</f>
        <v>675.82168390120307</v>
      </c>
      <c r="R349" s="106">
        <f>VLOOKUP($A349,'VKT US'!$B$63:$AA$113,(R$336+1),FALSE)*($BA$69+$BA$75)/(1+$AZ$41)^R$336</f>
        <v>652.46367521470484</v>
      </c>
      <c r="S349" s="106">
        <f>VLOOKUP($A349,'VKT US'!$B$63:$AA$113,(S$336+1),FALSE)*($BA$69+$BA$75)/(1+$AZ$41)^S$336</f>
        <v>630.65279531204817</v>
      </c>
      <c r="T349" s="106">
        <f>VLOOKUP($A349,'VKT US'!$B$63:$AA$113,(T$336+1),FALSE)*($BA$69+$BA$75)/(1+$AZ$41)^T$336</f>
        <v>610.12767313358313</v>
      </c>
      <c r="U349" s="106">
        <f>VLOOKUP($A349,'VKT US'!$B$63:$AA$113,(U$336+1),FALSE)*($BA$69+$BA$75)/(1+$AZ$41)^U$336</f>
        <v>591.06319334553541</v>
      </c>
      <c r="V349" s="110" cm="1">
        <f t="array" ref="V349">SUMPRODUCT(INDEX(B349:U349,,_xlfn.SEQUENCE($AZ$13)))</f>
        <v>13357.420459911211</v>
      </c>
    </row>
    <row r="350" spans="1:22" x14ac:dyDescent="0.25">
      <c r="A350" s="102" t="s">
        <v>198</v>
      </c>
      <c r="B350" s="106">
        <f>VLOOKUP($A350,'VKT US'!$B$63:$AA$113,(B$336+1),FALSE)*($BA$69+$BA$75)/(1+$AZ$41)^B$336</f>
        <v>1763.3473001931884</v>
      </c>
      <c r="C350" s="106">
        <f>VLOOKUP($A350,'VKT US'!$B$63:$AA$113,(C$336+1),FALSE)*($BA$69+$BA$75)/(1+$AZ$41)^C$336</f>
        <v>1690.6127134647334</v>
      </c>
      <c r="D350" s="106">
        <f>VLOOKUP($A350,'VKT US'!$B$63:$AA$113,(D$336+1),FALSE)*($BA$69+$BA$75)/(1+$AZ$41)^D$336</f>
        <v>1620.9709965748511</v>
      </c>
      <c r="E350" s="106">
        <f>VLOOKUP($A350,'VKT US'!$B$63:$AA$113,(E$336+1),FALSE)*($BA$69+$BA$75)/(1+$AZ$41)^E$336</f>
        <v>1554.4626912940212</v>
      </c>
      <c r="F350" s="106">
        <f>VLOOKUP($A350,'VKT US'!$B$63:$AA$113,(F$336+1),FALSE)*($BA$69+$BA$75)/(1+$AZ$41)^F$336</f>
        <v>1490.881521915253</v>
      </c>
      <c r="G350" s="106">
        <f>VLOOKUP($A350,'VKT US'!$B$63:$AA$113,(G$336+1),FALSE)*($BA$69+$BA$75)/(1+$AZ$41)^G$336</f>
        <v>1430.3885699739906</v>
      </c>
      <c r="H350" s="106">
        <f>VLOOKUP($A350,'VKT US'!$B$63:$AA$113,(H$336+1),FALSE)*($BA$69+$BA$75)/(1+$AZ$41)^H$336</f>
        <v>1372.5426861761118</v>
      </c>
      <c r="I350" s="106">
        <f>VLOOKUP($A350,'VKT US'!$B$63:$AA$113,(I$336+1),FALSE)*($BA$69+$BA$75)/(1+$AZ$41)^I$336</f>
        <v>1317.5069398753069</v>
      </c>
      <c r="J350" s="106">
        <f>VLOOKUP($A350,'VKT US'!$B$63:$AA$113,(J$336+1),FALSE)*($BA$69+$BA$75)/(1+$AZ$41)^J$336</f>
        <v>1265.2033811835615</v>
      </c>
      <c r="K350" s="106">
        <f>VLOOKUP($A350,'VKT US'!$B$63:$AA$113,(K$336+1),FALSE)*($BA$69+$BA$75)/(1+$AZ$41)^K$336</f>
        <v>1215.5557442175914</v>
      </c>
      <c r="L350" s="106">
        <f>VLOOKUP($A350,'VKT US'!$B$63:$AA$113,(L$336+1),FALSE)*($BA$69+$BA$75)/(1+$AZ$41)^L$336</f>
        <v>1168.3764305294524</v>
      </c>
      <c r="M350" s="106">
        <f>VLOOKUP($A350,'VKT US'!$B$63:$AA$113,(M$336+1),FALSE)*($BA$69+$BA$75)/(1+$AZ$41)^M$336</f>
        <v>1123.7081120050295</v>
      </c>
      <c r="N350" s="106">
        <f>VLOOKUP($A350,'VKT US'!$B$63:$AA$113,(N$336+1),FALSE)*($BA$69+$BA$75)/(1+$AZ$41)^N$336</f>
        <v>1081.3690177751041</v>
      </c>
      <c r="O350" s="106">
        <f>VLOOKUP($A350,'VKT US'!$B$63:$AA$113,(O$336+1),FALSE)*($BA$69+$BA$75)/(1+$AZ$41)^O$336</f>
        <v>1041.4021969789953</v>
      </c>
      <c r="P350" s="106">
        <f>VLOOKUP($A350,'VKT US'!$B$63:$AA$113,(P$336+1),FALSE)*($BA$69+$BA$75)/(1+$AZ$41)^P$336</f>
        <v>1003.6315257683776</v>
      </c>
      <c r="Q350" s="106">
        <f>VLOOKUP($A350,'VKT US'!$B$63:$AA$113,(Q$336+1),FALSE)*($BA$69+$BA$75)/(1+$AZ$41)^Q$336</f>
        <v>968.2068222426899</v>
      </c>
      <c r="R350" s="106">
        <f>VLOOKUP($A350,'VKT US'!$B$63:$AA$113,(R$336+1),FALSE)*($BA$69+$BA$75)/(1+$AZ$41)^R$336</f>
        <v>934.74328607184168</v>
      </c>
      <c r="S350" s="106">
        <f>VLOOKUP($A350,'VKT US'!$B$63:$AA$113,(S$336+1),FALSE)*($BA$69+$BA$75)/(1+$AZ$41)^S$336</f>
        <v>903.49622309072072</v>
      </c>
      <c r="T350" s="106">
        <f>VLOOKUP($A350,'VKT US'!$B$63:$AA$113,(T$336+1),FALSE)*($BA$69+$BA$75)/(1+$AZ$41)^T$336</f>
        <v>874.09118357520902</v>
      </c>
      <c r="U350" s="106">
        <f>VLOOKUP($A350,'VKT US'!$B$63:$AA$113,(U$336+1),FALSE)*($BA$69+$BA$75)/(1+$AZ$41)^U$336</f>
        <v>846.77871368412139</v>
      </c>
      <c r="V350" s="110" cm="1">
        <f t="array" ref="V350">SUMPRODUCT(INDEX(B350:U350,,_xlfn.SEQUENCE($AZ$13)))</f>
        <v>19136.328302157188</v>
      </c>
    </row>
    <row r="351" spans="1:22" x14ac:dyDescent="0.25">
      <c r="A351" s="102" t="s">
        <v>195</v>
      </c>
      <c r="B351" s="106">
        <f>VLOOKUP($A351,'VKT US'!$B$63:$AA$113,(B$336+1),FALSE)*($BA$69+$BA$75)/(1+$AZ$41)^B$336</f>
        <v>1442.5519275049137</v>
      </c>
      <c r="C351" s="106">
        <f>VLOOKUP($A351,'VKT US'!$B$63:$AA$113,(C$336+1),FALSE)*($BA$69+$BA$75)/(1+$AZ$41)^C$336</f>
        <v>1383.0495150930701</v>
      </c>
      <c r="D351" s="106">
        <f>VLOOKUP($A351,'VKT US'!$B$63:$AA$113,(D$336+1),FALSE)*($BA$69+$BA$75)/(1+$AZ$41)^D$336</f>
        <v>1326.0773049542931</v>
      </c>
      <c r="E351" s="106">
        <f>VLOOKUP($A351,'VKT US'!$B$63:$AA$113,(E$336+1),FALSE)*($BA$69+$BA$75)/(1+$AZ$41)^E$336</f>
        <v>1271.6684633339071</v>
      </c>
      <c r="F351" s="106">
        <f>VLOOKUP($A351,'VKT US'!$B$63:$AA$113,(F$336+1),FALSE)*($BA$69+$BA$75)/(1+$AZ$41)^F$336</f>
        <v>1219.6542410475149</v>
      </c>
      <c r="G351" s="106">
        <f>VLOOKUP($A351,'VKT US'!$B$63:$AA$113,(G$336+1),FALSE)*($BA$69+$BA$75)/(1+$AZ$41)^G$336</f>
        <v>1170.1664150170045</v>
      </c>
      <c r="H351" s="106">
        <f>VLOOKUP($A351,'VKT US'!$B$63:$AA$113,(H$336+1),FALSE)*($BA$69+$BA$75)/(1+$AZ$41)^H$336</f>
        <v>1122.8440916370823</v>
      </c>
      <c r="I351" s="106">
        <f>VLOOKUP($A351,'VKT US'!$B$63:$AA$113,(I$336+1),FALSE)*($BA$69+$BA$75)/(1+$AZ$41)^I$336</f>
        <v>1077.8206740158346</v>
      </c>
      <c r="J351" s="106">
        <f>VLOOKUP($A351,'VKT US'!$B$63:$AA$113,(J$336+1),FALSE)*($BA$69+$BA$75)/(1+$AZ$41)^J$336</f>
        <v>1035.032393228563</v>
      </c>
      <c r="K351" s="106">
        <f>VLOOKUP($A351,'VKT US'!$B$63:$AA$113,(K$336+1),FALSE)*($BA$69+$BA$75)/(1+$AZ$41)^K$336</f>
        <v>994.41685799425113</v>
      </c>
      <c r="L351" s="106">
        <f>VLOOKUP($A351,'VKT US'!$B$63:$AA$113,(L$336+1),FALSE)*($BA$69+$BA$75)/(1+$AZ$41)^L$336</f>
        <v>955.82059854398437</v>
      </c>
      <c r="M351" s="106">
        <f>VLOOKUP($A351,'VKT US'!$B$63:$AA$113,(M$336+1),FALSE)*($BA$69+$BA$75)/(1+$AZ$41)^M$336</f>
        <v>919.27852371916106</v>
      </c>
      <c r="N351" s="106">
        <f>VLOOKUP($A351,'VKT US'!$B$63:$AA$113,(N$336+1),FALSE)*($BA$69+$BA$75)/(1+$AZ$41)^N$336</f>
        <v>884.64193115256933</v>
      </c>
      <c r="O351" s="106">
        <f>VLOOKUP($A351,'VKT US'!$B$63:$AA$113,(O$336+1),FALSE)*($BA$69+$BA$75)/(1+$AZ$41)^O$336</f>
        <v>851.94603830755034</v>
      </c>
      <c r="P351" s="106">
        <f>VLOOKUP($A351,'VKT US'!$B$63:$AA$113,(P$336+1),FALSE)*($BA$69+$BA$75)/(1+$AZ$41)^P$336</f>
        <v>821.04676250858472</v>
      </c>
      <c r="Q351" s="106">
        <f>VLOOKUP($A351,'VKT US'!$B$63:$AA$113,(Q$336+1),FALSE)*($BA$69+$BA$75)/(1+$AZ$41)^Q$336</f>
        <v>792.06666633202758</v>
      </c>
      <c r="R351" s="106">
        <f>VLOOKUP($A351,'VKT US'!$B$63:$AA$113,(R$336+1),FALSE)*($BA$69+$BA$75)/(1+$AZ$41)^R$336</f>
        <v>764.69095390198095</v>
      </c>
      <c r="S351" s="106">
        <f>VLOOKUP($A351,'VKT US'!$B$63:$AA$113,(S$336+1),FALSE)*($BA$69+$BA$75)/(1+$AZ$41)^S$336</f>
        <v>739.12848476879026</v>
      </c>
      <c r="T351" s="106">
        <f>VLOOKUP($A351,'VKT US'!$B$63:$AA$113,(T$336+1),FALSE)*($BA$69+$BA$75)/(1+$AZ$41)^T$336</f>
        <v>715.07293063784152</v>
      </c>
      <c r="U351" s="106">
        <f>VLOOKUP($A351,'VKT US'!$B$63:$AA$113,(U$336+1),FALSE)*($BA$69+$BA$75)/(1+$AZ$41)^U$336</f>
        <v>692.72925728319842</v>
      </c>
      <c r="V351" s="110" cm="1">
        <f t="array" ref="V351">SUMPRODUCT(INDEX(B351:U351,,_xlfn.SEQUENCE($AZ$13)))</f>
        <v>15654.968975549698</v>
      </c>
    </row>
    <row r="352" spans="1:22" x14ac:dyDescent="0.25">
      <c r="A352" s="102" t="s">
        <v>199</v>
      </c>
      <c r="B352" s="106">
        <f>VLOOKUP($A352,'VKT US'!$B$63:$AA$113,(B$336+1),FALSE)*($BA$69+$BA$75)/(1+$AZ$41)^B$336</f>
        <v>1446.0739261071635</v>
      </c>
      <c r="C352" s="106">
        <f>VLOOKUP($A352,'VKT US'!$B$63:$AA$113,(C$336+1),FALSE)*($BA$69+$BA$75)/(1+$AZ$41)^C$336</f>
        <v>1386.4262382224938</v>
      </c>
      <c r="D352" s="106">
        <f>VLOOKUP($A352,'VKT US'!$B$63:$AA$113,(D$336+1),FALSE)*($BA$69+$BA$75)/(1+$AZ$41)^D$336</f>
        <v>1329.3149301138967</v>
      </c>
      <c r="E352" s="106">
        <f>VLOOKUP($A352,'VKT US'!$B$63:$AA$113,(E$336+1),FALSE)*($BA$69+$BA$75)/(1+$AZ$41)^E$336</f>
        <v>1274.7732490022709</v>
      </c>
      <c r="F352" s="106">
        <f>VLOOKUP($A352,'VKT US'!$B$63:$AA$113,(F$336+1),FALSE)*($BA$69+$BA$75)/(1+$AZ$41)^F$336</f>
        <v>1222.6320337011405</v>
      </c>
      <c r="G352" s="106">
        <f>VLOOKUP($A352,'VKT US'!$B$63:$AA$113,(G$336+1),FALSE)*($BA$69+$BA$75)/(1+$AZ$41)^G$336</f>
        <v>1173.0233828664866</v>
      </c>
      <c r="H352" s="106">
        <f>VLOOKUP($A352,'VKT US'!$B$63:$AA$113,(H$336+1),FALSE)*($BA$69+$BA$75)/(1+$AZ$41)^H$336</f>
        <v>1125.5855217692581</v>
      </c>
      <c r="I352" s="106">
        <f>VLOOKUP($A352,'VKT US'!$B$63:$AA$113,(I$336+1),FALSE)*($BA$69+$BA$75)/(1+$AZ$41)^I$336</f>
        <v>1080.4521792219771</v>
      </c>
      <c r="J352" s="106">
        <f>VLOOKUP($A352,'VKT US'!$B$63:$AA$113,(J$336+1),FALSE)*($BA$69+$BA$75)/(1+$AZ$41)^J$336</f>
        <v>1037.5594306077578</v>
      </c>
      <c r="K352" s="106">
        <f>VLOOKUP($A352,'VKT US'!$B$63:$AA$113,(K$336+1),FALSE)*($BA$69+$BA$75)/(1+$AZ$41)^K$336</f>
        <v>996.84473231692289</v>
      </c>
      <c r="L352" s="106">
        <f>VLOOKUP($A352,'VKT US'!$B$63:$AA$113,(L$336+1),FALSE)*($BA$69+$BA$75)/(1+$AZ$41)^L$336</f>
        <v>958.15423988325745</v>
      </c>
      <c r="M352" s="106">
        <f>VLOOKUP($A352,'VKT US'!$B$63:$AA$113,(M$336+1),FALSE)*($BA$69+$BA$75)/(1+$AZ$41)^M$336</f>
        <v>921.5229473782922</v>
      </c>
      <c r="N352" s="106">
        <f>VLOOKUP($A352,'VKT US'!$B$63:$AA$113,(N$336+1),FALSE)*($BA$69+$BA$75)/(1+$AZ$41)^N$336</f>
        <v>886.80178937715345</v>
      </c>
      <c r="O352" s="106">
        <f>VLOOKUP($A352,'VKT US'!$B$63:$AA$113,(O$336+1),FALSE)*($BA$69+$BA$75)/(1+$AZ$41)^O$336</f>
        <v>854.02606932681601</v>
      </c>
      <c r="P352" s="106">
        <f>VLOOKUP($A352,'VKT US'!$B$63:$AA$113,(P$336+1),FALSE)*($BA$69+$BA$75)/(1+$AZ$41)^P$336</f>
        <v>823.05135277310205</v>
      </c>
      <c r="Q352" s="106">
        <f>VLOOKUP($A352,'VKT US'!$B$63:$AA$113,(Q$336+1),FALSE)*($BA$69+$BA$75)/(1+$AZ$41)^Q$336</f>
        <v>794.00050152958283</v>
      </c>
      <c r="R352" s="106">
        <f>VLOOKUP($A352,'VKT US'!$B$63:$AA$113,(R$336+1),FALSE)*($BA$69+$BA$75)/(1+$AZ$41)^R$336</f>
        <v>766.55795114446801</v>
      </c>
      <c r="S352" s="106">
        <f>VLOOKUP($A352,'VKT US'!$B$63:$AA$113,(S$336+1),FALSE)*($BA$69+$BA$75)/(1+$AZ$41)^S$336</f>
        <v>740.93307109986358</v>
      </c>
      <c r="T352" s="106">
        <f>VLOOKUP($A352,'VKT US'!$B$63:$AA$113,(T$336+1),FALSE)*($BA$69+$BA$75)/(1+$AZ$41)^T$336</f>
        <v>716.81878519891052</v>
      </c>
      <c r="U352" s="106">
        <f>VLOOKUP($A352,'VKT US'!$B$63:$AA$113,(U$336+1),FALSE)*($BA$69+$BA$75)/(1+$AZ$41)^U$336</f>
        <v>694.42055964075678</v>
      </c>
      <c r="V352" s="110" cm="1">
        <f t="array" ref="V352">SUMPRODUCT(INDEX(B352:U352,,_xlfn.SEQUENCE($AZ$13)))</f>
        <v>15693.190669894886</v>
      </c>
    </row>
    <row r="353" spans="1:22" x14ac:dyDescent="0.25">
      <c r="A353" s="102" t="s">
        <v>157</v>
      </c>
      <c r="B353" s="106">
        <f>VLOOKUP($A353,'VKT US'!$B$63:$AA$113,(B$336+1),FALSE)*($BA$69+$BA$75)/(1+$AZ$41)^B$336</f>
        <v>1595.1718669357488</v>
      </c>
      <c r="C353" s="106">
        <f>VLOOKUP($A353,'VKT US'!$B$63:$AA$113,(C$336+1),FALSE)*($BA$69+$BA$75)/(1+$AZ$41)^C$336</f>
        <v>1529.3741840347582</v>
      </c>
      <c r="D353" s="106">
        <f>VLOOKUP($A353,'VKT US'!$B$63:$AA$113,(D$336+1),FALSE)*($BA$69+$BA$75)/(1+$AZ$41)^D$336</f>
        <v>1466.374395203781</v>
      </c>
      <c r="E353" s="106">
        <f>VLOOKUP($A353,'VKT US'!$B$63:$AA$113,(E$336+1),FALSE)*($BA$69+$BA$75)/(1+$AZ$41)^E$336</f>
        <v>1406.2091756296616</v>
      </c>
      <c r="F353" s="106">
        <f>VLOOKUP($A353,'VKT US'!$B$63:$AA$113,(F$336+1),FALSE)*($BA$69+$BA$75)/(1+$AZ$41)^F$336</f>
        <v>1348.6919227046271</v>
      </c>
      <c r="G353" s="106">
        <f>VLOOKUP($A353,'VKT US'!$B$63:$AA$113,(G$336+1),FALSE)*($BA$69+$BA$75)/(1+$AZ$41)^G$336</f>
        <v>1293.9683551612247</v>
      </c>
      <c r="H353" s="106">
        <f>VLOOKUP($A353,'VKT US'!$B$63:$AA$113,(H$336+1),FALSE)*($BA$69+$BA$75)/(1+$AZ$41)^H$336</f>
        <v>1241.6393973647084</v>
      </c>
      <c r="I353" s="106">
        <f>VLOOKUP($A353,'VKT US'!$B$63:$AA$113,(I$336+1),FALSE)*($BA$69+$BA$75)/(1+$AZ$41)^I$336</f>
        <v>1191.8525662820064</v>
      </c>
      <c r="J353" s="106">
        <f>VLOOKUP($A353,'VKT US'!$B$63:$AA$113,(J$336+1),FALSE)*($BA$69+$BA$75)/(1+$AZ$41)^J$336</f>
        <v>1144.5373463270071</v>
      </c>
      <c r="K353" s="106">
        <f>VLOOKUP($A353,'VKT US'!$B$63:$AA$113,(K$336+1),FALSE)*($BA$69+$BA$75)/(1+$AZ$41)^K$336</f>
        <v>1099.6247453100214</v>
      </c>
      <c r="L353" s="106">
        <f>VLOOKUP($A353,'VKT US'!$B$63:$AA$113,(L$336+1),FALSE)*($BA$69+$BA$75)/(1+$AZ$41)^L$336</f>
        <v>1056.9450565791567</v>
      </c>
      <c r="M353" s="106">
        <f>VLOOKUP($A353,'VKT US'!$B$63:$AA$113,(M$336+1),FALSE)*($BA$69+$BA$75)/(1+$AZ$41)^M$336</f>
        <v>1016.5368822815137</v>
      </c>
      <c r="N353" s="106">
        <f>VLOOKUP($A353,'VKT US'!$B$63:$AA$113,(N$336+1),FALSE)*($BA$69+$BA$75)/(1+$AZ$41)^N$336</f>
        <v>978.23578755121355</v>
      </c>
      <c r="O353" s="106">
        <f>VLOOKUP($A353,'VKT US'!$B$63:$AA$113,(O$336+1),FALSE)*($BA$69+$BA$75)/(1+$AZ$41)^O$336</f>
        <v>942.08071580906119</v>
      </c>
      <c r="P353" s="106">
        <f>VLOOKUP($A353,'VKT US'!$B$63:$AA$113,(P$336+1),FALSE)*($BA$69+$BA$75)/(1+$AZ$41)^P$336</f>
        <v>907.91234063767206</v>
      </c>
      <c r="Q353" s="106">
        <f>VLOOKUP($A353,'VKT US'!$B$63:$AA$113,(Q$336+1),FALSE)*($BA$69+$BA$75)/(1+$AZ$41)^Q$336</f>
        <v>875.86619155942412</v>
      </c>
      <c r="R353" s="106">
        <f>VLOOKUP($A353,'VKT US'!$B$63:$AA$113,(R$336+1),FALSE)*($BA$69+$BA$75)/(1+$AZ$41)^R$336</f>
        <v>845.59416774308568</v>
      </c>
      <c r="S353" s="106">
        <f>VLOOKUP($A353,'VKT US'!$B$63:$AA$113,(S$336+1),FALSE)*($BA$69+$BA$75)/(1+$AZ$41)^S$336</f>
        <v>817.32722578196854</v>
      </c>
      <c r="T353" s="106">
        <f>VLOOKUP($A353,'VKT US'!$B$63:$AA$113,(T$336+1),FALSE)*($BA$69+$BA$75)/(1+$AZ$41)^T$336</f>
        <v>790.72662828416458</v>
      </c>
      <c r="U353" s="106">
        <f>VLOOKUP($A353,'VKT US'!$B$63:$AA$113,(U$336+1),FALSE)*($BA$69+$BA$75)/(1+$AZ$41)^U$336</f>
        <v>766.01902611071898</v>
      </c>
      <c r="V353" s="110" cm="1">
        <f t="array" ref="V353">SUMPRODUCT(INDEX(B353:U353,,_xlfn.SEQUENCE($AZ$13)))</f>
        <v>17311.24239717449</v>
      </c>
    </row>
    <row r="354" spans="1:22" x14ac:dyDescent="0.25">
      <c r="A354" s="102" t="s">
        <v>200</v>
      </c>
      <c r="B354" s="106">
        <f>VLOOKUP($A354,'VKT US'!$B$63:$AA$113,(B$336+1),FALSE)*($BA$69+$BA$75)/(1+$AZ$41)^B$336</f>
        <v>1462.7055861733445</v>
      </c>
      <c r="C354" s="106">
        <f>VLOOKUP($A354,'VKT US'!$B$63:$AA$113,(C$336+1),FALSE)*($BA$69+$BA$75)/(1+$AZ$41)^C$336</f>
        <v>1402.3718752225493</v>
      </c>
      <c r="D354" s="106">
        <f>VLOOKUP($A354,'VKT US'!$B$63:$AA$113,(D$336+1),FALSE)*($BA$69+$BA$75)/(1+$AZ$41)^D$336</f>
        <v>1344.6037155898023</v>
      </c>
      <c r="E354" s="106">
        <f>VLOOKUP($A354,'VKT US'!$B$63:$AA$113,(E$336+1),FALSE)*($BA$69+$BA$75)/(1+$AZ$41)^E$336</f>
        <v>1289.4347368806543</v>
      </c>
      <c r="F354" s="106">
        <f>VLOOKUP($A354,'VKT US'!$B$63:$AA$113,(F$336+1),FALSE)*($BA$69+$BA$75)/(1+$AZ$41)^F$336</f>
        <v>1236.6938323432619</v>
      </c>
      <c r="G354" s="106">
        <f>VLOOKUP($A354,'VKT US'!$B$63:$AA$113,(G$336+1),FALSE)*($BA$69+$BA$75)/(1+$AZ$41)^G$336</f>
        <v>1186.5146199334852</v>
      </c>
      <c r="H354" s="106">
        <f>VLOOKUP($A354,'VKT US'!$B$63:$AA$113,(H$336+1),FALSE)*($BA$69+$BA$75)/(1+$AZ$41)^H$336</f>
        <v>1138.5311640600894</v>
      </c>
      <c r="I354" s="106">
        <f>VLOOKUP($A354,'VKT US'!$B$63:$AA$113,(I$336+1),FALSE)*($BA$69+$BA$75)/(1+$AZ$41)^I$336</f>
        <v>1092.8787315843163</v>
      </c>
      <c r="J354" s="106">
        <f>VLOOKUP($A354,'VKT US'!$B$63:$AA$113,(J$336+1),FALSE)*($BA$69+$BA$75)/(1+$AZ$41)^J$336</f>
        <v>1049.492662676178</v>
      </c>
      <c r="K354" s="106">
        <f>VLOOKUP($A354,'VKT US'!$B$63:$AA$113,(K$336+1),FALSE)*($BA$69+$BA$75)/(1+$AZ$41)^K$336</f>
        <v>1008.3096943962055</v>
      </c>
      <c r="L354" s="106">
        <f>VLOOKUP($A354,'VKT US'!$B$63:$AA$113,(L$336+1),FALSE)*($BA$69+$BA$75)/(1+$AZ$41)^L$336</f>
        <v>969.17421287426987</v>
      </c>
      <c r="M354" s="106">
        <f>VLOOKUP($A354,'VKT US'!$B$63:$AA$113,(M$336+1),FALSE)*($BA$69+$BA$75)/(1+$AZ$41)^M$336</f>
        <v>932.12161465752308</v>
      </c>
      <c r="N354" s="106">
        <f>VLOOKUP($A354,'VKT US'!$B$63:$AA$113,(N$336+1),FALSE)*($BA$69+$BA$75)/(1+$AZ$41)^N$336</f>
        <v>897.00111988213405</v>
      </c>
      <c r="O354" s="106">
        <f>VLOOKUP($A354,'VKT US'!$B$63:$AA$113,(O$336+1),FALSE)*($BA$69+$BA$75)/(1+$AZ$41)^O$336</f>
        <v>863.84843802890362</v>
      </c>
      <c r="P354" s="106">
        <f>VLOOKUP($A354,'VKT US'!$B$63:$AA$113,(P$336+1),FALSE)*($BA$69+$BA$75)/(1+$AZ$41)^P$336</f>
        <v>832.5174734666565</v>
      </c>
      <c r="Q354" s="106">
        <f>VLOOKUP($A354,'VKT US'!$B$63:$AA$113,(Q$336+1),FALSE)*($BA$69+$BA$75)/(1+$AZ$41)^Q$336</f>
        <v>803.13250107359397</v>
      </c>
      <c r="R354" s="106">
        <f>VLOOKUP($A354,'VKT US'!$B$63:$AA$113,(R$336+1),FALSE)*($BA$69+$BA$75)/(1+$AZ$41)^R$336</f>
        <v>775.37432701176783</v>
      </c>
      <c r="S354" s="106">
        <f>VLOOKUP($A354,'VKT US'!$B$63:$AA$113,(S$336+1),FALSE)*($BA$69+$BA$75)/(1+$AZ$41)^S$336</f>
        <v>749.45472877437669</v>
      </c>
      <c r="T354" s="106">
        <f>VLOOKUP($A354,'VKT US'!$B$63:$AA$113,(T$336+1),FALSE)*($BA$69+$BA$75)/(1+$AZ$41)^T$336</f>
        <v>725.06309840395852</v>
      </c>
      <c r="U354" s="106">
        <f>VLOOKUP($A354,'VKT US'!$B$63:$AA$113,(U$336+1),FALSE)*($BA$69+$BA$75)/(1+$AZ$41)^U$336</f>
        <v>702.40726521811462</v>
      </c>
      <c r="V354" s="110" cm="1">
        <f t="array" ref="V354">SUMPRODUCT(INDEX(B354:U354,,_xlfn.SEQUENCE($AZ$13)))</f>
        <v>15873.682004302715</v>
      </c>
    </row>
    <row r="355" spans="1:22" x14ac:dyDescent="0.25">
      <c r="A355" s="102" t="s">
        <v>203</v>
      </c>
      <c r="B355" s="106">
        <f>VLOOKUP($A355,'VKT US'!$B$63:$AA$113,(B$336+1),FALSE)*($BA$69+$BA$75)/(1+$AZ$41)^B$336</f>
        <v>1390.7002814162324</v>
      </c>
      <c r="C355" s="106">
        <f>VLOOKUP($A355,'VKT US'!$B$63:$AA$113,(C$336+1),FALSE)*($BA$69+$BA$75)/(1+$AZ$41)^C$336</f>
        <v>1333.3366467987787</v>
      </c>
      <c r="D355" s="106">
        <f>VLOOKUP($A355,'VKT US'!$B$63:$AA$113,(D$336+1),FALSE)*($BA$69+$BA$75)/(1+$AZ$41)^D$336</f>
        <v>1278.4122678823519</v>
      </c>
      <c r="E355" s="106">
        <f>VLOOKUP($A355,'VKT US'!$B$63:$AA$113,(E$336+1),FALSE)*($BA$69+$BA$75)/(1+$AZ$41)^E$336</f>
        <v>1225.9591187718879</v>
      </c>
      <c r="F355" s="106">
        <f>VLOOKUP($A355,'VKT US'!$B$63:$AA$113,(F$336+1),FALSE)*($BA$69+$BA$75)/(1+$AZ$41)^F$336</f>
        <v>1175.8145158691368</v>
      </c>
      <c r="G355" s="106">
        <f>VLOOKUP($A355,'VKT US'!$B$63:$AA$113,(G$336+1),FALSE)*($BA$69+$BA$75)/(1+$AZ$41)^G$336</f>
        <v>1128.1054994551862</v>
      </c>
      <c r="H355" s="106">
        <f>VLOOKUP($A355,'VKT US'!$B$63:$AA$113,(H$336+1),FALSE)*($BA$69+$BA$75)/(1+$AZ$41)^H$336</f>
        <v>1082.4841480244913</v>
      </c>
      <c r="I355" s="106">
        <f>VLOOKUP($A355,'VKT US'!$B$63:$AA$113,(I$336+1),FALSE)*($BA$69+$BA$75)/(1+$AZ$41)^I$336</f>
        <v>1039.0790695920712</v>
      </c>
      <c r="J355" s="106">
        <f>VLOOKUP($A355,'VKT US'!$B$63:$AA$113,(J$336+1),FALSE)*($BA$69+$BA$75)/(1+$AZ$41)^J$336</f>
        <v>997.82878736819396</v>
      </c>
      <c r="K355" s="106">
        <f>VLOOKUP($A355,'VKT US'!$B$63:$AA$113,(K$336+1),FALSE)*($BA$69+$BA$75)/(1+$AZ$41)^K$336</f>
        <v>958.67315268825234</v>
      </c>
      <c r="L355" s="106">
        <f>VLOOKUP($A355,'VKT US'!$B$63:$AA$113,(L$336+1),FALSE)*($BA$69+$BA$75)/(1+$AZ$41)^L$336</f>
        <v>921.46421216023998</v>
      </c>
      <c r="M355" s="106">
        <f>VLOOKUP($A355,'VKT US'!$B$63:$AA$113,(M$336+1),FALSE)*($BA$69+$BA$75)/(1+$AZ$41)^M$336</f>
        <v>886.23561984861817</v>
      </c>
      <c r="N355" s="106">
        <f>VLOOKUP($A355,'VKT US'!$B$63:$AA$113,(N$336+1),FALSE)*($BA$69+$BA$75)/(1+$AZ$41)^N$336</f>
        <v>852.84401840174792</v>
      </c>
      <c r="O355" s="106">
        <f>VLOOKUP($A355,'VKT US'!$B$63:$AA$113,(O$336+1),FALSE)*($BA$69+$BA$75)/(1+$AZ$41)^O$336</f>
        <v>821.32335941280621</v>
      </c>
      <c r="P355" s="106">
        <f>VLOOKUP($A355,'VKT US'!$B$63:$AA$113,(P$336+1),FALSE)*($BA$69+$BA$75)/(1+$AZ$41)^P$336</f>
        <v>791.53473916985627</v>
      </c>
      <c r="Q355" s="106">
        <f>VLOOKUP($A355,'VKT US'!$B$63:$AA$113,(Q$336+1),FALSE)*($BA$69+$BA$75)/(1+$AZ$41)^Q$336</f>
        <v>763.59631481246333</v>
      </c>
      <c r="R355" s="106">
        <f>VLOOKUP($A355,'VKT US'!$B$63:$AA$113,(R$336+1),FALSE)*($BA$69+$BA$75)/(1+$AZ$41)^R$336</f>
        <v>737.20460560981076</v>
      </c>
      <c r="S355" s="106">
        <f>VLOOKUP($A355,'VKT US'!$B$63:$AA$113,(S$336+1),FALSE)*($BA$69+$BA$75)/(1+$AZ$41)^S$336</f>
        <v>712.56096378354391</v>
      </c>
      <c r="T355" s="106">
        <f>VLOOKUP($A355,'VKT US'!$B$63:$AA$113,(T$336+1),FALSE)*($BA$69+$BA$75)/(1+$AZ$41)^T$336</f>
        <v>689.37007182210368</v>
      </c>
      <c r="U355" s="106">
        <f>VLOOKUP($A355,'VKT US'!$B$63:$AA$113,(U$336+1),FALSE)*($BA$69+$BA$75)/(1+$AZ$41)^U$336</f>
        <v>667.82952813025884</v>
      </c>
      <c r="V355" s="110" cm="1">
        <f t="array" ref="V355">SUMPRODUCT(INDEX(B355:U355,,_xlfn.SEQUENCE($AZ$13)))</f>
        <v>15092.260697689995</v>
      </c>
    </row>
    <row r="356" spans="1:22" x14ac:dyDescent="0.25">
      <c r="A356" s="102" t="s">
        <v>202</v>
      </c>
      <c r="B356" s="106">
        <f>VLOOKUP($A356,'VKT US'!$B$63:$AA$113,(B$336+1),FALSE)*($BA$69+$BA$75)/(1+$AZ$41)^B$336</f>
        <v>1319.7711428986968</v>
      </c>
      <c r="C356" s="106">
        <f>VLOOKUP($A356,'VKT US'!$B$63:$AA$113,(C$336+1),FALSE)*($BA$69+$BA$75)/(1+$AZ$41)^C$336</f>
        <v>1265.3331948867763</v>
      </c>
      <c r="D356" s="106">
        <f>VLOOKUP($A356,'VKT US'!$B$63:$AA$113,(D$336+1),FALSE)*($BA$69+$BA$75)/(1+$AZ$41)^D$336</f>
        <v>1213.2100945292243</v>
      </c>
      <c r="E356" s="106">
        <f>VLOOKUP($A356,'VKT US'!$B$63:$AA$113,(E$336+1),FALSE)*($BA$69+$BA$75)/(1+$AZ$41)^E$336</f>
        <v>1163.4321851728998</v>
      </c>
      <c r="F356" s="106">
        <f>VLOOKUP($A356,'VKT US'!$B$63:$AA$113,(F$336+1),FALSE)*($BA$69+$BA$75)/(1+$AZ$41)^F$336</f>
        <v>1115.8450804836198</v>
      </c>
      <c r="G356" s="106">
        <f>VLOOKUP($A356,'VKT US'!$B$63:$AA$113,(G$336+1),FALSE)*($BA$69+$BA$75)/(1+$AZ$41)^G$336</f>
        <v>1070.5693413753404</v>
      </c>
      <c r="H356" s="106">
        <f>VLOOKUP($A356,'VKT US'!$B$63:$AA$113,(H$336+1),FALSE)*($BA$69+$BA$75)/(1+$AZ$41)^H$336</f>
        <v>1027.274791195947</v>
      </c>
      <c r="I356" s="106">
        <f>VLOOKUP($A356,'VKT US'!$B$63:$AA$113,(I$336+1),FALSE)*($BA$69+$BA$75)/(1+$AZ$41)^I$336</f>
        <v>986.08347863503604</v>
      </c>
      <c r="J356" s="106">
        <f>VLOOKUP($A356,'VKT US'!$B$63:$AA$113,(J$336+1),FALSE)*($BA$69+$BA$75)/(1+$AZ$41)^J$336</f>
        <v>946.93706237051981</v>
      </c>
      <c r="K356" s="106">
        <f>VLOOKUP($A356,'VKT US'!$B$63:$AA$113,(K$336+1),FALSE)*($BA$69+$BA$75)/(1+$AZ$41)^K$336</f>
        <v>909.77846146778222</v>
      </c>
      <c r="L356" s="106">
        <f>VLOOKUP($A356,'VKT US'!$B$63:$AA$113,(L$336+1),FALSE)*($BA$69+$BA$75)/(1+$AZ$41)^L$336</f>
        <v>874.46726852209895</v>
      </c>
      <c r="M356" s="106">
        <f>VLOOKUP($A356,'VKT US'!$B$63:$AA$113,(M$336+1),FALSE)*($BA$69+$BA$75)/(1+$AZ$41)^M$336</f>
        <v>841.03542115778112</v>
      </c>
      <c r="N356" s="106">
        <f>VLOOKUP($A356,'VKT US'!$B$63:$AA$113,(N$336+1),FALSE)*($BA$69+$BA$75)/(1+$AZ$41)^N$336</f>
        <v>809.34687360109604</v>
      </c>
      <c r="O356" s="106">
        <f>VLOOKUP($A356,'VKT US'!$B$63:$AA$113,(O$336+1),FALSE)*($BA$69+$BA$75)/(1+$AZ$41)^O$336</f>
        <v>779.43384583037323</v>
      </c>
      <c r="P356" s="106">
        <f>VLOOKUP($A356,'VKT US'!$B$63:$AA$113,(P$336+1),FALSE)*($BA$69+$BA$75)/(1+$AZ$41)^P$336</f>
        <v>751.16451856499214</v>
      </c>
      <c r="Q356" s="106">
        <f>VLOOKUP($A356,'VKT US'!$B$63:$AA$113,(Q$336+1),FALSE)*($BA$69+$BA$75)/(1+$AZ$41)^Q$336</f>
        <v>724.65102263947449</v>
      </c>
      <c r="R356" s="106">
        <f>VLOOKUP($A356,'VKT US'!$B$63:$AA$113,(R$336+1),FALSE)*($BA$69+$BA$75)/(1+$AZ$41)^R$336</f>
        <v>699.60535558750234</v>
      </c>
      <c r="S356" s="106">
        <f>VLOOKUP($A356,'VKT US'!$B$63:$AA$113,(S$336+1),FALSE)*($BA$69+$BA$75)/(1+$AZ$41)^S$336</f>
        <v>676.21860017165011</v>
      </c>
      <c r="T356" s="106">
        <f>VLOOKUP($A356,'VKT US'!$B$63:$AA$113,(T$336+1),FALSE)*($BA$69+$BA$75)/(1+$AZ$41)^T$336</f>
        <v>654.21050080057523</v>
      </c>
      <c r="U356" s="106">
        <f>VLOOKUP($A356,'VKT US'!$B$63:$AA$113,(U$336+1),FALSE)*($BA$69+$BA$75)/(1+$AZ$41)^U$336</f>
        <v>633.76857787387905</v>
      </c>
      <c r="V356" s="110" cm="1">
        <f t="array" ref="V356">SUMPRODUCT(INDEX(B356:U356,,_xlfn.SEQUENCE($AZ$13)))</f>
        <v>14322.518242127193</v>
      </c>
    </row>
    <row r="357" spans="1:22" x14ac:dyDescent="0.25">
      <c r="A357" s="102" t="s">
        <v>201</v>
      </c>
      <c r="B357" s="106">
        <f>VLOOKUP($A357,'VKT US'!$B$63:$AA$113,(B$336+1),FALSE)*($BA$69+$BA$75)/(1+$AZ$41)^B$336</f>
        <v>1282.4966576915506</v>
      </c>
      <c r="C357" s="106">
        <f>VLOOKUP($A357,'VKT US'!$B$63:$AA$113,(C$336+1),FALSE)*($BA$69+$BA$75)/(1+$AZ$41)^C$336</f>
        <v>1229.59620843371</v>
      </c>
      <c r="D357" s="106">
        <f>VLOOKUP($A357,'VKT US'!$B$63:$AA$113,(D$336+1),FALSE)*($BA$69+$BA$75)/(1+$AZ$41)^D$336</f>
        <v>1178.9452282567534</v>
      </c>
      <c r="E357" s="106">
        <f>VLOOKUP($A357,'VKT US'!$B$63:$AA$113,(E$336+1),FALSE)*($BA$69+$BA$75)/(1+$AZ$41)^E$336</f>
        <v>1130.5732035160522</v>
      </c>
      <c r="F357" s="106">
        <f>VLOOKUP($A357,'VKT US'!$B$63:$AA$113,(F$336+1),FALSE)*($BA$69+$BA$75)/(1+$AZ$41)^F$336</f>
        <v>1084.330108232748</v>
      </c>
      <c r="G357" s="106">
        <f>VLOOKUP($A357,'VKT US'!$B$63:$AA$113,(G$336+1),FALSE)*($BA$69+$BA$75)/(1+$AZ$41)^G$336</f>
        <v>1040.3330983016558</v>
      </c>
      <c r="H357" s="106">
        <f>VLOOKUP($A357,'VKT US'!$B$63:$AA$113,(H$336+1),FALSE)*($BA$69+$BA$75)/(1+$AZ$41)^H$336</f>
        <v>998.26132229708446</v>
      </c>
      <c r="I357" s="106">
        <f>VLOOKUP($A357,'VKT US'!$B$63:$AA$113,(I$336+1),FALSE)*($BA$69+$BA$75)/(1+$AZ$41)^I$336</f>
        <v>958.23338187002889</v>
      </c>
      <c r="J357" s="106">
        <f>VLOOKUP($A357,'VKT US'!$B$63:$AA$113,(J$336+1),FALSE)*($BA$69+$BA$75)/(1+$AZ$41)^J$336</f>
        <v>920.19258344070749</v>
      </c>
      <c r="K357" s="106">
        <f>VLOOKUP($A357,'VKT US'!$B$63:$AA$113,(K$336+1),FALSE)*($BA$69+$BA$75)/(1+$AZ$41)^K$336</f>
        <v>884.08345821950752</v>
      </c>
      <c r="L357" s="106">
        <f>VLOOKUP($A357,'VKT US'!$B$63:$AA$113,(L$336+1),FALSE)*($BA$69+$BA$75)/(1+$AZ$41)^L$336</f>
        <v>849.76956434812416</v>
      </c>
      <c r="M357" s="106">
        <f>VLOOKUP($A357,'VKT US'!$B$63:$AA$113,(M$336+1),FALSE)*($BA$69+$BA$75)/(1+$AZ$41)^M$336</f>
        <v>817.28193743197585</v>
      </c>
      <c r="N357" s="106">
        <f>VLOOKUP($A357,'VKT US'!$B$63:$AA$113,(N$336+1),FALSE)*($BA$69+$BA$75)/(1+$AZ$41)^N$336</f>
        <v>786.48837405758115</v>
      </c>
      <c r="O357" s="106">
        <f>VLOOKUP($A357,'VKT US'!$B$63:$AA$113,(O$336+1),FALSE)*($BA$69+$BA$75)/(1+$AZ$41)^O$336</f>
        <v>757.42018420981196</v>
      </c>
      <c r="P357" s="106">
        <f>VLOOKUP($A357,'VKT US'!$B$63:$AA$113,(P$336+1),FALSE)*($BA$69+$BA$75)/(1+$AZ$41)^P$336</f>
        <v>729.94927159884958</v>
      </c>
      <c r="Q357" s="106">
        <f>VLOOKUP($A357,'VKT US'!$B$63:$AA$113,(Q$336+1),FALSE)*($BA$69+$BA$75)/(1+$AZ$41)^Q$336</f>
        <v>704.18460013201411</v>
      </c>
      <c r="R357" s="106">
        <f>VLOOKUP($A357,'VKT US'!$B$63:$AA$113,(R$336+1),FALSE)*($BA$69+$BA$75)/(1+$AZ$41)^R$336</f>
        <v>679.84630143784796</v>
      </c>
      <c r="S357" s="106">
        <f>VLOOKUP($A357,'VKT US'!$B$63:$AA$113,(S$336+1),FALSE)*($BA$69+$BA$75)/(1+$AZ$41)^S$336</f>
        <v>657.12006150112393</v>
      </c>
      <c r="T357" s="106">
        <f>VLOOKUP($A357,'VKT US'!$B$63:$AA$113,(T$336+1),FALSE)*($BA$69+$BA$75)/(1+$AZ$41)^T$336</f>
        <v>635.73354002926169</v>
      </c>
      <c r="U357" s="106">
        <f>VLOOKUP($A357,'VKT US'!$B$63:$AA$113,(U$336+1),FALSE)*($BA$69+$BA$75)/(1+$AZ$41)^U$336</f>
        <v>615.8689612563885</v>
      </c>
      <c r="V357" s="110" cm="1">
        <f t="array" ref="V357">SUMPRODUCT(INDEX(B357:U357,,_xlfn.SEQUENCE($AZ$13)))</f>
        <v>13918.005310307288</v>
      </c>
    </row>
    <row r="358" spans="1:22" x14ac:dyDescent="0.25">
      <c r="A358" s="102" t="s">
        <v>204</v>
      </c>
      <c r="B358" s="106">
        <f>VLOOKUP($A358,'VKT US'!$B$63:$AA$113,(B$336+1),FALSE)*($BA$69+$BA$75)/(1+$AZ$41)^B$336</f>
        <v>1399.7009445108715</v>
      </c>
      <c r="C358" s="106">
        <f>VLOOKUP($A358,'VKT US'!$B$63:$AA$113,(C$336+1),FALSE)*($BA$69+$BA$75)/(1+$AZ$41)^C$336</f>
        <v>1341.96605035175</v>
      </c>
      <c r="D358" s="106">
        <f>VLOOKUP($A358,'VKT US'!$B$63:$AA$113,(D$336+1),FALSE)*($BA$69+$BA$75)/(1+$AZ$41)^D$336</f>
        <v>1286.6861988457831</v>
      </c>
      <c r="E358" s="106">
        <f>VLOOKUP($A358,'VKT US'!$B$63:$AA$113,(E$336+1),FALSE)*($BA$69+$BA$75)/(1+$AZ$41)^E$336</f>
        <v>1233.893571035484</v>
      </c>
      <c r="F358" s="106">
        <f>VLOOKUP($A358,'VKT US'!$B$63:$AA$113,(F$336+1),FALSE)*($BA$69+$BA$75)/(1+$AZ$41)^F$336</f>
        <v>1183.4244304284025</v>
      </c>
      <c r="G358" s="106">
        <f>VLOOKUP($A358,'VKT US'!$B$63:$AA$113,(G$336+1),FALSE)*($BA$69+$BA$75)/(1+$AZ$41)^G$336</f>
        <v>1135.4066395149734</v>
      </c>
      <c r="H358" s="106">
        <f>VLOOKUP($A358,'VKT US'!$B$63:$AA$113,(H$336+1),FALSE)*($BA$69+$BA$75)/(1+$AZ$41)^H$336</f>
        <v>1089.4900250289411</v>
      </c>
      <c r="I358" s="106">
        <f>VLOOKUP($A358,'VKT US'!$B$63:$AA$113,(I$336+1),FALSE)*($BA$69+$BA$75)/(1+$AZ$41)^I$336</f>
        <v>1045.8040273411018</v>
      </c>
      <c r="J358" s="106">
        <f>VLOOKUP($A358,'VKT US'!$B$63:$AA$113,(J$336+1),FALSE)*($BA$69+$BA$75)/(1+$AZ$41)^J$336</f>
        <v>1004.2867717816919</v>
      </c>
      <c r="K358" s="106">
        <f>VLOOKUP($A358,'VKT US'!$B$63:$AA$113,(K$336+1),FALSE)*($BA$69+$BA$75)/(1+$AZ$41)^K$336</f>
        <v>964.87772040174639</v>
      </c>
      <c r="L358" s="106">
        <f>VLOOKUP($A358,'VKT US'!$B$63:$AA$113,(L$336+1),FALSE)*($BA$69+$BA$75)/(1+$AZ$41)^L$336</f>
        <v>927.4279622494937</v>
      </c>
      <c r="M358" s="106">
        <f>VLOOKUP($A358,'VKT US'!$B$63:$AA$113,(M$336+1),FALSE)*($BA$69+$BA$75)/(1+$AZ$41)^M$336</f>
        <v>891.97136919973138</v>
      </c>
      <c r="N358" s="106">
        <f>VLOOKUP($A358,'VKT US'!$B$63:$AA$113,(N$336+1),FALSE)*($BA$69+$BA$75)/(1+$AZ$41)^N$336</f>
        <v>858.36365608679625</v>
      </c>
      <c r="O358" s="106">
        <f>VLOOKUP($A358,'VKT US'!$B$63:$AA$113,(O$336+1),FALSE)*($BA$69+$BA$75)/(1+$AZ$41)^O$336</f>
        <v>826.63899423981843</v>
      </c>
      <c r="P358" s="106">
        <f>VLOOKUP($A358,'VKT US'!$B$63:$AA$113,(P$336+1),FALSE)*($BA$69+$BA$75)/(1+$AZ$41)^P$336</f>
        <v>796.65758095695639</v>
      </c>
      <c r="Q358" s="106">
        <f>VLOOKUP($A358,'VKT US'!$B$63:$AA$113,(Q$336+1),FALSE)*($BA$69+$BA$75)/(1+$AZ$41)^Q$336</f>
        <v>768.53833809510468</v>
      </c>
      <c r="R358" s="106">
        <f>VLOOKUP($A358,'VKT US'!$B$63:$AA$113,(R$336+1),FALSE)*($BA$69+$BA$75)/(1+$AZ$41)^R$336</f>
        <v>741.97582078505536</v>
      </c>
      <c r="S358" s="106">
        <f>VLOOKUP($A358,'VKT US'!$B$63:$AA$113,(S$336+1),FALSE)*($BA$69+$BA$75)/(1+$AZ$41)^S$336</f>
        <v>717.17268440739792</v>
      </c>
      <c r="T358" s="106">
        <f>VLOOKUP($A358,'VKT US'!$B$63:$AA$113,(T$336+1),FALSE)*($BA$69+$BA$75)/(1+$AZ$41)^T$336</f>
        <v>693.83170014483539</v>
      </c>
      <c r="U358" s="106">
        <f>VLOOKUP($A358,'VKT US'!$B$63:$AA$113,(U$336+1),FALSE)*($BA$69+$BA$75)/(1+$AZ$41)^U$336</f>
        <v>672.15174526624094</v>
      </c>
      <c r="V358" s="110" cm="1">
        <f t="array" ref="V358">SUMPRODUCT(INDEX(B358:U358,,_xlfn.SEQUENCE($AZ$13)))</f>
        <v>15189.938361016584</v>
      </c>
    </row>
    <row r="359" spans="1:22" x14ac:dyDescent="0.25">
      <c r="A359" s="102" t="s">
        <v>205</v>
      </c>
      <c r="B359" s="106">
        <f>VLOOKUP($A359,'VKT US'!$B$63:$AA$113,(B$336+1),FALSE)*($BA$69+$BA$75)/(1+$AZ$41)^B$336</f>
        <v>1752.0964713248895</v>
      </c>
      <c r="C359" s="106">
        <f>VLOOKUP($A359,'VKT US'!$B$63:$AA$113,(C$336+1),FALSE)*($BA$69+$BA$75)/(1+$AZ$41)^C$336</f>
        <v>1679.8259590235191</v>
      </c>
      <c r="D359" s="106">
        <f>VLOOKUP($A359,'VKT US'!$B$63:$AA$113,(D$336+1),FALSE)*($BA$69+$BA$75)/(1+$AZ$41)^D$336</f>
        <v>1610.6285828705618</v>
      </c>
      <c r="E359" s="106">
        <f>VLOOKUP($A359,'VKT US'!$B$63:$AA$113,(E$336+1),FALSE)*($BA$69+$BA$75)/(1+$AZ$41)^E$336</f>
        <v>1544.5446259645264</v>
      </c>
      <c r="F359" s="106">
        <f>VLOOKUP($A359,'VKT US'!$B$63:$AA$113,(F$336+1),FALSE)*($BA$69+$BA$75)/(1+$AZ$41)^F$336</f>
        <v>1481.369128716171</v>
      </c>
      <c r="G359" s="106">
        <f>VLOOKUP($A359,'VKT US'!$B$63:$AA$113,(G$336+1),FALSE)*($BA$69+$BA$75)/(1+$AZ$41)^G$336</f>
        <v>1421.2621448992563</v>
      </c>
      <c r="H359" s="106">
        <f>VLOOKUP($A359,'VKT US'!$B$63:$AA$113,(H$336+1),FALSE)*($BA$69+$BA$75)/(1+$AZ$41)^H$336</f>
        <v>1363.7853399205499</v>
      </c>
      <c r="I359" s="106">
        <f>VLOOKUP($A359,'VKT US'!$B$63:$AA$113,(I$336+1),FALSE)*($BA$69+$BA$75)/(1+$AZ$41)^I$336</f>
        <v>1309.1007426890187</v>
      </c>
      <c r="J359" s="106">
        <f>VLOOKUP($A359,'VKT US'!$B$63:$AA$113,(J$336+1),FALSE)*($BA$69+$BA$75)/(1+$AZ$41)^J$336</f>
        <v>1257.1309006666891</v>
      </c>
      <c r="K359" s="106">
        <f>VLOOKUP($A359,'VKT US'!$B$63:$AA$113,(K$336+1),FALSE)*($BA$69+$BA$75)/(1+$AZ$41)^K$336</f>
        <v>1207.8000345757237</v>
      </c>
      <c r="L359" s="106">
        <f>VLOOKUP($A359,'VKT US'!$B$63:$AA$113,(L$336+1),FALSE)*($BA$69+$BA$75)/(1+$AZ$41)^L$336</f>
        <v>1160.9217429178852</v>
      </c>
      <c r="M359" s="106">
        <f>VLOOKUP($A359,'VKT US'!$B$63:$AA$113,(M$336+1),FALSE)*($BA$69+$BA$75)/(1+$AZ$41)^M$336</f>
        <v>1116.5384253161383</v>
      </c>
      <c r="N359" s="106">
        <f>VLOOKUP($A359,'VKT US'!$B$63:$AA$113,(N$336+1),FALSE)*($BA$69+$BA$75)/(1+$AZ$41)^N$336</f>
        <v>1074.4694706687937</v>
      </c>
      <c r="O359" s="106">
        <f>VLOOKUP($A359,'VKT US'!$B$63:$AA$113,(O$336+1),FALSE)*($BA$69+$BA$75)/(1+$AZ$41)^O$336</f>
        <v>1034.7576534452303</v>
      </c>
      <c r="P359" s="106">
        <f>VLOOKUP($A359,'VKT US'!$B$63:$AA$113,(P$336+1),FALSE)*($BA$69+$BA$75)/(1+$AZ$41)^P$336</f>
        <v>997.22797353450278</v>
      </c>
      <c r="Q359" s="106">
        <f>VLOOKUP($A359,'VKT US'!$B$63:$AA$113,(Q$336+1),FALSE)*($BA$69+$BA$75)/(1+$AZ$41)^Q$336</f>
        <v>962.02929313938841</v>
      </c>
      <c r="R359" s="106">
        <f>VLOOKUP($A359,'VKT US'!$B$63:$AA$113,(R$336+1),FALSE)*($BA$69+$BA$75)/(1+$AZ$41)^R$336</f>
        <v>928.77926710278564</v>
      </c>
      <c r="S359" s="106">
        <f>VLOOKUP($A359,'VKT US'!$B$63:$AA$113,(S$336+1),FALSE)*($BA$69+$BA$75)/(1+$AZ$41)^S$336</f>
        <v>897.73157231090306</v>
      </c>
      <c r="T359" s="106">
        <f>VLOOKUP($A359,'VKT US'!$B$63:$AA$113,(T$336+1),FALSE)*($BA$69+$BA$75)/(1+$AZ$41)^T$336</f>
        <v>868.51414817179409</v>
      </c>
      <c r="U359" s="106">
        <f>VLOOKUP($A359,'VKT US'!$B$63:$AA$113,(U$336+1),FALSE)*($BA$69+$BA$75)/(1+$AZ$41)^U$336</f>
        <v>841.37594226414399</v>
      </c>
      <c r="V359" s="110" cm="1">
        <f t="array" ref="V359">SUMPRODUCT(INDEX(B359:U359,,_xlfn.SEQUENCE($AZ$13)))</f>
        <v>19014.231222998958</v>
      </c>
    </row>
    <row r="360" spans="1:22" x14ac:dyDescent="0.25">
      <c r="A360" s="102" t="s">
        <v>207</v>
      </c>
      <c r="B360" s="106">
        <f>VLOOKUP($A360,'VKT US'!$B$63:$AA$113,(B$336+1),FALSE)*($BA$69+$BA$75)/(1+$AZ$41)^B$336</f>
        <v>1953.3395581256768</v>
      </c>
      <c r="C360" s="106">
        <f>VLOOKUP($A360,'VKT US'!$B$63:$AA$113,(C$336+1),FALSE)*($BA$69+$BA$75)/(1+$AZ$41)^C$336</f>
        <v>1872.7681667241939</v>
      </c>
      <c r="D360" s="106">
        <f>VLOOKUP($A360,'VKT US'!$B$63:$AA$113,(D$336+1),FALSE)*($BA$69+$BA$75)/(1+$AZ$41)^D$336</f>
        <v>1795.6228871290211</v>
      </c>
      <c r="E360" s="106">
        <f>VLOOKUP($A360,'VKT US'!$B$63:$AA$113,(E$336+1),FALSE)*($BA$69+$BA$75)/(1+$AZ$41)^E$336</f>
        <v>1721.9486292929666</v>
      </c>
      <c r="F360" s="106">
        <f>VLOOKUP($A360,'VKT US'!$B$63:$AA$113,(F$336+1),FALSE)*($BA$69+$BA$75)/(1+$AZ$41)^F$336</f>
        <v>1651.5168922858381</v>
      </c>
      <c r="G360" s="106">
        <f>VLOOKUP($A360,'VKT US'!$B$63:$AA$113,(G$336+1),FALSE)*($BA$69+$BA$75)/(1+$AZ$41)^G$336</f>
        <v>1584.5061134099367</v>
      </c>
      <c r="H360" s="106">
        <f>VLOOKUP($A360,'VKT US'!$B$63:$AA$113,(H$336+1),FALSE)*($BA$69+$BA$75)/(1+$AZ$41)^H$336</f>
        <v>1520.4276116396054</v>
      </c>
      <c r="I360" s="106">
        <f>VLOOKUP($A360,'VKT US'!$B$63:$AA$113,(I$336+1),FALSE)*($BA$69+$BA$75)/(1+$AZ$41)^I$336</f>
        <v>1459.4620262733233</v>
      </c>
      <c r="J360" s="106">
        <f>VLOOKUP($A360,'VKT US'!$B$63:$AA$113,(J$336+1),FALSE)*($BA$69+$BA$75)/(1+$AZ$41)^J$336</f>
        <v>1401.5230086945737</v>
      </c>
      <c r="K360" s="106">
        <f>VLOOKUP($A360,'VKT US'!$B$63:$AA$113,(K$336+1),FALSE)*($BA$69+$BA$75)/(1+$AZ$41)^K$336</f>
        <v>1346.5260757350438</v>
      </c>
      <c r="L360" s="106">
        <f>VLOOKUP($A360,'VKT US'!$B$63:$AA$113,(L$336+1),FALSE)*($BA$69+$BA$75)/(1+$AZ$41)^L$336</f>
        <v>1294.2634161091346</v>
      </c>
      <c r="M360" s="106">
        <f>VLOOKUP($A360,'VKT US'!$B$63:$AA$113,(M$336+1),FALSE)*($BA$69+$BA$75)/(1+$AZ$41)^M$336</f>
        <v>1244.78229939483</v>
      </c>
      <c r="N360" s="106">
        <f>VLOOKUP($A360,'VKT US'!$B$63:$AA$113,(N$336+1),FALSE)*($BA$69+$BA$75)/(1+$AZ$41)^N$336</f>
        <v>1197.8813697790574</v>
      </c>
      <c r="O360" s="106">
        <f>VLOOKUP($A360,'VKT US'!$B$63:$AA$113,(O$336+1),FALSE)*($BA$69+$BA$75)/(1+$AZ$41)^O$336</f>
        <v>1153.6083147404918</v>
      </c>
      <c r="P360" s="106">
        <f>VLOOKUP($A360,'VKT US'!$B$63:$AA$113,(P$336+1),FALSE)*($BA$69+$BA$75)/(1+$AZ$41)^P$336</f>
        <v>1111.768033926511</v>
      </c>
      <c r="Q360" s="106">
        <f>VLOOKUP($A360,'VKT US'!$B$63:$AA$113,(Q$336+1),FALSE)*($BA$69+$BA$75)/(1+$AZ$41)^Q$336</f>
        <v>1072.5264876219235</v>
      </c>
      <c r="R360" s="106">
        <f>VLOOKUP($A360,'VKT US'!$B$63:$AA$113,(R$336+1),FALSE)*($BA$69+$BA$75)/(1+$AZ$41)^R$336</f>
        <v>1035.4574150971146</v>
      </c>
      <c r="S360" s="106">
        <f>VLOOKUP($A360,'VKT US'!$B$63:$AA$113,(S$336+1),FALSE)*($BA$69+$BA$75)/(1+$AZ$41)^S$336</f>
        <v>1000.8436301725104</v>
      </c>
      <c r="T360" s="106">
        <f>VLOOKUP($A360,'VKT US'!$B$63:$AA$113,(T$336+1),FALSE)*($BA$69+$BA$75)/(1+$AZ$41)^T$336</f>
        <v>968.27033795287514</v>
      </c>
      <c r="U360" s="106">
        <f>VLOOKUP($A360,'VKT US'!$B$63:$AA$113,(U$336+1),FALSE)*($BA$69+$BA$75)/(1+$AZ$41)^U$336</f>
        <v>938.0150797501758</v>
      </c>
      <c r="V360" s="110" cm="1">
        <f t="array" ref="V360">SUMPRODUCT(INDEX(B360:U360,,_xlfn.SEQUENCE($AZ$13)))</f>
        <v>21198.176369333691</v>
      </c>
    </row>
    <row r="361" spans="1:22" x14ac:dyDescent="0.25">
      <c r="A361" s="102" t="s">
        <v>206</v>
      </c>
      <c r="B361" s="106">
        <f>VLOOKUP($A361,'VKT US'!$B$63:$AA$113,(B$336+1),FALSE)*($BA$69+$BA$75)/(1+$AZ$41)^B$336</f>
        <v>1811.9704475631402</v>
      </c>
      <c r="C361" s="106">
        <f>VLOOKUP($A361,'VKT US'!$B$63:$AA$113,(C$336+1),FALSE)*($BA$69+$BA$75)/(1+$AZ$41)^C$336</f>
        <v>1737.2302522237198</v>
      </c>
      <c r="D361" s="106">
        <f>VLOOKUP($A361,'VKT US'!$B$63:$AA$113,(D$336+1),FALSE)*($BA$69+$BA$75)/(1+$AZ$41)^D$336</f>
        <v>1665.6682105838224</v>
      </c>
      <c r="E361" s="106">
        <f>VLOOKUP($A361,'VKT US'!$B$63:$AA$113,(E$336+1),FALSE)*($BA$69+$BA$75)/(1+$AZ$41)^E$336</f>
        <v>1597.3259823267072</v>
      </c>
      <c r="F361" s="106">
        <f>VLOOKUP($A361,'VKT US'!$B$63:$AA$113,(F$336+1),FALSE)*($BA$69+$BA$75)/(1+$AZ$41)^F$336</f>
        <v>1531.9916038278075</v>
      </c>
      <c r="G361" s="106">
        <f>VLOOKUP($A361,'VKT US'!$B$63:$AA$113,(G$336+1),FALSE)*($BA$69+$BA$75)/(1+$AZ$41)^G$336</f>
        <v>1469.8305983404507</v>
      </c>
      <c r="H361" s="106">
        <f>VLOOKUP($A361,'VKT US'!$B$63:$AA$113,(H$336+1),FALSE)*($BA$69+$BA$75)/(1+$AZ$41)^H$336</f>
        <v>1410.3896521675415</v>
      </c>
      <c r="I361" s="106">
        <f>VLOOKUP($A361,'VKT US'!$B$63:$AA$113,(I$336+1),FALSE)*($BA$69+$BA$75)/(1+$AZ$41)^I$336</f>
        <v>1353.8363311934399</v>
      </c>
      <c r="J361" s="106">
        <f>VLOOKUP($A361,'VKT US'!$B$63:$AA$113,(J$336+1),FALSE)*($BA$69+$BA$75)/(1+$AZ$41)^J$336</f>
        <v>1300.0905361130019</v>
      </c>
      <c r="K361" s="106">
        <f>VLOOKUP($A361,'VKT US'!$B$63:$AA$113,(K$336+1),FALSE)*($BA$69+$BA$75)/(1+$AZ$41)^K$336</f>
        <v>1249.0738980611413</v>
      </c>
      <c r="L361" s="106">
        <f>VLOOKUP($A361,'VKT US'!$B$63:$AA$113,(L$336+1),FALSE)*($BA$69+$BA$75)/(1+$AZ$41)^L$336</f>
        <v>1200.5936456855295</v>
      </c>
      <c r="M361" s="106">
        <f>VLOOKUP($A361,'VKT US'!$B$63:$AA$113,(M$336+1),FALSE)*($BA$69+$BA$75)/(1+$AZ$41)^M$336</f>
        <v>1154.6936275213686</v>
      </c>
      <c r="N361" s="106">
        <f>VLOOKUP($A361,'VKT US'!$B$63:$AA$113,(N$336+1),FALSE)*($BA$69+$BA$75)/(1+$AZ$41)^N$336</f>
        <v>1111.1870604867236</v>
      </c>
      <c r="O361" s="106">
        <f>VLOOKUP($A361,'VKT US'!$B$63:$AA$113,(O$336+1),FALSE)*($BA$69+$BA$75)/(1+$AZ$41)^O$336</f>
        <v>1070.1181807727457</v>
      </c>
      <c r="P361" s="106">
        <f>VLOOKUP($A361,'VKT US'!$B$63:$AA$113,(P$336+1),FALSE)*($BA$69+$BA$75)/(1+$AZ$41)^P$336</f>
        <v>1031.3060080312987</v>
      </c>
      <c r="Q361" s="106">
        <f>VLOOKUP($A361,'VKT US'!$B$63:$AA$113,(Q$336+1),FALSE)*($BA$69+$BA$75)/(1+$AZ$41)^Q$336</f>
        <v>994.90449149782842</v>
      </c>
      <c r="R361" s="106">
        <f>VLOOKUP($A361,'VKT US'!$B$63:$AA$113,(R$336+1),FALSE)*($BA$69+$BA$75)/(1+$AZ$41)^R$336</f>
        <v>960.51822022506542</v>
      </c>
      <c r="S361" s="106">
        <f>VLOOKUP($A361,'VKT US'!$B$63:$AA$113,(S$336+1),FALSE)*($BA$69+$BA$75)/(1+$AZ$41)^S$336</f>
        <v>928.40953993914991</v>
      </c>
      <c r="T361" s="106">
        <f>VLOOKUP($A361,'VKT US'!$B$63:$AA$113,(T$336+1),FALSE)*($BA$69+$BA$75)/(1+$AZ$41)^T$336</f>
        <v>898.1936757099669</v>
      </c>
      <c r="U361" s="106">
        <f>VLOOKUP($A361,'VKT US'!$B$63:$AA$113,(U$336+1),FALSE)*($BA$69+$BA$75)/(1+$AZ$41)^U$336</f>
        <v>870.12808234263264</v>
      </c>
      <c r="V361" s="110" cm="1">
        <f t="array" ref="V361">SUMPRODUCT(INDEX(B361:U361,,_xlfn.SEQUENCE($AZ$13)))</f>
        <v>19664.000026867139</v>
      </c>
    </row>
    <row r="362" spans="1:22" x14ac:dyDescent="0.25">
      <c r="A362" s="102" t="s">
        <v>208</v>
      </c>
      <c r="B362" s="106">
        <f>VLOOKUP($A362,'VKT US'!$B$63:$AA$113,(B$336+1),FALSE)*($BA$69+$BA$75)/(1+$AZ$41)^B$336</f>
        <v>1553.5927167702971</v>
      </c>
      <c r="C362" s="106">
        <f>VLOOKUP($A362,'VKT US'!$B$63:$AA$113,(C$336+1),FALSE)*($BA$69+$BA$75)/(1+$AZ$41)^C$336</f>
        <v>1489.5100915346188</v>
      </c>
      <c r="D362" s="106">
        <f>VLOOKUP($A362,'VKT US'!$B$63:$AA$113,(D$336+1),FALSE)*($BA$69+$BA$75)/(1+$AZ$41)^D$336</f>
        <v>1428.1524315140164</v>
      </c>
      <c r="E362" s="106">
        <f>VLOOKUP($A362,'VKT US'!$B$63:$AA$113,(E$336+1),FALSE)*($BA$69+$BA$75)/(1+$AZ$41)^E$336</f>
        <v>1369.5554559337027</v>
      </c>
      <c r="F362" s="106">
        <f>VLOOKUP($A362,'VKT US'!$B$63:$AA$113,(F$336+1),FALSE)*($BA$69+$BA$75)/(1+$AZ$41)^F$336</f>
        <v>1313.5374260993242</v>
      </c>
      <c r="G362" s="106">
        <f>VLOOKUP($A362,'VKT US'!$B$63:$AA$113,(G$336+1),FALSE)*($BA$69+$BA$75)/(1+$AZ$41)^G$336</f>
        <v>1260.240262493729</v>
      </c>
      <c r="H362" s="106">
        <f>VLOOKUP($A362,'VKT US'!$B$63:$AA$113,(H$336+1),FALSE)*($BA$69+$BA$75)/(1+$AZ$41)^H$336</f>
        <v>1209.275291637631</v>
      </c>
      <c r="I362" s="106">
        <f>VLOOKUP($A362,'VKT US'!$B$63:$AA$113,(I$336+1),FALSE)*($BA$69+$BA$75)/(1+$AZ$41)^I$336</f>
        <v>1160.7861853761583</v>
      </c>
      <c r="J362" s="106">
        <f>VLOOKUP($A362,'VKT US'!$B$63:$AA$113,(J$336+1),FALSE)*($BA$69+$BA$75)/(1+$AZ$41)^J$336</f>
        <v>1114.7042661559565</v>
      </c>
      <c r="K362" s="106">
        <f>VLOOKUP($A362,'VKT US'!$B$63:$AA$113,(K$336+1),FALSE)*($BA$69+$BA$75)/(1+$AZ$41)^K$336</f>
        <v>1070.9623401118147</v>
      </c>
      <c r="L362" s="106">
        <f>VLOOKUP($A362,'VKT US'!$B$63:$AA$113,(L$336+1),FALSE)*($BA$69+$BA$75)/(1+$AZ$41)^L$336</f>
        <v>1029.3951241016257</v>
      </c>
      <c r="M362" s="106">
        <f>VLOOKUP($A362,'VKT US'!$B$63:$AA$113,(M$336+1),FALSE)*($BA$69+$BA$75)/(1+$AZ$41)^M$336</f>
        <v>990.04021408343704</v>
      </c>
      <c r="N362" s="106">
        <f>VLOOKUP($A362,'VKT US'!$B$63:$AA$113,(N$336+1),FALSE)*($BA$69+$BA$75)/(1+$AZ$41)^N$336</f>
        <v>952.73746128876235</v>
      </c>
      <c r="O362" s="106">
        <f>VLOOKUP($A362,'VKT US'!$B$63:$AA$113,(O$336+1),FALSE)*($BA$69+$BA$75)/(1+$AZ$41)^O$336</f>
        <v>917.5247940538419</v>
      </c>
      <c r="P362" s="106">
        <f>VLOOKUP($A362,'VKT US'!$B$63:$AA$113,(P$336+1),FALSE)*($BA$69+$BA$75)/(1+$AZ$41)^P$336</f>
        <v>884.24703890378601</v>
      </c>
      <c r="Q362" s="106">
        <f>VLOOKUP($A362,'VKT US'!$B$63:$AA$113,(Q$336+1),FALSE)*($BA$69+$BA$75)/(1+$AZ$41)^Q$336</f>
        <v>853.03619269939622</v>
      </c>
      <c r="R362" s="106">
        <f>VLOOKUP($A362,'VKT US'!$B$63:$AA$113,(R$336+1),FALSE)*($BA$69+$BA$75)/(1+$AZ$41)^R$336</f>
        <v>823.55322807483606</v>
      </c>
      <c r="S362" s="106">
        <f>VLOOKUP($A362,'VKT US'!$B$63:$AA$113,(S$336+1),FALSE)*($BA$69+$BA$75)/(1+$AZ$41)^S$336</f>
        <v>796.02308159568599</v>
      </c>
      <c r="T362" s="106">
        <f>VLOOKUP($A362,'VKT US'!$B$63:$AA$113,(T$336+1),FALSE)*($BA$69+$BA$75)/(1+$AZ$41)^T$336</f>
        <v>770.11584527154446</v>
      </c>
      <c r="U362" s="106">
        <f>VLOOKUP($A362,'VKT US'!$B$63:$AA$113,(U$336+1),FALSE)*($BA$69+$BA$75)/(1+$AZ$41)^U$336</f>
        <v>746.05226216732399</v>
      </c>
      <c r="V362" s="110" cm="1">
        <f t="array" ref="V362">SUMPRODUCT(INDEX(B362:U362,,_xlfn.SEQUENCE($AZ$13)))</f>
        <v>16860.014061154918</v>
      </c>
    </row>
    <row r="363" spans="1:22" x14ac:dyDescent="0.25">
      <c r="A363" s="102" t="s">
        <v>211</v>
      </c>
      <c r="B363" s="106">
        <f>VLOOKUP($A363,'VKT US'!$B$63:$AA$113,(B$336+1),FALSE)*($BA$69+$BA$75)/(1+$AZ$41)^B$336</f>
        <v>1452.4330902501151</v>
      </c>
      <c r="C363" s="106">
        <f>VLOOKUP($A363,'VKT US'!$B$63:$AA$113,(C$336+1),FALSE)*($BA$69+$BA$75)/(1+$AZ$41)^C$336</f>
        <v>1392.5230994283975</v>
      </c>
      <c r="D363" s="106">
        <f>VLOOKUP($A363,'VKT US'!$B$63:$AA$113,(D$336+1),FALSE)*($BA$69+$BA$75)/(1+$AZ$41)^D$336</f>
        <v>1335.1606422076252</v>
      </c>
      <c r="E363" s="106">
        <f>VLOOKUP($A363,'VKT US'!$B$63:$AA$113,(E$336+1),FALSE)*($BA$69+$BA$75)/(1+$AZ$41)^E$336</f>
        <v>1280.3791120145938</v>
      </c>
      <c r="F363" s="106">
        <f>VLOOKUP($A363,'VKT US'!$B$63:$AA$113,(F$336+1),FALSE)*($BA$69+$BA$75)/(1+$AZ$41)^F$336</f>
        <v>1228.0086037701869</v>
      </c>
      <c r="G363" s="106">
        <f>VLOOKUP($A363,'VKT US'!$B$63:$AA$113,(G$336+1),FALSE)*($BA$69+$BA$75)/(1+$AZ$41)^G$336</f>
        <v>1178.1817970391626</v>
      </c>
      <c r="H363" s="106">
        <f>VLOOKUP($A363,'VKT US'!$B$63:$AA$113,(H$336+1),FALSE)*($BA$69+$BA$75)/(1+$AZ$41)^H$336</f>
        <v>1130.5353261745759</v>
      </c>
      <c r="I363" s="106">
        <f>VLOOKUP($A363,'VKT US'!$B$63:$AA$113,(I$336+1),FALSE)*($BA$69+$BA$75)/(1+$AZ$41)^I$336</f>
        <v>1085.2035080664009</v>
      </c>
      <c r="J363" s="106">
        <f>VLOOKUP($A363,'VKT US'!$B$63:$AA$113,(J$336+1),FALSE)*($BA$69+$BA$75)/(1+$AZ$41)^J$336</f>
        <v>1042.1221369868595</v>
      </c>
      <c r="K363" s="106">
        <f>VLOOKUP($A363,'VKT US'!$B$63:$AA$113,(K$336+1),FALSE)*($BA$69+$BA$75)/(1+$AZ$41)^K$336</f>
        <v>1001.2283942884134</v>
      </c>
      <c r="L363" s="106">
        <f>VLOOKUP($A363,'VKT US'!$B$63:$AA$113,(L$336+1),FALSE)*($BA$69+$BA$75)/(1+$AZ$41)^L$336</f>
        <v>962.36775896805648</v>
      </c>
      <c r="M363" s="106">
        <f>VLOOKUP($A363,'VKT US'!$B$63:$AA$113,(M$336+1),FALSE)*($BA$69+$BA$75)/(1+$AZ$41)^M$336</f>
        <v>925.57537898505711</v>
      </c>
      <c r="N363" s="106">
        <f>VLOOKUP($A363,'VKT US'!$B$63:$AA$113,(N$336+1),FALSE)*($BA$69+$BA$75)/(1+$AZ$41)^N$336</f>
        <v>890.70153339376373</v>
      </c>
      <c r="O363" s="106">
        <f>VLOOKUP($A363,'VKT US'!$B$63:$AA$113,(O$336+1),FALSE)*($BA$69+$BA$75)/(1+$AZ$41)^O$336</f>
        <v>857.78168088937889</v>
      </c>
      <c r="P363" s="106">
        <f>VLOOKUP($A363,'VKT US'!$B$63:$AA$113,(P$336+1),FALSE)*($BA$69+$BA$75)/(1+$AZ$41)^P$336</f>
        <v>826.6707518618141</v>
      </c>
      <c r="Q363" s="106">
        <f>VLOOKUP($A363,'VKT US'!$B$63:$AA$113,(Q$336+1),FALSE)*($BA$69+$BA$75)/(1+$AZ$41)^Q$336</f>
        <v>797.49214841405762</v>
      </c>
      <c r="R363" s="106">
        <f>VLOOKUP($A363,'VKT US'!$B$63:$AA$113,(R$336+1),FALSE)*($BA$69+$BA$75)/(1+$AZ$41)^R$336</f>
        <v>769.92891838784738</v>
      </c>
      <c r="S363" s="106">
        <f>VLOOKUP($A363,'VKT US'!$B$63:$AA$113,(S$336+1),FALSE)*($BA$69+$BA$75)/(1+$AZ$41)^S$336</f>
        <v>744.19135197541277</v>
      </c>
      <c r="T363" s="106">
        <f>VLOOKUP($A363,'VKT US'!$B$63:$AA$113,(T$336+1),FALSE)*($BA$69+$BA$75)/(1+$AZ$41)^T$336</f>
        <v>719.97102260084068</v>
      </c>
      <c r="U363" s="106">
        <f>VLOOKUP($A363,'VKT US'!$B$63:$AA$113,(U$336+1),FALSE)*($BA$69+$BA$75)/(1+$AZ$41)^U$336</f>
        <v>697.47430000857003</v>
      </c>
      <c r="V363" s="110" cm="1">
        <f t="array" ref="V363">SUMPRODUCT(INDEX(B363:U363,,_xlfn.SEQUENCE($AZ$13)))</f>
        <v>15762.202062462586</v>
      </c>
    </row>
    <row r="364" spans="1:22" x14ac:dyDescent="0.25">
      <c r="A364" s="102" t="s">
        <v>215</v>
      </c>
      <c r="B364" s="106">
        <f>VLOOKUP($A364,'VKT US'!$B$63:$AA$113,(B$336+1),FALSE)*($BA$69+$BA$75)/(1+$AZ$41)^B$336</f>
        <v>1371.2314558093501</v>
      </c>
      <c r="C364" s="106">
        <f>VLOOKUP($A364,'VKT US'!$B$63:$AA$113,(C$336+1),FALSE)*($BA$69+$BA$75)/(1+$AZ$41)^C$336</f>
        <v>1314.6708717222427</v>
      </c>
      <c r="D364" s="106">
        <f>VLOOKUP($A364,'VKT US'!$B$63:$AA$113,(D$336+1),FALSE)*($BA$69+$BA$75)/(1+$AZ$41)^D$336</f>
        <v>1260.5153954723207</v>
      </c>
      <c r="E364" s="106">
        <f>VLOOKUP($A364,'VKT US'!$B$63:$AA$113,(E$336+1),FALSE)*($BA$69+$BA$75)/(1+$AZ$41)^E$336</f>
        <v>1208.7965535495453</v>
      </c>
      <c r="F364" s="106">
        <f>VLOOKUP($A364,'VKT US'!$B$63:$AA$113,(F$336+1),FALSE)*($BA$69+$BA$75)/(1+$AZ$41)^F$336</f>
        <v>1159.353939811595</v>
      </c>
      <c r="G364" s="106">
        <f>VLOOKUP($A364,'VKT US'!$B$63:$AA$113,(G$336+1),FALSE)*($BA$69+$BA$75)/(1+$AZ$41)^G$336</f>
        <v>1112.3128160649942</v>
      </c>
      <c r="H364" s="106">
        <f>VLOOKUP($A364,'VKT US'!$B$63:$AA$113,(H$336+1),FALSE)*($BA$69+$BA$75)/(1+$AZ$41)^H$336</f>
        <v>1067.3301314605185</v>
      </c>
      <c r="I364" s="106">
        <f>VLOOKUP($A364,'VKT US'!$B$63:$AA$113,(I$336+1),FALSE)*($BA$69+$BA$75)/(1+$AZ$41)^I$336</f>
        <v>1024.5326935914507</v>
      </c>
      <c r="J364" s="106">
        <f>VLOOKUP($A364,'VKT US'!$B$63:$AA$113,(J$336+1),FALSE)*($BA$69+$BA$75)/(1+$AZ$41)^J$336</f>
        <v>983.85988629986684</v>
      </c>
      <c r="K364" s="106">
        <f>VLOOKUP($A364,'VKT US'!$B$63:$AA$113,(K$336+1),FALSE)*($BA$69+$BA$75)/(1+$AZ$41)^K$336</f>
        <v>945.25240296015079</v>
      </c>
      <c r="L364" s="106">
        <f>VLOOKUP($A364,'VKT US'!$B$63:$AA$113,(L$336+1),FALSE)*($BA$69+$BA$75)/(1+$AZ$41)^L$336</f>
        <v>908.56436142370194</v>
      </c>
      <c r="M364" s="106">
        <f>VLOOKUP($A364,'VKT US'!$B$63:$AA$113,(M$336+1),FALSE)*($BA$69+$BA$75)/(1+$AZ$41)^M$336</f>
        <v>873.82894462175398</v>
      </c>
      <c r="N364" s="106">
        <f>VLOOKUP($A364,'VKT US'!$B$63:$AA$113,(N$336+1),FALSE)*($BA$69+$BA$75)/(1+$AZ$41)^N$336</f>
        <v>840.90480210474141</v>
      </c>
      <c r="O364" s="106">
        <f>VLOOKUP($A364,'VKT US'!$B$63:$AA$113,(O$336+1),FALSE)*($BA$69+$BA$75)/(1+$AZ$41)^O$336</f>
        <v>809.82541016742107</v>
      </c>
      <c r="P364" s="106">
        <f>VLOOKUP($A364,'VKT US'!$B$63:$AA$113,(P$336+1),FALSE)*($BA$69+$BA$75)/(1+$AZ$41)^P$336</f>
        <v>780.45380965210734</v>
      </c>
      <c r="Q364" s="106">
        <f>VLOOKUP($A364,'VKT US'!$B$63:$AA$113,(Q$336+1),FALSE)*($BA$69+$BA$75)/(1+$AZ$41)^Q$336</f>
        <v>752.90650358153243</v>
      </c>
      <c r="R364" s="106">
        <f>VLOOKUP($A364,'VKT US'!$B$63:$AA$113,(R$336+1),FALSE)*($BA$69+$BA$75)/(1+$AZ$41)^R$336</f>
        <v>726.88425974161851</v>
      </c>
      <c r="S364" s="106">
        <f>VLOOKUP($A364,'VKT US'!$B$63:$AA$113,(S$336+1),FALSE)*($BA$69+$BA$75)/(1+$AZ$41)^S$336</f>
        <v>702.58561156455505</v>
      </c>
      <c r="T364" s="106">
        <f>VLOOKUP($A364,'VKT US'!$B$63:$AA$113,(T$336+1),FALSE)*($BA$69+$BA$75)/(1+$AZ$41)^T$336</f>
        <v>679.7193757761944</v>
      </c>
      <c r="U364" s="106">
        <f>VLOOKUP($A364,'VKT US'!$B$63:$AA$113,(U$336+1),FALSE)*($BA$69+$BA$75)/(1+$AZ$41)^U$336</f>
        <v>658.48038454264565</v>
      </c>
      <c r="V364" s="110" cm="1">
        <f t="array" ref="V364">SUMPRODUCT(INDEX(B364:U364,,_xlfn.SEQUENCE($AZ$13)))</f>
        <v>14880.979665059651</v>
      </c>
    </row>
    <row r="365" spans="1:22" x14ac:dyDescent="0.25">
      <c r="A365" s="102" t="s">
        <v>212</v>
      </c>
      <c r="B365" s="106">
        <f>VLOOKUP($A365,'VKT US'!$B$63:$AA$113,(B$336+1),FALSE)*($BA$69+$BA$75)/(1+$AZ$41)^B$336</f>
        <v>1131.9312174453612</v>
      </c>
      <c r="C365" s="106">
        <f>VLOOKUP($A365,'VKT US'!$B$63:$AA$113,(C$336+1),FALSE)*($BA$69+$BA$75)/(1+$AZ$41)^C$336</f>
        <v>1085.2412946508525</v>
      </c>
      <c r="D365" s="106">
        <f>VLOOKUP($A365,'VKT US'!$B$63:$AA$113,(D$336+1),FALSE)*($BA$69+$BA$75)/(1+$AZ$41)^D$336</f>
        <v>1040.536752683701</v>
      </c>
      <c r="E365" s="106">
        <f>VLOOKUP($A365,'VKT US'!$B$63:$AA$113,(E$336+1),FALSE)*($BA$69+$BA$75)/(1+$AZ$41)^E$336</f>
        <v>997.84361619351012</v>
      </c>
      <c r="F365" s="106">
        <f>VLOOKUP($A365,'VKT US'!$B$63:$AA$113,(F$336+1),FALSE)*($BA$69+$BA$75)/(1+$AZ$41)^F$336</f>
        <v>957.02947229025062</v>
      </c>
      <c r="G365" s="106">
        <f>VLOOKUP($A365,'VKT US'!$B$63:$AA$113,(G$336+1),FALSE)*($BA$69+$BA$75)/(1+$AZ$41)^G$336</f>
        <v>918.19772273630008</v>
      </c>
      <c r="H365" s="106">
        <f>VLOOKUP($A365,'VKT US'!$B$63:$AA$113,(H$336+1),FALSE)*($BA$69+$BA$75)/(1+$AZ$41)^H$336</f>
        <v>881.06518414656114</v>
      </c>
      <c r="I365" s="106">
        <f>VLOOKUP($A365,'VKT US'!$B$63:$AA$113,(I$336+1),FALSE)*($BA$69+$BA$75)/(1+$AZ$41)^I$336</f>
        <v>845.73653430744014</v>
      </c>
      <c r="J365" s="106">
        <f>VLOOKUP($A365,'VKT US'!$B$63:$AA$113,(J$336+1),FALSE)*($BA$69+$BA$75)/(1+$AZ$41)^J$336</f>
        <v>812.16173548012694</v>
      </c>
      <c r="K365" s="106">
        <f>VLOOKUP($A365,'VKT US'!$B$63:$AA$113,(K$336+1),FALSE)*($BA$69+$BA$75)/(1+$AZ$41)^K$336</f>
        <v>780.29183092529581</v>
      </c>
      <c r="L365" s="106">
        <f>VLOOKUP($A365,'VKT US'!$B$63:$AA$113,(L$336+1),FALSE)*($BA$69+$BA$75)/(1+$AZ$41)^L$336</f>
        <v>750.00639709419454</v>
      </c>
      <c r="M365" s="106">
        <f>VLOOKUP($A365,'VKT US'!$B$63:$AA$113,(M$336+1),FALSE)*($BA$69+$BA$75)/(1+$AZ$41)^M$336</f>
        <v>721.33282600411633</v>
      </c>
      <c r="N365" s="106">
        <f>VLOOKUP($A365,'VKT US'!$B$63:$AA$113,(N$336+1),FALSE)*($BA$69+$BA$75)/(1+$AZ$41)^N$336</f>
        <v>694.15443495661088</v>
      </c>
      <c r="O365" s="106">
        <f>VLOOKUP($A365,'VKT US'!$B$63:$AA$113,(O$336+1),FALSE)*($BA$69+$BA$75)/(1+$AZ$41)^O$336</f>
        <v>668.49885813620597</v>
      </c>
      <c r="P365" s="106">
        <f>VLOOKUP($A365,'VKT US'!$B$63:$AA$113,(P$336+1),FALSE)*($BA$69+$BA$75)/(1+$AZ$41)^P$336</f>
        <v>644.25303779073079</v>
      </c>
      <c r="Q365" s="106">
        <f>VLOOKUP($A365,'VKT US'!$B$63:$AA$113,(Q$336+1),FALSE)*($BA$69+$BA$75)/(1+$AZ$41)^Q$336</f>
        <v>621.51314543652484</v>
      </c>
      <c r="R365" s="106">
        <f>VLOOKUP($A365,'VKT US'!$B$63:$AA$113,(R$336+1),FALSE)*($BA$69+$BA$75)/(1+$AZ$41)^R$336</f>
        <v>600.03216932152725</v>
      </c>
      <c r="S365" s="106">
        <f>VLOOKUP($A365,'VKT US'!$B$63:$AA$113,(S$336+1),FALSE)*($BA$69+$BA$75)/(1+$AZ$41)^S$336</f>
        <v>579.97399584773848</v>
      </c>
      <c r="T365" s="106">
        <f>VLOOKUP($A365,'VKT US'!$B$63:$AA$113,(T$336+1),FALSE)*($BA$69+$BA$75)/(1+$AZ$41)^T$336</f>
        <v>561.09825754356234</v>
      </c>
      <c r="U365" s="106">
        <f>VLOOKUP($A365,'VKT US'!$B$63:$AA$113,(U$336+1),FALSE)*($BA$69+$BA$75)/(1+$AZ$41)^U$336</f>
        <v>543.56578547077697</v>
      </c>
      <c r="V365" s="110" cm="1">
        <f t="array" ref="V365">SUMPRODUCT(INDEX(B365:U365,,_xlfn.SEQUENCE($AZ$13)))</f>
        <v>12284.027877050527</v>
      </c>
    </row>
    <row r="366" spans="1:22" x14ac:dyDescent="0.25">
      <c r="A366" s="102" t="s">
        <v>213</v>
      </c>
      <c r="B366" s="106">
        <f>VLOOKUP($A366,'VKT US'!$B$63:$AA$113,(B$336+1),FALSE)*($BA$69+$BA$75)/(1+$AZ$41)^B$336</f>
        <v>1199.7296905386745</v>
      </c>
      <c r="C366" s="106">
        <f>VLOOKUP($A366,'VKT US'!$B$63:$AA$113,(C$336+1),FALSE)*($BA$69+$BA$75)/(1+$AZ$41)^C$336</f>
        <v>1150.2432148922562</v>
      </c>
      <c r="D366" s="106">
        <f>VLOOKUP($A366,'VKT US'!$B$63:$AA$113,(D$336+1),FALSE)*($BA$69+$BA$75)/(1+$AZ$41)^D$336</f>
        <v>1102.8610370060696</v>
      </c>
      <c r="E366" s="106">
        <f>VLOOKUP($A366,'VKT US'!$B$63:$AA$113,(E$336+1),FALSE)*($BA$69+$BA$75)/(1+$AZ$41)^E$336</f>
        <v>1057.6107403095086</v>
      </c>
      <c r="F366" s="106">
        <f>VLOOKUP($A366,'VKT US'!$B$63:$AA$113,(F$336+1),FALSE)*($BA$69+$BA$75)/(1+$AZ$41)^F$336</f>
        <v>1014.3519808725448</v>
      </c>
      <c r="G366" s="106">
        <f>VLOOKUP($A366,'VKT US'!$B$63:$AA$113,(G$336+1),FALSE)*($BA$69+$BA$75)/(1+$AZ$41)^G$336</f>
        <v>973.19435383882865</v>
      </c>
      <c r="H366" s="106">
        <f>VLOOKUP($A366,'VKT US'!$B$63:$AA$113,(H$336+1),FALSE)*($BA$69+$BA$75)/(1+$AZ$41)^H$336</f>
        <v>933.83771419094876</v>
      </c>
      <c r="I366" s="106">
        <f>VLOOKUP($A366,'VKT US'!$B$63:$AA$113,(I$336+1),FALSE)*($BA$69+$BA$75)/(1+$AZ$41)^I$336</f>
        <v>896.39300952568192</v>
      </c>
      <c r="J366" s="106">
        <f>VLOOKUP($A366,'VKT US'!$B$63:$AA$113,(J$336+1),FALSE)*($BA$69+$BA$75)/(1+$AZ$41)^J$336</f>
        <v>860.80720502962811</v>
      </c>
      <c r="K366" s="106">
        <f>VLOOKUP($A366,'VKT US'!$B$63:$AA$113,(K$336+1),FALSE)*($BA$69+$BA$75)/(1+$AZ$41)^K$336</f>
        <v>827.02841163672451</v>
      </c>
      <c r="L366" s="106">
        <f>VLOOKUP($A366,'VKT US'!$B$63:$AA$113,(L$336+1),FALSE)*($BA$69+$BA$75)/(1+$AZ$41)^L$336</f>
        <v>794.92899287520379</v>
      </c>
      <c r="M366" s="106">
        <f>VLOOKUP($A366,'VKT US'!$B$63:$AA$113,(M$336+1),FALSE)*($BA$69+$BA$75)/(1+$AZ$41)^M$336</f>
        <v>764.53798144239215</v>
      </c>
      <c r="N366" s="106">
        <f>VLOOKUP($A366,'VKT US'!$B$63:$AA$113,(N$336+1),FALSE)*($BA$69+$BA$75)/(1+$AZ$41)^N$336</f>
        <v>735.73170577985479</v>
      </c>
      <c r="O366" s="106">
        <f>VLOOKUP($A366,'VKT US'!$B$63:$AA$113,(O$336+1),FALSE)*($BA$69+$BA$75)/(1+$AZ$41)^O$336</f>
        <v>708.53945525706956</v>
      </c>
      <c r="P366" s="106">
        <f>VLOOKUP($A366,'VKT US'!$B$63:$AA$113,(P$336+1),FALSE)*($BA$69+$BA$75)/(1+$AZ$41)^P$336</f>
        <v>682.84140038269072</v>
      </c>
      <c r="Q366" s="106">
        <f>VLOOKUP($A366,'VKT US'!$B$63:$AA$113,(Q$336+1),FALSE)*($BA$69+$BA$75)/(1+$AZ$41)^Q$336</f>
        <v>658.7394729894645</v>
      </c>
      <c r="R366" s="106">
        <f>VLOOKUP($A366,'VKT US'!$B$63:$AA$113,(R$336+1),FALSE)*($BA$69+$BA$75)/(1+$AZ$41)^R$336</f>
        <v>635.97186623940274</v>
      </c>
      <c r="S366" s="106">
        <f>VLOOKUP($A366,'VKT US'!$B$63:$AA$113,(S$336+1),FALSE)*($BA$69+$BA$75)/(1+$AZ$41)^S$336</f>
        <v>614.71228272090036</v>
      </c>
      <c r="T366" s="106">
        <f>VLOOKUP($A366,'VKT US'!$B$63:$AA$113,(T$336+1),FALSE)*($BA$69+$BA$75)/(1+$AZ$41)^T$336</f>
        <v>594.70595784414036</v>
      </c>
      <c r="U366" s="106">
        <f>VLOOKUP($A366,'VKT US'!$B$63:$AA$113,(U$336+1),FALSE)*($BA$69+$BA$75)/(1+$AZ$41)^U$336</f>
        <v>576.12335585377161</v>
      </c>
      <c r="V366" s="110" cm="1">
        <f t="array" ref="V366">SUMPRODUCT(INDEX(B366:U366,,_xlfn.SEQUENCE($AZ$13)))</f>
        <v>13019.795493195386</v>
      </c>
    </row>
    <row r="367" spans="1:22" x14ac:dyDescent="0.25">
      <c r="A367" s="102" t="s">
        <v>214</v>
      </c>
      <c r="B367" s="106">
        <f>VLOOKUP($A367,'VKT US'!$B$63:$AA$113,(B$336+1),FALSE)*($BA$69+$BA$75)/(1+$AZ$41)^B$336</f>
        <v>1874.192422869558</v>
      </c>
      <c r="C367" s="106">
        <f>VLOOKUP($A367,'VKT US'!$B$63:$AA$113,(C$336+1),FALSE)*($BA$69+$BA$75)/(1+$AZ$41)^C$336</f>
        <v>1796.8856941768699</v>
      </c>
      <c r="D367" s="106">
        <f>VLOOKUP($A367,'VKT US'!$B$63:$AA$113,(D$336+1),FALSE)*($BA$69+$BA$75)/(1+$AZ$41)^D$336</f>
        <v>1722.866255070152</v>
      </c>
      <c r="E367" s="106">
        <f>VLOOKUP($A367,'VKT US'!$B$63:$AA$113,(E$336+1),FALSE)*($BA$69+$BA$75)/(1+$AZ$41)^E$336</f>
        <v>1652.1771958011298</v>
      </c>
      <c r="F367" s="106">
        <f>VLOOKUP($A367,'VKT US'!$B$63:$AA$113,(F$336+1),FALSE)*($BA$69+$BA$75)/(1+$AZ$41)^F$336</f>
        <v>1584.599274041861</v>
      </c>
      <c r="G367" s="106">
        <f>VLOOKUP($A367,'VKT US'!$B$63:$AA$113,(G$336+1),FALSE)*($BA$69+$BA$75)/(1+$AZ$41)^G$336</f>
        <v>1520.3036970146325</v>
      </c>
      <c r="H367" s="106">
        <f>VLOOKUP($A367,'VKT US'!$B$63:$AA$113,(H$336+1),FALSE)*($BA$69+$BA$75)/(1+$AZ$41)^H$336</f>
        <v>1458.8215845026507</v>
      </c>
      <c r="I367" s="106">
        <f>VLOOKUP($A367,'VKT US'!$B$63:$AA$113,(I$336+1),FALSE)*($BA$69+$BA$75)/(1+$AZ$41)^I$336</f>
        <v>1400.3262565019563</v>
      </c>
      <c r="J367" s="106">
        <f>VLOOKUP($A367,'VKT US'!$B$63:$AA$113,(J$336+1),FALSE)*($BA$69+$BA$75)/(1+$AZ$41)^J$336</f>
        <v>1344.7348631454445</v>
      </c>
      <c r="K367" s="106">
        <f>VLOOKUP($A367,'VKT US'!$B$63:$AA$113,(K$336+1),FALSE)*($BA$69+$BA$75)/(1+$AZ$41)^K$336</f>
        <v>1291.9663444283397</v>
      </c>
      <c r="L367" s="106">
        <f>VLOOKUP($A367,'VKT US'!$B$63:$AA$113,(L$336+1),FALSE)*($BA$69+$BA$75)/(1+$AZ$41)^L$336</f>
        <v>1241.8213093460229</v>
      </c>
      <c r="M367" s="106">
        <f>VLOOKUP($A367,'VKT US'!$B$63:$AA$113,(M$336+1),FALSE)*($BA$69+$BA$75)/(1+$AZ$41)^M$336</f>
        <v>1194.3451121660205</v>
      </c>
      <c r="N367" s="106">
        <f>VLOOKUP($A367,'VKT US'!$B$63:$AA$113,(N$336+1),FALSE)*($BA$69+$BA$75)/(1+$AZ$41)^N$336</f>
        <v>1149.3445557877092</v>
      </c>
      <c r="O367" s="106">
        <f>VLOOKUP($A367,'VKT US'!$B$63:$AA$113,(O$336+1),FALSE)*($BA$69+$BA$75)/(1+$AZ$41)^O$336</f>
        <v>1106.8653954464387</v>
      </c>
      <c r="P367" s="106">
        <f>VLOOKUP($A367,'VKT US'!$B$63:$AA$113,(P$336+1),FALSE)*($BA$69+$BA$75)/(1+$AZ$41)^P$336</f>
        <v>1066.7204360377727</v>
      </c>
      <c r="Q367" s="106">
        <f>VLOOKUP($A367,'VKT US'!$B$63:$AA$113,(Q$336+1),FALSE)*($BA$69+$BA$75)/(1+$AZ$41)^Q$336</f>
        <v>1029.0689133213054</v>
      </c>
      <c r="R367" s="106">
        <f>VLOOKUP($A367,'VKT US'!$B$63:$AA$113,(R$336+1),FALSE)*($BA$69+$BA$75)/(1+$AZ$41)^R$336</f>
        <v>993.5018381756696</v>
      </c>
      <c r="S367" s="106">
        <f>VLOOKUP($A367,'VKT US'!$B$63:$AA$113,(S$336+1),FALSE)*($BA$69+$BA$75)/(1+$AZ$41)^S$336</f>
        <v>960.29056512144564</v>
      </c>
      <c r="T367" s="106">
        <f>VLOOKUP($A367,'VKT US'!$B$63:$AA$113,(T$336+1),FALSE)*($BA$69+$BA$75)/(1+$AZ$41)^T$336</f>
        <v>929.03710628885256</v>
      </c>
      <c r="U367" s="106">
        <f>VLOOKUP($A367,'VKT US'!$B$63:$AA$113,(U$336+1),FALSE)*($BA$69+$BA$75)/(1+$AZ$41)^U$336</f>
        <v>900.00775732616034</v>
      </c>
      <c r="V367" s="110" cm="1">
        <f t="array" ref="V367">SUMPRODUCT(INDEX(B367:U367,,_xlfn.SEQUENCE($AZ$13)))</f>
        <v>20339.249960298788</v>
      </c>
    </row>
    <row r="368" spans="1:22" x14ac:dyDescent="0.25">
      <c r="A368" s="102" t="s">
        <v>216</v>
      </c>
      <c r="B368" s="106">
        <f>VLOOKUP($A368,'VKT US'!$B$63:$AA$113,(B$336+1),FALSE)*($BA$69+$BA$75)/(1+$AZ$41)^B$336</f>
        <v>994.67110525211638</v>
      </c>
      <c r="C368" s="106">
        <f>VLOOKUP($A368,'VKT US'!$B$63:$AA$113,(C$336+1),FALSE)*($BA$69+$BA$75)/(1+$AZ$41)^C$336</f>
        <v>953.64289046803947</v>
      </c>
      <c r="D368" s="106">
        <f>VLOOKUP($A368,'VKT US'!$B$63:$AA$113,(D$336+1),FALSE)*($BA$69+$BA$75)/(1+$AZ$41)^D$336</f>
        <v>914.35930549137322</v>
      </c>
      <c r="E368" s="106">
        <f>VLOOKUP($A368,'VKT US'!$B$63:$AA$113,(E$336+1),FALSE)*($BA$69+$BA$75)/(1+$AZ$41)^E$336</f>
        <v>876.8432191736747</v>
      </c>
      <c r="F368" s="106">
        <f>VLOOKUP($A368,'VKT US'!$B$63:$AA$113,(F$336+1),FALSE)*($BA$69+$BA$75)/(1+$AZ$41)^F$336</f>
        <v>840.97827526145011</v>
      </c>
      <c r="G368" s="106">
        <f>VLOOKUP($A368,'VKT US'!$B$63:$AA$113,(G$336+1),FALSE)*($BA$69+$BA$75)/(1+$AZ$41)^G$336</f>
        <v>806.85533682454309</v>
      </c>
      <c r="H368" s="106">
        <f>VLOOKUP($A368,'VKT US'!$B$63:$AA$113,(H$336+1),FALSE)*($BA$69+$BA$75)/(1+$AZ$41)^H$336</f>
        <v>774.22555982870233</v>
      </c>
      <c r="I368" s="106">
        <f>VLOOKUP($A368,'VKT US'!$B$63:$AA$113,(I$336+1),FALSE)*($BA$69+$BA$75)/(1+$AZ$41)^I$336</f>
        <v>743.18092863472305</v>
      </c>
      <c r="J368" s="106">
        <f>VLOOKUP($A368,'VKT US'!$B$63:$AA$113,(J$336+1),FALSE)*($BA$69+$BA$75)/(1+$AZ$41)^J$336</f>
        <v>713.67747317428268</v>
      </c>
      <c r="K368" s="106">
        <f>VLOOKUP($A368,'VKT US'!$B$63:$AA$113,(K$336+1),FALSE)*($BA$69+$BA$75)/(1+$AZ$41)^K$336</f>
        <v>685.67217329451012</v>
      </c>
      <c r="L368" s="106">
        <f>VLOOKUP($A368,'VKT US'!$B$63:$AA$113,(L$336+1),FALSE)*($BA$69+$BA$75)/(1+$AZ$41)^L$336</f>
        <v>659.05920823307497</v>
      </c>
      <c r="M368" s="106">
        <f>VLOOKUP($A368,'VKT US'!$B$63:$AA$113,(M$336+1),FALSE)*($BA$69+$BA$75)/(1+$AZ$41)^M$336</f>
        <v>633.86264839964133</v>
      </c>
      <c r="N368" s="106">
        <f>VLOOKUP($A368,'VKT US'!$B$63:$AA$113,(N$336+1),FALSE)*($BA$69+$BA$75)/(1+$AZ$41)^N$336</f>
        <v>609.97996025962516</v>
      </c>
      <c r="O368" s="106">
        <f>VLOOKUP($A368,'VKT US'!$B$63:$AA$113,(O$336+1),FALSE)*($BA$69+$BA$75)/(1+$AZ$41)^O$336</f>
        <v>587.43542702427021</v>
      </c>
      <c r="P368" s="106">
        <f>VLOOKUP($A368,'VKT US'!$B$63:$AA$113,(P$336+1),FALSE)*($BA$69+$BA$75)/(1+$AZ$41)^P$336</f>
        <v>566.12970053745551</v>
      </c>
      <c r="Q368" s="106">
        <f>VLOOKUP($A368,'VKT US'!$B$63:$AA$113,(Q$336+1),FALSE)*($BA$69+$BA$75)/(1+$AZ$41)^Q$336</f>
        <v>546.14729037624443</v>
      </c>
      <c r="R368" s="106">
        <f>VLOOKUP($A368,'VKT US'!$B$63:$AA$113,(R$336+1),FALSE)*($BA$69+$BA$75)/(1+$AZ$41)^R$336</f>
        <v>527.27113789904649</v>
      </c>
      <c r="S368" s="106">
        <f>VLOOKUP($A368,'VKT US'!$B$63:$AA$113,(S$336+1),FALSE)*($BA$69+$BA$75)/(1+$AZ$41)^S$336</f>
        <v>509.6452563339634</v>
      </c>
      <c r="T368" s="106">
        <f>VLOOKUP($A368,'VKT US'!$B$63:$AA$113,(T$336+1),FALSE)*($BA$69+$BA$75)/(1+$AZ$41)^T$336</f>
        <v>493.05842562190122</v>
      </c>
      <c r="U368" s="106">
        <f>VLOOKUP($A368,'VKT US'!$B$63:$AA$113,(U$336+1),FALSE)*($BA$69+$BA$75)/(1+$AZ$41)^U$336</f>
        <v>477.65197414705187</v>
      </c>
      <c r="V368" s="110" cm="1">
        <f t="array" ref="V368">SUMPRODUCT(INDEX(B368:U368,,_xlfn.SEQUENCE($AZ$13)))</f>
        <v>10794.443511320027</v>
      </c>
    </row>
    <row r="369" spans="1:22" x14ac:dyDescent="0.25">
      <c r="A369" s="102" t="s">
        <v>209</v>
      </c>
      <c r="B369" s="106">
        <f>VLOOKUP($A369,'VKT US'!$B$63:$AA$113,(B$336+1),FALSE)*($BA$69+$BA$75)/(1+$AZ$41)^B$336</f>
        <v>1572.4745426101374</v>
      </c>
      <c r="C369" s="106">
        <f>VLOOKUP($A369,'VKT US'!$B$63:$AA$113,(C$336+1),FALSE)*($BA$69+$BA$75)/(1+$AZ$41)^C$336</f>
        <v>1507.6130794229173</v>
      </c>
      <c r="D369" s="106">
        <f>VLOOKUP($A369,'VKT US'!$B$63:$AA$113,(D$336+1),FALSE)*($BA$69+$BA$75)/(1+$AZ$41)^D$336</f>
        <v>1445.5096997307803</v>
      </c>
      <c r="E369" s="106">
        <f>VLOOKUP($A369,'VKT US'!$B$63:$AA$113,(E$336+1),FALSE)*($BA$69+$BA$75)/(1+$AZ$41)^E$336</f>
        <v>1386.200556877985</v>
      </c>
      <c r="F369" s="106">
        <f>VLOOKUP($A369,'VKT US'!$B$63:$AA$113,(F$336+1),FALSE)*($BA$69+$BA$75)/(1+$AZ$41)^F$336</f>
        <v>1329.5017033812617</v>
      </c>
      <c r="G369" s="106">
        <f>VLOOKUP($A369,'VKT US'!$B$63:$AA$113,(G$336+1),FALSE)*($BA$69+$BA$75)/(1+$AZ$41)^G$336</f>
        <v>1275.5567845756741</v>
      </c>
      <c r="H369" s="106">
        <f>VLOOKUP($A369,'VKT US'!$B$63:$AA$113,(H$336+1),FALSE)*($BA$69+$BA$75)/(1+$AZ$41)^H$336</f>
        <v>1223.9724031795743</v>
      </c>
      <c r="I369" s="106">
        <f>VLOOKUP($A369,'VKT US'!$B$63:$AA$113,(I$336+1),FALSE)*($BA$69+$BA$75)/(1+$AZ$41)^I$336</f>
        <v>1174.893977175755</v>
      </c>
      <c r="J369" s="106">
        <f>VLOOKUP($A369,'VKT US'!$B$63:$AA$113,(J$336+1),FALSE)*($BA$69+$BA$75)/(1+$AZ$41)^J$336</f>
        <v>1128.2519943277512</v>
      </c>
      <c r="K369" s="106">
        <f>VLOOKUP($A369,'VKT US'!$B$63:$AA$113,(K$336+1),FALSE)*($BA$69+$BA$75)/(1+$AZ$41)^K$336</f>
        <v>1083.9784441194709</v>
      </c>
      <c r="L369" s="106">
        <f>VLOOKUP($A369,'VKT US'!$B$63:$AA$113,(L$336+1),FALSE)*($BA$69+$BA$75)/(1+$AZ$41)^L$336</f>
        <v>1041.9060346149515</v>
      </c>
      <c r="M369" s="106">
        <f>VLOOKUP($A369,'VKT US'!$B$63:$AA$113,(M$336+1),FALSE)*($BA$69+$BA$75)/(1+$AZ$41)^M$336</f>
        <v>1002.0728187004461</v>
      </c>
      <c r="N369" s="106">
        <f>VLOOKUP($A369,'VKT US'!$B$63:$AA$113,(N$336+1),FALSE)*($BA$69+$BA$75)/(1+$AZ$41)^N$336</f>
        <v>964.31670121500497</v>
      </c>
      <c r="O369" s="106">
        <f>VLOOKUP($A369,'VKT US'!$B$63:$AA$113,(O$336+1),FALSE)*($BA$69+$BA$75)/(1+$AZ$41)^O$336</f>
        <v>928.67607146268256</v>
      </c>
      <c r="P369" s="106">
        <f>VLOOKUP($A369,'VKT US'!$B$63:$AA$113,(P$336+1),FALSE)*($BA$69+$BA$75)/(1+$AZ$41)^P$336</f>
        <v>894.9938700441154</v>
      </c>
      <c r="Q369" s="106">
        <f>VLOOKUP($A369,'VKT US'!$B$63:$AA$113,(Q$336+1),FALSE)*($BA$69+$BA$75)/(1+$AZ$41)^Q$336</f>
        <v>863.40369806406773</v>
      </c>
      <c r="R369" s="106">
        <f>VLOOKUP($A369,'VKT US'!$B$63:$AA$113,(R$336+1),FALSE)*($BA$69+$BA$75)/(1+$AZ$41)^R$336</f>
        <v>833.56240773594709</v>
      </c>
      <c r="S369" s="106">
        <f>VLOOKUP($A369,'VKT US'!$B$63:$AA$113,(S$336+1),FALSE)*($BA$69+$BA$75)/(1+$AZ$41)^S$336</f>
        <v>805.69766942616252</v>
      </c>
      <c r="T369" s="106">
        <f>VLOOKUP($A369,'VKT US'!$B$63:$AA$113,(T$336+1),FALSE)*($BA$69+$BA$75)/(1+$AZ$41)^T$336</f>
        <v>779.47556555727544</v>
      </c>
      <c r="U369" s="106">
        <f>VLOOKUP($A369,'VKT US'!$B$63:$AA$113,(U$336+1),FALSE)*($BA$69+$BA$75)/(1+$AZ$41)^U$336</f>
        <v>755.11952202867758</v>
      </c>
      <c r="V369" s="110" cm="1">
        <f t="array" ref="V369">SUMPRODUCT(INDEX(B369:U369,,_xlfn.SEQUENCE($AZ$13)))</f>
        <v>17064.92481139439</v>
      </c>
    </row>
    <row r="370" spans="1:22" x14ac:dyDescent="0.25">
      <c r="A370" s="102" t="s">
        <v>210</v>
      </c>
      <c r="B370" s="106">
        <f>VLOOKUP($A370,'VKT US'!$B$63:$AA$113,(B$336+1),FALSE)*($BA$69+$BA$75)/(1+$AZ$41)^B$336</f>
        <v>1728.8121472322364</v>
      </c>
      <c r="C370" s="106">
        <f>VLOOKUP($A370,'VKT US'!$B$63:$AA$113,(C$336+1),FALSE)*($BA$69+$BA$75)/(1+$AZ$41)^C$336</f>
        <v>1657.5020672234411</v>
      </c>
      <c r="D370" s="106">
        <f>VLOOKUP($A370,'VKT US'!$B$63:$AA$113,(D$336+1),FALSE)*($BA$69+$BA$75)/(1+$AZ$41)^D$336</f>
        <v>1589.2242832042939</v>
      </c>
      <c r="E370" s="106">
        <f>VLOOKUP($A370,'VKT US'!$B$63:$AA$113,(E$336+1),FALSE)*($BA$69+$BA$75)/(1+$AZ$41)^E$336</f>
        <v>1524.0185429347898</v>
      </c>
      <c r="F370" s="106">
        <f>VLOOKUP($A370,'VKT US'!$B$63:$AA$113,(F$336+1),FALSE)*($BA$69+$BA$75)/(1+$AZ$41)^F$336</f>
        <v>1461.6826106172014</v>
      </c>
      <c r="G370" s="106">
        <f>VLOOKUP($A370,'VKT US'!$B$63:$AA$113,(G$336+1),FALSE)*($BA$69+$BA$75)/(1+$AZ$41)^G$336</f>
        <v>1402.3744130054586</v>
      </c>
      <c r="H370" s="106">
        <f>VLOOKUP($A370,'VKT US'!$B$63:$AA$113,(H$336+1),FALSE)*($BA$69+$BA$75)/(1+$AZ$41)^H$336</f>
        <v>1345.6614407133864</v>
      </c>
      <c r="I370" s="106">
        <f>VLOOKUP($A370,'VKT US'!$B$63:$AA$113,(I$336+1),FALSE)*($BA$69+$BA$75)/(1+$AZ$41)^I$336</f>
        <v>1291.7035693817438</v>
      </c>
      <c r="J370" s="106">
        <f>VLOOKUP($A370,'VKT US'!$B$63:$AA$113,(J$336+1),FALSE)*($BA$69+$BA$75)/(1+$AZ$41)^J$336</f>
        <v>1240.424375770901</v>
      </c>
      <c r="K370" s="106">
        <f>VLOOKUP($A370,'VKT US'!$B$63:$AA$113,(K$336+1),FALSE)*($BA$69+$BA$75)/(1+$AZ$41)^K$336</f>
        <v>1191.749087664728</v>
      </c>
      <c r="L370" s="106">
        <f>VLOOKUP($A370,'VKT US'!$B$63:$AA$113,(L$336+1),FALSE)*($BA$69+$BA$75)/(1+$AZ$41)^L$336</f>
        <v>1145.493780730468</v>
      </c>
      <c r="M370" s="106">
        <f>VLOOKUP($A370,'VKT US'!$B$63:$AA$113,(M$336+1),FALSE)*($BA$69+$BA$75)/(1+$AZ$41)^M$336</f>
        <v>1101.700291125215</v>
      </c>
      <c r="N370" s="106">
        <f>VLOOKUP($A370,'VKT US'!$B$63:$AA$113,(N$336+1),FALSE)*($BA$69+$BA$75)/(1+$AZ$41)^N$336</f>
        <v>1060.1904079618212</v>
      </c>
      <c r="O370" s="106">
        <f>VLOOKUP($A370,'VKT US'!$B$63:$AA$113,(O$336+1),FALSE)*($BA$69+$BA$75)/(1+$AZ$41)^O$336</f>
        <v>1021.0063372623073</v>
      </c>
      <c r="P370" s="106">
        <f>VLOOKUP($A370,'VKT US'!$B$63:$AA$113,(P$336+1),FALSE)*($BA$69+$BA$75)/(1+$AZ$41)^P$336</f>
        <v>983.97540456352669</v>
      </c>
      <c r="Q370" s="106">
        <f>VLOOKUP($A370,'VKT US'!$B$63:$AA$113,(Q$336+1),FALSE)*($BA$69+$BA$75)/(1+$AZ$41)^Q$336</f>
        <v>949.24449377777273</v>
      </c>
      <c r="R370" s="106">
        <f>VLOOKUP($A370,'VKT US'!$B$63:$AA$113,(R$336+1),FALSE)*($BA$69+$BA$75)/(1+$AZ$41)^R$336</f>
        <v>916.43634088856606</v>
      </c>
      <c r="S370" s="106">
        <f>VLOOKUP($A370,'VKT US'!$B$63:$AA$113,(S$336+1),FALSE)*($BA$69+$BA$75)/(1+$AZ$41)^S$336</f>
        <v>885.80125156658482</v>
      </c>
      <c r="T370" s="106">
        <f>VLOOKUP($A370,'VKT US'!$B$63:$AA$113,(T$336+1),FALSE)*($BA$69+$BA$75)/(1+$AZ$41)^T$336</f>
        <v>856.97210968472666</v>
      </c>
      <c r="U370" s="106">
        <f>VLOOKUP($A370,'VKT US'!$B$63:$AA$113,(U$336+1),FALSE)*($BA$69+$BA$75)/(1+$AZ$41)^U$336</f>
        <v>830.19455445584265</v>
      </c>
      <c r="V370" s="110" cm="1">
        <f t="array" ref="V370">SUMPRODUCT(INDEX(B370:U370,,_xlfn.SEQUENCE($AZ$13)))</f>
        <v>18761.543354827994</v>
      </c>
    </row>
    <row r="371" spans="1:22" x14ac:dyDescent="0.25">
      <c r="A371" s="102" t="s">
        <v>217</v>
      </c>
      <c r="B371" s="106">
        <f>VLOOKUP($A371,'VKT US'!$B$63:$AA$113,(B$336+1),FALSE)*($BA$69+$BA$75)/(1+$AZ$41)^B$336</f>
        <v>1396.86377897017</v>
      </c>
      <c r="C371" s="106">
        <f>VLOOKUP($A371,'VKT US'!$B$63:$AA$113,(C$336+1),FALSE)*($BA$69+$BA$75)/(1+$AZ$41)^C$336</f>
        <v>1339.2459122752698</v>
      </c>
      <c r="D371" s="106">
        <f>VLOOKUP($A371,'VKT US'!$B$63:$AA$113,(D$336+1),FALSE)*($BA$69+$BA$75)/(1+$AZ$41)^D$336</f>
        <v>1284.078111911658</v>
      </c>
      <c r="E371" s="106">
        <f>VLOOKUP($A371,'VKT US'!$B$63:$AA$113,(E$336+1),FALSE)*($BA$69+$BA$75)/(1+$AZ$41)^E$336</f>
        <v>1231.3924936915246</v>
      </c>
      <c r="F371" s="106">
        <f>VLOOKUP($A371,'VKT US'!$B$63:$AA$113,(F$336+1),FALSE)*($BA$69+$BA$75)/(1+$AZ$41)^F$336</f>
        <v>1181.0256530129818</v>
      </c>
      <c r="G371" s="106">
        <f>VLOOKUP($A371,'VKT US'!$B$63:$AA$113,(G$336+1),FALSE)*($BA$69+$BA$75)/(1+$AZ$41)^G$336</f>
        <v>1133.1051931917798</v>
      </c>
      <c r="H371" s="106">
        <f>VLOOKUP($A371,'VKT US'!$B$63:$AA$113,(H$336+1),FALSE)*($BA$69+$BA$75)/(1+$AZ$41)^H$336</f>
        <v>1087.2816507557993</v>
      </c>
      <c r="I371" s="106">
        <f>VLOOKUP($A371,'VKT US'!$B$63:$AA$113,(I$336+1),FALSE)*($BA$69+$BA$75)/(1+$AZ$41)^I$336</f>
        <v>1043.6842037028205</v>
      </c>
      <c r="J371" s="106">
        <f>VLOOKUP($A371,'VKT US'!$B$63:$AA$113,(J$336+1),FALSE)*($BA$69+$BA$75)/(1+$AZ$41)^J$336</f>
        <v>1002.251102781785</v>
      </c>
      <c r="K371" s="106">
        <f>VLOOKUP($A371,'VKT US'!$B$63:$AA$113,(K$336+1),FALSE)*($BA$69+$BA$75)/(1+$AZ$41)^K$336</f>
        <v>962.92193275292777</v>
      </c>
      <c r="L371" s="106">
        <f>VLOOKUP($A371,'VKT US'!$B$63:$AA$113,(L$336+1),FALSE)*($BA$69+$BA$75)/(1+$AZ$41)^L$336</f>
        <v>925.54808450396808</v>
      </c>
      <c r="M371" s="106">
        <f>VLOOKUP($A371,'VKT US'!$B$63:$AA$113,(M$336+1),FALSE)*($BA$69+$BA$75)/(1+$AZ$41)^M$336</f>
        <v>890.16336125209784</v>
      </c>
      <c r="N371" s="106">
        <f>VLOOKUP($A371,'VKT US'!$B$63:$AA$113,(N$336+1),FALSE)*($BA$69+$BA$75)/(1+$AZ$41)^N$336</f>
        <v>856.62377029477011</v>
      </c>
      <c r="O371" s="106">
        <f>VLOOKUP($A371,'VKT US'!$B$63:$AA$113,(O$336+1),FALSE)*($BA$69+$BA$75)/(1+$AZ$41)^O$336</f>
        <v>824.96341369652112</v>
      </c>
      <c r="P371" s="106">
        <f>VLOOKUP($A371,'VKT US'!$B$63:$AA$113,(P$336+1),FALSE)*($BA$69+$BA$75)/(1+$AZ$41)^P$336</f>
        <v>795.0427721327618</v>
      </c>
      <c r="Q371" s="106">
        <f>VLOOKUP($A371,'VKT US'!$B$63:$AA$113,(Q$336+1),FALSE)*($BA$69+$BA$75)/(1+$AZ$41)^Q$336</f>
        <v>766.98052640818503</v>
      </c>
      <c r="R371" s="106">
        <f>VLOOKUP($A371,'VKT US'!$B$63:$AA$113,(R$336+1),FALSE)*($BA$69+$BA$75)/(1+$AZ$41)^R$336</f>
        <v>740.47185078416305</v>
      </c>
      <c r="S371" s="106">
        <f>VLOOKUP($A371,'VKT US'!$B$63:$AA$113,(S$336+1),FALSE)*($BA$69+$BA$75)/(1+$AZ$41)^S$336</f>
        <v>715.71898986292229</v>
      </c>
      <c r="T371" s="106">
        <f>VLOOKUP($A371,'VKT US'!$B$63:$AA$113,(T$336+1),FALSE)*($BA$69+$BA$75)/(1+$AZ$41)^T$336</f>
        <v>692.42531730397423</v>
      </c>
      <c r="U371" s="106">
        <f>VLOOKUP($A371,'VKT US'!$B$63:$AA$113,(U$336+1),FALSE)*($BA$69+$BA$75)/(1+$AZ$41)^U$336</f>
        <v>670.78930725598559</v>
      </c>
      <c r="V371" s="110" cm="1">
        <f t="array" ref="V371">SUMPRODUCT(INDEX(B371:U371,,_xlfn.SEQUENCE($AZ$13)))</f>
        <v>15159.148662794076</v>
      </c>
    </row>
    <row r="372" spans="1:22" x14ac:dyDescent="0.25">
      <c r="A372" s="102" t="s">
        <v>218</v>
      </c>
      <c r="B372" s="106">
        <f>VLOOKUP($A372,'VKT US'!$B$63:$AA$113,(B$336+1),FALSE)*($BA$69+$BA$75)/(1+$AZ$41)^B$336</f>
        <v>1731.551479478431</v>
      </c>
      <c r="C372" s="106">
        <f>VLOOKUP($A372,'VKT US'!$B$63:$AA$113,(C$336+1),FALSE)*($BA$69+$BA$75)/(1+$AZ$41)^C$336</f>
        <v>1660.1284074352152</v>
      </c>
      <c r="D372" s="106">
        <f>VLOOKUP($A372,'VKT US'!$B$63:$AA$113,(D$336+1),FALSE)*($BA$69+$BA$75)/(1+$AZ$41)^D$336</f>
        <v>1591.7424361062078</v>
      </c>
      <c r="E372" s="106">
        <f>VLOOKUP($A372,'VKT US'!$B$63:$AA$113,(E$336+1),FALSE)*($BA$69+$BA$75)/(1+$AZ$41)^E$336</f>
        <v>1526.4333762324059</v>
      </c>
      <c r="F372" s="106">
        <f>VLOOKUP($A372,'VKT US'!$B$63:$AA$113,(F$336+1),FALSE)*($BA$69+$BA$75)/(1+$AZ$41)^F$336</f>
        <v>1463.9986715700213</v>
      </c>
      <c r="G372" s="106">
        <f>VLOOKUP($A372,'VKT US'!$B$63:$AA$113,(G$336+1),FALSE)*($BA$69+$BA$75)/(1+$AZ$41)^G$336</f>
        <v>1404.5964991106114</v>
      </c>
      <c r="H372" s="106">
        <f>VLOOKUP($A372,'VKT US'!$B$63:$AA$113,(H$336+1),FALSE)*($BA$69+$BA$75)/(1+$AZ$41)^H$336</f>
        <v>1347.7936641495232</v>
      </c>
      <c r="I372" s="106">
        <f>VLOOKUP($A372,'VKT US'!$B$63:$AA$113,(I$336+1),FALSE)*($BA$69+$BA$75)/(1+$AZ$41)^I$336</f>
        <v>1293.750295653188</v>
      </c>
      <c r="J372" s="106">
        <f>VLOOKUP($A372,'VKT US'!$B$63:$AA$113,(J$336+1),FALSE)*($BA$69+$BA$75)/(1+$AZ$41)^J$336</f>
        <v>1242.3898492880526</v>
      </c>
      <c r="K372" s="106">
        <f>VLOOKUP($A372,'VKT US'!$B$63:$AA$113,(K$336+1),FALSE)*($BA$69+$BA$75)/(1+$AZ$41)^K$336</f>
        <v>1193.6374343601392</v>
      </c>
      <c r="L372" s="106">
        <f>VLOOKUP($A372,'VKT US'!$B$63:$AA$113,(L$336+1),FALSE)*($BA$69+$BA$75)/(1+$AZ$41)^L$336</f>
        <v>1147.3088351054582</v>
      </c>
      <c r="M372" s="106">
        <f>VLOOKUP($A372,'VKT US'!$B$63:$AA$113,(M$336+1),FALSE)*($BA$69+$BA$75)/(1+$AZ$41)^M$336</f>
        <v>1103.4459539712059</v>
      </c>
      <c r="N372" s="106">
        <f>VLOOKUP($A372,'VKT US'!$B$63:$AA$113,(N$336+1),FALSE)*($BA$69+$BA$75)/(1+$AZ$41)^N$336</f>
        <v>1061.8702976920531</v>
      </c>
      <c r="O372" s="106">
        <f>VLOOKUP($A372,'VKT US'!$B$63:$AA$113,(O$336+1),FALSE)*($BA$69+$BA$75)/(1+$AZ$41)^O$336</f>
        <v>1022.6241391661805</v>
      </c>
      <c r="P372" s="106">
        <f>VLOOKUP($A372,'VKT US'!$B$63:$AA$113,(P$336+1),FALSE)*($BA$69+$BA$75)/(1+$AZ$41)^P$336</f>
        <v>985.53453032481809</v>
      </c>
      <c r="Q372" s="106">
        <f>VLOOKUP($A372,'VKT US'!$B$63:$AA$113,(Q$336+1),FALSE)*($BA$69+$BA$75)/(1+$AZ$41)^Q$336</f>
        <v>950.74858782031583</v>
      </c>
      <c r="R372" s="106">
        <f>VLOOKUP($A372,'VKT US'!$B$63:$AA$113,(R$336+1),FALSE)*($BA$69+$BA$75)/(1+$AZ$41)^R$336</f>
        <v>917.88844985494484</v>
      </c>
      <c r="S372" s="106">
        <f>VLOOKUP($A372,'VKT US'!$B$63:$AA$113,(S$336+1),FALSE)*($BA$69+$BA$75)/(1+$AZ$41)^S$336</f>
        <v>887.20481871297523</v>
      </c>
      <c r="T372" s="106">
        <f>VLOOKUP($A372,'VKT US'!$B$63:$AA$113,(T$336+1),FALSE)*($BA$69+$BA$75)/(1+$AZ$41)^T$336</f>
        <v>858.32999656555819</v>
      </c>
      <c r="U372" s="106">
        <f>VLOOKUP($A372,'VKT US'!$B$63:$AA$113,(U$336+1),FALSE)*($BA$69+$BA$75)/(1+$AZ$41)^U$336</f>
        <v>831.51001184505446</v>
      </c>
      <c r="V372" s="110" cm="1">
        <f t="array" ref="V372">SUMPRODUCT(INDEX(B372:U372,,_xlfn.SEQUENCE($AZ$13)))</f>
        <v>18791.27133931869</v>
      </c>
    </row>
    <row r="373" spans="1:22" x14ac:dyDescent="0.25">
      <c r="A373" s="102" t="s">
        <v>219</v>
      </c>
      <c r="B373" s="106">
        <f>VLOOKUP($A373,'VKT US'!$B$63:$AA$113,(B$336+1),FALSE)*($BA$69+$BA$75)/(1+$AZ$41)^B$336</f>
        <v>1195.3271922858619</v>
      </c>
      <c r="C373" s="106">
        <f>VLOOKUP($A373,'VKT US'!$B$63:$AA$113,(C$336+1),FALSE)*($BA$69+$BA$75)/(1+$AZ$41)^C$336</f>
        <v>1146.0223109804767</v>
      </c>
      <c r="D373" s="106">
        <f>VLOOKUP($A373,'VKT US'!$B$63:$AA$113,(D$336+1),FALSE)*($BA$69+$BA$75)/(1+$AZ$41)^D$336</f>
        <v>1098.8140055565652</v>
      </c>
      <c r="E373" s="106">
        <f>VLOOKUP($A373,'VKT US'!$B$63:$AA$113,(E$336+1),FALSE)*($BA$69+$BA$75)/(1+$AZ$41)^E$336</f>
        <v>1053.7297582240542</v>
      </c>
      <c r="F373" s="106">
        <f>VLOOKUP($A373,'VKT US'!$B$63:$AA$113,(F$336+1),FALSE)*($BA$69+$BA$75)/(1+$AZ$41)^F$336</f>
        <v>1010.6297400555129</v>
      </c>
      <c r="G373" s="106">
        <f>VLOOKUP($A373,'VKT US'!$B$63:$AA$113,(G$336+1),FALSE)*($BA$69+$BA$75)/(1+$AZ$41)^G$336</f>
        <v>969.62314402697609</v>
      </c>
      <c r="H373" s="106">
        <f>VLOOKUP($A373,'VKT US'!$B$63:$AA$113,(H$336+1),FALSE)*($BA$69+$BA$75)/(1+$AZ$41)^H$336</f>
        <v>930.41092652572877</v>
      </c>
      <c r="I373" s="106">
        <f>VLOOKUP($A373,'VKT US'!$B$63:$AA$113,(I$336+1),FALSE)*($BA$69+$BA$75)/(1+$AZ$41)^I$336</f>
        <v>893.10362801800397</v>
      </c>
      <c r="J373" s="106">
        <f>VLOOKUP($A373,'VKT US'!$B$63:$AA$113,(J$336+1),FALSE)*($BA$69+$BA$75)/(1+$AZ$41)^J$336</f>
        <v>857.64840830563446</v>
      </c>
      <c r="K373" s="106">
        <f>VLOOKUP($A373,'VKT US'!$B$63:$AA$113,(K$336+1),FALSE)*($BA$69+$BA$75)/(1+$AZ$41)^K$336</f>
        <v>823.99356873338502</v>
      </c>
      <c r="L373" s="106">
        <f>VLOOKUP($A373,'VKT US'!$B$63:$AA$113,(L$336+1),FALSE)*($BA$69+$BA$75)/(1+$AZ$41)^L$336</f>
        <v>792.01194120111234</v>
      </c>
      <c r="M373" s="106">
        <f>VLOOKUP($A373,'VKT US'!$B$63:$AA$113,(M$336+1),FALSE)*($BA$69+$BA$75)/(1+$AZ$41)^M$336</f>
        <v>761.73245186847817</v>
      </c>
      <c r="N373" s="106">
        <f>VLOOKUP($A373,'VKT US'!$B$63:$AA$113,(N$336+1),FALSE)*($BA$69+$BA$75)/(1+$AZ$41)^N$336</f>
        <v>733.0318829991246</v>
      </c>
      <c r="O373" s="106">
        <f>VLOOKUP($A373,'VKT US'!$B$63:$AA$113,(O$336+1),FALSE)*($BA$69+$BA$75)/(1+$AZ$41)^O$336</f>
        <v>705.93941648298744</v>
      </c>
      <c r="P373" s="106">
        <f>VLOOKUP($A373,'VKT US'!$B$63:$AA$113,(P$336+1),FALSE)*($BA$69+$BA$75)/(1+$AZ$41)^P$336</f>
        <v>680.33566255204391</v>
      </c>
      <c r="Q373" s="106">
        <f>VLOOKUP($A373,'VKT US'!$B$63:$AA$113,(Q$336+1),FALSE)*($BA$69+$BA$75)/(1+$AZ$41)^Q$336</f>
        <v>656.32217899252032</v>
      </c>
      <c r="R373" s="106">
        <f>VLOOKUP($A373,'VKT US'!$B$63:$AA$113,(R$336+1),FALSE)*($BA$69+$BA$75)/(1+$AZ$41)^R$336</f>
        <v>633.63811968629386</v>
      </c>
      <c r="S373" s="106">
        <f>VLOOKUP($A373,'VKT US'!$B$63:$AA$113,(S$336+1),FALSE)*($BA$69+$BA$75)/(1+$AZ$41)^S$336</f>
        <v>612.45654980705865</v>
      </c>
      <c r="T373" s="106">
        <f>VLOOKUP($A373,'VKT US'!$B$63:$AA$113,(T$336+1),FALSE)*($BA$69+$BA$75)/(1+$AZ$41)^T$336</f>
        <v>592.52363964280414</v>
      </c>
      <c r="U373" s="106">
        <f>VLOOKUP($A373,'VKT US'!$B$63:$AA$113,(U$336+1),FALSE)*($BA$69+$BA$75)/(1+$AZ$41)^U$336</f>
        <v>574.00922790682398</v>
      </c>
      <c r="V373" s="110" cm="1">
        <f t="array" ref="V373">SUMPRODUCT(INDEX(B373:U373,,_xlfn.SEQUENCE($AZ$13)))</f>
        <v>12972.018375263902</v>
      </c>
    </row>
    <row r="374" spans="1:22" x14ac:dyDescent="0.25">
      <c r="A374" s="102" t="s">
        <v>220</v>
      </c>
      <c r="B374" s="106">
        <f>VLOOKUP($A374,'VKT US'!$B$63:$AA$113,(B$336+1),FALSE)*($BA$69+$BA$75)/(1+$AZ$41)^B$336</f>
        <v>1119.7020556319931</v>
      </c>
      <c r="C374" s="106">
        <f>VLOOKUP($A374,'VKT US'!$B$63:$AA$113,(C$336+1),FALSE)*($BA$69+$BA$75)/(1+$AZ$41)^C$336</f>
        <v>1073.5165615625765</v>
      </c>
      <c r="D374" s="106">
        <f>VLOOKUP($A374,'VKT US'!$B$63:$AA$113,(D$336+1),FALSE)*($BA$69+$BA$75)/(1+$AZ$41)^D$336</f>
        <v>1029.2949986572999</v>
      </c>
      <c r="E374" s="106">
        <f>VLOOKUP($A374,'VKT US'!$B$63:$AA$113,(E$336+1),FALSE)*($BA$69+$BA$75)/(1+$AZ$41)^E$336</f>
        <v>987.06311040058097</v>
      </c>
      <c r="F374" s="106">
        <f>VLOOKUP($A374,'VKT US'!$B$63:$AA$113,(F$336+1),FALSE)*($BA$69+$BA$75)/(1+$AZ$41)^F$336</f>
        <v>946.68991446516145</v>
      </c>
      <c r="G374" s="106">
        <f>VLOOKUP($A374,'VKT US'!$B$63:$AA$113,(G$336+1),FALSE)*($BA$69+$BA$75)/(1+$AZ$41)^G$336</f>
        <v>908.27769548115418</v>
      </c>
      <c r="H374" s="106">
        <f>VLOOKUP($A374,'VKT US'!$B$63:$AA$113,(H$336+1),FALSE)*($BA$69+$BA$75)/(1+$AZ$41)^H$336</f>
        <v>871.54632952094994</v>
      </c>
      <c r="I374" s="106">
        <f>VLOOKUP($A374,'VKT US'!$B$63:$AA$113,(I$336+1),FALSE)*($BA$69+$BA$75)/(1+$AZ$41)^I$336</f>
        <v>836.59936345277902</v>
      </c>
      <c r="J374" s="106">
        <f>VLOOKUP($A374,'VKT US'!$B$63:$AA$113,(J$336+1),FALSE)*($BA$69+$BA$75)/(1+$AZ$41)^J$336</f>
        <v>803.38730013570046</v>
      </c>
      <c r="K374" s="106">
        <f>VLOOKUP($A374,'VKT US'!$B$63:$AA$113,(K$336+1),FALSE)*($BA$69+$BA$75)/(1+$AZ$41)^K$336</f>
        <v>771.86171174935259</v>
      </c>
      <c r="L374" s="106">
        <f>VLOOKUP($A374,'VKT US'!$B$63:$AA$113,(L$336+1),FALSE)*($BA$69+$BA$75)/(1+$AZ$41)^L$336</f>
        <v>741.9034757772738</v>
      </c>
      <c r="M374" s="106">
        <f>VLOOKUP($A374,'VKT US'!$B$63:$AA$113,(M$336+1),FALSE)*($BA$69+$BA$75)/(1+$AZ$41)^M$336</f>
        <v>713.53968829879955</v>
      </c>
      <c r="N374" s="106">
        <f>VLOOKUP($A374,'VKT US'!$B$63:$AA$113,(N$336+1),FALSE)*($BA$69+$BA$75)/(1+$AZ$41)^N$336</f>
        <v>686.65492723236048</v>
      </c>
      <c r="O374" s="106">
        <f>VLOOKUP($A374,'VKT US'!$B$63:$AA$113,(O$336+1),FALSE)*($BA$69+$BA$75)/(1+$AZ$41)^O$336</f>
        <v>661.27652820820026</v>
      </c>
      <c r="P374" s="106">
        <f>VLOOKUP($A374,'VKT US'!$B$63:$AA$113,(P$336+1),FALSE)*($BA$69+$BA$75)/(1+$AZ$41)^P$336</f>
        <v>637.29265492782304</v>
      </c>
      <c r="Q374" s="106">
        <f>VLOOKUP($A374,'VKT US'!$B$63:$AA$113,(Q$336+1),FALSE)*($BA$69+$BA$75)/(1+$AZ$41)^Q$336</f>
        <v>614.79843988945788</v>
      </c>
      <c r="R374" s="106">
        <f>VLOOKUP($A374,'VKT US'!$B$63:$AA$113,(R$336+1),FALSE)*($BA$69+$BA$75)/(1+$AZ$41)^R$336</f>
        <v>593.54954000733619</v>
      </c>
      <c r="S374" s="106">
        <f>VLOOKUP($A374,'VKT US'!$B$63:$AA$113,(S$336+1),FALSE)*($BA$69+$BA$75)/(1+$AZ$41)^S$336</f>
        <v>573.7080710870672</v>
      </c>
      <c r="T374" s="106">
        <f>VLOOKUP($A374,'VKT US'!$B$63:$AA$113,(T$336+1),FALSE)*($BA$69+$BA$75)/(1+$AZ$41)^T$336</f>
        <v>555.03626253985055</v>
      </c>
      <c r="U374" s="106">
        <f>VLOOKUP($A374,'VKT US'!$B$63:$AA$113,(U$336+1),FALSE)*($BA$69+$BA$75)/(1+$AZ$41)^U$336</f>
        <v>537.69320784036665</v>
      </c>
      <c r="V374" s="110" cm="1">
        <f t="array" ref="V374">SUMPRODUCT(INDEX(B374:U374,,_xlfn.SEQUENCE($AZ$13)))</f>
        <v>12151.313660574182</v>
      </c>
    </row>
    <row r="375" spans="1:22" x14ac:dyDescent="0.25">
      <c r="A375" s="102" t="s">
        <v>221</v>
      </c>
      <c r="B375" s="106">
        <f>VLOOKUP($A375,'VKT US'!$B$63:$AA$113,(B$336+1),FALSE)*($BA$69+$BA$75)/(1+$AZ$41)^B$336</f>
        <v>974.51744658368557</v>
      </c>
      <c r="C375" s="106">
        <f>VLOOKUP($A375,'VKT US'!$B$63:$AA$113,(C$336+1),FALSE)*($BA$69+$BA$75)/(1+$AZ$41)^C$336</f>
        <v>934.32053033856016</v>
      </c>
      <c r="D375" s="106">
        <f>VLOOKUP($A375,'VKT US'!$B$63:$AA$113,(D$336+1),FALSE)*($BA$69+$BA$75)/(1+$AZ$41)^D$336</f>
        <v>895.83289485586397</v>
      </c>
      <c r="E375" s="106">
        <f>VLOOKUP($A375,'VKT US'!$B$63:$AA$113,(E$336+1),FALSE)*($BA$69+$BA$75)/(1+$AZ$41)^E$336</f>
        <v>859.07694562692768</v>
      </c>
      <c r="F375" s="106">
        <f>VLOOKUP($A375,'VKT US'!$B$63:$AA$113,(F$336+1),FALSE)*($BA$69+$BA$75)/(1+$AZ$41)^F$336</f>
        <v>823.93868396570338</v>
      </c>
      <c r="G375" s="106">
        <f>VLOOKUP($A375,'VKT US'!$B$63:$AA$113,(G$336+1),FALSE)*($BA$69+$BA$75)/(1+$AZ$41)^G$336</f>
        <v>790.50713190806255</v>
      </c>
      <c r="H375" s="106">
        <f>VLOOKUP($A375,'VKT US'!$B$63:$AA$113,(H$336+1),FALSE)*($BA$69+$BA$75)/(1+$AZ$41)^H$336</f>
        <v>758.53848740569515</v>
      </c>
      <c r="I375" s="106">
        <f>VLOOKUP($A375,'VKT US'!$B$63:$AA$113,(I$336+1),FALSE)*($BA$69+$BA$75)/(1+$AZ$41)^I$336</f>
        <v>728.12287106624137</v>
      </c>
      <c r="J375" s="106">
        <f>VLOOKUP($A375,'VKT US'!$B$63:$AA$113,(J$336+1),FALSE)*($BA$69+$BA$75)/(1+$AZ$41)^J$336</f>
        <v>699.21720372666766</v>
      </c>
      <c r="K375" s="106">
        <f>VLOOKUP($A375,'VKT US'!$B$63:$AA$113,(K$336+1),FALSE)*($BA$69+$BA$75)/(1+$AZ$41)^K$336</f>
        <v>671.77933689255576</v>
      </c>
      <c r="L375" s="106">
        <f>VLOOKUP($A375,'VKT US'!$B$63:$AA$113,(L$336+1),FALSE)*($BA$69+$BA$75)/(1+$AZ$41)^L$336</f>
        <v>645.70559390278936</v>
      </c>
      <c r="M375" s="106">
        <f>VLOOKUP($A375,'VKT US'!$B$63:$AA$113,(M$336+1),FALSE)*($BA$69+$BA$75)/(1+$AZ$41)^M$336</f>
        <v>621.01955746127942</v>
      </c>
      <c r="N375" s="106">
        <f>VLOOKUP($A375,'VKT US'!$B$63:$AA$113,(N$336+1),FALSE)*($BA$69+$BA$75)/(1+$AZ$41)^N$336</f>
        <v>597.62077153006055</v>
      </c>
      <c r="O375" s="106">
        <f>VLOOKUP($A375,'VKT US'!$B$63:$AA$113,(O$336+1),FALSE)*($BA$69+$BA$75)/(1+$AZ$41)^O$336</f>
        <v>575.53302730291693</v>
      </c>
      <c r="P375" s="106">
        <f>VLOOKUP($A375,'VKT US'!$B$63:$AA$113,(P$336+1),FALSE)*($BA$69+$BA$75)/(1+$AZ$41)^P$336</f>
        <v>554.65898957938373</v>
      </c>
      <c r="Q375" s="106">
        <f>VLOOKUP($A375,'VKT US'!$B$63:$AA$113,(Q$336+1),FALSE)*($BA$69+$BA$75)/(1+$AZ$41)^Q$336</f>
        <v>535.08145563467792</v>
      </c>
      <c r="R375" s="106">
        <f>VLOOKUP($A375,'VKT US'!$B$63:$AA$113,(R$336+1),FALSE)*($BA$69+$BA$75)/(1+$AZ$41)^R$336</f>
        <v>516.5877647892595</v>
      </c>
      <c r="S375" s="106">
        <f>VLOOKUP($A375,'VKT US'!$B$63:$AA$113,(S$336+1),FALSE)*($BA$69+$BA$75)/(1+$AZ$41)^S$336</f>
        <v>499.31901232837708</v>
      </c>
      <c r="T375" s="106">
        <f>VLOOKUP($A375,'VKT US'!$B$63:$AA$113,(T$336+1),FALSE)*($BA$69+$BA$75)/(1+$AZ$41)^T$336</f>
        <v>483.06825785578434</v>
      </c>
      <c r="U375" s="106">
        <f>VLOOKUP($A375,'VKT US'!$B$63:$AA$113,(U$336+1),FALSE)*($BA$69+$BA$75)/(1+$AZ$41)^U$336</f>
        <v>467.97396621213568</v>
      </c>
      <c r="V375" s="110" cm="1">
        <f t="array" ref="V375">SUMPRODUCT(INDEX(B375:U375,,_xlfn.SEQUENCE($AZ$13)))</f>
        <v>10575.730482567009</v>
      </c>
    </row>
    <row r="376" spans="1:22" x14ac:dyDescent="0.25">
      <c r="A376" s="102" t="s">
        <v>222</v>
      </c>
      <c r="B376" s="106">
        <f>VLOOKUP($A376,'VKT US'!$B$63:$AA$113,(B$336+1),FALSE)*($BA$69+$BA$75)/(1+$AZ$41)^B$336</f>
        <v>1461.727253228275</v>
      </c>
      <c r="C376" s="106">
        <f>VLOOKUP($A376,'VKT US'!$B$63:$AA$113,(C$336+1),FALSE)*($BA$69+$BA$75)/(1+$AZ$41)^C$336</f>
        <v>1401.4338965754873</v>
      </c>
      <c r="D376" s="106">
        <f>VLOOKUP($A376,'VKT US'!$B$63:$AA$113,(D$336+1),FALSE)*($BA$69+$BA$75)/(1+$AZ$41)^D$336</f>
        <v>1343.7043752676902</v>
      </c>
      <c r="E376" s="106">
        <f>VLOOKUP($A376,'VKT US'!$B$63:$AA$113,(E$336+1),FALSE)*($BA$69+$BA$75)/(1+$AZ$41)^E$336</f>
        <v>1288.5722964172201</v>
      </c>
      <c r="F376" s="106">
        <f>VLOOKUP($A376,'VKT US'!$B$63:$AA$113,(F$336+1),FALSE)*($BA$69+$BA$75)/(1+$AZ$41)^F$336</f>
        <v>1235.8666677172546</v>
      </c>
      <c r="G376" s="106">
        <f>VLOOKUP($A376,'VKT US'!$B$63:$AA$113,(G$336+1),FALSE)*($BA$69+$BA$75)/(1+$AZ$41)^G$336</f>
        <v>1185.7210177530733</v>
      </c>
      <c r="H376" s="106">
        <f>VLOOKUP($A376,'VKT US'!$B$63:$AA$113,(H$336+1),FALSE)*($BA$69+$BA$75)/(1+$AZ$41)^H$336</f>
        <v>1137.7696556900405</v>
      </c>
      <c r="I376" s="106">
        <f>VLOOKUP($A376,'VKT US'!$B$63:$AA$113,(I$336+1),FALSE)*($BA$69+$BA$75)/(1+$AZ$41)^I$336</f>
        <v>1092.1477579159432</v>
      </c>
      <c r="J376" s="106">
        <f>VLOOKUP($A376,'VKT US'!$B$63:$AA$113,(J$336+1),FALSE)*($BA$69+$BA$75)/(1+$AZ$41)^J$336</f>
        <v>1048.7907078486237</v>
      </c>
      <c r="K376" s="106">
        <f>VLOOKUP($A376,'VKT US'!$B$63:$AA$113,(K$336+1),FALSE)*($BA$69+$BA$75)/(1+$AZ$41)^K$336</f>
        <v>1007.63528486213</v>
      </c>
      <c r="L376" s="106">
        <f>VLOOKUP($A376,'VKT US'!$B$63:$AA$113,(L$336+1),FALSE)*($BA$69+$BA$75)/(1+$AZ$41)^L$336</f>
        <v>968.52597916891625</v>
      </c>
      <c r="M376" s="106">
        <f>VLOOKUP($A376,'VKT US'!$B$63:$AA$113,(M$336+1),FALSE)*($BA$69+$BA$75)/(1+$AZ$41)^M$336</f>
        <v>931.49816364109768</v>
      </c>
      <c r="N376" s="106">
        <f>VLOOKUP($A376,'VKT US'!$B$63:$AA$113,(N$336+1),FALSE)*($BA$69+$BA$75)/(1+$AZ$41)^N$336</f>
        <v>896.40115926419389</v>
      </c>
      <c r="O376" s="106">
        <f>VLOOKUP($A376,'VKT US'!$B$63:$AA$113,(O$336+1),FALSE)*($BA$69+$BA$75)/(1+$AZ$41)^O$336</f>
        <v>863.2706516346633</v>
      </c>
      <c r="P376" s="106">
        <f>VLOOKUP($A376,'VKT US'!$B$63:$AA$113,(P$336+1),FALSE)*($BA$69+$BA$75)/(1+$AZ$41)^P$336</f>
        <v>831.96064283762394</v>
      </c>
      <c r="Q376" s="106">
        <f>VLOOKUP($A376,'VKT US'!$B$63:$AA$113,(Q$336+1),FALSE)*($BA$69+$BA$75)/(1+$AZ$41)^Q$336</f>
        <v>802.59532462982872</v>
      </c>
      <c r="R376" s="106">
        <f>VLOOKUP($A376,'VKT US'!$B$63:$AA$113,(R$336+1),FALSE)*($BA$69+$BA$75)/(1+$AZ$41)^R$336</f>
        <v>774.85571666663259</v>
      </c>
      <c r="S376" s="106">
        <f>VLOOKUP($A376,'VKT US'!$B$63:$AA$113,(S$336+1),FALSE)*($BA$69+$BA$75)/(1+$AZ$41)^S$336</f>
        <v>748.95345479352284</v>
      </c>
      <c r="T376" s="106">
        <f>VLOOKUP($A376,'VKT US'!$B$63:$AA$113,(T$336+1),FALSE)*($BA$69+$BA$75)/(1+$AZ$41)^T$336</f>
        <v>724.57813880366155</v>
      </c>
      <c r="U376" s="106">
        <f>VLOOKUP($A376,'VKT US'!$B$63:$AA$113,(U$336+1),FALSE)*($BA$69+$BA$75)/(1+$AZ$41)^U$336</f>
        <v>701.93745900768192</v>
      </c>
      <c r="V376" s="110" cm="1">
        <f t="array" ref="V376">SUMPRODUCT(INDEX(B376:U376,,_xlfn.SEQUENCE($AZ$13)))</f>
        <v>15863.06486698461</v>
      </c>
    </row>
    <row r="377" spans="1:22" x14ac:dyDescent="0.25">
      <c r="A377" s="102" t="s">
        <v>223</v>
      </c>
      <c r="B377" s="106">
        <f>VLOOKUP($A377,'VKT US'!$B$63:$AA$113,(B$336+1),FALSE)*($BA$69+$BA$75)/(1+$AZ$41)^B$336</f>
        <v>1520.4272299324423</v>
      </c>
      <c r="C377" s="106">
        <f>VLOOKUP($A377,'VKT US'!$B$63:$AA$113,(C$336+1),FALSE)*($BA$69+$BA$75)/(1+$AZ$41)^C$336</f>
        <v>1457.7126153992133</v>
      </c>
      <c r="D377" s="106">
        <f>VLOOKUP($A377,'VKT US'!$B$63:$AA$113,(D$336+1),FALSE)*($BA$69+$BA$75)/(1+$AZ$41)^D$336</f>
        <v>1397.6647945944164</v>
      </c>
      <c r="E377" s="106">
        <f>VLOOKUP($A377,'VKT US'!$B$63:$AA$113,(E$336+1),FALSE)*($BA$69+$BA$75)/(1+$AZ$41)^E$336</f>
        <v>1340.3187242232793</v>
      </c>
      <c r="F377" s="106">
        <f>VLOOKUP($A377,'VKT US'!$B$63:$AA$113,(F$336+1),FALSE)*($BA$69+$BA$75)/(1+$AZ$41)^F$336</f>
        <v>1285.4965452776823</v>
      </c>
      <c r="G377" s="106">
        <f>VLOOKUP($A377,'VKT US'!$B$63:$AA$113,(G$336+1),FALSE)*($BA$69+$BA$75)/(1+$AZ$41)^G$336</f>
        <v>1233.3371485777734</v>
      </c>
      <c r="H377" s="106">
        <f>VLOOKUP($A377,'VKT US'!$B$63:$AA$113,(H$336+1),FALSE)*($BA$69+$BA$75)/(1+$AZ$41)^H$336</f>
        <v>1183.4601578929735</v>
      </c>
      <c r="I377" s="106">
        <f>VLOOKUP($A377,'VKT US'!$B$63:$AA$113,(I$336+1),FALSE)*($BA$69+$BA$75)/(1+$AZ$41)^I$336</f>
        <v>1136.0061780183173</v>
      </c>
      <c r="J377" s="106">
        <f>VLOOKUP($A377,'VKT US'!$B$63:$AA$113,(J$336+1),FALSE)*($BA$69+$BA$75)/(1+$AZ$41)^J$336</f>
        <v>1090.9079975018715</v>
      </c>
      <c r="K377" s="106">
        <f>VLOOKUP($A377,'VKT US'!$B$63:$AA$113,(K$336+1),FALSE)*($BA$69+$BA$75)/(1+$AZ$41)^K$336</f>
        <v>1048.0998569066571</v>
      </c>
      <c r="L377" s="106">
        <f>VLOOKUP($A377,'VKT US'!$B$63:$AA$113,(L$336+1),FALSE)*($BA$69+$BA$75)/(1+$AZ$41)^L$336</f>
        <v>1007.4200014901364</v>
      </c>
      <c r="M377" s="106">
        <f>VLOOKUP($A377,'VKT US'!$B$63:$AA$113,(M$336+1),FALSE)*($BA$69+$BA$75)/(1+$AZ$41)^M$336</f>
        <v>968.90522462661818</v>
      </c>
      <c r="N377" s="106">
        <f>VLOOKUP($A377,'VKT US'!$B$63:$AA$113,(N$336+1),FALSE)*($BA$69+$BA$75)/(1+$AZ$41)^N$336</f>
        <v>932.39879634059548</v>
      </c>
      <c r="O377" s="106">
        <f>VLOOKUP($A377,'VKT US'!$B$63:$AA$113,(O$336+1),FALSE)*($BA$69+$BA$75)/(1+$AZ$41)^O$336</f>
        <v>897.93783528909046</v>
      </c>
      <c r="P377" s="106">
        <f>VLOOKUP($A377,'VKT US'!$B$63:$AA$113,(P$336+1),FALSE)*($BA$69+$BA$75)/(1+$AZ$41)^P$336</f>
        <v>865.37048057958043</v>
      </c>
      <c r="Q377" s="106">
        <f>VLOOKUP($A377,'VKT US'!$B$63:$AA$113,(Q$336+1),FALSE)*($BA$69+$BA$75)/(1+$AZ$41)^Q$336</f>
        <v>834.82591125575038</v>
      </c>
      <c r="R377" s="106">
        <f>VLOOKUP($A377,'VKT US'!$B$63:$AA$113,(R$336+1),FALSE)*($BA$69+$BA$75)/(1+$AZ$41)^R$336</f>
        <v>805.97233737474994</v>
      </c>
      <c r="S377" s="106">
        <f>VLOOKUP($A377,'VKT US'!$B$63:$AA$113,(S$336+1),FALSE)*($BA$69+$BA$75)/(1+$AZ$41)^S$336</f>
        <v>779.02989364474524</v>
      </c>
      <c r="T377" s="106">
        <f>VLOOKUP($A377,'VKT US'!$B$63:$AA$113,(T$336+1),FALSE)*($BA$69+$BA$75)/(1+$AZ$41)^T$336</f>
        <v>753.67571482147821</v>
      </c>
      <c r="U377" s="106">
        <f>VLOOKUP($A377,'VKT US'!$B$63:$AA$113,(U$336+1),FALSE)*($BA$69+$BA$75)/(1+$AZ$41)^U$336</f>
        <v>730.12583163365127</v>
      </c>
      <c r="V377" s="110" cm="1">
        <f t="array" ref="V377">SUMPRODUCT(INDEX(B377:U377,,_xlfn.SEQUENCE($AZ$13)))</f>
        <v>16500.093106071068</v>
      </c>
    </row>
    <row r="378" spans="1:22" x14ac:dyDescent="0.25">
      <c r="A378" s="102" t="s">
        <v>224</v>
      </c>
      <c r="B378" s="106">
        <f>VLOOKUP($A378,'VKT US'!$B$63:$AA$113,(B$336+1),FALSE)*($BA$69+$BA$75)/(1+$AZ$41)^B$336</f>
        <v>1495.5775731276781</v>
      </c>
      <c r="C378" s="106">
        <f>VLOOKUP($A378,'VKT US'!$B$63:$AA$113,(C$336+1),FALSE)*($BA$69+$BA$75)/(1+$AZ$41)^C$336</f>
        <v>1433.8879577638361</v>
      </c>
      <c r="D378" s="106">
        <f>VLOOKUP($A378,'VKT US'!$B$63:$AA$113,(D$336+1),FALSE)*($BA$69+$BA$75)/(1+$AZ$41)^D$336</f>
        <v>1374.8215504127691</v>
      </c>
      <c r="E378" s="106">
        <f>VLOOKUP($A378,'VKT US'!$B$63:$AA$113,(E$336+1),FALSE)*($BA$69+$BA$75)/(1+$AZ$41)^E$336</f>
        <v>1318.4127364520475</v>
      </c>
      <c r="F378" s="106">
        <f>VLOOKUP($A378,'VKT US'!$B$63:$AA$113,(F$336+1),FALSE)*($BA$69+$BA$75)/(1+$AZ$41)^F$336</f>
        <v>1264.4865637771013</v>
      </c>
      <c r="G378" s="106">
        <f>VLOOKUP($A378,'VKT US'!$B$63:$AA$113,(G$336+1),FALSE)*($BA$69+$BA$75)/(1+$AZ$41)^G$336</f>
        <v>1213.1796531953171</v>
      </c>
      <c r="H378" s="106">
        <f>VLOOKUP($A378,'VKT US'!$B$63:$AA$113,(H$336+1),FALSE)*($BA$69+$BA$75)/(1+$AZ$41)^H$336</f>
        <v>1164.117845293732</v>
      </c>
      <c r="I378" s="106">
        <f>VLOOKUP($A378,'VKT US'!$B$63:$AA$113,(I$336+1),FALSE)*($BA$69+$BA$75)/(1+$AZ$41)^I$336</f>
        <v>1117.4394468416456</v>
      </c>
      <c r="J378" s="106">
        <f>VLOOKUP($A378,'VKT US'!$B$63:$AA$113,(J$336+1),FALSE)*($BA$69+$BA$75)/(1+$AZ$41)^J$336</f>
        <v>1073.0783448819966</v>
      </c>
      <c r="K378" s="106">
        <f>VLOOKUP($A378,'VKT US'!$B$63:$AA$113,(K$336+1),FALSE)*($BA$69+$BA$75)/(1+$AZ$41)^K$336</f>
        <v>1030.9698547411406</v>
      </c>
      <c r="L378" s="106">
        <f>VLOOKUP($A378,'VKT US'!$B$63:$AA$113,(L$336+1),FALSE)*($BA$69+$BA$75)/(1+$AZ$41)^L$336</f>
        <v>990.9548653741532</v>
      </c>
      <c r="M378" s="106">
        <f>VLOOKUP($A378,'VKT US'!$B$63:$AA$113,(M$336+1),FALSE)*($BA$69+$BA$75)/(1+$AZ$41)^M$336</f>
        <v>953.06956880941459</v>
      </c>
      <c r="N378" s="106">
        <f>VLOOKUP($A378,'VKT US'!$B$63:$AA$113,(N$336+1),FALSE)*($BA$69+$BA$75)/(1+$AZ$41)^N$336</f>
        <v>917.15979664491874</v>
      </c>
      <c r="O378" s="106">
        <f>VLOOKUP($A378,'VKT US'!$B$63:$AA$113,(O$336+1),FALSE)*($BA$69+$BA$75)/(1+$AZ$41)^O$336</f>
        <v>883.26206087538299</v>
      </c>
      <c r="P378" s="106">
        <f>VLOOKUP($A378,'VKT US'!$B$63:$AA$113,(P$336+1),FALSE)*($BA$69+$BA$75)/(1+$AZ$41)^P$336</f>
        <v>851.22698260215213</v>
      </c>
      <c r="Q378" s="106">
        <f>VLOOKUP($A378,'VKT US'!$B$63:$AA$113,(Q$336+1),FALSE)*($BA$69+$BA$75)/(1+$AZ$41)^Q$336</f>
        <v>821.18162958411017</v>
      </c>
      <c r="R378" s="106">
        <f>VLOOKUP($A378,'VKT US'!$B$63:$AA$113,(R$336+1),FALSE)*($BA$69+$BA$75)/(1+$AZ$41)^R$336</f>
        <v>792.79963460831357</v>
      </c>
      <c r="S378" s="106">
        <f>VLOOKUP($A378,'VKT US'!$B$63:$AA$113,(S$336+1),FALSE)*($BA$69+$BA$75)/(1+$AZ$41)^S$336</f>
        <v>766.29753453106116</v>
      </c>
      <c r="T378" s="106">
        <f>VLOOKUP($A378,'VKT US'!$B$63:$AA$113,(T$336+1),FALSE)*($BA$69+$BA$75)/(1+$AZ$41)^T$336</f>
        <v>741.35774097393585</v>
      </c>
      <c r="U378" s="106">
        <f>VLOOKUP($A378,'VKT US'!$B$63:$AA$113,(U$336+1),FALSE)*($BA$69+$BA$75)/(1+$AZ$41)^U$336</f>
        <v>718.19275388865753</v>
      </c>
      <c r="V378" s="110" cm="1">
        <f t="array" ref="V378">SUMPRODUCT(INDEX(B378:U378,,_xlfn.SEQUENCE($AZ$13)))</f>
        <v>16230.417818191134</v>
      </c>
    </row>
    <row r="379" spans="1:22" x14ac:dyDescent="0.25">
      <c r="A379" s="102" t="s">
        <v>225</v>
      </c>
      <c r="B379" s="106">
        <f>VLOOKUP($A379,'VKT US'!$B$63:$AA$113,(B$336+1),FALSE)*($BA$69+$BA$75)/(1+$AZ$41)^B$336</f>
        <v>1582.160038766325</v>
      </c>
      <c r="C379" s="106">
        <f>VLOOKUP($A379,'VKT US'!$B$63:$AA$113,(C$336+1),FALSE)*($BA$69+$BA$75)/(1+$AZ$41)^C$336</f>
        <v>1516.8990680288323</v>
      </c>
      <c r="D379" s="106">
        <f>VLOOKUP($A379,'VKT US'!$B$63:$AA$113,(D$336+1),FALSE)*($BA$69+$BA$75)/(1+$AZ$41)^D$336</f>
        <v>1454.41316891969</v>
      </c>
      <c r="E379" s="106">
        <f>VLOOKUP($A379,'VKT US'!$B$63:$AA$113,(E$336+1),FALSE)*($BA$69+$BA$75)/(1+$AZ$41)^E$336</f>
        <v>1394.738717465985</v>
      </c>
      <c r="F379" s="106">
        <f>VLOOKUP($A379,'VKT US'!$B$63:$AA$113,(F$336+1),FALSE)*($BA$69+$BA$75)/(1+$AZ$41)^F$336</f>
        <v>1337.6906331787325</v>
      </c>
      <c r="G379" s="106">
        <f>VLOOKUP($A379,'VKT US'!$B$63:$AA$113,(G$336+1),FALSE)*($BA$69+$BA$75)/(1+$AZ$41)^G$336</f>
        <v>1283.4134461617498</v>
      </c>
      <c r="H379" s="106">
        <f>VLOOKUP($A379,'VKT US'!$B$63:$AA$113,(H$336+1),FALSE)*($BA$69+$BA$75)/(1+$AZ$41)^H$336</f>
        <v>1231.5113360430585</v>
      </c>
      <c r="I379" s="106">
        <f>VLOOKUP($A379,'VKT US'!$B$63:$AA$113,(I$336+1),FALSE)*($BA$69+$BA$75)/(1+$AZ$41)^I$336</f>
        <v>1182.1306164926468</v>
      </c>
      <c r="J379" s="106">
        <f>VLOOKUP($A379,'VKT US'!$B$63:$AA$113,(J$336+1),FALSE)*($BA$69+$BA$75)/(1+$AZ$41)^J$336</f>
        <v>1135.2013471205371</v>
      </c>
      <c r="K379" s="106">
        <f>VLOOKUP($A379,'VKT US'!$B$63:$AA$113,(K$336+1),FALSE)*($BA$69+$BA$75)/(1+$AZ$41)^K$336</f>
        <v>1090.6550985068179</v>
      </c>
      <c r="L379" s="106">
        <f>VLOOKUP($A379,'VKT US'!$B$63:$AA$113,(L$336+1),FALSE)*($BA$69+$BA$75)/(1+$AZ$41)^L$336</f>
        <v>1048.323548297953</v>
      </c>
      <c r="M379" s="106">
        <f>VLOOKUP($A379,'VKT US'!$B$63:$AA$113,(M$336+1),FALSE)*($BA$69+$BA$75)/(1+$AZ$41)^M$336</f>
        <v>1008.2449837630568</v>
      </c>
      <c r="N379" s="106">
        <f>VLOOKUP($A379,'VKT US'!$B$63:$AA$113,(N$336+1),FALSE)*($BA$69+$BA$75)/(1+$AZ$41)^N$336</f>
        <v>970.25631133261118</v>
      </c>
      <c r="O379" s="106">
        <f>VLOOKUP($A379,'VKT US'!$B$63:$AA$113,(O$336+1),FALSE)*($BA$69+$BA$75)/(1+$AZ$41)^O$336</f>
        <v>934.39615676566302</v>
      </c>
      <c r="P379" s="106">
        <f>VLOOKUP($A379,'VKT US'!$B$63:$AA$113,(P$336+1),FALSE)*($BA$69+$BA$75)/(1+$AZ$41)^P$336</f>
        <v>900.50649327153837</v>
      </c>
      <c r="Q379" s="106">
        <f>VLOOKUP($A379,'VKT US'!$B$63:$AA$113,(Q$336+1),FALSE)*($BA$69+$BA$75)/(1+$AZ$41)^Q$336</f>
        <v>868.7217448573449</v>
      </c>
      <c r="R379" s="106">
        <f>VLOOKUP($A379,'VKT US'!$B$63:$AA$113,(R$336+1),FALSE)*($BA$69+$BA$75)/(1+$AZ$41)^R$336</f>
        <v>838.69665015278645</v>
      </c>
      <c r="S379" s="106">
        <f>VLOOKUP($A379,'VKT US'!$B$63:$AA$113,(S$336+1),FALSE)*($BA$69+$BA$75)/(1+$AZ$41)^S$336</f>
        <v>810.66028183661422</v>
      </c>
      <c r="T379" s="106">
        <f>VLOOKUP($A379,'VKT US'!$B$63:$AA$113,(T$336+1),FALSE)*($BA$69+$BA$75)/(1+$AZ$41)^T$336</f>
        <v>784.27666560021521</v>
      </c>
      <c r="U379" s="106">
        <f>VLOOKUP($A379,'VKT US'!$B$63:$AA$113,(U$336+1),FALSE)*($BA$69+$BA$75)/(1+$AZ$41)^U$336</f>
        <v>759.77060351196246</v>
      </c>
      <c r="V379" s="110" cm="1">
        <f t="array" ref="V379">SUMPRODUCT(INDEX(B379:U379,,_xlfn.SEQUENCE($AZ$13)))</f>
        <v>17170.034470843657</v>
      </c>
    </row>
    <row r="380" spans="1:22" x14ac:dyDescent="0.25">
      <c r="A380" s="102" t="s">
        <v>226</v>
      </c>
      <c r="B380" s="106">
        <f>VLOOKUP($A380,'VKT US'!$B$63:$AA$113,(B$336+1),FALSE)*($BA$69+$BA$75)/(1+$AZ$41)^B$336</f>
        <v>1517.9813975697689</v>
      </c>
      <c r="C380" s="106">
        <f>VLOOKUP($A380,'VKT US'!$B$63:$AA$113,(C$336+1),FALSE)*($BA$69+$BA$75)/(1+$AZ$41)^C$336</f>
        <v>1455.3676687815582</v>
      </c>
      <c r="D380" s="106">
        <f>VLOOKUP($A380,'VKT US'!$B$63:$AA$113,(D$336+1),FALSE)*($BA$69+$BA$75)/(1+$AZ$41)^D$336</f>
        <v>1395.4164437891361</v>
      </c>
      <c r="E380" s="106">
        <f>VLOOKUP($A380,'VKT US'!$B$63:$AA$113,(E$336+1),FALSE)*($BA$69+$BA$75)/(1+$AZ$41)^E$336</f>
        <v>1338.1626230646934</v>
      </c>
      <c r="F380" s="106">
        <f>VLOOKUP($A380,'VKT US'!$B$63:$AA$113,(F$336+1),FALSE)*($BA$69+$BA$75)/(1+$AZ$41)^F$336</f>
        <v>1283.4286337126646</v>
      </c>
      <c r="G380" s="106">
        <f>VLOOKUP($A380,'VKT US'!$B$63:$AA$113,(G$336+1),FALSE)*($BA$69+$BA$75)/(1+$AZ$41)^G$336</f>
        <v>1231.3531431267443</v>
      </c>
      <c r="H380" s="106">
        <f>VLOOKUP($A380,'VKT US'!$B$63:$AA$113,(H$336+1),FALSE)*($BA$69+$BA$75)/(1+$AZ$41)^H$336</f>
        <v>1181.5563869678513</v>
      </c>
      <c r="I380" s="106">
        <f>VLOOKUP($A380,'VKT US'!$B$63:$AA$113,(I$336+1),FALSE)*($BA$69+$BA$75)/(1+$AZ$41)^I$336</f>
        <v>1134.1787438473848</v>
      </c>
      <c r="J380" s="106">
        <f>VLOOKUP($A380,'VKT US'!$B$63:$AA$113,(J$336+1),FALSE)*($BA$69+$BA$75)/(1+$AZ$41)^J$336</f>
        <v>1089.1531104329861</v>
      </c>
      <c r="K380" s="106">
        <f>VLOOKUP($A380,'VKT US'!$B$63:$AA$113,(K$336+1),FALSE)*($BA$69+$BA$75)/(1+$AZ$41)^K$336</f>
        <v>1046.4138330714684</v>
      </c>
      <c r="L380" s="106">
        <f>VLOOKUP($A380,'VKT US'!$B$63:$AA$113,(L$336+1),FALSE)*($BA$69+$BA$75)/(1+$AZ$41)^L$336</f>
        <v>1005.7994172267523</v>
      </c>
      <c r="M380" s="106">
        <f>VLOOKUP($A380,'VKT US'!$B$63:$AA$113,(M$336+1),FALSE)*($BA$69+$BA$75)/(1+$AZ$41)^M$336</f>
        <v>967.34659708555466</v>
      </c>
      <c r="N380" s="106">
        <f>VLOOKUP($A380,'VKT US'!$B$63:$AA$113,(N$336+1),FALSE)*($BA$69+$BA$75)/(1+$AZ$41)^N$336</f>
        <v>930.89889479574538</v>
      </c>
      <c r="O380" s="106">
        <f>VLOOKUP($A380,'VKT US'!$B$63:$AA$113,(O$336+1),FALSE)*($BA$69+$BA$75)/(1+$AZ$41)^O$336</f>
        <v>896.49336930348932</v>
      </c>
      <c r="P380" s="106">
        <f>VLOOKUP($A380,'VKT US'!$B$63:$AA$113,(P$336+1),FALSE)*($BA$69+$BA$75)/(1+$AZ$41)^P$336</f>
        <v>863.97840400699886</v>
      </c>
      <c r="Q380" s="106">
        <f>VLOOKUP($A380,'VKT US'!$B$63:$AA$113,(Q$336+1),FALSE)*($BA$69+$BA$75)/(1+$AZ$41)^Q$336</f>
        <v>833.48297014633692</v>
      </c>
      <c r="R380" s="106">
        <f>VLOOKUP($A380,'VKT US'!$B$63:$AA$113,(R$336+1),FALSE)*($BA$69+$BA$75)/(1+$AZ$41)^R$336</f>
        <v>804.67581151191166</v>
      </c>
      <c r="S380" s="106">
        <f>VLOOKUP($A380,'VKT US'!$B$63:$AA$113,(S$336+1),FALSE)*($BA$69+$BA$75)/(1+$AZ$41)^S$336</f>
        <v>777.77670869261101</v>
      </c>
      <c r="T380" s="106">
        <f>VLOOKUP($A380,'VKT US'!$B$63:$AA$113,(T$336+1),FALSE)*($BA$69+$BA$75)/(1+$AZ$41)^T$336</f>
        <v>752.46331582073583</v>
      </c>
      <c r="U380" s="106">
        <f>VLOOKUP($A380,'VKT US'!$B$63:$AA$113,(U$336+1),FALSE)*($BA$69+$BA$75)/(1+$AZ$41)^U$336</f>
        <v>728.95131610756926</v>
      </c>
      <c r="V380" s="110" cm="1">
        <f t="array" ref="V380">SUMPRODUCT(INDEX(B380:U380,,_xlfn.SEQUENCE($AZ$13)))</f>
        <v>16473.5502627758</v>
      </c>
    </row>
    <row r="381" spans="1:22" x14ac:dyDescent="0.25">
      <c r="A381" s="102" t="s">
        <v>228</v>
      </c>
      <c r="B381" s="106">
        <f>VLOOKUP($A381,'VKT US'!$B$63:$AA$113,(B$336+1),FALSE)*($BA$69+$BA$75)/(1+$AZ$41)^B$336</f>
        <v>1272.2241617683212</v>
      </c>
      <c r="C381" s="106">
        <f>VLOOKUP($A381,'VKT US'!$B$63:$AA$113,(C$336+1),FALSE)*($BA$69+$BA$75)/(1+$AZ$41)^C$336</f>
        <v>1219.7474326395579</v>
      </c>
      <c r="D381" s="106">
        <f>VLOOKUP($A381,'VKT US'!$B$63:$AA$113,(D$336+1),FALSE)*($BA$69+$BA$75)/(1+$AZ$41)^D$336</f>
        <v>1169.5021548745763</v>
      </c>
      <c r="E381" s="106">
        <f>VLOOKUP($A381,'VKT US'!$B$63:$AA$113,(E$336+1),FALSE)*($BA$69+$BA$75)/(1+$AZ$41)^E$336</f>
        <v>1121.5175786499919</v>
      </c>
      <c r="F381" s="106">
        <f>VLOOKUP($A381,'VKT US'!$B$63:$AA$113,(F$336+1),FALSE)*($BA$69+$BA$75)/(1+$AZ$41)^F$336</f>
        <v>1075.6448796596733</v>
      </c>
      <c r="G381" s="106">
        <f>VLOOKUP($A381,'VKT US'!$B$63:$AA$113,(G$336+1),FALSE)*($BA$69+$BA$75)/(1+$AZ$41)^G$336</f>
        <v>1032.0002754073332</v>
      </c>
      <c r="H381" s="106">
        <f>VLOOKUP($A381,'VKT US'!$B$63:$AA$113,(H$336+1),FALSE)*($BA$69+$BA$75)/(1+$AZ$41)^H$336</f>
        <v>990.26548441157126</v>
      </c>
      <c r="I381" s="106">
        <f>VLOOKUP($A381,'VKT US'!$B$63:$AA$113,(I$336+1),FALSE)*($BA$69+$BA$75)/(1+$AZ$41)^I$336</f>
        <v>950.55815835211354</v>
      </c>
      <c r="J381" s="106">
        <f>VLOOKUP($A381,'VKT US'!$B$63:$AA$113,(J$336+1),FALSE)*($BA$69+$BA$75)/(1+$AZ$41)^J$336</f>
        <v>912.82205775138914</v>
      </c>
      <c r="K381" s="106">
        <f>VLOOKUP($A381,'VKT US'!$B$63:$AA$113,(K$336+1),FALSE)*($BA$69+$BA$75)/(1+$AZ$41)^K$336</f>
        <v>877.0021581117154</v>
      </c>
      <c r="L381" s="106">
        <f>VLOOKUP($A381,'VKT US'!$B$63:$AA$113,(L$336+1),FALSE)*($BA$69+$BA$75)/(1+$AZ$41)^L$336</f>
        <v>842.96311044191066</v>
      </c>
      <c r="M381" s="106">
        <f>VLOOKUP($A381,'VKT US'!$B$63:$AA$113,(M$336+1),FALSE)*($BA$69+$BA$75)/(1+$AZ$41)^M$336</f>
        <v>810.73570175950977</v>
      </c>
      <c r="N381" s="106">
        <f>VLOOKUP($A381,'VKT US'!$B$63:$AA$113,(N$336+1),FALSE)*($BA$69+$BA$75)/(1+$AZ$41)^N$336</f>
        <v>780.18878756921072</v>
      </c>
      <c r="O381" s="106">
        <f>VLOOKUP($A381,'VKT US'!$B$63:$AA$113,(O$336+1),FALSE)*($BA$69+$BA$75)/(1+$AZ$41)^O$336</f>
        <v>751.35342707028724</v>
      </c>
      <c r="P381" s="106">
        <f>VLOOKUP($A381,'VKT US'!$B$63:$AA$113,(P$336+1),FALSE)*($BA$69+$BA$75)/(1+$AZ$41)^P$336</f>
        <v>724.10254999400718</v>
      </c>
      <c r="Q381" s="106">
        <f>VLOOKUP($A381,'VKT US'!$B$63:$AA$113,(Q$336+1),FALSE)*($BA$69+$BA$75)/(1+$AZ$41)^Q$336</f>
        <v>698.54424747247788</v>
      </c>
      <c r="R381" s="106">
        <f>VLOOKUP($A381,'VKT US'!$B$63:$AA$113,(R$336+1),FALSE)*($BA$69+$BA$75)/(1+$AZ$41)^R$336</f>
        <v>674.4008928139275</v>
      </c>
      <c r="S381" s="106">
        <f>VLOOKUP($A381,'VKT US'!$B$63:$AA$113,(S$336+1),FALSE)*($BA$69+$BA$75)/(1+$AZ$41)^S$336</f>
        <v>651.85668470216001</v>
      </c>
      <c r="T381" s="106">
        <f>VLOOKUP($A381,'VKT US'!$B$63:$AA$113,(T$336+1),FALSE)*($BA$69+$BA$75)/(1+$AZ$41)^T$336</f>
        <v>630.64146422614385</v>
      </c>
      <c r="U381" s="106">
        <f>VLOOKUP($A381,'VKT US'!$B$63:$AA$113,(U$336+1),FALSE)*($BA$69+$BA$75)/(1+$AZ$41)^U$336</f>
        <v>610.9359960468438</v>
      </c>
      <c r="V381" s="110" cm="1">
        <f t="array" ref="V381">SUMPRODUCT(INDEX(B381:U381,,_xlfn.SEQUENCE($AZ$13)))</f>
        <v>13806.525368467162</v>
      </c>
    </row>
    <row r="382" spans="1:22" x14ac:dyDescent="0.25">
      <c r="A382" s="102" t="s">
        <v>227</v>
      </c>
      <c r="B382" s="106">
        <f>VLOOKUP($A382,'VKT US'!$B$63:$AA$113,(B$336+1),FALSE)*($BA$69+$BA$75)/(1+$AZ$41)^B$336</f>
        <v>1419.4632700012744</v>
      </c>
      <c r="C382" s="106">
        <f>VLOOKUP($A382,'VKT US'!$B$63:$AA$113,(C$336+1),FALSE)*($BA$69+$BA$75)/(1+$AZ$41)^C$336</f>
        <v>1360.9132190224045</v>
      </c>
      <c r="D382" s="106">
        <f>VLOOKUP($A382,'VKT US'!$B$63:$AA$113,(D$336+1),FALSE)*($BA$69+$BA$75)/(1+$AZ$41)^D$336</f>
        <v>1304.8528733524474</v>
      </c>
      <c r="E382" s="106">
        <f>VLOOKUP($A382,'VKT US'!$B$63:$AA$113,(E$336+1),FALSE)*($BA$69+$BA$75)/(1+$AZ$41)^E$336</f>
        <v>1251.3148683968573</v>
      </c>
      <c r="F382" s="106">
        <f>VLOOKUP($A382,'VKT US'!$B$63:$AA$113,(F$336+1),FALSE)*($BA$69+$BA$75)/(1+$AZ$41)^F$336</f>
        <v>1200.1331558737465</v>
      </c>
      <c r="G382" s="106">
        <f>VLOOKUP($A382,'VKT US'!$B$63:$AA$113,(G$336+1),FALSE)*($BA$69+$BA$75)/(1+$AZ$41)^G$336</f>
        <v>1151.4374035592894</v>
      </c>
      <c r="H382" s="106">
        <f>VLOOKUP($A382,'VKT US'!$B$63:$AA$113,(H$336+1),FALSE)*($BA$69+$BA$75)/(1+$AZ$41)^H$336</f>
        <v>1104.8724941039286</v>
      </c>
      <c r="I382" s="106">
        <f>VLOOKUP($A382,'VKT US'!$B$63:$AA$113,(I$336+1),FALSE)*($BA$69+$BA$75)/(1+$AZ$41)^I$336</f>
        <v>1060.5696954422344</v>
      </c>
      <c r="J382" s="106">
        <f>VLOOKUP($A382,'VKT US'!$B$63:$AA$113,(J$336+1),FALSE)*($BA$69+$BA$75)/(1+$AZ$41)^J$336</f>
        <v>1018.4662592982854</v>
      </c>
      <c r="K382" s="106">
        <f>VLOOKUP($A382,'VKT US'!$B$63:$AA$113,(K$336+1),FALSE)*($BA$69+$BA$75)/(1+$AZ$41)^K$336</f>
        <v>978.50079299007052</v>
      </c>
      <c r="L382" s="106">
        <f>VLOOKUP($A382,'VKT US'!$B$63:$AA$113,(L$336+1),FALSE)*($BA$69+$BA$75)/(1+$AZ$41)^L$336</f>
        <v>940.52228309763768</v>
      </c>
      <c r="M382" s="106">
        <f>VLOOKUP($A382,'VKT US'!$B$63:$AA$113,(M$336+1),FALSE)*($BA$69+$BA$75)/(1+$AZ$41)^M$336</f>
        <v>904.56507973152316</v>
      </c>
      <c r="N382" s="106">
        <f>VLOOKUP($A382,'VKT US'!$B$63:$AA$113,(N$336+1),FALSE)*($BA$69+$BA$75)/(1+$AZ$41)^N$336</f>
        <v>870.48286056918471</v>
      </c>
      <c r="O382" s="106">
        <f>VLOOKUP($A382,'VKT US'!$B$63:$AA$113,(O$336+1),FALSE)*($BA$69+$BA$75)/(1+$AZ$41)^O$336</f>
        <v>838.31027940347565</v>
      </c>
      <c r="P382" s="106">
        <f>VLOOKUP($A382,'VKT US'!$B$63:$AA$113,(P$336+1),FALSE)*($BA$69+$BA$75)/(1+$AZ$41)^P$336</f>
        <v>807.90555966341503</v>
      </c>
      <c r="Q382" s="106">
        <f>VLOOKUP($A382,'VKT US'!$B$63:$AA$113,(Q$336+1),FALSE)*($BA$69+$BA$75)/(1+$AZ$41)^Q$336</f>
        <v>779.38930225916499</v>
      </c>
      <c r="R382" s="106">
        <f>VLOOKUP($A382,'VKT US'!$B$63:$AA$113,(R$336+1),FALSE)*($BA$69+$BA$75)/(1+$AZ$41)^R$336</f>
        <v>752.45174975678822</v>
      </c>
      <c r="S382" s="106">
        <f>VLOOKUP($A382,'VKT US'!$B$63:$AA$113,(S$336+1),FALSE)*($BA$69+$BA$75)/(1+$AZ$41)^S$336</f>
        <v>727.29841882064284</v>
      </c>
      <c r="T382" s="106">
        <f>VLOOKUP($A382,'VKT US'!$B$63:$AA$113,(T$336+1),FALSE)*($BA$69+$BA$75)/(1+$AZ$41)^T$336</f>
        <v>703.62788407083372</v>
      </c>
      <c r="U382" s="106">
        <f>VLOOKUP($A382,'VKT US'!$B$63:$AA$113,(U$336+1),FALSE)*($BA$69+$BA$75)/(1+$AZ$41)^U$336</f>
        <v>681.6418307169838</v>
      </c>
      <c r="V382" s="110" cm="1">
        <f t="array" ref="V382">SUMPRODUCT(INDEX(B382:U382,,_xlfn.SEQUENCE($AZ$13)))</f>
        <v>15404.404534842361</v>
      </c>
    </row>
    <row r="383" spans="1:22" x14ac:dyDescent="0.25">
      <c r="A383" s="102" t="s">
        <v>229</v>
      </c>
      <c r="B383" s="106">
        <f>VLOOKUP($A383,'VKT US'!$B$63:$AA$113,(B$336+1),FALSE)*($BA$69+$BA$75)/(1+$AZ$41)^B$336</f>
        <v>1071.176741556548</v>
      </c>
      <c r="C383" s="106">
        <f>VLOOKUP($A383,'VKT US'!$B$63:$AA$113,(C$336+1),FALSE)*($BA$69+$BA$75)/(1+$AZ$41)^C$336</f>
        <v>1026.9928206682962</v>
      </c>
      <c r="D383" s="106">
        <f>VLOOKUP($A383,'VKT US'!$B$63:$AA$113,(D$336+1),FALSE)*($BA$69+$BA$75)/(1+$AZ$41)^D$336</f>
        <v>984.68771868053955</v>
      </c>
      <c r="E383" s="106">
        <f>VLOOKUP($A383,'VKT US'!$B$63:$AA$113,(E$336+1),FALSE)*($BA$69+$BA$75)/(1+$AZ$41)^E$336</f>
        <v>944.2860634142387</v>
      </c>
      <c r="F383" s="106">
        <f>VLOOKUP($A383,'VKT US'!$B$63:$AA$113,(F$336+1),FALSE)*($BA$69+$BA$75)/(1+$AZ$41)^F$336</f>
        <v>905.6625490152079</v>
      </c>
      <c r="G383" s="106">
        <f>VLOOKUP($A383,'VKT US'!$B$63:$AA$113,(G$336+1),FALSE)*($BA$69+$BA$75)/(1+$AZ$41)^G$336</f>
        <v>868.91502733273535</v>
      </c>
      <c r="H383" s="106">
        <f>VLOOKUP($A383,'VKT US'!$B$63:$AA$113,(H$336+1),FALSE)*($BA$69+$BA$75)/(1+$AZ$41)^H$336</f>
        <v>833.77551436652516</v>
      </c>
      <c r="I383" s="106">
        <f>VLOOKUP($A383,'VKT US'!$B$63:$AA$113,(I$336+1),FALSE)*($BA$69+$BA$75)/(1+$AZ$41)^I$336</f>
        <v>800.34306950148357</v>
      </c>
      <c r="J383" s="106">
        <f>VLOOKUP($A383,'VKT US'!$B$63:$AA$113,(J$336+1),FALSE)*($BA$69+$BA$75)/(1+$AZ$41)^J$336</f>
        <v>768.57034068901555</v>
      </c>
      <c r="K383" s="106">
        <f>VLOOKUP($A383,'VKT US'!$B$63:$AA$113,(K$336+1),FALSE)*($BA$69+$BA$75)/(1+$AZ$41)^K$336</f>
        <v>738.41099885921039</v>
      </c>
      <c r="L383" s="106">
        <f>VLOOKUP($A383,'VKT US'!$B$63:$AA$113,(L$336+1),FALSE)*($BA$69+$BA$75)/(1+$AZ$41)^L$336</f>
        <v>709.75108399173178</v>
      </c>
      <c r="M383" s="106">
        <f>VLOOKUP($A383,'VKT US'!$B$63:$AA$113,(M$336+1),FALSE)*($BA$69+$BA$75)/(1+$AZ$41)^M$336</f>
        <v>682.61651788410268</v>
      </c>
      <c r="N383" s="106">
        <f>VLOOKUP($A383,'VKT US'!$B$63:$AA$113,(N$336+1),FALSE)*($BA$69+$BA$75)/(1+$AZ$41)^N$336</f>
        <v>656.89688058253512</v>
      </c>
      <c r="O383" s="106">
        <f>VLOOKUP($A383,'VKT US'!$B$63:$AA$113,(O$336+1),FALSE)*($BA$69+$BA$75)/(1+$AZ$41)^O$336</f>
        <v>632.61832305387384</v>
      </c>
      <c r="P383" s="106">
        <f>VLOOKUP($A383,'VKT US'!$B$63:$AA$113,(P$336+1),FALSE)*($BA$69+$BA$75)/(1+$AZ$41)^P$336</f>
        <v>609.67385572780563</v>
      </c>
      <c r="Q383" s="106">
        <f>VLOOKUP($A383,'VKT US'!$B$63:$AA$113,(Q$336+1),FALSE)*($BA$69+$BA$75)/(1+$AZ$41)^Q$336</f>
        <v>588.15448827869579</v>
      </c>
      <c r="R383" s="106">
        <f>VLOOKUP($A383,'VKT US'!$B$63:$AA$113,(R$336+1),FALSE)*($BA$69+$BA$75)/(1+$AZ$41)^R$336</f>
        <v>567.82646688862587</v>
      </c>
      <c r="S383" s="106">
        <f>VLOOKUP($A383,'VKT US'!$B$63:$AA$113,(S$336+1),FALSE)*($BA$69+$BA$75)/(1+$AZ$41)^S$336</f>
        <v>548.84488163672336</v>
      </c>
      <c r="T383" s="106">
        <f>VLOOKUP($A383,'VKT US'!$B$63:$AA$113,(T$336+1),FALSE)*($BA$69+$BA$75)/(1+$AZ$41)^T$336</f>
        <v>530.9822663651222</v>
      </c>
      <c r="U383" s="106">
        <f>VLOOKUP($A383,'VKT US'!$B$63:$AA$113,(U$336+1),FALSE)*($BA$69+$BA$75)/(1+$AZ$41)^U$336</f>
        <v>514.39081980289859</v>
      </c>
      <c r="V383" s="110" cm="1">
        <f t="array" ref="V383">SUMPRODUCT(INDEX(B383:U383,,_xlfn.SEQUENCE($AZ$13)))</f>
        <v>11624.703649596044</v>
      </c>
    </row>
    <row r="384" spans="1:22" x14ac:dyDescent="0.25">
      <c r="A384" s="102" t="s">
        <v>159</v>
      </c>
      <c r="B384" s="106">
        <f>VLOOKUP($A384,'VKT US'!$B$63:$AA$113,(B$336+1),FALSE)*($BA$69+$BA$75)/(1+$AZ$41)^B$336</f>
        <v>1651.0346780992147</v>
      </c>
      <c r="C384" s="106">
        <f>VLOOKUP($A384,'VKT US'!$B$63:$AA$113,(C$336+1),FALSE)*($BA$69+$BA$75)/(1+$AZ$41)^C$336</f>
        <v>1582.9327647820044</v>
      </c>
      <c r="D384" s="106">
        <f>VLOOKUP($A384,'VKT US'!$B$63:$AA$113,(D$336+1),FALSE)*($BA$69+$BA$75)/(1+$AZ$41)^D$336</f>
        <v>1517.7267275963816</v>
      </c>
      <c r="E384" s="106">
        <f>VLOOKUP($A384,'VKT US'!$B$63:$AA$113,(E$336+1),FALSE)*($BA$69+$BA$75)/(1+$AZ$41)^E$336</f>
        <v>1455.4545260917612</v>
      </c>
      <c r="F384" s="106">
        <f>VLOOKUP($A384,'VKT US'!$B$63:$AA$113,(F$336+1),FALSE)*($BA$69+$BA$75)/(1+$AZ$41)^F$336</f>
        <v>1395.9230228496344</v>
      </c>
      <c r="G384" s="106">
        <f>VLOOKUP($A384,'VKT US'!$B$63:$AA$113,(G$336+1),FALSE)*($BA$69+$BA$75)/(1+$AZ$41)^G$336</f>
        <v>1339.2830396627312</v>
      </c>
      <c r="H384" s="106">
        <f>VLOOKUP($A384,'VKT US'!$B$63:$AA$113,(H$336+1),FALSE)*($BA$69+$BA$75)/(1+$AZ$41)^H$336</f>
        <v>1285.1215252944999</v>
      </c>
      <c r="I384" s="106">
        <f>VLOOKUP($A384,'VKT US'!$B$63:$AA$113,(I$336+1),FALSE)*($BA$69+$BA$75)/(1+$AZ$41)^I$336</f>
        <v>1233.5911627460987</v>
      </c>
      <c r="J384" s="106">
        <f>VLOOKUP($A384,'VKT US'!$B$63:$AA$113,(J$336+1),FALSE)*($BA$69+$BA$75)/(1+$AZ$41)^J$336</f>
        <v>1184.6189669803477</v>
      </c>
      <c r="K384" s="106">
        <f>VLOOKUP($A384,'VKT US'!$B$63:$AA$113,(K$336+1),FALSE)*($BA$69+$BA$75)/(1+$AZ$41)^K$336</f>
        <v>1138.1335297057296</v>
      </c>
      <c r="L384" s="106">
        <f>VLOOKUP($A384,'VKT US'!$B$63:$AA$113,(L$336+1),FALSE)*($BA$69+$BA$75)/(1+$AZ$41)^L$336</f>
        <v>1093.9592011548511</v>
      </c>
      <c r="M384" s="106">
        <f>VLOOKUP($A384,'VKT US'!$B$63:$AA$113,(M$336+1),FALSE)*($BA$69+$BA$75)/(1+$AZ$41)^M$336</f>
        <v>1052.1359353194007</v>
      </c>
      <c r="N384" s="106">
        <f>VLOOKUP($A384,'VKT US'!$B$63:$AA$113,(N$336+1),FALSE)*($BA$69+$BA$75)/(1+$AZ$41)^N$336</f>
        <v>1012.493538835589</v>
      </c>
      <c r="O384" s="106">
        <f>VLOOKUP($A384,'VKT US'!$B$63:$AA$113,(O$336+1),FALSE)*($BA$69+$BA$75)/(1+$AZ$41)^O$336</f>
        <v>975.07231892019126</v>
      </c>
      <c r="P384" s="106">
        <f>VLOOKUP($A384,'VKT US'!$B$63:$AA$113,(P$336+1),FALSE)*($BA$69+$BA$75)/(1+$AZ$41)^P$336</f>
        <v>939.70736955543407</v>
      </c>
      <c r="Q384" s="106">
        <f>VLOOKUP($A384,'VKT US'!$B$63:$AA$113,(Q$336+1),FALSE)*($BA$69+$BA$75)/(1+$AZ$41)^Q$336</f>
        <v>906.53896649842625</v>
      </c>
      <c r="R384" s="106">
        <f>VLOOKUP($A384,'VKT US'!$B$63:$AA$113,(R$336+1),FALSE)*($BA$69+$BA$75)/(1+$AZ$41)^R$336</f>
        <v>875.20681845031061</v>
      </c>
      <c r="S384" s="106">
        <f>VLOOKUP($A384,'VKT US'!$B$63:$AA$113,(S$336+1),FALSE)*($BA$69+$BA$75)/(1+$AZ$41)^S$336</f>
        <v>845.94997008871519</v>
      </c>
      <c r="T384" s="106">
        <f>VLOOKUP($A384,'VKT US'!$B$63:$AA$113,(T$336+1),FALSE)*($BA$69+$BA$75)/(1+$AZ$41)^T$336</f>
        <v>818.41782146111996</v>
      </c>
      <c r="U384" s="106">
        <f>VLOOKUP($A384,'VKT US'!$B$63:$AA$113,(U$336+1),FALSE)*($BA$69+$BA$75)/(1+$AZ$41)^U$336</f>
        <v>792.84496072643321</v>
      </c>
      <c r="V384" s="110" cm="1">
        <f t="array" ref="V384">SUMPRODUCT(INDEX(B384:U384,,_xlfn.SEQUENCE($AZ$13)))</f>
        <v>17917.480938038439</v>
      </c>
    </row>
    <row r="385" spans="1:22" x14ac:dyDescent="0.25">
      <c r="A385" s="102" t="s">
        <v>158</v>
      </c>
      <c r="B385" s="106">
        <f>VLOOKUP($A385,'VKT US'!$B$63:$AA$113,(B$336+1),FALSE)*($BA$69+$BA$75)/(1+$AZ$41)^B$336</f>
        <v>1510.7417337762549</v>
      </c>
      <c r="C385" s="106">
        <f>VLOOKUP($A385,'VKT US'!$B$63:$AA$113,(C$336+1),FALSE)*($BA$69+$BA$75)/(1+$AZ$41)^C$336</f>
        <v>1448.4266267932985</v>
      </c>
      <c r="D385" s="106">
        <f>VLOOKUP($A385,'VKT US'!$B$63:$AA$113,(D$336+1),FALSE)*($BA$69+$BA$75)/(1+$AZ$41)^D$336</f>
        <v>1388.7613254055066</v>
      </c>
      <c r="E385" s="106">
        <f>VLOOKUP($A385,'VKT US'!$B$63:$AA$113,(E$336+1),FALSE)*($BA$69+$BA$75)/(1+$AZ$41)^E$336</f>
        <v>1331.7805636352793</v>
      </c>
      <c r="F385" s="106">
        <f>VLOOKUP($A385,'VKT US'!$B$63:$AA$113,(F$336+1),FALSE)*($BA$69+$BA$75)/(1+$AZ$41)^F$336</f>
        <v>1277.3076154802118</v>
      </c>
      <c r="G385" s="106">
        <f>VLOOKUP($A385,'VKT US'!$B$63:$AA$113,(G$336+1),FALSE)*($BA$69+$BA$75)/(1+$AZ$41)^G$336</f>
        <v>1225.4804869916979</v>
      </c>
      <c r="H385" s="106">
        <f>VLOOKUP($A385,'VKT US'!$B$63:$AA$113,(H$336+1),FALSE)*($BA$69+$BA$75)/(1+$AZ$41)^H$336</f>
        <v>1175.9212250294895</v>
      </c>
      <c r="I385" s="106">
        <f>VLOOKUP($A385,'VKT US'!$B$63:$AA$113,(I$336+1),FALSE)*($BA$69+$BA$75)/(1+$AZ$41)^I$336</f>
        <v>1128.7695387014253</v>
      </c>
      <c r="J385" s="106">
        <f>VLOOKUP($A385,'VKT US'!$B$63:$AA$113,(J$336+1),FALSE)*($BA$69+$BA$75)/(1+$AZ$41)^J$336</f>
        <v>1083.9586447090855</v>
      </c>
      <c r="K385" s="106">
        <f>VLOOKUP($A385,'VKT US'!$B$63:$AA$113,(K$336+1),FALSE)*($BA$69+$BA$75)/(1+$AZ$41)^K$336</f>
        <v>1041.4232025193101</v>
      </c>
      <c r="L385" s="106">
        <f>VLOOKUP($A385,'VKT US'!$B$63:$AA$113,(L$336+1),FALSE)*($BA$69+$BA$75)/(1+$AZ$41)^L$336</f>
        <v>1001.0024878071351</v>
      </c>
      <c r="M385" s="106">
        <f>VLOOKUP($A385,'VKT US'!$B$63:$AA$113,(M$336+1),FALSE)*($BA$69+$BA$75)/(1+$AZ$41)^M$336</f>
        <v>962.73305956400714</v>
      </c>
      <c r="N385" s="106">
        <f>VLOOKUP($A385,'VKT US'!$B$63:$AA$113,(N$336+1),FALSE)*($BA$69+$BA$75)/(1+$AZ$41)^N$336</f>
        <v>926.45918622298927</v>
      </c>
      <c r="O385" s="106">
        <f>VLOOKUP($A385,'VKT US'!$B$63:$AA$113,(O$336+1),FALSE)*($BA$69+$BA$75)/(1+$AZ$41)^O$336</f>
        <v>892.21774998610999</v>
      </c>
      <c r="P385" s="106">
        <f>VLOOKUP($A385,'VKT US'!$B$63:$AA$113,(P$336+1),FALSE)*($BA$69+$BA$75)/(1+$AZ$41)^P$336</f>
        <v>859.85785735215768</v>
      </c>
      <c r="Q385" s="106">
        <f>VLOOKUP($A385,'VKT US'!$B$63:$AA$113,(Q$336+1),FALSE)*($BA$69+$BA$75)/(1+$AZ$41)^Q$336</f>
        <v>829.50786446247321</v>
      </c>
      <c r="R385" s="106">
        <f>VLOOKUP($A385,'VKT US'!$B$63:$AA$113,(R$336+1),FALSE)*($BA$69+$BA$75)/(1+$AZ$41)^R$336</f>
        <v>800.83809495791047</v>
      </c>
      <c r="S385" s="106">
        <f>VLOOKUP($A385,'VKT US'!$B$63:$AA$113,(S$336+1),FALSE)*($BA$69+$BA$75)/(1+$AZ$41)^S$336</f>
        <v>774.06728123429366</v>
      </c>
      <c r="T385" s="106">
        <f>VLOOKUP($A385,'VKT US'!$B$63:$AA$113,(T$336+1),FALSE)*($BA$69+$BA$75)/(1+$AZ$41)^T$336</f>
        <v>748.87461477853844</v>
      </c>
      <c r="U385" s="106">
        <f>VLOOKUP($A385,'VKT US'!$B$63:$AA$113,(U$336+1),FALSE)*($BA$69+$BA$75)/(1+$AZ$41)^U$336</f>
        <v>725.47475015036628</v>
      </c>
      <c r="V385" s="110" cm="1">
        <f t="array" ref="V385">SUMPRODUCT(INDEX(B385:U385,,_xlfn.SEQUENCE($AZ$13)))</f>
        <v>16394.983446621802</v>
      </c>
    </row>
    <row r="386" spans="1:22" x14ac:dyDescent="0.25">
      <c r="A386" s="102" t="s">
        <v>160</v>
      </c>
      <c r="B386" s="106">
        <f>VLOOKUP($A386,'VKT US'!$B$63:$AA$113,(B$336+1),FALSE)*($BA$69+$BA$75)/(1+$AZ$41)^B$336</f>
        <v>2354.7495654876752</v>
      </c>
      <c r="C386" s="106">
        <f>VLOOKUP($A386,'VKT US'!$B$63:$AA$113,(C$336+1),FALSE)*($BA$69+$BA$75)/(1+$AZ$41)^C$336</f>
        <v>2257.6208056137743</v>
      </c>
      <c r="D386" s="106">
        <f>VLOOKUP($A386,'VKT US'!$B$63:$AA$113,(D$336+1),FALSE)*($BA$69+$BA$75)/(1+$AZ$41)^D$336</f>
        <v>2164.6222212916164</v>
      </c>
      <c r="E386" s="106">
        <f>VLOOKUP($A386,'VKT US'!$B$63:$AA$113,(E$336+1),FALSE)*($BA$69+$BA$75)/(1+$AZ$41)^E$336</f>
        <v>2075.8079514400688</v>
      </c>
      <c r="F386" s="106">
        <f>VLOOKUP($A386,'VKT US'!$B$63:$AA$113,(F$336+1),FALSE)*($BA$69+$BA$75)/(1+$AZ$41)^F$336</f>
        <v>1990.902538336564</v>
      </c>
      <c r="G386" s="106">
        <f>VLOOKUP($A386,'VKT US'!$B$63:$AA$113,(G$336+1),FALSE)*($BA$69+$BA$75)/(1+$AZ$41)^G$336</f>
        <v>1910.121088032844</v>
      </c>
      <c r="H386" s="106">
        <f>VLOOKUP($A386,'VKT US'!$B$63:$AA$113,(H$336+1),FALSE)*($BA$69+$BA$75)/(1+$AZ$41)^H$336</f>
        <v>1832.8744958706634</v>
      </c>
      <c r="I386" s="106">
        <f>VLOOKUP($A386,'VKT US'!$B$63:$AA$113,(I$336+1),FALSE)*($BA$69+$BA$75)/(1+$AZ$41)^I$336</f>
        <v>1759.3805224067228</v>
      </c>
      <c r="J386" s="106">
        <f>VLOOKUP($A386,'VKT US'!$B$63:$AA$113,(J$336+1),FALSE)*($BA$69+$BA$75)/(1+$AZ$41)^J$336</f>
        <v>1689.5350744400325</v>
      </c>
      <c r="K386" s="106">
        <f>VLOOKUP($A386,'VKT US'!$B$63:$AA$113,(K$336+1),FALSE)*($BA$69+$BA$75)/(1+$AZ$41)^K$336</f>
        <v>1623.236307566201</v>
      </c>
      <c r="L386" s="106">
        <f>VLOOKUP($A386,'VKT US'!$B$63:$AA$113,(L$336+1),FALSE)*($BA$69+$BA$75)/(1+$AZ$41)^L$336</f>
        <v>1560.2337054157449</v>
      </c>
      <c r="M386" s="106">
        <f>VLOOKUP($A386,'VKT US'!$B$63:$AA$113,(M$336+1),FALSE)*($BA$69+$BA$75)/(1+$AZ$41)^M$336</f>
        <v>1500.5842514341464</v>
      </c>
      <c r="N386" s="106">
        <f>VLOOKUP($A386,'VKT US'!$B$63:$AA$113,(N$336+1),FALSE)*($BA$69+$BA$75)/(1+$AZ$41)^N$336</f>
        <v>1444.0452113198503</v>
      </c>
      <c r="O386" s="106">
        <f>VLOOKUP($A386,'VKT US'!$B$63:$AA$113,(O$336+1),FALSE)*($BA$69+$BA$75)/(1+$AZ$41)^O$336</f>
        <v>1390.67407229735</v>
      </c>
      <c r="P386" s="106">
        <f>VLOOKUP($A386,'VKT US'!$B$63:$AA$113,(P$336+1),FALSE)*($BA$69+$BA$75)/(1+$AZ$41)^P$336</f>
        <v>1340.235641018591</v>
      </c>
      <c r="Q386" s="106">
        <f>VLOOKUP($A386,'VKT US'!$B$63:$AA$113,(Q$336+1),FALSE)*($BA$69+$BA$75)/(1+$AZ$41)^Q$336</f>
        <v>1292.9299824988518</v>
      </c>
      <c r="R386" s="106">
        <f>VLOOKUP($A386,'VKT US'!$B$63:$AA$113,(R$336+1),FALSE)*($BA$69+$BA$75)/(1+$AZ$41)^R$336</f>
        <v>1248.2432397061227</v>
      </c>
      <c r="S386" s="106">
        <f>VLOOKUP($A386,'VKT US'!$B$63:$AA$113,(S$336+1),FALSE)*($BA$69+$BA$75)/(1+$AZ$41)^S$336</f>
        <v>1206.5163445167861</v>
      </c>
      <c r="T386" s="106">
        <f>VLOOKUP($A386,'VKT US'!$B$63:$AA$113,(T$336+1),FALSE)*($BA$69+$BA$75)/(1+$AZ$41)^T$336</f>
        <v>1167.2492619547104</v>
      </c>
      <c r="U386" s="106">
        <f>VLOOKUP($A386,'VKT US'!$B$63:$AA$113,(U$336+1),FALSE)*($BA$69+$BA$75)/(1+$AZ$41)^U$336</f>
        <v>1130.7765678907633</v>
      </c>
      <c r="V386" s="110" cm="1">
        <f t="array" ref="V386">SUMPRODUCT(INDEX(B386:U386,,_xlfn.SEQUENCE($AZ$13)))</f>
        <v>25554.387810953252</v>
      </c>
    </row>
    <row r="387" spans="1:22" x14ac:dyDescent="0.25">
      <c r="A387" s="103" t="s">
        <v>134</v>
      </c>
      <c r="B387" s="98">
        <f>VLOOKUP($A387,'VKT US'!$B$63:$AA$113,(B$336+1),FALSE)*($BA$69+$BA$75)/(1+$AZ$41)^B$336</f>
        <v>1395.1582511470303</v>
      </c>
      <c r="C387" s="98">
        <f>VLOOKUP($A387,'VKT US'!$B$63:$AA$113,(C$336+1),FALSE)*($BA$69+$BA$75)/(1+$AZ$41)^C$336</f>
        <v>1337.6107340998467</v>
      </c>
      <c r="D387" s="98">
        <f>VLOOKUP($A387,'VKT US'!$B$63:$AA$113,(D$336+1),FALSE)*($BA$69+$BA$75)/(1+$AZ$41)^D$336</f>
        <v>1282.5102919281198</v>
      </c>
      <c r="E387" s="98">
        <f>VLOOKUP($A387,'VKT US'!$B$63:$AA$113,(E$336+1),FALSE)*($BA$69+$BA$75)/(1+$AZ$41)^E$336</f>
        <v>1229.8890012316192</v>
      </c>
      <c r="F387" s="98">
        <f>VLOOKUP($A387,'VKT US'!$B$63:$AA$113,(F$336+1),FALSE)*($BA$69+$BA$75)/(1+$AZ$41)^F$336</f>
        <v>1179.5836569204635</v>
      </c>
      <c r="G387" s="98">
        <f>VLOOKUP($A387,'VKT US'!$B$63:$AA$113,(G$336+1),FALSE)*($BA$69+$BA$75)/(1+$AZ$41)^G$336</f>
        <v>1131.7217065106679</v>
      </c>
      <c r="H387" s="98">
        <f>VLOOKUP($A387,'VKT US'!$B$63:$AA$113,(H$336+1),FALSE)*($BA$69+$BA$75)/(1+$AZ$41)^H$336</f>
        <v>1085.9541132142931</v>
      </c>
      <c r="I387" s="98">
        <f>VLOOKUP($A387,'VKT US'!$B$63:$AA$113,(I$336+1),FALSE)*($BA$69+$BA$75)/(1+$AZ$41)^I$336</f>
        <v>1042.409897306746</v>
      </c>
      <c r="J387" s="98">
        <f>VLOOKUP($A387,'VKT US'!$B$63:$AA$113,(J$336+1),FALSE)*($BA$69+$BA$75)/(1+$AZ$41)^J$336</f>
        <v>1001.02738493091</v>
      </c>
      <c r="K387" s="98">
        <f>VLOOKUP($A387,'VKT US'!$B$63:$AA$113,(K$336+1),FALSE)*($BA$69+$BA$75)/(1+$AZ$41)^K$336</f>
        <v>961.74623461217391</v>
      </c>
      <c r="L387" s="98">
        <f>VLOOKUP($A387,'VKT US'!$B$63:$AA$113,(L$336+1),FALSE)*($BA$69+$BA$75)/(1+$AZ$41)^L$336</f>
        <v>924.41801868542495</v>
      </c>
      <c r="M387" s="98">
        <f>VLOOKUP($A387,'VKT US'!$B$63:$AA$113,(M$336+1),FALSE)*($BA$69+$BA$75)/(1+$AZ$41)^M$336</f>
        <v>889.0764990951634</v>
      </c>
      <c r="N387" s="98">
        <f>VLOOKUP($A387,'VKT US'!$B$63:$AA$113,(N$336+1),FALSE)*($BA$69+$BA$75)/(1+$AZ$41)^N$336</f>
        <v>855.57785894951519</v>
      </c>
      <c r="O387" s="98">
        <f>VLOOKUP($A387,'VKT US'!$B$63:$AA$113,(O$336+1),FALSE)*($BA$69+$BA$75)/(1+$AZ$41)^O$336</f>
        <v>823.95615867544166</v>
      </c>
      <c r="P387" s="98">
        <f>VLOOKUP($A387,'VKT US'!$B$63:$AA$113,(P$336+1),FALSE)*($BA$69+$BA$75)/(1+$AZ$41)^P$336</f>
        <v>794.0720492971692</v>
      </c>
      <c r="Q387" s="98">
        <f>VLOOKUP($A387,'VKT US'!$B$63:$AA$113,(Q$336+1),FALSE)*($BA$69+$BA$75)/(1+$AZ$41)^Q$336</f>
        <v>766.04406671376887</v>
      </c>
      <c r="R387" s="98">
        <f>VLOOKUP($A387,'VKT US'!$B$63:$AA$113,(R$336+1),FALSE)*($BA$69+$BA$75)/(1+$AZ$41)^R$336</f>
        <v>739.56775736948873</v>
      </c>
      <c r="S387" s="98">
        <f>VLOOKUP($A387,'VKT US'!$B$63:$AA$113,(S$336+1),FALSE)*($BA$69+$BA$75)/(1+$AZ$41)^S$336</f>
        <v>714.84511893209992</v>
      </c>
      <c r="T387" s="98">
        <f>VLOOKUP($A387,'VKT US'!$B$63:$AA$113,(T$336+1),FALSE)*($BA$69+$BA$75)/(1+$AZ$41)^T$336</f>
        <v>691.57988723277663</v>
      </c>
      <c r="U387" s="98">
        <f>VLOOKUP($A387,'VKT US'!$B$63:$AA$113,(U$336+1),FALSE)*($BA$69+$BA$75)/(1+$AZ$41)^U$336</f>
        <v>669.97029408933804</v>
      </c>
      <c r="V387" s="111" cm="1">
        <f t="array" ref="V387">SUMPRODUCT(INDEX(B387:U387,,_xlfn.SEQUENCE($AZ$13)))</f>
        <v>15140.639807307416</v>
      </c>
    </row>
    <row r="390" spans="1:22" x14ac:dyDescent="0.25">
      <c r="A390" s="105" t="s">
        <v>460</v>
      </c>
    </row>
    <row r="391" spans="1:22" x14ac:dyDescent="0.25">
      <c r="A391" s="213" t="s">
        <v>3</v>
      </c>
      <c r="B391" s="216" t="s">
        <v>317</v>
      </c>
      <c r="C391" s="216"/>
      <c r="D391" s="216"/>
      <c r="E391" s="216"/>
      <c r="F391" s="216"/>
      <c r="G391" s="216"/>
      <c r="H391" s="216"/>
      <c r="I391" s="216"/>
      <c r="J391" s="216"/>
      <c r="K391" s="216"/>
      <c r="L391" s="216"/>
      <c r="M391" s="216"/>
      <c r="N391" s="216"/>
      <c r="O391" s="216"/>
      <c r="P391" s="216"/>
      <c r="Q391" s="216"/>
      <c r="R391" s="216"/>
      <c r="S391" s="216"/>
      <c r="T391" s="216"/>
      <c r="U391" s="216"/>
      <c r="V391" s="214" t="s">
        <v>453</v>
      </c>
    </row>
    <row r="392" spans="1:22" x14ac:dyDescent="0.25">
      <c r="A392" s="213"/>
      <c r="B392" s="73">
        <v>1</v>
      </c>
      <c r="C392" s="73">
        <v>2</v>
      </c>
      <c r="D392" s="73">
        <v>3</v>
      </c>
      <c r="E392" s="73">
        <v>4</v>
      </c>
      <c r="F392" s="73">
        <v>5</v>
      </c>
      <c r="G392" s="73">
        <v>6</v>
      </c>
      <c r="H392" s="73">
        <v>7</v>
      </c>
      <c r="I392" s="73">
        <v>8</v>
      </c>
      <c r="J392" s="73">
        <v>9</v>
      </c>
      <c r="K392" s="73">
        <v>10</v>
      </c>
      <c r="L392" s="73">
        <v>11</v>
      </c>
      <c r="M392" s="73">
        <v>12</v>
      </c>
      <c r="N392" s="73">
        <v>13</v>
      </c>
      <c r="O392" s="73">
        <v>14</v>
      </c>
      <c r="P392" s="73">
        <v>15</v>
      </c>
      <c r="Q392" s="73">
        <v>16</v>
      </c>
      <c r="R392" s="73">
        <v>17</v>
      </c>
      <c r="S392" s="73">
        <v>18</v>
      </c>
      <c r="T392" s="73">
        <v>19</v>
      </c>
      <c r="U392" s="73">
        <v>20</v>
      </c>
      <c r="V392" s="215"/>
    </row>
    <row r="393" spans="1:22" x14ac:dyDescent="0.25">
      <c r="A393" s="102" t="s">
        <v>187</v>
      </c>
      <c r="B393" s="106">
        <f>VLOOKUP($A393,'VKT US'!$B$63:$AA$113,(B$392+1),FALSE)*($BB$69+$BB$75)/(1+$AZ$41)^B$392</f>
        <v>2572.9523547453355</v>
      </c>
      <c r="C393" s="106">
        <f>VLOOKUP($A393,'VKT US'!$B$63:$AA$113,(C$392+1),FALSE)*($BB$69+$BB$75)/(1+$AZ$41)^C$392</f>
        <v>2466.8231616057287</v>
      </c>
      <c r="D393" s="106">
        <f>VLOOKUP($A393,'VKT US'!$B$63:$AA$113,(D$392+1),FALSE)*($BB$69+$BB$75)/(1+$AZ$41)^D$392</f>
        <v>2365.2068665964016</v>
      </c>
      <c r="E393" s="106">
        <f>VLOOKUP($A393,'VKT US'!$B$63:$AA$113,(E$392+1),FALSE)*($BB$69+$BB$75)/(1+$AZ$41)^E$392</f>
        <v>2268.1626254173193</v>
      </c>
      <c r="F393" s="106">
        <f>VLOOKUP($A393,'VKT US'!$B$63:$AA$113,(F$392+1),FALSE)*($BB$69+$BB$75)/(1+$AZ$41)^F$392</f>
        <v>2175.3894550653181</v>
      </c>
      <c r="G393" s="106">
        <f>VLOOKUP($A393,'VKT US'!$B$63:$AA$113,(G$392+1),FALSE)*($BB$69+$BB$75)/(1+$AZ$41)^G$392</f>
        <v>2087.1223943871887</v>
      </c>
      <c r="H393" s="106">
        <f>VLOOKUP($A393,'VKT US'!$B$63:$AA$113,(H$392+1),FALSE)*($BB$69+$BB$75)/(1+$AZ$41)^H$392</f>
        <v>2002.7177493613503</v>
      </c>
      <c r="I393" s="106">
        <f>VLOOKUP($A393,'VKT US'!$B$63:$AA$113,(I$392+1),FALSE)*($BB$69+$BB$75)/(1+$AZ$41)^I$392</f>
        <v>1922.4134593191623</v>
      </c>
      <c r="J393" s="106">
        <f>VLOOKUP($A393,'VKT US'!$B$63:$AA$113,(J$392+1),FALSE)*($BB$69+$BB$75)/(1+$AZ$41)^J$392</f>
        <v>1846.0957852666695</v>
      </c>
      <c r="K393" s="106">
        <f>VLOOKUP($A393,'VKT US'!$B$63:$AA$113,(K$392+1),FALSE)*($BB$69+$BB$75)/(1+$AZ$41)^K$392</f>
        <v>1773.6534453911722</v>
      </c>
      <c r="L393" s="106">
        <f>VLOOKUP($A393,'VKT US'!$B$63:$AA$113,(L$392+1),FALSE)*($BB$69+$BB$75)/(1+$AZ$41)^L$392</f>
        <v>1704.8127092322395</v>
      </c>
      <c r="M393" s="106">
        <f>VLOOKUP($A393,'VKT US'!$B$63:$AA$113,(M$392+1),FALSE)*($BB$69+$BB$75)/(1+$AZ$41)^M$392</f>
        <v>1639.6358406044103</v>
      </c>
      <c r="N393" s="106">
        <f>VLOOKUP($A393,'VKT US'!$B$63:$AA$113,(N$392+1),FALSE)*($BB$69+$BB$75)/(1+$AZ$41)^N$392</f>
        <v>1577.857612240244</v>
      </c>
      <c r="O393" s="106">
        <f>VLOOKUP($A393,'VKT US'!$B$63:$AA$113,(O$392+1),FALSE)*($BB$69+$BB$75)/(1+$AZ$41)^O$392</f>
        <v>1519.5408384159573</v>
      </c>
      <c r="P393" s="106">
        <f>VLOOKUP($A393,'VKT US'!$B$63:$AA$113,(P$392+1),FALSE)*($BB$69+$BB$75)/(1+$AZ$41)^P$392</f>
        <v>1464.4285315998106</v>
      </c>
      <c r="Q393" s="106">
        <f>VLOOKUP($A393,'VKT US'!$B$63:$AA$113,(Q$392+1),FALSE)*($BB$69+$BB$75)/(1+$AZ$41)^Q$392</f>
        <v>1412.7392958249932</v>
      </c>
      <c r="R393" s="106">
        <f>VLOOKUP($A393,'VKT US'!$B$63:$AA$113,(R$392+1),FALSE)*($BB$69+$BB$75)/(1+$AZ$41)^R$392</f>
        <v>1363.9116575149126</v>
      </c>
      <c r="S393" s="106">
        <f>VLOOKUP($A393,'VKT US'!$B$63:$AA$113,(S$392+1),FALSE)*($BB$69+$BB$75)/(1+$AZ$41)^S$392</f>
        <v>1318.3181409868055</v>
      </c>
      <c r="T393" s="106">
        <f>VLOOKUP($A393,'VKT US'!$B$63:$AA$113,(T$392+1),FALSE)*($BB$69+$BB$75)/(1+$AZ$41)^T$392</f>
        <v>1275.4123755403014</v>
      </c>
      <c r="U393" s="109">
        <f>VLOOKUP($A393,'VKT US'!$B$63:$AA$113,(U$392+1),FALSE)*($BB$69+$BB$75)/(1+$AZ$41)^U$392</f>
        <v>1235.5599405080841</v>
      </c>
      <c r="V393" s="109" cm="1">
        <f t="array" ref="V393">SUMPRODUCT(INDEX(B393:U393,,_xlfn.SEQUENCE($AZ$13)))</f>
        <v>27922.384297648496</v>
      </c>
    </row>
    <row r="394" spans="1:22" x14ac:dyDescent="0.25">
      <c r="A394" s="102" t="s">
        <v>231</v>
      </c>
      <c r="B394" s="106">
        <f>VLOOKUP($A394,'VKT US'!$B$63:$AA$113,(B$392+1),FALSE)*($BB$69+$BB$75)/(1+$AZ$41)^B$392</f>
        <v>1604.5391263161825</v>
      </c>
      <c r="C394" s="106">
        <f>VLOOKUP($A394,'VKT US'!$B$63:$AA$113,(C$392+1),FALSE)*($BB$69+$BB$75)/(1+$AZ$41)^C$392</f>
        <v>1538.3550625021753</v>
      </c>
      <c r="D394" s="106">
        <f>VLOOKUP($A394,'VKT US'!$B$63:$AA$113,(D$392+1),FALSE)*($BB$69+$BB$75)/(1+$AZ$41)^D$392</f>
        <v>1474.9853227116025</v>
      </c>
      <c r="E394" s="106">
        <f>VLOOKUP($A394,'VKT US'!$B$63:$AA$113,(E$392+1),FALSE)*($BB$69+$BB$75)/(1+$AZ$41)^E$392</f>
        <v>1414.4667974974368</v>
      </c>
      <c r="F394" s="106">
        <f>VLOOKUP($A394,'VKT US'!$B$63:$AA$113,(F$392+1),FALSE)*($BB$69+$BB$75)/(1+$AZ$41)^F$392</f>
        <v>1356.6117884734103</v>
      </c>
      <c r="G394" s="106">
        <f>VLOOKUP($A394,'VKT US'!$B$63:$AA$113,(G$392+1),FALSE)*($BB$69+$BB$75)/(1+$AZ$41)^G$392</f>
        <v>1301.5668700699364</v>
      </c>
      <c r="H394" s="106">
        <f>VLOOKUP($A394,'VKT US'!$B$63:$AA$113,(H$392+1),FALSE)*($BB$69+$BB$75)/(1+$AZ$41)^H$392</f>
        <v>1248.9306231775249</v>
      </c>
      <c r="I394" s="106">
        <f>VLOOKUP($A394,'VKT US'!$B$63:$AA$113,(I$392+1),FALSE)*($BB$69+$BB$75)/(1+$AZ$41)^I$392</f>
        <v>1198.8514310206665</v>
      </c>
      <c r="J394" s="106">
        <f>VLOOKUP($A394,'VKT US'!$B$63:$AA$113,(J$392+1),FALSE)*($BB$69+$BB$75)/(1+$AZ$41)^J$392</f>
        <v>1151.2583639275954</v>
      </c>
      <c r="K394" s="106">
        <f>VLOOKUP($A394,'VKT US'!$B$63:$AA$113,(K$392+1),FALSE)*($BB$69+$BB$75)/(1+$AZ$41)^K$392</f>
        <v>1106.0820245687441</v>
      </c>
      <c r="L394" s="106">
        <f>VLOOKUP($A394,'VKT US'!$B$63:$AA$113,(L$392+1),FALSE)*($BB$69+$BB$75)/(1+$AZ$41)^L$392</f>
        <v>1063.1517097311225</v>
      </c>
      <c r="M394" s="106">
        <f>VLOOKUP($A394,'VKT US'!$B$63:$AA$113,(M$392+1),FALSE)*($BB$69+$BB$75)/(1+$AZ$41)^M$392</f>
        <v>1022.5062482435653</v>
      </c>
      <c r="N394" s="106">
        <f>VLOOKUP($A394,'VKT US'!$B$63:$AA$113,(N$392+1),FALSE)*($BB$69+$BB$75)/(1+$AZ$41)^N$392</f>
        <v>983.98023963637831</v>
      </c>
      <c r="O394" s="106">
        <f>VLOOKUP($A394,'VKT US'!$B$63:$AA$113,(O$392+1),FALSE)*($BB$69+$BB$75)/(1+$AZ$41)^O$392</f>
        <v>947.61285601614748</v>
      </c>
      <c r="P394" s="106">
        <f>VLOOKUP($A394,'VKT US'!$B$63:$AA$113,(P$392+1),FALSE)*($BB$69+$BB$75)/(1+$AZ$41)^P$392</f>
        <v>913.24383535979678</v>
      </c>
      <c r="Q394" s="106">
        <f>VLOOKUP($A394,'VKT US'!$B$63:$AA$113,(Q$392+1),FALSE)*($BB$69+$BB$75)/(1+$AZ$41)^Q$392</f>
        <v>881.00950305390916</v>
      </c>
      <c r="R394" s="106">
        <f>VLOOKUP($A394,'VKT US'!$B$63:$AA$113,(R$392+1),FALSE)*($BB$69+$BB$75)/(1+$AZ$41)^R$392</f>
        <v>850.55971412966232</v>
      </c>
      <c r="S394" s="106">
        <f>VLOOKUP($A394,'VKT US'!$B$63:$AA$113,(S$392+1),FALSE)*($BB$69+$BB$75)/(1+$AZ$41)^S$392</f>
        <v>822.12678141687127</v>
      </c>
      <c r="T394" s="106">
        <f>VLOOKUP($A394,'VKT US'!$B$63:$AA$113,(T$392+1),FALSE)*($BB$69+$BB$75)/(1+$AZ$41)^T$392</f>
        <v>795.36997837056106</v>
      </c>
      <c r="U394" s="109">
        <f>VLOOKUP($A394,'VKT US'!$B$63:$AA$113,(U$392+1),FALSE)*($BB$69+$BB$75)/(1+$AZ$41)^U$392</f>
        <v>770.51728680391318</v>
      </c>
      <c r="V394" s="110" cm="1">
        <f t="array" ref="V394">SUMPRODUCT(INDEX(B394:U394,,_xlfn.SEQUENCE($AZ$13)))</f>
        <v>17412.898463892492</v>
      </c>
    </row>
    <row r="395" spans="1:22" x14ac:dyDescent="0.25">
      <c r="A395" s="102" t="s">
        <v>189</v>
      </c>
      <c r="B395" s="106">
        <f>VLOOKUP($A395,'VKT US'!$B$63:$AA$113,(B$392+1),FALSE)*($BB$69+$BB$75)/(1+$AZ$41)^B$392</f>
        <v>1890.3264479775742</v>
      </c>
      <c r="C395" s="106">
        <f>VLOOKUP($A395,'VKT US'!$B$63:$AA$113,(C$392+1),FALSE)*($BB$69+$BB$75)/(1+$AZ$41)^C$392</f>
        <v>1812.3542226760392</v>
      </c>
      <c r="D395" s="106">
        <f>VLOOKUP($A395,'VKT US'!$B$63:$AA$113,(D$392+1),FALSE)*($BB$69+$BB$75)/(1+$AZ$41)^D$392</f>
        <v>1737.6975856623958</v>
      </c>
      <c r="E395" s="106">
        <f>VLOOKUP($A395,'VKT US'!$B$63:$AA$113,(E$392+1),FALSE)*($BB$69+$BB$75)/(1+$AZ$41)^E$392</f>
        <v>1666.3999981317115</v>
      </c>
      <c r="F395" s="106">
        <f>VLOOKUP($A395,'VKT US'!$B$63:$AA$113,(F$392+1),FALSE)*($BB$69+$BB$75)/(1+$AZ$41)^F$392</f>
        <v>1598.2403304038287</v>
      </c>
      <c r="G395" s="106">
        <f>VLOOKUP($A395,'VKT US'!$B$63:$AA$113,(G$392+1),FALSE)*($BB$69+$BB$75)/(1+$AZ$41)^G$392</f>
        <v>1533.3912635420272</v>
      </c>
      <c r="H395" s="106">
        <f>VLOOKUP($A395,'VKT US'!$B$63:$AA$113,(H$392+1),FALSE)*($BB$69+$BB$75)/(1+$AZ$41)^H$392</f>
        <v>1471.3798809642517</v>
      </c>
      <c r="I395" s="106">
        <f>VLOOKUP($A395,'VKT US'!$B$63:$AA$113,(I$392+1),FALSE)*($BB$69+$BB$75)/(1+$AZ$41)^I$392</f>
        <v>1412.3809946953941</v>
      </c>
      <c r="J395" s="106">
        <f>VLOOKUP($A395,'VKT US'!$B$63:$AA$113,(J$392+1),FALSE)*($BB$69+$BB$75)/(1+$AZ$41)^J$392</f>
        <v>1356.3110416535164</v>
      </c>
      <c r="K395" s="106">
        <f>VLOOKUP($A395,'VKT US'!$B$63:$AA$113,(K$392+1),FALSE)*($BB$69+$BB$75)/(1+$AZ$41)^K$392</f>
        <v>1303.0882640270777</v>
      </c>
      <c r="L395" s="106">
        <f>VLOOKUP($A395,'VKT US'!$B$63:$AA$113,(L$392+1),FALSE)*($BB$69+$BB$75)/(1+$AZ$41)^L$392</f>
        <v>1252.5115543497791</v>
      </c>
      <c r="M395" s="106">
        <f>VLOOKUP($A395,'VKT US'!$B$63:$AA$113,(M$392+1),FALSE)*($BB$69+$BB$75)/(1+$AZ$41)^M$392</f>
        <v>1204.6266573223177</v>
      </c>
      <c r="N395" s="106">
        <f>VLOOKUP($A395,'VKT US'!$B$63:$AA$113,(N$392+1),FALSE)*($BB$69+$BB$75)/(1+$AZ$41)^N$392</f>
        <v>1159.2387127027441</v>
      </c>
      <c r="O395" s="106">
        <f>VLOOKUP($A395,'VKT US'!$B$63:$AA$113,(O$392+1),FALSE)*($BB$69+$BB$75)/(1+$AZ$41)^O$392</f>
        <v>1116.3938696113196</v>
      </c>
      <c r="P395" s="106">
        <f>VLOOKUP($A395,'VKT US'!$B$63:$AA$113,(P$392+1),FALSE)*($BB$69+$BB$75)/(1+$AZ$41)^P$392</f>
        <v>1075.9033214705912</v>
      </c>
      <c r="Q395" s="106">
        <f>VLOOKUP($A395,'VKT US'!$B$63:$AA$113,(Q$392+1),FALSE)*($BB$69+$BB$75)/(1+$AZ$41)^Q$392</f>
        <v>1037.9276748245586</v>
      </c>
      <c r="R395" s="106">
        <f>VLOOKUP($A395,'VKT US'!$B$63:$AA$113,(R$392+1),FALSE)*($BB$69+$BB$75)/(1+$AZ$41)^R$392</f>
        <v>1002.0544197603529</v>
      </c>
      <c r="S395" s="106">
        <f>VLOOKUP($A395,'VKT US'!$B$63:$AA$113,(S$392+1),FALSE)*($BB$69+$BB$75)/(1+$AZ$41)^S$392</f>
        <v>968.55724675968372</v>
      </c>
      <c r="T395" s="106">
        <f>VLOOKUP($A395,'VKT US'!$B$63:$AA$113,(T$392+1),FALSE)*($BB$69+$BB$75)/(1+$AZ$41)^T$392</f>
        <v>937.03474186577671</v>
      </c>
      <c r="U395" s="109">
        <f>VLOOKUP($A395,'VKT US'!$B$63:$AA$113,(U$392+1),FALSE)*($BB$69+$BB$75)/(1+$AZ$41)^U$392</f>
        <v>907.75549313862155</v>
      </c>
      <c r="V395" s="110" cm="1">
        <f t="array" ref="V395">SUMPRODUCT(INDEX(B395:U395,,_xlfn.SEQUENCE($AZ$13)))</f>
        <v>20514.340823719976</v>
      </c>
    </row>
    <row r="396" spans="1:22" x14ac:dyDescent="0.25">
      <c r="A396" s="102" t="s">
        <v>188</v>
      </c>
      <c r="B396" s="106">
        <f>VLOOKUP($A396,'VKT US'!$B$63:$AA$113,(B$392+1),FALSE)*($BB$69+$BB$75)/(1+$AZ$41)^B$392</f>
        <v>2487.3172452227459</v>
      </c>
      <c r="C396" s="106">
        <f>VLOOKUP($A396,'VKT US'!$B$63:$AA$113,(C$392+1),FALSE)*($BB$69+$BB$75)/(1+$AZ$41)^C$392</f>
        <v>2384.7203308916805</v>
      </c>
      <c r="D396" s="106">
        <f>VLOOKUP($A396,'VKT US'!$B$63:$AA$113,(D$392+1),FALSE)*($BB$69+$BB$75)/(1+$AZ$41)^D$392</f>
        <v>2286.4861127157446</v>
      </c>
      <c r="E396" s="106">
        <f>VLOOKUP($A396,'VKT US'!$B$63:$AA$113,(E$392+1),FALSE)*($BB$69+$BB$75)/(1+$AZ$41)^E$392</f>
        <v>2192.6717775264019</v>
      </c>
      <c r="F396" s="106">
        <f>VLOOKUP($A396,'VKT US'!$B$63:$AA$113,(F$392+1),FALSE)*($BB$69+$BB$75)/(1+$AZ$41)^F$392</f>
        <v>2102.9863598835404</v>
      </c>
      <c r="G396" s="106">
        <f>VLOOKUP($A396,'VKT US'!$B$63:$AA$113,(G$392+1),FALSE)*($BB$69+$BB$75)/(1+$AZ$41)^G$392</f>
        <v>2017.6570758783712</v>
      </c>
      <c r="H396" s="106">
        <f>VLOOKUP($A396,'VKT US'!$B$63:$AA$113,(H$392+1),FALSE)*($BB$69+$BB$75)/(1+$AZ$41)^H$392</f>
        <v>1936.0616554414266</v>
      </c>
      <c r="I396" s="106">
        <f>VLOOKUP($A396,'VKT US'!$B$63:$AA$113,(I$392+1),FALSE)*($BB$69+$BB$75)/(1+$AZ$41)^I$392</f>
        <v>1858.4301186121822</v>
      </c>
      <c r="J396" s="106">
        <f>VLOOKUP($A396,'VKT US'!$B$63:$AA$113,(J$392+1),FALSE)*($BB$69+$BB$75)/(1+$AZ$41)^J$392</f>
        <v>1784.6525119511205</v>
      </c>
      <c r="K396" s="106">
        <f>VLOOKUP($A396,'VKT US'!$B$63:$AA$113,(K$392+1),FALSE)*($BB$69+$BB$75)/(1+$AZ$41)^K$392</f>
        <v>1714.6212574180586</v>
      </c>
      <c r="L396" s="106">
        <f>VLOOKUP($A396,'VKT US'!$B$63:$AA$113,(L$392+1),FALSE)*($BB$69+$BB$75)/(1+$AZ$41)^L$392</f>
        <v>1648.0717350741477</v>
      </c>
      <c r="M396" s="106">
        <f>VLOOKUP($A396,'VKT US'!$B$63:$AA$113,(M$392+1),FALSE)*($BB$69+$BB$75)/(1+$AZ$41)^M$392</f>
        <v>1585.0641364186095</v>
      </c>
      <c r="N396" s="106">
        <f>VLOOKUP($A396,'VKT US'!$B$63:$AA$113,(N$392+1),FALSE)*($BB$69+$BB$75)/(1+$AZ$41)^N$392</f>
        <v>1525.3420616953449</v>
      </c>
      <c r="O396" s="106">
        <f>VLOOKUP($A396,'VKT US'!$B$63:$AA$113,(O$392+1),FALSE)*($BB$69+$BB$75)/(1+$AZ$41)^O$392</f>
        <v>1468.9662345443367</v>
      </c>
      <c r="P396" s="106">
        <f>VLOOKUP($A396,'VKT US'!$B$63:$AA$113,(P$392+1),FALSE)*($BB$69+$BB$75)/(1+$AZ$41)^P$392</f>
        <v>1415.6882207035494</v>
      </c>
      <c r="Q396" s="106">
        <f>VLOOKUP($A396,'VKT US'!$B$63:$AA$113,(Q$392+1),FALSE)*($BB$69+$BB$75)/(1+$AZ$41)^Q$392</f>
        <v>1365.7193484475322</v>
      </c>
      <c r="R396" s="106">
        <f>VLOOKUP($A396,'VKT US'!$B$63:$AA$113,(R$392+1),FALSE)*($BB$69+$BB$75)/(1+$AZ$41)^R$392</f>
        <v>1318.5168316235536</v>
      </c>
      <c r="S396" s="106">
        <f>VLOOKUP($A396,'VKT US'!$B$63:$AA$113,(S$392+1),FALSE)*($BB$69+$BB$75)/(1+$AZ$41)^S$392</f>
        <v>1274.4407958891361</v>
      </c>
      <c r="T396" s="106">
        <f>VLOOKUP($A396,'VKT US'!$B$63:$AA$113,(T$392+1),FALSE)*($BB$69+$BB$75)/(1+$AZ$41)^T$392</f>
        <v>1232.9630553014622</v>
      </c>
      <c r="U396" s="109">
        <f>VLOOKUP($A396,'VKT US'!$B$63:$AA$113,(U$392+1),FALSE)*($BB$69+$BB$75)/(1+$AZ$41)^U$392</f>
        <v>1194.437021682171</v>
      </c>
      <c r="V396" s="110" cm="1">
        <f t="array" ref="V396">SUMPRODUCT(INDEX(B396:U396,,_xlfn.SEQUENCE($AZ$13)))</f>
        <v>26993.048613273706</v>
      </c>
    </row>
    <row r="397" spans="1:22" x14ac:dyDescent="0.25">
      <c r="A397" s="102" t="s">
        <v>149</v>
      </c>
      <c r="B397" s="106">
        <f>VLOOKUP($A397,'VKT US'!$B$63:$AA$113,(B$392+1),FALSE)*($BB$69+$BB$75)/(1+$AZ$41)^B$392</f>
        <v>1808.5904075226233</v>
      </c>
      <c r="C397" s="106">
        <f>VLOOKUP($A397,'VKT US'!$B$63:$AA$113,(C$392+1),FALSE)*($BB$69+$BB$75)/(1+$AZ$41)^C$392</f>
        <v>1733.9896321462732</v>
      </c>
      <c r="D397" s="106">
        <f>VLOOKUP($A397,'VKT US'!$B$63:$AA$113,(D$392+1),FALSE)*($BB$69+$BB$75)/(1+$AZ$41)^D$392</f>
        <v>1662.5610819584297</v>
      </c>
      <c r="E397" s="106">
        <f>VLOOKUP($A397,'VKT US'!$B$63:$AA$113,(E$392+1),FALSE)*($BB$69+$BB$75)/(1+$AZ$41)^E$392</f>
        <v>1594.3463389306</v>
      </c>
      <c r="F397" s="106">
        <f>VLOOKUP($A397,'VKT US'!$B$63:$AA$113,(F$392+1),FALSE)*($BB$69+$BB$75)/(1+$AZ$41)^F$392</f>
        <v>1529.1338348340373</v>
      </c>
      <c r="G397" s="106">
        <f>VLOOKUP($A397,'VKT US'!$B$63:$AA$113,(G$392+1),FALSE)*($BB$69+$BB$75)/(1+$AZ$41)^G$392</f>
        <v>1467.0887841558708</v>
      </c>
      <c r="H397" s="106">
        <f>VLOOKUP($A397,'VKT US'!$B$63:$AA$113,(H$392+1),FALSE)*($BB$69+$BB$75)/(1+$AZ$41)^H$392</f>
        <v>1407.7587188079672</v>
      </c>
      <c r="I397" s="106">
        <f>VLOOKUP($A397,'VKT US'!$B$63:$AA$113,(I$392+1),FALSE)*($BB$69+$BB$75)/(1+$AZ$41)^I$392</f>
        <v>1351.3108920981754</v>
      </c>
      <c r="J397" s="106">
        <f>VLOOKUP($A397,'VKT US'!$B$63:$AA$113,(J$392+1),FALSE)*($BB$69+$BB$75)/(1+$AZ$41)^J$392</f>
        <v>1297.6653541381695</v>
      </c>
      <c r="K397" s="106">
        <f>VLOOKUP($A397,'VKT US'!$B$63:$AA$113,(K$392+1),FALSE)*($BB$69+$BB$75)/(1+$AZ$41)^K$392</f>
        <v>1246.7438822517283</v>
      </c>
      <c r="L397" s="106">
        <f>VLOOKUP($A397,'VKT US'!$B$63:$AA$113,(L$392+1),FALSE)*($BB$69+$BB$75)/(1+$AZ$41)^L$392</f>
        <v>1198.3540646811789</v>
      </c>
      <c r="M397" s="106">
        <f>VLOOKUP($A397,'VKT US'!$B$63:$AA$113,(M$392+1),FALSE)*($BB$69+$BB$75)/(1+$AZ$41)^M$392</f>
        <v>1152.539668166899</v>
      </c>
      <c r="N397" s="106">
        <f>VLOOKUP($A397,'VKT US'!$B$63:$AA$113,(N$392+1),FALSE)*($BB$69+$BB$75)/(1+$AZ$41)^N$392</f>
        <v>1109.1142580511205</v>
      </c>
      <c r="O397" s="106">
        <f>VLOOKUP($A397,'VKT US'!$B$63:$AA$113,(O$392+1),FALSE)*($BB$69+$BB$75)/(1+$AZ$41)^O$392</f>
        <v>1068.121988007041</v>
      </c>
      <c r="P397" s="106">
        <f>VLOOKUP($A397,'VKT US'!$B$63:$AA$113,(P$392+1),FALSE)*($BB$69+$BB$75)/(1+$AZ$41)^P$392</f>
        <v>1029.3822152863013</v>
      </c>
      <c r="Q397" s="106">
        <f>VLOOKUP($A397,'VKT US'!$B$63:$AA$113,(Q$392+1),FALSE)*($BB$69+$BB$75)/(1+$AZ$41)^Q$392</f>
        <v>993.04860194826381</v>
      </c>
      <c r="R397" s="106">
        <f>VLOOKUP($A397,'VKT US'!$B$63:$AA$113,(R$392+1),FALSE)*($BB$69+$BB$75)/(1+$AZ$41)^R$392</f>
        <v>958.72647464313673</v>
      </c>
      <c r="S397" s="106">
        <f>VLOOKUP($A397,'VKT US'!$B$63:$AA$113,(S$392+1),FALSE)*($BB$69+$BB$75)/(1+$AZ$41)^S$392</f>
        <v>926.67768971873784</v>
      </c>
      <c r="T397" s="106">
        <f>VLOOKUP($A397,'VKT US'!$B$63:$AA$113,(T$392+1),FALSE)*($BB$69+$BB$75)/(1+$AZ$41)^T$392</f>
        <v>896.5181900020616</v>
      </c>
      <c r="U397" s="109">
        <f>VLOOKUP($A397,'VKT US'!$B$63:$AA$113,(U$392+1),FALSE)*($BB$69+$BB$75)/(1+$AZ$41)^U$392</f>
        <v>868.50495004339916</v>
      </c>
      <c r="V397" s="110" cm="1">
        <f t="array" ref="V397">SUMPRODUCT(INDEX(B397:U397,,_xlfn.SEQUENCE($AZ$13)))</f>
        <v>19627.318905750115</v>
      </c>
    </row>
    <row r="398" spans="1:22" x14ac:dyDescent="0.25">
      <c r="A398" s="102" t="s">
        <v>190</v>
      </c>
      <c r="B398" s="106">
        <f>VLOOKUP($A398,'VKT US'!$B$63:$AA$113,(B$392+1),FALSE)*($BB$69+$BB$75)/(1+$AZ$41)^B$392</f>
        <v>1862.7441445731652</v>
      </c>
      <c r="C398" s="106">
        <f>VLOOKUP($A398,'VKT US'!$B$63:$AA$113,(C$392+1),FALSE)*($BB$69+$BB$75)/(1+$AZ$41)^C$392</f>
        <v>1785.9096347057473</v>
      </c>
      <c r="D398" s="106">
        <f>VLOOKUP($A398,'VKT US'!$B$63:$AA$113,(D$392+1),FALSE)*($BB$69+$BB$75)/(1+$AZ$41)^D$392</f>
        <v>1712.3423344124706</v>
      </c>
      <c r="E398" s="106">
        <f>VLOOKUP($A398,'VKT US'!$B$63:$AA$113,(E$392+1),FALSE)*($BB$69+$BB$75)/(1+$AZ$41)^E$392</f>
        <v>1642.0850707334569</v>
      </c>
      <c r="F398" s="106">
        <f>VLOOKUP($A398,'VKT US'!$B$63:$AA$113,(F$392+1),FALSE)*($BB$69+$BB$75)/(1+$AZ$41)^F$392</f>
        <v>1574.9199405560723</v>
      </c>
      <c r="G398" s="106">
        <f>VLOOKUP($A398,'VKT US'!$B$63:$AA$113,(G$392+1),FALSE)*($BB$69+$BB$75)/(1+$AZ$41)^G$392</f>
        <v>1511.0171053039428</v>
      </c>
      <c r="H398" s="106">
        <f>VLOOKUP($A398,'VKT US'!$B$63:$AA$113,(H$392+1),FALSE)*($BB$69+$BB$75)/(1+$AZ$41)^H$392</f>
        <v>1449.9105488585089</v>
      </c>
      <c r="I398" s="106">
        <f>VLOOKUP($A398,'VKT US'!$B$63:$AA$113,(I$392+1),FALSE)*($BB$69+$BB$75)/(1+$AZ$41)^I$392</f>
        <v>1391.7725325115271</v>
      </c>
      <c r="J398" s="106">
        <f>VLOOKUP($A398,'VKT US'!$B$63:$AA$113,(J$392+1),FALSE)*($BB$69+$BB$75)/(1+$AZ$41)^J$392</f>
        <v>1336.5207124743092</v>
      </c>
      <c r="K398" s="106">
        <f>VLOOKUP($A398,'VKT US'!$B$63:$AA$113,(K$392+1),FALSE)*($BB$69+$BB$75)/(1+$AZ$41)^K$392</f>
        <v>1284.0745238873396</v>
      </c>
      <c r="L398" s="106">
        <f>VLOOKUP($A398,'VKT US'!$B$63:$AA$113,(L$392+1),FALSE)*($BB$69+$BB$75)/(1+$AZ$41)^L$392</f>
        <v>1234.2357937018946</v>
      </c>
      <c r="M398" s="106">
        <f>VLOOKUP($A398,'VKT US'!$B$63:$AA$113,(M$392+1),FALSE)*($BB$69+$BB$75)/(1+$AZ$41)^M$392</f>
        <v>1187.0495991444288</v>
      </c>
      <c r="N398" s="106">
        <f>VLOOKUP($A398,'VKT US'!$B$63:$AA$113,(N$392+1),FALSE)*($BB$69+$BB$75)/(1+$AZ$41)^N$392</f>
        <v>1142.3239232355002</v>
      </c>
      <c r="O398" s="106">
        <f>VLOOKUP($A398,'VKT US'!$B$63:$AA$113,(O$392+1),FALSE)*($BB$69+$BB$75)/(1+$AZ$41)^O$392</f>
        <v>1100.1042417201229</v>
      </c>
      <c r="P398" s="106">
        <f>VLOOKUP($A398,'VKT US'!$B$63:$AA$113,(P$392+1),FALSE)*($BB$69+$BB$75)/(1+$AZ$41)^P$392</f>
        <v>1060.2045029525711</v>
      </c>
      <c r="Q398" s="106">
        <f>VLOOKUP($A398,'VKT US'!$B$63:$AA$113,(Q$392+1),FALSE)*($BB$69+$BB$75)/(1+$AZ$41)^Q$392</f>
        <v>1022.7829700200139</v>
      </c>
      <c r="R398" s="106">
        <f>VLOOKUP($A398,'VKT US'!$B$63:$AA$113,(R$392+1),FALSE)*($BB$69+$BB$75)/(1+$AZ$41)^R$392</f>
        <v>987.43315206178693</v>
      </c>
      <c r="S398" s="106">
        <f>VLOOKUP($A398,'VKT US'!$B$63:$AA$113,(S$392+1),FALSE)*($BB$69+$BB$75)/(1+$AZ$41)^S$392</f>
        <v>954.42474606212079</v>
      </c>
      <c r="T398" s="106">
        <f>VLOOKUP($A398,'VKT US'!$B$63:$AA$113,(T$392+1),FALSE)*($BB$69+$BB$75)/(1+$AZ$41)^T$392</f>
        <v>923.36219521212024</v>
      </c>
      <c r="U398" s="109">
        <f>VLOOKUP($A398,'VKT US'!$B$63:$AA$113,(U$392+1),FALSE)*($BB$69+$BB$75)/(1+$AZ$41)^U$392</f>
        <v>894.51016852521616</v>
      </c>
      <c r="V398" s="110" cm="1">
        <f t="array" ref="V398">SUMPRODUCT(INDEX(B398:U398,,_xlfn.SEQUENCE($AZ$13)))</f>
        <v>20215.010105818488</v>
      </c>
    </row>
    <row r="399" spans="1:22" x14ac:dyDescent="0.25">
      <c r="A399" s="102" t="s">
        <v>191</v>
      </c>
      <c r="B399" s="106">
        <f>VLOOKUP($A399,'VKT US'!$B$63:$AA$113,(B$392+1),FALSE)*($BB$69+$BB$75)/(1+$AZ$41)^B$392</f>
        <v>1749.8155515771023</v>
      </c>
      <c r="C399" s="106">
        <f>VLOOKUP($A399,'VKT US'!$B$63:$AA$113,(C$392+1),FALSE)*($BB$69+$BB$75)/(1+$AZ$41)^C$392</f>
        <v>1677.6391227017239</v>
      </c>
      <c r="D399" s="106">
        <f>VLOOKUP($A399,'VKT US'!$B$63:$AA$113,(D$392+1),FALSE)*($BB$69+$BB$75)/(1+$AZ$41)^D$392</f>
        <v>1608.5318292949769</v>
      </c>
      <c r="E399" s="106">
        <f>VLOOKUP($A399,'VKT US'!$B$63:$AA$113,(E$392+1),FALSE)*($BB$69+$BB$75)/(1+$AZ$41)^E$392</f>
        <v>1542.5339020138999</v>
      </c>
      <c r="F399" s="106">
        <f>VLOOKUP($A399,'VKT US'!$B$63:$AA$113,(F$392+1),FALSE)*($BB$69+$BB$75)/(1+$AZ$41)^F$392</f>
        <v>1479.440648090389</v>
      </c>
      <c r="G399" s="106">
        <f>VLOOKUP($A399,'VKT US'!$B$63:$AA$113,(G$392+1),FALSE)*($BB$69+$BB$75)/(1+$AZ$41)^G$392</f>
        <v>1419.4119129364967</v>
      </c>
      <c r="H399" s="106">
        <f>VLOOKUP($A399,'VKT US'!$B$63:$AA$113,(H$392+1),FALSE)*($BB$69+$BB$75)/(1+$AZ$41)^H$392</f>
        <v>1362.0099325931121</v>
      </c>
      <c r="I399" s="106">
        <f>VLOOKUP($A399,'VKT US'!$B$63:$AA$113,(I$392+1),FALSE)*($BB$69+$BB$75)/(1+$AZ$41)^I$392</f>
        <v>1307.3965250362176</v>
      </c>
      <c r="J399" s="106">
        <f>VLOOKUP($A399,'VKT US'!$B$63:$AA$113,(J$392+1),FALSE)*($BB$69+$BB$75)/(1+$AZ$41)^J$392</f>
        <v>1255.4943385573458</v>
      </c>
      <c r="K399" s="106">
        <f>VLOOKUP($A399,'VKT US'!$B$63:$AA$113,(K$392+1),FALSE)*($BB$69+$BB$75)/(1+$AZ$41)^K$392</f>
        <v>1206.2276925298779</v>
      </c>
      <c r="L399" s="106">
        <f>VLOOKUP($A399,'VKT US'!$B$63:$AA$113,(L$392+1),FALSE)*($BB$69+$BB$75)/(1+$AZ$41)^L$392</f>
        <v>1159.410428117362</v>
      </c>
      <c r="M399" s="106">
        <f>VLOOKUP($A399,'VKT US'!$B$63:$AA$113,(M$392+1),FALSE)*($BB$69+$BB$75)/(1+$AZ$41)^M$392</f>
        <v>1115.0848897459528</v>
      </c>
      <c r="N399" s="106">
        <f>VLOOKUP($A399,'VKT US'!$B$63:$AA$113,(N$392+1),FALSE)*($BB$69+$BB$75)/(1+$AZ$41)^N$392</f>
        <v>1073.070701437674</v>
      </c>
      <c r="O399" s="106">
        <f>VLOOKUP($A399,'VKT US'!$B$63:$AA$113,(O$392+1),FALSE)*($BB$69+$BB$75)/(1+$AZ$41)^O$392</f>
        <v>1033.4105819771091</v>
      </c>
      <c r="P399" s="106">
        <f>VLOOKUP($A399,'VKT US'!$B$63:$AA$113,(P$392+1),FALSE)*($BB$69+$BB$75)/(1+$AZ$41)^P$392</f>
        <v>995.92975907250991</v>
      </c>
      <c r="Q399" s="106">
        <f>VLOOKUP($A399,'VKT US'!$B$63:$AA$113,(Q$392+1),FALSE)*($BB$69+$BB$75)/(1+$AZ$41)^Q$392</f>
        <v>960.77690113439087</v>
      </c>
      <c r="R399" s="106">
        <f>VLOOKUP($A399,'VKT US'!$B$63:$AA$113,(R$392+1),FALSE)*($BB$69+$BB$75)/(1+$AZ$41)^R$392</f>
        <v>927.57016075142803</v>
      </c>
      <c r="S399" s="106">
        <f>VLOOKUP($A399,'VKT US'!$B$63:$AA$113,(S$392+1),FALSE)*($BB$69+$BB$75)/(1+$AZ$41)^S$392</f>
        <v>896.5628845673865</v>
      </c>
      <c r="T399" s="106">
        <f>VLOOKUP($A399,'VKT US'!$B$63:$AA$113,(T$392+1),FALSE)*($BB$69+$BB$75)/(1+$AZ$41)^T$392</f>
        <v>867.38349634741144</v>
      </c>
      <c r="U399" s="109">
        <f>VLOOKUP($A399,'VKT US'!$B$63:$AA$113,(U$392+1),FALSE)*($BB$69+$BB$75)/(1+$AZ$41)^U$392</f>
        <v>840.28061958446733</v>
      </c>
      <c r="V399" s="110" cm="1">
        <f t="array" ref="V399">SUMPRODUCT(INDEX(B399:U399,,_xlfn.SEQUENCE($AZ$13)))</f>
        <v>18989.478056609241</v>
      </c>
    </row>
    <row r="400" spans="1:22" x14ac:dyDescent="0.25">
      <c r="A400" s="102" t="s">
        <v>192</v>
      </c>
      <c r="B400" s="106">
        <f>VLOOKUP($A400,'VKT US'!$B$63:$AA$113,(B$392+1),FALSE)*($BB$69+$BB$75)/(1+$AZ$41)^B$392</f>
        <v>1820.8652545874131</v>
      </c>
      <c r="C400" s="106">
        <f>VLOOKUP($A400,'VKT US'!$B$63:$AA$113,(C$392+1),FALSE)*($BB$69+$BB$75)/(1+$AZ$41)^C$392</f>
        <v>1745.7581660597539</v>
      </c>
      <c r="D400" s="106">
        <f>VLOOKUP($A400,'VKT US'!$B$63:$AA$113,(D$392+1),FALSE)*($BB$69+$BB$75)/(1+$AZ$41)^D$392</f>
        <v>1673.8448325146787</v>
      </c>
      <c r="E400" s="106">
        <f>VLOOKUP($A400,'VKT US'!$B$63:$AA$113,(E$392+1),FALSE)*($BB$69+$BB$75)/(1+$AZ$41)^E$392</f>
        <v>1605.1671181392476</v>
      </c>
      <c r="F400" s="106">
        <f>VLOOKUP($A400,'VKT US'!$B$63:$AA$113,(F$392+1),FALSE)*($BB$69+$BB$75)/(1+$AZ$41)^F$392</f>
        <v>1539.5120187976986</v>
      </c>
      <c r="G400" s="106">
        <f>VLOOKUP($A400,'VKT US'!$B$63:$AA$113,(G$392+1),FALSE)*($BB$69+$BB$75)/(1+$AZ$41)^G$392</f>
        <v>1477.0458702827671</v>
      </c>
      <c r="H400" s="106">
        <f>VLOOKUP($A400,'VKT US'!$B$63:$AA$113,(H$392+1),FALSE)*($BB$69+$BB$75)/(1+$AZ$41)^H$392</f>
        <v>1417.3131336194233</v>
      </c>
      <c r="I400" s="106">
        <f>VLOOKUP($A400,'VKT US'!$B$63:$AA$113,(I$392+1),FALSE)*($BB$69+$BB$75)/(1+$AZ$41)^I$392</f>
        <v>1360.4821972585351</v>
      </c>
      <c r="J400" s="106">
        <f>VLOOKUP($A400,'VKT US'!$B$63:$AA$113,(J$392+1),FALSE)*($BB$69+$BB$75)/(1+$AZ$41)^J$392</f>
        <v>1306.4725686943611</v>
      </c>
      <c r="K400" s="106">
        <f>VLOOKUP($A400,'VKT US'!$B$63:$AA$113,(K$392+1),FALSE)*($BB$69+$BB$75)/(1+$AZ$41)^K$392</f>
        <v>1255.2054943558003</v>
      </c>
      <c r="L400" s="106">
        <f>VLOOKUP($A400,'VKT US'!$B$63:$AA$113,(L$392+1),FALSE)*($BB$69+$BB$75)/(1+$AZ$41)^L$392</f>
        <v>1206.4872565925414</v>
      </c>
      <c r="M400" s="106">
        <f>VLOOKUP($A400,'VKT US'!$B$63:$AA$113,(M$392+1),FALSE)*($BB$69+$BB$75)/(1+$AZ$41)^M$392</f>
        <v>1160.3619191884723</v>
      </c>
      <c r="N400" s="106">
        <f>VLOOKUP($A400,'VKT US'!$B$63:$AA$113,(N$392+1),FALSE)*($BB$69+$BB$75)/(1+$AZ$41)^N$392</f>
        <v>1116.6417821595799</v>
      </c>
      <c r="O400" s="106">
        <f>VLOOKUP($A400,'VKT US'!$B$63:$AA$113,(O$392+1),FALSE)*($BB$69+$BB$75)/(1+$AZ$41)^O$392</f>
        <v>1075.371298848673</v>
      </c>
      <c r="P400" s="106">
        <f>VLOOKUP($A400,'VKT US'!$B$63:$AA$113,(P$392+1),FALSE)*($BB$69+$BB$75)/(1+$AZ$41)^P$392</f>
        <v>1036.368600490656</v>
      </c>
      <c r="Q400" s="106">
        <f>VLOOKUP($A400,'VKT US'!$B$63:$AA$113,(Q$392+1),FALSE)*($BB$69+$BB$75)/(1+$AZ$41)^Q$392</f>
        <v>999.78839204452709</v>
      </c>
      <c r="R400" s="106">
        <f>VLOOKUP($A400,'VKT US'!$B$63:$AA$113,(R$392+1),FALSE)*($BB$69+$BB$75)/(1+$AZ$41)^R$392</f>
        <v>965.23332152469743</v>
      </c>
      <c r="S400" s="106">
        <f>VLOOKUP($A400,'VKT US'!$B$63:$AA$113,(S$392+1),FALSE)*($BB$69+$BB$75)/(1+$AZ$41)^S$392</f>
        <v>932.96702248990471</v>
      </c>
      <c r="T400" s="106">
        <f>VLOOKUP($A400,'VKT US'!$B$63:$AA$113,(T$392+1),FALSE)*($BB$69+$BB$75)/(1+$AZ$41)^T$392</f>
        <v>902.60283118300822</v>
      </c>
      <c r="U400" s="109">
        <f>VLOOKUP($A400,'VKT US'!$B$63:$AA$113,(U$392+1),FALSE)*($BB$69+$BB$75)/(1+$AZ$41)^U$392</f>
        <v>874.39946623261119</v>
      </c>
      <c r="V400" s="110" cm="1">
        <f t="array" ref="V400">SUMPRODUCT(INDEX(B400:U400,,_xlfn.SEQUENCE($AZ$13)))</f>
        <v>19760.52891109894</v>
      </c>
    </row>
    <row r="401" spans="1:22" x14ac:dyDescent="0.25">
      <c r="A401" s="102" t="s">
        <v>193</v>
      </c>
      <c r="B401" s="106">
        <f>VLOOKUP($A401,'VKT US'!$B$63:$AA$113,(B$392+1),FALSE)*($BB$69+$BB$75)/(1+$AZ$41)^B$392</f>
        <v>2102.175867319293</v>
      </c>
      <c r="C401" s="106">
        <f>VLOOKUP($A401,'VKT US'!$B$63:$AA$113,(C$392+1),FALSE)*($BB$69+$BB$75)/(1+$AZ$41)^C$392</f>
        <v>2015.4652726887016</v>
      </c>
      <c r="D401" s="106">
        <f>VLOOKUP($A401,'VKT US'!$B$63:$AA$113,(D$392+1),FALSE)*($BB$69+$BB$75)/(1+$AZ$41)^D$392</f>
        <v>1932.4418452626046</v>
      </c>
      <c r="E401" s="106">
        <f>VLOOKUP($A401,'VKT US'!$B$63:$AA$113,(E$392+1),FALSE)*($BB$69+$BB$75)/(1+$AZ$41)^E$392</f>
        <v>1853.1539169444864</v>
      </c>
      <c r="F401" s="106">
        <f>VLOOKUP($A401,'VKT US'!$B$63:$AA$113,(F$392+1),FALSE)*($BB$69+$BB$75)/(1+$AZ$41)^F$392</f>
        <v>1777.3555759884289</v>
      </c>
      <c r="G401" s="106">
        <f>VLOOKUP($A401,'VKT US'!$B$63:$AA$113,(G$392+1),FALSE)*($BB$69+$BB$75)/(1+$AZ$41)^G$392</f>
        <v>1705.2388558732844</v>
      </c>
      <c r="H401" s="106">
        <f>VLOOKUP($A401,'VKT US'!$B$63:$AA$113,(H$392+1),FALSE)*($BB$69+$BB$75)/(1+$AZ$41)^H$392</f>
        <v>1636.2778401219721</v>
      </c>
      <c r="I401" s="106">
        <f>VLOOKUP($A401,'VKT US'!$B$63:$AA$113,(I$392+1),FALSE)*($BB$69+$BB$75)/(1+$AZ$41)^I$392</f>
        <v>1570.6669319924256</v>
      </c>
      <c r="J401" s="106">
        <f>VLOOKUP($A401,'VKT US'!$B$63:$AA$113,(J$392+1),FALSE)*($BB$69+$BB$75)/(1+$AZ$41)^J$392</f>
        <v>1508.3132034644948</v>
      </c>
      <c r="K401" s="106">
        <f>VLOOKUP($A401,'VKT US'!$B$63:$AA$113,(K$392+1),FALSE)*($BB$69+$BB$75)/(1+$AZ$41)^K$392</f>
        <v>1449.1257341055898</v>
      </c>
      <c r="L401" s="106">
        <f>VLOOKUP($A401,'VKT US'!$B$63:$AA$113,(L$392+1),FALSE)*($BB$69+$BB$75)/(1+$AZ$41)^L$392</f>
        <v>1392.8808782788185</v>
      </c>
      <c r="M401" s="106">
        <f>VLOOKUP($A401,'VKT US'!$B$63:$AA$113,(M$392+1),FALSE)*($BB$69+$BB$75)/(1+$AZ$41)^M$392</f>
        <v>1339.6295073064152</v>
      </c>
      <c r="N401" s="106">
        <f>VLOOKUP($A401,'VKT US'!$B$63:$AA$113,(N$392+1),FALSE)*($BB$69+$BB$75)/(1+$AZ$41)^N$392</f>
        <v>1289.1549229040372</v>
      </c>
      <c r="O401" s="106">
        <f>VLOOKUP($A401,'VKT US'!$B$63:$AA$113,(O$392+1),FALSE)*($BB$69+$BB$75)/(1+$AZ$41)^O$392</f>
        <v>1241.5084461368967</v>
      </c>
      <c r="P401" s="106">
        <f>VLOOKUP($A401,'VKT US'!$B$63:$AA$113,(P$392+1),FALSE)*($BB$69+$BB$75)/(1+$AZ$41)^P$392</f>
        <v>1196.4801108210386</v>
      </c>
      <c r="Q401" s="106">
        <f>VLOOKUP($A401,'VKT US'!$B$63:$AA$113,(Q$392+1),FALSE)*($BB$69+$BB$75)/(1+$AZ$41)^Q$392</f>
        <v>1154.2485227212453</v>
      </c>
      <c r="R401" s="106">
        <f>VLOOKUP($A401,'VKT US'!$B$63:$AA$113,(R$392+1),FALSE)*($BB$69+$BB$75)/(1+$AZ$41)^R$392</f>
        <v>1114.3549418221128</v>
      </c>
      <c r="S401" s="106">
        <f>VLOOKUP($A401,'VKT US'!$B$63:$AA$113,(S$392+1),FALSE)*($BB$69+$BB$75)/(1+$AZ$41)^S$392</f>
        <v>1077.1037311749974</v>
      </c>
      <c r="T401" s="106">
        <f>VLOOKUP($A401,'VKT US'!$B$63:$AA$113,(T$392+1),FALSE)*($BB$69+$BB$75)/(1+$AZ$41)^T$392</f>
        <v>1042.0484902475257</v>
      </c>
      <c r="U401" s="109">
        <f>VLOOKUP($A401,'VKT US'!$B$63:$AA$113,(U$392+1),FALSE)*($BB$69+$BB$75)/(1+$AZ$41)^U$392</f>
        <v>1009.4879078394894</v>
      </c>
      <c r="V401" s="110" cm="1">
        <f t="array" ref="V401">SUMPRODUCT(INDEX(B401:U401,,_xlfn.SEQUENCE($AZ$13)))</f>
        <v>22813.388798387445</v>
      </c>
    </row>
    <row r="402" spans="1:22" x14ac:dyDescent="0.25">
      <c r="A402" s="102" t="s">
        <v>194</v>
      </c>
      <c r="B402" s="106">
        <f>VLOOKUP($A402,'VKT US'!$B$63:$AA$113,(B$392+1),FALSE)*($BB$69+$BB$75)/(1+$AZ$41)^B$392</f>
        <v>2647.6123068923489</v>
      </c>
      <c r="C402" s="106">
        <f>VLOOKUP($A402,'VKT US'!$B$63:$AA$113,(C$392+1),FALSE)*($BB$69+$BB$75)/(1+$AZ$41)^C$392</f>
        <v>2538.4035384677236</v>
      </c>
      <c r="D402" s="106">
        <f>VLOOKUP($A402,'VKT US'!$B$63:$AA$113,(D$392+1),FALSE)*($BB$69+$BB$75)/(1+$AZ$41)^D$392</f>
        <v>2433.8386199797064</v>
      </c>
      <c r="E402" s="106">
        <f>VLOOKUP($A402,'VKT US'!$B$63:$AA$113,(E$392+1),FALSE)*($BB$69+$BB$75)/(1+$AZ$41)^E$392</f>
        <v>2333.9784236628575</v>
      </c>
      <c r="F402" s="106">
        <f>VLOOKUP($A402,'VKT US'!$B$63:$AA$113,(F$392+1),FALSE)*($BB$69+$BB$75)/(1+$AZ$41)^F$392</f>
        <v>2238.5132328207633</v>
      </c>
      <c r="G402" s="106">
        <f>VLOOKUP($A402,'VKT US'!$B$63:$AA$113,(G$392+1),FALSE)*($BB$69+$BB$75)/(1+$AZ$41)^G$392</f>
        <v>2147.6849064766639</v>
      </c>
      <c r="H402" s="106">
        <f>VLOOKUP($A402,'VKT US'!$B$63:$AA$113,(H$392+1),FALSE)*($BB$69+$BB$75)/(1+$AZ$41)^H$392</f>
        <v>2060.8310723910308</v>
      </c>
      <c r="I402" s="106">
        <f>VLOOKUP($A402,'VKT US'!$B$63:$AA$113,(I$392+1),FALSE)*($BB$69+$BB$75)/(1+$AZ$41)^I$392</f>
        <v>1978.1965742357031</v>
      </c>
      <c r="J402" s="106">
        <f>VLOOKUP($A402,'VKT US'!$B$63:$AA$113,(J$392+1),FALSE)*($BB$69+$BB$75)/(1+$AZ$41)^J$392</f>
        <v>1899.6643726260941</v>
      </c>
      <c r="K402" s="106">
        <f>VLOOKUP($A402,'VKT US'!$B$63:$AA$113,(K$392+1),FALSE)*($BB$69+$BB$75)/(1+$AZ$41)^K$392</f>
        <v>1825.1199566594689</v>
      </c>
      <c r="L402" s="106">
        <f>VLOOKUP($A402,'VKT US'!$B$63:$AA$113,(L$392+1),FALSE)*($BB$69+$BB$75)/(1+$AZ$41)^L$392</f>
        <v>1754.2816529754659</v>
      </c>
      <c r="M402" s="106">
        <f>VLOOKUP($A402,'VKT US'!$B$63:$AA$113,(M$392+1),FALSE)*($BB$69+$BB$75)/(1+$AZ$41)^M$392</f>
        <v>1687.2135321120984</v>
      </c>
      <c r="N402" s="106">
        <f>VLOOKUP($A402,'VKT US'!$B$63:$AA$113,(N$392+1),FALSE)*($BB$69+$BB$75)/(1+$AZ$41)^N$392</f>
        <v>1623.6426706411085</v>
      </c>
      <c r="O402" s="106">
        <f>VLOOKUP($A402,'VKT US'!$B$63:$AA$113,(O$392+1),FALSE)*($BB$69+$BB$75)/(1+$AZ$41)^O$392</f>
        <v>1563.6337055350598</v>
      </c>
      <c r="P402" s="106">
        <f>VLOOKUP($A402,'VKT US'!$B$63:$AA$113,(P$392+1),FALSE)*($BB$69+$BB$75)/(1+$AZ$41)^P$392</f>
        <v>1506.9221921957082</v>
      </c>
      <c r="Q402" s="106">
        <f>VLOOKUP($A402,'VKT US'!$B$63:$AA$113,(Q$392+1),FALSE)*($BB$69+$BB$75)/(1+$AZ$41)^Q$392</f>
        <v>1453.7330779399128</v>
      </c>
      <c r="R402" s="106">
        <f>VLOOKUP($A402,'VKT US'!$B$63:$AA$113,(R$392+1),FALSE)*($BB$69+$BB$75)/(1+$AZ$41)^R$392</f>
        <v>1403.4885967827586</v>
      </c>
      <c r="S402" s="106">
        <f>VLOOKUP($A402,'VKT US'!$B$63:$AA$113,(S$392+1),FALSE)*($BB$69+$BB$75)/(1+$AZ$41)^S$392</f>
        <v>1356.5720826655495</v>
      </c>
      <c r="T402" s="106">
        <f>VLOOKUP($A402,'VKT US'!$B$63:$AA$113,(T$392+1),FALSE)*($BB$69+$BB$75)/(1+$AZ$41)^T$392</f>
        <v>1312.4213107232354</v>
      </c>
      <c r="U402" s="109">
        <f>VLOOKUP($A402,'VKT US'!$B$63:$AA$113,(U$392+1),FALSE)*($BB$69+$BB$75)/(1+$AZ$41)^U$392</f>
        <v>1271.4124683883488</v>
      </c>
      <c r="V402" s="110" cm="1">
        <f t="array" ref="V402">SUMPRODUCT(INDEX(B402:U402,,_xlfn.SEQUENCE($AZ$13)))</f>
        <v>28732.614565476091</v>
      </c>
    </row>
    <row r="403" spans="1:22" x14ac:dyDescent="0.25">
      <c r="A403" s="102" t="s">
        <v>233</v>
      </c>
      <c r="B403" s="106">
        <f>VLOOKUP($A403,'VKT US'!$B$63:$AA$113,(B$392+1),FALSE)*($BB$69+$BB$75)/(1+$AZ$41)^B$392</f>
        <v>1687.8636763912828</v>
      </c>
      <c r="C403" s="106">
        <f>VLOOKUP($A403,'VKT US'!$B$63:$AA$113,(C$392+1),FALSE)*($BB$69+$BB$75)/(1+$AZ$41)^C$392</f>
        <v>1618.2426397736858</v>
      </c>
      <c r="D403" s="106">
        <f>VLOOKUP($A403,'VKT US'!$B$63:$AA$113,(D$392+1),FALSE)*($BB$69+$BB$75)/(1+$AZ$41)^D$392</f>
        <v>1551.5820764875539</v>
      </c>
      <c r="E403" s="106">
        <f>VLOOKUP($A403,'VKT US'!$B$63:$AA$113,(E$392+1),FALSE)*($BB$69+$BB$75)/(1+$AZ$41)^E$392</f>
        <v>1487.9207928314322</v>
      </c>
      <c r="F403" s="106">
        <f>VLOOKUP($A403,'VKT US'!$B$63:$AA$113,(F$392+1),FALSE)*($BB$69+$BB$75)/(1+$AZ$41)^F$392</f>
        <v>1427.0613431443812</v>
      </c>
      <c r="G403" s="106">
        <f>VLOOKUP($A403,'VKT US'!$B$63:$AA$113,(G$392+1),FALSE)*($BB$69+$BB$75)/(1+$AZ$41)^G$392</f>
        <v>1369.1579135431027</v>
      </c>
      <c r="H403" s="106">
        <f>VLOOKUP($A403,'VKT US'!$B$63:$AA$113,(H$392+1),FALSE)*($BB$69+$BB$75)/(1+$AZ$41)^H$392</f>
        <v>1313.7882390152922</v>
      </c>
      <c r="I403" s="106">
        <f>VLOOKUP($A403,'VKT US'!$B$63:$AA$113,(I$392+1),FALSE)*($BB$69+$BB$75)/(1+$AZ$41)^I$392</f>
        <v>1261.1084084033434</v>
      </c>
      <c r="J403" s="106">
        <f>VLOOKUP($A403,'VKT US'!$B$63:$AA$113,(J$392+1),FALSE)*($BB$69+$BB$75)/(1+$AZ$41)^J$392</f>
        <v>1211.0438086208019</v>
      </c>
      <c r="K403" s="106">
        <f>VLOOKUP($A403,'VKT US'!$B$63:$AA$113,(K$392+1),FALSE)*($BB$69+$BB$75)/(1+$AZ$41)^K$392</f>
        <v>1163.5214384987385</v>
      </c>
      <c r="L403" s="106">
        <f>VLOOKUP($A403,'VKT US'!$B$63:$AA$113,(L$392+1),FALSE)*($BB$69+$BB$75)/(1+$AZ$41)^L$392</f>
        <v>1118.3617301176635</v>
      </c>
      <c r="M403" s="106">
        <f>VLOOKUP($A403,'VKT US'!$B$63:$AA$113,(M$392+1),FALSE)*($BB$69+$BB$75)/(1+$AZ$41)^M$392</f>
        <v>1075.6055287076583</v>
      </c>
      <c r="N403" s="106">
        <f>VLOOKUP($A403,'VKT US'!$B$63:$AA$113,(N$392+1),FALSE)*($BB$69+$BB$75)/(1+$AZ$41)^N$392</f>
        <v>1035.0788444667435</v>
      </c>
      <c r="O403" s="106">
        <f>VLOOKUP($A403,'VKT US'!$B$63:$AA$113,(O$392+1),FALSE)*($BB$69+$BB$75)/(1+$AZ$41)^O$392</f>
        <v>996.82288372934318</v>
      </c>
      <c r="P403" s="106">
        <f>VLOOKUP($A403,'VKT US'!$B$63:$AA$113,(P$392+1),FALSE)*($BB$69+$BB$75)/(1+$AZ$41)^P$392</f>
        <v>960.66906198229708</v>
      </c>
      <c r="Q403" s="106">
        <f>VLOOKUP($A403,'VKT US'!$B$63:$AA$113,(Q$392+1),FALSE)*($BB$69+$BB$75)/(1+$AZ$41)^Q$392</f>
        <v>926.76078406030865</v>
      </c>
      <c r="R403" s="106">
        <f>VLOOKUP($A403,'VKT US'!$B$63:$AA$113,(R$392+1),FALSE)*($BB$69+$BB$75)/(1+$AZ$41)^R$392</f>
        <v>894.72972178449231</v>
      </c>
      <c r="S403" s="106">
        <f>VLOOKUP($A403,'VKT US'!$B$63:$AA$113,(S$392+1),FALSE)*($BB$69+$BB$75)/(1+$AZ$41)^S$392</f>
        <v>864.82025211055645</v>
      </c>
      <c r="T403" s="106">
        <f>VLOOKUP($A403,'VKT US'!$B$63:$AA$113,(T$392+1),FALSE)*($BB$69+$BB$75)/(1+$AZ$41)^T$392</f>
        <v>836.67395438710457</v>
      </c>
      <c r="U403" s="109">
        <f>VLOOKUP($A403,'VKT US'!$B$63:$AA$113,(U$392+1),FALSE)*($BB$69+$BB$75)/(1+$AZ$41)^U$392</f>
        <v>810.53064964126872</v>
      </c>
      <c r="V403" s="110" cm="1">
        <f t="array" ref="V403">SUMPRODUCT(INDEX(B403:U403,,_xlfn.SEQUENCE($AZ$13)))</f>
        <v>18317.159323731019</v>
      </c>
    </row>
    <row r="404" spans="1:22" x14ac:dyDescent="0.25">
      <c r="A404" s="102" t="s">
        <v>196</v>
      </c>
      <c r="B404" s="106">
        <f>VLOOKUP($A404,'VKT US'!$B$63:$AA$113,(B$392+1),FALSE)*($BB$69+$BB$75)/(1+$AZ$41)^B$392</f>
        <v>2081.9584721537576</v>
      </c>
      <c r="C404" s="106">
        <f>VLOOKUP($A404,'VKT US'!$B$63:$AA$113,(C$392+1),FALSE)*($BB$69+$BB$75)/(1+$AZ$41)^C$392</f>
        <v>1996.081805066498</v>
      </c>
      <c r="D404" s="106">
        <f>VLOOKUP($A404,'VKT US'!$B$63:$AA$113,(D$392+1),FALSE)*($BB$69+$BB$75)/(1+$AZ$41)^D$392</f>
        <v>1913.8568443464292</v>
      </c>
      <c r="E404" s="106">
        <f>VLOOKUP($A404,'VKT US'!$B$63:$AA$113,(E$392+1),FALSE)*($BB$69+$BB$75)/(1+$AZ$41)^E$392</f>
        <v>1835.3314570714199</v>
      </c>
      <c r="F404" s="106">
        <f>VLOOKUP($A404,'VKT US'!$B$63:$AA$113,(F$392+1),FALSE)*($BB$69+$BB$75)/(1+$AZ$41)^F$392</f>
        <v>1760.2620965188692</v>
      </c>
      <c r="G404" s="106">
        <f>VLOOKUP($A404,'VKT US'!$B$63:$AA$113,(G$392+1),FALSE)*($BB$69+$BB$75)/(1+$AZ$41)^G$392</f>
        <v>1688.8389493113375</v>
      </c>
      <c r="H404" s="106">
        <f>VLOOKUP($A404,'VKT US'!$B$63:$AA$113,(H$392+1),FALSE)*($BB$69+$BB$75)/(1+$AZ$41)^H$392</f>
        <v>1620.5411569031028</v>
      </c>
      <c r="I404" s="106">
        <f>VLOOKUP($A404,'VKT US'!$B$63:$AA$113,(I$392+1),FALSE)*($BB$69+$BB$75)/(1+$AZ$41)^I$392</f>
        <v>1555.5612529047744</v>
      </c>
      <c r="J404" s="106">
        <f>VLOOKUP($A404,'VKT US'!$B$63:$AA$113,(J$392+1),FALSE)*($BB$69+$BB$75)/(1+$AZ$41)^J$392</f>
        <v>1493.8072030190026</v>
      </c>
      <c r="K404" s="106">
        <f>VLOOKUP($A404,'VKT US'!$B$63:$AA$113,(K$392+1),FALSE)*($BB$69+$BB$75)/(1+$AZ$41)^K$392</f>
        <v>1435.1889612282951</v>
      </c>
      <c r="L404" s="106">
        <f>VLOOKUP($A404,'VKT US'!$B$63:$AA$113,(L$392+1),FALSE)*($BB$69+$BB$75)/(1+$AZ$41)^L$392</f>
        <v>1379.4850327777513</v>
      </c>
      <c r="M404" s="106">
        <f>VLOOKUP($A404,'VKT US'!$B$63:$AA$113,(M$392+1),FALSE)*($BB$69+$BB$75)/(1+$AZ$41)^M$392</f>
        <v>1326.7457997414708</v>
      </c>
      <c r="N404" s="106">
        <f>VLOOKUP($A404,'VKT US'!$B$63:$AA$113,(N$392+1),FALSE)*($BB$69+$BB$75)/(1+$AZ$41)^N$392</f>
        <v>1276.7566479018687</v>
      </c>
      <c r="O404" s="106">
        <f>VLOOKUP($A404,'VKT US'!$B$63:$AA$113,(O$392+1),FALSE)*($BB$69+$BB$75)/(1+$AZ$41)^O$392</f>
        <v>1229.5684047506793</v>
      </c>
      <c r="P404" s="106">
        <f>VLOOKUP($A404,'VKT US'!$B$63:$AA$113,(P$392+1),FALSE)*($BB$69+$BB$75)/(1+$AZ$41)^P$392</f>
        <v>1184.9731234256315</v>
      </c>
      <c r="Q404" s="106">
        <f>VLOOKUP($A404,'VKT US'!$B$63:$AA$113,(Q$392+1),FALSE)*($BB$69+$BB$75)/(1+$AZ$41)^Q$392</f>
        <v>1143.1476919744584</v>
      </c>
      <c r="R404" s="106">
        <f>VLOOKUP($A404,'VKT US'!$B$63:$AA$113,(R$392+1),FALSE)*($BB$69+$BB$75)/(1+$AZ$41)^R$392</f>
        <v>1103.6377822524832</v>
      </c>
      <c r="S404" s="106">
        <f>VLOOKUP($A404,'VKT US'!$B$63:$AA$113,(S$392+1),FALSE)*($BB$69+$BB$75)/(1+$AZ$41)^S$392</f>
        <v>1066.7448301401344</v>
      </c>
      <c r="T404" s="106">
        <f>VLOOKUP($A404,'VKT US'!$B$63:$AA$113,(T$392+1),FALSE)*($BB$69+$BB$75)/(1+$AZ$41)^T$392</f>
        <v>1032.0267283024373</v>
      </c>
      <c r="U404" s="109">
        <f>VLOOKUP($A404,'VKT US'!$B$63:$AA$113,(U$392+1),FALSE)*($BB$69+$BB$75)/(1+$AZ$41)^U$392</f>
        <v>999.77929293961085</v>
      </c>
      <c r="V404" s="110" cm="1">
        <f t="array" ref="V404">SUMPRODUCT(INDEX(B404:U404,,_xlfn.SEQUENCE($AZ$13)))</f>
        <v>22593.984083695257</v>
      </c>
    </row>
    <row r="405" spans="1:22" x14ac:dyDescent="0.25">
      <c r="A405" s="102" t="s">
        <v>197</v>
      </c>
      <c r="B405" s="106">
        <f>VLOOKUP($A405,'VKT US'!$B$63:$AA$113,(B$392+1),FALSE)*($BB$69+$BB$75)/(1+$AZ$41)^B$392</f>
        <v>1816.8217755543058</v>
      </c>
      <c r="C405" s="106">
        <f>VLOOKUP($A405,'VKT US'!$B$63:$AA$113,(C$392+1),FALSE)*($BB$69+$BB$75)/(1+$AZ$41)^C$392</f>
        <v>1741.8814725353132</v>
      </c>
      <c r="D405" s="106">
        <f>VLOOKUP($A405,'VKT US'!$B$63:$AA$113,(D$392+1),FALSE)*($BB$69+$BB$75)/(1+$AZ$41)^D$392</f>
        <v>1670.1278323314439</v>
      </c>
      <c r="E405" s="106">
        <f>VLOOKUP($A405,'VKT US'!$B$63:$AA$113,(E$392+1),FALSE)*($BB$69+$BB$75)/(1+$AZ$41)^E$392</f>
        <v>1601.6026261646343</v>
      </c>
      <c r="F405" s="106">
        <f>VLOOKUP($A405,'VKT US'!$B$63:$AA$113,(F$392+1),FALSE)*($BB$69+$BB$75)/(1+$AZ$41)^F$392</f>
        <v>1536.0933229037867</v>
      </c>
      <c r="G405" s="106">
        <f>VLOOKUP($A405,'VKT US'!$B$63:$AA$113,(G$392+1),FALSE)*($BB$69+$BB$75)/(1+$AZ$41)^G$392</f>
        <v>1473.765888970378</v>
      </c>
      <c r="H405" s="106">
        <f>VLOOKUP($A405,'VKT US'!$B$63:$AA$113,(H$392+1),FALSE)*($BB$69+$BB$75)/(1+$AZ$41)^H$392</f>
        <v>1414.1657969756495</v>
      </c>
      <c r="I405" s="106">
        <f>VLOOKUP($A405,'VKT US'!$B$63:$AA$113,(I$392+1),FALSE)*($BB$69+$BB$75)/(1+$AZ$41)^I$392</f>
        <v>1357.4610614410046</v>
      </c>
      <c r="J405" s="106">
        <f>VLOOKUP($A405,'VKT US'!$B$63:$AA$113,(J$392+1),FALSE)*($BB$69+$BB$75)/(1+$AZ$41)^J$392</f>
        <v>1303.5713686052627</v>
      </c>
      <c r="K405" s="106">
        <f>VLOOKUP($A405,'VKT US'!$B$63:$AA$113,(K$392+1),FALSE)*($BB$69+$BB$75)/(1+$AZ$41)^K$392</f>
        <v>1252.4181397803411</v>
      </c>
      <c r="L405" s="106">
        <f>VLOOKUP($A405,'VKT US'!$B$63:$AA$113,(L$392+1),FALSE)*($BB$69+$BB$75)/(1+$AZ$41)^L$392</f>
        <v>1203.8080874923278</v>
      </c>
      <c r="M405" s="106">
        <f>VLOOKUP($A405,'VKT US'!$B$63:$AA$113,(M$392+1),FALSE)*($BB$69+$BB$75)/(1+$AZ$41)^M$392</f>
        <v>1157.7851776754833</v>
      </c>
      <c r="N405" s="106">
        <f>VLOOKUP($A405,'VKT US'!$B$63:$AA$113,(N$392+1),FALSE)*($BB$69+$BB$75)/(1+$AZ$41)^N$392</f>
        <v>1114.1621271591464</v>
      </c>
      <c r="O405" s="106">
        <f>VLOOKUP($A405,'VKT US'!$B$63:$AA$113,(O$392+1),FALSE)*($BB$69+$BB$75)/(1+$AZ$41)^O$392</f>
        <v>1072.9832905714293</v>
      </c>
      <c r="P405" s="106">
        <f>VLOOKUP($A405,'VKT US'!$B$63:$AA$113,(P$392+1),FALSE)*($BB$69+$BB$75)/(1+$AZ$41)^P$392</f>
        <v>1034.0672030115743</v>
      </c>
      <c r="Q405" s="106">
        <f>VLOOKUP($A405,'VKT US'!$B$63:$AA$113,(Q$392+1),FALSE)*($BB$69+$BB$75)/(1+$AZ$41)^Q$392</f>
        <v>997.56822589516958</v>
      </c>
      <c r="R405" s="106">
        <f>VLOOKUP($A405,'VKT US'!$B$63:$AA$113,(R$392+1),FALSE)*($BB$69+$BB$75)/(1+$AZ$41)^R$392</f>
        <v>963.08988961077148</v>
      </c>
      <c r="S405" s="106">
        <f>VLOOKUP($A405,'VKT US'!$B$63:$AA$113,(S$392+1),FALSE)*($BB$69+$BB$75)/(1+$AZ$41)^S$392</f>
        <v>930.89524228293214</v>
      </c>
      <c r="T405" s="106">
        <f>VLOOKUP($A405,'VKT US'!$B$63:$AA$113,(T$392+1),FALSE)*($BB$69+$BB$75)/(1+$AZ$41)^T$392</f>
        <v>900.59847879399058</v>
      </c>
      <c r="U405" s="109">
        <f>VLOOKUP($A405,'VKT US'!$B$63:$AA$113,(U$392+1),FALSE)*($BB$69+$BB$75)/(1+$AZ$41)^U$392</f>
        <v>872.4577432526354</v>
      </c>
      <c r="V405" s="110" cm="1">
        <f t="array" ref="V405">SUMPRODUCT(INDEX(B405:U405,,_xlfn.SEQUENCE($AZ$13)))</f>
        <v>19716.647968160501</v>
      </c>
    </row>
    <row r="406" spans="1:22" x14ac:dyDescent="0.25">
      <c r="A406" s="102" t="s">
        <v>198</v>
      </c>
      <c r="B406" s="106">
        <f>VLOOKUP($A406,'VKT US'!$B$63:$AA$113,(B$392+1),FALSE)*($BB$69+$BB$75)/(1+$AZ$41)^B$392</f>
        <v>2602.8452175972343</v>
      </c>
      <c r="C406" s="106">
        <f>VLOOKUP($A406,'VKT US'!$B$63:$AA$113,(C$392+1),FALSE)*($BB$69+$BB$75)/(1+$AZ$41)^C$392</f>
        <v>2495.4830030185585</v>
      </c>
      <c r="D406" s="106">
        <f>VLOOKUP($A406,'VKT US'!$B$63:$AA$113,(D$392+1),FALSE)*($BB$69+$BB$75)/(1+$AZ$41)^D$392</f>
        <v>2392.6861179510329</v>
      </c>
      <c r="E406" s="106">
        <f>VLOOKUP($A406,'VKT US'!$B$63:$AA$113,(E$392+1),FALSE)*($BB$69+$BB$75)/(1+$AZ$41)^E$392</f>
        <v>2294.5144053724957</v>
      </c>
      <c r="F406" s="106">
        <f>VLOOKUP($A406,'VKT US'!$B$63:$AA$113,(F$392+1),FALSE)*($BB$69+$BB$75)/(1+$AZ$41)^F$392</f>
        <v>2200.6633854238812</v>
      </c>
      <c r="G406" s="106">
        <f>VLOOKUP($A406,'VKT US'!$B$63:$AA$113,(G$392+1),FALSE)*($BB$69+$BB$75)/(1+$AZ$41)^G$392</f>
        <v>2111.3708276609241</v>
      </c>
      <c r="H406" s="106">
        <f>VLOOKUP($A406,'VKT US'!$B$63:$AA$113,(H$392+1),FALSE)*($BB$69+$BB$75)/(1+$AZ$41)^H$392</f>
        <v>2025.985559549249</v>
      </c>
      <c r="I406" s="106">
        <f>VLOOKUP($A406,'VKT US'!$B$63:$AA$113,(I$392+1),FALSE)*($BB$69+$BB$75)/(1+$AZ$41)^I$392</f>
        <v>1944.7482848273326</v>
      </c>
      <c r="J406" s="106">
        <f>VLOOKUP($A406,'VKT US'!$B$63:$AA$113,(J$392+1),FALSE)*($BB$69+$BB$75)/(1+$AZ$41)^J$392</f>
        <v>1867.5439430682181</v>
      </c>
      <c r="K406" s="106">
        <f>VLOOKUP($A406,'VKT US'!$B$63:$AA$113,(K$392+1),FALSE)*($BB$69+$BB$75)/(1+$AZ$41)^K$392</f>
        <v>1794.2599595740298</v>
      </c>
      <c r="L406" s="106">
        <f>VLOOKUP($A406,'VKT US'!$B$63:$AA$113,(L$392+1),FALSE)*($BB$69+$BB$75)/(1+$AZ$41)^L$392</f>
        <v>1724.6194236516742</v>
      </c>
      <c r="M406" s="106">
        <f>VLOOKUP($A406,'VKT US'!$B$63:$AA$113,(M$392+1),FALSE)*($BB$69+$BB$75)/(1+$AZ$41)^M$392</f>
        <v>1658.685322504007</v>
      </c>
      <c r="N406" s="106">
        <f>VLOOKUP($A406,'VKT US'!$B$63:$AA$113,(N$392+1),FALSE)*($BB$69+$BB$75)/(1+$AZ$41)^N$392</f>
        <v>1596.1893474220215</v>
      </c>
      <c r="O406" s="106">
        <f>VLOOKUP($A406,'VKT US'!$B$63:$AA$113,(O$392+1),FALSE)*($BB$69+$BB$75)/(1+$AZ$41)^O$392</f>
        <v>1537.1950424655786</v>
      </c>
      <c r="P406" s="106">
        <f>VLOOKUP($A406,'VKT US'!$B$63:$AA$113,(P$392+1),FALSE)*($BB$69+$BB$75)/(1+$AZ$41)^P$392</f>
        <v>1481.4424343915916</v>
      </c>
      <c r="Q406" s="106">
        <f>VLOOKUP($A406,'VKT US'!$B$63:$AA$113,(Q$392+1),FALSE)*($BB$69+$BB$75)/(1+$AZ$41)^Q$392</f>
        <v>1429.1526670005992</v>
      </c>
      <c r="R406" s="106">
        <f>VLOOKUP($A406,'VKT US'!$B$63:$AA$113,(R$392+1),FALSE)*($BB$69+$BB$75)/(1+$AZ$41)^R$392</f>
        <v>1379.7577434500074</v>
      </c>
      <c r="S406" s="106">
        <f>VLOOKUP($A406,'VKT US'!$B$63:$AA$113,(S$392+1),FALSE)*($BB$69+$BB$75)/(1+$AZ$41)^S$392</f>
        <v>1333.6345160883529</v>
      </c>
      <c r="T406" s="106">
        <f>VLOOKUP($A406,'VKT US'!$B$63:$AA$113,(T$392+1),FALSE)*($BB$69+$BB$75)/(1+$AZ$41)^T$392</f>
        <v>1290.2302664162537</v>
      </c>
      <c r="U406" s="109">
        <f>VLOOKUP($A406,'VKT US'!$B$63:$AA$113,(U$392+1),FALSE)*($BB$69+$BB$75)/(1+$AZ$41)^U$392</f>
        <v>1249.9148211100469</v>
      </c>
      <c r="V406" s="110" cm="1">
        <f t="array" ref="V406">SUMPRODUCT(INDEX(B406:U406,,_xlfn.SEQUENCE($AZ$13)))</f>
        <v>28246.789840086229</v>
      </c>
    </row>
    <row r="407" spans="1:22" x14ac:dyDescent="0.25">
      <c r="A407" s="102" t="s">
        <v>195</v>
      </c>
      <c r="B407" s="106">
        <f>VLOOKUP($A407,'VKT US'!$B$63:$AA$113,(B$392+1),FALSE)*($BB$69+$BB$75)/(1+$AZ$41)^B$392</f>
        <v>2129.3249408272986</v>
      </c>
      <c r="C407" s="106">
        <f>VLOOKUP($A407,'VKT US'!$B$63:$AA$113,(C$392+1),FALSE)*($BB$69+$BB$75)/(1+$AZ$41)^C$392</f>
        <v>2041.494500638518</v>
      </c>
      <c r="D407" s="106">
        <f>VLOOKUP($A407,'VKT US'!$B$63:$AA$113,(D$392+1),FALSE)*($BB$69+$BB$75)/(1+$AZ$41)^D$392</f>
        <v>1957.3988464928971</v>
      </c>
      <c r="E407" s="106">
        <f>VLOOKUP($A407,'VKT US'!$B$63:$AA$113,(E$392+1),FALSE)*($BB$69+$BB$75)/(1+$AZ$41)^E$392</f>
        <v>1877.0869344883183</v>
      </c>
      <c r="F407" s="106">
        <f>VLOOKUP($A407,'VKT US'!$B$63:$AA$113,(F$392+1),FALSE)*($BB$69+$BB$75)/(1+$AZ$41)^F$392</f>
        <v>1800.3096769904091</v>
      </c>
      <c r="G407" s="106">
        <f>VLOOKUP($A407,'VKT US'!$B$63:$AA$113,(G$392+1),FALSE)*($BB$69+$BB$75)/(1+$AZ$41)^G$392</f>
        <v>1727.2615875421843</v>
      </c>
      <c r="H407" s="106">
        <f>VLOOKUP($A407,'VKT US'!$B$63:$AA$113,(H$392+1),FALSE)*($BB$69+$BB$75)/(1+$AZ$41)^H$392</f>
        <v>1657.4099575873104</v>
      </c>
      <c r="I407" s="106">
        <f>VLOOKUP($A407,'VKT US'!$B$63:$AA$113,(I$392+1),FALSE)*($BB$69+$BB$75)/(1+$AZ$41)^I$392</f>
        <v>1590.9517010529858</v>
      </c>
      <c r="J407" s="106">
        <f>VLOOKUP($A407,'VKT US'!$B$63:$AA$113,(J$392+1),FALSE)*($BB$69+$BB$75)/(1+$AZ$41)^J$392</f>
        <v>1527.792689777013</v>
      </c>
      <c r="K407" s="106">
        <f>VLOOKUP($A407,'VKT US'!$B$63:$AA$113,(K$392+1),FALSE)*($BB$69+$BB$75)/(1+$AZ$41)^K$392</f>
        <v>1467.840829112243</v>
      </c>
      <c r="L407" s="106">
        <f>VLOOKUP($A407,'VKT US'!$B$63:$AA$113,(L$392+1),FALSE)*($BB$69+$BB$75)/(1+$AZ$41)^L$392</f>
        <v>1410.8695850945371</v>
      </c>
      <c r="M407" s="106">
        <f>VLOOKUP($A407,'VKT US'!$B$63:$AA$113,(M$392+1),FALSE)*($BB$69+$BB$75)/(1+$AZ$41)^M$392</f>
        <v>1356.9304860364837</v>
      </c>
      <c r="N407" s="106">
        <f>VLOOKUP($A407,'VKT US'!$B$63:$AA$113,(N$392+1),FALSE)*($BB$69+$BB$75)/(1+$AZ$41)^N$392</f>
        <v>1305.8040350498061</v>
      </c>
      <c r="O407" s="106">
        <f>VLOOKUP($A407,'VKT US'!$B$63:$AA$113,(O$392+1),FALSE)*($BB$69+$BB$75)/(1+$AZ$41)^O$392</f>
        <v>1257.5422159983887</v>
      </c>
      <c r="P407" s="106">
        <f>VLOOKUP($A407,'VKT US'!$B$63:$AA$113,(P$392+1),FALSE)*($BB$69+$BB$75)/(1+$AZ$41)^P$392</f>
        <v>1211.9323510377285</v>
      </c>
      <c r="Q407" s="106">
        <f>VLOOKUP($A407,'VKT US'!$B$63:$AA$113,(Q$392+1),FALSE)*($BB$69+$BB$75)/(1+$AZ$41)^Q$392</f>
        <v>1169.155352581216</v>
      </c>
      <c r="R407" s="106">
        <f>VLOOKUP($A407,'VKT US'!$B$63:$AA$113,(R$392+1),FALSE)*($BB$69+$BB$75)/(1+$AZ$41)^R$392</f>
        <v>1128.7465561013294</v>
      </c>
      <c r="S407" s="106">
        <f>VLOOKUP($A407,'VKT US'!$B$63:$AA$113,(S$392+1),FALSE)*($BB$69+$BB$75)/(1+$AZ$41)^S$392</f>
        <v>1091.0142554218135</v>
      </c>
      <c r="T407" s="106">
        <f>VLOOKUP($A407,'VKT US'!$B$63:$AA$113,(T$392+1),FALSE)*($BB$69+$BB$75)/(1+$AZ$41)^T$392</f>
        <v>1055.5062848595019</v>
      </c>
      <c r="U407" s="109">
        <f>VLOOKUP($A407,'VKT US'!$B$63:$AA$113,(U$392+1),FALSE)*($BB$69+$BB$75)/(1+$AZ$41)^U$392</f>
        <v>1022.5251907050401</v>
      </c>
      <c r="V407" s="110" cm="1">
        <f t="array" ref="V407">SUMPRODUCT(INDEX(B407:U407,,_xlfn.SEQUENCE($AZ$13)))</f>
        <v>23108.017986688392</v>
      </c>
    </row>
    <row r="408" spans="1:22" x14ac:dyDescent="0.25">
      <c r="A408" s="102" t="s">
        <v>199</v>
      </c>
      <c r="B408" s="106">
        <f>VLOOKUP($A408,'VKT US'!$B$63:$AA$113,(B$392+1),FALSE)*($BB$69+$BB$75)/(1+$AZ$41)^B$392</f>
        <v>2134.5236995841501</v>
      </c>
      <c r="C408" s="106">
        <f>VLOOKUP($A408,'VKT US'!$B$63:$AA$113,(C$392+1),FALSE)*($BB$69+$BB$75)/(1+$AZ$41)^C$392</f>
        <v>2046.4788208842274</v>
      </c>
      <c r="D408" s="106">
        <f>VLOOKUP($A408,'VKT US'!$B$63:$AA$113,(D$392+1),FALSE)*($BB$69+$BB$75)/(1+$AZ$41)^D$392</f>
        <v>1962.1778467284851</v>
      </c>
      <c r="E408" s="106">
        <f>VLOOKUP($A408,'VKT US'!$B$63:$AA$113,(E$392+1),FALSE)*($BB$69+$BB$75)/(1+$AZ$41)^E$392</f>
        <v>1881.6698527413926</v>
      </c>
      <c r="F408" s="106">
        <f>VLOOKUP($A408,'VKT US'!$B$63:$AA$113,(F$392+1),FALSE)*($BB$69+$BB$75)/(1+$AZ$41)^F$392</f>
        <v>1804.7051431397242</v>
      </c>
      <c r="G408" s="106">
        <f>VLOOKUP($A408,'VKT US'!$B$63:$AA$113,(G$392+1),FALSE)*($BB$69+$BB$75)/(1+$AZ$41)^G$392</f>
        <v>1731.4787063723993</v>
      </c>
      <c r="H408" s="106">
        <f>VLOOKUP($A408,'VKT US'!$B$63:$AA$113,(H$392+1),FALSE)*($BB$69+$BB$75)/(1+$AZ$41)^H$392</f>
        <v>1661.4565332721622</v>
      </c>
      <c r="I408" s="106">
        <f>VLOOKUP($A408,'VKT US'!$B$63:$AA$113,(I$392+1),FALSE)*($BB$69+$BB$75)/(1+$AZ$41)^I$392</f>
        <v>1594.8360185326676</v>
      </c>
      <c r="J408" s="106">
        <f>VLOOKUP($A408,'VKT US'!$B$63:$AA$113,(J$392+1),FALSE)*($BB$69+$BB$75)/(1+$AZ$41)^J$392</f>
        <v>1531.5228041772825</v>
      </c>
      <c r="K408" s="106">
        <f>VLOOKUP($A408,'VKT US'!$B$63:$AA$113,(K$392+1),FALSE)*($BB$69+$BB$75)/(1+$AZ$41)^K$392</f>
        <v>1471.4245707092618</v>
      </c>
      <c r="L408" s="106">
        <f>VLOOKUP($A408,'VKT US'!$B$63:$AA$113,(L$392+1),FALSE)*($BB$69+$BB$75)/(1+$AZ$41)^L$392</f>
        <v>1414.3142310805258</v>
      </c>
      <c r="M408" s="106">
        <f>VLOOKUP($A408,'VKT US'!$B$63:$AA$113,(M$392+1),FALSE)*($BB$69+$BB$75)/(1+$AZ$41)^M$392</f>
        <v>1360.2434394103266</v>
      </c>
      <c r="N408" s="106">
        <f>VLOOKUP($A408,'VKT US'!$B$63:$AA$113,(N$392+1),FALSE)*($BB$69+$BB$75)/(1+$AZ$41)^N$392</f>
        <v>1308.9921629075068</v>
      </c>
      <c r="O408" s="106">
        <f>VLOOKUP($A408,'VKT US'!$B$63:$AA$113,(O$392+1),FALSE)*($BB$69+$BB$75)/(1+$AZ$41)^O$392</f>
        <v>1260.6125123548445</v>
      </c>
      <c r="P408" s="106">
        <f>VLOOKUP($A408,'VKT US'!$B$63:$AA$113,(P$392+1),FALSE)*($BB$69+$BB$75)/(1+$AZ$41)^P$392</f>
        <v>1214.8912906536905</v>
      </c>
      <c r="Q408" s="106">
        <f>VLOOKUP($A408,'VKT US'!$B$63:$AA$113,(Q$392+1),FALSE)*($BB$69+$BB$75)/(1+$AZ$41)^Q$392</f>
        <v>1172.0098519161038</v>
      </c>
      <c r="R408" s="106">
        <f>VLOOKUP($A408,'VKT US'!$B$63:$AA$113,(R$392+1),FALSE)*($BB$69+$BB$75)/(1+$AZ$41)^R$392</f>
        <v>1131.5023971335199</v>
      </c>
      <c r="S408" s="106">
        <f>VLOOKUP($A408,'VKT US'!$B$63:$AA$113,(S$392+1),FALSE)*($BB$69+$BB$75)/(1+$AZ$41)^S$392</f>
        <v>1093.6779728307781</v>
      </c>
      <c r="T408" s="106">
        <f>VLOOKUP($A408,'VKT US'!$B$63:$AA$113,(T$392+1),FALSE)*($BB$69+$BB$75)/(1+$AZ$41)^T$392</f>
        <v>1058.0833093596673</v>
      </c>
      <c r="U408" s="109">
        <f>VLOOKUP($A408,'VKT US'!$B$63:$AA$113,(U$392+1),FALSE)*($BB$69+$BB$75)/(1+$AZ$41)^U$392</f>
        <v>1025.0216916792945</v>
      </c>
      <c r="V408" s="110" cm="1">
        <f t="array" ref="V408">SUMPRODUCT(INDEX(B408:U408,,_xlfn.SEQUENCE($AZ$13)))</f>
        <v>23164.436341894958</v>
      </c>
    </row>
    <row r="409" spans="1:22" x14ac:dyDescent="0.25">
      <c r="A409" s="102" t="s">
        <v>157</v>
      </c>
      <c r="B409" s="106">
        <f>VLOOKUP($A409,'VKT US'!$B$63:$AA$113,(B$392+1),FALSE)*($BB$69+$BB$75)/(1+$AZ$41)^B$392</f>
        <v>2354.6044869575512</v>
      </c>
      <c r="C409" s="106">
        <f>VLOOKUP($A409,'VKT US'!$B$63:$AA$113,(C$392+1),FALSE)*($BB$69+$BB$75)/(1+$AZ$41)^C$392</f>
        <v>2257.48171128593</v>
      </c>
      <c r="D409" s="106">
        <f>VLOOKUP($A409,'VKT US'!$B$63:$AA$113,(D$392+1),FALSE)*($BB$69+$BB$75)/(1+$AZ$41)^D$392</f>
        <v>2164.4888567017083</v>
      </c>
      <c r="E409" s="106">
        <f>VLOOKUP($A409,'VKT US'!$B$63:$AA$113,(E$392+1),FALSE)*($BB$69+$BB$75)/(1+$AZ$41)^E$392</f>
        <v>2075.6800587882021</v>
      </c>
      <c r="F409" s="106">
        <f>VLOOKUP($A409,'VKT US'!$B$63:$AA$113,(F$392+1),FALSE)*($BB$69+$BB$75)/(1+$AZ$41)^F$392</f>
        <v>1990.7798767940735</v>
      </c>
      <c r="G409" s="106">
        <f>VLOOKUP($A409,'VKT US'!$B$63:$AA$113,(G$392+1),FALSE)*($BB$69+$BB$75)/(1+$AZ$41)^G$392</f>
        <v>1910.0034035181634</v>
      </c>
      <c r="H409" s="106">
        <f>VLOOKUP($A409,'VKT US'!$B$63:$AA$113,(H$392+1),FALSE)*($BB$69+$BB$75)/(1+$AZ$41)^H$392</f>
        <v>1832.7615705975652</v>
      </c>
      <c r="I409" s="106">
        <f>VLOOKUP($A409,'VKT US'!$B$63:$AA$113,(I$392+1),FALSE)*($BB$69+$BB$75)/(1+$AZ$41)^I$392</f>
        <v>1759.2721251725284</v>
      </c>
      <c r="J409" s="106">
        <f>VLOOKUP($A409,'VKT US'!$B$63:$AA$113,(J$392+1),FALSE)*($BB$69+$BB$75)/(1+$AZ$41)^J$392</f>
        <v>1689.4309804553541</v>
      </c>
      <c r="K409" s="106">
        <f>VLOOKUP($A409,'VKT US'!$B$63:$AA$113,(K$392+1),FALSE)*($BB$69+$BB$75)/(1+$AZ$41)^K$392</f>
        <v>1623.136298316387</v>
      </c>
      <c r="L409" s="106">
        <f>VLOOKUP($A409,'VKT US'!$B$63:$AA$113,(L$392+1),FALSE)*($BB$69+$BB$75)/(1+$AZ$41)^L$392</f>
        <v>1560.1375778207141</v>
      </c>
      <c r="M409" s="106">
        <f>VLOOKUP($A409,'VKT US'!$B$63:$AA$113,(M$392+1),FALSE)*($BB$69+$BB$75)/(1+$AZ$41)^M$392</f>
        <v>1500.4917989030089</v>
      </c>
      <c r="N409" s="106">
        <f>VLOOKUP($A409,'VKT US'!$B$63:$AA$113,(N$392+1),FALSE)*($BB$69+$BB$75)/(1+$AZ$41)^N$392</f>
        <v>1443.9562422168253</v>
      </c>
      <c r="O409" s="106">
        <f>VLOOKUP($A409,'VKT US'!$B$63:$AA$113,(O$392+1),FALSE)*($BB$69+$BB$75)/(1+$AZ$41)^O$392</f>
        <v>1390.58839144481</v>
      </c>
      <c r="P409" s="106">
        <f>VLOOKUP($A409,'VKT US'!$B$63:$AA$113,(P$392+1),FALSE)*($BB$69+$BB$75)/(1+$AZ$41)^P$392</f>
        <v>1340.1530677294111</v>
      </c>
      <c r="Q409" s="106">
        <f>VLOOKUP($A409,'VKT US'!$B$63:$AA$113,(Q$392+1),FALSE)*($BB$69+$BB$75)/(1+$AZ$41)^Q$392</f>
        <v>1292.8503237596965</v>
      </c>
      <c r="R409" s="106">
        <f>VLOOKUP($A409,'VKT US'!$B$63:$AA$113,(R$392+1),FALSE)*($BB$69+$BB$75)/(1+$AZ$41)^R$392</f>
        <v>1248.1663341629146</v>
      </c>
      <c r="S409" s="106">
        <f>VLOOKUP($A409,'VKT US'!$B$63:$AA$113,(S$392+1),FALSE)*($BB$69+$BB$75)/(1+$AZ$41)^S$392</f>
        <v>1206.442009810286</v>
      </c>
      <c r="T409" s="106">
        <f>VLOOKUP($A409,'VKT US'!$B$63:$AA$113,(T$392+1),FALSE)*($BB$69+$BB$75)/(1+$AZ$41)^T$392</f>
        <v>1167.1773465333451</v>
      </c>
      <c r="U409" s="109">
        <f>VLOOKUP($A409,'VKT US'!$B$63:$AA$113,(U$392+1),FALSE)*($BB$69+$BB$75)/(1+$AZ$41)^U$392</f>
        <v>1130.7068995893983</v>
      </c>
      <c r="V409" s="110" cm="1">
        <f t="array" ref="V409">SUMPRODUCT(INDEX(B409:U409,,_xlfn.SEQUENCE($AZ$13)))</f>
        <v>25552.81337897282</v>
      </c>
    </row>
    <row r="410" spans="1:22" x14ac:dyDescent="0.25">
      <c r="A410" s="102" t="s">
        <v>200</v>
      </c>
      <c r="B410" s="106">
        <f>VLOOKUP($A410,'VKT US'!$B$63:$AA$113,(B$392+1),FALSE)*($BB$69+$BB$75)/(1+$AZ$41)^B$392</f>
        <v>2159.0733937137293</v>
      </c>
      <c r="C410" s="106">
        <f>VLOOKUP($A410,'VKT US'!$B$63:$AA$113,(C$392+1),FALSE)*($BB$69+$BB$75)/(1+$AZ$41)^C$392</f>
        <v>2070.0158887111888</v>
      </c>
      <c r="D410" s="106">
        <f>VLOOKUP($A410,'VKT US'!$B$63:$AA$113,(D$392+1),FALSE)*($BB$69+$BB$75)/(1+$AZ$41)^D$392</f>
        <v>1984.7453478409834</v>
      </c>
      <c r="E410" s="106">
        <f>VLOOKUP($A410,'VKT US'!$B$63:$AA$113,(E$392+1),FALSE)*($BB$69+$BB$75)/(1+$AZ$41)^E$392</f>
        <v>1903.3114111586876</v>
      </c>
      <c r="F410" s="106">
        <f>VLOOKUP($A410,'VKT US'!$B$63:$AA$113,(F$392+1),FALSE)*($BB$69+$BB$75)/(1+$AZ$41)^F$392</f>
        <v>1825.4615110670468</v>
      </c>
      <c r="G410" s="106">
        <f>VLOOKUP($A410,'VKT US'!$B$63:$AA$113,(G$392+1),FALSE)*($BB$69+$BB$75)/(1+$AZ$41)^G$392</f>
        <v>1751.3928786261918</v>
      </c>
      <c r="H410" s="106">
        <f>VLOOKUP($A410,'VKT US'!$B$63:$AA$113,(H$392+1),FALSE)*($BB$69+$BB$75)/(1+$AZ$41)^H$392</f>
        <v>1680.5653628950747</v>
      </c>
      <c r="I410" s="106">
        <f>VLOOKUP($A410,'VKT US'!$B$63:$AA$113,(I$392+1),FALSE)*($BB$69+$BB$75)/(1+$AZ$41)^I$392</f>
        <v>1613.1786288533872</v>
      </c>
      <c r="J410" s="106">
        <f>VLOOKUP($A410,'VKT US'!$B$63:$AA$113,(J$392+1),FALSE)*($BB$69+$BB$75)/(1+$AZ$41)^J$392</f>
        <v>1549.1372332896656</v>
      </c>
      <c r="K410" s="106">
        <f>VLOOKUP($A410,'VKT US'!$B$63:$AA$113,(K$392+1),FALSE)*($BB$69+$BB$75)/(1+$AZ$41)^K$392</f>
        <v>1488.3477949174057</v>
      </c>
      <c r="L410" s="106">
        <f>VLOOKUP($A410,'VKT US'!$B$63:$AA$113,(L$392+1),FALSE)*($BB$69+$BB$75)/(1+$AZ$41)^L$392</f>
        <v>1430.5806149032503</v>
      </c>
      <c r="M410" s="106">
        <f>VLOOKUP($A410,'VKT US'!$B$63:$AA$113,(M$392+1),FALSE)*($BB$69+$BB$75)/(1+$AZ$41)^M$392</f>
        <v>1375.8879414534733</v>
      </c>
      <c r="N410" s="106">
        <f>VLOOKUP($A410,'VKT US'!$B$63:$AA$113,(N$392+1),FALSE)*($BB$69+$BB$75)/(1+$AZ$41)^N$392</f>
        <v>1324.0472111244253</v>
      </c>
      <c r="O410" s="106">
        <f>VLOOKUP($A410,'VKT US'!$B$63:$AA$113,(O$392+1),FALSE)*($BB$69+$BB$75)/(1+$AZ$41)^O$392</f>
        <v>1275.1111340381083</v>
      </c>
      <c r="P410" s="106">
        <f>VLOOKUP($A410,'VKT US'!$B$63:$AA$113,(P$392+1),FALSE)*($BB$69+$BB$75)/(1+$AZ$41)^P$392</f>
        <v>1228.8640610623995</v>
      </c>
      <c r="Q410" s="106">
        <f>VLOOKUP($A410,'VKT US'!$B$63:$AA$113,(Q$392+1),FALSE)*($BB$69+$BB$75)/(1+$AZ$41)^Q$392</f>
        <v>1185.4894321086306</v>
      </c>
      <c r="R410" s="106">
        <f>VLOOKUP($A410,'VKT US'!$B$63:$AA$113,(R$392+1),FALSE)*($BB$69+$BB$75)/(1+$AZ$41)^R$392</f>
        <v>1144.5160908966413</v>
      </c>
      <c r="S410" s="106">
        <f>VLOOKUP($A410,'VKT US'!$B$63:$AA$113,(S$392+1),FALSE)*($BB$69+$BB$75)/(1+$AZ$41)^S$392</f>
        <v>1106.2566383731119</v>
      </c>
      <c r="T410" s="106">
        <f>VLOOKUP($A410,'VKT US'!$B$63:$AA$113,(T$392+1),FALSE)*($BB$69+$BB$75)/(1+$AZ$41)^T$392</f>
        <v>1070.2525917215605</v>
      </c>
      <c r="U410" s="109">
        <f>VLOOKUP($A410,'VKT US'!$B$63:$AA$113,(U$392+1),FALSE)*($BB$69+$BB$75)/(1+$AZ$41)^U$392</f>
        <v>1036.8107240577181</v>
      </c>
      <c r="V410" s="110" cm="1">
        <f t="array" ref="V410">SUMPRODUCT(INDEX(B410:U410,,_xlfn.SEQUENCE($AZ$13)))</f>
        <v>23430.856352592618</v>
      </c>
    </row>
    <row r="411" spans="1:22" x14ac:dyDescent="0.25">
      <c r="A411" s="102" t="s">
        <v>203</v>
      </c>
      <c r="B411" s="106">
        <f>VLOOKUP($A411,'VKT US'!$B$63:$AA$113,(B$392+1),FALSE)*($BB$69+$BB$75)/(1+$AZ$41)^B$392</f>
        <v>2052.7876591291993</v>
      </c>
      <c r="C411" s="106">
        <f>VLOOKUP($A411,'VKT US'!$B$63:$AA$113,(C$392+1),FALSE)*($BB$69+$BB$75)/(1+$AZ$41)^C$392</f>
        <v>1968.1142303544614</v>
      </c>
      <c r="D411" s="106">
        <f>VLOOKUP($A411,'VKT US'!$B$63:$AA$113,(D$392+1),FALSE)*($BB$69+$BB$75)/(1+$AZ$41)^D$392</f>
        <v>1887.0413430245192</v>
      </c>
      <c r="E411" s="106">
        <f>VLOOKUP($A411,'VKT US'!$B$63:$AA$113,(E$392+1),FALSE)*($BB$69+$BB$75)/(1+$AZ$41)^E$392</f>
        <v>1809.6161935402813</v>
      </c>
      <c r="F411" s="106">
        <f>VLOOKUP($A411,'VKT US'!$B$63:$AA$113,(F$392+1),FALSE)*($BB$69+$BB$75)/(1+$AZ$41)^F$392</f>
        <v>1735.5986475699331</v>
      </c>
      <c r="G411" s="106">
        <f>VLOOKUP($A411,'VKT US'!$B$63:$AA$113,(G$392+1),FALSE)*($BB$69+$BB$75)/(1+$AZ$41)^G$392</f>
        <v>1665.1762269862427</v>
      </c>
      <c r="H411" s="106">
        <f>VLOOKUP($A411,'VKT US'!$B$63:$AA$113,(H$392+1),FALSE)*($BB$69+$BB$75)/(1+$AZ$41)^H$392</f>
        <v>1597.8353711158775</v>
      </c>
      <c r="I411" s="106">
        <f>VLOOKUP($A411,'VKT US'!$B$63:$AA$113,(I$392+1),FALSE)*($BB$69+$BB$75)/(1+$AZ$41)^I$392</f>
        <v>1533.7659159354487</v>
      </c>
      <c r="J411" s="106">
        <f>VLOOKUP($A411,'VKT US'!$B$63:$AA$113,(J$392+1),FALSE)*($BB$69+$BB$75)/(1+$AZ$41)^J$392</f>
        <v>1472.8771166619354</v>
      </c>
      <c r="K411" s="106">
        <f>VLOOKUP($A411,'VKT US'!$B$63:$AA$113,(K$392+1),FALSE)*($BB$69+$BB$75)/(1+$AZ$41)^K$392</f>
        <v>1415.0801889339123</v>
      </c>
      <c r="L411" s="106">
        <f>VLOOKUP($A411,'VKT US'!$B$63:$AA$113,(L$392+1),FALSE)*($BB$69+$BB$75)/(1+$AZ$41)^L$392</f>
        <v>1360.1567414119259</v>
      </c>
      <c r="M411" s="106">
        <f>VLOOKUP($A411,'VKT US'!$B$63:$AA$113,(M$392+1),FALSE)*($BB$69+$BB$75)/(1+$AZ$41)^M$392</f>
        <v>1308.1564502549077</v>
      </c>
      <c r="N411" s="106">
        <f>VLOOKUP($A411,'VKT US'!$B$63:$AA$113,(N$392+1),FALSE)*($BB$69+$BB$75)/(1+$AZ$41)^N$392</f>
        <v>1258.8677082558829</v>
      </c>
      <c r="O411" s="106">
        <f>VLOOKUP($A411,'VKT US'!$B$63:$AA$113,(O$392+1),FALSE)*($BB$69+$BB$75)/(1+$AZ$41)^O$392</f>
        <v>1212.3406307505657</v>
      </c>
      <c r="P411" s="106">
        <f>VLOOKUP($A411,'VKT US'!$B$63:$AA$113,(P$392+1),FALSE)*($BB$69+$BB$75)/(1+$AZ$41)^P$392</f>
        <v>1168.3701844694006</v>
      </c>
      <c r="Q411" s="106">
        <f>VLOOKUP($A411,'VKT US'!$B$63:$AA$113,(Q$392+1),FALSE)*($BB$69+$BB$75)/(1+$AZ$41)^Q$392</f>
        <v>1127.1307790398091</v>
      </c>
      <c r="R411" s="106">
        <f>VLOOKUP($A411,'VKT US'!$B$63:$AA$113,(R$392+1),FALSE)*($BB$69+$BB$75)/(1+$AZ$41)^R$392</f>
        <v>1088.1744520163038</v>
      </c>
      <c r="S411" s="106">
        <f>VLOOKUP($A411,'VKT US'!$B$63:$AA$113,(S$392+1),FALSE)*($BB$69+$BB$75)/(1+$AZ$41)^S$392</f>
        <v>1051.7984157898322</v>
      </c>
      <c r="T411" s="106">
        <f>VLOOKUP($A411,'VKT US'!$B$63:$AA$113,(T$392+1),FALSE)*($BB$69+$BB$75)/(1+$AZ$41)^T$392</f>
        <v>1017.5667574959524</v>
      </c>
      <c r="U411" s="109">
        <f>VLOOKUP($A411,'VKT US'!$B$63:$AA$113,(U$392+1),FALSE)*($BB$69+$BB$75)/(1+$AZ$41)^U$392</f>
        <v>985.77114858407219</v>
      </c>
      <c r="V411" s="110" cm="1">
        <f t="array" ref="V411">SUMPRODUCT(INDEX(B411:U411,,_xlfn.SEQUENCE($AZ$13)))</f>
        <v>22277.414423925093</v>
      </c>
    </row>
    <row r="412" spans="1:22" x14ac:dyDescent="0.25">
      <c r="A412" s="102" t="s">
        <v>202</v>
      </c>
      <c r="B412" s="106">
        <f>VLOOKUP($A412,'VKT US'!$B$63:$AA$113,(B$392+1),FALSE)*($BB$69+$BB$75)/(1+$AZ$41)^B$392</f>
        <v>1948.0904341648188</v>
      </c>
      <c r="C412" s="106">
        <f>VLOOKUP($A412,'VKT US'!$B$63:$AA$113,(C$392+1),FALSE)*($BB$69+$BB$75)/(1+$AZ$41)^C$392</f>
        <v>1867.7355587394782</v>
      </c>
      <c r="D412" s="106">
        <f>VLOOKUP($A412,'VKT US'!$B$63:$AA$113,(D$392+1),FALSE)*($BB$69+$BB$75)/(1+$AZ$41)^D$392</f>
        <v>1790.7975882800395</v>
      </c>
      <c r="E412" s="106">
        <f>VLOOKUP($A412,'VKT US'!$B$63:$AA$113,(E$392+1),FALSE)*($BB$69+$BB$75)/(1+$AZ$41)^E$392</f>
        <v>1717.3213120547584</v>
      </c>
      <c r="F412" s="106">
        <f>VLOOKUP($A412,'VKT US'!$B$63:$AA$113,(F$392+1),FALSE)*($BB$69+$BB$75)/(1+$AZ$41)^F$392</f>
        <v>1647.0788431739991</v>
      </c>
      <c r="G412" s="106">
        <f>VLOOKUP($A412,'VKT US'!$B$63:$AA$113,(G$392+1),FALSE)*($BB$69+$BB$75)/(1+$AZ$41)^G$392</f>
        <v>1580.248139433304</v>
      </c>
      <c r="H412" s="106">
        <f>VLOOKUP($A412,'VKT US'!$B$63:$AA$113,(H$392+1),FALSE)*($BB$69+$BB$75)/(1+$AZ$41)^H$392</f>
        <v>1516.341833018163</v>
      </c>
      <c r="I412" s="106">
        <f>VLOOKUP($A412,'VKT US'!$B$63:$AA$113,(I$392+1),FALSE)*($BB$69+$BB$75)/(1+$AZ$41)^I$392</f>
        <v>1455.5400778029689</v>
      </c>
      <c r="J412" s="106">
        <f>VLOOKUP($A412,'VKT US'!$B$63:$AA$113,(J$392+1),FALSE)*($BB$69+$BB$75)/(1+$AZ$41)^J$392</f>
        <v>1397.7567572120654</v>
      </c>
      <c r="K412" s="106">
        <f>VLOOKUP($A412,'VKT US'!$B$63:$AA$113,(K$392+1),FALSE)*($BB$69+$BB$75)/(1+$AZ$41)^K$392</f>
        <v>1342.9076151050633</v>
      </c>
      <c r="L412" s="106">
        <f>VLOOKUP($A412,'VKT US'!$B$63:$AA$113,(L$392+1),FALSE)*($BB$69+$BB$75)/(1+$AZ$41)^L$392</f>
        <v>1290.7853986385423</v>
      </c>
      <c r="M412" s="106">
        <f>VLOOKUP($A412,'VKT US'!$B$63:$AA$113,(M$392+1),FALSE)*($BB$69+$BB$75)/(1+$AZ$41)^M$392</f>
        <v>1241.4372503650161</v>
      </c>
      <c r="N412" s="106">
        <f>VLOOKUP($A412,'VKT US'!$B$63:$AA$113,(N$392+1),FALSE)*($BB$69+$BB$75)/(1+$AZ$41)^N$392</f>
        <v>1194.6623555660826</v>
      </c>
      <c r="O412" s="106">
        <f>VLOOKUP($A412,'VKT US'!$B$63:$AA$113,(O$392+1),FALSE)*($BB$69+$BB$75)/(1+$AZ$41)^O$392</f>
        <v>1150.5082735719404</v>
      </c>
      <c r="P412" s="106">
        <f>VLOOKUP($A412,'VKT US'!$B$63:$AA$113,(P$392+1),FALSE)*($BB$69+$BB$75)/(1+$AZ$41)^P$392</f>
        <v>1108.7804283146124</v>
      </c>
      <c r="Q412" s="106">
        <f>VLOOKUP($A412,'VKT US'!$B$63:$AA$113,(Q$392+1),FALSE)*($BB$69+$BB$75)/(1+$AZ$41)^Q$392</f>
        <v>1069.6443341010922</v>
      </c>
      <c r="R412" s="106">
        <f>VLOOKUP($A412,'VKT US'!$B$63:$AA$113,(R$392+1),FALSE)*($BB$69+$BB$75)/(1+$AZ$41)^R$392</f>
        <v>1032.6748756735799</v>
      </c>
      <c r="S412" s="106">
        <f>VLOOKUP($A412,'VKT US'!$B$63:$AA$113,(S$392+1),FALSE)*($BB$69+$BB$75)/(1+$AZ$41)^S$392</f>
        <v>998.15410685929214</v>
      </c>
      <c r="T412" s="106">
        <f>VLOOKUP($A412,'VKT US'!$B$63:$AA$113,(T$392+1),FALSE)*($BB$69+$BB$75)/(1+$AZ$41)^T$392</f>
        <v>965.66834742317246</v>
      </c>
      <c r="U412" s="109">
        <f>VLOOKUP($A412,'VKT US'!$B$63:$AA$113,(U$392+1),FALSE)*($BB$69+$BB$75)/(1+$AZ$41)^U$392</f>
        <v>935.49439285255937</v>
      </c>
      <c r="V412" s="110" cm="1">
        <f t="array" ref="V412">SUMPRODUCT(INDEX(B412:U412,,_xlfn.SEQUENCE($AZ$13)))</f>
        <v>21141.211437126243</v>
      </c>
    </row>
    <row r="413" spans="1:22" x14ac:dyDescent="0.25">
      <c r="A413" s="102" t="s">
        <v>201</v>
      </c>
      <c r="B413" s="106">
        <f>VLOOKUP($A413,'VKT US'!$B$63:$AA$113,(B$392+1),FALSE)*($BB$69+$BB$75)/(1+$AZ$41)^B$392</f>
        <v>1893.0702373214685</v>
      </c>
      <c r="C413" s="106">
        <f>VLOOKUP($A413,'VKT US'!$B$63:$AA$113,(C$392+1),FALSE)*($BB$69+$BB$75)/(1+$AZ$41)^C$392</f>
        <v>1814.9848361390525</v>
      </c>
      <c r="D413" s="106">
        <f>VLOOKUP($A413,'VKT US'!$B$63:$AA$113,(D$392+1),FALSE)*($BB$69+$BB$75)/(1+$AZ$41)^D$392</f>
        <v>1740.2198357867337</v>
      </c>
      <c r="E413" s="106">
        <f>VLOOKUP($A413,'VKT US'!$B$63:$AA$113,(E$392+1),FALSE)*($BB$69+$BB$75)/(1+$AZ$41)^E$392</f>
        <v>1668.8187605430562</v>
      </c>
      <c r="F413" s="106">
        <f>VLOOKUP($A413,'VKT US'!$B$63:$AA$113,(F$392+1),FALSE)*($BB$69+$BB$75)/(1+$AZ$41)^F$392</f>
        <v>1600.5601597604116</v>
      </c>
      <c r="G413" s="106">
        <f>VLOOKUP($A413,'VKT US'!$B$63:$AA$113,(G$392+1),FALSE)*($BB$69+$BB$75)/(1+$AZ$41)^G$392</f>
        <v>1535.6169651468629</v>
      </c>
      <c r="H413" s="106">
        <f>VLOOKUP($A413,'VKT US'!$B$63:$AA$113,(H$392+1),FALSE)*($BB$69+$BB$75)/(1+$AZ$41)^H$392</f>
        <v>1473.5155736868126</v>
      </c>
      <c r="I413" s="106">
        <f>VLOOKUP($A413,'VKT US'!$B$63:$AA$113,(I$392+1),FALSE)*($BB$69+$BB$75)/(1+$AZ$41)^I$392</f>
        <v>1414.4310511430037</v>
      </c>
      <c r="J413" s="106">
        <f>VLOOKUP($A413,'VKT US'!$B$63:$AA$113,(J$392+1),FALSE)*($BB$69+$BB$75)/(1+$AZ$41)^J$392</f>
        <v>1358.2797131425475</v>
      </c>
      <c r="K413" s="106">
        <f>VLOOKUP($A413,'VKT US'!$B$63:$AA$113,(K$392+1),FALSE)*($BB$69+$BB$75)/(1+$AZ$41)^K$392</f>
        <v>1304.9796832032821</v>
      </c>
      <c r="L413" s="106">
        <f>VLOOKUP($A413,'VKT US'!$B$63:$AA$113,(L$392+1),FALSE)*($BB$69+$BB$75)/(1+$AZ$41)^L$392</f>
        <v>1254.3295619534954</v>
      </c>
      <c r="M413" s="106">
        <f>VLOOKUP($A413,'VKT US'!$B$63:$AA$113,(M$392+1),FALSE)*($BB$69+$BB$75)/(1+$AZ$41)^M$392</f>
        <v>1206.3751604918457</v>
      </c>
      <c r="N413" s="106">
        <f>VLOOKUP($A413,'VKT US'!$B$63:$AA$113,(N$392+1),FALSE)*($BB$69+$BB$75)/(1+$AZ$41)^N$392</f>
        <v>1160.921335738753</v>
      </c>
      <c r="O413" s="106">
        <f>VLOOKUP($A413,'VKT US'!$B$63:$AA$113,(O$392+1),FALSE)*($BB$69+$BB$75)/(1+$AZ$41)^O$392</f>
        <v>1118.014303799449</v>
      </c>
      <c r="P413" s="106">
        <f>VLOOKUP($A413,'VKT US'!$B$63:$AA$113,(P$392+1),FALSE)*($BB$69+$BB$75)/(1+$AZ$41)^P$392</f>
        <v>1077.4649840456823</v>
      </c>
      <c r="Q413" s="106">
        <f>VLOOKUP($A413,'VKT US'!$B$63:$AA$113,(Q$392+1),FALSE)*($BB$69+$BB$75)/(1+$AZ$41)^Q$392</f>
        <v>1039.4342161401939</v>
      </c>
      <c r="R413" s="106">
        <f>VLOOKUP($A413,'VKT US'!$B$63:$AA$113,(R$392+1),FALSE)*($BB$69+$BB$75)/(1+$AZ$41)^R$392</f>
        <v>1003.5088914162312</v>
      </c>
      <c r="S413" s="106">
        <f>VLOOKUP($A413,'VKT US'!$B$63:$AA$113,(S$392+1),FALSE)*($BB$69+$BB$75)/(1+$AZ$41)^S$392</f>
        <v>969.96309761441512</v>
      </c>
      <c r="T413" s="106">
        <f>VLOOKUP($A413,'VKT US'!$B$63:$AA$113,(T$392+1),FALSE)*($BB$69+$BB$75)/(1+$AZ$41)^T$392</f>
        <v>938.39483812975288</v>
      </c>
      <c r="U413" s="109">
        <f>VLOOKUP($A413,'VKT US'!$B$63:$AA$113,(U$392+1),FALSE)*($BB$69+$BB$75)/(1+$AZ$41)^U$392</f>
        <v>909.07309087503359</v>
      </c>
      <c r="V413" s="110" cm="1">
        <f t="array" ref="V413">SUMPRODUCT(INDEX(B413:U413,,_xlfn.SEQUENCE($AZ$13)))</f>
        <v>20544.117177856773</v>
      </c>
    </row>
    <row r="414" spans="1:22" x14ac:dyDescent="0.25">
      <c r="A414" s="102" t="s">
        <v>204</v>
      </c>
      <c r="B414" s="106">
        <f>VLOOKUP($A414,'VKT US'!$B$63:$AA$113,(B$392+1),FALSE)*($BB$69+$BB$75)/(1+$AZ$41)^B$392</f>
        <v>2066.0733759522659</v>
      </c>
      <c r="C414" s="106">
        <f>VLOOKUP($A414,'VKT US'!$B$63:$AA$113,(C$392+1),FALSE)*($BB$69+$BB$75)/(1+$AZ$41)^C$392</f>
        <v>1980.8519376490524</v>
      </c>
      <c r="D414" s="106">
        <f>VLOOKUP($A414,'VKT US'!$B$63:$AA$113,(D$392+1),FALSE)*($BB$69+$BB$75)/(1+$AZ$41)^D$392</f>
        <v>1899.2543436265771</v>
      </c>
      <c r="E414" s="106">
        <f>VLOOKUP($A414,'VKT US'!$B$63:$AA$113,(E$392+1),FALSE)*($BB$69+$BB$75)/(1+$AZ$41)^E$392</f>
        <v>1821.328095742582</v>
      </c>
      <c r="F414" s="106">
        <f>VLOOKUP($A414,'VKT US'!$B$63:$AA$113,(F$392+1),FALSE)*($BB$69+$BB$75)/(1+$AZ$41)^F$392</f>
        <v>1746.8315055070723</v>
      </c>
      <c r="G414" s="106">
        <f>VLOOKUP($A414,'VKT US'!$B$63:$AA$113,(G$392+1),FALSE)*($BB$69+$BB$75)/(1+$AZ$41)^G$392</f>
        <v>1675.9533084412365</v>
      </c>
      <c r="H414" s="106">
        <f>VLOOKUP($A414,'VKT US'!$B$63:$AA$113,(H$392+1),FALSE)*($BB$69+$BB$75)/(1+$AZ$41)^H$392</f>
        <v>1608.1766200882773</v>
      </c>
      <c r="I414" s="106">
        <f>VLOOKUP($A414,'VKT US'!$B$63:$AA$113,(I$392+1),FALSE)*($BB$69+$BB$75)/(1+$AZ$41)^I$392</f>
        <v>1543.6925050501911</v>
      </c>
      <c r="J414" s="106">
        <f>VLOOKUP($A414,'VKT US'!$B$63:$AA$113,(J$392+1),FALSE)*($BB$69+$BB$75)/(1+$AZ$41)^J$392</f>
        <v>1482.4096312404017</v>
      </c>
      <c r="K414" s="106">
        <f>VLOOKUP($A414,'VKT US'!$B$63:$AA$113,(K$392+1),FALSE)*($BB$69+$BB$75)/(1+$AZ$41)^K$392</f>
        <v>1424.238639681849</v>
      </c>
      <c r="L414" s="106">
        <f>VLOOKUP($A414,'VKT US'!$B$63:$AA$113,(L$392+1),FALSE)*($BB$69+$BB$75)/(1+$AZ$41)^L$392</f>
        <v>1368.9597255983413</v>
      </c>
      <c r="M414" s="106">
        <f>VLOOKUP($A414,'VKT US'!$B$63:$AA$113,(M$392+1),FALSE)*($BB$69+$BB$75)/(1+$AZ$41)^M$392</f>
        <v>1316.6228866547285</v>
      </c>
      <c r="N414" s="106">
        <f>VLOOKUP($A414,'VKT US'!$B$63:$AA$113,(N$392+1),FALSE)*($BB$69+$BB$75)/(1+$AZ$41)^N$392</f>
        <v>1267.0151461144508</v>
      </c>
      <c r="O414" s="106">
        <f>VLOOKUP($A414,'VKT US'!$B$63:$AA$113,(O$392+1),FALSE)*($BB$69+$BB$75)/(1+$AZ$41)^O$392</f>
        <v>1220.1869436615086</v>
      </c>
      <c r="P414" s="106">
        <f>VLOOKUP($A414,'VKT US'!$B$63:$AA$113,(P$392+1),FALSE)*($BB$69+$BB$75)/(1+$AZ$41)^P$392</f>
        <v>1175.9319190435256</v>
      </c>
      <c r="Q414" s="106">
        <f>VLOOKUP($A414,'VKT US'!$B$63:$AA$113,(Q$392+1),FALSE)*($BB$69+$BB$75)/(1+$AZ$41)^Q$392</f>
        <v>1134.4256106734119</v>
      </c>
      <c r="R414" s="106">
        <f>VLOOKUP($A414,'VKT US'!$B$63:$AA$113,(R$392+1),FALSE)*($BB$69+$BB$75)/(1+$AZ$41)^R$392</f>
        <v>1095.2171568763458</v>
      </c>
      <c r="S414" s="106">
        <f>VLOOKUP($A414,'VKT US'!$B$63:$AA$113,(S$392+1),FALSE)*($BB$69+$BB$75)/(1+$AZ$41)^S$392</f>
        <v>1058.6056936127422</v>
      </c>
      <c r="T414" s="106">
        <f>VLOOKUP($A414,'VKT US'!$B$63:$AA$113,(T$392+1),FALSE)*($BB$69+$BB$75)/(1+$AZ$41)^T$392</f>
        <v>1024.1524867741534</v>
      </c>
      <c r="U414" s="109">
        <f>VLOOKUP($A414,'VKT US'!$B$63:$AA$113,(U$392+1),FALSE)*($BB$69+$BB$75)/(1+$AZ$41)^U$392</f>
        <v>992.15109551827811</v>
      </c>
      <c r="V414" s="110" cm="1">
        <f t="array" ref="V414">SUMPRODUCT(INDEX(B414:U414,,_xlfn.SEQUENCE($AZ$13)))</f>
        <v>22421.594665008535</v>
      </c>
    </row>
    <row r="415" spans="1:22" x14ac:dyDescent="0.25">
      <c r="A415" s="102" t="s">
        <v>205</v>
      </c>
      <c r="B415" s="106">
        <f>VLOOKUP($A415,'VKT US'!$B$63:$AA$113,(B$392+1),FALSE)*($BB$69+$BB$75)/(1+$AZ$41)^B$392</f>
        <v>2586.2380715684017</v>
      </c>
      <c r="C415" s="106">
        <f>VLOOKUP($A415,'VKT US'!$B$63:$AA$113,(C$392+1),FALSE)*($BB$69+$BB$75)/(1+$AZ$41)^C$392</f>
        <v>2479.5608689003197</v>
      </c>
      <c r="D415" s="106">
        <f>VLOOKUP($A415,'VKT US'!$B$63:$AA$113,(D$392+1),FALSE)*($BB$69+$BB$75)/(1+$AZ$41)^D$392</f>
        <v>2377.41986719846</v>
      </c>
      <c r="E415" s="106">
        <f>VLOOKUP($A415,'VKT US'!$B$63:$AA$113,(E$392+1),FALSE)*($BB$69+$BB$75)/(1+$AZ$41)^E$392</f>
        <v>2279.8745276196196</v>
      </c>
      <c r="F415" s="106">
        <f>VLOOKUP($A415,'VKT US'!$B$63:$AA$113,(F$392+1),FALSE)*($BB$69+$BB$75)/(1+$AZ$41)^F$392</f>
        <v>2186.6223130024573</v>
      </c>
      <c r="G415" s="106">
        <f>VLOOKUP($A415,'VKT US'!$B$63:$AA$113,(G$392+1),FALSE)*($BB$69+$BB$75)/(1+$AZ$41)^G$392</f>
        <v>2097.8994758421823</v>
      </c>
      <c r="H415" s="106">
        <f>VLOOKUP($A415,'VKT US'!$B$63:$AA$113,(H$392+1),FALSE)*($BB$69+$BB$75)/(1+$AZ$41)^H$392</f>
        <v>2013.05899833375</v>
      </c>
      <c r="I415" s="106">
        <f>VLOOKUP($A415,'VKT US'!$B$63:$AA$113,(I$392+1),FALSE)*($BB$69+$BB$75)/(1+$AZ$41)^I$392</f>
        <v>1932.3400484339047</v>
      </c>
      <c r="J415" s="106">
        <f>VLOOKUP($A415,'VKT US'!$B$63:$AA$113,(J$392+1),FALSE)*($BB$69+$BB$75)/(1+$AZ$41)^J$392</f>
        <v>1855.6282998451359</v>
      </c>
      <c r="K415" s="106">
        <f>VLOOKUP($A415,'VKT US'!$B$63:$AA$113,(K$392+1),FALSE)*($BB$69+$BB$75)/(1+$AZ$41)^K$392</f>
        <v>1782.8118961391092</v>
      </c>
      <c r="L415" s="106">
        <f>VLOOKUP($A415,'VKT US'!$B$63:$AA$113,(L$392+1),FALSE)*($BB$69+$BB$75)/(1+$AZ$41)^L$392</f>
        <v>1713.6156934186549</v>
      </c>
      <c r="M415" s="106">
        <f>VLOOKUP($A415,'VKT US'!$B$63:$AA$113,(M$392+1),FALSE)*($BB$69+$BB$75)/(1+$AZ$41)^M$392</f>
        <v>1648.1022770042312</v>
      </c>
      <c r="N415" s="106">
        <f>VLOOKUP($A415,'VKT US'!$B$63:$AA$113,(N$392+1),FALSE)*($BB$69+$BB$75)/(1+$AZ$41)^N$392</f>
        <v>1586.0050500988118</v>
      </c>
      <c r="O415" s="106">
        <f>VLOOKUP($A415,'VKT US'!$B$63:$AA$113,(O$392+1),FALSE)*($BB$69+$BB$75)/(1+$AZ$41)^O$392</f>
        <v>1527.3871513269</v>
      </c>
      <c r="P415" s="106">
        <f>VLOOKUP($A415,'VKT US'!$B$63:$AA$113,(P$392+1),FALSE)*($BB$69+$BB$75)/(1+$AZ$41)^P$392</f>
        <v>1471.9902661739357</v>
      </c>
      <c r="Q415" s="106">
        <f>VLOOKUP($A415,'VKT US'!$B$63:$AA$113,(Q$392+1),FALSE)*($BB$69+$BB$75)/(1+$AZ$41)^Q$392</f>
        <v>1420.0341274585958</v>
      </c>
      <c r="R415" s="106">
        <f>VLOOKUP($A415,'VKT US'!$B$63:$AA$113,(R$392+1),FALSE)*($BB$69+$BB$75)/(1+$AZ$41)^R$392</f>
        <v>1370.9543623749546</v>
      </c>
      <c r="S415" s="106">
        <f>VLOOKUP($A415,'VKT US'!$B$63:$AA$113,(S$392+1),FALSE)*($BB$69+$BB$75)/(1+$AZ$41)^S$392</f>
        <v>1325.1254188097155</v>
      </c>
      <c r="T415" s="106">
        <f>VLOOKUP($A415,'VKT US'!$B$63:$AA$113,(T$392+1),FALSE)*($BB$69+$BB$75)/(1+$AZ$41)^T$392</f>
        <v>1281.9981048185023</v>
      </c>
      <c r="U415" s="109">
        <f>VLOOKUP($A415,'VKT US'!$B$63:$AA$113,(U$392+1),FALSE)*($BB$69+$BB$75)/(1+$AZ$41)^U$392</f>
        <v>1241.9398874422898</v>
      </c>
      <c r="V415" s="110" cm="1">
        <f t="array" ref="V415">SUMPRODUCT(INDEX(B415:U415,,_xlfn.SEQUENCE($AZ$13)))</f>
        <v>28066.564538731938</v>
      </c>
    </row>
    <row r="416" spans="1:22" x14ac:dyDescent="0.25">
      <c r="A416" s="102" t="s">
        <v>207</v>
      </c>
      <c r="B416" s="106">
        <f>VLOOKUP($A416,'VKT US'!$B$63:$AA$113,(B$392+1),FALSE)*($BB$69+$BB$75)/(1+$AZ$41)^B$392</f>
        <v>2883.2893705363063</v>
      </c>
      <c r="C416" s="106">
        <f>VLOOKUP($A416,'VKT US'!$B$63:$AA$113,(C$392+1),FALSE)*($BB$69+$BB$75)/(1+$AZ$41)^C$392</f>
        <v>2764.3593896065545</v>
      </c>
      <c r="D416" s="106">
        <f>VLOOKUP($A416,'VKT US'!$B$63:$AA$113,(D$392+1),FALSE)*($BB$69+$BB$75)/(1+$AZ$41)^D$392</f>
        <v>2650.4866306596937</v>
      </c>
      <c r="E416" s="106">
        <f>VLOOKUP($A416,'VKT US'!$B$63:$AA$113,(E$392+1),FALSE)*($BB$69+$BB$75)/(1+$AZ$41)^E$392</f>
        <v>2541.7373844688891</v>
      </c>
      <c r="F416" s="106">
        <f>VLOOKUP($A416,'VKT US'!$B$63:$AA$113,(F$392+1),FALSE)*($BB$69+$BB$75)/(1+$AZ$41)^F$392</f>
        <v>2437.7743649230588</v>
      </c>
      <c r="G416" s="106">
        <f>VLOOKUP($A416,'VKT US'!$B$63:$AA$113,(G$392+1),FALSE)*($BB$69+$BB$75)/(1+$AZ$41)^G$392</f>
        <v>2338.8609601130725</v>
      </c>
      <c r="H416" s="106">
        <f>VLOOKUP($A416,'VKT US'!$B$63:$AA$113,(H$392+1),FALSE)*($BB$69+$BB$75)/(1+$AZ$41)^H$392</f>
        <v>2244.2758367709889</v>
      </c>
      <c r="I416" s="106">
        <f>VLOOKUP($A416,'VKT US'!$B$63:$AA$113,(I$392+1),FALSE)*($BB$69+$BB$75)/(1+$AZ$41)^I$392</f>
        <v>2154.2856333146092</v>
      </c>
      <c r="J416" s="106">
        <f>VLOOKUP($A416,'VKT US'!$B$63:$AA$113,(J$392+1),FALSE)*($BB$69+$BB$75)/(1+$AZ$41)^J$392</f>
        <v>2068.7628921049741</v>
      </c>
      <c r="K416" s="106">
        <f>VLOOKUP($A416,'VKT US'!$B$63:$AA$113,(K$392+1),FALSE)*($BB$69+$BB$75)/(1+$AZ$41)^K$392</f>
        <v>1987.5829090576499</v>
      </c>
      <c r="L416" s="106">
        <f>VLOOKUP($A416,'VKT US'!$B$63:$AA$113,(L$392+1),FALSE)*($BB$69+$BB$75)/(1+$AZ$41)^L$392</f>
        <v>1910.4389376736201</v>
      </c>
      <c r="M416" s="106">
        <f>VLOOKUP($A416,'VKT US'!$B$63:$AA$113,(M$392+1),FALSE)*($BB$69+$BB$75)/(1+$AZ$41)^M$392</f>
        <v>1837.4007517263094</v>
      </c>
      <c r="N416" s="106">
        <f>VLOOKUP($A416,'VKT US'!$B$63:$AA$113,(N$392+1),FALSE)*($BB$69+$BB$75)/(1+$AZ$41)^N$392</f>
        <v>1768.1711335235284</v>
      </c>
      <c r="O416" s="106">
        <f>VLOOKUP($A416,'VKT US'!$B$63:$AA$113,(O$392+1),FALSE)*($BB$69+$BB$75)/(1+$AZ$41)^O$392</f>
        <v>1702.8204736943931</v>
      </c>
      <c r="P416" s="106">
        <f>VLOOKUP($A416,'VKT US'!$B$63:$AA$113,(P$392+1),FALSE)*($BB$69+$BB$75)/(1+$AZ$41)^P$392</f>
        <v>1641.0607881193143</v>
      </c>
      <c r="Q416" s="106">
        <f>VLOOKUP($A416,'VKT US'!$B$63:$AA$113,(Q$392+1),FALSE)*($BB$69+$BB$75)/(1+$AZ$41)^Q$392</f>
        <v>1583.1370477881694</v>
      </c>
      <c r="R416" s="106">
        <f>VLOOKUP($A416,'VKT US'!$B$63:$AA$113,(R$392+1),FALSE)*($BB$69+$BB$75)/(1+$AZ$41)^R$392</f>
        <v>1528.4200569087245</v>
      </c>
      <c r="S416" s="106">
        <f>VLOOKUP($A416,'VKT US'!$B$63:$AA$113,(S$392+1),FALSE)*($BB$69+$BB$75)/(1+$AZ$41)^S$392</f>
        <v>1477.3272718719516</v>
      </c>
      <c r="T416" s="106">
        <f>VLOOKUP($A416,'VKT US'!$B$63:$AA$113,(T$392+1),FALSE)*($BB$69+$BB$75)/(1+$AZ$41)^T$392</f>
        <v>1429.2464213974099</v>
      </c>
      <c r="U416" s="109">
        <f>VLOOKUP($A416,'VKT US'!$B$63:$AA$113,(U$392+1),FALSE)*($BB$69+$BB$75)/(1+$AZ$41)^U$392</f>
        <v>1384.5871792212158</v>
      </c>
      <c r="V416" s="110" cm="1">
        <f t="array" ref="V416">SUMPRODUCT(INDEX(B416:U416,,_xlfn.SEQUENCE($AZ$13)))</f>
        <v>31290.246668173641</v>
      </c>
    </row>
    <row r="417" spans="1:22" x14ac:dyDescent="0.25">
      <c r="A417" s="102" t="s">
        <v>206</v>
      </c>
      <c r="B417" s="106">
        <f>VLOOKUP($A417,'VKT US'!$B$63:$AA$113,(B$392+1),FALSE)*($BB$69+$BB$75)/(1+$AZ$41)^B$392</f>
        <v>2674.6169704348858</v>
      </c>
      <c r="C417" s="106">
        <f>VLOOKUP($A417,'VKT US'!$B$63:$AA$113,(C$392+1),FALSE)*($BB$69+$BB$75)/(1+$AZ$41)^C$392</f>
        <v>2564.294313077381</v>
      </c>
      <c r="D417" s="106">
        <f>VLOOKUP($A417,'VKT US'!$B$63:$AA$113,(D$392+1),FALSE)*($BB$69+$BB$75)/(1+$AZ$41)^D$392</f>
        <v>2458.6628712034553</v>
      </c>
      <c r="E417" s="106">
        <f>VLOOKUP($A417,'VKT US'!$B$63:$AA$113,(E$392+1),FALSE)*($BB$69+$BB$75)/(1+$AZ$41)^E$392</f>
        <v>2357.7841379218817</v>
      </c>
      <c r="F417" s="106">
        <f>VLOOKUP($A417,'VKT US'!$B$63:$AA$113,(F$392+1),FALSE)*($BB$69+$BB$75)/(1+$AZ$41)^F$392</f>
        <v>2261.3452375408183</v>
      </c>
      <c r="G417" s="106">
        <f>VLOOKUP($A417,'VKT US'!$B$63:$AA$113,(G$392+1),FALSE)*($BB$69+$BB$75)/(1+$AZ$41)^G$392</f>
        <v>2169.5904959558356</v>
      </c>
      <c r="H417" s="106">
        <f>VLOOKUP($A417,'VKT US'!$B$63:$AA$113,(H$392+1),FALSE)*($BB$69+$BB$75)/(1+$AZ$41)^H$392</f>
        <v>2081.8507849762341</v>
      </c>
      <c r="I417" s="106">
        <f>VLOOKUP($A417,'VKT US'!$B$63:$AA$113,(I$392+1),FALSE)*($BB$69+$BB$75)/(1+$AZ$41)^I$392</f>
        <v>1998.3734455884946</v>
      </c>
      <c r="J417" s="106">
        <f>VLOOKUP($A417,'VKT US'!$B$63:$AA$113,(J$392+1),FALSE)*($BB$69+$BB$75)/(1+$AZ$41)^J$392</f>
        <v>1919.0402446497153</v>
      </c>
      <c r="K417" s="106">
        <f>VLOOKUP($A417,'VKT US'!$B$63:$AA$113,(K$392+1),FALSE)*($BB$69+$BB$75)/(1+$AZ$41)^K$392</f>
        <v>1843.7355032884268</v>
      </c>
      <c r="L417" s="106">
        <f>VLOOKUP($A417,'VKT US'!$B$63:$AA$113,(L$392+1),FALSE)*($BB$69+$BB$75)/(1+$AZ$41)^L$392</f>
        <v>1772.1746751804626</v>
      </c>
      <c r="M417" s="106">
        <f>VLOOKUP($A417,'VKT US'!$B$63:$AA$113,(M$392+1),FALSE)*($BB$69+$BB$75)/(1+$AZ$41)^M$392</f>
        <v>1704.42248435956</v>
      </c>
      <c r="N417" s="106">
        <f>VLOOKUP($A417,'VKT US'!$B$63:$AA$113,(N$392+1),FALSE)*($BB$69+$BB$75)/(1+$AZ$41)^N$392</f>
        <v>1640.2032236797193</v>
      </c>
      <c r="O417" s="106">
        <f>VLOOKUP($A417,'VKT US'!$B$63:$AA$113,(O$392+1),FALSE)*($BB$69+$BB$75)/(1+$AZ$41)^O$392</f>
        <v>1579.58218938665</v>
      </c>
      <c r="P417" s="106">
        <f>VLOOKUP($A417,'VKT US'!$B$63:$AA$113,(P$392+1),FALSE)*($BB$69+$BB$75)/(1+$AZ$41)^P$392</f>
        <v>1522.292239645288</v>
      </c>
      <c r="Q417" s="106">
        <f>VLOOKUP($A417,'VKT US'!$B$63:$AA$113,(Q$392+1),FALSE)*($BB$69+$BB$75)/(1+$AZ$41)^Q$392</f>
        <v>1468.5606161516921</v>
      </c>
      <c r="R417" s="106">
        <f>VLOOKUP($A417,'VKT US'!$B$63:$AA$113,(R$392+1),FALSE)*($BB$69+$BB$75)/(1+$AZ$41)^R$392</f>
        <v>1417.8036599221923</v>
      </c>
      <c r="S417" s="106">
        <f>VLOOKUP($A417,'VKT US'!$B$63:$AA$113,(S$392+1),FALSE)*($BB$69+$BB$75)/(1+$AZ$41)^S$392</f>
        <v>1370.4086147621163</v>
      </c>
      <c r="T417" s="106">
        <f>VLOOKUP($A417,'VKT US'!$B$63:$AA$113,(T$392+1),FALSE)*($BB$69+$BB$75)/(1+$AZ$41)^T$392</f>
        <v>1325.8075213213178</v>
      </c>
      <c r="U417" s="109">
        <f>VLOOKUP($A417,'VKT US'!$B$63:$AA$113,(U$392+1),FALSE)*($BB$69+$BB$75)/(1+$AZ$41)^U$392</f>
        <v>1284.380404004615</v>
      </c>
      <c r="V417" s="110" cm="1">
        <f t="array" ref="V417">SUMPRODUCT(INDEX(B417:U417,,_xlfn.SEQUENCE($AZ$13)))</f>
        <v>29025.676577243517</v>
      </c>
    </row>
    <row r="418" spans="1:22" x14ac:dyDescent="0.25">
      <c r="A418" s="102" t="s">
        <v>208</v>
      </c>
      <c r="B418" s="106">
        <f>VLOOKUP($A418,'VKT US'!$B$63:$AA$113,(B$392+1),FALSE)*($BB$69+$BB$75)/(1+$AZ$41)^B$392</f>
        <v>2293.2302516336044</v>
      </c>
      <c r="C418" s="106">
        <f>VLOOKUP($A418,'VKT US'!$B$63:$AA$113,(C$392+1),FALSE)*($BB$69+$BB$75)/(1+$AZ$41)^C$392</f>
        <v>2198.6390417185262</v>
      </c>
      <c r="D418" s="106">
        <f>VLOOKUP($A418,'VKT US'!$B$63:$AA$113,(D$392+1),FALSE)*($BB$69+$BB$75)/(1+$AZ$41)^D$392</f>
        <v>2108.0701039204614</v>
      </c>
      <c r="E418" s="106">
        <f>VLOOKUP($A418,'VKT US'!$B$63:$AA$113,(E$392+1),FALSE)*($BB$69+$BB$75)/(1+$AZ$41)^E$392</f>
        <v>2021.5761627449644</v>
      </c>
      <c r="F418" s="106">
        <f>VLOOKUP($A418,'VKT US'!$B$63:$AA$113,(F$392+1),FALSE)*($BB$69+$BB$75)/(1+$AZ$41)^F$392</f>
        <v>1938.8889569757675</v>
      </c>
      <c r="G418" s="106">
        <f>VLOOKUP($A418,'VKT US'!$B$63:$AA$113,(G$392+1),FALSE)*($BB$69+$BB$75)/(1+$AZ$41)^G$392</f>
        <v>1860.2179728836818</v>
      </c>
      <c r="H418" s="106">
        <f>VLOOKUP($A418,'VKT US'!$B$63:$AA$113,(H$392+1),FALSE)*($BB$69+$BB$75)/(1+$AZ$41)^H$392</f>
        <v>1784.9894965402841</v>
      </c>
      <c r="I418" s="106">
        <f>VLOOKUP($A418,'VKT US'!$B$63:$AA$113,(I$392+1),FALSE)*($BB$69+$BB$75)/(1+$AZ$41)^I$392</f>
        <v>1713.4155993707302</v>
      </c>
      <c r="J418" s="106">
        <f>VLOOKUP($A418,'VKT US'!$B$63:$AA$113,(J$392+1),FALSE)*($BB$69+$BB$75)/(1+$AZ$41)^J$392</f>
        <v>1645.3949076743957</v>
      </c>
      <c r="K418" s="106">
        <f>VLOOKUP($A418,'VKT US'!$B$63:$AA$113,(K$392+1),FALSE)*($BB$69+$BB$75)/(1+$AZ$41)^K$392</f>
        <v>1580.8282377960272</v>
      </c>
      <c r="L418" s="106">
        <f>VLOOKUP($A418,'VKT US'!$B$63:$AA$113,(L$392+1),FALSE)*($BB$69+$BB$75)/(1+$AZ$41)^L$392</f>
        <v>1519.4716182639031</v>
      </c>
      <c r="M418" s="106">
        <f>VLOOKUP($A418,'VKT US'!$B$63:$AA$113,(M$392+1),FALSE)*($BB$69+$BB$75)/(1+$AZ$41)^M$392</f>
        <v>1461.3805437951416</v>
      </c>
      <c r="N418" s="106">
        <f>VLOOKUP($A418,'VKT US'!$B$63:$AA$113,(N$392+1),FALSE)*($BB$69+$BB$75)/(1+$AZ$41)^N$392</f>
        <v>1406.3186216745282</v>
      </c>
      <c r="O418" s="106">
        <f>VLOOKUP($A418,'VKT US'!$B$63:$AA$113,(O$392+1),FALSE)*($BB$69+$BB$75)/(1+$AZ$41)^O$392</f>
        <v>1354.3418372366502</v>
      </c>
      <c r="P418" s="106">
        <f>VLOOKUP($A418,'VKT US'!$B$63:$AA$113,(P$392+1),FALSE)*($BB$69+$BB$75)/(1+$AZ$41)^P$392</f>
        <v>1305.2211417076383</v>
      </c>
      <c r="Q418" s="106">
        <f>VLOOKUP($A418,'VKT US'!$B$63:$AA$113,(Q$392+1),FALSE)*($BB$69+$BB$75)/(1+$AZ$41)^Q$392</f>
        <v>1259.1513732783799</v>
      </c>
      <c r="R418" s="106">
        <f>VLOOKUP($A418,'VKT US'!$B$63:$AA$113,(R$392+1),FALSE)*($BB$69+$BB$75)/(1+$AZ$41)^R$392</f>
        <v>1215.6320997551109</v>
      </c>
      <c r="S418" s="106">
        <f>VLOOKUP($A418,'VKT US'!$B$63:$AA$113,(S$392+1),FALSE)*($BB$69+$BB$75)/(1+$AZ$41)^S$392</f>
        <v>1174.9953459544522</v>
      </c>
      <c r="T418" s="106">
        <f>VLOOKUP($A418,'VKT US'!$B$63:$AA$113,(T$392+1),FALSE)*($BB$69+$BB$75)/(1+$AZ$41)^T$392</f>
        <v>1136.754140628612</v>
      </c>
      <c r="U418" s="109">
        <f>VLOOKUP($A418,'VKT US'!$B$63:$AA$113,(U$392+1),FALSE)*($BB$69+$BB$75)/(1+$AZ$41)^U$392</f>
        <v>1101.2343186433393</v>
      </c>
      <c r="V418" s="110" cm="1">
        <f t="array" ref="V418">SUMPRODUCT(INDEX(B418:U418,,_xlfn.SEQUENCE($AZ$13)))</f>
        <v>24886.763352228663</v>
      </c>
    </row>
    <row r="419" spans="1:22" x14ac:dyDescent="0.25">
      <c r="A419" s="102" t="s">
        <v>211</v>
      </c>
      <c r="B419" s="106">
        <f>VLOOKUP($A419,'VKT US'!$B$63:$AA$113,(B$392+1),FALSE)*($BB$69+$BB$75)/(1+$AZ$41)^B$392</f>
        <v>2143.9103473395771</v>
      </c>
      <c r="C419" s="106">
        <f>VLOOKUP($A419,'VKT US'!$B$63:$AA$113,(C$392+1),FALSE)*($BB$69+$BB$75)/(1+$AZ$41)^C$392</f>
        <v>2055.4782879945365</v>
      </c>
      <c r="D419" s="106">
        <f>VLOOKUP($A419,'VKT US'!$B$63:$AA$113,(D$392+1),FALSE)*($BB$69+$BB$75)/(1+$AZ$41)^D$392</f>
        <v>1970.8065971538522</v>
      </c>
      <c r="E419" s="106">
        <f>VLOOKUP($A419,'VKT US'!$B$63:$AA$113,(E$392+1),FALSE)*($BB$69+$BB$75)/(1+$AZ$41)^E$392</f>
        <v>1889.9445662538878</v>
      </c>
      <c r="F419" s="106">
        <f>VLOOKUP($A419,'VKT US'!$B$63:$AA$113,(F$392+1),FALSE)*($BB$69+$BB$75)/(1+$AZ$41)^F$392</f>
        <v>1812.6414014648769</v>
      </c>
      <c r="G419" s="106">
        <f>VLOOKUP($A419,'VKT US'!$B$63:$AA$113,(G$392+1),FALSE)*($BB$69+$BB$75)/(1+$AZ$41)^G$392</f>
        <v>1739.0929487047317</v>
      </c>
      <c r="H419" s="106">
        <f>VLOOKUP($A419,'VKT US'!$B$63:$AA$113,(H$392+1),FALSE)*($BB$69+$BB$75)/(1+$AZ$41)^H$392</f>
        <v>1668.7628504809231</v>
      </c>
      <c r="I419" s="106">
        <f>VLOOKUP($A419,'VKT US'!$B$63:$AA$113,(I$392+1),FALSE)*($BB$69+$BB$75)/(1+$AZ$41)^I$392</f>
        <v>1601.8493695376485</v>
      </c>
      <c r="J419" s="106">
        <f>VLOOKUP($A419,'VKT US'!$B$63:$AA$113,(J$392+1),FALSE)*($BB$69+$BB$75)/(1+$AZ$41)^J$392</f>
        <v>1538.2577329555465</v>
      </c>
      <c r="K419" s="106">
        <f>VLOOKUP($A419,'VKT US'!$B$63:$AA$113,(K$392+1),FALSE)*($BB$69+$BB$75)/(1+$AZ$41)^K$392</f>
        <v>1477.8952152594345</v>
      </c>
      <c r="L419" s="106">
        <f>VLOOKUP($A419,'VKT US'!$B$63:$AA$113,(L$392+1),FALSE)*($BB$69+$BB$75)/(1+$AZ$41)^L$392</f>
        <v>1420.5337307774498</v>
      </c>
      <c r="M419" s="106">
        <f>VLOOKUP($A419,'VKT US'!$B$63:$AA$113,(M$392+1),FALSE)*($BB$69+$BB$75)/(1+$AZ$41)^M$392</f>
        <v>1366.2251607797652</v>
      </c>
      <c r="N419" s="106">
        <f>VLOOKUP($A419,'VKT US'!$B$63:$AA$113,(N$392+1),FALSE)*($BB$69+$BB$75)/(1+$AZ$41)^N$392</f>
        <v>1314.7485048727992</v>
      </c>
      <c r="O419" s="106">
        <f>VLOOKUP($A419,'VKT US'!$B$63:$AA$113,(O$392+1),FALSE)*($BB$69+$BB$75)/(1+$AZ$41)^O$392</f>
        <v>1266.1561029984452</v>
      </c>
      <c r="P419" s="106">
        <f>VLOOKUP($A419,'VKT US'!$B$63:$AA$113,(P$392+1),FALSE)*($BB$69+$BB$75)/(1+$AZ$41)^P$392</f>
        <v>1220.2338205158439</v>
      </c>
      <c r="Q419" s="106">
        <f>VLOOKUP($A419,'VKT US'!$B$63:$AA$113,(Q$392+1),FALSE)*($BB$69+$BB$75)/(1+$AZ$41)^Q$392</f>
        <v>1177.1638090485408</v>
      </c>
      <c r="R419" s="106">
        <f>VLOOKUP($A419,'VKT US'!$B$63:$AA$113,(R$392+1),FALSE)*($BB$69+$BB$75)/(1+$AZ$41)^R$392</f>
        <v>1136.4782212194193</v>
      </c>
      <c r="S419" s="106">
        <f>VLOOKUP($A419,'VKT US'!$B$63:$AA$113,(S$392+1),FALSE)*($BB$69+$BB$75)/(1+$AZ$41)^S$392</f>
        <v>1098.4874625969644</v>
      </c>
      <c r="T419" s="106">
        <f>VLOOKUP($A419,'VKT US'!$B$63:$AA$113,(T$392+1),FALSE)*($BB$69+$BB$75)/(1+$AZ$41)^T$392</f>
        <v>1062.7362702627443</v>
      </c>
      <c r="U419" s="109">
        <f>VLOOKUP($A419,'VKT US'!$B$63:$AA$113,(U$392+1),FALSE)*($BB$69+$BB$75)/(1+$AZ$41)^U$392</f>
        <v>1029.5292628828095</v>
      </c>
      <c r="V419" s="110" cm="1">
        <f t="array" ref="V419">SUMPRODUCT(INDEX(B419:U419,,_xlfn.SEQUENCE($AZ$13)))</f>
        <v>23266.302816573476</v>
      </c>
    </row>
    <row r="420" spans="1:22" x14ac:dyDescent="0.25">
      <c r="A420" s="102" t="s">
        <v>215</v>
      </c>
      <c r="B420" s="106">
        <f>VLOOKUP($A420,'VKT US'!$B$63:$AA$113,(B$392+1),FALSE)*($BB$69+$BB$75)/(1+$AZ$41)^B$392</f>
        <v>2024.0500760010455</v>
      </c>
      <c r="C420" s="106">
        <f>VLOOKUP($A420,'VKT US'!$B$63:$AA$113,(C$392+1),FALSE)*($BB$69+$BB$75)/(1+$AZ$41)^C$392</f>
        <v>1940.5620156629004</v>
      </c>
      <c r="D420" s="106">
        <f>VLOOKUP($A420,'VKT US'!$B$63:$AA$113,(D$392+1),FALSE)*($BB$69+$BB$75)/(1+$AZ$41)^D$392</f>
        <v>1860.624091722241</v>
      </c>
      <c r="E420" s="106">
        <f>VLOOKUP($A420,'VKT US'!$B$63:$AA$113,(E$392+1),FALSE)*($BB$69+$BB$75)/(1+$AZ$41)^E$392</f>
        <v>1784.2828398635654</v>
      </c>
      <c r="F420" s="106">
        <f>VLOOKUP($A420,'VKT US'!$B$63:$AA$113,(F$392+1),FALSE)*($BB$69+$BB$75)/(1+$AZ$41)^F$392</f>
        <v>1711.3014874667731</v>
      </c>
      <c r="G420" s="106">
        <f>VLOOKUP($A420,'VKT US'!$B$63:$AA$113,(G$392+1),FALSE)*($BB$69+$BB$75)/(1+$AZ$41)^G$392</f>
        <v>1641.8649312303328</v>
      </c>
      <c r="H420" s="106">
        <f>VLOOKUP($A420,'VKT US'!$B$63:$AA$113,(H$392+1),FALSE)*($BB$69+$BB$75)/(1+$AZ$41)^H$392</f>
        <v>1575.4667999690566</v>
      </c>
      <c r="I420" s="106">
        <f>VLOOKUP($A420,'VKT US'!$B$63:$AA$113,(I$392+1),FALSE)*($BB$69+$BB$75)/(1+$AZ$41)^I$392</f>
        <v>1512.2942720894303</v>
      </c>
      <c r="J420" s="106">
        <f>VLOOKUP($A420,'VKT US'!$B$63:$AA$113,(J$392+1),FALSE)*($BB$69+$BB$75)/(1+$AZ$41)^J$392</f>
        <v>1452.2578731715573</v>
      </c>
      <c r="K420" s="106">
        <f>VLOOKUP($A420,'VKT US'!$B$63:$AA$113,(K$392+1),FALSE)*($BB$69+$BB$75)/(1+$AZ$41)^K$392</f>
        <v>1395.2700617726143</v>
      </c>
      <c r="L420" s="106">
        <f>VLOOKUP($A420,'VKT US'!$B$63:$AA$113,(L$392+1),FALSE)*($BB$69+$BB$75)/(1+$AZ$41)^L$392</f>
        <v>1341.1155038782661</v>
      </c>
      <c r="M420" s="106">
        <f>VLOOKUP($A420,'VKT US'!$B$63:$AA$113,(M$392+1),FALSE)*($BB$69+$BB$75)/(1+$AZ$41)^M$392</f>
        <v>1289.8431802161651</v>
      </c>
      <c r="N420" s="106">
        <f>VLOOKUP($A420,'VKT US'!$B$63:$AA$113,(N$392+1),FALSE)*($BB$69+$BB$75)/(1+$AZ$41)^N$392</f>
        <v>1241.2444459313722</v>
      </c>
      <c r="O420" s="106">
        <f>VLOOKUP($A420,'VKT US'!$B$63:$AA$113,(O$392+1),FALSE)*($BB$69+$BB$75)/(1+$AZ$41)^O$392</f>
        <v>1195.3687147801568</v>
      </c>
      <c r="P420" s="106">
        <f>VLOOKUP($A420,'VKT US'!$B$63:$AA$113,(P$392+1),FALSE)*($BB$69+$BB$75)/(1+$AZ$41)^P$392</f>
        <v>1152.0138238145</v>
      </c>
      <c r="Q420" s="106">
        <f>VLOOKUP($A420,'VKT US'!$B$63:$AA$113,(Q$392+1),FALSE)*($BB$69+$BB$75)/(1+$AZ$41)^Q$392</f>
        <v>1111.3517410497336</v>
      </c>
      <c r="R420" s="106">
        <f>VLOOKUP($A420,'VKT US'!$B$63:$AA$113,(R$392+1),FALSE)*($BB$69+$BB$75)/(1+$AZ$41)^R$392</f>
        <v>1072.9407751994731</v>
      </c>
      <c r="S420" s="106">
        <f>VLOOKUP($A420,'VKT US'!$B$63:$AA$113,(S$392+1),FALSE)*($BB$69+$BB$75)/(1+$AZ$41)^S$392</f>
        <v>1037.0739778902771</v>
      </c>
      <c r="T420" s="106">
        <f>VLOOKUP($A420,'VKT US'!$B$63:$AA$113,(T$392+1),FALSE)*($BB$69+$BB$75)/(1+$AZ$41)^T$392</f>
        <v>1003.3215387311478</v>
      </c>
      <c r="U420" s="109">
        <f>VLOOKUP($A420,'VKT US'!$B$63:$AA$113,(U$392+1),FALSE)*($BB$69+$BB$75)/(1+$AZ$41)^U$392</f>
        <v>971.97104597638793</v>
      </c>
      <c r="V420" s="110" cm="1">
        <f t="array" ref="V420">SUMPRODUCT(INDEX(B420:U420,,_xlfn.SEQUENCE($AZ$13)))</f>
        <v>21965.54629375548</v>
      </c>
    </row>
    <row r="421" spans="1:22" x14ac:dyDescent="0.25">
      <c r="A421" s="102" t="s">
        <v>212</v>
      </c>
      <c r="B421" s="106">
        <f>VLOOKUP($A421,'VKT US'!$B$63:$AA$113,(B$392+1),FALSE)*($BB$69+$BB$75)/(1+$AZ$41)^B$392</f>
        <v>1670.8233004660456</v>
      </c>
      <c r="C421" s="106">
        <f>VLOOKUP($A421,'VKT US'!$B$63:$AA$113,(C$392+1),FALSE)*($BB$69+$BB$75)/(1+$AZ$41)^C$392</f>
        <v>1601.9051456349712</v>
      </c>
      <c r="D421" s="106">
        <f>VLOOKUP($A421,'VKT US'!$B$63:$AA$113,(D$392+1),FALSE)*($BB$69+$BB$75)/(1+$AZ$41)^D$392</f>
        <v>1535.9175757153489</v>
      </c>
      <c r="E421" s="106">
        <f>VLOOKUP($A421,'VKT US'!$B$63:$AA$113,(E$392+1),FALSE)*($BB$69+$BB$75)/(1+$AZ$41)^E$392</f>
        <v>1472.8990052241334</v>
      </c>
      <c r="F421" s="106">
        <f>VLOOKUP($A421,'VKT US'!$B$63:$AA$113,(F$392+1),FALSE)*($BB$69+$BB$75)/(1+$AZ$41)^F$392</f>
        <v>1412.653981877181</v>
      </c>
      <c r="G421" s="106">
        <f>VLOOKUP($A421,'VKT US'!$B$63:$AA$113,(G$392+1),FALSE)*($BB$69+$BB$75)/(1+$AZ$41)^G$392</f>
        <v>1355.3351351551762</v>
      </c>
      <c r="H421" s="106">
        <f>VLOOKUP($A421,'VKT US'!$B$63:$AA$113,(H$392+1),FALSE)*($BB$69+$BB$75)/(1+$AZ$41)^H$392</f>
        <v>1300.5244631593885</v>
      </c>
      <c r="I421" s="106">
        <f>VLOOKUP($A421,'VKT US'!$B$63:$AA$113,(I$392+1),FALSE)*($BB$69+$BB$75)/(1+$AZ$41)^I$392</f>
        <v>1248.3764788866088</v>
      </c>
      <c r="J421" s="106">
        <f>VLOOKUP($A421,'VKT US'!$B$63:$AA$113,(J$392+1),FALSE)*($BB$69+$BB$75)/(1+$AZ$41)^J$392</f>
        <v>1198.8173225310302</v>
      </c>
      <c r="K421" s="106">
        <f>VLOOKUP($A421,'VKT US'!$B$63:$AA$113,(K$392+1),FALSE)*($BB$69+$BB$75)/(1+$AZ$41)^K$392</f>
        <v>1151.7747299307327</v>
      </c>
      <c r="L421" s="106">
        <f>VLOOKUP($A421,'VKT US'!$B$63:$AA$113,(L$392+1),FALSE)*($BB$69+$BB$75)/(1+$AZ$41)^L$392</f>
        <v>1107.0709460524783</v>
      </c>
      <c r="M421" s="106">
        <f>VLOOKUP($A421,'VKT US'!$B$63:$AA$113,(M$392+1),FALSE)*($BB$69+$BB$75)/(1+$AZ$41)^M$392</f>
        <v>1064.7464037600621</v>
      </c>
      <c r="N421" s="106">
        <f>VLOOKUP($A421,'VKT US'!$B$63:$AA$113,(N$392+1),FALSE)*($BB$69+$BB$75)/(1+$AZ$41)^N$392</f>
        <v>1024.6288698220587</v>
      </c>
      <c r="O421" s="106">
        <f>VLOOKUP($A421,'VKT US'!$B$63:$AA$113,(O$392+1),FALSE)*($BB$69+$BB$75)/(1+$AZ$41)^O$392</f>
        <v>986.75913456096009</v>
      </c>
      <c r="P421" s="106">
        <f>VLOOKUP($A421,'VKT US'!$B$63:$AA$113,(P$392+1),FALSE)*($BB$69+$BB$75)/(1+$AZ$41)^P$392</f>
        <v>950.97031546331095</v>
      </c>
      <c r="Q421" s="106">
        <f>VLOOKUP($A421,'VKT US'!$B$63:$AA$113,(Q$392+1),FALSE)*($BB$69+$BB$75)/(1+$AZ$41)^Q$392</f>
        <v>917.40436957373129</v>
      </c>
      <c r="R421" s="106">
        <f>VLOOKUP($A421,'VKT US'!$B$63:$AA$113,(R$392+1),FALSE)*($BB$69+$BB$75)/(1+$AZ$41)^R$392</f>
        <v>885.69668729009038</v>
      </c>
      <c r="S421" s="106">
        <f>VLOOKUP($A421,'VKT US'!$B$63:$AA$113,(S$392+1),FALSE)*($BB$69+$BB$75)/(1+$AZ$41)^S$392</f>
        <v>856.08917838117191</v>
      </c>
      <c r="T421" s="106">
        <f>VLOOKUP($A421,'VKT US'!$B$63:$AA$113,(T$392+1),FALSE)*($BB$69+$BB$75)/(1+$AZ$41)^T$392</f>
        <v>828.22704074767273</v>
      </c>
      <c r="U421" s="109">
        <f>VLOOKUP($A421,'VKT US'!$B$63:$AA$113,(U$392+1),FALSE)*($BB$69+$BB$75)/(1+$AZ$41)^U$392</f>
        <v>802.3476742256571</v>
      </c>
      <c r="V421" s="110" cm="1">
        <f t="array" ref="V421">SUMPRODUCT(INDEX(B421:U421,,_xlfn.SEQUENCE($AZ$13)))</f>
        <v>18132.232492776173</v>
      </c>
    </row>
    <row r="422" spans="1:22" x14ac:dyDescent="0.25">
      <c r="A422" s="102" t="s">
        <v>213</v>
      </c>
      <c r="B422" s="106">
        <f>VLOOKUP($A422,'VKT US'!$B$63:$AA$113,(B$392+1),FALSE)*($BB$69+$BB$75)/(1+$AZ$41)^B$392</f>
        <v>1770.8994065354466</v>
      </c>
      <c r="C422" s="106">
        <f>VLOOKUP($A422,'VKT US'!$B$63:$AA$113,(C$392+1),FALSE)*($BB$69+$BB$75)/(1+$AZ$41)^C$392</f>
        <v>1697.8533103648795</v>
      </c>
      <c r="D422" s="106">
        <f>VLOOKUP($A422,'VKT US'!$B$63:$AA$113,(D$392+1),FALSE)*($BB$69+$BB$75)/(1+$AZ$41)^D$392</f>
        <v>1627.9133302504172</v>
      </c>
      <c r="E422" s="106">
        <f>VLOOKUP($A422,'VKT US'!$B$63:$AA$113,(E$392+1),FALSE)*($BB$69+$BB$75)/(1+$AZ$41)^E$392</f>
        <v>1561.120181595812</v>
      </c>
      <c r="F422" s="106">
        <f>VLOOKUP($A422,'VKT US'!$B$63:$AA$113,(F$392+1),FALSE)*($BB$69+$BB$75)/(1+$AZ$41)^F$392</f>
        <v>1497.2667052515012</v>
      </c>
      <c r="G422" s="106">
        <f>VLOOKUP($A422,'VKT US'!$B$63:$AA$113,(G$392+1),FALSE)*($BB$69+$BB$75)/(1+$AZ$41)^G$392</f>
        <v>1436.514672636813</v>
      </c>
      <c r="H422" s="106">
        <f>VLOOKUP($A422,'VKT US'!$B$63:$AA$113,(H$392+1),FALSE)*($BB$69+$BB$75)/(1+$AZ$41)^H$392</f>
        <v>1378.4210450927901</v>
      </c>
      <c r="I422" s="106">
        <f>VLOOKUP($A422,'VKT US'!$B$63:$AA$113,(I$392+1),FALSE)*($BB$69+$BB$75)/(1+$AZ$41)^I$392</f>
        <v>1323.1495903704824</v>
      </c>
      <c r="J422" s="106">
        <f>VLOOKUP($A422,'VKT US'!$B$63:$AA$113,(J$392+1),FALSE)*($BB$69+$BB$75)/(1+$AZ$41)^J$392</f>
        <v>1270.6220247362162</v>
      </c>
      <c r="K422" s="106">
        <f>VLOOKUP($A422,'VKT US'!$B$63:$AA$113,(K$392+1),FALSE)*($BB$69+$BB$75)/(1+$AZ$41)^K$392</f>
        <v>1220.7617556733428</v>
      </c>
      <c r="L422" s="106">
        <f>VLOOKUP($A422,'VKT US'!$B$63:$AA$113,(L$392+1),FALSE)*($BB$69+$BB$75)/(1+$AZ$41)^L$392</f>
        <v>1173.3803812827609</v>
      </c>
      <c r="M422" s="106">
        <f>VLOOKUP($A422,'VKT US'!$B$63:$AA$113,(M$392+1),FALSE)*($BB$69+$BB$75)/(1+$AZ$41)^M$392</f>
        <v>1128.5207562065377</v>
      </c>
      <c r="N422" s="106">
        <f>VLOOKUP($A422,'VKT US'!$B$63:$AA$113,(N$392+1),FALSE)*($BB$69+$BB$75)/(1+$AZ$41)^N$392</f>
        <v>1086.0003310827924</v>
      </c>
      <c r="O422" s="106">
        <f>VLOOKUP($A422,'VKT US'!$B$63:$AA$113,(O$392+1),FALSE)*($BB$69+$BB$75)/(1+$AZ$41)^O$392</f>
        <v>1045.8623394227359</v>
      </c>
      <c r="P422" s="106">
        <f>VLOOKUP($A422,'VKT US'!$B$63:$AA$113,(P$392+1),FALSE)*($BB$69+$BB$75)/(1+$AZ$41)^P$392</f>
        <v>1007.9299030705776</v>
      </c>
      <c r="Q422" s="106">
        <f>VLOOKUP($A422,'VKT US'!$B$63:$AA$113,(Q$392+1),FALSE)*($BB$69+$BB$75)/(1+$AZ$41)^Q$392</f>
        <v>972.35348177032574</v>
      </c>
      <c r="R422" s="106">
        <f>VLOOKUP($A422,'VKT US'!$B$63:$AA$113,(R$392+1),FALSE)*($BB$69+$BB$75)/(1+$AZ$41)^R$392</f>
        <v>938.74662715975614</v>
      </c>
      <c r="S422" s="106">
        <f>VLOOKUP($A422,'VKT US'!$B$63:$AA$113,(S$392+1),FALSE)*($BB$69+$BB$75)/(1+$AZ$41)^S$392</f>
        <v>907.36573850374361</v>
      </c>
      <c r="T422" s="106">
        <f>VLOOKUP($A422,'VKT US'!$B$63:$AA$113,(T$392+1),FALSE)*($BB$69+$BB$75)/(1+$AZ$41)^T$392</f>
        <v>877.83476237586092</v>
      </c>
      <c r="U422" s="109">
        <f>VLOOKUP($A422,'VKT US'!$B$63:$AA$113,(U$392+1),FALSE)*($BB$69+$BB$75)/(1+$AZ$41)^U$392</f>
        <v>850.40531798005463</v>
      </c>
      <c r="V422" s="110" cm="1">
        <f t="array" ref="V422">SUMPRODUCT(INDEX(B422:U422,,_xlfn.SEQUENCE($AZ$13)))</f>
        <v>19218.285830502526</v>
      </c>
    </row>
    <row r="423" spans="1:22" x14ac:dyDescent="0.25">
      <c r="A423" s="102" t="s">
        <v>214</v>
      </c>
      <c r="B423" s="106">
        <f>VLOOKUP($A423,'VKT US'!$B$63:$AA$113,(B$392+1),FALSE)*($BB$69+$BB$75)/(1+$AZ$41)^B$392</f>
        <v>2766.4617084726046</v>
      </c>
      <c r="C423" s="106">
        <f>VLOOKUP($A423,'VKT US'!$B$63:$AA$113,(C$392+1),FALSE)*($BB$69+$BB$75)/(1+$AZ$41)^C$392</f>
        <v>2652.3506374182498</v>
      </c>
      <c r="D423" s="106">
        <f>VLOOKUP($A423,'VKT US'!$B$63:$AA$113,(D$392+1),FALSE)*($BB$69+$BB$75)/(1+$AZ$41)^D$392</f>
        <v>2543.0918753655087</v>
      </c>
      <c r="E423" s="106">
        <f>VLOOKUP($A423,'VKT US'!$B$63:$AA$113,(E$392+1),FALSE)*($BB$69+$BB$75)/(1+$AZ$41)^E$392</f>
        <v>2438.7490270595263</v>
      </c>
      <c r="F423" s="106">
        <f>VLOOKUP($A423,'VKT US'!$B$63:$AA$113,(F$392+1),FALSE)*($BB$69+$BB$75)/(1+$AZ$41)^F$392</f>
        <v>2338.9984728453892</v>
      </c>
      <c r="G423" s="106">
        <f>VLOOKUP($A423,'VKT US'!$B$63:$AA$113,(G$392+1),FALSE)*($BB$69+$BB$75)/(1+$AZ$41)^G$392</f>
        <v>2244.0929286229652</v>
      </c>
      <c r="H423" s="106">
        <f>VLOOKUP($A423,'VKT US'!$B$63:$AA$113,(H$392+1),FALSE)*($BB$69+$BB$75)/(1+$AZ$41)^H$392</f>
        <v>2153.3402887419538</v>
      </c>
      <c r="I423" s="106">
        <f>VLOOKUP($A423,'VKT US'!$B$63:$AA$113,(I$392+1),FALSE)*($BB$69+$BB$75)/(1+$AZ$41)^I$392</f>
        <v>2066.9963877295386</v>
      </c>
      <c r="J423" s="106">
        <f>VLOOKUP($A423,'VKT US'!$B$63:$AA$113,(J$392+1),FALSE)*($BB$69+$BB$75)/(1+$AZ$41)^J$392</f>
        <v>1984.9389323878086</v>
      </c>
      <c r="K423" s="106">
        <f>VLOOKUP($A423,'VKT US'!$B$63:$AA$113,(K$392+1),FALSE)*($BB$69+$BB$75)/(1+$AZ$41)^K$392</f>
        <v>1907.0482715024241</v>
      </c>
      <c r="L423" s="106">
        <f>VLOOKUP($A423,'VKT US'!$B$63:$AA$113,(L$392+1),FALSE)*($BB$69+$BB$75)/(1+$AZ$41)^L$392</f>
        <v>1833.0300875995963</v>
      </c>
      <c r="M423" s="106">
        <f>VLOOKUP($A423,'VKT US'!$B$63:$AA$113,(M$392+1),FALSE)*($BB$69+$BB$75)/(1+$AZ$41)^M$392</f>
        <v>1762.9513272974511</v>
      </c>
      <c r="N423" s="106">
        <f>VLOOKUP($A423,'VKT US'!$B$63:$AA$113,(N$392+1),FALSE)*($BB$69+$BB$75)/(1+$AZ$41)^N$392</f>
        <v>1696.526815832427</v>
      </c>
      <c r="O423" s="106">
        <f>VLOOKUP($A423,'VKT US'!$B$63:$AA$113,(O$392+1),FALSE)*($BB$69+$BB$75)/(1+$AZ$41)^O$392</f>
        <v>1633.8240916840371</v>
      </c>
      <c r="P423" s="106">
        <f>VLOOKUP($A423,'VKT US'!$B$63:$AA$113,(P$392+1),FALSE)*($BB$69+$BB$75)/(1+$AZ$41)^P$392</f>
        <v>1574.5668395272814</v>
      </c>
      <c r="Q423" s="106">
        <f>VLOOKUP($A423,'VKT US'!$B$63:$AA$113,(Q$392+1),FALSE)*($BB$69+$BB$75)/(1+$AZ$41)^Q$392</f>
        <v>1518.9901044013804</v>
      </c>
      <c r="R423" s="106">
        <f>VLOOKUP($A423,'VKT US'!$B$63:$AA$113,(R$392+1),FALSE)*($BB$69+$BB$75)/(1+$AZ$41)^R$392</f>
        <v>1466.490184824223</v>
      </c>
      <c r="S423" s="106">
        <f>VLOOKUP($A423,'VKT US'!$B$63:$AA$113,(S$392+1),FALSE)*($BB$69+$BB$75)/(1+$AZ$41)^S$392</f>
        <v>1417.4676223204935</v>
      </c>
      <c r="T423" s="106">
        <f>VLOOKUP($A423,'VKT US'!$B$63:$AA$113,(T$392+1),FALSE)*($BB$69+$BB$75)/(1+$AZ$41)^T$392</f>
        <v>1371.3349541575772</v>
      </c>
      <c r="U423" s="109">
        <f>VLOOKUP($A423,'VKT US'!$B$63:$AA$113,(U$392+1),FALSE)*($BB$69+$BB$75)/(1+$AZ$41)^U$392</f>
        <v>1328.4852545497765</v>
      </c>
      <c r="V423" s="110" cm="1">
        <f t="array" ref="V423">SUMPRODUCT(INDEX(B423:U423,,_xlfn.SEQUENCE($AZ$13)))</f>
        <v>30022.400852559476</v>
      </c>
    </row>
    <row r="424" spans="1:22" x14ac:dyDescent="0.25">
      <c r="A424" s="102" t="s">
        <v>216</v>
      </c>
      <c r="B424" s="106">
        <f>VLOOKUP($A424,'VKT US'!$B$63:$AA$113,(B$392+1),FALSE)*($BB$69+$BB$75)/(1+$AZ$41)^B$392</f>
        <v>1468.2161189142855</v>
      </c>
      <c r="C424" s="106">
        <f>VLOOKUP($A424,'VKT US'!$B$63:$AA$113,(C$392+1),FALSE)*($BB$69+$BB$75)/(1+$AZ$41)^C$392</f>
        <v>1407.6551093924593</v>
      </c>
      <c r="D424" s="106">
        <f>VLOOKUP($A424,'VKT US'!$B$63:$AA$113,(D$392+1),FALSE)*($BB$69+$BB$75)/(1+$AZ$41)^D$392</f>
        <v>1349.669316533963</v>
      </c>
      <c r="E424" s="106">
        <f>VLOOKUP($A424,'VKT US'!$B$63:$AA$113,(E$392+1),FALSE)*($BB$69+$BB$75)/(1+$AZ$41)^E$392</f>
        <v>1294.292496639046</v>
      </c>
      <c r="F424" s="106">
        <f>VLOOKUP($A424,'VKT US'!$B$63:$AA$113,(F$392+1),FALSE)*($BB$69+$BB$75)/(1+$AZ$41)^F$392</f>
        <v>1241.352898335808</v>
      </c>
      <c r="G424" s="106">
        <f>VLOOKUP($A424,'VKT US'!$B$63:$AA$113,(G$392+1),FALSE)*($BB$69+$BB$75)/(1+$AZ$41)^G$392</f>
        <v>1190.9846429665236</v>
      </c>
      <c r="H424" s="106">
        <f>VLOOKUP($A424,'VKT US'!$B$63:$AA$113,(H$392+1),FALSE)*($BB$69+$BB$75)/(1+$AZ$41)^H$392</f>
        <v>1142.8204163302939</v>
      </c>
      <c r="I424" s="106">
        <f>VLOOKUP($A424,'VKT US'!$B$63:$AA$113,(I$392+1),FALSE)*($BB$69+$BB$75)/(1+$AZ$41)^I$392</f>
        <v>1096.9959948867893</v>
      </c>
      <c r="J424" s="106">
        <f>VLOOKUP($A424,'VKT US'!$B$63:$AA$113,(J$392+1),FALSE)*($BB$69+$BB$75)/(1+$AZ$41)^J$392</f>
        <v>1053.4464752094195</v>
      </c>
      <c r="K424" s="106">
        <f>VLOOKUP($A424,'VKT US'!$B$63:$AA$113,(K$392+1),FALSE)*($BB$69+$BB$75)/(1+$AZ$41)^K$392</f>
        <v>1012.1083560246982</v>
      </c>
      <c r="L424" s="106">
        <f>VLOOKUP($A424,'VKT US'!$B$63:$AA$113,(L$392+1),FALSE)*($BB$69+$BB$75)/(1+$AZ$41)^L$392</f>
        <v>972.82543720964122</v>
      </c>
      <c r="M424" s="106">
        <f>VLOOKUP($A424,'VKT US'!$B$63:$AA$113,(M$392+1),FALSE)*($BB$69+$BB$75)/(1+$AZ$41)^M$392</f>
        <v>935.63324866279618</v>
      </c>
      <c r="N424" s="106">
        <f>VLOOKUP($A424,'VKT US'!$B$63:$AA$113,(N$392+1),FALSE)*($BB$69+$BB$75)/(1+$AZ$41)^N$392</f>
        <v>900.38044247889979</v>
      </c>
      <c r="O424" s="106">
        <f>VLOOKUP($A424,'VKT US'!$B$63:$AA$113,(O$392+1),FALSE)*($BB$69+$BB$75)/(1+$AZ$41)^O$392</f>
        <v>867.10286266908213</v>
      </c>
      <c r="P424" s="106">
        <f>VLOOKUP($A424,'VKT US'!$B$63:$AA$113,(P$392+1),FALSE)*($BB$69+$BB$75)/(1+$AZ$41)^P$392</f>
        <v>835.65386320790685</v>
      </c>
      <c r="Q424" s="106">
        <f>VLOOKUP($A424,'VKT US'!$B$63:$AA$113,(Q$392+1),FALSE)*($BB$69+$BB$75)/(1+$AZ$41)^Q$392</f>
        <v>806.15818716129013</v>
      </c>
      <c r="R424" s="106">
        <f>VLOOKUP($A424,'VKT US'!$B$63:$AA$113,(R$392+1),FALSE)*($BB$69+$BB$75)/(1+$AZ$41)^R$392</f>
        <v>778.29543817444664</v>
      </c>
      <c r="S424" s="106">
        <f>VLOOKUP($A424,'VKT US'!$B$63:$AA$113,(S$392+1),FALSE)*($BB$69+$BB$75)/(1+$AZ$41)^S$392</f>
        <v>752.27819158179557</v>
      </c>
      <c r="T424" s="106">
        <f>VLOOKUP($A424,'VKT US'!$B$63:$AA$113,(T$392+1),FALSE)*($BB$69+$BB$75)/(1+$AZ$41)^T$392</f>
        <v>727.79466925510712</v>
      </c>
      <c r="U424" s="109">
        <f>VLOOKUP($A424,'VKT US'!$B$63:$AA$113,(U$392+1),FALSE)*($BB$69+$BB$75)/(1+$AZ$41)^U$392</f>
        <v>705.05348347901952</v>
      </c>
      <c r="V424" s="110" cm="1">
        <f t="array" ref="V424">SUMPRODUCT(INDEX(B424:U424,,_xlfn.SEQUENCE($AZ$13)))</f>
        <v>15933.483816253705</v>
      </c>
    </row>
    <row r="425" spans="1:22" x14ac:dyDescent="0.25">
      <c r="A425" s="102" t="s">
        <v>209</v>
      </c>
      <c r="B425" s="106">
        <f>VLOOKUP($A425,'VKT US'!$B$63:$AA$113,(B$392+1),FALSE)*($BB$69+$BB$75)/(1+$AZ$41)^B$392</f>
        <v>2321.10137496895</v>
      </c>
      <c r="C425" s="106">
        <f>VLOOKUP($A425,'VKT US'!$B$63:$AA$113,(C$392+1),FALSE)*($BB$69+$BB$75)/(1+$AZ$41)^C$392</f>
        <v>2225.3605363691349</v>
      </c>
      <c r="D425" s="106">
        <f>VLOOKUP($A425,'VKT US'!$B$63:$AA$113,(D$392+1),FALSE)*($BB$69+$BB$75)/(1+$AZ$41)^D$392</f>
        <v>2133.6908551834749</v>
      </c>
      <c r="E425" s="106">
        <f>VLOOKUP($A425,'VKT US'!$B$63:$AA$113,(E$392+1),FALSE)*($BB$69+$BB$75)/(1+$AZ$41)^E$392</f>
        <v>2046.1456967128343</v>
      </c>
      <c r="F425" s="106">
        <f>VLOOKUP($A425,'VKT US'!$B$63:$AA$113,(F$392+1),FALSE)*($BB$69+$BB$75)/(1+$AZ$41)^F$392</f>
        <v>1962.4535393873748</v>
      </c>
      <c r="G425" s="106">
        <f>VLOOKUP($A425,'VKT US'!$B$63:$AA$113,(G$392+1),FALSE)*($BB$69+$BB$75)/(1+$AZ$41)^G$392</f>
        <v>1882.8264155012228</v>
      </c>
      <c r="H425" s="106">
        <f>VLOOKUP($A425,'VKT US'!$B$63:$AA$113,(H$392+1),FALSE)*($BB$69+$BB$75)/(1+$AZ$41)^H$392</f>
        <v>1806.6836384062963</v>
      </c>
      <c r="I425" s="106">
        <f>VLOOKUP($A425,'VKT US'!$B$63:$AA$113,(I$392+1),FALSE)*($BB$69+$BB$75)/(1+$AZ$41)^I$392</f>
        <v>1734.239856970135</v>
      </c>
      <c r="J425" s="106">
        <f>VLOOKUP($A425,'VKT US'!$B$63:$AA$113,(J$392+1),FALSE)*($BB$69+$BB$75)/(1+$AZ$41)^J$392</f>
        <v>1665.3924654313955</v>
      </c>
      <c r="K425" s="106">
        <f>VLOOKUP($A425,'VKT US'!$B$63:$AA$113,(K$392+1),FALSE)*($BB$69+$BB$75)/(1+$AZ$41)^K$392</f>
        <v>1600.041074691155</v>
      </c>
      <c r="L425" s="106">
        <f>VLOOKUP($A425,'VKT US'!$B$63:$AA$113,(L$392+1),FALSE)*($BB$69+$BB$75)/(1+$AZ$41)^L$392</f>
        <v>1537.9387481332312</v>
      </c>
      <c r="M425" s="106">
        <f>VLOOKUP($A425,'VKT US'!$B$63:$AA$113,(M$392+1),FALSE)*($BB$69+$BB$75)/(1+$AZ$41)^M$392</f>
        <v>1479.1416549382436</v>
      </c>
      <c r="N425" s="106">
        <f>VLOOKUP($A425,'VKT US'!$B$63:$AA$113,(N$392+1),FALSE)*($BB$69+$BB$75)/(1+$AZ$41)^N$392</f>
        <v>1423.4105293560892</v>
      </c>
      <c r="O425" s="106">
        <f>VLOOKUP($A425,'VKT US'!$B$63:$AA$113,(O$392+1),FALSE)*($BB$69+$BB$75)/(1+$AZ$41)^O$392</f>
        <v>1370.80203714765</v>
      </c>
      <c r="P425" s="106">
        <f>VLOOKUP($A425,'VKT US'!$B$63:$AA$113,(P$392+1),FALSE)*($BB$69+$BB$75)/(1+$AZ$41)^P$392</f>
        <v>1321.0843457598787</v>
      </c>
      <c r="Q425" s="106">
        <f>VLOOKUP($A425,'VKT US'!$B$63:$AA$113,(Q$392+1),FALSE)*($BB$69+$BB$75)/(1+$AZ$41)^Q$392</f>
        <v>1274.4546613793073</v>
      </c>
      <c r="R425" s="106">
        <f>VLOOKUP($A425,'VKT US'!$B$63:$AA$113,(R$392+1),FALSE)*($BB$69+$BB$75)/(1+$AZ$41)^R$392</f>
        <v>1230.4064697332428</v>
      </c>
      <c r="S425" s="106">
        <f>VLOOKUP($A425,'VKT US'!$B$63:$AA$113,(S$392+1),FALSE)*($BB$69+$BB$75)/(1+$AZ$41)^S$392</f>
        <v>1189.2758309525132</v>
      </c>
      <c r="T425" s="106">
        <f>VLOOKUP($A425,'VKT US'!$B$63:$AA$113,(T$392+1),FALSE)*($BB$69+$BB$75)/(1+$AZ$41)^T$392</f>
        <v>1150.5698553100556</v>
      </c>
      <c r="U425" s="109">
        <f>VLOOKUP($A425,'VKT US'!$B$63:$AA$113,(U$392+1),FALSE)*($BB$69+$BB$75)/(1+$AZ$41)^U$392</f>
        <v>1114.6183377553143</v>
      </c>
      <c r="V425" s="110" cm="1">
        <f t="array" ref="V425">SUMPRODUCT(INDEX(B425:U425,,_xlfn.SEQUENCE($AZ$13)))</f>
        <v>25189.228423197183</v>
      </c>
    </row>
    <row r="426" spans="1:22" x14ac:dyDescent="0.25">
      <c r="A426" s="102" t="s">
        <v>210</v>
      </c>
      <c r="B426" s="106">
        <f>VLOOKUP($A426,'VKT US'!$B$63:$AA$113,(B$392+1),FALSE)*($BB$69+$BB$75)/(1+$AZ$41)^B$392</f>
        <v>2551.8684997869914</v>
      </c>
      <c r="C426" s="106">
        <f>VLOOKUP($A426,'VKT US'!$B$63:$AA$113,(C$392+1),FALSE)*($BB$69+$BB$75)/(1+$AZ$41)^C$392</f>
        <v>2446.6089739425738</v>
      </c>
      <c r="D426" s="106">
        <f>VLOOKUP($A426,'VKT US'!$B$63:$AA$113,(D$392+1),FALSE)*($BB$69+$BB$75)/(1+$AZ$41)^D$392</f>
        <v>2345.825365640962</v>
      </c>
      <c r="E426" s="106">
        <f>VLOOKUP($A426,'VKT US'!$B$63:$AA$113,(E$392+1),FALSE)*($BB$69+$BB$75)/(1+$AZ$41)^E$392</f>
        <v>2249.5763458354072</v>
      </c>
      <c r="F426" s="106">
        <f>VLOOKUP($A426,'VKT US'!$B$63:$AA$113,(F$392+1),FALSE)*($BB$69+$BB$75)/(1+$AZ$41)^F$392</f>
        <v>2157.5633979042059</v>
      </c>
      <c r="G426" s="106">
        <f>VLOOKUP($A426,'VKT US'!$B$63:$AA$113,(G$392+1),FALSE)*($BB$69+$BB$75)/(1+$AZ$41)^G$392</f>
        <v>2070.0196346868729</v>
      </c>
      <c r="H426" s="106">
        <f>VLOOKUP($A426,'VKT US'!$B$63:$AA$113,(H$392+1),FALSE)*($BB$69+$BB$75)/(1+$AZ$41)^H$392</f>
        <v>1986.3066368616726</v>
      </c>
      <c r="I426" s="106">
        <f>VLOOKUP($A426,'VKT US'!$B$63:$AA$113,(I$392+1),FALSE)*($BB$69+$BB$75)/(1+$AZ$41)^I$392</f>
        <v>1906.6603939848972</v>
      </c>
      <c r="J426" s="106">
        <f>VLOOKUP($A426,'VKT US'!$B$63:$AA$113,(J$392+1),FALSE)*($BB$69+$BB$75)/(1+$AZ$41)^J$392</f>
        <v>1830.9680990877989</v>
      </c>
      <c r="K426" s="106">
        <f>VLOOKUP($A426,'VKT US'!$B$63:$AA$113,(K$392+1),FALSE)*($BB$69+$BB$75)/(1+$AZ$41)^K$392</f>
        <v>1759.1193822477076</v>
      </c>
      <c r="L426" s="106">
        <f>VLOOKUP($A426,'VKT US'!$B$63:$AA$113,(L$392+1),FALSE)*($BB$69+$BB$75)/(1+$AZ$41)^L$392</f>
        <v>1690.8427560668408</v>
      </c>
      <c r="M426" s="106">
        <f>VLOOKUP($A426,'VKT US'!$B$63:$AA$113,(M$392+1),FALSE)*($BB$69+$BB$75)/(1+$AZ$41)^M$392</f>
        <v>1626.1999741438253</v>
      </c>
      <c r="N426" s="106">
        <f>VLOOKUP($A426,'VKT US'!$B$63:$AA$113,(N$392+1),FALSE)*($BB$69+$BB$75)/(1+$AZ$41)^N$392</f>
        <v>1564.9279825951255</v>
      </c>
      <c r="O426" s="106">
        <f>VLOOKUP($A426,'VKT US'!$B$63:$AA$113,(O$392+1),FALSE)*($BB$69+$BB$75)/(1+$AZ$41)^O$392</f>
        <v>1507.0890809703305</v>
      </c>
      <c r="P426" s="106">
        <f>VLOOKUP($A426,'VKT US'!$B$63:$AA$113,(P$392+1),FALSE)*($BB$69+$BB$75)/(1+$AZ$41)^P$392</f>
        <v>1452.428387601743</v>
      </c>
      <c r="Q426" s="106">
        <f>VLOOKUP($A426,'VKT US'!$B$63:$AA$113,(Q$392+1),FALSE)*($BB$69+$BB$75)/(1+$AZ$41)^Q$392</f>
        <v>1401.1627151890584</v>
      </c>
      <c r="R426" s="106">
        <f>VLOOKUP($A426,'VKT US'!$B$63:$AA$113,(R$392+1),FALSE)*($BB$69+$BB$75)/(1+$AZ$41)^R$392</f>
        <v>1352.7351911065848</v>
      </c>
      <c r="S426" s="106">
        <f>VLOOKUP($A426,'VKT US'!$B$63:$AA$113,(S$392+1),FALSE)*($BB$69+$BB$75)/(1+$AZ$41)^S$392</f>
        <v>1307.5152870504487</v>
      </c>
      <c r="T426" s="106">
        <f>VLOOKUP($A426,'VKT US'!$B$63:$AA$113,(T$392+1),FALSE)*($BB$69+$BB$75)/(1+$AZ$41)^T$392</f>
        <v>1264.9611095118516</v>
      </c>
      <c r="U426" s="109">
        <f>VLOOKUP($A426,'VKT US'!$B$63:$AA$113,(U$392+1),FALSE)*($BB$69+$BB$75)/(1+$AZ$41)^U$392</f>
        <v>1225.4352421124968</v>
      </c>
      <c r="V426" s="110" cm="1">
        <f t="array" ref="V426">SUMPRODUCT(INDEX(B426:U426,,_xlfn.SEQUENCE($AZ$13)))</f>
        <v>27693.576523755215</v>
      </c>
    </row>
    <row r="427" spans="1:22" x14ac:dyDescent="0.25">
      <c r="A427" s="102" t="s">
        <v>217</v>
      </c>
      <c r="B427" s="106">
        <f>VLOOKUP($A427,'VKT US'!$B$63:$AA$113,(B$392+1),FALSE)*($BB$69+$BB$75)/(1+$AZ$41)^B$392</f>
        <v>2061.8854869536904</v>
      </c>
      <c r="C427" s="106">
        <f>VLOOKUP($A427,'VKT US'!$B$63:$AA$113,(C$392+1),FALSE)*($BB$69+$BB$75)/(1+$AZ$41)^C$392</f>
        <v>1976.8367907844529</v>
      </c>
      <c r="D427" s="106">
        <f>VLOOKUP($A427,'VKT US'!$B$63:$AA$113,(D$392+1),FALSE)*($BB$69+$BB$75)/(1+$AZ$41)^D$392</f>
        <v>1895.404593436798</v>
      </c>
      <c r="E427" s="106">
        <f>VLOOKUP($A427,'VKT US'!$B$63:$AA$113,(E$392+1),FALSE)*($BB$69+$BB$75)/(1+$AZ$41)^E$392</f>
        <v>1817.6363004831612</v>
      </c>
      <c r="F427" s="106">
        <f>VLOOKUP($A427,'VKT US'!$B$63:$AA$113,(F$392+1),FALSE)*($BB$69+$BB$75)/(1+$AZ$41)^F$392</f>
        <v>1743.2907133312349</v>
      </c>
      <c r="G427" s="106">
        <f>VLOOKUP($A427,'VKT US'!$B$63:$AA$113,(G$392+1),FALSE)*($BB$69+$BB$75)/(1+$AZ$41)^G$392</f>
        <v>1672.556184939119</v>
      </c>
      <c r="H427" s="106">
        <f>VLOOKUP($A427,'VKT US'!$B$63:$AA$113,(H$392+1),FALSE)*($BB$69+$BB$75)/(1+$AZ$41)^H$392</f>
        <v>1604.9168785643687</v>
      </c>
      <c r="I427" s="106">
        <f>VLOOKUP($A427,'VKT US'!$B$63:$AA$113,(I$392+1),FALSE)*($BB$69+$BB$75)/(1+$AZ$41)^I$392</f>
        <v>1540.5634715248918</v>
      </c>
      <c r="J427" s="106">
        <f>VLOOKUP($A427,'VKT US'!$B$63:$AA$113,(J$392+1),FALSE)*($BB$69+$BB$75)/(1+$AZ$41)^J$392</f>
        <v>1479.404816862407</v>
      </c>
      <c r="K427" s="106">
        <f>VLOOKUP($A427,'VKT US'!$B$63:$AA$113,(K$392+1),FALSE)*($BB$69+$BB$75)/(1+$AZ$41)^K$392</f>
        <v>1421.351736728695</v>
      </c>
      <c r="L427" s="106">
        <f>VLOOKUP($A427,'VKT US'!$B$63:$AA$113,(L$392+1),FALSE)*($BB$69+$BB$75)/(1+$AZ$41)^L$392</f>
        <v>1366.184871887406</v>
      </c>
      <c r="M427" s="106">
        <f>VLOOKUP($A427,'VKT US'!$B$63:$AA$113,(M$392+1),FALSE)*($BB$69+$BB$75)/(1+$AZ$41)^M$392</f>
        <v>1313.9541186591327</v>
      </c>
      <c r="N427" s="106">
        <f>VLOOKUP($A427,'VKT US'!$B$63:$AA$113,(N$392+1),FALSE)*($BB$69+$BB$75)/(1+$AZ$41)^N$392</f>
        <v>1264.4469320068588</v>
      </c>
      <c r="O427" s="106">
        <f>VLOOKUP($A427,'VKT US'!$B$63:$AA$113,(O$392+1),FALSE)*($BB$69+$BB$75)/(1+$AZ$41)^O$392</f>
        <v>1217.7136493743635</v>
      </c>
      <c r="P427" s="106">
        <f>VLOOKUP($A427,'VKT US'!$B$63:$AA$113,(P$392+1),FALSE)*($BB$69+$BB$75)/(1+$AZ$41)^P$392</f>
        <v>1173.5483287973341</v>
      </c>
      <c r="Q427" s="106">
        <f>VLOOKUP($A427,'VKT US'!$B$63:$AA$113,(Q$392+1),FALSE)*($BB$69+$BB$75)/(1+$AZ$41)^Q$392</f>
        <v>1132.126152875863</v>
      </c>
      <c r="R427" s="106">
        <f>VLOOKUP($A427,'VKT US'!$B$63:$AA$113,(R$392+1),FALSE)*($BB$69+$BB$75)/(1+$AZ$41)^R$392</f>
        <v>1092.9971738226368</v>
      </c>
      <c r="S427" s="106">
        <f>VLOOKUP($A427,'VKT US'!$B$63:$AA$113,(S$392+1),FALSE)*($BB$69+$BB$75)/(1+$AZ$41)^S$392</f>
        <v>1056.4599212555206</v>
      </c>
      <c r="T427" s="106">
        <f>VLOOKUP($A427,'VKT US'!$B$63:$AA$113,(T$392+1),FALSE)*($BB$69+$BB$75)/(1+$AZ$41)^T$392</f>
        <v>1022.0765503712421</v>
      </c>
      <c r="U427" s="109">
        <f>VLOOKUP($A427,'VKT US'!$B$63:$AA$113,(U$392+1),FALSE)*($BB$69+$BB$75)/(1+$AZ$41)^U$392</f>
        <v>990.14002528901744</v>
      </c>
      <c r="V427" s="110" cm="1">
        <f t="array" ref="V427">SUMPRODUCT(INDEX(B427:U427,,_xlfn.SEQUENCE($AZ$13)))</f>
        <v>22376.146545536583</v>
      </c>
    </row>
    <row r="428" spans="1:22" x14ac:dyDescent="0.25">
      <c r="A428" s="102" t="s">
        <v>218</v>
      </c>
      <c r="B428" s="106">
        <f>VLOOKUP($A428,'VKT US'!$B$63:$AA$113,(B$392+1),FALSE)*($BB$69+$BB$75)/(1+$AZ$41)^B$392</f>
        <v>2555.9119788200987</v>
      </c>
      <c r="C428" s="106">
        <f>VLOOKUP($A428,'VKT US'!$B$63:$AA$113,(C$392+1),FALSE)*($BB$69+$BB$75)/(1+$AZ$41)^C$392</f>
        <v>2450.4856674670145</v>
      </c>
      <c r="D428" s="106">
        <f>VLOOKUP($A428,'VKT US'!$B$63:$AA$113,(D$392+1),FALSE)*($BB$69+$BB$75)/(1+$AZ$41)^D$392</f>
        <v>2349.5423658241975</v>
      </c>
      <c r="E428" s="106">
        <f>VLOOKUP($A428,'VKT US'!$B$63:$AA$113,(E$392+1),FALSE)*($BB$69+$BB$75)/(1+$AZ$41)^E$392</f>
        <v>2253.14083781002</v>
      </c>
      <c r="F428" s="106">
        <f>VLOOKUP($A428,'VKT US'!$B$63:$AA$113,(F$392+1),FALSE)*($BB$69+$BB$75)/(1+$AZ$41)^F$392</f>
        <v>2160.9820937981181</v>
      </c>
      <c r="G428" s="106">
        <f>VLOOKUP($A428,'VKT US'!$B$63:$AA$113,(G$392+1),FALSE)*($BB$69+$BB$75)/(1+$AZ$41)^G$392</f>
        <v>2073.2996159992622</v>
      </c>
      <c r="H428" s="106">
        <f>VLOOKUP($A428,'VKT US'!$B$63:$AA$113,(H$392+1),FALSE)*($BB$69+$BB$75)/(1+$AZ$41)^H$392</f>
        <v>1989.4539735054464</v>
      </c>
      <c r="I428" s="106">
        <f>VLOOKUP($A428,'VKT US'!$B$63:$AA$113,(I$392+1),FALSE)*($BB$69+$BB$75)/(1+$AZ$41)^I$392</f>
        <v>1909.6815298024276</v>
      </c>
      <c r="J428" s="106">
        <f>VLOOKUP($A428,'VKT US'!$B$63:$AA$113,(J$392+1),FALSE)*($BB$69+$BB$75)/(1+$AZ$41)^J$392</f>
        <v>1833.8692991768974</v>
      </c>
      <c r="K428" s="106">
        <f>VLOOKUP($A428,'VKT US'!$B$63:$AA$113,(K$392+1),FALSE)*($BB$69+$BB$75)/(1+$AZ$41)^K$392</f>
        <v>1761.9067368231665</v>
      </c>
      <c r="L428" s="106">
        <f>VLOOKUP($A428,'VKT US'!$B$63:$AA$113,(L$392+1),FALSE)*($BB$69+$BB$75)/(1+$AZ$41)^L$392</f>
        <v>1693.5219251670542</v>
      </c>
      <c r="M428" s="106">
        <f>VLOOKUP($A428,'VKT US'!$B$63:$AA$113,(M$392+1),FALSE)*($BB$69+$BB$75)/(1+$AZ$41)^M$392</f>
        <v>1628.7767156568141</v>
      </c>
      <c r="N428" s="106">
        <f>VLOOKUP($A428,'VKT US'!$B$63:$AA$113,(N$392+1),FALSE)*($BB$69+$BB$75)/(1+$AZ$41)^N$392</f>
        <v>1567.407637595559</v>
      </c>
      <c r="O428" s="106">
        <f>VLOOKUP($A428,'VKT US'!$B$63:$AA$113,(O$392+1),FALSE)*($BB$69+$BB$75)/(1+$AZ$41)^O$392</f>
        <v>1509.477089247574</v>
      </c>
      <c r="P428" s="106">
        <f>VLOOKUP($A428,'VKT US'!$B$63:$AA$113,(P$392+1),FALSE)*($BB$69+$BB$75)/(1+$AZ$41)^P$392</f>
        <v>1454.7297850808245</v>
      </c>
      <c r="Q428" s="106">
        <f>VLOOKUP($A428,'VKT US'!$B$63:$AA$113,(Q$392+1),FALSE)*($BB$69+$BB$75)/(1+$AZ$41)^Q$392</f>
        <v>1403.3828813384157</v>
      </c>
      <c r="R428" s="106">
        <f>VLOOKUP($A428,'VKT US'!$B$63:$AA$113,(R$392+1),FALSE)*($BB$69+$BB$75)/(1+$AZ$41)^R$392</f>
        <v>1354.8786230205108</v>
      </c>
      <c r="S428" s="106">
        <f>VLOOKUP($A428,'VKT US'!$B$63:$AA$113,(S$392+1),FALSE)*($BB$69+$BB$75)/(1+$AZ$41)^S$392</f>
        <v>1309.587067257421</v>
      </c>
      <c r="T428" s="106">
        <f>VLOOKUP($A428,'VKT US'!$B$63:$AA$113,(T$392+1),FALSE)*($BB$69+$BB$75)/(1+$AZ$41)^T$392</f>
        <v>1266.9654619008695</v>
      </c>
      <c r="U428" s="109">
        <f>VLOOKUP($A428,'VKT US'!$B$63:$AA$113,(U$392+1),FALSE)*($BB$69+$BB$75)/(1+$AZ$41)^U$392</f>
        <v>1227.3769650924723</v>
      </c>
      <c r="V428" s="110" cm="1">
        <f t="array" ref="V428">SUMPRODUCT(INDEX(B428:U428,,_xlfn.SEQUENCE($AZ$13)))</f>
        <v>27737.457466693653</v>
      </c>
    </row>
    <row r="429" spans="1:22" x14ac:dyDescent="0.25">
      <c r="A429" s="102" t="s">
        <v>219</v>
      </c>
      <c r="B429" s="106">
        <f>VLOOKUP($A429,'VKT US'!$B$63:$AA$113,(B$392+1),FALSE)*($BB$69+$BB$75)/(1+$AZ$41)^B$392</f>
        <v>1764.4009580893814</v>
      </c>
      <c r="C429" s="106">
        <f>VLOOKUP($A429,'VKT US'!$B$63:$AA$113,(C$392+1),FALSE)*($BB$69+$BB$75)/(1+$AZ$41)^C$392</f>
        <v>1691.6229100577425</v>
      </c>
      <c r="D429" s="106">
        <f>VLOOKUP($A429,'VKT US'!$B$63:$AA$113,(D$392+1),FALSE)*($BB$69+$BB$75)/(1+$AZ$41)^D$392</f>
        <v>1621.939579955932</v>
      </c>
      <c r="E429" s="106">
        <f>VLOOKUP($A429,'VKT US'!$B$63:$AA$113,(E$392+1),FALSE)*($BB$69+$BB$75)/(1+$AZ$41)^E$392</f>
        <v>1555.3915337794692</v>
      </c>
      <c r="F429" s="106">
        <f>VLOOKUP($A429,'VKT US'!$B$63:$AA$113,(F$392+1),FALSE)*($BB$69+$BB$75)/(1+$AZ$41)^F$392</f>
        <v>1491.7723725648571</v>
      </c>
      <c r="G429" s="106">
        <f>VLOOKUP($A429,'VKT US'!$B$63:$AA$113,(G$392+1),FALSE)*($BB$69+$BB$75)/(1+$AZ$41)^G$392</f>
        <v>1431.2432740990444</v>
      </c>
      <c r="H429" s="106">
        <f>VLOOKUP($A429,'VKT US'!$B$63:$AA$113,(H$392+1),FALSE)*($BB$69+$BB$75)/(1+$AZ$41)^H$392</f>
        <v>1373.3628254867247</v>
      </c>
      <c r="I429" s="106">
        <f>VLOOKUP($A429,'VKT US'!$B$63:$AA$113,(I$392+1),FALSE)*($BB$69+$BB$75)/(1+$AZ$41)^I$392</f>
        <v>1318.2941935208805</v>
      </c>
      <c r="J429" s="106">
        <f>VLOOKUP($A429,'VKT US'!$B$63:$AA$113,(J$392+1),FALSE)*($BB$69+$BB$75)/(1+$AZ$41)^J$392</f>
        <v>1265.9593817358796</v>
      </c>
      <c r="K429" s="106">
        <f>VLOOKUP($A429,'VKT US'!$B$63:$AA$113,(K$392+1),FALSE)*($BB$69+$BB$75)/(1+$AZ$41)^K$392</f>
        <v>1216.2820786770694</v>
      </c>
      <c r="L429" s="106">
        <f>VLOOKUP($A429,'VKT US'!$B$63:$AA$113,(L$392+1),FALSE)*($BB$69+$BB$75)/(1+$AZ$41)^L$392</f>
        <v>1169.0745738002749</v>
      </c>
      <c r="M429" s="106">
        <f>VLOOKUP($A429,'VKT US'!$B$63:$AA$113,(M$392+1),FALSE)*($BB$69+$BB$75)/(1+$AZ$41)^M$392</f>
        <v>1124.3795644892341</v>
      </c>
      <c r="N429" s="106">
        <f>VLOOKUP($A429,'VKT US'!$B$63:$AA$113,(N$392+1),FALSE)*($BB$69+$BB$75)/(1+$AZ$41)^N$392</f>
        <v>1082.0151712606666</v>
      </c>
      <c r="O429" s="106">
        <f>VLOOKUP($A429,'VKT US'!$B$63:$AA$113,(O$392+1),FALSE)*($BB$69+$BB$75)/(1+$AZ$41)^O$392</f>
        <v>1042.0244689771657</v>
      </c>
      <c r="P429" s="106">
        <f>VLOOKUP($A429,'VKT US'!$B$63:$AA$113,(P$392+1),FALSE)*($BB$69+$BB$75)/(1+$AZ$41)^P$392</f>
        <v>1004.2312285506251</v>
      </c>
      <c r="Q429" s="106">
        <f>VLOOKUP($A429,'VKT US'!$B$63:$AA$113,(Q$392+1),FALSE)*($BB$69+$BB$75)/(1+$AZ$41)^Q$392</f>
        <v>968.78535760171565</v>
      </c>
      <c r="R429" s="106">
        <f>VLOOKUP($A429,'VKT US'!$B$63:$AA$113,(R$392+1),FALSE)*($BB$69+$BB$75)/(1+$AZ$41)^R$392</f>
        <v>935.30182586951798</v>
      </c>
      <c r="S429" s="106">
        <f>VLOOKUP($A429,'VKT US'!$B$63:$AA$113,(S$392+1),FALSE)*($BB$69+$BB$75)/(1+$AZ$41)^S$392</f>
        <v>904.03609174253756</v>
      </c>
      <c r="T429" s="106">
        <f>VLOOKUP($A429,'VKT US'!$B$63:$AA$113,(T$392+1),FALSE)*($BB$69+$BB$75)/(1+$AZ$41)^T$392</f>
        <v>874.61348175065393</v>
      </c>
      <c r="U429" s="109">
        <f>VLOOKUP($A429,'VKT US'!$B$63:$AA$113,(U$392+1),FALSE)*($BB$69+$BB$75)/(1+$AZ$41)^U$392</f>
        <v>847.28469176223666</v>
      </c>
      <c r="V429" s="110" cm="1">
        <f t="array" ref="V429">SUMPRODUCT(INDEX(B429:U429,,_xlfn.SEQUENCE($AZ$13)))</f>
        <v>19147.762886494322</v>
      </c>
    </row>
    <row r="430" spans="1:22" x14ac:dyDescent="0.25">
      <c r="A430" s="102" t="s">
        <v>220</v>
      </c>
      <c r="B430" s="106">
        <f>VLOOKUP($A430,'VKT US'!$B$63:$AA$113,(B$392+1),FALSE)*($BB$69+$BB$75)/(1+$AZ$41)^B$392</f>
        <v>1652.7720547825315</v>
      </c>
      <c r="C430" s="106">
        <f>VLOOKUP($A430,'VKT US'!$B$63:$AA$113,(C$392+1),FALSE)*($BB$69+$BB$75)/(1+$AZ$41)^C$392</f>
        <v>1584.5984781151467</v>
      </c>
      <c r="D430" s="106">
        <f>VLOOKUP($A430,'VKT US'!$B$63:$AA$113,(D$392+1),FALSE)*($BB$69+$BB$75)/(1+$AZ$41)^D$392</f>
        <v>1519.3238248973353</v>
      </c>
      <c r="E430" s="106">
        <f>VLOOKUP($A430,'VKT US'!$B$63:$AA$113,(E$392+1),FALSE)*($BB$69+$BB$75)/(1+$AZ$41)^E$392</f>
        <v>1456.9860946231811</v>
      </c>
      <c r="F430" s="106">
        <f>VLOOKUP($A430,'VKT US'!$B$63:$AA$113,(F$392+1),FALSE)*($BB$69+$BB$75)/(1+$AZ$41)^F$392</f>
        <v>1397.3919466365026</v>
      </c>
      <c r="G430" s="106">
        <f>VLOOKUP($A430,'VKT US'!$B$63:$AA$113,(G$392+1),FALSE)*($BB$69+$BB$75)/(1+$AZ$41)^G$392</f>
        <v>1340.6923614391521</v>
      </c>
      <c r="H430" s="106">
        <f>VLOOKUP($A430,'VKT US'!$B$63:$AA$113,(H$392+1),FALSE)*($BB$69+$BB$75)/(1+$AZ$41)^H$392</f>
        <v>1286.473853142541</v>
      </c>
      <c r="I430" s="106">
        <f>VLOOKUP($A430,'VKT US'!$B$63:$AA$113,(I$392+1),FALSE)*($BB$69+$BB$75)/(1+$AZ$41)^I$392</f>
        <v>1234.8892654154915</v>
      </c>
      <c r="J430" s="106">
        <f>VLOOKUP($A430,'VKT US'!$B$63:$AA$113,(J$392+1),FALSE)*($BB$69+$BB$75)/(1+$AZ$41)^J$392</f>
        <v>1185.8655364189835</v>
      </c>
      <c r="K430" s="106">
        <f>VLOOKUP($A430,'VKT US'!$B$63:$AA$113,(K$392+1),FALSE)*($BB$69+$BB$75)/(1+$AZ$41)^K$392</f>
        <v>1139.331182718862</v>
      </c>
      <c r="L430" s="106">
        <f>VLOOKUP($A430,'VKT US'!$B$63:$AA$113,(L$392+1),FALSE)*($BB$69+$BB$75)/(1+$AZ$41)^L$392</f>
        <v>1095.1103697122401</v>
      </c>
      <c r="M430" s="106">
        <f>VLOOKUP($A430,'VKT US'!$B$63:$AA$113,(M$392+1),FALSE)*($BB$69+$BB$75)/(1+$AZ$41)^M$392</f>
        <v>1053.243093434219</v>
      </c>
      <c r="N430" s="106">
        <f>VLOOKUP($A430,'VKT US'!$B$63:$AA$113,(N$392+1),FALSE)*($BB$69+$BB$75)/(1+$AZ$41)^N$392</f>
        <v>1013.5589814272656</v>
      </c>
      <c r="O430" s="106">
        <f>VLOOKUP($A430,'VKT US'!$B$63:$AA$113,(O$392+1),FALSE)*($BB$69+$BB$75)/(1+$AZ$41)^O$392</f>
        <v>976.09838332326603</v>
      </c>
      <c r="P430" s="106">
        <f>VLOOKUP($A430,'VKT US'!$B$63:$AA$113,(P$392+1),FALSE)*($BB$69+$BB$75)/(1+$AZ$41)^P$392</f>
        <v>940.69621957455433</v>
      </c>
      <c r="Q430" s="106">
        <f>VLOOKUP($A430,'VKT US'!$B$63:$AA$113,(Q$392+1),FALSE)*($BB$69+$BB$75)/(1+$AZ$41)^Q$392</f>
        <v>907.49291354981472</v>
      </c>
      <c r="R430" s="106">
        <f>VLOOKUP($A430,'VKT US'!$B$63:$AA$113,(R$392+1),FALSE)*($BB$69+$BB$75)/(1+$AZ$41)^R$392</f>
        <v>876.12779481720679</v>
      </c>
      <c r="S430" s="106">
        <f>VLOOKUP($A430,'VKT US'!$B$63:$AA$113,(S$392+1),FALSE)*($BB$69+$BB$75)/(1+$AZ$41)^S$392</f>
        <v>846.84015960004433</v>
      </c>
      <c r="T430" s="106">
        <f>VLOOKUP($A430,'VKT US'!$B$63:$AA$113,(T$392+1),FALSE)*($BB$69+$BB$75)/(1+$AZ$41)^T$392</f>
        <v>819.27903901098659</v>
      </c>
      <c r="U430" s="109">
        <f>VLOOKUP($A430,'VKT US'!$B$63:$AA$113,(U$392+1),FALSE)*($BB$69+$BB$75)/(1+$AZ$41)^U$392</f>
        <v>793.67926806505147</v>
      </c>
      <c r="V430" s="110" cm="1">
        <f t="array" ref="V430">SUMPRODUCT(INDEX(B430:U430,,_xlfn.SEQUENCE($AZ$13)))</f>
        <v>17936.33542608672</v>
      </c>
    </row>
    <row r="431" spans="1:22" x14ac:dyDescent="0.25">
      <c r="A431" s="102" t="s">
        <v>221</v>
      </c>
      <c r="B431" s="106">
        <f>VLOOKUP($A431,'VKT US'!$B$63:$AA$113,(B$392+1),FALSE)*($BB$69+$BB$75)/(1+$AZ$41)^B$392</f>
        <v>1438.4676660278546</v>
      </c>
      <c r="C431" s="106">
        <f>VLOOKUP($A431,'VKT US'!$B$63:$AA$113,(C$392+1),FALSE)*($BB$69+$BB$75)/(1+$AZ$41)^C$392</f>
        <v>1379.133721319788</v>
      </c>
      <c r="D431" s="106">
        <f>VLOOKUP($A431,'VKT US'!$B$63:$AA$113,(D$392+1),FALSE)*($BB$69+$BB$75)/(1+$AZ$41)^D$392</f>
        <v>1322.3228151858764</v>
      </c>
      <c r="E431" s="106">
        <f>VLOOKUP($A431,'VKT US'!$B$63:$AA$113,(E$392+1),FALSE)*($BB$69+$BB$75)/(1+$AZ$41)^E$392</f>
        <v>1268.0680199686767</v>
      </c>
      <c r="F431" s="106">
        <f>VLOOKUP($A431,'VKT US'!$B$63:$AA$113,(F$392+1),FALSE)*($BB$69+$BB$75)/(1+$AZ$41)^F$392</f>
        <v>1216.2010642591702</v>
      </c>
      <c r="G431" s="106">
        <f>VLOOKUP($A431,'VKT US'!$B$63:$AA$113,(G$392+1),FALSE)*($BB$69+$BB$75)/(1+$AZ$41)^G$392</f>
        <v>1166.8533518825159</v>
      </c>
      <c r="H431" s="106">
        <f>VLOOKUP($A431,'VKT US'!$B$63:$AA$113,(H$392+1),FALSE)*($BB$69+$BB$75)/(1+$AZ$41)^H$392</f>
        <v>1119.6650110225294</v>
      </c>
      <c r="I431" s="106">
        <f>VLOOKUP($A431,'VKT US'!$B$63:$AA$113,(I$392+1),FALSE)*($BB$69+$BB$75)/(1+$AZ$41)^I$392</f>
        <v>1074.7690670863881</v>
      </c>
      <c r="J431" s="106">
        <f>VLOOKUP($A431,'VKT US'!$B$63:$AA$113,(J$392+1),FALSE)*($BB$69+$BB$75)/(1+$AZ$41)^J$392</f>
        <v>1032.1019316967668</v>
      </c>
      <c r="K431" s="106">
        <f>VLOOKUP($A431,'VKT US'!$B$63:$AA$113,(K$392+1),FALSE)*($BB$69+$BB$75)/(1+$AZ$41)^K$392</f>
        <v>991.60139021953569</v>
      </c>
      <c r="L431" s="106">
        <f>VLOOKUP($A431,'VKT US'!$B$63:$AA$113,(L$392+1),FALSE)*($BB$69+$BB$75)/(1+$AZ$41)^L$392</f>
        <v>953.11440740092826</v>
      </c>
      <c r="M431" s="106">
        <f>VLOOKUP($A431,'VKT US'!$B$63:$AA$113,(M$392+1),FALSE)*($BB$69+$BB$75)/(1+$AZ$41)^M$392</f>
        <v>916.67579324580629</v>
      </c>
      <c r="N431" s="106">
        <f>VLOOKUP($A431,'VKT US'!$B$63:$AA$113,(N$392+1),FALSE)*($BB$69+$BB$75)/(1+$AZ$41)^N$392</f>
        <v>882.13726640428069</v>
      </c>
      <c r="O431" s="106">
        <f>VLOOKUP($A431,'VKT US'!$B$63:$AA$113,(O$392+1),FALSE)*($BB$69+$BB$75)/(1+$AZ$41)^O$392</f>
        <v>849.5339446293624</v>
      </c>
      <c r="P431" s="106">
        <f>VLOOKUP($A431,'VKT US'!$B$63:$AA$113,(P$392+1),FALSE)*($BB$69+$BB$75)/(1+$AZ$41)^P$392</f>
        <v>818.72215318323595</v>
      </c>
      <c r="Q431" s="106">
        <f>VLOOKUP($A431,'VKT US'!$B$63:$AA$113,(Q$392+1),FALSE)*($BB$69+$BB$75)/(1+$AZ$41)^Q$392</f>
        <v>789.82410763387531</v>
      </c>
      <c r="R431" s="106">
        <f>VLOOKUP($A431,'VKT US'!$B$63:$AA$113,(R$392+1),FALSE)*($BB$69+$BB$75)/(1+$AZ$41)^R$392</f>
        <v>762.52590337913477</v>
      </c>
      <c r="S431" s="106">
        <f>VLOOKUP($A431,'VKT US'!$B$63:$AA$113,(S$392+1),FALSE)*($BB$69+$BB$75)/(1+$AZ$41)^S$392</f>
        <v>737.03580863049729</v>
      </c>
      <c r="T431" s="106">
        <f>VLOOKUP($A431,'VKT US'!$B$63:$AA$113,(T$392+1),FALSE)*($BB$69+$BB$75)/(1+$AZ$41)^T$392</f>
        <v>713.04836239304825</v>
      </c>
      <c r="U431" s="109">
        <f>VLOOKUP($A431,'VKT US'!$B$63:$AA$113,(U$392+1),FALSE)*($BB$69+$BB$75)/(1+$AZ$41)^U$392</f>
        <v>690.76795012634136</v>
      </c>
      <c r="V431" s="110" cm="1">
        <f t="array" ref="V431">SUMPRODUCT(INDEX(B431:U431,,_xlfn.SEQUENCE($AZ$13)))</f>
        <v>15610.645450349479</v>
      </c>
    </row>
    <row r="432" spans="1:22" x14ac:dyDescent="0.25">
      <c r="A432" s="102" t="s">
        <v>222</v>
      </c>
      <c r="B432" s="106">
        <f>VLOOKUP($A432,'VKT US'!$B$63:$AA$113,(B$392+1),FALSE)*($BB$69+$BB$75)/(1+$AZ$41)^B$392</f>
        <v>2157.6292940590483</v>
      </c>
      <c r="C432" s="106">
        <f>VLOOKUP($A432,'VKT US'!$B$63:$AA$113,(C$392+1),FALSE)*($BB$69+$BB$75)/(1+$AZ$41)^C$392</f>
        <v>2068.6313553096029</v>
      </c>
      <c r="D432" s="106">
        <f>VLOOKUP($A432,'VKT US'!$B$63:$AA$113,(D$392+1),FALSE)*($BB$69+$BB$75)/(1+$AZ$41)^D$392</f>
        <v>1983.4178477755427</v>
      </c>
      <c r="E432" s="106">
        <f>VLOOKUP($A432,'VKT US'!$B$63:$AA$113,(E$392+1),FALSE)*($BB$69+$BB$75)/(1+$AZ$41)^E$392</f>
        <v>1902.0383783106115</v>
      </c>
      <c r="F432" s="106">
        <f>VLOOKUP($A432,'VKT US'!$B$63:$AA$113,(F$392+1),FALSE)*($BB$69+$BB$75)/(1+$AZ$41)^F$392</f>
        <v>1824.2405482477925</v>
      </c>
      <c r="G432" s="106">
        <f>VLOOKUP($A432,'VKT US'!$B$63:$AA$113,(G$392+1),FALSE)*($BB$69+$BB$75)/(1+$AZ$41)^G$392</f>
        <v>1750.22145672891</v>
      </c>
      <c r="H432" s="106">
        <f>VLOOKUP($A432,'VKT US'!$B$63:$AA$113,(H$392+1),FALSE)*($BB$69+$BB$75)/(1+$AZ$41)^H$392</f>
        <v>1679.441314093727</v>
      </c>
      <c r="I432" s="106">
        <f>VLOOKUP($A432,'VKT US'!$B$63:$AA$113,(I$392+1),FALSE)*($BB$69+$BB$75)/(1+$AZ$41)^I$392</f>
        <v>1612.0996517756976</v>
      </c>
      <c r="J432" s="106">
        <f>VLOOKUP($A432,'VKT US'!$B$63:$AA$113,(J$392+1),FALSE)*($BB$69+$BB$75)/(1+$AZ$41)^J$392</f>
        <v>1548.1010904007019</v>
      </c>
      <c r="K432" s="106">
        <f>VLOOKUP($A432,'VKT US'!$B$63:$AA$113,(K$392+1),FALSE)*($BB$69+$BB$75)/(1+$AZ$41)^K$392</f>
        <v>1487.3523111404559</v>
      </c>
      <c r="L432" s="106">
        <f>VLOOKUP($A432,'VKT US'!$B$63:$AA$113,(L$392+1),FALSE)*($BB$69+$BB$75)/(1+$AZ$41)^L$392</f>
        <v>1429.6237687960313</v>
      </c>
      <c r="M432" s="106">
        <f>VLOOKUP($A432,'VKT US'!$B$63:$AA$113,(M$392+1),FALSE)*($BB$69+$BB$75)/(1+$AZ$41)^M$392</f>
        <v>1374.9676766274063</v>
      </c>
      <c r="N432" s="106">
        <f>VLOOKUP($A432,'VKT US'!$B$63:$AA$113,(N$392+1),FALSE)*($BB$69+$BB$75)/(1+$AZ$41)^N$392</f>
        <v>1323.161620052842</v>
      </c>
      <c r="O432" s="106">
        <f>VLOOKUP($A432,'VKT US'!$B$63:$AA$113,(O$392+1),FALSE)*($BB$69+$BB$75)/(1+$AZ$41)^O$392</f>
        <v>1274.258273939093</v>
      </c>
      <c r="P432" s="106">
        <f>VLOOKUP($A432,'VKT US'!$B$63:$AA$113,(P$392+1),FALSE)*($BB$69+$BB$75)/(1+$AZ$41)^P$392</f>
        <v>1228.0421333912991</v>
      </c>
      <c r="Q432" s="106">
        <f>VLOOKUP($A432,'VKT US'!$B$63:$AA$113,(Q$392+1),FALSE)*($BB$69+$BB$75)/(1+$AZ$41)^Q$392</f>
        <v>1184.6965156267174</v>
      </c>
      <c r="R432" s="106">
        <f>VLOOKUP($A432,'VKT US'!$B$63:$AA$113,(R$392+1),FALSE)*($BB$69+$BB$75)/(1+$AZ$41)^R$392</f>
        <v>1143.7505794988106</v>
      </c>
      <c r="S432" s="106">
        <f>VLOOKUP($A432,'VKT US'!$B$63:$AA$113,(S$392+1),FALSE)*($BB$69+$BB$75)/(1+$AZ$41)^S$392</f>
        <v>1105.5167168706214</v>
      </c>
      <c r="T432" s="106">
        <f>VLOOKUP($A432,'VKT US'!$B$63:$AA$113,(T$392+1),FALSE)*($BB$69+$BB$75)/(1+$AZ$41)^T$392</f>
        <v>1069.5367515826256</v>
      </c>
      <c r="U432" s="109">
        <f>VLOOKUP($A432,'VKT US'!$B$63:$AA$113,(U$392+1),FALSE)*($BB$69+$BB$75)/(1+$AZ$41)^U$392</f>
        <v>1036.1172515648698</v>
      </c>
      <c r="V432" s="110" cm="1">
        <f t="array" ref="V432">SUMPRODUCT(INDEX(B432:U432,,_xlfn.SEQUENCE($AZ$13)))</f>
        <v>23415.184587257463</v>
      </c>
    </row>
    <row r="433" spans="1:22" x14ac:dyDescent="0.25">
      <c r="A433" s="102" t="s">
        <v>223</v>
      </c>
      <c r="B433" s="106">
        <f>VLOOKUP($A433,'VKT US'!$B$63:$AA$113,(B$392+1),FALSE)*($BB$69+$BB$75)/(1+$AZ$41)^B$392</f>
        <v>2244.2752733399147</v>
      </c>
      <c r="C433" s="106">
        <f>VLOOKUP($A433,'VKT US'!$B$63:$AA$113,(C$392+1),FALSE)*($BB$69+$BB$75)/(1+$AZ$41)^C$392</f>
        <v>2151.7033594047612</v>
      </c>
      <c r="D433" s="106">
        <f>VLOOKUP($A433,'VKT US'!$B$63:$AA$113,(D$392+1),FALSE)*($BB$69+$BB$75)/(1+$AZ$41)^D$392</f>
        <v>2063.0678517020087</v>
      </c>
      <c r="E433" s="106">
        <f>VLOOKUP($A433,'VKT US'!$B$63:$AA$113,(E$392+1),FALSE)*($BB$69+$BB$75)/(1+$AZ$41)^E$392</f>
        <v>1978.4203491951821</v>
      </c>
      <c r="F433" s="106">
        <f>VLOOKUP($A433,'VKT US'!$B$63:$AA$113,(F$392+1),FALSE)*($BB$69+$BB$75)/(1+$AZ$41)^F$392</f>
        <v>1897.4983174030481</v>
      </c>
      <c r="G433" s="106">
        <f>VLOOKUP($A433,'VKT US'!$B$63:$AA$113,(G$392+1),FALSE)*($BB$69+$BB$75)/(1+$AZ$41)^G$392</f>
        <v>1820.5067705658248</v>
      </c>
      <c r="H433" s="106">
        <f>VLOOKUP($A433,'VKT US'!$B$63:$AA$113,(H$392+1),FALSE)*($BB$69+$BB$75)/(1+$AZ$41)^H$392</f>
        <v>1746.884242174594</v>
      </c>
      <c r="I433" s="106">
        <f>VLOOKUP($A433,'VKT US'!$B$63:$AA$113,(I$392+1),FALSE)*($BB$69+$BB$75)/(1+$AZ$41)^I$392</f>
        <v>1676.8382764370604</v>
      </c>
      <c r="J433" s="106">
        <f>VLOOKUP($A433,'VKT US'!$B$63:$AA$113,(J$392+1),FALSE)*($BB$69+$BB$75)/(1+$AZ$41)^J$392</f>
        <v>1610.2696637385254</v>
      </c>
      <c r="K433" s="106">
        <f>VLOOKUP($A433,'VKT US'!$B$63:$AA$113,(K$392+1),FALSE)*($BB$69+$BB$75)/(1+$AZ$41)^K$392</f>
        <v>1547.0813377574343</v>
      </c>
      <c r="L433" s="106">
        <f>VLOOKUP($A433,'VKT US'!$B$63:$AA$113,(L$392+1),FALSE)*($BB$69+$BB$75)/(1+$AZ$41)^L$392</f>
        <v>1487.0345352291763</v>
      </c>
      <c r="M433" s="106">
        <f>VLOOKUP($A433,'VKT US'!$B$63:$AA$113,(M$392+1),FALSE)*($BB$69+$BB$75)/(1+$AZ$41)^M$392</f>
        <v>1430.1835661914542</v>
      </c>
      <c r="N433" s="106">
        <f>VLOOKUP($A433,'VKT US'!$B$63:$AA$113,(N$392+1),FALSE)*($BB$69+$BB$75)/(1+$AZ$41)^N$392</f>
        <v>1376.2970843478492</v>
      </c>
      <c r="O433" s="106">
        <f>VLOOKUP($A433,'VKT US'!$B$63:$AA$113,(O$392+1),FALSE)*($BB$69+$BB$75)/(1+$AZ$41)^O$392</f>
        <v>1325.4298798800241</v>
      </c>
      <c r="P433" s="106">
        <f>VLOOKUP($A433,'VKT US'!$B$63:$AA$113,(P$392+1),FALSE)*($BB$69+$BB$75)/(1+$AZ$41)^P$392</f>
        <v>1277.3577936573306</v>
      </c>
      <c r="Q433" s="106">
        <f>VLOOKUP($A433,'VKT US'!$B$63:$AA$113,(Q$392+1),FALSE)*($BB$69+$BB$75)/(1+$AZ$41)^Q$392</f>
        <v>1232.2715045415175</v>
      </c>
      <c r="R433" s="106">
        <f>VLOOKUP($A433,'VKT US'!$B$63:$AA$113,(R$392+1),FALSE)*($BB$69+$BB$75)/(1+$AZ$41)^R$392</f>
        <v>1189.6812633686511</v>
      </c>
      <c r="S433" s="106">
        <f>VLOOKUP($A433,'VKT US'!$B$63:$AA$113,(S$392+1),FALSE)*($BB$69+$BB$75)/(1+$AZ$41)^S$392</f>
        <v>1149.912007020034</v>
      </c>
      <c r="T433" s="106">
        <f>VLOOKUP($A433,'VKT US'!$B$63:$AA$113,(T$392+1),FALSE)*($BB$69+$BB$75)/(1+$AZ$41)^T$392</f>
        <v>1112.4871599187195</v>
      </c>
      <c r="U433" s="109">
        <f>VLOOKUP($A433,'VKT US'!$B$63:$AA$113,(U$392+1),FALSE)*($BB$69+$BB$75)/(1+$AZ$41)^U$392</f>
        <v>1077.7256011357767</v>
      </c>
      <c r="V433" s="110" cm="1">
        <f t="array" ref="V433">SUMPRODUCT(INDEX(B433:U433,,_xlfn.SEQUENCE($AZ$13)))</f>
        <v>24355.49050736686</v>
      </c>
    </row>
    <row r="434" spans="1:22" x14ac:dyDescent="0.25">
      <c r="A434" s="102" t="s">
        <v>224</v>
      </c>
      <c r="B434" s="106">
        <f>VLOOKUP($A434,'VKT US'!$B$63:$AA$113,(B$392+1),FALSE)*($BB$69+$BB$75)/(1+$AZ$41)^B$392</f>
        <v>2207.5951421110144</v>
      </c>
      <c r="C434" s="106">
        <f>VLOOKUP($A434,'VKT US'!$B$63:$AA$113,(C$392+1),FALSE)*($BB$69+$BB$75)/(1+$AZ$41)^C$392</f>
        <v>2116.5362110044775</v>
      </c>
      <c r="D434" s="106">
        <f>VLOOKUP($A434,'VKT US'!$B$63:$AA$113,(D$392+1),FALSE)*($BB$69+$BB$75)/(1+$AZ$41)^D$392</f>
        <v>2029.3493500398044</v>
      </c>
      <c r="E434" s="106">
        <f>VLOOKUP($A434,'VKT US'!$B$63:$AA$113,(E$392+1),FALSE)*($BB$69+$BB$75)/(1+$AZ$41)^E$392</f>
        <v>1946.0853148540471</v>
      </c>
      <c r="F434" s="106">
        <f>VLOOKUP($A434,'VKT US'!$B$63:$AA$113,(F$392+1),FALSE)*($BB$69+$BB$75)/(1+$AZ$41)^F$392</f>
        <v>1866.4858617939899</v>
      </c>
      <c r="G434" s="106">
        <f>VLOOKUP($A434,'VKT US'!$B$63:$AA$113,(G$392+1),FALSE)*($BB$69+$BB$75)/(1+$AZ$41)^G$392</f>
        <v>1790.7526543748641</v>
      </c>
      <c r="H434" s="106">
        <f>VLOOKUP($A434,'VKT US'!$B$63:$AA$113,(H$392+1),FALSE)*($BB$69+$BB$75)/(1+$AZ$41)^H$392</f>
        <v>1718.3334026203604</v>
      </c>
      <c r="I434" s="106">
        <f>VLOOKUP($A434,'VKT US'!$B$63:$AA$113,(I$392+1),FALSE)*($BB$69+$BB$75)/(1+$AZ$41)^I$392</f>
        <v>1649.43225866375</v>
      </c>
      <c r="J434" s="106">
        <f>VLOOKUP($A434,'VKT US'!$B$63:$AA$113,(J$392+1),FALSE)*($BB$69+$BB$75)/(1+$AZ$41)^J$392</f>
        <v>1583.9516343588468</v>
      </c>
      <c r="K434" s="106">
        <f>VLOOKUP($A434,'VKT US'!$B$63:$AA$113,(K$392+1),FALSE)*($BB$69+$BB$75)/(1+$AZ$41)^K$392</f>
        <v>1521.7960498229136</v>
      </c>
      <c r="L434" s="106">
        <f>VLOOKUP($A434,'VKT US'!$B$63:$AA$113,(L$392+1),FALSE)*($BB$69+$BB$75)/(1+$AZ$41)^L$392</f>
        <v>1462.7306441058115</v>
      </c>
      <c r="M434" s="106">
        <f>VLOOKUP($A434,'VKT US'!$B$63:$AA$113,(M$392+1),FALSE)*($BB$69+$BB$75)/(1+$AZ$41)^M$392</f>
        <v>1406.8088396093408</v>
      </c>
      <c r="N434" s="106">
        <f>VLOOKUP($A434,'VKT US'!$B$63:$AA$113,(N$392+1),FALSE)*($BB$69+$BB$75)/(1+$AZ$41)^N$392</f>
        <v>1353.8030711296294</v>
      </c>
      <c r="O434" s="106">
        <f>VLOOKUP($A434,'VKT US'!$B$63:$AA$113,(O$392+1),FALSE)*($BB$69+$BB$75)/(1+$AZ$41)^O$392</f>
        <v>1303.7672333650298</v>
      </c>
      <c r="P434" s="106">
        <f>VLOOKUP($A434,'VKT US'!$B$63:$AA$113,(P$392+1),FALSE)*($BB$69+$BB$75)/(1+$AZ$41)^P$392</f>
        <v>1256.480830811377</v>
      </c>
      <c r="Q434" s="106">
        <f>VLOOKUP($A434,'VKT US'!$B$63:$AA$113,(Q$392+1),FALSE)*($BB$69+$BB$75)/(1+$AZ$41)^Q$392</f>
        <v>1212.1314259009187</v>
      </c>
      <c r="R434" s="106">
        <f>VLOOKUP($A434,'VKT US'!$B$63:$AA$113,(R$392+1),FALSE)*($BB$69+$BB$75)/(1+$AZ$41)^R$392</f>
        <v>1170.2372738637521</v>
      </c>
      <c r="S434" s="106">
        <f>VLOOKUP($A434,'VKT US'!$B$63:$AA$113,(S$392+1),FALSE)*($BB$69+$BB$75)/(1+$AZ$41)^S$392</f>
        <v>1131.1180008567826</v>
      </c>
      <c r="T434" s="106">
        <f>VLOOKUP($A434,'VKT US'!$B$63:$AA$113,(T$392+1),FALSE)*($BB$69+$BB$75)/(1+$AZ$41)^T$392</f>
        <v>1094.3048203897729</v>
      </c>
      <c r="U434" s="109">
        <f>VLOOKUP($A434,'VKT US'!$B$63:$AA$113,(U$392+1),FALSE)*($BB$69+$BB$75)/(1+$AZ$41)^U$392</f>
        <v>1060.111399817426</v>
      </c>
      <c r="V434" s="110" cm="1">
        <f t="array" ref="V434">SUMPRODUCT(INDEX(B434:U434,,_xlfn.SEQUENCE($AZ$13)))</f>
        <v>23957.427667853881</v>
      </c>
    </row>
    <row r="435" spans="1:22" x14ac:dyDescent="0.25">
      <c r="A435" s="102" t="s">
        <v>225</v>
      </c>
      <c r="B435" s="106">
        <f>VLOOKUP($A435,'VKT US'!$B$63:$AA$113,(B$392+1),FALSE)*($BB$69+$BB$75)/(1+$AZ$41)^B$392</f>
        <v>2335.3979615502926</v>
      </c>
      <c r="C435" s="106">
        <f>VLOOKUP($A435,'VKT US'!$B$63:$AA$113,(C$392+1),FALSE)*($BB$69+$BB$75)/(1+$AZ$41)^C$392</f>
        <v>2239.067417044836</v>
      </c>
      <c r="D435" s="106">
        <f>VLOOKUP($A435,'VKT US'!$B$63:$AA$113,(D$392+1),FALSE)*($BB$69+$BB$75)/(1+$AZ$41)^D$392</f>
        <v>2146.8331058313415</v>
      </c>
      <c r="E435" s="106">
        <f>VLOOKUP($A435,'VKT US'!$B$63:$AA$113,(E$392+1),FALSE)*($BB$69+$BB$75)/(1+$AZ$41)^E$392</f>
        <v>2058.7487219087884</v>
      </c>
      <c r="F435" s="106">
        <f>VLOOKUP($A435,'VKT US'!$B$63:$AA$113,(F$392+1),FALSE)*($BB$69+$BB$75)/(1+$AZ$41)^F$392</f>
        <v>1974.5410712979922</v>
      </c>
      <c r="G435" s="106">
        <f>VLOOKUP($A435,'VKT US'!$B$63:$AA$113,(G$392+1),FALSE)*($BB$69+$BB$75)/(1+$AZ$41)^G$392</f>
        <v>1894.4234922843139</v>
      </c>
      <c r="H435" s="106">
        <f>VLOOKUP($A435,'VKT US'!$B$63:$AA$113,(H$392+1),FALSE)*($BB$69+$BB$75)/(1+$AZ$41)^H$392</f>
        <v>1817.8117215396394</v>
      </c>
      <c r="I435" s="106">
        <f>VLOOKUP($A435,'VKT US'!$B$63:$AA$113,(I$392+1),FALSE)*($BB$69+$BB$75)/(1+$AZ$41)^I$392</f>
        <v>1744.9217300392597</v>
      </c>
      <c r="J435" s="106">
        <f>VLOOKUP($A435,'VKT US'!$B$63:$AA$113,(J$392+1),FALSE)*($BB$69+$BB$75)/(1+$AZ$41)^J$392</f>
        <v>1675.6502800321366</v>
      </c>
      <c r="K435" s="106">
        <f>VLOOKUP($A435,'VKT US'!$B$63:$AA$113,(K$392+1),FALSE)*($BB$69+$BB$75)/(1+$AZ$41)^K$392</f>
        <v>1609.8963640829566</v>
      </c>
      <c r="L435" s="106">
        <f>VLOOKUP($A435,'VKT US'!$B$63:$AA$113,(L$392+1),FALSE)*($BB$69+$BB$75)/(1+$AZ$41)^L$392</f>
        <v>1547.4115245947003</v>
      </c>
      <c r="M435" s="106">
        <f>VLOOKUP($A435,'VKT US'!$B$63:$AA$113,(M$392+1),FALSE)*($BB$69+$BB$75)/(1+$AZ$41)^M$392</f>
        <v>1488.2522767163116</v>
      </c>
      <c r="N435" s="106">
        <f>VLOOKUP($A435,'VKT US'!$B$63:$AA$113,(N$392+1),FALSE)*($BB$69+$BB$75)/(1+$AZ$41)^N$392</f>
        <v>1432.1778809647653</v>
      </c>
      <c r="O435" s="106">
        <f>VLOOKUP($A435,'VKT US'!$B$63:$AA$113,(O$392+1),FALSE)*($BB$69+$BB$75)/(1+$AZ$41)^O$392</f>
        <v>1379.2453521279037</v>
      </c>
      <c r="P435" s="106">
        <f>VLOOKUP($A435,'VKT US'!$B$63:$AA$113,(P$392+1),FALSE)*($BB$69+$BB$75)/(1+$AZ$41)^P$392</f>
        <v>1329.221429703774</v>
      </c>
      <c r="Q435" s="106">
        <f>VLOOKUP($A435,'VKT US'!$B$63:$AA$113,(Q$392+1),FALSE)*($BB$69+$BB$75)/(1+$AZ$41)^Q$392</f>
        <v>1282.3045345502492</v>
      </c>
      <c r="R435" s="106">
        <f>VLOOKUP($A435,'VKT US'!$B$63:$AA$113,(R$392+1),FALSE)*($BB$69+$BB$75)/(1+$AZ$41)^R$392</f>
        <v>1237.9850325717666</v>
      </c>
      <c r="S435" s="106">
        <f>VLOOKUP($A435,'VKT US'!$B$63:$AA$113,(S$392+1),FALSE)*($BB$69+$BB$75)/(1+$AZ$41)^S$392</f>
        <v>1196.6010538271662</v>
      </c>
      <c r="T435" s="106">
        <f>VLOOKUP($A435,'VKT US'!$B$63:$AA$113,(T$392+1),FALSE)*($BB$69+$BB$75)/(1+$AZ$41)^T$392</f>
        <v>1157.6566726855112</v>
      </c>
      <c r="U435" s="109">
        <f>VLOOKUP($A435,'VKT US'!$B$63:$AA$113,(U$392+1),FALSE)*($BB$69+$BB$75)/(1+$AZ$41)^U$392</f>
        <v>1121.4837154345139</v>
      </c>
      <c r="V435" s="110" cm="1">
        <f t="array" ref="V435">SUMPRODUCT(INDEX(B435:U435,,_xlfn.SEQUENCE($AZ$13)))</f>
        <v>25344.378900015236</v>
      </c>
    </row>
    <row r="436" spans="1:22" x14ac:dyDescent="0.25">
      <c r="A436" s="102" t="s">
        <v>226</v>
      </c>
      <c r="B436" s="106">
        <f>VLOOKUP($A436,'VKT US'!$B$63:$AA$113,(B$392+1),FALSE)*($BB$69+$BB$75)/(1+$AZ$41)^B$392</f>
        <v>2240.6650242032124</v>
      </c>
      <c r="C436" s="106">
        <f>VLOOKUP($A436,'VKT US'!$B$63:$AA$113,(C$392+1),FALSE)*($BB$69+$BB$75)/(1+$AZ$41)^C$392</f>
        <v>2148.2420259007963</v>
      </c>
      <c r="D436" s="106">
        <f>VLOOKUP($A436,'VKT US'!$B$63:$AA$113,(D$392+1),FALSE)*($BB$69+$BB$75)/(1+$AZ$41)^D$392</f>
        <v>2059.7491015384057</v>
      </c>
      <c r="E436" s="106">
        <f>VLOOKUP($A436,'VKT US'!$B$63:$AA$113,(E$392+1),FALSE)*($BB$69+$BB$75)/(1+$AZ$41)^E$392</f>
        <v>1975.2377670749916</v>
      </c>
      <c r="F436" s="106">
        <f>VLOOKUP($A436,'VKT US'!$B$63:$AA$113,(F$392+1),FALSE)*($BB$69+$BB$75)/(1+$AZ$41)^F$392</f>
        <v>1894.4459103549125</v>
      </c>
      <c r="G436" s="106">
        <f>VLOOKUP($A436,'VKT US'!$B$63:$AA$113,(G$392+1),FALSE)*($BB$69+$BB$75)/(1+$AZ$41)^G$392</f>
        <v>1817.57821582262</v>
      </c>
      <c r="H436" s="106">
        <f>VLOOKUP($A436,'VKT US'!$B$63:$AA$113,(H$392+1),FALSE)*($BB$69+$BB$75)/(1+$AZ$41)^H$392</f>
        <v>1744.0741201712249</v>
      </c>
      <c r="I436" s="106">
        <f>VLOOKUP($A436,'VKT US'!$B$63:$AA$113,(I$392+1),FALSE)*($BB$69+$BB$75)/(1+$AZ$41)^I$392</f>
        <v>1674.1408337428368</v>
      </c>
      <c r="J436" s="106">
        <f>VLOOKUP($A436,'VKT US'!$B$63:$AA$113,(J$392+1),FALSE)*($BB$69+$BB$75)/(1+$AZ$41)^J$392</f>
        <v>1607.6793065161162</v>
      </c>
      <c r="K436" s="106">
        <f>VLOOKUP($A436,'VKT US'!$B$63:$AA$113,(K$392+1),FALSE)*($BB$69+$BB$75)/(1+$AZ$41)^K$392</f>
        <v>1544.5926283150604</v>
      </c>
      <c r="L436" s="106">
        <f>VLOOKUP($A436,'VKT US'!$B$63:$AA$113,(L$392+1),FALSE)*($BB$69+$BB$75)/(1+$AZ$41)^L$392</f>
        <v>1484.6424199611286</v>
      </c>
      <c r="M436" s="106">
        <f>VLOOKUP($A436,'VKT US'!$B$63:$AA$113,(M$392+1),FALSE)*($BB$69+$BB$75)/(1+$AZ$41)^M$392</f>
        <v>1427.8829041262857</v>
      </c>
      <c r="N436" s="106">
        <f>VLOOKUP($A436,'VKT US'!$B$63:$AA$113,(N$392+1),FALSE)*($BB$69+$BB$75)/(1+$AZ$41)^N$392</f>
        <v>1374.0831066688907</v>
      </c>
      <c r="O436" s="106">
        <f>VLOOKUP($A436,'VKT US'!$B$63:$AA$113,(O$392+1),FALSE)*($BB$69+$BB$75)/(1+$AZ$41)^O$392</f>
        <v>1323.2977296324852</v>
      </c>
      <c r="P436" s="106">
        <f>VLOOKUP($A436,'VKT US'!$B$63:$AA$113,(P$392+1),FALSE)*($BB$69+$BB$75)/(1+$AZ$41)^P$392</f>
        <v>1275.3029744795792</v>
      </c>
      <c r="Q436" s="106">
        <f>VLOOKUP($A436,'VKT US'!$B$63:$AA$113,(Q$392+1),FALSE)*($BB$69+$BB$75)/(1+$AZ$41)^Q$392</f>
        <v>1230.2892133367341</v>
      </c>
      <c r="R436" s="106">
        <f>VLOOKUP($A436,'VKT US'!$B$63:$AA$113,(R$392+1),FALSE)*($BB$69+$BB$75)/(1+$AZ$41)^R$392</f>
        <v>1187.7674848740746</v>
      </c>
      <c r="S436" s="106">
        <f>VLOOKUP($A436,'VKT US'!$B$63:$AA$113,(S$392+1),FALSE)*($BB$69+$BB$75)/(1+$AZ$41)^S$392</f>
        <v>1148.0622032638087</v>
      </c>
      <c r="T436" s="106">
        <f>VLOOKUP($A436,'VKT US'!$B$63:$AA$113,(T$392+1),FALSE)*($BB$69+$BB$75)/(1+$AZ$41)^T$392</f>
        <v>1110.6975595713823</v>
      </c>
      <c r="U436" s="109">
        <f>VLOOKUP($A436,'VKT US'!$B$63:$AA$113,(U$392+1),FALSE)*($BB$69+$BB$75)/(1+$AZ$41)^U$392</f>
        <v>1075.9919199036556</v>
      </c>
      <c r="V436" s="110" cm="1">
        <f t="array" ref="V436">SUMPRODUCT(INDEX(B436:U436,,_xlfn.SEQUENCE($AZ$13)))</f>
        <v>24316.31109402897</v>
      </c>
    </row>
    <row r="437" spans="1:22" x14ac:dyDescent="0.25">
      <c r="A437" s="102" t="s">
        <v>228</v>
      </c>
      <c r="B437" s="106">
        <f>VLOOKUP($A437,'VKT US'!$B$63:$AA$113,(B$392+1),FALSE)*($BB$69+$BB$75)/(1+$AZ$41)^B$392</f>
        <v>1877.9071909473168</v>
      </c>
      <c r="C437" s="106">
        <f>VLOOKUP($A437,'VKT US'!$B$63:$AA$113,(C$392+1),FALSE)*($BB$69+$BB$75)/(1+$AZ$41)^C$392</f>
        <v>1800.4472354223997</v>
      </c>
      <c r="D437" s="106">
        <f>VLOOKUP($A437,'VKT US'!$B$63:$AA$113,(D$392+1),FALSE)*($BB$69+$BB$75)/(1+$AZ$41)^D$392</f>
        <v>1726.281085099602</v>
      </c>
      <c r="E437" s="106">
        <f>VLOOKUP($A437,'VKT US'!$B$63:$AA$113,(E$392+1),FALSE)*($BB$69+$BB$75)/(1+$AZ$41)^E$392</f>
        <v>1655.4519156382567</v>
      </c>
      <c r="F437" s="106">
        <f>VLOOKUP($A437,'VKT US'!$B$63:$AA$113,(F$392+1),FALSE)*($BB$69+$BB$75)/(1+$AZ$41)^F$392</f>
        <v>1587.740050158242</v>
      </c>
      <c r="G437" s="106">
        <f>VLOOKUP($A437,'VKT US'!$B$63:$AA$113,(G$392+1),FALSE)*($BB$69+$BB$75)/(1+$AZ$41)^G$392</f>
        <v>1523.3170352254031</v>
      </c>
      <c r="H437" s="106">
        <f>VLOOKUP($A437,'VKT US'!$B$63:$AA$113,(H$392+1),FALSE)*($BB$69+$BB$75)/(1+$AZ$41)^H$392</f>
        <v>1461.713061272661</v>
      </c>
      <c r="I437" s="106">
        <f>VLOOKUP($A437,'VKT US'!$B$63:$AA$113,(I$392+1),FALSE)*($BB$69+$BB$75)/(1+$AZ$41)^I$392</f>
        <v>1403.1017918272653</v>
      </c>
      <c r="J437" s="106">
        <f>VLOOKUP($A437,'VKT US'!$B$63:$AA$113,(J$392+1),FALSE)*($BB$69+$BB$75)/(1+$AZ$41)^J$392</f>
        <v>1347.4002128084283</v>
      </c>
      <c r="K437" s="106">
        <f>VLOOKUP($A437,'VKT US'!$B$63:$AA$113,(K$392+1),FALSE)*($BB$69+$BB$75)/(1+$AZ$41)^K$392</f>
        <v>1294.5271035453111</v>
      </c>
      <c r="L437" s="106">
        <f>VLOOKUP($A437,'VKT US'!$B$63:$AA$113,(L$392+1),FALSE)*($BB$69+$BB$75)/(1+$AZ$41)^L$392</f>
        <v>1244.2826778276949</v>
      </c>
      <c r="M437" s="106">
        <f>VLOOKUP($A437,'VKT US'!$B$63:$AA$113,(M$392+1),FALSE)*($BB$69+$BB$75)/(1+$AZ$41)^M$392</f>
        <v>1196.7123798181372</v>
      </c>
      <c r="N437" s="106">
        <f>VLOOKUP($A437,'VKT US'!$B$63:$AA$113,(N$392+1),FALSE)*($BB$69+$BB$75)/(1+$AZ$41)^N$392</f>
        <v>1151.6226294871265</v>
      </c>
      <c r="O437" s="106">
        <f>VLOOKUP($A437,'VKT US'!$B$63:$AA$113,(O$392+1),FALSE)*($BB$69+$BB$75)/(1+$AZ$41)^O$392</f>
        <v>1109.0592727597859</v>
      </c>
      <c r="P437" s="106">
        <f>VLOOKUP($A437,'VKT US'!$B$63:$AA$113,(P$392+1),FALSE)*($BB$69+$BB$75)/(1+$AZ$41)^P$392</f>
        <v>1068.8347434991267</v>
      </c>
      <c r="Q437" s="106">
        <f>VLOOKUP($A437,'VKT US'!$B$63:$AA$113,(Q$392+1),FALSE)*($BB$69+$BB$75)/(1+$AZ$41)^Q$392</f>
        <v>1031.1085930801039</v>
      </c>
      <c r="R437" s="106">
        <f>VLOOKUP($A437,'VKT US'!$B$63:$AA$113,(R$392+1),FALSE)*($BB$69+$BB$75)/(1+$AZ$41)^R$392</f>
        <v>995.47102173900907</v>
      </c>
      <c r="S437" s="106">
        <f>VLOOKUP($A437,'VKT US'!$B$63:$AA$113,(S$392+1),FALSE)*($BB$69+$BB$75)/(1+$AZ$41)^S$392</f>
        <v>962.1939218382679</v>
      </c>
      <c r="T437" s="106">
        <f>VLOOKUP($A437,'VKT US'!$B$63:$AA$113,(T$392+1),FALSE)*($BB$69+$BB$75)/(1+$AZ$41)^T$392</f>
        <v>930.87851667093662</v>
      </c>
      <c r="U437" s="109">
        <f>VLOOKUP($A437,'VKT US'!$B$63:$AA$113,(U$392+1),FALSE)*($BB$69+$BB$75)/(1+$AZ$41)^U$392</f>
        <v>901.79162970012476</v>
      </c>
      <c r="V437" s="110" cm="1">
        <f t="array" ref="V437">SUMPRODUCT(INDEX(B437:U437,,_xlfn.SEQUENCE($AZ$13)))</f>
        <v>20379.563641837634</v>
      </c>
    </row>
    <row r="438" spans="1:22" x14ac:dyDescent="0.25">
      <c r="A438" s="102" t="s">
        <v>227</v>
      </c>
      <c r="B438" s="106">
        <f>VLOOKUP($A438,'VKT US'!$B$63:$AA$113,(B$392+1),FALSE)*($BB$69+$BB$75)/(1+$AZ$41)^B$392</f>
        <v>2095.2441889768238</v>
      </c>
      <c r="C438" s="106">
        <f>VLOOKUP($A438,'VKT US'!$B$63:$AA$113,(C$392+1),FALSE)*($BB$69+$BB$75)/(1+$AZ$41)^C$392</f>
        <v>2008.8195123610892</v>
      </c>
      <c r="D438" s="106">
        <f>VLOOKUP($A438,'VKT US'!$B$63:$AA$113,(D$392+1),FALSE)*($BB$69+$BB$75)/(1+$AZ$41)^D$392</f>
        <v>1926.0698449484871</v>
      </c>
      <c r="E438" s="106">
        <f>VLOOKUP($A438,'VKT US'!$B$63:$AA$113,(E$392+1),FALSE)*($BB$69+$BB$75)/(1+$AZ$41)^E$392</f>
        <v>1847.0433592737209</v>
      </c>
      <c r="F438" s="106">
        <f>VLOOKUP($A438,'VKT US'!$B$63:$AA$113,(F$392+1),FALSE)*($BB$69+$BB$75)/(1+$AZ$41)^F$392</f>
        <v>1771.4949544560084</v>
      </c>
      <c r="G438" s="106">
        <f>VLOOKUP($A438,'VKT US'!$B$63:$AA$113,(G$392+1),FALSE)*($BB$69+$BB$75)/(1+$AZ$41)^G$392</f>
        <v>1699.6160307663313</v>
      </c>
      <c r="H438" s="106">
        <f>VLOOKUP($A438,'VKT US'!$B$63:$AA$113,(H$392+1),FALSE)*($BB$69+$BB$75)/(1+$AZ$41)^H$392</f>
        <v>1630.8824058755026</v>
      </c>
      <c r="I438" s="106">
        <f>VLOOKUP($A438,'VKT US'!$B$63:$AA$113,(I$392+1),FALSE)*($BB$69+$BB$75)/(1+$AZ$41)^I$392</f>
        <v>1565.4878420195166</v>
      </c>
      <c r="J438" s="106">
        <f>VLOOKUP($A438,'VKT US'!$B$63:$AA$113,(J$392+1),FALSE)*($BB$69+$BB$75)/(1+$AZ$41)^J$392</f>
        <v>1503.339717597469</v>
      </c>
      <c r="K438" s="106">
        <f>VLOOKUP($A438,'VKT US'!$B$63:$AA$113,(K$392+1),FALSE)*($BB$69+$BB$75)/(1+$AZ$41)^K$392</f>
        <v>1444.3474119762316</v>
      </c>
      <c r="L438" s="106">
        <f>VLOOKUP($A438,'VKT US'!$B$63:$AA$113,(L$392+1),FALSE)*($BB$69+$BB$75)/(1+$AZ$41)^L$392</f>
        <v>1388.2880169641667</v>
      </c>
      <c r="M438" s="106">
        <f>VLOOKUP($A438,'VKT US'!$B$63:$AA$113,(M$392+1),FALSE)*($BB$69+$BB$75)/(1+$AZ$41)^M$392</f>
        <v>1335.2122361412914</v>
      </c>
      <c r="N438" s="106">
        <f>VLOOKUP($A438,'VKT US'!$B$63:$AA$113,(N$392+1),FALSE)*($BB$69+$BB$75)/(1+$AZ$41)^N$392</f>
        <v>1284.9040857604366</v>
      </c>
      <c r="O438" s="106">
        <f>VLOOKUP($A438,'VKT US'!$B$63:$AA$113,(O$392+1),FALSE)*($BB$69+$BB$75)/(1+$AZ$41)^O$392</f>
        <v>1237.4147176616223</v>
      </c>
      <c r="P438" s="106">
        <f>VLOOKUP($A438,'VKT US'!$B$63:$AA$113,(P$392+1),FALSE)*($BB$69+$BB$75)/(1+$AZ$41)^P$392</f>
        <v>1192.5348579997562</v>
      </c>
      <c r="Q438" s="106">
        <f>VLOOKUP($A438,'VKT US'!$B$63:$AA$113,(Q$392+1),FALSE)*($BB$69+$BB$75)/(1+$AZ$41)^Q$392</f>
        <v>1150.4425236080613</v>
      </c>
      <c r="R438" s="106">
        <f>VLOOKUP($A438,'VKT US'!$B$63:$AA$113,(R$392+1),FALSE)*($BB$69+$BB$75)/(1+$AZ$41)^R$392</f>
        <v>1110.6804871125255</v>
      </c>
      <c r="S438" s="106">
        <f>VLOOKUP($A438,'VKT US'!$B$63:$AA$113,(S$392+1),FALSE)*($BB$69+$BB$75)/(1+$AZ$41)^S$392</f>
        <v>1073.5521079630444</v>
      </c>
      <c r="T438" s="106">
        <f>VLOOKUP($A438,'VKT US'!$B$63:$AA$113,(T$392+1),FALSE)*($BB$69+$BB$75)/(1+$AZ$41)^T$392</f>
        <v>1038.6124575806382</v>
      </c>
      <c r="U438" s="109">
        <f>VLOOKUP($A438,'VKT US'!$B$63:$AA$113,(U$392+1),FALSE)*($BB$69+$BB$75)/(1+$AZ$41)^U$392</f>
        <v>1006.1592398738165</v>
      </c>
      <c r="V438" s="110" cm="1">
        <f t="array" ref="V438">SUMPRODUCT(INDEX(B438:U438,,_xlfn.SEQUENCE($AZ$13)))</f>
        <v>22738.164324778692</v>
      </c>
    </row>
    <row r="439" spans="1:22" x14ac:dyDescent="0.25">
      <c r="A439" s="102" t="s">
        <v>229</v>
      </c>
      <c r="B439" s="106">
        <f>VLOOKUP($A439,'VKT US'!$B$63:$AA$113,(B$392+1),FALSE)*($BB$69+$BB$75)/(1+$AZ$41)^B$392</f>
        <v>1581.1447119103484</v>
      </c>
      <c r="C439" s="106">
        <f>VLOOKUP($A439,'VKT US'!$B$63:$AA$113,(C$392+1),FALSE)*($BB$69+$BB$75)/(1+$AZ$41)^C$392</f>
        <v>1515.9256213964825</v>
      </c>
      <c r="D439" s="106">
        <f>VLOOKUP($A439,'VKT US'!$B$63:$AA$113,(D$392+1),FALSE)*($BB$69+$BB$75)/(1+$AZ$41)^D$392</f>
        <v>1453.4798216514569</v>
      </c>
      <c r="E439" s="106">
        <f>VLOOKUP($A439,'VKT US'!$B$63:$AA$113,(E$392+1),FALSE)*($BB$69+$BB$75)/(1+$AZ$41)^E$392</f>
        <v>1393.8436653586027</v>
      </c>
      <c r="F439" s="106">
        <f>VLOOKUP($A439,'VKT US'!$B$63:$AA$113,(F$392+1),FALSE)*($BB$69+$BB$75)/(1+$AZ$41)^F$392</f>
        <v>1336.8321908014912</v>
      </c>
      <c r="G439" s="106">
        <f>VLOOKUP($A439,'VKT US'!$B$63:$AA$113,(G$392+1),FALSE)*($BB$69+$BB$75)/(1+$AZ$41)^G$392</f>
        <v>1282.5898353339692</v>
      </c>
      <c r="H439" s="106">
        <f>VLOOKUP($A439,'VKT US'!$B$63:$AA$113,(H$392+1),FALSE)*($BB$69+$BB$75)/(1+$AZ$41)^H$392</f>
        <v>1230.7210325956908</v>
      </c>
      <c r="I439" s="106">
        <f>VLOOKUP($A439,'VKT US'!$B$63:$AA$113,(I$392+1),FALSE)*($BB$69+$BB$75)/(1+$AZ$41)^I$392</f>
        <v>1181.3720023620986</v>
      </c>
      <c r="J439" s="106">
        <f>VLOOKUP($A439,'VKT US'!$B$63:$AA$113,(J$392+1),FALSE)*($BB$69+$BB$75)/(1+$AZ$41)^J$392</f>
        <v>1134.4728491263827</v>
      </c>
      <c r="K439" s="106">
        <f>VLOOKUP($A439,'VKT US'!$B$63:$AA$113,(K$392+1),FALSE)*($BB$69+$BB$75)/(1+$AZ$41)^K$392</f>
        <v>1089.9551873821601</v>
      </c>
      <c r="L439" s="106">
        <f>VLOOKUP($A439,'VKT US'!$B$63:$AA$113,(L$392+1),FALSE)*($BB$69+$BB$75)/(1+$AZ$41)^L$392</f>
        <v>1047.6508027941736</v>
      </c>
      <c r="M439" s="106">
        <f>VLOOKUP($A439,'VKT US'!$B$63:$AA$113,(M$392+1),FALSE)*($BB$69+$BB$75)/(1+$AZ$41)^M$392</f>
        <v>1007.5979580612724</v>
      </c>
      <c r="N439" s="106">
        <f>VLOOKUP($A439,'VKT US'!$B$63:$AA$113,(N$392+1),FALSE)*($BB$69+$BB$75)/(1+$AZ$41)^N$392</f>
        <v>969.63366427672611</v>
      </c>
      <c r="O439" s="106">
        <f>VLOOKUP($A439,'VKT US'!$B$63:$AA$113,(O$392+1),FALSE)*($BB$69+$BB$75)/(1+$AZ$41)^O$392</f>
        <v>933.79652241209612</v>
      </c>
      <c r="P439" s="106">
        <f>VLOOKUP($A439,'VKT US'!$B$63:$AA$113,(P$392+1),FALSE)*($BB$69+$BB$75)/(1+$AZ$41)^P$392</f>
        <v>899.92860708796809</v>
      </c>
      <c r="Q439" s="106">
        <f>VLOOKUP($A439,'VKT US'!$B$63:$AA$113,(Q$392+1),FALSE)*($BB$69+$BB$75)/(1+$AZ$41)^Q$392</f>
        <v>868.16425604691301</v>
      </c>
      <c r="R439" s="106">
        <f>VLOOKUP($A439,'VKT US'!$B$63:$AA$113,(R$392+1),FALSE)*($BB$69+$BB$75)/(1+$AZ$41)^R$392</f>
        <v>838.15842948480542</v>
      </c>
      <c r="S439" s="106">
        <f>VLOOKUP($A439,'VKT US'!$B$63:$AA$113,(S$392+1),FALSE)*($BB$69+$BB$75)/(1+$AZ$41)^S$392</f>
        <v>810.14005307652997</v>
      </c>
      <c r="T439" s="106">
        <f>VLOOKUP($A439,'VKT US'!$B$63:$AA$113,(T$392+1),FALSE)*($BB$69+$BB$75)/(1+$AZ$41)^T$392</f>
        <v>783.77336811981593</v>
      </c>
      <c r="U439" s="109">
        <f>VLOOKUP($A439,'VKT US'!$B$63:$AA$113,(U$392+1),FALSE)*($BB$69+$BB$75)/(1+$AZ$41)^U$392</f>
        <v>759.28303241976823</v>
      </c>
      <c r="V439" s="110" cm="1">
        <f t="array" ref="V439">SUMPRODUCT(INDEX(B439:U439,,_xlfn.SEQUENCE($AZ$13)))</f>
        <v>17159.015865462952</v>
      </c>
    </row>
    <row r="440" spans="1:22" x14ac:dyDescent="0.25">
      <c r="A440" s="102" t="s">
        <v>159</v>
      </c>
      <c r="B440" s="106">
        <f>VLOOKUP($A440,'VKT US'!$B$63:$AA$113,(B$392+1),FALSE)*($BB$69+$BB$75)/(1+$AZ$41)^B$392</f>
        <v>2437.062577239843</v>
      </c>
      <c r="C440" s="106">
        <f>VLOOKUP($A440,'VKT US'!$B$63:$AA$113,(C$392+1),FALSE)*($BB$69+$BB$75)/(1+$AZ$41)^C$392</f>
        <v>2336.5385685164888</v>
      </c>
      <c r="D440" s="106">
        <f>VLOOKUP($A440,'VKT US'!$B$63:$AA$113,(D$392+1),FALSE)*($BB$69+$BB$75)/(1+$AZ$41)^D$392</f>
        <v>2240.2891104383943</v>
      </c>
      <c r="E440" s="106">
        <f>VLOOKUP($A440,'VKT US'!$B$63:$AA$113,(E$392+1),FALSE)*($BB$69+$BB$75)/(1+$AZ$41)^E$392</f>
        <v>2148.3702344133512</v>
      </c>
      <c r="F440" s="106">
        <f>VLOOKUP($A440,'VKT US'!$B$63:$AA$113,(F$392+1),FALSE)*($BB$69+$BB$75)/(1+$AZ$41)^F$392</f>
        <v>2060.4968537734921</v>
      </c>
      <c r="G440" s="106">
        <f>VLOOKUP($A440,'VKT US'!$B$63:$AA$113,(G$392+1),FALSE)*($BB$69+$BB$75)/(1+$AZ$41)^G$392</f>
        <v>1976.8915938529606</v>
      </c>
      <c r="H440" s="106">
        <f>VLOOKUP($A440,'VKT US'!$B$63:$AA$113,(H$392+1),FALSE)*($BB$69+$BB$75)/(1+$AZ$41)^H$392</f>
        <v>1896.9447571545236</v>
      </c>
      <c r="I440" s="106">
        <f>VLOOKUP($A440,'VKT US'!$B$63:$AA$113,(I$392+1),FALSE)*($BB$69+$BB$75)/(1+$AZ$41)^I$392</f>
        <v>1820.8817163085921</v>
      </c>
      <c r="J440" s="106">
        <f>VLOOKUP($A440,'VKT US'!$B$63:$AA$113,(J$392+1),FALSE)*($BB$69+$BB$75)/(1+$AZ$41)^J$392</f>
        <v>1748.5947394151829</v>
      </c>
      <c r="K440" s="106">
        <f>VLOOKUP($A440,'VKT US'!$B$63:$AA$113,(K$392+1),FALSE)*($BB$69+$BB$75)/(1+$AZ$41)^K$392</f>
        <v>1679.9784219802114</v>
      </c>
      <c r="L440" s="106">
        <f>VLOOKUP($A440,'VKT US'!$B$63:$AA$113,(L$392+1),FALSE)*($BB$69+$BB$75)/(1+$AZ$41)^L$392</f>
        <v>1614.7734905429238</v>
      </c>
      <c r="M440" s="106">
        <f>VLOOKUP($A440,'VKT US'!$B$63:$AA$113,(M$392+1),FALSE)*($BB$69+$BB$75)/(1+$AZ$41)^M$392</f>
        <v>1553.0389204714616</v>
      </c>
      <c r="N440" s="106">
        <f>VLOOKUP($A440,'VKT US'!$B$63:$AA$113,(N$392+1),FALSE)*($BB$69+$BB$75)/(1+$AZ$41)^N$392</f>
        <v>1494.5234924042406</v>
      </c>
      <c r="O440" s="106">
        <f>VLOOKUP($A440,'VKT US'!$B$63:$AA$113,(O$392+1),FALSE)*($BB$69+$BB$75)/(1+$AZ$41)^O$392</f>
        <v>1439.2867030985965</v>
      </c>
      <c r="P440" s="106">
        <f>VLOOKUP($A440,'VKT US'!$B$63:$AA$113,(P$392+1),FALSE)*($BB$69+$BB$75)/(1+$AZ$41)^P$392</f>
        <v>1387.0851377492511</v>
      </c>
      <c r="Q440" s="106">
        <f>VLOOKUP($A440,'VKT US'!$B$63:$AA$113,(Q$392+1),FALSE)*($BB$69+$BB$75)/(1+$AZ$41)^Q$392</f>
        <v>1338.1258548769481</v>
      </c>
      <c r="R440" s="106">
        <f>VLOOKUP($A440,'VKT US'!$B$63:$AA$113,(R$392+1),FALSE)*($BB$69+$BB$75)/(1+$AZ$41)^R$392</f>
        <v>1291.8770349790461</v>
      </c>
      <c r="S440" s="106">
        <f>VLOOKUP($A440,'VKT US'!$B$63:$AA$113,(S$392+1),FALSE)*($BB$69+$BB$75)/(1+$AZ$41)^S$392</f>
        <v>1248.691527602477</v>
      </c>
      <c r="T440" s="106">
        <f>VLOOKUP($A440,'VKT US'!$B$63:$AA$113,(T$392+1),FALSE)*($BB$69+$BB$75)/(1+$AZ$41)^T$392</f>
        <v>1208.0518184665277</v>
      </c>
      <c r="U440" s="109">
        <f>VLOOKUP($A440,'VKT US'!$B$63:$AA$113,(U$392+1),FALSE)*($BB$69+$BB$75)/(1+$AZ$41)^U$392</f>
        <v>1170.3041789310448</v>
      </c>
      <c r="V440" s="110" cm="1">
        <f t="array" ref="V440">SUMPRODUCT(INDEX(B440:U440,,_xlfn.SEQUENCE($AZ$13)))</f>
        <v>26447.671179610272</v>
      </c>
    </row>
    <row r="441" spans="1:22" x14ac:dyDescent="0.25">
      <c r="A441" s="102" t="s">
        <v>158</v>
      </c>
      <c r="B441" s="106">
        <f>VLOOKUP($A441,'VKT US'!$B$63:$AA$113,(B$392+1),FALSE)*($BB$69+$BB$75)/(1+$AZ$41)^B$392</f>
        <v>2229.9786867585717</v>
      </c>
      <c r="C441" s="106">
        <f>VLOOKUP($A441,'VKT US'!$B$63:$AA$113,(C$392+1),FALSE)*($BB$69+$BB$75)/(1+$AZ$41)^C$392</f>
        <v>2137.9964787290605</v>
      </c>
      <c r="D441" s="106">
        <f>VLOOKUP($A441,'VKT US'!$B$63:$AA$113,(D$392+1),FALSE)*($BB$69+$BB$75)/(1+$AZ$41)^D$392</f>
        <v>2049.9256010541417</v>
      </c>
      <c r="E441" s="106">
        <f>VLOOKUP($A441,'VKT US'!$B$63:$AA$113,(E$392+1),FALSE)*($BB$69+$BB$75)/(1+$AZ$41)^E$392</f>
        <v>1965.8173239992277</v>
      </c>
      <c r="F441" s="106">
        <f>VLOOKUP($A441,'VKT US'!$B$63:$AA$113,(F$392+1),FALSE)*($BB$69+$BB$75)/(1+$AZ$41)^F$392</f>
        <v>1885.4107854924309</v>
      </c>
      <c r="G441" s="106">
        <f>VLOOKUP($A441,'VKT US'!$B$63:$AA$113,(G$392+1),FALSE)*($BB$69+$BB$75)/(1+$AZ$41)^G$392</f>
        <v>1808.9096937827339</v>
      </c>
      <c r="H441" s="106">
        <f>VLOOKUP($A441,'VKT US'!$B$63:$AA$113,(H$392+1),FALSE)*($BB$69+$BB$75)/(1+$AZ$41)^H$392</f>
        <v>1735.7561590412511</v>
      </c>
      <c r="I441" s="106">
        <f>VLOOKUP($A441,'VKT US'!$B$63:$AA$113,(I$392+1),FALSE)*($BB$69+$BB$75)/(1+$AZ$41)^I$392</f>
        <v>1666.1564033679354</v>
      </c>
      <c r="J441" s="106">
        <f>VLOOKUP($A441,'VKT US'!$B$63:$AA$113,(J$392+1),FALSE)*($BB$69+$BB$75)/(1+$AZ$41)^J$392</f>
        <v>1600.0118491377846</v>
      </c>
      <c r="K441" s="106">
        <f>VLOOKUP($A441,'VKT US'!$B$63:$AA$113,(K$392+1),FALSE)*($BB$69+$BB$75)/(1+$AZ$41)^K$392</f>
        <v>1537.2260483656328</v>
      </c>
      <c r="L441" s="106">
        <f>VLOOKUP($A441,'VKT US'!$B$63:$AA$113,(L$392+1),FALSE)*($BB$69+$BB$75)/(1+$AZ$41)^L$392</f>
        <v>1477.5617587677073</v>
      </c>
      <c r="M441" s="106">
        <f>VLOOKUP($A441,'VKT US'!$B$63:$AA$113,(M$392+1),FALSE)*($BB$69+$BB$75)/(1+$AZ$41)^M$392</f>
        <v>1421.0729444133863</v>
      </c>
      <c r="N441" s="106">
        <f>VLOOKUP($A441,'VKT US'!$B$63:$AA$113,(N$392+1),FALSE)*($BB$69+$BB$75)/(1+$AZ$41)^N$392</f>
        <v>1367.5297327391731</v>
      </c>
      <c r="O441" s="106">
        <f>VLOOKUP($A441,'VKT US'!$B$63:$AA$113,(O$392+1),FALSE)*($BB$69+$BB$75)/(1+$AZ$41)^O$392</f>
        <v>1316.9865648997704</v>
      </c>
      <c r="P441" s="106">
        <f>VLOOKUP($A441,'VKT US'!$B$63:$AA$113,(P$392+1),FALSE)*($BB$69+$BB$75)/(1+$AZ$41)^P$392</f>
        <v>1269.2207097134353</v>
      </c>
      <c r="Q441" s="106">
        <f>VLOOKUP($A441,'VKT US'!$B$63:$AA$113,(Q$392+1),FALSE)*($BB$69+$BB$75)/(1+$AZ$41)^Q$392</f>
        <v>1224.4216313705754</v>
      </c>
      <c r="R441" s="106">
        <f>VLOOKUP($A441,'VKT US'!$B$63:$AA$113,(R$392+1),FALSE)*($BB$69+$BB$75)/(1+$AZ$41)^R$392</f>
        <v>1182.1027005301273</v>
      </c>
      <c r="S441" s="106">
        <f>VLOOKUP($A441,'VKT US'!$B$63:$AA$113,(S$392+1),FALSE)*($BB$69+$BB$75)/(1+$AZ$41)^S$392</f>
        <v>1142.586784145381</v>
      </c>
      <c r="T441" s="106">
        <f>VLOOKUP($A441,'VKT US'!$B$63:$AA$113,(T$392+1),FALSE)*($BB$69+$BB$75)/(1+$AZ$41)^T$392</f>
        <v>1105.4003425432638</v>
      </c>
      <c r="U441" s="109">
        <f>VLOOKUP($A441,'VKT US'!$B$63:$AA$113,(U$392+1),FALSE)*($BB$69+$BB$75)/(1+$AZ$41)^U$392</f>
        <v>1070.8602234565769</v>
      </c>
      <c r="V441" s="110" cm="1">
        <f t="array" ref="V441">SUMPRODUCT(INDEX(B441:U441,,_xlfn.SEQUENCE($AZ$13)))</f>
        <v>24200.34003054881</v>
      </c>
    </row>
    <row r="442" spans="1:22" x14ac:dyDescent="0.25">
      <c r="A442" s="102" t="s">
        <v>160</v>
      </c>
      <c r="B442" s="106">
        <f>VLOOKUP($A442,'VKT US'!$B$63:$AA$113,(B$392+1),FALSE)*($BB$69+$BB$75)/(1+$AZ$41)^B$392</f>
        <v>3475.8034588519663</v>
      </c>
      <c r="C442" s="106">
        <f>VLOOKUP($A442,'VKT US'!$B$63:$AA$113,(C$392+1),FALSE)*($BB$69+$BB$75)/(1+$AZ$41)^C$392</f>
        <v>3332.4334442772792</v>
      </c>
      <c r="D442" s="106">
        <f>VLOOKUP($A442,'VKT US'!$B$63:$AA$113,(D$392+1),FALSE)*($BB$69+$BB$75)/(1+$AZ$41)^D$392</f>
        <v>3195.1599075101758</v>
      </c>
      <c r="E442" s="106">
        <f>VLOOKUP($A442,'VKT US'!$B$63:$AA$113,(E$392+1),FALSE)*($BB$69+$BB$75)/(1+$AZ$41)^E$392</f>
        <v>3064.0627620345431</v>
      </c>
      <c r="F442" s="106">
        <f>VLOOKUP($A442,'VKT US'!$B$63:$AA$113,(F$392+1),FALSE)*($BB$69+$BB$75)/(1+$AZ$41)^F$392</f>
        <v>2938.7354096630829</v>
      </c>
      <c r="G442" s="106">
        <f>VLOOKUP($A442,'VKT US'!$B$63:$AA$113,(G$392+1),FALSE)*($BB$69+$BB$75)/(1+$AZ$41)^G$392</f>
        <v>2819.495364567842</v>
      </c>
      <c r="H442" s="106">
        <f>VLOOKUP($A442,'VKT US'!$B$63:$AA$113,(H$392+1),FALSE)*($BB$69+$BB$75)/(1+$AZ$41)^H$392</f>
        <v>2705.4730599639856</v>
      </c>
      <c r="I442" s="106">
        <f>VLOOKUP($A442,'VKT US'!$B$63:$AA$113,(I$392+1),FALSE)*($BB$69+$BB$75)/(1+$AZ$41)^I$392</f>
        <v>2596.9899282905608</v>
      </c>
      <c r="J442" s="106">
        <f>VLOOKUP($A442,'VKT US'!$B$63:$AA$113,(J$392+1),FALSE)*($BB$69+$BB$75)/(1+$AZ$41)^J$392</f>
        <v>2493.8923194467902</v>
      </c>
      <c r="K442" s="106">
        <f>VLOOKUP($A442,'VKT US'!$B$63:$AA$113,(K$392+1),FALSE)*($BB$69+$BB$75)/(1+$AZ$41)^K$392</f>
        <v>2396.029902740087</v>
      </c>
      <c r="L442" s="106">
        <f>VLOOKUP($A442,'VKT US'!$B$63:$AA$113,(L$392+1),FALSE)*($BB$69+$BB$75)/(1+$AZ$41)^L$392</f>
        <v>2303.0328954656097</v>
      </c>
      <c r="M442" s="106">
        <f>VLOOKUP($A442,'VKT US'!$B$63:$AA$113,(M$392+1),FALSE)*($BB$69+$BB$75)/(1+$AZ$41)^M$392</f>
        <v>2214.985409861792</v>
      </c>
      <c r="N442" s="106">
        <f>VLOOKUP($A442,'VKT US'!$B$63:$AA$113,(N$392+1),FALSE)*($BB$69+$BB$75)/(1+$AZ$41)^N$392</f>
        <v>2131.5291501942206</v>
      </c>
      <c r="O442" s="106">
        <f>VLOOKUP($A442,'VKT US'!$B$63:$AA$113,(O$392+1),FALSE)*($BB$69+$BB$75)/(1+$AZ$41)^O$392</f>
        <v>2052.7489723204621</v>
      </c>
      <c r="P442" s="106">
        <f>VLOOKUP($A442,'VKT US'!$B$63:$AA$113,(P$392+1),FALSE)*($BB$69+$BB$75)/(1+$AZ$41)^P$392</f>
        <v>1978.2977115718606</v>
      </c>
      <c r="Q442" s="106">
        <f>VLOOKUP($A442,'VKT US'!$B$63:$AA$113,(Q$392+1),FALSE)*($BB$69+$BB$75)/(1+$AZ$41)^Q$392</f>
        <v>1908.4706803172114</v>
      </c>
      <c r="R442" s="106">
        <f>VLOOKUP($A442,'VKT US'!$B$63:$AA$113,(R$392+1),FALSE)*($BB$69+$BB$75)/(1+$AZ$41)^R$392</f>
        <v>1842.5093834386503</v>
      </c>
      <c r="S442" s="106">
        <f>VLOOKUP($A442,'VKT US'!$B$63:$AA$113,(S$392+1),FALSE)*($BB$69+$BB$75)/(1+$AZ$41)^S$392</f>
        <v>1780.9170643436844</v>
      </c>
      <c r="T442" s="106">
        <f>VLOOKUP($A442,'VKT US'!$B$63:$AA$113,(T$392+1),FALSE)*($BB$69+$BB$75)/(1+$AZ$41)^T$392</f>
        <v>1722.955630402397</v>
      </c>
      <c r="U442" s="109">
        <f>VLOOKUP($A442,'VKT US'!$B$63:$AA$113,(U$392+1),FALSE)*($BB$69+$BB$75)/(1+$AZ$41)^U$392</f>
        <v>1669.1189430369354</v>
      </c>
      <c r="V442" s="110" cm="1">
        <f t="array" ref="V442">SUMPRODUCT(INDEX(B442:U442,,_xlfn.SEQUENCE($AZ$13)))</f>
        <v>37720.371985188394</v>
      </c>
    </row>
    <row r="443" spans="1:22" x14ac:dyDescent="0.25">
      <c r="A443" s="103" t="s">
        <v>134</v>
      </c>
      <c r="B443" s="113">
        <f>VLOOKUP($A443,'VKT US'!$B$63:$AA$113,(B$392+1),FALSE)*($BB$69+$BB$75)/(1+$AZ$41)^B$392</f>
        <v>2059.3679880256846</v>
      </c>
      <c r="C443" s="113">
        <f>VLOOKUP($A443,'VKT US'!$B$63:$AA$113,(C$392+1),FALSE)*($BB$69+$BB$75)/(1+$AZ$41)^C$392</f>
        <v>1974.423133705468</v>
      </c>
      <c r="D443" s="113">
        <f>VLOOKUP($A443,'VKT US'!$B$63:$AA$113,(D$392+1),FALSE)*($BB$69+$BB$75)/(1+$AZ$41)^D$392</f>
        <v>1893.0903625727142</v>
      </c>
      <c r="E443" s="113">
        <f>VLOOKUP($A443,'VKT US'!$B$63:$AA$113,(E$392+1),FALSE)*($BB$69+$BB$75)/(1+$AZ$41)^E$392</f>
        <v>1815.4170223191097</v>
      </c>
      <c r="F443" s="113">
        <f>VLOOKUP($A443,'VKT US'!$B$63:$AA$113,(F$392+1),FALSE)*($BB$69+$BB$75)/(1+$AZ$41)^F$392</f>
        <v>1741.1622088484289</v>
      </c>
      <c r="G443" s="113">
        <f>VLOOKUP($A443,'VKT US'!$B$63:$AA$113,(G$392+1),FALSE)*($BB$69+$BB$75)/(1+$AZ$41)^G$392</f>
        <v>1670.5140451455873</v>
      </c>
      <c r="H443" s="113">
        <f>VLOOKUP($A443,'VKT US'!$B$63:$AA$113,(H$392+1),FALSE)*($BB$69+$BB$75)/(1+$AZ$41)^H$392</f>
        <v>1602.957324288979</v>
      </c>
      <c r="I443" s="113">
        <f>VLOOKUP($A443,'VKT US'!$B$63:$AA$113,(I$392+1),FALSE)*($BB$69+$BB$75)/(1+$AZ$41)^I$392</f>
        <v>1538.6824907853559</v>
      </c>
      <c r="J443" s="113">
        <f>VLOOKUP($A443,'VKT US'!$B$63:$AA$113,(J$392+1),FALSE)*($BB$69+$BB$75)/(1+$AZ$41)^J$392</f>
        <v>1477.5985089640765</v>
      </c>
      <c r="K443" s="113">
        <f>VLOOKUP($A443,'VKT US'!$B$63:$AA$113,(K$392+1),FALSE)*($BB$69+$BB$75)/(1+$AZ$41)^K$392</f>
        <v>1419.6163098603386</v>
      </c>
      <c r="L443" s="113">
        <f>VLOOKUP($A443,'VKT US'!$B$63:$AA$113,(L$392+1),FALSE)*($BB$69+$BB$75)/(1+$AZ$41)^L$392</f>
        <v>1364.516802068691</v>
      </c>
      <c r="M443" s="113">
        <f>VLOOKUP($A443,'VKT US'!$B$63:$AA$113,(M$392+1),FALSE)*($BB$69+$BB$75)/(1+$AZ$41)^M$392</f>
        <v>1312.3498209878494</v>
      </c>
      <c r="N443" s="113">
        <f>VLOOKUP($A443,'VKT US'!$B$63:$AA$113,(N$392+1),FALSE)*($BB$69+$BB$75)/(1+$AZ$41)^N$392</f>
        <v>1262.9030810917673</v>
      </c>
      <c r="O443" s="113">
        <f>VLOOKUP($A443,'VKT US'!$B$63:$AA$113,(O$392+1),FALSE)*($BB$69+$BB$75)/(1+$AZ$41)^O$392</f>
        <v>1216.2268583637499</v>
      </c>
      <c r="P443" s="113">
        <f>VLOOKUP($A443,'VKT US'!$B$63:$AA$113,(P$392+1),FALSE)*($BB$69+$BB$75)/(1+$AZ$41)^P$392</f>
        <v>1172.1154622883043</v>
      </c>
      <c r="Q443" s="113">
        <f>VLOOKUP($A443,'VKT US'!$B$63:$AA$113,(Q$392+1),FALSE)*($BB$69+$BB$75)/(1+$AZ$41)^Q$392</f>
        <v>1130.7438615729436</v>
      </c>
      <c r="R443" s="113">
        <f>VLOOKUP($A443,'VKT US'!$B$63:$AA$113,(R$392+1),FALSE)*($BB$69+$BB$75)/(1+$AZ$41)^R$392</f>
        <v>1091.6626578027988</v>
      </c>
      <c r="S443" s="113">
        <f>VLOOKUP($A443,'VKT US'!$B$63:$AA$113,(S$392+1),FALSE)*($BB$69+$BB$75)/(1+$AZ$41)^S$392</f>
        <v>1055.1700161002293</v>
      </c>
      <c r="T443" s="113">
        <f>VLOOKUP($A443,'VKT US'!$B$63:$AA$113,(T$392+1),FALSE)*($BB$69+$BB$75)/(1+$AZ$41)^T$392</f>
        <v>1020.8286262570369</v>
      </c>
      <c r="U443" s="98">
        <f>VLOOKUP($A443,'VKT US'!$B$63:$AA$113,(U$392+1),FALSE)*($BB$69+$BB$75)/(1+$AZ$41)^U$392</f>
        <v>988.93109469223475</v>
      </c>
      <c r="V443" s="111" cm="1">
        <f t="array" ref="V443">SUMPRODUCT(INDEX(B443:U443,,_xlfn.SEQUENCE($AZ$13)))</f>
        <v>22348.825957027795</v>
      </c>
    </row>
    <row r="446" spans="1:22" x14ac:dyDescent="0.25">
      <c r="A446" s="105" t="s">
        <v>461</v>
      </c>
    </row>
    <row r="447" spans="1:22" x14ac:dyDescent="0.25">
      <c r="A447" s="213" t="s">
        <v>3</v>
      </c>
      <c r="B447" s="213" t="s">
        <v>317</v>
      </c>
      <c r="C447" s="213"/>
      <c r="D447" s="213"/>
      <c r="E447" s="213"/>
      <c r="F447" s="213"/>
      <c r="G447" s="213"/>
      <c r="H447" s="213"/>
      <c r="I447" s="213"/>
      <c r="J447" s="213"/>
      <c r="K447" s="213"/>
      <c r="L447" s="213"/>
      <c r="M447" s="213"/>
      <c r="N447" s="213"/>
      <c r="O447" s="213"/>
      <c r="P447" s="213"/>
      <c r="Q447" s="213"/>
      <c r="R447" s="213"/>
      <c r="S447" s="213"/>
      <c r="T447" s="213"/>
      <c r="U447" s="213"/>
      <c r="V447" s="214" t="s">
        <v>453</v>
      </c>
    </row>
    <row r="448" spans="1:22" x14ac:dyDescent="0.25">
      <c r="A448" s="213"/>
      <c r="B448" s="73">
        <v>1</v>
      </c>
      <c r="C448" s="73">
        <v>2</v>
      </c>
      <c r="D448" s="73">
        <v>3</v>
      </c>
      <c r="E448" s="73">
        <v>4</v>
      </c>
      <c r="F448" s="73">
        <v>5</v>
      </c>
      <c r="G448" s="73">
        <v>6</v>
      </c>
      <c r="H448" s="73">
        <v>7</v>
      </c>
      <c r="I448" s="73">
        <v>8</v>
      </c>
      <c r="J448" s="73">
        <v>9</v>
      </c>
      <c r="K448" s="73">
        <v>10</v>
      </c>
      <c r="L448" s="73">
        <v>11</v>
      </c>
      <c r="M448" s="73">
        <v>12</v>
      </c>
      <c r="N448" s="73">
        <v>13</v>
      </c>
      <c r="O448" s="73">
        <v>14</v>
      </c>
      <c r="P448" s="73">
        <v>15</v>
      </c>
      <c r="Q448" s="73">
        <v>16</v>
      </c>
      <c r="R448" s="73">
        <v>17</v>
      </c>
      <c r="S448" s="73">
        <v>18</v>
      </c>
      <c r="T448" s="73">
        <v>19</v>
      </c>
      <c r="U448" s="73">
        <v>20</v>
      </c>
      <c r="V448" s="215"/>
    </row>
    <row r="449" spans="1:22" x14ac:dyDescent="0.25">
      <c r="A449" s="102" t="s">
        <v>187</v>
      </c>
      <c r="B449" s="106">
        <f>VLOOKUP($A449,'VKT US'!$B$63:$AA$113,(B$448+1),FALSE)*($BC$69+$BC$75)/(1+$AZ$41)^B$448</f>
        <v>2572.9523547453355</v>
      </c>
      <c r="C449" s="106">
        <f>VLOOKUP($A449,'VKT US'!$B$63:$AA$113,(C$448+1),FALSE)*($BC$69+$BC$75)/(1+$AZ$41)^C$448</f>
        <v>2466.8231616057287</v>
      </c>
      <c r="D449" s="106">
        <f>VLOOKUP($A449,'VKT US'!$B$63:$AA$113,(D$448+1),FALSE)*($BC$69+$BC$75)/(1+$AZ$41)^D$448</f>
        <v>2365.2068665964016</v>
      </c>
      <c r="E449" s="106">
        <f>VLOOKUP($A449,'VKT US'!$B$63:$AA$113,(E$448+1),FALSE)*($BC$69+$BC$75)/(1+$AZ$41)^E$448</f>
        <v>2268.1626254173193</v>
      </c>
      <c r="F449" s="106">
        <f>VLOOKUP($A449,'VKT US'!$B$63:$AA$113,(F$448+1),FALSE)*($BC$69+$BC$75)/(1+$AZ$41)^F$448</f>
        <v>2175.3894550653181</v>
      </c>
      <c r="G449" s="106">
        <f>VLOOKUP($A449,'VKT US'!$B$63:$AA$113,(G$448+1),FALSE)*($BC$69+$BC$75)/(1+$AZ$41)^G$448</f>
        <v>2087.1223943871887</v>
      </c>
      <c r="H449" s="106">
        <f>VLOOKUP($A449,'VKT US'!$B$63:$AA$113,(H$448+1),FALSE)*($BC$69+$BC$75)/(1+$AZ$41)^H$448</f>
        <v>2002.7177493613503</v>
      </c>
      <c r="I449" s="106">
        <f>VLOOKUP($A449,'VKT US'!$B$63:$AA$113,(I$448+1),FALSE)*($BC$69+$BC$75)/(1+$AZ$41)^I$448</f>
        <v>1922.4134593191623</v>
      </c>
      <c r="J449" s="106">
        <f>VLOOKUP($A449,'VKT US'!$B$63:$AA$113,(J$448+1),FALSE)*($BC$69+$BC$75)/(1+$AZ$41)^J$448</f>
        <v>1846.0957852666695</v>
      </c>
      <c r="K449" s="106">
        <f>VLOOKUP($A449,'VKT US'!$B$63:$AA$113,(K$448+1),FALSE)*($BC$69+$BC$75)/(1+$AZ$41)^K$448</f>
        <v>1773.6534453911722</v>
      </c>
      <c r="L449" s="106">
        <f>VLOOKUP($A449,'VKT US'!$B$63:$AA$113,(L$448+1),FALSE)*($BC$69+$BC$75)/(1+$AZ$41)^L$448</f>
        <v>1704.8127092322395</v>
      </c>
      <c r="M449" s="106">
        <f>VLOOKUP($A449,'VKT US'!$B$63:$AA$113,(M$448+1),FALSE)*($BC$69+$BC$75)/(1+$AZ$41)^M$448</f>
        <v>1639.6358406044103</v>
      </c>
      <c r="N449" s="106">
        <f>VLOOKUP($A449,'VKT US'!$B$63:$AA$113,(N$448+1),FALSE)*($BC$69+$BC$75)/(1+$AZ$41)^N$448</f>
        <v>1577.857612240244</v>
      </c>
      <c r="O449" s="106">
        <f>VLOOKUP($A449,'VKT US'!$B$63:$AA$113,(O$448+1),FALSE)*($BC$69+$BC$75)/(1+$AZ$41)^O$448</f>
        <v>1519.5408384159573</v>
      </c>
      <c r="P449" s="106">
        <f>VLOOKUP($A449,'VKT US'!$B$63:$AA$113,(P$448+1),FALSE)*($BC$69+$BC$75)/(1+$AZ$41)^P$448</f>
        <v>1464.4285315998106</v>
      </c>
      <c r="Q449" s="106">
        <f>VLOOKUP($A449,'VKT US'!$B$63:$AA$113,(Q$448+1),FALSE)*($BC$69+$BC$75)/(1+$AZ$41)^Q$448</f>
        <v>1412.7392958249932</v>
      </c>
      <c r="R449" s="106">
        <f>VLOOKUP($A449,'VKT US'!$B$63:$AA$113,(R$448+1),FALSE)*($BC$69+$BC$75)/(1+$AZ$41)^R$448</f>
        <v>1363.9116575149126</v>
      </c>
      <c r="S449" s="106">
        <f>VLOOKUP($A449,'VKT US'!$B$63:$AA$113,(S$448+1),FALSE)*($BC$69+$BC$75)/(1+$AZ$41)^S$448</f>
        <v>1318.3181409868055</v>
      </c>
      <c r="T449" s="106">
        <f>VLOOKUP($A449,'VKT US'!$B$63:$AA$113,(T$448+1),FALSE)*($BC$69+$BC$75)/(1+$AZ$41)^T$448</f>
        <v>1275.4123755403014</v>
      </c>
      <c r="U449" s="109">
        <f>VLOOKUP($A449,'VKT US'!$B$63:$AA$113,(U$448+1),FALSE)*($BC$69+$BC$75)/(1+$AZ$41)^U$448</f>
        <v>1235.5599405080841</v>
      </c>
      <c r="V449" s="109" cm="1">
        <f t="array" ref="V449">SUMPRODUCT(INDEX(B449:U449,,_xlfn.SEQUENCE($AZ$13)))</f>
        <v>27922.384297648496</v>
      </c>
    </row>
    <row r="450" spans="1:22" x14ac:dyDescent="0.25">
      <c r="A450" s="102" t="s">
        <v>231</v>
      </c>
      <c r="B450" s="106">
        <f>VLOOKUP($A450,'VKT US'!$B$63:$AA$113,(B$448+1),FALSE)*($BC$69+$BC$75)/(1+$AZ$41)^B$448</f>
        <v>1604.5391263161825</v>
      </c>
      <c r="C450" s="106">
        <f>VLOOKUP($A450,'VKT US'!$B$63:$AA$113,(C$448+1),FALSE)*($BC$69+$BC$75)/(1+$AZ$41)^C$448</f>
        <v>1538.3550625021753</v>
      </c>
      <c r="D450" s="106">
        <f>VLOOKUP($A450,'VKT US'!$B$63:$AA$113,(D$448+1),FALSE)*($BC$69+$BC$75)/(1+$AZ$41)^D$448</f>
        <v>1474.9853227116025</v>
      </c>
      <c r="E450" s="106">
        <f>VLOOKUP($A450,'VKT US'!$B$63:$AA$113,(E$448+1),FALSE)*($BC$69+$BC$75)/(1+$AZ$41)^E$448</f>
        <v>1414.4667974974368</v>
      </c>
      <c r="F450" s="106">
        <f>VLOOKUP($A450,'VKT US'!$B$63:$AA$113,(F$448+1),FALSE)*($BC$69+$BC$75)/(1+$AZ$41)^F$448</f>
        <v>1356.6117884734103</v>
      </c>
      <c r="G450" s="106">
        <f>VLOOKUP($A450,'VKT US'!$B$63:$AA$113,(G$448+1),FALSE)*($BC$69+$BC$75)/(1+$AZ$41)^G$448</f>
        <v>1301.5668700699364</v>
      </c>
      <c r="H450" s="106">
        <f>VLOOKUP($A450,'VKT US'!$B$63:$AA$113,(H$448+1),FALSE)*($BC$69+$BC$75)/(1+$AZ$41)^H$448</f>
        <v>1248.9306231775249</v>
      </c>
      <c r="I450" s="106">
        <f>VLOOKUP($A450,'VKT US'!$B$63:$AA$113,(I$448+1),FALSE)*($BC$69+$BC$75)/(1+$AZ$41)^I$448</f>
        <v>1198.8514310206665</v>
      </c>
      <c r="J450" s="106">
        <f>VLOOKUP($A450,'VKT US'!$B$63:$AA$113,(J$448+1),FALSE)*($BC$69+$BC$75)/(1+$AZ$41)^J$448</f>
        <v>1151.2583639275954</v>
      </c>
      <c r="K450" s="106">
        <f>VLOOKUP($A450,'VKT US'!$B$63:$AA$113,(K$448+1),FALSE)*($BC$69+$BC$75)/(1+$AZ$41)^K$448</f>
        <v>1106.0820245687441</v>
      </c>
      <c r="L450" s="106">
        <f>VLOOKUP($A450,'VKT US'!$B$63:$AA$113,(L$448+1),FALSE)*($BC$69+$BC$75)/(1+$AZ$41)^L$448</f>
        <v>1063.1517097311225</v>
      </c>
      <c r="M450" s="106">
        <f>VLOOKUP($A450,'VKT US'!$B$63:$AA$113,(M$448+1),FALSE)*($BC$69+$BC$75)/(1+$AZ$41)^M$448</f>
        <v>1022.5062482435653</v>
      </c>
      <c r="N450" s="106">
        <f>VLOOKUP($A450,'VKT US'!$B$63:$AA$113,(N$448+1),FALSE)*($BC$69+$BC$75)/(1+$AZ$41)^N$448</f>
        <v>983.98023963637831</v>
      </c>
      <c r="O450" s="106">
        <f>VLOOKUP($A450,'VKT US'!$B$63:$AA$113,(O$448+1),FALSE)*($BC$69+$BC$75)/(1+$AZ$41)^O$448</f>
        <v>947.61285601614748</v>
      </c>
      <c r="P450" s="106">
        <f>VLOOKUP($A450,'VKT US'!$B$63:$AA$113,(P$448+1),FALSE)*($BC$69+$BC$75)/(1+$AZ$41)^P$448</f>
        <v>913.24383535979678</v>
      </c>
      <c r="Q450" s="106">
        <f>VLOOKUP($A450,'VKT US'!$B$63:$AA$113,(Q$448+1),FALSE)*($BC$69+$BC$75)/(1+$AZ$41)^Q$448</f>
        <v>881.00950305390916</v>
      </c>
      <c r="R450" s="106">
        <f>VLOOKUP($A450,'VKT US'!$B$63:$AA$113,(R$448+1),FALSE)*($BC$69+$BC$75)/(1+$AZ$41)^R$448</f>
        <v>850.55971412966232</v>
      </c>
      <c r="S450" s="106">
        <f>VLOOKUP($A450,'VKT US'!$B$63:$AA$113,(S$448+1),FALSE)*($BC$69+$BC$75)/(1+$AZ$41)^S$448</f>
        <v>822.12678141687127</v>
      </c>
      <c r="T450" s="106">
        <f>VLOOKUP($A450,'VKT US'!$B$63:$AA$113,(T$448+1),FALSE)*($BC$69+$BC$75)/(1+$AZ$41)^T$448</f>
        <v>795.36997837056106</v>
      </c>
      <c r="U450" s="109">
        <f>VLOOKUP($A450,'VKT US'!$B$63:$AA$113,(U$448+1),FALSE)*($BC$69+$BC$75)/(1+$AZ$41)^U$448</f>
        <v>770.51728680391318</v>
      </c>
      <c r="V450" s="110" cm="1">
        <f t="array" ref="V450">SUMPRODUCT(INDEX(B450:U450,,_xlfn.SEQUENCE($AZ$13)))</f>
        <v>17412.898463892492</v>
      </c>
    </row>
    <row r="451" spans="1:22" x14ac:dyDescent="0.25">
      <c r="A451" s="102" t="s">
        <v>189</v>
      </c>
      <c r="B451" s="106">
        <f>VLOOKUP($A451,'VKT US'!$B$63:$AA$113,(B$448+1),FALSE)*($BC$69+$BC$75)/(1+$AZ$41)^B$448</f>
        <v>1890.3264479775742</v>
      </c>
      <c r="C451" s="106">
        <f>VLOOKUP($A451,'VKT US'!$B$63:$AA$113,(C$448+1),FALSE)*($BC$69+$BC$75)/(1+$AZ$41)^C$448</f>
        <v>1812.3542226760392</v>
      </c>
      <c r="D451" s="106">
        <f>VLOOKUP($A451,'VKT US'!$B$63:$AA$113,(D$448+1),FALSE)*($BC$69+$BC$75)/(1+$AZ$41)^D$448</f>
        <v>1737.6975856623958</v>
      </c>
      <c r="E451" s="106">
        <f>VLOOKUP($A451,'VKT US'!$B$63:$AA$113,(E$448+1),FALSE)*($BC$69+$BC$75)/(1+$AZ$41)^E$448</f>
        <v>1666.3999981317115</v>
      </c>
      <c r="F451" s="106">
        <f>VLOOKUP($A451,'VKT US'!$B$63:$AA$113,(F$448+1),FALSE)*($BC$69+$BC$75)/(1+$AZ$41)^F$448</f>
        <v>1598.2403304038287</v>
      </c>
      <c r="G451" s="106">
        <f>VLOOKUP($A451,'VKT US'!$B$63:$AA$113,(G$448+1),FALSE)*($BC$69+$BC$75)/(1+$AZ$41)^G$448</f>
        <v>1533.3912635420272</v>
      </c>
      <c r="H451" s="106">
        <f>VLOOKUP($A451,'VKT US'!$B$63:$AA$113,(H$448+1),FALSE)*($BC$69+$BC$75)/(1+$AZ$41)^H$448</f>
        <v>1471.3798809642517</v>
      </c>
      <c r="I451" s="106">
        <f>VLOOKUP($A451,'VKT US'!$B$63:$AA$113,(I$448+1),FALSE)*($BC$69+$BC$75)/(1+$AZ$41)^I$448</f>
        <v>1412.3809946953941</v>
      </c>
      <c r="J451" s="106">
        <f>VLOOKUP($A451,'VKT US'!$B$63:$AA$113,(J$448+1),FALSE)*($BC$69+$BC$75)/(1+$AZ$41)^J$448</f>
        <v>1356.3110416535164</v>
      </c>
      <c r="K451" s="106">
        <f>VLOOKUP($A451,'VKT US'!$B$63:$AA$113,(K$448+1),FALSE)*($BC$69+$BC$75)/(1+$AZ$41)^K$448</f>
        <v>1303.0882640270777</v>
      </c>
      <c r="L451" s="106">
        <f>VLOOKUP($A451,'VKT US'!$B$63:$AA$113,(L$448+1),FALSE)*($BC$69+$BC$75)/(1+$AZ$41)^L$448</f>
        <v>1252.5115543497791</v>
      </c>
      <c r="M451" s="106">
        <f>VLOOKUP($A451,'VKT US'!$B$63:$AA$113,(M$448+1),FALSE)*($BC$69+$BC$75)/(1+$AZ$41)^M$448</f>
        <v>1204.6266573223177</v>
      </c>
      <c r="N451" s="106">
        <f>VLOOKUP($A451,'VKT US'!$B$63:$AA$113,(N$448+1),FALSE)*($BC$69+$BC$75)/(1+$AZ$41)^N$448</f>
        <v>1159.2387127027441</v>
      </c>
      <c r="O451" s="106">
        <f>VLOOKUP($A451,'VKT US'!$B$63:$AA$113,(O$448+1),FALSE)*($BC$69+$BC$75)/(1+$AZ$41)^O$448</f>
        <v>1116.3938696113196</v>
      </c>
      <c r="P451" s="106">
        <f>VLOOKUP($A451,'VKT US'!$B$63:$AA$113,(P$448+1),FALSE)*($BC$69+$BC$75)/(1+$AZ$41)^P$448</f>
        <v>1075.9033214705912</v>
      </c>
      <c r="Q451" s="106">
        <f>VLOOKUP($A451,'VKT US'!$B$63:$AA$113,(Q$448+1),FALSE)*($BC$69+$BC$75)/(1+$AZ$41)^Q$448</f>
        <v>1037.9276748245586</v>
      </c>
      <c r="R451" s="106">
        <f>VLOOKUP($A451,'VKT US'!$B$63:$AA$113,(R$448+1),FALSE)*($BC$69+$BC$75)/(1+$AZ$41)^R$448</f>
        <v>1002.0544197603529</v>
      </c>
      <c r="S451" s="106">
        <f>VLOOKUP($A451,'VKT US'!$B$63:$AA$113,(S$448+1),FALSE)*($BC$69+$BC$75)/(1+$AZ$41)^S$448</f>
        <v>968.55724675968372</v>
      </c>
      <c r="T451" s="106">
        <f>VLOOKUP($A451,'VKT US'!$B$63:$AA$113,(T$448+1),FALSE)*($BC$69+$BC$75)/(1+$AZ$41)^T$448</f>
        <v>937.03474186577671</v>
      </c>
      <c r="U451" s="109">
        <f>VLOOKUP($A451,'VKT US'!$B$63:$AA$113,(U$448+1),FALSE)*($BC$69+$BC$75)/(1+$AZ$41)^U$448</f>
        <v>907.75549313862155</v>
      </c>
      <c r="V451" s="110" cm="1">
        <f t="array" ref="V451">SUMPRODUCT(INDEX(B451:U451,,_xlfn.SEQUENCE($AZ$13)))</f>
        <v>20514.340823719976</v>
      </c>
    </row>
    <row r="452" spans="1:22" x14ac:dyDescent="0.25">
      <c r="A452" s="102" t="s">
        <v>188</v>
      </c>
      <c r="B452" s="106">
        <f>VLOOKUP($A452,'VKT US'!$B$63:$AA$113,(B$448+1),FALSE)*($BC$69+$BC$75)/(1+$AZ$41)^B$448</f>
        <v>2487.3172452227459</v>
      </c>
      <c r="C452" s="106">
        <f>VLOOKUP($A452,'VKT US'!$B$63:$AA$113,(C$448+1),FALSE)*($BC$69+$BC$75)/(1+$AZ$41)^C$448</f>
        <v>2384.7203308916805</v>
      </c>
      <c r="D452" s="106">
        <f>VLOOKUP($A452,'VKT US'!$B$63:$AA$113,(D$448+1),FALSE)*($BC$69+$BC$75)/(1+$AZ$41)^D$448</f>
        <v>2286.4861127157446</v>
      </c>
      <c r="E452" s="106">
        <f>VLOOKUP($A452,'VKT US'!$B$63:$AA$113,(E$448+1),FALSE)*($BC$69+$BC$75)/(1+$AZ$41)^E$448</f>
        <v>2192.6717775264019</v>
      </c>
      <c r="F452" s="106">
        <f>VLOOKUP($A452,'VKT US'!$B$63:$AA$113,(F$448+1),FALSE)*($BC$69+$BC$75)/(1+$AZ$41)^F$448</f>
        <v>2102.9863598835404</v>
      </c>
      <c r="G452" s="106">
        <f>VLOOKUP($A452,'VKT US'!$B$63:$AA$113,(G$448+1),FALSE)*($BC$69+$BC$75)/(1+$AZ$41)^G$448</f>
        <v>2017.6570758783712</v>
      </c>
      <c r="H452" s="106">
        <f>VLOOKUP($A452,'VKT US'!$B$63:$AA$113,(H$448+1),FALSE)*($BC$69+$BC$75)/(1+$AZ$41)^H$448</f>
        <v>1936.0616554414266</v>
      </c>
      <c r="I452" s="106">
        <f>VLOOKUP($A452,'VKT US'!$B$63:$AA$113,(I$448+1),FALSE)*($BC$69+$BC$75)/(1+$AZ$41)^I$448</f>
        <v>1858.4301186121822</v>
      </c>
      <c r="J452" s="106">
        <f>VLOOKUP($A452,'VKT US'!$B$63:$AA$113,(J$448+1),FALSE)*($BC$69+$BC$75)/(1+$AZ$41)^J$448</f>
        <v>1784.6525119511205</v>
      </c>
      <c r="K452" s="106">
        <f>VLOOKUP($A452,'VKT US'!$B$63:$AA$113,(K$448+1),FALSE)*($BC$69+$BC$75)/(1+$AZ$41)^K$448</f>
        <v>1714.6212574180586</v>
      </c>
      <c r="L452" s="106">
        <f>VLOOKUP($A452,'VKT US'!$B$63:$AA$113,(L$448+1),FALSE)*($BC$69+$BC$75)/(1+$AZ$41)^L$448</f>
        <v>1648.0717350741477</v>
      </c>
      <c r="M452" s="106">
        <f>VLOOKUP($A452,'VKT US'!$B$63:$AA$113,(M$448+1),FALSE)*($BC$69+$BC$75)/(1+$AZ$41)^M$448</f>
        <v>1585.0641364186095</v>
      </c>
      <c r="N452" s="106">
        <f>VLOOKUP($A452,'VKT US'!$B$63:$AA$113,(N$448+1),FALSE)*($BC$69+$BC$75)/(1+$AZ$41)^N$448</f>
        <v>1525.3420616953449</v>
      </c>
      <c r="O452" s="106">
        <f>VLOOKUP($A452,'VKT US'!$B$63:$AA$113,(O$448+1),FALSE)*($BC$69+$BC$75)/(1+$AZ$41)^O$448</f>
        <v>1468.9662345443367</v>
      </c>
      <c r="P452" s="106">
        <f>VLOOKUP($A452,'VKT US'!$B$63:$AA$113,(P$448+1),FALSE)*($BC$69+$BC$75)/(1+$AZ$41)^P$448</f>
        <v>1415.6882207035494</v>
      </c>
      <c r="Q452" s="106">
        <f>VLOOKUP($A452,'VKT US'!$B$63:$AA$113,(Q$448+1),FALSE)*($BC$69+$BC$75)/(1+$AZ$41)^Q$448</f>
        <v>1365.7193484475322</v>
      </c>
      <c r="R452" s="106">
        <f>VLOOKUP($A452,'VKT US'!$B$63:$AA$113,(R$448+1),FALSE)*($BC$69+$BC$75)/(1+$AZ$41)^R$448</f>
        <v>1318.5168316235536</v>
      </c>
      <c r="S452" s="106">
        <f>VLOOKUP($A452,'VKT US'!$B$63:$AA$113,(S$448+1),FALSE)*($BC$69+$BC$75)/(1+$AZ$41)^S$448</f>
        <v>1274.4407958891361</v>
      </c>
      <c r="T452" s="106">
        <f>VLOOKUP($A452,'VKT US'!$B$63:$AA$113,(T$448+1),FALSE)*($BC$69+$BC$75)/(1+$AZ$41)^T$448</f>
        <v>1232.9630553014622</v>
      </c>
      <c r="U452" s="109">
        <f>VLOOKUP($A452,'VKT US'!$B$63:$AA$113,(U$448+1),FALSE)*($BC$69+$BC$75)/(1+$AZ$41)^U$448</f>
        <v>1194.437021682171</v>
      </c>
      <c r="V452" s="110" cm="1">
        <f t="array" ref="V452">SUMPRODUCT(INDEX(B452:U452,,_xlfn.SEQUENCE($AZ$13)))</f>
        <v>26993.048613273706</v>
      </c>
    </row>
    <row r="453" spans="1:22" x14ac:dyDescent="0.25">
      <c r="A453" s="102" t="s">
        <v>149</v>
      </c>
      <c r="B453" s="106">
        <f>VLOOKUP($A453,'VKT US'!$B$63:$AA$113,(B$448+1),FALSE)*($BC$69+$BC$75)/(1+$AZ$41)^B$448</f>
        <v>1808.5904075226233</v>
      </c>
      <c r="C453" s="106">
        <f>VLOOKUP($A453,'VKT US'!$B$63:$AA$113,(C$448+1),FALSE)*($BC$69+$BC$75)/(1+$AZ$41)^C$448</f>
        <v>1733.9896321462732</v>
      </c>
      <c r="D453" s="106">
        <f>VLOOKUP($A453,'VKT US'!$B$63:$AA$113,(D$448+1),FALSE)*($BC$69+$BC$75)/(1+$AZ$41)^D$448</f>
        <v>1662.5610819584297</v>
      </c>
      <c r="E453" s="106">
        <f>VLOOKUP($A453,'VKT US'!$B$63:$AA$113,(E$448+1),FALSE)*($BC$69+$BC$75)/(1+$AZ$41)^E$448</f>
        <v>1594.3463389306</v>
      </c>
      <c r="F453" s="106">
        <f>VLOOKUP($A453,'VKT US'!$B$63:$AA$113,(F$448+1),FALSE)*($BC$69+$BC$75)/(1+$AZ$41)^F$448</f>
        <v>1529.1338348340373</v>
      </c>
      <c r="G453" s="106">
        <f>VLOOKUP($A453,'VKT US'!$B$63:$AA$113,(G$448+1),FALSE)*($BC$69+$BC$75)/(1+$AZ$41)^G$448</f>
        <v>1467.0887841558708</v>
      </c>
      <c r="H453" s="106">
        <f>VLOOKUP($A453,'VKT US'!$B$63:$AA$113,(H$448+1),FALSE)*($BC$69+$BC$75)/(1+$AZ$41)^H$448</f>
        <v>1407.7587188079672</v>
      </c>
      <c r="I453" s="106">
        <f>VLOOKUP($A453,'VKT US'!$B$63:$AA$113,(I$448+1),FALSE)*($BC$69+$BC$75)/(1+$AZ$41)^I$448</f>
        <v>1351.3108920981754</v>
      </c>
      <c r="J453" s="106">
        <f>VLOOKUP($A453,'VKT US'!$B$63:$AA$113,(J$448+1),FALSE)*($BC$69+$BC$75)/(1+$AZ$41)^J$448</f>
        <v>1297.6653541381695</v>
      </c>
      <c r="K453" s="106">
        <f>VLOOKUP($A453,'VKT US'!$B$63:$AA$113,(K$448+1),FALSE)*($BC$69+$BC$75)/(1+$AZ$41)^K$448</f>
        <v>1246.7438822517283</v>
      </c>
      <c r="L453" s="106">
        <f>VLOOKUP($A453,'VKT US'!$B$63:$AA$113,(L$448+1),FALSE)*($BC$69+$BC$75)/(1+$AZ$41)^L$448</f>
        <v>1198.3540646811789</v>
      </c>
      <c r="M453" s="106">
        <f>VLOOKUP($A453,'VKT US'!$B$63:$AA$113,(M$448+1),FALSE)*($BC$69+$BC$75)/(1+$AZ$41)^M$448</f>
        <v>1152.539668166899</v>
      </c>
      <c r="N453" s="106">
        <f>VLOOKUP($A453,'VKT US'!$B$63:$AA$113,(N$448+1),FALSE)*($BC$69+$BC$75)/(1+$AZ$41)^N$448</f>
        <v>1109.1142580511205</v>
      </c>
      <c r="O453" s="106">
        <f>VLOOKUP($A453,'VKT US'!$B$63:$AA$113,(O$448+1),FALSE)*($BC$69+$BC$75)/(1+$AZ$41)^O$448</f>
        <v>1068.121988007041</v>
      </c>
      <c r="P453" s="106">
        <f>VLOOKUP($A453,'VKT US'!$B$63:$AA$113,(P$448+1),FALSE)*($BC$69+$BC$75)/(1+$AZ$41)^P$448</f>
        <v>1029.3822152863013</v>
      </c>
      <c r="Q453" s="106">
        <f>VLOOKUP($A453,'VKT US'!$B$63:$AA$113,(Q$448+1),FALSE)*($BC$69+$BC$75)/(1+$AZ$41)^Q$448</f>
        <v>993.04860194826381</v>
      </c>
      <c r="R453" s="106">
        <f>VLOOKUP($A453,'VKT US'!$B$63:$AA$113,(R$448+1),FALSE)*($BC$69+$BC$75)/(1+$AZ$41)^R$448</f>
        <v>958.72647464313673</v>
      </c>
      <c r="S453" s="106">
        <f>VLOOKUP($A453,'VKT US'!$B$63:$AA$113,(S$448+1),FALSE)*($BC$69+$BC$75)/(1+$AZ$41)^S$448</f>
        <v>926.67768971873784</v>
      </c>
      <c r="T453" s="106">
        <f>VLOOKUP($A453,'VKT US'!$B$63:$AA$113,(T$448+1),FALSE)*($BC$69+$BC$75)/(1+$AZ$41)^T$448</f>
        <v>896.5181900020616</v>
      </c>
      <c r="U453" s="109">
        <f>VLOOKUP($A453,'VKT US'!$B$63:$AA$113,(U$448+1),FALSE)*($BC$69+$BC$75)/(1+$AZ$41)^U$448</f>
        <v>868.50495004339916</v>
      </c>
      <c r="V453" s="110" cm="1">
        <f t="array" ref="V453">SUMPRODUCT(INDEX(B453:U453,,_xlfn.SEQUENCE($AZ$13)))</f>
        <v>19627.318905750115</v>
      </c>
    </row>
    <row r="454" spans="1:22" x14ac:dyDescent="0.25">
      <c r="A454" s="102" t="s">
        <v>190</v>
      </c>
      <c r="B454" s="106">
        <f>VLOOKUP($A454,'VKT US'!$B$63:$AA$113,(B$448+1),FALSE)*($BC$69+$BC$75)/(1+$AZ$41)^B$448</f>
        <v>1862.7441445731652</v>
      </c>
      <c r="C454" s="106">
        <f>VLOOKUP($A454,'VKT US'!$B$63:$AA$113,(C$448+1),FALSE)*($BC$69+$BC$75)/(1+$AZ$41)^C$448</f>
        <v>1785.9096347057473</v>
      </c>
      <c r="D454" s="106">
        <f>VLOOKUP($A454,'VKT US'!$B$63:$AA$113,(D$448+1),FALSE)*($BC$69+$BC$75)/(1+$AZ$41)^D$448</f>
        <v>1712.3423344124706</v>
      </c>
      <c r="E454" s="106">
        <f>VLOOKUP($A454,'VKT US'!$B$63:$AA$113,(E$448+1),FALSE)*($BC$69+$BC$75)/(1+$AZ$41)^E$448</f>
        <v>1642.0850707334569</v>
      </c>
      <c r="F454" s="106">
        <f>VLOOKUP($A454,'VKT US'!$B$63:$AA$113,(F$448+1),FALSE)*($BC$69+$BC$75)/(1+$AZ$41)^F$448</f>
        <v>1574.9199405560723</v>
      </c>
      <c r="G454" s="106">
        <f>VLOOKUP($A454,'VKT US'!$B$63:$AA$113,(G$448+1),FALSE)*($BC$69+$BC$75)/(1+$AZ$41)^G$448</f>
        <v>1511.0171053039428</v>
      </c>
      <c r="H454" s="106">
        <f>VLOOKUP($A454,'VKT US'!$B$63:$AA$113,(H$448+1),FALSE)*($BC$69+$BC$75)/(1+$AZ$41)^H$448</f>
        <v>1449.9105488585089</v>
      </c>
      <c r="I454" s="106">
        <f>VLOOKUP($A454,'VKT US'!$B$63:$AA$113,(I$448+1),FALSE)*($BC$69+$BC$75)/(1+$AZ$41)^I$448</f>
        <v>1391.7725325115271</v>
      </c>
      <c r="J454" s="106">
        <f>VLOOKUP($A454,'VKT US'!$B$63:$AA$113,(J$448+1),FALSE)*($BC$69+$BC$75)/(1+$AZ$41)^J$448</f>
        <v>1336.5207124743092</v>
      </c>
      <c r="K454" s="106">
        <f>VLOOKUP($A454,'VKT US'!$B$63:$AA$113,(K$448+1),FALSE)*($BC$69+$BC$75)/(1+$AZ$41)^K$448</f>
        <v>1284.0745238873396</v>
      </c>
      <c r="L454" s="106">
        <f>VLOOKUP($A454,'VKT US'!$B$63:$AA$113,(L$448+1),FALSE)*($BC$69+$BC$75)/(1+$AZ$41)^L$448</f>
        <v>1234.2357937018946</v>
      </c>
      <c r="M454" s="106">
        <f>VLOOKUP($A454,'VKT US'!$B$63:$AA$113,(M$448+1),FALSE)*($BC$69+$BC$75)/(1+$AZ$41)^M$448</f>
        <v>1187.0495991444288</v>
      </c>
      <c r="N454" s="106">
        <f>VLOOKUP($A454,'VKT US'!$B$63:$AA$113,(N$448+1),FALSE)*($BC$69+$BC$75)/(1+$AZ$41)^N$448</f>
        <v>1142.3239232355002</v>
      </c>
      <c r="O454" s="106">
        <f>VLOOKUP($A454,'VKT US'!$B$63:$AA$113,(O$448+1),FALSE)*($BC$69+$BC$75)/(1+$AZ$41)^O$448</f>
        <v>1100.1042417201229</v>
      </c>
      <c r="P454" s="106">
        <f>VLOOKUP($A454,'VKT US'!$B$63:$AA$113,(P$448+1),FALSE)*($BC$69+$BC$75)/(1+$AZ$41)^P$448</f>
        <v>1060.2045029525711</v>
      </c>
      <c r="Q454" s="106">
        <f>VLOOKUP($A454,'VKT US'!$B$63:$AA$113,(Q$448+1),FALSE)*($BC$69+$BC$75)/(1+$AZ$41)^Q$448</f>
        <v>1022.7829700200139</v>
      </c>
      <c r="R454" s="106">
        <f>VLOOKUP($A454,'VKT US'!$B$63:$AA$113,(R$448+1),FALSE)*($BC$69+$BC$75)/(1+$AZ$41)^R$448</f>
        <v>987.43315206178693</v>
      </c>
      <c r="S454" s="106">
        <f>VLOOKUP($A454,'VKT US'!$B$63:$AA$113,(S$448+1),FALSE)*($BC$69+$BC$75)/(1+$AZ$41)^S$448</f>
        <v>954.42474606212079</v>
      </c>
      <c r="T454" s="106">
        <f>VLOOKUP($A454,'VKT US'!$B$63:$AA$113,(T$448+1),FALSE)*($BC$69+$BC$75)/(1+$AZ$41)^T$448</f>
        <v>923.36219521212024</v>
      </c>
      <c r="U454" s="109">
        <f>VLOOKUP($A454,'VKT US'!$B$63:$AA$113,(U$448+1),FALSE)*($BC$69+$BC$75)/(1+$AZ$41)^U$448</f>
        <v>894.51016852521616</v>
      </c>
      <c r="V454" s="110" cm="1">
        <f t="array" ref="V454">SUMPRODUCT(INDEX(B454:U454,,_xlfn.SEQUENCE($AZ$13)))</f>
        <v>20215.010105818488</v>
      </c>
    </row>
    <row r="455" spans="1:22" x14ac:dyDescent="0.25">
      <c r="A455" s="102" t="s">
        <v>191</v>
      </c>
      <c r="B455" s="106">
        <f>VLOOKUP($A455,'VKT US'!$B$63:$AA$113,(B$448+1),FALSE)*($BC$69+$BC$75)/(1+$AZ$41)^B$448</f>
        <v>1749.8155515771023</v>
      </c>
      <c r="C455" s="106">
        <f>VLOOKUP($A455,'VKT US'!$B$63:$AA$113,(C$448+1),FALSE)*($BC$69+$BC$75)/(1+$AZ$41)^C$448</f>
        <v>1677.6391227017239</v>
      </c>
      <c r="D455" s="106">
        <f>VLOOKUP($A455,'VKT US'!$B$63:$AA$113,(D$448+1),FALSE)*($BC$69+$BC$75)/(1+$AZ$41)^D$448</f>
        <v>1608.5318292949769</v>
      </c>
      <c r="E455" s="106">
        <f>VLOOKUP($A455,'VKT US'!$B$63:$AA$113,(E$448+1),FALSE)*($BC$69+$BC$75)/(1+$AZ$41)^E$448</f>
        <v>1542.5339020138999</v>
      </c>
      <c r="F455" s="106">
        <f>VLOOKUP($A455,'VKT US'!$B$63:$AA$113,(F$448+1),FALSE)*($BC$69+$BC$75)/(1+$AZ$41)^F$448</f>
        <v>1479.440648090389</v>
      </c>
      <c r="G455" s="106">
        <f>VLOOKUP($A455,'VKT US'!$B$63:$AA$113,(G$448+1),FALSE)*($BC$69+$BC$75)/(1+$AZ$41)^G$448</f>
        <v>1419.4119129364967</v>
      </c>
      <c r="H455" s="106">
        <f>VLOOKUP($A455,'VKT US'!$B$63:$AA$113,(H$448+1),FALSE)*($BC$69+$BC$75)/(1+$AZ$41)^H$448</f>
        <v>1362.0099325931121</v>
      </c>
      <c r="I455" s="106">
        <f>VLOOKUP($A455,'VKT US'!$B$63:$AA$113,(I$448+1),FALSE)*($BC$69+$BC$75)/(1+$AZ$41)^I$448</f>
        <v>1307.3965250362176</v>
      </c>
      <c r="J455" s="106">
        <f>VLOOKUP($A455,'VKT US'!$B$63:$AA$113,(J$448+1),FALSE)*($BC$69+$BC$75)/(1+$AZ$41)^J$448</f>
        <v>1255.4943385573458</v>
      </c>
      <c r="K455" s="106">
        <f>VLOOKUP($A455,'VKT US'!$B$63:$AA$113,(K$448+1),FALSE)*($BC$69+$BC$75)/(1+$AZ$41)^K$448</f>
        <v>1206.2276925298779</v>
      </c>
      <c r="L455" s="106">
        <f>VLOOKUP($A455,'VKT US'!$B$63:$AA$113,(L$448+1),FALSE)*($BC$69+$BC$75)/(1+$AZ$41)^L$448</f>
        <v>1159.410428117362</v>
      </c>
      <c r="M455" s="106">
        <f>VLOOKUP($A455,'VKT US'!$B$63:$AA$113,(M$448+1),FALSE)*($BC$69+$BC$75)/(1+$AZ$41)^M$448</f>
        <v>1115.0848897459528</v>
      </c>
      <c r="N455" s="106">
        <f>VLOOKUP($A455,'VKT US'!$B$63:$AA$113,(N$448+1),FALSE)*($BC$69+$BC$75)/(1+$AZ$41)^N$448</f>
        <v>1073.070701437674</v>
      </c>
      <c r="O455" s="106">
        <f>VLOOKUP($A455,'VKT US'!$B$63:$AA$113,(O$448+1),FALSE)*($BC$69+$BC$75)/(1+$AZ$41)^O$448</f>
        <v>1033.4105819771091</v>
      </c>
      <c r="P455" s="106">
        <f>VLOOKUP($A455,'VKT US'!$B$63:$AA$113,(P$448+1),FALSE)*($BC$69+$BC$75)/(1+$AZ$41)^P$448</f>
        <v>995.92975907250991</v>
      </c>
      <c r="Q455" s="106">
        <f>VLOOKUP($A455,'VKT US'!$B$63:$AA$113,(Q$448+1),FALSE)*($BC$69+$BC$75)/(1+$AZ$41)^Q$448</f>
        <v>960.77690113439087</v>
      </c>
      <c r="R455" s="106">
        <f>VLOOKUP($A455,'VKT US'!$B$63:$AA$113,(R$448+1),FALSE)*($BC$69+$BC$75)/(1+$AZ$41)^R$448</f>
        <v>927.57016075142803</v>
      </c>
      <c r="S455" s="106">
        <f>VLOOKUP($A455,'VKT US'!$B$63:$AA$113,(S$448+1),FALSE)*($BC$69+$BC$75)/(1+$AZ$41)^S$448</f>
        <v>896.5628845673865</v>
      </c>
      <c r="T455" s="106">
        <f>VLOOKUP($A455,'VKT US'!$B$63:$AA$113,(T$448+1),FALSE)*($BC$69+$BC$75)/(1+$AZ$41)^T$448</f>
        <v>867.38349634741144</v>
      </c>
      <c r="U455" s="109">
        <f>VLOOKUP($A455,'VKT US'!$B$63:$AA$113,(U$448+1),FALSE)*($BC$69+$BC$75)/(1+$AZ$41)^U$448</f>
        <v>840.28061958446733</v>
      </c>
      <c r="V455" s="110" cm="1">
        <f t="array" ref="V455">SUMPRODUCT(INDEX(B455:U455,,_xlfn.SEQUENCE($AZ$13)))</f>
        <v>18989.478056609241</v>
      </c>
    </row>
    <row r="456" spans="1:22" x14ac:dyDescent="0.25">
      <c r="A456" s="102" t="s">
        <v>192</v>
      </c>
      <c r="B456" s="106">
        <f>VLOOKUP($A456,'VKT US'!$B$63:$AA$113,(B$448+1),FALSE)*($BC$69+$BC$75)/(1+$AZ$41)^B$448</f>
        <v>1820.8652545874131</v>
      </c>
      <c r="C456" s="106">
        <f>VLOOKUP($A456,'VKT US'!$B$63:$AA$113,(C$448+1),FALSE)*($BC$69+$BC$75)/(1+$AZ$41)^C$448</f>
        <v>1745.7581660597539</v>
      </c>
      <c r="D456" s="106">
        <f>VLOOKUP($A456,'VKT US'!$B$63:$AA$113,(D$448+1),FALSE)*($BC$69+$BC$75)/(1+$AZ$41)^D$448</f>
        <v>1673.8448325146787</v>
      </c>
      <c r="E456" s="106">
        <f>VLOOKUP($A456,'VKT US'!$B$63:$AA$113,(E$448+1),FALSE)*($BC$69+$BC$75)/(1+$AZ$41)^E$448</f>
        <v>1605.1671181392476</v>
      </c>
      <c r="F456" s="106">
        <f>VLOOKUP($A456,'VKT US'!$B$63:$AA$113,(F$448+1),FALSE)*($BC$69+$BC$75)/(1+$AZ$41)^F$448</f>
        <v>1539.5120187976986</v>
      </c>
      <c r="G456" s="106">
        <f>VLOOKUP($A456,'VKT US'!$B$63:$AA$113,(G$448+1),FALSE)*($BC$69+$BC$75)/(1+$AZ$41)^G$448</f>
        <v>1477.0458702827671</v>
      </c>
      <c r="H456" s="106">
        <f>VLOOKUP($A456,'VKT US'!$B$63:$AA$113,(H$448+1),FALSE)*($BC$69+$BC$75)/(1+$AZ$41)^H$448</f>
        <v>1417.3131336194233</v>
      </c>
      <c r="I456" s="106">
        <f>VLOOKUP($A456,'VKT US'!$B$63:$AA$113,(I$448+1),FALSE)*($BC$69+$BC$75)/(1+$AZ$41)^I$448</f>
        <v>1360.4821972585351</v>
      </c>
      <c r="J456" s="106">
        <f>VLOOKUP($A456,'VKT US'!$B$63:$AA$113,(J$448+1),FALSE)*($BC$69+$BC$75)/(1+$AZ$41)^J$448</f>
        <v>1306.4725686943611</v>
      </c>
      <c r="K456" s="106">
        <f>VLOOKUP($A456,'VKT US'!$B$63:$AA$113,(K$448+1),FALSE)*($BC$69+$BC$75)/(1+$AZ$41)^K$448</f>
        <v>1255.2054943558003</v>
      </c>
      <c r="L456" s="106">
        <f>VLOOKUP($A456,'VKT US'!$B$63:$AA$113,(L$448+1),FALSE)*($BC$69+$BC$75)/(1+$AZ$41)^L$448</f>
        <v>1206.4872565925414</v>
      </c>
      <c r="M456" s="106">
        <f>VLOOKUP($A456,'VKT US'!$B$63:$AA$113,(M$448+1),FALSE)*($BC$69+$BC$75)/(1+$AZ$41)^M$448</f>
        <v>1160.3619191884723</v>
      </c>
      <c r="N456" s="106">
        <f>VLOOKUP($A456,'VKT US'!$B$63:$AA$113,(N$448+1),FALSE)*($BC$69+$BC$75)/(1+$AZ$41)^N$448</f>
        <v>1116.6417821595799</v>
      </c>
      <c r="O456" s="106">
        <f>VLOOKUP($A456,'VKT US'!$B$63:$AA$113,(O$448+1),FALSE)*($BC$69+$BC$75)/(1+$AZ$41)^O$448</f>
        <v>1075.371298848673</v>
      </c>
      <c r="P456" s="106">
        <f>VLOOKUP($A456,'VKT US'!$B$63:$AA$113,(P$448+1),FALSE)*($BC$69+$BC$75)/(1+$AZ$41)^P$448</f>
        <v>1036.368600490656</v>
      </c>
      <c r="Q456" s="106">
        <f>VLOOKUP($A456,'VKT US'!$B$63:$AA$113,(Q$448+1),FALSE)*($BC$69+$BC$75)/(1+$AZ$41)^Q$448</f>
        <v>999.78839204452709</v>
      </c>
      <c r="R456" s="106">
        <f>VLOOKUP($A456,'VKT US'!$B$63:$AA$113,(R$448+1),FALSE)*($BC$69+$BC$75)/(1+$AZ$41)^R$448</f>
        <v>965.23332152469743</v>
      </c>
      <c r="S456" s="106">
        <f>VLOOKUP($A456,'VKT US'!$B$63:$AA$113,(S$448+1),FALSE)*($BC$69+$BC$75)/(1+$AZ$41)^S$448</f>
        <v>932.96702248990471</v>
      </c>
      <c r="T456" s="106">
        <f>VLOOKUP($A456,'VKT US'!$B$63:$AA$113,(T$448+1),FALSE)*($BC$69+$BC$75)/(1+$AZ$41)^T$448</f>
        <v>902.60283118300822</v>
      </c>
      <c r="U456" s="109">
        <f>VLOOKUP($A456,'VKT US'!$B$63:$AA$113,(U$448+1),FALSE)*($BC$69+$BC$75)/(1+$AZ$41)^U$448</f>
        <v>874.39946623261119</v>
      </c>
      <c r="V456" s="110" cm="1">
        <f t="array" ref="V456">SUMPRODUCT(INDEX(B456:U456,,_xlfn.SEQUENCE($AZ$13)))</f>
        <v>19760.52891109894</v>
      </c>
    </row>
    <row r="457" spans="1:22" x14ac:dyDescent="0.25">
      <c r="A457" s="102" t="s">
        <v>193</v>
      </c>
      <c r="B457" s="106">
        <f>VLOOKUP($A457,'VKT US'!$B$63:$AA$113,(B$448+1),FALSE)*($BC$69+$BC$75)/(1+$AZ$41)^B$448</f>
        <v>2102.175867319293</v>
      </c>
      <c r="C457" s="106">
        <f>VLOOKUP($A457,'VKT US'!$B$63:$AA$113,(C$448+1),FALSE)*($BC$69+$BC$75)/(1+$AZ$41)^C$448</f>
        <v>2015.4652726887016</v>
      </c>
      <c r="D457" s="106">
        <f>VLOOKUP($A457,'VKT US'!$B$63:$AA$113,(D$448+1),FALSE)*($BC$69+$BC$75)/(1+$AZ$41)^D$448</f>
        <v>1932.4418452626046</v>
      </c>
      <c r="E457" s="106">
        <f>VLOOKUP($A457,'VKT US'!$B$63:$AA$113,(E$448+1),FALSE)*($BC$69+$BC$75)/(1+$AZ$41)^E$448</f>
        <v>1853.1539169444864</v>
      </c>
      <c r="F457" s="106">
        <f>VLOOKUP($A457,'VKT US'!$B$63:$AA$113,(F$448+1),FALSE)*($BC$69+$BC$75)/(1+$AZ$41)^F$448</f>
        <v>1777.3555759884289</v>
      </c>
      <c r="G457" s="106">
        <f>VLOOKUP($A457,'VKT US'!$B$63:$AA$113,(G$448+1),FALSE)*($BC$69+$BC$75)/(1+$AZ$41)^G$448</f>
        <v>1705.2388558732844</v>
      </c>
      <c r="H457" s="106">
        <f>VLOOKUP($A457,'VKT US'!$B$63:$AA$113,(H$448+1),FALSE)*($BC$69+$BC$75)/(1+$AZ$41)^H$448</f>
        <v>1636.2778401219721</v>
      </c>
      <c r="I457" s="106">
        <f>VLOOKUP($A457,'VKT US'!$B$63:$AA$113,(I$448+1),FALSE)*($BC$69+$BC$75)/(1+$AZ$41)^I$448</f>
        <v>1570.6669319924256</v>
      </c>
      <c r="J457" s="106">
        <f>VLOOKUP($A457,'VKT US'!$B$63:$AA$113,(J$448+1),FALSE)*($BC$69+$BC$75)/(1+$AZ$41)^J$448</f>
        <v>1508.3132034644948</v>
      </c>
      <c r="K457" s="106">
        <f>VLOOKUP($A457,'VKT US'!$B$63:$AA$113,(K$448+1),FALSE)*($BC$69+$BC$75)/(1+$AZ$41)^K$448</f>
        <v>1449.1257341055898</v>
      </c>
      <c r="L457" s="106">
        <f>VLOOKUP($A457,'VKT US'!$B$63:$AA$113,(L$448+1),FALSE)*($BC$69+$BC$75)/(1+$AZ$41)^L$448</f>
        <v>1392.8808782788185</v>
      </c>
      <c r="M457" s="106">
        <f>VLOOKUP($A457,'VKT US'!$B$63:$AA$113,(M$448+1),FALSE)*($BC$69+$BC$75)/(1+$AZ$41)^M$448</f>
        <v>1339.6295073064152</v>
      </c>
      <c r="N457" s="106">
        <f>VLOOKUP($A457,'VKT US'!$B$63:$AA$113,(N$448+1),FALSE)*($BC$69+$BC$75)/(1+$AZ$41)^N$448</f>
        <v>1289.1549229040372</v>
      </c>
      <c r="O457" s="106">
        <f>VLOOKUP($A457,'VKT US'!$B$63:$AA$113,(O$448+1),FALSE)*($BC$69+$BC$75)/(1+$AZ$41)^O$448</f>
        <v>1241.5084461368967</v>
      </c>
      <c r="P457" s="106">
        <f>VLOOKUP($A457,'VKT US'!$B$63:$AA$113,(P$448+1),FALSE)*($BC$69+$BC$75)/(1+$AZ$41)^P$448</f>
        <v>1196.4801108210386</v>
      </c>
      <c r="Q457" s="106">
        <f>VLOOKUP($A457,'VKT US'!$B$63:$AA$113,(Q$448+1),FALSE)*($BC$69+$BC$75)/(1+$AZ$41)^Q$448</f>
        <v>1154.2485227212453</v>
      </c>
      <c r="R457" s="106">
        <f>VLOOKUP($A457,'VKT US'!$B$63:$AA$113,(R$448+1),FALSE)*($BC$69+$BC$75)/(1+$AZ$41)^R$448</f>
        <v>1114.3549418221128</v>
      </c>
      <c r="S457" s="106">
        <f>VLOOKUP($A457,'VKT US'!$B$63:$AA$113,(S$448+1),FALSE)*($BC$69+$BC$75)/(1+$AZ$41)^S$448</f>
        <v>1077.1037311749974</v>
      </c>
      <c r="T457" s="106">
        <f>VLOOKUP($A457,'VKT US'!$B$63:$AA$113,(T$448+1),FALSE)*($BC$69+$BC$75)/(1+$AZ$41)^T$448</f>
        <v>1042.0484902475257</v>
      </c>
      <c r="U457" s="109">
        <f>VLOOKUP($A457,'VKT US'!$B$63:$AA$113,(U$448+1),FALSE)*($BC$69+$BC$75)/(1+$AZ$41)^U$448</f>
        <v>1009.4879078394894</v>
      </c>
      <c r="V457" s="110" cm="1">
        <f t="array" ref="V457">SUMPRODUCT(INDEX(B457:U457,,_xlfn.SEQUENCE($AZ$13)))</f>
        <v>22813.388798387445</v>
      </c>
    </row>
    <row r="458" spans="1:22" x14ac:dyDescent="0.25">
      <c r="A458" s="102" t="s">
        <v>194</v>
      </c>
      <c r="B458" s="106">
        <f>VLOOKUP($A458,'VKT US'!$B$63:$AA$113,(B$448+1),FALSE)*($BC$69+$BC$75)/(1+$AZ$41)^B$448</f>
        <v>2647.6123068923489</v>
      </c>
      <c r="C458" s="106">
        <f>VLOOKUP($A458,'VKT US'!$B$63:$AA$113,(C$448+1),FALSE)*($BC$69+$BC$75)/(1+$AZ$41)^C$448</f>
        <v>2538.4035384677236</v>
      </c>
      <c r="D458" s="106">
        <f>VLOOKUP($A458,'VKT US'!$B$63:$AA$113,(D$448+1),FALSE)*($BC$69+$BC$75)/(1+$AZ$41)^D$448</f>
        <v>2433.8386199797064</v>
      </c>
      <c r="E458" s="106">
        <f>VLOOKUP($A458,'VKT US'!$B$63:$AA$113,(E$448+1),FALSE)*($BC$69+$BC$75)/(1+$AZ$41)^E$448</f>
        <v>2333.9784236628575</v>
      </c>
      <c r="F458" s="106">
        <f>VLOOKUP($A458,'VKT US'!$B$63:$AA$113,(F$448+1),FALSE)*($BC$69+$BC$75)/(1+$AZ$41)^F$448</f>
        <v>2238.5132328207633</v>
      </c>
      <c r="G458" s="106">
        <f>VLOOKUP($A458,'VKT US'!$B$63:$AA$113,(G$448+1),FALSE)*($BC$69+$BC$75)/(1+$AZ$41)^G$448</f>
        <v>2147.6849064766639</v>
      </c>
      <c r="H458" s="106">
        <f>VLOOKUP($A458,'VKT US'!$B$63:$AA$113,(H$448+1),FALSE)*($BC$69+$BC$75)/(1+$AZ$41)^H$448</f>
        <v>2060.8310723910308</v>
      </c>
      <c r="I458" s="106">
        <f>VLOOKUP($A458,'VKT US'!$B$63:$AA$113,(I$448+1),FALSE)*($BC$69+$BC$75)/(1+$AZ$41)^I$448</f>
        <v>1978.1965742357031</v>
      </c>
      <c r="J458" s="106">
        <f>VLOOKUP($A458,'VKT US'!$B$63:$AA$113,(J$448+1),FALSE)*($BC$69+$BC$75)/(1+$AZ$41)^J$448</f>
        <v>1899.6643726260941</v>
      </c>
      <c r="K458" s="106">
        <f>VLOOKUP($A458,'VKT US'!$B$63:$AA$113,(K$448+1),FALSE)*($BC$69+$BC$75)/(1+$AZ$41)^K$448</f>
        <v>1825.1199566594689</v>
      </c>
      <c r="L458" s="106">
        <f>VLOOKUP($A458,'VKT US'!$B$63:$AA$113,(L$448+1),FALSE)*($BC$69+$BC$75)/(1+$AZ$41)^L$448</f>
        <v>1754.2816529754659</v>
      </c>
      <c r="M458" s="106">
        <f>VLOOKUP($A458,'VKT US'!$B$63:$AA$113,(M$448+1),FALSE)*($BC$69+$BC$75)/(1+$AZ$41)^M$448</f>
        <v>1687.2135321120984</v>
      </c>
      <c r="N458" s="106">
        <f>VLOOKUP($A458,'VKT US'!$B$63:$AA$113,(N$448+1),FALSE)*($BC$69+$BC$75)/(1+$AZ$41)^N$448</f>
        <v>1623.6426706411085</v>
      </c>
      <c r="O458" s="106">
        <f>VLOOKUP($A458,'VKT US'!$B$63:$AA$113,(O$448+1),FALSE)*($BC$69+$BC$75)/(1+$AZ$41)^O$448</f>
        <v>1563.6337055350598</v>
      </c>
      <c r="P458" s="106">
        <f>VLOOKUP($A458,'VKT US'!$B$63:$AA$113,(P$448+1),FALSE)*($BC$69+$BC$75)/(1+$AZ$41)^P$448</f>
        <v>1506.9221921957082</v>
      </c>
      <c r="Q458" s="106">
        <f>VLOOKUP($A458,'VKT US'!$B$63:$AA$113,(Q$448+1),FALSE)*($BC$69+$BC$75)/(1+$AZ$41)^Q$448</f>
        <v>1453.7330779399128</v>
      </c>
      <c r="R458" s="106">
        <f>VLOOKUP($A458,'VKT US'!$B$63:$AA$113,(R$448+1),FALSE)*($BC$69+$BC$75)/(1+$AZ$41)^R$448</f>
        <v>1403.4885967827586</v>
      </c>
      <c r="S458" s="106">
        <f>VLOOKUP($A458,'VKT US'!$B$63:$AA$113,(S$448+1),FALSE)*($BC$69+$BC$75)/(1+$AZ$41)^S$448</f>
        <v>1356.5720826655495</v>
      </c>
      <c r="T458" s="106">
        <f>VLOOKUP($A458,'VKT US'!$B$63:$AA$113,(T$448+1),FALSE)*($BC$69+$BC$75)/(1+$AZ$41)^T$448</f>
        <v>1312.4213107232354</v>
      </c>
      <c r="U458" s="109">
        <f>VLOOKUP($A458,'VKT US'!$B$63:$AA$113,(U$448+1),FALSE)*($BC$69+$BC$75)/(1+$AZ$41)^U$448</f>
        <v>1271.4124683883488</v>
      </c>
      <c r="V458" s="110" cm="1">
        <f t="array" ref="V458">SUMPRODUCT(INDEX(B458:U458,,_xlfn.SEQUENCE($AZ$13)))</f>
        <v>28732.614565476091</v>
      </c>
    </row>
    <row r="459" spans="1:22" x14ac:dyDescent="0.25">
      <c r="A459" s="102" t="s">
        <v>233</v>
      </c>
      <c r="B459" s="106">
        <f>VLOOKUP($A459,'VKT US'!$B$63:$AA$113,(B$448+1),FALSE)*($BC$69+$BC$75)/(1+$AZ$41)^B$448</f>
        <v>1687.8636763912828</v>
      </c>
      <c r="C459" s="106">
        <f>VLOOKUP($A459,'VKT US'!$B$63:$AA$113,(C$448+1),FALSE)*($BC$69+$BC$75)/(1+$AZ$41)^C$448</f>
        <v>1618.2426397736858</v>
      </c>
      <c r="D459" s="106">
        <f>VLOOKUP($A459,'VKT US'!$B$63:$AA$113,(D$448+1),FALSE)*($BC$69+$BC$75)/(1+$AZ$41)^D$448</f>
        <v>1551.5820764875539</v>
      </c>
      <c r="E459" s="106">
        <f>VLOOKUP($A459,'VKT US'!$B$63:$AA$113,(E$448+1),FALSE)*($BC$69+$BC$75)/(1+$AZ$41)^E$448</f>
        <v>1487.9207928314322</v>
      </c>
      <c r="F459" s="106">
        <f>VLOOKUP($A459,'VKT US'!$B$63:$AA$113,(F$448+1),FALSE)*($BC$69+$BC$75)/(1+$AZ$41)^F$448</f>
        <v>1427.0613431443812</v>
      </c>
      <c r="G459" s="106">
        <f>VLOOKUP($A459,'VKT US'!$B$63:$AA$113,(G$448+1),FALSE)*($BC$69+$BC$75)/(1+$AZ$41)^G$448</f>
        <v>1369.1579135431027</v>
      </c>
      <c r="H459" s="106">
        <f>VLOOKUP($A459,'VKT US'!$B$63:$AA$113,(H$448+1),FALSE)*($BC$69+$BC$75)/(1+$AZ$41)^H$448</f>
        <v>1313.7882390152922</v>
      </c>
      <c r="I459" s="106">
        <f>VLOOKUP($A459,'VKT US'!$B$63:$AA$113,(I$448+1),FALSE)*($BC$69+$BC$75)/(1+$AZ$41)^I$448</f>
        <v>1261.1084084033434</v>
      </c>
      <c r="J459" s="106">
        <f>VLOOKUP($A459,'VKT US'!$B$63:$AA$113,(J$448+1),FALSE)*($BC$69+$BC$75)/(1+$AZ$41)^J$448</f>
        <v>1211.0438086208019</v>
      </c>
      <c r="K459" s="106">
        <f>VLOOKUP($A459,'VKT US'!$B$63:$AA$113,(K$448+1),FALSE)*($BC$69+$BC$75)/(1+$AZ$41)^K$448</f>
        <v>1163.5214384987385</v>
      </c>
      <c r="L459" s="106">
        <f>VLOOKUP($A459,'VKT US'!$B$63:$AA$113,(L$448+1),FALSE)*($BC$69+$BC$75)/(1+$AZ$41)^L$448</f>
        <v>1118.3617301176635</v>
      </c>
      <c r="M459" s="106">
        <f>VLOOKUP($A459,'VKT US'!$B$63:$AA$113,(M$448+1),FALSE)*($BC$69+$BC$75)/(1+$AZ$41)^M$448</f>
        <v>1075.6055287076583</v>
      </c>
      <c r="N459" s="106">
        <f>VLOOKUP($A459,'VKT US'!$B$63:$AA$113,(N$448+1),FALSE)*($BC$69+$BC$75)/(1+$AZ$41)^N$448</f>
        <v>1035.0788444667435</v>
      </c>
      <c r="O459" s="106">
        <f>VLOOKUP($A459,'VKT US'!$B$63:$AA$113,(O$448+1),FALSE)*($BC$69+$BC$75)/(1+$AZ$41)^O$448</f>
        <v>996.82288372934318</v>
      </c>
      <c r="P459" s="106">
        <f>VLOOKUP($A459,'VKT US'!$B$63:$AA$113,(P$448+1),FALSE)*($BC$69+$BC$75)/(1+$AZ$41)^P$448</f>
        <v>960.66906198229708</v>
      </c>
      <c r="Q459" s="106">
        <f>VLOOKUP($A459,'VKT US'!$B$63:$AA$113,(Q$448+1),FALSE)*($BC$69+$BC$75)/(1+$AZ$41)^Q$448</f>
        <v>926.76078406030865</v>
      </c>
      <c r="R459" s="106">
        <f>VLOOKUP($A459,'VKT US'!$B$63:$AA$113,(R$448+1),FALSE)*($BC$69+$BC$75)/(1+$AZ$41)^R$448</f>
        <v>894.72972178449231</v>
      </c>
      <c r="S459" s="106">
        <f>VLOOKUP($A459,'VKT US'!$B$63:$AA$113,(S$448+1),FALSE)*($BC$69+$BC$75)/(1+$AZ$41)^S$448</f>
        <v>864.82025211055645</v>
      </c>
      <c r="T459" s="106">
        <f>VLOOKUP($A459,'VKT US'!$B$63:$AA$113,(T$448+1),FALSE)*($BC$69+$BC$75)/(1+$AZ$41)^T$448</f>
        <v>836.67395438710457</v>
      </c>
      <c r="U459" s="109">
        <f>VLOOKUP($A459,'VKT US'!$B$63:$AA$113,(U$448+1),FALSE)*($BC$69+$BC$75)/(1+$AZ$41)^U$448</f>
        <v>810.53064964126872</v>
      </c>
      <c r="V459" s="110" cm="1">
        <f t="array" ref="V459">SUMPRODUCT(INDEX(B459:U459,,_xlfn.SEQUENCE($AZ$13)))</f>
        <v>18317.159323731019</v>
      </c>
    </row>
    <row r="460" spans="1:22" x14ac:dyDescent="0.25">
      <c r="A460" s="102" t="s">
        <v>196</v>
      </c>
      <c r="B460" s="106">
        <f>VLOOKUP($A460,'VKT US'!$B$63:$AA$113,(B$448+1),FALSE)*($BC$69+$BC$75)/(1+$AZ$41)^B$448</f>
        <v>2081.9584721537576</v>
      </c>
      <c r="C460" s="106">
        <f>VLOOKUP($A460,'VKT US'!$B$63:$AA$113,(C$448+1),FALSE)*($BC$69+$BC$75)/(1+$AZ$41)^C$448</f>
        <v>1996.081805066498</v>
      </c>
      <c r="D460" s="106">
        <f>VLOOKUP($A460,'VKT US'!$B$63:$AA$113,(D$448+1),FALSE)*($BC$69+$BC$75)/(1+$AZ$41)^D$448</f>
        <v>1913.8568443464292</v>
      </c>
      <c r="E460" s="106">
        <f>VLOOKUP($A460,'VKT US'!$B$63:$AA$113,(E$448+1),FALSE)*($BC$69+$BC$75)/(1+$AZ$41)^E$448</f>
        <v>1835.3314570714199</v>
      </c>
      <c r="F460" s="106">
        <f>VLOOKUP($A460,'VKT US'!$B$63:$AA$113,(F$448+1),FALSE)*($BC$69+$BC$75)/(1+$AZ$41)^F$448</f>
        <v>1760.2620965188692</v>
      </c>
      <c r="G460" s="106">
        <f>VLOOKUP($A460,'VKT US'!$B$63:$AA$113,(G$448+1),FALSE)*($BC$69+$BC$75)/(1+$AZ$41)^G$448</f>
        <v>1688.8389493113375</v>
      </c>
      <c r="H460" s="106">
        <f>VLOOKUP($A460,'VKT US'!$B$63:$AA$113,(H$448+1),FALSE)*($BC$69+$BC$75)/(1+$AZ$41)^H$448</f>
        <v>1620.5411569031028</v>
      </c>
      <c r="I460" s="106">
        <f>VLOOKUP($A460,'VKT US'!$B$63:$AA$113,(I$448+1),FALSE)*($BC$69+$BC$75)/(1+$AZ$41)^I$448</f>
        <v>1555.5612529047744</v>
      </c>
      <c r="J460" s="106">
        <f>VLOOKUP($A460,'VKT US'!$B$63:$AA$113,(J$448+1),FALSE)*($BC$69+$BC$75)/(1+$AZ$41)^J$448</f>
        <v>1493.8072030190026</v>
      </c>
      <c r="K460" s="106">
        <f>VLOOKUP($A460,'VKT US'!$B$63:$AA$113,(K$448+1),FALSE)*($BC$69+$BC$75)/(1+$AZ$41)^K$448</f>
        <v>1435.1889612282951</v>
      </c>
      <c r="L460" s="106">
        <f>VLOOKUP($A460,'VKT US'!$B$63:$AA$113,(L$448+1),FALSE)*($BC$69+$BC$75)/(1+$AZ$41)^L$448</f>
        <v>1379.4850327777513</v>
      </c>
      <c r="M460" s="106">
        <f>VLOOKUP($A460,'VKT US'!$B$63:$AA$113,(M$448+1),FALSE)*($BC$69+$BC$75)/(1+$AZ$41)^M$448</f>
        <v>1326.7457997414708</v>
      </c>
      <c r="N460" s="106">
        <f>VLOOKUP($A460,'VKT US'!$B$63:$AA$113,(N$448+1),FALSE)*($BC$69+$BC$75)/(1+$AZ$41)^N$448</f>
        <v>1276.7566479018687</v>
      </c>
      <c r="O460" s="106">
        <f>VLOOKUP($A460,'VKT US'!$B$63:$AA$113,(O$448+1),FALSE)*($BC$69+$BC$75)/(1+$AZ$41)^O$448</f>
        <v>1229.5684047506793</v>
      </c>
      <c r="P460" s="106">
        <f>VLOOKUP($A460,'VKT US'!$B$63:$AA$113,(P$448+1),FALSE)*($BC$69+$BC$75)/(1+$AZ$41)^P$448</f>
        <v>1184.9731234256315</v>
      </c>
      <c r="Q460" s="106">
        <f>VLOOKUP($A460,'VKT US'!$B$63:$AA$113,(Q$448+1),FALSE)*($BC$69+$BC$75)/(1+$AZ$41)^Q$448</f>
        <v>1143.1476919744584</v>
      </c>
      <c r="R460" s="106">
        <f>VLOOKUP($A460,'VKT US'!$B$63:$AA$113,(R$448+1),FALSE)*($BC$69+$BC$75)/(1+$AZ$41)^R$448</f>
        <v>1103.6377822524832</v>
      </c>
      <c r="S460" s="106">
        <f>VLOOKUP($A460,'VKT US'!$B$63:$AA$113,(S$448+1),FALSE)*($BC$69+$BC$75)/(1+$AZ$41)^S$448</f>
        <v>1066.7448301401344</v>
      </c>
      <c r="T460" s="106">
        <f>VLOOKUP($A460,'VKT US'!$B$63:$AA$113,(T$448+1),FALSE)*($BC$69+$BC$75)/(1+$AZ$41)^T$448</f>
        <v>1032.0267283024373</v>
      </c>
      <c r="U460" s="109">
        <f>VLOOKUP($A460,'VKT US'!$B$63:$AA$113,(U$448+1),FALSE)*($BC$69+$BC$75)/(1+$AZ$41)^U$448</f>
        <v>999.77929293961085</v>
      </c>
      <c r="V460" s="110" cm="1">
        <f t="array" ref="V460">SUMPRODUCT(INDEX(B460:U460,,_xlfn.SEQUENCE($AZ$13)))</f>
        <v>22593.984083695257</v>
      </c>
    </row>
    <row r="461" spans="1:22" x14ac:dyDescent="0.25">
      <c r="A461" s="102" t="s">
        <v>197</v>
      </c>
      <c r="B461" s="106">
        <f>VLOOKUP($A461,'VKT US'!$B$63:$AA$113,(B$448+1),FALSE)*($BC$69+$BC$75)/(1+$AZ$41)^B$448</f>
        <v>1816.8217755543058</v>
      </c>
      <c r="C461" s="106">
        <f>VLOOKUP($A461,'VKT US'!$B$63:$AA$113,(C$448+1),FALSE)*($BC$69+$BC$75)/(1+$AZ$41)^C$448</f>
        <v>1741.8814725353132</v>
      </c>
      <c r="D461" s="106">
        <f>VLOOKUP($A461,'VKT US'!$B$63:$AA$113,(D$448+1),FALSE)*($BC$69+$BC$75)/(1+$AZ$41)^D$448</f>
        <v>1670.1278323314439</v>
      </c>
      <c r="E461" s="106">
        <f>VLOOKUP($A461,'VKT US'!$B$63:$AA$113,(E$448+1),FALSE)*($BC$69+$BC$75)/(1+$AZ$41)^E$448</f>
        <v>1601.6026261646343</v>
      </c>
      <c r="F461" s="106">
        <f>VLOOKUP($A461,'VKT US'!$B$63:$AA$113,(F$448+1),FALSE)*($BC$69+$BC$75)/(1+$AZ$41)^F$448</f>
        <v>1536.0933229037867</v>
      </c>
      <c r="G461" s="106">
        <f>VLOOKUP($A461,'VKT US'!$B$63:$AA$113,(G$448+1),FALSE)*($BC$69+$BC$75)/(1+$AZ$41)^G$448</f>
        <v>1473.765888970378</v>
      </c>
      <c r="H461" s="106">
        <f>VLOOKUP($A461,'VKT US'!$B$63:$AA$113,(H$448+1),FALSE)*($BC$69+$BC$75)/(1+$AZ$41)^H$448</f>
        <v>1414.1657969756495</v>
      </c>
      <c r="I461" s="106">
        <f>VLOOKUP($A461,'VKT US'!$B$63:$AA$113,(I$448+1),FALSE)*($BC$69+$BC$75)/(1+$AZ$41)^I$448</f>
        <v>1357.4610614410046</v>
      </c>
      <c r="J461" s="106">
        <f>VLOOKUP($A461,'VKT US'!$B$63:$AA$113,(J$448+1),FALSE)*($BC$69+$BC$75)/(1+$AZ$41)^J$448</f>
        <v>1303.5713686052627</v>
      </c>
      <c r="K461" s="106">
        <f>VLOOKUP($A461,'VKT US'!$B$63:$AA$113,(K$448+1),FALSE)*($BC$69+$BC$75)/(1+$AZ$41)^K$448</f>
        <v>1252.4181397803411</v>
      </c>
      <c r="L461" s="106">
        <f>VLOOKUP($A461,'VKT US'!$B$63:$AA$113,(L$448+1),FALSE)*($BC$69+$BC$75)/(1+$AZ$41)^L$448</f>
        <v>1203.8080874923278</v>
      </c>
      <c r="M461" s="106">
        <f>VLOOKUP($A461,'VKT US'!$B$63:$AA$113,(M$448+1),FALSE)*($BC$69+$BC$75)/(1+$AZ$41)^M$448</f>
        <v>1157.7851776754833</v>
      </c>
      <c r="N461" s="106">
        <f>VLOOKUP($A461,'VKT US'!$B$63:$AA$113,(N$448+1),FALSE)*($BC$69+$BC$75)/(1+$AZ$41)^N$448</f>
        <v>1114.1621271591464</v>
      </c>
      <c r="O461" s="106">
        <f>VLOOKUP($A461,'VKT US'!$B$63:$AA$113,(O$448+1),FALSE)*($BC$69+$BC$75)/(1+$AZ$41)^O$448</f>
        <v>1072.9832905714293</v>
      </c>
      <c r="P461" s="106">
        <f>VLOOKUP($A461,'VKT US'!$B$63:$AA$113,(P$448+1),FALSE)*($BC$69+$BC$75)/(1+$AZ$41)^P$448</f>
        <v>1034.0672030115743</v>
      </c>
      <c r="Q461" s="106">
        <f>VLOOKUP($A461,'VKT US'!$B$63:$AA$113,(Q$448+1),FALSE)*($BC$69+$BC$75)/(1+$AZ$41)^Q$448</f>
        <v>997.56822589516958</v>
      </c>
      <c r="R461" s="106">
        <f>VLOOKUP($A461,'VKT US'!$B$63:$AA$113,(R$448+1),FALSE)*($BC$69+$BC$75)/(1+$AZ$41)^R$448</f>
        <v>963.08988961077148</v>
      </c>
      <c r="S461" s="106">
        <f>VLOOKUP($A461,'VKT US'!$B$63:$AA$113,(S$448+1),FALSE)*($BC$69+$BC$75)/(1+$AZ$41)^S$448</f>
        <v>930.89524228293214</v>
      </c>
      <c r="T461" s="106">
        <f>VLOOKUP($A461,'VKT US'!$B$63:$AA$113,(T$448+1),FALSE)*($BC$69+$BC$75)/(1+$AZ$41)^T$448</f>
        <v>900.59847879399058</v>
      </c>
      <c r="U461" s="109">
        <f>VLOOKUP($A461,'VKT US'!$B$63:$AA$113,(U$448+1),FALSE)*($BC$69+$BC$75)/(1+$AZ$41)^U$448</f>
        <v>872.4577432526354</v>
      </c>
      <c r="V461" s="110" cm="1">
        <f t="array" ref="V461">SUMPRODUCT(INDEX(B461:U461,,_xlfn.SEQUENCE($AZ$13)))</f>
        <v>19716.647968160501</v>
      </c>
    </row>
    <row r="462" spans="1:22" x14ac:dyDescent="0.25">
      <c r="A462" s="102" t="s">
        <v>198</v>
      </c>
      <c r="B462" s="106">
        <f>VLOOKUP($A462,'VKT US'!$B$63:$AA$113,(B$448+1),FALSE)*($BC$69+$BC$75)/(1+$AZ$41)^B$448</f>
        <v>2602.8452175972343</v>
      </c>
      <c r="C462" s="106">
        <f>VLOOKUP($A462,'VKT US'!$B$63:$AA$113,(C$448+1),FALSE)*($BC$69+$BC$75)/(1+$AZ$41)^C$448</f>
        <v>2495.4830030185585</v>
      </c>
      <c r="D462" s="106">
        <f>VLOOKUP($A462,'VKT US'!$B$63:$AA$113,(D$448+1),FALSE)*($BC$69+$BC$75)/(1+$AZ$41)^D$448</f>
        <v>2392.6861179510329</v>
      </c>
      <c r="E462" s="106">
        <f>VLOOKUP($A462,'VKT US'!$B$63:$AA$113,(E$448+1),FALSE)*($BC$69+$BC$75)/(1+$AZ$41)^E$448</f>
        <v>2294.5144053724957</v>
      </c>
      <c r="F462" s="106">
        <f>VLOOKUP($A462,'VKT US'!$B$63:$AA$113,(F$448+1),FALSE)*($BC$69+$BC$75)/(1+$AZ$41)^F$448</f>
        <v>2200.6633854238812</v>
      </c>
      <c r="G462" s="106">
        <f>VLOOKUP($A462,'VKT US'!$B$63:$AA$113,(G$448+1),FALSE)*($BC$69+$BC$75)/(1+$AZ$41)^G$448</f>
        <v>2111.3708276609241</v>
      </c>
      <c r="H462" s="106">
        <f>VLOOKUP($A462,'VKT US'!$B$63:$AA$113,(H$448+1),FALSE)*($BC$69+$BC$75)/(1+$AZ$41)^H$448</f>
        <v>2025.985559549249</v>
      </c>
      <c r="I462" s="106">
        <f>VLOOKUP($A462,'VKT US'!$B$63:$AA$113,(I$448+1),FALSE)*($BC$69+$BC$75)/(1+$AZ$41)^I$448</f>
        <v>1944.7482848273326</v>
      </c>
      <c r="J462" s="106">
        <f>VLOOKUP($A462,'VKT US'!$B$63:$AA$113,(J$448+1),FALSE)*($BC$69+$BC$75)/(1+$AZ$41)^J$448</f>
        <v>1867.5439430682181</v>
      </c>
      <c r="K462" s="106">
        <f>VLOOKUP($A462,'VKT US'!$B$63:$AA$113,(K$448+1),FALSE)*($BC$69+$BC$75)/(1+$AZ$41)^K$448</f>
        <v>1794.2599595740298</v>
      </c>
      <c r="L462" s="106">
        <f>VLOOKUP($A462,'VKT US'!$B$63:$AA$113,(L$448+1),FALSE)*($BC$69+$BC$75)/(1+$AZ$41)^L$448</f>
        <v>1724.6194236516742</v>
      </c>
      <c r="M462" s="106">
        <f>VLOOKUP($A462,'VKT US'!$B$63:$AA$113,(M$448+1),FALSE)*($BC$69+$BC$75)/(1+$AZ$41)^M$448</f>
        <v>1658.685322504007</v>
      </c>
      <c r="N462" s="106">
        <f>VLOOKUP($A462,'VKT US'!$B$63:$AA$113,(N$448+1),FALSE)*($BC$69+$BC$75)/(1+$AZ$41)^N$448</f>
        <v>1596.1893474220215</v>
      </c>
      <c r="O462" s="106">
        <f>VLOOKUP($A462,'VKT US'!$B$63:$AA$113,(O$448+1),FALSE)*($BC$69+$BC$75)/(1+$AZ$41)^O$448</f>
        <v>1537.1950424655786</v>
      </c>
      <c r="P462" s="106">
        <f>VLOOKUP($A462,'VKT US'!$B$63:$AA$113,(P$448+1),FALSE)*($BC$69+$BC$75)/(1+$AZ$41)^P$448</f>
        <v>1481.4424343915916</v>
      </c>
      <c r="Q462" s="106">
        <f>VLOOKUP($A462,'VKT US'!$B$63:$AA$113,(Q$448+1),FALSE)*($BC$69+$BC$75)/(1+$AZ$41)^Q$448</f>
        <v>1429.1526670005992</v>
      </c>
      <c r="R462" s="106">
        <f>VLOOKUP($A462,'VKT US'!$B$63:$AA$113,(R$448+1),FALSE)*($BC$69+$BC$75)/(1+$AZ$41)^R$448</f>
        <v>1379.7577434500074</v>
      </c>
      <c r="S462" s="106">
        <f>VLOOKUP($A462,'VKT US'!$B$63:$AA$113,(S$448+1),FALSE)*($BC$69+$BC$75)/(1+$AZ$41)^S$448</f>
        <v>1333.6345160883529</v>
      </c>
      <c r="T462" s="106">
        <f>VLOOKUP($A462,'VKT US'!$B$63:$AA$113,(T$448+1),FALSE)*($BC$69+$BC$75)/(1+$AZ$41)^T$448</f>
        <v>1290.2302664162537</v>
      </c>
      <c r="U462" s="109">
        <f>VLOOKUP($A462,'VKT US'!$B$63:$AA$113,(U$448+1),FALSE)*($BC$69+$BC$75)/(1+$AZ$41)^U$448</f>
        <v>1249.9148211100469</v>
      </c>
      <c r="V462" s="110" cm="1">
        <f t="array" ref="V462">SUMPRODUCT(INDEX(B462:U462,,_xlfn.SEQUENCE($AZ$13)))</f>
        <v>28246.789840086229</v>
      </c>
    </row>
    <row r="463" spans="1:22" x14ac:dyDescent="0.25">
      <c r="A463" s="102" t="s">
        <v>195</v>
      </c>
      <c r="B463" s="106">
        <f>VLOOKUP($A463,'VKT US'!$B$63:$AA$113,(B$448+1),FALSE)*($BC$69+$BC$75)/(1+$AZ$41)^B$448</f>
        <v>2129.3249408272986</v>
      </c>
      <c r="C463" s="106">
        <f>VLOOKUP($A463,'VKT US'!$B$63:$AA$113,(C$448+1),FALSE)*($BC$69+$BC$75)/(1+$AZ$41)^C$448</f>
        <v>2041.494500638518</v>
      </c>
      <c r="D463" s="106">
        <f>VLOOKUP($A463,'VKT US'!$B$63:$AA$113,(D$448+1),FALSE)*($BC$69+$BC$75)/(1+$AZ$41)^D$448</f>
        <v>1957.3988464928971</v>
      </c>
      <c r="E463" s="106">
        <f>VLOOKUP($A463,'VKT US'!$B$63:$AA$113,(E$448+1),FALSE)*($BC$69+$BC$75)/(1+$AZ$41)^E$448</f>
        <v>1877.0869344883183</v>
      </c>
      <c r="F463" s="106">
        <f>VLOOKUP($A463,'VKT US'!$B$63:$AA$113,(F$448+1),FALSE)*($BC$69+$BC$75)/(1+$AZ$41)^F$448</f>
        <v>1800.3096769904091</v>
      </c>
      <c r="G463" s="106">
        <f>VLOOKUP($A463,'VKT US'!$B$63:$AA$113,(G$448+1),FALSE)*($BC$69+$BC$75)/(1+$AZ$41)^G$448</f>
        <v>1727.2615875421843</v>
      </c>
      <c r="H463" s="106">
        <f>VLOOKUP($A463,'VKT US'!$B$63:$AA$113,(H$448+1),FALSE)*($BC$69+$BC$75)/(1+$AZ$41)^H$448</f>
        <v>1657.4099575873104</v>
      </c>
      <c r="I463" s="106">
        <f>VLOOKUP($A463,'VKT US'!$B$63:$AA$113,(I$448+1),FALSE)*($BC$69+$BC$75)/(1+$AZ$41)^I$448</f>
        <v>1590.9517010529858</v>
      </c>
      <c r="J463" s="106">
        <f>VLOOKUP($A463,'VKT US'!$B$63:$AA$113,(J$448+1),FALSE)*($BC$69+$BC$75)/(1+$AZ$41)^J$448</f>
        <v>1527.792689777013</v>
      </c>
      <c r="K463" s="106">
        <f>VLOOKUP($A463,'VKT US'!$B$63:$AA$113,(K$448+1),FALSE)*($BC$69+$BC$75)/(1+$AZ$41)^K$448</f>
        <v>1467.840829112243</v>
      </c>
      <c r="L463" s="106">
        <f>VLOOKUP($A463,'VKT US'!$B$63:$AA$113,(L$448+1),FALSE)*($BC$69+$BC$75)/(1+$AZ$41)^L$448</f>
        <v>1410.8695850945371</v>
      </c>
      <c r="M463" s="106">
        <f>VLOOKUP($A463,'VKT US'!$B$63:$AA$113,(M$448+1),FALSE)*($BC$69+$BC$75)/(1+$AZ$41)^M$448</f>
        <v>1356.9304860364837</v>
      </c>
      <c r="N463" s="106">
        <f>VLOOKUP($A463,'VKT US'!$B$63:$AA$113,(N$448+1),FALSE)*($BC$69+$BC$75)/(1+$AZ$41)^N$448</f>
        <v>1305.8040350498061</v>
      </c>
      <c r="O463" s="106">
        <f>VLOOKUP($A463,'VKT US'!$B$63:$AA$113,(O$448+1),FALSE)*($BC$69+$BC$75)/(1+$AZ$41)^O$448</f>
        <v>1257.5422159983887</v>
      </c>
      <c r="P463" s="106">
        <f>VLOOKUP($A463,'VKT US'!$B$63:$AA$113,(P$448+1),FALSE)*($BC$69+$BC$75)/(1+$AZ$41)^P$448</f>
        <v>1211.9323510377285</v>
      </c>
      <c r="Q463" s="106">
        <f>VLOOKUP($A463,'VKT US'!$B$63:$AA$113,(Q$448+1),FALSE)*($BC$69+$BC$75)/(1+$AZ$41)^Q$448</f>
        <v>1169.155352581216</v>
      </c>
      <c r="R463" s="106">
        <f>VLOOKUP($A463,'VKT US'!$B$63:$AA$113,(R$448+1),FALSE)*($BC$69+$BC$75)/(1+$AZ$41)^R$448</f>
        <v>1128.7465561013294</v>
      </c>
      <c r="S463" s="106">
        <f>VLOOKUP($A463,'VKT US'!$B$63:$AA$113,(S$448+1),FALSE)*($BC$69+$BC$75)/(1+$AZ$41)^S$448</f>
        <v>1091.0142554218135</v>
      </c>
      <c r="T463" s="106">
        <f>VLOOKUP($A463,'VKT US'!$B$63:$AA$113,(T$448+1),FALSE)*($BC$69+$BC$75)/(1+$AZ$41)^T$448</f>
        <v>1055.5062848595019</v>
      </c>
      <c r="U463" s="109">
        <f>VLOOKUP($A463,'VKT US'!$B$63:$AA$113,(U$448+1),FALSE)*($BC$69+$BC$75)/(1+$AZ$41)^U$448</f>
        <v>1022.5251907050401</v>
      </c>
      <c r="V463" s="110" cm="1">
        <f t="array" ref="V463">SUMPRODUCT(INDEX(B463:U463,,_xlfn.SEQUENCE($AZ$13)))</f>
        <v>23108.017986688392</v>
      </c>
    </row>
    <row r="464" spans="1:22" x14ac:dyDescent="0.25">
      <c r="A464" s="102" t="s">
        <v>199</v>
      </c>
      <c r="B464" s="106">
        <f>VLOOKUP($A464,'VKT US'!$B$63:$AA$113,(B$448+1),FALSE)*($BC$69+$BC$75)/(1+$AZ$41)^B$448</f>
        <v>2134.5236995841501</v>
      </c>
      <c r="C464" s="106">
        <f>VLOOKUP($A464,'VKT US'!$B$63:$AA$113,(C$448+1),FALSE)*($BC$69+$BC$75)/(1+$AZ$41)^C$448</f>
        <v>2046.4788208842274</v>
      </c>
      <c r="D464" s="106">
        <f>VLOOKUP($A464,'VKT US'!$B$63:$AA$113,(D$448+1),FALSE)*($BC$69+$BC$75)/(1+$AZ$41)^D$448</f>
        <v>1962.1778467284851</v>
      </c>
      <c r="E464" s="106">
        <f>VLOOKUP($A464,'VKT US'!$B$63:$AA$113,(E$448+1),FALSE)*($BC$69+$BC$75)/(1+$AZ$41)^E$448</f>
        <v>1881.6698527413926</v>
      </c>
      <c r="F464" s="106">
        <f>VLOOKUP($A464,'VKT US'!$B$63:$AA$113,(F$448+1),FALSE)*($BC$69+$BC$75)/(1+$AZ$41)^F$448</f>
        <v>1804.7051431397242</v>
      </c>
      <c r="G464" s="106">
        <f>VLOOKUP($A464,'VKT US'!$B$63:$AA$113,(G$448+1),FALSE)*($BC$69+$BC$75)/(1+$AZ$41)^G$448</f>
        <v>1731.4787063723993</v>
      </c>
      <c r="H464" s="106">
        <f>VLOOKUP($A464,'VKT US'!$B$63:$AA$113,(H$448+1),FALSE)*($BC$69+$BC$75)/(1+$AZ$41)^H$448</f>
        <v>1661.4565332721622</v>
      </c>
      <c r="I464" s="106">
        <f>VLOOKUP($A464,'VKT US'!$B$63:$AA$113,(I$448+1),FALSE)*($BC$69+$BC$75)/(1+$AZ$41)^I$448</f>
        <v>1594.8360185326676</v>
      </c>
      <c r="J464" s="106">
        <f>VLOOKUP($A464,'VKT US'!$B$63:$AA$113,(J$448+1),FALSE)*($BC$69+$BC$75)/(1+$AZ$41)^J$448</f>
        <v>1531.5228041772825</v>
      </c>
      <c r="K464" s="106">
        <f>VLOOKUP($A464,'VKT US'!$B$63:$AA$113,(K$448+1),FALSE)*($BC$69+$BC$75)/(1+$AZ$41)^K$448</f>
        <v>1471.4245707092618</v>
      </c>
      <c r="L464" s="106">
        <f>VLOOKUP($A464,'VKT US'!$B$63:$AA$113,(L$448+1),FALSE)*($BC$69+$BC$75)/(1+$AZ$41)^L$448</f>
        <v>1414.3142310805258</v>
      </c>
      <c r="M464" s="106">
        <f>VLOOKUP($A464,'VKT US'!$B$63:$AA$113,(M$448+1),FALSE)*($BC$69+$BC$75)/(1+$AZ$41)^M$448</f>
        <v>1360.2434394103266</v>
      </c>
      <c r="N464" s="106">
        <f>VLOOKUP($A464,'VKT US'!$B$63:$AA$113,(N$448+1),FALSE)*($BC$69+$BC$75)/(1+$AZ$41)^N$448</f>
        <v>1308.9921629075068</v>
      </c>
      <c r="O464" s="106">
        <f>VLOOKUP($A464,'VKT US'!$B$63:$AA$113,(O$448+1),FALSE)*($BC$69+$BC$75)/(1+$AZ$41)^O$448</f>
        <v>1260.6125123548445</v>
      </c>
      <c r="P464" s="106">
        <f>VLOOKUP($A464,'VKT US'!$B$63:$AA$113,(P$448+1),FALSE)*($BC$69+$BC$75)/(1+$AZ$41)^P$448</f>
        <v>1214.8912906536905</v>
      </c>
      <c r="Q464" s="106">
        <f>VLOOKUP($A464,'VKT US'!$B$63:$AA$113,(Q$448+1),FALSE)*($BC$69+$BC$75)/(1+$AZ$41)^Q$448</f>
        <v>1172.0098519161038</v>
      </c>
      <c r="R464" s="106">
        <f>VLOOKUP($A464,'VKT US'!$B$63:$AA$113,(R$448+1),FALSE)*($BC$69+$BC$75)/(1+$AZ$41)^R$448</f>
        <v>1131.5023971335199</v>
      </c>
      <c r="S464" s="106">
        <f>VLOOKUP($A464,'VKT US'!$B$63:$AA$113,(S$448+1),FALSE)*($BC$69+$BC$75)/(1+$AZ$41)^S$448</f>
        <v>1093.6779728307781</v>
      </c>
      <c r="T464" s="106">
        <f>VLOOKUP($A464,'VKT US'!$B$63:$AA$113,(T$448+1),FALSE)*($BC$69+$BC$75)/(1+$AZ$41)^T$448</f>
        <v>1058.0833093596673</v>
      </c>
      <c r="U464" s="109">
        <f>VLOOKUP($A464,'VKT US'!$B$63:$AA$113,(U$448+1),FALSE)*($BC$69+$BC$75)/(1+$AZ$41)^U$448</f>
        <v>1025.0216916792945</v>
      </c>
      <c r="V464" s="110" cm="1">
        <f t="array" ref="V464">SUMPRODUCT(INDEX(B464:U464,,_xlfn.SEQUENCE($AZ$13)))</f>
        <v>23164.436341894958</v>
      </c>
    </row>
    <row r="465" spans="1:22" x14ac:dyDescent="0.25">
      <c r="A465" s="102" t="s">
        <v>157</v>
      </c>
      <c r="B465" s="106">
        <f>VLOOKUP($A465,'VKT US'!$B$63:$AA$113,(B$448+1),FALSE)*($BC$69+$BC$75)/(1+$AZ$41)^B$448</f>
        <v>2354.6044869575512</v>
      </c>
      <c r="C465" s="106">
        <f>VLOOKUP($A465,'VKT US'!$B$63:$AA$113,(C$448+1),FALSE)*($BC$69+$BC$75)/(1+$AZ$41)^C$448</f>
        <v>2257.48171128593</v>
      </c>
      <c r="D465" s="106">
        <f>VLOOKUP($A465,'VKT US'!$B$63:$AA$113,(D$448+1),FALSE)*($BC$69+$BC$75)/(1+$AZ$41)^D$448</f>
        <v>2164.4888567017083</v>
      </c>
      <c r="E465" s="106">
        <f>VLOOKUP($A465,'VKT US'!$B$63:$AA$113,(E$448+1),FALSE)*($BC$69+$BC$75)/(1+$AZ$41)^E$448</f>
        <v>2075.6800587882021</v>
      </c>
      <c r="F465" s="106">
        <f>VLOOKUP($A465,'VKT US'!$B$63:$AA$113,(F$448+1),FALSE)*($BC$69+$BC$75)/(1+$AZ$41)^F$448</f>
        <v>1990.7798767940735</v>
      </c>
      <c r="G465" s="106">
        <f>VLOOKUP($A465,'VKT US'!$B$63:$AA$113,(G$448+1),FALSE)*($BC$69+$BC$75)/(1+$AZ$41)^G$448</f>
        <v>1910.0034035181634</v>
      </c>
      <c r="H465" s="106">
        <f>VLOOKUP($A465,'VKT US'!$B$63:$AA$113,(H$448+1),FALSE)*($BC$69+$BC$75)/(1+$AZ$41)^H$448</f>
        <v>1832.7615705975652</v>
      </c>
      <c r="I465" s="106">
        <f>VLOOKUP($A465,'VKT US'!$B$63:$AA$113,(I$448+1),FALSE)*($BC$69+$BC$75)/(1+$AZ$41)^I$448</f>
        <v>1759.2721251725284</v>
      </c>
      <c r="J465" s="106">
        <f>VLOOKUP($A465,'VKT US'!$B$63:$AA$113,(J$448+1),FALSE)*($BC$69+$BC$75)/(1+$AZ$41)^J$448</f>
        <v>1689.4309804553541</v>
      </c>
      <c r="K465" s="106">
        <f>VLOOKUP($A465,'VKT US'!$B$63:$AA$113,(K$448+1),FALSE)*($BC$69+$BC$75)/(1+$AZ$41)^K$448</f>
        <v>1623.136298316387</v>
      </c>
      <c r="L465" s="106">
        <f>VLOOKUP($A465,'VKT US'!$B$63:$AA$113,(L$448+1),FALSE)*($BC$69+$BC$75)/(1+$AZ$41)^L$448</f>
        <v>1560.1375778207141</v>
      </c>
      <c r="M465" s="106">
        <f>VLOOKUP($A465,'VKT US'!$B$63:$AA$113,(M$448+1),FALSE)*($BC$69+$BC$75)/(1+$AZ$41)^M$448</f>
        <v>1500.4917989030089</v>
      </c>
      <c r="N465" s="106">
        <f>VLOOKUP($A465,'VKT US'!$B$63:$AA$113,(N$448+1),FALSE)*($BC$69+$BC$75)/(1+$AZ$41)^N$448</f>
        <v>1443.9562422168253</v>
      </c>
      <c r="O465" s="106">
        <f>VLOOKUP($A465,'VKT US'!$B$63:$AA$113,(O$448+1),FALSE)*($BC$69+$BC$75)/(1+$AZ$41)^O$448</f>
        <v>1390.58839144481</v>
      </c>
      <c r="P465" s="106">
        <f>VLOOKUP($A465,'VKT US'!$B$63:$AA$113,(P$448+1),FALSE)*($BC$69+$BC$75)/(1+$AZ$41)^P$448</f>
        <v>1340.1530677294111</v>
      </c>
      <c r="Q465" s="106">
        <f>VLOOKUP($A465,'VKT US'!$B$63:$AA$113,(Q$448+1),FALSE)*($BC$69+$BC$75)/(1+$AZ$41)^Q$448</f>
        <v>1292.8503237596965</v>
      </c>
      <c r="R465" s="106">
        <f>VLOOKUP($A465,'VKT US'!$B$63:$AA$113,(R$448+1),FALSE)*($BC$69+$BC$75)/(1+$AZ$41)^R$448</f>
        <v>1248.1663341629146</v>
      </c>
      <c r="S465" s="106">
        <f>VLOOKUP($A465,'VKT US'!$B$63:$AA$113,(S$448+1),FALSE)*($BC$69+$BC$75)/(1+$AZ$41)^S$448</f>
        <v>1206.442009810286</v>
      </c>
      <c r="T465" s="106">
        <f>VLOOKUP($A465,'VKT US'!$B$63:$AA$113,(T$448+1),FALSE)*($BC$69+$BC$75)/(1+$AZ$41)^T$448</f>
        <v>1167.1773465333451</v>
      </c>
      <c r="U465" s="109">
        <f>VLOOKUP($A465,'VKT US'!$B$63:$AA$113,(U$448+1),FALSE)*($BC$69+$BC$75)/(1+$AZ$41)^U$448</f>
        <v>1130.7068995893983</v>
      </c>
      <c r="V465" s="110" cm="1">
        <f t="array" ref="V465">SUMPRODUCT(INDEX(B465:U465,,_xlfn.SEQUENCE($AZ$13)))</f>
        <v>25552.81337897282</v>
      </c>
    </row>
    <row r="466" spans="1:22" x14ac:dyDescent="0.25">
      <c r="A466" s="102" t="s">
        <v>200</v>
      </c>
      <c r="B466" s="106">
        <f>VLOOKUP($A466,'VKT US'!$B$63:$AA$113,(B$448+1),FALSE)*($BC$69+$BC$75)/(1+$AZ$41)^B$448</f>
        <v>2159.0733937137293</v>
      </c>
      <c r="C466" s="106">
        <f>VLOOKUP($A466,'VKT US'!$B$63:$AA$113,(C$448+1),FALSE)*($BC$69+$BC$75)/(1+$AZ$41)^C$448</f>
        <v>2070.0158887111888</v>
      </c>
      <c r="D466" s="106">
        <f>VLOOKUP($A466,'VKT US'!$B$63:$AA$113,(D$448+1),FALSE)*($BC$69+$BC$75)/(1+$AZ$41)^D$448</f>
        <v>1984.7453478409834</v>
      </c>
      <c r="E466" s="106">
        <f>VLOOKUP($A466,'VKT US'!$B$63:$AA$113,(E$448+1),FALSE)*($BC$69+$BC$75)/(1+$AZ$41)^E$448</f>
        <v>1903.3114111586876</v>
      </c>
      <c r="F466" s="106">
        <f>VLOOKUP($A466,'VKT US'!$B$63:$AA$113,(F$448+1),FALSE)*($BC$69+$BC$75)/(1+$AZ$41)^F$448</f>
        <v>1825.4615110670468</v>
      </c>
      <c r="G466" s="106">
        <f>VLOOKUP($A466,'VKT US'!$B$63:$AA$113,(G$448+1),FALSE)*($BC$69+$BC$75)/(1+$AZ$41)^G$448</f>
        <v>1751.3928786261918</v>
      </c>
      <c r="H466" s="106">
        <f>VLOOKUP($A466,'VKT US'!$B$63:$AA$113,(H$448+1),FALSE)*($BC$69+$BC$75)/(1+$AZ$41)^H$448</f>
        <v>1680.5653628950747</v>
      </c>
      <c r="I466" s="106">
        <f>VLOOKUP($A466,'VKT US'!$B$63:$AA$113,(I$448+1),FALSE)*($BC$69+$BC$75)/(1+$AZ$41)^I$448</f>
        <v>1613.1786288533872</v>
      </c>
      <c r="J466" s="106">
        <f>VLOOKUP($A466,'VKT US'!$B$63:$AA$113,(J$448+1),FALSE)*($BC$69+$BC$75)/(1+$AZ$41)^J$448</f>
        <v>1549.1372332896656</v>
      </c>
      <c r="K466" s="106">
        <f>VLOOKUP($A466,'VKT US'!$B$63:$AA$113,(K$448+1),FALSE)*($BC$69+$BC$75)/(1+$AZ$41)^K$448</f>
        <v>1488.3477949174057</v>
      </c>
      <c r="L466" s="106">
        <f>VLOOKUP($A466,'VKT US'!$B$63:$AA$113,(L$448+1),FALSE)*($BC$69+$BC$75)/(1+$AZ$41)^L$448</f>
        <v>1430.5806149032503</v>
      </c>
      <c r="M466" s="106">
        <f>VLOOKUP($A466,'VKT US'!$B$63:$AA$113,(M$448+1),FALSE)*($BC$69+$BC$75)/(1+$AZ$41)^M$448</f>
        <v>1375.8879414534733</v>
      </c>
      <c r="N466" s="106">
        <f>VLOOKUP($A466,'VKT US'!$B$63:$AA$113,(N$448+1),FALSE)*($BC$69+$BC$75)/(1+$AZ$41)^N$448</f>
        <v>1324.0472111244253</v>
      </c>
      <c r="O466" s="106">
        <f>VLOOKUP($A466,'VKT US'!$B$63:$AA$113,(O$448+1),FALSE)*($BC$69+$BC$75)/(1+$AZ$41)^O$448</f>
        <v>1275.1111340381083</v>
      </c>
      <c r="P466" s="106">
        <f>VLOOKUP($A466,'VKT US'!$B$63:$AA$113,(P$448+1),FALSE)*($BC$69+$BC$75)/(1+$AZ$41)^P$448</f>
        <v>1228.8640610623995</v>
      </c>
      <c r="Q466" s="106">
        <f>VLOOKUP($A466,'VKT US'!$B$63:$AA$113,(Q$448+1),FALSE)*($BC$69+$BC$75)/(1+$AZ$41)^Q$448</f>
        <v>1185.4894321086306</v>
      </c>
      <c r="R466" s="106">
        <f>VLOOKUP($A466,'VKT US'!$B$63:$AA$113,(R$448+1),FALSE)*($BC$69+$BC$75)/(1+$AZ$41)^R$448</f>
        <v>1144.5160908966413</v>
      </c>
      <c r="S466" s="106">
        <f>VLOOKUP($A466,'VKT US'!$B$63:$AA$113,(S$448+1),FALSE)*($BC$69+$BC$75)/(1+$AZ$41)^S$448</f>
        <v>1106.2566383731119</v>
      </c>
      <c r="T466" s="106">
        <f>VLOOKUP($A466,'VKT US'!$B$63:$AA$113,(T$448+1),FALSE)*($BC$69+$BC$75)/(1+$AZ$41)^T$448</f>
        <v>1070.2525917215605</v>
      </c>
      <c r="U466" s="109">
        <f>VLOOKUP($A466,'VKT US'!$B$63:$AA$113,(U$448+1),FALSE)*($BC$69+$BC$75)/(1+$AZ$41)^U$448</f>
        <v>1036.8107240577181</v>
      </c>
      <c r="V466" s="110" cm="1">
        <f t="array" ref="V466">SUMPRODUCT(INDEX(B466:U466,,_xlfn.SEQUENCE($AZ$13)))</f>
        <v>23430.856352592618</v>
      </c>
    </row>
    <row r="467" spans="1:22" x14ac:dyDescent="0.25">
      <c r="A467" s="102" t="s">
        <v>203</v>
      </c>
      <c r="B467" s="106">
        <f>VLOOKUP($A467,'VKT US'!$B$63:$AA$113,(B$448+1),FALSE)*($BC$69+$BC$75)/(1+$AZ$41)^B$448</f>
        <v>2052.7876591291993</v>
      </c>
      <c r="C467" s="106">
        <f>VLOOKUP($A467,'VKT US'!$B$63:$AA$113,(C$448+1),FALSE)*($BC$69+$BC$75)/(1+$AZ$41)^C$448</f>
        <v>1968.1142303544614</v>
      </c>
      <c r="D467" s="106">
        <f>VLOOKUP($A467,'VKT US'!$B$63:$AA$113,(D$448+1),FALSE)*($BC$69+$BC$75)/(1+$AZ$41)^D$448</f>
        <v>1887.0413430245192</v>
      </c>
      <c r="E467" s="106">
        <f>VLOOKUP($A467,'VKT US'!$B$63:$AA$113,(E$448+1),FALSE)*($BC$69+$BC$75)/(1+$AZ$41)^E$448</f>
        <v>1809.6161935402813</v>
      </c>
      <c r="F467" s="106">
        <f>VLOOKUP($A467,'VKT US'!$B$63:$AA$113,(F$448+1),FALSE)*($BC$69+$BC$75)/(1+$AZ$41)^F$448</f>
        <v>1735.5986475699331</v>
      </c>
      <c r="G467" s="106">
        <f>VLOOKUP($A467,'VKT US'!$B$63:$AA$113,(G$448+1),FALSE)*($BC$69+$BC$75)/(1+$AZ$41)^G$448</f>
        <v>1665.1762269862427</v>
      </c>
      <c r="H467" s="106">
        <f>VLOOKUP($A467,'VKT US'!$B$63:$AA$113,(H$448+1),FALSE)*($BC$69+$BC$75)/(1+$AZ$41)^H$448</f>
        <v>1597.8353711158775</v>
      </c>
      <c r="I467" s="106">
        <f>VLOOKUP($A467,'VKT US'!$B$63:$AA$113,(I$448+1),FALSE)*($BC$69+$BC$75)/(1+$AZ$41)^I$448</f>
        <v>1533.7659159354487</v>
      </c>
      <c r="J467" s="106">
        <f>VLOOKUP($A467,'VKT US'!$B$63:$AA$113,(J$448+1),FALSE)*($BC$69+$BC$75)/(1+$AZ$41)^J$448</f>
        <v>1472.8771166619354</v>
      </c>
      <c r="K467" s="106">
        <f>VLOOKUP($A467,'VKT US'!$B$63:$AA$113,(K$448+1),FALSE)*($BC$69+$BC$75)/(1+$AZ$41)^K$448</f>
        <v>1415.0801889339123</v>
      </c>
      <c r="L467" s="106">
        <f>VLOOKUP($A467,'VKT US'!$B$63:$AA$113,(L$448+1),FALSE)*($BC$69+$BC$75)/(1+$AZ$41)^L$448</f>
        <v>1360.1567414119259</v>
      </c>
      <c r="M467" s="106">
        <f>VLOOKUP($A467,'VKT US'!$B$63:$AA$113,(M$448+1),FALSE)*($BC$69+$BC$75)/(1+$AZ$41)^M$448</f>
        <v>1308.1564502549077</v>
      </c>
      <c r="N467" s="106">
        <f>VLOOKUP($A467,'VKT US'!$B$63:$AA$113,(N$448+1),FALSE)*($BC$69+$BC$75)/(1+$AZ$41)^N$448</f>
        <v>1258.8677082558829</v>
      </c>
      <c r="O467" s="106">
        <f>VLOOKUP($A467,'VKT US'!$B$63:$AA$113,(O$448+1),FALSE)*($BC$69+$BC$75)/(1+$AZ$41)^O$448</f>
        <v>1212.3406307505657</v>
      </c>
      <c r="P467" s="106">
        <f>VLOOKUP($A467,'VKT US'!$B$63:$AA$113,(P$448+1),FALSE)*($BC$69+$BC$75)/(1+$AZ$41)^P$448</f>
        <v>1168.3701844694006</v>
      </c>
      <c r="Q467" s="106">
        <f>VLOOKUP($A467,'VKT US'!$B$63:$AA$113,(Q$448+1),FALSE)*($BC$69+$BC$75)/(1+$AZ$41)^Q$448</f>
        <v>1127.1307790398091</v>
      </c>
      <c r="R467" s="106">
        <f>VLOOKUP($A467,'VKT US'!$B$63:$AA$113,(R$448+1),FALSE)*($BC$69+$BC$75)/(1+$AZ$41)^R$448</f>
        <v>1088.1744520163038</v>
      </c>
      <c r="S467" s="106">
        <f>VLOOKUP($A467,'VKT US'!$B$63:$AA$113,(S$448+1),FALSE)*($BC$69+$BC$75)/(1+$AZ$41)^S$448</f>
        <v>1051.7984157898322</v>
      </c>
      <c r="T467" s="106">
        <f>VLOOKUP($A467,'VKT US'!$B$63:$AA$113,(T$448+1),FALSE)*($BC$69+$BC$75)/(1+$AZ$41)^T$448</f>
        <v>1017.5667574959524</v>
      </c>
      <c r="U467" s="109">
        <f>VLOOKUP($A467,'VKT US'!$B$63:$AA$113,(U$448+1),FALSE)*($BC$69+$BC$75)/(1+$AZ$41)^U$448</f>
        <v>985.77114858407219</v>
      </c>
      <c r="V467" s="110" cm="1">
        <f t="array" ref="V467">SUMPRODUCT(INDEX(B467:U467,,_xlfn.SEQUENCE($AZ$13)))</f>
        <v>22277.414423925093</v>
      </c>
    </row>
    <row r="468" spans="1:22" x14ac:dyDescent="0.25">
      <c r="A468" s="102" t="s">
        <v>202</v>
      </c>
      <c r="B468" s="106">
        <f>VLOOKUP($A468,'VKT US'!$B$63:$AA$113,(B$448+1),FALSE)*($BC$69+$BC$75)/(1+$AZ$41)^B$448</f>
        <v>1948.0904341648188</v>
      </c>
      <c r="C468" s="106">
        <f>VLOOKUP($A468,'VKT US'!$B$63:$AA$113,(C$448+1),FALSE)*($BC$69+$BC$75)/(1+$AZ$41)^C$448</f>
        <v>1867.7355587394782</v>
      </c>
      <c r="D468" s="106">
        <f>VLOOKUP($A468,'VKT US'!$B$63:$AA$113,(D$448+1),FALSE)*($BC$69+$BC$75)/(1+$AZ$41)^D$448</f>
        <v>1790.7975882800395</v>
      </c>
      <c r="E468" s="106">
        <f>VLOOKUP($A468,'VKT US'!$B$63:$AA$113,(E$448+1),FALSE)*($BC$69+$BC$75)/(1+$AZ$41)^E$448</f>
        <v>1717.3213120547584</v>
      </c>
      <c r="F468" s="106">
        <f>VLOOKUP($A468,'VKT US'!$B$63:$AA$113,(F$448+1),FALSE)*($BC$69+$BC$75)/(1+$AZ$41)^F$448</f>
        <v>1647.0788431739991</v>
      </c>
      <c r="G468" s="106">
        <f>VLOOKUP($A468,'VKT US'!$B$63:$AA$113,(G$448+1),FALSE)*($BC$69+$BC$75)/(1+$AZ$41)^G$448</f>
        <v>1580.248139433304</v>
      </c>
      <c r="H468" s="106">
        <f>VLOOKUP($A468,'VKT US'!$B$63:$AA$113,(H$448+1),FALSE)*($BC$69+$BC$75)/(1+$AZ$41)^H$448</f>
        <v>1516.341833018163</v>
      </c>
      <c r="I468" s="106">
        <f>VLOOKUP($A468,'VKT US'!$B$63:$AA$113,(I$448+1),FALSE)*($BC$69+$BC$75)/(1+$AZ$41)^I$448</f>
        <v>1455.5400778029689</v>
      </c>
      <c r="J468" s="106">
        <f>VLOOKUP($A468,'VKT US'!$B$63:$AA$113,(J$448+1),FALSE)*($BC$69+$BC$75)/(1+$AZ$41)^J$448</f>
        <v>1397.7567572120654</v>
      </c>
      <c r="K468" s="106">
        <f>VLOOKUP($A468,'VKT US'!$B$63:$AA$113,(K$448+1),FALSE)*($BC$69+$BC$75)/(1+$AZ$41)^K$448</f>
        <v>1342.9076151050633</v>
      </c>
      <c r="L468" s="106">
        <f>VLOOKUP($A468,'VKT US'!$B$63:$AA$113,(L$448+1),FALSE)*($BC$69+$BC$75)/(1+$AZ$41)^L$448</f>
        <v>1290.7853986385423</v>
      </c>
      <c r="M468" s="106">
        <f>VLOOKUP($A468,'VKT US'!$B$63:$AA$113,(M$448+1),FALSE)*($BC$69+$BC$75)/(1+$AZ$41)^M$448</f>
        <v>1241.4372503650161</v>
      </c>
      <c r="N468" s="106">
        <f>VLOOKUP($A468,'VKT US'!$B$63:$AA$113,(N$448+1),FALSE)*($BC$69+$BC$75)/(1+$AZ$41)^N$448</f>
        <v>1194.6623555660826</v>
      </c>
      <c r="O468" s="106">
        <f>VLOOKUP($A468,'VKT US'!$B$63:$AA$113,(O$448+1),FALSE)*($BC$69+$BC$75)/(1+$AZ$41)^O$448</f>
        <v>1150.5082735719404</v>
      </c>
      <c r="P468" s="106">
        <f>VLOOKUP($A468,'VKT US'!$B$63:$AA$113,(P$448+1),FALSE)*($BC$69+$BC$75)/(1+$AZ$41)^P$448</f>
        <v>1108.7804283146124</v>
      </c>
      <c r="Q468" s="106">
        <f>VLOOKUP($A468,'VKT US'!$B$63:$AA$113,(Q$448+1),FALSE)*($BC$69+$BC$75)/(1+$AZ$41)^Q$448</f>
        <v>1069.6443341010922</v>
      </c>
      <c r="R468" s="106">
        <f>VLOOKUP($A468,'VKT US'!$B$63:$AA$113,(R$448+1),FALSE)*($BC$69+$BC$75)/(1+$AZ$41)^R$448</f>
        <v>1032.6748756735799</v>
      </c>
      <c r="S468" s="106">
        <f>VLOOKUP($A468,'VKT US'!$B$63:$AA$113,(S$448+1),FALSE)*($BC$69+$BC$75)/(1+$AZ$41)^S$448</f>
        <v>998.15410685929214</v>
      </c>
      <c r="T468" s="106">
        <f>VLOOKUP($A468,'VKT US'!$B$63:$AA$113,(T$448+1),FALSE)*($BC$69+$BC$75)/(1+$AZ$41)^T$448</f>
        <v>965.66834742317246</v>
      </c>
      <c r="U468" s="109">
        <f>VLOOKUP($A468,'VKT US'!$B$63:$AA$113,(U$448+1),FALSE)*($BC$69+$BC$75)/(1+$AZ$41)^U$448</f>
        <v>935.49439285255937</v>
      </c>
      <c r="V468" s="110" cm="1">
        <f t="array" ref="V468">SUMPRODUCT(INDEX(B468:U468,,_xlfn.SEQUENCE($AZ$13)))</f>
        <v>21141.211437126243</v>
      </c>
    </row>
    <row r="469" spans="1:22" x14ac:dyDescent="0.25">
      <c r="A469" s="102" t="s">
        <v>201</v>
      </c>
      <c r="B469" s="106">
        <f>VLOOKUP($A469,'VKT US'!$B$63:$AA$113,(B$448+1),FALSE)*($BC$69+$BC$75)/(1+$AZ$41)^B$448</f>
        <v>1893.0702373214685</v>
      </c>
      <c r="C469" s="106">
        <f>VLOOKUP($A469,'VKT US'!$B$63:$AA$113,(C$448+1),FALSE)*($BC$69+$BC$75)/(1+$AZ$41)^C$448</f>
        <v>1814.9848361390525</v>
      </c>
      <c r="D469" s="106">
        <f>VLOOKUP($A469,'VKT US'!$B$63:$AA$113,(D$448+1),FALSE)*($BC$69+$BC$75)/(1+$AZ$41)^D$448</f>
        <v>1740.2198357867337</v>
      </c>
      <c r="E469" s="106">
        <f>VLOOKUP($A469,'VKT US'!$B$63:$AA$113,(E$448+1),FALSE)*($BC$69+$BC$75)/(1+$AZ$41)^E$448</f>
        <v>1668.8187605430562</v>
      </c>
      <c r="F469" s="106">
        <f>VLOOKUP($A469,'VKT US'!$B$63:$AA$113,(F$448+1),FALSE)*($BC$69+$BC$75)/(1+$AZ$41)^F$448</f>
        <v>1600.5601597604116</v>
      </c>
      <c r="G469" s="106">
        <f>VLOOKUP($A469,'VKT US'!$B$63:$AA$113,(G$448+1),FALSE)*($BC$69+$BC$75)/(1+$AZ$41)^G$448</f>
        <v>1535.6169651468629</v>
      </c>
      <c r="H469" s="106">
        <f>VLOOKUP($A469,'VKT US'!$B$63:$AA$113,(H$448+1),FALSE)*($BC$69+$BC$75)/(1+$AZ$41)^H$448</f>
        <v>1473.5155736868126</v>
      </c>
      <c r="I469" s="106">
        <f>VLOOKUP($A469,'VKT US'!$B$63:$AA$113,(I$448+1),FALSE)*($BC$69+$BC$75)/(1+$AZ$41)^I$448</f>
        <v>1414.4310511430037</v>
      </c>
      <c r="J469" s="106">
        <f>VLOOKUP($A469,'VKT US'!$B$63:$AA$113,(J$448+1),FALSE)*($BC$69+$BC$75)/(1+$AZ$41)^J$448</f>
        <v>1358.2797131425475</v>
      </c>
      <c r="K469" s="106">
        <f>VLOOKUP($A469,'VKT US'!$B$63:$AA$113,(K$448+1),FALSE)*($BC$69+$BC$75)/(1+$AZ$41)^K$448</f>
        <v>1304.9796832032821</v>
      </c>
      <c r="L469" s="106">
        <f>VLOOKUP($A469,'VKT US'!$B$63:$AA$113,(L$448+1),FALSE)*($BC$69+$BC$75)/(1+$AZ$41)^L$448</f>
        <v>1254.3295619534954</v>
      </c>
      <c r="M469" s="106">
        <f>VLOOKUP($A469,'VKT US'!$B$63:$AA$113,(M$448+1),FALSE)*($BC$69+$BC$75)/(1+$AZ$41)^M$448</f>
        <v>1206.3751604918457</v>
      </c>
      <c r="N469" s="106">
        <f>VLOOKUP($A469,'VKT US'!$B$63:$AA$113,(N$448+1),FALSE)*($BC$69+$BC$75)/(1+$AZ$41)^N$448</f>
        <v>1160.921335738753</v>
      </c>
      <c r="O469" s="106">
        <f>VLOOKUP($A469,'VKT US'!$B$63:$AA$113,(O$448+1),FALSE)*($BC$69+$BC$75)/(1+$AZ$41)^O$448</f>
        <v>1118.014303799449</v>
      </c>
      <c r="P469" s="106">
        <f>VLOOKUP($A469,'VKT US'!$B$63:$AA$113,(P$448+1),FALSE)*($BC$69+$BC$75)/(1+$AZ$41)^P$448</f>
        <v>1077.4649840456823</v>
      </c>
      <c r="Q469" s="106">
        <f>VLOOKUP($A469,'VKT US'!$B$63:$AA$113,(Q$448+1),FALSE)*($BC$69+$BC$75)/(1+$AZ$41)^Q$448</f>
        <v>1039.4342161401939</v>
      </c>
      <c r="R469" s="106">
        <f>VLOOKUP($A469,'VKT US'!$B$63:$AA$113,(R$448+1),FALSE)*($BC$69+$BC$75)/(1+$AZ$41)^R$448</f>
        <v>1003.5088914162312</v>
      </c>
      <c r="S469" s="106">
        <f>VLOOKUP($A469,'VKT US'!$B$63:$AA$113,(S$448+1),FALSE)*($BC$69+$BC$75)/(1+$AZ$41)^S$448</f>
        <v>969.96309761441512</v>
      </c>
      <c r="T469" s="106">
        <f>VLOOKUP($A469,'VKT US'!$B$63:$AA$113,(T$448+1),FALSE)*($BC$69+$BC$75)/(1+$AZ$41)^T$448</f>
        <v>938.39483812975288</v>
      </c>
      <c r="U469" s="109">
        <f>VLOOKUP($A469,'VKT US'!$B$63:$AA$113,(U$448+1),FALSE)*($BC$69+$BC$75)/(1+$AZ$41)^U$448</f>
        <v>909.07309087503359</v>
      </c>
      <c r="V469" s="110" cm="1">
        <f t="array" ref="V469">SUMPRODUCT(INDEX(B469:U469,,_xlfn.SEQUENCE($AZ$13)))</f>
        <v>20544.117177856773</v>
      </c>
    </row>
    <row r="470" spans="1:22" x14ac:dyDescent="0.25">
      <c r="A470" s="102" t="s">
        <v>204</v>
      </c>
      <c r="B470" s="106">
        <f>VLOOKUP($A470,'VKT US'!$B$63:$AA$113,(B$448+1),FALSE)*($BC$69+$BC$75)/(1+$AZ$41)^B$448</f>
        <v>2066.0733759522659</v>
      </c>
      <c r="C470" s="106">
        <f>VLOOKUP($A470,'VKT US'!$B$63:$AA$113,(C$448+1),FALSE)*($BC$69+$BC$75)/(1+$AZ$41)^C$448</f>
        <v>1980.8519376490524</v>
      </c>
      <c r="D470" s="106">
        <f>VLOOKUP($A470,'VKT US'!$B$63:$AA$113,(D$448+1),FALSE)*($BC$69+$BC$75)/(1+$AZ$41)^D$448</f>
        <v>1899.2543436265771</v>
      </c>
      <c r="E470" s="106">
        <f>VLOOKUP($A470,'VKT US'!$B$63:$AA$113,(E$448+1),FALSE)*($BC$69+$BC$75)/(1+$AZ$41)^E$448</f>
        <v>1821.328095742582</v>
      </c>
      <c r="F470" s="106">
        <f>VLOOKUP($A470,'VKT US'!$B$63:$AA$113,(F$448+1),FALSE)*($BC$69+$BC$75)/(1+$AZ$41)^F$448</f>
        <v>1746.8315055070723</v>
      </c>
      <c r="G470" s="106">
        <f>VLOOKUP($A470,'VKT US'!$B$63:$AA$113,(G$448+1),FALSE)*($BC$69+$BC$75)/(1+$AZ$41)^G$448</f>
        <v>1675.9533084412365</v>
      </c>
      <c r="H470" s="106">
        <f>VLOOKUP($A470,'VKT US'!$B$63:$AA$113,(H$448+1),FALSE)*($BC$69+$BC$75)/(1+$AZ$41)^H$448</f>
        <v>1608.1766200882773</v>
      </c>
      <c r="I470" s="106">
        <f>VLOOKUP($A470,'VKT US'!$B$63:$AA$113,(I$448+1),FALSE)*($BC$69+$BC$75)/(1+$AZ$41)^I$448</f>
        <v>1543.6925050501911</v>
      </c>
      <c r="J470" s="106">
        <f>VLOOKUP($A470,'VKT US'!$B$63:$AA$113,(J$448+1),FALSE)*($BC$69+$BC$75)/(1+$AZ$41)^J$448</f>
        <v>1482.4096312404017</v>
      </c>
      <c r="K470" s="106">
        <f>VLOOKUP($A470,'VKT US'!$B$63:$AA$113,(K$448+1),FALSE)*($BC$69+$BC$75)/(1+$AZ$41)^K$448</f>
        <v>1424.238639681849</v>
      </c>
      <c r="L470" s="106">
        <f>VLOOKUP($A470,'VKT US'!$B$63:$AA$113,(L$448+1),FALSE)*($BC$69+$BC$75)/(1+$AZ$41)^L$448</f>
        <v>1368.9597255983413</v>
      </c>
      <c r="M470" s="106">
        <f>VLOOKUP($A470,'VKT US'!$B$63:$AA$113,(M$448+1),FALSE)*($BC$69+$BC$75)/(1+$AZ$41)^M$448</f>
        <v>1316.6228866547285</v>
      </c>
      <c r="N470" s="106">
        <f>VLOOKUP($A470,'VKT US'!$B$63:$AA$113,(N$448+1),FALSE)*($BC$69+$BC$75)/(1+$AZ$41)^N$448</f>
        <v>1267.0151461144508</v>
      </c>
      <c r="O470" s="106">
        <f>VLOOKUP($A470,'VKT US'!$B$63:$AA$113,(O$448+1),FALSE)*($BC$69+$BC$75)/(1+$AZ$41)^O$448</f>
        <v>1220.1869436615086</v>
      </c>
      <c r="P470" s="106">
        <f>VLOOKUP($A470,'VKT US'!$B$63:$AA$113,(P$448+1),FALSE)*($BC$69+$BC$75)/(1+$AZ$41)^P$448</f>
        <v>1175.9319190435256</v>
      </c>
      <c r="Q470" s="106">
        <f>VLOOKUP($A470,'VKT US'!$B$63:$AA$113,(Q$448+1),FALSE)*($BC$69+$BC$75)/(1+$AZ$41)^Q$448</f>
        <v>1134.4256106734119</v>
      </c>
      <c r="R470" s="106">
        <f>VLOOKUP($A470,'VKT US'!$B$63:$AA$113,(R$448+1),FALSE)*($BC$69+$BC$75)/(1+$AZ$41)^R$448</f>
        <v>1095.2171568763458</v>
      </c>
      <c r="S470" s="106">
        <f>VLOOKUP($A470,'VKT US'!$B$63:$AA$113,(S$448+1),FALSE)*($BC$69+$BC$75)/(1+$AZ$41)^S$448</f>
        <v>1058.6056936127422</v>
      </c>
      <c r="T470" s="106">
        <f>VLOOKUP($A470,'VKT US'!$B$63:$AA$113,(T$448+1),FALSE)*($BC$69+$BC$75)/(1+$AZ$41)^T$448</f>
        <v>1024.1524867741534</v>
      </c>
      <c r="U470" s="109">
        <f>VLOOKUP($A470,'VKT US'!$B$63:$AA$113,(U$448+1),FALSE)*($BC$69+$BC$75)/(1+$AZ$41)^U$448</f>
        <v>992.15109551827811</v>
      </c>
      <c r="V470" s="110" cm="1">
        <f t="array" ref="V470">SUMPRODUCT(INDEX(B470:U470,,_xlfn.SEQUENCE($AZ$13)))</f>
        <v>22421.594665008535</v>
      </c>
    </row>
    <row r="471" spans="1:22" x14ac:dyDescent="0.25">
      <c r="A471" s="102" t="s">
        <v>205</v>
      </c>
      <c r="B471" s="106">
        <f>VLOOKUP($A471,'VKT US'!$B$63:$AA$113,(B$448+1),FALSE)*($BC$69+$BC$75)/(1+$AZ$41)^B$448</f>
        <v>2586.2380715684017</v>
      </c>
      <c r="C471" s="106">
        <f>VLOOKUP($A471,'VKT US'!$B$63:$AA$113,(C$448+1),FALSE)*($BC$69+$BC$75)/(1+$AZ$41)^C$448</f>
        <v>2479.5608689003197</v>
      </c>
      <c r="D471" s="106">
        <f>VLOOKUP($A471,'VKT US'!$B$63:$AA$113,(D$448+1),FALSE)*($BC$69+$BC$75)/(1+$AZ$41)^D$448</f>
        <v>2377.41986719846</v>
      </c>
      <c r="E471" s="106">
        <f>VLOOKUP($A471,'VKT US'!$B$63:$AA$113,(E$448+1),FALSE)*($BC$69+$BC$75)/(1+$AZ$41)^E$448</f>
        <v>2279.8745276196196</v>
      </c>
      <c r="F471" s="106">
        <f>VLOOKUP($A471,'VKT US'!$B$63:$AA$113,(F$448+1),FALSE)*($BC$69+$BC$75)/(1+$AZ$41)^F$448</f>
        <v>2186.6223130024573</v>
      </c>
      <c r="G471" s="106">
        <f>VLOOKUP($A471,'VKT US'!$B$63:$AA$113,(G$448+1),FALSE)*($BC$69+$BC$75)/(1+$AZ$41)^G$448</f>
        <v>2097.8994758421823</v>
      </c>
      <c r="H471" s="106">
        <f>VLOOKUP($A471,'VKT US'!$B$63:$AA$113,(H$448+1),FALSE)*($BC$69+$BC$75)/(1+$AZ$41)^H$448</f>
        <v>2013.05899833375</v>
      </c>
      <c r="I471" s="106">
        <f>VLOOKUP($A471,'VKT US'!$B$63:$AA$113,(I$448+1),FALSE)*($BC$69+$BC$75)/(1+$AZ$41)^I$448</f>
        <v>1932.3400484339047</v>
      </c>
      <c r="J471" s="106">
        <f>VLOOKUP($A471,'VKT US'!$B$63:$AA$113,(J$448+1),FALSE)*($BC$69+$BC$75)/(1+$AZ$41)^J$448</f>
        <v>1855.6282998451359</v>
      </c>
      <c r="K471" s="106">
        <f>VLOOKUP($A471,'VKT US'!$B$63:$AA$113,(K$448+1),FALSE)*($BC$69+$BC$75)/(1+$AZ$41)^K$448</f>
        <v>1782.8118961391092</v>
      </c>
      <c r="L471" s="106">
        <f>VLOOKUP($A471,'VKT US'!$B$63:$AA$113,(L$448+1),FALSE)*($BC$69+$BC$75)/(1+$AZ$41)^L$448</f>
        <v>1713.6156934186549</v>
      </c>
      <c r="M471" s="106">
        <f>VLOOKUP($A471,'VKT US'!$B$63:$AA$113,(M$448+1),FALSE)*($BC$69+$BC$75)/(1+$AZ$41)^M$448</f>
        <v>1648.1022770042312</v>
      </c>
      <c r="N471" s="106">
        <f>VLOOKUP($A471,'VKT US'!$B$63:$AA$113,(N$448+1),FALSE)*($BC$69+$BC$75)/(1+$AZ$41)^N$448</f>
        <v>1586.0050500988118</v>
      </c>
      <c r="O471" s="106">
        <f>VLOOKUP($A471,'VKT US'!$B$63:$AA$113,(O$448+1),FALSE)*($BC$69+$BC$75)/(1+$AZ$41)^O$448</f>
        <v>1527.3871513269</v>
      </c>
      <c r="P471" s="106">
        <f>VLOOKUP($A471,'VKT US'!$B$63:$AA$113,(P$448+1),FALSE)*($BC$69+$BC$75)/(1+$AZ$41)^P$448</f>
        <v>1471.9902661739357</v>
      </c>
      <c r="Q471" s="106">
        <f>VLOOKUP($A471,'VKT US'!$B$63:$AA$113,(Q$448+1),FALSE)*($BC$69+$BC$75)/(1+$AZ$41)^Q$448</f>
        <v>1420.0341274585958</v>
      </c>
      <c r="R471" s="106">
        <f>VLOOKUP($A471,'VKT US'!$B$63:$AA$113,(R$448+1),FALSE)*($BC$69+$BC$75)/(1+$AZ$41)^R$448</f>
        <v>1370.9543623749546</v>
      </c>
      <c r="S471" s="106">
        <f>VLOOKUP($A471,'VKT US'!$B$63:$AA$113,(S$448+1),FALSE)*($BC$69+$BC$75)/(1+$AZ$41)^S$448</f>
        <v>1325.1254188097155</v>
      </c>
      <c r="T471" s="106">
        <f>VLOOKUP($A471,'VKT US'!$B$63:$AA$113,(T$448+1),FALSE)*($BC$69+$BC$75)/(1+$AZ$41)^T$448</f>
        <v>1281.9981048185023</v>
      </c>
      <c r="U471" s="109">
        <f>VLOOKUP($A471,'VKT US'!$B$63:$AA$113,(U$448+1),FALSE)*($BC$69+$BC$75)/(1+$AZ$41)^U$448</f>
        <v>1241.9398874422898</v>
      </c>
      <c r="V471" s="110" cm="1">
        <f t="array" ref="V471">SUMPRODUCT(INDEX(B471:U471,,_xlfn.SEQUENCE($AZ$13)))</f>
        <v>28066.564538731938</v>
      </c>
    </row>
    <row r="472" spans="1:22" x14ac:dyDescent="0.25">
      <c r="A472" s="102" t="s">
        <v>207</v>
      </c>
      <c r="B472" s="106">
        <f>VLOOKUP($A472,'VKT US'!$B$63:$AA$113,(B$448+1),FALSE)*($BC$69+$BC$75)/(1+$AZ$41)^B$448</f>
        <v>2883.2893705363063</v>
      </c>
      <c r="C472" s="106">
        <f>VLOOKUP($A472,'VKT US'!$B$63:$AA$113,(C$448+1),FALSE)*($BC$69+$BC$75)/(1+$AZ$41)^C$448</f>
        <v>2764.3593896065545</v>
      </c>
      <c r="D472" s="106">
        <f>VLOOKUP($A472,'VKT US'!$B$63:$AA$113,(D$448+1),FALSE)*($BC$69+$BC$75)/(1+$AZ$41)^D$448</f>
        <v>2650.4866306596937</v>
      </c>
      <c r="E472" s="106">
        <f>VLOOKUP($A472,'VKT US'!$B$63:$AA$113,(E$448+1),FALSE)*($BC$69+$BC$75)/(1+$AZ$41)^E$448</f>
        <v>2541.7373844688891</v>
      </c>
      <c r="F472" s="106">
        <f>VLOOKUP($A472,'VKT US'!$B$63:$AA$113,(F$448+1),FALSE)*($BC$69+$BC$75)/(1+$AZ$41)^F$448</f>
        <v>2437.7743649230588</v>
      </c>
      <c r="G472" s="106">
        <f>VLOOKUP($A472,'VKT US'!$B$63:$AA$113,(G$448+1),FALSE)*($BC$69+$BC$75)/(1+$AZ$41)^G$448</f>
        <v>2338.8609601130725</v>
      </c>
      <c r="H472" s="106">
        <f>VLOOKUP($A472,'VKT US'!$B$63:$AA$113,(H$448+1),FALSE)*($BC$69+$BC$75)/(1+$AZ$41)^H$448</f>
        <v>2244.2758367709889</v>
      </c>
      <c r="I472" s="106">
        <f>VLOOKUP($A472,'VKT US'!$B$63:$AA$113,(I$448+1),FALSE)*($BC$69+$BC$75)/(1+$AZ$41)^I$448</f>
        <v>2154.2856333146092</v>
      </c>
      <c r="J472" s="106">
        <f>VLOOKUP($A472,'VKT US'!$B$63:$AA$113,(J$448+1),FALSE)*($BC$69+$BC$75)/(1+$AZ$41)^J$448</f>
        <v>2068.7628921049741</v>
      </c>
      <c r="K472" s="106">
        <f>VLOOKUP($A472,'VKT US'!$B$63:$AA$113,(K$448+1),FALSE)*($BC$69+$BC$75)/(1+$AZ$41)^K$448</f>
        <v>1987.5829090576499</v>
      </c>
      <c r="L472" s="106">
        <f>VLOOKUP($A472,'VKT US'!$B$63:$AA$113,(L$448+1),FALSE)*($BC$69+$BC$75)/(1+$AZ$41)^L$448</f>
        <v>1910.4389376736201</v>
      </c>
      <c r="M472" s="106">
        <f>VLOOKUP($A472,'VKT US'!$B$63:$AA$113,(M$448+1),FALSE)*($BC$69+$BC$75)/(1+$AZ$41)^M$448</f>
        <v>1837.4007517263094</v>
      </c>
      <c r="N472" s="106">
        <f>VLOOKUP($A472,'VKT US'!$B$63:$AA$113,(N$448+1),FALSE)*($BC$69+$BC$75)/(1+$AZ$41)^N$448</f>
        <v>1768.1711335235284</v>
      </c>
      <c r="O472" s="106">
        <f>VLOOKUP($A472,'VKT US'!$B$63:$AA$113,(O$448+1),FALSE)*($BC$69+$BC$75)/(1+$AZ$41)^O$448</f>
        <v>1702.8204736943931</v>
      </c>
      <c r="P472" s="106">
        <f>VLOOKUP($A472,'VKT US'!$B$63:$AA$113,(P$448+1),FALSE)*($BC$69+$BC$75)/(1+$AZ$41)^P$448</f>
        <v>1641.0607881193143</v>
      </c>
      <c r="Q472" s="106">
        <f>VLOOKUP($A472,'VKT US'!$B$63:$AA$113,(Q$448+1),FALSE)*($BC$69+$BC$75)/(1+$AZ$41)^Q$448</f>
        <v>1583.1370477881694</v>
      </c>
      <c r="R472" s="106">
        <f>VLOOKUP($A472,'VKT US'!$B$63:$AA$113,(R$448+1),FALSE)*($BC$69+$BC$75)/(1+$AZ$41)^R$448</f>
        <v>1528.4200569087245</v>
      </c>
      <c r="S472" s="106">
        <f>VLOOKUP($A472,'VKT US'!$B$63:$AA$113,(S$448+1),FALSE)*($BC$69+$BC$75)/(1+$AZ$41)^S$448</f>
        <v>1477.3272718719516</v>
      </c>
      <c r="T472" s="106">
        <f>VLOOKUP($A472,'VKT US'!$B$63:$AA$113,(T$448+1),FALSE)*($BC$69+$BC$75)/(1+$AZ$41)^T$448</f>
        <v>1429.2464213974099</v>
      </c>
      <c r="U472" s="109">
        <f>VLOOKUP($A472,'VKT US'!$B$63:$AA$113,(U$448+1),FALSE)*($BC$69+$BC$75)/(1+$AZ$41)^U$448</f>
        <v>1384.5871792212158</v>
      </c>
      <c r="V472" s="110" cm="1">
        <f t="array" ref="V472">SUMPRODUCT(INDEX(B472:U472,,_xlfn.SEQUENCE($AZ$13)))</f>
        <v>31290.246668173641</v>
      </c>
    </row>
    <row r="473" spans="1:22" x14ac:dyDescent="0.25">
      <c r="A473" s="102" t="s">
        <v>206</v>
      </c>
      <c r="B473" s="106">
        <f>VLOOKUP($A473,'VKT US'!$B$63:$AA$113,(B$448+1),FALSE)*($BC$69+$BC$75)/(1+$AZ$41)^B$448</f>
        <v>2674.6169704348858</v>
      </c>
      <c r="C473" s="106">
        <f>VLOOKUP($A473,'VKT US'!$B$63:$AA$113,(C$448+1),FALSE)*($BC$69+$BC$75)/(1+$AZ$41)^C$448</f>
        <v>2564.294313077381</v>
      </c>
      <c r="D473" s="106">
        <f>VLOOKUP($A473,'VKT US'!$B$63:$AA$113,(D$448+1),FALSE)*($BC$69+$BC$75)/(1+$AZ$41)^D$448</f>
        <v>2458.6628712034553</v>
      </c>
      <c r="E473" s="106">
        <f>VLOOKUP($A473,'VKT US'!$B$63:$AA$113,(E$448+1),FALSE)*($BC$69+$BC$75)/(1+$AZ$41)^E$448</f>
        <v>2357.7841379218817</v>
      </c>
      <c r="F473" s="106">
        <f>VLOOKUP($A473,'VKT US'!$B$63:$AA$113,(F$448+1),FALSE)*($BC$69+$BC$75)/(1+$AZ$41)^F$448</f>
        <v>2261.3452375408183</v>
      </c>
      <c r="G473" s="106">
        <f>VLOOKUP($A473,'VKT US'!$B$63:$AA$113,(G$448+1),FALSE)*($BC$69+$BC$75)/(1+$AZ$41)^G$448</f>
        <v>2169.5904959558356</v>
      </c>
      <c r="H473" s="106">
        <f>VLOOKUP($A473,'VKT US'!$B$63:$AA$113,(H$448+1),FALSE)*($BC$69+$BC$75)/(1+$AZ$41)^H$448</f>
        <v>2081.8507849762341</v>
      </c>
      <c r="I473" s="106">
        <f>VLOOKUP($A473,'VKT US'!$B$63:$AA$113,(I$448+1),FALSE)*($BC$69+$BC$75)/(1+$AZ$41)^I$448</f>
        <v>1998.3734455884946</v>
      </c>
      <c r="J473" s="106">
        <f>VLOOKUP($A473,'VKT US'!$B$63:$AA$113,(J$448+1),FALSE)*($BC$69+$BC$75)/(1+$AZ$41)^J$448</f>
        <v>1919.0402446497153</v>
      </c>
      <c r="K473" s="106">
        <f>VLOOKUP($A473,'VKT US'!$B$63:$AA$113,(K$448+1),FALSE)*($BC$69+$BC$75)/(1+$AZ$41)^K$448</f>
        <v>1843.7355032884268</v>
      </c>
      <c r="L473" s="106">
        <f>VLOOKUP($A473,'VKT US'!$B$63:$AA$113,(L$448+1),FALSE)*($BC$69+$BC$75)/(1+$AZ$41)^L$448</f>
        <v>1772.1746751804626</v>
      </c>
      <c r="M473" s="106">
        <f>VLOOKUP($A473,'VKT US'!$B$63:$AA$113,(M$448+1),FALSE)*($BC$69+$BC$75)/(1+$AZ$41)^M$448</f>
        <v>1704.42248435956</v>
      </c>
      <c r="N473" s="106">
        <f>VLOOKUP($A473,'VKT US'!$B$63:$AA$113,(N$448+1),FALSE)*($BC$69+$BC$75)/(1+$AZ$41)^N$448</f>
        <v>1640.2032236797193</v>
      </c>
      <c r="O473" s="106">
        <f>VLOOKUP($A473,'VKT US'!$B$63:$AA$113,(O$448+1),FALSE)*($BC$69+$BC$75)/(1+$AZ$41)^O$448</f>
        <v>1579.58218938665</v>
      </c>
      <c r="P473" s="106">
        <f>VLOOKUP($A473,'VKT US'!$B$63:$AA$113,(P$448+1),FALSE)*($BC$69+$BC$75)/(1+$AZ$41)^P$448</f>
        <v>1522.292239645288</v>
      </c>
      <c r="Q473" s="106">
        <f>VLOOKUP($A473,'VKT US'!$B$63:$AA$113,(Q$448+1),FALSE)*($BC$69+$BC$75)/(1+$AZ$41)^Q$448</f>
        <v>1468.5606161516921</v>
      </c>
      <c r="R473" s="106">
        <f>VLOOKUP($A473,'VKT US'!$B$63:$AA$113,(R$448+1),FALSE)*($BC$69+$BC$75)/(1+$AZ$41)^R$448</f>
        <v>1417.8036599221923</v>
      </c>
      <c r="S473" s="106">
        <f>VLOOKUP($A473,'VKT US'!$B$63:$AA$113,(S$448+1),FALSE)*($BC$69+$BC$75)/(1+$AZ$41)^S$448</f>
        <v>1370.4086147621163</v>
      </c>
      <c r="T473" s="106">
        <f>VLOOKUP($A473,'VKT US'!$B$63:$AA$113,(T$448+1),FALSE)*($BC$69+$BC$75)/(1+$AZ$41)^T$448</f>
        <v>1325.8075213213178</v>
      </c>
      <c r="U473" s="109">
        <f>VLOOKUP($A473,'VKT US'!$B$63:$AA$113,(U$448+1),FALSE)*($BC$69+$BC$75)/(1+$AZ$41)^U$448</f>
        <v>1284.380404004615</v>
      </c>
      <c r="V473" s="110" cm="1">
        <f t="array" ref="V473">SUMPRODUCT(INDEX(B473:U473,,_xlfn.SEQUENCE($AZ$13)))</f>
        <v>29025.676577243517</v>
      </c>
    </row>
    <row r="474" spans="1:22" x14ac:dyDescent="0.25">
      <c r="A474" s="102" t="s">
        <v>208</v>
      </c>
      <c r="B474" s="106">
        <f>VLOOKUP($A474,'VKT US'!$B$63:$AA$113,(B$448+1),FALSE)*($BC$69+$BC$75)/(1+$AZ$41)^B$448</f>
        <v>2293.2302516336044</v>
      </c>
      <c r="C474" s="106">
        <f>VLOOKUP($A474,'VKT US'!$B$63:$AA$113,(C$448+1),FALSE)*($BC$69+$BC$75)/(1+$AZ$41)^C$448</f>
        <v>2198.6390417185262</v>
      </c>
      <c r="D474" s="106">
        <f>VLOOKUP($A474,'VKT US'!$B$63:$AA$113,(D$448+1),FALSE)*($BC$69+$BC$75)/(1+$AZ$41)^D$448</f>
        <v>2108.0701039204614</v>
      </c>
      <c r="E474" s="106">
        <f>VLOOKUP($A474,'VKT US'!$B$63:$AA$113,(E$448+1),FALSE)*($BC$69+$BC$75)/(1+$AZ$41)^E$448</f>
        <v>2021.5761627449644</v>
      </c>
      <c r="F474" s="106">
        <f>VLOOKUP($A474,'VKT US'!$B$63:$AA$113,(F$448+1),FALSE)*($BC$69+$BC$75)/(1+$AZ$41)^F$448</f>
        <v>1938.8889569757675</v>
      </c>
      <c r="G474" s="106">
        <f>VLOOKUP($A474,'VKT US'!$B$63:$AA$113,(G$448+1),FALSE)*($BC$69+$BC$75)/(1+$AZ$41)^G$448</f>
        <v>1860.2179728836818</v>
      </c>
      <c r="H474" s="106">
        <f>VLOOKUP($A474,'VKT US'!$B$63:$AA$113,(H$448+1),FALSE)*($BC$69+$BC$75)/(1+$AZ$41)^H$448</f>
        <v>1784.9894965402841</v>
      </c>
      <c r="I474" s="106">
        <f>VLOOKUP($A474,'VKT US'!$B$63:$AA$113,(I$448+1),FALSE)*($BC$69+$BC$75)/(1+$AZ$41)^I$448</f>
        <v>1713.4155993707302</v>
      </c>
      <c r="J474" s="106">
        <f>VLOOKUP($A474,'VKT US'!$B$63:$AA$113,(J$448+1),FALSE)*($BC$69+$BC$75)/(1+$AZ$41)^J$448</f>
        <v>1645.3949076743957</v>
      </c>
      <c r="K474" s="106">
        <f>VLOOKUP($A474,'VKT US'!$B$63:$AA$113,(K$448+1),FALSE)*($BC$69+$BC$75)/(1+$AZ$41)^K$448</f>
        <v>1580.8282377960272</v>
      </c>
      <c r="L474" s="106">
        <f>VLOOKUP($A474,'VKT US'!$B$63:$AA$113,(L$448+1),FALSE)*($BC$69+$BC$75)/(1+$AZ$41)^L$448</f>
        <v>1519.4716182639031</v>
      </c>
      <c r="M474" s="106">
        <f>VLOOKUP($A474,'VKT US'!$B$63:$AA$113,(M$448+1),FALSE)*($BC$69+$BC$75)/(1+$AZ$41)^M$448</f>
        <v>1461.3805437951416</v>
      </c>
      <c r="N474" s="106">
        <f>VLOOKUP($A474,'VKT US'!$B$63:$AA$113,(N$448+1),FALSE)*($BC$69+$BC$75)/(1+$AZ$41)^N$448</f>
        <v>1406.3186216745282</v>
      </c>
      <c r="O474" s="106">
        <f>VLOOKUP($A474,'VKT US'!$B$63:$AA$113,(O$448+1),FALSE)*($BC$69+$BC$75)/(1+$AZ$41)^O$448</f>
        <v>1354.3418372366502</v>
      </c>
      <c r="P474" s="106">
        <f>VLOOKUP($A474,'VKT US'!$B$63:$AA$113,(P$448+1),FALSE)*($BC$69+$BC$75)/(1+$AZ$41)^P$448</f>
        <v>1305.2211417076383</v>
      </c>
      <c r="Q474" s="106">
        <f>VLOOKUP($A474,'VKT US'!$B$63:$AA$113,(Q$448+1),FALSE)*($BC$69+$BC$75)/(1+$AZ$41)^Q$448</f>
        <v>1259.1513732783799</v>
      </c>
      <c r="R474" s="106">
        <f>VLOOKUP($A474,'VKT US'!$B$63:$AA$113,(R$448+1),FALSE)*($BC$69+$BC$75)/(1+$AZ$41)^R$448</f>
        <v>1215.6320997551109</v>
      </c>
      <c r="S474" s="106">
        <f>VLOOKUP($A474,'VKT US'!$B$63:$AA$113,(S$448+1),FALSE)*($BC$69+$BC$75)/(1+$AZ$41)^S$448</f>
        <v>1174.9953459544522</v>
      </c>
      <c r="T474" s="106">
        <f>VLOOKUP($A474,'VKT US'!$B$63:$AA$113,(T$448+1),FALSE)*($BC$69+$BC$75)/(1+$AZ$41)^T$448</f>
        <v>1136.754140628612</v>
      </c>
      <c r="U474" s="109">
        <f>VLOOKUP($A474,'VKT US'!$B$63:$AA$113,(U$448+1),FALSE)*($BC$69+$BC$75)/(1+$AZ$41)^U$448</f>
        <v>1101.2343186433393</v>
      </c>
      <c r="V474" s="110" cm="1">
        <f t="array" ref="V474">SUMPRODUCT(INDEX(B474:U474,,_xlfn.SEQUENCE($AZ$13)))</f>
        <v>24886.763352228663</v>
      </c>
    </row>
    <row r="475" spans="1:22" x14ac:dyDescent="0.25">
      <c r="A475" s="102" t="s">
        <v>211</v>
      </c>
      <c r="B475" s="106">
        <f>VLOOKUP($A475,'VKT US'!$B$63:$AA$113,(B$448+1),FALSE)*($BC$69+$BC$75)/(1+$AZ$41)^B$448</f>
        <v>2143.9103473395771</v>
      </c>
      <c r="C475" s="106">
        <f>VLOOKUP($A475,'VKT US'!$B$63:$AA$113,(C$448+1),FALSE)*($BC$69+$BC$75)/(1+$AZ$41)^C$448</f>
        <v>2055.4782879945365</v>
      </c>
      <c r="D475" s="106">
        <f>VLOOKUP($A475,'VKT US'!$B$63:$AA$113,(D$448+1),FALSE)*($BC$69+$BC$75)/(1+$AZ$41)^D$448</f>
        <v>1970.8065971538522</v>
      </c>
      <c r="E475" s="106">
        <f>VLOOKUP($A475,'VKT US'!$B$63:$AA$113,(E$448+1),FALSE)*($BC$69+$BC$75)/(1+$AZ$41)^E$448</f>
        <v>1889.9445662538878</v>
      </c>
      <c r="F475" s="106">
        <f>VLOOKUP($A475,'VKT US'!$B$63:$AA$113,(F$448+1),FALSE)*($BC$69+$BC$75)/(1+$AZ$41)^F$448</f>
        <v>1812.6414014648769</v>
      </c>
      <c r="G475" s="106">
        <f>VLOOKUP($A475,'VKT US'!$B$63:$AA$113,(G$448+1),FALSE)*($BC$69+$BC$75)/(1+$AZ$41)^G$448</f>
        <v>1739.0929487047317</v>
      </c>
      <c r="H475" s="106">
        <f>VLOOKUP($A475,'VKT US'!$B$63:$AA$113,(H$448+1),FALSE)*($BC$69+$BC$75)/(1+$AZ$41)^H$448</f>
        <v>1668.7628504809231</v>
      </c>
      <c r="I475" s="106">
        <f>VLOOKUP($A475,'VKT US'!$B$63:$AA$113,(I$448+1),FALSE)*($BC$69+$BC$75)/(1+$AZ$41)^I$448</f>
        <v>1601.8493695376485</v>
      </c>
      <c r="J475" s="106">
        <f>VLOOKUP($A475,'VKT US'!$B$63:$AA$113,(J$448+1),FALSE)*($BC$69+$BC$75)/(1+$AZ$41)^J$448</f>
        <v>1538.2577329555465</v>
      </c>
      <c r="K475" s="106">
        <f>VLOOKUP($A475,'VKT US'!$B$63:$AA$113,(K$448+1),FALSE)*($BC$69+$BC$75)/(1+$AZ$41)^K$448</f>
        <v>1477.8952152594345</v>
      </c>
      <c r="L475" s="106">
        <f>VLOOKUP($A475,'VKT US'!$B$63:$AA$113,(L$448+1),FALSE)*($BC$69+$BC$75)/(1+$AZ$41)^L$448</f>
        <v>1420.5337307774498</v>
      </c>
      <c r="M475" s="106">
        <f>VLOOKUP($A475,'VKT US'!$B$63:$AA$113,(M$448+1),FALSE)*($BC$69+$BC$75)/(1+$AZ$41)^M$448</f>
        <v>1366.2251607797652</v>
      </c>
      <c r="N475" s="106">
        <f>VLOOKUP($A475,'VKT US'!$B$63:$AA$113,(N$448+1),FALSE)*($BC$69+$BC$75)/(1+$AZ$41)^N$448</f>
        <v>1314.7485048727992</v>
      </c>
      <c r="O475" s="106">
        <f>VLOOKUP($A475,'VKT US'!$B$63:$AA$113,(O$448+1),FALSE)*($BC$69+$BC$75)/(1+$AZ$41)^O$448</f>
        <v>1266.1561029984452</v>
      </c>
      <c r="P475" s="106">
        <f>VLOOKUP($A475,'VKT US'!$B$63:$AA$113,(P$448+1),FALSE)*($BC$69+$BC$75)/(1+$AZ$41)^P$448</f>
        <v>1220.2338205158439</v>
      </c>
      <c r="Q475" s="106">
        <f>VLOOKUP($A475,'VKT US'!$B$63:$AA$113,(Q$448+1),FALSE)*($BC$69+$BC$75)/(1+$AZ$41)^Q$448</f>
        <v>1177.1638090485408</v>
      </c>
      <c r="R475" s="106">
        <f>VLOOKUP($A475,'VKT US'!$B$63:$AA$113,(R$448+1),FALSE)*($BC$69+$BC$75)/(1+$AZ$41)^R$448</f>
        <v>1136.4782212194193</v>
      </c>
      <c r="S475" s="106">
        <f>VLOOKUP($A475,'VKT US'!$B$63:$AA$113,(S$448+1),FALSE)*($BC$69+$BC$75)/(1+$AZ$41)^S$448</f>
        <v>1098.4874625969644</v>
      </c>
      <c r="T475" s="106">
        <f>VLOOKUP($A475,'VKT US'!$B$63:$AA$113,(T$448+1),FALSE)*($BC$69+$BC$75)/(1+$AZ$41)^T$448</f>
        <v>1062.7362702627443</v>
      </c>
      <c r="U475" s="109">
        <f>VLOOKUP($A475,'VKT US'!$B$63:$AA$113,(U$448+1),FALSE)*($BC$69+$BC$75)/(1+$AZ$41)^U$448</f>
        <v>1029.5292628828095</v>
      </c>
      <c r="V475" s="110" cm="1">
        <f t="array" ref="V475">SUMPRODUCT(INDEX(B475:U475,,_xlfn.SEQUENCE($AZ$13)))</f>
        <v>23266.302816573476</v>
      </c>
    </row>
    <row r="476" spans="1:22" x14ac:dyDescent="0.25">
      <c r="A476" s="102" t="s">
        <v>215</v>
      </c>
      <c r="B476" s="106">
        <f>VLOOKUP($A476,'VKT US'!$B$63:$AA$113,(B$448+1),FALSE)*($BC$69+$BC$75)/(1+$AZ$41)^B$448</f>
        <v>2024.0500760010455</v>
      </c>
      <c r="C476" s="106">
        <f>VLOOKUP($A476,'VKT US'!$B$63:$AA$113,(C$448+1),FALSE)*($BC$69+$BC$75)/(1+$AZ$41)^C$448</f>
        <v>1940.5620156629004</v>
      </c>
      <c r="D476" s="106">
        <f>VLOOKUP($A476,'VKT US'!$B$63:$AA$113,(D$448+1),FALSE)*($BC$69+$BC$75)/(1+$AZ$41)^D$448</f>
        <v>1860.624091722241</v>
      </c>
      <c r="E476" s="106">
        <f>VLOOKUP($A476,'VKT US'!$B$63:$AA$113,(E$448+1),FALSE)*($BC$69+$BC$75)/(1+$AZ$41)^E$448</f>
        <v>1784.2828398635654</v>
      </c>
      <c r="F476" s="106">
        <f>VLOOKUP($A476,'VKT US'!$B$63:$AA$113,(F$448+1),FALSE)*($BC$69+$BC$75)/(1+$AZ$41)^F$448</f>
        <v>1711.3014874667731</v>
      </c>
      <c r="G476" s="106">
        <f>VLOOKUP($A476,'VKT US'!$B$63:$AA$113,(G$448+1),FALSE)*($BC$69+$BC$75)/(1+$AZ$41)^G$448</f>
        <v>1641.8649312303328</v>
      </c>
      <c r="H476" s="106">
        <f>VLOOKUP($A476,'VKT US'!$B$63:$AA$113,(H$448+1),FALSE)*($BC$69+$BC$75)/(1+$AZ$41)^H$448</f>
        <v>1575.4667999690566</v>
      </c>
      <c r="I476" s="106">
        <f>VLOOKUP($A476,'VKT US'!$B$63:$AA$113,(I$448+1),FALSE)*($BC$69+$BC$75)/(1+$AZ$41)^I$448</f>
        <v>1512.2942720894303</v>
      </c>
      <c r="J476" s="106">
        <f>VLOOKUP($A476,'VKT US'!$B$63:$AA$113,(J$448+1),FALSE)*($BC$69+$BC$75)/(1+$AZ$41)^J$448</f>
        <v>1452.2578731715573</v>
      </c>
      <c r="K476" s="106">
        <f>VLOOKUP($A476,'VKT US'!$B$63:$AA$113,(K$448+1),FALSE)*($BC$69+$BC$75)/(1+$AZ$41)^K$448</f>
        <v>1395.2700617726143</v>
      </c>
      <c r="L476" s="106">
        <f>VLOOKUP($A476,'VKT US'!$B$63:$AA$113,(L$448+1),FALSE)*($BC$69+$BC$75)/(1+$AZ$41)^L$448</f>
        <v>1341.1155038782661</v>
      </c>
      <c r="M476" s="106">
        <f>VLOOKUP($A476,'VKT US'!$B$63:$AA$113,(M$448+1),FALSE)*($BC$69+$BC$75)/(1+$AZ$41)^M$448</f>
        <v>1289.8431802161651</v>
      </c>
      <c r="N476" s="106">
        <f>VLOOKUP($A476,'VKT US'!$B$63:$AA$113,(N$448+1),FALSE)*($BC$69+$BC$75)/(1+$AZ$41)^N$448</f>
        <v>1241.2444459313722</v>
      </c>
      <c r="O476" s="106">
        <f>VLOOKUP($A476,'VKT US'!$B$63:$AA$113,(O$448+1),FALSE)*($BC$69+$BC$75)/(1+$AZ$41)^O$448</f>
        <v>1195.3687147801568</v>
      </c>
      <c r="P476" s="106">
        <f>VLOOKUP($A476,'VKT US'!$B$63:$AA$113,(P$448+1),FALSE)*($BC$69+$BC$75)/(1+$AZ$41)^P$448</f>
        <v>1152.0138238145</v>
      </c>
      <c r="Q476" s="106">
        <f>VLOOKUP($A476,'VKT US'!$B$63:$AA$113,(Q$448+1),FALSE)*($BC$69+$BC$75)/(1+$AZ$41)^Q$448</f>
        <v>1111.3517410497336</v>
      </c>
      <c r="R476" s="106">
        <f>VLOOKUP($A476,'VKT US'!$B$63:$AA$113,(R$448+1),FALSE)*($BC$69+$BC$75)/(1+$AZ$41)^R$448</f>
        <v>1072.9407751994731</v>
      </c>
      <c r="S476" s="106">
        <f>VLOOKUP($A476,'VKT US'!$B$63:$AA$113,(S$448+1),FALSE)*($BC$69+$BC$75)/(1+$AZ$41)^S$448</f>
        <v>1037.0739778902771</v>
      </c>
      <c r="T476" s="106">
        <f>VLOOKUP($A476,'VKT US'!$B$63:$AA$113,(T$448+1),FALSE)*($BC$69+$BC$75)/(1+$AZ$41)^T$448</f>
        <v>1003.3215387311478</v>
      </c>
      <c r="U476" s="109">
        <f>VLOOKUP($A476,'VKT US'!$B$63:$AA$113,(U$448+1),FALSE)*($BC$69+$BC$75)/(1+$AZ$41)^U$448</f>
        <v>971.97104597638793</v>
      </c>
      <c r="V476" s="110" cm="1">
        <f t="array" ref="V476">SUMPRODUCT(INDEX(B476:U476,,_xlfn.SEQUENCE($AZ$13)))</f>
        <v>21965.54629375548</v>
      </c>
    </row>
    <row r="477" spans="1:22" x14ac:dyDescent="0.25">
      <c r="A477" s="102" t="s">
        <v>212</v>
      </c>
      <c r="B477" s="106">
        <f>VLOOKUP($A477,'VKT US'!$B$63:$AA$113,(B$448+1),FALSE)*($BC$69+$BC$75)/(1+$AZ$41)^B$448</f>
        <v>1670.8233004660456</v>
      </c>
      <c r="C477" s="106">
        <f>VLOOKUP($A477,'VKT US'!$B$63:$AA$113,(C$448+1),FALSE)*($BC$69+$BC$75)/(1+$AZ$41)^C$448</f>
        <v>1601.9051456349712</v>
      </c>
      <c r="D477" s="106">
        <f>VLOOKUP($A477,'VKT US'!$B$63:$AA$113,(D$448+1),FALSE)*($BC$69+$BC$75)/(1+$AZ$41)^D$448</f>
        <v>1535.9175757153489</v>
      </c>
      <c r="E477" s="106">
        <f>VLOOKUP($A477,'VKT US'!$B$63:$AA$113,(E$448+1),FALSE)*($BC$69+$BC$75)/(1+$AZ$41)^E$448</f>
        <v>1472.8990052241334</v>
      </c>
      <c r="F477" s="106">
        <f>VLOOKUP($A477,'VKT US'!$B$63:$AA$113,(F$448+1),FALSE)*($BC$69+$BC$75)/(1+$AZ$41)^F$448</f>
        <v>1412.653981877181</v>
      </c>
      <c r="G477" s="106">
        <f>VLOOKUP($A477,'VKT US'!$B$63:$AA$113,(G$448+1),FALSE)*($BC$69+$BC$75)/(1+$AZ$41)^G$448</f>
        <v>1355.3351351551762</v>
      </c>
      <c r="H477" s="106">
        <f>VLOOKUP($A477,'VKT US'!$B$63:$AA$113,(H$448+1),FALSE)*($BC$69+$BC$75)/(1+$AZ$41)^H$448</f>
        <v>1300.5244631593885</v>
      </c>
      <c r="I477" s="106">
        <f>VLOOKUP($A477,'VKT US'!$B$63:$AA$113,(I$448+1),FALSE)*($BC$69+$BC$75)/(1+$AZ$41)^I$448</f>
        <v>1248.3764788866088</v>
      </c>
      <c r="J477" s="106">
        <f>VLOOKUP($A477,'VKT US'!$B$63:$AA$113,(J$448+1),FALSE)*($BC$69+$BC$75)/(1+$AZ$41)^J$448</f>
        <v>1198.8173225310302</v>
      </c>
      <c r="K477" s="106">
        <f>VLOOKUP($A477,'VKT US'!$B$63:$AA$113,(K$448+1),FALSE)*($BC$69+$BC$75)/(1+$AZ$41)^K$448</f>
        <v>1151.7747299307327</v>
      </c>
      <c r="L477" s="106">
        <f>VLOOKUP($A477,'VKT US'!$B$63:$AA$113,(L$448+1),FALSE)*($BC$69+$BC$75)/(1+$AZ$41)^L$448</f>
        <v>1107.0709460524783</v>
      </c>
      <c r="M477" s="106">
        <f>VLOOKUP($A477,'VKT US'!$B$63:$AA$113,(M$448+1),FALSE)*($BC$69+$BC$75)/(1+$AZ$41)^M$448</f>
        <v>1064.7464037600621</v>
      </c>
      <c r="N477" s="106">
        <f>VLOOKUP($A477,'VKT US'!$B$63:$AA$113,(N$448+1),FALSE)*($BC$69+$BC$75)/(1+$AZ$41)^N$448</f>
        <v>1024.6288698220587</v>
      </c>
      <c r="O477" s="106">
        <f>VLOOKUP($A477,'VKT US'!$B$63:$AA$113,(O$448+1),FALSE)*($BC$69+$BC$75)/(1+$AZ$41)^O$448</f>
        <v>986.75913456096009</v>
      </c>
      <c r="P477" s="106">
        <f>VLOOKUP($A477,'VKT US'!$B$63:$AA$113,(P$448+1),FALSE)*($BC$69+$BC$75)/(1+$AZ$41)^P$448</f>
        <v>950.97031546331095</v>
      </c>
      <c r="Q477" s="106">
        <f>VLOOKUP($A477,'VKT US'!$B$63:$AA$113,(Q$448+1),FALSE)*($BC$69+$BC$75)/(1+$AZ$41)^Q$448</f>
        <v>917.40436957373129</v>
      </c>
      <c r="R477" s="106">
        <f>VLOOKUP($A477,'VKT US'!$B$63:$AA$113,(R$448+1),FALSE)*($BC$69+$BC$75)/(1+$AZ$41)^R$448</f>
        <v>885.69668729009038</v>
      </c>
      <c r="S477" s="106">
        <f>VLOOKUP($A477,'VKT US'!$B$63:$AA$113,(S$448+1),FALSE)*($BC$69+$BC$75)/(1+$AZ$41)^S$448</f>
        <v>856.08917838117191</v>
      </c>
      <c r="T477" s="106">
        <f>VLOOKUP($A477,'VKT US'!$B$63:$AA$113,(T$448+1),FALSE)*($BC$69+$BC$75)/(1+$AZ$41)^T$448</f>
        <v>828.22704074767273</v>
      </c>
      <c r="U477" s="109">
        <f>VLOOKUP($A477,'VKT US'!$B$63:$AA$113,(U$448+1),FALSE)*($BC$69+$BC$75)/(1+$AZ$41)^U$448</f>
        <v>802.3476742256571</v>
      </c>
      <c r="V477" s="110" cm="1">
        <f t="array" ref="V477">SUMPRODUCT(INDEX(B477:U477,,_xlfn.SEQUENCE($AZ$13)))</f>
        <v>18132.232492776173</v>
      </c>
    </row>
    <row r="478" spans="1:22" x14ac:dyDescent="0.25">
      <c r="A478" s="102" t="s">
        <v>213</v>
      </c>
      <c r="B478" s="106">
        <f>VLOOKUP($A478,'VKT US'!$B$63:$AA$113,(B$448+1),FALSE)*($BC$69+$BC$75)/(1+$AZ$41)^B$448</f>
        <v>1770.8994065354466</v>
      </c>
      <c r="C478" s="106">
        <f>VLOOKUP($A478,'VKT US'!$B$63:$AA$113,(C$448+1),FALSE)*($BC$69+$BC$75)/(1+$AZ$41)^C$448</f>
        <v>1697.8533103648795</v>
      </c>
      <c r="D478" s="106">
        <f>VLOOKUP($A478,'VKT US'!$B$63:$AA$113,(D$448+1),FALSE)*($BC$69+$BC$75)/(1+$AZ$41)^D$448</f>
        <v>1627.9133302504172</v>
      </c>
      <c r="E478" s="106">
        <f>VLOOKUP($A478,'VKT US'!$B$63:$AA$113,(E$448+1),FALSE)*($BC$69+$BC$75)/(1+$AZ$41)^E$448</f>
        <v>1561.120181595812</v>
      </c>
      <c r="F478" s="106">
        <f>VLOOKUP($A478,'VKT US'!$B$63:$AA$113,(F$448+1),FALSE)*($BC$69+$BC$75)/(1+$AZ$41)^F$448</f>
        <v>1497.2667052515012</v>
      </c>
      <c r="G478" s="106">
        <f>VLOOKUP($A478,'VKT US'!$B$63:$AA$113,(G$448+1),FALSE)*($BC$69+$BC$75)/(1+$AZ$41)^G$448</f>
        <v>1436.514672636813</v>
      </c>
      <c r="H478" s="106">
        <f>VLOOKUP($A478,'VKT US'!$B$63:$AA$113,(H$448+1),FALSE)*($BC$69+$BC$75)/(1+$AZ$41)^H$448</f>
        <v>1378.4210450927901</v>
      </c>
      <c r="I478" s="106">
        <f>VLOOKUP($A478,'VKT US'!$B$63:$AA$113,(I$448+1),FALSE)*($BC$69+$BC$75)/(1+$AZ$41)^I$448</f>
        <v>1323.1495903704824</v>
      </c>
      <c r="J478" s="106">
        <f>VLOOKUP($A478,'VKT US'!$B$63:$AA$113,(J$448+1),FALSE)*($BC$69+$BC$75)/(1+$AZ$41)^J$448</f>
        <v>1270.6220247362162</v>
      </c>
      <c r="K478" s="106">
        <f>VLOOKUP($A478,'VKT US'!$B$63:$AA$113,(K$448+1),FALSE)*($BC$69+$BC$75)/(1+$AZ$41)^K$448</f>
        <v>1220.7617556733428</v>
      </c>
      <c r="L478" s="106">
        <f>VLOOKUP($A478,'VKT US'!$B$63:$AA$113,(L$448+1),FALSE)*($BC$69+$BC$75)/(1+$AZ$41)^L$448</f>
        <v>1173.3803812827609</v>
      </c>
      <c r="M478" s="106">
        <f>VLOOKUP($A478,'VKT US'!$B$63:$AA$113,(M$448+1),FALSE)*($BC$69+$BC$75)/(1+$AZ$41)^M$448</f>
        <v>1128.5207562065377</v>
      </c>
      <c r="N478" s="106">
        <f>VLOOKUP($A478,'VKT US'!$B$63:$AA$113,(N$448+1),FALSE)*($BC$69+$BC$75)/(1+$AZ$41)^N$448</f>
        <v>1086.0003310827924</v>
      </c>
      <c r="O478" s="106">
        <f>VLOOKUP($A478,'VKT US'!$B$63:$AA$113,(O$448+1),FALSE)*($BC$69+$BC$75)/(1+$AZ$41)^O$448</f>
        <v>1045.8623394227359</v>
      </c>
      <c r="P478" s="106">
        <f>VLOOKUP($A478,'VKT US'!$B$63:$AA$113,(P$448+1),FALSE)*($BC$69+$BC$75)/(1+$AZ$41)^P$448</f>
        <v>1007.9299030705776</v>
      </c>
      <c r="Q478" s="106">
        <f>VLOOKUP($A478,'VKT US'!$B$63:$AA$113,(Q$448+1),FALSE)*($BC$69+$BC$75)/(1+$AZ$41)^Q$448</f>
        <v>972.35348177032574</v>
      </c>
      <c r="R478" s="106">
        <f>VLOOKUP($A478,'VKT US'!$B$63:$AA$113,(R$448+1),FALSE)*($BC$69+$BC$75)/(1+$AZ$41)^R$448</f>
        <v>938.74662715975614</v>
      </c>
      <c r="S478" s="106">
        <f>VLOOKUP($A478,'VKT US'!$B$63:$AA$113,(S$448+1),FALSE)*($BC$69+$BC$75)/(1+$AZ$41)^S$448</f>
        <v>907.36573850374361</v>
      </c>
      <c r="T478" s="106">
        <f>VLOOKUP($A478,'VKT US'!$B$63:$AA$113,(T$448+1),FALSE)*($BC$69+$BC$75)/(1+$AZ$41)^T$448</f>
        <v>877.83476237586092</v>
      </c>
      <c r="U478" s="109">
        <f>VLOOKUP($A478,'VKT US'!$B$63:$AA$113,(U$448+1),FALSE)*($BC$69+$BC$75)/(1+$AZ$41)^U$448</f>
        <v>850.40531798005463</v>
      </c>
      <c r="V478" s="110" cm="1">
        <f t="array" ref="V478">SUMPRODUCT(INDEX(B478:U478,,_xlfn.SEQUENCE($AZ$13)))</f>
        <v>19218.285830502526</v>
      </c>
    </row>
    <row r="479" spans="1:22" x14ac:dyDescent="0.25">
      <c r="A479" s="102" t="s">
        <v>214</v>
      </c>
      <c r="B479" s="106">
        <f>VLOOKUP($A479,'VKT US'!$B$63:$AA$113,(B$448+1),FALSE)*($BC$69+$BC$75)/(1+$AZ$41)^B$448</f>
        <v>2766.4617084726046</v>
      </c>
      <c r="C479" s="106">
        <f>VLOOKUP($A479,'VKT US'!$B$63:$AA$113,(C$448+1),FALSE)*($BC$69+$BC$75)/(1+$AZ$41)^C$448</f>
        <v>2652.3506374182498</v>
      </c>
      <c r="D479" s="106">
        <f>VLOOKUP($A479,'VKT US'!$B$63:$AA$113,(D$448+1),FALSE)*($BC$69+$BC$75)/(1+$AZ$41)^D$448</f>
        <v>2543.0918753655087</v>
      </c>
      <c r="E479" s="106">
        <f>VLOOKUP($A479,'VKT US'!$B$63:$AA$113,(E$448+1),FALSE)*($BC$69+$BC$75)/(1+$AZ$41)^E$448</f>
        <v>2438.7490270595263</v>
      </c>
      <c r="F479" s="106">
        <f>VLOOKUP($A479,'VKT US'!$B$63:$AA$113,(F$448+1),FALSE)*($BC$69+$BC$75)/(1+$AZ$41)^F$448</f>
        <v>2338.9984728453892</v>
      </c>
      <c r="G479" s="106">
        <f>VLOOKUP($A479,'VKT US'!$B$63:$AA$113,(G$448+1),FALSE)*($BC$69+$BC$75)/(1+$AZ$41)^G$448</f>
        <v>2244.0929286229652</v>
      </c>
      <c r="H479" s="106">
        <f>VLOOKUP($A479,'VKT US'!$B$63:$AA$113,(H$448+1),FALSE)*($BC$69+$BC$75)/(1+$AZ$41)^H$448</f>
        <v>2153.3402887419538</v>
      </c>
      <c r="I479" s="106">
        <f>VLOOKUP($A479,'VKT US'!$B$63:$AA$113,(I$448+1),FALSE)*($BC$69+$BC$75)/(1+$AZ$41)^I$448</f>
        <v>2066.9963877295386</v>
      </c>
      <c r="J479" s="106">
        <f>VLOOKUP($A479,'VKT US'!$B$63:$AA$113,(J$448+1),FALSE)*($BC$69+$BC$75)/(1+$AZ$41)^J$448</f>
        <v>1984.9389323878086</v>
      </c>
      <c r="K479" s="106">
        <f>VLOOKUP($A479,'VKT US'!$B$63:$AA$113,(K$448+1),FALSE)*($BC$69+$BC$75)/(1+$AZ$41)^K$448</f>
        <v>1907.0482715024241</v>
      </c>
      <c r="L479" s="106">
        <f>VLOOKUP($A479,'VKT US'!$B$63:$AA$113,(L$448+1),FALSE)*($BC$69+$BC$75)/(1+$AZ$41)^L$448</f>
        <v>1833.0300875995963</v>
      </c>
      <c r="M479" s="106">
        <f>VLOOKUP($A479,'VKT US'!$B$63:$AA$113,(M$448+1),FALSE)*($BC$69+$BC$75)/(1+$AZ$41)^M$448</f>
        <v>1762.9513272974511</v>
      </c>
      <c r="N479" s="106">
        <f>VLOOKUP($A479,'VKT US'!$B$63:$AA$113,(N$448+1),FALSE)*($BC$69+$BC$75)/(1+$AZ$41)^N$448</f>
        <v>1696.526815832427</v>
      </c>
      <c r="O479" s="106">
        <f>VLOOKUP($A479,'VKT US'!$B$63:$AA$113,(O$448+1),FALSE)*($BC$69+$BC$75)/(1+$AZ$41)^O$448</f>
        <v>1633.8240916840371</v>
      </c>
      <c r="P479" s="106">
        <f>VLOOKUP($A479,'VKT US'!$B$63:$AA$113,(P$448+1),FALSE)*($BC$69+$BC$75)/(1+$AZ$41)^P$448</f>
        <v>1574.5668395272814</v>
      </c>
      <c r="Q479" s="106">
        <f>VLOOKUP($A479,'VKT US'!$B$63:$AA$113,(Q$448+1),FALSE)*($BC$69+$BC$75)/(1+$AZ$41)^Q$448</f>
        <v>1518.9901044013804</v>
      </c>
      <c r="R479" s="106">
        <f>VLOOKUP($A479,'VKT US'!$B$63:$AA$113,(R$448+1),FALSE)*($BC$69+$BC$75)/(1+$AZ$41)^R$448</f>
        <v>1466.490184824223</v>
      </c>
      <c r="S479" s="106">
        <f>VLOOKUP($A479,'VKT US'!$B$63:$AA$113,(S$448+1),FALSE)*($BC$69+$BC$75)/(1+$AZ$41)^S$448</f>
        <v>1417.4676223204935</v>
      </c>
      <c r="T479" s="106">
        <f>VLOOKUP($A479,'VKT US'!$B$63:$AA$113,(T$448+1),FALSE)*($BC$69+$BC$75)/(1+$AZ$41)^T$448</f>
        <v>1371.3349541575772</v>
      </c>
      <c r="U479" s="109">
        <f>VLOOKUP($A479,'VKT US'!$B$63:$AA$113,(U$448+1),FALSE)*($BC$69+$BC$75)/(1+$AZ$41)^U$448</f>
        <v>1328.4852545497765</v>
      </c>
      <c r="V479" s="110" cm="1">
        <f t="array" ref="V479">SUMPRODUCT(INDEX(B479:U479,,_xlfn.SEQUENCE($AZ$13)))</f>
        <v>30022.400852559476</v>
      </c>
    </row>
    <row r="480" spans="1:22" x14ac:dyDescent="0.25">
      <c r="A480" s="102" t="s">
        <v>216</v>
      </c>
      <c r="B480" s="106">
        <f>VLOOKUP($A480,'VKT US'!$B$63:$AA$113,(B$448+1),FALSE)*($BC$69+$BC$75)/(1+$AZ$41)^B$448</f>
        <v>1468.2161189142855</v>
      </c>
      <c r="C480" s="106">
        <f>VLOOKUP($A480,'VKT US'!$B$63:$AA$113,(C$448+1),FALSE)*($BC$69+$BC$75)/(1+$AZ$41)^C$448</f>
        <v>1407.6551093924593</v>
      </c>
      <c r="D480" s="106">
        <f>VLOOKUP($A480,'VKT US'!$B$63:$AA$113,(D$448+1),FALSE)*($BC$69+$BC$75)/(1+$AZ$41)^D$448</f>
        <v>1349.669316533963</v>
      </c>
      <c r="E480" s="106">
        <f>VLOOKUP($A480,'VKT US'!$B$63:$AA$113,(E$448+1),FALSE)*($BC$69+$BC$75)/(1+$AZ$41)^E$448</f>
        <v>1294.292496639046</v>
      </c>
      <c r="F480" s="106">
        <f>VLOOKUP($A480,'VKT US'!$B$63:$AA$113,(F$448+1),FALSE)*($BC$69+$BC$75)/(1+$AZ$41)^F$448</f>
        <v>1241.352898335808</v>
      </c>
      <c r="G480" s="106">
        <f>VLOOKUP($A480,'VKT US'!$B$63:$AA$113,(G$448+1),FALSE)*($BC$69+$BC$75)/(1+$AZ$41)^G$448</f>
        <v>1190.9846429665236</v>
      </c>
      <c r="H480" s="106">
        <f>VLOOKUP($A480,'VKT US'!$B$63:$AA$113,(H$448+1),FALSE)*($BC$69+$BC$75)/(1+$AZ$41)^H$448</f>
        <v>1142.8204163302939</v>
      </c>
      <c r="I480" s="106">
        <f>VLOOKUP($A480,'VKT US'!$B$63:$AA$113,(I$448+1),FALSE)*($BC$69+$BC$75)/(1+$AZ$41)^I$448</f>
        <v>1096.9959948867893</v>
      </c>
      <c r="J480" s="106">
        <f>VLOOKUP($A480,'VKT US'!$B$63:$AA$113,(J$448+1),FALSE)*($BC$69+$BC$75)/(1+$AZ$41)^J$448</f>
        <v>1053.4464752094195</v>
      </c>
      <c r="K480" s="106">
        <f>VLOOKUP($A480,'VKT US'!$B$63:$AA$113,(K$448+1),FALSE)*($BC$69+$BC$75)/(1+$AZ$41)^K$448</f>
        <v>1012.1083560246982</v>
      </c>
      <c r="L480" s="106">
        <f>VLOOKUP($A480,'VKT US'!$B$63:$AA$113,(L$448+1),FALSE)*($BC$69+$BC$75)/(1+$AZ$41)^L$448</f>
        <v>972.82543720964122</v>
      </c>
      <c r="M480" s="106">
        <f>VLOOKUP($A480,'VKT US'!$B$63:$AA$113,(M$448+1),FALSE)*($BC$69+$BC$75)/(1+$AZ$41)^M$448</f>
        <v>935.63324866279618</v>
      </c>
      <c r="N480" s="106">
        <f>VLOOKUP($A480,'VKT US'!$B$63:$AA$113,(N$448+1),FALSE)*($BC$69+$BC$75)/(1+$AZ$41)^N$448</f>
        <v>900.38044247889979</v>
      </c>
      <c r="O480" s="106">
        <f>VLOOKUP($A480,'VKT US'!$B$63:$AA$113,(O$448+1),FALSE)*($BC$69+$BC$75)/(1+$AZ$41)^O$448</f>
        <v>867.10286266908213</v>
      </c>
      <c r="P480" s="106">
        <f>VLOOKUP($A480,'VKT US'!$B$63:$AA$113,(P$448+1),FALSE)*($BC$69+$BC$75)/(1+$AZ$41)^P$448</f>
        <v>835.65386320790685</v>
      </c>
      <c r="Q480" s="106">
        <f>VLOOKUP($A480,'VKT US'!$B$63:$AA$113,(Q$448+1),FALSE)*($BC$69+$BC$75)/(1+$AZ$41)^Q$448</f>
        <v>806.15818716129013</v>
      </c>
      <c r="R480" s="106">
        <f>VLOOKUP($A480,'VKT US'!$B$63:$AA$113,(R$448+1),FALSE)*($BC$69+$BC$75)/(1+$AZ$41)^R$448</f>
        <v>778.29543817444664</v>
      </c>
      <c r="S480" s="106">
        <f>VLOOKUP($A480,'VKT US'!$B$63:$AA$113,(S$448+1),FALSE)*($BC$69+$BC$75)/(1+$AZ$41)^S$448</f>
        <v>752.27819158179557</v>
      </c>
      <c r="T480" s="106">
        <f>VLOOKUP($A480,'VKT US'!$B$63:$AA$113,(T$448+1),FALSE)*($BC$69+$BC$75)/(1+$AZ$41)^T$448</f>
        <v>727.79466925510712</v>
      </c>
      <c r="U480" s="109">
        <f>VLOOKUP($A480,'VKT US'!$B$63:$AA$113,(U$448+1),FALSE)*($BC$69+$BC$75)/(1+$AZ$41)^U$448</f>
        <v>705.05348347901952</v>
      </c>
      <c r="V480" s="110" cm="1">
        <f t="array" ref="V480">SUMPRODUCT(INDEX(B480:U480,,_xlfn.SEQUENCE($AZ$13)))</f>
        <v>15933.483816253705</v>
      </c>
    </row>
    <row r="481" spans="1:22" x14ac:dyDescent="0.25">
      <c r="A481" s="102" t="s">
        <v>209</v>
      </c>
      <c r="B481" s="106">
        <f>VLOOKUP($A481,'VKT US'!$B$63:$AA$113,(B$448+1),FALSE)*($BC$69+$BC$75)/(1+$AZ$41)^B$448</f>
        <v>2321.10137496895</v>
      </c>
      <c r="C481" s="106">
        <f>VLOOKUP($A481,'VKT US'!$B$63:$AA$113,(C$448+1),FALSE)*($BC$69+$BC$75)/(1+$AZ$41)^C$448</f>
        <v>2225.3605363691349</v>
      </c>
      <c r="D481" s="106">
        <f>VLOOKUP($A481,'VKT US'!$B$63:$AA$113,(D$448+1),FALSE)*($BC$69+$BC$75)/(1+$AZ$41)^D$448</f>
        <v>2133.6908551834749</v>
      </c>
      <c r="E481" s="106">
        <f>VLOOKUP($A481,'VKT US'!$B$63:$AA$113,(E$448+1),FALSE)*($BC$69+$BC$75)/(1+$AZ$41)^E$448</f>
        <v>2046.1456967128343</v>
      </c>
      <c r="F481" s="106">
        <f>VLOOKUP($A481,'VKT US'!$B$63:$AA$113,(F$448+1),FALSE)*($BC$69+$BC$75)/(1+$AZ$41)^F$448</f>
        <v>1962.4535393873748</v>
      </c>
      <c r="G481" s="106">
        <f>VLOOKUP($A481,'VKT US'!$B$63:$AA$113,(G$448+1),FALSE)*($BC$69+$BC$75)/(1+$AZ$41)^G$448</f>
        <v>1882.8264155012228</v>
      </c>
      <c r="H481" s="106">
        <f>VLOOKUP($A481,'VKT US'!$B$63:$AA$113,(H$448+1),FALSE)*($BC$69+$BC$75)/(1+$AZ$41)^H$448</f>
        <v>1806.6836384062963</v>
      </c>
      <c r="I481" s="106">
        <f>VLOOKUP($A481,'VKT US'!$B$63:$AA$113,(I$448+1),FALSE)*($BC$69+$BC$75)/(1+$AZ$41)^I$448</f>
        <v>1734.239856970135</v>
      </c>
      <c r="J481" s="106">
        <f>VLOOKUP($A481,'VKT US'!$B$63:$AA$113,(J$448+1),FALSE)*($BC$69+$BC$75)/(1+$AZ$41)^J$448</f>
        <v>1665.3924654313955</v>
      </c>
      <c r="K481" s="106">
        <f>VLOOKUP($A481,'VKT US'!$B$63:$AA$113,(K$448+1),FALSE)*($BC$69+$BC$75)/(1+$AZ$41)^K$448</f>
        <v>1600.041074691155</v>
      </c>
      <c r="L481" s="106">
        <f>VLOOKUP($A481,'VKT US'!$B$63:$AA$113,(L$448+1),FALSE)*($BC$69+$BC$75)/(1+$AZ$41)^L$448</f>
        <v>1537.9387481332312</v>
      </c>
      <c r="M481" s="106">
        <f>VLOOKUP($A481,'VKT US'!$B$63:$AA$113,(M$448+1),FALSE)*($BC$69+$BC$75)/(1+$AZ$41)^M$448</f>
        <v>1479.1416549382436</v>
      </c>
      <c r="N481" s="106">
        <f>VLOOKUP($A481,'VKT US'!$B$63:$AA$113,(N$448+1),FALSE)*($BC$69+$BC$75)/(1+$AZ$41)^N$448</f>
        <v>1423.4105293560892</v>
      </c>
      <c r="O481" s="106">
        <f>VLOOKUP($A481,'VKT US'!$B$63:$AA$113,(O$448+1),FALSE)*($BC$69+$BC$75)/(1+$AZ$41)^O$448</f>
        <v>1370.80203714765</v>
      </c>
      <c r="P481" s="106">
        <f>VLOOKUP($A481,'VKT US'!$B$63:$AA$113,(P$448+1),FALSE)*($BC$69+$BC$75)/(1+$AZ$41)^P$448</f>
        <v>1321.0843457598787</v>
      </c>
      <c r="Q481" s="106">
        <f>VLOOKUP($A481,'VKT US'!$B$63:$AA$113,(Q$448+1),FALSE)*($BC$69+$BC$75)/(1+$AZ$41)^Q$448</f>
        <v>1274.4546613793073</v>
      </c>
      <c r="R481" s="106">
        <f>VLOOKUP($A481,'VKT US'!$B$63:$AA$113,(R$448+1),FALSE)*($BC$69+$BC$75)/(1+$AZ$41)^R$448</f>
        <v>1230.4064697332428</v>
      </c>
      <c r="S481" s="106">
        <f>VLOOKUP($A481,'VKT US'!$B$63:$AA$113,(S$448+1),FALSE)*($BC$69+$BC$75)/(1+$AZ$41)^S$448</f>
        <v>1189.2758309525132</v>
      </c>
      <c r="T481" s="106">
        <f>VLOOKUP($A481,'VKT US'!$B$63:$AA$113,(T$448+1),FALSE)*($BC$69+$BC$75)/(1+$AZ$41)^T$448</f>
        <v>1150.5698553100556</v>
      </c>
      <c r="U481" s="109">
        <f>VLOOKUP($A481,'VKT US'!$B$63:$AA$113,(U$448+1),FALSE)*($BC$69+$BC$75)/(1+$AZ$41)^U$448</f>
        <v>1114.6183377553143</v>
      </c>
      <c r="V481" s="110" cm="1">
        <f t="array" ref="V481">SUMPRODUCT(INDEX(B481:U481,,_xlfn.SEQUENCE($AZ$13)))</f>
        <v>25189.228423197183</v>
      </c>
    </row>
    <row r="482" spans="1:22" x14ac:dyDescent="0.25">
      <c r="A482" s="102" t="s">
        <v>210</v>
      </c>
      <c r="B482" s="106">
        <f>VLOOKUP($A482,'VKT US'!$B$63:$AA$113,(B$448+1),FALSE)*($BC$69+$BC$75)/(1+$AZ$41)^B$448</f>
        <v>2551.8684997869914</v>
      </c>
      <c r="C482" s="106">
        <f>VLOOKUP($A482,'VKT US'!$B$63:$AA$113,(C$448+1),FALSE)*($BC$69+$BC$75)/(1+$AZ$41)^C$448</f>
        <v>2446.6089739425738</v>
      </c>
      <c r="D482" s="106">
        <f>VLOOKUP($A482,'VKT US'!$B$63:$AA$113,(D$448+1),FALSE)*($BC$69+$BC$75)/(1+$AZ$41)^D$448</f>
        <v>2345.825365640962</v>
      </c>
      <c r="E482" s="106">
        <f>VLOOKUP($A482,'VKT US'!$B$63:$AA$113,(E$448+1),FALSE)*($BC$69+$BC$75)/(1+$AZ$41)^E$448</f>
        <v>2249.5763458354072</v>
      </c>
      <c r="F482" s="106">
        <f>VLOOKUP($A482,'VKT US'!$B$63:$AA$113,(F$448+1),FALSE)*($BC$69+$BC$75)/(1+$AZ$41)^F$448</f>
        <v>2157.5633979042059</v>
      </c>
      <c r="G482" s="106">
        <f>VLOOKUP($A482,'VKT US'!$B$63:$AA$113,(G$448+1),FALSE)*($BC$69+$BC$75)/(1+$AZ$41)^G$448</f>
        <v>2070.0196346868729</v>
      </c>
      <c r="H482" s="106">
        <f>VLOOKUP($A482,'VKT US'!$B$63:$AA$113,(H$448+1),FALSE)*($BC$69+$BC$75)/(1+$AZ$41)^H$448</f>
        <v>1986.3066368616726</v>
      </c>
      <c r="I482" s="106">
        <f>VLOOKUP($A482,'VKT US'!$B$63:$AA$113,(I$448+1),FALSE)*($BC$69+$BC$75)/(1+$AZ$41)^I$448</f>
        <v>1906.6603939848972</v>
      </c>
      <c r="J482" s="106">
        <f>VLOOKUP($A482,'VKT US'!$B$63:$AA$113,(J$448+1),FALSE)*($BC$69+$BC$75)/(1+$AZ$41)^J$448</f>
        <v>1830.9680990877989</v>
      </c>
      <c r="K482" s="106">
        <f>VLOOKUP($A482,'VKT US'!$B$63:$AA$113,(K$448+1),FALSE)*($BC$69+$BC$75)/(1+$AZ$41)^K$448</f>
        <v>1759.1193822477076</v>
      </c>
      <c r="L482" s="106">
        <f>VLOOKUP($A482,'VKT US'!$B$63:$AA$113,(L$448+1),FALSE)*($BC$69+$BC$75)/(1+$AZ$41)^L$448</f>
        <v>1690.8427560668408</v>
      </c>
      <c r="M482" s="106">
        <f>VLOOKUP($A482,'VKT US'!$B$63:$AA$113,(M$448+1),FALSE)*($BC$69+$BC$75)/(1+$AZ$41)^M$448</f>
        <v>1626.1999741438253</v>
      </c>
      <c r="N482" s="106">
        <f>VLOOKUP($A482,'VKT US'!$B$63:$AA$113,(N$448+1),FALSE)*($BC$69+$BC$75)/(1+$AZ$41)^N$448</f>
        <v>1564.9279825951255</v>
      </c>
      <c r="O482" s="106">
        <f>VLOOKUP($A482,'VKT US'!$B$63:$AA$113,(O$448+1),FALSE)*($BC$69+$BC$75)/(1+$AZ$41)^O$448</f>
        <v>1507.0890809703305</v>
      </c>
      <c r="P482" s="106">
        <f>VLOOKUP($A482,'VKT US'!$B$63:$AA$113,(P$448+1),FALSE)*($BC$69+$BC$75)/(1+$AZ$41)^P$448</f>
        <v>1452.428387601743</v>
      </c>
      <c r="Q482" s="106">
        <f>VLOOKUP($A482,'VKT US'!$B$63:$AA$113,(Q$448+1),FALSE)*($BC$69+$BC$75)/(1+$AZ$41)^Q$448</f>
        <v>1401.1627151890584</v>
      </c>
      <c r="R482" s="106">
        <f>VLOOKUP($A482,'VKT US'!$B$63:$AA$113,(R$448+1),FALSE)*($BC$69+$BC$75)/(1+$AZ$41)^R$448</f>
        <v>1352.7351911065848</v>
      </c>
      <c r="S482" s="106">
        <f>VLOOKUP($A482,'VKT US'!$B$63:$AA$113,(S$448+1),FALSE)*($BC$69+$BC$75)/(1+$AZ$41)^S$448</f>
        <v>1307.5152870504487</v>
      </c>
      <c r="T482" s="106">
        <f>VLOOKUP($A482,'VKT US'!$B$63:$AA$113,(T$448+1),FALSE)*($BC$69+$BC$75)/(1+$AZ$41)^T$448</f>
        <v>1264.9611095118516</v>
      </c>
      <c r="U482" s="109">
        <f>VLOOKUP($A482,'VKT US'!$B$63:$AA$113,(U$448+1),FALSE)*($BC$69+$BC$75)/(1+$AZ$41)^U$448</f>
        <v>1225.4352421124968</v>
      </c>
      <c r="V482" s="110" cm="1">
        <f t="array" ref="V482">SUMPRODUCT(INDEX(B482:U482,,_xlfn.SEQUENCE($AZ$13)))</f>
        <v>27693.576523755215</v>
      </c>
    </row>
    <row r="483" spans="1:22" x14ac:dyDescent="0.25">
      <c r="A483" s="102" t="s">
        <v>217</v>
      </c>
      <c r="B483" s="106">
        <f>VLOOKUP($A483,'VKT US'!$B$63:$AA$113,(B$448+1),FALSE)*($BC$69+$BC$75)/(1+$AZ$41)^B$448</f>
        <v>2061.8854869536904</v>
      </c>
      <c r="C483" s="106">
        <f>VLOOKUP($A483,'VKT US'!$B$63:$AA$113,(C$448+1),FALSE)*($BC$69+$BC$75)/(1+$AZ$41)^C$448</f>
        <v>1976.8367907844529</v>
      </c>
      <c r="D483" s="106">
        <f>VLOOKUP($A483,'VKT US'!$B$63:$AA$113,(D$448+1),FALSE)*($BC$69+$BC$75)/(1+$AZ$41)^D$448</f>
        <v>1895.404593436798</v>
      </c>
      <c r="E483" s="106">
        <f>VLOOKUP($A483,'VKT US'!$B$63:$AA$113,(E$448+1),FALSE)*($BC$69+$BC$75)/(1+$AZ$41)^E$448</f>
        <v>1817.6363004831612</v>
      </c>
      <c r="F483" s="106">
        <f>VLOOKUP($A483,'VKT US'!$B$63:$AA$113,(F$448+1),FALSE)*($BC$69+$BC$75)/(1+$AZ$41)^F$448</f>
        <v>1743.2907133312349</v>
      </c>
      <c r="G483" s="106">
        <f>VLOOKUP($A483,'VKT US'!$B$63:$AA$113,(G$448+1),FALSE)*($BC$69+$BC$75)/(1+$AZ$41)^G$448</f>
        <v>1672.556184939119</v>
      </c>
      <c r="H483" s="106">
        <f>VLOOKUP($A483,'VKT US'!$B$63:$AA$113,(H$448+1),FALSE)*($BC$69+$BC$75)/(1+$AZ$41)^H$448</f>
        <v>1604.9168785643687</v>
      </c>
      <c r="I483" s="106">
        <f>VLOOKUP($A483,'VKT US'!$B$63:$AA$113,(I$448+1),FALSE)*($BC$69+$BC$75)/(1+$AZ$41)^I$448</f>
        <v>1540.5634715248918</v>
      </c>
      <c r="J483" s="106">
        <f>VLOOKUP($A483,'VKT US'!$B$63:$AA$113,(J$448+1),FALSE)*($BC$69+$BC$75)/(1+$AZ$41)^J$448</f>
        <v>1479.404816862407</v>
      </c>
      <c r="K483" s="106">
        <f>VLOOKUP($A483,'VKT US'!$B$63:$AA$113,(K$448+1),FALSE)*($BC$69+$BC$75)/(1+$AZ$41)^K$448</f>
        <v>1421.351736728695</v>
      </c>
      <c r="L483" s="106">
        <f>VLOOKUP($A483,'VKT US'!$B$63:$AA$113,(L$448+1),FALSE)*($BC$69+$BC$75)/(1+$AZ$41)^L$448</f>
        <v>1366.184871887406</v>
      </c>
      <c r="M483" s="106">
        <f>VLOOKUP($A483,'VKT US'!$B$63:$AA$113,(M$448+1),FALSE)*($BC$69+$BC$75)/(1+$AZ$41)^M$448</f>
        <v>1313.9541186591327</v>
      </c>
      <c r="N483" s="106">
        <f>VLOOKUP($A483,'VKT US'!$B$63:$AA$113,(N$448+1),FALSE)*($BC$69+$BC$75)/(1+$AZ$41)^N$448</f>
        <v>1264.4469320068588</v>
      </c>
      <c r="O483" s="106">
        <f>VLOOKUP($A483,'VKT US'!$B$63:$AA$113,(O$448+1),FALSE)*($BC$69+$BC$75)/(1+$AZ$41)^O$448</f>
        <v>1217.7136493743635</v>
      </c>
      <c r="P483" s="106">
        <f>VLOOKUP($A483,'VKT US'!$B$63:$AA$113,(P$448+1),FALSE)*($BC$69+$BC$75)/(1+$AZ$41)^P$448</f>
        <v>1173.5483287973341</v>
      </c>
      <c r="Q483" s="106">
        <f>VLOOKUP($A483,'VKT US'!$B$63:$AA$113,(Q$448+1),FALSE)*($BC$69+$BC$75)/(1+$AZ$41)^Q$448</f>
        <v>1132.126152875863</v>
      </c>
      <c r="R483" s="106">
        <f>VLOOKUP($A483,'VKT US'!$B$63:$AA$113,(R$448+1),FALSE)*($BC$69+$BC$75)/(1+$AZ$41)^R$448</f>
        <v>1092.9971738226368</v>
      </c>
      <c r="S483" s="106">
        <f>VLOOKUP($A483,'VKT US'!$B$63:$AA$113,(S$448+1),FALSE)*($BC$69+$BC$75)/(1+$AZ$41)^S$448</f>
        <v>1056.4599212555206</v>
      </c>
      <c r="T483" s="106">
        <f>VLOOKUP($A483,'VKT US'!$B$63:$AA$113,(T$448+1),FALSE)*($BC$69+$BC$75)/(1+$AZ$41)^T$448</f>
        <v>1022.0765503712421</v>
      </c>
      <c r="U483" s="109">
        <f>VLOOKUP($A483,'VKT US'!$B$63:$AA$113,(U$448+1),FALSE)*($BC$69+$BC$75)/(1+$AZ$41)^U$448</f>
        <v>990.14002528901744</v>
      </c>
      <c r="V483" s="110" cm="1">
        <f t="array" ref="V483">SUMPRODUCT(INDEX(B483:U483,,_xlfn.SEQUENCE($AZ$13)))</f>
        <v>22376.146545536583</v>
      </c>
    </row>
    <row r="484" spans="1:22" x14ac:dyDescent="0.25">
      <c r="A484" s="102" t="s">
        <v>218</v>
      </c>
      <c r="B484" s="106">
        <f>VLOOKUP($A484,'VKT US'!$B$63:$AA$113,(B$448+1),FALSE)*($BC$69+$BC$75)/(1+$AZ$41)^B$448</f>
        <v>2555.9119788200987</v>
      </c>
      <c r="C484" s="106">
        <f>VLOOKUP($A484,'VKT US'!$B$63:$AA$113,(C$448+1),FALSE)*($BC$69+$BC$75)/(1+$AZ$41)^C$448</f>
        <v>2450.4856674670145</v>
      </c>
      <c r="D484" s="106">
        <f>VLOOKUP($A484,'VKT US'!$B$63:$AA$113,(D$448+1),FALSE)*($BC$69+$BC$75)/(1+$AZ$41)^D$448</f>
        <v>2349.5423658241975</v>
      </c>
      <c r="E484" s="106">
        <f>VLOOKUP($A484,'VKT US'!$B$63:$AA$113,(E$448+1),FALSE)*($BC$69+$BC$75)/(1+$AZ$41)^E$448</f>
        <v>2253.14083781002</v>
      </c>
      <c r="F484" s="106">
        <f>VLOOKUP($A484,'VKT US'!$B$63:$AA$113,(F$448+1),FALSE)*($BC$69+$BC$75)/(1+$AZ$41)^F$448</f>
        <v>2160.9820937981181</v>
      </c>
      <c r="G484" s="106">
        <f>VLOOKUP($A484,'VKT US'!$B$63:$AA$113,(G$448+1),FALSE)*($BC$69+$BC$75)/(1+$AZ$41)^G$448</f>
        <v>2073.2996159992622</v>
      </c>
      <c r="H484" s="106">
        <f>VLOOKUP($A484,'VKT US'!$B$63:$AA$113,(H$448+1),FALSE)*($BC$69+$BC$75)/(1+$AZ$41)^H$448</f>
        <v>1989.4539735054464</v>
      </c>
      <c r="I484" s="106">
        <f>VLOOKUP($A484,'VKT US'!$B$63:$AA$113,(I$448+1),FALSE)*($BC$69+$BC$75)/(1+$AZ$41)^I$448</f>
        <v>1909.6815298024276</v>
      </c>
      <c r="J484" s="106">
        <f>VLOOKUP($A484,'VKT US'!$B$63:$AA$113,(J$448+1),FALSE)*($BC$69+$BC$75)/(1+$AZ$41)^J$448</f>
        <v>1833.8692991768974</v>
      </c>
      <c r="K484" s="106">
        <f>VLOOKUP($A484,'VKT US'!$B$63:$AA$113,(K$448+1),FALSE)*($BC$69+$BC$75)/(1+$AZ$41)^K$448</f>
        <v>1761.9067368231665</v>
      </c>
      <c r="L484" s="106">
        <f>VLOOKUP($A484,'VKT US'!$B$63:$AA$113,(L$448+1),FALSE)*($BC$69+$BC$75)/(1+$AZ$41)^L$448</f>
        <v>1693.5219251670542</v>
      </c>
      <c r="M484" s="106">
        <f>VLOOKUP($A484,'VKT US'!$B$63:$AA$113,(M$448+1),FALSE)*($BC$69+$BC$75)/(1+$AZ$41)^M$448</f>
        <v>1628.7767156568141</v>
      </c>
      <c r="N484" s="106">
        <f>VLOOKUP($A484,'VKT US'!$B$63:$AA$113,(N$448+1),FALSE)*($BC$69+$BC$75)/(1+$AZ$41)^N$448</f>
        <v>1567.407637595559</v>
      </c>
      <c r="O484" s="106">
        <f>VLOOKUP($A484,'VKT US'!$B$63:$AA$113,(O$448+1),FALSE)*($BC$69+$BC$75)/(1+$AZ$41)^O$448</f>
        <v>1509.477089247574</v>
      </c>
      <c r="P484" s="106">
        <f>VLOOKUP($A484,'VKT US'!$B$63:$AA$113,(P$448+1),FALSE)*($BC$69+$BC$75)/(1+$AZ$41)^P$448</f>
        <v>1454.7297850808245</v>
      </c>
      <c r="Q484" s="106">
        <f>VLOOKUP($A484,'VKT US'!$B$63:$AA$113,(Q$448+1),FALSE)*($BC$69+$BC$75)/(1+$AZ$41)^Q$448</f>
        <v>1403.3828813384157</v>
      </c>
      <c r="R484" s="106">
        <f>VLOOKUP($A484,'VKT US'!$B$63:$AA$113,(R$448+1),FALSE)*($BC$69+$BC$75)/(1+$AZ$41)^R$448</f>
        <v>1354.8786230205108</v>
      </c>
      <c r="S484" s="106">
        <f>VLOOKUP($A484,'VKT US'!$B$63:$AA$113,(S$448+1),FALSE)*($BC$69+$BC$75)/(1+$AZ$41)^S$448</f>
        <v>1309.587067257421</v>
      </c>
      <c r="T484" s="106">
        <f>VLOOKUP($A484,'VKT US'!$B$63:$AA$113,(T$448+1),FALSE)*($BC$69+$BC$75)/(1+$AZ$41)^T$448</f>
        <v>1266.9654619008695</v>
      </c>
      <c r="U484" s="109">
        <f>VLOOKUP($A484,'VKT US'!$B$63:$AA$113,(U$448+1),FALSE)*($BC$69+$BC$75)/(1+$AZ$41)^U$448</f>
        <v>1227.3769650924723</v>
      </c>
      <c r="V484" s="110" cm="1">
        <f t="array" ref="V484">SUMPRODUCT(INDEX(B484:U484,,_xlfn.SEQUENCE($AZ$13)))</f>
        <v>27737.457466693653</v>
      </c>
    </row>
    <row r="485" spans="1:22" x14ac:dyDescent="0.25">
      <c r="A485" s="102" t="s">
        <v>219</v>
      </c>
      <c r="B485" s="106">
        <f>VLOOKUP($A485,'VKT US'!$B$63:$AA$113,(B$448+1),FALSE)*($BC$69+$BC$75)/(1+$AZ$41)^B$448</f>
        <v>1764.4009580893814</v>
      </c>
      <c r="C485" s="106">
        <f>VLOOKUP($A485,'VKT US'!$B$63:$AA$113,(C$448+1),FALSE)*($BC$69+$BC$75)/(1+$AZ$41)^C$448</f>
        <v>1691.6229100577425</v>
      </c>
      <c r="D485" s="106">
        <f>VLOOKUP($A485,'VKT US'!$B$63:$AA$113,(D$448+1),FALSE)*($BC$69+$BC$75)/(1+$AZ$41)^D$448</f>
        <v>1621.939579955932</v>
      </c>
      <c r="E485" s="106">
        <f>VLOOKUP($A485,'VKT US'!$B$63:$AA$113,(E$448+1),FALSE)*($BC$69+$BC$75)/(1+$AZ$41)^E$448</f>
        <v>1555.3915337794692</v>
      </c>
      <c r="F485" s="106">
        <f>VLOOKUP($A485,'VKT US'!$B$63:$AA$113,(F$448+1),FALSE)*($BC$69+$BC$75)/(1+$AZ$41)^F$448</f>
        <v>1491.7723725648571</v>
      </c>
      <c r="G485" s="106">
        <f>VLOOKUP($A485,'VKT US'!$B$63:$AA$113,(G$448+1),FALSE)*($BC$69+$BC$75)/(1+$AZ$41)^G$448</f>
        <v>1431.2432740990444</v>
      </c>
      <c r="H485" s="106">
        <f>VLOOKUP($A485,'VKT US'!$B$63:$AA$113,(H$448+1),FALSE)*($BC$69+$BC$75)/(1+$AZ$41)^H$448</f>
        <v>1373.3628254867247</v>
      </c>
      <c r="I485" s="106">
        <f>VLOOKUP($A485,'VKT US'!$B$63:$AA$113,(I$448+1),FALSE)*($BC$69+$BC$75)/(1+$AZ$41)^I$448</f>
        <v>1318.2941935208805</v>
      </c>
      <c r="J485" s="106">
        <f>VLOOKUP($A485,'VKT US'!$B$63:$AA$113,(J$448+1),FALSE)*($BC$69+$BC$75)/(1+$AZ$41)^J$448</f>
        <v>1265.9593817358796</v>
      </c>
      <c r="K485" s="106">
        <f>VLOOKUP($A485,'VKT US'!$B$63:$AA$113,(K$448+1),FALSE)*($BC$69+$BC$75)/(1+$AZ$41)^K$448</f>
        <v>1216.2820786770694</v>
      </c>
      <c r="L485" s="106">
        <f>VLOOKUP($A485,'VKT US'!$B$63:$AA$113,(L$448+1),FALSE)*($BC$69+$BC$75)/(1+$AZ$41)^L$448</f>
        <v>1169.0745738002749</v>
      </c>
      <c r="M485" s="106">
        <f>VLOOKUP($A485,'VKT US'!$B$63:$AA$113,(M$448+1),FALSE)*($BC$69+$BC$75)/(1+$AZ$41)^M$448</f>
        <v>1124.3795644892341</v>
      </c>
      <c r="N485" s="106">
        <f>VLOOKUP($A485,'VKT US'!$B$63:$AA$113,(N$448+1),FALSE)*($BC$69+$BC$75)/(1+$AZ$41)^N$448</f>
        <v>1082.0151712606666</v>
      </c>
      <c r="O485" s="106">
        <f>VLOOKUP($A485,'VKT US'!$B$63:$AA$113,(O$448+1),FALSE)*($BC$69+$BC$75)/(1+$AZ$41)^O$448</f>
        <v>1042.0244689771657</v>
      </c>
      <c r="P485" s="106">
        <f>VLOOKUP($A485,'VKT US'!$B$63:$AA$113,(P$448+1),FALSE)*($BC$69+$BC$75)/(1+$AZ$41)^P$448</f>
        <v>1004.2312285506251</v>
      </c>
      <c r="Q485" s="106">
        <f>VLOOKUP($A485,'VKT US'!$B$63:$AA$113,(Q$448+1),FALSE)*($BC$69+$BC$75)/(1+$AZ$41)^Q$448</f>
        <v>968.78535760171565</v>
      </c>
      <c r="R485" s="106">
        <f>VLOOKUP($A485,'VKT US'!$B$63:$AA$113,(R$448+1),FALSE)*($BC$69+$BC$75)/(1+$AZ$41)^R$448</f>
        <v>935.30182586951798</v>
      </c>
      <c r="S485" s="106">
        <f>VLOOKUP($A485,'VKT US'!$B$63:$AA$113,(S$448+1),FALSE)*($BC$69+$BC$75)/(1+$AZ$41)^S$448</f>
        <v>904.03609174253756</v>
      </c>
      <c r="T485" s="106">
        <f>VLOOKUP($A485,'VKT US'!$B$63:$AA$113,(T$448+1),FALSE)*($BC$69+$BC$75)/(1+$AZ$41)^T$448</f>
        <v>874.61348175065393</v>
      </c>
      <c r="U485" s="109">
        <f>VLOOKUP($A485,'VKT US'!$B$63:$AA$113,(U$448+1),FALSE)*($BC$69+$BC$75)/(1+$AZ$41)^U$448</f>
        <v>847.28469176223666</v>
      </c>
      <c r="V485" s="110" cm="1">
        <f t="array" ref="V485">SUMPRODUCT(INDEX(B485:U485,,_xlfn.SEQUENCE($AZ$13)))</f>
        <v>19147.762886494322</v>
      </c>
    </row>
    <row r="486" spans="1:22" x14ac:dyDescent="0.25">
      <c r="A486" s="102" t="s">
        <v>220</v>
      </c>
      <c r="B486" s="106">
        <f>VLOOKUP($A486,'VKT US'!$B$63:$AA$113,(B$448+1),FALSE)*($BC$69+$BC$75)/(1+$AZ$41)^B$448</f>
        <v>1652.7720547825315</v>
      </c>
      <c r="C486" s="106">
        <f>VLOOKUP($A486,'VKT US'!$B$63:$AA$113,(C$448+1),FALSE)*($BC$69+$BC$75)/(1+$AZ$41)^C$448</f>
        <v>1584.5984781151467</v>
      </c>
      <c r="D486" s="106">
        <f>VLOOKUP($A486,'VKT US'!$B$63:$AA$113,(D$448+1),FALSE)*($BC$69+$BC$75)/(1+$AZ$41)^D$448</f>
        <v>1519.3238248973353</v>
      </c>
      <c r="E486" s="106">
        <f>VLOOKUP($A486,'VKT US'!$B$63:$AA$113,(E$448+1),FALSE)*($BC$69+$BC$75)/(1+$AZ$41)^E$448</f>
        <v>1456.9860946231811</v>
      </c>
      <c r="F486" s="106">
        <f>VLOOKUP($A486,'VKT US'!$B$63:$AA$113,(F$448+1),FALSE)*($BC$69+$BC$75)/(1+$AZ$41)^F$448</f>
        <v>1397.3919466365026</v>
      </c>
      <c r="G486" s="106">
        <f>VLOOKUP($A486,'VKT US'!$B$63:$AA$113,(G$448+1),FALSE)*($BC$69+$BC$75)/(1+$AZ$41)^G$448</f>
        <v>1340.6923614391521</v>
      </c>
      <c r="H486" s="106">
        <f>VLOOKUP($A486,'VKT US'!$B$63:$AA$113,(H$448+1),FALSE)*($BC$69+$BC$75)/(1+$AZ$41)^H$448</f>
        <v>1286.473853142541</v>
      </c>
      <c r="I486" s="106">
        <f>VLOOKUP($A486,'VKT US'!$B$63:$AA$113,(I$448+1),FALSE)*($BC$69+$BC$75)/(1+$AZ$41)^I$448</f>
        <v>1234.8892654154915</v>
      </c>
      <c r="J486" s="106">
        <f>VLOOKUP($A486,'VKT US'!$B$63:$AA$113,(J$448+1),FALSE)*($BC$69+$BC$75)/(1+$AZ$41)^J$448</f>
        <v>1185.8655364189835</v>
      </c>
      <c r="K486" s="106">
        <f>VLOOKUP($A486,'VKT US'!$B$63:$AA$113,(K$448+1),FALSE)*($BC$69+$BC$75)/(1+$AZ$41)^K$448</f>
        <v>1139.331182718862</v>
      </c>
      <c r="L486" s="106">
        <f>VLOOKUP($A486,'VKT US'!$B$63:$AA$113,(L$448+1),FALSE)*($BC$69+$BC$75)/(1+$AZ$41)^L$448</f>
        <v>1095.1103697122401</v>
      </c>
      <c r="M486" s="106">
        <f>VLOOKUP($A486,'VKT US'!$B$63:$AA$113,(M$448+1),FALSE)*($BC$69+$BC$75)/(1+$AZ$41)^M$448</f>
        <v>1053.243093434219</v>
      </c>
      <c r="N486" s="106">
        <f>VLOOKUP($A486,'VKT US'!$B$63:$AA$113,(N$448+1),FALSE)*($BC$69+$BC$75)/(1+$AZ$41)^N$448</f>
        <v>1013.5589814272656</v>
      </c>
      <c r="O486" s="106">
        <f>VLOOKUP($A486,'VKT US'!$B$63:$AA$113,(O$448+1),FALSE)*($BC$69+$BC$75)/(1+$AZ$41)^O$448</f>
        <v>976.09838332326603</v>
      </c>
      <c r="P486" s="106">
        <f>VLOOKUP($A486,'VKT US'!$B$63:$AA$113,(P$448+1),FALSE)*($BC$69+$BC$75)/(1+$AZ$41)^P$448</f>
        <v>940.69621957455433</v>
      </c>
      <c r="Q486" s="106">
        <f>VLOOKUP($A486,'VKT US'!$B$63:$AA$113,(Q$448+1),FALSE)*($BC$69+$BC$75)/(1+$AZ$41)^Q$448</f>
        <v>907.49291354981472</v>
      </c>
      <c r="R486" s="106">
        <f>VLOOKUP($A486,'VKT US'!$B$63:$AA$113,(R$448+1),FALSE)*($BC$69+$BC$75)/(1+$AZ$41)^R$448</f>
        <v>876.12779481720679</v>
      </c>
      <c r="S486" s="106">
        <f>VLOOKUP($A486,'VKT US'!$B$63:$AA$113,(S$448+1),FALSE)*($BC$69+$BC$75)/(1+$AZ$41)^S$448</f>
        <v>846.84015960004433</v>
      </c>
      <c r="T486" s="106">
        <f>VLOOKUP($A486,'VKT US'!$B$63:$AA$113,(T$448+1),FALSE)*($BC$69+$BC$75)/(1+$AZ$41)^T$448</f>
        <v>819.27903901098659</v>
      </c>
      <c r="U486" s="109">
        <f>VLOOKUP($A486,'VKT US'!$B$63:$AA$113,(U$448+1),FALSE)*($BC$69+$BC$75)/(1+$AZ$41)^U$448</f>
        <v>793.67926806505147</v>
      </c>
      <c r="V486" s="110" cm="1">
        <f t="array" ref="V486">SUMPRODUCT(INDEX(B486:U486,,_xlfn.SEQUENCE($AZ$13)))</f>
        <v>17936.33542608672</v>
      </c>
    </row>
    <row r="487" spans="1:22" x14ac:dyDescent="0.25">
      <c r="A487" s="102" t="s">
        <v>221</v>
      </c>
      <c r="B487" s="106">
        <f>VLOOKUP($A487,'VKT US'!$B$63:$AA$113,(B$448+1),FALSE)*($BC$69+$BC$75)/(1+$AZ$41)^B$448</f>
        <v>1438.4676660278546</v>
      </c>
      <c r="C487" s="106">
        <f>VLOOKUP($A487,'VKT US'!$B$63:$AA$113,(C$448+1),FALSE)*($BC$69+$BC$75)/(1+$AZ$41)^C$448</f>
        <v>1379.133721319788</v>
      </c>
      <c r="D487" s="106">
        <f>VLOOKUP($A487,'VKT US'!$B$63:$AA$113,(D$448+1),FALSE)*($BC$69+$BC$75)/(1+$AZ$41)^D$448</f>
        <v>1322.3228151858764</v>
      </c>
      <c r="E487" s="106">
        <f>VLOOKUP($A487,'VKT US'!$B$63:$AA$113,(E$448+1),FALSE)*($BC$69+$BC$75)/(1+$AZ$41)^E$448</f>
        <v>1268.0680199686767</v>
      </c>
      <c r="F487" s="106">
        <f>VLOOKUP($A487,'VKT US'!$B$63:$AA$113,(F$448+1),FALSE)*($BC$69+$BC$75)/(1+$AZ$41)^F$448</f>
        <v>1216.2010642591702</v>
      </c>
      <c r="G487" s="106">
        <f>VLOOKUP($A487,'VKT US'!$B$63:$AA$113,(G$448+1),FALSE)*($BC$69+$BC$75)/(1+$AZ$41)^G$448</f>
        <v>1166.8533518825159</v>
      </c>
      <c r="H487" s="106">
        <f>VLOOKUP($A487,'VKT US'!$B$63:$AA$113,(H$448+1),FALSE)*($BC$69+$BC$75)/(1+$AZ$41)^H$448</f>
        <v>1119.6650110225294</v>
      </c>
      <c r="I487" s="106">
        <f>VLOOKUP($A487,'VKT US'!$B$63:$AA$113,(I$448+1),FALSE)*($BC$69+$BC$75)/(1+$AZ$41)^I$448</f>
        <v>1074.7690670863881</v>
      </c>
      <c r="J487" s="106">
        <f>VLOOKUP($A487,'VKT US'!$B$63:$AA$113,(J$448+1),FALSE)*($BC$69+$BC$75)/(1+$AZ$41)^J$448</f>
        <v>1032.1019316967668</v>
      </c>
      <c r="K487" s="106">
        <f>VLOOKUP($A487,'VKT US'!$B$63:$AA$113,(K$448+1),FALSE)*($BC$69+$BC$75)/(1+$AZ$41)^K$448</f>
        <v>991.60139021953569</v>
      </c>
      <c r="L487" s="106">
        <f>VLOOKUP($A487,'VKT US'!$B$63:$AA$113,(L$448+1),FALSE)*($BC$69+$BC$75)/(1+$AZ$41)^L$448</f>
        <v>953.11440740092826</v>
      </c>
      <c r="M487" s="106">
        <f>VLOOKUP($A487,'VKT US'!$B$63:$AA$113,(M$448+1),FALSE)*($BC$69+$BC$75)/(1+$AZ$41)^M$448</f>
        <v>916.67579324580629</v>
      </c>
      <c r="N487" s="106">
        <f>VLOOKUP($A487,'VKT US'!$B$63:$AA$113,(N$448+1),FALSE)*($BC$69+$BC$75)/(1+$AZ$41)^N$448</f>
        <v>882.13726640428069</v>
      </c>
      <c r="O487" s="106">
        <f>VLOOKUP($A487,'VKT US'!$B$63:$AA$113,(O$448+1),FALSE)*($BC$69+$BC$75)/(1+$AZ$41)^O$448</f>
        <v>849.5339446293624</v>
      </c>
      <c r="P487" s="106">
        <f>VLOOKUP($A487,'VKT US'!$B$63:$AA$113,(P$448+1),FALSE)*($BC$69+$BC$75)/(1+$AZ$41)^P$448</f>
        <v>818.72215318323595</v>
      </c>
      <c r="Q487" s="106">
        <f>VLOOKUP($A487,'VKT US'!$B$63:$AA$113,(Q$448+1),FALSE)*($BC$69+$BC$75)/(1+$AZ$41)^Q$448</f>
        <v>789.82410763387531</v>
      </c>
      <c r="R487" s="106">
        <f>VLOOKUP($A487,'VKT US'!$B$63:$AA$113,(R$448+1),FALSE)*($BC$69+$BC$75)/(1+$AZ$41)^R$448</f>
        <v>762.52590337913477</v>
      </c>
      <c r="S487" s="106">
        <f>VLOOKUP($A487,'VKT US'!$B$63:$AA$113,(S$448+1),FALSE)*($BC$69+$BC$75)/(1+$AZ$41)^S$448</f>
        <v>737.03580863049729</v>
      </c>
      <c r="T487" s="106">
        <f>VLOOKUP($A487,'VKT US'!$B$63:$AA$113,(T$448+1),FALSE)*($BC$69+$BC$75)/(1+$AZ$41)^T$448</f>
        <v>713.04836239304825</v>
      </c>
      <c r="U487" s="109">
        <f>VLOOKUP($A487,'VKT US'!$B$63:$AA$113,(U$448+1),FALSE)*($BC$69+$BC$75)/(1+$AZ$41)^U$448</f>
        <v>690.76795012634136</v>
      </c>
      <c r="V487" s="110" cm="1">
        <f t="array" ref="V487">SUMPRODUCT(INDEX(B487:U487,,_xlfn.SEQUENCE($AZ$13)))</f>
        <v>15610.645450349479</v>
      </c>
    </row>
    <row r="488" spans="1:22" x14ac:dyDescent="0.25">
      <c r="A488" s="102" t="s">
        <v>222</v>
      </c>
      <c r="B488" s="106">
        <f>VLOOKUP($A488,'VKT US'!$B$63:$AA$113,(B$448+1),FALSE)*($BC$69+$BC$75)/(1+$AZ$41)^B$448</f>
        <v>2157.6292940590483</v>
      </c>
      <c r="C488" s="106">
        <f>VLOOKUP($A488,'VKT US'!$B$63:$AA$113,(C$448+1),FALSE)*($BC$69+$BC$75)/(1+$AZ$41)^C$448</f>
        <v>2068.6313553096029</v>
      </c>
      <c r="D488" s="106">
        <f>VLOOKUP($A488,'VKT US'!$B$63:$AA$113,(D$448+1),FALSE)*($BC$69+$BC$75)/(1+$AZ$41)^D$448</f>
        <v>1983.4178477755427</v>
      </c>
      <c r="E488" s="106">
        <f>VLOOKUP($A488,'VKT US'!$B$63:$AA$113,(E$448+1),FALSE)*($BC$69+$BC$75)/(1+$AZ$41)^E$448</f>
        <v>1902.0383783106115</v>
      </c>
      <c r="F488" s="106">
        <f>VLOOKUP($A488,'VKT US'!$B$63:$AA$113,(F$448+1),FALSE)*($BC$69+$BC$75)/(1+$AZ$41)^F$448</f>
        <v>1824.2405482477925</v>
      </c>
      <c r="G488" s="106">
        <f>VLOOKUP($A488,'VKT US'!$B$63:$AA$113,(G$448+1),FALSE)*($BC$69+$BC$75)/(1+$AZ$41)^G$448</f>
        <v>1750.22145672891</v>
      </c>
      <c r="H488" s="106">
        <f>VLOOKUP($A488,'VKT US'!$B$63:$AA$113,(H$448+1),FALSE)*($BC$69+$BC$75)/(1+$AZ$41)^H$448</f>
        <v>1679.441314093727</v>
      </c>
      <c r="I488" s="106">
        <f>VLOOKUP($A488,'VKT US'!$B$63:$AA$113,(I$448+1),FALSE)*($BC$69+$BC$75)/(1+$AZ$41)^I$448</f>
        <v>1612.0996517756976</v>
      </c>
      <c r="J488" s="106">
        <f>VLOOKUP($A488,'VKT US'!$B$63:$AA$113,(J$448+1),FALSE)*($BC$69+$BC$75)/(1+$AZ$41)^J$448</f>
        <v>1548.1010904007019</v>
      </c>
      <c r="K488" s="106">
        <f>VLOOKUP($A488,'VKT US'!$B$63:$AA$113,(K$448+1),FALSE)*($BC$69+$BC$75)/(1+$AZ$41)^K$448</f>
        <v>1487.3523111404559</v>
      </c>
      <c r="L488" s="106">
        <f>VLOOKUP($A488,'VKT US'!$B$63:$AA$113,(L$448+1),FALSE)*($BC$69+$BC$75)/(1+$AZ$41)^L$448</f>
        <v>1429.6237687960313</v>
      </c>
      <c r="M488" s="106">
        <f>VLOOKUP($A488,'VKT US'!$B$63:$AA$113,(M$448+1),FALSE)*($BC$69+$BC$75)/(1+$AZ$41)^M$448</f>
        <v>1374.9676766274063</v>
      </c>
      <c r="N488" s="106">
        <f>VLOOKUP($A488,'VKT US'!$B$63:$AA$113,(N$448+1),FALSE)*($BC$69+$BC$75)/(1+$AZ$41)^N$448</f>
        <v>1323.161620052842</v>
      </c>
      <c r="O488" s="106">
        <f>VLOOKUP($A488,'VKT US'!$B$63:$AA$113,(O$448+1),FALSE)*($BC$69+$BC$75)/(1+$AZ$41)^O$448</f>
        <v>1274.258273939093</v>
      </c>
      <c r="P488" s="106">
        <f>VLOOKUP($A488,'VKT US'!$B$63:$AA$113,(P$448+1),FALSE)*($BC$69+$BC$75)/(1+$AZ$41)^P$448</f>
        <v>1228.0421333912991</v>
      </c>
      <c r="Q488" s="106">
        <f>VLOOKUP($A488,'VKT US'!$B$63:$AA$113,(Q$448+1),FALSE)*($BC$69+$BC$75)/(1+$AZ$41)^Q$448</f>
        <v>1184.6965156267174</v>
      </c>
      <c r="R488" s="106">
        <f>VLOOKUP($A488,'VKT US'!$B$63:$AA$113,(R$448+1),FALSE)*($BC$69+$BC$75)/(1+$AZ$41)^R$448</f>
        <v>1143.7505794988106</v>
      </c>
      <c r="S488" s="106">
        <f>VLOOKUP($A488,'VKT US'!$B$63:$AA$113,(S$448+1),FALSE)*($BC$69+$BC$75)/(1+$AZ$41)^S$448</f>
        <v>1105.5167168706214</v>
      </c>
      <c r="T488" s="106">
        <f>VLOOKUP($A488,'VKT US'!$B$63:$AA$113,(T$448+1),FALSE)*($BC$69+$BC$75)/(1+$AZ$41)^T$448</f>
        <v>1069.5367515826256</v>
      </c>
      <c r="U488" s="109">
        <f>VLOOKUP($A488,'VKT US'!$B$63:$AA$113,(U$448+1),FALSE)*($BC$69+$BC$75)/(1+$AZ$41)^U$448</f>
        <v>1036.1172515648698</v>
      </c>
      <c r="V488" s="110" cm="1">
        <f t="array" ref="V488">SUMPRODUCT(INDEX(B488:U488,,_xlfn.SEQUENCE($AZ$13)))</f>
        <v>23415.184587257463</v>
      </c>
    </row>
    <row r="489" spans="1:22" x14ac:dyDescent="0.25">
      <c r="A489" s="102" t="s">
        <v>223</v>
      </c>
      <c r="B489" s="106">
        <f>VLOOKUP($A489,'VKT US'!$B$63:$AA$113,(B$448+1),FALSE)*($BC$69+$BC$75)/(1+$AZ$41)^B$448</f>
        <v>2244.2752733399147</v>
      </c>
      <c r="C489" s="106">
        <f>VLOOKUP($A489,'VKT US'!$B$63:$AA$113,(C$448+1),FALSE)*($BC$69+$BC$75)/(1+$AZ$41)^C$448</f>
        <v>2151.7033594047612</v>
      </c>
      <c r="D489" s="106">
        <f>VLOOKUP($A489,'VKT US'!$B$63:$AA$113,(D$448+1),FALSE)*($BC$69+$BC$75)/(1+$AZ$41)^D$448</f>
        <v>2063.0678517020087</v>
      </c>
      <c r="E489" s="106">
        <f>VLOOKUP($A489,'VKT US'!$B$63:$AA$113,(E$448+1),FALSE)*($BC$69+$BC$75)/(1+$AZ$41)^E$448</f>
        <v>1978.4203491951821</v>
      </c>
      <c r="F489" s="106">
        <f>VLOOKUP($A489,'VKT US'!$B$63:$AA$113,(F$448+1),FALSE)*($BC$69+$BC$75)/(1+$AZ$41)^F$448</f>
        <v>1897.4983174030481</v>
      </c>
      <c r="G489" s="106">
        <f>VLOOKUP($A489,'VKT US'!$B$63:$AA$113,(G$448+1),FALSE)*($BC$69+$BC$75)/(1+$AZ$41)^G$448</f>
        <v>1820.5067705658248</v>
      </c>
      <c r="H489" s="106">
        <f>VLOOKUP($A489,'VKT US'!$B$63:$AA$113,(H$448+1),FALSE)*($BC$69+$BC$75)/(1+$AZ$41)^H$448</f>
        <v>1746.884242174594</v>
      </c>
      <c r="I489" s="106">
        <f>VLOOKUP($A489,'VKT US'!$B$63:$AA$113,(I$448+1),FALSE)*($BC$69+$BC$75)/(1+$AZ$41)^I$448</f>
        <v>1676.8382764370604</v>
      </c>
      <c r="J489" s="106">
        <f>VLOOKUP($A489,'VKT US'!$B$63:$AA$113,(J$448+1),FALSE)*($BC$69+$BC$75)/(1+$AZ$41)^J$448</f>
        <v>1610.2696637385254</v>
      </c>
      <c r="K489" s="106">
        <f>VLOOKUP($A489,'VKT US'!$B$63:$AA$113,(K$448+1),FALSE)*($BC$69+$BC$75)/(1+$AZ$41)^K$448</f>
        <v>1547.0813377574343</v>
      </c>
      <c r="L489" s="106">
        <f>VLOOKUP($A489,'VKT US'!$B$63:$AA$113,(L$448+1),FALSE)*($BC$69+$BC$75)/(1+$AZ$41)^L$448</f>
        <v>1487.0345352291763</v>
      </c>
      <c r="M489" s="106">
        <f>VLOOKUP($A489,'VKT US'!$B$63:$AA$113,(M$448+1),FALSE)*($BC$69+$BC$75)/(1+$AZ$41)^M$448</f>
        <v>1430.1835661914542</v>
      </c>
      <c r="N489" s="106">
        <f>VLOOKUP($A489,'VKT US'!$B$63:$AA$113,(N$448+1),FALSE)*($BC$69+$BC$75)/(1+$AZ$41)^N$448</f>
        <v>1376.2970843478492</v>
      </c>
      <c r="O489" s="106">
        <f>VLOOKUP($A489,'VKT US'!$B$63:$AA$113,(O$448+1),FALSE)*($BC$69+$BC$75)/(1+$AZ$41)^O$448</f>
        <v>1325.4298798800241</v>
      </c>
      <c r="P489" s="106">
        <f>VLOOKUP($A489,'VKT US'!$B$63:$AA$113,(P$448+1),FALSE)*($BC$69+$BC$75)/(1+$AZ$41)^P$448</f>
        <v>1277.3577936573306</v>
      </c>
      <c r="Q489" s="106">
        <f>VLOOKUP($A489,'VKT US'!$B$63:$AA$113,(Q$448+1),FALSE)*($BC$69+$BC$75)/(1+$AZ$41)^Q$448</f>
        <v>1232.2715045415175</v>
      </c>
      <c r="R489" s="106">
        <f>VLOOKUP($A489,'VKT US'!$B$63:$AA$113,(R$448+1),FALSE)*($BC$69+$BC$75)/(1+$AZ$41)^R$448</f>
        <v>1189.6812633686511</v>
      </c>
      <c r="S489" s="106">
        <f>VLOOKUP($A489,'VKT US'!$B$63:$AA$113,(S$448+1),FALSE)*($BC$69+$BC$75)/(1+$AZ$41)^S$448</f>
        <v>1149.912007020034</v>
      </c>
      <c r="T489" s="106">
        <f>VLOOKUP($A489,'VKT US'!$B$63:$AA$113,(T$448+1),FALSE)*($BC$69+$BC$75)/(1+$AZ$41)^T$448</f>
        <v>1112.4871599187195</v>
      </c>
      <c r="U489" s="109">
        <f>VLOOKUP($A489,'VKT US'!$B$63:$AA$113,(U$448+1),FALSE)*($BC$69+$BC$75)/(1+$AZ$41)^U$448</f>
        <v>1077.7256011357767</v>
      </c>
      <c r="V489" s="110" cm="1">
        <f t="array" ref="V489">SUMPRODUCT(INDEX(B489:U489,,_xlfn.SEQUENCE($AZ$13)))</f>
        <v>24355.49050736686</v>
      </c>
    </row>
    <row r="490" spans="1:22" x14ac:dyDescent="0.25">
      <c r="A490" s="102" t="s">
        <v>224</v>
      </c>
      <c r="B490" s="106">
        <f>VLOOKUP($A490,'VKT US'!$B$63:$AA$113,(B$448+1),FALSE)*($BC$69+$BC$75)/(1+$AZ$41)^B$448</f>
        <v>2207.5951421110144</v>
      </c>
      <c r="C490" s="106">
        <f>VLOOKUP($A490,'VKT US'!$B$63:$AA$113,(C$448+1),FALSE)*($BC$69+$BC$75)/(1+$AZ$41)^C$448</f>
        <v>2116.5362110044775</v>
      </c>
      <c r="D490" s="106">
        <f>VLOOKUP($A490,'VKT US'!$B$63:$AA$113,(D$448+1),FALSE)*($BC$69+$BC$75)/(1+$AZ$41)^D$448</f>
        <v>2029.3493500398044</v>
      </c>
      <c r="E490" s="106">
        <f>VLOOKUP($A490,'VKT US'!$B$63:$AA$113,(E$448+1),FALSE)*($BC$69+$BC$75)/(1+$AZ$41)^E$448</f>
        <v>1946.0853148540471</v>
      </c>
      <c r="F490" s="106">
        <f>VLOOKUP($A490,'VKT US'!$B$63:$AA$113,(F$448+1),FALSE)*($BC$69+$BC$75)/(1+$AZ$41)^F$448</f>
        <v>1866.4858617939899</v>
      </c>
      <c r="G490" s="106">
        <f>VLOOKUP($A490,'VKT US'!$B$63:$AA$113,(G$448+1),FALSE)*($BC$69+$BC$75)/(1+$AZ$41)^G$448</f>
        <v>1790.7526543748641</v>
      </c>
      <c r="H490" s="106">
        <f>VLOOKUP($A490,'VKT US'!$B$63:$AA$113,(H$448+1),FALSE)*($BC$69+$BC$75)/(1+$AZ$41)^H$448</f>
        <v>1718.3334026203604</v>
      </c>
      <c r="I490" s="106">
        <f>VLOOKUP($A490,'VKT US'!$B$63:$AA$113,(I$448+1),FALSE)*($BC$69+$BC$75)/(1+$AZ$41)^I$448</f>
        <v>1649.43225866375</v>
      </c>
      <c r="J490" s="106">
        <f>VLOOKUP($A490,'VKT US'!$B$63:$AA$113,(J$448+1),FALSE)*($BC$69+$BC$75)/(1+$AZ$41)^J$448</f>
        <v>1583.9516343588468</v>
      </c>
      <c r="K490" s="106">
        <f>VLOOKUP($A490,'VKT US'!$B$63:$AA$113,(K$448+1),FALSE)*($BC$69+$BC$75)/(1+$AZ$41)^K$448</f>
        <v>1521.7960498229136</v>
      </c>
      <c r="L490" s="106">
        <f>VLOOKUP($A490,'VKT US'!$B$63:$AA$113,(L$448+1),FALSE)*($BC$69+$BC$75)/(1+$AZ$41)^L$448</f>
        <v>1462.7306441058115</v>
      </c>
      <c r="M490" s="106">
        <f>VLOOKUP($A490,'VKT US'!$B$63:$AA$113,(M$448+1),FALSE)*($BC$69+$BC$75)/(1+$AZ$41)^M$448</f>
        <v>1406.8088396093408</v>
      </c>
      <c r="N490" s="106">
        <f>VLOOKUP($A490,'VKT US'!$B$63:$AA$113,(N$448+1),FALSE)*($BC$69+$BC$75)/(1+$AZ$41)^N$448</f>
        <v>1353.8030711296294</v>
      </c>
      <c r="O490" s="106">
        <f>VLOOKUP($A490,'VKT US'!$B$63:$AA$113,(O$448+1),FALSE)*($BC$69+$BC$75)/(1+$AZ$41)^O$448</f>
        <v>1303.7672333650298</v>
      </c>
      <c r="P490" s="106">
        <f>VLOOKUP($A490,'VKT US'!$B$63:$AA$113,(P$448+1),FALSE)*($BC$69+$BC$75)/(1+$AZ$41)^P$448</f>
        <v>1256.480830811377</v>
      </c>
      <c r="Q490" s="106">
        <f>VLOOKUP($A490,'VKT US'!$B$63:$AA$113,(Q$448+1),FALSE)*($BC$69+$BC$75)/(1+$AZ$41)^Q$448</f>
        <v>1212.1314259009187</v>
      </c>
      <c r="R490" s="106">
        <f>VLOOKUP($A490,'VKT US'!$B$63:$AA$113,(R$448+1),FALSE)*($BC$69+$BC$75)/(1+$AZ$41)^R$448</f>
        <v>1170.2372738637521</v>
      </c>
      <c r="S490" s="106">
        <f>VLOOKUP($A490,'VKT US'!$B$63:$AA$113,(S$448+1),FALSE)*($BC$69+$BC$75)/(1+$AZ$41)^S$448</f>
        <v>1131.1180008567826</v>
      </c>
      <c r="T490" s="106">
        <f>VLOOKUP($A490,'VKT US'!$B$63:$AA$113,(T$448+1),FALSE)*($BC$69+$BC$75)/(1+$AZ$41)^T$448</f>
        <v>1094.3048203897729</v>
      </c>
      <c r="U490" s="109">
        <f>VLOOKUP($A490,'VKT US'!$B$63:$AA$113,(U$448+1),FALSE)*($BC$69+$BC$75)/(1+$AZ$41)^U$448</f>
        <v>1060.111399817426</v>
      </c>
      <c r="V490" s="110" cm="1">
        <f t="array" ref="V490">SUMPRODUCT(INDEX(B490:U490,,_xlfn.SEQUENCE($AZ$13)))</f>
        <v>23957.427667853881</v>
      </c>
    </row>
    <row r="491" spans="1:22" x14ac:dyDescent="0.25">
      <c r="A491" s="102" t="s">
        <v>225</v>
      </c>
      <c r="B491" s="106">
        <f>VLOOKUP($A491,'VKT US'!$B$63:$AA$113,(B$448+1),FALSE)*($BC$69+$BC$75)/(1+$AZ$41)^B$448</f>
        <v>2335.3979615502926</v>
      </c>
      <c r="C491" s="106">
        <f>VLOOKUP($A491,'VKT US'!$B$63:$AA$113,(C$448+1),FALSE)*($BC$69+$BC$75)/(1+$AZ$41)^C$448</f>
        <v>2239.067417044836</v>
      </c>
      <c r="D491" s="106">
        <f>VLOOKUP($A491,'VKT US'!$B$63:$AA$113,(D$448+1),FALSE)*($BC$69+$BC$75)/(1+$AZ$41)^D$448</f>
        <v>2146.8331058313415</v>
      </c>
      <c r="E491" s="106">
        <f>VLOOKUP($A491,'VKT US'!$B$63:$AA$113,(E$448+1),FALSE)*($BC$69+$BC$75)/(1+$AZ$41)^E$448</f>
        <v>2058.7487219087884</v>
      </c>
      <c r="F491" s="106">
        <f>VLOOKUP($A491,'VKT US'!$B$63:$AA$113,(F$448+1),FALSE)*($BC$69+$BC$75)/(1+$AZ$41)^F$448</f>
        <v>1974.5410712979922</v>
      </c>
      <c r="G491" s="106">
        <f>VLOOKUP($A491,'VKT US'!$B$63:$AA$113,(G$448+1),FALSE)*($BC$69+$BC$75)/(1+$AZ$41)^G$448</f>
        <v>1894.4234922843139</v>
      </c>
      <c r="H491" s="106">
        <f>VLOOKUP($A491,'VKT US'!$B$63:$AA$113,(H$448+1),FALSE)*($BC$69+$BC$75)/(1+$AZ$41)^H$448</f>
        <v>1817.8117215396394</v>
      </c>
      <c r="I491" s="106">
        <f>VLOOKUP($A491,'VKT US'!$B$63:$AA$113,(I$448+1),FALSE)*($BC$69+$BC$75)/(1+$AZ$41)^I$448</f>
        <v>1744.9217300392597</v>
      </c>
      <c r="J491" s="106">
        <f>VLOOKUP($A491,'VKT US'!$B$63:$AA$113,(J$448+1),FALSE)*($BC$69+$BC$75)/(1+$AZ$41)^J$448</f>
        <v>1675.6502800321366</v>
      </c>
      <c r="K491" s="106">
        <f>VLOOKUP($A491,'VKT US'!$B$63:$AA$113,(K$448+1),FALSE)*($BC$69+$BC$75)/(1+$AZ$41)^K$448</f>
        <v>1609.8963640829566</v>
      </c>
      <c r="L491" s="106">
        <f>VLOOKUP($A491,'VKT US'!$B$63:$AA$113,(L$448+1),FALSE)*($BC$69+$BC$75)/(1+$AZ$41)^L$448</f>
        <v>1547.4115245947003</v>
      </c>
      <c r="M491" s="106">
        <f>VLOOKUP($A491,'VKT US'!$B$63:$AA$113,(M$448+1),FALSE)*($BC$69+$BC$75)/(1+$AZ$41)^M$448</f>
        <v>1488.2522767163116</v>
      </c>
      <c r="N491" s="106">
        <f>VLOOKUP($A491,'VKT US'!$B$63:$AA$113,(N$448+1),FALSE)*($BC$69+$BC$75)/(1+$AZ$41)^N$448</f>
        <v>1432.1778809647653</v>
      </c>
      <c r="O491" s="106">
        <f>VLOOKUP($A491,'VKT US'!$B$63:$AA$113,(O$448+1),FALSE)*($BC$69+$BC$75)/(1+$AZ$41)^O$448</f>
        <v>1379.2453521279037</v>
      </c>
      <c r="P491" s="106">
        <f>VLOOKUP($A491,'VKT US'!$B$63:$AA$113,(P$448+1),FALSE)*($BC$69+$BC$75)/(1+$AZ$41)^P$448</f>
        <v>1329.221429703774</v>
      </c>
      <c r="Q491" s="106">
        <f>VLOOKUP($A491,'VKT US'!$B$63:$AA$113,(Q$448+1),FALSE)*($BC$69+$BC$75)/(1+$AZ$41)^Q$448</f>
        <v>1282.3045345502492</v>
      </c>
      <c r="R491" s="106">
        <f>VLOOKUP($A491,'VKT US'!$B$63:$AA$113,(R$448+1),FALSE)*($BC$69+$BC$75)/(1+$AZ$41)^R$448</f>
        <v>1237.9850325717666</v>
      </c>
      <c r="S491" s="106">
        <f>VLOOKUP($A491,'VKT US'!$B$63:$AA$113,(S$448+1),FALSE)*($BC$69+$BC$75)/(1+$AZ$41)^S$448</f>
        <v>1196.6010538271662</v>
      </c>
      <c r="T491" s="106">
        <f>VLOOKUP($A491,'VKT US'!$B$63:$AA$113,(T$448+1),FALSE)*($BC$69+$BC$75)/(1+$AZ$41)^T$448</f>
        <v>1157.6566726855112</v>
      </c>
      <c r="U491" s="109">
        <f>VLOOKUP($A491,'VKT US'!$B$63:$AA$113,(U$448+1),FALSE)*($BC$69+$BC$75)/(1+$AZ$41)^U$448</f>
        <v>1121.4837154345139</v>
      </c>
      <c r="V491" s="110" cm="1">
        <f t="array" ref="V491">SUMPRODUCT(INDEX(B491:U491,,_xlfn.SEQUENCE($AZ$13)))</f>
        <v>25344.378900015236</v>
      </c>
    </row>
    <row r="492" spans="1:22" x14ac:dyDescent="0.25">
      <c r="A492" s="102" t="s">
        <v>226</v>
      </c>
      <c r="B492" s="106">
        <f>VLOOKUP($A492,'VKT US'!$B$63:$AA$113,(B$448+1),FALSE)*($BC$69+$BC$75)/(1+$AZ$41)^B$448</f>
        <v>2240.6650242032124</v>
      </c>
      <c r="C492" s="106">
        <f>VLOOKUP($A492,'VKT US'!$B$63:$AA$113,(C$448+1),FALSE)*($BC$69+$BC$75)/(1+$AZ$41)^C$448</f>
        <v>2148.2420259007963</v>
      </c>
      <c r="D492" s="106">
        <f>VLOOKUP($A492,'VKT US'!$B$63:$AA$113,(D$448+1),FALSE)*($BC$69+$BC$75)/(1+$AZ$41)^D$448</f>
        <v>2059.7491015384057</v>
      </c>
      <c r="E492" s="106">
        <f>VLOOKUP($A492,'VKT US'!$B$63:$AA$113,(E$448+1),FALSE)*($BC$69+$BC$75)/(1+$AZ$41)^E$448</f>
        <v>1975.2377670749916</v>
      </c>
      <c r="F492" s="106">
        <f>VLOOKUP($A492,'VKT US'!$B$63:$AA$113,(F$448+1),FALSE)*($BC$69+$BC$75)/(1+$AZ$41)^F$448</f>
        <v>1894.4459103549125</v>
      </c>
      <c r="G492" s="106">
        <f>VLOOKUP($A492,'VKT US'!$B$63:$AA$113,(G$448+1),FALSE)*($BC$69+$BC$75)/(1+$AZ$41)^G$448</f>
        <v>1817.57821582262</v>
      </c>
      <c r="H492" s="106">
        <f>VLOOKUP($A492,'VKT US'!$B$63:$AA$113,(H$448+1),FALSE)*($BC$69+$BC$75)/(1+$AZ$41)^H$448</f>
        <v>1744.0741201712249</v>
      </c>
      <c r="I492" s="106">
        <f>VLOOKUP($A492,'VKT US'!$B$63:$AA$113,(I$448+1),FALSE)*($BC$69+$BC$75)/(1+$AZ$41)^I$448</f>
        <v>1674.1408337428368</v>
      </c>
      <c r="J492" s="106">
        <f>VLOOKUP($A492,'VKT US'!$B$63:$AA$113,(J$448+1),FALSE)*($BC$69+$BC$75)/(1+$AZ$41)^J$448</f>
        <v>1607.6793065161162</v>
      </c>
      <c r="K492" s="106">
        <f>VLOOKUP($A492,'VKT US'!$B$63:$AA$113,(K$448+1),FALSE)*($BC$69+$BC$75)/(1+$AZ$41)^K$448</f>
        <v>1544.5926283150604</v>
      </c>
      <c r="L492" s="106">
        <f>VLOOKUP($A492,'VKT US'!$B$63:$AA$113,(L$448+1),FALSE)*($BC$69+$BC$75)/(1+$AZ$41)^L$448</f>
        <v>1484.6424199611286</v>
      </c>
      <c r="M492" s="106">
        <f>VLOOKUP($A492,'VKT US'!$B$63:$AA$113,(M$448+1),FALSE)*($BC$69+$BC$75)/(1+$AZ$41)^M$448</f>
        <v>1427.8829041262857</v>
      </c>
      <c r="N492" s="106">
        <f>VLOOKUP($A492,'VKT US'!$B$63:$AA$113,(N$448+1),FALSE)*($BC$69+$BC$75)/(1+$AZ$41)^N$448</f>
        <v>1374.0831066688907</v>
      </c>
      <c r="O492" s="106">
        <f>VLOOKUP($A492,'VKT US'!$B$63:$AA$113,(O$448+1),FALSE)*($BC$69+$BC$75)/(1+$AZ$41)^O$448</f>
        <v>1323.2977296324852</v>
      </c>
      <c r="P492" s="106">
        <f>VLOOKUP($A492,'VKT US'!$B$63:$AA$113,(P$448+1),FALSE)*($BC$69+$BC$75)/(1+$AZ$41)^P$448</f>
        <v>1275.3029744795792</v>
      </c>
      <c r="Q492" s="106">
        <f>VLOOKUP($A492,'VKT US'!$B$63:$AA$113,(Q$448+1),FALSE)*($BC$69+$BC$75)/(1+$AZ$41)^Q$448</f>
        <v>1230.2892133367341</v>
      </c>
      <c r="R492" s="106">
        <f>VLOOKUP($A492,'VKT US'!$B$63:$AA$113,(R$448+1),FALSE)*($BC$69+$BC$75)/(1+$AZ$41)^R$448</f>
        <v>1187.7674848740746</v>
      </c>
      <c r="S492" s="106">
        <f>VLOOKUP($A492,'VKT US'!$B$63:$AA$113,(S$448+1),FALSE)*($BC$69+$BC$75)/(1+$AZ$41)^S$448</f>
        <v>1148.0622032638087</v>
      </c>
      <c r="T492" s="106">
        <f>VLOOKUP($A492,'VKT US'!$B$63:$AA$113,(T$448+1),FALSE)*($BC$69+$BC$75)/(1+$AZ$41)^T$448</f>
        <v>1110.6975595713823</v>
      </c>
      <c r="U492" s="109">
        <f>VLOOKUP($A492,'VKT US'!$B$63:$AA$113,(U$448+1),FALSE)*($BC$69+$BC$75)/(1+$AZ$41)^U$448</f>
        <v>1075.9919199036556</v>
      </c>
      <c r="V492" s="110" cm="1">
        <f t="array" ref="V492">SUMPRODUCT(INDEX(B492:U492,,_xlfn.SEQUENCE($AZ$13)))</f>
        <v>24316.31109402897</v>
      </c>
    </row>
    <row r="493" spans="1:22" x14ac:dyDescent="0.25">
      <c r="A493" s="102" t="s">
        <v>228</v>
      </c>
      <c r="B493" s="106">
        <f>VLOOKUP($A493,'VKT US'!$B$63:$AA$113,(B$448+1),FALSE)*($BC$69+$BC$75)/(1+$AZ$41)^B$448</f>
        <v>1877.9071909473168</v>
      </c>
      <c r="C493" s="106">
        <f>VLOOKUP($A493,'VKT US'!$B$63:$AA$113,(C$448+1),FALSE)*($BC$69+$BC$75)/(1+$AZ$41)^C$448</f>
        <v>1800.4472354223997</v>
      </c>
      <c r="D493" s="106">
        <f>VLOOKUP($A493,'VKT US'!$B$63:$AA$113,(D$448+1),FALSE)*($BC$69+$BC$75)/(1+$AZ$41)^D$448</f>
        <v>1726.281085099602</v>
      </c>
      <c r="E493" s="106">
        <f>VLOOKUP($A493,'VKT US'!$B$63:$AA$113,(E$448+1),FALSE)*($BC$69+$BC$75)/(1+$AZ$41)^E$448</f>
        <v>1655.4519156382567</v>
      </c>
      <c r="F493" s="106">
        <f>VLOOKUP($A493,'VKT US'!$B$63:$AA$113,(F$448+1),FALSE)*($BC$69+$BC$75)/(1+$AZ$41)^F$448</f>
        <v>1587.740050158242</v>
      </c>
      <c r="G493" s="106">
        <f>VLOOKUP($A493,'VKT US'!$B$63:$AA$113,(G$448+1),FALSE)*($BC$69+$BC$75)/(1+$AZ$41)^G$448</f>
        <v>1523.3170352254031</v>
      </c>
      <c r="H493" s="106">
        <f>VLOOKUP($A493,'VKT US'!$B$63:$AA$113,(H$448+1),FALSE)*($BC$69+$BC$75)/(1+$AZ$41)^H$448</f>
        <v>1461.713061272661</v>
      </c>
      <c r="I493" s="106">
        <f>VLOOKUP($A493,'VKT US'!$B$63:$AA$113,(I$448+1),FALSE)*($BC$69+$BC$75)/(1+$AZ$41)^I$448</f>
        <v>1403.1017918272653</v>
      </c>
      <c r="J493" s="106">
        <f>VLOOKUP($A493,'VKT US'!$B$63:$AA$113,(J$448+1),FALSE)*($BC$69+$BC$75)/(1+$AZ$41)^J$448</f>
        <v>1347.4002128084283</v>
      </c>
      <c r="K493" s="106">
        <f>VLOOKUP($A493,'VKT US'!$B$63:$AA$113,(K$448+1),FALSE)*($BC$69+$BC$75)/(1+$AZ$41)^K$448</f>
        <v>1294.5271035453111</v>
      </c>
      <c r="L493" s="106">
        <f>VLOOKUP($A493,'VKT US'!$B$63:$AA$113,(L$448+1),FALSE)*($BC$69+$BC$75)/(1+$AZ$41)^L$448</f>
        <v>1244.2826778276949</v>
      </c>
      <c r="M493" s="106">
        <f>VLOOKUP($A493,'VKT US'!$B$63:$AA$113,(M$448+1),FALSE)*($BC$69+$BC$75)/(1+$AZ$41)^M$448</f>
        <v>1196.7123798181372</v>
      </c>
      <c r="N493" s="106">
        <f>VLOOKUP($A493,'VKT US'!$B$63:$AA$113,(N$448+1),FALSE)*($BC$69+$BC$75)/(1+$AZ$41)^N$448</f>
        <v>1151.6226294871265</v>
      </c>
      <c r="O493" s="106">
        <f>VLOOKUP($A493,'VKT US'!$B$63:$AA$113,(O$448+1),FALSE)*($BC$69+$BC$75)/(1+$AZ$41)^O$448</f>
        <v>1109.0592727597859</v>
      </c>
      <c r="P493" s="106">
        <f>VLOOKUP($A493,'VKT US'!$B$63:$AA$113,(P$448+1),FALSE)*($BC$69+$BC$75)/(1+$AZ$41)^P$448</f>
        <v>1068.8347434991267</v>
      </c>
      <c r="Q493" s="106">
        <f>VLOOKUP($A493,'VKT US'!$B$63:$AA$113,(Q$448+1),FALSE)*($BC$69+$BC$75)/(1+$AZ$41)^Q$448</f>
        <v>1031.1085930801039</v>
      </c>
      <c r="R493" s="106">
        <f>VLOOKUP($A493,'VKT US'!$B$63:$AA$113,(R$448+1),FALSE)*($BC$69+$BC$75)/(1+$AZ$41)^R$448</f>
        <v>995.47102173900907</v>
      </c>
      <c r="S493" s="106">
        <f>VLOOKUP($A493,'VKT US'!$B$63:$AA$113,(S$448+1),FALSE)*($BC$69+$BC$75)/(1+$AZ$41)^S$448</f>
        <v>962.1939218382679</v>
      </c>
      <c r="T493" s="106">
        <f>VLOOKUP($A493,'VKT US'!$B$63:$AA$113,(T$448+1),FALSE)*($BC$69+$BC$75)/(1+$AZ$41)^T$448</f>
        <v>930.87851667093662</v>
      </c>
      <c r="U493" s="109">
        <f>VLOOKUP($A493,'VKT US'!$B$63:$AA$113,(U$448+1),FALSE)*($BC$69+$BC$75)/(1+$AZ$41)^U$448</f>
        <v>901.79162970012476</v>
      </c>
      <c r="V493" s="110" cm="1">
        <f t="array" ref="V493">SUMPRODUCT(INDEX(B493:U493,,_xlfn.SEQUENCE($AZ$13)))</f>
        <v>20379.563641837634</v>
      </c>
    </row>
    <row r="494" spans="1:22" x14ac:dyDescent="0.25">
      <c r="A494" s="102" t="s">
        <v>227</v>
      </c>
      <c r="B494" s="106">
        <f>VLOOKUP($A494,'VKT US'!$B$63:$AA$113,(B$448+1),FALSE)*($BC$69+$BC$75)/(1+$AZ$41)^B$448</f>
        <v>2095.2441889768238</v>
      </c>
      <c r="C494" s="106">
        <f>VLOOKUP($A494,'VKT US'!$B$63:$AA$113,(C$448+1),FALSE)*($BC$69+$BC$75)/(1+$AZ$41)^C$448</f>
        <v>2008.8195123610892</v>
      </c>
      <c r="D494" s="106">
        <f>VLOOKUP($A494,'VKT US'!$B$63:$AA$113,(D$448+1),FALSE)*($BC$69+$BC$75)/(1+$AZ$41)^D$448</f>
        <v>1926.0698449484871</v>
      </c>
      <c r="E494" s="106">
        <f>VLOOKUP($A494,'VKT US'!$B$63:$AA$113,(E$448+1),FALSE)*($BC$69+$BC$75)/(1+$AZ$41)^E$448</f>
        <v>1847.0433592737209</v>
      </c>
      <c r="F494" s="106">
        <f>VLOOKUP($A494,'VKT US'!$B$63:$AA$113,(F$448+1),FALSE)*($BC$69+$BC$75)/(1+$AZ$41)^F$448</f>
        <v>1771.4949544560084</v>
      </c>
      <c r="G494" s="106">
        <f>VLOOKUP($A494,'VKT US'!$B$63:$AA$113,(G$448+1),FALSE)*($BC$69+$BC$75)/(1+$AZ$41)^G$448</f>
        <v>1699.6160307663313</v>
      </c>
      <c r="H494" s="106">
        <f>VLOOKUP($A494,'VKT US'!$B$63:$AA$113,(H$448+1),FALSE)*($BC$69+$BC$75)/(1+$AZ$41)^H$448</f>
        <v>1630.8824058755026</v>
      </c>
      <c r="I494" s="106">
        <f>VLOOKUP($A494,'VKT US'!$B$63:$AA$113,(I$448+1),FALSE)*($BC$69+$BC$75)/(1+$AZ$41)^I$448</f>
        <v>1565.4878420195166</v>
      </c>
      <c r="J494" s="106">
        <f>VLOOKUP($A494,'VKT US'!$B$63:$AA$113,(J$448+1),FALSE)*($BC$69+$BC$75)/(1+$AZ$41)^J$448</f>
        <v>1503.339717597469</v>
      </c>
      <c r="K494" s="106">
        <f>VLOOKUP($A494,'VKT US'!$B$63:$AA$113,(K$448+1),FALSE)*($BC$69+$BC$75)/(1+$AZ$41)^K$448</f>
        <v>1444.3474119762316</v>
      </c>
      <c r="L494" s="106">
        <f>VLOOKUP($A494,'VKT US'!$B$63:$AA$113,(L$448+1),FALSE)*($BC$69+$BC$75)/(1+$AZ$41)^L$448</f>
        <v>1388.2880169641667</v>
      </c>
      <c r="M494" s="106">
        <f>VLOOKUP($A494,'VKT US'!$B$63:$AA$113,(M$448+1),FALSE)*($BC$69+$BC$75)/(1+$AZ$41)^M$448</f>
        <v>1335.2122361412914</v>
      </c>
      <c r="N494" s="106">
        <f>VLOOKUP($A494,'VKT US'!$B$63:$AA$113,(N$448+1),FALSE)*($BC$69+$BC$75)/(1+$AZ$41)^N$448</f>
        <v>1284.9040857604366</v>
      </c>
      <c r="O494" s="106">
        <f>VLOOKUP($A494,'VKT US'!$B$63:$AA$113,(O$448+1),FALSE)*($BC$69+$BC$75)/(1+$AZ$41)^O$448</f>
        <v>1237.4147176616223</v>
      </c>
      <c r="P494" s="106">
        <f>VLOOKUP($A494,'VKT US'!$B$63:$AA$113,(P$448+1),FALSE)*($BC$69+$BC$75)/(1+$AZ$41)^P$448</f>
        <v>1192.5348579997562</v>
      </c>
      <c r="Q494" s="106">
        <f>VLOOKUP($A494,'VKT US'!$B$63:$AA$113,(Q$448+1),FALSE)*($BC$69+$BC$75)/(1+$AZ$41)^Q$448</f>
        <v>1150.4425236080613</v>
      </c>
      <c r="R494" s="106">
        <f>VLOOKUP($A494,'VKT US'!$B$63:$AA$113,(R$448+1),FALSE)*($BC$69+$BC$75)/(1+$AZ$41)^R$448</f>
        <v>1110.6804871125255</v>
      </c>
      <c r="S494" s="106">
        <f>VLOOKUP($A494,'VKT US'!$B$63:$AA$113,(S$448+1),FALSE)*($BC$69+$BC$75)/(1+$AZ$41)^S$448</f>
        <v>1073.5521079630444</v>
      </c>
      <c r="T494" s="106">
        <f>VLOOKUP($A494,'VKT US'!$B$63:$AA$113,(T$448+1),FALSE)*($BC$69+$BC$75)/(1+$AZ$41)^T$448</f>
        <v>1038.6124575806382</v>
      </c>
      <c r="U494" s="109">
        <f>VLOOKUP($A494,'VKT US'!$B$63:$AA$113,(U$448+1),FALSE)*($BC$69+$BC$75)/(1+$AZ$41)^U$448</f>
        <v>1006.1592398738165</v>
      </c>
      <c r="V494" s="110" cm="1">
        <f t="array" ref="V494">SUMPRODUCT(INDEX(B494:U494,,_xlfn.SEQUENCE($AZ$13)))</f>
        <v>22738.164324778692</v>
      </c>
    </row>
    <row r="495" spans="1:22" x14ac:dyDescent="0.25">
      <c r="A495" s="102" t="s">
        <v>229</v>
      </c>
      <c r="B495" s="106">
        <f>VLOOKUP($A495,'VKT US'!$B$63:$AA$113,(B$448+1),FALSE)*($BC$69+$BC$75)/(1+$AZ$41)^B$448</f>
        <v>1581.1447119103484</v>
      </c>
      <c r="C495" s="106">
        <f>VLOOKUP($A495,'VKT US'!$B$63:$AA$113,(C$448+1),FALSE)*($BC$69+$BC$75)/(1+$AZ$41)^C$448</f>
        <v>1515.9256213964825</v>
      </c>
      <c r="D495" s="106">
        <f>VLOOKUP($A495,'VKT US'!$B$63:$AA$113,(D$448+1),FALSE)*($BC$69+$BC$75)/(1+$AZ$41)^D$448</f>
        <v>1453.4798216514569</v>
      </c>
      <c r="E495" s="106">
        <f>VLOOKUP($A495,'VKT US'!$B$63:$AA$113,(E$448+1),FALSE)*($BC$69+$BC$75)/(1+$AZ$41)^E$448</f>
        <v>1393.8436653586027</v>
      </c>
      <c r="F495" s="106">
        <f>VLOOKUP($A495,'VKT US'!$B$63:$AA$113,(F$448+1),FALSE)*($BC$69+$BC$75)/(1+$AZ$41)^F$448</f>
        <v>1336.8321908014912</v>
      </c>
      <c r="G495" s="106">
        <f>VLOOKUP($A495,'VKT US'!$B$63:$AA$113,(G$448+1),FALSE)*($BC$69+$BC$75)/(1+$AZ$41)^G$448</f>
        <v>1282.5898353339692</v>
      </c>
      <c r="H495" s="106">
        <f>VLOOKUP($A495,'VKT US'!$B$63:$AA$113,(H$448+1),FALSE)*($BC$69+$BC$75)/(1+$AZ$41)^H$448</f>
        <v>1230.7210325956908</v>
      </c>
      <c r="I495" s="106">
        <f>VLOOKUP($A495,'VKT US'!$B$63:$AA$113,(I$448+1),FALSE)*($BC$69+$BC$75)/(1+$AZ$41)^I$448</f>
        <v>1181.3720023620986</v>
      </c>
      <c r="J495" s="106">
        <f>VLOOKUP($A495,'VKT US'!$B$63:$AA$113,(J$448+1),FALSE)*($BC$69+$BC$75)/(1+$AZ$41)^J$448</f>
        <v>1134.4728491263827</v>
      </c>
      <c r="K495" s="106">
        <f>VLOOKUP($A495,'VKT US'!$B$63:$AA$113,(K$448+1),FALSE)*($BC$69+$BC$75)/(1+$AZ$41)^K$448</f>
        <v>1089.9551873821601</v>
      </c>
      <c r="L495" s="106">
        <f>VLOOKUP($A495,'VKT US'!$B$63:$AA$113,(L$448+1),FALSE)*($BC$69+$BC$75)/(1+$AZ$41)^L$448</f>
        <v>1047.6508027941736</v>
      </c>
      <c r="M495" s="106">
        <f>VLOOKUP($A495,'VKT US'!$B$63:$AA$113,(M$448+1),FALSE)*($BC$69+$BC$75)/(1+$AZ$41)^M$448</f>
        <v>1007.5979580612724</v>
      </c>
      <c r="N495" s="106">
        <f>VLOOKUP($A495,'VKT US'!$B$63:$AA$113,(N$448+1),FALSE)*($BC$69+$BC$75)/(1+$AZ$41)^N$448</f>
        <v>969.63366427672611</v>
      </c>
      <c r="O495" s="106">
        <f>VLOOKUP($A495,'VKT US'!$B$63:$AA$113,(O$448+1),FALSE)*($BC$69+$BC$75)/(1+$AZ$41)^O$448</f>
        <v>933.79652241209612</v>
      </c>
      <c r="P495" s="106">
        <f>VLOOKUP($A495,'VKT US'!$B$63:$AA$113,(P$448+1),FALSE)*($BC$69+$BC$75)/(1+$AZ$41)^P$448</f>
        <v>899.92860708796809</v>
      </c>
      <c r="Q495" s="106">
        <f>VLOOKUP($A495,'VKT US'!$B$63:$AA$113,(Q$448+1),FALSE)*($BC$69+$BC$75)/(1+$AZ$41)^Q$448</f>
        <v>868.16425604691301</v>
      </c>
      <c r="R495" s="106">
        <f>VLOOKUP($A495,'VKT US'!$B$63:$AA$113,(R$448+1),FALSE)*($BC$69+$BC$75)/(1+$AZ$41)^R$448</f>
        <v>838.15842948480542</v>
      </c>
      <c r="S495" s="106">
        <f>VLOOKUP($A495,'VKT US'!$B$63:$AA$113,(S$448+1),FALSE)*($BC$69+$BC$75)/(1+$AZ$41)^S$448</f>
        <v>810.14005307652997</v>
      </c>
      <c r="T495" s="106">
        <f>VLOOKUP($A495,'VKT US'!$B$63:$AA$113,(T$448+1),FALSE)*($BC$69+$BC$75)/(1+$AZ$41)^T$448</f>
        <v>783.77336811981593</v>
      </c>
      <c r="U495" s="109">
        <f>VLOOKUP($A495,'VKT US'!$B$63:$AA$113,(U$448+1),FALSE)*($BC$69+$BC$75)/(1+$AZ$41)^U$448</f>
        <v>759.28303241976823</v>
      </c>
      <c r="V495" s="110" cm="1">
        <f t="array" ref="V495">SUMPRODUCT(INDEX(B495:U495,,_xlfn.SEQUENCE($AZ$13)))</f>
        <v>17159.015865462952</v>
      </c>
    </row>
    <row r="496" spans="1:22" x14ac:dyDescent="0.25">
      <c r="A496" s="102" t="s">
        <v>159</v>
      </c>
      <c r="B496" s="106">
        <f>VLOOKUP($A496,'VKT US'!$B$63:$AA$113,(B$448+1),FALSE)*($BC$69+$BC$75)/(1+$AZ$41)^B$448</f>
        <v>2437.062577239843</v>
      </c>
      <c r="C496" s="106">
        <f>VLOOKUP($A496,'VKT US'!$B$63:$AA$113,(C$448+1),FALSE)*($BC$69+$BC$75)/(1+$AZ$41)^C$448</f>
        <v>2336.5385685164888</v>
      </c>
      <c r="D496" s="106">
        <f>VLOOKUP($A496,'VKT US'!$B$63:$AA$113,(D$448+1),FALSE)*($BC$69+$BC$75)/(1+$AZ$41)^D$448</f>
        <v>2240.2891104383943</v>
      </c>
      <c r="E496" s="106">
        <f>VLOOKUP($A496,'VKT US'!$B$63:$AA$113,(E$448+1),FALSE)*($BC$69+$BC$75)/(1+$AZ$41)^E$448</f>
        <v>2148.3702344133512</v>
      </c>
      <c r="F496" s="106">
        <f>VLOOKUP($A496,'VKT US'!$B$63:$AA$113,(F$448+1),FALSE)*($BC$69+$BC$75)/(1+$AZ$41)^F$448</f>
        <v>2060.4968537734921</v>
      </c>
      <c r="G496" s="106">
        <f>VLOOKUP($A496,'VKT US'!$B$63:$AA$113,(G$448+1),FALSE)*($BC$69+$BC$75)/(1+$AZ$41)^G$448</f>
        <v>1976.8915938529606</v>
      </c>
      <c r="H496" s="106">
        <f>VLOOKUP($A496,'VKT US'!$B$63:$AA$113,(H$448+1),FALSE)*($BC$69+$BC$75)/(1+$AZ$41)^H$448</f>
        <v>1896.9447571545236</v>
      </c>
      <c r="I496" s="106">
        <f>VLOOKUP($A496,'VKT US'!$B$63:$AA$113,(I$448+1),FALSE)*($BC$69+$BC$75)/(1+$AZ$41)^I$448</f>
        <v>1820.8817163085921</v>
      </c>
      <c r="J496" s="106">
        <f>VLOOKUP($A496,'VKT US'!$B$63:$AA$113,(J$448+1),FALSE)*($BC$69+$BC$75)/(1+$AZ$41)^J$448</f>
        <v>1748.5947394151829</v>
      </c>
      <c r="K496" s="106">
        <f>VLOOKUP($A496,'VKT US'!$B$63:$AA$113,(K$448+1),FALSE)*($BC$69+$BC$75)/(1+$AZ$41)^K$448</f>
        <v>1679.9784219802114</v>
      </c>
      <c r="L496" s="106">
        <f>VLOOKUP($A496,'VKT US'!$B$63:$AA$113,(L$448+1),FALSE)*($BC$69+$BC$75)/(1+$AZ$41)^L$448</f>
        <v>1614.7734905429238</v>
      </c>
      <c r="M496" s="106">
        <f>VLOOKUP($A496,'VKT US'!$B$63:$AA$113,(M$448+1),FALSE)*($BC$69+$BC$75)/(1+$AZ$41)^M$448</f>
        <v>1553.0389204714616</v>
      </c>
      <c r="N496" s="106">
        <f>VLOOKUP($A496,'VKT US'!$B$63:$AA$113,(N$448+1),FALSE)*($BC$69+$BC$75)/(1+$AZ$41)^N$448</f>
        <v>1494.5234924042406</v>
      </c>
      <c r="O496" s="106">
        <f>VLOOKUP($A496,'VKT US'!$B$63:$AA$113,(O$448+1),FALSE)*($BC$69+$BC$75)/(1+$AZ$41)^O$448</f>
        <v>1439.2867030985965</v>
      </c>
      <c r="P496" s="106">
        <f>VLOOKUP($A496,'VKT US'!$B$63:$AA$113,(P$448+1),FALSE)*($BC$69+$BC$75)/(1+$AZ$41)^P$448</f>
        <v>1387.0851377492511</v>
      </c>
      <c r="Q496" s="106">
        <f>VLOOKUP($A496,'VKT US'!$B$63:$AA$113,(Q$448+1),FALSE)*($BC$69+$BC$75)/(1+$AZ$41)^Q$448</f>
        <v>1338.1258548769481</v>
      </c>
      <c r="R496" s="106">
        <f>VLOOKUP($A496,'VKT US'!$B$63:$AA$113,(R$448+1),FALSE)*($BC$69+$BC$75)/(1+$AZ$41)^R$448</f>
        <v>1291.8770349790461</v>
      </c>
      <c r="S496" s="106">
        <f>VLOOKUP($A496,'VKT US'!$B$63:$AA$113,(S$448+1),FALSE)*($BC$69+$BC$75)/(1+$AZ$41)^S$448</f>
        <v>1248.691527602477</v>
      </c>
      <c r="T496" s="106">
        <f>VLOOKUP($A496,'VKT US'!$B$63:$AA$113,(T$448+1),FALSE)*($BC$69+$BC$75)/(1+$AZ$41)^T$448</f>
        <v>1208.0518184665277</v>
      </c>
      <c r="U496" s="109">
        <f>VLOOKUP($A496,'VKT US'!$B$63:$AA$113,(U$448+1),FALSE)*($BC$69+$BC$75)/(1+$AZ$41)^U$448</f>
        <v>1170.3041789310448</v>
      </c>
      <c r="V496" s="110" cm="1">
        <f t="array" ref="V496">SUMPRODUCT(INDEX(B496:U496,,_xlfn.SEQUENCE($AZ$13)))</f>
        <v>26447.671179610272</v>
      </c>
    </row>
    <row r="497" spans="1:22" x14ac:dyDescent="0.25">
      <c r="A497" s="102" t="s">
        <v>158</v>
      </c>
      <c r="B497" s="106">
        <f>VLOOKUP($A497,'VKT US'!$B$63:$AA$113,(B$448+1),FALSE)*($BC$69+$BC$75)/(1+$AZ$41)^B$448</f>
        <v>2229.9786867585717</v>
      </c>
      <c r="C497" s="106">
        <f>VLOOKUP($A497,'VKT US'!$B$63:$AA$113,(C$448+1),FALSE)*($BC$69+$BC$75)/(1+$AZ$41)^C$448</f>
        <v>2137.9964787290605</v>
      </c>
      <c r="D497" s="106">
        <f>VLOOKUP($A497,'VKT US'!$B$63:$AA$113,(D$448+1),FALSE)*($BC$69+$BC$75)/(1+$AZ$41)^D$448</f>
        <v>2049.9256010541417</v>
      </c>
      <c r="E497" s="106">
        <f>VLOOKUP($A497,'VKT US'!$B$63:$AA$113,(E$448+1),FALSE)*($BC$69+$BC$75)/(1+$AZ$41)^E$448</f>
        <v>1965.8173239992277</v>
      </c>
      <c r="F497" s="106">
        <f>VLOOKUP($A497,'VKT US'!$B$63:$AA$113,(F$448+1),FALSE)*($BC$69+$BC$75)/(1+$AZ$41)^F$448</f>
        <v>1885.4107854924309</v>
      </c>
      <c r="G497" s="106">
        <f>VLOOKUP($A497,'VKT US'!$B$63:$AA$113,(G$448+1),FALSE)*($BC$69+$BC$75)/(1+$AZ$41)^G$448</f>
        <v>1808.9096937827339</v>
      </c>
      <c r="H497" s="106">
        <f>VLOOKUP($A497,'VKT US'!$B$63:$AA$113,(H$448+1),FALSE)*($BC$69+$BC$75)/(1+$AZ$41)^H$448</f>
        <v>1735.7561590412511</v>
      </c>
      <c r="I497" s="106">
        <f>VLOOKUP($A497,'VKT US'!$B$63:$AA$113,(I$448+1),FALSE)*($BC$69+$BC$75)/(1+$AZ$41)^I$448</f>
        <v>1666.1564033679354</v>
      </c>
      <c r="J497" s="106">
        <f>VLOOKUP($A497,'VKT US'!$B$63:$AA$113,(J$448+1),FALSE)*($BC$69+$BC$75)/(1+$AZ$41)^J$448</f>
        <v>1600.0118491377846</v>
      </c>
      <c r="K497" s="106">
        <f>VLOOKUP($A497,'VKT US'!$B$63:$AA$113,(K$448+1),FALSE)*($BC$69+$BC$75)/(1+$AZ$41)^K$448</f>
        <v>1537.2260483656328</v>
      </c>
      <c r="L497" s="106">
        <f>VLOOKUP($A497,'VKT US'!$B$63:$AA$113,(L$448+1),FALSE)*($BC$69+$BC$75)/(1+$AZ$41)^L$448</f>
        <v>1477.5617587677073</v>
      </c>
      <c r="M497" s="106">
        <f>VLOOKUP($A497,'VKT US'!$B$63:$AA$113,(M$448+1),FALSE)*($BC$69+$BC$75)/(1+$AZ$41)^M$448</f>
        <v>1421.0729444133863</v>
      </c>
      <c r="N497" s="106">
        <f>VLOOKUP($A497,'VKT US'!$B$63:$AA$113,(N$448+1),FALSE)*($BC$69+$BC$75)/(1+$AZ$41)^N$448</f>
        <v>1367.5297327391731</v>
      </c>
      <c r="O497" s="106">
        <f>VLOOKUP($A497,'VKT US'!$B$63:$AA$113,(O$448+1),FALSE)*($BC$69+$BC$75)/(1+$AZ$41)^O$448</f>
        <v>1316.9865648997704</v>
      </c>
      <c r="P497" s="106">
        <f>VLOOKUP($A497,'VKT US'!$B$63:$AA$113,(P$448+1),FALSE)*($BC$69+$BC$75)/(1+$AZ$41)^P$448</f>
        <v>1269.2207097134353</v>
      </c>
      <c r="Q497" s="106">
        <f>VLOOKUP($A497,'VKT US'!$B$63:$AA$113,(Q$448+1),FALSE)*($BC$69+$BC$75)/(1+$AZ$41)^Q$448</f>
        <v>1224.4216313705754</v>
      </c>
      <c r="R497" s="106">
        <f>VLOOKUP($A497,'VKT US'!$B$63:$AA$113,(R$448+1),FALSE)*($BC$69+$BC$75)/(1+$AZ$41)^R$448</f>
        <v>1182.1027005301273</v>
      </c>
      <c r="S497" s="106">
        <f>VLOOKUP($A497,'VKT US'!$B$63:$AA$113,(S$448+1),FALSE)*($BC$69+$BC$75)/(1+$AZ$41)^S$448</f>
        <v>1142.586784145381</v>
      </c>
      <c r="T497" s="106">
        <f>VLOOKUP($A497,'VKT US'!$B$63:$AA$113,(T$448+1),FALSE)*($BC$69+$BC$75)/(1+$AZ$41)^T$448</f>
        <v>1105.4003425432638</v>
      </c>
      <c r="U497" s="109">
        <f>VLOOKUP($A497,'VKT US'!$B$63:$AA$113,(U$448+1),FALSE)*($BC$69+$BC$75)/(1+$AZ$41)^U$448</f>
        <v>1070.8602234565769</v>
      </c>
      <c r="V497" s="110" cm="1">
        <f t="array" ref="V497">SUMPRODUCT(INDEX(B497:U497,,_xlfn.SEQUENCE($AZ$13)))</f>
        <v>24200.34003054881</v>
      </c>
    </row>
    <row r="498" spans="1:22" x14ac:dyDescent="0.25">
      <c r="A498" s="102" t="s">
        <v>160</v>
      </c>
      <c r="B498" s="106">
        <f>VLOOKUP($A498,'VKT US'!$B$63:$AA$113,(B$448+1),FALSE)*($BC$69+$BC$75)/(1+$AZ$41)^B$448</f>
        <v>3475.8034588519663</v>
      </c>
      <c r="C498" s="106">
        <f>VLOOKUP($A498,'VKT US'!$B$63:$AA$113,(C$448+1),FALSE)*($BC$69+$BC$75)/(1+$AZ$41)^C$448</f>
        <v>3332.4334442772792</v>
      </c>
      <c r="D498" s="106">
        <f>VLOOKUP($A498,'VKT US'!$B$63:$AA$113,(D$448+1),FALSE)*($BC$69+$BC$75)/(1+$AZ$41)^D$448</f>
        <v>3195.1599075101758</v>
      </c>
      <c r="E498" s="106">
        <f>VLOOKUP($A498,'VKT US'!$B$63:$AA$113,(E$448+1),FALSE)*($BC$69+$BC$75)/(1+$AZ$41)^E$448</f>
        <v>3064.0627620345431</v>
      </c>
      <c r="F498" s="106">
        <f>VLOOKUP($A498,'VKT US'!$B$63:$AA$113,(F$448+1),FALSE)*($BC$69+$BC$75)/(1+$AZ$41)^F$448</f>
        <v>2938.7354096630829</v>
      </c>
      <c r="G498" s="106">
        <f>VLOOKUP($A498,'VKT US'!$B$63:$AA$113,(G$448+1),FALSE)*($BC$69+$BC$75)/(1+$AZ$41)^G$448</f>
        <v>2819.495364567842</v>
      </c>
      <c r="H498" s="106">
        <f>VLOOKUP($A498,'VKT US'!$B$63:$AA$113,(H$448+1),FALSE)*($BC$69+$BC$75)/(1+$AZ$41)^H$448</f>
        <v>2705.4730599639856</v>
      </c>
      <c r="I498" s="106">
        <f>VLOOKUP($A498,'VKT US'!$B$63:$AA$113,(I$448+1),FALSE)*($BC$69+$BC$75)/(1+$AZ$41)^I$448</f>
        <v>2596.9899282905608</v>
      </c>
      <c r="J498" s="106">
        <f>VLOOKUP($A498,'VKT US'!$B$63:$AA$113,(J$448+1),FALSE)*($BC$69+$BC$75)/(1+$AZ$41)^J$448</f>
        <v>2493.8923194467902</v>
      </c>
      <c r="K498" s="106">
        <f>VLOOKUP($A498,'VKT US'!$B$63:$AA$113,(K$448+1),FALSE)*($BC$69+$BC$75)/(1+$AZ$41)^K$448</f>
        <v>2396.029902740087</v>
      </c>
      <c r="L498" s="106">
        <f>VLOOKUP($A498,'VKT US'!$B$63:$AA$113,(L$448+1),FALSE)*($BC$69+$BC$75)/(1+$AZ$41)^L$448</f>
        <v>2303.0328954656097</v>
      </c>
      <c r="M498" s="106">
        <f>VLOOKUP($A498,'VKT US'!$B$63:$AA$113,(M$448+1),FALSE)*($BC$69+$BC$75)/(1+$AZ$41)^M$448</f>
        <v>2214.985409861792</v>
      </c>
      <c r="N498" s="106">
        <f>VLOOKUP($A498,'VKT US'!$B$63:$AA$113,(N$448+1),FALSE)*($BC$69+$BC$75)/(1+$AZ$41)^N$448</f>
        <v>2131.5291501942206</v>
      </c>
      <c r="O498" s="106">
        <f>VLOOKUP($A498,'VKT US'!$B$63:$AA$113,(O$448+1),FALSE)*($BC$69+$BC$75)/(1+$AZ$41)^O$448</f>
        <v>2052.7489723204621</v>
      </c>
      <c r="P498" s="106">
        <f>VLOOKUP($A498,'VKT US'!$B$63:$AA$113,(P$448+1),FALSE)*($BC$69+$BC$75)/(1+$AZ$41)^P$448</f>
        <v>1978.2977115718606</v>
      </c>
      <c r="Q498" s="106">
        <f>VLOOKUP($A498,'VKT US'!$B$63:$AA$113,(Q$448+1),FALSE)*($BC$69+$BC$75)/(1+$AZ$41)^Q$448</f>
        <v>1908.4706803172114</v>
      </c>
      <c r="R498" s="106">
        <f>VLOOKUP($A498,'VKT US'!$B$63:$AA$113,(R$448+1),FALSE)*($BC$69+$BC$75)/(1+$AZ$41)^R$448</f>
        <v>1842.5093834386503</v>
      </c>
      <c r="S498" s="106">
        <f>VLOOKUP($A498,'VKT US'!$B$63:$AA$113,(S$448+1),FALSE)*($BC$69+$BC$75)/(1+$AZ$41)^S$448</f>
        <v>1780.9170643436844</v>
      </c>
      <c r="T498" s="106">
        <f>VLOOKUP($A498,'VKT US'!$B$63:$AA$113,(T$448+1),FALSE)*($BC$69+$BC$75)/(1+$AZ$41)^T$448</f>
        <v>1722.955630402397</v>
      </c>
      <c r="U498" s="109">
        <f>VLOOKUP($A498,'VKT US'!$B$63:$AA$113,(U$448+1),FALSE)*($BC$69+$BC$75)/(1+$AZ$41)^U$448</f>
        <v>1669.1189430369354</v>
      </c>
      <c r="V498" s="110" cm="1">
        <f t="array" ref="V498">SUMPRODUCT(INDEX(B498:U498,,_xlfn.SEQUENCE($AZ$13)))</f>
        <v>37720.371985188394</v>
      </c>
    </row>
    <row r="499" spans="1:22" x14ac:dyDescent="0.25">
      <c r="A499" s="103" t="s">
        <v>134</v>
      </c>
      <c r="B499" s="113">
        <f>VLOOKUP($A499,'VKT US'!$B$63:$AA$113,(B$448+1),FALSE)*($BC$69+$BC$75)/(1+$AZ$41)^B$448</f>
        <v>2059.3679880256846</v>
      </c>
      <c r="C499" s="113">
        <f>VLOOKUP($A499,'VKT US'!$B$63:$AA$113,(C$448+1),FALSE)*($BC$69+$BC$75)/(1+$AZ$41)^C$448</f>
        <v>1974.423133705468</v>
      </c>
      <c r="D499" s="113">
        <f>VLOOKUP($A499,'VKT US'!$B$63:$AA$113,(D$448+1),FALSE)*($BC$69+$BC$75)/(1+$AZ$41)^D$448</f>
        <v>1893.0903625727142</v>
      </c>
      <c r="E499" s="113">
        <f>VLOOKUP($A499,'VKT US'!$B$63:$AA$113,(E$448+1),FALSE)*($BC$69+$BC$75)/(1+$AZ$41)^E$448</f>
        <v>1815.4170223191097</v>
      </c>
      <c r="F499" s="113">
        <f>VLOOKUP($A499,'VKT US'!$B$63:$AA$113,(F$448+1),FALSE)*($BC$69+$BC$75)/(1+$AZ$41)^F$448</f>
        <v>1741.1622088484289</v>
      </c>
      <c r="G499" s="113">
        <f>VLOOKUP($A499,'VKT US'!$B$63:$AA$113,(G$448+1),FALSE)*($BC$69+$BC$75)/(1+$AZ$41)^G$448</f>
        <v>1670.5140451455873</v>
      </c>
      <c r="H499" s="113">
        <f>VLOOKUP($A499,'VKT US'!$B$63:$AA$113,(H$448+1),FALSE)*($BC$69+$BC$75)/(1+$AZ$41)^H$448</f>
        <v>1602.957324288979</v>
      </c>
      <c r="I499" s="113">
        <f>VLOOKUP($A499,'VKT US'!$B$63:$AA$113,(I$448+1),FALSE)*($BC$69+$BC$75)/(1+$AZ$41)^I$448</f>
        <v>1538.6824907853559</v>
      </c>
      <c r="J499" s="113">
        <f>VLOOKUP($A499,'VKT US'!$B$63:$AA$113,(J$448+1),FALSE)*($BC$69+$BC$75)/(1+$AZ$41)^J$448</f>
        <v>1477.5985089640765</v>
      </c>
      <c r="K499" s="113">
        <f>VLOOKUP($A499,'VKT US'!$B$63:$AA$113,(K$448+1),FALSE)*($BC$69+$BC$75)/(1+$AZ$41)^K$448</f>
        <v>1419.6163098603386</v>
      </c>
      <c r="L499" s="113">
        <f>VLOOKUP($A499,'VKT US'!$B$63:$AA$113,(L$448+1),FALSE)*($BC$69+$BC$75)/(1+$AZ$41)^L$448</f>
        <v>1364.516802068691</v>
      </c>
      <c r="M499" s="113">
        <f>VLOOKUP($A499,'VKT US'!$B$63:$AA$113,(M$448+1),FALSE)*($BC$69+$BC$75)/(1+$AZ$41)^M$448</f>
        <v>1312.3498209878494</v>
      </c>
      <c r="N499" s="113">
        <f>VLOOKUP($A499,'VKT US'!$B$63:$AA$113,(N$448+1),FALSE)*($BC$69+$BC$75)/(1+$AZ$41)^N$448</f>
        <v>1262.9030810917673</v>
      </c>
      <c r="O499" s="113">
        <f>VLOOKUP($A499,'VKT US'!$B$63:$AA$113,(O$448+1),FALSE)*($BC$69+$BC$75)/(1+$AZ$41)^O$448</f>
        <v>1216.2268583637499</v>
      </c>
      <c r="P499" s="113">
        <f>VLOOKUP($A499,'VKT US'!$B$63:$AA$113,(P$448+1),FALSE)*($BC$69+$BC$75)/(1+$AZ$41)^P$448</f>
        <v>1172.1154622883043</v>
      </c>
      <c r="Q499" s="113">
        <f>VLOOKUP($A499,'VKT US'!$B$63:$AA$113,(Q$448+1),FALSE)*($BC$69+$BC$75)/(1+$AZ$41)^Q$448</f>
        <v>1130.7438615729436</v>
      </c>
      <c r="R499" s="113">
        <f>VLOOKUP($A499,'VKT US'!$B$63:$AA$113,(R$448+1),FALSE)*($BC$69+$BC$75)/(1+$AZ$41)^R$448</f>
        <v>1091.6626578027988</v>
      </c>
      <c r="S499" s="113">
        <f>VLOOKUP($A499,'VKT US'!$B$63:$AA$113,(S$448+1),FALSE)*($BC$69+$BC$75)/(1+$AZ$41)^S$448</f>
        <v>1055.1700161002293</v>
      </c>
      <c r="T499" s="113">
        <f>VLOOKUP($A499,'VKT US'!$B$63:$AA$113,(T$448+1),FALSE)*($BC$69+$BC$75)/(1+$AZ$41)^T$448</f>
        <v>1020.8286262570369</v>
      </c>
      <c r="U499" s="98">
        <f>VLOOKUP($A499,'VKT US'!$B$63:$AA$113,(U$448+1),FALSE)*($BC$69+$BC$75)/(1+$AZ$41)^U$448</f>
        <v>988.93109469223475</v>
      </c>
      <c r="V499" s="111" cm="1">
        <f t="array" ref="V499">SUMPRODUCT(INDEX(B499:U499,,_xlfn.SEQUENCE($AZ$13)))</f>
        <v>22348.825957027795</v>
      </c>
    </row>
    <row r="501" spans="1:22" x14ac:dyDescent="0.25">
      <c r="A501" s="105" t="s">
        <v>526</v>
      </c>
    </row>
    <row r="502" spans="1:22" x14ac:dyDescent="0.25">
      <c r="A502" s="213" t="s">
        <v>3</v>
      </c>
      <c r="B502" s="216" t="s">
        <v>317</v>
      </c>
      <c r="C502" s="216"/>
      <c r="D502" s="216"/>
      <c r="E502" s="216"/>
      <c r="F502" s="216"/>
      <c r="G502" s="216"/>
      <c r="H502" s="216"/>
      <c r="I502" s="216"/>
      <c r="J502" s="216"/>
      <c r="K502" s="216"/>
      <c r="L502" s="216"/>
      <c r="M502" s="216"/>
      <c r="N502" s="216"/>
      <c r="O502" s="216"/>
      <c r="P502" s="216"/>
      <c r="Q502" s="216"/>
      <c r="R502" s="216"/>
      <c r="S502" s="216"/>
      <c r="T502" s="216"/>
      <c r="U502" s="216"/>
      <c r="V502" s="214" t="s">
        <v>453</v>
      </c>
    </row>
    <row r="503" spans="1:22" x14ac:dyDescent="0.25">
      <c r="A503" s="213"/>
      <c r="B503" s="73">
        <v>1</v>
      </c>
      <c r="C503" s="73">
        <v>2</v>
      </c>
      <c r="D503" s="73">
        <v>3</v>
      </c>
      <c r="E503" s="73">
        <v>4</v>
      </c>
      <c r="F503" s="73">
        <v>5</v>
      </c>
      <c r="G503" s="73">
        <v>6</v>
      </c>
      <c r="H503" s="73">
        <v>7</v>
      </c>
      <c r="I503" s="73">
        <v>8</v>
      </c>
      <c r="J503" s="73">
        <v>9</v>
      </c>
      <c r="K503" s="73">
        <v>10</v>
      </c>
      <c r="L503" s="73">
        <v>11</v>
      </c>
      <c r="M503" s="73">
        <v>12</v>
      </c>
      <c r="N503" s="73">
        <v>13</v>
      </c>
      <c r="O503" s="73">
        <v>14</v>
      </c>
      <c r="P503" s="73">
        <v>15</v>
      </c>
      <c r="Q503" s="73">
        <v>16</v>
      </c>
      <c r="R503" s="73">
        <v>17</v>
      </c>
      <c r="S503" s="73">
        <v>18</v>
      </c>
      <c r="T503" s="73">
        <v>19</v>
      </c>
      <c r="U503" s="73">
        <v>20</v>
      </c>
      <c r="V503" s="215"/>
    </row>
    <row r="504" spans="1:22" x14ac:dyDescent="0.25">
      <c r="A504" s="102" t="s">
        <v>187</v>
      </c>
      <c r="B504" s="106">
        <f>VLOOKUP($A504,'VKT US'!$B$63:$AA$113,(B$392+1),FALSE)*($BB$69+$BB$75)/(1+$AZ$41)^B$392</f>
        <v>2572.9523547453355</v>
      </c>
      <c r="C504" s="106">
        <f>VLOOKUP($A504,'VKT US'!$B$63:$AA$113,(C$392+1),FALSE)*($BD$69+$BD$75)/(1+$AZ$41)^C$392</f>
        <v>2367.8456890721659</v>
      </c>
      <c r="D504" s="106">
        <f>VLOOKUP($A504,'VKT US'!$B$63:$AA$113,(D$392+1),FALSE)*($BD$69+$BD$75)/(1+$AZ$41)^D$392</f>
        <v>2270.3065910848177</v>
      </c>
      <c r="E504" s="106">
        <f>VLOOKUP($A504,'VKT US'!$B$63:$AA$113,(E$392+1),FALSE)*($BD$69+$BD$75)/(1+$AZ$41)^E$392</f>
        <v>2177.1561003234142</v>
      </c>
      <c r="F504" s="106">
        <f>VLOOKUP($A504,'VKT US'!$B$63:$AA$113,(F$392+1),FALSE)*($BD$69+$BD$75)/(1+$AZ$41)^F$392</f>
        <v>2088.1053102633145</v>
      </c>
      <c r="G504" s="106">
        <f>VLOOKUP($A504,'VKT US'!$B$63:$AA$113,(G$392+1),FALSE)*($BD$69+$BD$75)/(1+$AZ$41)^G$392</f>
        <v>2003.3798291802952</v>
      </c>
      <c r="H504" s="106">
        <f>VLOOKUP($A504,'VKT US'!$B$63:$AA$113,(H$392+1),FALSE)*($BD$69+$BD$75)/(1+$AZ$41)^H$392</f>
        <v>1922.3617902820367</v>
      </c>
      <c r="I504" s="106">
        <f>VLOOKUP($A504,'VKT US'!$B$63:$AA$113,(I$392+1),FALSE)*($BD$69+$BD$75)/(1+$AZ$41)^I$392</f>
        <v>1845.2795859514181</v>
      </c>
      <c r="J504" s="106">
        <f>VLOOKUP($A504,'VKT US'!$B$63:$AA$113,(J$392+1),FALSE)*($BD$69+$BD$75)/(1+$AZ$41)^J$392</f>
        <v>1772.0240407960932</v>
      </c>
      <c r="K504" s="106">
        <f>VLOOKUP($A504,'VKT US'!$B$63:$AA$113,(K$392+1),FALSE)*($BD$69+$BD$75)/(1+$AZ$41)^K$392</f>
        <v>1702.488338014366</v>
      </c>
      <c r="L504" s="106">
        <f>VLOOKUP($A504,'VKT US'!$B$63:$AA$113,(L$392+1),FALSE)*($BD$69+$BD$75)/(1+$AZ$41)^L$392</f>
        <v>1636.4097301581064</v>
      </c>
      <c r="M504" s="106">
        <f>VLOOKUP($A504,'VKT US'!$B$63:$AA$113,(M$392+1),FALSE)*($BD$69+$BD$75)/(1+$AZ$41)^M$392</f>
        <v>1573.8479828023815</v>
      </c>
      <c r="N504" s="106">
        <f>VLOOKUP($A504,'VKT US'!$B$63:$AA$113,(N$392+1),FALSE)*($BD$69+$BD$75)/(1+$AZ$41)^N$392</f>
        <v>1514.5485105145551</v>
      </c>
      <c r="O504" s="106">
        <f>VLOOKUP($A504,'VKT US'!$B$63:$AA$113,(O$392+1),FALSE)*($BD$69+$BD$75)/(1+$AZ$41)^O$392</f>
        <v>1458.5716072449466</v>
      </c>
      <c r="P504" s="106">
        <f>VLOOKUP($A504,'VKT US'!$B$63:$AA$113,(P$392+1),FALSE)*($BD$69+$BD$75)/(1+$AZ$41)^P$392</f>
        <v>1405.6705966899417</v>
      </c>
      <c r="Q504" s="106">
        <f>VLOOKUP($A504,'VKT US'!$B$63:$AA$113,(Q$392+1),FALSE)*($BD$69+$BD$75)/(1+$AZ$41)^Q$392</f>
        <v>1356.0553117332497</v>
      </c>
      <c r="R504" s="106">
        <f>VLOOKUP($A504,'VKT US'!$B$63:$AA$113,(R$392+1),FALSE)*($BD$69+$BD$75)/(1+$AZ$41)^R$392</f>
        <v>1309.1868070590674</v>
      </c>
      <c r="S504" s="106">
        <f>VLOOKUP($A504,'VKT US'!$B$63:$AA$113,(S$392+1),FALSE)*($BD$69+$BD$75)/(1+$AZ$41)^S$392</f>
        <v>1265.4226600212858</v>
      </c>
      <c r="T504" s="106">
        <f>VLOOKUP($A504,'VKT US'!$B$63:$AA$113,(T$392+1),FALSE)*($BD$69+$BD$75)/(1+$AZ$41)^T$392</f>
        <v>1224.2384222007213</v>
      </c>
      <c r="U504" s="106">
        <f>VLOOKUP($A504,'VKT US'!$B$63:$AA$113,(U$392+1),FALSE)*($BD$69+$BD$75)/(1+$AZ$41)^U$392</f>
        <v>1185.9850046235006</v>
      </c>
      <c r="V504" s="109" cm="1">
        <f t="array" ref="V504">SUMPRODUCT(INDEX(B504:U504,,_xlfn.SEQUENCE($AZ$13)))</f>
        <v>26905.277460433248</v>
      </c>
    </row>
    <row r="505" spans="1:22" x14ac:dyDescent="0.25">
      <c r="A505" s="102" t="s">
        <v>231</v>
      </c>
      <c r="B505" s="106">
        <f>VLOOKUP($A505,'VKT US'!$B$63:$AA$113,(B$392+1),FALSE)*($BB$69+$BB$75)/(1+$AZ$41)^B$392</f>
        <v>1604.5391263161825</v>
      </c>
      <c r="C505" s="106">
        <f>VLOOKUP($A505,'VKT US'!$B$63:$AA$113,(C$392+1),FALSE)*($BD$69+$BD$75)/(1+$AZ$41)^C$392</f>
        <v>1476.6309396240015</v>
      </c>
      <c r="D505" s="106">
        <f>VLOOKUP($A505,'VKT US'!$B$63:$AA$113,(D$392+1),FALSE)*($BD$69+$BD$75)/(1+$AZ$41)^D$392</f>
        <v>1415.8038128497174</v>
      </c>
      <c r="E505" s="106">
        <f>VLOOKUP($A505,'VKT US'!$B$63:$AA$113,(E$392+1),FALSE)*($BD$69+$BD$75)/(1+$AZ$41)^E$392</f>
        <v>1357.7135000669841</v>
      </c>
      <c r="F505" s="106">
        <f>VLOOKUP($A505,'VKT US'!$B$63:$AA$113,(F$392+1),FALSE)*($BD$69+$BD$75)/(1+$AZ$41)^F$392</f>
        <v>1302.1798339976253</v>
      </c>
      <c r="G505" s="106">
        <f>VLOOKUP($A505,'VKT US'!$B$63:$AA$113,(G$392+1),FALSE)*($BD$69+$BD$75)/(1+$AZ$41)^G$392</f>
        <v>1249.3435079992291</v>
      </c>
      <c r="H505" s="106">
        <f>VLOOKUP($A505,'VKT US'!$B$63:$AA$113,(H$392+1),FALSE)*($BD$69+$BD$75)/(1+$AZ$41)^H$392</f>
        <v>1198.8192092845995</v>
      </c>
      <c r="I505" s="106">
        <f>VLOOKUP($A505,'VKT US'!$B$63:$AA$113,(I$392+1),FALSE)*($BD$69+$BD$75)/(1+$AZ$41)^I$392</f>
        <v>1150.7493674303309</v>
      </c>
      <c r="J505" s="106">
        <f>VLOOKUP($A505,'VKT US'!$B$63:$AA$113,(J$392+1),FALSE)*($BD$69+$BD$75)/(1+$AZ$41)^J$392</f>
        <v>1105.0658987082782</v>
      </c>
      <c r="K505" s="106">
        <f>VLOOKUP($A505,'VKT US'!$B$63:$AA$113,(K$392+1),FALSE)*($BD$69+$BD$75)/(1+$AZ$41)^K$392</f>
        <v>1061.7021902496278</v>
      </c>
      <c r="L505" s="106">
        <f>VLOOKUP($A505,'VKT US'!$B$63:$AA$113,(L$392+1),FALSE)*($BD$69+$BD$75)/(1+$AZ$41)^L$392</f>
        <v>1020.49438804438</v>
      </c>
      <c r="M505" s="106">
        <f>VLOOKUP($A505,'VKT US'!$B$63:$AA$113,(M$392+1),FALSE)*($BD$69+$BD$75)/(1+$AZ$41)^M$392</f>
        <v>981.4797629745334</v>
      </c>
      <c r="N505" s="106">
        <f>VLOOKUP($A505,'VKT US'!$B$63:$AA$113,(N$392+1),FALSE)*($BD$69+$BD$75)/(1+$AZ$41)^N$392</f>
        <v>944.49955100899263</v>
      </c>
      <c r="O505" s="106">
        <f>VLOOKUP($A505,'VKT US'!$B$63:$AA$113,(O$392+1),FALSE)*($BD$69+$BD$75)/(1+$AZ$41)^O$392</f>
        <v>909.59135253401826</v>
      </c>
      <c r="P505" s="106">
        <f>VLOOKUP($A505,'VKT US'!$B$63:$AA$113,(P$392+1),FALSE)*($BD$69+$BD$75)/(1+$AZ$41)^P$392</f>
        <v>876.60133579289129</v>
      </c>
      <c r="Q505" s="106">
        <f>VLOOKUP($A505,'VKT US'!$B$63:$AA$113,(Q$392+1),FALSE)*($BD$69+$BD$75)/(1+$AZ$41)^Q$392</f>
        <v>845.66035632643752</v>
      </c>
      <c r="R505" s="106">
        <f>VLOOKUP($A505,'VKT US'!$B$63:$AA$113,(R$392+1),FALSE)*($BD$69+$BD$75)/(1+$AZ$41)^R$392</f>
        <v>816.43231819236109</v>
      </c>
      <c r="S505" s="106">
        <f>VLOOKUP($A505,'VKT US'!$B$63:$AA$113,(S$392+1),FALSE)*($BD$69+$BD$75)/(1+$AZ$41)^S$392</f>
        <v>789.14021302668823</v>
      </c>
      <c r="T505" s="106">
        <f>VLOOKUP($A505,'VKT US'!$B$63:$AA$113,(T$392+1),FALSE)*($BD$69+$BD$75)/(1+$AZ$41)^T$392</f>
        <v>763.45698541124841</v>
      </c>
      <c r="U505" s="106">
        <f>VLOOKUP($A505,'VKT US'!$B$63:$AA$113,(U$392+1),FALSE)*($BD$69+$BD$75)/(1+$AZ$41)^U$392</f>
        <v>739.60146974079328</v>
      </c>
      <c r="V505" s="110" cm="1">
        <f t="array" ref="V505">SUMPRODUCT(INDEX(B505:U505,,_xlfn.SEQUENCE($AZ$13)))</f>
        <v>16778.612441088502</v>
      </c>
    </row>
    <row r="506" spans="1:22" x14ac:dyDescent="0.25">
      <c r="A506" s="102" t="s">
        <v>189</v>
      </c>
      <c r="B506" s="106">
        <f>VLOOKUP($A506,'VKT US'!$B$63:$AA$113,(B$392+1),FALSE)*($BB$69+$BB$75)/(1+$AZ$41)^B$392</f>
        <v>1890.3264479775742</v>
      </c>
      <c r="C506" s="106">
        <f>VLOOKUP($A506,'VKT US'!$B$63:$AA$113,(C$392+1),FALSE)*($BD$69+$BD$75)/(1+$AZ$41)^C$392</f>
        <v>1739.6363063340996</v>
      </c>
      <c r="D506" s="106">
        <f>VLOOKUP($A506,'VKT US'!$B$63:$AA$113,(D$392+1),FALSE)*($BD$69+$BD$75)/(1+$AZ$41)^D$392</f>
        <v>1667.9751516697688</v>
      </c>
      <c r="E506" s="106">
        <f>VLOOKUP($A506,'VKT US'!$B$63:$AA$113,(E$392+1),FALSE)*($BD$69+$BD$75)/(1+$AZ$41)^E$392</f>
        <v>1599.5382698116121</v>
      </c>
      <c r="F506" s="106">
        <f>VLOOKUP($A506,'VKT US'!$B$63:$AA$113,(F$392+1),FALSE)*($BD$69+$BD$75)/(1+$AZ$41)^F$392</f>
        <v>1534.113403566638</v>
      </c>
      <c r="G506" s="106">
        <f>VLOOKUP($A506,'VKT US'!$B$63:$AA$113,(G$392+1),FALSE)*($BD$69+$BD$75)/(1+$AZ$41)^G$392</f>
        <v>1471.8663054369458</v>
      </c>
      <c r="H506" s="106">
        <f>VLOOKUP($A506,'VKT US'!$B$63:$AA$113,(H$392+1),FALSE)*($BD$69+$BD$75)/(1+$AZ$41)^H$392</f>
        <v>1412.3430338885255</v>
      </c>
      <c r="I506" s="106">
        <f>VLOOKUP($A506,'VKT US'!$B$63:$AA$113,(I$392+1),FALSE)*($BD$69+$BD$75)/(1+$AZ$41)^I$392</f>
        <v>1355.7113868835418</v>
      </c>
      <c r="J506" s="106">
        <f>VLOOKUP($A506,'VKT US'!$B$63:$AA$113,(J$392+1),FALSE)*($BD$69+$BD$75)/(1+$AZ$41)^J$392</f>
        <v>1301.8911541797645</v>
      </c>
      <c r="K506" s="106">
        <f>VLOOKUP($A506,'VKT US'!$B$63:$AA$113,(K$392+1),FALSE)*($BD$69+$BD$75)/(1+$AZ$41)^K$392</f>
        <v>1250.8038583716705</v>
      </c>
      <c r="L506" s="106">
        <f>VLOOKUP($A506,'VKT US'!$B$63:$AA$113,(L$392+1),FALSE)*($BD$69+$BD$75)/(1+$AZ$41)^L$392</f>
        <v>1202.2564611196954</v>
      </c>
      <c r="M506" s="106">
        <f>VLOOKUP($A506,'VKT US'!$B$63:$AA$113,(M$392+1),FALSE)*($BD$69+$BD$75)/(1+$AZ$41)^M$392</f>
        <v>1156.2928716890146</v>
      </c>
      <c r="N506" s="106">
        <f>VLOOKUP($A506,'VKT US'!$B$63:$AA$113,(N$392+1),FALSE)*($BD$69+$BD$75)/(1+$AZ$41)^N$392</f>
        <v>1112.7260483041773</v>
      </c>
      <c r="O506" s="106">
        <f>VLOOKUP($A506,'VKT US'!$B$63:$AA$113,(O$392+1),FALSE)*($BD$69+$BD$75)/(1+$AZ$41)^O$392</f>
        <v>1071.6002884232109</v>
      </c>
      <c r="P506" s="106">
        <f>VLOOKUP($A506,'VKT US'!$B$63:$AA$113,(P$392+1),FALSE)*($BD$69+$BD$75)/(1+$AZ$41)^P$392</f>
        <v>1032.7343610412156</v>
      </c>
      <c r="Q506" s="106">
        <f>VLOOKUP($A506,'VKT US'!$B$63:$AA$113,(Q$392+1),FALSE)*($BD$69+$BD$75)/(1+$AZ$41)^Q$392</f>
        <v>996.28242861246213</v>
      </c>
      <c r="R506" s="106">
        <f>VLOOKUP($A506,'VKT US'!$B$63:$AA$113,(R$392+1),FALSE)*($BD$69+$BD$75)/(1+$AZ$41)^R$392</f>
        <v>961.84853254774612</v>
      </c>
      <c r="S506" s="106">
        <f>VLOOKUP($A506,'VKT US'!$B$63:$AA$113,(S$392+1),FALSE)*($BD$69+$BD$75)/(1+$AZ$41)^S$392</f>
        <v>929.69538192056064</v>
      </c>
      <c r="T506" s="106">
        <f>VLOOKUP($A506,'VKT US'!$B$63:$AA$113,(T$392+1),FALSE)*($BD$69+$BD$75)/(1+$AZ$41)^T$392</f>
        <v>899.43766888968082</v>
      </c>
      <c r="U506" s="106">
        <f>VLOOKUP($A506,'VKT US'!$B$63:$AA$113,(U$392+1),FALSE)*($BD$69+$BD$75)/(1+$AZ$41)^U$392</f>
        <v>871.33320483367686</v>
      </c>
      <c r="V506" s="110" cm="1">
        <f t="array" ref="V506">SUMPRODUCT(INDEX(B506:U506,,_xlfn.SEQUENCE($AZ$13)))</f>
        <v>19767.080987656238</v>
      </c>
    </row>
    <row r="507" spans="1:22" x14ac:dyDescent="0.25">
      <c r="A507" s="102" t="s">
        <v>188</v>
      </c>
      <c r="B507" s="106">
        <f>VLOOKUP($A507,'VKT US'!$B$63:$AA$113,(B$392+1),FALSE)*($BB$69+$BB$75)/(1+$AZ$41)^B$392</f>
        <v>2487.3172452227459</v>
      </c>
      <c r="C507" s="106">
        <f>VLOOKUP($A507,'VKT US'!$B$63:$AA$113,(C$392+1),FALSE)*($BD$69+$BD$75)/(1+$AZ$41)^C$392</f>
        <v>2289.0371077386194</v>
      </c>
      <c r="D507" s="106">
        <f>VLOOKUP($A507,'VKT US'!$B$63:$AA$113,(D$392+1),FALSE)*($BD$69+$BD$75)/(1+$AZ$41)^D$392</f>
        <v>2194.7443859709774</v>
      </c>
      <c r="E507" s="106">
        <f>VLOOKUP($A507,'VKT US'!$B$63:$AA$113,(E$392+1),FALSE)*($BD$69+$BD$75)/(1+$AZ$41)^E$392</f>
        <v>2104.6942062058984</v>
      </c>
      <c r="F507" s="106">
        <f>VLOOKUP($A507,'VKT US'!$B$63:$AA$113,(F$392+1),FALSE)*($BD$69+$BD$75)/(1+$AZ$41)^F$392</f>
        <v>2018.6072775425341</v>
      </c>
      <c r="G507" s="106">
        <f>VLOOKUP($A507,'VKT US'!$B$63:$AA$113,(G$392+1),FALSE)*($BD$69+$BD$75)/(1+$AZ$41)^G$392</f>
        <v>1936.7016993770785</v>
      </c>
      <c r="H507" s="106">
        <f>VLOOKUP($A507,'VKT US'!$B$63:$AA$113,(H$392+1),FALSE)*($BD$69+$BD$75)/(1+$AZ$41)^H$392</f>
        <v>1858.3801692663076</v>
      </c>
      <c r="I507" s="106">
        <f>VLOOKUP($A507,'VKT US'!$B$63:$AA$113,(I$392+1),FALSE)*($BD$69+$BD$75)/(1+$AZ$41)^I$392</f>
        <v>1783.8634780505824</v>
      </c>
      <c r="J507" s="106">
        <f>VLOOKUP($A507,'VKT US'!$B$63:$AA$113,(J$392+1),FALSE)*($BD$69+$BD$75)/(1+$AZ$41)^J$392</f>
        <v>1713.0460840024643</v>
      </c>
      <c r="K507" s="106">
        <f>VLOOKUP($A507,'VKT US'!$B$63:$AA$113,(K$392+1),FALSE)*($BD$69+$BD$75)/(1+$AZ$41)^K$392</f>
        <v>1645.8247254846181</v>
      </c>
      <c r="L507" s="106">
        <f>VLOOKUP($A507,'VKT US'!$B$63:$AA$113,(L$392+1),FALSE)*($BD$69+$BD$75)/(1+$AZ$41)^L$392</f>
        <v>1581.9454000248763</v>
      </c>
      <c r="M507" s="106">
        <f>VLOOKUP($A507,'VKT US'!$B$63:$AA$113,(M$392+1),FALSE)*($BD$69+$BD$75)/(1+$AZ$41)^M$392</f>
        <v>1521.465884031443</v>
      </c>
      <c r="N507" s="106">
        <f>VLOOKUP($A507,'VKT US'!$B$63:$AA$113,(N$392+1),FALSE)*($BD$69+$BD$75)/(1+$AZ$41)^N$392</f>
        <v>1464.140065392754</v>
      </c>
      <c r="O507" s="106">
        <f>VLOOKUP($A507,'VKT US'!$B$63:$AA$113,(O$392+1),FALSE)*($BD$69+$BD$75)/(1+$AZ$41)^O$392</f>
        <v>1410.0262313064466</v>
      </c>
      <c r="P507" s="106">
        <f>VLOOKUP($A507,'VKT US'!$B$63:$AA$113,(P$392+1),FALSE)*($BD$69+$BD$75)/(1+$AZ$41)^P$392</f>
        <v>1358.8859155518639</v>
      </c>
      <c r="Q507" s="106">
        <f>VLOOKUP($A507,'VKT US'!$B$63:$AA$113,(Q$392+1),FALSE)*($BD$69+$BD$75)/(1+$AZ$41)^Q$392</f>
        <v>1310.9219671826622</v>
      </c>
      <c r="R507" s="106">
        <f>VLOOKUP($A507,'VKT US'!$B$63:$AA$113,(R$392+1),FALSE)*($BD$69+$BD$75)/(1+$AZ$41)^R$392</f>
        <v>1265.6133785028553</v>
      </c>
      <c r="S507" s="106">
        <f>VLOOKUP($A507,'VKT US'!$B$63:$AA$113,(S$392+1),FALSE)*($BD$69+$BD$75)/(1+$AZ$41)^S$392</f>
        <v>1223.3058256837078</v>
      </c>
      <c r="T507" s="106">
        <f>VLOOKUP($A507,'VKT US'!$B$63:$AA$113,(T$392+1),FALSE)*($BD$69+$BD$75)/(1+$AZ$41)^T$392</f>
        <v>1183.4923154282553</v>
      </c>
      <c r="U507" s="106">
        <f>VLOOKUP($A507,'VKT US'!$B$63:$AA$113,(U$392+1),FALSE)*($BD$69+$BD$75)/(1+$AZ$41)^U$392</f>
        <v>1146.5120794541826</v>
      </c>
      <c r="V507" s="110" cm="1">
        <f t="array" ref="V507">SUMPRODUCT(INDEX(B507:U507,,_xlfn.SEQUENCE($AZ$13)))</f>
        <v>26009.793959617346</v>
      </c>
    </row>
    <row r="508" spans="1:22" x14ac:dyDescent="0.25">
      <c r="A508" s="102" t="s">
        <v>149</v>
      </c>
      <c r="B508" s="106">
        <f>VLOOKUP($A508,'VKT US'!$B$63:$AA$113,(B$392+1),FALSE)*($BB$69+$BB$75)/(1+$AZ$41)^B$392</f>
        <v>1808.5904075226233</v>
      </c>
      <c r="C508" s="106">
        <f>VLOOKUP($A508,'VKT US'!$B$63:$AA$113,(C$392+1),FALSE)*($BD$69+$BD$75)/(1+$AZ$41)^C$392</f>
        <v>1664.4159740663301</v>
      </c>
      <c r="D508" s="106">
        <f>VLOOKUP($A508,'VKT US'!$B$63:$AA$113,(D$392+1),FALSE)*($BD$69+$BD$75)/(1+$AZ$41)^D$392</f>
        <v>1595.8533842255297</v>
      </c>
      <c r="E508" s="106">
        <f>VLOOKUP($A508,'VKT US'!$B$63:$AA$113,(E$392+1),FALSE)*($BD$69+$BD$75)/(1+$AZ$41)^E$392</f>
        <v>1530.3756524920268</v>
      </c>
      <c r="F508" s="106">
        <f>VLOOKUP($A508,'VKT US'!$B$63:$AA$113,(F$392+1),FALSE)*($BD$69+$BD$75)/(1+$AZ$41)^F$392</f>
        <v>1467.7796994857581</v>
      </c>
      <c r="G508" s="106">
        <f>VLOOKUP($A508,'VKT US'!$B$63:$AA$113,(G$392+1),FALSE)*($BD$69+$BD$75)/(1+$AZ$41)^G$392</f>
        <v>1408.224110717518</v>
      </c>
      <c r="H508" s="106">
        <f>VLOOKUP($A508,'VKT US'!$B$63:$AA$113,(H$392+1),FALSE)*($BD$69+$BD$75)/(1+$AZ$41)^H$392</f>
        <v>1351.2745726829562</v>
      </c>
      <c r="I508" s="106">
        <f>VLOOKUP($A508,'VKT US'!$B$63:$AA$113,(I$392+1),FALSE)*($BD$69+$BD$75)/(1+$AZ$41)^I$392</f>
        <v>1297.0916279090509</v>
      </c>
      <c r="J508" s="106">
        <f>VLOOKUP($A508,'VKT US'!$B$63:$AA$113,(J$392+1),FALSE)*($BD$69+$BD$75)/(1+$AZ$41)^J$392</f>
        <v>1245.5985343733664</v>
      </c>
      <c r="K508" s="106">
        <f>VLOOKUP($A508,'VKT US'!$B$63:$AA$113,(K$392+1),FALSE)*($BD$69+$BD$75)/(1+$AZ$41)^K$392</f>
        <v>1196.7202079638503</v>
      </c>
      <c r="L508" s="106">
        <f>VLOOKUP($A508,'VKT US'!$B$63:$AA$113,(L$392+1),FALSE)*($BD$69+$BD$75)/(1+$AZ$41)^L$392</f>
        <v>1150.271957147675</v>
      </c>
      <c r="M508" s="106">
        <f>VLOOKUP($A508,'VKT US'!$B$63:$AA$113,(M$392+1),FALSE)*($BD$69+$BD$75)/(1+$AZ$41)^M$392</f>
        <v>1106.295792592301</v>
      </c>
      <c r="N508" s="106">
        <f>VLOOKUP($A508,'VKT US'!$B$63:$AA$113,(N$392+1),FALSE)*($BD$69+$BD$75)/(1+$AZ$41)^N$392</f>
        <v>1064.6127600428965</v>
      </c>
      <c r="O508" s="106">
        <f>VLOOKUP($A508,'VKT US'!$B$63:$AA$113,(O$392+1),FALSE)*($BD$69+$BD$75)/(1+$AZ$41)^O$392</f>
        <v>1025.2652415746595</v>
      </c>
      <c r="P508" s="106">
        <f>VLOOKUP($A508,'VKT US'!$B$63:$AA$113,(P$392+1),FALSE)*($BD$69+$BD$75)/(1+$AZ$41)^P$392</f>
        <v>988.07984245073976</v>
      </c>
      <c r="Q508" s="106">
        <f>VLOOKUP($A508,'VKT US'!$B$63:$AA$113,(Q$392+1),FALSE)*($BD$69+$BD$75)/(1+$AZ$41)^Q$392</f>
        <v>953.20405927750005</v>
      </c>
      <c r="R508" s="106">
        <f>VLOOKUP($A508,'VKT US'!$B$63:$AA$113,(R$392+1),FALSE)*($BD$69+$BD$75)/(1+$AZ$41)^R$392</f>
        <v>920.25905436424534</v>
      </c>
      <c r="S508" s="106">
        <f>VLOOKUP($A508,'VKT US'!$B$63:$AA$113,(S$392+1),FALSE)*($BD$69+$BD$75)/(1+$AZ$41)^S$392</f>
        <v>889.49617747693685</v>
      </c>
      <c r="T508" s="106">
        <f>VLOOKUP($A508,'VKT US'!$B$63:$AA$113,(T$392+1),FALSE)*($BD$69+$BD$75)/(1+$AZ$41)^T$392</f>
        <v>860.54678114395426</v>
      </c>
      <c r="U508" s="106">
        <f>VLOOKUP($A508,'VKT US'!$B$63:$AA$113,(U$392+1),FALSE)*($BD$69+$BD$75)/(1+$AZ$41)^U$392</f>
        <v>833.65752920832449</v>
      </c>
      <c r="V508" s="110" cm="1">
        <f t="array" ref="V508">SUMPRODUCT(INDEX(B508:U508,,_xlfn.SEQUENCE($AZ$13)))</f>
        <v>18912.369922796541</v>
      </c>
    </row>
    <row r="509" spans="1:22" x14ac:dyDescent="0.25">
      <c r="A509" s="102" t="s">
        <v>190</v>
      </c>
      <c r="B509" s="106">
        <f>VLOOKUP($A509,'VKT US'!$B$63:$AA$113,(B$392+1),FALSE)*($BB$69+$BB$75)/(1+$AZ$41)^B$392</f>
        <v>1862.7441445731652</v>
      </c>
      <c r="C509" s="106">
        <f>VLOOKUP($A509,'VKT US'!$B$63:$AA$113,(C$392+1),FALSE)*($BD$69+$BD$75)/(1+$AZ$41)^C$392</f>
        <v>1714.2527666465662</v>
      </c>
      <c r="D509" s="106">
        <f>VLOOKUP($A509,'VKT US'!$B$63:$AA$113,(D$392+1),FALSE)*($BD$69+$BD$75)/(1+$AZ$41)^D$392</f>
        <v>1643.6372407477727</v>
      </c>
      <c r="E509" s="106">
        <f>VLOOKUP($A509,'VKT US'!$B$63:$AA$113,(E$392+1),FALSE)*($BD$69+$BD$75)/(1+$AZ$41)^E$392</f>
        <v>1576.198941352176</v>
      </c>
      <c r="F509" s="106">
        <f>VLOOKUP($A509,'VKT US'!$B$63:$AA$113,(F$392+1),FALSE)*($BD$69+$BD$75)/(1+$AZ$41)^F$392</f>
        <v>1511.728708373267</v>
      </c>
      <c r="G509" s="106">
        <f>VLOOKUP($A509,'VKT US'!$B$63:$AA$113,(G$392+1),FALSE)*($BD$69+$BD$75)/(1+$AZ$41)^G$392</f>
        <v>1450.3898757701425</v>
      </c>
      <c r="H509" s="106">
        <f>VLOOKUP($A509,'VKT US'!$B$63:$AA$113,(H$392+1),FALSE)*($BD$69+$BD$75)/(1+$AZ$41)^H$392</f>
        <v>1391.7351256018405</v>
      </c>
      <c r="I509" s="106">
        <f>VLOOKUP($A509,'VKT US'!$B$63:$AA$113,(I$392+1),FALSE)*($BD$69+$BD$75)/(1+$AZ$41)^I$392</f>
        <v>1335.9298074416201</v>
      </c>
      <c r="J509" s="106">
        <f>VLOOKUP($A509,'VKT US'!$B$63:$AA$113,(J$392+1),FALSE)*($BD$69+$BD$75)/(1+$AZ$41)^J$392</f>
        <v>1282.8948814182415</v>
      </c>
      <c r="K509" s="106">
        <f>VLOOKUP($A509,'VKT US'!$B$63:$AA$113,(K$392+1),FALSE)*($BD$69+$BD$75)/(1+$AZ$41)^K$392</f>
        <v>1232.5530152128476</v>
      </c>
      <c r="L509" s="106">
        <f>VLOOKUP($A509,'VKT US'!$B$63:$AA$113,(L$392+1),FALSE)*($BD$69+$BD$75)/(1+$AZ$41)^L$392</f>
        <v>1184.7139871644729</v>
      </c>
      <c r="M509" s="106">
        <f>VLOOKUP($A509,'VKT US'!$B$63:$AA$113,(M$392+1),FALSE)*($BD$69+$BD$75)/(1+$AZ$41)^M$392</f>
        <v>1139.421065845424</v>
      </c>
      <c r="N509" s="106">
        <f>VLOOKUP($A509,'VKT US'!$B$63:$AA$113,(N$392+1),FALSE)*($BD$69+$BD$75)/(1+$AZ$41)^N$392</f>
        <v>1096.4899386612362</v>
      </c>
      <c r="O509" s="106">
        <f>VLOOKUP($A509,'VKT US'!$B$63:$AA$113,(O$392+1),FALSE)*($BD$69+$BD$75)/(1+$AZ$41)^O$392</f>
        <v>1055.9642567128342</v>
      </c>
      <c r="P509" s="106">
        <f>VLOOKUP($A509,'VKT US'!$B$63:$AA$113,(P$392+1),FALSE)*($BD$69+$BD$75)/(1+$AZ$41)^P$392</f>
        <v>1017.6654333896594</v>
      </c>
      <c r="Q509" s="106">
        <f>VLOOKUP($A509,'VKT US'!$B$63:$AA$113,(Q$392+1),FALSE)*($BD$69+$BD$75)/(1+$AZ$41)^Q$392</f>
        <v>981.7453817167418</v>
      </c>
      <c r="R509" s="106">
        <f>VLOOKUP($A509,'VKT US'!$B$63:$AA$113,(R$392+1),FALSE)*($BD$69+$BD$75)/(1+$AZ$41)^R$392</f>
        <v>947.81392065190039</v>
      </c>
      <c r="S509" s="106">
        <f>VLOOKUP($A509,'VKT US'!$B$63:$AA$113,(S$392+1),FALSE)*($BD$69+$BD$75)/(1+$AZ$41)^S$392</f>
        <v>916.12992600407279</v>
      </c>
      <c r="T509" s="106">
        <f>VLOOKUP($A509,'VKT US'!$B$63:$AA$113,(T$392+1),FALSE)*($BD$69+$BD$75)/(1+$AZ$41)^T$392</f>
        <v>886.31371207089319</v>
      </c>
      <c r="U509" s="106">
        <f>VLOOKUP($A509,'VKT US'!$B$63:$AA$113,(U$392+1),FALSE)*($BD$69+$BD$75)/(1+$AZ$41)^U$392</f>
        <v>858.61932843006855</v>
      </c>
      <c r="V509" s="110" cm="1">
        <f t="array" ref="V509">SUMPRODUCT(INDEX(B509:U509,,_xlfn.SEQUENCE($AZ$13)))</f>
        <v>19478.653755521613</v>
      </c>
    </row>
    <row r="510" spans="1:22" x14ac:dyDescent="0.25">
      <c r="A510" s="102" t="s">
        <v>191</v>
      </c>
      <c r="B510" s="106">
        <f>VLOOKUP($A510,'VKT US'!$B$63:$AA$113,(B$392+1),FALSE)*($BB$69+$BB$75)/(1+$AZ$41)^B$392</f>
        <v>1749.8155515771023</v>
      </c>
      <c r="C510" s="106">
        <f>VLOOKUP($A510,'VKT US'!$B$63:$AA$113,(C$392+1),FALSE)*($BD$69+$BD$75)/(1+$AZ$41)^C$392</f>
        <v>1610.326441852581</v>
      </c>
      <c r="D510" s="106">
        <f>VLOOKUP($A510,'VKT US'!$B$63:$AA$113,(D$392+1),FALSE)*($BD$69+$BD$75)/(1+$AZ$41)^D$392</f>
        <v>1543.9919719467216</v>
      </c>
      <c r="E510" s="106">
        <f>VLOOKUP($A510,'VKT US'!$B$63:$AA$113,(E$392+1),FALSE)*($BD$69+$BD$75)/(1+$AZ$41)^E$392</f>
        <v>1480.6421096491445</v>
      </c>
      <c r="F510" s="106">
        <f>VLOOKUP($A510,'VKT US'!$B$63:$AA$113,(F$392+1),FALSE)*($BD$69+$BD$75)/(1+$AZ$41)^F$392</f>
        <v>1420.0803751731821</v>
      </c>
      <c r="G510" s="106">
        <f>VLOOKUP($A510,'VKT US'!$B$63:$AA$113,(G$392+1),FALSE)*($BD$69+$BD$75)/(1+$AZ$41)^G$392</f>
        <v>1362.460200380403</v>
      </c>
      <c r="H510" s="106">
        <f>VLOOKUP($A510,'VKT US'!$B$63:$AA$113,(H$392+1),FALSE)*($BD$69+$BD$75)/(1+$AZ$41)^H$392</f>
        <v>1307.3613859149934</v>
      </c>
      <c r="I510" s="106">
        <f>VLOOKUP($A510,'VKT US'!$B$63:$AA$113,(I$392+1),FALSE)*($BD$69+$BD$75)/(1+$AZ$41)^I$392</f>
        <v>1254.9392570563696</v>
      </c>
      <c r="J510" s="106">
        <f>VLOOKUP($A510,'VKT US'!$B$63:$AA$113,(J$392+1),FALSE)*($BD$69+$BD$75)/(1+$AZ$41)^J$392</f>
        <v>1205.1195657139956</v>
      </c>
      <c r="K510" s="106">
        <f>VLOOKUP($A510,'VKT US'!$B$63:$AA$113,(K$392+1),FALSE)*($BD$69+$BD$75)/(1+$AZ$41)^K$392</f>
        <v>1157.8296678296051</v>
      </c>
      <c r="L510" s="106">
        <f>VLOOKUP($A510,'VKT US'!$B$63:$AA$113,(L$392+1),FALSE)*($BD$69+$BD$75)/(1+$AZ$41)^L$392</f>
        <v>1112.8908739027768</v>
      </c>
      <c r="M510" s="106">
        <f>VLOOKUP($A510,'VKT US'!$B$63:$AA$113,(M$392+1),FALSE)*($BD$69+$BD$75)/(1+$AZ$41)^M$392</f>
        <v>1070.3438293549113</v>
      </c>
      <c r="N510" s="106">
        <f>VLOOKUP($A510,'VKT US'!$B$63:$AA$113,(N$392+1),FALSE)*($BD$69+$BD$75)/(1+$AZ$41)^N$392</f>
        <v>1030.0153955157919</v>
      </c>
      <c r="O510" s="106">
        <f>VLOOKUP($A510,'VKT US'!$B$63:$AA$113,(O$392+1),FALSE)*($BD$69+$BD$75)/(1+$AZ$41)^O$392</f>
        <v>991.94657714469429</v>
      </c>
      <c r="P510" s="106">
        <f>VLOOKUP($A510,'VKT US'!$B$63:$AA$113,(P$392+1),FALSE)*($BD$69+$BD$75)/(1+$AZ$41)^P$392</f>
        <v>955.96961441836595</v>
      </c>
      <c r="Q510" s="106">
        <f>VLOOKUP($A510,'VKT US'!$B$63:$AA$113,(Q$392+1),FALSE)*($BD$69+$BD$75)/(1+$AZ$41)^Q$392</f>
        <v>922.22721065677626</v>
      </c>
      <c r="R510" s="106">
        <f>VLOOKUP($A510,'VKT US'!$B$63:$AA$113,(R$392+1),FALSE)*($BD$69+$BD$75)/(1+$AZ$41)^R$392</f>
        <v>890.35283948671031</v>
      </c>
      <c r="S510" s="106">
        <f>VLOOKUP($A510,'VKT US'!$B$63:$AA$113,(S$392+1),FALSE)*($BD$69+$BD$75)/(1+$AZ$41)^S$392</f>
        <v>860.58968240881848</v>
      </c>
      <c r="T510" s="106">
        <f>VLOOKUP($A510,'VKT US'!$B$63:$AA$113,(T$392+1),FALSE)*($BD$69+$BD$75)/(1+$AZ$41)^T$392</f>
        <v>832.58107211125002</v>
      </c>
      <c r="U510" s="106">
        <f>VLOOKUP($A510,'VKT US'!$B$63:$AA$113,(U$392+1),FALSE)*($BD$69+$BD$75)/(1+$AZ$41)^U$392</f>
        <v>806.56565645299179</v>
      </c>
      <c r="V510" s="110" cm="1">
        <f t="array" ref="V510">SUMPRODUCT(INDEX(B510:U510,,_xlfn.SEQUENCE($AZ$13)))</f>
        <v>18297.763203012277</v>
      </c>
    </row>
    <row r="511" spans="1:22" x14ac:dyDescent="0.25">
      <c r="A511" s="102" t="s">
        <v>192</v>
      </c>
      <c r="B511" s="106">
        <f>VLOOKUP($A511,'VKT US'!$B$63:$AA$113,(B$392+1),FALSE)*($BB$69+$BB$75)/(1+$AZ$41)^B$392</f>
        <v>1820.8652545874131</v>
      </c>
      <c r="C511" s="106">
        <f>VLOOKUP($A511,'VKT US'!$B$63:$AA$113,(C$392+1),FALSE)*($BD$69+$BD$75)/(1+$AZ$41)^C$392</f>
        <v>1675.7123137178503</v>
      </c>
      <c r="D511" s="106">
        <f>VLOOKUP($A511,'VKT US'!$B$63:$AA$113,(D$392+1),FALSE)*($BD$69+$BD$75)/(1+$AZ$41)^D$392</f>
        <v>1606.6843917039048</v>
      </c>
      <c r="E511" s="106">
        <f>VLOOKUP($A511,'VKT US'!$B$63:$AA$113,(E$392+1),FALSE)*($BD$69+$BD$75)/(1+$AZ$41)^E$392</f>
        <v>1540.7622646336606</v>
      </c>
      <c r="F511" s="106">
        <f>VLOOKUP($A511,'VKT US'!$B$63:$AA$113,(F$392+1),FALSE)*($BD$69+$BD$75)/(1+$AZ$41)^F$392</f>
        <v>1477.7414748335937</v>
      </c>
      <c r="G511" s="106">
        <f>VLOOKUP($A511,'VKT US'!$B$63:$AA$113,(G$392+1),FALSE)*($BD$69+$BD$75)/(1+$AZ$41)^G$392</f>
        <v>1417.7816841294461</v>
      </c>
      <c r="H511" s="106">
        <f>VLOOKUP($A511,'VKT US'!$B$63:$AA$113,(H$392+1),FALSE)*($BD$69+$BD$75)/(1+$AZ$41)^H$392</f>
        <v>1360.4456313445698</v>
      </c>
      <c r="I511" s="106">
        <f>VLOOKUP($A511,'VKT US'!$B$63:$AA$113,(I$392+1),FALSE)*($BD$69+$BD$75)/(1+$AZ$41)^I$392</f>
        <v>1305.8949486030999</v>
      </c>
      <c r="J511" s="106">
        <f>VLOOKUP($A511,'VKT US'!$B$63:$AA$113,(J$392+1),FALSE)*($BD$69+$BD$75)/(1+$AZ$41)^J$392</f>
        <v>1254.0523730368714</v>
      </c>
      <c r="K511" s="106">
        <f>VLOOKUP($A511,'VKT US'!$B$63:$AA$113,(K$392+1),FALSE)*($BD$69+$BD$75)/(1+$AZ$41)^K$392</f>
        <v>1204.8423109402897</v>
      </c>
      <c r="L511" s="106">
        <f>VLOOKUP($A511,'VKT US'!$B$63:$AA$113,(L$392+1),FALSE)*($BD$69+$BD$75)/(1+$AZ$41)^L$392</f>
        <v>1158.0788172848158</v>
      </c>
      <c r="M511" s="106">
        <f>VLOOKUP($A511,'VKT US'!$B$63:$AA$113,(M$392+1),FALSE)*($BD$69+$BD$75)/(1+$AZ$41)^M$392</f>
        <v>1113.804187863009</v>
      </c>
      <c r="N511" s="106">
        <f>VLOOKUP($A511,'VKT US'!$B$63:$AA$113,(N$392+1),FALSE)*($BD$69+$BD$75)/(1+$AZ$41)^N$392</f>
        <v>1071.8382538630535</v>
      </c>
      <c r="O511" s="106">
        <f>VLOOKUP($A511,'VKT US'!$B$63:$AA$113,(O$392+1),FALSE)*($BD$69+$BD$75)/(1+$AZ$41)^O$392</f>
        <v>1032.2236850059792</v>
      </c>
      <c r="P511" s="106">
        <f>VLOOKUP($A511,'VKT US'!$B$63:$AA$113,(P$392+1),FALSE)*($BD$69+$BD$75)/(1+$AZ$41)^P$392</f>
        <v>994.78590973022824</v>
      </c>
      <c r="Q511" s="106">
        <f>VLOOKUP($A511,'VKT US'!$B$63:$AA$113,(Q$392+1),FALSE)*($BD$69+$BD$75)/(1+$AZ$41)^Q$392</f>
        <v>959.67342569706159</v>
      </c>
      <c r="R511" s="106">
        <f>VLOOKUP($A511,'VKT US'!$B$63:$AA$113,(R$392+1),FALSE)*($BD$69+$BD$75)/(1+$AZ$41)^R$392</f>
        <v>926.50482405611376</v>
      </c>
      <c r="S511" s="106">
        <f>VLOOKUP($A511,'VKT US'!$B$63:$AA$113,(S$392+1),FALSE)*($BD$69+$BD$75)/(1+$AZ$41)^S$392</f>
        <v>895.5331604764209</v>
      </c>
      <c r="T511" s="106">
        <f>VLOOKUP($A511,'VKT US'!$B$63:$AA$113,(T$392+1),FALSE)*($BD$69+$BD$75)/(1+$AZ$41)^T$392</f>
        <v>866.38728548739391</v>
      </c>
      <c r="U511" s="106">
        <f>VLOOKUP($A511,'VKT US'!$B$63:$AA$113,(U$392+1),FALSE)*($BD$69+$BD$75)/(1+$AZ$41)^U$392</f>
        <v>839.31553703191992</v>
      </c>
      <c r="V511" s="110" cm="1">
        <f t="array" ref="V511">SUMPRODUCT(INDEX(B511:U511,,_xlfn.SEQUENCE($AZ$13)))</f>
        <v>19040.727591547555</v>
      </c>
    </row>
    <row r="512" spans="1:22" x14ac:dyDescent="0.25">
      <c r="A512" s="102" t="s">
        <v>193</v>
      </c>
      <c r="B512" s="106">
        <f>VLOOKUP($A512,'VKT US'!$B$63:$AA$113,(B$392+1),FALSE)*($BB$69+$BB$75)/(1+$AZ$41)^B$392</f>
        <v>2102.175867319293</v>
      </c>
      <c r="C512" s="106">
        <f>VLOOKUP($A512,'VKT US'!$B$63:$AA$113,(C$392+1),FALSE)*($BD$69+$BD$75)/(1+$AZ$41)^C$392</f>
        <v>1934.5978389079819</v>
      </c>
      <c r="D512" s="106">
        <f>VLOOKUP($A512,'VKT US'!$B$63:$AA$113,(D$392+1),FALSE)*($BD$69+$BD$75)/(1+$AZ$41)^D$392</f>
        <v>1854.9055983847841</v>
      </c>
      <c r="E512" s="106">
        <f>VLOOKUP($A512,'VKT US'!$B$63:$AA$113,(E$392+1),FALSE)*($BD$69+$BD$75)/(1+$AZ$41)^E$392</f>
        <v>1778.7989758325164</v>
      </c>
      <c r="F512" s="106">
        <f>VLOOKUP($A512,'VKT US'!$B$63:$AA$113,(F$392+1),FALSE)*($BD$69+$BD$75)/(1+$AZ$41)^F$392</f>
        <v>1706.0419263345721</v>
      </c>
      <c r="G512" s="106">
        <f>VLOOKUP($A512,'VKT US'!$B$63:$AA$113,(G$392+1),FALSE)*($BD$69+$BD$75)/(1+$AZ$41)^G$392</f>
        <v>1636.8187783228132</v>
      </c>
      <c r="H512" s="106">
        <f>VLOOKUP($A512,'VKT US'!$B$63:$AA$113,(H$392+1),FALSE)*($BD$69+$BD$75)/(1+$AZ$41)^H$392</f>
        <v>1570.6247169072017</v>
      </c>
      <c r="I512" s="106">
        <f>VLOOKUP($A512,'VKT US'!$B$63:$AA$113,(I$392+1),FALSE)*($BD$69+$BD$75)/(1+$AZ$41)^I$392</f>
        <v>1507.6463452149519</v>
      </c>
      <c r="J512" s="106">
        <f>VLOOKUP($A512,'VKT US'!$B$63:$AA$113,(J$392+1),FALSE)*($BD$69+$BD$75)/(1+$AZ$41)^J$392</f>
        <v>1447.7944638193144</v>
      </c>
      <c r="K512" s="106">
        <f>VLOOKUP($A512,'VKT US'!$B$63:$AA$113,(K$392+1),FALSE)*($BD$69+$BD$75)/(1+$AZ$41)^K$392</f>
        <v>1390.9818003297482</v>
      </c>
      <c r="L512" s="106">
        <f>VLOOKUP($A512,'VKT US'!$B$63:$AA$113,(L$392+1),FALSE)*($BD$69+$BD$75)/(1+$AZ$41)^L$392</f>
        <v>1336.9936825454092</v>
      </c>
      <c r="M512" s="106">
        <f>VLOOKUP($A512,'VKT US'!$B$63:$AA$113,(M$392+1),FALSE)*($BD$69+$BD$75)/(1+$AZ$41)^M$392</f>
        <v>1285.8789406552321</v>
      </c>
      <c r="N512" s="106">
        <f>VLOOKUP($A512,'VKT US'!$B$63:$AA$113,(N$392+1),FALSE)*($BD$69+$BD$75)/(1+$AZ$41)^N$392</f>
        <v>1237.4295710591221</v>
      </c>
      <c r="O512" s="106">
        <f>VLOOKUP($A512,'VKT US'!$B$63:$AA$113,(O$392+1),FALSE)*($BD$69+$BD$75)/(1+$AZ$41)^O$392</f>
        <v>1191.6948356437497</v>
      </c>
      <c r="P512" s="106">
        <f>VLOOKUP($A512,'VKT US'!$B$63:$AA$113,(P$392+1),FALSE)*($BD$69+$BD$75)/(1+$AZ$41)^P$392</f>
        <v>1148.4731927942685</v>
      </c>
      <c r="Q512" s="106">
        <f>VLOOKUP($A512,'VKT US'!$B$63:$AA$113,(Q$392+1),FALSE)*($BD$69+$BD$75)/(1+$AZ$41)^Q$392</f>
        <v>1107.9360819947756</v>
      </c>
      <c r="R512" s="106">
        <f>VLOOKUP($A512,'VKT US'!$B$63:$AA$113,(R$392+1),FALSE)*($BD$69+$BD$75)/(1+$AZ$41)^R$392</f>
        <v>1069.6431694650526</v>
      </c>
      <c r="S512" s="106">
        <f>VLOOKUP($A512,'VKT US'!$B$63:$AA$113,(S$392+1),FALSE)*($BD$69+$BD$75)/(1+$AZ$41)^S$392</f>
        <v>1033.8866061587166</v>
      </c>
      <c r="T512" s="106">
        <f>VLOOKUP($A512,'VKT US'!$B$63:$AA$113,(T$392+1),FALSE)*($BD$69+$BD$75)/(1+$AZ$41)^T$392</f>
        <v>1000.2379026758658</v>
      </c>
      <c r="U512" s="106">
        <f>VLOOKUP($A512,'VKT US'!$B$63:$AA$113,(U$392+1),FALSE)*($BD$69+$BD$75)/(1+$AZ$41)^U$392</f>
        <v>968.98376338913943</v>
      </c>
      <c r="V512" s="110" cm="1">
        <f t="array" ref="V512">SUMPRODUCT(INDEX(B512:U512,,_xlfn.SEQUENCE($AZ$13)))</f>
        <v>21982.383341276687</v>
      </c>
    </row>
    <row r="513" spans="1:22" x14ac:dyDescent="0.25">
      <c r="A513" s="102" t="s">
        <v>194</v>
      </c>
      <c r="B513" s="106">
        <f>VLOOKUP($A513,'VKT US'!$B$63:$AA$113,(B$392+1),FALSE)*($BB$69+$BB$75)/(1+$AZ$41)^B$392</f>
        <v>2647.6123068923489</v>
      </c>
      <c r="C513" s="106">
        <f>VLOOKUP($A513,'VKT US'!$B$63:$AA$113,(C$392+1),FALSE)*($BD$69+$BD$75)/(1+$AZ$41)^C$392</f>
        <v>2436.5540137761172</v>
      </c>
      <c r="D513" s="106">
        <f>VLOOKUP($A513,'VKT US'!$B$63:$AA$113,(D$392+1),FALSE)*($BD$69+$BD$75)/(1+$AZ$41)^D$392</f>
        <v>2336.1846012768174</v>
      </c>
      <c r="E513" s="106">
        <f>VLOOKUP($A513,'VKT US'!$B$63:$AA$113,(E$392+1),FALSE)*($BD$69+$BD$75)/(1+$AZ$41)^E$392</f>
        <v>2240.3311412319404</v>
      </c>
      <c r="F513" s="106">
        <f>VLOOKUP($A513,'VKT US'!$B$63:$AA$113,(F$392+1),FALSE)*($BD$69+$BD$75)/(1+$AZ$41)^F$392</f>
        <v>2148.69634384956</v>
      </c>
      <c r="G513" s="106">
        <f>VLOOKUP($A513,'VKT US'!$B$63:$AA$113,(G$392+1),FALSE)*($BD$69+$BD$75)/(1+$AZ$41)^G$392</f>
        <v>2061.5123639328472</v>
      </c>
      <c r="H513" s="106">
        <f>VLOOKUP($A513,'VKT US'!$B$63:$AA$113,(H$392+1),FALSE)*($BD$69+$BD$75)/(1+$AZ$41)^H$392</f>
        <v>1978.1434059062053</v>
      </c>
      <c r="I513" s="106">
        <f>VLOOKUP($A513,'VKT US'!$B$63:$AA$113,(I$392+1),FALSE)*($BD$69+$BD$75)/(1+$AZ$41)^I$392</f>
        <v>1898.8244894669865</v>
      </c>
      <c r="J513" s="106">
        <f>VLOOKUP($A513,'VKT US'!$B$63:$AA$113,(J$392+1),FALSE)*($BD$69+$BD$75)/(1+$AZ$41)^J$392</f>
        <v>1823.4432712552939</v>
      </c>
      <c r="K513" s="106">
        <f>VLOOKUP($A513,'VKT US'!$B$63:$AA$113,(K$392+1),FALSE)*($BD$69+$BD$75)/(1+$AZ$41)^K$392</f>
        <v>1751.8898349416506</v>
      </c>
      <c r="L513" s="106">
        <f>VLOOKUP($A513,'VKT US'!$B$63:$AA$113,(L$392+1),FALSE)*($BD$69+$BD$75)/(1+$AZ$41)^L$392</f>
        <v>1683.8938088745986</v>
      </c>
      <c r="M513" s="106">
        <f>VLOOKUP($A513,'VKT US'!$B$63:$AA$113,(M$392+1),FALSE)*($BD$69+$BD$75)/(1+$AZ$41)^M$392</f>
        <v>1619.516692860687</v>
      </c>
      <c r="N513" s="106">
        <f>VLOOKUP($A513,'VKT US'!$B$63:$AA$113,(N$392+1),FALSE)*($BD$69+$BD$75)/(1+$AZ$41)^N$392</f>
        <v>1558.4965141030393</v>
      </c>
      <c r="O513" s="106">
        <f>VLOOKUP($A513,'VKT US'!$B$63:$AA$113,(O$392+1),FALSE)*($BD$69+$BD$75)/(1+$AZ$41)^O$392</f>
        <v>1500.8953161154432</v>
      </c>
      <c r="P513" s="106">
        <f>VLOOKUP($A513,'VKT US'!$B$63:$AA$113,(P$392+1),FALSE)*($BD$69+$BD$75)/(1+$AZ$41)^P$392</f>
        <v>1446.4592647310656</v>
      </c>
      <c r="Q513" s="106">
        <f>VLOOKUP($A513,'VKT US'!$B$63:$AA$113,(Q$392+1),FALSE)*($BD$69+$BD$75)/(1+$AZ$41)^Q$392</f>
        <v>1395.4042816028175</v>
      </c>
      <c r="R513" s="106">
        <f>VLOOKUP($A513,'VKT US'!$B$63:$AA$113,(R$392+1),FALSE)*($BD$69+$BD$75)/(1+$AZ$41)^R$392</f>
        <v>1347.1757827143144</v>
      </c>
      <c r="S513" s="106">
        <f>VLOOKUP($A513,'VKT US'!$B$63:$AA$113,(S$392+1),FALSE)*($BD$69+$BD$75)/(1+$AZ$41)^S$392</f>
        <v>1302.1417213240304</v>
      </c>
      <c r="T513" s="106">
        <f>VLOOKUP($A513,'VKT US'!$B$63:$AA$113,(T$392+1),FALSE)*($BD$69+$BD$75)/(1+$AZ$41)^T$392</f>
        <v>1259.7624309719945</v>
      </c>
      <c r="U513" s="106">
        <f>VLOOKUP($A513,'VKT US'!$B$63:$AA$113,(U$392+1),FALSE)*($BD$69+$BD$75)/(1+$AZ$41)^U$392</f>
        <v>1220.3990051505448</v>
      </c>
      <c r="V513" s="110" cm="1">
        <f t="array" ref="V513">SUMPRODUCT(INDEX(B513:U513,,_xlfn.SEQUENCE($AZ$13)))</f>
        <v>27685.994104483543</v>
      </c>
    </row>
    <row r="514" spans="1:22" x14ac:dyDescent="0.25">
      <c r="A514" s="102" t="s">
        <v>233</v>
      </c>
      <c r="B514" s="106">
        <f>VLOOKUP($A514,'VKT US'!$B$63:$AA$113,(B$392+1),FALSE)*($BB$69+$BB$75)/(1+$AZ$41)^B$392</f>
        <v>1687.8636763912828</v>
      </c>
      <c r="C514" s="106">
        <f>VLOOKUP($A514,'VKT US'!$B$63:$AA$113,(C$392+1),FALSE)*($BD$69+$BD$75)/(1+$AZ$41)^C$392</f>
        <v>1553.313151140791</v>
      </c>
      <c r="D514" s="106">
        <f>VLOOKUP($A514,'VKT US'!$B$63:$AA$113,(D$392+1),FALSE)*($BD$69+$BD$75)/(1+$AZ$41)^D$392</f>
        <v>1489.3272400852757</v>
      </c>
      <c r="E514" s="106">
        <f>VLOOKUP($A514,'VKT US'!$B$63:$AA$113,(E$392+1),FALSE)*($BD$69+$BD$75)/(1+$AZ$41)^E$392</f>
        <v>1428.2202671931341</v>
      </c>
      <c r="F514" s="106">
        <f>VLOOKUP($A514,'VKT US'!$B$63:$AA$113,(F$392+1),FALSE)*($BD$69+$BD$75)/(1+$AZ$41)^F$392</f>
        <v>1369.8027090058722</v>
      </c>
      <c r="G514" s="106">
        <f>VLOOKUP($A514,'VKT US'!$B$63:$AA$113,(G$392+1),FALSE)*($BD$69+$BD$75)/(1+$AZ$41)^G$392</f>
        <v>1314.2225651602005</v>
      </c>
      <c r="H514" s="106">
        <f>VLOOKUP($A514,'VKT US'!$B$63:$AA$113,(H$392+1),FALSE)*($BD$69+$BD$75)/(1+$AZ$41)^H$392</f>
        <v>1261.0745133757898</v>
      </c>
      <c r="I514" s="106">
        <f>VLOOKUP($A514,'VKT US'!$B$63:$AA$113,(I$392+1),FALSE)*($BD$69+$BD$75)/(1+$AZ$41)^I$392</f>
        <v>1210.5083796711106</v>
      </c>
      <c r="J514" s="106">
        <f>VLOOKUP($A514,'VKT US'!$B$63:$AA$113,(J$392+1),FALSE)*($BD$69+$BD$75)/(1+$AZ$41)^J$392</f>
        <v>1162.4525446946589</v>
      </c>
      <c r="K514" s="106">
        <f>VLOOKUP($A514,'VKT US'!$B$63:$AA$113,(K$392+1),FALSE)*($BD$69+$BD$75)/(1+$AZ$41)^K$392</f>
        <v>1116.8369363367519</v>
      </c>
      <c r="L514" s="106">
        <f>VLOOKUP($A514,'VKT US'!$B$63:$AA$113,(L$392+1),FALSE)*($BD$69+$BD$75)/(1+$AZ$41)^L$392</f>
        <v>1073.4891915635599</v>
      </c>
      <c r="M514" s="106">
        <f>VLOOKUP($A514,'VKT US'!$B$63:$AA$113,(M$392+1),FALSE)*($BD$69+$BD$75)/(1+$AZ$41)^M$392</f>
        <v>1032.4485167533387</v>
      </c>
      <c r="N514" s="106">
        <f>VLOOKUP($A514,'VKT US'!$B$63:$AA$113,(N$392+1),FALSE)*($BD$69+$BD$75)/(1+$AZ$41)^N$392</f>
        <v>993.5479031764113</v>
      </c>
      <c r="O514" s="106">
        <f>VLOOKUP($A514,'VKT US'!$B$63:$AA$113,(O$392+1),FALSE)*($BD$69+$BD$75)/(1+$AZ$41)^O$392</f>
        <v>956.8269038266227</v>
      </c>
      <c r="P514" s="106">
        <f>VLOOKUP($A514,'VKT US'!$B$63:$AA$113,(P$392+1),FALSE)*($BD$69+$BD$75)/(1+$AZ$41)^P$392</f>
        <v>922.12369838424206</v>
      </c>
      <c r="Q514" s="106">
        <f>VLOOKUP($A514,'VKT US'!$B$63:$AA$113,(Q$392+1),FALSE)*($BD$69+$BD$75)/(1+$AZ$41)^Q$392</f>
        <v>889.57593778628404</v>
      </c>
      <c r="R514" s="106">
        <f>VLOOKUP($A514,'VKT US'!$B$63:$AA$113,(R$392+1),FALSE)*($BD$69+$BD$75)/(1+$AZ$41)^R$392</f>
        <v>858.83007245363308</v>
      </c>
      <c r="S514" s="106">
        <f>VLOOKUP($A514,'VKT US'!$B$63:$AA$113,(S$392+1),FALSE)*($BD$69+$BD$75)/(1+$AZ$41)^S$392</f>
        <v>830.12067409377482</v>
      </c>
      <c r="T514" s="106">
        <f>VLOOKUP($A514,'VKT US'!$B$63:$AA$113,(T$392+1),FALSE)*($BD$69+$BD$75)/(1+$AZ$41)^T$392</f>
        <v>803.10370313083183</v>
      </c>
      <c r="U514" s="106">
        <f>VLOOKUP($A514,'VKT US'!$B$63:$AA$113,(U$392+1),FALSE)*($BD$69+$BD$75)/(1+$AZ$41)^U$392</f>
        <v>778.00935814331672</v>
      </c>
      <c r="V514" s="110" cm="1">
        <f t="array" ref="V514">SUMPRODUCT(INDEX(B514:U514,,_xlfn.SEQUENCE($AZ$13)))</f>
        <v>17649.934498374801</v>
      </c>
    </row>
    <row r="515" spans="1:22" x14ac:dyDescent="0.25">
      <c r="A515" s="102" t="s">
        <v>196</v>
      </c>
      <c r="B515" s="106">
        <f>VLOOKUP($A515,'VKT US'!$B$63:$AA$113,(B$392+1),FALSE)*($BB$69+$BB$75)/(1+$AZ$41)^B$392</f>
        <v>2081.9584721537576</v>
      </c>
      <c r="C515" s="106">
        <f>VLOOKUP($A515,'VKT US'!$B$63:$AA$113,(C$392+1),FALSE)*($BD$69+$BD$75)/(1+$AZ$41)^C$392</f>
        <v>1915.9921030113608</v>
      </c>
      <c r="D515" s="106">
        <f>VLOOKUP($A515,'VKT US'!$B$63:$AA$113,(D$392+1),FALSE)*($BD$69+$BD$75)/(1+$AZ$41)^D$392</f>
        <v>1837.0662919498131</v>
      </c>
      <c r="E515" s="106">
        <f>VLOOKUP($A515,'VKT US'!$B$63:$AA$113,(E$392+1),FALSE)*($BD$69+$BD$75)/(1+$AZ$41)^E$392</f>
        <v>1761.6916146580604</v>
      </c>
      <c r="F515" s="106">
        <f>VLOOKUP($A515,'VKT US'!$B$63:$AA$113,(F$392+1),FALSE)*($BD$69+$BD$75)/(1+$AZ$41)^F$392</f>
        <v>1689.6342963499021</v>
      </c>
      <c r="G515" s="106">
        <f>VLOOKUP($A515,'VKT US'!$B$63:$AA$113,(G$392+1),FALSE)*($BD$69+$BD$75)/(1+$AZ$41)^G$392</f>
        <v>1621.0768927031665</v>
      </c>
      <c r="H515" s="106">
        <f>VLOOKUP($A515,'VKT US'!$B$63:$AA$113,(H$392+1),FALSE)*($BD$69+$BD$75)/(1+$AZ$41)^H$392</f>
        <v>1555.5194438174847</v>
      </c>
      <c r="I515" s="106">
        <f>VLOOKUP($A515,'VKT US'!$B$63:$AA$113,(I$392+1),FALSE)*($BD$69+$BD$75)/(1+$AZ$41)^I$392</f>
        <v>1493.1467581894594</v>
      </c>
      <c r="J515" s="106">
        <f>VLOOKUP($A515,'VKT US'!$B$63:$AA$113,(J$392+1),FALSE)*($BD$69+$BD$75)/(1+$AZ$41)^J$392</f>
        <v>1433.8704942558945</v>
      </c>
      <c r="K515" s="106">
        <f>VLOOKUP($A515,'VKT US'!$B$63:$AA$113,(K$392+1),FALSE)*($BD$69+$BD$75)/(1+$AZ$41)^K$392</f>
        <v>1377.6042189567893</v>
      </c>
      <c r="L515" s="106">
        <f>VLOOKUP($A515,'VKT US'!$B$63:$AA$113,(L$392+1),FALSE)*($BD$69+$BD$75)/(1+$AZ$41)^L$392</f>
        <v>1324.1353246724714</v>
      </c>
      <c r="M515" s="106">
        <f>VLOOKUP($A515,'VKT US'!$B$63:$AA$113,(M$392+1),FALSE)*($BD$69+$BD$75)/(1+$AZ$41)^M$392</f>
        <v>1273.5121719740662</v>
      </c>
      <c r="N515" s="106">
        <f>VLOOKUP($A515,'VKT US'!$B$63:$AA$113,(N$392+1),FALSE)*($BD$69+$BD$75)/(1+$AZ$41)^N$392</f>
        <v>1225.5287577082752</v>
      </c>
      <c r="O515" s="106">
        <f>VLOOKUP($A515,'VKT US'!$B$63:$AA$113,(O$392+1),FALSE)*($BD$69+$BD$75)/(1+$AZ$41)^O$392</f>
        <v>1180.2338699921645</v>
      </c>
      <c r="P515" s="106">
        <f>VLOOKUP($A515,'VKT US'!$B$63:$AA$113,(P$392+1),FALSE)*($BD$69+$BD$75)/(1+$AZ$41)^P$392</f>
        <v>1137.4279055104053</v>
      </c>
      <c r="Q515" s="106">
        <f>VLOOKUP($A515,'VKT US'!$B$63:$AA$113,(Q$392+1),FALSE)*($BD$69+$BD$75)/(1+$AZ$41)^Q$392</f>
        <v>1097.280654950792</v>
      </c>
      <c r="R515" s="106">
        <f>VLOOKUP($A515,'VKT US'!$B$63:$AA$113,(R$392+1),FALSE)*($BD$69+$BD$75)/(1+$AZ$41)^R$392</f>
        <v>1059.356019384328</v>
      </c>
      <c r="S515" s="106">
        <f>VLOOKUP($A515,'VKT US'!$B$63:$AA$113,(S$392+1),FALSE)*($BD$69+$BD$75)/(1+$AZ$41)^S$392</f>
        <v>1023.9433400419193</v>
      </c>
      <c r="T515" s="106">
        <f>VLOOKUP($A515,'VKT US'!$B$63:$AA$113,(T$392+1),FALSE)*($BD$69+$BD$75)/(1+$AZ$41)^T$392</f>
        <v>990.61824846314198</v>
      </c>
      <c r="U515" s="106">
        <f>VLOOKUP($A515,'VKT US'!$B$63:$AA$113,(U$392+1),FALSE)*($BD$69+$BD$75)/(1+$AZ$41)^U$392</f>
        <v>959.66469167968819</v>
      </c>
      <c r="V515" s="110" cm="1">
        <f t="array" ref="V515">SUMPRODUCT(INDEX(B515:U515,,_xlfn.SEQUENCE($AZ$13)))</f>
        <v>21770.970710392667</v>
      </c>
    </row>
    <row r="516" spans="1:22" x14ac:dyDescent="0.25">
      <c r="A516" s="102" t="s">
        <v>197</v>
      </c>
      <c r="B516" s="106">
        <f>VLOOKUP($A516,'VKT US'!$B$63:$AA$113,(B$392+1),FALSE)*($BB$69+$BB$75)/(1+$AZ$41)^B$392</f>
        <v>1816.8217755543058</v>
      </c>
      <c r="C516" s="106">
        <f>VLOOKUP($A516,'VKT US'!$B$63:$AA$113,(C$392+1),FALSE)*($BD$69+$BD$75)/(1+$AZ$41)^C$392</f>
        <v>1671.9911665385259</v>
      </c>
      <c r="D516" s="106">
        <f>VLOOKUP($A516,'VKT US'!$B$63:$AA$113,(D$392+1),FALSE)*($BD$69+$BD$75)/(1+$AZ$41)^D$392</f>
        <v>1603.1165304169106</v>
      </c>
      <c r="E516" s="106">
        <f>VLOOKUP($A516,'VKT US'!$B$63:$AA$113,(E$392+1),FALSE)*($BD$69+$BD$75)/(1+$AZ$41)^E$392</f>
        <v>1537.3407923987695</v>
      </c>
      <c r="F516" s="106">
        <f>VLOOKUP($A516,'VKT US'!$B$63:$AA$113,(F$392+1),FALSE)*($BD$69+$BD$75)/(1+$AZ$41)^F$392</f>
        <v>1474.4599488366594</v>
      </c>
      <c r="G516" s="106">
        <f>VLOOKUP($A516,'VKT US'!$B$63:$AA$113,(G$392+1),FALSE)*($BD$69+$BD$75)/(1+$AZ$41)^G$392</f>
        <v>1414.6333070055171</v>
      </c>
      <c r="H516" s="106">
        <f>VLOOKUP($A516,'VKT US'!$B$63:$AA$113,(H$392+1),FALSE)*($BD$69+$BD$75)/(1+$AZ$41)^H$392</f>
        <v>1357.4245767266266</v>
      </c>
      <c r="I516" s="106">
        <f>VLOOKUP($A516,'VKT US'!$B$63:$AA$113,(I$392+1),FALSE)*($BD$69+$BD$75)/(1+$AZ$41)^I$392</f>
        <v>1302.9950311980012</v>
      </c>
      <c r="J516" s="106">
        <f>VLOOKUP($A516,'VKT US'!$B$63:$AA$113,(J$392+1),FALSE)*($BD$69+$BD$75)/(1+$AZ$41)^J$392</f>
        <v>1251.2675791241873</v>
      </c>
      <c r="K516" s="106">
        <f>VLOOKUP($A516,'VKT US'!$B$63:$AA$113,(K$392+1),FALSE)*($BD$69+$BD$75)/(1+$AZ$41)^K$392</f>
        <v>1202.1667946656978</v>
      </c>
      <c r="L516" s="106">
        <f>VLOOKUP($A516,'VKT US'!$B$63:$AA$113,(L$392+1),FALSE)*($BD$69+$BD$75)/(1+$AZ$41)^L$392</f>
        <v>1155.5071457102283</v>
      </c>
      <c r="M516" s="106">
        <f>VLOOKUP($A516,'VKT US'!$B$63:$AA$113,(M$392+1),FALSE)*($BD$69+$BD$75)/(1+$AZ$41)^M$392</f>
        <v>1111.3308341267757</v>
      </c>
      <c r="N516" s="106">
        <f>VLOOKUP($A516,'VKT US'!$B$63:$AA$113,(N$392+1),FALSE)*($BD$69+$BD$75)/(1+$AZ$41)^N$392</f>
        <v>1069.4580911928842</v>
      </c>
      <c r="O516" s="106">
        <f>VLOOKUP($A516,'VKT US'!$B$63:$AA$113,(O$392+1),FALSE)*($BD$69+$BD$75)/(1+$AZ$41)^O$392</f>
        <v>1029.931491875662</v>
      </c>
      <c r="P516" s="106">
        <f>VLOOKUP($A516,'VKT US'!$B$63:$AA$113,(P$392+1),FALSE)*($BD$69+$BD$75)/(1+$AZ$41)^P$392</f>
        <v>992.57685227345553</v>
      </c>
      <c r="Q516" s="106">
        <f>VLOOKUP($A516,'VKT US'!$B$63:$AA$113,(Q$392+1),FALSE)*($BD$69+$BD$75)/(1+$AZ$41)^Q$392</f>
        <v>957.54234028826465</v>
      </c>
      <c r="R516" s="106">
        <f>VLOOKUP($A516,'VKT US'!$B$63:$AA$113,(R$392+1),FALSE)*($BD$69+$BD$75)/(1+$AZ$41)^R$392</f>
        <v>924.44739403996891</v>
      </c>
      <c r="S516" s="106">
        <f>VLOOKUP($A516,'VKT US'!$B$63:$AA$113,(S$392+1),FALSE)*($BD$69+$BD$75)/(1+$AZ$41)^S$392</f>
        <v>893.5445072530614</v>
      </c>
      <c r="T516" s="106">
        <f>VLOOKUP($A516,'VKT US'!$B$63:$AA$113,(T$392+1),FALSE)*($BD$69+$BD$75)/(1+$AZ$41)^T$392</f>
        <v>864.46335464484901</v>
      </c>
      <c r="U516" s="106">
        <f>VLOOKUP($A516,'VKT US'!$B$63:$AA$113,(U$392+1),FALSE)*($BD$69+$BD$75)/(1+$AZ$41)^U$392</f>
        <v>837.45172269002956</v>
      </c>
      <c r="V516" s="110" cm="1">
        <f t="array" ref="V516">SUMPRODUCT(INDEX(B516:U516,,_xlfn.SEQUENCE($AZ$13)))</f>
        <v>18998.44506537075</v>
      </c>
    </row>
    <row r="517" spans="1:22" x14ac:dyDescent="0.25">
      <c r="A517" s="102" t="s">
        <v>198</v>
      </c>
      <c r="B517" s="106">
        <f>VLOOKUP($A517,'VKT US'!$B$63:$AA$113,(B$392+1),FALSE)*($BB$69+$BB$75)/(1+$AZ$41)^B$392</f>
        <v>2602.8452175972343</v>
      </c>
      <c r="C517" s="106">
        <f>VLOOKUP($A517,'VKT US'!$B$63:$AA$113,(C$392+1),FALSE)*($BD$69+$BD$75)/(1+$AZ$41)^C$392</f>
        <v>2395.3555985764556</v>
      </c>
      <c r="D517" s="106">
        <f>VLOOKUP($A517,'VKT US'!$B$63:$AA$113,(D$392+1),FALSE)*($BD$69+$BD$75)/(1+$AZ$41)^D$392</f>
        <v>2296.683279885096</v>
      </c>
      <c r="E517" s="106">
        <f>VLOOKUP($A517,'VKT US'!$B$63:$AA$113,(E$392+1),FALSE)*($BD$69+$BD$75)/(1+$AZ$41)^E$392</f>
        <v>2202.4505557742168</v>
      </c>
      <c r="F517" s="106">
        <f>VLOOKUP($A517,'VKT US'!$B$63:$AA$113,(F$392+1),FALSE)*($BD$69+$BD$75)/(1+$AZ$41)^F$392</f>
        <v>2112.3651631692192</v>
      </c>
      <c r="G517" s="106">
        <f>VLOOKUP($A517,'VKT US'!$B$63:$AA$113,(G$392+1),FALSE)*($BD$69+$BD$75)/(1+$AZ$41)^G$392</f>
        <v>2026.655331489344</v>
      </c>
      <c r="H517" s="106">
        <f>VLOOKUP($A517,'VKT US'!$B$63:$AA$113,(H$392+1),FALSE)*($BD$69+$BD$75)/(1+$AZ$41)^H$392</f>
        <v>1944.6960154932606</v>
      </c>
      <c r="I517" s="106">
        <f>VLOOKUP($A517,'VKT US'!$B$63:$AA$113,(I$392+1),FALSE)*($BD$69+$BD$75)/(1+$AZ$41)^I$392</f>
        <v>1866.718261053396</v>
      </c>
      <c r="J517" s="106">
        <f>VLOOKUP($A517,'VKT US'!$B$63:$AA$113,(J$392+1),FALSE)*($BD$69+$BD$75)/(1+$AZ$41)^J$392</f>
        <v>1792.6116243648639</v>
      </c>
      <c r="K517" s="106">
        <f>VLOOKUP($A517,'VKT US'!$B$63:$AA$113,(K$392+1),FALSE)*($BD$69+$BD$75)/(1+$AZ$41)^K$392</f>
        <v>1722.2680476158127</v>
      </c>
      <c r="L517" s="106">
        <f>VLOOKUP($A517,'VKT US'!$B$63:$AA$113,(L$392+1),FALSE)*($BD$69+$BD$75)/(1+$AZ$41)^L$392</f>
        <v>1655.4217307273786</v>
      </c>
      <c r="M517" s="106">
        <f>VLOOKUP($A517,'VKT US'!$B$63:$AA$113,(M$392+1),FALSE)*($BD$69+$BD$75)/(1+$AZ$41)^M$392</f>
        <v>1592.1331336381056</v>
      </c>
      <c r="N517" s="106">
        <f>VLOOKUP($A517,'VKT US'!$B$63:$AA$113,(N$392+1),FALSE)*($BD$69+$BD$75)/(1+$AZ$41)^N$392</f>
        <v>1532.1447131118787</v>
      </c>
      <c r="O517" s="106">
        <f>VLOOKUP($A517,'VKT US'!$B$63:$AA$113,(O$392+1),FALSE)*($BD$69+$BD$75)/(1+$AZ$41)^O$392</f>
        <v>1475.5174636012189</v>
      </c>
      <c r="P517" s="106">
        <f>VLOOKUP($A517,'VKT US'!$B$63:$AA$113,(P$392+1),FALSE)*($BD$69+$BD$75)/(1+$AZ$41)^P$392</f>
        <v>1422.0018428882254</v>
      </c>
      <c r="Q517" s="106">
        <f>VLOOKUP($A517,'VKT US'!$B$63:$AA$113,(Q$392+1),FALSE)*($BD$69+$BD$75)/(1+$AZ$41)^Q$392</f>
        <v>1371.8101217197109</v>
      </c>
      <c r="R517" s="106">
        <f>VLOOKUP($A517,'VKT US'!$B$63:$AA$113,(R$392+1),FALSE)*($BD$69+$BD$75)/(1+$AZ$41)^R$392</f>
        <v>1324.397093249853</v>
      </c>
      <c r="S517" s="106">
        <f>VLOOKUP($A517,'VKT US'!$B$63:$AA$113,(S$392+1),FALSE)*($BD$69+$BD$75)/(1+$AZ$41)^S$392</f>
        <v>1280.1244892082648</v>
      </c>
      <c r="T517" s="106">
        <f>VLOOKUP($A517,'VKT US'!$B$63:$AA$113,(T$392+1),FALSE)*($BD$69+$BD$75)/(1+$AZ$41)^T$392</f>
        <v>1238.4617680723916</v>
      </c>
      <c r="U517" s="106">
        <f>VLOOKUP($A517,'VKT US'!$B$63:$AA$113,(U$392+1),FALSE)*($BD$69+$BD$75)/(1+$AZ$41)^U$392</f>
        <v>1199.7639177939031</v>
      </c>
      <c r="V517" s="110" cm="1">
        <f t="array" ref="V517">SUMPRODUCT(INDEX(B517:U517,,_xlfn.SEQUENCE($AZ$13)))</f>
        <v>27217.866136097484</v>
      </c>
    </row>
    <row r="518" spans="1:22" x14ac:dyDescent="0.25">
      <c r="A518" s="102" t="s">
        <v>195</v>
      </c>
      <c r="B518" s="106">
        <f>VLOOKUP($A518,'VKT US'!$B$63:$AA$113,(B$392+1),FALSE)*($BB$69+$BB$75)/(1+$AZ$41)^B$392</f>
        <v>2129.3249408272986</v>
      </c>
      <c r="C518" s="106">
        <f>VLOOKUP($A518,'VKT US'!$B$63:$AA$113,(C$392+1),FALSE)*($BD$69+$BD$75)/(1+$AZ$41)^C$392</f>
        <v>1959.5826842548738</v>
      </c>
      <c r="D518" s="106">
        <f>VLOOKUP($A518,'VKT US'!$B$63:$AA$113,(D$392+1),FALSE)*($BD$69+$BD$75)/(1+$AZ$41)^D$392</f>
        <v>1878.8612384546018</v>
      </c>
      <c r="E518" s="106">
        <f>VLOOKUP($A518,'VKT US'!$B$63:$AA$113,(E$392+1),FALSE)*($BD$69+$BD$75)/(1+$AZ$41)^E$392</f>
        <v>1801.7717179810711</v>
      </c>
      <c r="F518" s="106">
        <f>VLOOKUP($A518,'VKT US'!$B$63:$AA$113,(F$392+1),FALSE)*($BD$69+$BD$75)/(1+$AZ$41)^F$392</f>
        <v>1728.0750294568431</v>
      </c>
      <c r="G518" s="106">
        <f>VLOOKUP($A518,'VKT US'!$B$63:$AA$113,(G$392+1),FALSE)*($BD$69+$BD$75)/(1+$AZ$41)^G$392</f>
        <v>1657.9578818691955</v>
      </c>
      <c r="H518" s="106">
        <f>VLOOKUP($A518,'VKT US'!$B$63:$AA$113,(H$392+1),FALSE)*($BD$69+$BD$75)/(1+$AZ$41)^H$392</f>
        <v>1590.9089407705355</v>
      </c>
      <c r="I518" s="106">
        <f>VLOOKUP($A518,'VKT US'!$B$63:$AA$113,(I$392+1),FALSE)*($BD$69+$BD$75)/(1+$AZ$41)^I$392</f>
        <v>1527.1172192206132</v>
      </c>
      <c r="J518" s="106">
        <f>VLOOKUP($A518,'VKT US'!$B$63:$AA$113,(J$392+1),FALSE)*($BD$69+$BD$75)/(1+$AZ$41)^J$392</f>
        <v>1466.4923658044786</v>
      </c>
      <c r="K518" s="106">
        <f>VLOOKUP($A518,'VKT US'!$B$63:$AA$113,(K$392+1),FALSE)*($BD$69+$BD$75)/(1+$AZ$41)^K$392</f>
        <v>1408.9459810305791</v>
      </c>
      <c r="L518" s="106">
        <f>VLOOKUP($A518,'VKT US'!$B$63:$AA$113,(L$392+1),FALSE)*($BD$69+$BD$75)/(1+$AZ$41)^L$392</f>
        <v>1354.2606202604973</v>
      </c>
      <c r="M518" s="106">
        <f>VLOOKUP($A518,'VKT US'!$B$63:$AA$113,(M$392+1),FALSE)*($BD$69+$BD$75)/(1+$AZ$41)^M$392</f>
        <v>1302.4857443127978</v>
      </c>
      <c r="N518" s="106">
        <f>VLOOKUP($A518,'VKT US'!$B$63:$AA$113,(N$392+1),FALSE)*($BD$69+$BD$75)/(1+$AZ$41)^N$392</f>
        <v>1253.4106632731164</v>
      </c>
      <c r="O518" s="106">
        <f>VLOOKUP($A518,'VKT US'!$B$63:$AA$113,(O$392+1),FALSE)*($BD$69+$BD$75)/(1+$AZ$41)^O$392</f>
        <v>1207.0852752330211</v>
      </c>
      <c r="P518" s="106">
        <f>VLOOKUP($A518,'VKT US'!$B$63:$AA$113,(P$392+1),FALSE)*($BD$69+$BD$75)/(1+$AZ$41)^P$392</f>
        <v>1163.3054357183134</v>
      </c>
      <c r="Q518" s="106">
        <f>VLOOKUP($A518,'VKT US'!$B$63:$AA$113,(Q$392+1),FALSE)*($BD$69+$BD$75)/(1+$AZ$41)^Q$392</f>
        <v>1122.2447983109819</v>
      </c>
      <c r="R518" s="106">
        <f>VLOOKUP($A518,'VKT US'!$B$63:$AA$113,(R$392+1),FALSE)*($BD$69+$BD$75)/(1+$AZ$41)^R$392</f>
        <v>1083.457342430597</v>
      </c>
      <c r="S518" s="106">
        <f>VLOOKUP($A518,'VKT US'!$B$63:$AA$113,(S$392+1),FALSE)*($BD$69+$BD$75)/(1+$AZ$41)^S$392</f>
        <v>1047.2389920869875</v>
      </c>
      <c r="T518" s="106">
        <f>VLOOKUP($A518,'VKT US'!$B$63:$AA$113,(T$392+1),FALSE)*($BD$69+$BD$75)/(1+$AZ$41)^T$392</f>
        <v>1013.1557240472376</v>
      </c>
      <c r="U518" s="106">
        <f>VLOOKUP($A518,'VKT US'!$B$63:$AA$113,(U$392+1),FALSE)*($BD$69+$BD$75)/(1+$AZ$41)^U$392</f>
        <v>981.49794539897368</v>
      </c>
      <c r="V518" s="110" cm="1">
        <f t="array" ref="V518">SUMPRODUCT(INDEX(B518:U518,,_xlfn.SEQUENCE($AZ$13)))</f>
        <v>22266.280302749525</v>
      </c>
    </row>
    <row r="519" spans="1:22" x14ac:dyDescent="0.25">
      <c r="A519" s="102" t="s">
        <v>199</v>
      </c>
      <c r="B519" s="106">
        <f>VLOOKUP($A519,'VKT US'!$B$63:$AA$113,(B$392+1),FALSE)*($BB$69+$BB$75)/(1+$AZ$41)^B$392</f>
        <v>2134.5236995841501</v>
      </c>
      <c r="C519" s="106">
        <f>VLOOKUP($A519,'VKT US'!$B$63:$AA$113,(C$392+1),FALSE)*($BD$69+$BD$75)/(1+$AZ$41)^C$392</f>
        <v>1964.3670163425763</v>
      </c>
      <c r="D519" s="106">
        <f>VLOOKUP($A519,'VKT US'!$B$63:$AA$113,(D$392+1),FALSE)*($BD$69+$BD$75)/(1+$AZ$41)^D$392</f>
        <v>1883.4484886807372</v>
      </c>
      <c r="E519" s="106">
        <f>VLOOKUP($A519,'VKT US'!$B$63:$AA$113,(E$392+1),FALSE)*($BD$69+$BD$75)/(1+$AZ$41)^E$392</f>
        <v>1806.1707537116454</v>
      </c>
      <c r="F519" s="106">
        <f>VLOOKUP($A519,'VKT US'!$B$63:$AA$113,(F$392+1),FALSE)*($BD$69+$BD$75)/(1+$AZ$41)^F$392</f>
        <v>1732.294134310044</v>
      </c>
      <c r="G519" s="106">
        <f>VLOOKUP($A519,'VKT US'!$B$63:$AA$113,(G$392+1),FALSE)*($BD$69+$BD$75)/(1+$AZ$41)^G$392</f>
        <v>1662.0057953142475</v>
      </c>
      <c r="H519" s="106">
        <f>VLOOKUP($A519,'VKT US'!$B$63:$AA$113,(H$392+1),FALSE)*($BD$69+$BD$75)/(1+$AZ$41)^H$392</f>
        <v>1594.7931538507485</v>
      </c>
      <c r="I519" s="106">
        <f>VLOOKUP($A519,'VKT US'!$B$63:$AA$113,(I$392+1),FALSE)*($BD$69+$BD$75)/(1+$AZ$41)^I$392</f>
        <v>1530.8456844557397</v>
      </c>
      <c r="J519" s="106">
        <f>VLOOKUP($A519,'VKT US'!$B$63:$AA$113,(J$392+1),FALSE)*($BD$69+$BD$75)/(1+$AZ$41)^J$392</f>
        <v>1470.0728151207866</v>
      </c>
      <c r="K519" s="106">
        <f>VLOOKUP($A519,'VKT US'!$B$63:$AA$113,(K$392+1),FALSE)*($BD$69+$BD$75)/(1+$AZ$41)^K$392</f>
        <v>1412.385930526483</v>
      </c>
      <c r="L519" s="106">
        <f>VLOOKUP($A519,'VKT US'!$B$63:$AA$113,(L$392+1),FALSE)*($BD$69+$BD$75)/(1+$AZ$41)^L$392</f>
        <v>1357.5670551421097</v>
      </c>
      <c r="M519" s="106">
        <f>VLOOKUP($A519,'VKT US'!$B$63:$AA$113,(M$392+1),FALSE)*($BD$69+$BD$75)/(1+$AZ$41)^M$392</f>
        <v>1305.6657705450975</v>
      </c>
      <c r="N519" s="106">
        <f>VLOOKUP($A519,'VKT US'!$B$63:$AA$113,(N$392+1),FALSE)*($BD$69+$BD$75)/(1+$AZ$41)^N$392</f>
        <v>1256.4708724204772</v>
      </c>
      <c r="O519" s="106">
        <f>VLOOKUP($A519,'VKT US'!$B$63:$AA$113,(O$392+1),FALSE)*($BD$69+$BD$75)/(1+$AZ$41)^O$392</f>
        <v>1210.0323806862859</v>
      </c>
      <c r="P519" s="106">
        <f>VLOOKUP($A519,'VKT US'!$B$63:$AA$113,(P$392+1),FALSE)*($BD$69+$BD$75)/(1+$AZ$41)^P$392</f>
        <v>1166.1456524484499</v>
      </c>
      <c r="Q519" s="106">
        <f>VLOOKUP($A519,'VKT US'!$B$63:$AA$113,(Q$392+1),FALSE)*($BD$69+$BD$75)/(1+$AZ$41)^Q$392</f>
        <v>1124.9847652651492</v>
      </c>
      <c r="R519" s="106">
        <f>VLOOKUP($A519,'VKT US'!$B$63:$AA$113,(R$392+1),FALSE)*($BD$69+$BD$75)/(1+$AZ$41)^R$392</f>
        <v>1086.102609594212</v>
      </c>
      <c r="S519" s="106">
        <f>VLOOKUP($A519,'VKT US'!$B$63:$AA$113,(S$392+1),FALSE)*($BD$69+$BD$75)/(1+$AZ$41)^S$392</f>
        <v>1049.7958319455927</v>
      </c>
      <c r="T519" s="106">
        <f>VLOOKUP($A519,'VKT US'!$B$63:$AA$113,(T$392+1),FALSE)*($BD$69+$BD$75)/(1+$AZ$41)^T$392</f>
        <v>1015.6293494162239</v>
      </c>
      <c r="U519" s="106">
        <f>VLOOKUP($A519,'VKT US'!$B$63:$AA$113,(U$392+1),FALSE)*($BD$69+$BD$75)/(1+$AZ$41)^U$392</f>
        <v>983.89427812426118</v>
      </c>
      <c r="V519" s="110" cm="1">
        <f t="array" ref="V519">SUMPRODUCT(INDEX(B519:U519,,_xlfn.SEQUENCE($AZ$13)))</f>
        <v>22320.643550691129</v>
      </c>
    </row>
    <row r="520" spans="1:22" x14ac:dyDescent="0.25">
      <c r="A520" s="102" t="s">
        <v>157</v>
      </c>
      <c r="B520" s="106">
        <f>VLOOKUP($A520,'VKT US'!$B$63:$AA$113,(B$392+1),FALSE)*($BB$69+$BB$75)/(1+$AZ$41)^B$392</f>
        <v>2354.6044869575512</v>
      </c>
      <c r="C520" s="106">
        <f>VLOOKUP($A520,'VKT US'!$B$63:$AA$113,(C$392+1),FALSE)*($BD$69+$BD$75)/(1+$AZ$41)^C$392</f>
        <v>2166.9037413886549</v>
      </c>
      <c r="D520" s="106">
        <f>VLOOKUP($A520,'VKT US'!$B$63:$AA$113,(D$392+1),FALSE)*($BD$69+$BD$75)/(1+$AZ$41)^D$392</f>
        <v>2077.6420815871338</v>
      </c>
      <c r="E520" s="106">
        <f>VLOOKUP($A520,'VKT US'!$B$63:$AA$113,(E$392+1),FALSE)*($BD$69+$BD$75)/(1+$AZ$41)^E$392</f>
        <v>1992.3965996392924</v>
      </c>
      <c r="F520" s="106">
        <f>VLOOKUP($A520,'VKT US'!$B$63:$AA$113,(F$392+1),FALSE)*($BD$69+$BD$75)/(1+$AZ$41)^F$392</f>
        <v>1910.9029064288795</v>
      </c>
      <c r="G520" s="106">
        <f>VLOOKUP($A520,'VKT US'!$B$63:$AA$113,(G$392+1),FALSE)*($BD$69+$BD$75)/(1+$AZ$41)^G$392</f>
        <v>1833.3674644881135</v>
      </c>
      <c r="H520" s="106">
        <f>VLOOKUP($A520,'VKT US'!$B$63:$AA$113,(H$392+1),FALSE)*($BD$69+$BD$75)/(1+$AZ$41)^H$392</f>
        <v>1759.2248409130948</v>
      </c>
      <c r="I520" s="106">
        <f>VLOOKUP($A520,'VKT US'!$B$63:$AA$113,(I$392+1),FALSE)*($BD$69+$BD$75)/(1+$AZ$41)^I$392</f>
        <v>1688.6840460760998</v>
      </c>
      <c r="J520" s="106">
        <f>VLOOKUP($A520,'VKT US'!$B$63:$AA$113,(J$392+1),FALSE)*($BD$69+$BD$75)/(1+$AZ$41)^J$392</f>
        <v>1621.645169511158</v>
      </c>
      <c r="K520" s="106">
        <f>VLOOKUP($A520,'VKT US'!$B$63:$AA$113,(K$392+1),FALSE)*($BD$69+$BD$75)/(1+$AZ$41)^K$392</f>
        <v>1558.0104591864083</v>
      </c>
      <c r="L520" s="106">
        <f>VLOOKUP($A520,'VKT US'!$B$63:$AA$113,(L$392+1),FALSE)*($BD$69+$BD$75)/(1+$AZ$41)^L$392</f>
        <v>1497.5394651303768</v>
      </c>
      <c r="M520" s="106">
        <f>VLOOKUP($A520,'VKT US'!$B$63:$AA$113,(M$392+1),FALSE)*($BD$69+$BD$75)/(1+$AZ$41)^M$392</f>
        <v>1440.2868810457894</v>
      </c>
      <c r="N520" s="106">
        <f>VLOOKUP($A520,'VKT US'!$B$63:$AA$113,(N$392+1),FALSE)*($BD$69+$BD$75)/(1+$AZ$41)^N$392</f>
        <v>1386.0197263254097</v>
      </c>
      <c r="O520" s="106">
        <f>VLOOKUP($A520,'VKT US'!$B$63:$AA$113,(O$392+1),FALSE)*($BD$69+$BD$75)/(1+$AZ$41)^O$392</f>
        <v>1334.7931782078269</v>
      </c>
      <c r="P520" s="106">
        <f>VLOOKUP($A520,'VKT US'!$B$63:$AA$113,(P$392+1),FALSE)*($BD$69+$BD$75)/(1+$AZ$41)^P$392</f>
        <v>1286.3814940242187</v>
      </c>
      <c r="Q520" s="106">
        <f>VLOOKUP($A520,'VKT US'!$B$63:$AA$113,(Q$392+1),FALSE)*($BD$69+$BD$75)/(1+$AZ$41)^Q$392</f>
        <v>1240.9766996582273</v>
      </c>
      <c r="R520" s="106">
        <f>VLOOKUP($A520,'VKT US'!$B$63:$AA$113,(R$392+1),FALSE)*($BD$69+$BD$75)/(1+$AZ$41)^R$392</f>
        <v>1198.0855861872421</v>
      </c>
      <c r="S520" s="106">
        <f>VLOOKUP($A520,'VKT US'!$B$63:$AA$113,(S$392+1),FALSE)*($BD$69+$BD$75)/(1+$AZ$41)^S$392</f>
        <v>1158.0353859598733</v>
      </c>
      <c r="T520" s="106">
        <f>VLOOKUP($A520,'VKT US'!$B$63:$AA$113,(T$392+1),FALSE)*($BD$69+$BD$75)/(1+$AZ$41)^T$392</f>
        <v>1120.3461567033037</v>
      </c>
      <c r="U520" s="106">
        <f>VLOOKUP($A520,'VKT US'!$B$63:$AA$113,(U$392+1),FALSE)*($BD$69+$BD$75)/(1+$AZ$41)^U$392</f>
        <v>1085.3390301614286</v>
      </c>
      <c r="V520" s="110" cm="1">
        <f t="array" ref="V520">SUMPRODUCT(INDEX(B520:U520,,_xlfn.SEQUENCE($AZ$13)))</f>
        <v>24622.021046885788</v>
      </c>
    </row>
    <row r="521" spans="1:22" x14ac:dyDescent="0.25">
      <c r="A521" s="102" t="s">
        <v>200</v>
      </c>
      <c r="B521" s="106">
        <f>VLOOKUP($A521,'VKT US'!$B$63:$AA$113,(B$392+1),FALSE)*($BB$69+$BB$75)/(1+$AZ$41)^B$392</f>
        <v>2159.0733937137293</v>
      </c>
      <c r="C521" s="106">
        <f>VLOOKUP($A521,'VKT US'!$B$63:$AA$113,(C$392+1),FALSE)*($BD$69+$BD$75)/(1+$AZ$41)^C$392</f>
        <v>1986.9596956456164</v>
      </c>
      <c r="D521" s="106">
        <f>VLOOKUP($A521,'VKT US'!$B$63:$AA$113,(D$392+1),FALSE)*($BD$69+$BD$75)/(1+$AZ$41)^D$392</f>
        <v>1905.1105036374875</v>
      </c>
      <c r="E521" s="106">
        <f>VLOOKUP($A521,'VKT US'!$B$63:$AA$113,(E$392+1),FALSE)*($BD$69+$BD$75)/(1+$AZ$41)^E$392</f>
        <v>1826.9439779949132</v>
      </c>
      <c r="F521" s="106">
        <f>VLOOKUP($A521,'VKT US'!$B$63:$AA$113,(F$392+1),FALSE)*($BD$69+$BD$75)/(1+$AZ$41)^F$392</f>
        <v>1752.2176850057147</v>
      </c>
      <c r="G521" s="106">
        <f>VLOOKUP($A521,'VKT US'!$B$63:$AA$113,(G$392+1),FALSE)*($BD$69+$BD$75)/(1+$AZ$41)^G$392</f>
        <v>1681.1209421381038</v>
      </c>
      <c r="H521" s="106">
        <f>VLOOKUP($A521,'VKT US'!$B$63:$AA$113,(H$392+1),FALSE)*($BD$69+$BD$75)/(1+$AZ$41)^H$392</f>
        <v>1613.135271173976</v>
      </c>
      <c r="I521" s="106">
        <f>VLOOKUP($A521,'VKT US'!$B$63:$AA$113,(I$392+1),FALSE)*($BD$69+$BD$75)/(1+$AZ$41)^I$392</f>
        <v>1548.4523258438376</v>
      </c>
      <c r="J521" s="106">
        <f>VLOOKUP($A521,'VKT US'!$B$63:$AA$113,(J$392+1),FALSE)*($BD$69+$BD$75)/(1+$AZ$41)^J$392</f>
        <v>1486.9804924477965</v>
      </c>
      <c r="K521" s="106">
        <f>VLOOKUP($A521,'VKT US'!$B$63:$AA$113,(K$392+1),FALSE)*($BD$69+$BD$75)/(1+$AZ$41)^K$392</f>
        <v>1428.6301364793617</v>
      </c>
      <c r="L521" s="106">
        <f>VLOOKUP($A521,'VKT US'!$B$63:$AA$113,(L$392+1),FALSE)*($BD$69+$BD$75)/(1+$AZ$41)^L$392</f>
        <v>1373.1807754163915</v>
      </c>
      <c r="M521" s="106">
        <f>VLOOKUP($A521,'VKT US'!$B$63:$AA$113,(M$392+1),FALSE)*($BD$69+$BD$75)/(1+$AZ$41)^M$392</f>
        <v>1320.6825610865133</v>
      </c>
      <c r="N521" s="106">
        <f>VLOOKUP($A521,'VKT US'!$B$63:$AA$113,(N$392+1),FALSE)*($BD$69+$BD$75)/(1+$AZ$41)^N$392</f>
        <v>1270.921860060791</v>
      </c>
      <c r="O521" s="106">
        <f>VLOOKUP($A521,'VKT US'!$B$63:$AA$113,(O$392+1),FALSE)*($BD$69+$BD$75)/(1+$AZ$41)^O$392</f>
        <v>1223.949267548925</v>
      </c>
      <c r="P521" s="106">
        <f>VLOOKUP($A521,'VKT US'!$B$63:$AA$113,(P$392+1),FALSE)*($BD$69+$BD$75)/(1+$AZ$41)^P$392</f>
        <v>1179.5577870074269</v>
      </c>
      <c r="Q521" s="106">
        <f>VLOOKUP($A521,'VKT US'!$B$63:$AA$113,(Q$392+1),FALSE)*($BD$69+$BD$75)/(1+$AZ$41)^Q$392</f>
        <v>1137.9234981042721</v>
      </c>
      <c r="R521" s="106">
        <f>VLOOKUP($A521,'VKT US'!$B$63:$AA$113,(R$392+1),FALSE)*($BD$69+$BD$75)/(1+$AZ$41)^R$392</f>
        <v>1098.5941489779489</v>
      </c>
      <c r="S521" s="106">
        <f>VLOOKUP($A521,'VKT US'!$B$63:$AA$113,(S$392+1),FALSE)*($BD$69+$BD$75)/(1+$AZ$41)^S$392</f>
        <v>1061.869797944561</v>
      </c>
      <c r="T521" s="106">
        <f>VLOOKUP($A521,'VKT US'!$B$63:$AA$113,(T$392+1),FALSE)*($BD$69+$BD$75)/(1+$AZ$41)^T$392</f>
        <v>1027.310358103103</v>
      </c>
      <c r="U521" s="106">
        <f>VLOOKUP($A521,'VKT US'!$B$63:$AA$113,(U$392+1),FALSE)*($BD$69+$BD$75)/(1+$AZ$41)^U$392</f>
        <v>995.21029377145157</v>
      </c>
      <c r="V521" s="110" cm="1">
        <f t="array" ref="V521">SUMPRODUCT(INDEX(B521:U521,,_xlfn.SEQUENCE($AZ$13)))</f>
        <v>22577.358888193157</v>
      </c>
    </row>
    <row r="522" spans="1:22" x14ac:dyDescent="0.25">
      <c r="A522" s="102" t="s">
        <v>203</v>
      </c>
      <c r="B522" s="106">
        <f>VLOOKUP($A522,'VKT US'!$B$63:$AA$113,(B$392+1),FALSE)*($BB$69+$BB$75)/(1+$AZ$41)^B$392</f>
        <v>2052.7876591291993</v>
      </c>
      <c r="C522" s="106">
        <f>VLOOKUP($A522,'VKT US'!$B$63:$AA$113,(C$392+1),FALSE)*($BD$69+$BD$75)/(1+$AZ$41)^C$392</f>
        <v>1889.1466840748071</v>
      </c>
      <c r="D522" s="106">
        <f>VLOOKUP($A522,'VKT US'!$B$63:$AA$113,(D$392+1),FALSE)*($BD$69+$BD$75)/(1+$AZ$41)^D$392</f>
        <v>1811.3267212364983</v>
      </c>
      <c r="E522" s="106">
        <f>VLOOKUP($A522,'VKT US'!$B$63:$AA$113,(E$392+1),FALSE)*($BD$69+$BD$75)/(1+$AZ$41)^E$392</f>
        <v>1737.0081363920599</v>
      </c>
      <c r="F522" s="106">
        <f>VLOOKUP($A522,'VKT US'!$B$63:$AA$113,(F$392+1),FALSE)*($BD$69+$BD$75)/(1+$AZ$41)^F$392</f>
        <v>1665.9604302291643</v>
      </c>
      <c r="G522" s="106">
        <f>VLOOKUP($A522,'VKT US'!$B$63:$AA$113,(G$392+1),FALSE)*($BD$69+$BD$75)/(1+$AZ$41)^G$392</f>
        <v>1598.3636005948194</v>
      </c>
      <c r="H522" s="106">
        <f>VLOOKUP($A522,'VKT US'!$B$63:$AA$113,(H$392+1),FALSE)*($BD$69+$BD$75)/(1+$AZ$41)^H$392</f>
        <v>1533.7246926451787</v>
      </c>
      <c r="I522" s="106">
        <f>VLOOKUP($A522,'VKT US'!$B$63:$AA$113,(I$392+1),FALSE)*($BD$69+$BD$75)/(1+$AZ$41)^I$392</f>
        <v>1472.2259254812486</v>
      </c>
      <c r="J522" s="106">
        <f>VLOOKUP($A522,'VKT US'!$B$63:$AA$113,(J$392+1),FALSE)*($BD$69+$BD$75)/(1+$AZ$41)^J$392</f>
        <v>1413.7801953143887</v>
      </c>
      <c r="K522" s="106">
        <f>VLOOKUP($A522,'VKT US'!$B$63:$AA$113,(K$392+1),FALSE)*($BD$69+$BD$75)/(1+$AZ$41)^K$392</f>
        <v>1358.3022801186628</v>
      </c>
      <c r="L522" s="106">
        <f>VLOOKUP($A522,'VKT US'!$B$63:$AA$113,(L$392+1),FALSE)*($BD$69+$BD$75)/(1+$AZ$41)^L$392</f>
        <v>1305.5825511700893</v>
      </c>
      <c r="M522" s="106">
        <f>VLOOKUP($A522,'VKT US'!$B$63:$AA$113,(M$392+1),FALSE)*($BD$69+$BD$75)/(1+$AZ$41)^M$392</f>
        <v>1255.6686914483837</v>
      </c>
      <c r="N522" s="106">
        <f>VLOOKUP($A522,'VKT US'!$B$63:$AA$113,(N$392+1),FALSE)*($BD$69+$BD$75)/(1+$AZ$41)^N$392</f>
        <v>1208.3575841591962</v>
      </c>
      <c r="O522" s="106">
        <f>VLOOKUP($A522,'VKT US'!$B$63:$AA$113,(O$392+1),FALSE)*($BD$69+$BD$75)/(1+$AZ$41)^O$392</f>
        <v>1163.6973338377345</v>
      </c>
      <c r="P522" s="106">
        <f>VLOOKUP($A522,'VKT US'!$B$63:$AA$113,(P$392+1),FALSE)*($BD$69+$BD$75)/(1+$AZ$41)^P$392</f>
        <v>1121.4911338579739</v>
      </c>
      <c r="Q522" s="106">
        <f>VLOOKUP($A522,'VKT US'!$B$63:$AA$113,(Q$392+1),FALSE)*($BD$69+$BD$75)/(1+$AZ$41)^Q$392</f>
        <v>1081.9063959301873</v>
      </c>
      <c r="R522" s="106">
        <f>VLOOKUP($A522,'VKT US'!$B$63:$AA$113,(R$392+1),FALSE)*($BD$69+$BD$75)/(1+$AZ$41)^R$392</f>
        <v>1044.5131314107111</v>
      </c>
      <c r="S522" s="106">
        <f>VLOOKUP($A522,'VKT US'!$B$63:$AA$113,(S$392+1),FALSE)*($BD$69+$BD$75)/(1+$AZ$41)^S$392</f>
        <v>1009.5966275019687</v>
      </c>
      <c r="T522" s="106">
        <f>VLOOKUP($A522,'VKT US'!$B$63:$AA$113,(T$392+1),FALSE)*($BD$69+$BD$75)/(1+$AZ$41)^T$392</f>
        <v>976.7384616704976</v>
      </c>
      <c r="U522" s="106">
        <f>VLOOKUP($A522,'VKT US'!$B$63:$AA$113,(U$392+1),FALSE)*($BD$69+$BD$75)/(1+$AZ$41)^U$392</f>
        <v>946.21860249890881</v>
      </c>
      <c r="V522" s="110" cm="1">
        <f t="array" ref="V522">SUMPRODUCT(INDEX(B522:U522,,_xlfn.SEQUENCE($AZ$13)))</f>
        <v>21465.932485831432</v>
      </c>
    </row>
    <row r="523" spans="1:22" x14ac:dyDescent="0.25">
      <c r="A523" s="102" t="s">
        <v>202</v>
      </c>
      <c r="B523" s="106">
        <f>VLOOKUP($A523,'VKT US'!$B$63:$AA$113,(B$392+1),FALSE)*($BB$69+$BB$75)/(1+$AZ$41)^B$392</f>
        <v>1948.0904341648188</v>
      </c>
      <c r="C523" s="106">
        <f>VLOOKUP($A523,'VKT US'!$B$63:$AA$113,(C$392+1),FALSE)*($BD$69+$BD$75)/(1+$AZ$41)^C$392</f>
        <v>1792.7955517530179</v>
      </c>
      <c r="D523" s="106">
        <f>VLOOKUP($A523,'VKT US'!$B$63:$AA$113,(D$392+1),FALSE)*($BD$69+$BD$75)/(1+$AZ$41)^D$392</f>
        <v>1718.9445986268281</v>
      </c>
      <c r="E523" s="106">
        <f>VLOOKUP($A523,'VKT US'!$B$63:$AA$113,(E$392+1),FALSE)*($BD$69+$BD$75)/(1+$AZ$41)^E$392</f>
        <v>1648.4164445957715</v>
      </c>
      <c r="F523" s="106">
        <f>VLOOKUP($A523,'VKT US'!$B$63:$AA$113,(F$392+1),FALSE)*($BD$69+$BD$75)/(1+$AZ$41)^F$392</f>
        <v>1580.9923463799807</v>
      </c>
      <c r="G523" s="106">
        <f>VLOOKUP($A523,'VKT US'!$B$63:$AA$113,(G$392+1),FALSE)*($BD$69+$BD$75)/(1+$AZ$41)^G$392</f>
        <v>1516.843121493079</v>
      </c>
      <c r="H523" s="106">
        <f>VLOOKUP($A523,'VKT US'!$B$63:$AA$113,(H$392+1),FALSE)*($BD$69+$BD$75)/(1+$AZ$41)^H$392</f>
        <v>1455.5009570020025</v>
      </c>
      <c r="I523" s="106">
        <f>VLOOKUP($A523,'VKT US'!$B$63:$AA$113,(I$392+1),FALSE)*($BD$69+$BD$75)/(1+$AZ$41)^I$392</f>
        <v>1397.1387783849486</v>
      </c>
      <c r="J523" s="106">
        <f>VLOOKUP($A523,'VKT US'!$B$63:$AA$113,(J$392+1),FALSE)*($BD$69+$BD$75)/(1+$AZ$41)^J$392</f>
        <v>1341.6739243609641</v>
      </c>
      <c r="K523" s="106">
        <f>VLOOKUP($A523,'VKT US'!$B$63:$AA$113,(K$392+1),FALSE)*($BD$69+$BD$75)/(1+$AZ$41)^K$392</f>
        <v>1289.0255194372676</v>
      </c>
      <c r="L523" s="106">
        <f>VLOOKUP($A523,'VKT US'!$B$63:$AA$113,(L$392+1),FALSE)*($BD$69+$BD$75)/(1+$AZ$41)^L$392</f>
        <v>1238.9946264709465</v>
      </c>
      <c r="M523" s="106">
        <f>VLOOKUP($A523,'VKT US'!$B$63:$AA$113,(M$392+1),FALSE)*($BD$69+$BD$75)/(1+$AZ$41)^M$392</f>
        <v>1191.6264964923457</v>
      </c>
      <c r="N523" s="106">
        <f>VLOOKUP($A523,'VKT US'!$B$63:$AA$113,(N$392+1),FALSE)*($BD$69+$BD$75)/(1+$AZ$41)^N$392</f>
        <v>1146.7283721637398</v>
      </c>
      <c r="O523" s="106">
        <f>VLOOKUP($A523,'VKT US'!$B$63:$AA$113,(O$392+1),FALSE)*($BD$69+$BD$75)/(1+$AZ$41)^O$392</f>
        <v>1104.3459045705972</v>
      </c>
      <c r="P523" s="106">
        <f>VLOOKUP($A523,'VKT US'!$B$63:$AA$113,(P$392+1),FALSE)*($BD$69+$BD$75)/(1+$AZ$41)^P$392</f>
        <v>1064.2923247093963</v>
      </c>
      <c r="Q523" s="106">
        <f>VLOOKUP($A523,'VKT US'!$B$63:$AA$113,(Q$392+1),FALSE)*($BD$69+$BD$75)/(1+$AZ$41)^Q$392</f>
        <v>1026.7265058809865</v>
      </c>
      <c r="R523" s="106">
        <f>VLOOKUP($A523,'VKT US'!$B$63:$AA$113,(R$392+1),FALSE)*($BD$69+$BD$75)/(1+$AZ$41)^R$392</f>
        <v>991.24038992124474</v>
      </c>
      <c r="S523" s="106">
        <f>VLOOKUP($A523,'VKT US'!$B$63:$AA$113,(S$392+1),FALSE)*($BD$69+$BD$75)/(1+$AZ$41)^S$392</f>
        <v>958.10471368283902</v>
      </c>
      <c r="T523" s="106">
        <f>VLOOKUP($A523,'VKT US'!$B$63:$AA$113,(T$392+1),FALSE)*($BD$69+$BD$75)/(1+$AZ$41)^T$392</f>
        <v>926.92239521174895</v>
      </c>
      <c r="U523" s="106">
        <f>VLOOKUP($A523,'VKT US'!$B$63:$AA$113,(U$392+1),FALSE)*($BD$69+$BD$75)/(1+$AZ$41)^U$392</f>
        <v>897.95912400353711</v>
      </c>
      <c r="V523" s="110" cm="1">
        <f t="array" ref="V523">SUMPRODUCT(INDEX(B523:U523,,_xlfn.SEQUENCE($AZ$13)))</f>
        <v>20371.117075896309</v>
      </c>
    </row>
    <row r="524" spans="1:22" x14ac:dyDescent="0.25">
      <c r="A524" s="102" t="s">
        <v>201</v>
      </c>
      <c r="B524" s="106">
        <f>VLOOKUP($A524,'VKT US'!$B$63:$AA$113,(B$392+1),FALSE)*($BB$69+$BB$75)/(1+$AZ$41)^B$392</f>
        <v>1893.0702373214685</v>
      </c>
      <c r="C524" s="106">
        <f>VLOOKUP($A524,'VKT US'!$B$63:$AA$113,(C$392+1),FALSE)*($BD$69+$BD$75)/(1+$AZ$41)^C$392</f>
        <v>1742.161370491498</v>
      </c>
      <c r="D524" s="106">
        <f>VLOOKUP($A524,'VKT US'!$B$63:$AA$113,(D$392+1),FALSE)*($BD$69+$BD$75)/(1+$AZ$41)^D$392</f>
        <v>1670.396200400229</v>
      </c>
      <c r="E524" s="106">
        <f>VLOOKUP($A524,'VKT US'!$B$63:$AA$113,(E$392+1),FALSE)*($BD$69+$BD$75)/(1+$AZ$41)^E$392</f>
        <v>1601.8599831138597</v>
      </c>
      <c r="F524" s="106">
        <f>VLOOKUP($A524,'VKT US'!$B$63:$AA$113,(F$392+1),FALSE)*($BD$69+$BD$75)/(1+$AZ$41)^F$392</f>
        <v>1536.3401533502717</v>
      </c>
      <c r="G524" s="106">
        <f>VLOOKUP($A524,'VKT US'!$B$63:$AA$113,(G$392+1),FALSE)*($BD$69+$BD$75)/(1+$AZ$41)^G$392</f>
        <v>1474.0027041996125</v>
      </c>
      <c r="H524" s="106">
        <f>VLOOKUP($A524,'VKT US'!$B$63:$AA$113,(H$392+1),FALSE)*($BD$69+$BD$75)/(1+$AZ$41)^H$392</f>
        <v>1414.3930352364159</v>
      </c>
      <c r="I524" s="106">
        <f>VLOOKUP($A524,'VKT US'!$B$63:$AA$113,(I$392+1),FALSE)*($BD$69+$BD$75)/(1+$AZ$41)^I$392</f>
        <v>1357.6791879798586</v>
      </c>
      <c r="J524" s="106">
        <f>VLOOKUP($A524,'VKT US'!$B$63:$AA$113,(J$392+1),FALSE)*($BD$69+$BD$75)/(1+$AZ$41)^J$392</f>
        <v>1303.7808357633712</v>
      </c>
      <c r="K524" s="106">
        <f>VLOOKUP($A524,'VKT US'!$B$63:$AA$113,(K$392+1),FALSE)*($BD$69+$BD$75)/(1+$AZ$41)^K$392</f>
        <v>1252.6193872722863</v>
      </c>
      <c r="L524" s="106">
        <f>VLOOKUP($A524,'VKT US'!$B$63:$AA$113,(L$392+1),FALSE)*($BD$69+$BD$75)/(1+$AZ$41)^L$392</f>
        <v>1204.0015239738796</v>
      </c>
      <c r="M524" s="106">
        <f>VLOOKUP($A524,'VKT US'!$B$63:$AA$113,(M$392+1),FALSE)*($BD$69+$BD$75)/(1+$AZ$41)^M$392</f>
        <v>1157.9712188671729</v>
      </c>
      <c r="N524" s="106">
        <f>VLOOKUP($A524,'VKT US'!$B$63:$AA$113,(N$392+1),FALSE)*($BD$69+$BD$75)/(1+$AZ$41)^N$392</f>
        <v>1114.3411586875068</v>
      </c>
      <c r="O524" s="106">
        <f>VLOOKUP($A524,'VKT US'!$B$63:$AA$113,(O$392+1),FALSE)*($BD$69+$BD$75)/(1+$AZ$41)^O$392</f>
        <v>1073.1557051902118</v>
      </c>
      <c r="P524" s="106">
        <f>VLOOKUP($A524,'VKT US'!$B$63:$AA$113,(P$392+1),FALSE)*($BD$69+$BD$75)/(1+$AZ$41)^P$392</f>
        <v>1034.2333643154541</v>
      </c>
      <c r="Q524" s="106">
        <f>VLOOKUP($A524,'VKT US'!$B$63:$AA$113,(Q$392+1),FALSE)*($BD$69+$BD$75)/(1+$AZ$41)^Q$392</f>
        <v>997.72852228271699</v>
      </c>
      <c r="R524" s="106">
        <f>VLOOKUP($A524,'VKT US'!$B$63:$AA$113,(R$392+1),FALSE)*($BD$69+$BD$75)/(1+$AZ$41)^R$392</f>
        <v>963.24464577298727</v>
      </c>
      <c r="S524" s="106">
        <f>VLOOKUP($A524,'VKT US'!$B$63:$AA$113,(S$392+1),FALSE)*($BD$69+$BD$75)/(1+$AZ$41)^S$392</f>
        <v>931.04482517926886</v>
      </c>
      <c r="T524" s="106">
        <f>VLOOKUP($A524,'VKT US'!$B$63:$AA$113,(T$392+1),FALSE)*($BD$69+$BD$75)/(1+$AZ$41)^T$392</f>
        <v>900.74319338997896</v>
      </c>
      <c r="U524" s="106">
        <f>VLOOKUP($A524,'VKT US'!$B$63:$AA$113,(U$392+1),FALSE)*($BD$69+$BD$75)/(1+$AZ$41)^U$392</f>
        <v>872.59793599424529</v>
      </c>
      <c r="V524" s="110" cm="1">
        <f t="array" ref="V524">SUMPRODUCT(INDEX(B524:U524,,_xlfn.SEQUENCE($AZ$13)))</f>
        <v>19795.772701847647</v>
      </c>
    </row>
    <row r="525" spans="1:22" x14ac:dyDescent="0.25">
      <c r="A525" s="102" t="s">
        <v>204</v>
      </c>
      <c r="B525" s="106">
        <f>VLOOKUP($A525,'VKT US'!$B$63:$AA$113,(B$392+1),FALSE)*($BB$69+$BB$75)/(1+$AZ$41)^B$392</f>
        <v>2066.0733759522659</v>
      </c>
      <c r="C525" s="106">
        <f>VLOOKUP($A525,'VKT US'!$B$63:$AA$113,(C$392+1),FALSE)*($BD$69+$BD$75)/(1+$AZ$41)^C$392</f>
        <v>1901.3733105211584</v>
      </c>
      <c r="D525" s="106">
        <f>VLOOKUP($A525,'VKT US'!$B$63:$AA$113,(D$392+1),FALSE)*($BD$69+$BD$75)/(1+$AZ$41)^D$392</f>
        <v>1823.049694036622</v>
      </c>
      <c r="E525" s="106">
        <f>VLOOKUP($A525,'VKT US'!$B$63:$AA$113,(E$392+1),FALSE)*($BD$69+$BD$75)/(1+$AZ$41)^E$392</f>
        <v>1748.2501165924168</v>
      </c>
      <c r="F525" s="106">
        <f>VLOOKUP($A525,'VKT US'!$B$63:$AA$113,(F$392+1),FALSE)*($BD$69+$BD$75)/(1+$AZ$41)^F$392</f>
        <v>1676.7425870762331</v>
      </c>
      <c r="G525" s="106">
        <f>VLOOKUP($A525,'VKT US'!$B$63:$AA$113,(G$392+1),FALSE)*($BD$69+$BD$75)/(1+$AZ$41)^G$392</f>
        <v>1608.7082682877301</v>
      </c>
      <c r="H525" s="106">
        <f>VLOOKUP($A525,'VKT US'!$B$63:$AA$113,(H$392+1),FALSE)*($BD$69+$BD$75)/(1+$AZ$41)^H$392</f>
        <v>1543.6510149612786</v>
      </c>
      <c r="I525" s="106">
        <f>VLOOKUP($A525,'VKT US'!$B$63:$AA$113,(I$392+1),FALSE)*($BD$69+$BD$75)/(1+$AZ$41)^I$392</f>
        <v>1481.7542255265723</v>
      </c>
      <c r="J525" s="106">
        <f>VLOOKUP($A525,'VKT US'!$B$63:$AA$113,(J$392+1),FALSE)*($BD$69+$BD$75)/(1+$AZ$41)^J$392</f>
        <v>1422.9302324560645</v>
      </c>
      <c r="K525" s="106">
        <f>VLOOKUP($A525,'VKT US'!$B$63:$AA$113,(K$392+1),FALSE)*($BD$69+$BD$75)/(1+$AZ$41)^K$392</f>
        <v>1367.0932621637501</v>
      </c>
      <c r="L525" s="106">
        <f>VLOOKUP($A525,'VKT US'!$B$63:$AA$113,(L$392+1),FALSE)*($BD$69+$BD$75)/(1+$AZ$41)^L$392</f>
        <v>1314.0323292008773</v>
      </c>
      <c r="M525" s="106">
        <f>VLOOKUP($A525,'VKT US'!$B$63:$AA$113,(M$392+1),FALSE)*($BD$69+$BD$75)/(1+$AZ$41)^M$392</f>
        <v>1263.7954251531501</v>
      </c>
      <c r="N525" s="106">
        <f>VLOOKUP($A525,'VKT US'!$B$63:$AA$113,(N$392+1),FALSE)*($BD$69+$BD$75)/(1+$AZ$41)^N$392</f>
        <v>1216.1781186468957</v>
      </c>
      <c r="O525" s="106">
        <f>VLOOKUP($A525,'VKT US'!$B$63:$AA$113,(O$392+1),FALSE)*($BD$69+$BD$75)/(1+$AZ$41)^O$392</f>
        <v>1171.2288255516335</v>
      </c>
      <c r="P525" s="106">
        <f>VLOOKUP($A525,'VKT US'!$B$63:$AA$113,(P$392+1),FALSE)*($BD$69+$BD$75)/(1+$AZ$41)^P$392</f>
        <v>1128.7494655016558</v>
      </c>
      <c r="Q525" s="106">
        <f>VLOOKUP($A525,'VKT US'!$B$63:$AA$113,(Q$392+1),FALSE)*($BD$69+$BD$75)/(1+$AZ$41)^Q$392</f>
        <v>1088.9085337019478</v>
      </c>
      <c r="R525" s="106">
        <f>VLOOKUP($A525,'VKT US'!$B$63:$AA$113,(R$392+1),FALSE)*($BD$69+$BD$75)/(1+$AZ$41)^R$392</f>
        <v>1051.2732586066159</v>
      </c>
      <c r="S525" s="106">
        <f>VLOOKUP($A525,'VKT US'!$B$63:$AA$113,(S$392+1),FALSE)*($BD$69+$BD$75)/(1+$AZ$41)^S$392</f>
        <v>1016.1307738072928</v>
      </c>
      <c r="T525" s="106">
        <f>VLOOKUP($A525,'VKT US'!$B$63:$AA$113,(T$392+1),FALSE)*($BD$69+$BD$75)/(1+$AZ$41)^T$392</f>
        <v>983.05994872457313</v>
      </c>
      <c r="U525" s="106">
        <f>VLOOKUP($A525,'VKT US'!$B$63:$AA$113,(U$392+1),FALSE)*($BD$69+$BD$75)/(1+$AZ$41)^U$392</f>
        <v>952.34256390797668</v>
      </c>
      <c r="V525" s="110" cm="1">
        <f t="array" ref="V525">SUMPRODUCT(INDEX(B525:U525,,_xlfn.SEQUENCE($AZ$13)))</f>
        <v>21604.860786126643</v>
      </c>
    </row>
    <row r="526" spans="1:22" x14ac:dyDescent="0.25">
      <c r="A526" s="102" t="s">
        <v>205</v>
      </c>
      <c r="B526" s="106">
        <f>VLOOKUP($A526,'VKT US'!$B$63:$AA$113,(B$392+1),FALSE)*($BB$69+$BB$75)/(1+$AZ$41)^B$392</f>
        <v>2586.2380715684017</v>
      </c>
      <c r="C526" s="106">
        <f>VLOOKUP($A526,'VKT US'!$B$63:$AA$113,(C$392+1),FALSE)*($BD$69+$BD$75)/(1+$AZ$41)^C$392</f>
        <v>2380.0723155185165</v>
      </c>
      <c r="D526" s="106">
        <f>VLOOKUP($A526,'VKT US'!$B$63:$AA$113,(D$392+1),FALSE)*($BD$69+$BD$75)/(1+$AZ$41)^D$392</f>
        <v>2282.0295638849416</v>
      </c>
      <c r="E526" s="106">
        <f>VLOOKUP($A526,'VKT US'!$B$63:$AA$113,(E$392+1),FALSE)*($BD$69+$BD$75)/(1+$AZ$41)^E$392</f>
        <v>2188.3980805237707</v>
      </c>
      <c r="F526" s="106">
        <f>VLOOKUP($A526,'VKT US'!$B$63:$AA$113,(F$392+1),FALSE)*($BD$69+$BD$75)/(1+$AZ$41)^F$392</f>
        <v>2098.8874671103831</v>
      </c>
      <c r="G526" s="106">
        <f>VLOOKUP($A526,'VKT US'!$B$63:$AA$113,(G$392+1),FALSE)*($BD$69+$BD$75)/(1+$AZ$41)^G$392</f>
        <v>2013.7244968732059</v>
      </c>
      <c r="H526" s="106">
        <f>VLOOKUP($A526,'VKT US'!$B$63:$AA$113,(H$392+1),FALSE)*($BD$69+$BD$75)/(1+$AZ$41)^H$392</f>
        <v>1932.2881125981366</v>
      </c>
      <c r="I526" s="106">
        <f>VLOOKUP($A526,'VKT US'!$B$63:$AA$113,(I$392+1),FALSE)*($BD$69+$BD$75)/(1+$AZ$41)^I$392</f>
        <v>1854.8078859967416</v>
      </c>
      <c r="J526" s="106">
        <f>VLOOKUP($A526,'VKT US'!$B$63:$AA$113,(J$392+1),FALSE)*($BD$69+$BD$75)/(1+$AZ$41)^J$392</f>
        <v>1781.174077937769</v>
      </c>
      <c r="K526" s="106">
        <f>VLOOKUP($A526,'VKT US'!$B$63:$AA$113,(K$392+1),FALSE)*($BD$69+$BD$75)/(1+$AZ$41)^K$392</f>
        <v>1711.2793200594535</v>
      </c>
      <c r="L526" s="106">
        <f>VLOOKUP($A526,'VKT US'!$B$63:$AA$113,(L$392+1),FALSE)*($BD$69+$BD$75)/(1+$AZ$41)^L$392</f>
        <v>1644.8595081888941</v>
      </c>
      <c r="M526" s="106">
        <f>VLOOKUP($A526,'VKT US'!$B$63:$AA$113,(M$392+1),FALSE)*($BD$69+$BD$75)/(1+$AZ$41)^M$392</f>
        <v>1581.9747165071478</v>
      </c>
      <c r="N526" s="106">
        <f>VLOOKUP($A526,'VKT US'!$B$63:$AA$113,(N$392+1),FALSE)*($BD$69+$BD$75)/(1+$AZ$41)^N$392</f>
        <v>1522.3690450022543</v>
      </c>
      <c r="O526" s="106">
        <f>VLOOKUP($A526,'VKT US'!$B$63:$AA$113,(O$392+1),FALSE)*($BD$69+$BD$75)/(1+$AZ$41)^O$392</f>
        <v>1466.1030989588455</v>
      </c>
      <c r="P526" s="106">
        <f>VLOOKUP($A526,'VKT US'!$B$63:$AA$113,(P$392+1),FALSE)*($BD$69+$BD$75)/(1+$AZ$41)^P$392</f>
        <v>1412.9289283336236</v>
      </c>
      <c r="Q526" s="106">
        <f>VLOOKUP($A526,'VKT US'!$B$63:$AA$113,(Q$392+1),FALSE)*($BD$69+$BD$75)/(1+$AZ$41)^Q$392</f>
        <v>1363.0574495050103</v>
      </c>
      <c r="R526" s="106">
        <f>VLOOKUP($A526,'VKT US'!$B$63:$AA$113,(R$392+1),FALSE)*($BD$69+$BD$75)/(1+$AZ$41)^R$392</f>
        <v>1315.9469342549721</v>
      </c>
      <c r="S526" s="106">
        <f>VLOOKUP($A526,'VKT US'!$B$63:$AA$113,(S$392+1),FALSE)*($BD$69+$BD$75)/(1+$AZ$41)^S$392</f>
        <v>1271.9568063266097</v>
      </c>
      <c r="T526" s="106">
        <f>VLOOKUP($A526,'VKT US'!$B$63:$AA$113,(T$392+1),FALSE)*($BD$69+$BD$75)/(1+$AZ$41)^T$392</f>
        <v>1230.5599092547968</v>
      </c>
      <c r="U526" s="106">
        <f>VLOOKUP($A526,'VKT US'!$B$63:$AA$113,(U$392+1),FALSE)*($BD$69+$BD$75)/(1+$AZ$41)^U$392</f>
        <v>1192.1089660325683</v>
      </c>
      <c r="V526" s="110" cm="1">
        <f t="array" ref="V526">SUMPRODUCT(INDEX(B526:U526,,_xlfn.SEQUENCE($AZ$13)))</f>
        <v>27044.205760728466</v>
      </c>
    </row>
    <row r="527" spans="1:22" x14ac:dyDescent="0.25">
      <c r="A527" s="102" t="s">
        <v>207</v>
      </c>
      <c r="B527" s="106">
        <f>VLOOKUP($A527,'VKT US'!$B$63:$AA$113,(B$392+1),FALSE)*($BB$69+$BB$75)/(1+$AZ$41)^B$392</f>
        <v>2883.2893705363063</v>
      </c>
      <c r="C527" s="106">
        <f>VLOOKUP($A527,'VKT US'!$B$63:$AA$113,(C$392+1),FALSE)*($BD$69+$BD$75)/(1+$AZ$41)^C$392</f>
        <v>2653.4437350853041</v>
      </c>
      <c r="D527" s="106">
        <f>VLOOKUP($A527,'VKT US'!$B$63:$AA$113,(D$392+1),FALSE)*($BD$69+$BD$75)/(1+$AZ$41)^D$392</f>
        <v>2544.1399448616198</v>
      </c>
      <c r="E527" s="106">
        <f>VLOOKUP($A527,'VKT US'!$B$63:$AA$113,(E$392+1),FALSE)*($BD$69+$BD$75)/(1+$AZ$41)^E$392</f>
        <v>2439.75409435131</v>
      </c>
      <c r="F527" s="106">
        <f>VLOOKUP($A527,'VKT US'!$B$63:$AA$113,(F$392+1),FALSE)*($BD$69+$BD$75)/(1+$AZ$41)^F$392</f>
        <v>2339.9624305279981</v>
      </c>
      <c r="G527" s="106">
        <f>VLOOKUP($A527,'VKT US'!$B$63:$AA$113,(G$392+1),FALSE)*($BD$69+$BD$75)/(1+$AZ$41)^G$392</f>
        <v>2245.0177734418689</v>
      </c>
      <c r="H527" s="106">
        <f>VLOOKUP($A527,'VKT US'!$B$63:$AA$113,(H$392+1),FALSE)*($BD$69+$BD$75)/(1+$AZ$41)^H$392</f>
        <v>2154.2277322091904</v>
      </c>
      <c r="I527" s="106">
        <f>VLOOKUP($A527,'VKT US'!$B$63:$AA$113,(I$392+1),FALSE)*($BD$69+$BD$75)/(1+$AZ$41)^I$392</f>
        <v>2067.8482467927265</v>
      </c>
      <c r="J527" s="106">
        <f>VLOOKUP($A527,'VKT US'!$B$63:$AA$113,(J$392+1),FALSE)*($BD$69+$BD$75)/(1+$AZ$41)^J$392</f>
        <v>1985.7569735945892</v>
      </c>
      <c r="K527" s="106">
        <f>VLOOKUP($A527,'VKT US'!$B$63:$AA$113,(K$392+1),FALSE)*($BD$69+$BD$75)/(1+$AZ$41)^K$392</f>
        <v>1907.8342120892876</v>
      </c>
      <c r="L527" s="106">
        <f>VLOOKUP($A527,'VKT US'!$B$63:$AA$113,(L$392+1),FALSE)*($BD$69+$BD$75)/(1+$AZ$41)^L$392</f>
        <v>1833.7855235077034</v>
      </c>
      <c r="M527" s="106">
        <f>VLOOKUP($A527,'VKT US'!$B$63:$AA$113,(M$392+1),FALSE)*($BD$69+$BD$75)/(1+$AZ$41)^M$392</f>
        <v>1763.6778820582786</v>
      </c>
      <c r="N527" s="106">
        <f>VLOOKUP($A527,'VKT US'!$B$63:$AA$113,(N$392+1),FALSE)*($BD$69+$BD$75)/(1+$AZ$41)^N$392</f>
        <v>1697.2259954500537</v>
      </c>
      <c r="O527" s="106">
        <f>VLOOKUP($A527,'VKT US'!$B$63:$AA$113,(O$392+1),FALSE)*($BD$69+$BD$75)/(1+$AZ$41)^O$392</f>
        <v>1634.4974299967787</v>
      </c>
      <c r="P527" s="106">
        <f>VLOOKUP($A527,'VKT US'!$B$63:$AA$113,(P$392+1),FALSE)*($BD$69+$BD$75)/(1+$AZ$41)^P$392</f>
        <v>1575.2157564972431</v>
      </c>
      <c r="Q527" s="106">
        <f>VLOOKUP($A527,'VKT US'!$B$63:$AA$113,(Q$392+1),FALSE)*($BD$69+$BD$75)/(1+$AZ$41)^Q$392</f>
        <v>1519.6161168583972</v>
      </c>
      <c r="R527" s="106">
        <f>VLOOKUP($A527,'VKT US'!$B$63:$AA$113,(R$392+1),FALSE)*($BD$69+$BD$75)/(1+$AZ$41)^R$392</f>
        <v>1467.0945607981894</v>
      </c>
      <c r="S527" s="106">
        <f>VLOOKUP($A527,'VKT US'!$B$63:$AA$113,(S$392+1),FALSE)*($BD$69+$BD$75)/(1+$AZ$41)^S$392</f>
        <v>1418.0517949141263</v>
      </c>
      <c r="T527" s="106">
        <f>VLOOKUP($A527,'VKT US'!$B$63:$AA$113,(T$392+1),FALSE)*($BD$69+$BD$75)/(1+$AZ$41)^T$392</f>
        <v>1371.9001143660325</v>
      </c>
      <c r="U527" s="106">
        <f>VLOOKUP($A527,'VKT US'!$B$63:$AA$113,(U$392+1),FALSE)*($BD$69+$BD$75)/(1+$AZ$41)^U$392</f>
        <v>1329.0327553635748</v>
      </c>
      <c r="V527" s="110" cm="1">
        <f t="array" ref="V527">SUMPRODUCT(INDEX(B527:U527,,_xlfn.SEQUENCE($AZ$13)))</f>
        <v>30150.461344503019</v>
      </c>
    </row>
    <row r="528" spans="1:22" x14ac:dyDescent="0.25">
      <c r="A528" s="102" t="s">
        <v>206</v>
      </c>
      <c r="B528" s="106">
        <f>VLOOKUP($A528,'VKT US'!$B$63:$AA$113,(B$392+1),FALSE)*($BB$69+$BB$75)/(1+$AZ$41)^B$392</f>
        <v>2674.6169704348858</v>
      </c>
      <c r="C528" s="106">
        <f>VLOOKUP($A528,'VKT US'!$B$63:$AA$113,(C$392+1),FALSE)*($BD$69+$BD$75)/(1+$AZ$41)^C$392</f>
        <v>2461.4059610094619</v>
      </c>
      <c r="D528" s="106">
        <f>VLOOKUP($A528,'VKT US'!$B$63:$AA$113,(D$392+1),FALSE)*($BD$69+$BD$75)/(1+$AZ$41)^D$392</f>
        <v>2360.0128177292427</v>
      </c>
      <c r="E528" s="106">
        <f>VLOOKUP($A528,'VKT US'!$B$63:$AA$113,(E$392+1),FALSE)*($BD$69+$BD$75)/(1+$AZ$41)^E$392</f>
        <v>2263.1816879435346</v>
      </c>
      <c r="F528" s="106">
        <f>VLOOKUP($A528,'VKT US'!$B$63:$AA$113,(F$392+1),FALSE)*($BD$69+$BD$75)/(1+$AZ$41)^F$392</f>
        <v>2170.6122496147977</v>
      </c>
      <c r="G528" s="106">
        <f>VLOOKUP($A528,'VKT US'!$B$63:$AA$113,(G$392+1),FALSE)*($BD$69+$BD$75)/(1+$AZ$41)^G$392</f>
        <v>2082.5390254390895</v>
      </c>
      <c r="H528" s="106">
        <f>VLOOKUP($A528,'VKT US'!$B$63:$AA$113,(H$392+1),FALSE)*($BD$69+$BD$75)/(1+$AZ$41)^H$392</f>
        <v>1998.3197349617556</v>
      </c>
      <c r="I528" s="106">
        <f>VLOOKUP($A528,'VKT US'!$B$63:$AA$113,(I$392+1),FALSE)*($BD$69+$BD$75)/(1+$AZ$41)^I$392</f>
        <v>1918.1917949938945</v>
      </c>
      <c r="J528" s="106">
        <f>VLOOKUP($A528,'VKT US'!$B$63:$AA$113,(J$392+1),FALSE)*($BD$69+$BD$75)/(1+$AZ$41)^J$392</f>
        <v>1842.0417163150046</v>
      </c>
      <c r="K528" s="106">
        <f>VLOOKUP($A528,'VKT US'!$B$63:$AA$113,(K$392+1),FALSE)*($BD$69+$BD$75)/(1+$AZ$41)^K$392</f>
        <v>1769.7584614898174</v>
      </c>
      <c r="L528" s="106">
        <f>VLOOKUP($A528,'VKT US'!$B$63:$AA$113,(L$392+1),FALSE)*($BD$69+$BD$75)/(1+$AZ$41)^L$392</f>
        <v>1701.0689011763084</v>
      </c>
      <c r="M528" s="106">
        <f>VLOOKUP($A528,'VKT US'!$B$63:$AA$113,(M$392+1),FALSE)*($BD$69+$BD$75)/(1+$AZ$41)^M$392</f>
        <v>1636.0351624562445</v>
      </c>
      <c r="N528" s="106">
        <f>VLOOKUP($A528,'VKT US'!$B$63:$AA$113,(N$392+1),FALSE)*($BD$69+$BD$75)/(1+$AZ$41)^N$392</f>
        <v>1574.3926005073849</v>
      </c>
      <c r="O528" s="106">
        <f>VLOOKUP($A528,'VKT US'!$B$63:$AA$113,(O$392+1),FALSE)*($BD$69+$BD$75)/(1+$AZ$41)^O$392</f>
        <v>1516.203891664346</v>
      </c>
      <c r="P528" s="106">
        <f>VLOOKUP($A528,'VKT US'!$B$63:$AA$113,(P$392+1),FALSE)*($BD$69+$BD$75)/(1+$AZ$41)^P$392</f>
        <v>1461.2126127459401</v>
      </c>
      <c r="Q528" s="106">
        <f>VLOOKUP($A528,'VKT US'!$B$63:$AA$113,(Q$392+1),FALSE)*($BD$69+$BD$75)/(1+$AZ$41)^Q$392</f>
        <v>1409.6368877258526</v>
      </c>
      <c r="R528" s="106">
        <f>VLOOKUP($A528,'VKT US'!$B$63:$AA$113,(R$392+1),FALSE)*($BD$69+$BD$75)/(1+$AZ$41)^R$392</f>
        <v>1360.9164760364251</v>
      </c>
      <c r="S528" s="106">
        <f>VLOOKUP($A528,'VKT US'!$B$63:$AA$113,(S$392+1),FALSE)*($BD$69+$BD$75)/(1+$AZ$41)^S$392</f>
        <v>1315.4230839228958</v>
      </c>
      <c r="T528" s="106">
        <f>VLOOKUP($A528,'VKT US'!$B$63:$AA$113,(T$392+1),FALSE)*($BD$69+$BD$75)/(1+$AZ$41)^T$392</f>
        <v>1272.6115405275611</v>
      </c>
      <c r="U528" s="106">
        <f>VLOOKUP($A528,'VKT US'!$B$63:$AA$113,(U$392+1),FALSE)*($BD$69+$BD$75)/(1+$AZ$41)^U$392</f>
        <v>1232.8466223624546</v>
      </c>
      <c r="V528" s="110" cm="1">
        <f t="array" ref="V528">SUMPRODUCT(INDEX(B528:U528,,_xlfn.SEQUENCE($AZ$13)))</f>
        <v>27968.380975735774</v>
      </c>
    </row>
    <row r="529" spans="1:22" x14ac:dyDescent="0.25">
      <c r="A529" s="102" t="s">
        <v>208</v>
      </c>
      <c r="B529" s="106">
        <f>VLOOKUP($A529,'VKT US'!$B$63:$AA$113,(B$392+1),FALSE)*($BB$69+$BB$75)/(1+$AZ$41)^B$392</f>
        <v>2293.2302516336044</v>
      </c>
      <c r="C529" s="106">
        <f>VLOOKUP($A529,'VKT US'!$B$63:$AA$113,(C$392+1),FALSE)*($BD$69+$BD$75)/(1+$AZ$41)^C$392</f>
        <v>2110.4220431310541</v>
      </c>
      <c r="D529" s="106">
        <f>VLOOKUP($A529,'VKT US'!$B$63:$AA$113,(D$392+1),FALSE)*($BD$69+$BD$75)/(1+$AZ$41)^D$392</f>
        <v>2023.4870441952582</v>
      </c>
      <c r="E529" s="106">
        <f>VLOOKUP($A529,'VKT US'!$B$63:$AA$113,(E$392+1),FALSE)*($BD$69+$BD$75)/(1+$AZ$41)^E$392</f>
        <v>1940.4635389311231</v>
      </c>
      <c r="F529" s="106">
        <f>VLOOKUP($A529,'VKT US'!$B$63:$AA$113,(F$392+1),FALSE)*($BD$69+$BD$75)/(1+$AZ$41)^F$392</f>
        <v>1861.0940296897029</v>
      </c>
      <c r="G529" s="106">
        <f>VLOOKUP($A529,'VKT US'!$B$63:$AA$113,(G$392+1),FALSE)*($BD$69+$BD$75)/(1+$AZ$41)^G$392</f>
        <v>1785.5795974284724</v>
      </c>
      <c r="H529" s="106">
        <f>VLOOKUP($A529,'VKT US'!$B$63:$AA$113,(H$392+1),FALSE)*($BD$69+$BD$75)/(1+$AZ$41)^H$392</f>
        <v>1713.3695476050257</v>
      </c>
      <c r="I529" s="106">
        <f>VLOOKUP($A529,'VKT US'!$B$63:$AA$113,(I$392+1),FALSE)*($BD$69+$BD$75)/(1+$AZ$41)^I$392</f>
        <v>1644.6674426058551</v>
      </c>
      <c r="J529" s="106">
        <f>VLOOKUP($A529,'VKT US'!$B$63:$AA$113,(J$392+1),FALSE)*($BD$69+$BD$75)/(1+$AZ$41)^J$392</f>
        <v>1579.3759761936331</v>
      </c>
      <c r="K529" s="106">
        <f>VLOOKUP($A529,'VKT US'!$B$63:$AA$113,(K$392+1),FALSE)*($BD$69+$BD$75)/(1+$AZ$41)^K$392</f>
        <v>1517.3999443042112</v>
      </c>
      <c r="L529" s="106">
        <f>VLOOKUP($A529,'VKT US'!$B$63:$AA$113,(L$392+1),FALSE)*($BD$69+$BD$75)/(1+$AZ$41)^L$392</f>
        <v>1458.5051644446723</v>
      </c>
      <c r="M529" s="106">
        <f>VLOOKUP($A529,'VKT US'!$B$63:$AA$113,(M$392+1),FALSE)*($BD$69+$BD$75)/(1+$AZ$41)^M$392</f>
        <v>1402.74490469225</v>
      </c>
      <c r="N529" s="106">
        <f>VLOOKUP($A529,'VKT US'!$B$63:$AA$113,(N$392+1),FALSE)*($BD$69+$BD$75)/(1+$AZ$41)^N$392</f>
        <v>1349.8922572246245</v>
      </c>
      <c r="O529" s="106">
        <f>VLOOKUP($A529,'VKT US'!$B$63:$AA$113,(O$392+1),FALSE)*($BD$69+$BD$75)/(1+$AZ$41)^O$392</f>
        <v>1300.0009610512293</v>
      </c>
      <c r="P529" s="106">
        <f>VLOOKUP($A529,'VKT US'!$B$63:$AA$113,(P$392+1),FALSE)*($BD$69+$BD$75)/(1+$AZ$41)^P$392</f>
        <v>1252.8511576267765</v>
      </c>
      <c r="Q529" s="106">
        <f>VLOOKUP($A529,'VKT US'!$B$63:$AA$113,(Q$392+1),FALSE)*($BD$69+$BD$75)/(1+$AZ$41)^Q$392</f>
        <v>1208.6298675604201</v>
      </c>
      <c r="R529" s="106">
        <f>VLOOKUP($A529,'VKT US'!$B$63:$AA$113,(R$392+1),FALSE)*($BD$69+$BD$75)/(1+$AZ$41)^R$392</f>
        <v>1166.8567377278996</v>
      </c>
      <c r="S529" s="106">
        <f>VLOOKUP($A529,'VKT US'!$B$63:$AA$113,(S$392+1),FALSE)*($BD$69+$BD$75)/(1+$AZ$41)^S$392</f>
        <v>1127.8504709624524</v>
      </c>
      <c r="T529" s="106">
        <f>VLOOKUP($A529,'VKT US'!$B$63:$AA$113,(T$392+1),FALSE)*($BD$69+$BD$75)/(1+$AZ$41)^T$392</f>
        <v>1091.1436349861062</v>
      </c>
      <c r="U529" s="106">
        <f>VLOOKUP($A529,'VKT US'!$B$63:$AA$113,(U$392+1),FALSE)*($BD$69+$BD$75)/(1+$AZ$41)^U$392</f>
        <v>1057.0489910434524</v>
      </c>
      <c r="V529" s="110" cm="1">
        <f t="array" ref="V529">SUMPRODUCT(INDEX(B529:U529,,_xlfn.SEQUENCE($AZ$13)))</f>
        <v>23980.23270313071</v>
      </c>
    </row>
    <row r="530" spans="1:22" x14ac:dyDescent="0.25">
      <c r="A530" s="102" t="s">
        <v>211</v>
      </c>
      <c r="B530" s="106">
        <f>VLOOKUP($A530,'VKT US'!$B$63:$AA$113,(B$392+1),FALSE)*($BB$69+$BB$75)/(1+$AZ$41)^B$392</f>
        <v>2143.9103473395771</v>
      </c>
      <c r="C530" s="106">
        <f>VLOOKUP($A530,'VKT US'!$B$63:$AA$113,(C$392+1),FALSE)*($BD$69+$BD$75)/(1+$AZ$41)^C$392</f>
        <v>1973.0053937231507</v>
      </c>
      <c r="D530" s="106">
        <f>VLOOKUP($A530,'VKT US'!$B$63:$AA$113,(D$392+1),FALSE)*($BD$69+$BD$75)/(1+$AZ$41)^D$392</f>
        <v>1891.7310238112593</v>
      </c>
      <c r="E530" s="106">
        <f>VLOOKUP($A530,'VKT US'!$B$63:$AA$113,(E$392+1),FALSE)*($BD$69+$BD$75)/(1+$AZ$41)^E$392</f>
        <v>1814.1134571140715</v>
      </c>
      <c r="F530" s="106">
        <f>VLOOKUP($A530,'VKT US'!$B$63:$AA$113,(F$392+1),FALSE)*($BD$69+$BD$75)/(1+$AZ$41)^F$392</f>
        <v>1739.9119625172123</v>
      </c>
      <c r="G530" s="106">
        <f>VLOOKUP($A530,'VKT US'!$B$63:$AA$113,(G$392+1),FALSE)*($BD$69+$BD$75)/(1+$AZ$41)^G$392</f>
        <v>1669.314527923369</v>
      </c>
      <c r="H530" s="106">
        <f>VLOOKUP($A530,'VKT US'!$B$63:$AA$113,(H$392+1),FALSE)*($BD$69+$BD$75)/(1+$AZ$41)^H$392</f>
        <v>1601.8063163566885</v>
      </c>
      <c r="I530" s="106">
        <f>VLOOKUP($A530,'VKT US'!$B$63:$AA$113,(I$392+1),FALSE)*($BD$69+$BD$75)/(1+$AZ$41)^I$392</f>
        <v>1537.5776355747182</v>
      </c>
      <c r="J530" s="106">
        <f>VLOOKUP($A530,'VKT US'!$B$63:$AA$113,(J$392+1),FALSE)*($BD$69+$BD$75)/(1+$AZ$41)^J$392</f>
        <v>1476.5375152752315</v>
      </c>
      <c r="K530" s="106">
        <f>VLOOKUP($A530,'VKT US'!$B$63:$AA$113,(K$392+1),FALSE)*($BD$69+$BD$75)/(1+$AZ$41)^K$392</f>
        <v>1418.5969504496425</v>
      </c>
      <c r="L530" s="106">
        <f>VLOOKUP($A530,'VKT US'!$B$63:$AA$113,(L$392+1),FALSE)*($BD$69+$BD$75)/(1+$AZ$41)^L$392</f>
        <v>1363.537007011688</v>
      </c>
      <c r="M530" s="106">
        <f>VLOOKUP($A530,'VKT US'!$B$63:$AA$113,(M$392+1),FALSE)*($BD$69+$BD$75)/(1+$AZ$41)^M$392</f>
        <v>1311.4074845756388</v>
      </c>
      <c r="N530" s="106">
        <f>VLOOKUP($A530,'VKT US'!$B$63:$AA$113,(N$392+1),FALSE)*($BD$69+$BD$75)/(1+$AZ$41)^N$392</f>
        <v>1261.9962500476561</v>
      </c>
      <c r="O530" s="106">
        <f>VLOOKUP($A530,'VKT US'!$B$63:$AA$113,(O$392+1),FALSE)*($BD$69+$BD$75)/(1+$AZ$41)^O$392</f>
        <v>1215.3535433102361</v>
      </c>
      <c r="P530" s="106">
        <f>VLOOKUP($A530,'VKT US'!$B$63:$AA$113,(P$392+1),FALSE)*($BD$69+$BD$75)/(1+$AZ$41)^P$392</f>
        <v>1171.2738215445293</v>
      </c>
      <c r="Q530" s="106">
        <f>VLOOKUP($A530,'VKT US'!$B$63:$AA$113,(Q$392+1),FALSE)*($BD$69+$BD$75)/(1+$AZ$41)^Q$392</f>
        <v>1129.9319278212845</v>
      </c>
      <c r="R530" s="106">
        <f>VLOOKUP($A530,'VKT US'!$B$63:$AA$113,(R$392+1),FALSE)*($BD$69+$BD$75)/(1+$AZ$41)^R$392</f>
        <v>1090.8787864174055</v>
      </c>
      <c r="S530" s="106">
        <f>VLOOKUP($A530,'VKT US'!$B$63:$AA$113,(S$392+1),FALSE)*($BD$69+$BD$75)/(1+$AZ$41)^S$392</f>
        <v>1054.4123483569629</v>
      </c>
      <c r="T530" s="106">
        <f>VLOOKUP($A530,'VKT US'!$B$63:$AA$113,(T$392+1),FALSE)*($BD$69+$BD$75)/(1+$AZ$41)^T$392</f>
        <v>1020.0956174435601</v>
      </c>
      <c r="U530" s="106">
        <f>VLOOKUP($A530,'VKT US'!$B$63:$AA$113,(U$392+1),FALSE)*($BD$69+$BD$75)/(1+$AZ$41)^U$392</f>
        <v>988.22098998936326</v>
      </c>
      <c r="V530" s="110" cm="1">
        <f t="array" ref="V530">SUMPRODUCT(INDEX(B530:U530,,_xlfn.SEQUENCE($AZ$13)))</f>
        <v>22418.799415030142</v>
      </c>
    </row>
    <row r="531" spans="1:22" x14ac:dyDescent="0.25">
      <c r="A531" s="102" t="s">
        <v>215</v>
      </c>
      <c r="B531" s="106">
        <f>VLOOKUP($A531,'VKT US'!$B$63:$AA$113,(B$392+1),FALSE)*($BB$69+$BB$75)/(1+$AZ$41)^B$392</f>
        <v>2024.0500760010455</v>
      </c>
      <c r="C531" s="106">
        <f>VLOOKUP($A531,'VKT US'!$B$63:$AA$113,(C$392+1),FALSE)*($BD$69+$BD$75)/(1+$AZ$41)^C$392</f>
        <v>1862.6999594788952</v>
      </c>
      <c r="D531" s="106">
        <f>VLOOKUP($A531,'VKT US'!$B$63:$AA$113,(D$392+1),FALSE)*($BD$69+$BD$75)/(1+$AZ$41)^D$392</f>
        <v>1785.969421375361</v>
      </c>
      <c r="E531" s="106">
        <f>VLOOKUP($A531,'VKT US'!$B$63:$AA$113,(E$392+1),FALSE)*($BD$69+$BD$75)/(1+$AZ$41)^E$392</f>
        <v>1712.6912444369409</v>
      </c>
      <c r="F531" s="106">
        <f>VLOOKUP($A531,'VKT US'!$B$63:$AA$113,(F$392+1),FALSE)*($BD$69+$BD$75)/(1+$AZ$41)^F$392</f>
        <v>1642.6381561795263</v>
      </c>
      <c r="G531" s="106">
        <f>VLOOKUP($A531,'VKT US'!$B$63:$AA$113,(G$392+1),FALSE)*($BD$69+$BD$75)/(1+$AZ$41)^G$392</f>
        <v>1575.9876346068936</v>
      </c>
      <c r="H531" s="106">
        <f>VLOOKUP($A531,'VKT US'!$B$63:$AA$113,(H$392+1),FALSE)*($BD$69+$BD$75)/(1+$AZ$41)^H$392</f>
        <v>1512.2536258962241</v>
      </c>
      <c r="I531" s="106">
        <f>VLOOKUP($A531,'VKT US'!$B$63:$AA$113,(I$392+1),FALSE)*($BD$69+$BD$75)/(1+$AZ$41)^I$392</f>
        <v>1451.6157982092989</v>
      </c>
      <c r="J531" s="106">
        <f>VLOOKUP($A531,'VKT US'!$B$63:$AA$113,(J$392+1),FALSE)*($BD$69+$BD$75)/(1+$AZ$41)^J$392</f>
        <v>1393.9882671492417</v>
      </c>
      <c r="K531" s="106">
        <f>VLOOKUP($A531,'VKT US'!$B$63:$AA$113,(K$392+1),FALSE)*($BD$69+$BD$75)/(1+$AZ$41)^K$392</f>
        <v>1339.287003738528</v>
      </c>
      <c r="L531" s="106">
        <f>VLOOKUP($A531,'VKT US'!$B$63:$AA$113,(L$392+1),FALSE)*($BD$69+$BD$75)/(1+$AZ$41)^L$392</f>
        <v>1287.3053139078418</v>
      </c>
      <c r="M531" s="106">
        <f>VLOOKUP($A531,'VKT US'!$B$63:$AA$113,(M$392+1),FALSE)*($BD$69+$BD$75)/(1+$AZ$41)^M$392</f>
        <v>1238.0902131087264</v>
      </c>
      <c r="N531" s="106">
        <f>VLOOKUP($A531,'VKT US'!$B$63:$AA$113,(N$392+1),FALSE)*($BD$69+$BD$75)/(1+$AZ$41)^N$392</f>
        <v>1191.441428039064</v>
      </c>
      <c r="O531" s="106">
        <f>VLOOKUP($A531,'VKT US'!$B$63:$AA$113,(O$392+1),FALSE)*($BD$69+$BD$75)/(1+$AZ$41)^O$392</f>
        <v>1147.4063898044099</v>
      </c>
      <c r="P531" s="106">
        <f>VLOOKUP($A531,'VKT US'!$B$63:$AA$113,(P$392+1),FALSE)*($BD$69+$BD$75)/(1+$AZ$41)^P$392</f>
        <v>1105.7910469330541</v>
      </c>
      <c r="Q531" s="106">
        <f>VLOOKUP($A531,'VKT US'!$B$63:$AA$113,(Q$392+1),FALSE)*($BD$69+$BD$75)/(1+$AZ$41)^Q$392</f>
        <v>1066.7604674890961</v>
      </c>
      <c r="R531" s="106">
        <f>VLOOKUP($A531,'VKT US'!$B$63:$AA$113,(R$392+1),FALSE)*($BD$69+$BD$75)/(1+$AZ$41)^R$392</f>
        <v>1029.8906823673956</v>
      </c>
      <c r="S531" s="106">
        <f>VLOOKUP($A531,'VKT US'!$B$63:$AA$113,(S$392+1),FALSE)*($BD$69+$BD$75)/(1+$AZ$41)^S$392</f>
        <v>995.46298495023518</v>
      </c>
      <c r="T531" s="106">
        <f>VLOOKUP($A531,'VKT US'!$B$63:$AA$113,(T$392+1),FALSE)*($BD$69+$BD$75)/(1+$AZ$41)^T$392</f>
        <v>963.06481032526858</v>
      </c>
      <c r="U531" s="106">
        <f>VLOOKUP($A531,'VKT US'!$B$63:$AA$113,(U$392+1),FALSE)*($BD$69+$BD$75)/(1+$AZ$41)^U$392</f>
        <v>932.97220771190337</v>
      </c>
      <c r="V531" s="110" cm="1">
        <f t="array" ref="V531">SUMPRODUCT(INDEX(B531:U531,,_xlfn.SEQUENCE($AZ$13)))</f>
        <v>21165.424531932</v>
      </c>
    </row>
    <row r="532" spans="1:22" x14ac:dyDescent="0.25">
      <c r="A532" s="102" t="s">
        <v>212</v>
      </c>
      <c r="B532" s="106">
        <f>VLOOKUP($A532,'VKT US'!$B$63:$AA$113,(B$392+1),FALSE)*($BB$69+$BB$75)/(1+$AZ$41)^B$392</f>
        <v>1670.8233004660456</v>
      </c>
      <c r="C532" s="106">
        <f>VLOOKUP($A532,'VKT US'!$B$63:$AA$113,(C$392+1),FALSE)*($BD$69+$BD$75)/(1+$AZ$41)^C$392</f>
        <v>1537.6311737422102</v>
      </c>
      <c r="D532" s="106">
        <f>VLOOKUP($A532,'VKT US'!$B$63:$AA$113,(D$392+1),FALSE)*($BD$69+$BD$75)/(1+$AZ$41)^D$392</f>
        <v>1474.2912532329431</v>
      </c>
      <c r="E532" s="106">
        <f>VLOOKUP($A532,'VKT US'!$B$63:$AA$113,(E$392+1),FALSE)*($BD$69+$BD$75)/(1+$AZ$41)^E$392</f>
        <v>1413.8012056318069</v>
      </c>
      <c r="F532" s="106">
        <f>VLOOKUP($A532,'VKT US'!$B$63:$AA$113,(F$392+1),FALSE)*($BD$69+$BD$75)/(1+$AZ$41)^F$392</f>
        <v>1355.973420875936</v>
      </c>
      <c r="G532" s="106">
        <f>VLOOKUP($A532,'VKT US'!$B$63:$AA$113,(G$392+1),FALSE)*($BD$69+$BD$75)/(1+$AZ$41)^G$392</f>
        <v>1300.9544044236413</v>
      </c>
      <c r="H532" s="106">
        <f>VLOOKUP($A532,'VKT US'!$B$63:$AA$113,(H$392+1),FALSE)*($BD$69+$BD$75)/(1+$AZ$41)^H$392</f>
        <v>1248.3429260573143</v>
      </c>
      <c r="I532" s="106">
        <f>VLOOKUP($A532,'VKT US'!$B$63:$AA$113,(I$392+1),FALSE)*($BD$69+$BD$75)/(1+$AZ$41)^I$392</f>
        <v>1198.2872991781956</v>
      </c>
      <c r="J532" s="106">
        <f>VLOOKUP($A532,'VKT US'!$B$63:$AA$113,(J$392+1),FALSE)*($BD$69+$BD$75)/(1+$AZ$41)^J$392</f>
        <v>1150.7166274912047</v>
      </c>
      <c r="K532" s="106">
        <f>VLOOKUP($A532,'VKT US'!$B$63:$AA$113,(K$392+1),FALSE)*($BD$69+$BD$75)/(1+$AZ$41)^K$392</f>
        <v>1105.5615463224008</v>
      </c>
      <c r="L532" s="106">
        <f>VLOOKUP($A532,'VKT US'!$B$63:$AA$113,(L$392+1),FALSE)*($BD$69+$BD$75)/(1+$AZ$41)^L$392</f>
        <v>1062.6514327849407</v>
      </c>
      <c r="M532" s="106">
        <f>VLOOKUP($A532,'VKT US'!$B$63:$AA$113,(M$392+1),FALSE)*($BD$69+$BD$75)/(1+$AZ$41)^M$392</f>
        <v>1022.025097436356</v>
      </c>
      <c r="N532" s="106">
        <f>VLOOKUP($A532,'VKT US'!$B$63:$AA$113,(N$392+1),FALSE)*($BD$69+$BD$75)/(1+$AZ$41)^N$392</f>
        <v>983.51721763784042</v>
      </c>
      <c r="O532" s="106">
        <f>VLOOKUP($A532,'VKT US'!$B$63:$AA$113,(O$392+1),FALSE)*($BD$69+$BD$75)/(1+$AZ$41)^O$392</f>
        <v>947.16694706314365</v>
      </c>
      <c r="P532" s="106">
        <f>VLOOKUP($A532,'VKT US'!$B$63:$AA$113,(P$392+1),FALSE)*($BD$69+$BD$75)/(1+$AZ$41)^P$392</f>
        <v>912.81409910212881</v>
      </c>
      <c r="Q532" s="106">
        <f>VLOOKUP($A532,'VKT US'!$B$63:$AA$113,(Q$392+1),FALSE)*($BD$69+$BD$75)/(1+$AZ$41)^Q$392</f>
        <v>880.5949349920694</v>
      </c>
      <c r="R532" s="106">
        <f>VLOOKUP($A532,'VKT US'!$B$63:$AA$113,(R$392+1),FALSE)*($BD$69+$BD$75)/(1+$AZ$41)^R$392</f>
        <v>850.1594745284508</v>
      </c>
      <c r="S532" s="106">
        <f>VLOOKUP($A532,'VKT US'!$B$63:$AA$113,(S$392+1),FALSE)*($BD$69+$BD$75)/(1+$AZ$41)^S$392</f>
        <v>821.73992122390268</v>
      </c>
      <c r="T532" s="106">
        <f>VLOOKUP($A532,'VKT US'!$B$63:$AA$113,(T$392+1),FALSE)*($BD$69+$BD$75)/(1+$AZ$41)^T$392</f>
        <v>794.99570886582171</v>
      </c>
      <c r="U532" s="106">
        <f>VLOOKUP($A532,'VKT US'!$B$63:$AA$113,(U$392+1),FALSE)*($BD$69+$BD$75)/(1+$AZ$41)^U$392</f>
        <v>770.15471198820796</v>
      </c>
      <c r="V532" s="110" cm="1">
        <f t="array" ref="V532">SUMPRODUCT(INDEX(B532:U532,,_xlfn.SEQUENCE($AZ$13)))</f>
        <v>17471.743852343974</v>
      </c>
    </row>
    <row r="533" spans="1:22" x14ac:dyDescent="0.25">
      <c r="A533" s="102" t="s">
        <v>213</v>
      </c>
      <c r="B533" s="106">
        <f>VLOOKUP($A533,'VKT US'!$B$63:$AA$113,(B$392+1),FALSE)*($BB$69+$BB$75)/(1+$AZ$41)^B$392</f>
        <v>1770.8994065354466</v>
      </c>
      <c r="C533" s="106">
        <f>VLOOKUP($A533,'VKT US'!$B$63:$AA$113,(C$392+1),FALSE)*($BD$69+$BD$75)/(1+$AZ$41)^C$392</f>
        <v>1629.7295664304861</v>
      </c>
      <c r="D533" s="106">
        <f>VLOOKUP($A533,'VKT US'!$B$63:$AA$113,(D$392+1),FALSE)*($BD$69+$BD$75)/(1+$AZ$41)^D$392</f>
        <v>1562.5958200860484</v>
      </c>
      <c r="E533" s="106">
        <f>VLOOKUP($A533,'VKT US'!$B$63:$AA$113,(E$392+1),FALSE)*($BD$69+$BD$75)/(1+$AZ$41)^E$392</f>
        <v>1498.4826434453628</v>
      </c>
      <c r="F533" s="106">
        <f>VLOOKUP($A533,'VKT US'!$B$63:$AA$113,(F$392+1),FALSE)*($BD$69+$BD$75)/(1+$AZ$41)^F$392</f>
        <v>1437.1911893000522</v>
      </c>
      <c r="G533" s="106">
        <f>VLOOKUP($A533,'VKT US'!$B$63:$AA$113,(G$392+1),FALSE)*($BD$69+$BD$75)/(1+$AZ$41)^G$392</f>
        <v>1378.8767382408914</v>
      </c>
      <c r="H533" s="106">
        <f>VLOOKUP($A533,'VKT US'!$B$63:$AA$113,(H$392+1),FALSE)*($BD$69+$BD$75)/(1+$AZ$41)^H$392</f>
        <v>1323.1140278514126</v>
      </c>
      <c r="I533" s="106">
        <f>VLOOKUP($A533,'VKT US'!$B$63:$AA$113,(I$392+1),FALSE)*($BD$69+$BD$75)/(1+$AZ$41)^I$392</f>
        <v>1270.060254954383</v>
      </c>
      <c r="J533" s="106">
        <f>VLOOKUP($A533,'VKT US'!$B$63:$AA$113,(J$392+1),FALSE)*($BD$69+$BD$75)/(1+$AZ$41)^J$392</f>
        <v>1219.6402768301336</v>
      </c>
      <c r="K533" s="106">
        <f>VLOOKUP($A533,'VKT US'!$B$63:$AA$113,(K$392+1),FALSE)*($BD$69+$BD$75)/(1+$AZ$41)^K$392</f>
        <v>1171.7805741185482</v>
      </c>
      <c r="L533" s="106">
        <f>VLOOKUP($A533,'VKT US'!$B$63:$AA$113,(L$392+1),FALSE)*($BD$69+$BD$75)/(1+$AZ$41)^L$392</f>
        <v>1126.3003042559835</v>
      </c>
      <c r="M533" s="106">
        <f>VLOOKUP($A533,'VKT US'!$B$63:$AA$113,(M$392+1),FALSE)*($BD$69+$BD$75)/(1+$AZ$41)^M$392</f>
        <v>1083.2406024081272</v>
      </c>
      <c r="N533" s="106">
        <f>VLOOKUP($A533,'VKT US'!$B$63:$AA$113,(N$392+1),FALSE)*($BD$69+$BD$75)/(1+$AZ$41)^N$392</f>
        <v>1042.4262437245322</v>
      </c>
      <c r="O533" s="106">
        <f>VLOOKUP($A533,'VKT US'!$B$63:$AA$113,(O$392+1),FALSE)*($BD$69+$BD$75)/(1+$AZ$41)^O$392</f>
        <v>1003.8987270384902</v>
      </c>
      <c r="P533" s="106">
        <f>VLOOKUP($A533,'VKT US'!$B$63:$AA$113,(P$392+1),FALSE)*($BD$69+$BD$75)/(1+$AZ$41)^P$392</f>
        <v>967.48827115725192</v>
      </c>
      <c r="Q533" s="106">
        <f>VLOOKUP($A533,'VKT US'!$B$63:$AA$113,(Q$392+1),FALSE)*($BD$69+$BD$75)/(1+$AZ$41)^Q$392</f>
        <v>933.33929885978796</v>
      </c>
      <c r="R533" s="106">
        <f>VLOOKUP($A533,'VKT US'!$B$63:$AA$113,(R$392+1),FALSE)*($BD$69+$BD$75)/(1+$AZ$41)^R$392</f>
        <v>901.08086742803755</v>
      </c>
      <c r="S533" s="106">
        <f>VLOOKUP($A533,'VKT US'!$B$63:$AA$113,(S$392+1),FALSE)*($BD$69+$BD$75)/(1+$AZ$41)^S$392</f>
        <v>870.95908850205012</v>
      </c>
      <c r="T533" s="106">
        <f>VLOOKUP($A533,'VKT US'!$B$63:$AA$113,(T$392+1),FALSE)*($BD$69+$BD$75)/(1+$AZ$41)^T$392</f>
        <v>842.61299721880482</v>
      </c>
      <c r="U533" s="106">
        <f>VLOOKUP($A533,'VKT US'!$B$63:$AA$113,(U$392+1),FALSE)*($BD$69+$BD$75)/(1+$AZ$41)^U$392</f>
        <v>816.28411694999079</v>
      </c>
      <c r="V533" s="110" cm="1">
        <f t="array" ref="V533">SUMPRODUCT(INDEX(B533:U533,,_xlfn.SEQUENCE($AZ$13)))</f>
        <v>18518.236375219894</v>
      </c>
    </row>
    <row r="534" spans="1:22" x14ac:dyDescent="0.25">
      <c r="A534" s="102" t="s">
        <v>214</v>
      </c>
      <c r="B534" s="106">
        <f>VLOOKUP($A534,'VKT US'!$B$63:$AA$113,(B$392+1),FALSE)*($BB$69+$BB$75)/(1+$AZ$41)^B$392</f>
        <v>2766.4617084726046</v>
      </c>
      <c r="C534" s="106">
        <f>VLOOKUP($A534,'VKT US'!$B$63:$AA$113,(C$392+1),FALSE)*($BD$69+$BD$75)/(1+$AZ$41)^C$392</f>
        <v>2545.929161225542</v>
      </c>
      <c r="D534" s="106">
        <f>VLOOKUP($A534,'VKT US'!$B$63:$AA$113,(D$392+1),FALSE)*($BD$69+$BD$75)/(1+$AZ$41)^D$392</f>
        <v>2441.0542383909669</v>
      </c>
      <c r="E534" s="106">
        <f>VLOOKUP($A534,'VKT US'!$B$63:$AA$113,(E$392+1),FALSE)*($BD$69+$BD$75)/(1+$AZ$41)^E$392</f>
        <v>2340.8979858503481</v>
      </c>
      <c r="F534" s="106">
        <f>VLOOKUP($A534,'VKT US'!$B$63:$AA$113,(F$392+1),FALSE)*($BD$69+$BD$75)/(1+$AZ$41)^F$392</f>
        <v>2245.1497686880125</v>
      </c>
      <c r="G534" s="106">
        <f>VLOOKUP($A534,'VKT US'!$B$63:$AA$113,(G$392+1),FALSE)*($BD$69+$BD$75)/(1+$AZ$41)^G$392</f>
        <v>2154.0521629683403</v>
      </c>
      <c r="H534" s="106">
        <f>VLOOKUP($A534,'VKT US'!$B$63:$AA$113,(H$392+1),FALSE)*($BD$69+$BD$75)/(1+$AZ$41)^H$392</f>
        <v>2066.9408327121841</v>
      </c>
      <c r="I534" s="106">
        <f>VLOOKUP($A534,'VKT US'!$B$63:$AA$113,(I$392+1),FALSE)*($BD$69+$BD$75)/(1+$AZ$41)^I$392</f>
        <v>1984.0613474811312</v>
      </c>
      <c r="J534" s="106">
        <f>VLOOKUP($A534,'VKT US'!$B$63:$AA$113,(J$392+1),FALSE)*($BD$69+$BD$75)/(1+$AZ$41)^J$392</f>
        <v>1905.2963209031129</v>
      </c>
      <c r="K534" s="106">
        <f>VLOOKUP($A534,'VKT US'!$B$63:$AA$113,(K$392+1),FALSE)*($BD$69+$BD$75)/(1+$AZ$41)^K$392</f>
        <v>1830.5309025841168</v>
      </c>
      <c r="L534" s="106">
        <f>VLOOKUP($A534,'VKT US'!$B$63:$AA$113,(L$392+1),FALSE)*($BD$69+$BD$75)/(1+$AZ$41)^L$392</f>
        <v>1759.4825840847977</v>
      </c>
      <c r="M534" s="106">
        <f>VLOOKUP($A534,'VKT US'!$B$63:$AA$113,(M$392+1),FALSE)*($BD$69+$BD$75)/(1+$AZ$41)^M$392</f>
        <v>1692.2156258935413</v>
      </c>
      <c r="N534" s="106">
        <f>VLOOKUP($A534,'VKT US'!$B$63:$AA$113,(N$392+1),FALSE)*($BD$69+$BD$75)/(1+$AZ$41)^N$392</f>
        <v>1628.4562954440892</v>
      </c>
      <c r="O534" s="106">
        <f>VLOOKUP($A534,'VKT US'!$B$63:$AA$113,(O$392+1),FALSE)*($BD$69+$BD$75)/(1+$AZ$41)^O$392</f>
        <v>1568.2694213386901</v>
      </c>
      <c r="P534" s="106">
        <f>VLOOKUP($A534,'VKT US'!$B$63:$AA$113,(P$392+1),FALSE)*($BD$69+$BD$75)/(1+$AZ$41)^P$392</f>
        <v>1511.3897749783475</v>
      </c>
      <c r="Q534" s="106">
        <f>VLOOKUP($A534,'VKT US'!$B$63:$AA$113,(Q$392+1),FALSE)*($BD$69+$BD$75)/(1+$AZ$41)^Q$392</f>
        <v>1458.0429705828064</v>
      </c>
      <c r="R534" s="106">
        <f>VLOOKUP($A534,'VKT US'!$B$63:$AA$113,(R$392+1),FALSE)*($BD$69+$BD$75)/(1+$AZ$41)^R$392</f>
        <v>1407.6495292602881</v>
      </c>
      <c r="S534" s="106">
        <f>VLOOKUP($A534,'VKT US'!$B$63:$AA$113,(S$392+1),FALSE)*($BD$69+$BD$75)/(1+$AZ$41)^S$392</f>
        <v>1360.5939214249183</v>
      </c>
      <c r="T534" s="106">
        <f>VLOOKUP($A534,'VKT US'!$B$63:$AA$113,(T$392+1),FALSE)*($BD$69+$BD$75)/(1+$AZ$41)^T$392</f>
        <v>1316.3122553796497</v>
      </c>
      <c r="U534" s="106">
        <f>VLOOKUP($A534,'VKT US'!$B$63:$AA$113,(U$392+1),FALSE)*($BD$69+$BD$75)/(1+$AZ$41)^U$392</f>
        <v>1275.1818338425323</v>
      </c>
      <c r="V534" s="110" cm="1">
        <f t="array" ref="V534">SUMPRODUCT(INDEX(B534:U534,,_xlfn.SEQUENCE($AZ$13)))</f>
        <v>28928.798356037478</v>
      </c>
    </row>
    <row r="535" spans="1:22" x14ac:dyDescent="0.25">
      <c r="A535" s="102" t="s">
        <v>216</v>
      </c>
      <c r="B535" s="106">
        <f>VLOOKUP($A535,'VKT US'!$B$63:$AA$113,(B$392+1),FALSE)*($BB$69+$BB$75)/(1+$AZ$41)^B$392</f>
        <v>1468.2161189142855</v>
      </c>
      <c r="C535" s="106">
        <f>VLOOKUP($A535,'VKT US'!$B$63:$AA$113,(C$392+1),FALSE)*($BD$69+$BD$75)/(1+$AZ$41)^C$392</f>
        <v>1351.1751204353543</v>
      </c>
      <c r="D535" s="106">
        <f>VLOOKUP($A535,'VKT US'!$B$63:$AA$113,(D$392+1),FALSE)*($BD$69+$BD$75)/(1+$AZ$41)^D$392</f>
        <v>1295.5159180310573</v>
      </c>
      <c r="E535" s="106">
        <f>VLOOKUP($A535,'VKT US'!$B$63:$AA$113,(E$392+1),FALSE)*($BD$69+$BD$75)/(1+$AZ$41)^E$392</f>
        <v>1242.3610075763684</v>
      </c>
      <c r="F535" s="106">
        <f>VLOOKUP($A535,'VKT US'!$B$63:$AA$113,(F$392+1),FALSE)*($BD$69+$BD$75)/(1+$AZ$41)^F$392</f>
        <v>1191.5455289581366</v>
      </c>
      <c r="G535" s="106">
        <f>VLOOKUP($A535,'VKT US'!$B$63:$AA$113,(G$392+1),FALSE)*($BD$69+$BD$75)/(1+$AZ$41)^G$392</f>
        <v>1143.1982221067556</v>
      </c>
      <c r="H535" s="106">
        <f>VLOOKUP($A535,'VKT US'!$B$63:$AA$113,(H$392+1),FALSE)*($BD$69+$BD$75)/(1+$AZ$41)^H$392</f>
        <v>1096.9665107367944</v>
      </c>
      <c r="I535" s="106">
        <f>VLOOKUP($A535,'VKT US'!$B$63:$AA$113,(I$392+1),FALSE)*($BD$69+$BD$75)/(1+$AZ$41)^I$392</f>
        <v>1052.9807234870107</v>
      </c>
      <c r="J535" s="106">
        <f>VLOOKUP($A535,'VKT US'!$B$63:$AA$113,(J$392+1),FALSE)*($BD$69+$BD$75)/(1+$AZ$41)^J$392</f>
        <v>1011.1785610806465</v>
      </c>
      <c r="K535" s="106">
        <f>VLOOKUP($A535,'VKT US'!$B$63:$AA$113,(K$392+1),FALSE)*($BD$69+$BD$75)/(1+$AZ$41)^K$392</f>
        <v>971.49907013481845</v>
      </c>
      <c r="L535" s="106">
        <f>VLOOKUP($A535,'VKT US'!$B$63:$AA$113,(L$392+1),FALSE)*($BD$69+$BD$75)/(1+$AZ$41)^L$392</f>
        <v>933.7923178154274</v>
      </c>
      <c r="M535" s="106">
        <f>VLOOKUP($A535,'VKT US'!$B$63:$AA$113,(M$392+1),FALSE)*($BD$69+$BD$75)/(1+$AZ$41)^M$392</f>
        <v>898.09240843867155</v>
      </c>
      <c r="N535" s="106">
        <f>VLOOKUP($A535,'VKT US'!$B$63:$AA$113,(N$392+1),FALSE)*($BD$69+$BD$75)/(1+$AZ$41)^N$392</f>
        <v>864.2540667004256</v>
      </c>
      <c r="O535" s="106">
        <f>VLOOKUP($A535,'VKT US'!$B$63:$AA$113,(O$392+1),FALSE)*($BD$69+$BD$75)/(1+$AZ$41)^O$392</f>
        <v>832.31169842618692</v>
      </c>
      <c r="P535" s="106">
        <f>VLOOKUP($A535,'VKT US'!$B$63:$AA$113,(P$392+1),FALSE)*($BD$69+$BD$75)/(1+$AZ$41)^P$392</f>
        <v>802.12454153598458</v>
      </c>
      <c r="Q535" s="106">
        <f>VLOOKUP($A535,'VKT US'!$B$63:$AA$113,(Q$392+1),FALSE)*($BD$69+$BD$75)/(1+$AZ$41)^Q$392</f>
        <v>773.8123339727199</v>
      </c>
      <c r="R535" s="106">
        <f>VLOOKUP($A535,'VKT US'!$B$63:$AA$113,(R$392+1),FALSE)*($BD$69+$BD$75)/(1+$AZ$41)^R$392</f>
        <v>747.06753479090412</v>
      </c>
      <c r="S535" s="106">
        <f>VLOOKUP($A535,'VKT US'!$B$63:$AA$113,(S$392+1),FALSE)*($BD$69+$BD$75)/(1+$AZ$41)^S$392</f>
        <v>722.09419006771122</v>
      </c>
      <c r="T535" s="106">
        <f>VLOOKUP($A535,'VKT US'!$B$63:$AA$113,(T$392+1),FALSE)*($BD$69+$BD$75)/(1+$AZ$41)^T$392</f>
        <v>698.59303129116756</v>
      </c>
      <c r="U535" s="106">
        <f>VLOOKUP($A535,'VKT US'!$B$63:$AA$113,(U$392+1),FALSE)*($BD$69+$BD$75)/(1+$AZ$41)^U$392</f>
        <v>676.76430049992302</v>
      </c>
      <c r="V535" s="110" cm="1">
        <f t="array" ref="V535">SUMPRODUCT(INDEX(B535:U535,,_xlfn.SEQUENCE($AZ$13)))</f>
        <v>15353.087272841938</v>
      </c>
    </row>
    <row r="536" spans="1:22" x14ac:dyDescent="0.25">
      <c r="A536" s="102" t="s">
        <v>209</v>
      </c>
      <c r="B536" s="106">
        <f>VLOOKUP($A536,'VKT US'!$B$63:$AA$113,(B$392+1),FALSE)*($BB$69+$BB$75)/(1+$AZ$41)^B$392</f>
        <v>2321.10137496895</v>
      </c>
      <c r="C536" s="106">
        <f>VLOOKUP($A536,'VKT US'!$B$63:$AA$113,(C$392+1),FALSE)*($BD$69+$BD$75)/(1+$AZ$41)^C$392</f>
        <v>2136.0713790456821</v>
      </c>
      <c r="D536" s="106">
        <f>VLOOKUP($A536,'VKT US'!$B$63:$AA$113,(D$392+1),FALSE)*($BD$69+$BD$75)/(1+$AZ$41)^D$392</f>
        <v>2048.0798023520392</v>
      </c>
      <c r="E536" s="106">
        <f>VLOOKUP($A536,'VKT US'!$B$63:$AA$113,(E$392+1),FALSE)*($BD$69+$BD$75)/(1+$AZ$41)^E$392</f>
        <v>1964.0472582644798</v>
      </c>
      <c r="F536" s="106">
        <f>VLOOKUP($A536,'VKT US'!$B$63:$AA$113,(F$392+1),FALSE)*($BD$69+$BD$75)/(1+$AZ$41)^F$392</f>
        <v>1883.7131195971408</v>
      </c>
      <c r="G536" s="106">
        <f>VLOOKUP($A536,'VKT US'!$B$63:$AA$113,(G$392+1),FALSE)*($BD$69+$BD$75)/(1+$AZ$41)^G$392</f>
        <v>1807.2809111755564</v>
      </c>
      <c r="H536" s="106">
        <f>VLOOKUP($A536,'VKT US'!$B$63:$AA$113,(H$392+1),FALSE)*($BD$69+$BD$75)/(1+$AZ$41)^H$392</f>
        <v>1734.1932455072783</v>
      </c>
      <c r="I536" s="106">
        <f>VLOOKUP($A536,'VKT US'!$B$63:$AA$113,(I$392+1),FALSE)*($BD$69+$BD$75)/(1+$AZ$41)^I$392</f>
        <v>1664.6561590052838</v>
      </c>
      <c r="J536" s="106">
        <f>VLOOKUP($A536,'VKT US'!$B$63:$AA$113,(J$392+1),FALSE)*($BD$69+$BD$75)/(1+$AZ$41)^J$392</f>
        <v>1598.5711628060619</v>
      </c>
      <c r="K536" s="106">
        <f>VLOOKUP($A536,'VKT US'!$B$63:$AA$113,(K$392+1),FALSE)*($BD$69+$BD$75)/(1+$AZ$41)^K$392</f>
        <v>1535.8418957683618</v>
      </c>
      <c r="L536" s="106">
        <f>VLOOKUP($A536,'VKT US'!$B$63:$AA$113,(L$392+1),FALSE)*($BD$69+$BD$75)/(1+$AZ$41)^L$392</f>
        <v>1476.231329226651</v>
      </c>
      <c r="M536" s="106">
        <f>VLOOKUP($A536,'VKT US'!$B$63:$AA$113,(M$392+1),FALSE)*($BD$69+$BD$75)/(1+$AZ$41)^M$392</f>
        <v>1419.7933786598576</v>
      </c>
      <c r="N536" s="106">
        <f>VLOOKUP($A536,'VKT US'!$B$63:$AA$113,(N$392+1),FALSE)*($BD$69+$BD$75)/(1+$AZ$41)^N$392</f>
        <v>1366.2983784868634</v>
      </c>
      <c r="O536" s="106">
        <f>VLOOKUP($A536,'VKT US'!$B$63:$AA$113,(O$392+1),FALSE)*($BD$69+$BD$75)/(1+$AZ$41)^O$392</f>
        <v>1315.800720842343</v>
      </c>
      <c r="P536" s="106">
        <f>VLOOKUP($A536,'VKT US'!$B$63:$AA$113,(P$392+1),FALSE)*($BD$69+$BD$75)/(1+$AZ$41)^P$392</f>
        <v>1268.0778750966738</v>
      </c>
      <c r="Q536" s="106">
        <f>VLOOKUP($A536,'VKT US'!$B$63:$AA$113,(Q$392+1),FALSE)*($BD$69+$BD$75)/(1+$AZ$41)^Q$392</f>
        <v>1223.3191348424832</v>
      </c>
      <c r="R536" s="106">
        <f>VLOOKUP($A536,'VKT US'!$B$63:$AA$113,(R$392+1),FALSE)*($BD$69+$BD$75)/(1+$AZ$41)^R$392</f>
        <v>1181.0383089106128</v>
      </c>
      <c r="S536" s="106">
        <f>VLOOKUP($A536,'VKT US'!$B$63:$AA$113,(S$392+1),FALSE)*($BD$69+$BD$75)/(1+$AZ$41)^S$392</f>
        <v>1141.5579735377519</v>
      </c>
      <c r="T536" s="106">
        <f>VLOOKUP($A536,'VKT US'!$B$63:$AA$113,(T$392+1),FALSE)*($BD$69+$BD$75)/(1+$AZ$41)^T$392</f>
        <v>1104.4050154365041</v>
      </c>
      <c r="U536" s="106">
        <f>VLOOKUP($A536,'VKT US'!$B$63:$AA$113,(U$392+1),FALSE)*($BD$69+$BD$75)/(1+$AZ$41)^U$392</f>
        <v>1069.8959970429098</v>
      </c>
      <c r="V536" s="110" cm="1">
        <f t="array" ref="V536">SUMPRODUCT(INDEX(B536:U536,,_xlfn.SEQUENCE($AZ$13)))</f>
        <v>24271.680115706553</v>
      </c>
    </row>
    <row r="537" spans="1:22" x14ac:dyDescent="0.25">
      <c r="A537" s="102" t="s">
        <v>210</v>
      </c>
      <c r="B537" s="106">
        <f>VLOOKUP($A537,'VKT US'!$B$63:$AA$113,(B$392+1),FALSE)*($BB$69+$BB$75)/(1+$AZ$41)^B$392</f>
        <v>2551.8684997869914</v>
      </c>
      <c r="C537" s="106">
        <f>VLOOKUP($A537,'VKT US'!$B$63:$AA$113,(C$392+1),FALSE)*($BD$69+$BD$75)/(1+$AZ$41)^C$392</f>
        <v>2348.4425644942608</v>
      </c>
      <c r="D537" s="106">
        <f>VLOOKUP($A537,'VKT US'!$B$63:$AA$113,(D$392+1),FALSE)*($BD$69+$BD$75)/(1+$AZ$41)^D$392</f>
        <v>2251.7027429454915</v>
      </c>
      <c r="E537" s="106">
        <f>VLOOKUP($A537,'VKT US'!$B$63:$AA$113,(E$392+1),FALSE)*($BD$69+$BD$75)/(1+$AZ$41)^E$392</f>
        <v>2159.3155665271961</v>
      </c>
      <c r="F537" s="106">
        <f>VLOOKUP($A537,'VKT US'!$B$63:$AA$113,(F$392+1),FALSE)*($BD$69+$BD$75)/(1+$AZ$41)^F$392</f>
        <v>2070.9944961364445</v>
      </c>
      <c r="G537" s="106">
        <f>VLOOKUP($A537,'VKT US'!$B$63:$AA$113,(G$392+1),FALSE)*($BD$69+$BD$75)/(1+$AZ$41)^G$392</f>
        <v>1986.9632913198068</v>
      </c>
      <c r="H537" s="106">
        <f>VLOOKUP($A537,'VKT US'!$B$63:$AA$113,(H$392+1),FALSE)*($BD$69+$BD$75)/(1+$AZ$41)^H$392</f>
        <v>1906.609148345618</v>
      </c>
      <c r="I537" s="106">
        <f>VLOOKUP($A537,'VKT US'!$B$63:$AA$113,(I$392+1),FALSE)*($BD$69+$BD$75)/(1+$AZ$41)^I$392</f>
        <v>1830.1585880534046</v>
      </c>
      <c r="J537" s="106">
        <f>VLOOKUP($A537,'VKT US'!$B$63:$AA$113,(J$392+1),FALSE)*($BD$69+$BD$75)/(1+$AZ$41)^J$392</f>
        <v>1757.5033296799552</v>
      </c>
      <c r="K537" s="106">
        <f>VLOOKUP($A537,'VKT US'!$B$63:$AA$113,(K$392+1),FALSE)*($BD$69+$BD$75)/(1+$AZ$41)^K$392</f>
        <v>1688.5374317254232</v>
      </c>
      <c r="L537" s="106">
        <f>VLOOKUP($A537,'VKT US'!$B$63:$AA$113,(L$392+1),FALSE)*($BD$69+$BD$75)/(1+$AZ$41)^L$392</f>
        <v>1623.0002998048997</v>
      </c>
      <c r="M537" s="106">
        <f>VLOOKUP($A537,'VKT US'!$B$63:$AA$113,(M$392+1),FALSE)*($BD$69+$BD$75)/(1+$AZ$41)^M$392</f>
        <v>1560.9512097491659</v>
      </c>
      <c r="N537" s="106">
        <f>VLOOKUP($A537,'VKT US'!$B$63:$AA$113,(N$392+1),FALSE)*($BD$69+$BD$75)/(1+$AZ$41)^N$392</f>
        <v>1502.137662305815</v>
      </c>
      <c r="O537" s="106">
        <f>VLOOKUP($A537,'VKT US'!$B$63:$AA$113,(O$392+1),FALSE)*($BD$69+$BD$75)/(1+$AZ$41)^O$392</f>
        <v>1446.6194573511507</v>
      </c>
      <c r="P537" s="106">
        <f>VLOOKUP($A537,'VKT US'!$B$63:$AA$113,(P$392+1),FALSE)*($BD$69+$BD$75)/(1+$AZ$41)^P$392</f>
        <v>1394.1519399510557</v>
      </c>
      <c r="Q537" s="106">
        <f>VLOOKUP($A537,'VKT US'!$B$63:$AA$113,(Q$392+1),FALSE)*($BD$69+$BD$75)/(1+$AZ$41)^Q$392</f>
        <v>1344.9432235302384</v>
      </c>
      <c r="R537" s="106">
        <f>VLOOKUP($A537,'VKT US'!$B$63:$AA$113,(R$392+1),FALSE)*($BD$69+$BD$75)/(1+$AZ$41)^R$392</f>
        <v>1298.4587791177403</v>
      </c>
      <c r="S537" s="106">
        <f>VLOOKUP($A537,'VKT US'!$B$63:$AA$113,(S$392+1),FALSE)*($BD$69+$BD$75)/(1+$AZ$41)^S$392</f>
        <v>1255.0532539280541</v>
      </c>
      <c r="T537" s="106">
        <f>VLOOKUP($A537,'VKT US'!$B$63:$AA$113,(T$392+1),FALSE)*($BD$69+$BD$75)/(1+$AZ$41)^T$392</f>
        <v>1214.2064970931663</v>
      </c>
      <c r="U537" s="106">
        <f>VLOOKUP($A537,'VKT US'!$B$63:$AA$113,(U$392+1),FALSE)*($BD$69+$BD$75)/(1+$AZ$41)^U$392</f>
        <v>1176.2665441265015</v>
      </c>
      <c r="V537" s="110" cm="1">
        <f t="array" ref="V537">SUMPRODUCT(INDEX(B537:U537,,_xlfn.SEQUENCE($AZ$13)))</f>
        <v>26684.804288225623</v>
      </c>
    </row>
    <row r="538" spans="1:22" x14ac:dyDescent="0.25">
      <c r="A538" s="102" t="s">
        <v>217</v>
      </c>
      <c r="B538" s="106">
        <f>VLOOKUP($A538,'VKT US'!$B$63:$AA$113,(B$392+1),FALSE)*($BB$69+$BB$75)/(1+$AZ$41)^B$392</f>
        <v>2061.8854869536904</v>
      </c>
      <c r="C538" s="106">
        <f>VLOOKUP($A538,'VKT US'!$B$63:$AA$113,(C$392+1),FALSE)*($BD$69+$BD$75)/(1+$AZ$41)^C$392</f>
        <v>1897.5192652282867</v>
      </c>
      <c r="D538" s="106">
        <f>VLOOKUP($A538,'VKT US'!$B$63:$AA$113,(D$392+1),FALSE)*($BD$69+$BD$75)/(1+$AZ$41)^D$392</f>
        <v>1819.3544091322351</v>
      </c>
      <c r="E538" s="106">
        <f>VLOOKUP($A538,'VKT US'!$B$63:$AA$113,(E$392+1),FALSE)*($BD$69+$BD$75)/(1+$AZ$41)^E$392</f>
        <v>1744.7064489205652</v>
      </c>
      <c r="F538" s="106">
        <f>VLOOKUP($A538,'VKT US'!$B$63:$AA$113,(F$392+1),FALSE)*($BD$69+$BD$75)/(1+$AZ$41)^F$392</f>
        <v>1673.3438637222657</v>
      </c>
      <c r="G538" s="106">
        <f>VLOOKUP($A538,'VKT US'!$B$63:$AA$113,(G$392+1),FALSE)*($BD$69+$BD$75)/(1+$AZ$41)^G$392</f>
        <v>1605.4474491236606</v>
      </c>
      <c r="H538" s="106">
        <f>VLOOKUP($A538,'VKT US'!$B$63:$AA$113,(H$392+1),FALSE)*($BD$69+$BD$75)/(1+$AZ$41)^H$392</f>
        <v>1540.5220655355515</v>
      </c>
      <c r="I538" s="106">
        <f>VLOOKUP($A538,'VKT US'!$B$63:$AA$113,(I$392+1),FALSE)*($BD$69+$BD$75)/(1+$AZ$41)^I$392</f>
        <v>1478.7507396427202</v>
      </c>
      <c r="J538" s="106">
        <f>VLOOKUP($A538,'VKT US'!$B$63:$AA$113,(J$392+1),FALSE)*($BD$69+$BD$75)/(1+$AZ$41)^J$392</f>
        <v>1420.0459816179277</v>
      </c>
      <c r="K538" s="106">
        <f>VLOOKUP($A538,'VKT US'!$B$63:$AA$113,(K$392+1),FALSE)*($BD$69+$BD$75)/(1+$AZ$41)^K$392</f>
        <v>1364.3221917364942</v>
      </c>
      <c r="L538" s="106">
        <f>VLOOKUP($A538,'VKT US'!$B$63:$AA$113,(L$392+1),FALSE)*($BD$69+$BD$75)/(1+$AZ$41)^L$392</f>
        <v>1311.3688122129113</v>
      </c>
      <c r="M538" s="106">
        <f>VLOOKUP($A538,'VKT US'!$B$63:$AA$113,(M$392+1),FALSE)*($BD$69+$BD$75)/(1+$AZ$41)^M$392</f>
        <v>1261.2337373549085</v>
      </c>
      <c r="N538" s="106">
        <f>VLOOKUP($A538,'VKT US'!$B$63:$AA$113,(N$392+1),FALSE)*($BD$69+$BD$75)/(1+$AZ$41)^N$392</f>
        <v>1213.7129501670775</v>
      </c>
      <c r="O538" s="106">
        <f>VLOOKUP($A538,'VKT US'!$B$63:$AA$113,(O$392+1),FALSE)*($BD$69+$BD$75)/(1+$AZ$41)^O$392</f>
        <v>1168.8547683809479</v>
      </c>
      <c r="P538" s="106">
        <f>VLOOKUP($A538,'VKT US'!$B$63:$AA$113,(P$392+1),FALSE)*($BD$69+$BD$75)/(1+$AZ$41)^P$392</f>
        <v>1126.4615131357125</v>
      </c>
      <c r="Q538" s="106">
        <f>VLOOKUP($A538,'VKT US'!$B$63:$AA$113,(Q$392+1),FALSE)*($BD$69+$BD$75)/(1+$AZ$41)^Q$392</f>
        <v>1086.7013380999797</v>
      </c>
      <c r="R538" s="106">
        <f>VLOOKUP($A538,'VKT US'!$B$63:$AA$113,(R$392+1),FALSE)*($BD$69+$BD$75)/(1+$AZ$41)^R$392</f>
        <v>1049.1423489470374</v>
      </c>
      <c r="S538" s="106">
        <f>VLOOKUP($A538,'VKT US'!$B$63:$AA$113,(S$392+1),FALSE)*($BD$69+$BD$75)/(1+$AZ$41)^S$392</f>
        <v>1014.0710972545277</v>
      </c>
      <c r="T538" s="106">
        <f>VLOOKUP($A538,'VKT US'!$B$63:$AA$113,(T$392+1),FALSE)*($BD$69+$BD$75)/(1+$AZ$41)^T$392</f>
        <v>981.06730606622318</v>
      </c>
      <c r="U538" s="106">
        <f>VLOOKUP($A538,'VKT US'!$B$63:$AA$113,(U$392+1),FALSE)*($BD$69+$BD$75)/(1+$AZ$41)^U$392</f>
        <v>950.41218476816186</v>
      </c>
      <c r="V538" s="110" cm="1">
        <f t="array" ref="V538">SUMPRODUCT(INDEX(B538:U538,,_xlfn.SEQUENCE($AZ$13)))</f>
        <v>21561.068169729242</v>
      </c>
    </row>
    <row r="539" spans="1:22" x14ac:dyDescent="0.25">
      <c r="A539" s="102" t="s">
        <v>218</v>
      </c>
      <c r="B539" s="106">
        <f>VLOOKUP($A539,'VKT US'!$B$63:$AA$113,(B$392+1),FALSE)*($BB$69+$BB$75)/(1+$AZ$41)^B$392</f>
        <v>2555.9119788200987</v>
      </c>
      <c r="C539" s="106">
        <f>VLOOKUP($A539,'VKT US'!$B$63:$AA$113,(C$392+1),FALSE)*($BD$69+$BD$75)/(1+$AZ$41)^C$392</f>
        <v>2352.1637116735851</v>
      </c>
      <c r="D539" s="106">
        <f>VLOOKUP($A539,'VKT US'!$B$63:$AA$113,(D$392+1),FALSE)*($BD$69+$BD$75)/(1+$AZ$41)^D$392</f>
        <v>2255.2706042324858</v>
      </c>
      <c r="E539" s="106">
        <f>VLOOKUP($A539,'VKT US'!$B$63:$AA$113,(E$392+1),FALSE)*($BD$69+$BD$75)/(1+$AZ$41)^E$392</f>
        <v>2162.7370387620872</v>
      </c>
      <c r="F539" s="106">
        <f>VLOOKUP($A539,'VKT US'!$B$63:$AA$113,(F$392+1),FALSE)*($BD$69+$BD$75)/(1+$AZ$41)^F$392</f>
        <v>2074.2760221333788</v>
      </c>
      <c r="G539" s="106">
        <f>VLOOKUP($A539,'VKT US'!$B$63:$AA$113,(G$392+1),FALSE)*($BD$69+$BD$75)/(1+$AZ$41)^G$392</f>
        <v>1990.1116684437361</v>
      </c>
      <c r="H539" s="106">
        <f>VLOOKUP($A539,'VKT US'!$B$63:$AA$113,(H$392+1),FALSE)*($BD$69+$BD$75)/(1+$AZ$41)^H$392</f>
        <v>1909.6302029635613</v>
      </c>
      <c r="I539" s="106">
        <f>VLOOKUP($A539,'VKT US'!$B$63:$AA$113,(I$392+1),FALSE)*($BD$69+$BD$75)/(1+$AZ$41)^I$392</f>
        <v>1833.0585054585031</v>
      </c>
      <c r="J539" s="106">
        <f>VLOOKUP($A539,'VKT US'!$B$63:$AA$113,(J$392+1),FALSE)*($BD$69+$BD$75)/(1+$AZ$41)^J$392</f>
        <v>1760.2881235926393</v>
      </c>
      <c r="K539" s="106">
        <f>VLOOKUP($A539,'VKT US'!$B$63:$AA$113,(K$392+1),FALSE)*($BD$69+$BD$75)/(1+$AZ$41)^K$392</f>
        <v>1691.2129480000149</v>
      </c>
      <c r="L539" s="106">
        <f>VLOOKUP($A539,'VKT US'!$B$63:$AA$113,(L$392+1),FALSE)*($BD$69+$BD$75)/(1+$AZ$41)^L$392</f>
        <v>1625.5719713794872</v>
      </c>
      <c r="M539" s="106">
        <f>VLOOKUP($A539,'VKT US'!$B$63:$AA$113,(M$392+1),FALSE)*($BD$69+$BD$75)/(1+$AZ$41)^M$392</f>
        <v>1563.4245634853989</v>
      </c>
      <c r="N539" s="106">
        <f>VLOOKUP($A539,'VKT US'!$B$63:$AA$113,(N$392+1),FALSE)*($BD$69+$BD$75)/(1+$AZ$41)^N$392</f>
        <v>1504.5178249759842</v>
      </c>
      <c r="O539" s="106">
        <f>VLOOKUP($A539,'VKT US'!$B$63:$AA$113,(O$392+1),FALSE)*($BD$69+$BD$75)/(1+$AZ$41)^O$392</f>
        <v>1448.9116504814676</v>
      </c>
      <c r="P539" s="106">
        <f>VLOOKUP($A539,'VKT US'!$B$63:$AA$113,(P$392+1),FALSE)*($BD$69+$BD$75)/(1+$AZ$41)^P$392</f>
        <v>1396.3609974078286</v>
      </c>
      <c r="Q539" s="106">
        <f>VLOOKUP($A539,'VKT US'!$B$63:$AA$113,(Q$392+1),FALSE)*($BD$69+$BD$75)/(1+$AZ$41)^Q$392</f>
        <v>1347.0743089390351</v>
      </c>
      <c r="R539" s="106">
        <f>VLOOKUP($A539,'VKT US'!$B$63:$AA$113,(R$392+1),FALSE)*($BD$69+$BD$75)/(1+$AZ$41)^R$392</f>
        <v>1300.5162091338855</v>
      </c>
      <c r="S539" s="106">
        <f>VLOOKUP($A539,'VKT US'!$B$63:$AA$113,(S$392+1),FALSE)*($BD$69+$BD$75)/(1+$AZ$41)^S$392</f>
        <v>1257.0419071514134</v>
      </c>
      <c r="T539" s="106">
        <f>VLOOKUP($A539,'VKT US'!$B$63:$AA$113,(T$392+1),FALSE)*($BD$69+$BD$75)/(1+$AZ$41)^T$392</f>
        <v>1216.1304279357112</v>
      </c>
      <c r="U539" s="106">
        <f>VLOOKUP($A539,'VKT US'!$B$63:$AA$113,(U$392+1),FALSE)*($BD$69+$BD$75)/(1+$AZ$41)^U$392</f>
        <v>1178.1303584683915</v>
      </c>
      <c r="V539" s="110" cm="1">
        <f t="array" ref="V539">SUMPRODUCT(INDEX(B539:U539,,_xlfn.SEQUENCE($AZ$13)))</f>
        <v>26727.086814402428</v>
      </c>
    </row>
    <row r="540" spans="1:22" x14ac:dyDescent="0.25">
      <c r="A540" s="102" t="s">
        <v>219</v>
      </c>
      <c r="B540" s="106">
        <f>VLOOKUP($A540,'VKT US'!$B$63:$AA$113,(B$392+1),FALSE)*($BB$69+$BB$75)/(1+$AZ$41)^B$392</f>
        <v>1764.4009580893814</v>
      </c>
      <c r="C540" s="106">
        <f>VLOOKUP($A540,'VKT US'!$B$63:$AA$113,(C$392+1),FALSE)*($BD$69+$BD$75)/(1+$AZ$41)^C$392</f>
        <v>1623.7491513208577</v>
      </c>
      <c r="D540" s="106">
        <f>VLOOKUP($A540,'VKT US'!$B$63:$AA$113,(D$392+1),FALSE)*($BD$69+$BD$75)/(1+$AZ$41)^D$392</f>
        <v>1556.8617573033794</v>
      </c>
      <c r="E540" s="106">
        <f>VLOOKUP($A540,'VKT US'!$B$63:$AA$113,(E$392+1),FALSE)*($BD$69+$BD$75)/(1+$AZ$41)^E$392</f>
        <v>1492.9838487821451</v>
      </c>
      <c r="F540" s="106">
        <f>VLOOKUP($A540,'VKT US'!$B$63:$AA$113,(F$392+1),FALSE)*($BD$69+$BD$75)/(1+$AZ$41)^F$392</f>
        <v>1431.917308233551</v>
      </c>
      <c r="G540" s="106">
        <f>VLOOKUP($A540,'VKT US'!$B$63:$AA$113,(G$392+1),FALSE)*($BD$69+$BD$75)/(1+$AZ$41)^G$392</f>
        <v>1373.8168464345765</v>
      </c>
      <c r="H540" s="106">
        <f>VLOOKUP($A540,'VKT US'!$B$63:$AA$113,(H$392+1),FALSE)*($BD$69+$BD$75)/(1+$AZ$41)^H$392</f>
        <v>1318.2587615011464</v>
      </c>
      <c r="I540" s="106">
        <f>VLOOKUP($A540,'VKT US'!$B$63:$AA$113,(I$392+1),FALSE)*($BD$69+$BD$75)/(1+$AZ$41)^I$392</f>
        <v>1265.3996734104746</v>
      </c>
      <c r="J540" s="106">
        <f>VLOOKUP($A540,'VKT US'!$B$63:$AA$113,(J$392+1),FALSE)*($BD$69+$BD$75)/(1+$AZ$41)^J$392</f>
        <v>1215.1647151847487</v>
      </c>
      <c r="K540" s="106">
        <f>VLOOKUP($A540,'VKT US'!$B$63:$AA$113,(K$392+1),FALSE)*($BD$69+$BD$75)/(1+$AZ$41)^K$392</f>
        <v>1167.4806372486685</v>
      </c>
      <c r="L540" s="106">
        <f>VLOOKUP($A540,'VKT US'!$B$63:$AA$113,(L$392+1),FALSE)*($BD$69+$BD$75)/(1+$AZ$41)^L$392</f>
        <v>1122.1672606539678</v>
      </c>
      <c r="M540" s="106">
        <f>VLOOKUP($A540,'VKT US'!$B$63:$AA$113,(M$392+1),FALSE)*($BD$69+$BD$75)/(1+$AZ$41)^M$392</f>
        <v>1079.2655696177526</v>
      </c>
      <c r="N540" s="106">
        <f>VLOOKUP($A540,'VKT US'!$B$63:$AA$113,(N$392+1),FALSE)*($BD$69+$BD$75)/(1+$AZ$41)^N$392</f>
        <v>1038.6009822903313</v>
      </c>
      <c r="O540" s="106">
        <f>VLOOKUP($A540,'VKT US'!$B$63:$AA$113,(O$392+1),FALSE)*($BD$69+$BD$75)/(1+$AZ$41)^O$392</f>
        <v>1000.2148452219092</v>
      </c>
      <c r="P540" s="106">
        <f>VLOOKUP($A540,'VKT US'!$B$63:$AA$113,(P$392+1),FALSE)*($BD$69+$BD$75)/(1+$AZ$41)^P$392</f>
        <v>963.93800024458164</v>
      </c>
      <c r="Q540" s="106">
        <f>VLOOKUP($A540,'VKT US'!$B$63:$AA$113,(Q$392+1),FALSE)*($BD$69+$BD$75)/(1+$AZ$41)^Q$392</f>
        <v>929.91434016707899</v>
      </c>
      <c r="R540" s="106">
        <f>VLOOKUP($A540,'VKT US'!$B$63:$AA$113,(R$392+1),FALSE)*($BD$69+$BD$75)/(1+$AZ$41)^R$392</f>
        <v>897.77428347351895</v>
      </c>
      <c r="S540" s="106">
        <f>VLOOKUP($A540,'VKT US'!$B$63:$AA$113,(S$392+1),FALSE)*($BD$69+$BD$75)/(1+$AZ$41)^S$392</f>
        <v>867.76303867879369</v>
      </c>
      <c r="T540" s="106">
        <f>VLOOKUP($A540,'VKT US'!$B$63:$AA$113,(T$392+1),FALSE)*($BD$69+$BD$75)/(1+$AZ$41)^T$392</f>
        <v>839.52096550757221</v>
      </c>
      <c r="U540" s="106">
        <f>VLOOKUP($A540,'VKT US'!$B$63:$AA$113,(U$392+1),FALSE)*($BD$69+$BD$75)/(1+$AZ$41)^U$392</f>
        <v>813.28870104338148</v>
      </c>
      <c r="V540" s="110" cm="1">
        <f t="array" ref="V540">SUMPRODUCT(INDEX(B540:U540,,_xlfn.SEQUENCE($AZ$13)))</f>
        <v>18450.282315292894</v>
      </c>
    </row>
    <row r="541" spans="1:22" x14ac:dyDescent="0.25">
      <c r="A541" s="102" t="s">
        <v>220</v>
      </c>
      <c r="B541" s="106">
        <f>VLOOKUP($A541,'VKT US'!$B$63:$AA$113,(B$392+1),FALSE)*($BB$69+$BB$75)/(1+$AZ$41)^B$392</f>
        <v>1652.7720547825315</v>
      </c>
      <c r="C541" s="106">
        <f>VLOOKUP($A541,'VKT US'!$B$63:$AA$113,(C$392+1),FALSE)*($BD$69+$BD$75)/(1+$AZ$41)^C$392</f>
        <v>1521.0189095487983</v>
      </c>
      <c r="D541" s="106">
        <f>VLOOKUP($A541,'VKT US'!$B$63:$AA$113,(D$392+1),FALSE)*($BD$69+$BD$75)/(1+$AZ$41)^D$392</f>
        <v>1458.3633010588619</v>
      </c>
      <c r="E541" s="106">
        <f>VLOOKUP($A541,'VKT US'!$B$63:$AA$113,(E$392+1),FALSE)*($BD$69+$BD$75)/(1+$AZ$41)^E$392</f>
        <v>1398.526776011757</v>
      </c>
      <c r="F541" s="106">
        <f>VLOOKUP($A541,'VKT US'!$B$63:$AA$113,(F$392+1),FALSE)*($BD$69+$BD$75)/(1+$AZ$41)^F$392</f>
        <v>1341.3237512467665</v>
      </c>
      <c r="G541" s="106">
        <f>VLOOKUP($A541,'VKT US'!$B$63:$AA$113,(G$392+1),FALSE)*($BD$69+$BD$75)/(1+$AZ$41)^G$392</f>
        <v>1286.8991494060999</v>
      </c>
      <c r="H541" s="106">
        <f>VLOOKUP($A541,'VKT US'!$B$63:$AA$113,(H$392+1),FALSE)*($BD$69+$BD$75)/(1+$AZ$41)^H$392</f>
        <v>1234.8560750843526</v>
      </c>
      <c r="I541" s="106">
        <f>VLOOKUP($A541,'VKT US'!$B$63:$AA$113,(I$392+1),FALSE)*($BD$69+$BD$75)/(1+$AZ$41)^I$392</f>
        <v>1185.3412393340059</v>
      </c>
      <c r="J541" s="106">
        <f>VLOOKUP($A541,'VKT US'!$B$63:$AA$113,(J$392+1),FALSE)*($BD$69+$BD$75)/(1+$AZ$41)^J$392</f>
        <v>1138.28451180958</v>
      </c>
      <c r="K541" s="106">
        <f>VLOOKUP($A541,'VKT US'!$B$63:$AA$113,(K$392+1),FALSE)*($BD$69+$BD$75)/(1+$AZ$41)^K$392</f>
        <v>1093.6172772394016</v>
      </c>
      <c r="L541" s="106">
        <f>VLOOKUP($A541,'VKT US'!$B$63:$AA$113,(L$392+1),FALSE)*($BD$69+$BD$75)/(1+$AZ$41)^L$392</f>
        <v>1051.1707561126748</v>
      </c>
      <c r="M541" s="106">
        <f>VLOOKUP($A541,'VKT US'!$B$63:$AA$113,(M$392+1),FALSE)*($BD$69+$BD$75)/(1+$AZ$41)^M$392</f>
        <v>1010.9833396853151</v>
      </c>
      <c r="N541" s="106">
        <f>VLOOKUP($A541,'VKT US'!$B$63:$AA$113,(N$392+1),FALSE)*($BD$69+$BD$75)/(1+$AZ$41)^N$392</f>
        <v>972.8914914317271</v>
      </c>
      <c r="O541" s="106">
        <f>VLOOKUP($A541,'VKT US'!$B$63:$AA$113,(O$392+1),FALSE)*($BD$69+$BD$75)/(1+$AZ$41)^O$392</f>
        <v>936.93394201708554</v>
      </c>
      <c r="P541" s="106">
        <f>VLOOKUP($A541,'VKT US'!$B$63:$AA$113,(P$392+1),FALSE)*($BD$69+$BD$75)/(1+$AZ$41)^P$392</f>
        <v>902.95223545582212</v>
      </c>
      <c r="Q541" s="106">
        <f>VLOOKUP($A541,'VKT US'!$B$63:$AA$113,(Q$392+1),FALSE)*($BD$69+$BD$75)/(1+$AZ$41)^Q$392</f>
        <v>871.08116084565552</v>
      </c>
      <c r="R541" s="106">
        <f>VLOOKUP($A541,'VKT US'!$B$63:$AA$113,(R$392+1),FALSE)*($BD$69+$BD$75)/(1+$AZ$41)^R$392</f>
        <v>840.97451909923257</v>
      </c>
      <c r="S541" s="106">
        <f>VLOOKUP($A541,'VKT US'!$B$63:$AA$113,(S$392+1),FALSE)*($BD$69+$BD$75)/(1+$AZ$41)^S$392</f>
        <v>812.86200504819067</v>
      </c>
      <c r="T541" s="106">
        <f>VLOOKUP($A541,'VKT US'!$B$63:$AA$113,(T$392+1),FALSE)*($BD$69+$BD$75)/(1+$AZ$41)^T$392</f>
        <v>786.40673189017548</v>
      </c>
      <c r="U541" s="106">
        <f>VLOOKUP($A541,'VKT US'!$B$63:$AA$113,(U$392+1),FALSE)*($BD$69+$BD$75)/(1+$AZ$41)^U$392</f>
        <v>761.83411224762654</v>
      </c>
      <c r="V541" s="110" cm="1">
        <f t="array" ref="V541">SUMPRODUCT(INDEX(B541:U541,,_xlfn.SEQUENCE($AZ$13)))</f>
        <v>17282.982574768957</v>
      </c>
    </row>
    <row r="542" spans="1:22" x14ac:dyDescent="0.25">
      <c r="A542" s="102" t="s">
        <v>221</v>
      </c>
      <c r="B542" s="106">
        <f>VLOOKUP($A542,'VKT US'!$B$63:$AA$113,(B$392+1),FALSE)*($BB$69+$BB$75)/(1+$AZ$41)^B$392</f>
        <v>1438.4676660278546</v>
      </c>
      <c r="C542" s="106">
        <f>VLOOKUP($A542,'VKT US'!$B$63:$AA$113,(C$392+1),FALSE)*($BD$69+$BD$75)/(1+$AZ$41)^C$392</f>
        <v>1323.7981090446115</v>
      </c>
      <c r="D542" s="106">
        <f>VLOOKUP($A542,'VKT US'!$B$63:$AA$113,(D$392+1),FALSE)*($BD$69+$BD$75)/(1+$AZ$41)^D$392</f>
        <v>1269.2666528481716</v>
      </c>
      <c r="E542" s="106">
        <f>VLOOKUP($A542,'VKT US'!$B$63:$AA$113,(E$392+1),FALSE)*($BD$69+$BD$75)/(1+$AZ$41)^E$392</f>
        <v>1217.1887475625263</v>
      </c>
      <c r="F542" s="106">
        <f>VLOOKUP($A542,'VKT US'!$B$63:$AA$113,(F$392+1),FALSE)*($BD$69+$BD$75)/(1+$AZ$41)^F$392</f>
        <v>1167.4028734092653</v>
      </c>
      <c r="G542" s="106">
        <f>VLOOKUP($A542,'VKT US'!$B$63:$AA$113,(G$392+1),FALSE)*($BD$69+$BD$75)/(1+$AZ$41)^G$392</f>
        <v>1120.035161837847</v>
      </c>
      <c r="H542" s="106">
        <f>VLOOKUP($A542,'VKT US'!$B$63:$AA$113,(H$392+1),FALSE)*($BD$69+$BD$75)/(1+$AZ$41)^H$392</f>
        <v>1074.7401803333539</v>
      </c>
      <c r="I542" s="106">
        <f>VLOOKUP($A542,'VKT US'!$B$63:$AA$113,(I$392+1),FALSE)*($BD$69+$BD$75)/(1+$AZ$41)^I$392</f>
        <v>1031.6456168637862</v>
      </c>
      <c r="J542" s="106">
        <f>VLOOKUP($A542,'VKT US'!$B$63:$AA$113,(J$392+1),FALSE)*($BD$69+$BD$75)/(1+$AZ$41)^J$392</f>
        <v>990.69043443732858</v>
      </c>
      <c r="K542" s="106">
        <f>VLOOKUP($A542,'VKT US'!$B$63:$AA$113,(K$392+1),FALSE)*($BD$69+$BD$75)/(1+$AZ$41)^K$392</f>
        <v>951.81491468603588</v>
      </c>
      <c r="L542" s="106">
        <f>VLOOKUP($A542,'VKT US'!$B$63:$AA$113,(L$392+1),FALSE)*($BD$69+$BD$75)/(1+$AZ$41)^L$392</f>
        <v>914.87216265953293</v>
      </c>
      <c r="M542" s="106">
        <f>VLOOKUP($A542,'VKT US'!$B$63:$AA$113,(M$392+1),FALSE)*($BD$69+$BD$75)/(1+$AZ$41)^M$392</f>
        <v>879.8955916649561</v>
      </c>
      <c r="N542" s="106">
        <f>VLOOKUP($A542,'VKT US'!$B$63:$AA$113,(N$392+1),FALSE)*($BD$69+$BD$75)/(1+$AZ$41)^N$392</f>
        <v>846.74286991275085</v>
      </c>
      <c r="O542" s="106">
        <f>VLOOKUP($A542,'VKT US'!$B$63:$AA$113,(O$392+1),FALSE)*($BD$69+$BD$75)/(1+$AZ$41)^O$392</f>
        <v>815.44770611028309</v>
      </c>
      <c r="P542" s="106">
        <f>VLOOKUP($A542,'VKT US'!$B$63:$AA$113,(P$392+1),FALSE)*($BD$69+$BD$75)/(1+$AZ$41)^P$392</f>
        <v>785.87219024687158</v>
      </c>
      <c r="Q542" s="106">
        <f>VLOOKUP($A542,'VKT US'!$B$63:$AA$113,(Q$392+1),FALSE)*($BD$69+$BD$75)/(1+$AZ$41)^Q$392</f>
        <v>758.13363417942969</v>
      </c>
      <c r="R542" s="106">
        <f>VLOOKUP($A542,'VKT US'!$B$63:$AA$113,(R$392+1),FALSE)*($BD$69+$BD$75)/(1+$AZ$41)^R$392</f>
        <v>731.93072824355227</v>
      </c>
      <c r="S542" s="106">
        <f>VLOOKUP($A542,'VKT US'!$B$63:$AA$113,(S$392+1),FALSE)*($BD$69+$BD$75)/(1+$AZ$41)^S$392</f>
        <v>707.46338421013786</v>
      </c>
      <c r="T542" s="106">
        <f>VLOOKUP($A542,'VKT US'!$B$63:$AA$113,(T$392+1),FALSE)*($BD$69+$BD$75)/(1+$AZ$41)^T$392</f>
        <v>684.43839723530243</v>
      </c>
      <c r="U542" s="106">
        <f>VLOOKUP($A542,'VKT US'!$B$63:$AA$113,(U$392+1),FALSE)*($BD$69+$BD$75)/(1+$AZ$41)^U$392</f>
        <v>663.05195212744502</v>
      </c>
      <c r="V542" s="110" cm="1">
        <f t="array" ref="V542">SUMPRODUCT(INDEX(B542:U542,,_xlfn.SEQUENCE($AZ$13)))</f>
        <v>15042.008687398304</v>
      </c>
    </row>
    <row r="543" spans="1:22" x14ac:dyDescent="0.25">
      <c r="A543" s="102" t="s">
        <v>222</v>
      </c>
      <c r="B543" s="106">
        <f>VLOOKUP($A543,'VKT US'!$B$63:$AA$113,(B$392+1),FALSE)*($BB$69+$BB$75)/(1+$AZ$41)^B$392</f>
        <v>2157.6292940590483</v>
      </c>
      <c r="C543" s="106">
        <f>VLOOKUP($A543,'VKT US'!$B$63:$AA$113,(C$392+1),FALSE)*($BD$69+$BD$75)/(1+$AZ$41)^C$392</f>
        <v>1985.6307145101439</v>
      </c>
      <c r="D543" s="106">
        <f>VLOOKUP($A543,'VKT US'!$B$63:$AA$113,(D$392+1),FALSE)*($BD$69+$BD$75)/(1+$AZ$41)^D$392</f>
        <v>1903.8362674635609</v>
      </c>
      <c r="E543" s="106">
        <f>VLOOKUP($A543,'VKT US'!$B$63:$AA$113,(E$392+1),FALSE)*($BD$69+$BD$75)/(1+$AZ$41)^E$392</f>
        <v>1825.7220236253092</v>
      </c>
      <c r="F543" s="106">
        <f>VLOOKUP($A543,'VKT US'!$B$63:$AA$113,(F$392+1),FALSE)*($BD$69+$BD$75)/(1+$AZ$41)^F$392</f>
        <v>1751.045711435381</v>
      </c>
      <c r="G543" s="106">
        <f>VLOOKUP($A543,'VKT US'!$B$63:$AA$113,(G$392+1),FALSE)*($BD$69+$BD$75)/(1+$AZ$41)^G$392</f>
        <v>1679.9965217367007</v>
      </c>
      <c r="H543" s="106">
        <f>VLOOKUP($A543,'VKT US'!$B$63:$AA$113,(H$392+1),FALSE)*($BD$69+$BD$75)/(1+$AZ$41)^H$392</f>
        <v>1612.0563230961393</v>
      </c>
      <c r="I543" s="106">
        <f>VLOOKUP($A543,'VKT US'!$B$63:$AA$113,(I$392+1),FALSE)*($BD$69+$BD$75)/(1+$AZ$41)^I$392</f>
        <v>1547.4166410563023</v>
      </c>
      <c r="J543" s="106">
        <f>VLOOKUP($A543,'VKT US'!$B$63:$AA$113,(J$392+1),FALSE)*($BD$69+$BD$75)/(1+$AZ$41)^J$392</f>
        <v>1485.9859231932664</v>
      </c>
      <c r="K543" s="106">
        <f>VLOOKUP($A543,'VKT US'!$B$63:$AA$113,(K$392+1),FALSE)*($BD$69+$BD$75)/(1+$AZ$41)^K$392</f>
        <v>1427.6745949527217</v>
      </c>
      <c r="L543" s="106">
        <f>VLOOKUP($A543,'VKT US'!$B$63:$AA$113,(L$392+1),FALSE)*($BD$69+$BD$75)/(1+$AZ$41)^L$392</f>
        <v>1372.2623212826102</v>
      </c>
      <c r="M543" s="106">
        <f>VLOOKUP($A543,'VKT US'!$B$63:$AA$113,(M$392+1),FALSE)*($BD$69+$BD$75)/(1+$AZ$41)^M$392</f>
        <v>1319.7992204664301</v>
      </c>
      <c r="N543" s="106">
        <f>VLOOKUP($A543,'VKT US'!$B$63:$AA$113,(N$392+1),FALSE)*($BD$69+$BD$75)/(1+$AZ$41)^N$392</f>
        <v>1270.071801964302</v>
      </c>
      <c r="O543" s="106">
        <f>VLOOKUP($A543,'VKT US'!$B$63:$AA$113,(O$392+1),FALSE)*($BD$69+$BD$75)/(1+$AZ$41)^O$392</f>
        <v>1223.1306271452404</v>
      </c>
      <c r="P543" s="106">
        <f>VLOOKUP($A543,'VKT US'!$B$63:$AA$113,(P$392+1),FALSE)*($BD$69+$BD$75)/(1+$AZ$41)^P$392</f>
        <v>1178.7688379157223</v>
      </c>
      <c r="Q543" s="106">
        <f>VLOOKUP($A543,'VKT US'!$B$63:$AA$113,(Q$392+1),FALSE)*($BD$69+$BD$75)/(1+$AZ$41)^Q$392</f>
        <v>1137.1623961725591</v>
      </c>
      <c r="R543" s="106">
        <f>VLOOKUP($A543,'VKT US'!$B$63:$AA$113,(R$392+1),FALSE)*($BD$69+$BD$75)/(1+$AZ$41)^R$392</f>
        <v>1097.8593525436113</v>
      </c>
      <c r="S543" s="106">
        <f>VLOOKUP($A543,'VKT US'!$B$63:$AA$113,(S$392+1),FALSE)*($BD$69+$BD$75)/(1+$AZ$41)^S$392</f>
        <v>1061.1595646505039</v>
      </c>
      <c r="T543" s="106">
        <f>VLOOKUP($A543,'VKT US'!$B$63:$AA$113,(T$392+1),FALSE)*($BD$69+$BD$75)/(1+$AZ$41)^T$392</f>
        <v>1026.6232399450514</v>
      </c>
      <c r="U543" s="106">
        <f>VLOOKUP($A543,'VKT US'!$B$63:$AA$113,(U$392+1),FALSE)*($BD$69+$BD$75)/(1+$AZ$41)^U$392</f>
        <v>994.54464579220542</v>
      </c>
      <c r="V543" s="110" cm="1">
        <f t="array" ref="V543">SUMPRODUCT(INDEX(B543:U543,,_xlfn.SEQUENCE($AZ$13)))</f>
        <v>22562.257985987158</v>
      </c>
    </row>
    <row r="544" spans="1:22" x14ac:dyDescent="0.25">
      <c r="A544" s="102" t="s">
        <v>223</v>
      </c>
      <c r="B544" s="106">
        <f>VLOOKUP($A544,'VKT US'!$B$63:$AA$113,(B$392+1),FALSE)*($BB$69+$BB$75)/(1+$AZ$41)^B$392</f>
        <v>2244.2752733399147</v>
      </c>
      <c r="C544" s="106">
        <f>VLOOKUP($A544,'VKT US'!$B$63:$AA$113,(C$392+1),FALSE)*($BD$69+$BD$75)/(1+$AZ$41)^C$392</f>
        <v>2065.369582638521</v>
      </c>
      <c r="D544" s="106">
        <f>VLOOKUP($A544,'VKT US'!$B$63:$AA$113,(D$392+1),FALSE)*($BD$69+$BD$75)/(1+$AZ$41)^D$392</f>
        <v>1980.2904378991504</v>
      </c>
      <c r="E544" s="106">
        <f>VLOOKUP($A544,'VKT US'!$B$63:$AA$113,(E$392+1),FALSE)*($BD$69+$BD$75)/(1+$AZ$41)^E$392</f>
        <v>1899.0392858015482</v>
      </c>
      <c r="F544" s="106">
        <f>VLOOKUP($A544,'VKT US'!$B$63:$AA$113,(F$392+1),FALSE)*($BD$69+$BD$75)/(1+$AZ$41)^F$392</f>
        <v>1821.3641256553949</v>
      </c>
      <c r="G544" s="106">
        <f>VLOOKUP($A544,'VKT US'!$B$63:$AA$113,(G$392+1),FALSE)*($BD$69+$BD$75)/(1+$AZ$41)^G$392</f>
        <v>1747.4617458208998</v>
      </c>
      <c r="H544" s="106">
        <f>VLOOKUP($A544,'VKT US'!$B$63:$AA$113,(H$392+1),FALSE)*($BD$69+$BD$75)/(1+$AZ$41)^H$392</f>
        <v>1676.7932077663543</v>
      </c>
      <c r="I544" s="106">
        <f>VLOOKUP($A544,'VKT US'!$B$63:$AA$113,(I$392+1),FALSE)*($BD$69+$BD$75)/(1+$AZ$41)^I$392</f>
        <v>1609.5577283084128</v>
      </c>
      <c r="J544" s="106">
        <f>VLOOKUP($A544,'VKT US'!$B$63:$AA$113,(J$392+1),FALSE)*($BD$69+$BD$75)/(1+$AZ$41)^J$392</f>
        <v>1545.6600784650664</v>
      </c>
      <c r="K544" s="106">
        <f>VLOOKUP($A544,'VKT US'!$B$63:$AA$113,(K$392+1),FALSE)*($BD$69+$BD$75)/(1+$AZ$41)^K$392</f>
        <v>1485.0070865511177</v>
      </c>
      <c r="L544" s="106">
        <f>VLOOKUP($A544,'VKT US'!$B$63:$AA$113,(L$392+1),FALSE)*($BD$69+$BD$75)/(1+$AZ$41)^L$392</f>
        <v>1427.3695693094871</v>
      </c>
      <c r="M544" s="106">
        <f>VLOOKUP($A544,'VKT US'!$B$63:$AA$113,(M$392+1),FALSE)*($BD$69+$BD$75)/(1+$AZ$41)^M$392</f>
        <v>1372.7996576714268</v>
      </c>
      <c r="N544" s="106">
        <f>VLOOKUP($A544,'VKT US'!$B$63:$AA$113,(N$392+1),FALSE)*($BD$69+$BD$75)/(1+$AZ$41)^N$392</f>
        <v>1321.0752877536454</v>
      </c>
      <c r="O544" s="106">
        <f>VLOOKUP($A544,'VKT US'!$B$63:$AA$113,(O$392+1),FALSE)*($BD$69+$BD$75)/(1+$AZ$41)^O$392</f>
        <v>1272.2490513663195</v>
      </c>
      <c r="P544" s="106">
        <f>VLOOKUP($A544,'VKT US'!$B$63:$AA$113,(P$392+1),FALSE)*($BD$69+$BD$75)/(1+$AZ$41)^P$392</f>
        <v>1226.1057834179933</v>
      </c>
      <c r="Q544" s="106">
        <f>VLOOKUP($A544,'VKT US'!$B$63:$AA$113,(Q$392+1),FALSE)*($BD$69+$BD$75)/(1+$AZ$41)^Q$392</f>
        <v>1182.8285120753455</v>
      </c>
      <c r="R544" s="106">
        <f>VLOOKUP($A544,'VKT US'!$B$63:$AA$113,(R$392+1),FALSE)*($BD$69+$BD$75)/(1+$AZ$41)^R$392</f>
        <v>1141.9471386038595</v>
      </c>
      <c r="S544" s="106">
        <f>VLOOKUP($A544,'VKT US'!$B$63:$AA$113,(S$392+1),FALSE)*($BD$69+$BD$75)/(1+$AZ$41)^S$392</f>
        <v>1103.7735622939215</v>
      </c>
      <c r="T544" s="106">
        <f>VLOOKUP($A544,'VKT US'!$B$63:$AA$113,(T$392+1),FALSE)*($BD$69+$BD$75)/(1+$AZ$41)^T$392</f>
        <v>1067.8503294281536</v>
      </c>
      <c r="U544" s="106">
        <f>VLOOKUP($A544,'VKT US'!$B$63:$AA$113,(U$392+1),FALSE)*($BD$69+$BD$75)/(1+$AZ$41)^U$392</f>
        <v>1034.4835245469958</v>
      </c>
      <c r="V544" s="110" cm="1">
        <f t="array" ref="V544">SUMPRODUCT(INDEX(B544:U544,,_xlfn.SEQUENCE($AZ$13)))</f>
        <v>23468.312118347261</v>
      </c>
    </row>
    <row r="545" spans="1:22" x14ac:dyDescent="0.25">
      <c r="A545" s="102" t="s">
        <v>224</v>
      </c>
      <c r="B545" s="106">
        <f>VLOOKUP($A545,'VKT US'!$B$63:$AA$113,(B$392+1),FALSE)*($BB$69+$BB$75)/(1+$AZ$41)^B$392</f>
        <v>2207.5951421110144</v>
      </c>
      <c r="C545" s="106">
        <f>VLOOKUP($A545,'VKT US'!$B$63:$AA$113,(C$392+1),FALSE)*($BD$69+$BD$75)/(1+$AZ$41)^C$392</f>
        <v>2031.6134617975081</v>
      </c>
      <c r="D545" s="106">
        <f>VLOOKUP($A545,'VKT US'!$B$63:$AA$113,(D$392+1),FALSE)*($BD$69+$BD$75)/(1+$AZ$41)^D$392</f>
        <v>1947.9248390814175</v>
      </c>
      <c r="E545" s="106">
        <f>VLOOKUP($A545,'VKT US'!$B$63:$AA$113,(E$392+1),FALSE)*($BD$69+$BD$75)/(1+$AZ$41)^E$392</f>
        <v>1868.0016448136068</v>
      </c>
      <c r="F545" s="106">
        <f>VLOOKUP($A545,'VKT US'!$B$63:$AA$113,(F$392+1),FALSE)*($BD$69+$BD$75)/(1+$AZ$41)^F$392</f>
        <v>1791.5959969689225</v>
      </c>
      <c r="G545" s="106">
        <f>VLOOKUP($A545,'VKT US'!$B$63:$AA$113,(G$392+1),FALSE)*($BD$69+$BD$75)/(1+$AZ$41)^G$392</f>
        <v>1718.9014676252555</v>
      </c>
      <c r="H545" s="106">
        <f>VLOOKUP($A545,'VKT US'!$B$63:$AA$113,(H$392+1),FALSE)*($BD$69+$BD$75)/(1+$AZ$41)^H$392</f>
        <v>1649.3879265892965</v>
      </c>
      <c r="I545" s="106">
        <f>VLOOKUP($A545,'VKT US'!$B$63:$AA$113,(I$392+1),FALSE)*($BD$69+$BD$75)/(1+$AZ$41)^I$392</f>
        <v>1583.2513347050194</v>
      </c>
      <c r="J545" s="106">
        <f>VLOOKUP($A545,'VKT US'!$B$63:$AA$113,(J$392+1),FALSE)*($BD$69+$BD$75)/(1+$AZ$41)^J$392</f>
        <v>1520.3980194000042</v>
      </c>
      <c r="K545" s="106">
        <f>VLOOKUP($A545,'VKT US'!$B$63:$AA$113,(K$392+1),FALSE)*($BD$69+$BD$75)/(1+$AZ$41)^K$392</f>
        <v>1460.7363317744632</v>
      </c>
      <c r="L545" s="106">
        <f>VLOOKUP($A545,'VKT US'!$B$63:$AA$113,(L$392+1),FALSE)*($BD$69+$BD$75)/(1+$AZ$41)^L$392</f>
        <v>1404.0408343114427</v>
      </c>
      <c r="M545" s="106">
        <f>VLOOKUP($A545,'VKT US'!$B$63:$AA$113,(M$392+1),FALSE)*($BD$69+$BD$75)/(1+$AZ$41)^M$392</f>
        <v>1350.3628059213115</v>
      </c>
      <c r="N545" s="106">
        <f>VLOOKUP($A545,'VKT US'!$B$63:$AA$113,(N$392+1),FALSE)*($BD$69+$BD$75)/(1+$AZ$41)^N$392</f>
        <v>1299.4838121028233</v>
      </c>
      <c r="O545" s="106">
        <f>VLOOKUP($A545,'VKT US'!$B$63:$AA$113,(O$392+1),FALSE)*($BD$69+$BD$75)/(1+$AZ$41)^O$392</f>
        <v>1251.4555851127293</v>
      </c>
      <c r="P545" s="106">
        <f>VLOOKUP($A545,'VKT US'!$B$63:$AA$113,(P$392+1),FALSE)*($BD$69+$BD$75)/(1+$AZ$41)^P$392</f>
        <v>1206.0664764886985</v>
      </c>
      <c r="Q545" s="106">
        <f>VLOOKUP($A545,'VKT US'!$B$63:$AA$113,(Q$392+1),FALSE)*($BD$69+$BD$75)/(1+$AZ$41)^Q$392</f>
        <v>1163.4965230098326</v>
      </c>
      <c r="R545" s="106">
        <f>VLOOKUP($A545,'VKT US'!$B$63:$AA$113,(R$392+1),FALSE)*($BD$69+$BD$75)/(1+$AZ$41)^R$392</f>
        <v>1123.283309171688</v>
      </c>
      <c r="S545" s="106">
        <f>VLOOKUP($A545,'VKT US'!$B$63:$AA$113,(S$392+1),FALSE)*($BD$69+$BD$75)/(1+$AZ$41)^S$392</f>
        <v>1085.7336366248749</v>
      </c>
      <c r="T545" s="106">
        <f>VLOOKUP($A545,'VKT US'!$B$63:$AA$113,(T$392+1),FALSE)*($BD$69+$BD$75)/(1+$AZ$41)^T$392</f>
        <v>1050.3975282136403</v>
      </c>
      <c r="U545" s="106">
        <f>VLOOKUP($A545,'VKT US'!$B$63:$AA$113,(U$392+1),FALSE)*($BD$69+$BD$75)/(1+$AZ$41)^U$392</f>
        <v>1017.5760658741343</v>
      </c>
      <c r="V545" s="110" cm="1">
        <f t="array" ref="V545">SUMPRODUCT(INDEX(B545:U545,,_xlfn.SEQUENCE($AZ$13)))</f>
        <v>23084.749202314815</v>
      </c>
    </row>
    <row r="546" spans="1:22" x14ac:dyDescent="0.25">
      <c r="A546" s="102" t="s">
        <v>225</v>
      </c>
      <c r="B546" s="106">
        <f>VLOOKUP($A546,'VKT US'!$B$63:$AA$113,(B$392+1),FALSE)*($BB$69+$BB$75)/(1+$AZ$41)^B$392</f>
        <v>2335.3979615502926</v>
      </c>
      <c r="C546" s="106">
        <f>VLOOKUP($A546,'VKT US'!$B$63:$AA$113,(C$392+1),FALSE)*($BD$69+$BD$75)/(1+$AZ$41)^C$392</f>
        <v>2149.2282922868644</v>
      </c>
      <c r="D546" s="106">
        <f>VLOOKUP($A546,'VKT US'!$B$63:$AA$113,(D$392+1),FALSE)*($BD$69+$BD$75)/(1+$AZ$41)^D$392</f>
        <v>2060.6947404739112</v>
      </c>
      <c r="E546" s="106">
        <f>VLOOKUP($A546,'VKT US'!$B$63:$AA$113,(E$392+1),FALSE)*($BD$69+$BD$75)/(1+$AZ$41)^E$392</f>
        <v>1976.1446065235593</v>
      </c>
      <c r="F546" s="106">
        <f>VLOOKUP($A546,'VKT US'!$B$63:$AA$113,(F$392+1),FALSE)*($BD$69+$BD$75)/(1+$AZ$41)^F$392</f>
        <v>1895.3156579434431</v>
      </c>
      <c r="G546" s="106">
        <f>VLOOKUP($A546,'VKT US'!$B$63:$AA$113,(G$392+1),FALSE)*($BD$69+$BD$75)/(1+$AZ$41)^G$392</f>
        <v>1818.4126731494496</v>
      </c>
      <c r="H546" s="106">
        <f>VLOOKUP($A546,'VKT US'!$B$63:$AA$113,(H$392+1),FALSE)*($BD$69+$BD$75)/(1+$AZ$41)^H$392</f>
        <v>1744.8748314778638</v>
      </c>
      <c r="I546" s="106">
        <f>VLOOKUP($A546,'VKT US'!$B$63:$AA$113,(I$392+1),FALSE)*($BD$69+$BD$75)/(1+$AZ$41)^I$392</f>
        <v>1674.9094384018822</v>
      </c>
      <c r="J546" s="106">
        <f>VLOOKUP($A546,'VKT US'!$B$63:$AA$113,(J$392+1),FALSE)*($BD$69+$BD$75)/(1+$AZ$41)^J$392</f>
        <v>1608.4173984259089</v>
      </c>
      <c r="K546" s="106">
        <f>VLOOKUP($A546,'VKT US'!$B$63:$AA$113,(K$392+1),FALSE)*($BD$69+$BD$75)/(1+$AZ$41)^K$392</f>
        <v>1545.3017568820974</v>
      </c>
      <c r="L546" s="106">
        <f>VLOOKUP($A546,'VKT US'!$B$63:$AA$113,(L$392+1),FALSE)*($BD$69+$BD$75)/(1+$AZ$41)^L$392</f>
        <v>1485.3240251510858</v>
      </c>
      <c r="M546" s="106">
        <f>VLOOKUP($A546,'VKT US'!$B$63:$AA$113,(M$392+1),FALSE)*($BD$69+$BD$75)/(1+$AZ$41)^M$392</f>
        <v>1428.5384507986819</v>
      </c>
      <c r="N546" s="106">
        <f>VLOOKUP($A546,'VKT US'!$B$63:$AA$113,(N$392+1),FALSE)*($BD$69+$BD$75)/(1+$AZ$41)^N$392</f>
        <v>1374.713953642105</v>
      </c>
      <c r="O546" s="106">
        <f>VLOOKUP($A546,'VKT US'!$B$63:$AA$113,(O$392+1),FALSE)*($BD$69+$BD$75)/(1+$AZ$41)^O$392</f>
        <v>1323.9052608388211</v>
      </c>
      <c r="P546" s="106">
        <f>VLOOKUP($A546,'VKT US'!$B$63:$AA$113,(P$392+1),FALSE)*($BD$69+$BD$75)/(1+$AZ$41)^P$392</f>
        <v>1275.8884711045484</v>
      </c>
      <c r="Q546" s="106">
        <f>VLOOKUP($A546,'VKT US'!$B$63:$AA$113,(Q$392+1),FALSE)*($BD$69+$BD$75)/(1+$AZ$41)^Q$392</f>
        <v>1230.854043966443</v>
      </c>
      <c r="R546" s="106">
        <f>VLOOKUP($A546,'VKT US'!$B$63:$AA$113,(R$392+1),FALSE)*($BD$69+$BD$75)/(1+$AZ$41)^R$392</f>
        <v>1188.3127936105539</v>
      </c>
      <c r="S546" s="106">
        <f>VLOOKUP($A546,'VKT US'!$B$63:$AA$113,(S$392+1),FALSE)*($BD$69+$BD$75)/(1+$AZ$41)^S$392</f>
        <v>1148.5892831489157</v>
      </c>
      <c r="T546" s="106">
        <f>VLOOKUP($A546,'VKT US'!$B$63:$AA$113,(T$392+1),FALSE)*($BD$69+$BD$75)/(1+$AZ$41)^T$392</f>
        <v>1111.2074852012161</v>
      </c>
      <c r="U546" s="106">
        <f>VLOOKUP($A546,'VKT US'!$B$63:$AA$113,(U$392+1),FALSE)*($BD$69+$BD$75)/(1+$AZ$41)^U$392</f>
        <v>1076.4859120374501</v>
      </c>
      <c r="V546" s="110" cm="1">
        <f t="array" ref="V546">SUMPRODUCT(INDEX(B546:U546,,_xlfn.SEQUENCE($AZ$13)))</f>
        <v>24421.179047545971</v>
      </c>
    </row>
    <row r="547" spans="1:22" x14ac:dyDescent="0.25">
      <c r="A547" s="102" t="s">
        <v>226</v>
      </c>
      <c r="B547" s="106">
        <f>VLOOKUP($A547,'VKT US'!$B$63:$AA$113,(B$392+1),FALSE)*($BB$69+$BB$75)/(1+$AZ$41)^B$392</f>
        <v>2240.6650242032124</v>
      </c>
      <c r="C547" s="106">
        <f>VLOOKUP($A547,'VKT US'!$B$63:$AA$113,(C$392+1),FALSE)*($BD$69+$BD$75)/(1+$AZ$41)^C$392</f>
        <v>2062.0471297998388</v>
      </c>
      <c r="D547" s="106">
        <f>VLOOKUP($A547,'VKT US'!$B$63:$AA$113,(D$392+1),FALSE)*($BD$69+$BD$75)/(1+$AZ$41)^D$392</f>
        <v>1977.1048474643339</v>
      </c>
      <c r="E547" s="106">
        <f>VLOOKUP($A547,'VKT US'!$B$63:$AA$113,(E$392+1),FALSE)*($BD$69+$BD$75)/(1+$AZ$41)^E$392</f>
        <v>1895.9843998775382</v>
      </c>
      <c r="F547" s="106">
        <f>VLOOKUP($A547,'VKT US'!$B$63:$AA$113,(F$392+1),FALSE)*($BD$69+$BD$75)/(1+$AZ$41)^F$392</f>
        <v>1818.4341917295612</v>
      </c>
      <c r="G547" s="106">
        <f>VLOOKUP($A547,'VKT US'!$B$63:$AA$113,(G$392+1),FALSE)*($BD$69+$BD$75)/(1+$AZ$41)^G$392</f>
        <v>1744.6506948173915</v>
      </c>
      <c r="H547" s="106">
        <f>VLOOKUP($A547,'VKT US'!$B$63:$AA$113,(H$392+1),FALSE)*($BD$69+$BD$75)/(1+$AZ$41)^H$392</f>
        <v>1674.0958375717621</v>
      </c>
      <c r="I547" s="106">
        <f>VLOOKUP($A547,'VKT US'!$B$63:$AA$113,(I$392+1),FALSE)*($BD$69+$BD$75)/(1+$AZ$41)^I$392</f>
        <v>1606.9685163395748</v>
      </c>
      <c r="J547" s="106">
        <f>VLOOKUP($A547,'VKT US'!$B$63:$AA$113,(J$392+1),FALSE)*($BD$69+$BD$75)/(1+$AZ$41)^J$392</f>
        <v>1543.1736553287412</v>
      </c>
      <c r="K547" s="106">
        <f>VLOOKUP($A547,'VKT US'!$B$63:$AA$113,(K$392+1),FALSE)*($BD$69+$BD$75)/(1+$AZ$41)^K$392</f>
        <v>1482.618232734518</v>
      </c>
      <c r="L547" s="106">
        <f>VLOOKUP($A547,'VKT US'!$B$63:$AA$113,(L$392+1),FALSE)*($BD$69+$BD$75)/(1+$AZ$41)^L$392</f>
        <v>1425.073433975034</v>
      </c>
      <c r="M547" s="106">
        <f>VLOOKUP($A547,'VKT US'!$B$63:$AA$113,(M$392+1),FALSE)*($BD$69+$BD$75)/(1+$AZ$41)^M$392</f>
        <v>1370.5913061212186</v>
      </c>
      <c r="N547" s="106">
        <f>VLOOKUP($A547,'VKT US'!$B$63:$AA$113,(N$392+1),FALSE)*($BD$69+$BD$75)/(1+$AZ$41)^N$392</f>
        <v>1318.9501425124229</v>
      </c>
      <c r="O547" s="106">
        <f>VLOOKUP($A547,'VKT US'!$B$63:$AA$113,(O$392+1),FALSE)*($BD$69+$BD$75)/(1+$AZ$41)^O$392</f>
        <v>1270.2024503571079</v>
      </c>
      <c r="P547" s="106">
        <f>VLOOKUP($A547,'VKT US'!$B$63:$AA$113,(P$392+1),FALSE)*($BD$69+$BD$75)/(1+$AZ$41)^P$392</f>
        <v>1224.1334106887321</v>
      </c>
      <c r="Q547" s="106">
        <f>VLOOKUP($A547,'VKT US'!$B$63:$AA$113,(Q$392+1),FALSE)*($BD$69+$BD$75)/(1+$AZ$41)^Q$392</f>
        <v>1180.9257572460626</v>
      </c>
      <c r="R547" s="106">
        <f>VLOOKUP($A547,'VKT US'!$B$63:$AA$113,(R$392+1),FALSE)*($BD$69+$BD$75)/(1+$AZ$41)^R$392</f>
        <v>1140.110147518016</v>
      </c>
      <c r="S547" s="106">
        <f>VLOOKUP($A547,'VKT US'!$B$63:$AA$113,(S$392+1),FALSE)*($BD$69+$BD$75)/(1+$AZ$41)^S$392</f>
        <v>1101.9979790587793</v>
      </c>
      <c r="T547" s="106">
        <f>VLOOKUP($A547,'VKT US'!$B$63:$AA$113,(T$392+1),FALSE)*($BD$69+$BD$75)/(1+$AZ$41)^T$392</f>
        <v>1066.1325340330243</v>
      </c>
      <c r="U547" s="106">
        <f>VLOOKUP($A547,'VKT US'!$B$63:$AA$113,(U$392+1),FALSE)*($BD$69+$BD$75)/(1+$AZ$41)^U$392</f>
        <v>1032.8194045988794</v>
      </c>
      <c r="V547" s="110" cm="1">
        <f t="array" ref="V547">SUMPRODUCT(INDEX(B547:U547,,_xlfn.SEQUENCE($AZ$13)))</f>
        <v>23430.559862832259</v>
      </c>
    </row>
    <row r="548" spans="1:22" x14ac:dyDescent="0.25">
      <c r="A548" s="102" t="s">
        <v>228</v>
      </c>
      <c r="B548" s="106">
        <f>VLOOKUP($A548,'VKT US'!$B$63:$AA$113,(B$392+1),FALSE)*($BB$69+$BB$75)/(1+$AZ$41)^B$392</f>
        <v>1877.9071909473168</v>
      </c>
      <c r="C548" s="106">
        <f>VLOOKUP($A548,'VKT US'!$B$63:$AA$113,(C$392+1),FALSE)*($BD$69+$BD$75)/(1+$AZ$41)^C$392</f>
        <v>1728.2070685690321</v>
      </c>
      <c r="D548" s="106">
        <f>VLOOKUP($A548,'VKT US'!$B$63:$AA$113,(D$392+1),FALSE)*($BD$69+$BD$75)/(1+$AZ$41)^D$392</f>
        <v>1657.0167205740008</v>
      </c>
      <c r="E548" s="106">
        <f>VLOOKUP($A548,'VKT US'!$B$63:$AA$113,(E$392+1),FALSE)*($BD$69+$BD$75)/(1+$AZ$41)^E$392</f>
        <v>1589.029462233018</v>
      </c>
      <c r="F548" s="106">
        <f>VLOOKUP($A548,'VKT US'!$B$63:$AA$113,(F$392+1),FALSE)*($BD$69+$BD$75)/(1+$AZ$41)^F$392</f>
        <v>1524.0344308617694</v>
      </c>
      <c r="G548" s="106">
        <f>VLOOKUP($A548,'VKT US'!$B$63:$AA$113,(G$392+1),FALSE)*($BD$69+$BD$75)/(1+$AZ$41)^G$392</f>
        <v>1462.1962899848777</v>
      </c>
      <c r="H548" s="106">
        <f>VLOOKUP($A548,'VKT US'!$B$63:$AA$113,(H$392+1),FALSE)*($BD$69+$BD$75)/(1+$AZ$41)^H$392</f>
        <v>1403.0640804191282</v>
      </c>
      <c r="I548" s="106">
        <f>VLOOKUP($A548,'VKT US'!$B$63:$AA$113,(I$392+1),FALSE)*($BD$69+$BD$75)/(1+$AZ$41)^I$392</f>
        <v>1346.804497710739</v>
      </c>
      <c r="J548" s="106">
        <f>VLOOKUP($A548,'VKT US'!$B$63:$AA$113,(J$392+1),FALSE)*($BD$69+$BD$75)/(1+$AZ$41)^J$392</f>
        <v>1293.3378585908063</v>
      </c>
      <c r="K548" s="106">
        <f>VLOOKUP($A548,'VKT US'!$B$63:$AA$113,(K$392+1),FALSE)*($BD$69+$BD$75)/(1+$AZ$41)^K$392</f>
        <v>1242.5862012425671</v>
      </c>
      <c r="L548" s="106">
        <f>VLOOKUP($A548,'VKT US'!$B$63:$AA$113,(L$392+1),FALSE)*($BD$69+$BD$75)/(1+$AZ$41)^L$392</f>
        <v>1194.3577555691763</v>
      </c>
      <c r="M548" s="106">
        <f>VLOOKUP($A548,'VKT US'!$B$63:$AA$113,(M$392+1),FALSE)*($BD$69+$BD$75)/(1+$AZ$41)^M$392</f>
        <v>1148.6961423562984</v>
      </c>
      <c r="N548" s="106">
        <f>VLOOKUP($A548,'VKT US'!$B$63:$AA$113,(N$392+1),FALSE)*($BD$69+$BD$75)/(1+$AZ$41)^N$392</f>
        <v>1105.4155486743714</v>
      </c>
      <c r="O548" s="106">
        <f>VLOOKUP($A548,'VKT US'!$B$63:$AA$113,(O$392+1),FALSE)*($BD$69+$BD$75)/(1+$AZ$41)^O$392</f>
        <v>1064.5599809515231</v>
      </c>
      <c r="P548" s="106">
        <f>VLOOKUP($A548,'VKT US'!$B$63:$AA$113,(P$392+1),FALSE)*($BD$69+$BD$75)/(1+$AZ$41)^P$392</f>
        <v>1025.9493988525567</v>
      </c>
      <c r="Q548" s="106">
        <f>VLOOKUP($A548,'VKT US'!$B$63:$AA$113,(Q$392+1),FALSE)*($BD$69+$BD$75)/(1+$AZ$41)^Q$392</f>
        <v>989.7369519997294</v>
      </c>
      <c r="R548" s="106">
        <f>VLOOKUP($A548,'VKT US'!$B$63:$AA$113,(R$392+1),FALSE)*($BD$69+$BD$75)/(1+$AZ$41)^R$392</f>
        <v>955.52928321244383</v>
      </c>
      <c r="S548" s="106">
        <f>VLOOKUP($A548,'VKT US'!$B$63:$AA$113,(S$392+1),FALSE)*($BD$69+$BD$75)/(1+$AZ$41)^S$392</f>
        <v>923.58737559167071</v>
      </c>
      <c r="T548" s="106">
        <f>VLOOKUP($A548,'VKT US'!$B$63:$AA$113,(T$392+1),FALSE)*($BD$69+$BD$75)/(1+$AZ$41)^T$392</f>
        <v>893.52845273043613</v>
      </c>
      <c r="U548" s="106">
        <f>VLOOKUP($A548,'VKT US'!$B$63:$AA$113,(U$392+1),FALSE)*($BD$69+$BD$75)/(1+$AZ$41)^U$392</f>
        <v>865.60863221215686</v>
      </c>
      <c r="V548" s="110" cm="1">
        <f t="array" ref="V548">SUMPRODUCT(INDEX(B548:U548,,_xlfn.SEQUENCE($AZ$13)))</f>
        <v>19637.213228684624</v>
      </c>
    </row>
    <row r="549" spans="1:22" x14ac:dyDescent="0.25">
      <c r="A549" s="102" t="s">
        <v>227</v>
      </c>
      <c r="B549" s="106">
        <f>VLOOKUP($A549,'VKT US'!$B$63:$AA$113,(B$392+1),FALSE)*($BB$69+$BB$75)/(1+$AZ$41)^B$392</f>
        <v>2095.2441889768238</v>
      </c>
      <c r="C549" s="106">
        <f>VLOOKUP($A549,'VKT US'!$B$63:$AA$113,(C$392+1),FALSE)*($BD$69+$BD$75)/(1+$AZ$41)^C$392</f>
        <v>1928.218729457712</v>
      </c>
      <c r="D549" s="106">
        <f>VLOOKUP($A549,'VKT US'!$B$63:$AA$113,(D$392+1),FALSE)*($BD$69+$BD$75)/(1+$AZ$41)^D$392</f>
        <v>1848.7892647499368</v>
      </c>
      <c r="E549" s="106">
        <f>VLOOKUP($A549,'VKT US'!$B$63:$AA$113,(E$392+1),FALSE)*($BD$69+$BD$75)/(1+$AZ$41)^E$392</f>
        <v>1772.9335948584173</v>
      </c>
      <c r="F549" s="106">
        <f>VLOOKUP($A549,'VKT US'!$B$63:$AA$113,(F$392+1),FALSE)*($BD$69+$BD$75)/(1+$AZ$41)^F$392</f>
        <v>1700.4164531969711</v>
      </c>
      <c r="G549" s="106">
        <f>VLOOKUP($A549,'VKT US'!$B$63:$AA$113,(G$392+1),FALSE)*($BD$69+$BD$75)/(1+$AZ$41)^G$392</f>
        <v>1631.4215603960774</v>
      </c>
      <c r="H549" s="106">
        <f>VLOOKUP($A549,'VKT US'!$B$63:$AA$113,(H$392+1),FALSE)*($BD$69+$BD$75)/(1+$AZ$41)^H$392</f>
        <v>1565.4457661335844</v>
      </c>
      <c r="I549" s="106">
        <f>VLOOKUP($A549,'VKT US'!$B$63:$AA$113,(I$392+1),FALSE)*($BD$69+$BD$75)/(1+$AZ$41)^I$392</f>
        <v>1502.6750582347829</v>
      </c>
      <c r="J549" s="106">
        <f>VLOOKUP($A549,'VKT US'!$B$63:$AA$113,(J$392+1),FALSE)*($BD$69+$BD$75)/(1+$AZ$41)^J$392</f>
        <v>1443.0205313975707</v>
      </c>
      <c r="K549" s="106">
        <f>VLOOKUP($A549,'VKT US'!$B$63:$AA$113,(K$392+1),FALSE)*($BD$69+$BD$75)/(1+$AZ$41)^K$392</f>
        <v>1386.3952010018768</v>
      </c>
      <c r="L549" s="106">
        <f>VLOOKUP($A549,'VKT US'!$B$63:$AA$113,(L$392+1),FALSE)*($BD$69+$BD$75)/(1+$AZ$41)^L$392</f>
        <v>1332.5851027032588</v>
      </c>
      <c r="M549" s="106">
        <f>VLOOKUP($A549,'VKT US'!$B$63:$AA$113,(M$392+1),FALSE)*($BD$69+$BD$75)/(1+$AZ$41)^M$392</f>
        <v>1281.6389056788323</v>
      </c>
      <c r="N549" s="106">
        <f>VLOOKUP($A549,'VKT US'!$B$63:$AA$113,(N$392+1),FALSE)*($BD$69+$BD$75)/(1+$AZ$41)^N$392</f>
        <v>1233.3492921959748</v>
      </c>
      <c r="O549" s="106">
        <f>VLOOKUP($A549,'VKT US'!$B$63:$AA$113,(O$392+1),FALSE)*($BD$69+$BD$75)/(1+$AZ$41)^O$392</f>
        <v>1187.7653617060635</v>
      </c>
      <c r="P549" s="106">
        <f>VLOOKUP($A549,'VKT US'!$B$63:$AA$113,(P$392+1),FALSE)*($BD$69+$BD$75)/(1+$AZ$41)^P$392</f>
        <v>1144.6862371540869</v>
      </c>
      <c r="Q549" s="106">
        <f>VLOOKUP($A549,'VKT US'!$B$63:$AA$113,(Q$392+1),FALSE)*($BD$69+$BD$75)/(1+$AZ$41)^Q$392</f>
        <v>1104.2827927225528</v>
      </c>
      <c r="R549" s="106">
        <f>VLOOKUP($A549,'VKT US'!$B$63:$AA$113,(R$392+1),FALSE)*($BD$69+$BD$75)/(1+$AZ$41)^R$392</f>
        <v>1066.1161465802329</v>
      </c>
      <c r="S549" s="106">
        <f>VLOOKUP($A549,'VKT US'!$B$63:$AA$113,(S$392+1),FALSE)*($BD$69+$BD$75)/(1+$AZ$41)^S$392</f>
        <v>1030.4774863472433</v>
      </c>
      <c r="T549" s="106">
        <f>VLOOKUP($A549,'VKT US'!$B$63:$AA$113,(T$392+1),FALSE)*($BD$69+$BD$75)/(1+$AZ$41)^T$392</f>
        <v>996.93973551721751</v>
      </c>
      <c r="U549" s="106">
        <f>VLOOKUP($A549,'VKT US'!$B$63:$AA$113,(U$392+1),FALSE)*($BD$69+$BD$75)/(1+$AZ$41)^U$392</f>
        <v>965.78865308875618</v>
      </c>
      <c r="V549" s="110" cm="1">
        <f t="array" ref="V549">SUMPRODUCT(INDEX(B549:U549,,_xlfn.SEQUENCE($AZ$13)))</f>
        <v>21909.899010687885</v>
      </c>
    </row>
    <row r="550" spans="1:22" x14ac:dyDescent="0.25">
      <c r="A550" s="102" t="s">
        <v>229</v>
      </c>
      <c r="B550" s="106">
        <f>VLOOKUP($A550,'VKT US'!$B$63:$AA$113,(B$392+1),FALSE)*($BB$69+$BB$75)/(1+$AZ$41)^B$392</f>
        <v>1581.1447119103484</v>
      </c>
      <c r="C550" s="106">
        <f>VLOOKUP($A550,'VKT US'!$B$63:$AA$113,(C$392+1),FALSE)*($BD$69+$BD$75)/(1+$AZ$41)^C$392</f>
        <v>1455.1014452293396</v>
      </c>
      <c r="D550" s="106">
        <f>VLOOKUP($A550,'VKT US'!$B$63:$AA$113,(D$392+1),FALSE)*($BD$69+$BD$75)/(1+$AZ$41)^D$392</f>
        <v>1395.1611868321083</v>
      </c>
      <c r="E550" s="106">
        <f>VLOOKUP($A550,'VKT US'!$B$63:$AA$113,(E$392+1),FALSE)*($BD$69+$BD$75)/(1+$AZ$41)^E$392</f>
        <v>1337.9178392793997</v>
      </c>
      <c r="F550" s="106">
        <f>VLOOKUP($A550,'VKT US'!$B$63:$AA$113,(F$392+1),FALSE)*($BD$69+$BD$75)/(1+$AZ$41)^F$392</f>
        <v>1283.1938621582215</v>
      </c>
      <c r="G550" s="106">
        <f>VLOOKUP($A550,'VKT US'!$B$63:$AA$113,(G$392+1),FALSE)*($BD$69+$BD$75)/(1+$AZ$41)^G$392</f>
        <v>1231.1278974964951</v>
      </c>
      <c r="H550" s="106">
        <f>VLOOKUP($A550,'VKT US'!$B$63:$AA$113,(H$392+1),FALSE)*($BD$69+$BD$75)/(1+$AZ$41)^H$392</f>
        <v>1181.3402504236415</v>
      </c>
      <c r="I550" s="106">
        <f>VLOOKUP($A550,'VKT US'!$B$63:$AA$113,(I$392+1),FALSE)*($BD$69+$BD$75)/(1+$AZ$41)^I$392</f>
        <v>1133.9712738722612</v>
      </c>
      <c r="J550" s="106">
        <f>VLOOKUP($A550,'VKT US'!$B$63:$AA$113,(J$392+1),FALSE)*($BD$69+$BD$75)/(1+$AZ$41)^J$392</f>
        <v>1088.9538767848921</v>
      </c>
      <c r="K550" s="106">
        <f>VLOOKUP($A550,'VKT US'!$B$63:$AA$113,(K$392+1),FALSE)*($BD$69+$BD$75)/(1+$AZ$41)^K$392</f>
        <v>1046.2224175180611</v>
      </c>
      <c r="L550" s="106">
        <f>VLOOKUP($A550,'VKT US'!$B$63:$AA$113,(L$392+1),FALSE)*($BD$69+$BD$75)/(1+$AZ$41)^L$392</f>
        <v>1005.6154310771234</v>
      </c>
      <c r="M550" s="106">
        <f>VLOOKUP($A550,'VKT US'!$B$63:$AA$113,(M$392+1),FALSE)*($BD$69+$BD$75)/(1+$AZ$41)^M$392</f>
        <v>967.16964492918419</v>
      </c>
      <c r="N550" s="106">
        <f>VLOOKUP($A550,'VKT US'!$B$63:$AA$113,(N$392+1),FALSE)*($BD$69+$BD$75)/(1+$AZ$41)^N$392</f>
        <v>930.72860984586987</v>
      </c>
      <c r="O550" s="106">
        <f>VLOOKUP($A550,'VKT US'!$B$63:$AA$113,(O$392+1),FALSE)*($BD$69+$BD$75)/(1+$AZ$41)^O$392</f>
        <v>896.32937799432671</v>
      </c>
      <c r="P550" s="106">
        <f>VLOOKUP($A550,'VKT US'!$B$63:$AA$113,(P$392+1),FALSE)*($BD$69+$BD$75)/(1+$AZ$41)^P$392</f>
        <v>863.82036050727811</v>
      </c>
      <c r="Q550" s="106">
        <f>VLOOKUP($A550,'VKT US'!$B$63:$AA$113,(Q$392+1),FALSE)*($BD$69+$BD$75)/(1+$AZ$41)^Q$392</f>
        <v>833.3305050326851</v>
      </c>
      <c r="R550" s="106">
        <f>VLOOKUP($A550,'VKT US'!$B$63:$AA$113,(R$392+1),FALSE)*($BD$69+$BD$75)/(1+$AZ$41)^R$392</f>
        <v>804.52861595609409</v>
      </c>
      <c r="S550" s="106">
        <f>VLOOKUP($A550,'VKT US'!$B$63:$AA$113,(S$392+1),FALSE)*($BD$69+$BD$75)/(1+$AZ$41)^S$392</f>
        <v>777.63443366296553</v>
      </c>
      <c r="T550" s="106">
        <f>VLOOKUP($A550,'VKT US'!$B$63:$AA$113,(T$392+1),FALSE)*($BD$69+$BD$75)/(1+$AZ$41)^T$392</f>
        <v>752.32567125081084</v>
      </c>
      <c r="U550" s="106">
        <f>VLOOKUP($A550,'VKT US'!$B$63:$AA$113,(U$392+1),FALSE)*($BD$69+$BD$75)/(1+$AZ$41)^U$392</f>
        <v>728.81797247699978</v>
      </c>
      <c r="V550" s="110" cm="1">
        <f t="array" ref="V550">SUMPRODUCT(INDEX(B550:U550,,_xlfn.SEQUENCE($AZ$13)))</f>
        <v>16533.977825351274</v>
      </c>
    </row>
    <row r="551" spans="1:22" x14ac:dyDescent="0.25">
      <c r="A551" s="102" t="s">
        <v>159</v>
      </c>
      <c r="B551" s="106">
        <f>VLOOKUP($A551,'VKT US'!$B$63:$AA$113,(B$392+1),FALSE)*($BB$69+$BB$75)/(1+$AZ$41)^B$392</f>
        <v>2437.062577239843</v>
      </c>
      <c r="C551" s="106">
        <f>VLOOKUP($A551,'VKT US'!$B$63:$AA$113,(C$392+1),FALSE)*($BD$69+$BD$75)/(1+$AZ$41)^C$392</f>
        <v>2242.7885642241608</v>
      </c>
      <c r="D551" s="106">
        <f>VLOOKUP($A551,'VKT US'!$B$63:$AA$113,(D$392+1),FALSE)*($BD$69+$BD$75)/(1+$AZ$41)^D$392</f>
        <v>2150.4009671183353</v>
      </c>
      <c r="E551" s="106">
        <f>VLOOKUP($A551,'VKT US'!$B$63:$AA$113,(E$392+1),FALSE)*($BD$69+$BD$75)/(1+$AZ$41)^E$392</f>
        <v>2062.1701941436795</v>
      </c>
      <c r="F551" s="106">
        <f>VLOOKUP($A551,'VKT US'!$B$63:$AA$113,(F$392+1),FALSE)*($BD$69+$BD$75)/(1+$AZ$41)^F$392</f>
        <v>1977.8225972949263</v>
      </c>
      <c r="G551" s="106">
        <f>VLOOKUP($A551,'VKT US'!$B$63:$AA$113,(G$392+1),FALSE)*($BD$69+$BD$75)/(1+$AZ$41)^G$392</f>
        <v>1897.5718694082429</v>
      </c>
      <c r="H551" s="106">
        <f>VLOOKUP($A551,'VKT US'!$B$63:$AA$113,(H$392+1),FALSE)*($BD$69+$BD$75)/(1+$AZ$41)^H$392</f>
        <v>1820.8327761575827</v>
      </c>
      <c r="I551" s="106">
        <f>VLOOKUP($A551,'VKT US'!$B$63:$AA$113,(I$392+1),FALSE)*($BD$69+$BD$75)/(1+$AZ$41)^I$392</f>
        <v>1747.8216474443584</v>
      </c>
      <c r="J551" s="106">
        <f>VLOOKUP($A551,'VKT US'!$B$63:$AA$113,(J$392+1),FALSE)*($BD$69+$BD$75)/(1+$AZ$41)^J$392</f>
        <v>1678.4350739448207</v>
      </c>
      <c r="K551" s="106">
        <f>VLOOKUP($A551,'VKT US'!$B$63:$AA$113,(K$392+1),FALSE)*($BD$69+$BD$75)/(1+$AZ$41)^K$392</f>
        <v>1612.5718803575487</v>
      </c>
      <c r="L551" s="106">
        <f>VLOOKUP($A551,'VKT US'!$B$63:$AA$113,(L$392+1),FALSE)*($BD$69+$BD$75)/(1+$AZ$41)^L$392</f>
        <v>1549.983196169288</v>
      </c>
      <c r="M551" s="106">
        <f>VLOOKUP($A551,'VKT US'!$B$63:$AA$113,(M$392+1),FALSE)*($BD$69+$BD$75)/(1+$AZ$41)^M$392</f>
        <v>1490.7256304525449</v>
      </c>
      <c r="N551" s="106">
        <f>VLOOKUP($A551,'VKT US'!$B$63:$AA$113,(N$392+1),FALSE)*($BD$69+$BD$75)/(1+$AZ$41)^N$392</f>
        <v>1434.5580436349346</v>
      </c>
      <c r="O551" s="106">
        <f>VLOOKUP($A551,'VKT US'!$B$63:$AA$113,(O$392+1),FALSE)*($BD$69+$BD$75)/(1+$AZ$41)^O$392</f>
        <v>1381.5375452582207</v>
      </c>
      <c r="P551" s="106">
        <f>VLOOKUP($A551,'VKT US'!$B$63:$AA$113,(P$392+1),FALSE)*($BD$69+$BD$75)/(1+$AZ$41)^P$392</f>
        <v>1331.4304871605466</v>
      </c>
      <c r="Q551" s="106">
        <f>VLOOKUP($A551,'VKT US'!$B$63:$AA$113,(Q$392+1),FALSE)*($BD$69+$BD$75)/(1+$AZ$41)^Q$392</f>
        <v>1284.4356199590459</v>
      </c>
      <c r="R551" s="106">
        <f>VLOOKUP($A551,'VKT US'!$B$63:$AA$113,(R$392+1),FALSE)*($BD$69+$BD$75)/(1+$AZ$41)^R$392</f>
        <v>1240.0424625879116</v>
      </c>
      <c r="S551" s="106">
        <f>VLOOKUP($A551,'VKT US'!$B$63:$AA$113,(S$392+1),FALSE)*($BD$69+$BD$75)/(1+$AZ$41)^S$392</f>
        <v>1198.5897070505257</v>
      </c>
      <c r="T551" s="106">
        <f>VLOOKUP($A551,'VKT US'!$B$63:$AA$113,(T$392+1),FALSE)*($BD$69+$BD$75)/(1+$AZ$41)^T$392</f>
        <v>1159.5806035280559</v>
      </c>
      <c r="U551" s="106">
        <f>VLOOKUP($A551,'VKT US'!$B$63:$AA$113,(U$392+1),FALSE)*($BD$69+$BD$75)/(1+$AZ$41)^U$392</f>
        <v>1123.3475297764041</v>
      </c>
      <c r="V551" s="110" cm="1">
        <f t="array" ref="V551">SUMPRODUCT(INDEX(B551:U551,,_xlfn.SEQUENCE($AZ$13)))</f>
        <v>25484.282562848479</v>
      </c>
    </row>
    <row r="552" spans="1:22" x14ac:dyDescent="0.25">
      <c r="A552" s="102" t="s">
        <v>158</v>
      </c>
      <c r="B552" s="106">
        <f>VLOOKUP($A552,'VKT US'!$B$63:$AA$113,(B$392+1),FALSE)*($BB$69+$BB$75)/(1+$AZ$41)^B$392</f>
        <v>2229.9786867585717</v>
      </c>
      <c r="C552" s="106">
        <f>VLOOKUP($A552,'VKT US'!$B$63:$AA$113,(C$392+1),FALSE)*($BD$69+$BD$75)/(1+$AZ$41)^C$392</f>
        <v>2052.2126693973387</v>
      </c>
      <c r="D552" s="106">
        <f>VLOOKUP($A552,'VKT US'!$B$63:$AA$113,(D$392+1),FALSE)*($BD$69+$BD$75)/(1+$AZ$41)^D$392</f>
        <v>1967.6754997772778</v>
      </c>
      <c r="E552" s="106">
        <f>VLOOKUP($A552,'VKT US'!$B$63:$AA$113,(E$392+1),FALSE)*($BD$69+$BD$75)/(1+$AZ$41)^E$392</f>
        <v>1886.9419375424686</v>
      </c>
      <c r="F552" s="106">
        <f>VLOOKUP($A552,'VKT US'!$B$63:$AA$113,(F$392+1),FALSE)*($BD$69+$BD$75)/(1+$AZ$41)^F$392</f>
        <v>1809.7615873090926</v>
      </c>
      <c r="G552" s="106">
        <f>VLOOKUP($A552,'VKT US'!$B$63:$AA$113,(G$392+1),FALSE)*($BD$69+$BD$75)/(1+$AZ$41)^G$392</f>
        <v>1736.329983847007</v>
      </c>
      <c r="H552" s="106">
        <f>VLOOKUP($A552,'VKT US'!$B$63:$AA$113,(H$392+1),FALSE)*($BD$69+$BD$75)/(1+$AZ$41)^H$392</f>
        <v>1666.1116217957688</v>
      </c>
      <c r="I552" s="106">
        <f>VLOOKUP($A552,'VKT US'!$B$63:$AA$113,(I$392+1),FALSE)*($BD$69+$BD$75)/(1+$AZ$41)^I$392</f>
        <v>1599.3044489118147</v>
      </c>
      <c r="J552" s="106">
        <f>VLOOKUP($A552,'VKT US'!$B$63:$AA$113,(J$392+1),FALSE)*($BD$69+$BD$75)/(1+$AZ$41)^J$392</f>
        <v>1535.8138428452191</v>
      </c>
      <c r="K552" s="106">
        <f>VLOOKUP($A552,'VKT US'!$B$63:$AA$113,(K$392+1),FALSE)*($BD$69+$BD$75)/(1+$AZ$41)^K$392</f>
        <v>1475.5472254373824</v>
      </c>
      <c r="L552" s="106">
        <f>VLOOKUP($A552,'VKT US'!$B$63:$AA$113,(L$392+1),FALSE)*($BD$69+$BD$75)/(1+$AZ$41)^L$392</f>
        <v>1418.2768733850523</v>
      </c>
      <c r="M552" s="106">
        <f>VLOOKUP($A552,'VKT US'!$B$63:$AA$113,(M$392+1),FALSE)*($BD$69+$BD$75)/(1+$AZ$41)^M$392</f>
        <v>1364.0545855326022</v>
      </c>
      <c r="N552" s="106">
        <f>VLOOKUP($A552,'VKT US'!$B$63:$AA$113,(N$392+1),FALSE)*($BD$69+$BD$75)/(1+$AZ$41)^N$392</f>
        <v>1312.6597125984038</v>
      </c>
      <c r="O552" s="106">
        <f>VLOOKUP($A552,'VKT US'!$B$63:$AA$113,(O$392+1),FALSE)*($BD$69+$BD$75)/(1+$AZ$41)^O$392</f>
        <v>1264.1445113698414</v>
      </c>
      <c r="P552" s="106">
        <f>VLOOKUP($A552,'VKT US'!$B$63:$AA$113,(P$392+1),FALSE)*($BD$69+$BD$75)/(1+$AZ$41)^P$392</f>
        <v>1218.2951874101184</v>
      </c>
      <c r="Q552" s="106">
        <f>VLOOKUP($A552,'VKT US'!$B$63:$AA$113,(Q$392+1),FALSE)*($BD$69+$BD$75)/(1+$AZ$41)^Q$392</f>
        <v>1175.2936029513858</v>
      </c>
      <c r="R552" s="106">
        <f>VLOOKUP($A552,'VKT US'!$B$63:$AA$113,(R$392+1),FALSE)*($BD$69+$BD$75)/(1+$AZ$41)^R$392</f>
        <v>1134.6726539039187</v>
      </c>
      <c r="S552" s="106">
        <f>VLOOKUP($A552,'VKT US'!$B$63:$AA$113,(S$392+1),FALSE)*($BD$69+$BD$75)/(1+$AZ$41)^S$392</f>
        <v>1096.7422526827577</v>
      </c>
      <c r="T552" s="106">
        <f>VLOOKUP($A552,'VKT US'!$B$63:$AA$113,(T$392+1),FALSE)*($BD$69+$BD$75)/(1+$AZ$41)^T$392</f>
        <v>1061.0478596634416</v>
      </c>
      <c r="U552" s="106">
        <f>VLOOKUP($A552,'VKT US'!$B$63:$AA$113,(U$392+1),FALSE)*($BD$69+$BD$75)/(1+$AZ$41)^U$392</f>
        <v>1027.893609552455</v>
      </c>
      <c r="V552" s="110" cm="1">
        <f t="array" ref="V552">SUMPRODUCT(INDEX(B552:U552,,_xlfn.SEQUENCE($AZ$13)))</f>
        <v>23318.813186507843</v>
      </c>
    </row>
    <row r="553" spans="1:22" x14ac:dyDescent="0.25">
      <c r="A553" s="102" t="s">
        <v>160</v>
      </c>
      <c r="B553" s="106">
        <f>VLOOKUP($A553,'VKT US'!$B$63:$AA$113,(B$392+1),FALSE)*($BB$69+$BB$75)/(1+$AZ$41)^B$392</f>
        <v>3475.8034588519663</v>
      </c>
      <c r="C553" s="106">
        <f>VLOOKUP($A553,'VKT US'!$B$63:$AA$113,(C$392+1),FALSE)*($BD$69+$BD$75)/(1+$AZ$41)^C$392</f>
        <v>3198.7246949698579</v>
      </c>
      <c r="D553" s="106">
        <f>VLOOKUP($A553,'VKT US'!$B$63:$AA$113,(D$392+1),FALSE)*($BD$69+$BD$75)/(1+$AZ$41)^D$392</f>
        <v>3066.9590470236567</v>
      </c>
      <c r="E553" s="106">
        <f>VLOOKUP($A553,'VKT US'!$B$63:$AA$113,(E$392+1),FALSE)*($BD$69+$BD$75)/(1+$AZ$41)^E$392</f>
        <v>2941.1219721998241</v>
      </c>
      <c r="F553" s="106">
        <f>VLOOKUP($A553,'VKT US'!$B$63:$AA$113,(F$392+1),FALSE)*($BD$69+$BD$75)/(1+$AZ$41)^F$392</f>
        <v>2820.82318643586</v>
      </c>
      <c r="G553" s="106">
        <f>VLOOKUP($A553,'VKT US'!$B$63:$AA$113,(G$392+1),FALSE)*($BD$69+$BD$75)/(1+$AZ$41)^G$392</f>
        <v>2706.367464137651</v>
      </c>
      <c r="H553" s="106">
        <f>VLOOKUP($A553,'VKT US'!$B$63:$AA$113,(H$392+1),FALSE)*($BD$69+$BD$75)/(1+$AZ$41)^H$392</f>
        <v>2596.9201285456775</v>
      </c>
      <c r="I553" s="106">
        <f>VLOOKUP($A553,'VKT US'!$B$63:$AA$113,(I$392+1),FALSE)*($BD$69+$BD$75)/(1+$AZ$41)^I$392</f>
        <v>2492.7897151184088</v>
      </c>
      <c r="J553" s="106">
        <f>VLOOKUP($A553,'VKT US'!$B$63:$AA$113,(J$392+1),FALSE)*($BD$69+$BD$75)/(1+$AZ$41)^J$392</f>
        <v>2393.8287387282462</v>
      </c>
      <c r="K553" s="106">
        <f>VLOOKUP($A553,'VKT US'!$B$63:$AA$113,(K$392+1),FALSE)*($BD$69+$BD$75)/(1+$AZ$41)^K$392</f>
        <v>2299.8929004696515</v>
      </c>
      <c r="L553" s="106">
        <f>VLOOKUP($A553,'VKT US'!$B$63:$AA$113,(L$392+1),FALSE)*($BD$69+$BD$75)/(1+$AZ$41)^L$392</f>
        <v>2210.6272545981624</v>
      </c>
      <c r="M553" s="106">
        <f>VLOOKUP($A553,'VKT US'!$B$63:$AA$113,(M$392+1),FALSE)*($BD$69+$BD$75)/(1+$AZ$41)^M$392</f>
        <v>2126.1125384784486</v>
      </c>
      <c r="N553" s="106">
        <f>VLOOKUP($A553,'VKT US'!$B$63:$AA$113,(N$392+1),FALSE)*($BD$69+$BD$75)/(1+$AZ$41)^N$392</f>
        <v>2046.0048324395145</v>
      </c>
      <c r="O553" s="106">
        <f>VLOOKUP($A553,'VKT US'!$B$63:$AA$113,(O$392+1),FALSE)*($BD$69+$BD$75)/(1+$AZ$41)^O$392</f>
        <v>1970.3855876285916</v>
      </c>
      <c r="P553" s="106">
        <f>VLOOKUP($A553,'VKT US'!$B$63:$AA$113,(P$392+1),FALSE)*($BD$69+$BD$75)/(1+$AZ$41)^P$392</f>
        <v>1898.9215688236072</v>
      </c>
      <c r="Q553" s="106">
        <f>VLOOKUP($A553,'VKT US'!$B$63:$AA$113,(Q$392+1),FALSE)*($BD$69+$BD$75)/(1+$AZ$41)^Q$392</f>
        <v>1831.8962394402865</v>
      </c>
      <c r="R553" s="106">
        <f>VLOOKUP($A553,'VKT US'!$B$63:$AA$113,(R$392+1),FALSE)*($BD$69+$BD$75)/(1+$AZ$41)^R$392</f>
        <v>1768.5815378068528</v>
      </c>
      <c r="S553" s="106">
        <f>VLOOKUP($A553,'VKT US'!$B$63:$AA$113,(S$392+1),FALSE)*($BD$69+$BD$75)/(1+$AZ$41)^S$392</f>
        <v>1709.460515465697</v>
      </c>
      <c r="T553" s="106">
        <f>VLOOKUP($A553,'VKT US'!$B$63:$AA$113,(T$392+1),FALSE)*($BD$69+$BD$75)/(1+$AZ$41)^T$392</f>
        <v>1653.8246946146467</v>
      </c>
      <c r="U553" s="106">
        <f>VLOOKUP($A553,'VKT US'!$B$63:$AA$113,(U$392+1),FALSE)*($BD$69+$BD$75)/(1+$AZ$41)^U$392</f>
        <v>1602.1481212484164</v>
      </c>
      <c r="V553" s="110" cm="1">
        <f t="array" ref="V553">SUMPRODUCT(INDEX(B553:U553,,_xlfn.SEQUENCE($AZ$13)))</f>
        <v>36346.361519625512</v>
      </c>
    </row>
    <row r="554" spans="1:22" x14ac:dyDescent="0.25">
      <c r="A554" s="103" t="s">
        <v>134</v>
      </c>
      <c r="B554" s="113">
        <f>VLOOKUP($A554,'VKT US'!$B$63:$AA$113,(B$392+1),FALSE)*($BB$69+$BB$75)/(1+$AZ$41)^B$392</f>
        <v>2059.3679880256846</v>
      </c>
      <c r="C554" s="106">
        <f>VLOOKUP($A554,'VKT US'!$B$63:$AA$113,(C$392+1),FALSE)*($BD$69+$BD$75)/(1+$AZ$41)^C$392</f>
        <v>1895.2024524148167</v>
      </c>
      <c r="D554" s="106">
        <f>VLOOKUP($A554,'VKT US'!$B$63:$AA$113,(D$392+1),FALSE)*($BD$69+$BD$75)/(1+$AZ$41)^D$392</f>
        <v>1817.1330332102289</v>
      </c>
      <c r="E554" s="106">
        <f>VLOOKUP($A554,'VKT US'!$B$63:$AA$113,(E$392+1),FALSE)*($BD$69+$BD$75)/(1+$AZ$41)^E$392</f>
        <v>1742.5762158680343</v>
      </c>
      <c r="F554" s="106">
        <f>VLOOKUP($A554,'VKT US'!$B$63:$AA$113,(F$392+1),FALSE)*($BD$69+$BD$75)/(1+$AZ$41)^F$392</f>
        <v>1671.300762197103</v>
      </c>
      <c r="G554" s="106">
        <f>VLOOKUP($A554,'VKT US'!$B$63:$AA$113,(G$392+1),FALSE)*($BD$69+$BD$75)/(1+$AZ$41)^G$392</f>
        <v>1603.4872470378941</v>
      </c>
      <c r="H554" s="106">
        <f>VLOOKUP($A554,'VKT US'!$B$63:$AA$113,(H$392+1),FALSE)*($BD$69+$BD$75)/(1+$AZ$41)^H$392</f>
        <v>1538.6411353514584</v>
      </c>
      <c r="I554" s="106">
        <f>VLOOKUP($A554,'VKT US'!$B$63:$AA$113,(I$392+1),FALSE)*($BD$69+$BD$75)/(1+$AZ$41)^I$392</f>
        <v>1476.94523035261</v>
      </c>
      <c r="J554" s="106">
        <f>VLOOKUP($A554,'VKT US'!$B$63:$AA$113,(J$392+1),FALSE)*($BD$69+$BD$75)/(1+$AZ$41)^J$392</f>
        <v>1418.3121490365056</v>
      </c>
      <c r="K554" s="106">
        <f>VLOOKUP($A554,'VKT US'!$B$63:$AA$113,(K$392+1),FALSE)*($BD$69+$BD$75)/(1+$AZ$41)^K$392</f>
        <v>1362.6563961931029</v>
      </c>
      <c r="L554" s="106">
        <f>VLOOKUP($A554,'VKT US'!$B$63:$AA$113,(L$392+1),FALSE)*($BD$69+$BD$75)/(1+$AZ$41)^L$392</f>
        <v>1309.7676711214904</v>
      </c>
      <c r="M554" s="106">
        <f>VLOOKUP($A554,'VKT US'!$B$63:$AA$113,(M$392+1),FALSE)*($BD$69+$BD$75)/(1+$AZ$41)^M$392</f>
        <v>1259.6938096519173</v>
      </c>
      <c r="N554" s="106">
        <f>VLOOKUP($A554,'VKT US'!$B$63:$AA$113,(N$392+1),FALSE)*($BD$69+$BD$75)/(1+$AZ$41)^N$392</f>
        <v>1212.2310438874679</v>
      </c>
      <c r="O554" s="106">
        <f>VLOOKUP($A554,'VKT US'!$B$63:$AA$113,(O$392+1),FALSE)*($BD$69+$BD$75)/(1+$AZ$41)^O$392</f>
        <v>1167.4276325652042</v>
      </c>
      <c r="P554" s="106">
        <f>VLOOKUP($A554,'VKT US'!$B$63:$AA$113,(P$392+1),FALSE)*($BD$69+$BD$75)/(1+$AZ$41)^P$392</f>
        <v>1125.0861381841441</v>
      </c>
      <c r="Q554" s="106">
        <f>VLOOKUP($A554,'VKT US'!$B$63:$AA$113,(Q$392+1),FALSE)*($BD$69+$BD$75)/(1+$AZ$41)^Q$392</f>
        <v>1085.3745091024243</v>
      </c>
      <c r="R554" s="106">
        <f>VLOOKUP($A554,'VKT US'!$B$63:$AA$113,(R$392+1),FALSE)*($BD$69+$BD$75)/(1+$AZ$41)^R$392</f>
        <v>1047.8613783230569</v>
      </c>
      <c r="S554" s="106">
        <f>VLOOKUP($A554,'VKT US'!$B$63:$AA$113,(S$392+1),FALSE)*($BD$69+$BD$75)/(1+$AZ$41)^S$392</f>
        <v>1012.832947552998</v>
      </c>
      <c r="T554" s="106">
        <f>VLOOKUP($A554,'VKT US'!$B$63:$AA$113,(T$392+1),FALSE)*($BD$69+$BD$75)/(1+$AZ$41)^T$392</f>
        <v>979.8694529812916</v>
      </c>
      <c r="U554" s="106">
        <f>VLOOKUP($A554,'VKT US'!$B$63:$AA$113,(U$392+1),FALSE)*($BD$69+$BD$75)/(1+$AZ$41)^U$392</f>
        <v>949.25176064594143</v>
      </c>
      <c r="V554" s="111" cm="1">
        <f t="array" ref="V554">SUMPRODUCT(INDEX(B554:U554,,_xlfn.SEQUENCE($AZ$13)))</f>
        <v>21534.742766913518</v>
      </c>
    </row>
    <row r="556" spans="1:22" x14ac:dyDescent="0.25">
      <c r="A556" s="112" t="s">
        <v>530</v>
      </c>
    </row>
    <row r="557" spans="1:22" x14ac:dyDescent="0.25">
      <c r="A557" s="213" t="s">
        <v>3</v>
      </c>
      <c r="B557" s="213" t="s">
        <v>317</v>
      </c>
      <c r="C557" s="213"/>
      <c r="D557" s="213"/>
      <c r="E557" s="213"/>
      <c r="F557" s="213"/>
      <c r="G557" s="213"/>
      <c r="H557" s="213"/>
      <c r="I557" s="213"/>
      <c r="J557" s="213"/>
      <c r="K557" s="213"/>
      <c r="L557" s="213"/>
      <c r="M557" s="213"/>
      <c r="N557" s="213"/>
      <c r="O557" s="213"/>
      <c r="P557" s="213"/>
      <c r="Q557" s="213"/>
      <c r="R557" s="213"/>
      <c r="S557" s="213"/>
      <c r="T557" s="213"/>
      <c r="U557" s="213"/>
      <c r="V557" s="214" t="s">
        <v>453</v>
      </c>
    </row>
    <row r="558" spans="1:22" x14ac:dyDescent="0.25">
      <c r="A558" s="213"/>
      <c r="B558" s="73">
        <v>1</v>
      </c>
      <c r="C558" s="73">
        <v>2</v>
      </c>
      <c r="D558" s="73">
        <v>3</v>
      </c>
      <c r="E558" s="73">
        <v>4</v>
      </c>
      <c r="F558" s="73">
        <v>5</v>
      </c>
      <c r="G558" s="73">
        <v>6</v>
      </c>
      <c r="H558" s="73">
        <v>7</v>
      </c>
      <c r="I558" s="73">
        <v>8</v>
      </c>
      <c r="J558" s="73">
        <v>9</v>
      </c>
      <c r="K558" s="73">
        <v>10</v>
      </c>
      <c r="L558" s="73">
        <v>11</v>
      </c>
      <c r="M558" s="73">
        <v>12</v>
      </c>
      <c r="N558" s="73">
        <v>13</v>
      </c>
      <c r="O558" s="73">
        <v>14</v>
      </c>
      <c r="P558" s="73">
        <v>15</v>
      </c>
      <c r="Q558" s="73">
        <v>16</v>
      </c>
      <c r="R558" s="73">
        <v>17</v>
      </c>
      <c r="S558" s="73">
        <v>18</v>
      </c>
      <c r="T558" s="73">
        <v>19</v>
      </c>
      <c r="U558" s="73">
        <v>20</v>
      </c>
      <c r="V558" s="215"/>
    </row>
    <row r="559" spans="1:22" x14ac:dyDescent="0.25">
      <c r="A559" s="102" t="s">
        <v>187</v>
      </c>
      <c r="B559" s="106">
        <f>VLOOKUP($A559,'VKT US'!$B$63:$AA$113,(B$113+1),FALSE)*$BD$9/VLOOKUP($A559,'Fuel economy adjusted factor'!$A$2:$K$52,11,FALSE)*($AZ$15*VLOOKUP($A559,'US Grid mix, emissions&amp;prices'!$AE$2:$AI$52,3,FALSE)/100+$BA$15*VLOOKUP($A559,'US Grid mix, emissions&amp;prices'!$AE$2:$AI$52,4,FALSE)/100)/(1+$AZ$41)^B$113+VLOOKUP($A559,'VKT US'!$B$63:$AA$113,(B$168+1),FALSE)*(1-$BD$9)/VLOOKUP($A559,'Fuel economy adjusted factor'!$A$2:$K$52,10,FALSE)*VLOOKUP($A559,'US Grid mix, emissions&amp;prices'!$AE$2:$AI$52,2,FALSE)/(1+$AZ$41)^B$168</f>
        <v>1208.8983536170194</v>
      </c>
      <c r="C559" s="106">
        <f>VLOOKUP($A559,'VKT US'!$B$63:$AA$113,(C$113+1),FALSE)*$BD$9/VLOOKUP($A559,'Fuel economy adjusted factor'!$A$2:$K$52,11,FALSE)*($AZ$15*VLOOKUP($A559,'US Grid mix, emissions&amp;prices'!$AE$2:$AI$52,3,FALSE)/100+$BA$15*VLOOKUP($A559,'US Grid mix, emissions&amp;prices'!$AE$2:$AI$52,4,FALSE)/100)/(1+$AZ$41)^C$113+VLOOKUP($A559,'VKT US'!$B$63:$AA$113,(C$168+1),FALSE)*(1-$BD$9)/VLOOKUP($A559,'Fuel economy adjusted factor'!$A$2:$K$52,10,FALSE)*VLOOKUP($A559,'US Grid mix, emissions&amp;prices'!$AE$2:$AI$52,2,FALSE)/(1+$AZ$41)^C$168</f>
        <v>1159.0336887620531</v>
      </c>
      <c r="D559" s="106">
        <f>VLOOKUP($A559,'VKT US'!$B$63:$AA$113,(D$113+1),FALSE)*$BD$9/VLOOKUP($A559,'Fuel economy adjusted factor'!$A$2:$K$52,11,FALSE)*($AZ$15*VLOOKUP($A559,'US Grid mix, emissions&amp;prices'!$AE$2:$AI$52,3,FALSE)/100+$BA$15*VLOOKUP($A559,'US Grid mix, emissions&amp;prices'!$AE$2:$AI$52,4,FALSE)/100)/(1+$AZ$41)^D$113+VLOOKUP($A559,'VKT US'!$B$63:$AA$113,(D$168+1),FALSE)*(1-$BD$9)/VLOOKUP($A559,'Fuel economy adjusted factor'!$A$2:$K$52,10,FALSE)*VLOOKUP($A559,'US Grid mix, emissions&amp;prices'!$AE$2:$AI$52,2,FALSE)/(1+$AZ$41)^D$168</f>
        <v>1111.2894032874797</v>
      </c>
      <c r="E559" s="106">
        <f>VLOOKUP($A559,'VKT US'!$B$63:$AA$113,(E$113+1),FALSE)*$BD$9/VLOOKUP($A559,'Fuel economy adjusted factor'!$A$2:$K$52,11,FALSE)*($AZ$15*VLOOKUP($A559,'US Grid mix, emissions&amp;prices'!$AE$2:$AI$52,3,FALSE)/100+$BA$15*VLOOKUP($A559,'US Grid mix, emissions&amp;prices'!$AE$2:$AI$52,4,FALSE)/100)/(1+$AZ$41)^E$113+VLOOKUP($A559,'VKT US'!$B$63:$AA$113,(E$168+1),FALSE)*(1-$BD$9)/VLOOKUP($A559,'Fuel economy adjusted factor'!$A$2:$K$52,10,FALSE)*VLOOKUP($A559,'US Grid mix, emissions&amp;prices'!$AE$2:$AI$52,2,FALSE)/(1+$AZ$41)^E$168</f>
        <v>1065.6932914228207</v>
      </c>
      <c r="F559" s="106">
        <f>VLOOKUP($A559,'VKT US'!$B$63:$AA$113,(F$113+1),FALSE)*$BD$9/VLOOKUP($A559,'Fuel economy adjusted factor'!$A$2:$K$52,11,FALSE)*($AZ$15*VLOOKUP($A559,'US Grid mix, emissions&amp;prices'!$AE$2:$AI$52,3,FALSE)/100+$BA$15*VLOOKUP($A559,'US Grid mix, emissions&amp;prices'!$AE$2:$AI$52,4,FALSE)/100)/(1+$AZ$41)^F$113+VLOOKUP($A559,'VKT US'!$B$63:$AA$113,(F$168+1),FALSE)*(1-$BD$9)/VLOOKUP($A559,'Fuel economy adjusted factor'!$A$2:$K$52,10,FALSE)*VLOOKUP($A559,'US Grid mix, emissions&amp;prices'!$AE$2:$AI$52,2,FALSE)/(1+$AZ$41)^F$168</f>
        <v>1022.1039366912731</v>
      </c>
      <c r="G559" s="106">
        <f>VLOOKUP($A559,'VKT US'!$B$63:$AA$113,(G$113+1),FALSE)*$BD$9/VLOOKUP($A559,'Fuel economy adjusted factor'!$A$2:$K$52,11,FALSE)*($AZ$15*VLOOKUP($A559,'US Grid mix, emissions&amp;prices'!$AE$2:$AI$52,3,FALSE)/100+$BA$15*VLOOKUP($A559,'US Grid mix, emissions&amp;prices'!$AE$2:$AI$52,4,FALSE)/100)/(1+$AZ$41)^G$113+VLOOKUP($A559,'VKT US'!$B$63:$AA$113,(G$168+1),FALSE)*(1-$BD$9)/VLOOKUP($A559,'Fuel economy adjusted factor'!$A$2:$K$52,10,FALSE)*VLOOKUP($A559,'US Grid mix, emissions&amp;prices'!$AE$2:$AI$52,2,FALSE)/(1+$AZ$41)^G$168</f>
        <v>980.63177179260902</v>
      </c>
      <c r="H559" s="106">
        <f>VLOOKUP($A559,'VKT US'!$B$63:$AA$113,(H$113+1),FALSE)*$BD$9/VLOOKUP($A559,'Fuel economy adjusted factor'!$A$2:$K$52,11,FALSE)*($AZ$15*VLOOKUP($A559,'US Grid mix, emissions&amp;prices'!$AE$2:$AI$52,3,FALSE)/100+$BA$15*VLOOKUP($A559,'US Grid mix, emissions&amp;prices'!$AE$2:$AI$52,4,FALSE)/100)/(1+$AZ$41)^H$113+VLOOKUP($A559,'VKT US'!$B$63:$AA$113,(H$168+1),FALSE)*(1-$BD$9)/VLOOKUP($A559,'Fuel economy adjusted factor'!$A$2:$K$52,10,FALSE)*VLOOKUP($A559,'US Grid mix, emissions&amp;prices'!$AE$2:$AI$52,2,FALSE)/(1+$AZ$41)^H$168</f>
        <v>940.97435791894088</v>
      </c>
      <c r="I559" s="106">
        <f>VLOOKUP($A559,'VKT US'!$B$63:$AA$113,(I$113+1),FALSE)*$BD$9/VLOOKUP($A559,'Fuel economy adjusted factor'!$A$2:$K$52,11,FALSE)*($AZ$15*VLOOKUP($A559,'US Grid mix, emissions&amp;prices'!$AE$2:$AI$52,3,FALSE)/100+$BA$15*VLOOKUP($A559,'US Grid mix, emissions&amp;prices'!$AE$2:$AI$52,4,FALSE)/100)/(1+$AZ$41)^I$113+VLOOKUP($A559,'VKT US'!$B$63:$AA$113,(I$168+1),FALSE)*(1-$BD$9)/VLOOKUP($A559,'Fuel economy adjusted factor'!$A$2:$K$52,10,FALSE)*VLOOKUP($A559,'US Grid mix, emissions&amp;prices'!$AE$2:$AI$52,2,FALSE)/(1+$AZ$41)^I$168</f>
        <v>903.24349055898415</v>
      </c>
      <c r="J559" s="106">
        <f>VLOOKUP($A559,'VKT US'!$B$63:$AA$113,(J$113+1),FALSE)*$BD$9/VLOOKUP($A559,'Fuel economy adjusted factor'!$A$2:$K$52,11,FALSE)*($AZ$15*VLOOKUP($A559,'US Grid mix, emissions&amp;prices'!$AE$2:$AI$52,3,FALSE)/100+$BA$15*VLOOKUP($A559,'US Grid mix, emissions&amp;prices'!$AE$2:$AI$52,4,FALSE)/100)/(1+$AZ$41)^J$113+VLOOKUP($A559,'VKT US'!$B$63:$AA$113,(J$168+1),FALSE)*(1-$BD$9)/VLOOKUP($A559,'Fuel economy adjusted factor'!$A$2:$K$52,10,FALSE)*VLOOKUP($A559,'US Grid mix, emissions&amp;prices'!$AE$2:$AI$52,2,FALSE)/(1+$AZ$41)^J$168</f>
        <v>867.38572959276098</v>
      </c>
      <c r="K559" s="106">
        <f>VLOOKUP($A559,'VKT US'!$B$63:$AA$113,(K$113+1),FALSE)*$BD$9/VLOOKUP($A559,'Fuel economy adjusted factor'!$A$2:$K$52,11,FALSE)*($AZ$15*VLOOKUP($A559,'US Grid mix, emissions&amp;prices'!$AE$2:$AI$52,3,FALSE)/100+$BA$15*VLOOKUP($A559,'US Grid mix, emissions&amp;prices'!$AE$2:$AI$52,4,FALSE)/100)/(1+$AZ$41)^K$113+VLOOKUP($A559,'VKT US'!$B$63:$AA$113,(K$168+1),FALSE)*(1-$BD$9)/VLOOKUP($A559,'Fuel economy adjusted factor'!$A$2:$K$52,10,FALSE)*VLOOKUP($A559,'US Grid mix, emissions&amp;prices'!$AE$2:$AI$52,2,FALSE)/(1+$AZ$41)^K$168</f>
        <v>833.34878940374585</v>
      </c>
      <c r="L559" s="106">
        <f>VLOOKUP($A559,'VKT US'!$B$63:$AA$113,(L$113+1),FALSE)*$BD$9/VLOOKUP($A559,'Fuel economy adjusted factor'!$A$2:$K$52,11,FALSE)*($AZ$15*VLOOKUP($A559,'US Grid mix, emissions&amp;prices'!$AE$2:$AI$52,3,FALSE)/100+$BA$15*VLOOKUP($A559,'US Grid mix, emissions&amp;prices'!$AE$2:$AI$52,4,FALSE)/100)/(1+$AZ$41)^L$113+VLOOKUP($A559,'VKT US'!$B$63:$AA$113,(L$168+1),FALSE)*(1-$BD$9)/VLOOKUP($A559,'Fuel economy adjusted factor'!$A$2:$K$52,10,FALSE)*VLOOKUP($A559,'US Grid mix, emissions&amp;prices'!$AE$2:$AI$52,2,FALSE)/(1+$AZ$41)^L$168</f>
        <v>801.00405808727544</v>
      </c>
      <c r="M559" s="106">
        <f>VLOOKUP($A559,'VKT US'!$B$63:$AA$113,(M$113+1),FALSE)*$BD$9/VLOOKUP($A559,'Fuel economy adjusted factor'!$A$2:$K$52,11,FALSE)*($AZ$15*VLOOKUP($A559,'US Grid mix, emissions&amp;prices'!$AE$2:$AI$52,3,FALSE)/100+$BA$15*VLOOKUP($A559,'US Grid mix, emissions&amp;prices'!$AE$2:$AI$52,4,FALSE)/100)/(1+$AZ$41)^M$113+VLOOKUP($A559,'VKT US'!$B$63:$AA$113,(M$168+1),FALSE)*(1-$BD$9)/VLOOKUP($A559,'Fuel economy adjusted factor'!$A$2:$K$52,10,FALSE)*VLOOKUP($A559,'US Grid mix, emissions&amp;prices'!$AE$2:$AI$52,2,FALSE)/(1+$AZ$41)^M$168</f>
        <v>770.38079021650537</v>
      </c>
      <c r="N559" s="106">
        <f>VLOOKUP($A559,'VKT US'!$B$63:$AA$113,(N$113+1),FALSE)*$BD$9/VLOOKUP($A559,'Fuel economy adjusted factor'!$A$2:$K$52,11,FALSE)*($AZ$15*VLOOKUP($A559,'US Grid mix, emissions&amp;prices'!$AE$2:$AI$52,3,FALSE)/100+$BA$15*VLOOKUP($A559,'US Grid mix, emissions&amp;prices'!$AE$2:$AI$52,4,FALSE)/100)/(1+$AZ$41)^N$113+VLOOKUP($A559,'VKT US'!$B$63:$AA$113,(N$168+1),FALSE)*(1-$BD$9)/VLOOKUP($A559,'Fuel economy adjusted factor'!$A$2:$K$52,10,FALSE)*VLOOKUP($A559,'US Grid mix, emissions&amp;prices'!$AE$2:$AI$52,2,FALSE)/(1+$AZ$41)^N$168</f>
        <v>741.35436910105886</v>
      </c>
      <c r="O559" s="106">
        <f>VLOOKUP($A559,'VKT US'!$B$63:$AA$113,(O$113+1),FALSE)*$BD$9/VLOOKUP($A559,'Fuel economy adjusted factor'!$A$2:$K$52,11,FALSE)*($AZ$15*VLOOKUP($A559,'US Grid mix, emissions&amp;prices'!$AE$2:$AI$52,3,FALSE)/100+$BA$15*VLOOKUP($A559,'US Grid mix, emissions&amp;prices'!$AE$2:$AI$52,4,FALSE)/100)/(1+$AZ$41)^O$113+VLOOKUP($A559,'VKT US'!$B$63:$AA$113,(O$168+1),FALSE)*(1-$BD$9)/VLOOKUP($A559,'Fuel economy adjusted factor'!$A$2:$K$52,10,FALSE)*VLOOKUP($A559,'US Grid mix, emissions&amp;prices'!$AE$2:$AI$52,2,FALSE)/(1+$AZ$41)^O$168</f>
        <v>713.95430794780304</v>
      </c>
      <c r="P559" s="106">
        <f>VLOOKUP($A559,'VKT US'!$B$63:$AA$113,(P$113+1),FALSE)*$BD$9/VLOOKUP($A559,'Fuel economy adjusted factor'!$A$2:$K$52,11,FALSE)*($AZ$15*VLOOKUP($A559,'US Grid mix, emissions&amp;prices'!$AE$2:$AI$52,3,FALSE)/100+$BA$15*VLOOKUP($A559,'US Grid mix, emissions&amp;prices'!$AE$2:$AI$52,4,FALSE)/100)/(1+$AZ$41)^P$113+VLOOKUP($A559,'VKT US'!$B$63:$AA$113,(P$168+1),FALSE)*(1-$BD$9)/VLOOKUP($A559,'Fuel economy adjusted factor'!$A$2:$K$52,10,FALSE)*VLOOKUP($A559,'US Grid mix, emissions&amp;prices'!$AE$2:$AI$52,2,FALSE)/(1+$AZ$41)^P$168</f>
        <v>688.05986149557941</v>
      </c>
      <c r="Q559" s="106">
        <f>VLOOKUP($A559,'VKT US'!$B$63:$AA$113,(Q$113+1),FALSE)*$BD$9/VLOOKUP($A559,'Fuel economy adjusted factor'!$A$2:$K$52,11,FALSE)*($AZ$15*VLOOKUP($A559,'US Grid mix, emissions&amp;prices'!$AE$2:$AI$52,3,FALSE)/100+$BA$15*VLOOKUP($A559,'US Grid mix, emissions&amp;prices'!$AE$2:$AI$52,4,FALSE)/100)/(1+$AZ$41)^Q$113+VLOOKUP($A559,'VKT US'!$B$63:$AA$113,(Q$168+1),FALSE)*(1-$BD$9)/VLOOKUP($A559,'Fuel economy adjusted factor'!$A$2:$K$52,10,FALSE)*VLOOKUP($A559,'US Grid mix, emissions&amp;prices'!$AE$2:$AI$52,2,FALSE)/(1+$AZ$41)^Q$168</f>
        <v>663.77374056813483</v>
      </c>
      <c r="R559" s="106">
        <f>VLOOKUP($A559,'VKT US'!$B$63:$AA$113,(R$113+1),FALSE)*$BD$9/VLOOKUP($A559,'Fuel economy adjusted factor'!$A$2:$K$52,11,FALSE)*($AZ$15*VLOOKUP($A559,'US Grid mix, emissions&amp;prices'!$AE$2:$AI$52,3,FALSE)/100+$BA$15*VLOOKUP($A559,'US Grid mix, emissions&amp;prices'!$AE$2:$AI$52,4,FALSE)/100)/(1+$AZ$41)^R$113+VLOOKUP($A559,'VKT US'!$B$63:$AA$113,(R$168+1),FALSE)*(1-$BD$9)/VLOOKUP($A559,'Fuel economy adjusted factor'!$A$2:$K$52,10,FALSE)*VLOOKUP($A559,'US Grid mix, emissions&amp;prices'!$AE$2:$AI$52,2,FALSE)/(1+$AZ$41)^R$168</f>
        <v>640.83213752787708</v>
      </c>
      <c r="S559" s="106">
        <f>VLOOKUP($A559,'VKT US'!$B$63:$AA$113,(S$113+1),FALSE)*$BD$9/VLOOKUP($A559,'Fuel economy adjusted factor'!$A$2:$K$52,11,FALSE)*($AZ$15*VLOOKUP($A559,'US Grid mix, emissions&amp;prices'!$AE$2:$AI$52,3,FALSE)/100+$BA$15*VLOOKUP($A559,'US Grid mix, emissions&amp;prices'!$AE$2:$AI$52,4,FALSE)/100)/(1+$AZ$41)^S$113+VLOOKUP($A559,'VKT US'!$B$63:$AA$113,(S$168+1),FALSE)*(1-$BD$9)/VLOOKUP($A559,'Fuel economy adjusted factor'!$A$2:$K$52,10,FALSE)*VLOOKUP($A559,'US Grid mix, emissions&amp;prices'!$AE$2:$AI$52,2,FALSE)/(1+$AZ$41)^S$168</f>
        <v>619.41008244598481</v>
      </c>
      <c r="T559" s="106">
        <f>VLOOKUP($A559,'VKT US'!$B$63:$AA$113,(T$113+1),FALSE)*$BD$9/VLOOKUP($A559,'Fuel economy adjusted factor'!$A$2:$K$52,11,FALSE)*($AZ$15*VLOOKUP($A559,'US Grid mix, emissions&amp;prices'!$AE$2:$AI$52,3,FALSE)/100+$BA$15*VLOOKUP($A559,'US Grid mix, emissions&amp;prices'!$AE$2:$AI$52,4,FALSE)/100)/(1+$AZ$41)^T$113+VLOOKUP($A559,'VKT US'!$B$63:$AA$113,(T$168+1),FALSE)*(1-$BD$9)/VLOOKUP($A559,'Fuel economy adjusted factor'!$A$2:$K$52,10,FALSE)*VLOOKUP($A559,'US Grid mix, emissions&amp;prices'!$AE$2:$AI$52,2,FALSE)/(1+$AZ$41)^T$168</f>
        <v>599.25086375182798</v>
      </c>
      <c r="U559" s="109">
        <f>VLOOKUP($A559,'VKT US'!$B$63:$AA$113,(U$113+1),FALSE)*$BD$9/VLOOKUP($A559,'Fuel economy adjusted factor'!$A$2:$K$52,11,FALSE)*($AZ$15*VLOOKUP($A559,'US Grid mix, emissions&amp;prices'!$AE$2:$AI$52,3,FALSE)/100+$BA$15*VLOOKUP($A559,'US Grid mix, emissions&amp;prices'!$AE$2:$AI$52,4,FALSE)/100)/(1+$AZ$41)^U$113+VLOOKUP($A559,'VKT US'!$B$63:$AA$113,(U$168+1),FALSE)*(1-$BD$9)/VLOOKUP($A559,'Fuel economy adjusted factor'!$A$2:$K$52,10,FALSE)*VLOOKUP($A559,'US Grid mix, emissions&amp;prices'!$AE$2:$AI$52,2,FALSE)/(1+$AZ$41)^U$168</f>
        <v>580.52624842452815</v>
      </c>
      <c r="V559" s="110" cm="1">
        <f t="array" ref="V559">SUMPRODUCT(INDEX(B559:U559,,_xlfn.SEQUENCE($AZ$13)))</f>
        <v>13119.296338400329</v>
      </c>
    </row>
    <row r="560" spans="1:22" x14ac:dyDescent="0.25">
      <c r="A560" s="102" t="s">
        <v>231</v>
      </c>
      <c r="B560" s="106">
        <f>VLOOKUP($A560,'VKT US'!$B$63:$AA$113,(B$113+1),FALSE)*$BD$9/VLOOKUP($A560,'Fuel economy adjusted factor'!$A$2:$K$52,11,FALSE)*($AZ$15*VLOOKUP($A560,'US Grid mix, emissions&amp;prices'!$AE$2:$AI$52,3,FALSE)/100+$BA$15*VLOOKUP($A560,'US Grid mix, emissions&amp;prices'!$AE$2:$AI$52,4,FALSE)/100)/(1+$AZ$41)^B$113+VLOOKUP($A560,'VKT US'!$B$63:$AA$113,(B$168+1),FALSE)*(1-$BD$9)/VLOOKUP($A560,'Fuel economy adjusted factor'!$A$2:$K$52,10,FALSE)*VLOOKUP($A560,'US Grid mix, emissions&amp;prices'!$AE$2:$AI$52,2,FALSE)/(1+$AZ$41)^B$168</f>
        <v>1589.0794508706244</v>
      </c>
      <c r="C560" s="106">
        <f>VLOOKUP($A560,'VKT US'!$B$63:$AA$113,(C$113+1),FALSE)*$BD$9/VLOOKUP($A560,'Fuel economy adjusted factor'!$A$2:$K$52,11,FALSE)*($AZ$15*VLOOKUP($A560,'US Grid mix, emissions&amp;prices'!$AE$2:$AI$52,3,FALSE)/100+$BA$15*VLOOKUP($A560,'US Grid mix, emissions&amp;prices'!$AE$2:$AI$52,4,FALSE)/100)/(1+$AZ$41)^C$113+VLOOKUP($A560,'VKT US'!$B$63:$AA$113,(C$168+1),FALSE)*(1-$BD$9)/VLOOKUP($A560,'Fuel economy adjusted factor'!$A$2:$K$52,10,FALSE)*VLOOKUP($A560,'US Grid mix, emissions&amp;prices'!$AE$2:$AI$52,2,FALSE)/(1+$AZ$41)^C$168</f>
        <v>1523.5330680763263</v>
      </c>
      <c r="D560" s="106">
        <f>VLOOKUP($A560,'VKT US'!$B$63:$AA$113,(D$113+1),FALSE)*$BD$9/VLOOKUP($A560,'Fuel economy adjusted factor'!$A$2:$K$52,11,FALSE)*($AZ$15*VLOOKUP($A560,'US Grid mix, emissions&amp;prices'!$AE$2:$AI$52,3,FALSE)/100+$BA$15*VLOOKUP($A560,'US Grid mix, emissions&amp;prices'!$AE$2:$AI$52,4,FALSE)/100)/(1+$AZ$41)^D$113+VLOOKUP($A560,'VKT US'!$B$63:$AA$113,(D$168+1),FALSE)*(1-$BD$9)/VLOOKUP($A560,'Fuel economy adjusted factor'!$A$2:$K$52,10,FALSE)*VLOOKUP($A560,'US Grid mix, emissions&amp;prices'!$AE$2:$AI$52,2,FALSE)/(1+$AZ$41)^D$168</f>
        <v>1460.7738933970456</v>
      </c>
      <c r="E560" s="106">
        <f>VLOOKUP($A560,'VKT US'!$B$63:$AA$113,(E$113+1),FALSE)*$BD$9/VLOOKUP($A560,'Fuel economy adjusted factor'!$A$2:$K$52,11,FALSE)*($AZ$15*VLOOKUP($A560,'US Grid mix, emissions&amp;prices'!$AE$2:$AI$52,3,FALSE)/100+$BA$15*VLOOKUP($A560,'US Grid mix, emissions&amp;prices'!$AE$2:$AI$52,4,FALSE)/100)/(1+$AZ$41)^E$113+VLOOKUP($A560,'VKT US'!$B$63:$AA$113,(E$168+1),FALSE)*(1-$BD$9)/VLOOKUP($A560,'Fuel economy adjusted factor'!$A$2:$K$52,10,FALSE)*VLOOKUP($A560,'US Grid mix, emissions&amp;prices'!$AE$2:$AI$52,2,FALSE)/(1+$AZ$41)^E$168</f>
        <v>1400.8384619466342</v>
      </c>
      <c r="F560" s="106">
        <f>VLOOKUP($A560,'VKT US'!$B$63:$AA$113,(F$113+1),FALSE)*$BD$9/VLOOKUP($A560,'Fuel economy adjusted factor'!$A$2:$K$52,11,FALSE)*($AZ$15*VLOOKUP($A560,'US Grid mix, emissions&amp;prices'!$AE$2:$AI$52,3,FALSE)/100+$BA$15*VLOOKUP($A560,'US Grid mix, emissions&amp;prices'!$AE$2:$AI$52,4,FALSE)/100)/(1+$AZ$41)^F$113+VLOOKUP($A560,'VKT US'!$B$63:$AA$113,(F$168+1),FALSE)*(1-$BD$9)/VLOOKUP($A560,'Fuel economy adjusted factor'!$A$2:$K$52,10,FALSE)*VLOOKUP($A560,'US Grid mix, emissions&amp;prices'!$AE$2:$AI$52,2,FALSE)/(1+$AZ$41)^F$168</f>
        <v>1343.54088380587</v>
      </c>
      <c r="G560" s="106">
        <f>VLOOKUP($A560,'VKT US'!$B$63:$AA$113,(G$113+1),FALSE)*$BD$9/VLOOKUP($A560,'Fuel economy adjusted factor'!$A$2:$K$52,11,FALSE)*($AZ$15*VLOOKUP($A560,'US Grid mix, emissions&amp;prices'!$AE$2:$AI$52,3,FALSE)/100+$BA$15*VLOOKUP($A560,'US Grid mix, emissions&amp;prices'!$AE$2:$AI$52,4,FALSE)/100)/(1+$AZ$41)^G$113+VLOOKUP($A560,'VKT US'!$B$63:$AA$113,(G$168+1),FALSE)*(1-$BD$9)/VLOOKUP($A560,'Fuel economy adjusted factor'!$A$2:$K$52,10,FALSE)*VLOOKUP($A560,'US Grid mix, emissions&amp;prices'!$AE$2:$AI$52,2,FALSE)/(1+$AZ$41)^G$168</f>
        <v>1289.0263211659221</v>
      </c>
      <c r="H560" s="106">
        <f>VLOOKUP($A560,'VKT US'!$B$63:$AA$113,(H$113+1),FALSE)*$BD$9/VLOOKUP($A560,'Fuel economy adjusted factor'!$A$2:$K$52,11,FALSE)*($AZ$15*VLOOKUP($A560,'US Grid mix, emissions&amp;prices'!$AE$2:$AI$52,3,FALSE)/100+$BA$15*VLOOKUP($A560,'US Grid mix, emissions&amp;prices'!$AE$2:$AI$52,4,FALSE)/100)/(1+$AZ$41)^H$113+VLOOKUP($A560,'VKT US'!$B$63:$AA$113,(H$168+1),FALSE)*(1-$BD$9)/VLOOKUP($A560,'Fuel economy adjusted factor'!$A$2:$K$52,10,FALSE)*VLOOKUP($A560,'US Grid mix, emissions&amp;prices'!$AE$2:$AI$52,2,FALSE)/(1+$AZ$41)^H$168</f>
        <v>1236.8972225756511</v>
      </c>
      <c r="I560" s="106">
        <f>VLOOKUP($A560,'VKT US'!$B$63:$AA$113,(I$113+1),FALSE)*$BD$9/VLOOKUP($A560,'Fuel economy adjusted factor'!$A$2:$K$52,11,FALSE)*($AZ$15*VLOOKUP($A560,'US Grid mix, emissions&amp;prices'!$AE$2:$AI$52,3,FALSE)/100+$BA$15*VLOOKUP($A560,'US Grid mix, emissions&amp;prices'!$AE$2:$AI$52,4,FALSE)/100)/(1+$AZ$41)^I$113+VLOOKUP($A560,'VKT US'!$B$63:$AA$113,(I$168+1),FALSE)*(1-$BD$9)/VLOOKUP($A560,'Fuel economy adjusted factor'!$A$2:$K$52,10,FALSE)*VLOOKUP($A560,'US Grid mix, emissions&amp;prices'!$AE$2:$AI$52,2,FALSE)/(1+$AZ$41)^I$168</f>
        <v>1187.3005415926386</v>
      </c>
      <c r="J560" s="106">
        <f>VLOOKUP($A560,'VKT US'!$B$63:$AA$113,(J$113+1),FALSE)*$BD$9/VLOOKUP($A560,'Fuel economy adjusted factor'!$A$2:$K$52,11,FALSE)*($AZ$15*VLOOKUP($A560,'US Grid mix, emissions&amp;prices'!$AE$2:$AI$52,3,FALSE)/100+$BA$15*VLOOKUP($A560,'US Grid mix, emissions&amp;prices'!$AE$2:$AI$52,4,FALSE)/100)/(1+$AZ$41)^J$113+VLOOKUP($A560,'VKT US'!$B$63:$AA$113,(J$168+1),FALSE)*(1-$BD$9)/VLOOKUP($A560,'Fuel economy adjusted factor'!$A$2:$K$52,10,FALSE)*VLOOKUP($A560,'US Grid mix, emissions&amp;prices'!$AE$2:$AI$52,2,FALSE)/(1+$AZ$41)^J$168</f>
        <v>1140.1660319498969</v>
      </c>
      <c r="K560" s="106">
        <f>VLOOKUP($A560,'VKT US'!$B$63:$AA$113,(K$113+1),FALSE)*$BD$9/VLOOKUP($A560,'Fuel economy adjusted factor'!$A$2:$K$52,11,FALSE)*($AZ$15*VLOOKUP($A560,'US Grid mix, emissions&amp;prices'!$AE$2:$AI$52,3,FALSE)/100+$BA$15*VLOOKUP($A560,'US Grid mix, emissions&amp;prices'!$AE$2:$AI$52,4,FALSE)/100)/(1+$AZ$41)^K$113+VLOOKUP($A560,'VKT US'!$B$63:$AA$113,(K$168+1),FALSE)*(1-$BD$9)/VLOOKUP($A560,'Fuel economy adjusted factor'!$A$2:$K$52,10,FALSE)*VLOOKUP($A560,'US Grid mix, emissions&amp;prices'!$AE$2:$AI$52,2,FALSE)/(1+$AZ$41)^K$168</f>
        <v>1095.4249649585759</v>
      </c>
      <c r="L560" s="106">
        <f>VLOOKUP($A560,'VKT US'!$B$63:$AA$113,(L$113+1),FALSE)*$BD$9/VLOOKUP($A560,'Fuel economy adjusted factor'!$A$2:$K$52,11,FALSE)*($AZ$15*VLOOKUP($A560,'US Grid mix, emissions&amp;prices'!$AE$2:$AI$52,3,FALSE)/100+$BA$15*VLOOKUP($A560,'US Grid mix, emissions&amp;prices'!$AE$2:$AI$52,4,FALSE)/100)/(1+$AZ$41)^L$113+VLOOKUP($A560,'VKT US'!$B$63:$AA$113,(L$168+1),FALSE)*(1-$BD$9)/VLOOKUP($A560,'Fuel economy adjusted factor'!$A$2:$K$52,10,FALSE)*VLOOKUP($A560,'US Grid mix, emissions&amp;prices'!$AE$2:$AI$52,2,FALSE)/(1+$AZ$41)^L$168</f>
        <v>1052.9082821248612</v>
      </c>
      <c r="M560" s="106">
        <f>VLOOKUP($A560,'VKT US'!$B$63:$AA$113,(M$113+1),FALSE)*$BD$9/VLOOKUP($A560,'Fuel economy adjusted factor'!$A$2:$K$52,11,FALSE)*($AZ$15*VLOOKUP($A560,'US Grid mix, emissions&amp;prices'!$AE$2:$AI$52,3,FALSE)/100+$BA$15*VLOOKUP($A560,'US Grid mix, emissions&amp;prices'!$AE$2:$AI$52,4,FALSE)/100)/(1+$AZ$41)^M$113+VLOOKUP($A560,'VKT US'!$B$63:$AA$113,(M$168+1),FALSE)*(1-$BD$9)/VLOOKUP($A560,'Fuel economy adjusted factor'!$A$2:$K$52,10,FALSE)*VLOOKUP($A560,'US Grid mix, emissions&amp;prices'!$AE$2:$AI$52,2,FALSE)/(1+$AZ$41)^M$168</f>
        <v>1012.6544381632507</v>
      </c>
      <c r="N560" s="106">
        <f>VLOOKUP($A560,'VKT US'!$B$63:$AA$113,(N$113+1),FALSE)*$BD$9/VLOOKUP($A560,'Fuel economy adjusted factor'!$A$2:$K$52,11,FALSE)*($AZ$15*VLOOKUP($A560,'US Grid mix, emissions&amp;prices'!$AE$2:$AI$52,3,FALSE)/100+$BA$15*VLOOKUP($A560,'US Grid mix, emissions&amp;prices'!$AE$2:$AI$52,4,FALSE)/100)/(1+$AZ$41)^N$113+VLOOKUP($A560,'VKT US'!$B$63:$AA$113,(N$168+1),FALSE)*(1-$BD$9)/VLOOKUP($A560,'Fuel economy adjusted factor'!$A$2:$K$52,10,FALSE)*VLOOKUP($A560,'US Grid mix, emissions&amp;prices'!$AE$2:$AI$52,2,FALSE)/(1+$AZ$41)^N$168</f>
        <v>974.49962623148986</v>
      </c>
      <c r="O560" s="106">
        <f>VLOOKUP($A560,'VKT US'!$B$63:$AA$113,(O$113+1),FALSE)*$BD$9/VLOOKUP($A560,'Fuel economy adjusted factor'!$A$2:$K$52,11,FALSE)*($AZ$15*VLOOKUP($A560,'US Grid mix, emissions&amp;prices'!$AE$2:$AI$52,3,FALSE)/100+$BA$15*VLOOKUP($A560,'US Grid mix, emissions&amp;prices'!$AE$2:$AI$52,4,FALSE)/100)/(1+$AZ$41)^O$113+VLOOKUP($A560,'VKT US'!$B$63:$AA$113,(O$168+1),FALSE)*(1-$BD$9)/VLOOKUP($A560,'Fuel economy adjusted factor'!$A$2:$K$52,10,FALSE)*VLOOKUP($A560,'US Grid mix, emissions&amp;prices'!$AE$2:$AI$52,2,FALSE)/(1+$AZ$41)^O$168</f>
        <v>938.48264101435939</v>
      </c>
      <c r="P560" s="106">
        <f>VLOOKUP($A560,'VKT US'!$B$63:$AA$113,(P$113+1),FALSE)*$BD$9/VLOOKUP($A560,'Fuel economy adjusted factor'!$A$2:$K$52,11,FALSE)*($AZ$15*VLOOKUP($A560,'US Grid mix, emissions&amp;prices'!$AE$2:$AI$52,3,FALSE)/100+$BA$15*VLOOKUP($A560,'US Grid mix, emissions&amp;prices'!$AE$2:$AI$52,4,FALSE)/100)/(1+$AZ$41)^P$113+VLOOKUP($A560,'VKT US'!$B$63:$AA$113,(P$168+1),FALSE)*(1-$BD$9)/VLOOKUP($A560,'Fuel economy adjusted factor'!$A$2:$K$52,10,FALSE)*VLOOKUP($A560,'US Grid mix, emissions&amp;prices'!$AE$2:$AI$52,2,FALSE)/(1+$AZ$41)^P$168</f>
        <v>904.44476460747831</v>
      </c>
      <c r="Q560" s="106">
        <f>VLOOKUP($A560,'VKT US'!$B$63:$AA$113,(Q$113+1),FALSE)*$BD$9/VLOOKUP($A560,'Fuel economy adjusted factor'!$A$2:$K$52,11,FALSE)*($AZ$15*VLOOKUP($A560,'US Grid mix, emissions&amp;prices'!$AE$2:$AI$52,3,FALSE)/100+$BA$15*VLOOKUP($A560,'US Grid mix, emissions&amp;prices'!$AE$2:$AI$52,4,FALSE)/100)/(1+$AZ$41)^Q$113+VLOOKUP($A560,'VKT US'!$B$63:$AA$113,(Q$168+1),FALSE)*(1-$BD$9)/VLOOKUP($A560,'Fuel economy adjusted factor'!$A$2:$K$52,10,FALSE)*VLOOKUP($A560,'US Grid mix, emissions&amp;prices'!$AE$2:$AI$52,2,FALSE)/(1+$AZ$41)^Q$168</f>
        <v>872.52100890734641</v>
      </c>
      <c r="R560" s="106">
        <f>VLOOKUP($A560,'VKT US'!$B$63:$AA$113,(R$113+1),FALSE)*$BD$9/VLOOKUP($A560,'Fuel economy adjusted factor'!$A$2:$K$52,11,FALSE)*($AZ$15*VLOOKUP($A560,'US Grid mix, emissions&amp;prices'!$AE$2:$AI$52,3,FALSE)/100+$BA$15*VLOOKUP($A560,'US Grid mix, emissions&amp;prices'!$AE$2:$AI$52,4,FALSE)/100)/(1+$AZ$41)^R$113+VLOOKUP($A560,'VKT US'!$B$63:$AA$113,(R$168+1),FALSE)*(1-$BD$9)/VLOOKUP($A560,'Fuel economy adjusted factor'!$A$2:$K$52,10,FALSE)*VLOOKUP($A560,'US Grid mix, emissions&amp;prices'!$AE$2:$AI$52,2,FALSE)/(1+$AZ$41)^R$168</f>
        <v>842.36460257903241</v>
      </c>
      <c r="S560" s="106">
        <f>VLOOKUP($A560,'VKT US'!$B$63:$AA$113,(S$113+1),FALSE)*$BD$9/VLOOKUP($A560,'Fuel economy adjusted factor'!$A$2:$K$52,11,FALSE)*($AZ$15*VLOOKUP($A560,'US Grid mix, emissions&amp;prices'!$AE$2:$AI$52,3,FALSE)/100+$BA$15*VLOOKUP($A560,'US Grid mix, emissions&amp;prices'!$AE$2:$AI$52,4,FALSE)/100)/(1+$AZ$41)^S$113+VLOOKUP($A560,'VKT US'!$B$63:$AA$113,(S$168+1),FALSE)*(1-$BD$9)/VLOOKUP($A560,'Fuel economy adjusted factor'!$A$2:$K$52,10,FALSE)*VLOOKUP($A560,'US Grid mix, emissions&amp;prices'!$AE$2:$AI$52,2,FALSE)/(1+$AZ$41)^S$168</f>
        <v>814.20562012678397</v>
      </c>
      <c r="T560" s="106">
        <f>VLOOKUP($A560,'VKT US'!$B$63:$AA$113,(T$113+1),FALSE)*$BD$9/VLOOKUP($A560,'Fuel economy adjusted factor'!$A$2:$K$52,11,FALSE)*($AZ$15*VLOOKUP($A560,'US Grid mix, emissions&amp;prices'!$AE$2:$AI$52,3,FALSE)/100+$BA$15*VLOOKUP($A560,'US Grid mix, emissions&amp;prices'!$AE$2:$AI$52,4,FALSE)/100)/(1+$AZ$41)^T$113+VLOOKUP($A560,'VKT US'!$B$63:$AA$113,(T$168+1),FALSE)*(1-$BD$9)/VLOOKUP($A560,'Fuel economy adjusted factor'!$A$2:$K$52,10,FALSE)*VLOOKUP($A560,'US Grid mix, emissions&amp;prices'!$AE$2:$AI$52,2,FALSE)/(1+$AZ$41)^T$168</f>
        <v>787.70661789335043</v>
      </c>
      <c r="U560" s="109">
        <f>VLOOKUP($A560,'VKT US'!$B$63:$AA$113,(U$113+1),FALSE)*$BD$9/VLOOKUP($A560,'Fuel economy adjusted factor'!$A$2:$K$52,11,FALSE)*($AZ$15*VLOOKUP($A560,'US Grid mix, emissions&amp;prices'!$AE$2:$AI$52,3,FALSE)/100+$BA$15*VLOOKUP($A560,'US Grid mix, emissions&amp;prices'!$AE$2:$AI$52,4,FALSE)/100)/(1+$AZ$41)^U$113+VLOOKUP($A560,'VKT US'!$B$63:$AA$113,(U$168+1),FALSE)*(1-$BD$9)/VLOOKUP($A560,'Fuel economy adjusted factor'!$A$2:$K$52,10,FALSE)*VLOOKUP($A560,'US Grid mix, emissions&amp;prices'!$AE$2:$AI$52,2,FALSE)/(1+$AZ$41)^U$168</f>
        <v>763.09338109553141</v>
      </c>
      <c r="V560" s="110" cm="1">
        <f t="array" ref="V560">SUMPRODUCT(INDEX(B560:U560,,_xlfn.SEQUENCE($AZ$13)))</f>
        <v>17245.125827873144</v>
      </c>
    </row>
    <row r="561" spans="1:22" x14ac:dyDescent="0.25">
      <c r="A561" s="102" t="s">
        <v>189</v>
      </c>
      <c r="B561" s="106">
        <f>VLOOKUP($A561,'VKT US'!$B$63:$AA$113,(B$113+1),FALSE)*$BD$9/VLOOKUP($A561,'Fuel economy adjusted factor'!$A$2:$K$52,11,FALSE)*($AZ$15*VLOOKUP($A561,'US Grid mix, emissions&amp;prices'!$AE$2:$AI$52,3,FALSE)/100+$BA$15*VLOOKUP($A561,'US Grid mix, emissions&amp;prices'!$AE$2:$AI$52,4,FALSE)/100)/(1+$AZ$41)^B$113+VLOOKUP($A561,'VKT US'!$B$63:$AA$113,(B$168+1),FALSE)*(1-$BD$9)/VLOOKUP($A561,'Fuel economy adjusted factor'!$A$2:$K$52,10,FALSE)*VLOOKUP($A561,'US Grid mix, emissions&amp;prices'!$AE$2:$AI$52,2,FALSE)/(1+$AZ$41)^B$168</f>
        <v>1089.000172705053</v>
      </c>
      <c r="C561" s="106">
        <f>VLOOKUP($A561,'VKT US'!$B$63:$AA$113,(C$113+1),FALSE)*$BD$9/VLOOKUP($A561,'Fuel economy adjusted factor'!$A$2:$K$52,11,FALSE)*($AZ$15*VLOOKUP($A561,'US Grid mix, emissions&amp;prices'!$AE$2:$AI$52,3,FALSE)/100+$BA$15*VLOOKUP($A561,'US Grid mix, emissions&amp;prices'!$AE$2:$AI$52,4,FALSE)/100)/(1+$AZ$41)^C$113+VLOOKUP($A561,'VKT US'!$B$63:$AA$113,(C$168+1),FALSE)*(1-$BD$9)/VLOOKUP($A561,'Fuel economy adjusted factor'!$A$2:$K$52,10,FALSE)*VLOOKUP($A561,'US Grid mix, emissions&amp;prices'!$AE$2:$AI$52,2,FALSE)/(1+$AZ$41)^C$168</f>
        <v>1044.0810705518697</v>
      </c>
      <c r="D561" s="106">
        <f>VLOOKUP($A561,'VKT US'!$B$63:$AA$113,(D$113+1),FALSE)*$BD$9/VLOOKUP($A561,'Fuel economy adjusted factor'!$A$2:$K$52,11,FALSE)*($AZ$15*VLOOKUP($A561,'US Grid mix, emissions&amp;prices'!$AE$2:$AI$52,3,FALSE)/100+$BA$15*VLOOKUP($A561,'US Grid mix, emissions&amp;prices'!$AE$2:$AI$52,4,FALSE)/100)/(1+$AZ$41)^D$113+VLOOKUP($A561,'VKT US'!$B$63:$AA$113,(D$168+1),FALSE)*(1-$BD$9)/VLOOKUP($A561,'Fuel economy adjusted factor'!$A$2:$K$52,10,FALSE)*VLOOKUP($A561,'US Grid mix, emissions&amp;prices'!$AE$2:$AI$52,2,FALSE)/(1+$AZ$41)^D$168</f>
        <v>1001.0720491797048</v>
      </c>
      <c r="E561" s="106">
        <f>VLOOKUP($A561,'VKT US'!$B$63:$AA$113,(E$113+1),FALSE)*$BD$9/VLOOKUP($A561,'Fuel economy adjusted factor'!$A$2:$K$52,11,FALSE)*($AZ$15*VLOOKUP($A561,'US Grid mix, emissions&amp;prices'!$AE$2:$AI$52,3,FALSE)/100+$BA$15*VLOOKUP($A561,'US Grid mix, emissions&amp;prices'!$AE$2:$AI$52,4,FALSE)/100)/(1+$AZ$41)^E$113+VLOOKUP($A561,'VKT US'!$B$63:$AA$113,(E$168+1),FALSE)*(1-$BD$9)/VLOOKUP($A561,'Fuel economy adjusted factor'!$A$2:$K$52,10,FALSE)*VLOOKUP($A561,'US Grid mix, emissions&amp;prices'!$AE$2:$AI$52,2,FALSE)/(1+$AZ$41)^E$168</f>
        <v>959.99814619462097</v>
      </c>
      <c r="F561" s="106">
        <f>VLOOKUP($A561,'VKT US'!$B$63:$AA$113,(F$113+1),FALSE)*$BD$9/VLOOKUP($A561,'Fuel economy adjusted factor'!$A$2:$K$52,11,FALSE)*($AZ$15*VLOOKUP($A561,'US Grid mix, emissions&amp;prices'!$AE$2:$AI$52,3,FALSE)/100+$BA$15*VLOOKUP($A561,'US Grid mix, emissions&amp;prices'!$AE$2:$AI$52,4,FALSE)/100)/(1+$AZ$41)^F$113+VLOOKUP($A561,'VKT US'!$B$63:$AA$113,(F$168+1),FALSE)*(1-$BD$9)/VLOOKUP($A561,'Fuel economy adjusted factor'!$A$2:$K$52,10,FALSE)*VLOOKUP($A561,'US Grid mix, emissions&amp;prices'!$AE$2:$AI$52,2,FALSE)/(1+$AZ$41)^F$168</f>
        <v>920.73197076413044</v>
      </c>
      <c r="G561" s="106">
        <f>VLOOKUP($A561,'VKT US'!$B$63:$AA$113,(G$113+1),FALSE)*$BD$9/VLOOKUP($A561,'Fuel economy adjusted factor'!$A$2:$K$52,11,FALSE)*($AZ$15*VLOOKUP($A561,'US Grid mix, emissions&amp;prices'!$AE$2:$AI$52,3,FALSE)/100+$BA$15*VLOOKUP($A561,'US Grid mix, emissions&amp;prices'!$AE$2:$AI$52,4,FALSE)/100)/(1+$AZ$41)^G$113+VLOOKUP($A561,'VKT US'!$B$63:$AA$113,(G$168+1),FALSE)*(1-$BD$9)/VLOOKUP($A561,'Fuel economy adjusted factor'!$A$2:$K$52,10,FALSE)*VLOOKUP($A561,'US Grid mix, emissions&amp;prices'!$AE$2:$AI$52,2,FALSE)/(1+$AZ$41)^G$168</f>
        <v>883.37300290552639</v>
      </c>
      <c r="H561" s="106">
        <f>VLOOKUP($A561,'VKT US'!$B$63:$AA$113,(H$113+1),FALSE)*$BD$9/VLOOKUP($A561,'Fuel economy adjusted factor'!$A$2:$K$52,11,FALSE)*($AZ$15*VLOOKUP($A561,'US Grid mix, emissions&amp;prices'!$AE$2:$AI$52,3,FALSE)/100+$BA$15*VLOOKUP($A561,'US Grid mix, emissions&amp;prices'!$AE$2:$AI$52,4,FALSE)/100)/(1+$AZ$41)^H$113+VLOOKUP($A561,'VKT US'!$B$63:$AA$113,(H$168+1),FALSE)*(1-$BD$9)/VLOOKUP($A561,'Fuel economy adjusted factor'!$A$2:$K$52,10,FALSE)*VLOOKUP($A561,'US Grid mix, emissions&amp;prices'!$AE$2:$AI$52,2,FALSE)/(1+$AZ$41)^H$168</f>
        <v>847.64879960237408</v>
      </c>
      <c r="I561" s="106">
        <f>VLOOKUP($A561,'VKT US'!$B$63:$AA$113,(I$113+1),FALSE)*$BD$9/VLOOKUP($A561,'Fuel economy adjusted factor'!$A$2:$K$52,11,FALSE)*($AZ$15*VLOOKUP($A561,'US Grid mix, emissions&amp;prices'!$AE$2:$AI$52,3,FALSE)/100+$BA$15*VLOOKUP($A561,'US Grid mix, emissions&amp;prices'!$AE$2:$AI$52,4,FALSE)/100)/(1+$AZ$41)^I$113+VLOOKUP($A561,'VKT US'!$B$63:$AA$113,(I$168+1),FALSE)*(1-$BD$9)/VLOOKUP($A561,'Fuel economy adjusted factor'!$A$2:$K$52,10,FALSE)*VLOOKUP($A561,'US Grid mix, emissions&amp;prices'!$AE$2:$AI$52,2,FALSE)/(1+$AZ$41)^I$168</f>
        <v>813.66006849990697</v>
      </c>
      <c r="J561" s="106">
        <f>VLOOKUP($A561,'VKT US'!$B$63:$AA$113,(J$113+1),FALSE)*$BD$9/VLOOKUP($A561,'Fuel economy adjusted factor'!$A$2:$K$52,11,FALSE)*($AZ$15*VLOOKUP($A561,'US Grid mix, emissions&amp;prices'!$AE$2:$AI$52,3,FALSE)/100+$BA$15*VLOOKUP($A561,'US Grid mix, emissions&amp;prices'!$AE$2:$AI$52,4,FALSE)/100)/(1+$AZ$41)^J$113+VLOOKUP($A561,'VKT US'!$B$63:$AA$113,(J$168+1),FALSE)*(1-$BD$9)/VLOOKUP($A561,'Fuel economy adjusted factor'!$A$2:$K$52,10,FALSE)*VLOOKUP($A561,'US Grid mix, emissions&amp;prices'!$AE$2:$AI$52,2,FALSE)/(1+$AZ$41)^J$168</f>
        <v>781.35866965342927</v>
      </c>
      <c r="K561" s="106">
        <f>VLOOKUP($A561,'VKT US'!$B$63:$AA$113,(K$113+1),FALSE)*$BD$9/VLOOKUP($A561,'Fuel economy adjusted factor'!$A$2:$K$52,11,FALSE)*($AZ$15*VLOOKUP($A561,'US Grid mix, emissions&amp;prices'!$AE$2:$AI$52,3,FALSE)/100+$BA$15*VLOOKUP($A561,'US Grid mix, emissions&amp;prices'!$AE$2:$AI$52,4,FALSE)/100)/(1+$AZ$41)^K$113+VLOOKUP($A561,'VKT US'!$B$63:$AA$113,(K$168+1),FALSE)*(1-$BD$9)/VLOOKUP($A561,'Fuel economy adjusted factor'!$A$2:$K$52,10,FALSE)*VLOOKUP($A561,'US Grid mix, emissions&amp;prices'!$AE$2:$AI$52,2,FALSE)/(1+$AZ$41)^K$168</f>
        <v>750.69750311838754</v>
      </c>
      <c r="L561" s="106">
        <f>VLOOKUP($A561,'VKT US'!$B$63:$AA$113,(L$113+1),FALSE)*$BD$9/VLOOKUP($A561,'Fuel economy adjusted factor'!$A$2:$K$52,11,FALSE)*($AZ$15*VLOOKUP($A561,'US Grid mix, emissions&amp;prices'!$AE$2:$AI$52,3,FALSE)/100+$BA$15*VLOOKUP($A561,'US Grid mix, emissions&amp;prices'!$AE$2:$AI$52,4,FALSE)/100)/(1+$AZ$41)^L$113+VLOOKUP($A561,'VKT US'!$B$63:$AA$113,(L$168+1),FALSE)*(1-$BD$9)/VLOOKUP($A561,'Fuel economy adjusted factor'!$A$2:$K$52,10,FALSE)*VLOOKUP($A561,'US Grid mix, emissions&amp;prices'!$AE$2:$AI$52,2,FALSE)/(1+$AZ$41)^L$168</f>
        <v>721.56071268075777</v>
      </c>
      <c r="M561" s="106">
        <f>VLOOKUP($A561,'VKT US'!$B$63:$AA$113,(M$113+1),FALSE)*$BD$9/VLOOKUP($A561,'Fuel economy adjusted factor'!$A$2:$K$52,11,FALSE)*($AZ$15*VLOOKUP($A561,'US Grid mix, emissions&amp;prices'!$AE$2:$AI$52,3,FALSE)/100+$BA$15*VLOOKUP($A561,'US Grid mix, emissions&amp;prices'!$AE$2:$AI$52,4,FALSE)/100)/(1+$AZ$41)^M$113+VLOOKUP($A561,'VKT US'!$B$63:$AA$113,(M$168+1),FALSE)*(1-$BD$9)/VLOOKUP($A561,'Fuel economy adjusted factor'!$A$2:$K$52,10,FALSE)*VLOOKUP($A561,'US Grid mix, emissions&amp;prices'!$AE$2:$AI$52,2,FALSE)/(1+$AZ$41)^M$168</f>
        <v>693.97465145378828</v>
      </c>
      <c r="N561" s="106">
        <f>VLOOKUP($A561,'VKT US'!$B$63:$AA$113,(N$113+1),FALSE)*$BD$9/VLOOKUP($A561,'Fuel economy adjusted factor'!$A$2:$K$52,11,FALSE)*($AZ$15*VLOOKUP($A561,'US Grid mix, emissions&amp;prices'!$AE$2:$AI$52,3,FALSE)/100+$BA$15*VLOOKUP($A561,'US Grid mix, emissions&amp;prices'!$AE$2:$AI$52,4,FALSE)/100)/(1+$AZ$41)^N$113+VLOOKUP($A561,'VKT US'!$B$63:$AA$113,(N$168+1),FALSE)*(1-$BD$9)/VLOOKUP($A561,'Fuel economy adjusted factor'!$A$2:$K$52,10,FALSE)*VLOOKUP($A561,'US Grid mix, emissions&amp;prices'!$AE$2:$AI$52,2,FALSE)/(1+$AZ$41)^N$168</f>
        <v>667.82706219357101</v>
      </c>
      <c r="O561" s="106">
        <f>VLOOKUP($A561,'VKT US'!$B$63:$AA$113,(O$113+1),FALSE)*$BD$9/VLOOKUP($A561,'Fuel economy adjusted factor'!$A$2:$K$52,11,FALSE)*($AZ$15*VLOOKUP($A561,'US Grid mix, emissions&amp;prices'!$AE$2:$AI$52,3,FALSE)/100+$BA$15*VLOOKUP($A561,'US Grid mix, emissions&amp;prices'!$AE$2:$AI$52,4,FALSE)/100)/(1+$AZ$41)^O$113+VLOOKUP($A561,'VKT US'!$B$63:$AA$113,(O$168+1),FALSE)*(1-$BD$9)/VLOOKUP($A561,'Fuel economy adjusted factor'!$A$2:$K$52,10,FALSE)*VLOOKUP($A561,'US Grid mix, emissions&amp;prices'!$AE$2:$AI$52,2,FALSE)/(1+$AZ$41)^O$168</f>
        <v>643.14453099585069</v>
      </c>
      <c r="P561" s="106">
        <f>VLOOKUP($A561,'VKT US'!$B$63:$AA$113,(P$113+1),FALSE)*$BD$9/VLOOKUP($A561,'Fuel economy adjusted factor'!$A$2:$K$52,11,FALSE)*($AZ$15*VLOOKUP($A561,'US Grid mix, emissions&amp;prices'!$AE$2:$AI$52,3,FALSE)/100+$BA$15*VLOOKUP($A561,'US Grid mix, emissions&amp;prices'!$AE$2:$AI$52,4,FALSE)/100)/(1+$AZ$41)^P$113+VLOOKUP($A561,'VKT US'!$B$63:$AA$113,(P$168+1),FALSE)*(1-$BD$9)/VLOOKUP($A561,'Fuel economy adjusted factor'!$A$2:$K$52,10,FALSE)*VLOOKUP($A561,'US Grid mix, emissions&amp;prices'!$AE$2:$AI$52,2,FALSE)/(1+$AZ$41)^P$168</f>
        <v>619.81828807873399</v>
      </c>
      <c r="Q561" s="106">
        <f>VLOOKUP($A561,'VKT US'!$B$63:$AA$113,(Q$113+1),FALSE)*$BD$9/VLOOKUP($A561,'Fuel economy adjusted factor'!$A$2:$K$52,11,FALSE)*($AZ$15*VLOOKUP($A561,'US Grid mix, emissions&amp;prices'!$AE$2:$AI$52,3,FALSE)/100+$BA$15*VLOOKUP($A561,'US Grid mix, emissions&amp;prices'!$AE$2:$AI$52,4,FALSE)/100)/(1+$AZ$41)^Q$113+VLOOKUP($A561,'VKT US'!$B$63:$AA$113,(Q$168+1),FALSE)*(1-$BD$9)/VLOOKUP($A561,'Fuel economy adjusted factor'!$A$2:$K$52,10,FALSE)*VLOOKUP($A561,'US Grid mix, emissions&amp;prices'!$AE$2:$AI$52,2,FALSE)/(1+$AZ$41)^Q$168</f>
        <v>597.94085743686742</v>
      </c>
      <c r="R561" s="106">
        <f>VLOOKUP($A561,'VKT US'!$B$63:$AA$113,(R$113+1),FALSE)*$BD$9/VLOOKUP($A561,'Fuel economy adjusted factor'!$A$2:$K$52,11,FALSE)*($AZ$15*VLOOKUP($A561,'US Grid mix, emissions&amp;prices'!$AE$2:$AI$52,3,FALSE)/100+$BA$15*VLOOKUP($A561,'US Grid mix, emissions&amp;prices'!$AE$2:$AI$52,4,FALSE)/100)/(1+$AZ$41)^R$113+VLOOKUP($A561,'VKT US'!$B$63:$AA$113,(R$168+1),FALSE)*(1-$BD$9)/VLOOKUP($A561,'Fuel economy adjusted factor'!$A$2:$K$52,10,FALSE)*VLOOKUP($A561,'US Grid mix, emissions&amp;prices'!$AE$2:$AI$52,2,FALSE)/(1+$AZ$41)^R$168</f>
        <v>577.27459579607591</v>
      </c>
      <c r="S561" s="106">
        <f>VLOOKUP($A561,'VKT US'!$B$63:$AA$113,(S$113+1),FALSE)*$BD$9/VLOOKUP($A561,'Fuel economy adjusted factor'!$A$2:$K$52,11,FALSE)*($AZ$15*VLOOKUP($A561,'US Grid mix, emissions&amp;prices'!$AE$2:$AI$52,3,FALSE)/100+$BA$15*VLOOKUP($A561,'US Grid mix, emissions&amp;prices'!$AE$2:$AI$52,4,FALSE)/100)/(1+$AZ$41)^S$113+VLOOKUP($A561,'VKT US'!$B$63:$AA$113,(S$168+1),FALSE)*(1-$BD$9)/VLOOKUP($A561,'Fuel economy adjusted factor'!$A$2:$K$52,10,FALSE)*VLOOKUP($A561,'US Grid mix, emissions&amp;prices'!$AE$2:$AI$52,2,FALSE)/(1+$AZ$41)^S$168</f>
        <v>557.97717379688231</v>
      </c>
      <c r="T561" s="106">
        <f>VLOOKUP($A561,'VKT US'!$B$63:$AA$113,(T$113+1),FALSE)*$BD$9/VLOOKUP($A561,'Fuel economy adjusted factor'!$A$2:$K$52,11,FALSE)*($AZ$15*VLOOKUP($A561,'US Grid mix, emissions&amp;prices'!$AE$2:$AI$52,3,FALSE)/100+$BA$15*VLOOKUP($A561,'US Grid mix, emissions&amp;prices'!$AE$2:$AI$52,4,FALSE)/100)/(1+$AZ$41)^T$113+VLOOKUP($A561,'VKT US'!$B$63:$AA$113,(T$168+1),FALSE)*(1-$BD$9)/VLOOKUP($A561,'Fuel economy adjusted factor'!$A$2:$K$52,10,FALSE)*VLOOKUP($A561,'US Grid mix, emissions&amp;prices'!$AE$2:$AI$52,2,FALSE)/(1+$AZ$41)^T$168</f>
        <v>539.81734044625262</v>
      </c>
      <c r="U561" s="109">
        <f>VLOOKUP($A561,'VKT US'!$B$63:$AA$113,(U$113+1),FALSE)*$BD$9/VLOOKUP($A561,'Fuel economy adjusted factor'!$A$2:$K$52,11,FALSE)*($AZ$15*VLOOKUP($A561,'US Grid mix, emissions&amp;prices'!$AE$2:$AI$52,3,FALSE)/100+$BA$15*VLOOKUP($A561,'US Grid mix, emissions&amp;prices'!$AE$2:$AI$52,4,FALSE)/100)/(1+$AZ$41)^U$113+VLOOKUP($A561,'VKT US'!$B$63:$AA$113,(U$168+1),FALSE)*(1-$BD$9)/VLOOKUP($A561,'Fuel economy adjusted factor'!$A$2:$K$52,10,FALSE)*VLOOKUP($A561,'US Grid mix, emissions&amp;prices'!$AE$2:$AI$52,2,FALSE)/(1+$AZ$41)^U$168</f>
        <v>522.94982692515714</v>
      </c>
      <c r="V561" s="110" cm="1">
        <f t="array" ref="V561">SUMPRODUCT(INDEX(B561:U561,,_xlfn.SEQUENCE($AZ$13)))</f>
        <v>11818.12841049897</v>
      </c>
    </row>
    <row r="562" spans="1:22" x14ac:dyDescent="0.25">
      <c r="A562" s="102" t="s">
        <v>188</v>
      </c>
      <c r="B562" s="106">
        <f>VLOOKUP($A562,'VKT US'!$B$63:$AA$113,(B$113+1),FALSE)*$BD$9/VLOOKUP($A562,'Fuel economy adjusted factor'!$A$2:$K$52,11,FALSE)*($AZ$15*VLOOKUP($A562,'US Grid mix, emissions&amp;prices'!$AE$2:$AI$52,3,FALSE)/100+$BA$15*VLOOKUP($A562,'US Grid mix, emissions&amp;prices'!$AE$2:$AI$52,4,FALSE)/100)/(1+$AZ$41)^B$113+VLOOKUP($A562,'VKT US'!$B$63:$AA$113,(B$168+1),FALSE)*(1-$BD$9)/VLOOKUP($A562,'Fuel economy adjusted factor'!$A$2:$K$52,10,FALSE)*VLOOKUP($A562,'US Grid mix, emissions&amp;prices'!$AE$2:$AI$52,2,FALSE)/(1+$AZ$41)^B$168</f>
        <v>1111.3822548628</v>
      </c>
      <c r="C562" s="106">
        <f>VLOOKUP($A562,'VKT US'!$B$63:$AA$113,(C$113+1),FALSE)*$BD$9/VLOOKUP($A562,'Fuel economy adjusted factor'!$A$2:$K$52,11,FALSE)*($AZ$15*VLOOKUP($A562,'US Grid mix, emissions&amp;prices'!$AE$2:$AI$52,3,FALSE)/100+$BA$15*VLOOKUP($A562,'US Grid mix, emissions&amp;prices'!$AE$2:$AI$52,4,FALSE)/100)/(1+$AZ$41)^C$113+VLOOKUP($A562,'VKT US'!$B$63:$AA$113,(C$168+1),FALSE)*(1-$BD$9)/VLOOKUP($A562,'Fuel economy adjusted factor'!$A$2:$K$52,10,FALSE)*VLOOKUP($A562,'US Grid mix, emissions&amp;prices'!$AE$2:$AI$52,2,FALSE)/(1+$AZ$41)^C$168</f>
        <v>1065.5399361114523</v>
      </c>
      <c r="D562" s="106">
        <f>VLOOKUP($A562,'VKT US'!$B$63:$AA$113,(D$113+1),FALSE)*$BD$9/VLOOKUP($A562,'Fuel economy adjusted factor'!$A$2:$K$52,11,FALSE)*($AZ$15*VLOOKUP($A562,'US Grid mix, emissions&amp;prices'!$AE$2:$AI$52,3,FALSE)/100+$BA$15*VLOOKUP($A562,'US Grid mix, emissions&amp;prices'!$AE$2:$AI$52,4,FALSE)/100)/(1+$AZ$41)^D$113+VLOOKUP($A562,'VKT US'!$B$63:$AA$113,(D$168+1),FALSE)*(1-$BD$9)/VLOOKUP($A562,'Fuel economy adjusted factor'!$A$2:$K$52,10,FALSE)*VLOOKUP($A562,'US Grid mix, emissions&amp;prices'!$AE$2:$AI$52,2,FALSE)/(1+$AZ$41)^D$168</f>
        <v>1021.6469557886794</v>
      </c>
      <c r="E562" s="106">
        <f>VLOOKUP($A562,'VKT US'!$B$63:$AA$113,(E$113+1),FALSE)*$BD$9/VLOOKUP($A562,'Fuel economy adjusted factor'!$A$2:$K$52,11,FALSE)*($AZ$15*VLOOKUP($A562,'US Grid mix, emissions&amp;prices'!$AE$2:$AI$52,3,FALSE)/100+$BA$15*VLOOKUP($A562,'US Grid mix, emissions&amp;prices'!$AE$2:$AI$52,4,FALSE)/100)/(1+$AZ$41)^E$113+VLOOKUP($A562,'VKT US'!$B$63:$AA$113,(E$168+1),FALSE)*(1-$BD$9)/VLOOKUP($A562,'Fuel economy adjusted factor'!$A$2:$K$52,10,FALSE)*VLOOKUP($A562,'US Grid mix, emissions&amp;prices'!$AE$2:$AI$52,2,FALSE)/(1+$AZ$41)^E$168</f>
        <v>979.72886609528018</v>
      </c>
      <c r="F562" s="106">
        <f>VLOOKUP($A562,'VKT US'!$B$63:$AA$113,(F$113+1),FALSE)*$BD$9/VLOOKUP($A562,'Fuel economy adjusted factor'!$A$2:$K$52,11,FALSE)*($AZ$15*VLOOKUP($A562,'US Grid mix, emissions&amp;prices'!$AE$2:$AI$52,3,FALSE)/100+$BA$15*VLOOKUP($A562,'US Grid mix, emissions&amp;prices'!$AE$2:$AI$52,4,FALSE)/100)/(1+$AZ$41)^F$113+VLOOKUP($A562,'VKT US'!$B$63:$AA$113,(F$168+1),FALSE)*(1-$BD$9)/VLOOKUP($A562,'Fuel economy adjusted factor'!$A$2:$K$52,10,FALSE)*VLOOKUP($A562,'US Grid mix, emissions&amp;prices'!$AE$2:$AI$52,2,FALSE)/(1+$AZ$41)^F$168</f>
        <v>939.65565795117402</v>
      </c>
      <c r="G562" s="106">
        <f>VLOOKUP($A562,'VKT US'!$B$63:$AA$113,(G$113+1),FALSE)*$BD$9/VLOOKUP($A562,'Fuel economy adjusted factor'!$A$2:$K$52,11,FALSE)*($AZ$15*VLOOKUP($A562,'US Grid mix, emissions&amp;prices'!$AE$2:$AI$52,3,FALSE)/100+$BA$15*VLOOKUP($A562,'US Grid mix, emissions&amp;prices'!$AE$2:$AI$52,4,FALSE)/100)/(1+$AZ$41)^G$113+VLOOKUP($A562,'VKT US'!$B$63:$AA$113,(G$168+1),FALSE)*(1-$BD$9)/VLOOKUP($A562,'Fuel economy adjusted factor'!$A$2:$K$52,10,FALSE)*VLOOKUP($A562,'US Grid mix, emissions&amp;prices'!$AE$2:$AI$52,2,FALSE)/(1+$AZ$41)^G$168</f>
        <v>901.52885597380873</v>
      </c>
      <c r="H562" s="106">
        <f>VLOOKUP($A562,'VKT US'!$B$63:$AA$113,(H$113+1),FALSE)*$BD$9/VLOOKUP($A562,'Fuel economy adjusted factor'!$A$2:$K$52,11,FALSE)*($AZ$15*VLOOKUP($A562,'US Grid mix, emissions&amp;prices'!$AE$2:$AI$52,3,FALSE)/100+$BA$15*VLOOKUP($A562,'US Grid mix, emissions&amp;prices'!$AE$2:$AI$52,4,FALSE)/100)/(1+$AZ$41)^H$113+VLOOKUP($A562,'VKT US'!$B$63:$AA$113,(H$168+1),FALSE)*(1-$BD$9)/VLOOKUP($A562,'Fuel economy adjusted factor'!$A$2:$K$52,10,FALSE)*VLOOKUP($A562,'US Grid mix, emissions&amp;prices'!$AE$2:$AI$52,2,FALSE)/(1+$AZ$41)^H$168</f>
        <v>865.07041766005489</v>
      </c>
      <c r="I562" s="106">
        <f>VLOOKUP($A562,'VKT US'!$B$63:$AA$113,(I$113+1),FALSE)*$BD$9/VLOOKUP($A562,'Fuel economy adjusted factor'!$A$2:$K$52,11,FALSE)*($AZ$15*VLOOKUP($A562,'US Grid mix, emissions&amp;prices'!$AE$2:$AI$52,3,FALSE)/100+$BA$15*VLOOKUP($A562,'US Grid mix, emissions&amp;prices'!$AE$2:$AI$52,4,FALSE)/100)/(1+$AZ$41)^I$113+VLOOKUP($A562,'VKT US'!$B$63:$AA$113,(I$168+1),FALSE)*(1-$BD$9)/VLOOKUP($A562,'Fuel economy adjusted factor'!$A$2:$K$52,10,FALSE)*VLOOKUP($A562,'US Grid mix, emissions&amp;prices'!$AE$2:$AI$52,2,FALSE)/(1+$AZ$41)^I$168</f>
        <v>830.38312048658008</v>
      </c>
      <c r="J562" s="106">
        <f>VLOOKUP($A562,'VKT US'!$B$63:$AA$113,(J$113+1),FALSE)*$BD$9/VLOOKUP($A562,'Fuel economy adjusted factor'!$A$2:$K$52,11,FALSE)*($AZ$15*VLOOKUP($A562,'US Grid mix, emissions&amp;prices'!$AE$2:$AI$52,3,FALSE)/100+$BA$15*VLOOKUP($A562,'US Grid mix, emissions&amp;prices'!$AE$2:$AI$52,4,FALSE)/100)/(1+$AZ$41)^J$113+VLOOKUP($A562,'VKT US'!$B$63:$AA$113,(J$168+1),FALSE)*(1-$BD$9)/VLOOKUP($A562,'Fuel economy adjusted factor'!$A$2:$K$52,10,FALSE)*VLOOKUP($A562,'US Grid mix, emissions&amp;prices'!$AE$2:$AI$52,2,FALSE)/(1+$AZ$41)^J$168</f>
        <v>797.41783509452353</v>
      </c>
      <c r="K562" s="106">
        <f>VLOOKUP($A562,'VKT US'!$B$63:$AA$113,(K$113+1),FALSE)*$BD$9/VLOOKUP($A562,'Fuel economy adjusted factor'!$A$2:$K$52,11,FALSE)*($AZ$15*VLOOKUP($A562,'US Grid mix, emissions&amp;prices'!$AE$2:$AI$52,3,FALSE)/100+$BA$15*VLOOKUP($A562,'US Grid mix, emissions&amp;prices'!$AE$2:$AI$52,4,FALSE)/100)/(1+$AZ$41)^K$113+VLOOKUP($A562,'VKT US'!$B$63:$AA$113,(K$168+1),FALSE)*(1-$BD$9)/VLOOKUP($A562,'Fuel economy adjusted factor'!$A$2:$K$52,10,FALSE)*VLOOKUP($A562,'US Grid mix, emissions&amp;prices'!$AE$2:$AI$52,2,FALSE)/(1+$AZ$41)^K$168</f>
        <v>766.12649350015658</v>
      </c>
      <c r="L562" s="106">
        <f>VLOOKUP($A562,'VKT US'!$B$63:$AA$113,(L$113+1),FALSE)*$BD$9/VLOOKUP($A562,'Fuel economy adjusted factor'!$A$2:$K$52,11,FALSE)*($AZ$15*VLOOKUP($A562,'US Grid mix, emissions&amp;prices'!$AE$2:$AI$52,3,FALSE)/100+$BA$15*VLOOKUP($A562,'US Grid mix, emissions&amp;prices'!$AE$2:$AI$52,4,FALSE)/100)/(1+$AZ$41)^L$113+VLOOKUP($A562,'VKT US'!$B$63:$AA$113,(L$168+1),FALSE)*(1-$BD$9)/VLOOKUP($A562,'Fuel economy adjusted factor'!$A$2:$K$52,10,FALSE)*VLOOKUP($A562,'US Grid mix, emissions&amp;prices'!$AE$2:$AI$52,2,FALSE)/(1+$AZ$41)^L$168</f>
        <v>736.39085831141142</v>
      </c>
      <c r="M562" s="106">
        <f>VLOOKUP($A562,'VKT US'!$B$63:$AA$113,(M$113+1),FALSE)*$BD$9/VLOOKUP($A562,'Fuel economy adjusted factor'!$A$2:$K$52,11,FALSE)*($AZ$15*VLOOKUP($A562,'US Grid mix, emissions&amp;prices'!$AE$2:$AI$52,3,FALSE)/100+$BA$15*VLOOKUP($A562,'US Grid mix, emissions&amp;prices'!$AE$2:$AI$52,4,FALSE)/100)/(1+$AZ$41)^M$113+VLOOKUP($A562,'VKT US'!$B$63:$AA$113,(M$168+1),FALSE)*(1-$BD$9)/VLOOKUP($A562,'Fuel economy adjusted factor'!$A$2:$K$52,10,FALSE)*VLOOKUP($A562,'US Grid mix, emissions&amp;prices'!$AE$2:$AI$52,2,FALSE)/(1+$AZ$41)^M$168</f>
        <v>708.23782427372407</v>
      </c>
      <c r="N562" s="106">
        <f>VLOOKUP($A562,'VKT US'!$B$63:$AA$113,(N$113+1),FALSE)*$BD$9/VLOOKUP($A562,'Fuel economy adjusted factor'!$A$2:$K$52,11,FALSE)*($AZ$15*VLOOKUP($A562,'US Grid mix, emissions&amp;prices'!$AE$2:$AI$52,3,FALSE)/100+$BA$15*VLOOKUP($A562,'US Grid mix, emissions&amp;prices'!$AE$2:$AI$52,4,FALSE)/100)/(1+$AZ$41)^N$113+VLOOKUP($A562,'VKT US'!$B$63:$AA$113,(N$168+1),FALSE)*(1-$BD$9)/VLOOKUP($A562,'Fuel economy adjusted factor'!$A$2:$K$52,10,FALSE)*VLOOKUP($A562,'US Grid mix, emissions&amp;prices'!$AE$2:$AI$52,2,FALSE)/(1+$AZ$41)^N$168</f>
        <v>681.55282693431877</v>
      </c>
      <c r="O562" s="106">
        <f>VLOOKUP($A562,'VKT US'!$B$63:$AA$113,(O$113+1),FALSE)*$BD$9/VLOOKUP($A562,'Fuel economy adjusted factor'!$A$2:$K$52,11,FALSE)*($AZ$15*VLOOKUP($A562,'US Grid mix, emissions&amp;prices'!$AE$2:$AI$52,3,FALSE)/100+$BA$15*VLOOKUP($A562,'US Grid mix, emissions&amp;prices'!$AE$2:$AI$52,4,FALSE)/100)/(1+$AZ$41)^O$113+VLOOKUP($A562,'VKT US'!$B$63:$AA$113,(O$168+1),FALSE)*(1-$BD$9)/VLOOKUP($A562,'Fuel economy adjusted factor'!$A$2:$K$52,10,FALSE)*VLOOKUP($A562,'US Grid mix, emissions&amp;prices'!$AE$2:$AI$52,2,FALSE)/(1+$AZ$41)^O$168</f>
        <v>656.36299880958654</v>
      </c>
      <c r="P562" s="106">
        <f>VLOOKUP($A562,'VKT US'!$B$63:$AA$113,(P$113+1),FALSE)*$BD$9/VLOOKUP($A562,'Fuel economy adjusted factor'!$A$2:$K$52,11,FALSE)*($AZ$15*VLOOKUP($A562,'US Grid mix, emissions&amp;prices'!$AE$2:$AI$52,3,FALSE)/100+$BA$15*VLOOKUP($A562,'US Grid mix, emissions&amp;prices'!$AE$2:$AI$52,4,FALSE)/100)/(1+$AZ$41)^P$113+VLOOKUP($A562,'VKT US'!$B$63:$AA$113,(P$168+1),FALSE)*(1-$BD$9)/VLOOKUP($A562,'Fuel economy adjusted factor'!$A$2:$K$52,10,FALSE)*VLOOKUP($A562,'US Grid mix, emissions&amp;prices'!$AE$2:$AI$52,2,FALSE)/(1+$AZ$41)^P$168</f>
        <v>632.55733458613008</v>
      </c>
      <c r="Q562" s="106">
        <f>VLOOKUP($A562,'VKT US'!$B$63:$AA$113,(Q$113+1),FALSE)*$BD$9/VLOOKUP($A562,'Fuel economy adjusted factor'!$A$2:$K$52,11,FALSE)*($AZ$15*VLOOKUP($A562,'US Grid mix, emissions&amp;prices'!$AE$2:$AI$52,3,FALSE)/100+$BA$15*VLOOKUP($A562,'US Grid mix, emissions&amp;prices'!$AE$2:$AI$52,4,FALSE)/100)/(1+$AZ$41)^Q$113+VLOOKUP($A562,'VKT US'!$B$63:$AA$113,(Q$168+1),FALSE)*(1-$BD$9)/VLOOKUP($A562,'Fuel economy adjusted factor'!$A$2:$K$52,10,FALSE)*VLOOKUP($A562,'US Grid mix, emissions&amp;prices'!$AE$2:$AI$52,2,FALSE)/(1+$AZ$41)^Q$168</f>
        <v>610.23025989249959</v>
      </c>
      <c r="R562" s="106">
        <f>VLOOKUP($A562,'VKT US'!$B$63:$AA$113,(R$113+1),FALSE)*$BD$9/VLOOKUP($A562,'Fuel economy adjusted factor'!$A$2:$K$52,11,FALSE)*($AZ$15*VLOOKUP($A562,'US Grid mix, emissions&amp;prices'!$AE$2:$AI$52,3,FALSE)/100+$BA$15*VLOOKUP($A562,'US Grid mix, emissions&amp;prices'!$AE$2:$AI$52,4,FALSE)/100)/(1+$AZ$41)^R$113+VLOOKUP($A562,'VKT US'!$B$63:$AA$113,(R$168+1),FALSE)*(1-$BD$9)/VLOOKUP($A562,'Fuel economy adjusted factor'!$A$2:$K$52,10,FALSE)*VLOOKUP($A562,'US Grid mix, emissions&amp;prices'!$AE$2:$AI$52,2,FALSE)/(1+$AZ$41)^R$168</f>
        <v>589.13924720250611</v>
      </c>
      <c r="S562" s="106">
        <f>VLOOKUP($A562,'VKT US'!$B$63:$AA$113,(S$113+1),FALSE)*$BD$9/VLOOKUP($A562,'Fuel economy adjusted factor'!$A$2:$K$52,11,FALSE)*($AZ$15*VLOOKUP($A562,'US Grid mix, emissions&amp;prices'!$AE$2:$AI$52,3,FALSE)/100+$BA$15*VLOOKUP($A562,'US Grid mix, emissions&amp;prices'!$AE$2:$AI$52,4,FALSE)/100)/(1+$AZ$41)^S$113+VLOOKUP($A562,'VKT US'!$B$63:$AA$113,(S$168+1),FALSE)*(1-$BD$9)/VLOOKUP($A562,'Fuel economy adjusted factor'!$A$2:$K$52,10,FALSE)*VLOOKUP($A562,'US Grid mix, emissions&amp;prices'!$AE$2:$AI$52,2,FALSE)/(1+$AZ$41)^S$168</f>
        <v>569.44520774131001</v>
      </c>
      <c r="T562" s="106">
        <f>VLOOKUP($A562,'VKT US'!$B$63:$AA$113,(T$113+1),FALSE)*$BD$9/VLOOKUP($A562,'Fuel economy adjusted factor'!$A$2:$K$52,11,FALSE)*($AZ$15*VLOOKUP($A562,'US Grid mix, emissions&amp;prices'!$AE$2:$AI$52,3,FALSE)/100+$BA$15*VLOOKUP($A562,'US Grid mix, emissions&amp;prices'!$AE$2:$AI$52,4,FALSE)/100)/(1+$AZ$41)^T$113+VLOOKUP($A562,'VKT US'!$B$63:$AA$113,(T$168+1),FALSE)*(1-$BD$9)/VLOOKUP($A562,'Fuel economy adjusted factor'!$A$2:$K$52,10,FALSE)*VLOOKUP($A562,'US Grid mix, emissions&amp;prices'!$AE$2:$AI$52,2,FALSE)/(1+$AZ$41)^T$168</f>
        <v>550.91213764360509</v>
      </c>
      <c r="U562" s="109">
        <f>VLOOKUP($A562,'VKT US'!$B$63:$AA$113,(U$113+1),FALSE)*$BD$9/VLOOKUP($A562,'Fuel economy adjusted factor'!$A$2:$K$52,11,FALSE)*($AZ$15*VLOOKUP($A562,'US Grid mix, emissions&amp;prices'!$AE$2:$AI$52,3,FALSE)/100+$BA$15*VLOOKUP($A562,'US Grid mix, emissions&amp;prices'!$AE$2:$AI$52,4,FALSE)/100)/(1+$AZ$41)^U$113+VLOOKUP($A562,'VKT US'!$B$63:$AA$113,(U$168+1),FALSE)*(1-$BD$9)/VLOOKUP($A562,'Fuel economy adjusted factor'!$A$2:$K$52,10,FALSE)*VLOOKUP($A562,'US Grid mix, emissions&amp;prices'!$AE$2:$AI$52,2,FALSE)/(1+$AZ$41)^U$168</f>
        <v>533.69794826066072</v>
      </c>
      <c r="V562" s="110" cm="1">
        <f t="array" ref="V562">SUMPRODUCT(INDEX(B562:U562,,_xlfn.SEQUENCE($AZ$13)))</f>
        <v>12061.024901853552</v>
      </c>
    </row>
    <row r="563" spans="1:22" x14ac:dyDescent="0.25">
      <c r="A563" s="102" t="s">
        <v>149</v>
      </c>
      <c r="B563" s="106">
        <f>VLOOKUP($A563,'VKT US'!$B$63:$AA$113,(B$113+1),FALSE)*$BD$9/VLOOKUP($A563,'Fuel economy adjusted factor'!$A$2:$K$52,11,FALSE)*($AZ$15*VLOOKUP($A563,'US Grid mix, emissions&amp;prices'!$AE$2:$AI$52,3,FALSE)/100+$BA$15*VLOOKUP($A563,'US Grid mix, emissions&amp;prices'!$AE$2:$AI$52,4,FALSE)/100)/(1+$AZ$41)^B$113+VLOOKUP($A563,'VKT US'!$B$63:$AA$113,(B$168+1),FALSE)*(1-$BD$9)/VLOOKUP($A563,'Fuel economy adjusted factor'!$A$2:$K$52,10,FALSE)*VLOOKUP($A563,'US Grid mix, emissions&amp;prices'!$AE$2:$AI$52,2,FALSE)/(1+$AZ$41)^B$168</f>
        <v>1305.6055727697371</v>
      </c>
      <c r="C563" s="106">
        <f>VLOOKUP($A563,'VKT US'!$B$63:$AA$113,(C$113+1),FALSE)*$BD$9/VLOOKUP($A563,'Fuel economy adjusted factor'!$A$2:$K$52,11,FALSE)*($AZ$15*VLOOKUP($A563,'US Grid mix, emissions&amp;prices'!$AE$2:$AI$52,3,FALSE)/100+$BA$15*VLOOKUP($A563,'US Grid mix, emissions&amp;prices'!$AE$2:$AI$52,4,FALSE)/100)/(1+$AZ$41)^C$113+VLOOKUP($A563,'VKT US'!$B$63:$AA$113,(C$168+1),FALSE)*(1-$BD$9)/VLOOKUP($A563,'Fuel economy adjusted factor'!$A$2:$K$52,10,FALSE)*VLOOKUP($A563,'US Grid mix, emissions&amp;prices'!$AE$2:$AI$52,2,FALSE)/(1+$AZ$41)^C$168</f>
        <v>1251.7519264940597</v>
      </c>
      <c r="D563" s="106">
        <f>VLOOKUP($A563,'VKT US'!$B$63:$AA$113,(D$113+1),FALSE)*$BD$9/VLOOKUP($A563,'Fuel economy adjusted factor'!$A$2:$K$52,11,FALSE)*($AZ$15*VLOOKUP($A563,'US Grid mix, emissions&amp;prices'!$AE$2:$AI$52,3,FALSE)/100+$BA$15*VLOOKUP($A563,'US Grid mix, emissions&amp;prices'!$AE$2:$AI$52,4,FALSE)/100)/(1+$AZ$41)^D$113+VLOOKUP($A563,'VKT US'!$B$63:$AA$113,(D$168+1),FALSE)*(1-$BD$9)/VLOOKUP($A563,'Fuel economy adjusted factor'!$A$2:$K$52,10,FALSE)*VLOOKUP($A563,'US Grid mix, emissions&amp;prices'!$AE$2:$AI$52,2,FALSE)/(1+$AZ$41)^D$168</f>
        <v>1200.1882817947308</v>
      </c>
      <c r="E563" s="106">
        <f>VLOOKUP($A563,'VKT US'!$B$63:$AA$113,(E$113+1),FALSE)*$BD$9/VLOOKUP($A563,'Fuel economy adjusted factor'!$A$2:$K$52,11,FALSE)*($AZ$15*VLOOKUP($A563,'US Grid mix, emissions&amp;prices'!$AE$2:$AI$52,3,FALSE)/100+$BA$15*VLOOKUP($A563,'US Grid mix, emissions&amp;prices'!$AE$2:$AI$52,4,FALSE)/100)/(1+$AZ$41)^E$113+VLOOKUP($A563,'VKT US'!$B$63:$AA$113,(E$168+1),FALSE)*(1-$BD$9)/VLOOKUP($A563,'Fuel economy adjusted factor'!$A$2:$K$52,10,FALSE)*VLOOKUP($A563,'US Grid mix, emissions&amp;prices'!$AE$2:$AI$52,2,FALSE)/(1+$AZ$41)^E$168</f>
        <v>1150.9446563327419</v>
      </c>
      <c r="F563" s="106">
        <f>VLOOKUP($A563,'VKT US'!$B$63:$AA$113,(F$113+1),FALSE)*$BD$9/VLOOKUP($A563,'Fuel economy adjusted factor'!$A$2:$K$52,11,FALSE)*($AZ$15*VLOOKUP($A563,'US Grid mix, emissions&amp;prices'!$AE$2:$AI$52,3,FALSE)/100+$BA$15*VLOOKUP($A563,'US Grid mix, emissions&amp;prices'!$AE$2:$AI$52,4,FALSE)/100)/(1+$AZ$41)^F$113+VLOOKUP($A563,'VKT US'!$B$63:$AA$113,(F$168+1),FALSE)*(1-$BD$9)/VLOOKUP($A563,'Fuel economy adjusted factor'!$A$2:$K$52,10,FALSE)*VLOOKUP($A563,'US Grid mix, emissions&amp;prices'!$AE$2:$AI$52,2,FALSE)/(1+$AZ$41)^F$168</f>
        <v>1103.8683208570012</v>
      </c>
      <c r="G563" s="106">
        <f>VLOOKUP($A563,'VKT US'!$B$63:$AA$113,(G$113+1),FALSE)*$BD$9/VLOOKUP($A563,'Fuel economy adjusted factor'!$A$2:$K$52,11,FALSE)*($AZ$15*VLOOKUP($A563,'US Grid mix, emissions&amp;prices'!$AE$2:$AI$52,3,FALSE)/100+$BA$15*VLOOKUP($A563,'US Grid mix, emissions&amp;prices'!$AE$2:$AI$52,4,FALSE)/100)/(1+$AZ$41)^G$113+VLOOKUP($A563,'VKT US'!$B$63:$AA$113,(G$168+1),FALSE)*(1-$BD$9)/VLOOKUP($A563,'Fuel economy adjusted factor'!$A$2:$K$52,10,FALSE)*VLOOKUP($A563,'US Grid mix, emissions&amp;prices'!$AE$2:$AI$52,2,FALSE)/(1+$AZ$41)^G$168</f>
        <v>1059.0785422585645</v>
      </c>
      <c r="H563" s="106">
        <f>VLOOKUP($A563,'VKT US'!$B$63:$AA$113,(H$113+1),FALSE)*$BD$9/VLOOKUP($A563,'Fuel economy adjusted factor'!$A$2:$K$52,11,FALSE)*($AZ$15*VLOOKUP($A563,'US Grid mix, emissions&amp;prices'!$AE$2:$AI$52,3,FALSE)/100+$BA$15*VLOOKUP($A563,'US Grid mix, emissions&amp;prices'!$AE$2:$AI$52,4,FALSE)/100)/(1+$AZ$41)^H$113+VLOOKUP($A563,'VKT US'!$B$63:$AA$113,(H$168+1),FALSE)*(1-$BD$9)/VLOOKUP($A563,'Fuel economy adjusted factor'!$A$2:$K$52,10,FALSE)*VLOOKUP($A563,'US Grid mix, emissions&amp;prices'!$AE$2:$AI$52,2,FALSE)/(1+$AZ$41)^H$168</f>
        <v>1016.2486877880206</v>
      </c>
      <c r="I563" s="106">
        <f>VLOOKUP($A563,'VKT US'!$B$63:$AA$113,(I$113+1),FALSE)*$BD$9/VLOOKUP($A563,'Fuel economy adjusted factor'!$A$2:$K$52,11,FALSE)*($AZ$15*VLOOKUP($A563,'US Grid mix, emissions&amp;prices'!$AE$2:$AI$52,3,FALSE)/100+$BA$15*VLOOKUP($A563,'US Grid mix, emissions&amp;prices'!$AE$2:$AI$52,4,FALSE)/100)/(1+$AZ$41)^I$113+VLOOKUP($A563,'VKT US'!$B$63:$AA$113,(I$168+1),FALSE)*(1-$BD$9)/VLOOKUP($A563,'Fuel economy adjusted factor'!$A$2:$K$52,10,FALSE)*VLOOKUP($A563,'US Grid mix, emissions&amp;prices'!$AE$2:$AI$52,2,FALSE)/(1+$AZ$41)^I$168</f>
        <v>975.4994961432435</v>
      </c>
      <c r="J563" s="106">
        <f>VLOOKUP($A563,'VKT US'!$B$63:$AA$113,(J$113+1),FALSE)*$BD$9/VLOOKUP($A563,'Fuel economy adjusted factor'!$A$2:$K$52,11,FALSE)*($AZ$15*VLOOKUP($A563,'US Grid mix, emissions&amp;prices'!$AE$2:$AI$52,3,FALSE)/100+$BA$15*VLOOKUP($A563,'US Grid mix, emissions&amp;prices'!$AE$2:$AI$52,4,FALSE)/100)/(1+$AZ$41)^J$113+VLOOKUP($A563,'VKT US'!$B$63:$AA$113,(J$168+1),FALSE)*(1-$BD$9)/VLOOKUP($A563,'Fuel economy adjusted factor'!$A$2:$K$52,10,FALSE)*VLOOKUP($A563,'US Grid mix, emissions&amp;prices'!$AE$2:$AI$52,2,FALSE)/(1+$AZ$41)^J$168</f>
        <v>936.77325220017542</v>
      </c>
      <c r="K563" s="106">
        <f>VLOOKUP($A563,'VKT US'!$B$63:$AA$113,(K$113+1),FALSE)*$BD$9/VLOOKUP($A563,'Fuel economy adjusted factor'!$A$2:$K$52,11,FALSE)*($AZ$15*VLOOKUP($A563,'US Grid mix, emissions&amp;prices'!$AE$2:$AI$52,3,FALSE)/100+$BA$15*VLOOKUP($A563,'US Grid mix, emissions&amp;prices'!$AE$2:$AI$52,4,FALSE)/100)/(1+$AZ$41)^K$113+VLOOKUP($A563,'VKT US'!$B$63:$AA$113,(K$168+1),FALSE)*(1-$BD$9)/VLOOKUP($A563,'Fuel economy adjusted factor'!$A$2:$K$52,10,FALSE)*VLOOKUP($A563,'US Grid mix, emissions&amp;prices'!$AE$2:$AI$52,2,FALSE)/(1+$AZ$41)^K$168</f>
        <v>900.01348769404672</v>
      </c>
      <c r="L563" s="106">
        <f>VLOOKUP($A563,'VKT US'!$B$63:$AA$113,(L$113+1),FALSE)*$BD$9/VLOOKUP($A563,'Fuel economy adjusted factor'!$A$2:$K$52,11,FALSE)*($AZ$15*VLOOKUP($A563,'US Grid mix, emissions&amp;prices'!$AE$2:$AI$52,3,FALSE)/100+$BA$15*VLOOKUP($A563,'US Grid mix, emissions&amp;prices'!$AE$2:$AI$52,4,FALSE)/100)/(1+$AZ$41)^L$113+VLOOKUP($A563,'VKT US'!$B$63:$AA$113,(L$168+1),FALSE)*(1-$BD$9)/VLOOKUP($A563,'Fuel economy adjusted factor'!$A$2:$K$52,10,FALSE)*VLOOKUP($A563,'US Grid mix, emissions&amp;prices'!$AE$2:$AI$52,2,FALSE)/(1+$AZ$41)^L$168</f>
        <v>865.08130226243179</v>
      </c>
      <c r="M563" s="106">
        <f>VLOOKUP($A563,'VKT US'!$B$63:$AA$113,(M$113+1),FALSE)*$BD$9/VLOOKUP($A563,'Fuel economy adjusted factor'!$A$2:$K$52,11,FALSE)*($AZ$15*VLOOKUP($A563,'US Grid mix, emissions&amp;prices'!$AE$2:$AI$52,3,FALSE)/100+$BA$15*VLOOKUP($A563,'US Grid mix, emissions&amp;prices'!$AE$2:$AI$52,4,FALSE)/100)/(1+$AZ$41)^M$113+VLOOKUP($A563,'VKT US'!$B$63:$AA$113,(M$168+1),FALSE)*(1-$BD$9)/VLOOKUP($A563,'Fuel economy adjusted factor'!$A$2:$K$52,10,FALSE)*VLOOKUP($A563,'US Grid mix, emissions&amp;prices'!$AE$2:$AI$52,2,FALSE)/(1+$AZ$41)^M$168</f>
        <v>832.00829073183263</v>
      </c>
      <c r="N563" s="106">
        <f>VLOOKUP($A563,'VKT US'!$B$63:$AA$113,(N$113+1),FALSE)*$BD$9/VLOOKUP($A563,'Fuel economy adjusted factor'!$A$2:$K$52,11,FALSE)*($AZ$15*VLOOKUP($A563,'US Grid mix, emissions&amp;prices'!$AE$2:$AI$52,3,FALSE)/100+$BA$15*VLOOKUP($A563,'US Grid mix, emissions&amp;prices'!$AE$2:$AI$52,4,FALSE)/100)/(1+$AZ$41)^N$113+VLOOKUP($A563,'VKT US'!$B$63:$AA$113,(N$168+1),FALSE)*(1-$BD$9)/VLOOKUP($A563,'Fuel economy adjusted factor'!$A$2:$K$52,10,FALSE)*VLOOKUP($A563,'US Grid mix, emissions&amp;prices'!$AE$2:$AI$52,2,FALSE)/(1+$AZ$41)^N$168</f>
        <v>800.65986755588915</v>
      </c>
      <c r="O563" s="106">
        <f>VLOOKUP($A563,'VKT US'!$B$63:$AA$113,(O$113+1),FALSE)*$BD$9/VLOOKUP($A563,'Fuel economy adjusted factor'!$A$2:$K$52,11,FALSE)*($AZ$15*VLOOKUP($A563,'US Grid mix, emissions&amp;prices'!$AE$2:$AI$52,3,FALSE)/100+$BA$15*VLOOKUP($A563,'US Grid mix, emissions&amp;prices'!$AE$2:$AI$52,4,FALSE)/100)/(1+$AZ$41)^O$113+VLOOKUP($A563,'VKT US'!$B$63:$AA$113,(O$168+1),FALSE)*(1-$BD$9)/VLOOKUP($A563,'Fuel economy adjusted factor'!$A$2:$K$52,10,FALSE)*VLOOKUP($A563,'US Grid mix, emissions&amp;prices'!$AE$2:$AI$52,2,FALSE)/(1+$AZ$41)^O$168</f>
        <v>771.06790688451588</v>
      </c>
      <c r="P563" s="106">
        <f>VLOOKUP($A563,'VKT US'!$B$63:$AA$113,(P$113+1),FALSE)*$BD$9/VLOOKUP($A563,'Fuel economy adjusted factor'!$A$2:$K$52,11,FALSE)*($AZ$15*VLOOKUP($A563,'US Grid mix, emissions&amp;prices'!$AE$2:$AI$52,3,FALSE)/100+$BA$15*VLOOKUP($A563,'US Grid mix, emissions&amp;prices'!$AE$2:$AI$52,4,FALSE)/100)/(1+$AZ$41)^P$113+VLOOKUP($A563,'VKT US'!$B$63:$AA$113,(P$168+1),FALSE)*(1-$BD$9)/VLOOKUP($A563,'Fuel economy adjusted factor'!$A$2:$K$52,10,FALSE)*VLOOKUP($A563,'US Grid mix, emissions&amp;prices'!$AE$2:$AI$52,2,FALSE)/(1+$AZ$41)^P$168</f>
        <v>743.10200430002044</v>
      </c>
      <c r="Q563" s="106">
        <f>VLOOKUP($A563,'VKT US'!$B$63:$AA$113,(Q$113+1),FALSE)*$BD$9/VLOOKUP($A563,'Fuel economy adjusted factor'!$A$2:$K$52,11,FALSE)*($AZ$15*VLOOKUP($A563,'US Grid mix, emissions&amp;prices'!$AE$2:$AI$52,3,FALSE)/100+$BA$15*VLOOKUP($A563,'US Grid mix, emissions&amp;prices'!$AE$2:$AI$52,4,FALSE)/100)/(1+$AZ$41)^Q$113+VLOOKUP($A563,'VKT US'!$B$63:$AA$113,(Q$168+1),FALSE)*(1-$BD$9)/VLOOKUP($A563,'Fuel economy adjusted factor'!$A$2:$K$52,10,FALSE)*VLOOKUP($A563,'US Grid mix, emissions&amp;prices'!$AE$2:$AI$52,2,FALSE)/(1+$AZ$41)^Q$168</f>
        <v>716.87308709704712</v>
      </c>
      <c r="R563" s="106">
        <f>VLOOKUP($A563,'VKT US'!$B$63:$AA$113,(R$113+1),FALSE)*$BD$9/VLOOKUP($A563,'Fuel economy adjusted factor'!$A$2:$K$52,11,FALSE)*($AZ$15*VLOOKUP($A563,'US Grid mix, emissions&amp;prices'!$AE$2:$AI$52,3,FALSE)/100+$BA$15*VLOOKUP($A563,'US Grid mix, emissions&amp;prices'!$AE$2:$AI$52,4,FALSE)/100)/(1+$AZ$41)^R$113+VLOOKUP($A563,'VKT US'!$B$63:$AA$113,(R$168+1),FALSE)*(1-$BD$9)/VLOOKUP($A563,'Fuel economy adjusted factor'!$A$2:$K$52,10,FALSE)*VLOOKUP($A563,'US Grid mix, emissions&amp;prices'!$AE$2:$AI$52,2,FALSE)/(1+$AZ$41)^R$168</f>
        <v>692.09624404153851</v>
      </c>
      <c r="S563" s="106">
        <f>VLOOKUP($A563,'VKT US'!$B$63:$AA$113,(S$113+1),FALSE)*$BD$9/VLOOKUP($A563,'Fuel economy adjusted factor'!$A$2:$K$52,11,FALSE)*($AZ$15*VLOOKUP($A563,'US Grid mix, emissions&amp;prices'!$AE$2:$AI$52,3,FALSE)/100+$BA$15*VLOOKUP($A563,'US Grid mix, emissions&amp;prices'!$AE$2:$AI$52,4,FALSE)/100)/(1+$AZ$41)^S$113+VLOOKUP($A563,'VKT US'!$B$63:$AA$113,(S$168+1),FALSE)*(1-$BD$9)/VLOOKUP($A563,'Fuel economy adjusted factor'!$A$2:$K$52,10,FALSE)*VLOOKUP($A563,'US Grid mix, emissions&amp;prices'!$AE$2:$AI$52,2,FALSE)/(1+$AZ$41)^S$168</f>
        <v>668.96050693724328</v>
      </c>
      <c r="T563" s="106">
        <f>VLOOKUP($A563,'VKT US'!$B$63:$AA$113,(T$113+1),FALSE)*$BD$9/VLOOKUP($A563,'Fuel economy adjusted factor'!$A$2:$K$52,11,FALSE)*($AZ$15*VLOOKUP($A563,'US Grid mix, emissions&amp;prices'!$AE$2:$AI$52,3,FALSE)/100+$BA$15*VLOOKUP($A563,'US Grid mix, emissions&amp;prices'!$AE$2:$AI$52,4,FALSE)/100)/(1+$AZ$41)^T$113+VLOOKUP($A563,'VKT US'!$B$63:$AA$113,(T$168+1),FALSE)*(1-$BD$9)/VLOOKUP($A563,'Fuel economy adjusted factor'!$A$2:$K$52,10,FALSE)*VLOOKUP($A563,'US Grid mix, emissions&amp;prices'!$AE$2:$AI$52,2,FALSE)/(1+$AZ$41)^T$168</f>
        <v>647.1886282751326</v>
      </c>
      <c r="U563" s="109">
        <f>VLOOKUP($A563,'VKT US'!$B$63:$AA$113,(U$113+1),FALSE)*$BD$9/VLOOKUP($A563,'Fuel economy adjusted factor'!$A$2:$K$52,11,FALSE)*($AZ$15*VLOOKUP($A563,'US Grid mix, emissions&amp;prices'!$AE$2:$AI$52,3,FALSE)/100+$BA$15*VLOOKUP($A563,'US Grid mix, emissions&amp;prices'!$AE$2:$AI$52,4,FALSE)/100)/(1+$AZ$41)^U$113+VLOOKUP($A563,'VKT US'!$B$63:$AA$113,(U$168+1),FALSE)*(1-$BD$9)/VLOOKUP($A563,'Fuel economy adjusted factor'!$A$2:$K$52,10,FALSE)*VLOOKUP($A563,'US Grid mix, emissions&amp;prices'!$AE$2:$AI$52,2,FALSE)/(1+$AZ$41)^U$168</f>
        <v>626.96611573208281</v>
      </c>
      <c r="V563" s="110" cm="1">
        <f t="array" ref="V563">SUMPRODUCT(INDEX(B563:U563,,_xlfn.SEQUENCE($AZ$13)))</f>
        <v>14168.78959176699</v>
      </c>
    </row>
    <row r="564" spans="1:22" x14ac:dyDescent="0.25">
      <c r="A564" s="102" t="s">
        <v>190</v>
      </c>
      <c r="B564" s="106">
        <f>VLOOKUP($A564,'VKT US'!$B$63:$AA$113,(B$113+1),FALSE)*$BD$9/VLOOKUP($A564,'Fuel economy adjusted factor'!$A$2:$K$52,11,FALSE)*($AZ$15*VLOOKUP($A564,'US Grid mix, emissions&amp;prices'!$AE$2:$AI$52,3,FALSE)/100+$BA$15*VLOOKUP($A564,'US Grid mix, emissions&amp;prices'!$AE$2:$AI$52,4,FALSE)/100)/(1+$AZ$41)^B$113+VLOOKUP($A564,'VKT US'!$B$63:$AA$113,(B$168+1),FALSE)*(1-$BD$9)/VLOOKUP($A564,'Fuel economy adjusted factor'!$A$2:$K$52,10,FALSE)*VLOOKUP($A564,'US Grid mix, emissions&amp;prices'!$AE$2:$AI$52,2,FALSE)/(1+$AZ$41)^B$168</f>
        <v>1010.4601989962083</v>
      </c>
      <c r="C564" s="106">
        <f>VLOOKUP($A564,'VKT US'!$B$63:$AA$113,(C$113+1),FALSE)*$BD$9/VLOOKUP($A564,'Fuel economy adjusted factor'!$A$2:$K$52,11,FALSE)*($AZ$15*VLOOKUP($A564,'US Grid mix, emissions&amp;prices'!$AE$2:$AI$52,3,FALSE)/100+$BA$15*VLOOKUP($A564,'US Grid mix, emissions&amp;prices'!$AE$2:$AI$52,4,FALSE)/100)/(1+$AZ$41)^C$113+VLOOKUP($A564,'VKT US'!$B$63:$AA$113,(C$168+1),FALSE)*(1-$BD$9)/VLOOKUP($A564,'Fuel economy adjusted factor'!$A$2:$K$52,10,FALSE)*VLOOKUP($A564,'US Grid mix, emissions&amp;prices'!$AE$2:$AI$52,2,FALSE)/(1+$AZ$41)^C$168</f>
        <v>968.78071533947809</v>
      </c>
      <c r="D564" s="106">
        <f>VLOOKUP($A564,'VKT US'!$B$63:$AA$113,(D$113+1),FALSE)*$BD$9/VLOOKUP($A564,'Fuel economy adjusted factor'!$A$2:$K$52,11,FALSE)*($AZ$15*VLOOKUP($A564,'US Grid mix, emissions&amp;prices'!$AE$2:$AI$52,3,FALSE)/100+$BA$15*VLOOKUP($A564,'US Grid mix, emissions&amp;prices'!$AE$2:$AI$52,4,FALSE)/100)/(1+$AZ$41)^D$113+VLOOKUP($A564,'VKT US'!$B$63:$AA$113,(D$168+1),FALSE)*(1-$BD$9)/VLOOKUP($A564,'Fuel economy adjusted factor'!$A$2:$K$52,10,FALSE)*VLOOKUP($A564,'US Grid mix, emissions&amp;prices'!$AE$2:$AI$52,2,FALSE)/(1+$AZ$41)^D$168</f>
        <v>928.87355519055063</v>
      </c>
      <c r="E564" s="106">
        <f>VLOOKUP($A564,'VKT US'!$B$63:$AA$113,(E$113+1),FALSE)*$BD$9/VLOOKUP($A564,'Fuel economy adjusted factor'!$A$2:$K$52,11,FALSE)*($AZ$15*VLOOKUP($A564,'US Grid mix, emissions&amp;prices'!$AE$2:$AI$52,3,FALSE)/100+$BA$15*VLOOKUP($A564,'US Grid mix, emissions&amp;prices'!$AE$2:$AI$52,4,FALSE)/100)/(1+$AZ$41)^E$113+VLOOKUP($A564,'VKT US'!$B$63:$AA$113,(E$168+1),FALSE)*(1-$BD$9)/VLOOKUP($A564,'Fuel economy adjusted factor'!$A$2:$K$52,10,FALSE)*VLOOKUP($A564,'US Grid mix, emissions&amp;prices'!$AE$2:$AI$52,2,FALSE)/(1+$AZ$41)^E$168</f>
        <v>890.76195041388246</v>
      </c>
      <c r="F564" s="106">
        <f>VLOOKUP($A564,'VKT US'!$B$63:$AA$113,(F$113+1),FALSE)*$BD$9/VLOOKUP($A564,'Fuel economy adjusted factor'!$A$2:$K$52,11,FALSE)*($AZ$15*VLOOKUP($A564,'US Grid mix, emissions&amp;prices'!$AE$2:$AI$52,3,FALSE)/100+$BA$15*VLOOKUP($A564,'US Grid mix, emissions&amp;prices'!$AE$2:$AI$52,4,FALSE)/100)/(1+$AZ$41)^F$113+VLOOKUP($A564,'VKT US'!$B$63:$AA$113,(F$168+1),FALSE)*(1-$BD$9)/VLOOKUP($A564,'Fuel economy adjusted factor'!$A$2:$K$52,10,FALSE)*VLOOKUP($A564,'US Grid mix, emissions&amp;prices'!$AE$2:$AI$52,2,FALSE)/(1+$AZ$41)^F$168</f>
        <v>854.32769775370423</v>
      </c>
      <c r="G564" s="106">
        <f>VLOOKUP($A564,'VKT US'!$B$63:$AA$113,(G$113+1),FALSE)*$BD$9/VLOOKUP($A564,'Fuel economy adjusted factor'!$A$2:$K$52,11,FALSE)*($AZ$15*VLOOKUP($A564,'US Grid mix, emissions&amp;prices'!$AE$2:$AI$52,3,FALSE)/100+$BA$15*VLOOKUP($A564,'US Grid mix, emissions&amp;prices'!$AE$2:$AI$52,4,FALSE)/100)/(1+$AZ$41)^G$113+VLOOKUP($A564,'VKT US'!$B$63:$AA$113,(G$168+1),FALSE)*(1-$BD$9)/VLOOKUP($A564,'Fuel economy adjusted factor'!$A$2:$K$52,10,FALSE)*VLOOKUP($A564,'US Grid mix, emissions&amp;prices'!$AE$2:$AI$52,2,FALSE)/(1+$AZ$41)^G$168</f>
        <v>819.6631026114203</v>
      </c>
      <c r="H564" s="106">
        <f>VLOOKUP($A564,'VKT US'!$B$63:$AA$113,(H$113+1),FALSE)*$BD$9/VLOOKUP($A564,'Fuel economy adjusted factor'!$A$2:$K$52,11,FALSE)*($AZ$15*VLOOKUP($A564,'US Grid mix, emissions&amp;prices'!$AE$2:$AI$52,3,FALSE)/100+$BA$15*VLOOKUP($A564,'US Grid mix, emissions&amp;prices'!$AE$2:$AI$52,4,FALSE)/100)/(1+$AZ$41)^H$113+VLOOKUP($A564,'VKT US'!$B$63:$AA$113,(H$168+1),FALSE)*(1-$BD$9)/VLOOKUP($A564,'Fuel economy adjusted factor'!$A$2:$K$52,10,FALSE)*VLOOKUP($A564,'US Grid mix, emissions&amp;prices'!$AE$2:$AI$52,2,FALSE)/(1+$AZ$41)^H$168</f>
        <v>786.51537088148132</v>
      </c>
      <c r="I564" s="106">
        <f>VLOOKUP($A564,'VKT US'!$B$63:$AA$113,(I$113+1),FALSE)*$BD$9/VLOOKUP($A564,'Fuel economy adjusted factor'!$A$2:$K$52,11,FALSE)*($AZ$15*VLOOKUP($A564,'US Grid mix, emissions&amp;prices'!$AE$2:$AI$52,3,FALSE)/100+$BA$15*VLOOKUP($A564,'US Grid mix, emissions&amp;prices'!$AE$2:$AI$52,4,FALSE)/100)/(1+$AZ$41)^I$113+VLOOKUP($A564,'VKT US'!$B$63:$AA$113,(I$168+1),FALSE)*(1-$BD$9)/VLOOKUP($A564,'Fuel economy adjusted factor'!$A$2:$K$52,10,FALSE)*VLOOKUP($A564,'US Grid mix, emissions&amp;prices'!$AE$2:$AI$52,2,FALSE)/(1+$AZ$41)^I$168</f>
        <v>754.97794705525985</v>
      </c>
      <c r="J564" s="106">
        <f>VLOOKUP($A564,'VKT US'!$B$63:$AA$113,(J$113+1),FALSE)*$BD$9/VLOOKUP($A564,'Fuel economy adjusted factor'!$A$2:$K$52,11,FALSE)*($AZ$15*VLOOKUP($A564,'US Grid mix, emissions&amp;prices'!$AE$2:$AI$52,3,FALSE)/100+$BA$15*VLOOKUP($A564,'US Grid mix, emissions&amp;prices'!$AE$2:$AI$52,4,FALSE)/100)/(1+$AZ$41)^J$113+VLOOKUP($A564,'VKT US'!$B$63:$AA$113,(J$168+1),FALSE)*(1-$BD$9)/VLOOKUP($A564,'Fuel economy adjusted factor'!$A$2:$K$52,10,FALSE)*VLOOKUP($A564,'US Grid mix, emissions&amp;prices'!$AE$2:$AI$52,2,FALSE)/(1+$AZ$41)^J$168</f>
        <v>725.00616309751047</v>
      </c>
      <c r="K564" s="106">
        <f>VLOOKUP($A564,'VKT US'!$B$63:$AA$113,(K$113+1),FALSE)*$BD$9/VLOOKUP($A564,'Fuel economy adjusted factor'!$A$2:$K$52,11,FALSE)*($AZ$15*VLOOKUP($A564,'US Grid mix, emissions&amp;prices'!$AE$2:$AI$52,3,FALSE)/100+$BA$15*VLOOKUP($A564,'US Grid mix, emissions&amp;prices'!$AE$2:$AI$52,4,FALSE)/100)/(1+$AZ$41)^K$113+VLOOKUP($A564,'VKT US'!$B$63:$AA$113,(K$168+1),FALSE)*(1-$BD$9)/VLOOKUP($A564,'Fuel economy adjusted factor'!$A$2:$K$52,10,FALSE)*VLOOKUP($A564,'US Grid mix, emissions&amp;prices'!$AE$2:$AI$52,2,FALSE)/(1+$AZ$41)^K$168</f>
        <v>696.55631596709554</v>
      </c>
      <c r="L564" s="106">
        <f>VLOOKUP($A564,'VKT US'!$B$63:$AA$113,(L$113+1),FALSE)*$BD$9/VLOOKUP($A564,'Fuel economy adjusted factor'!$A$2:$K$52,11,FALSE)*($AZ$15*VLOOKUP($A564,'US Grid mix, emissions&amp;prices'!$AE$2:$AI$52,3,FALSE)/100+$BA$15*VLOOKUP($A564,'US Grid mix, emissions&amp;prices'!$AE$2:$AI$52,4,FALSE)/100)/(1+$AZ$41)^L$113+VLOOKUP($A564,'VKT US'!$B$63:$AA$113,(L$168+1),FALSE)*(1-$BD$9)/VLOOKUP($A564,'Fuel economy adjusted factor'!$A$2:$K$52,10,FALSE)*VLOOKUP($A564,'US Grid mix, emissions&amp;prices'!$AE$2:$AI$52,2,FALSE)/(1+$AZ$41)^L$168</f>
        <v>669.52090513645635</v>
      </c>
      <c r="M564" s="106">
        <f>VLOOKUP($A564,'VKT US'!$B$63:$AA$113,(M$113+1),FALSE)*$BD$9/VLOOKUP($A564,'Fuel economy adjusted factor'!$A$2:$K$52,11,FALSE)*($AZ$15*VLOOKUP($A564,'US Grid mix, emissions&amp;prices'!$AE$2:$AI$52,3,FALSE)/100+$BA$15*VLOOKUP($A564,'US Grid mix, emissions&amp;prices'!$AE$2:$AI$52,4,FALSE)/100)/(1+$AZ$41)^M$113+VLOOKUP($A564,'VKT US'!$B$63:$AA$113,(M$168+1),FALSE)*(1-$BD$9)/VLOOKUP($A564,'Fuel economy adjusted factor'!$A$2:$K$52,10,FALSE)*VLOOKUP($A564,'US Grid mix, emissions&amp;prices'!$AE$2:$AI$52,2,FALSE)/(1+$AZ$41)^M$168</f>
        <v>643.92438310130785</v>
      </c>
      <c r="N564" s="106">
        <f>VLOOKUP($A564,'VKT US'!$B$63:$AA$113,(N$113+1),FALSE)*$BD$9/VLOOKUP($A564,'Fuel economy adjusted factor'!$A$2:$K$52,11,FALSE)*($AZ$15*VLOOKUP($A564,'US Grid mix, emissions&amp;prices'!$AE$2:$AI$52,3,FALSE)/100+$BA$15*VLOOKUP($A564,'US Grid mix, emissions&amp;prices'!$AE$2:$AI$52,4,FALSE)/100)/(1+$AZ$41)^N$113+VLOOKUP($A564,'VKT US'!$B$63:$AA$113,(N$168+1),FALSE)*(1-$BD$9)/VLOOKUP($A564,'Fuel economy adjusted factor'!$A$2:$K$52,10,FALSE)*VLOOKUP($A564,'US Grid mix, emissions&amp;prices'!$AE$2:$AI$52,2,FALSE)/(1+$AZ$41)^N$168</f>
        <v>619.66258874224866</v>
      </c>
      <c r="O564" s="106">
        <f>VLOOKUP($A564,'VKT US'!$B$63:$AA$113,(O$113+1),FALSE)*$BD$9/VLOOKUP($A564,'Fuel economy adjusted factor'!$A$2:$K$52,11,FALSE)*($AZ$15*VLOOKUP($A564,'US Grid mix, emissions&amp;prices'!$AE$2:$AI$52,3,FALSE)/100+$BA$15*VLOOKUP($A564,'US Grid mix, emissions&amp;prices'!$AE$2:$AI$52,4,FALSE)/100)/(1+$AZ$41)^O$113+VLOOKUP($A564,'VKT US'!$B$63:$AA$113,(O$168+1),FALSE)*(1-$BD$9)/VLOOKUP($A564,'Fuel economy adjusted factor'!$A$2:$K$52,10,FALSE)*VLOOKUP($A564,'US Grid mix, emissions&amp;prices'!$AE$2:$AI$52,2,FALSE)/(1+$AZ$41)^O$168</f>
        <v>596.76019073451789</v>
      </c>
      <c r="P564" s="106">
        <f>VLOOKUP($A564,'VKT US'!$B$63:$AA$113,(P$113+1),FALSE)*$BD$9/VLOOKUP($A564,'Fuel economy adjusted factor'!$A$2:$K$52,11,FALSE)*($AZ$15*VLOOKUP($A564,'US Grid mix, emissions&amp;prices'!$AE$2:$AI$52,3,FALSE)/100+$BA$15*VLOOKUP($A564,'US Grid mix, emissions&amp;prices'!$AE$2:$AI$52,4,FALSE)/100)/(1+$AZ$41)^P$113+VLOOKUP($A564,'VKT US'!$B$63:$AA$113,(P$168+1),FALSE)*(1-$BD$9)/VLOOKUP($A564,'Fuel economy adjusted factor'!$A$2:$K$52,10,FALSE)*VLOOKUP($A564,'US Grid mix, emissions&amp;prices'!$AE$2:$AI$52,2,FALSE)/(1+$AZ$41)^P$168</f>
        <v>575.11626390086485</v>
      </c>
      <c r="Q564" s="106">
        <f>VLOOKUP($A564,'VKT US'!$B$63:$AA$113,(Q$113+1),FALSE)*$BD$9/VLOOKUP($A564,'Fuel economy adjusted factor'!$A$2:$K$52,11,FALSE)*($AZ$15*VLOOKUP($A564,'US Grid mix, emissions&amp;prices'!$AE$2:$AI$52,3,FALSE)/100+$BA$15*VLOOKUP($A564,'US Grid mix, emissions&amp;prices'!$AE$2:$AI$52,4,FALSE)/100)/(1+$AZ$41)^Q$113+VLOOKUP($A564,'VKT US'!$B$63:$AA$113,(Q$168+1),FALSE)*(1-$BD$9)/VLOOKUP($A564,'Fuel economy adjusted factor'!$A$2:$K$52,10,FALSE)*VLOOKUP($A564,'US Grid mix, emissions&amp;prices'!$AE$2:$AI$52,2,FALSE)/(1+$AZ$41)^Q$168</f>
        <v>554.81665929658379</v>
      </c>
      <c r="R564" s="106">
        <f>VLOOKUP($A564,'VKT US'!$B$63:$AA$113,(R$113+1),FALSE)*$BD$9/VLOOKUP($A564,'Fuel economy adjusted factor'!$A$2:$K$52,11,FALSE)*($AZ$15*VLOOKUP($A564,'US Grid mix, emissions&amp;prices'!$AE$2:$AI$52,3,FALSE)/100+$BA$15*VLOOKUP($A564,'US Grid mix, emissions&amp;prices'!$AE$2:$AI$52,4,FALSE)/100)/(1+$AZ$41)^R$113+VLOOKUP($A564,'VKT US'!$B$63:$AA$113,(R$168+1),FALSE)*(1-$BD$9)/VLOOKUP($A564,'Fuel economy adjusted factor'!$A$2:$K$52,10,FALSE)*VLOOKUP($A564,'US Grid mix, emissions&amp;prices'!$AE$2:$AI$52,2,FALSE)/(1+$AZ$41)^R$168</f>
        <v>535.64087276003056</v>
      </c>
      <c r="S564" s="106">
        <f>VLOOKUP($A564,'VKT US'!$B$63:$AA$113,(S$113+1),FALSE)*$BD$9/VLOOKUP($A564,'Fuel economy adjusted factor'!$A$2:$K$52,11,FALSE)*($AZ$15*VLOOKUP($A564,'US Grid mix, emissions&amp;prices'!$AE$2:$AI$52,3,FALSE)/100+$BA$15*VLOOKUP($A564,'US Grid mix, emissions&amp;prices'!$AE$2:$AI$52,4,FALSE)/100)/(1+$AZ$41)^S$113+VLOOKUP($A564,'VKT US'!$B$63:$AA$113,(S$168+1),FALSE)*(1-$BD$9)/VLOOKUP($A564,'Fuel economy adjusted factor'!$A$2:$K$52,10,FALSE)*VLOOKUP($A564,'US Grid mix, emissions&amp;prices'!$AE$2:$AI$52,2,FALSE)/(1+$AZ$41)^S$168</f>
        <v>517.73520353962704</v>
      </c>
      <c r="T564" s="106">
        <f>VLOOKUP($A564,'VKT US'!$B$63:$AA$113,(T$113+1),FALSE)*$BD$9/VLOOKUP($A564,'Fuel economy adjusted factor'!$A$2:$K$52,11,FALSE)*($AZ$15*VLOOKUP($A564,'US Grid mix, emissions&amp;prices'!$AE$2:$AI$52,3,FALSE)/100+$BA$15*VLOOKUP($A564,'US Grid mix, emissions&amp;prices'!$AE$2:$AI$52,4,FALSE)/100)/(1+$AZ$41)^T$113+VLOOKUP($A564,'VKT US'!$B$63:$AA$113,(T$168+1),FALSE)*(1-$BD$9)/VLOOKUP($A564,'Fuel economy adjusted factor'!$A$2:$K$52,10,FALSE)*VLOOKUP($A564,'US Grid mix, emissions&amp;prices'!$AE$2:$AI$52,2,FALSE)/(1+$AZ$41)^T$168</f>
        <v>500.88507873603339</v>
      </c>
      <c r="U564" s="109">
        <f>VLOOKUP($A564,'VKT US'!$B$63:$AA$113,(U$113+1),FALSE)*$BD$9/VLOOKUP($A564,'Fuel economy adjusted factor'!$A$2:$K$52,11,FALSE)*($AZ$15*VLOOKUP($A564,'US Grid mix, emissions&amp;prices'!$AE$2:$AI$52,3,FALSE)/100+$BA$15*VLOOKUP($A564,'US Grid mix, emissions&amp;prices'!$AE$2:$AI$52,4,FALSE)/100)/(1+$AZ$41)^U$113+VLOOKUP($A564,'VKT US'!$B$63:$AA$113,(U$168+1),FALSE)*(1-$BD$9)/VLOOKUP($A564,'Fuel economy adjusted factor'!$A$2:$K$52,10,FALSE)*VLOOKUP($A564,'US Grid mix, emissions&amp;prices'!$AE$2:$AI$52,2,FALSE)/(1+$AZ$41)^U$168</f>
        <v>485.23407013540054</v>
      </c>
      <c r="V564" s="110" cm="1">
        <f t="array" ref="V564">SUMPRODUCT(INDEX(B564:U564,,_xlfn.SEQUENCE($AZ$13)))</f>
        <v>10965.791085021123</v>
      </c>
    </row>
    <row r="565" spans="1:22" x14ac:dyDescent="0.25">
      <c r="A565" s="102" t="s">
        <v>191</v>
      </c>
      <c r="B565" s="106">
        <f>VLOOKUP($A565,'VKT US'!$B$63:$AA$113,(B$113+1),FALSE)*$BD$9/VLOOKUP($A565,'Fuel economy adjusted factor'!$A$2:$K$52,11,FALSE)*($AZ$15*VLOOKUP($A565,'US Grid mix, emissions&amp;prices'!$AE$2:$AI$52,3,FALSE)/100+$BA$15*VLOOKUP($A565,'US Grid mix, emissions&amp;prices'!$AE$2:$AI$52,4,FALSE)/100)/(1+$AZ$41)^B$113+VLOOKUP($A565,'VKT US'!$B$63:$AA$113,(B$168+1),FALSE)*(1-$BD$9)/VLOOKUP($A565,'Fuel economy adjusted factor'!$A$2:$K$52,10,FALSE)*VLOOKUP($A565,'US Grid mix, emissions&amp;prices'!$AE$2:$AI$52,2,FALSE)/(1+$AZ$41)^B$168</f>
        <v>1203.3302214332125</v>
      </c>
      <c r="C565" s="106">
        <f>VLOOKUP($A565,'VKT US'!$B$63:$AA$113,(C$113+1),FALSE)*$BD$9/VLOOKUP($A565,'Fuel economy adjusted factor'!$A$2:$K$52,11,FALSE)*($AZ$15*VLOOKUP($A565,'US Grid mix, emissions&amp;prices'!$AE$2:$AI$52,3,FALSE)/100+$BA$15*VLOOKUP($A565,'US Grid mix, emissions&amp;prices'!$AE$2:$AI$52,4,FALSE)/100)/(1+$AZ$41)^C$113+VLOOKUP($A565,'VKT US'!$B$63:$AA$113,(C$168+1),FALSE)*(1-$BD$9)/VLOOKUP($A565,'Fuel economy adjusted factor'!$A$2:$K$52,10,FALSE)*VLOOKUP($A565,'US Grid mix, emissions&amp;prices'!$AE$2:$AI$52,2,FALSE)/(1+$AZ$41)^C$168</f>
        <v>1153.6952310123147</v>
      </c>
      <c r="D565" s="106">
        <f>VLOOKUP($A565,'VKT US'!$B$63:$AA$113,(D$113+1),FALSE)*$BD$9/VLOOKUP($A565,'Fuel economy adjusted factor'!$A$2:$K$52,11,FALSE)*($AZ$15*VLOOKUP($A565,'US Grid mix, emissions&amp;prices'!$AE$2:$AI$52,3,FALSE)/100+$BA$15*VLOOKUP($A565,'US Grid mix, emissions&amp;prices'!$AE$2:$AI$52,4,FALSE)/100)/(1+$AZ$41)^D$113+VLOOKUP($A565,'VKT US'!$B$63:$AA$113,(D$168+1),FALSE)*(1-$BD$9)/VLOOKUP($A565,'Fuel economy adjusted factor'!$A$2:$K$52,10,FALSE)*VLOOKUP($A565,'US Grid mix, emissions&amp;prices'!$AE$2:$AI$52,2,FALSE)/(1+$AZ$41)^D$168</f>
        <v>1106.1708535984549</v>
      </c>
      <c r="E565" s="106">
        <f>VLOOKUP($A565,'VKT US'!$B$63:$AA$113,(E$113+1),FALSE)*$BD$9/VLOOKUP($A565,'Fuel economy adjusted factor'!$A$2:$K$52,11,FALSE)*($AZ$15*VLOOKUP($A565,'US Grid mix, emissions&amp;prices'!$AE$2:$AI$52,3,FALSE)/100+$BA$15*VLOOKUP($A565,'US Grid mix, emissions&amp;prices'!$AE$2:$AI$52,4,FALSE)/100)/(1+$AZ$41)^E$113+VLOOKUP($A565,'VKT US'!$B$63:$AA$113,(E$168+1),FALSE)*(1-$BD$9)/VLOOKUP($A565,'Fuel economy adjusted factor'!$A$2:$K$52,10,FALSE)*VLOOKUP($A565,'US Grid mix, emissions&amp;prices'!$AE$2:$AI$52,2,FALSE)/(1+$AZ$41)^E$168</f>
        <v>1060.7847554021664</v>
      </c>
      <c r="F565" s="106">
        <f>VLOOKUP($A565,'VKT US'!$B$63:$AA$113,(F$113+1),FALSE)*$BD$9/VLOOKUP($A565,'Fuel economy adjusted factor'!$A$2:$K$52,11,FALSE)*($AZ$15*VLOOKUP($A565,'US Grid mix, emissions&amp;prices'!$AE$2:$AI$52,3,FALSE)/100+$BA$15*VLOOKUP($A565,'US Grid mix, emissions&amp;prices'!$AE$2:$AI$52,4,FALSE)/100)/(1+$AZ$41)^F$113+VLOOKUP($A565,'VKT US'!$B$63:$AA$113,(F$168+1),FALSE)*(1-$BD$9)/VLOOKUP($A565,'Fuel economy adjusted factor'!$A$2:$K$52,10,FALSE)*VLOOKUP($A565,'US Grid mix, emissions&amp;prices'!$AE$2:$AI$52,2,FALSE)/(1+$AZ$41)^F$168</f>
        <v>1017.3961713046643</v>
      </c>
      <c r="G565" s="106">
        <f>VLOOKUP($A565,'VKT US'!$B$63:$AA$113,(G$113+1),FALSE)*$BD$9/VLOOKUP($A565,'Fuel economy adjusted factor'!$A$2:$K$52,11,FALSE)*($AZ$15*VLOOKUP($A565,'US Grid mix, emissions&amp;prices'!$AE$2:$AI$52,3,FALSE)/100+$BA$15*VLOOKUP($A565,'US Grid mix, emissions&amp;prices'!$AE$2:$AI$52,4,FALSE)/100)/(1+$AZ$41)^G$113+VLOOKUP($A565,'VKT US'!$B$63:$AA$113,(G$168+1),FALSE)*(1-$BD$9)/VLOOKUP($A565,'Fuel economy adjusted factor'!$A$2:$K$52,10,FALSE)*VLOOKUP($A565,'US Grid mix, emissions&amp;prices'!$AE$2:$AI$52,2,FALSE)/(1+$AZ$41)^G$168</f>
        <v>976.11502535760474</v>
      </c>
      <c r="H565" s="106">
        <f>VLOOKUP($A565,'VKT US'!$B$63:$AA$113,(H$113+1),FALSE)*$BD$9/VLOOKUP($A565,'Fuel economy adjusted factor'!$A$2:$K$52,11,FALSE)*($AZ$15*VLOOKUP($A565,'US Grid mix, emissions&amp;prices'!$AE$2:$AI$52,3,FALSE)/100+$BA$15*VLOOKUP($A565,'US Grid mix, emissions&amp;prices'!$AE$2:$AI$52,4,FALSE)/100)/(1+$AZ$41)^H$113+VLOOKUP($A565,'VKT US'!$B$63:$AA$113,(H$168+1),FALSE)*(1-$BD$9)/VLOOKUP($A565,'Fuel economy adjusted factor'!$A$2:$K$52,10,FALSE)*VLOOKUP($A565,'US Grid mix, emissions&amp;prices'!$AE$2:$AI$52,2,FALSE)/(1+$AZ$41)^H$168</f>
        <v>936.64027177283174</v>
      </c>
      <c r="I565" s="106">
        <f>VLOOKUP($A565,'VKT US'!$B$63:$AA$113,(I$113+1),FALSE)*$BD$9/VLOOKUP($A565,'Fuel economy adjusted factor'!$A$2:$K$52,11,FALSE)*($AZ$15*VLOOKUP($A565,'US Grid mix, emissions&amp;prices'!$AE$2:$AI$52,3,FALSE)/100+$BA$15*VLOOKUP($A565,'US Grid mix, emissions&amp;prices'!$AE$2:$AI$52,4,FALSE)/100)/(1+$AZ$41)^I$113+VLOOKUP($A565,'VKT US'!$B$63:$AA$113,(I$168+1),FALSE)*(1-$BD$9)/VLOOKUP($A565,'Fuel economy adjusted factor'!$A$2:$K$52,10,FALSE)*VLOOKUP($A565,'US Grid mix, emissions&amp;prices'!$AE$2:$AI$52,2,FALSE)/(1+$AZ$41)^I$168</f>
        <v>899.08319111399953</v>
      </c>
      <c r="J565" s="106">
        <f>VLOOKUP($A565,'VKT US'!$B$63:$AA$113,(J$113+1),FALSE)*$BD$9/VLOOKUP($A565,'Fuel economy adjusted factor'!$A$2:$K$52,11,FALSE)*($AZ$15*VLOOKUP($A565,'US Grid mix, emissions&amp;prices'!$AE$2:$AI$52,3,FALSE)/100+$BA$15*VLOOKUP($A565,'US Grid mix, emissions&amp;prices'!$AE$2:$AI$52,4,FALSE)/100)/(1+$AZ$41)^J$113+VLOOKUP($A565,'VKT US'!$B$63:$AA$113,(J$168+1),FALSE)*(1-$BD$9)/VLOOKUP($A565,'Fuel economy adjusted factor'!$A$2:$K$52,10,FALSE)*VLOOKUP($A565,'US Grid mix, emissions&amp;prices'!$AE$2:$AI$52,2,FALSE)/(1+$AZ$41)^J$168</f>
        <v>863.39058940395194</v>
      </c>
      <c r="K565" s="106">
        <f>VLOOKUP($A565,'VKT US'!$B$63:$AA$113,(K$113+1),FALSE)*$BD$9/VLOOKUP($A565,'Fuel economy adjusted factor'!$A$2:$K$52,11,FALSE)*($AZ$15*VLOOKUP($A565,'US Grid mix, emissions&amp;prices'!$AE$2:$AI$52,3,FALSE)/100+$BA$15*VLOOKUP($A565,'US Grid mix, emissions&amp;prices'!$AE$2:$AI$52,4,FALSE)/100)/(1+$AZ$41)^K$113+VLOOKUP($A565,'VKT US'!$B$63:$AA$113,(K$168+1),FALSE)*(1-$BD$9)/VLOOKUP($A565,'Fuel economy adjusted factor'!$A$2:$K$52,10,FALSE)*VLOOKUP($A565,'US Grid mix, emissions&amp;prices'!$AE$2:$AI$52,2,FALSE)/(1+$AZ$41)^K$168</f>
        <v>829.51042185139352</v>
      </c>
      <c r="L565" s="106">
        <f>VLOOKUP($A565,'VKT US'!$B$63:$AA$113,(L$113+1),FALSE)*$BD$9/VLOOKUP($A565,'Fuel economy adjusted factor'!$A$2:$K$52,11,FALSE)*($AZ$15*VLOOKUP($A565,'US Grid mix, emissions&amp;prices'!$AE$2:$AI$52,3,FALSE)/100+$BA$15*VLOOKUP($A565,'US Grid mix, emissions&amp;prices'!$AE$2:$AI$52,4,FALSE)/100)/(1+$AZ$41)^L$113+VLOOKUP($A565,'VKT US'!$B$63:$AA$113,(L$168+1),FALSE)*(1-$BD$9)/VLOOKUP($A565,'Fuel economy adjusted factor'!$A$2:$K$52,10,FALSE)*VLOOKUP($A565,'US Grid mix, emissions&amp;prices'!$AE$2:$AI$52,2,FALSE)/(1+$AZ$41)^L$168</f>
        <v>797.31466893238803</v>
      </c>
      <c r="M565" s="106">
        <f>VLOOKUP($A565,'VKT US'!$B$63:$AA$113,(M$113+1),FALSE)*$BD$9/VLOOKUP($A565,'Fuel economy adjusted factor'!$A$2:$K$52,11,FALSE)*($AZ$15*VLOOKUP($A565,'US Grid mix, emissions&amp;prices'!$AE$2:$AI$52,3,FALSE)/100+$BA$15*VLOOKUP($A565,'US Grid mix, emissions&amp;prices'!$AE$2:$AI$52,4,FALSE)/100)/(1+$AZ$41)^M$113+VLOOKUP($A565,'VKT US'!$B$63:$AA$113,(M$168+1),FALSE)*(1-$BD$9)/VLOOKUP($A565,'Fuel economy adjusted factor'!$A$2:$K$52,10,FALSE)*VLOOKUP($A565,'US Grid mix, emissions&amp;prices'!$AE$2:$AI$52,2,FALSE)/(1+$AZ$41)^M$168</f>
        <v>766.83245047482478</v>
      </c>
      <c r="N565" s="106">
        <f>VLOOKUP($A565,'VKT US'!$B$63:$AA$113,(N$113+1),FALSE)*$BD$9/VLOOKUP($A565,'Fuel economy adjusted factor'!$A$2:$K$52,11,FALSE)*($AZ$15*VLOOKUP($A565,'US Grid mix, emissions&amp;prices'!$AE$2:$AI$52,3,FALSE)/100+$BA$15*VLOOKUP($A565,'US Grid mix, emissions&amp;prices'!$AE$2:$AI$52,4,FALSE)/100)/(1+$AZ$41)^N$113+VLOOKUP($A565,'VKT US'!$B$63:$AA$113,(N$168+1),FALSE)*(1-$BD$9)/VLOOKUP($A565,'Fuel economy adjusted factor'!$A$2:$K$52,10,FALSE)*VLOOKUP($A565,'US Grid mix, emissions&amp;prices'!$AE$2:$AI$52,2,FALSE)/(1+$AZ$41)^N$168</f>
        <v>737.93972376727493</v>
      </c>
      <c r="O565" s="106">
        <f>VLOOKUP($A565,'VKT US'!$B$63:$AA$113,(O$113+1),FALSE)*$BD$9/VLOOKUP($A565,'Fuel economy adjusted factor'!$A$2:$K$52,11,FALSE)*($AZ$15*VLOOKUP($A565,'US Grid mix, emissions&amp;prices'!$AE$2:$AI$52,3,FALSE)/100+$BA$15*VLOOKUP($A565,'US Grid mix, emissions&amp;prices'!$AE$2:$AI$52,4,FALSE)/100)/(1+$AZ$41)^O$113+VLOOKUP($A565,'VKT US'!$B$63:$AA$113,(O$168+1),FALSE)*(1-$BD$9)/VLOOKUP($A565,'Fuel economy adjusted factor'!$A$2:$K$52,10,FALSE)*VLOOKUP($A565,'US Grid mix, emissions&amp;prices'!$AE$2:$AI$52,2,FALSE)/(1+$AZ$41)^O$168</f>
        <v>710.66586608008311</v>
      </c>
      <c r="P565" s="106">
        <f>VLOOKUP($A565,'VKT US'!$B$63:$AA$113,(P$113+1),FALSE)*$BD$9/VLOOKUP($A565,'Fuel economy adjusted factor'!$A$2:$K$52,11,FALSE)*($AZ$15*VLOOKUP($A565,'US Grid mix, emissions&amp;prices'!$AE$2:$AI$52,3,FALSE)/100+$BA$15*VLOOKUP($A565,'US Grid mix, emissions&amp;prices'!$AE$2:$AI$52,4,FALSE)/100)/(1+$AZ$41)^P$113+VLOOKUP($A565,'VKT US'!$B$63:$AA$113,(P$168+1),FALSE)*(1-$BD$9)/VLOOKUP($A565,'Fuel economy adjusted factor'!$A$2:$K$52,10,FALSE)*VLOOKUP($A565,'US Grid mix, emissions&amp;prices'!$AE$2:$AI$52,2,FALSE)/(1+$AZ$41)^P$168</f>
        <v>684.89068829940766</v>
      </c>
      <c r="Q565" s="106">
        <f>VLOOKUP($A565,'VKT US'!$B$63:$AA$113,(Q$113+1),FALSE)*$BD$9/VLOOKUP($A565,'Fuel economy adjusted factor'!$A$2:$K$52,11,FALSE)*($AZ$15*VLOOKUP($A565,'US Grid mix, emissions&amp;prices'!$AE$2:$AI$52,3,FALSE)/100+$BA$15*VLOOKUP($A565,'US Grid mix, emissions&amp;prices'!$AE$2:$AI$52,4,FALSE)/100)/(1+$AZ$41)^Q$113+VLOOKUP($A565,'VKT US'!$B$63:$AA$113,(Q$168+1),FALSE)*(1-$BD$9)/VLOOKUP($A565,'Fuel economy adjusted factor'!$A$2:$K$52,10,FALSE)*VLOOKUP($A565,'US Grid mix, emissions&amp;prices'!$AE$2:$AI$52,2,FALSE)/(1+$AZ$41)^Q$168</f>
        <v>660.71642816749727</v>
      </c>
      <c r="R565" s="106">
        <f>VLOOKUP($A565,'VKT US'!$B$63:$AA$113,(R$113+1),FALSE)*$BD$9/VLOOKUP($A565,'Fuel economy adjusted factor'!$A$2:$K$52,11,FALSE)*($AZ$15*VLOOKUP($A565,'US Grid mix, emissions&amp;prices'!$AE$2:$AI$52,3,FALSE)/100+$BA$15*VLOOKUP($A565,'US Grid mix, emissions&amp;prices'!$AE$2:$AI$52,4,FALSE)/100)/(1+$AZ$41)^R$113+VLOOKUP($A565,'VKT US'!$B$63:$AA$113,(R$168+1),FALSE)*(1-$BD$9)/VLOOKUP($A565,'Fuel economy adjusted factor'!$A$2:$K$52,10,FALSE)*VLOOKUP($A565,'US Grid mix, emissions&amp;prices'!$AE$2:$AI$52,2,FALSE)/(1+$AZ$41)^R$168</f>
        <v>637.88049313303543</v>
      </c>
      <c r="S565" s="106">
        <f>VLOOKUP($A565,'VKT US'!$B$63:$AA$113,(S$113+1),FALSE)*$BD$9/VLOOKUP($A565,'Fuel economy adjusted factor'!$A$2:$K$52,11,FALSE)*($AZ$15*VLOOKUP($A565,'US Grid mix, emissions&amp;prices'!$AE$2:$AI$52,3,FALSE)/100+$BA$15*VLOOKUP($A565,'US Grid mix, emissions&amp;prices'!$AE$2:$AI$52,4,FALSE)/100)/(1+$AZ$41)^S$113+VLOOKUP($A565,'VKT US'!$B$63:$AA$113,(S$168+1),FALSE)*(1-$BD$9)/VLOOKUP($A565,'Fuel economy adjusted factor'!$A$2:$K$52,10,FALSE)*VLOOKUP($A565,'US Grid mix, emissions&amp;prices'!$AE$2:$AI$52,2,FALSE)/(1+$AZ$41)^S$168</f>
        <v>616.55710708645779</v>
      </c>
      <c r="T565" s="106">
        <f>VLOOKUP($A565,'VKT US'!$B$63:$AA$113,(T$113+1),FALSE)*$BD$9/VLOOKUP($A565,'Fuel economy adjusted factor'!$A$2:$K$52,11,FALSE)*($AZ$15*VLOOKUP($A565,'US Grid mix, emissions&amp;prices'!$AE$2:$AI$52,3,FALSE)/100+$BA$15*VLOOKUP($A565,'US Grid mix, emissions&amp;prices'!$AE$2:$AI$52,4,FALSE)/100)/(1+$AZ$41)^T$113+VLOOKUP($A565,'VKT US'!$B$63:$AA$113,(T$168+1),FALSE)*(1-$BD$9)/VLOOKUP($A565,'Fuel economy adjusted factor'!$A$2:$K$52,10,FALSE)*VLOOKUP($A565,'US Grid mix, emissions&amp;prices'!$AE$2:$AI$52,2,FALSE)/(1+$AZ$41)^T$168</f>
        <v>596.49074085923951</v>
      </c>
      <c r="U565" s="109">
        <f>VLOOKUP($A565,'VKT US'!$B$63:$AA$113,(U$113+1),FALSE)*$BD$9/VLOOKUP($A565,'Fuel economy adjusted factor'!$A$2:$K$52,11,FALSE)*($AZ$15*VLOOKUP($A565,'US Grid mix, emissions&amp;prices'!$AE$2:$AI$52,3,FALSE)/100+$BA$15*VLOOKUP($A565,'US Grid mix, emissions&amp;prices'!$AE$2:$AI$52,4,FALSE)/100)/(1+$AZ$41)^U$113+VLOOKUP($A565,'VKT US'!$B$63:$AA$113,(U$168+1),FALSE)*(1-$BD$9)/VLOOKUP($A565,'Fuel economy adjusted factor'!$A$2:$K$52,10,FALSE)*VLOOKUP($A565,'US Grid mix, emissions&amp;prices'!$AE$2:$AI$52,2,FALSE)/(1+$AZ$41)^U$168</f>
        <v>577.85237027941707</v>
      </c>
      <c r="V565" s="110" cm="1">
        <f t="array" ref="V565">SUMPRODUCT(INDEX(B565:U565,,_xlfn.SEQUENCE($AZ$13)))</f>
        <v>13058.869441505165</v>
      </c>
    </row>
    <row r="566" spans="1:22" x14ac:dyDescent="0.25">
      <c r="A566" s="102" t="s">
        <v>192</v>
      </c>
      <c r="B566" s="106">
        <f>VLOOKUP($A566,'VKT US'!$B$63:$AA$113,(B$113+1),FALSE)*$BD$9/VLOOKUP($A566,'Fuel economy adjusted factor'!$A$2:$K$52,11,FALSE)*($AZ$15*VLOOKUP($A566,'US Grid mix, emissions&amp;prices'!$AE$2:$AI$52,3,FALSE)/100+$BA$15*VLOOKUP($A566,'US Grid mix, emissions&amp;prices'!$AE$2:$AI$52,4,FALSE)/100)/(1+$AZ$41)^B$113+VLOOKUP($A566,'VKT US'!$B$63:$AA$113,(B$168+1),FALSE)*(1-$BD$9)/VLOOKUP($A566,'Fuel economy adjusted factor'!$A$2:$K$52,10,FALSE)*VLOOKUP($A566,'US Grid mix, emissions&amp;prices'!$AE$2:$AI$52,2,FALSE)/(1+$AZ$41)^B$168</f>
        <v>949.17700396576288</v>
      </c>
      <c r="C566" s="106">
        <f>VLOOKUP($A566,'VKT US'!$B$63:$AA$113,(C$113+1),FALSE)*$BD$9/VLOOKUP($A566,'Fuel economy adjusted factor'!$A$2:$K$52,11,FALSE)*($AZ$15*VLOOKUP($A566,'US Grid mix, emissions&amp;prices'!$AE$2:$AI$52,3,FALSE)/100+$BA$15*VLOOKUP($A566,'US Grid mix, emissions&amp;prices'!$AE$2:$AI$52,4,FALSE)/100)/(1+$AZ$41)^C$113+VLOOKUP($A566,'VKT US'!$B$63:$AA$113,(C$168+1),FALSE)*(1-$BD$9)/VLOOKUP($A566,'Fuel economy adjusted factor'!$A$2:$K$52,10,FALSE)*VLOOKUP($A566,'US Grid mix, emissions&amp;prices'!$AE$2:$AI$52,2,FALSE)/(1+$AZ$41)^C$168</f>
        <v>910.02533083362425</v>
      </c>
      <c r="D566" s="106">
        <f>VLOOKUP($A566,'VKT US'!$B$63:$AA$113,(D$113+1),FALSE)*$BD$9/VLOOKUP($A566,'Fuel economy adjusted factor'!$A$2:$K$52,11,FALSE)*($AZ$15*VLOOKUP($A566,'US Grid mix, emissions&amp;prices'!$AE$2:$AI$52,3,FALSE)/100+$BA$15*VLOOKUP($A566,'US Grid mix, emissions&amp;prices'!$AE$2:$AI$52,4,FALSE)/100)/(1+$AZ$41)^D$113+VLOOKUP($A566,'VKT US'!$B$63:$AA$113,(D$168+1),FALSE)*(1-$BD$9)/VLOOKUP($A566,'Fuel economy adjusted factor'!$A$2:$K$52,10,FALSE)*VLOOKUP($A566,'US Grid mix, emissions&amp;prices'!$AE$2:$AI$52,2,FALSE)/(1+$AZ$41)^D$168</f>
        <v>872.53849192144378</v>
      </c>
      <c r="E566" s="106">
        <f>VLOOKUP($A566,'VKT US'!$B$63:$AA$113,(E$113+1),FALSE)*$BD$9/VLOOKUP($A566,'Fuel economy adjusted factor'!$A$2:$K$52,11,FALSE)*($AZ$15*VLOOKUP($A566,'US Grid mix, emissions&amp;prices'!$AE$2:$AI$52,3,FALSE)/100+$BA$15*VLOOKUP($A566,'US Grid mix, emissions&amp;prices'!$AE$2:$AI$52,4,FALSE)/100)/(1+$AZ$41)^E$113+VLOOKUP($A566,'VKT US'!$B$63:$AA$113,(E$168+1),FALSE)*(1-$BD$9)/VLOOKUP($A566,'Fuel economy adjusted factor'!$A$2:$K$52,10,FALSE)*VLOOKUP($A566,'US Grid mix, emissions&amp;prices'!$AE$2:$AI$52,2,FALSE)/(1+$AZ$41)^E$168</f>
        <v>836.73831010905656</v>
      </c>
      <c r="F566" s="106">
        <f>VLOOKUP($A566,'VKT US'!$B$63:$AA$113,(F$113+1),FALSE)*$BD$9/VLOOKUP($A566,'Fuel economy adjusted factor'!$A$2:$K$52,11,FALSE)*($AZ$15*VLOOKUP($A566,'US Grid mix, emissions&amp;prices'!$AE$2:$AI$52,3,FALSE)/100+$BA$15*VLOOKUP($A566,'US Grid mix, emissions&amp;prices'!$AE$2:$AI$52,4,FALSE)/100)/(1+$AZ$41)^F$113+VLOOKUP($A566,'VKT US'!$B$63:$AA$113,(F$168+1),FALSE)*(1-$BD$9)/VLOOKUP($A566,'Fuel economy adjusted factor'!$A$2:$K$52,10,FALSE)*VLOOKUP($A566,'US Grid mix, emissions&amp;prices'!$AE$2:$AI$52,2,FALSE)/(1+$AZ$41)^F$168</f>
        <v>802.51375102590418</v>
      </c>
      <c r="G566" s="106">
        <f>VLOOKUP($A566,'VKT US'!$B$63:$AA$113,(G$113+1),FALSE)*$BD$9/VLOOKUP($A566,'Fuel economy adjusted factor'!$A$2:$K$52,11,FALSE)*($AZ$15*VLOOKUP($A566,'US Grid mix, emissions&amp;prices'!$AE$2:$AI$52,3,FALSE)/100+$BA$15*VLOOKUP($A566,'US Grid mix, emissions&amp;prices'!$AE$2:$AI$52,4,FALSE)/100)/(1+$AZ$41)^G$113+VLOOKUP($A566,'VKT US'!$B$63:$AA$113,(G$168+1),FALSE)*(1-$BD$9)/VLOOKUP($A566,'Fuel economy adjusted factor'!$A$2:$K$52,10,FALSE)*VLOOKUP($A566,'US Grid mix, emissions&amp;prices'!$AE$2:$AI$52,2,FALSE)/(1+$AZ$41)^G$168</f>
        <v>769.95152186188091</v>
      </c>
      <c r="H566" s="106">
        <f>VLOOKUP($A566,'VKT US'!$B$63:$AA$113,(H$113+1),FALSE)*$BD$9/VLOOKUP($A566,'Fuel economy adjusted factor'!$A$2:$K$52,11,FALSE)*($AZ$15*VLOOKUP($A566,'US Grid mix, emissions&amp;prices'!$AE$2:$AI$52,3,FALSE)/100+$BA$15*VLOOKUP($A566,'US Grid mix, emissions&amp;prices'!$AE$2:$AI$52,4,FALSE)/100)/(1+$AZ$41)^H$113+VLOOKUP($A566,'VKT US'!$B$63:$AA$113,(H$168+1),FALSE)*(1-$BD$9)/VLOOKUP($A566,'Fuel economy adjusted factor'!$A$2:$K$52,10,FALSE)*VLOOKUP($A566,'US Grid mix, emissions&amp;prices'!$AE$2:$AI$52,2,FALSE)/(1+$AZ$41)^H$168</f>
        <v>738.81416016971355</v>
      </c>
      <c r="I566" s="106">
        <f>VLOOKUP($A566,'VKT US'!$B$63:$AA$113,(I$113+1),FALSE)*$BD$9/VLOOKUP($A566,'Fuel economy adjusted factor'!$A$2:$K$52,11,FALSE)*($AZ$15*VLOOKUP($A566,'US Grid mix, emissions&amp;prices'!$AE$2:$AI$52,3,FALSE)/100+$BA$15*VLOOKUP($A566,'US Grid mix, emissions&amp;prices'!$AE$2:$AI$52,4,FALSE)/100)/(1+$AZ$41)^I$113+VLOOKUP($A566,'VKT US'!$B$63:$AA$113,(I$168+1),FALSE)*(1-$BD$9)/VLOOKUP($A566,'Fuel economy adjusted factor'!$A$2:$K$52,10,FALSE)*VLOOKUP($A566,'US Grid mix, emissions&amp;prices'!$AE$2:$AI$52,2,FALSE)/(1+$AZ$41)^I$168</f>
        <v>709.18944314482883</v>
      </c>
      <c r="J566" s="106">
        <f>VLOOKUP($A566,'VKT US'!$B$63:$AA$113,(J$113+1),FALSE)*$BD$9/VLOOKUP($A566,'Fuel economy adjusted factor'!$A$2:$K$52,11,FALSE)*($AZ$15*VLOOKUP($A566,'US Grid mix, emissions&amp;prices'!$AE$2:$AI$52,3,FALSE)/100+$BA$15*VLOOKUP($A566,'US Grid mix, emissions&amp;prices'!$AE$2:$AI$52,4,FALSE)/100)/(1+$AZ$41)^J$113+VLOOKUP($A566,'VKT US'!$B$63:$AA$113,(J$168+1),FALSE)*(1-$BD$9)/VLOOKUP($A566,'Fuel economy adjusted factor'!$A$2:$K$52,10,FALSE)*VLOOKUP($A566,'US Grid mix, emissions&amp;prices'!$AE$2:$AI$52,2,FALSE)/(1+$AZ$41)^J$168</f>
        <v>681.03541181456319</v>
      </c>
      <c r="K566" s="106">
        <f>VLOOKUP($A566,'VKT US'!$B$63:$AA$113,(K$113+1),FALSE)*$BD$9/VLOOKUP($A566,'Fuel economy adjusted factor'!$A$2:$K$52,11,FALSE)*($AZ$15*VLOOKUP($A566,'US Grid mix, emissions&amp;prices'!$AE$2:$AI$52,3,FALSE)/100+$BA$15*VLOOKUP($A566,'US Grid mix, emissions&amp;prices'!$AE$2:$AI$52,4,FALSE)/100)/(1+$AZ$41)^K$113+VLOOKUP($A566,'VKT US'!$B$63:$AA$113,(K$168+1),FALSE)*(1-$BD$9)/VLOOKUP($A566,'Fuel economy adjusted factor'!$A$2:$K$52,10,FALSE)*VLOOKUP($A566,'US Grid mix, emissions&amp;prices'!$AE$2:$AI$52,2,FALSE)/(1+$AZ$41)^K$168</f>
        <v>654.31101367462963</v>
      </c>
      <c r="L566" s="106">
        <f>VLOOKUP($A566,'VKT US'!$B$63:$AA$113,(L$113+1),FALSE)*$BD$9/VLOOKUP($A566,'Fuel economy adjusted factor'!$A$2:$K$52,11,FALSE)*($AZ$15*VLOOKUP($A566,'US Grid mix, emissions&amp;prices'!$AE$2:$AI$52,3,FALSE)/100+$BA$15*VLOOKUP($A566,'US Grid mix, emissions&amp;prices'!$AE$2:$AI$52,4,FALSE)/100)/(1+$AZ$41)^L$113+VLOOKUP($A566,'VKT US'!$B$63:$AA$113,(L$168+1),FALSE)*(1-$BD$9)/VLOOKUP($A566,'Fuel economy adjusted factor'!$A$2:$K$52,10,FALSE)*VLOOKUP($A566,'US Grid mix, emissions&amp;prices'!$AE$2:$AI$52,2,FALSE)/(1+$AZ$41)^L$168</f>
        <v>628.91526797509414</v>
      </c>
      <c r="M566" s="106">
        <f>VLOOKUP($A566,'VKT US'!$B$63:$AA$113,(M$113+1),FALSE)*$BD$9/VLOOKUP($A566,'Fuel economy adjusted factor'!$A$2:$K$52,11,FALSE)*($AZ$15*VLOOKUP($A566,'US Grid mix, emissions&amp;prices'!$AE$2:$AI$52,3,FALSE)/100+$BA$15*VLOOKUP($A566,'US Grid mix, emissions&amp;prices'!$AE$2:$AI$52,4,FALSE)/100)/(1+$AZ$41)^M$113+VLOOKUP($A566,'VKT US'!$B$63:$AA$113,(M$168+1),FALSE)*(1-$BD$9)/VLOOKUP($A566,'Fuel economy adjusted factor'!$A$2:$K$52,10,FALSE)*VLOOKUP($A566,'US Grid mix, emissions&amp;prices'!$AE$2:$AI$52,2,FALSE)/(1+$AZ$41)^M$168</f>
        <v>604.87114419723434</v>
      </c>
      <c r="N566" s="106">
        <f>VLOOKUP($A566,'VKT US'!$B$63:$AA$113,(N$113+1),FALSE)*$BD$9/VLOOKUP($A566,'Fuel economy adjusted factor'!$A$2:$K$52,11,FALSE)*($AZ$15*VLOOKUP($A566,'US Grid mix, emissions&amp;prices'!$AE$2:$AI$52,3,FALSE)/100+$BA$15*VLOOKUP($A566,'US Grid mix, emissions&amp;prices'!$AE$2:$AI$52,4,FALSE)/100)/(1+$AZ$41)^N$113+VLOOKUP($A566,'VKT US'!$B$63:$AA$113,(N$168+1),FALSE)*(1-$BD$9)/VLOOKUP($A566,'Fuel economy adjusted factor'!$A$2:$K$52,10,FALSE)*VLOOKUP($A566,'US Grid mix, emissions&amp;prices'!$AE$2:$AI$52,2,FALSE)/(1+$AZ$41)^N$168</f>
        <v>582.08079846818714</v>
      </c>
      <c r="O566" s="106">
        <f>VLOOKUP($A566,'VKT US'!$B$63:$AA$113,(O$113+1),FALSE)*$BD$9/VLOOKUP($A566,'Fuel economy adjusted factor'!$A$2:$K$52,11,FALSE)*($AZ$15*VLOOKUP($A566,'US Grid mix, emissions&amp;prices'!$AE$2:$AI$52,3,FALSE)/100+$BA$15*VLOOKUP($A566,'US Grid mix, emissions&amp;prices'!$AE$2:$AI$52,4,FALSE)/100)/(1+$AZ$41)^O$113+VLOOKUP($A566,'VKT US'!$B$63:$AA$113,(O$168+1),FALSE)*(1-$BD$9)/VLOOKUP($A566,'Fuel economy adjusted factor'!$A$2:$K$52,10,FALSE)*VLOOKUP($A566,'US Grid mix, emissions&amp;prices'!$AE$2:$AI$52,2,FALSE)/(1+$AZ$41)^O$168</f>
        <v>560.56740333772655</v>
      </c>
      <c r="P566" s="106">
        <f>VLOOKUP($A566,'VKT US'!$B$63:$AA$113,(P$113+1),FALSE)*$BD$9/VLOOKUP($A566,'Fuel economy adjusted factor'!$A$2:$K$52,11,FALSE)*($AZ$15*VLOOKUP($A566,'US Grid mix, emissions&amp;prices'!$AE$2:$AI$52,3,FALSE)/100+$BA$15*VLOOKUP($A566,'US Grid mix, emissions&amp;prices'!$AE$2:$AI$52,4,FALSE)/100)/(1+$AZ$41)^P$113+VLOOKUP($A566,'VKT US'!$B$63:$AA$113,(P$168+1),FALSE)*(1-$BD$9)/VLOOKUP($A566,'Fuel economy adjusted factor'!$A$2:$K$52,10,FALSE)*VLOOKUP($A566,'US Grid mix, emissions&amp;prices'!$AE$2:$AI$52,2,FALSE)/(1+$AZ$41)^P$168</f>
        <v>540.23615461914335</v>
      </c>
      <c r="Q566" s="106">
        <f>VLOOKUP($A566,'VKT US'!$B$63:$AA$113,(Q$113+1),FALSE)*$BD$9/VLOOKUP($A566,'Fuel economy adjusted factor'!$A$2:$K$52,11,FALSE)*($AZ$15*VLOOKUP($A566,'US Grid mix, emissions&amp;prices'!$AE$2:$AI$52,3,FALSE)/100+$BA$15*VLOOKUP($A566,'US Grid mix, emissions&amp;prices'!$AE$2:$AI$52,4,FALSE)/100)/(1+$AZ$41)^Q$113+VLOOKUP($A566,'VKT US'!$B$63:$AA$113,(Q$168+1),FALSE)*(1-$BD$9)/VLOOKUP($A566,'Fuel economy adjusted factor'!$A$2:$K$52,10,FALSE)*VLOOKUP($A566,'US Grid mix, emissions&amp;prices'!$AE$2:$AI$52,2,FALSE)/(1+$AZ$41)^Q$168</f>
        <v>521.16769660454588</v>
      </c>
      <c r="R566" s="106">
        <f>VLOOKUP($A566,'VKT US'!$B$63:$AA$113,(R$113+1),FALSE)*$BD$9/VLOOKUP($A566,'Fuel economy adjusted factor'!$A$2:$K$52,11,FALSE)*($AZ$15*VLOOKUP($A566,'US Grid mix, emissions&amp;prices'!$AE$2:$AI$52,3,FALSE)/100+$BA$15*VLOOKUP($A566,'US Grid mix, emissions&amp;prices'!$AE$2:$AI$52,4,FALSE)/100)/(1+$AZ$41)^R$113+VLOOKUP($A566,'VKT US'!$B$63:$AA$113,(R$168+1),FALSE)*(1-$BD$9)/VLOOKUP($A566,'Fuel economy adjusted factor'!$A$2:$K$52,10,FALSE)*VLOOKUP($A566,'US Grid mix, emissions&amp;prices'!$AE$2:$AI$52,2,FALSE)/(1+$AZ$41)^R$168</f>
        <v>503.15489844432739</v>
      </c>
      <c r="S566" s="106">
        <f>VLOOKUP($A566,'VKT US'!$B$63:$AA$113,(S$113+1),FALSE)*$BD$9/VLOOKUP($A566,'Fuel economy adjusted factor'!$A$2:$K$52,11,FALSE)*($AZ$15*VLOOKUP($A566,'US Grid mix, emissions&amp;prices'!$AE$2:$AI$52,3,FALSE)/100+$BA$15*VLOOKUP($A566,'US Grid mix, emissions&amp;prices'!$AE$2:$AI$52,4,FALSE)/100)/(1+$AZ$41)^S$113+VLOOKUP($A566,'VKT US'!$B$63:$AA$113,(S$168+1),FALSE)*(1-$BD$9)/VLOOKUP($A566,'Fuel economy adjusted factor'!$A$2:$K$52,10,FALSE)*VLOOKUP($A566,'US Grid mix, emissions&amp;prices'!$AE$2:$AI$52,2,FALSE)/(1+$AZ$41)^S$168</f>
        <v>486.3351865135578</v>
      </c>
      <c r="T566" s="106">
        <f>VLOOKUP($A566,'VKT US'!$B$63:$AA$113,(T$113+1),FALSE)*$BD$9/VLOOKUP($A566,'Fuel economy adjusted factor'!$A$2:$K$52,11,FALSE)*($AZ$15*VLOOKUP($A566,'US Grid mix, emissions&amp;prices'!$AE$2:$AI$52,3,FALSE)/100+$BA$15*VLOOKUP($A566,'US Grid mix, emissions&amp;prices'!$AE$2:$AI$52,4,FALSE)/100)/(1+$AZ$41)^T$113+VLOOKUP($A566,'VKT US'!$B$63:$AA$113,(T$168+1),FALSE)*(1-$BD$9)/VLOOKUP($A566,'Fuel economy adjusted factor'!$A$2:$K$52,10,FALSE)*VLOOKUP($A566,'US Grid mix, emissions&amp;prices'!$AE$2:$AI$52,2,FALSE)/(1+$AZ$41)^T$168</f>
        <v>470.50700150101341</v>
      </c>
      <c r="U566" s="109">
        <f>VLOOKUP($A566,'VKT US'!$B$63:$AA$113,(U$113+1),FALSE)*$BD$9/VLOOKUP($A566,'Fuel economy adjusted factor'!$A$2:$K$52,11,FALSE)*($AZ$15*VLOOKUP($A566,'US Grid mix, emissions&amp;prices'!$AE$2:$AI$52,3,FALSE)/100+$BA$15*VLOOKUP($A566,'US Grid mix, emissions&amp;prices'!$AE$2:$AI$52,4,FALSE)/100)/(1+$AZ$41)^U$113+VLOOKUP($A566,'VKT US'!$B$63:$AA$113,(U$168+1),FALSE)*(1-$BD$9)/VLOOKUP($A566,'Fuel economy adjusted factor'!$A$2:$K$52,10,FALSE)*VLOOKUP($A566,'US Grid mix, emissions&amp;prices'!$AE$2:$AI$52,2,FALSE)/(1+$AZ$41)^U$168</f>
        <v>455.80520773679729</v>
      </c>
      <c r="V566" s="110" cm="1">
        <f t="array" ref="V566">SUMPRODUCT(INDEX(B566:U566,,_xlfn.SEQUENCE($AZ$13)))</f>
        <v>10300.72905249965</v>
      </c>
    </row>
    <row r="567" spans="1:22" x14ac:dyDescent="0.25">
      <c r="A567" s="102" t="s">
        <v>193</v>
      </c>
      <c r="B567" s="106">
        <f>VLOOKUP($A567,'VKT US'!$B$63:$AA$113,(B$113+1),FALSE)*$BD$9/VLOOKUP($A567,'Fuel economy adjusted factor'!$A$2:$K$52,11,FALSE)*($AZ$15*VLOOKUP($A567,'US Grid mix, emissions&amp;prices'!$AE$2:$AI$52,3,FALSE)/100+$BA$15*VLOOKUP($A567,'US Grid mix, emissions&amp;prices'!$AE$2:$AI$52,4,FALSE)/100)/(1+$AZ$41)^B$113+VLOOKUP($A567,'VKT US'!$B$63:$AA$113,(B$168+1),FALSE)*(1-$BD$9)/VLOOKUP($A567,'Fuel economy adjusted factor'!$A$2:$K$52,10,FALSE)*VLOOKUP($A567,'US Grid mix, emissions&amp;prices'!$AE$2:$AI$52,2,FALSE)/(1+$AZ$41)^B$168</f>
        <v>1001.7782771893591</v>
      </c>
      <c r="C567" s="106">
        <f>VLOOKUP($A567,'VKT US'!$B$63:$AA$113,(C$113+1),FALSE)*$BD$9/VLOOKUP($A567,'Fuel economy adjusted factor'!$A$2:$K$52,11,FALSE)*($AZ$15*VLOOKUP($A567,'US Grid mix, emissions&amp;prices'!$AE$2:$AI$52,3,FALSE)/100+$BA$15*VLOOKUP($A567,'US Grid mix, emissions&amp;prices'!$AE$2:$AI$52,4,FALSE)/100)/(1+$AZ$41)^C$113+VLOOKUP($A567,'VKT US'!$B$63:$AA$113,(C$168+1),FALSE)*(1-$BD$9)/VLOOKUP($A567,'Fuel economy adjusted factor'!$A$2:$K$52,10,FALSE)*VLOOKUP($A567,'US Grid mix, emissions&amp;prices'!$AE$2:$AI$52,2,FALSE)/(1+$AZ$41)^C$168</f>
        <v>960.45690562691721</v>
      </c>
      <c r="D567" s="106">
        <f>VLOOKUP($A567,'VKT US'!$B$63:$AA$113,(D$113+1),FALSE)*$BD$9/VLOOKUP($A567,'Fuel economy adjusted factor'!$A$2:$K$52,11,FALSE)*($AZ$15*VLOOKUP($A567,'US Grid mix, emissions&amp;prices'!$AE$2:$AI$52,3,FALSE)/100+$BA$15*VLOOKUP($A567,'US Grid mix, emissions&amp;prices'!$AE$2:$AI$52,4,FALSE)/100)/(1+$AZ$41)^D$113+VLOOKUP($A567,'VKT US'!$B$63:$AA$113,(D$168+1),FALSE)*(1-$BD$9)/VLOOKUP($A567,'Fuel economy adjusted factor'!$A$2:$K$52,10,FALSE)*VLOOKUP($A567,'US Grid mix, emissions&amp;prices'!$AE$2:$AI$52,2,FALSE)/(1+$AZ$41)^D$168</f>
        <v>920.89262968489948</v>
      </c>
      <c r="E567" s="106">
        <f>VLOOKUP($A567,'VKT US'!$B$63:$AA$113,(E$113+1),FALSE)*$BD$9/VLOOKUP($A567,'Fuel economy adjusted factor'!$A$2:$K$52,11,FALSE)*($AZ$15*VLOOKUP($A567,'US Grid mix, emissions&amp;prices'!$AE$2:$AI$52,3,FALSE)/100+$BA$15*VLOOKUP($A567,'US Grid mix, emissions&amp;prices'!$AE$2:$AI$52,4,FALSE)/100)/(1+$AZ$41)^E$113+VLOOKUP($A567,'VKT US'!$B$63:$AA$113,(E$168+1),FALSE)*(1-$BD$9)/VLOOKUP($A567,'Fuel economy adjusted factor'!$A$2:$K$52,10,FALSE)*VLOOKUP($A567,'US Grid mix, emissions&amp;prices'!$AE$2:$AI$52,2,FALSE)/(1+$AZ$41)^E$168</f>
        <v>883.10848161848367</v>
      </c>
      <c r="F567" s="106">
        <f>VLOOKUP($A567,'VKT US'!$B$63:$AA$113,(F$113+1),FALSE)*$BD$9/VLOOKUP($A567,'Fuel economy adjusted factor'!$A$2:$K$52,11,FALSE)*($AZ$15*VLOOKUP($A567,'US Grid mix, emissions&amp;prices'!$AE$2:$AI$52,3,FALSE)/100+$BA$15*VLOOKUP($A567,'US Grid mix, emissions&amp;prices'!$AE$2:$AI$52,4,FALSE)/100)/(1+$AZ$41)^F$113+VLOOKUP($A567,'VKT US'!$B$63:$AA$113,(F$168+1),FALSE)*(1-$BD$9)/VLOOKUP($A567,'Fuel economy adjusted factor'!$A$2:$K$52,10,FALSE)*VLOOKUP($A567,'US Grid mix, emissions&amp;prices'!$AE$2:$AI$52,2,FALSE)/(1+$AZ$41)^F$168</f>
        <v>846.98727377986393</v>
      </c>
      <c r="G567" s="106">
        <f>VLOOKUP($A567,'VKT US'!$B$63:$AA$113,(G$113+1),FALSE)*$BD$9/VLOOKUP($A567,'Fuel economy adjusted factor'!$A$2:$K$52,11,FALSE)*($AZ$15*VLOOKUP($A567,'US Grid mix, emissions&amp;prices'!$AE$2:$AI$52,3,FALSE)/100+$BA$15*VLOOKUP($A567,'US Grid mix, emissions&amp;prices'!$AE$2:$AI$52,4,FALSE)/100)/(1+$AZ$41)^G$113+VLOOKUP($A567,'VKT US'!$B$63:$AA$113,(G$168+1),FALSE)*(1-$BD$9)/VLOOKUP($A567,'Fuel economy adjusted factor'!$A$2:$K$52,10,FALSE)*VLOOKUP($A567,'US Grid mix, emissions&amp;prices'!$AE$2:$AI$52,2,FALSE)/(1+$AZ$41)^G$168</f>
        <v>812.62051847807106</v>
      </c>
      <c r="H567" s="106">
        <f>VLOOKUP($A567,'VKT US'!$B$63:$AA$113,(H$113+1),FALSE)*$BD$9/VLOOKUP($A567,'Fuel economy adjusted factor'!$A$2:$K$52,11,FALSE)*($AZ$15*VLOOKUP($A567,'US Grid mix, emissions&amp;prices'!$AE$2:$AI$52,3,FALSE)/100+$BA$15*VLOOKUP($A567,'US Grid mix, emissions&amp;prices'!$AE$2:$AI$52,4,FALSE)/100)/(1+$AZ$41)^H$113+VLOOKUP($A567,'VKT US'!$B$63:$AA$113,(H$168+1),FALSE)*(1-$BD$9)/VLOOKUP($A567,'Fuel economy adjusted factor'!$A$2:$K$52,10,FALSE)*VLOOKUP($A567,'US Grid mix, emissions&amp;prices'!$AE$2:$AI$52,2,FALSE)/(1+$AZ$41)^H$168</f>
        <v>779.75759362646295</v>
      </c>
      <c r="I567" s="106">
        <f>VLOOKUP($A567,'VKT US'!$B$63:$AA$113,(I$113+1),FALSE)*$BD$9/VLOOKUP($A567,'Fuel economy adjusted factor'!$A$2:$K$52,11,FALSE)*($AZ$15*VLOOKUP($A567,'US Grid mix, emissions&amp;prices'!$AE$2:$AI$52,3,FALSE)/100+$BA$15*VLOOKUP($A567,'US Grid mix, emissions&amp;prices'!$AE$2:$AI$52,4,FALSE)/100)/(1+$AZ$41)^I$113+VLOOKUP($A567,'VKT US'!$B$63:$AA$113,(I$168+1),FALSE)*(1-$BD$9)/VLOOKUP($A567,'Fuel economy adjusted factor'!$A$2:$K$52,10,FALSE)*VLOOKUP($A567,'US Grid mix, emissions&amp;prices'!$AE$2:$AI$52,2,FALSE)/(1+$AZ$41)^I$168</f>
        <v>748.49114083692416</v>
      </c>
      <c r="J567" s="106">
        <f>VLOOKUP($A567,'VKT US'!$B$63:$AA$113,(J$113+1),FALSE)*$BD$9/VLOOKUP($A567,'Fuel economy adjusted factor'!$A$2:$K$52,11,FALSE)*($AZ$15*VLOOKUP($A567,'US Grid mix, emissions&amp;prices'!$AE$2:$AI$52,3,FALSE)/100+$BA$15*VLOOKUP($A567,'US Grid mix, emissions&amp;prices'!$AE$2:$AI$52,4,FALSE)/100)/(1+$AZ$41)^J$113+VLOOKUP($A567,'VKT US'!$B$63:$AA$113,(J$168+1),FALSE)*(1-$BD$9)/VLOOKUP($A567,'Fuel economy adjusted factor'!$A$2:$K$52,10,FALSE)*VLOOKUP($A567,'US Grid mix, emissions&amp;prices'!$AE$2:$AI$52,2,FALSE)/(1+$AZ$41)^J$168</f>
        <v>718.77687586408024</v>
      </c>
      <c r="K567" s="106">
        <f>VLOOKUP($A567,'VKT US'!$B$63:$AA$113,(K$113+1),FALSE)*$BD$9/VLOOKUP($A567,'Fuel economy adjusted factor'!$A$2:$K$52,11,FALSE)*($AZ$15*VLOOKUP($A567,'US Grid mix, emissions&amp;prices'!$AE$2:$AI$52,3,FALSE)/100+$BA$15*VLOOKUP($A567,'US Grid mix, emissions&amp;prices'!$AE$2:$AI$52,4,FALSE)/100)/(1+$AZ$41)^K$113+VLOOKUP($A567,'VKT US'!$B$63:$AA$113,(K$168+1),FALSE)*(1-$BD$9)/VLOOKUP($A567,'Fuel economy adjusted factor'!$A$2:$K$52,10,FALSE)*VLOOKUP($A567,'US Grid mix, emissions&amp;prices'!$AE$2:$AI$52,2,FALSE)/(1+$AZ$41)^K$168</f>
        <v>690.57147116538954</v>
      </c>
      <c r="L567" s="106">
        <f>VLOOKUP($A567,'VKT US'!$B$63:$AA$113,(L$113+1),FALSE)*$BD$9/VLOOKUP($A567,'Fuel economy adjusted factor'!$A$2:$K$52,11,FALSE)*($AZ$15*VLOOKUP($A567,'US Grid mix, emissions&amp;prices'!$AE$2:$AI$52,3,FALSE)/100+$BA$15*VLOOKUP($A567,'US Grid mix, emissions&amp;prices'!$AE$2:$AI$52,4,FALSE)/100)/(1+$AZ$41)^L$113+VLOOKUP($A567,'VKT US'!$B$63:$AA$113,(L$168+1),FALSE)*(1-$BD$9)/VLOOKUP($A567,'Fuel economy adjusted factor'!$A$2:$K$52,10,FALSE)*VLOOKUP($A567,'US Grid mix, emissions&amp;prices'!$AE$2:$AI$52,2,FALSE)/(1+$AZ$41)^L$168</f>
        <v>663.76834986290874</v>
      </c>
      <c r="M567" s="106">
        <f>VLOOKUP($A567,'VKT US'!$B$63:$AA$113,(M$113+1),FALSE)*$BD$9/VLOOKUP($A567,'Fuel economy adjusted factor'!$A$2:$K$52,11,FALSE)*($AZ$15*VLOOKUP($A567,'US Grid mix, emissions&amp;prices'!$AE$2:$AI$52,3,FALSE)/100+$BA$15*VLOOKUP($A567,'US Grid mix, emissions&amp;prices'!$AE$2:$AI$52,4,FALSE)/100)/(1+$AZ$41)^M$113+VLOOKUP($A567,'VKT US'!$B$63:$AA$113,(M$168+1),FALSE)*(1-$BD$9)/VLOOKUP($A567,'Fuel economy adjusted factor'!$A$2:$K$52,10,FALSE)*VLOOKUP($A567,'US Grid mix, emissions&amp;prices'!$AE$2:$AI$52,2,FALSE)/(1+$AZ$41)^M$168</f>
        <v>638.39175435535356</v>
      </c>
      <c r="N567" s="106">
        <f>VLOOKUP($A567,'VKT US'!$B$63:$AA$113,(N$113+1),FALSE)*$BD$9/VLOOKUP($A567,'Fuel economy adjusted factor'!$A$2:$K$52,11,FALSE)*($AZ$15*VLOOKUP($A567,'US Grid mix, emissions&amp;prices'!$AE$2:$AI$52,3,FALSE)/100+$BA$15*VLOOKUP($A567,'US Grid mix, emissions&amp;prices'!$AE$2:$AI$52,4,FALSE)/100)/(1+$AZ$41)^N$113+VLOOKUP($A567,'VKT US'!$B$63:$AA$113,(N$168+1),FALSE)*(1-$BD$9)/VLOOKUP($A567,'Fuel economy adjusted factor'!$A$2:$K$52,10,FALSE)*VLOOKUP($A567,'US Grid mix, emissions&amp;prices'!$AE$2:$AI$52,2,FALSE)/(1+$AZ$41)^N$168</f>
        <v>614.33841848058523</v>
      </c>
      <c r="O567" s="106">
        <f>VLOOKUP($A567,'VKT US'!$B$63:$AA$113,(O$113+1),FALSE)*$BD$9/VLOOKUP($A567,'Fuel economy adjusted factor'!$A$2:$K$52,11,FALSE)*($AZ$15*VLOOKUP($A567,'US Grid mix, emissions&amp;prices'!$AE$2:$AI$52,3,FALSE)/100+$BA$15*VLOOKUP($A567,'US Grid mix, emissions&amp;prices'!$AE$2:$AI$52,4,FALSE)/100)/(1+$AZ$41)^O$113+VLOOKUP($A567,'VKT US'!$B$63:$AA$113,(O$168+1),FALSE)*(1-$BD$9)/VLOOKUP($A567,'Fuel economy adjusted factor'!$A$2:$K$52,10,FALSE)*VLOOKUP($A567,'US Grid mix, emissions&amp;prices'!$AE$2:$AI$52,2,FALSE)/(1+$AZ$41)^O$168</f>
        <v>591.63279895941946</v>
      </c>
      <c r="P567" s="106">
        <f>VLOOKUP($A567,'VKT US'!$B$63:$AA$113,(P$113+1),FALSE)*$BD$9/VLOOKUP($A567,'Fuel economy adjusted factor'!$A$2:$K$52,11,FALSE)*($AZ$15*VLOOKUP($A567,'US Grid mix, emissions&amp;prices'!$AE$2:$AI$52,3,FALSE)/100+$BA$15*VLOOKUP($A567,'US Grid mix, emissions&amp;prices'!$AE$2:$AI$52,4,FALSE)/100)/(1+$AZ$41)^P$113+VLOOKUP($A567,'VKT US'!$B$63:$AA$113,(P$168+1),FALSE)*(1-$BD$9)/VLOOKUP($A567,'Fuel economy adjusted factor'!$A$2:$K$52,10,FALSE)*VLOOKUP($A567,'US Grid mix, emissions&amp;prices'!$AE$2:$AI$52,2,FALSE)/(1+$AZ$41)^P$168</f>
        <v>570.17483776849986</v>
      </c>
      <c r="Q567" s="106">
        <f>VLOOKUP($A567,'VKT US'!$B$63:$AA$113,(Q$113+1),FALSE)*$BD$9/VLOOKUP($A567,'Fuel economy adjusted factor'!$A$2:$K$52,11,FALSE)*($AZ$15*VLOOKUP($A567,'US Grid mix, emissions&amp;prices'!$AE$2:$AI$52,3,FALSE)/100+$BA$15*VLOOKUP($A567,'US Grid mix, emissions&amp;prices'!$AE$2:$AI$52,4,FALSE)/100)/(1+$AZ$41)^Q$113+VLOOKUP($A567,'VKT US'!$B$63:$AA$113,(Q$168+1),FALSE)*(1-$BD$9)/VLOOKUP($A567,'Fuel economy adjusted factor'!$A$2:$K$52,10,FALSE)*VLOOKUP($A567,'US Grid mix, emissions&amp;prices'!$AE$2:$AI$52,2,FALSE)/(1+$AZ$41)^Q$168</f>
        <v>550.0496483267948</v>
      </c>
      <c r="R567" s="106">
        <f>VLOOKUP($A567,'VKT US'!$B$63:$AA$113,(R$113+1),FALSE)*$BD$9/VLOOKUP($A567,'Fuel economy adjusted factor'!$A$2:$K$52,11,FALSE)*($AZ$15*VLOOKUP($A567,'US Grid mix, emissions&amp;prices'!$AE$2:$AI$52,3,FALSE)/100+$BA$15*VLOOKUP($A567,'US Grid mix, emissions&amp;prices'!$AE$2:$AI$52,4,FALSE)/100)/(1+$AZ$41)^R$113+VLOOKUP($A567,'VKT US'!$B$63:$AA$113,(R$168+1),FALSE)*(1-$BD$9)/VLOOKUP($A567,'Fuel economy adjusted factor'!$A$2:$K$52,10,FALSE)*VLOOKUP($A567,'US Grid mix, emissions&amp;prices'!$AE$2:$AI$52,2,FALSE)/(1+$AZ$41)^R$168</f>
        <v>531.03862105484222</v>
      </c>
      <c r="S567" s="106">
        <f>VLOOKUP($A567,'VKT US'!$B$63:$AA$113,(S$113+1),FALSE)*$BD$9/VLOOKUP($A567,'Fuel economy adjusted factor'!$A$2:$K$52,11,FALSE)*($AZ$15*VLOOKUP($A567,'US Grid mix, emissions&amp;prices'!$AE$2:$AI$52,3,FALSE)/100+$BA$15*VLOOKUP($A567,'US Grid mix, emissions&amp;prices'!$AE$2:$AI$52,4,FALSE)/100)/(1+$AZ$41)^S$113+VLOOKUP($A567,'VKT US'!$B$63:$AA$113,(S$168+1),FALSE)*(1-$BD$9)/VLOOKUP($A567,'Fuel economy adjusted factor'!$A$2:$K$52,10,FALSE)*VLOOKUP($A567,'US Grid mix, emissions&amp;prices'!$AE$2:$AI$52,2,FALSE)/(1+$AZ$41)^S$168</f>
        <v>513.28679819100512</v>
      </c>
      <c r="T567" s="106">
        <f>VLOOKUP($A567,'VKT US'!$B$63:$AA$113,(T$113+1),FALSE)*$BD$9/VLOOKUP($A567,'Fuel economy adjusted factor'!$A$2:$K$52,11,FALSE)*($AZ$15*VLOOKUP($A567,'US Grid mix, emissions&amp;prices'!$AE$2:$AI$52,3,FALSE)/100+$BA$15*VLOOKUP($A567,'US Grid mix, emissions&amp;prices'!$AE$2:$AI$52,4,FALSE)/100)/(1+$AZ$41)^T$113+VLOOKUP($A567,'VKT US'!$B$63:$AA$113,(T$168+1),FALSE)*(1-$BD$9)/VLOOKUP($A567,'Fuel economy adjusted factor'!$A$2:$K$52,10,FALSE)*VLOOKUP($A567,'US Grid mix, emissions&amp;prices'!$AE$2:$AI$52,2,FALSE)/(1+$AZ$41)^T$168</f>
        <v>496.58145045643982</v>
      </c>
      <c r="U567" s="109">
        <f>VLOOKUP($A567,'VKT US'!$B$63:$AA$113,(U$113+1),FALSE)*$BD$9/VLOOKUP($A567,'Fuel economy adjusted factor'!$A$2:$K$52,11,FALSE)*($AZ$15*VLOOKUP($A567,'US Grid mix, emissions&amp;prices'!$AE$2:$AI$52,3,FALSE)/100+$BA$15*VLOOKUP($A567,'US Grid mix, emissions&amp;prices'!$AE$2:$AI$52,4,FALSE)/100)/(1+$AZ$41)^U$113+VLOOKUP($A567,'VKT US'!$B$63:$AA$113,(U$168+1),FALSE)*(1-$BD$9)/VLOOKUP($A567,'Fuel economy adjusted factor'!$A$2:$K$52,10,FALSE)*VLOOKUP($A567,'US Grid mix, emissions&amp;prices'!$AE$2:$AI$52,2,FALSE)/(1+$AZ$41)^U$168</f>
        <v>481.06491606172227</v>
      </c>
      <c r="V567" s="110" cm="1">
        <f t="array" ref="V567">SUMPRODUCT(INDEX(B567:U567,,_xlfn.SEQUENCE($AZ$13)))</f>
        <v>10871.57248952872</v>
      </c>
    </row>
    <row r="568" spans="1:22" x14ac:dyDescent="0.25">
      <c r="A568" s="102" t="s">
        <v>194</v>
      </c>
      <c r="B568" s="106">
        <f>VLOOKUP($A568,'VKT US'!$B$63:$AA$113,(B$113+1),FALSE)*$BD$9/VLOOKUP($A568,'Fuel economy adjusted factor'!$A$2:$K$52,11,FALSE)*($AZ$15*VLOOKUP($A568,'US Grid mix, emissions&amp;prices'!$AE$2:$AI$52,3,FALSE)/100+$BA$15*VLOOKUP($A568,'US Grid mix, emissions&amp;prices'!$AE$2:$AI$52,4,FALSE)/100)/(1+$AZ$41)^B$113+VLOOKUP($A568,'VKT US'!$B$63:$AA$113,(B$168+1),FALSE)*(1-$BD$9)/VLOOKUP($A568,'Fuel economy adjusted factor'!$A$2:$K$52,10,FALSE)*VLOOKUP($A568,'US Grid mix, emissions&amp;prices'!$AE$2:$AI$52,2,FALSE)/(1+$AZ$41)^B$168</f>
        <v>1243.4414858801251</v>
      </c>
      <c r="C568" s="106">
        <f>VLOOKUP($A568,'VKT US'!$B$63:$AA$113,(C$113+1),FALSE)*$BD$9/VLOOKUP($A568,'Fuel economy adjusted factor'!$A$2:$K$52,11,FALSE)*($AZ$15*VLOOKUP($A568,'US Grid mix, emissions&amp;prices'!$AE$2:$AI$52,3,FALSE)/100+$BA$15*VLOOKUP($A568,'US Grid mix, emissions&amp;prices'!$AE$2:$AI$52,4,FALSE)/100)/(1+$AZ$41)^C$113+VLOOKUP($A568,'VKT US'!$B$63:$AA$113,(C$168+1),FALSE)*(1-$BD$9)/VLOOKUP($A568,'Fuel economy adjusted factor'!$A$2:$K$52,10,FALSE)*VLOOKUP($A568,'US Grid mix, emissions&amp;prices'!$AE$2:$AI$52,2,FALSE)/(1+$AZ$41)^C$168</f>
        <v>1192.151985175075</v>
      </c>
      <c r="D568" s="106">
        <f>VLOOKUP($A568,'VKT US'!$B$63:$AA$113,(D$113+1),FALSE)*$BD$9/VLOOKUP($A568,'Fuel economy adjusted factor'!$A$2:$K$52,11,FALSE)*($AZ$15*VLOOKUP($A568,'US Grid mix, emissions&amp;prices'!$AE$2:$AI$52,3,FALSE)/100+$BA$15*VLOOKUP($A568,'US Grid mix, emissions&amp;prices'!$AE$2:$AI$52,4,FALSE)/100)/(1+$AZ$41)^D$113+VLOOKUP($A568,'VKT US'!$B$63:$AA$113,(D$168+1),FALSE)*(1-$BD$9)/VLOOKUP($A568,'Fuel economy adjusted factor'!$A$2:$K$52,10,FALSE)*VLOOKUP($A568,'US Grid mix, emissions&amp;prices'!$AE$2:$AI$52,2,FALSE)/(1+$AZ$41)^D$168</f>
        <v>1143.0434516948517</v>
      </c>
      <c r="E568" s="106">
        <f>VLOOKUP($A568,'VKT US'!$B$63:$AA$113,(E$113+1),FALSE)*$BD$9/VLOOKUP($A568,'Fuel economy adjusted factor'!$A$2:$K$52,11,FALSE)*($AZ$15*VLOOKUP($A568,'US Grid mix, emissions&amp;prices'!$AE$2:$AI$52,3,FALSE)/100+$BA$15*VLOOKUP($A568,'US Grid mix, emissions&amp;prices'!$AE$2:$AI$52,4,FALSE)/100)/(1+$AZ$41)^E$113+VLOOKUP($A568,'VKT US'!$B$63:$AA$113,(E$168+1),FALSE)*(1-$BD$9)/VLOOKUP($A568,'Fuel economy adjusted factor'!$A$2:$K$52,10,FALSE)*VLOOKUP($A568,'US Grid mix, emissions&amp;prices'!$AE$2:$AI$52,2,FALSE)/(1+$AZ$41)^E$168</f>
        <v>1096.1444738629161</v>
      </c>
      <c r="F568" s="106">
        <f>VLOOKUP($A568,'VKT US'!$B$63:$AA$113,(F$113+1),FALSE)*$BD$9/VLOOKUP($A568,'Fuel economy adjusted factor'!$A$2:$K$52,11,FALSE)*($AZ$15*VLOOKUP($A568,'US Grid mix, emissions&amp;prices'!$AE$2:$AI$52,3,FALSE)/100+$BA$15*VLOOKUP($A568,'US Grid mix, emissions&amp;prices'!$AE$2:$AI$52,4,FALSE)/100)/(1+$AZ$41)^F$113+VLOOKUP($A568,'VKT US'!$B$63:$AA$113,(F$168+1),FALSE)*(1-$BD$9)/VLOOKUP($A568,'Fuel economy adjusted factor'!$A$2:$K$52,10,FALSE)*VLOOKUP($A568,'US Grid mix, emissions&amp;prices'!$AE$2:$AI$52,2,FALSE)/(1+$AZ$41)^F$168</f>
        <v>1051.3095943597859</v>
      </c>
      <c r="G568" s="106">
        <f>VLOOKUP($A568,'VKT US'!$B$63:$AA$113,(G$113+1),FALSE)*$BD$9/VLOOKUP($A568,'Fuel economy adjusted factor'!$A$2:$K$52,11,FALSE)*($AZ$15*VLOOKUP($A568,'US Grid mix, emissions&amp;prices'!$AE$2:$AI$52,3,FALSE)/100+$BA$15*VLOOKUP($A568,'US Grid mix, emissions&amp;prices'!$AE$2:$AI$52,4,FALSE)/100)/(1+$AZ$41)^G$113+VLOOKUP($A568,'VKT US'!$B$63:$AA$113,(G$168+1),FALSE)*(1-$BD$9)/VLOOKUP($A568,'Fuel economy adjusted factor'!$A$2:$K$52,10,FALSE)*VLOOKUP($A568,'US Grid mix, emissions&amp;prices'!$AE$2:$AI$52,2,FALSE)/(1+$AZ$41)^G$168</f>
        <v>1008.6524013956559</v>
      </c>
      <c r="H568" s="106">
        <f>VLOOKUP($A568,'VKT US'!$B$63:$AA$113,(H$113+1),FALSE)*$BD$9/VLOOKUP($A568,'Fuel economy adjusted factor'!$A$2:$K$52,11,FALSE)*($AZ$15*VLOOKUP($A568,'US Grid mix, emissions&amp;prices'!$AE$2:$AI$52,3,FALSE)/100+$BA$15*VLOOKUP($A568,'US Grid mix, emissions&amp;prices'!$AE$2:$AI$52,4,FALSE)/100)/(1+$AZ$41)^H$113+VLOOKUP($A568,'VKT US'!$B$63:$AA$113,(H$168+1),FALSE)*(1-$BD$9)/VLOOKUP($A568,'Fuel economy adjusted factor'!$A$2:$K$52,10,FALSE)*VLOOKUP($A568,'US Grid mix, emissions&amp;prices'!$AE$2:$AI$52,2,FALSE)/(1+$AZ$41)^H$168</f>
        <v>967.86181425845211</v>
      </c>
      <c r="I568" s="106">
        <f>VLOOKUP($A568,'VKT US'!$B$63:$AA$113,(I$113+1),FALSE)*$BD$9/VLOOKUP($A568,'Fuel economy adjusted factor'!$A$2:$K$52,11,FALSE)*($AZ$15*VLOOKUP($A568,'US Grid mix, emissions&amp;prices'!$AE$2:$AI$52,3,FALSE)/100+$BA$15*VLOOKUP($A568,'US Grid mix, emissions&amp;prices'!$AE$2:$AI$52,4,FALSE)/100)/(1+$AZ$41)^I$113+VLOOKUP($A568,'VKT US'!$B$63:$AA$113,(I$168+1),FALSE)*(1-$BD$9)/VLOOKUP($A568,'Fuel economy adjusted factor'!$A$2:$K$52,10,FALSE)*VLOOKUP($A568,'US Grid mix, emissions&amp;prices'!$AE$2:$AI$52,2,FALSE)/(1+$AZ$41)^I$168</f>
        <v>929.05282288772401</v>
      </c>
      <c r="J568" s="106">
        <f>VLOOKUP($A568,'VKT US'!$B$63:$AA$113,(J$113+1),FALSE)*$BD$9/VLOOKUP($A568,'Fuel economy adjusted factor'!$A$2:$K$52,11,FALSE)*($AZ$15*VLOOKUP($A568,'US Grid mix, emissions&amp;prices'!$AE$2:$AI$52,3,FALSE)/100+$BA$15*VLOOKUP($A568,'US Grid mix, emissions&amp;prices'!$AE$2:$AI$52,4,FALSE)/100)/(1+$AZ$41)^J$113+VLOOKUP($A568,'VKT US'!$B$63:$AA$113,(J$168+1),FALSE)*(1-$BD$9)/VLOOKUP($A568,'Fuel economy adjusted factor'!$A$2:$K$52,10,FALSE)*VLOOKUP($A568,'US Grid mix, emissions&amp;prices'!$AE$2:$AI$52,2,FALSE)/(1+$AZ$41)^J$168</f>
        <v>892.17046016237953</v>
      </c>
      <c r="K568" s="106">
        <f>VLOOKUP($A568,'VKT US'!$B$63:$AA$113,(K$113+1),FALSE)*$BD$9/VLOOKUP($A568,'Fuel economy adjusted factor'!$A$2:$K$52,11,FALSE)*($AZ$15*VLOOKUP($A568,'US Grid mix, emissions&amp;prices'!$AE$2:$AI$52,3,FALSE)/100+$BA$15*VLOOKUP($A568,'US Grid mix, emissions&amp;prices'!$AE$2:$AI$52,4,FALSE)/100)/(1+$AZ$41)^K$113+VLOOKUP($A568,'VKT US'!$B$63:$AA$113,(K$168+1),FALSE)*(1-$BD$9)/VLOOKUP($A568,'Fuel economy adjusted factor'!$A$2:$K$52,10,FALSE)*VLOOKUP($A568,'US Grid mix, emissions&amp;prices'!$AE$2:$AI$52,2,FALSE)/(1+$AZ$41)^K$168</f>
        <v>857.16094645362796</v>
      </c>
      <c r="L568" s="106">
        <f>VLOOKUP($A568,'VKT US'!$B$63:$AA$113,(L$113+1),FALSE)*$BD$9/VLOOKUP($A568,'Fuel economy adjusted factor'!$A$2:$K$52,11,FALSE)*($AZ$15*VLOOKUP($A568,'US Grid mix, emissions&amp;prices'!$AE$2:$AI$52,3,FALSE)/100+$BA$15*VLOOKUP($A568,'US Grid mix, emissions&amp;prices'!$AE$2:$AI$52,4,FALSE)/100)/(1+$AZ$41)^L$113+VLOOKUP($A568,'VKT US'!$B$63:$AA$113,(L$168+1),FALSE)*(1-$BD$9)/VLOOKUP($A568,'Fuel economy adjusted factor'!$A$2:$K$52,10,FALSE)*VLOOKUP($A568,'US Grid mix, emissions&amp;prices'!$AE$2:$AI$52,2,FALSE)/(1+$AZ$41)^L$168</f>
        <v>823.89199489272073</v>
      </c>
      <c r="M568" s="106">
        <f>VLOOKUP($A568,'VKT US'!$B$63:$AA$113,(M$113+1),FALSE)*$BD$9/VLOOKUP($A568,'Fuel economy adjusted factor'!$A$2:$K$52,11,FALSE)*($AZ$15*VLOOKUP($A568,'US Grid mix, emissions&amp;prices'!$AE$2:$AI$52,3,FALSE)/100+$BA$15*VLOOKUP($A568,'US Grid mix, emissions&amp;prices'!$AE$2:$AI$52,4,FALSE)/100)/(1+$AZ$41)^M$113+VLOOKUP($A568,'VKT US'!$B$63:$AA$113,(M$168+1),FALSE)*(1-$BD$9)/VLOOKUP($A568,'Fuel economy adjusted factor'!$A$2:$K$52,10,FALSE)*VLOOKUP($A568,'US Grid mix, emissions&amp;prices'!$AE$2:$AI$52,2,FALSE)/(1+$AZ$41)^M$168</f>
        <v>792.39369597469704</v>
      </c>
      <c r="N568" s="106">
        <f>VLOOKUP($A568,'VKT US'!$B$63:$AA$113,(N$113+1),FALSE)*$BD$9/VLOOKUP($A568,'Fuel economy adjusted factor'!$A$2:$K$52,11,FALSE)*($AZ$15*VLOOKUP($A568,'US Grid mix, emissions&amp;prices'!$AE$2:$AI$52,3,FALSE)/100+$BA$15*VLOOKUP($A568,'US Grid mix, emissions&amp;prices'!$AE$2:$AI$52,4,FALSE)/100)/(1+$AZ$41)^N$113+VLOOKUP($A568,'VKT US'!$B$63:$AA$113,(N$168+1),FALSE)*(1-$BD$9)/VLOOKUP($A568,'Fuel economy adjusted factor'!$A$2:$K$52,10,FALSE)*VLOOKUP($A568,'US Grid mix, emissions&amp;prices'!$AE$2:$AI$52,2,FALSE)/(1+$AZ$41)^N$168</f>
        <v>762.53787220458139</v>
      </c>
      <c r="O568" s="106">
        <f>VLOOKUP($A568,'VKT US'!$B$63:$AA$113,(O$113+1),FALSE)*$BD$9/VLOOKUP($A568,'Fuel economy adjusted factor'!$A$2:$K$52,11,FALSE)*($AZ$15*VLOOKUP($A568,'US Grid mix, emissions&amp;prices'!$AE$2:$AI$52,3,FALSE)/100+$BA$15*VLOOKUP($A568,'US Grid mix, emissions&amp;prices'!$AE$2:$AI$52,4,FALSE)/100)/(1+$AZ$41)^O$113+VLOOKUP($A568,'VKT US'!$B$63:$AA$113,(O$168+1),FALSE)*(1-$BD$9)/VLOOKUP($A568,'Fuel economy adjusted factor'!$A$2:$K$52,10,FALSE)*VLOOKUP($A568,'US Grid mix, emissions&amp;prices'!$AE$2:$AI$52,2,FALSE)/(1+$AZ$41)^O$168</f>
        <v>734.35488010133918</v>
      </c>
      <c r="P568" s="106">
        <f>VLOOKUP($A568,'VKT US'!$B$63:$AA$113,(P$113+1),FALSE)*$BD$9/VLOOKUP($A568,'Fuel economy adjusted factor'!$A$2:$K$52,11,FALSE)*($AZ$15*VLOOKUP($A568,'US Grid mix, emissions&amp;prices'!$AE$2:$AI$52,3,FALSE)/100+$BA$15*VLOOKUP($A568,'US Grid mix, emissions&amp;prices'!$AE$2:$AI$52,4,FALSE)/100)/(1+$AZ$41)^P$113+VLOOKUP($A568,'VKT US'!$B$63:$AA$113,(P$168+1),FALSE)*(1-$BD$9)/VLOOKUP($A568,'Fuel economy adjusted factor'!$A$2:$K$52,10,FALSE)*VLOOKUP($A568,'US Grid mix, emissions&amp;prices'!$AE$2:$AI$52,2,FALSE)/(1+$AZ$41)^P$168</f>
        <v>707.72052422165814</v>
      </c>
      <c r="Q568" s="106">
        <f>VLOOKUP($A568,'VKT US'!$B$63:$AA$113,(Q$113+1),FALSE)*$BD$9/VLOOKUP($A568,'Fuel economy adjusted factor'!$A$2:$K$52,11,FALSE)*($AZ$15*VLOOKUP($A568,'US Grid mix, emissions&amp;prices'!$AE$2:$AI$52,3,FALSE)/100+$BA$15*VLOOKUP($A568,'US Grid mix, emissions&amp;prices'!$AE$2:$AI$52,4,FALSE)/100)/(1+$AZ$41)^Q$113+VLOOKUP($A568,'VKT US'!$B$63:$AA$113,(Q$168+1),FALSE)*(1-$BD$9)/VLOOKUP($A568,'Fuel economy adjusted factor'!$A$2:$K$52,10,FALSE)*VLOOKUP($A568,'US Grid mix, emissions&amp;prices'!$AE$2:$AI$52,2,FALSE)/(1+$AZ$41)^Q$168</f>
        <v>682.74045025436976</v>
      </c>
      <c r="R568" s="106">
        <f>VLOOKUP($A568,'VKT US'!$B$63:$AA$113,(R$113+1),FALSE)*$BD$9/VLOOKUP($A568,'Fuel economy adjusted factor'!$A$2:$K$52,11,FALSE)*($AZ$15*VLOOKUP($A568,'US Grid mix, emissions&amp;prices'!$AE$2:$AI$52,3,FALSE)/100+$BA$15*VLOOKUP($A568,'US Grid mix, emissions&amp;prices'!$AE$2:$AI$52,4,FALSE)/100)/(1+$AZ$41)^R$113+VLOOKUP($A568,'VKT US'!$B$63:$AA$113,(R$168+1),FALSE)*(1-$BD$9)/VLOOKUP($A568,'Fuel economy adjusted factor'!$A$2:$K$52,10,FALSE)*VLOOKUP($A568,'US Grid mix, emissions&amp;prices'!$AE$2:$AI$52,2,FALSE)/(1+$AZ$41)^R$168</f>
        <v>659.14331250701593</v>
      </c>
      <c r="S568" s="106">
        <f>VLOOKUP($A568,'VKT US'!$B$63:$AA$113,(S$113+1),FALSE)*$BD$9/VLOOKUP($A568,'Fuel economy adjusted factor'!$A$2:$K$52,11,FALSE)*($AZ$15*VLOOKUP($A568,'US Grid mix, emissions&amp;prices'!$AE$2:$AI$52,3,FALSE)/100+$BA$15*VLOOKUP($A568,'US Grid mix, emissions&amp;prices'!$AE$2:$AI$52,4,FALSE)/100)/(1+$AZ$41)^S$113+VLOOKUP($A568,'VKT US'!$B$63:$AA$113,(S$168+1),FALSE)*(1-$BD$9)/VLOOKUP($A568,'Fuel economy adjusted factor'!$A$2:$K$52,10,FALSE)*VLOOKUP($A568,'US Grid mix, emissions&amp;prices'!$AE$2:$AI$52,2,FALSE)/(1+$AZ$41)^S$168</f>
        <v>637.10914237026623</v>
      </c>
      <c r="T568" s="106">
        <f>VLOOKUP($A568,'VKT US'!$B$63:$AA$113,(T$113+1),FALSE)*$BD$9/VLOOKUP($A568,'Fuel economy adjusted factor'!$A$2:$K$52,11,FALSE)*($AZ$15*VLOOKUP($A568,'US Grid mix, emissions&amp;prices'!$AE$2:$AI$52,3,FALSE)/100+$BA$15*VLOOKUP($A568,'US Grid mix, emissions&amp;prices'!$AE$2:$AI$52,4,FALSE)/100)/(1+$AZ$41)^T$113+VLOOKUP($A568,'VKT US'!$B$63:$AA$113,(T$168+1),FALSE)*(1-$BD$9)/VLOOKUP($A568,'Fuel economy adjusted factor'!$A$2:$K$52,10,FALSE)*VLOOKUP($A568,'US Grid mix, emissions&amp;prices'!$AE$2:$AI$52,2,FALSE)/(1+$AZ$41)^T$168</f>
        <v>616.37389298205676</v>
      </c>
      <c r="U568" s="109">
        <f>VLOOKUP($A568,'VKT US'!$B$63:$AA$113,(U$113+1),FALSE)*$BD$9/VLOOKUP($A568,'Fuel economy adjusted factor'!$A$2:$K$52,11,FALSE)*($AZ$15*VLOOKUP($A568,'US Grid mix, emissions&amp;prices'!$AE$2:$AI$52,3,FALSE)/100+$BA$15*VLOOKUP($A568,'US Grid mix, emissions&amp;prices'!$AE$2:$AI$52,4,FALSE)/100)/(1+$AZ$41)^U$113+VLOOKUP($A568,'VKT US'!$B$63:$AA$113,(U$168+1),FALSE)*(1-$BD$9)/VLOOKUP($A568,'Fuel economy adjusted factor'!$A$2:$K$52,10,FALSE)*VLOOKUP($A568,'US Grid mix, emissions&amp;prices'!$AE$2:$AI$52,2,FALSE)/(1+$AZ$41)^U$168</f>
        <v>597.11423940121688</v>
      </c>
      <c r="V568" s="110" cm="1">
        <f t="array" ref="V568">SUMPRODUCT(INDEX(B568:U568,,_xlfn.SEQUENCE($AZ$13)))</f>
        <v>13494.167879303932</v>
      </c>
    </row>
    <row r="569" spans="1:22" x14ac:dyDescent="0.25">
      <c r="A569" s="102" t="s">
        <v>233</v>
      </c>
      <c r="B569" s="106">
        <f>VLOOKUP($A569,'VKT US'!$B$63:$AA$113,(B$113+1),FALSE)*$BD$9/VLOOKUP($A569,'Fuel economy adjusted factor'!$A$2:$K$52,11,FALSE)*($AZ$15*VLOOKUP($A569,'US Grid mix, emissions&amp;prices'!$AE$2:$AI$52,3,FALSE)/100+$BA$15*VLOOKUP($A569,'US Grid mix, emissions&amp;prices'!$AE$2:$AI$52,4,FALSE)/100)/(1+$AZ$41)^B$113+VLOOKUP($A569,'VKT US'!$B$63:$AA$113,(B$168+1),FALSE)*(1-$BD$9)/VLOOKUP($A569,'Fuel economy adjusted factor'!$A$2:$K$52,10,FALSE)*VLOOKUP($A569,'US Grid mix, emissions&amp;prices'!$AE$2:$AI$52,2,FALSE)/(1+$AZ$41)^B$168</f>
        <v>1448.6743632365647</v>
      </c>
      <c r="C569" s="106">
        <f>VLOOKUP($A569,'VKT US'!$B$63:$AA$113,(C$113+1),FALSE)*$BD$9/VLOOKUP($A569,'Fuel economy adjusted factor'!$A$2:$K$52,11,FALSE)*($AZ$15*VLOOKUP($A569,'US Grid mix, emissions&amp;prices'!$AE$2:$AI$52,3,FALSE)/100+$BA$15*VLOOKUP($A569,'US Grid mix, emissions&amp;prices'!$AE$2:$AI$52,4,FALSE)/100)/(1+$AZ$41)^C$113+VLOOKUP($A569,'VKT US'!$B$63:$AA$113,(C$168+1),FALSE)*(1-$BD$9)/VLOOKUP($A569,'Fuel economy adjusted factor'!$A$2:$K$52,10,FALSE)*VLOOKUP($A569,'US Grid mix, emissions&amp;prices'!$AE$2:$AI$52,2,FALSE)/(1+$AZ$41)^C$168</f>
        <v>1388.919412466189</v>
      </c>
      <c r="D569" s="106">
        <f>VLOOKUP($A569,'VKT US'!$B$63:$AA$113,(D$113+1),FALSE)*$BD$9/VLOOKUP($A569,'Fuel economy adjusted factor'!$A$2:$K$52,11,FALSE)*($AZ$15*VLOOKUP($A569,'US Grid mix, emissions&amp;prices'!$AE$2:$AI$52,3,FALSE)/100+$BA$15*VLOOKUP($A569,'US Grid mix, emissions&amp;prices'!$AE$2:$AI$52,4,FALSE)/100)/(1+$AZ$41)^D$113+VLOOKUP($A569,'VKT US'!$B$63:$AA$113,(D$168+1),FALSE)*(1-$BD$9)/VLOOKUP($A569,'Fuel economy adjusted factor'!$A$2:$K$52,10,FALSE)*VLOOKUP($A569,'US Grid mix, emissions&amp;prices'!$AE$2:$AI$52,2,FALSE)/(1+$AZ$41)^D$168</f>
        <v>1331.7054025776667</v>
      </c>
      <c r="E569" s="106">
        <f>VLOOKUP($A569,'VKT US'!$B$63:$AA$113,(E$113+1),FALSE)*$BD$9/VLOOKUP($A569,'Fuel economy adjusted factor'!$A$2:$K$52,11,FALSE)*($AZ$15*VLOOKUP($A569,'US Grid mix, emissions&amp;prices'!$AE$2:$AI$52,3,FALSE)/100+$BA$15*VLOOKUP($A569,'US Grid mix, emissions&amp;prices'!$AE$2:$AI$52,4,FALSE)/100)/(1+$AZ$41)^E$113+VLOOKUP($A569,'VKT US'!$B$63:$AA$113,(E$168+1),FALSE)*(1-$BD$9)/VLOOKUP($A569,'Fuel economy adjusted factor'!$A$2:$K$52,10,FALSE)*VLOOKUP($A569,'US Grid mix, emissions&amp;prices'!$AE$2:$AI$52,2,FALSE)/(1+$AZ$41)^E$168</f>
        <v>1277.0656405795096</v>
      </c>
      <c r="F569" s="106">
        <f>VLOOKUP($A569,'VKT US'!$B$63:$AA$113,(F$113+1),FALSE)*$BD$9/VLOOKUP($A569,'Fuel economy adjusted factor'!$A$2:$K$52,11,FALSE)*($AZ$15*VLOOKUP($A569,'US Grid mix, emissions&amp;prices'!$AE$2:$AI$52,3,FALSE)/100+$BA$15*VLOOKUP($A569,'US Grid mix, emissions&amp;prices'!$AE$2:$AI$52,4,FALSE)/100)/(1+$AZ$41)^F$113+VLOOKUP($A569,'VKT US'!$B$63:$AA$113,(F$168+1),FALSE)*(1-$BD$9)/VLOOKUP($A569,'Fuel economy adjusted factor'!$A$2:$K$52,10,FALSE)*VLOOKUP($A569,'US Grid mix, emissions&amp;prices'!$AE$2:$AI$52,2,FALSE)/(1+$AZ$41)^F$168</f>
        <v>1224.8306610870793</v>
      </c>
      <c r="G569" s="106">
        <f>VLOOKUP($A569,'VKT US'!$B$63:$AA$113,(G$113+1),FALSE)*$BD$9/VLOOKUP($A569,'Fuel economy adjusted factor'!$A$2:$K$52,11,FALSE)*($AZ$15*VLOOKUP($A569,'US Grid mix, emissions&amp;prices'!$AE$2:$AI$52,3,FALSE)/100+$BA$15*VLOOKUP($A569,'US Grid mix, emissions&amp;prices'!$AE$2:$AI$52,4,FALSE)/100)/(1+$AZ$41)^G$113+VLOOKUP($A569,'VKT US'!$B$63:$AA$113,(G$168+1),FALSE)*(1-$BD$9)/VLOOKUP($A569,'Fuel economy adjusted factor'!$A$2:$K$52,10,FALSE)*VLOOKUP($A569,'US Grid mix, emissions&amp;prices'!$AE$2:$AI$52,2,FALSE)/(1+$AZ$41)^G$168</f>
        <v>1175.1328003059348</v>
      </c>
      <c r="H569" s="106">
        <f>VLOOKUP($A569,'VKT US'!$B$63:$AA$113,(H$113+1),FALSE)*$BD$9/VLOOKUP($A569,'Fuel economy adjusted factor'!$A$2:$K$52,11,FALSE)*($AZ$15*VLOOKUP($A569,'US Grid mix, emissions&amp;prices'!$AE$2:$AI$52,3,FALSE)/100+$BA$15*VLOOKUP($A569,'US Grid mix, emissions&amp;prices'!$AE$2:$AI$52,4,FALSE)/100)/(1+$AZ$41)^H$113+VLOOKUP($A569,'VKT US'!$B$63:$AA$113,(H$168+1),FALSE)*(1-$BD$9)/VLOOKUP($A569,'Fuel economy adjusted factor'!$A$2:$K$52,10,FALSE)*VLOOKUP($A569,'US Grid mix, emissions&amp;prices'!$AE$2:$AI$52,2,FALSE)/(1+$AZ$41)^H$168</f>
        <v>1127.6096329369386</v>
      </c>
      <c r="I569" s="106">
        <f>VLOOKUP($A569,'VKT US'!$B$63:$AA$113,(I$113+1),FALSE)*$BD$9/VLOOKUP($A569,'Fuel economy adjusted factor'!$A$2:$K$52,11,FALSE)*($AZ$15*VLOOKUP($A569,'US Grid mix, emissions&amp;prices'!$AE$2:$AI$52,3,FALSE)/100+$BA$15*VLOOKUP($A569,'US Grid mix, emissions&amp;prices'!$AE$2:$AI$52,4,FALSE)/100)/(1+$AZ$41)^I$113+VLOOKUP($A569,'VKT US'!$B$63:$AA$113,(I$168+1),FALSE)*(1-$BD$9)/VLOOKUP($A569,'Fuel economy adjusted factor'!$A$2:$K$52,10,FALSE)*VLOOKUP($A569,'US Grid mix, emissions&amp;prices'!$AE$2:$AI$52,2,FALSE)/(1+$AZ$41)^I$168</f>
        <v>1082.3951282736584</v>
      </c>
      <c r="J569" s="106">
        <f>VLOOKUP($A569,'VKT US'!$B$63:$AA$113,(J$113+1),FALSE)*$BD$9/VLOOKUP($A569,'Fuel economy adjusted factor'!$A$2:$K$52,11,FALSE)*($AZ$15*VLOOKUP($A569,'US Grid mix, emissions&amp;prices'!$AE$2:$AI$52,3,FALSE)/100+$BA$15*VLOOKUP($A569,'US Grid mix, emissions&amp;prices'!$AE$2:$AI$52,4,FALSE)/100)/(1+$AZ$41)^J$113+VLOOKUP($A569,'VKT US'!$B$63:$AA$113,(J$168+1),FALSE)*(1-$BD$9)/VLOOKUP($A569,'Fuel economy adjusted factor'!$A$2:$K$52,10,FALSE)*VLOOKUP($A569,'US Grid mix, emissions&amp;prices'!$AE$2:$AI$52,2,FALSE)/(1+$AZ$41)^J$168</f>
        <v>1039.4252467452327</v>
      </c>
      <c r="K569" s="106">
        <f>VLOOKUP($A569,'VKT US'!$B$63:$AA$113,(K$113+1),FALSE)*$BD$9/VLOOKUP($A569,'Fuel economy adjusted factor'!$A$2:$K$52,11,FALSE)*($AZ$15*VLOOKUP($A569,'US Grid mix, emissions&amp;prices'!$AE$2:$AI$52,3,FALSE)/100+$BA$15*VLOOKUP($A569,'US Grid mix, emissions&amp;prices'!$AE$2:$AI$52,4,FALSE)/100)/(1+$AZ$41)^K$113+VLOOKUP($A569,'VKT US'!$B$63:$AA$113,(K$168+1),FALSE)*(1-$BD$9)/VLOOKUP($A569,'Fuel economy adjusted factor'!$A$2:$K$52,10,FALSE)*VLOOKUP($A569,'US Grid mix, emissions&amp;prices'!$AE$2:$AI$52,2,FALSE)/(1+$AZ$41)^K$168</f>
        <v>998.63733227143746</v>
      </c>
      <c r="L569" s="106">
        <f>VLOOKUP($A569,'VKT US'!$B$63:$AA$113,(L$113+1),FALSE)*$BD$9/VLOOKUP($A569,'Fuel economy adjusted factor'!$A$2:$K$52,11,FALSE)*($AZ$15*VLOOKUP($A569,'US Grid mix, emissions&amp;prices'!$AE$2:$AI$52,3,FALSE)/100+$BA$15*VLOOKUP($A569,'US Grid mix, emissions&amp;prices'!$AE$2:$AI$52,4,FALSE)/100)/(1+$AZ$41)^L$113+VLOOKUP($A569,'VKT US'!$B$63:$AA$113,(L$168+1),FALSE)*(1-$BD$9)/VLOOKUP($A569,'Fuel economy adjusted factor'!$A$2:$K$52,10,FALSE)*VLOOKUP($A569,'US Grid mix, emissions&amp;prices'!$AE$2:$AI$52,2,FALSE)/(1+$AZ$41)^L$168</f>
        <v>959.87726373155624</v>
      </c>
      <c r="M569" s="106">
        <f>VLOOKUP($A569,'VKT US'!$B$63:$AA$113,(M$113+1),FALSE)*$BD$9/VLOOKUP($A569,'Fuel economy adjusted factor'!$A$2:$K$52,11,FALSE)*($AZ$15*VLOOKUP($A569,'US Grid mix, emissions&amp;prices'!$AE$2:$AI$52,3,FALSE)/100+$BA$15*VLOOKUP($A569,'US Grid mix, emissions&amp;prices'!$AE$2:$AI$52,4,FALSE)/100)/(1+$AZ$41)^M$113+VLOOKUP($A569,'VKT US'!$B$63:$AA$113,(M$168+1),FALSE)*(1-$BD$9)/VLOOKUP($A569,'Fuel economy adjusted factor'!$A$2:$K$52,10,FALSE)*VLOOKUP($A569,'US Grid mix, emissions&amp;prices'!$AE$2:$AI$52,2,FALSE)/(1+$AZ$41)^M$168</f>
        <v>923.18009812604726</v>
      </c>
      <c r="N569" s="106">
        <f>VLOOKUP($A569,'VKT US'!$B$63:$AA$113,(N$113+1),FALSE)*$BD$9/VLOOKUP($A569,'Fuel economy adjusted factor'!$A$2:$K$52,11,FALSE)*($AZ$15*VLOOKUP($A569,'US Grid mix, emissions&amp;prices'!$AE$2:$AI$52,3,FALSE)/100+$BA$15*VLOOKUP($A569,'US Grid mix, emissions&amp;prices'!$AE$2:$AI$52,4,FALSE)/100)/(1+$AZ$41)^N$113+VLOOKUP($A569,'VKT US'!$B$63:$AA$113,(N$168+1),FALSE)*(1-$BD$9)/VLOOKUP($A569,'Fuel economy adjusted factor'!$A$2:$K$52,10,FALSE)*VLOOKUP($A569,'US Grid mix, emissions&amp;prices'!$AE$2:$AI$52,2,FALSE)/(1+$AZ$41)^N$168</f>
        <v>888.39650196956109</v>
      </c>
      <c r="O569" s="106">
        <f>VLOOKUP($A569,'VKT US'!$B$63:$AA$113,(O$113+1),FALSE)*$BD$9/VLOOKUP($A569,'Fuel economy adjusted factor'!$A$2:$K$52,11,FALSE)*($AZ$15*VLOOKUP($A569,'US Grid mix, emissions&amp;prices'!$AE$2:$AI$52,3,FALSE)/100+$BA$15*VLOOKUP($A569,'US Grid mix, emissions&amp;prices'!$AE$2:$AI$52,4,FALSE)/100)/(1+$AZ$41)^O$113+VLOOKUP($A569,'VKT US'!$B$63:$AA$113,(O$168+1),FALSE)*(1-$BD$9)/VLOOKUP($A569,'Fuel economy adjusted factor'!$A$2:$K$52,10,FALSE)*VLOOKUP($A569,'US Grid mix, emissions&amp;prices'!$AE$2:$AI$52,2,FALSE)/(1+$AZ$41)^O$168</f>
        <v>855.56184219434306</v>
      </c>
      <c r="P569" s="106">
        <f>VLOOKUP($A569,'VKT US'!$B$63:$AA$113,(P$113+1),FALSE)*$BD$9/VLOOKUP($A569,'Fuel economy adjusted factor'!$A$2:$K$52,11,FALSE)*($AZ$15*VLOOKUP($A569,'US Grid mix, emissions&amp;prices'!$AE$2:$AI$52,3,FALSE)/100+$BA$15*VLOOKUP($A569,'US Grid mix, emissions&amp;prices'!$AE$2:$AI$52,4,FALSE)/100)/(1+$AZ$41)^P$113+VLOOKUP($A569,'VKT US'!$B$63:$AA$113,(P$168+1),FALSE)*(1-$BD$9)/VLOOKUP($A569,'Fuel economy adjusted factor'!$A$2:$K$52,10,FALSE)*VLOOKUP($A569,'US Grid mix, emissions&amp;prices'!$AE$2:$AI$52,2,FALSE)/(1+$AZ$41)^P$168</f>
        <v>824.53142461349307</v>
      </c>
      <c r="Q569" s="106">
        <f>VLOOKUP($A569,'VKT US'!$B$63:$AA$113,(Q$113+1),FALSE)*$BD$9/VLOOKUP($A569,'Fuel economy adjusted factor'!$A$2:$K$52,11,FALSE)*($AZ$15*VLOOKUP($A569,'US Grid mix, emissions&amp;prices'!$AE$2:$AI$52,3,FALSE)/100+$BA$15*VLOOKUP($A569,'US Grid mix, emissions&amp;prices'!$AE$2:$AI$52,4,FALSE)/100)/(1+$AZ$41)^Q$113+VLOOKUP($A569,'VKT US'!$B$63:$AA$113,(Q$168+1),FALSE)*(1-$BD$9)/VLOOKUP($A569,'Fuel economy adjusted factor'!$A$2:$K$52,10,FALSE)*VLOOKUP($A569,'US Grid mix, emissions&amp;prices'!$AE$2:$AI$52,2,FALSE)/(1+$AZ$41)^Q$168</f>
        <v>795.42833197978598</v>
      </c>
      <c r="R569" s="106">
        <f>VLOOKUP($A569,'VKT US'!$B$63:$AA$113,(R$113+1),FALSE)*$BD$9/VLOOKUP($A569,'Fuel economy adjusted factor'!$A$2:$K$52,11,FALSE)*($AZ$15*VLOOKUP($A569,'US Grid mix, emissions&amp;prices'!$AE$2:$AI$52,3,FALSE)/100+$BA$15*VLOOKUP($A569,'US Grid mix, emissions&amp;prices'!$AE$2:$AI$52,4,FALSE)/100)/(1+$AZ$41)^R$113+VLOOKUP($A569,'VKT US'!$B$63:$AA$113,(R$168+1),FALSE)*(1-$BD$9)/VLOOKUP($A569,'Fuel economy adjusted factor'!$A$2:$K$52,10,FALSE)*VLOOKUP($A569,'US Grid mix, emissions&amp;prices'!$AE$2:$AI$52,2,FALSE)/(1+$AZ$41)^R$168</f>
        <v>767.93643237008541</v>
      </c>
      <c r="S569" s="106">
        <f>VLOOKUP($A569,'VKT US'!$B$63:$AA$113,(S$113+1),FALSE)*$BD$9/VLOOKUP($A569,'Fuel economy adjusted factor'!$A$2:$K$52,11,FALSE)*($AZ$15*VLOOKUP($A569,'US Grid mix, emissions&amp;prices'!$AE$2:$AI$52,3,FALSE)/100+$BA$15*VLOOKUP($A569,'US Grid mix, emissions&amp;prices'!$AE$2:$AI$52,4,FALSE)/100)/(1+$AZ$41)^S$113+VLOOKUP($A569,'VKT US'!$B$63:$AA$113,(S$168+1),FALSE)*(1-$BD$9)/VLOOKUP($A569,'Fuel economy adjusted factor'!$A$2:$K$52,10,FALSE)*VLOOKUP($A569,'US Grid mix, emissions&amp;prices'!$AE$2:$AI$52,2,FALSE)/(1+$AZ$41)^S$168</f>
        <v>742.26547177019177</v>
      </c>
      <c r="T569" s="106">
        <f>VLOOKUP($A569,'VKT US'!$B$63:$AA$113,(T$113+1),FALSE)*$BD$9/VLOOKUP($A569,'Fuel economy adjusted factor'!$A$2:$K$52,11,FALSE)*($AZ$15*VLOOKUP($A569,'US Grid mix, emissions&amp;prices'!$AE$2:$AI$52,3,FALSE)/100+$BA$15*VLOOKUP($A569,'US Grid mix, emissions&amp;prices'!$AE$2:$AI$52,4,FALSE)/100)/(1+$AZ$41)^T$113+VLOOKUP($A569,'VKT US'!$B$63:$AA$113,(T$168+1),FALSE)*(1-$BD$9)/VLOOKUP($A569,'Fuel economy adjusted factor'!$A$2:$K$52,10,FALSE)*VLOOKUP($A569,'US Grid mix, emissions&amp;prices'!$AE$2:$AI$52,2,FALSE)/(1+$AZ$41)^T$168</f>
        <v>718.1078217761077</v>
      </c>
      <c r="U569" s="109">
        <f>VLOOKUP($A569,'VKT US'!$B$63:$AA$113,(U$113+1),FALSE)*$BD$9/VLOOKUP($A569,'Fuel economy adjusted factor'!$A$2:$K$52,11,FALSE)*($AZ$15*VLOOKUP($A569,'US Grid mix, emissions&amp;prices'!$AE$2:$AI$52,3,FALSE)/100+$BA$15*VLOOKUP($A569,'US Grid mix, emissions&amp;prices'!$AE$2:$AI$52,4,FALSE)/100)/(1+$AZ$41)^U$113+VLOOKUP($A569,'VKT US'!$B$63:$AA$113,(U$168+1),FALSE)*(1-$BD$9)/VLOOKUP($A569,'Fuel economy adjusted factor'!$A$2:$K$52,10,FALSE)*VLOOKUP($A569,'US Grid mix, emissions&amp;prices'!$AE$2:$AI$52,2,FALSE)/(1+$AZ$41)^U$168</f>
        <v>695.66931807150331</v>
      </c>
      <c r="V569" s="110" cm="1">
        <f t="array" ref="V569">SUMPRODUCT(INDEX(B569:U569,,_xlfn.SEQUENCE($AZ$13)))</f>
        <v>15721.41132650172</v>
      </c>
    </row>
    <row r="570" spans="1:22" x14ac:dyDescent="0.25">
      <c r="A570" s="102" t="s">
        <v>196</v>
      </c>
      <c r="B570" s="106">
        <f>VLOOKUP($A570,'VKT US'!$B$63:$AA$113,(B$113+1),FALSE)*$BD$9/VLOOKUP($A570,'Fuel economy adjusted factor'!$A$2:$K$52,11,FALSE)*($AZ$15*VLOOKUP($A570,'US Grid mix, emissions&amp;prices'!$AE$2:$AI$52,3,FALSE)/100+$BA$15*VLOOKUP($A570,'US Grid mix, emissions&amp;prices'!$AE$2:$AI$52,4,FALSE)/100)/(1+$AZ$41)^B$113+VLOOKUP($A570,'VKT US'!$B$63:$AA$113,(B$168+1),FALSE)*(1-$BD$9)/VLOOKUP($A570,'Fuel economy adjusted factor'!$A$2:$K$52,10,FALSE)*VLOOKUP($A570,'US Grid mix, emissions&amp;prices'!$AE$2:$AI$52,2,FALSE)/(1+$AZ$41)^B$168</f>
        <v>1055.801485195695</v>
      </c>
      <c r="C570" s="106">
        <f>VLOOKUP($A570,'VKT US'!$B$63:$AA$113,(C$113+1),FALSE)*$BD$9/VLOOKUP($A570,'Fuel economy adjusted factor'!$A$2:$K$52,11,FALSE)*($AZ$15*VLOOKUP($A570,'US Grid mix, emissions&amp;prices'!$AE$2:$AI$52,3,FALSE)/100+$BA$15*VLOOKUP($A570,'US Grid mix, emissions&amp;prices'!$AE$2:$AI$52,4,FALSE)/100)/(1+$AZ$41)^C$113+VLOOKUP($A570,'VKT US'!$B$63:$AA$113,(C$168+1),FALSE)*(1-$BD$9)/VLOOKUP($A570,'Fuel economy adjusted factor'!$A$2:$K$52,10,FALSE)*VLOOKUP($A570,'US Grid mix, emissions&amp;prices'!$AE$2:$AI$52,2,FALSE)/(1+$AZ$41)^C$168</f>
        <v>1012.2517632069612</v>
      </c>
      <c r="D570" s="106">
        <f>VLOOKUP($A570,'VKT US'!$B$63:$AA$113,(D$113+1),FALSE)*$BD$9/VLOOKUP($A570,'Fuel economy adjusted factor'!$A$2:$K$52,11,FALSE)*($AZ$15*VLOOKUP($A570,'US Grid mix, emissions&amp;prices'!$AE$2:$AI$52,3,FALSE)/100+$BA$15*VLOOKUP($A570,'US Grid mix, emissions&amp;prices'!$AE$2:$AI$52,4,FALSE)/100)/(1+$AZ$41)^D$113+VLOOKUP($A570,'VKT US'!$B$63:$AA$113,(D$168+1),FALSE)*(1-$BD$9)/VLOOKUP($A570,'Fuel economy adjusted factor'!$A$2:$K$52,10,FALSE)*VLOOKUP($A570,'US Grid mix, emissions&amp;prices'!$AE$2:$AI$52,2,FALSE)/(1+$AZ$41)^D$168</f>
        <v>970.55389227940157</v>
      </c>
      <c r="E570" s="106">
        <f>VLOOKUP($A570,'VKT US'!$B$63:$AA$113,(E$113+1),FALSE)*$BD$9/VLOOKUP($A570,'Fuel economy adjusted factor'!$A$2:$K$52,11,FALSE)*($AZ$15*VLOOKUP($A570,'US Grid mix, emissions&amp;prices'!$AE$2:$AI$52,3,FALSE)/100+$BA$15*VLOOKUP($A570,'US Grid mix, emissions&amp;prices'!$AE$2:$AI$52,4,FALSE)/100)/(1+$AZ$41)^E$113+VLOOKUP($A570,'VKT US'!$B$63:$AA$113,(E$168+1),FALSE)*(1-$BD$9)/VLOOKUP($A570,'Fuel economy adjusted factor'!$A$2:$K$52,10,FALSE)*VLOOKUP($A570,'US Grid mix, emissions&amp;prices'!$AE$2:$AI$52,2,FALSE)/(1+$AZ$41)^E$168</f>
        <v>930.73214673576672</v>
      </c>
      <c r="F570" s="106">
        <f>VLOOKUP($A570,'VKT US'!$B$63:$AA$113,(F$113+1),FALSE)*$BD$9/VLOOKUP($A570,'Fuel economy adjusted factor'!$A$2:$K$52,11,FALSE)*($AZ$15*VLOOKUP($A570,'US Grid mix, emissions&amp;prices'!$AE$2:$AI$52,3,FALSE)/100+$BA$15*VLOOKUP($A570,'US Grid mix, emissions&amp;prices'!$AE$2:$AI$52,4,FALSE)/100)/(1+$AZ$41)^F$113+VLOOKUP($A570,'VKT US'!$B$63:$AA$113,(F$168+1),FALSE)*(1-$BD$9)/VLOOKUP($A570,'Fuel economy adjusted factor'!$A$2:$K$52,10,FALSE)*VLOOKUP($A570,'US Grid mix, emissions&amp;prices'!$AE$2:$AI$52,2,FALSE)/(1+$AZ$41)^F$168</f>
        <v>892.66301931360317</v>
      </c>
      <c r="G570" s="106">
        <f>VLOOKUP($A570,'VKT US'!$B$63:$AA$113,(G$113+1),FALSE)*$BD$9/VLOOKUP($A570,'Fuel economy adjusted factor'!$A$2:$K$52,11,FALSE)*($AZ$15*VLOOKUP($A570,'US Grid mix, emissions&amp;prices'!$AE$2:$AI$52,3,FALSE)/100+$BA$15*VLOOKUP($A570,'US Grid mix, emissions&amp;prices'!$AE$2:$AI$52,4,FALSE)/100)/(1+$AZ$41)^G$113+VLOOKUP($A570,'VKT US'!$B$63:$AA$113,(G$168+1),FALSE)*(1-$BD$9)/VLOOKUP($A570,'Fuel economy adjusted factor'!$A$2:$K$52,10,FALSE)*VLOOKUP($A570,'US Grid mix, emissions&amp;prices'!$AE$2:$AI$52,2,FALSE)/(1+$AZ$41)^G$168</f>
        <v>856.44295733462741</v>
      </c>
      <c r="H570" s="106">
        <f>VLOOKUP($A570,'VKT US'!$B$63:$AA$113,(H$113+1),FALSE)*$BD$9/VLOOKUP($A570,'Fuel economy adjusted factor'!$A$2:$K$52,11,FALSE)*($AZ$15*VLOOKUP($A570,'US Grid mix, emissions&amp;prices'!$AE$2:$AI$52,3,FALSE)/100+$BA$15*VLOOKUP($A570,'US Grid mix, emissions&amp;prices'!$AE$2:$AI$52,4,FALSE)/100)/(1+$AZ$41)^H$113+VLOOKUP($A570,'VKT US'!$B$63:$AA$113,(H$168+1),FALSE)*(1-$BD$9)/VLOOKUP($A570,'Fuel economy adjusted factor'!$A$2:$K$52,10,FALSE)*VLOOKUP($A570,'US Grid mix, emissions&amp;prices'!$AE$2:$AI$52,2,FALSE)/(1+$AZ$41)^H$168</f>
        <v>821.8078233371632</v>
      </c>
      <c r="I570" s="106">
        <f>VLOOKUP($A570,'VKT US'!$B$63:$AA$113,(I$113+1),FALSE)*$BD$9/VLOOKUP($A570,'Fuel economy adjusted factor'!$A$2:$K$52,11,FALSE)*($AZ$15*VLOOKUP($A570,'US Grid mix, emissions&amp;prices'!$AE$2:$AI$52,3,FALSE)/100+$BA$15*VLOOKUP($A570,'US Grid mix, emissions&amp;prices'!$AE$2:$AI$52,4,FALSE)/100)/(1+$AZ$41)^I$113+VLOOKUP($A570,'VKT US'!$B$63:$AA$113,(I$168+1),FALSE)*(1-$BD$9)/VLOOKUP($A570,'Fuel economy adjusted factor'!$A$2:$K$52,10,FALSE)*VLOOKUP($A570,'US Grid mix, emissions&amp;prices'!$AE$2:$AI$52,2,FALSE)/(1+$AZ$41)^I$168</f>
        <v>788.8552548460458</v>
      </c>
      <c r="J570" s="106">
        <f>VLOOKUP($A570,'VKT US'!$B$63:$AA$113,(J$113+1),FALSE)*$BD$9/VLOOKUP($A570,'Fuel economy adjusted factor'!$A$2:$K$52,11,FALSE)*($AZ$15*VLOOKUP($A570,'US Grid mix, emissions&amp;prices'!$AE$2:$AI$52,3,FALSE)/100+$BA$15*VLOOKUP($A570,'US Grid mix, emissions&amp;prices'!$AE$2:$AI$52,4,FALSE)/100)/(1+$AZ$41)^J$113+VLOOKUP($A570,'VKT US'!$B$63:$AA$113,(J$168+1),FALSE)*(1-$BD$9)/VLOOKUP($A570,'Fuel economy adjusted factor'!$A$2:$K$52,10,FALSE)*VLOOKUP($A570,'US Grid mix, emissions&amp;prices'!$AE$2:$AI$52,2,FALSE)/(1+$AZ$41)^J$168</f>
        <v>757.5385794856586</v>
      </c>
      <c r="K570" s="106">
        <f>VLOOKUP($A570,'VKT US'!$B$63:$AA$113,(K$113+1),FALSE)*$BD$9/VLOOKUP($A570,'Fuel economy adjusted factor'!$A$2:$K$52,11,FALSE)*($AZ$15*VLOOKUP($A570,'US Grid mix, emissions&amp;prices'!$AE$2:$AI$52,3,FALSE)/100+$BA$15*VLOOKUP($A570,'US Grid mix, emissions&amp;prices'!$AE$2:$AI$52,4,FALSE)/100)/(1+$AZ$41)^K$113+VLOOKUP($A570,'VKT US'!$B$63:$AA$113,(K$168+1),FALSE)*(1-$BD$9)/VLOOKUP($A570,'Fuel economy adjusted factor'!$A$2:$K$52,10,FALSE)*VLOOKUP($A570,'US Grid mix, emissions&amp;prices'!$AE$2:$AI$52,2,FALSE)/(1+$AZ$41)^K$168</f>
        <v>727.81213317562924</v>
      </c>
      <c r="L570" s="106">
        <f>VLOOKUP($A570,'VKT US'!$B$63:$AA$113,(L$113+1),FALSE)*$BD$9/VLOOKUP($A570,'Fuel economy adjusted factor'!$A$2:$K$52,11,FALSE)*($AZ$15*VLOOKUP($A570,'US Grid mix, emissions&amp;prices'!$AE$2:$AI$52,3,FALSE)/100+$BA$15*VLOOKUP($A570,'US Grid mix, emissions&amp;prices'!$AE$2:$AI$52,4,FALSE)/100)/(1+$AZ$41)^L$113+VLOOKUP($A570,'VKT US'!$B$63:$AA$113,(L$168+1),FALSE)*(1-$BD$9)/VLOOKUP($A570,'Fuel economy adjusted factor'!$A$2:$K$52,10,FALSE)*VLOOKUP($A570,'US Grid mix, emissions&amp;prices'!$AE$2:$AI$52,2,FALSE)/(1+$AZ$41)^L$168</f>
        <v>699.56359163364641</v>
      </c>
      <c r="M570" s="106">
        <f>VLOOKUP($A570,'VKT US'!$B$63:$AA$113,(M$113+1),FALSE)*$BD$9/VLOOKUP($A570,'Fuel economy adjusted factor'!$A$2:$K$52,11,FALSE)*($AZ$15*VLOOKUP($A570,'US Grid mix, emissions&amp;prices'!$AE$2:$AI$52,3,FALSE)/100+$BA$15*VLOOKUP($A570,'US Grid mix, emissions&amp;prices'!$AE$2:$AI$52,4,FALSE)/100)/(1+$AZ$41)^M$113+VLOOKUP($A570,'VKT US'!$B$63:$AA$113,(M$168+1),FALSE)*(1-$BD$9)/VLOOKUP($A570,'Fuel economy adjusted factor'!$A$2:$K$52,10,FALSE)*VLOOKUP($A570,'US Grid mix, emissions&amp;prices'!$AE$2:$AI$52,2,FALSE)/(1+$AZ$41)^M$168</f>
        <v>672.81850458578401</v>
      </c>
      <c r="N570" s="106">
        <f>VLOOKUP($A570,'VKT US'!$B$63:$AA$113,(N$113+1),FALSE)*$BD$9/VLOOKUP($A570,'Fuel economy adjusted factor'!$A$2:$K$52,11,FALSE)*($AZ$15*VLOOKUP($A570,'US Grid mix, emissions&amp;prices'!$AE$2:$AI$52,3,FALSE)/100+$BA$15*VLOOKUP($A570,'US Grid mix, emissions&amp;prices'!$AE$2:$AI$52,4,FALSE)/100)/(1+$AZ$41)^N$113+VLOOKUP($A570,'VKT US'!$B$63:$AA$113,(N$168+1),FALSE)*(1-$BD$9)/VLOOKUP($A570,'Fuel economy adjusted factor'!$A$2:$K$52,10,FALSE)*VLOOKUP($A570,'US Grid mix, emissions&amp;prices'!$AE$2:$AI$52,2,FALSE)/(1+$AZ$41)^N$168</f>
        <v>647.46803700353371</v>
      </c>
      <c r="O570" s="106">
        <f>VLOOKUP($A570,'VKT US'!$B$63:$AA$113,(O$113+1),FALSE)*$BD$9/VLOOKUP($A570,'Fuel economy adjusted factor'!$A$2:$K$52,11,FALSE)*($AZ$15*VLOOKUP($A570,'US Grid mix, emissions&amp;prices'!$AE$2:$AI$52,3,FALSE)/100+$BA$15*VLOOKUP($A570,'US Grid mix, emissions&amp;prices'!$AE$2:$AI$52,4,FALSE)/100)/(1+$AZ$41)^O$113+VLOOKUP($A570,'VKT US'!$B$63:$AA$113,(O$168+1),FALSE)*(1-$BD$9)/VLOOKUP($A570,'Fuel economy adjusted factor'!$A$2:$K$52,10,FALSE)*VLOOKUP($A570,'US Grid mix, emissions&amp;prices'!$AE$2:$AI$52,2,FALSE)/(1+$AZ$41)^O$168</f>
        <v>623.53796449288382</v>
      </c>
      <c r="P570" s="106">
        <f>VLOOKUP($A570,'VKT US'!$B$63:$AA$113,(P$113+1),FALSE)*$BD$9/VLOOKUP($A570,'Fuel economy adjusted factor'!$A$2:$K$52,11,FALSE)*($AZ$15*VLOOKUP($A570,'US Grid mix, emissions&amp;prices'!$AE$2:$AI$52,3,FALSE)/100+$BA$15*VLOOKUP($A570,'US Grid mix, emissions&amp;prices'!$AE$2:$AI$52,4,FALSE)/100)/(1+$AZ$41)^P$113+VLOOKUP($A570,'VKT US'!$B$63:$AA$113,(P$168+1),FALSE)*(1-$BD$9)/VLOOKUP($A570,'Fuel economy adjusted factor'!$A$2:$K$52,10,FALSE)*VLOOKUP($A570,'US Grid mix, emissions&amp;prices'!$AE$2:$AI$52,2,FALSE)/(1+$AZ$41)^P$168</f>
        <v>600.9228331704046</v>
      </c>
      <c r="Q570" s="106">
        <f>VLOOKUP($A570,'VKT US'!$B$63:$AA$113,(Q$113+1),FALSE)*$BD$9/VLOOKUP($A570,'Fuel economy adjusted factor'!$A$2:$K$52,11,FALSE)*($AZ$15*VLOOKUP($A570,'US Grid mix, emissions&amp;prices'!$AE$2:$AI$52,3,FALSE)/100+$BA$15*VLOOKUP($A570,'US Grid mix, emissions&amp;prices'!$AE$2:$AI$52,4,FALSE)/100)/(1+$AZ$41)^Q$113+VLOOKUP($A570,'VKT US'!$B$63:$AA$113,(Q$168+1),FALSE)*(1-$BD$9)/VLOOKUP($A570,'Fuel economy adjusted factor'!$A$2:$K$52,10,FALSE)*VLOOKUP($A570,'US Grid mix, emissions&amp;prices'!$AE$2:$AI$52,2,FALSE)/(1+$AZ$41)^Q$168</f>
        <v>579.71234639281931</v>
      </c>
      <c r="R570" s="106">
        <f>VLOOKUP($A570,'VKT US'!$B$63:$AA$113,(R$113+1),FALSE)*$BD$9/VLOOKUP($A570,'Fuel economy adjusted factor'!$A$2:$K$52,11,FALSE)*($AZ$15*VLOOKUP($A570,'US Grid mix, emissions&amp;prices'!$AE$2:$AI$52,3,FALSE)/100+$BA$15*VLOOKUP($A570,'US Grid mix, emissions&amp;prices'!$AE$2:$AI$52,4,FALSE)/100)/(1+$AZ$41)^R$113+VLOOKUP($A570,'VKT US'!$B$63:$AA$113,(R$168+1),FALSE)*(1-$BD$9)/VLOOKUP($A570,'Fuel economy adjusted factor'!$A$2:$K$52,10,FALSE)*VLOOKUP($A570,'US Grid mix, emissions&amp;prices'!$AE$2:$AI$52,2,FALSE)/(1+$AZ$41)^R$168</f>
        <v>559.67610555404019</v>
      </c>
      <c r="S570" s="106">
        <f>VLOOKUP($A570,'VKT US'!$B$63:$AA$113,(S$113+1),FALSE)*$BD$9/VLOOKUP($A570,'Fuel economy adjusted factor'!$A$2:$K$52,11,FALSE)*($AZ$15*VLOOKUP($A570,'US Grid mix, emissions&amp;prices'!$AE$2:$AI$52,3,FALSE)/100+$BA$15*VLOOKUP($A570,'US Grid mix, emissions&amp;prices'!$AE$2:$AI$52,4,FALSE)/100)/(1+$AZ$41)^S$113+VLOOKUP($A570,'VKT US'!$B$63:$AA$113,(S$168+1),FALSE)*(1-$BD$9)/VLOOKUP($A570,'Fuel economy adjusted factor'!$A$2:$K$52,10,FALSE)*VLOOKUP($A570,'US Grid mix, emissions&amp;prices'!$AE$2:$AI$52,2,FALSE)/(1+$AZ$41)^S$168</f>
        <v>540.96697463022474</v>
      </c>
      <c r="T570" s="106">
        <f>VLOOKUP($A570,'VKT US'!$B$63:$AA$113,(T$113+1),FALSE)*$BD$9/VLOOKUP($A570,'Fuel economy adjusted factor'!$A$2:$K$52,11,FALSE)*($AZ$15*VLOOKUP($A570,'US Grid mix, emissions&amp;prices'!$AE$2:$AI$52,3,FALSE)/100+$BA$15*VLOOKUP($A570,'US Grid mix, emissions&amp;prices'!$AE$2:$AI$52,4,FALSE)/100)/(1+$AZ$41)^T$113+VLOOKUP($A570,'VKT US'!$B$63:$AA$113,(T$168+1),FALSE)*(1-$BD$9)/VLOOKUP($A570,'Fuel economy adjusted factor'!$A$2:$K$52,10,FALSE)*VLOOKUP($A570,'US Grid mix, emissions&amp;prices'!$AE$2:$AI$52,2,FALSE)/(1+$AZ$41)^T$168</f>
        <v>523.36075242469883</v>
      </c>
      <c r="U570" s="109">
        <f>VLOOKUP($A570,'VKT US'!$B$63:$AA$113,(U$113+1),FALSE)*$BD$9/VLOOKUP($A570,'Fuel economy adjusted factor'!$A$2:$K$52,11,FALSE)*($AZ$15*VLOOKUP($A570,'US Grid mix, emissions&amp;prices'!$AE$2:$AI$52,3,FALSE)/100+$BA$15*VLOOKUP($A570,'US Grid mix, emissions&amp;prices'!$AE$2:$AI$52,4,FALSE)/100)/(1+$AZ$41)^U$113+VLOOKUP($A570,'VKT US'!$B$63:$AA$113,(U$168+1),FALSE)*(1-$BD$9)/VLOOKUP($A570,'Fuel economy adjusted factor'!$A$2:$K$52,10,FALSE)*VLOOKUP($A570,'US Grid mix, emissions&amp;prices'!$AE$2:$AI$52,2,FALSE)/(1+$AZ$41)^U$168</f>
        <v>507.00745306488824</v>
      </c>
      <c r="V570" s="110" cm="1">
        <f t="array" ref="V570">SUMPRODUCT(INDEX(B570:U570,,_xlfn.SEQUENCE($AZ$13)))</f>
        <v>11457.8471526264</v>
      </c>
    </row>
    <row r="571" spans="1:22" x14ac:dyDescent="0.25">
      <c r="A571" s="102" t="s">
        <v>197</v>
      </c>
      <c r="B571" s="106">
        <f>VLOOKUP($A571,'VKT US'!$B$63:$AA$113,(B$113+1),FALSE)*$BD$9/VLOOKUP($A571,'Fuel economy adjusted factor'!$A$2:$K$52,11,FALSE)*($AZ$15*VLOOKUP($A571,'US Grid mix, emissions&amp;prices'!$AE$2:$AI$52,3,FALSE)/100+$BA$15*VLOOKUP($A571,'US Grid mix, emissions&amp;prices'!$AE$2:$AI$52,4,FALSE)/100)/(1+$AZ$41)^B$113+VLOOKUP($A571,'VKT US'!$B$63:$AA$113,(B$168+1),FALSE)*(1-$BD$9)/VLOOKUP($A571,'Fuel economy adjusted factor'!$A$2:$K$52,10,FALSE)*VLOOKUP($A571,'US Grid mix, emissions&amp;prices'!$AE$2:$AI$52,2,FALSE)/(1+$AZ$41)^B$168</f>
        <v>942.67059583603623</v>
      </c>
      <c r="C571" s="106">
        <f>VLOOKUP($A571,'VKT US'!$B$63:$AA$113,(C$113+1),FALSE)*$BD$9/VLOOKUP($A571,'Fuel economy adjusted factor'!$A$2:$K$52,11,FALSE)*($AZ$15*VLOOKUP($A571,'US Grid mix, emissions&amp;prices'!$AE$2:$AI$52,3,FALSE)/100+$BA$15*VLOOKUP($A571,'US Grid mix, emissions&amp;prices'!$AE$2:$AI$52,4,FALSE)/100)/(1+$AZ$41)^C$113+VLOOKUP($A571,'VKT US'!$B$63:$AA$113,(C$168+1),FALSE)*(1-$BD$9)/VLOOKUP($A571,'Fuel economy adjusted factor'!$A$2:$K$52,10,FALSE)*VLOOKUP($A571,'US Grid mix, emissions&amp;prices'!$AE$2:$AI$52,2,FALSE)/(1+$AZ$41)^C$168</f>
        <v>903.78729916402585</v>
      </c>
      <c r="D571" s="106">
        <f>VLOOKUP($A571,'VKT US'!$B$63:$AA$113,(D$113+1),FALSE)*$BD$9/VLOOKUP($A571,'Fuel economy adjusted factor'!$A$2:$K$52,11,FALSE)*($AZ$15*VLOOKUP($A571,'US Grid mix, emissions&amp;prices'!$AE$2:$AI$52,3,FALSE)/100+$BA$15*VLOOKUP($A571,'US Grid mix, emissions&amp;prices'!$AE$2:$AI$52,4,FALSE)/100)/(1+$AZ$41)^D$113+VLOOKUP($A571,'VKT US'!$B$63:$AA$113,(D$168+1),FALSE)*(1-$BD$9)/VLOOKUP($A571,'Fuel economy adjusted factor'!$A$2:$K$52,10,FALSE)*VLOOKUP($A571,'US Grid mix, emissions&amp;prices'!$AE$2:$AI$52,2,FALSE)/(1+$AZ$41)^D$168</f>
        <v>866.55742462459864</v>
      </c>
      <c r="E571" s="106">
        <f>VLOOKUP($A571,'VKT US'!$B$63:$AA$113,(E$113+1),FALSE)*$BD$9/VLOOKUP($A571,'Fuel economy adjusted factor'!$A$2:$K$52,11,FALSE)*($AZ$15*VLOOKUP($A571,'US Grid mix, emissions&amp;prices'!$AE$2:$AI$52,3,FALSE)/100+$BA$15*VLOOKUP($A571,'US Grid mix, emissions&amp;prices'!$AE$2:$AI$52,4,FALSE)/100)/(1+$AZ$41)^E$113+VLOOKUP($A571,'VKT US'!$B$63:$AA$113,(E$168+1),FALSE)*(1-$BD$9)/VLOOKUP($A571,'Fuel economy adjusted factor'!$A$2:$K$52,10,FALSE)*VLOOKUP($A571,'US Grid mix, emissions&amp;prices'!$AE$2:$AI$52,2,FALSE)/(1+$AZ$41)^E$168</f>
        <v>831.00264550635234</v>
      </c>
      <c r="F571" s="106">
        <f>VLOOKUP($A571,'VKT US'!$B$63:$AA$113,(F$113+1),FALSE)*$BD$9/VLOOKUP($A571,'Fuel economy adjusted factor'!$A$2:$K$52,11,FALSE)*($AZ$15*VLOOKUP($A571,'US Grid mix, emissions&amp;prices'!$AE$2:$AI$52,3,FALSE)/100+$BA$15*VLOOKUP($A571,'US Grid mix, emissions&amp;prices'!$AE$2:$AI$52,4,FALSE)/100)/(1+$AZ$41)^F$113+VLOOKUP($A571,'VKT US'!$B$63:$AA$113,(F$168+1),FALSE)*(1-$BD$9)/VLOOKUP($A571,'Fuel economy adjusted factor'!$A$2:$K$52,10,FALSE)*VLOOKUP($A571,'US Grid mix, emissions&amp;prices'!$AE$2:$AI$52,2,FALSE)/(1+$AZ$41)^F$168</f>
        <v>797.01268855591559</v>
      </c>
      <c r="G571" s="106">
        <f>VLOOKUP($A571,'VKT US'!$B$63:$AA$113,(G$113+1),FALSE)*$BD$9/VLOOKUP($A571,'Fuel economy adjusted factor'!$A$2:$K$52,11,FALSE)*($AZ$15*VLOOKUP($A571,'US Grid mix, emissions&amp;prices'!$AE$2:$AI$52,3,FALSE)/100+$BA$15*VLOOKUP($A571,'US Grid mix, emissions&amp;prices'!$AE$2:$AI$52,4,FALSE)/100)/(1+$AZ$41)^G$113+VLOOKUP($A571,'VKT US'!$B$63:$AA$113,(G$168+1),FALSE)*(1-$BD$9)/VLOOKUP($A571,'Fuel economy adjusted factor'!$A$2:$K$52,10,FALSE)*VLOOKUP($A571,'US Grid mix, emissions&amp;prices'!$AE$2:$AI$52,2,FALSE)/(1+$AZ$41)^G$168</f>
        <v>764.67366660368702</v>
      </c>
      <c r="H571" s="106">
        <f>VLOOKUP($A571,'VKT US'!$B$63:$AA$113,(H$113+1),FALSE)*$BD$9/VLOOKUP($A571,'Fuel economy adjusted factor'!$A$2:$K$52,11,FALSE)*($AZ$15*VLOOKUP($A571,'US Grid mix, emissions&amp;prices'!$AE$2:$AI$52,3,FALSE)/100+$BA$15*VLOOKUP($A571,'US Grid mix, emissions&amp;prices'!$AE$2:$AI$52,4,FALSE)/100)/(1+$AZ$41)^H$113+VLOOKUP($A571,'VKT US'!$B$63:$AA$113,(H$168+1),FALSE)*(1-$BD$9)/VLOOKUP($A571,'Fuel economy adjusted factor'!$A$2:$K$52,10,FALSE)*VLOOKUP($A571,'US Grid mix, emissions&amp;prices'!$AE$2:$AI$52,2,FALSE)/(1+$AZ$41)^H$168</f>
        <v>733.7497449573757</v>
      </c>
      <c r="I571" s="106">
        <f>VLOOKUP($A571,'VKT US'!$B$63:$AA$113,(I$113+1),FALSE)*$BD$9/VLOOKUP($A571,'Fuel economy adjusted factor'!$A$2:$K$52,11,FALSE)*($AZ$15*VLOOKUP($A571,'US Grid mix, emissions&amp;prices'!$AE$2:$AI$52,3,FALSE)/100+$BA$15*VLOOKUP($A571,'US Grid mix, emissions&amp;prices'!$AE$2:$AI$52,4,FALSE)/100)/(1+$AZ$41)^I$113+VLOOKUP($A571,'VKT US'!$B$63:$AA$113,(I$168+1),FALSE)*(1-$BD$9)/VLOOKUP($A571,'Fuel economy adjusted factor'!$A$2:$K$52,10,FALSE)*VLOOKUP($A571,'US Grid mix, emissions&amp;prices'!$AE$2:$AI$52,2,FALSE)/(1+$AZ$41)^I$168</f>
        <v>704.32809911825109</v>
      </c>
      <c r="J571" s="106">
        <f>VLOOKUP($A571,'VKT US'!$B$63:$AA$113,(J$113+1),FALSE)*$BD$9/VLOOKUP($A571,'Fuel economy adjusted factor'!$A$2:$K$52,11,FALSE)*($AZ$15*VLOOKUP($A571,'US Grid mix, emissions&amp;prices'!$AE$2:$AI$52,3,FALSE)/100+$BA$15*VLOOKUP($A571,'US Grid mix, emissions&amp;prices'!$AE$2:$AI$52,4,FALSE)/100)/(1+$AZ$41)^J$113+VLOOKUP($A571,'VKT US'!$B$63:$AA$113,(J$168+1),FALSE)*(1-$BD$9)/VLOOKUP($A571,'Fuel economy adjusted factor'!$A$2:$K$52,10,FALSE)*VLOOKUP($A571,'US Grid mix, emissions&amp;prices'!$AE$2:$AI$52,2,FALSE)/(1+$AZ$41)^J$168</f>
        <v>676.36705773355561</v>
      </c>
      <c r="K571" s="106">
        <f>VLOOKUP($A571,'VKT US'!$B$63:$AA$113,(K$113+1),FALSE)*$BD$9/VLOOKUP($A571,'Fuel economy adjusted factor'!$A$2:$K$52,11,FALSE)*($AZ$15*VLOOKUP($A571,'US Grid mix, emissions&amp;prices'!$AE$2:$AI$52,3,FALSE)/100+$BA$15*VLOOKUP($A571,'US Grid mix, emissions&amp;prices'!$AE$2:$AI$52,4,FALSE)/100)/(1+$AZ$41)^K$113+VLOOKUP($A571,'VKT US'!$B$63:$AA$113,(K$168+1),FALSE)*(1-$BD$9)/VLOOKUP($A571,'Fuel economy adjusted factor'!$A$2:$K$52,10,FALSE)*VLOOKUP($A571,'US Grid mix, emissions&amp;prices'!$AE$2:$AI$52,2,FALSE)/(1+$AZ$41)^K$168</f>
        <v>649.82584970525909</v>
      </c>
      <c r="L571" s="106">
        <f>VLOOKUP($A571,'VKT US'!$B$63:$AA$113,(L$113+1),FALSE)*$BD$9/VLOOKUP($A571,'Fuel economy adjusted factor'!$A$2:$K$52,11,FALSE)*($AZ$15*VLOOKUP($A571,'US Grid mix, emissions&amp;prices'!$AE$2:$AI$52,3,FALSE)/100+$BA$15*VLOOKUP($A571,'US Grid mix, emissions&amp;prices'!$AE$2:$AI$52,4,FALSE)/100)/(1+$AZ$41)^L$113+VLOOKUP($A571,'VKT US'!$B$63:$AA$113,(L$168+1),FALSE)*(1-$BD$9)/VLOOKUP($A571,'Fuel economy adjusted factor'!$A$2:$K$52,10,FALSE)*VLOOKUP($A571,'US Grid mix, emissions&amp;prices'!$AE$2:$AI$52,2,FALSE)/(1+$AZ$41)^L$168</f>
        <v>624.604186485166</v>
      </c>
      <c r="M571" s="106">
        <f>VLOOKUP($A571,'VKT US'!$B$63:$AA$113,(M$113+1),FALSE)*$BD$9/VLOOKUP($A571,'Fuel economy adjusted factor'!$A$2:$K$52,11,FALSE)*($AZ$15*VLOOKUP($A571,'US Grid mix, emissions&amp;prices'!$AE$2:$AI$52,3,FALSE)/100+$BA$15*VLOOKUP($A571,'US Grid mix, emissions&amp;prices'!$AE$2:$AI$52,4,FALSE)/100)/(1+$AZ$41)^M$113+VLOOKUP($A571,'VKT US'!$B$63:$AA$113,(M$168+1),FALSE)*(1-$BD$9)/VLOOKUP($A571,'Fuel economy adjusted factor'!$A$2:$K$52,10,FALSE)*VLOOKUP($A571,'US Grid mix, emissions&amp;prices'!$AE$2:$AI$52,2,FALSE)/(1+$AZ$41)^M$168</f>
        <v>600.72488010360496</v>
      </c>
      <c r="N571" s="106">
        <f>VLOOKUP($A571,'VKT US'!$B$63:$AA$113,(N$113+1),FALSE)*$BD$9/VLOOKUP($A571,'Fuel economy adjusted factor'!$A$2:$K$52,11,FALSE)*($AZ$15*VLOOKUP($A571,'US Grid mix, emissions&amp;prices'!$AE$2:$AI$52,3,FALSE)/100+$BA$15*VLOOKUP($A571,'US Grid mix, emissions&amp;prices'!$AE$2:$AI$52,4,FALSE)/100)/(1+$AZ$41)^N$113+VLOOKUP($A571,'VKT US'!$B$63:$AA$113,(N$168+1),FALSE)*(1-$BD$9)/VLOOKUP($A571,'Fuel economy adjusted factor'!$A$2:$K$52,10,FALSE)*VLOOKUP($A571,'US Grid mix, emissions&amp;prices'!$AE$2:$AI$52,2,FALSE)/(1+$AZ$41)^N$168</f>
        <v>578.09075738682122</v>
      </c>
      <c r="O571" s="106">
        <f>VLOOKUP($A571,'VKT US'!$B$63:$AA$113,(O$113+1),FALSE)*$BD$9/VLOOKUP($A571,'Fuel economy adjusted factor'!$A$2:$K$52,11,FALSE)*($AZ$15*VLOOKUP($A571,'US Grid mix, emissions&amp;prices'!$AE$2:$AI$52,3,FALSE)/100+$BA$15*VLOOKUP($A571,'US Grid mix, emissions&amp;prices'!$AE$2:$AI$52,4,FALSE)/100)/(1+$AZ$41)^O$113+VLOOKUP($A571,'VKT US'!$B$63:$AA$113,(O$168+1),FALSE)*(1-$BD$9)/VLOOKUP($A571,'Fuel economy adjusted factor'!$A$2:$K$52,10,FALSE)*VLOOKUP($A571,'US Grid mix, emissions&amp;prices'!$AE$2:$AI$52,2,FALSE)/(1+$AZ$41)^O$168</f>
        <v>556.72483204164826</v>
      </c>
      <c r="P571" s="106">
        <f>VLOOKUP($A571,'VKT US'!$B$63:$AA$113,(P$113+1),FALSE)*$BD$9/VLOOKUP($A571,'Fuel economy adjusted factor'!$A$2:$K$52,11,FALSE)*($AZ$15*VLOOKUP($A571,'US Grid mix, emissions&amp;prices'!$AE$2:$AI$52,3,FALSE)/100+$BA$15*VLOOKUP($A571,'US Grid mix, emissions&amp;prices'!$AE$2:$AI$52,4,FALSE)/100)/(1+$AZ$41)^P$113+VLOOKUP($A571,'VKT US'!$B$63:$AA$113,(P$168+1),FALSE)*(1-$BD$9)/VLOOKUP($A571,'Fuel economy adjusted factor'!$A$2:$K$52,10,FALSE)*VLOOKUP($A571,'US Grid mix, emissions&amp;prices'!$AE$2:$AI$52,2,FALSE)/(1+$AZ$41)^P$168</f>
        <v>536.53294974407754</v>
      </c>
      <c r="Q571" s="106">
        <f>VLOOKUP($A571,'VKT US'!$B$63:$AA$113,(Q$113+1),FALSE)*$BD$9/VLOOKUP($A571,'Fuel economy adjusted factor'!$A$2:$K$52,11,FALSE)*($AZ$15*VLOOKUP($A571,'US Grid mix, emissions&amp;prices'!$AE$2:$AI$52,3,FALSE)/100+$BA$15*VLOOKUP($A571,'US Grid mix, emissions&amp;prices'!$AE$2:$AI$52,4,FALSE)/100)/(1+$AZ$41)^Q$113+VLOOKUP($A571,'VKT US'!$B$63:$AA$113,(Q$168+1),FALSE)*(1-$BD$9)/VLOOKUP($A571,'Fuel economy adjusted factor'!$A$2:$K$52,10,FALSE)*VLOOKUP($A571,'US Grid mix, emissions&amp;prices'!$AE$2:$AI$52,2,FALSE)/(1+$AZ$41)^Q$168</f>
        <v>517.59520198660721</v>
      </c>
      <c r="R571" s="106">
        <f>VLOOKUP($A571,'VKT US'!$B$63:$AA$113,(R$113+1),FALSE)*$BD$9/VLOOKUP($A571,'Fuel economy adjusted factor'!$A$2:$K$52,11,FALSE)*($AZ$15*VLOOKUP($A571,'US Grid mix, emissions&amp;prices'!$AE$2:$AI$52,3,FALSE)/100+$BA$15*VLOOKUP($A571,'US Grid mix, emissions&amp;prices'!$AE$2:$AI$52,4,FALSE)/100)/(1+$AZ$41)^R$113+VLOOKUP($A571,'VKT US'!$B$63:$AA$113,(R$168+1),FALSE)*(1-$BD$9)/VLOOKUP($A571,'Fuel economy adjusted factor'!$A$2:$K$52,10,FALSE)*VLOOKUP($A571,'US Grid mix, emissions&amp;prices'!$AE$2:$AI$52,2,FALSE)/(1+$AZ$41)^R$168</f>
        <v>499.70587775790966</v>
      </c>
      <c r="S571" s="106">
        <f>VLOOKUP($A571,'VKT US'!$B$63:$AA$113,(S$113+1),FALSE)*$BD$9/VLOOKUP($A571,'Fuel economy adjusted factor'!$A$2:$K$52,11,FALSE)*($AZ$15*VLOOKUP($A571,'US Grid mix, emissions&amp;prices'!$AE$2:$AI$52,3,FALSE)/100+$BA$15*VLOOKUP($A571,'US Grid mix, emissions&amp;prices'!$AE$2:$AI$52,4,FALSE)/100)/(1+$AZ$41)^S$113+VLOOKUP($A571,'VKT US'!$B$63:$AA$113,(S$168+1),FALSE)*(1-$BD$9)/VLOOKUP($A571,'Fuel economy adjusted factor'!$A$2:$K$52,10,FALSE)*VLOOKUP($A571,'US Grid mix, emissions&amp;prices'!$AE$2:$AI$52,2,FALSE)/(1+$AZ$41)^S$168</f>
        <v>483.00146140424397</v>
      </c>
      <c r="T571" s="106">
        <f>VLOOKUP($A571,'VKT US'!$B$63:$AA$113,(T$113+1),FALSE)*$BD$9/VLOOKUP($A571,'Fuel economy adjusted factor'!$A$2:$K$52,11,FALSE)*($AZ$15*VLOOKUP($A571,'US Grid mix, emissions&amp;prices'!$AE$2:$AI$52,3,FALSE)/100+$BA$15*VLOOKUP($A571,'US Grid mix, emissions&amp;prices'!$AE$2:$AI$52,4,FALSE)/100)/(1+$AZ$41)^T$113+VLOOKUP($A571,'VKT US'!$B$63:$AA$113,(T$168+1),FALSE)*(1-$BD$9)/VLOOKUP($A571,'Fuel economy adjusted factor'!$A$2:$K$52,10,FALSE)*VLOOKUP($A571,'US Grid mix, emissions&amp;prices'!$AE$2:$AI$52,2,FALSE)/(1+$AZ$41)^T$168</f>
        <v>467.28177526094544</v>
      </c>
      <c r="U571" s="109">
        <f>VLOOKUP($A571,'VKT US'!$B$63:$AA$113,(U$113+1),FALSE)*$BD$9/VLOOKUP($A571,'Fuel economy adjusted factor'!$A$2:$K$52,11,FALSE)*($AZ$15*VLOOKUP($A571,'US Grid mix, emissions&amp;prices'!$AE$2:$AI$52,3,FALSE)/100+$BA$15*VLOOKUP($A571,'US Grid mix, emissions&amp;prices'!$AE$2:$AI$52,4,FALSE)/100)/(1+$AZ$41)^U$113+VLOOKUP($A571,'VKT US'!$B$63:$AA$113,(U$168+1),FALSE)*(1-$BD$9)/VLOOKUP($A571,'Fuel economy adjusted factor'!$A$2:$K$52,10,FALSE)*VLOOKUP($A571,'US Grid mix, emissions&amp;prices'!$AE$2:$AI$52,2,FALSE)/(1+$AZ$41)^U$168</f>
        <v>452.68075919158434</v>
      </c>
      <c r="V571" s="110" cm="1">
        <f t="array" ref="V571">SUMPRODUCT(INDEX(B571:U571,,_xlfn.SEQUENCE($AZ$13)))</f>
        <v>10230.119727822297</v>
      </c>
    </row>
    <row r="572" spans="1:22" x14ac:dyDescent="0.25">
      <c r="A572" s="102" t="s">
        <v>198</v>
      </c>
      <c r="B572" s="106">
        <f>VLOOKUP($A572,'VKT US'!$B$63:$AA$113,(B$113+1),FALSE)*$BD$9/VLOOKUP($A572,'Fuel economy adjusted factor'!$A$2:$K$52,11,FALSE)*($AZ$15*VLOOKUP($A572,'US Grid mix, emissions&amp;prices'!$AE$2:$AI$52,3,FALSE)/100+$BA$15*VLOOKUP($A572,'US Grid mix, emissions&amp;prices'!$AE$2:$AI$52,4,FALSE)/100)/(1+$AZ$41)^B$113+VLOOKUP($A572,'VKT US'!$B$63:$AA$113,(B$168+1),FALSE)*(1-$BD$9)/VLOOKUP($A572,'Fuel economy adjusted factor'!$A$2:$K$52,10,FALSE)*VLOOKUP($A572,'US Grid mix, emissions&amp;prices'!$AE$2:$AI$52,2,FALSE)/(1+$AZ$41)^B$168</f>
        <v>1345.1498415626434</v>
      </c>
      <c r="C572" s="106">
        <f>VLOOKUP($A572,'VKT US'!$B$63:$AA$113,(C$113+1),FALSE)*$BD$9/VLOOKUP($A572,'Fuel economy adjusted factor'!$A$2:$K$52,11,FALSE)*($AZ$15*VLOOKUP($A572,'US Grid mix, emissions&amp;prices'!$AE$2:$AI$52,3,FALSE)/100+$BA$15*VLOOKUP($A572,'US Grid mix, emissions&amp;prices'!$AE$2:$AI$52,4,FALSE)/100)/(1+$AZ$41)^C$113+VLOOKUP($A572,'VKT US'!$B$63:$AA$113,(C$168+1),FALSE)*(1-$BD$9)/VLOOKUP($A572,'Fuel economy adjusted factor'!$A$2:$K$52,10,FALSE)*VLOOKUP($A572,'US Grid mix, emissions&amp;prices'!$AE$2:$AI$52,2,FALSE)/(1+$AZ$41)^C$168</f>
        <v>1289.6650724515407</v>
      </c>
      <c r="D572" s="106">
        <f>VLOOKUP($A572,'VKT US'!$B$63:$AA$113,(D$113+1),FALSE)*$BD$9/VLOOKUP($A572,'Fuel economy adjusted factor'!$A$2:$K$52,11,FALSE)*($AZ$15*VLOOKUP($A572,'US Grid mix, emissions&amp;prices'!$AE$2:$AI$52,3,FALSE)/100+$BA$15*VLOOKUP($A572,'US Grid mix, emissions&amp;prices'!$AE$2:$AI$52,4,FALSE)/100)/(1+$AZ$41)^D$113+VLOOKUP($A572,'VKT US'!$B$63:$AA$113,(D$168+1),FALSE)*(1-$BD$9)/VLOOKUP($A572,'Fuel economy adjusted factor'!$A$2:$K$52,10,FALSE)*VLOOKUP($A572,'US Grid mix, emissions&amp;prices'!$AE$2:$AI$52,2,FALSE)/(1+$AZ$41)^D$168</f>
        <v>1236.5396646374859</v>
      </c>
      <c r="E572" s="106">
        <f>VLOOKUP($A572,'VKT US'!$B$63:$AA$113,(E$113+1),FALSE)*$BD$9/VLOOKUP($A572,'Fuel economy adjusted factor'!$A$2:$K$52,11,FALSE)*($AZ$15*VLOOKUP($A572,'US Grid mix, emissions&amp;prices'!$AE$2:$AI$52,3,FALSE)/100+$BA$15*VLOOKUP($A572,'US Grid mix, emissions&amp;prices'!$AE$2:$AI$52,4,FALSE)/100)/(1+$AZ$41)^E$113+VLOOKUP($A572,'VKT US'!$B$63:$AA$113,(E$168+1),FALSE)*(1-$BD$9)/VLOOKUP($A572,'Fuel economy adjusted factor'!$A$2:$K$52,10,FALSE)*VLOOKUP($A572,'US Grid mix, emissions&amp;prices'!$AE$2:$AI$52,2,FALSE)/(1+$AZ$41)^E$168</f>
        <v>1185.8045449583919</v>
      </c>
      <c r="F572" s="106">
        <f>VLOOKUP($A572,'VKT US'!$B$63:$AA$113,(F$113+1),FALSE)*$BD$9/VLOOKUP($A572,'Fuel economy adjusted factor'!$A$2:$K$52,11,FALSE)*($AZ$15*VLOOKUP($A572,'US Grid mix, emissions&amp;prices'!$AE$2:$AI$52,3,FALSE)/100+$BA$15*VLOOKUP($A572,'US Grid mix, emissions&amp;prices'!$AE$2:$AI$52,4,FALSE)/100)/(1+$AZ$41)^F$113+VLOOKUP($A572,'VKT US'!$B$63:$AA$113,(F$168+1),FALSE)*(1-$BD$9)/VLOOKUP($A572,'Fuel economy adjusted factor'!$A$2:$K$52,10,FALSE)*VLOOKUP($A572,'US Grid mix, emissions&amp;prices'!$AE$2:$AI$52,2,FALSE)/(1+$AZ$41)^F$168</f>
        <v>1137.3023582894089</v>
      </c>
      <c r="G572" s="106">
        <f>VLOOKUP($A572,'VKT US'!$B$63:$AA$113,(G$113+1),FALSE)*$BD$9/VLOOKUP($A572,'Fuel economy adjusted factor'!$A$2:$K$52,11,FALSE)*($AZ$15*VLOOKUP($A572,'US Grid mix, emissions&amp;prices'!$AE$2:$AI$52,3,FALSE)/100+$BA$15*VLOOKUP($A572,'US Grid mix, emissions&amp;prices'!$AE$2:$AI$52,4,FALSE)/100)/(1+$AZ$41)^G$113+VLOOKUP($A572,'VKT US'!$B$63:$AA$113,(G$168+1),FALSE)*(1-$BD$9)/VLOOKUP($A572,'Fuel economy adjusted factor'!$A$2:$K$52,10,FALSE)*VLOOKUP($A572,'US Grid mix, emissions&amp;prices'!$AE$2:$AI$52,2,FALSE)/(1+$AZ$41)^G$168</f>
        <v>1091.1559838851547</v>
      </c>
      <c r="H572" s="106">
        <f>VLOOKUP($A572,'VKT US'!$B$63:$AA$113,(H$113+1),FALSE)*$BD$9/VLOOKUP($A572,'Fuel economy adjusted factor'!$A$2:$K$52,11,FALSE)*($AZ$15*VLOOKUP($A572,'US Grid mix, emissions&amp;prices'!$AE$2:$AI$52,3,FALSE)/100+$BA$15*VLOOKUP($A572,'US Grid mix, emissions&amp;prices'!$AE$2:$AI$52,4,FALSE)/100)/(1+$AZ$41)^H$113+VLOOKUP($A572,'VKT US'!$B$63:$AA$113,(H$168+1),FALSE)*(1-$BD$9)/VLOOKUP($A572,'Fuel economy adjusted factor'!$A$2:$K$52,10,FALSE)*VLOOKUP($A572,'US Grid mix, emissions&amp;prices'!$AE$2:$AI$52,2,FALSE)/(1+$AZ$41)^H$168</f>
        <v>1047.0288959216871</v>
      </c>
      <c r="I572" s="106">
        <f>VLOOKUP($A572,'VKT US'!$B$63:$AA$113,(I$113+1),FALSE)*$BD$9/VLOOKUP($A572,'Fuel economy adjusted factor'!$A$2:$K$52,11,FALSE)*($AZ$15*VLOOKUP($A572,'US Grid mix, emissions&amp;prices'!$AE$2:$AI$52,3,FALSE)/100+$BA$15*VLOOKUP($A572,'US Grid mix, emissions&amp;prices'!$AE$2:$AI$52,4,FALSE)/100)/(1+$AZ$41)^I$113+VLOOKUP($A572,'VKT US'!$B$63:$AA$113,(I$168+1),FALSE)*(1-$BD$9)/VLOOKUP($A572,'Fuel economy adjusted factor'!$A$2:$K$52,10,FALSE)*VLOOKUP($A572,'US Grid mix, emissions&amp;prices'!$AE$2:$AI$52,2,FALSE)/(1+$AZ$41)^I$168</f>
        <v>1005.0454900386268</v>
      </c>
      <c r="J572" s="106">
        <f>VLOOKUP($A572,'VKT US'!$B$63:$AA$113,(J$113+1),FALSE)*$BD$9/VLOOKUP($A572,'Fuel economy adjusted factor'!$A$2:$K$52,11,FALSE)*($AZ$15*VLOOKUP($A572,'US Grid mix, emissions&amp;prices'!$AE$2:$AI$52,3,FALSE)/100+$BA$15*VLOOKUP($A572,'US Grid mix, emissions&amp;prices'!$AE$2:$AI$52,4,FALSE)/100)/(1+$AZ$41)^J$113+VLOOKUP($A572,'VKT US'!$B$63:$AA$113,(J$168+1),FALSE)*(1-$BD$9)/VLOOKUP($A572,'Fuel economy adjusted factor'!$A$2:$K$52,10,FALSE)*VLOOKUP($A572,'US Grid mix, emissions&amp;prices'!$AE$2:$AI$52,2,FALSE)/(1+$AZ$41)^J$168</f>
        <v>965.14630303238266</v>
      </c>
      <c r="K572" s="106">
        <f>VLOOKUP($A572,'VKT US'!$B$63:$AA$113,(K$113+1),FALSE)*$BD$9/VLOOKUP($A572,'Fuel economy adjusted factor'!$A$2:$K$52,11,FALSE)*($AZ$15*VLOOKUP($A572,'US Grid mix, emissions&amp;prices'!$AE$2:$AI$52,3,FALSE)/100+$BA$15*VLOOKUP($A572,'US Grid mix, emissions&amp;prices'!$AE$2:$AI$52,4,FALSE)/100)/(1+$AZ$41)^K$113+VLOOKUP($A572,'VKT US'!$B$63:$AA$113,(K$168+1),FALSE)*(1-$BD$9)/VLOOKUP($A572,'Fuel economy adjusted factor'!$A$2:$K$52,10,FALSE)*VLOOKUP($A572,'US Grid mix, emissions&amp;prices'!$AE$2:$AI$52,2,FALSE)/(1+$AZ$41)^K$168</f>
        <v>927.27315632361001</v>
      </c>
      <c r="L572" s="106">
        <f>VLOOKUP($A572,'VKT US'!$B$63:$AA$113,(L$113+1),FALSE)*$BD$9/VLOOKUP($A572,'Fuel economy adjusted factor'!$A$2:$K$52,11,FALSE)*($AZ$15*VLOOKUP($A572,'US Grid mix, emissions&amp;prices'!$AE$2:$AI$52,3,FALSE)/100+$BA$15*VLOOKUP($A572,'US Grid mix, emissions&amp;prices'!$AE$2:$AI$52,4,FALSE)/100)/(1+$AZ$41)^L$113+VLOOKUP($A572,'VKT US'!$B$63:$AA$113,(L$168+1),FALSE)*(1-$BD$9)/VLOOKUP($A572,'Fuel economy adjusted factor'!$A$2:$K$52,10,FALSE)*VLOOKUP($A572,'US Grid mix, emissions&amp;prices'!$AE$2:$AI$52,2,FALSE)/(1+$AZ$41)^L$168</f>
        <v>891.28294252642922</v>
      </c>
      <c r="M572" s="106">
        <f>VLOOKUP($A572,'VKT US'!$B$63:$AA$113,(M$113+1),FALSE)*$BD$9/VLOOKUP($A572,'Fuel economy adjusted factor'!$A$2:$K$52,11,FALSE)*($AZ$15*VLOOKUP($A572,'US Grid mix, emissions&amp;prices'!$AE$2:$AI$52,3,FALSE)/100+$BA$15*VLOOKUP($A572,'US Grid mix, emissions&amp;prices'!$AE$2:$AI$52,4,FALSE)/100)/(1+$AZ$41)^M$113+VLOOKUP($A572,'VKT US'!$B$63:$AA$113,(M$168+1),FALSE)*(1-$BD$9)/VLOOKUP($A572,'Fuel economy adjusted factor'!$A$2:$K$52,10,FALSE)*VLOOKUP($A572,'US Grid mix, emissions&amp;prices'!$AE$2:$AI$52,2,FALSE)/(1+$AZ$41)^M$168</f>
        <v>857.20821341355725</v>
      </c>
      <c r="N572" s="106">
        <f>VLOOKUP($A572,'VKT US'!$B$63:$AA$113,(N$113+1),FALSE)*$BD$9/VLOOKUP($A572,'Fuel economy adjusted factor'!$A$2:$K$52,11,FALSE)*($AZ$15*VLOOKUP($A572,'US Grid mix, emissions&amp;prices'!$AE$2:$AI$52,3,FALSE)/100+$BA$15*VLOOKUP($A572,'US Grid mix, emissions&amp;prices'!$AE$2:$AI$52,4,FALSE)/100)/(1+$AZ$41)^N$113+VLOOKUP($A572,'VKT US'!$B$63:$AA$113,(N$168+1),FALSE)*(1-$BD$9)/VLOOKUP($A572,'Fuel economy adjusted factor'!$A$2:$K$52,10,FALSE)*VLOOKUP($A572,'US Grid mix, emissions&amp;prices'!$AE$2:$AI$52,2,FALSE)/(1+$AZ$41)^N$168</f>
        <v>824.91030710261657</v>
      </c>
      <c r="O572" s="106">
        <f>VLOOKUP($A572,'VKT US'!$B$63:$AA$113,(O$113+1),FALSE)*$BD$9/VLOOKUP($A572,'Fuel economy adjusted factor'!$A$2:$K$52,11,FALSE)*($AZ$15*VLOOKUP($A572,'US Grid mix, emissions&amp;prices'!$AE$2:$AI$52,3,FALSE)/100+$BA$15*VLOOKUP($A572,'US Grid mix, emissions&amp;prices'!$AE$2:$AI$52,4,FALSE)/100)/(1+$AZ$41)^O$113+VLOOKUP($A572,'VKT US'!$B$63:$AA$113,(O$168+1),FALSE)*(1-$BD$9)/VLOOKUP($A572,'Fuel economy adjusted factor'!$A$2:$K$52,10,FALSE)*VLOOKUP($A572,'US Grid mix, emissions&amp;prices'!$AE$2:$AI$52,2,FALSE)/(1+$AZ$41)^O$168</f>
        <v>794.42206314990324</v>
      </c>
      <c r="P572" s="106">
        <f>VLOOKUP($A572,'VKT US'!$B$63:$AA$113,(P$113+1),FALSE)*$BD$9/VLOOKUP($A572,'Fuel economy adjusted factor'!$A$2:$K$52,11,FALSE)*($AZ$15*VLOOKUP($A572,'US Grid mix, emissions&amp;prices'!$AE$2:$AI$52,3,FALSE)/100+$BA$15*VLOOKUP($A572,'US Grid mix, emissions&amp;prices'!$AE$2:$AI$52,4,FALSE)/100)/(1+$AZ$41)^P$113+VLOOKUP($A572,'VKT US'!$B$63:$AA$113,(P$168+1),FALSE)*(1-$BD$9)/VLOOKUP($A572,'Fuel economy adjusted factor'!$A$2:$K$52,10,FALSE)*VLOOKUP($A572,'US Grid mix, emissions&amp;prices'!$AE$2:$AI$52,2,FALSE)/(1+$AZ$41)^P$168</f>
        <v>765.60912744001189</v>
      </c>
      <c r="Q572" s="106">
        <f>VLOOKUP($A572,'VKT US'!$B$63:$AA$113,(Q$113+1),FALSE)*$BD$9/VLOOKUP($A572,'Fuel economy adjusted factor'!$A$2:$K$52,11,FALSE)*($AZ$15*VLOOKUP($A572,'US Grid mix, emissions&amp;prices'!$AE$2:$AI$52,3,FALSE)/100+$BA$15*VLOOKUP($A572,'US Grid mix, emissions&amp;prices'!$AE$2:$AI$52,4,FALSE)/100)/(1+$AZ$41)^Q$113+VLOOKUP($A572,'VKT US'!$B$63:$AA$113,(Q$168+1),FALSE)*(1-$BD$9)/VLOOKUP($A572,'Fuel economy adjusted factor'!$A$2:$K$52,10,FALSE)*VLOOKUP($A572,'US Grid mix, emissions&amp;prices'!$AE$2:$AI$52,2,FALSE)/(1+$AZ$41)^Q$168</f>
        <v>738.58578704089587</v>
      </c>
      <c r="R572" s="106">
        <f>VLOOKUP($A572,'VKT US'!$B$63:$AA$113,(R$113+1),FALSE)*$BD$9/VLOOKUP($A572,'Fuel economy adjusted factor'!$A$2:$K$52,11,FALSE)*($AZ$15*VLOOKUP($A572,'US Grid mix, emissions&amp;prices'!$AE$2:$AI$52,3,FALSE)/100+$BA$15*VLOOKUP($A572,'US Grid mix, emissions&amp;prices'!$AE$2:$AI$52,4,FALSE)/100)/(1+$AZ$41)^R$113+VLOOKUP($A572,'VKT US'!$B$63:$AA$113,(R$168+1),FALSE)*(1-$BD$9)/VLOOKUP($A572,'Fuel economy adjusted factor'!$A$2:$K$52,10,FALSE)*VLOOKUP($A572,'US Grid mix, emissions&amp;prices'!$AE$2:$AI$52,2,FALSE)/(1+$AZ$41)^R$168</f>
        <v>713.05850130801105</v>
      </c>
      <c r="S572" s="106">
        <f>VLOOKUP($A572,'VKT US'!$B$63:$AA$113,(S$113+1),FALSE)*$BD$9/VLOOKUP($A572,'Fuel economy adjusted factor'!$A$2:$K$52,11,FALSE)*($AZ$15*VLOOKUP($A572,'US Grid mix, emissions&amp;prices'!$AE$2:$AI$52,3,FALSE)/100+$BA$15*VLOOKUP($A572,'US Grid mix, emissions&amp;prices'!$AE$2:$AI$52,4,FALSE)/100)/(1+$AZ$41)^S$113+VLOOKUP($A572,'VKT US'!$B$63:$AA$113,(S$168+1),FALSE)*(1-$BD$9)/VLOOKUP($A572,'Fuel economy adjusted factor'!$A$2:$K$52,10,FALSE)*VLOOKUP($A572,'US Grid mix, emissions&amp;prices'!$AE$2:$AI$52,2,FALSE)/(1+$AZ$41)^S$168</f>
        <v>689.22202745300365</v>
      </c>
      <c r="T572" s="106">
        <f>VLOOKUP($A572,'VKT US'!$B$63:$AA$113,(T$113+1),FALSE)*$BD$9/VLOOKUP($A572,'Fuel economy adjusted factor'!$A$2:$K$52,11,FALSE)*($AZ$15*VLOOKUP($A572,'US Grid mix, emissions&amp;prices'!$AE$2:$AI$52,3,FALSE)/100+$BA$15*VLOOKUP($A572,'US Grid mix, emissions&amp;prices'!$AE$2:$AI$52,4,FALSE)/100)/(1+$AZ$41)^T$113+VLOOKUP($A572,'VKT US'!$B$63:$AA$113,(T$168+1),FALSE)*(1-$BD$9)/VLOOKUP($A572,'Fuel economy adjusted factor'!$A$2:$K$52,10,FALSE)*VLOOKUP($A572,'US Grid mix, emissions&amp;prices'!$AE$2:$AI$52,2,FALSE)/(1+$AZ$41)^T$168</f>
        <v>666.79072067577363</v>
      </c>
      <c r="U572" s="109">
        <f>VLOOKUP($A572,'VKT US'!$B$63:$AA$113,(U$113+1),FALSE)*$BD$9/VLOOKUP($A572,'Fuel economy adjusted factor'!$A$2:$K$52,11,FALSE)*($AZ$15*VLOOKUP($A572,'US Grid mix, emissions&amp;prices'!$AE$2:$AI$52,3,FALSE)/100+$BA$15*VLOOKUP($A572,'US Grid mix, emissions&amp;prices'!$AE$2:$AI$52,4,FALSE)/100)/(1+$AZ$41)^U$113+VLOOKUP($A572,'VKT US'!$B$63:$AA$113,(U$168+1),FALSE)*(1-$BD$9)/VLOOKUP($A572,'Fuel economy adjusted factor'!$A$2:$K$52,10,FALSE)*VLOOKUP($A572,'US Grid mix, emissions&amp;prices'!$AE$2:$AI$52,2,FALSE)/(1+$AZ$41)^U$168</f>
        <v>645.9557073221049</v>
      </c>
      <c r="V572" s="110" cm="1">
        <f t="array" ref="V572">SUMPRODUCT(INDEX(B572:U572,,_xlfn.SEQUENCE($AZ$13)))</f>
        <v>14597.93483729344</v>
      </c>
    </row>
    <row r="573" spans="1:22" x14ac:dyDescent="0.25">
      <c r="A573" s="102" t="s">
        <v>195</v>
      </c>
      <c r="B573" s="106">
        <f>VLOOKUP($A573,'VKT US'!$B$63:$AA$113,(B$113+1),FALSE)*$BD$9/VLOOKUP($A573,'Fuel economy adjusted factor'!$A$2:$K$52,11,FALSE)*($AZ$15*VLOOKUP($A573,'US Grid mix, emissions&amp;prices'!$AE$2:$AI$52,3,FALSE)/100+$BA$15*VLOOKUP($A573,'US Grid mix, emissions&amp;prices'!$AE$2:$AI$52,4,FALSE)/100)/(1+$AZ$41)^B$113+VLOOKUP($A573,'VKT US'!$B$63:$AA$113,(B$168+1),FALSE)*(1-$BD$9)/VLOOKUP($A573,'Fuel economy adjusted factor'!$A$2:$K$52,10,FALSE)*VLOOKUP($A573,'US Grid mix, emissions&amp;prices'!$AE$2:$AI$52,2,FALSE)/(1+$AZ$41)^B$168</f>
        <v>1088.1411645444637</v>
      </c>
      <c r="C573" s="106">
        <f>VLOOKUP($A573,'VKT US'!$B$63:$AA$113,(C$113+1),FALSE)*$BD$9/VLOOKUP($A573,'Fuel economy adjusted factor'!$A$2:$K$52,11,FALSE)*($AZ$15*VLOOKUP($A573,'US Grid mix, emissions&amp;prices'!$AE$2:$AI$52,3,FALSE)/100+$BA$15*VLOOKUP($A573,'US Grid mix, emissions&amp;prices'!$AE$2:$AI$52,4,FALSE)/100)/(1+$AZ$41)^C$113+VLOOKUP($A573,'VKT US'!$B$63:$AA$113,(C$168+1),FALSE)*(1-$BD$9)/VLOOKUP($A573,'Fuel economy adjusted factor'!$A$2:$K$52,10,FALSE)*VLOOKUP($A573,'US Grid mix, emissions&amp;prices'!$AE$2:$AI$52,2,FALSE)/(1+$AZ$41)^C$168</f>
        <v>1043.2574947780543</v>
      </c>
      <c r="D573" s="106">
        <f>VLOOKUP($A573,'VKT US'!$B$63:$AA$113,(D$113+1),FALSE)*$BD$9/VLOOKUP($A573,'Fuel economy adjusted factor'!$A$2:$K$52,11,FALSE)*($AZ$15*VLOOKUP($A573,'US Grid mix, emissions&amp;prices'!$AE$2:$AI$52,3,FALSE)/100+$BA$15*VLOOKUP($A573,'US Grid mix, emissions&amp;prices'!$AE$2:$AI$52,4,FALSE)/100)/(1+$AZ$41)^D$113+VLOOKUP($A573,'VKT US'!$B$63:$AA$113,(D$168+1),FALSE)*(1-$BD$9)/VLOOKUP($A573,'Fuel economy adjusted factor'!$A$2:$K$52,10,FALSE)*VLOOKUP($A573,'US Grid mix, emissions&amp;prices'!$AE$2:$AI$52,2,FALSE)/(1+$AZ$41)^D$168</f>
        <v>1000.2823991124808</v>
      </c>
      <c r="E573" s="106">
        <f>VLOOKUP($A573,'VKT US'!$B$63:$AA$113,(E$113+1),FALSE)*$BD$9/VLOOKUP($A573,'Fuel economy adjusted factor'!$A$2:$K$52,11,FALSE)*($AZ$15*VLOOKUP($A573,'US Grid mix, emissions&amp;prices'!$AE$2:$AI$52,3,FALSE)/100+$BA$15*VLOOKUP($A573,'US Grid mix, emissions&amp;prices'!$AE$2:$AI$52,4,FALSE)/100)/(1+$AZ$41)^E$113+VLOOKUP($A573,'VKT US'!$B$63:$AA$113,(E$168+1),FALSE)*(1-$BD$9)/VLOOKUP($A573,'Fuel economy adjusted factor'!$A$2:$K$52,10,FALSE)*VLOOKUP($A573,'US Grid mix, emissions&amp;prices'!$AE$2:$AI$52,2,FALSE)/(1+$AZ$41)^E$168</f>
        <v>959.2408954040327</v>
      </c>
      <c r="F573" s="106">
        <f>VLOOKUP($A573,'VKT US'!$B$63:$AA$113,(F$113+1),FALSE)*$BD$9/VLOOKUP($A573,'Fuel economy adjusted factor'!$A$2:$K$52,11,FALSE)*($AZ$15*VLOOKUP($A573,'US Grid mix, emissions&amp;prices'!$AE$2:$AI$52,3,FALSE)/100+$BA$15*VLOOKUP($A573,'US Grid mix, emissions&amp;prices'!$AE$2:$AI$52,4,FALSE)/100)/(1+$AZ$41)^F$113+VLOOKUP($A573,'VKT US'!$B$63:$AA$113,(F$168+1),FALSE)*(1-$BD$9)/VLOOKUP($A573,'Fuel economy adjusted factor'!$A$2:$K$52,10,FALSE)*VLOOKUP($A573,'US Grid mix, emissions&amp;prices'!$AE$2:$AI$52,2,FALSE)/(1+$AZ$41)^F$168</f>
        <v>920.00569330667395</v>
      </c>
      <c r="G573" s="106">
        <f>VLOOKUP($A573,'VKT US'!$B$63:$AA$113,(G$113+1),FALSE)*$BD$9/VLOOKUP($A573,'Fuel economy adjusted factor'!$A$2:$K$52,11,FALSE)*($AZ$15*VLOOKUP($A573,'US Grid mix, emissions&amp;prices'!$AE$2:$AI$52,3,FALSE)/100+$BA$15*VLOOKUP($A573,'US Grid mix, emissions&amp;prices'!$AE$2:$AI$52,4,FALSE)/100)/(1+$AZ$41)^G$113+VLOOKUP($A573,'VKT US'!$B$63:$AA$113,(G$168+1),FALSE)*(1-$BD$9)/VLOOKUP($A573,'Fuel economy adjusted factor'!$A$2:$K$52,10,FALSE)*VLOOKUP($A573,'US Grid mix, emissions&amp;prices'!$AE$2:$AI$52,2,FALSE)/(1+$AZ$41)^G$168</f>
        <v>882.67619436742029</v>
      </c>
      <c r="H573" s="106">
        <f>VLOOKUP($A573,'VKT US'!$B$63:$AA$113,(H$113+1),FALSE)*$BD$9/VLOOKUP($A573,'Fuel economy adjusted factor'!$A$2:$K$52,11,FALSE)*($AZ$15*VLOOKUP($A573,'US Grid mix, emissions&amp;prices'!$AE$2:$AI$52,3,FALSE)/100+$BA$15*VLOOKUP($A573,'US Grid mix, emissions&amp;prices'!$AE$2:$AI$52,4,FALSE)/100)/(1+$AZ$41)^H$113+VLOOKUP($A573,'VKT US'!$B$63:$AA$113,(H$168+1),FALSE)*(1-$BD$9)/VLOOKUP($A573,'Fuel economy adjusted factor'!$A$2:$K$52,10,FALSE)*VLOOKUP($A573,'US Grid mix, emissions&amp;prices'!$AE$2:$AI$52,2,FALSE)/(1+$AZ$41)^H$168</f>
        <v>846.98017047409462</v>
      </c>
      <c r="I573" s="106">
        <f>VLOOKUP($A573,'VKT US'!$B$63:$AA$113,(I$113+1),FALSE)*$BD$9/VLOOKUP($A573,'Fuel economy adjusted factor'!$A$2:$K$52,11,FALSE)*($AZ$15*VLOOKUP($A573,'US Grid mix, emissions&amp;prices'!$AE$2:$AI$52,3,FALSE)/100+$BA$15*VLOOKUP($A573,'US Grid mix, emissions&amp;prices'!$AE$2:$AI$52,4,FALSE)/100)/(1+$AZ$41)^I$113+VLOOKUP($A573,'VKT US'!$B$63:$AA$113,(I$168+1),FALSE)*(1-$BD$9)/VLOOKUP($A573,'Fuel economy adjusted factor'!$A$2:$K$52,10,FALSE)*VLOOKUP($A573,'US Grid mix, emissions&amp;prices'!$AE$2:$AI$52,2,FALSE)/(1+$AZ$41)^I$168</f>
        <v>813.01824983329379</v>
      </c>
      <c r="J573" s="106">
        <f>VLOOKUP($A573,'VKT US'!$B$63:$AA$113,(J$113+1),FALSE)*$BD$9/VLOOKUP($A573,'Fuel economy adjusted factor'!$A$2:$K$52,11,FALSE)*($AZ$15*VLOOKUP($A573,'US Grid mix, emissions&amp;prices'!$AE$2:$AI$52,3,FALSE)/100+$BA$15*VLOOKUP($A573,'US Grid mix, emissions&amp;prices'!$AE$2:$AI$52,4,FALSE)/100)/(1+$AZ$41)^J$113+VLOOKUP($A573,'VKT US'!$B$63:$AA$113,(J$168+1),FALSE)*(1-$BD$9)/VLOOKUP($A573,'Fuel economy adjusted factor'!$A$2:$K$52,10,FALSE)*VLOOKUP($A573,'US Grid mix, emissions&amp;prices'!$AE$2:$AI$52,2,FALSE)/(1+$AZ$41)^J$168</f>
        <v>780.74233047332405</v>
      </c>
      <c r="K573" s="106">
        <f>VLOOKUP($A573,'VKT US'!$B$63:$AA$113,(K$113+1),FALSE)*$BD$9/VLOOKUP($A573,'Fuel economy adjusted factor'!$A$2:$K$52,11,FALSE)*($AZ$15*VLOOKUP($A573,'US Grid mix, emissions&amp;prices'!$AE$2:$AI$52,3,FALSE)/100+$BA$15*VLOOKUP($A573,'US Grid mix, emissions&amp;prices'!$AE$2:$AI$52,4,FALSE)/100)/(1+$AZ$41)^K$113+VLOOKUP($A573,'VKT US'!$B$63:$AA$113,(K$168+1),FALSE)*(1-$BD$9)/VLOOKUP($A573,'Fuel economy adjusted factor'!$A$2:$K$52,10,FALSE)*VLOOKUP($A573,'US Grid mix, emissions&amp;prices'!$AE$2:$AI$52,2,FALSE)/(1+$AZ$41)^K$168</f>
        <v>750.10534960227665</v>
      </c>
      <c r="L573" s="106">
        <f>VLOOKUP($A573,'VKT US'!$B$63:$AA$113,(L$113+1),FALSE)*$BD$9/VLOOKUP($A573,'Fuel economy adjusted factor'!$A$2:$K$52,11,FALSE)*($AZ$15*VLOOKUP($A573,'US Grid mix, emissions&amp;prices'!$AE$2:$AI$52,3,FALSE)/100+$BA$15*VLOOKUP($A573,'US Grid mix, emissions&amp;prices'!$AE$2:$AI$52,4,FALSE)/100)/(1+$AZ$41)^L$113+VLOOKUP($A573,'VKT US'!$B$63:$AA$113,(L$168+1),FALSE)*(1-$BD$9)/VLOOKUP($A573,'Fuel economy adjusted factor'!$A$2:$K$52,10,FALSE)*VLOOKUP($A573,'US Grid mix, emissions&amp;prices'!$AE$2:$AI$52,2,FALSE)/(1+$AZ$41)^L$168</f>
        <v>720.99154239402242</v>
      </c>
      <c r="M573" s="106">
        <f>VLOOKUP($A573,'VKT US'!$B$63:$AA$113,(M$113+1),FALSE)*$BD$9/VLOOKUP($A573,'Fuel economy adjusted factor'!$A$2:$K$52,11,FALSE)*($AZ$15*VLOOKUP($A573,'US Grid mix, emissions&amp;prices'!$AE$2:$AI$52,3,FALSE)/100+$BA$15*VLOOKUP($A573,'US Grid mix, emissions&amp;prices'!$AE$2:$AI$52,4,FALSE)/100)/(1+$AZ$41)^M$113+VLOOKUP($A573,'VKT US'!$B$63:$AA$113,(M$168+1),FALSE)*(1-$BD$9)/VLOOKUP($A573,'Fuel economy adjusted factor'!$A$2:$K$52,10,FALSE)*VLOOKUP($A573,'US Grid mix, emissions&amp;prices'!$AE$2:$AI$52,2,FALSE)/(1+$AZ$41)^M$168</f>
        <v>693.42724117435728</v>
      </c>
      <c r="N573" s="106">
        <f>VLOOKUP($A573,'VKT US'!$B$63:$AA$113,(N$113+1),FALSE)*$BD$9/VLOOKUP($A573,'Fuel economy adjusted factor'!$A$2:$K$52,11,FALSE)*($AZ$15*VLOOKUP($A573,'US Grid mix, emissions&amp;prices'!$AE$2:$AI$52,3,FALSE)/100+$BA$15*VLOOKUP($A573,'US Grid mix, emissions&amp;prices'!$AE$2:$AI$52,4,FALSE)/100)/(1+$AZ$41)^N$113+VLOOKUP($A573,'VKT US'!$B$63:$AA$113,(N$168+1),FALSE)*(1-$BD$9)/VLOOKUP($A573,'Fuel economy adjusted factor'!$A$2:$K$52,10,FALSE)*VLOOKUP($A573,'US Grid mix, emissions&amp;prices'!$AE$2:$AI$52,2,FALSE)/(1+$AZ$41)^N$168</f>
        <v>667.30027724838442</v>
      </c>
      <c r="O573" s="106">
        <f>VLOOKUP($A573,'VKT US'!$B$63:$AA$113,(O$113+1),FALSE)*$BD$9/VLOOKUP($A573,'Fuel economy adjusted factor'!$A$2:$K$52,11,FALSE)*($AZ$15*VLOOKUP($A573,'US Grid mix, emissions&amp;prices'!$AE$2:$AI$52,3,FALSE)/100+$BA$15*VLOOKUP($A573,'US Grid mix, emissions&amp;prices'!$AE$2:$AI$52,4,FALSE)/100)/(1+$AZ$41)^O$113+VLOOKUP($A573,'VKT US'!$B$63:$AA$113,(O$168+1),FALSE)*(1-$BD$9)/VLOOKUP($A573,'Fuel economy adjusted factor'!$A$2:$K$52,10,FALSE)*VLOOKUP($A573,'US Grid mix, emissions&amp;prices'!$AE$2:$AI$52,2,FALSE)/(1+$AZ$41)^O$168</f>
        <v>642.63721574061844</v>
      </c>
      <c r="P573" s="106">
        <f>VLOOKUP($A573,'VKT US'!$B$63:$AA$113,(P$113+1),FALSE)*$BD$9/VLOOKUP($A573,'Fuel economy adjusted factor'!$A$2:$K$52,11,FALSE)*($AZ$15*VLOOKUP($A573,'US Grid mix, emissions&amp;prices'!$AE$2:$AI$52,3,FALSE)/100+$BA$15*VLOOKUP($A573,'US Grid mix, emissions&amp;prices'!$AE$2:$AI$52,4,FALSE)/100)/(1+$AZ$41)^P$113+VLOOKUP($A573,'VKT US'!$B$63:$AA$113,(P$168+1),FALSE)*(1-$BD$9)/VLOOKUP($A573,'Fuel economy adjusted factor'!$A$2:$K$52,10,FALSE)*VLOOKUP($A573,'US Grid mix, emissions&amp;prices'!$AE$2:$AI$52,2,FALSE)/(1+$AZ$41)^P$168</f>
        <v>619.32937266725185</v>
      </c>
      <c r="Q573" s="106">
        <f>VLOOKUP($A573,'VKT US'!$B$63:$AA$113,(Q$113+1),FALSE)*$BD$9/VLOOKUP($A573,'Fuel economy adjusted factor'!$A$2:$K$52,11,FALSE)*($AZ$15*VLOOKUP($A573,'US Grid mix, emissions&amp;prices'!$AE$2:$AI$52,3,FALSE)/100+$BA$15*VLOOKUP($A573,'US Grid mix, emissions&amp;prices'!$AE$2:$AI$52,4,FALSE)/100)/(1+$AZ$41)^Q$113+VLOOKUP($A573,'VKT US'!$B$63:$AA$113,(Q$168+1),FALSE)*(1-$BD$9)/VLOOKUP($A573,'Fuel economy adjusted factor'!$A$2:$K$52,10,FALSE)*VLOOKUP($A573,'US Grid mix, emissions&amp;prices'!$AE$2:$AI$52,2,FALSE)/(1+$AZ$41)^Q$168</f>
        <v>597.4691990395944</v>
      </c>
      <c r="R573" s="106">
        <f>VLOOKUP($A573,'VKT US'!$B$63:$AA$113,(R$113+1),FALSE)*$BD$9/VLOOKUP($A573,'Fuel economy adjusted factor'!$A$2:$K$52,11,FALSE)*($AZ$15*VLOOKUP($A573,'US Grid mix, emissions&amp;prices'!$AE$2:$AI$52,3,FALSE)/100+$BA$15*VLOOKUP($A573,'US Grid mix, emissions&amp;prices'!$AE$2:$AI$52,4,FALSE)/100)/(1+$AZ$41)^R$113+VLOOKUP($A573,'VKT US'!$B$63:$AA$113,(R$168+1),FALSE)*(1-$BD$9)/VLOOKUP($A573,'Fuel economy adjusted factor'!$A$2:$K$52,10,FALSE)*VLOOKUP($A573,'US Grid mix, emissions&amp;prices'!$AE$2:$AI$52,2,FALSE)/(1+$AZ$41)^R$168</f>
        <v>576.81923903753841</v>
      </c>
      <c r="S573" s="106">
        <f>VLOOKUP($A573,'VKT US'!$B$63:$AA$113,(S$113+1),FALSE)*$BD$9/VLOOKUP($A573,'Fuel economy adjusted factor'!$A$2:$K$52,11,FALSE)*($AZ$15*VLOOKUP($A573,'US Grid mix, emissions&amp;prices'!$AE$2:$AI$52,3,FALSE)/100+$BA$15*VLOOKUP($A573,'US Grid mix, emissions&amp;prices'!$AE$2:$AI$52,4,FALSE)/100)/(1+$AZ$41)^S$113+VLOOKUP($A573,'VKT US'!$B$63:$AA$113,(S$168+1),FALSE)*(1-$BD$9)/VLOOKUP($A573,'Fuel economy adjusted factor'!$A$2:$K$52,10,FALSE)*VLOOKUP($A573,'US Grid mix, emissions&amp;prices'!$AE$2:$AI$52,2,FALSE)/(1+$AZ$41)^S$168</f>
        <v>557.53703893030706</v>
      </c>
      <c r="T573" s="106">
        <f>VLOOKUP($A573,'VKT US'!$B$63:$AA$113,(T$113+1),FALSE)*$BD$9/VLOOKUP($A573,'Fuel economy adjusted factor'!$A$2:$K$52,11,FALSE)*($AZ$15*VLOOKUP($A573,'US Grid mix, emissions&amp;prices'!$AE$2:$AI$52,3,FALSE)/100+$BA$15*VLOOKUP($A573,'US Grid mix, emissions&amp;prices'!$AE$2:$AI$52,4,FALSE)/100)/(1+$AZ$41)^T$113+VLOOKUP($A573,'VKT US'!$B$63:$AA$113,(T$168+1),FALSE)*(1-$BD$9)/VLOOKUP($A573,'Fuel economy adjusted factor'!$A$2:$K$52,10,FALSE)*VLOOKUP($A573,'US Grid mix, emissions&amp;prices'!$AE$2:$AI$52,2,FALSE)/(1+$AZ$41)^T$168</f>
        <v>539.39153013667374</v>
      </c>
      <c r="U573" s="109">
        <f>VLOOKUP($A573,'VKT US'!$B$63:$AA$113,(U$113+1),FALSE)*$BD$9/VLOOKUP($A573,'Fuel economy adjusted factor'!$A$2:$K$52,11,FALSE)*($AZ$15*VLOOKUP($A573,'US Grid mix, emissions&amp;prices'!$AE$2:$AI$52,3,FALSE)/100+$BA$15*VLOOKUP($A573,'US Grid mix, emissions&amp;prices'!$AE$2:$AI$52,4,FALSE)/100)/(1+$AZ$41)^U$113+VLOOKUP($A573,'VKT US'!$B$63:$AA$113,(U$168+1),FALSE)*(1-$BD$9)/VLOOKUP($A573,'Fuel economy adjusted factor'!$A$2:$K$52,10,FALSE)*VLOOKUP($A573,'US Grid mix, emissions&amp;prices'!$AE$2:$AI$52,2,FALSE)/(1+$AZ$41)^U$168</f>
        <v>522.53732178496819</v>
      </c>
      <c r="V573" s="110" cm="1">
        <f t="array" ref="V573">SUMPRODUCT(INDEX(B573:U573,,_xlfn.SEQUENCE($AZ$13)))</f>
        <v>11808.806218453496</v>
      </c>
    </row>
    <row r="574" spans="1:22" x14ac:dyDescent="0.25">
      <c r="A574" s="102" t="s">
        <v>199</v>
      </c>
      <c r="B574" s="106">
        <f>VLOOKUP($A574,'VKT US'!$B$63:$AA$113,(B$113+1),FALSE)*$BD$9/VLOOKUP($A574,'Fuel economy adjusted factor'!$A$2:$K$52,11,FALSE)*($AZ$15*VLOOKUP($A574,'US Grid mix, emissions&amp;prices'!$AE$2:$AI$52,3,FALSE)/100+$BA$15*VLOOKUP($A574,'US Grid mix, emissions&amp;prices'!$AE$2:$AI$52,4,FALSE)/100)/(1+$AZ$41)^B$113+VLOOKUP($A574,'VKT US'!$B$63:$AA$113,(B$168+1),FALSE)*(1-$BD$9)/VLOOKUP($A574,'Fuel economy adjusted factor'!$A$2:$K$52,10,FALSE)*VLOOKUP($A574,'US Grid mix, emissions&amp;prices'!$AE$2:$AI$52,2,FALSE)/(1+$AZ$41)^B$168</f>
        <v>1068.5768958740814</v>
      </c>
      <c r="C574" s="106">
        <f>VLOOKUP($A574,'VKT US'!$B$63:$AA$113,(C$113+1),FALSE)*$BD$9/VLOOKUP($A574,'Fuel economy adjusted factor'!$A$2:$K$52,11,FALSE)*($AZ$15*VLOOKUP($A574,'US Grid mix, emissions&amp;prices'!$AE$2:$AI$52,3,FALSE)/100+$BA$15*VLOOKUP($A574,'US Grid mix, emissions&amp;prices'!$AE$2:$AI$52,4,FALSE)/100)/(1+$AZ$41)^C$113+VLOOKUP($A574,'VKT US'!$B$63:$AA$113,(C$168+1),FALSE)*(1-$BD$9)/VLOOKUP($A574,'Fuel economy adjusted factor'!$A$2:$K$52,10,FALSE)*VLOOKUP($A574,'US Grid mix, emissions&amp;prices'!$AE$2:$AI$52,2,FALSE)/(1+$AZ$41)^C$168</f>
        <v>1024.5002134755196</v>
      </c>
      <c r="D574" s="106">
        <f>VLOOKUP($A574,'VKT US'!$B$63:$AA$113,(D$113+1),FALSE)*$BD$9/VLOOKUP($A574,'Fuel economy adjusted factor'!$A$2:$K$52,11,FALSE)*($AZ$15*VLOOKUP($A574,'US Grid mix, emissions&amp;prices'!$AE$2:$AI$52,3,FALSE)/100+$BA$15*VLOOKUP($A574,'US Grid mix, emissions&amp;prices'!$AE$2:$AI$52,4,FALSE)/100)/(1+$AZ$41)^D$113+VLOOKUP($A574,'VKT US'!$B$63:$AA$113,(D$168+1),FALSE)*(1-$BD$9)/VLOOKUP($A574,'Fuel economy adjusted factor'!$A$2:$K$52,10,FALSE)*VLOOKUP($A574,'US Grid mix, emissions&amp;prices'!$AE$2:$AI$52,2,FALSE)/(1+$AZ$41)^D$168</f>
        <v>982.29778990905629</v>
      </c>
      <c r="E574" s="106">
        <f>VLOOKUP($A574,'VKT US'!$B$63:$AA$113,(E$113+1),FALSE)*$BD$9/VLOOKUP($A574,'Fuel economy adjusted factor'!$A$2:$K$52,11,FALSE)*($AZ$15*VLOOKUP($A574,'US Grid mix, emissions&amp;prices'!$AE$2:$AI$52,3,FALSE)/100+$BA$15*VLOOKUP($A574,'US Grid mix, emissions&amp;prices'!$AE$2:$AI$52,4,FALSE)/100)/(1+$AZ$41)^E$113+VLOOKUP($A574,'VKT US'!$B$63:$AA$113,(E$168+1),FALSE)*(1-$BD$9)/VLOOKUP($A574,'Fuel economy adjusted factor'!$A$2:$K$52,10,FALSE)*VLOOKUP($A574,'US Grid mix, emissions&amp;prices'!$AE$2:$AI$52,2,FALSE)/(1+$AZ$41)^E$168</f>
        <v>941.99419322163749</v>
      </c>
      <c r="F574" s="106">
        <f>VLOOKUP($A574,'VKT US'!$B$63:$AA$113,(F$113+1),FALSE)*$BD$9/VLOOKUP($A574,'Fuel economy adjusted factor'!$A$2:$K$52,11,FALSE)*($AZ$15*VLOOKUP($A574,'US Grid mix, emissions&amp;prices'!$AE$2:$AI$52,3,FALSE)/100+$BA$15*VLOOKUP($A574,'US Grid mix, emissions&amp;prices'!$AE$2:$AI$52,4,FALSE)/100)/(1+$AZ$41)^F$113+VLOOKUP($A574,'VKT US'!$B$63:$AA$113,(F$168+1),FALSE)*(1-$BD$9)/VLOOKUP($A574,'Fuel economy adjusted factor'!$A$2:$K$52,10,FALSE)*VLOOKUP($A574,'US Grid mix, emissions&amp;prices'!$AE$2:$AI$52,2,FALSE)/(1+$AZ$41)^F$168</f>
        <v>903.4644216880522</v>
      </c>
      <c r="G574" s="106">
        <f>VLOOKUP($A574,'VKT US'!$B$63:$AA$113,(G$113+1),FALSE)*$BD$9/VLOOKUP($A574,'Fuel economy adjusted factor'!$A$2:$K$52,11,FALSE)*($AZ$15*VLOOKUP($A574,'US Grid mix, emissions&amp;prices'!$AE$2:$AI$52,3,FALSE)/100+$BA$15*VLOOKUP($A574,'US Grid mix, emissions&amp;prices'!$AE$2:$AI$52,4,FALSE)/100)/(1+$AZ$41)^G$113+VLOOKUP($A574,'VKT US'!$B$63:$AA$113,(G$168+1),FALSE)*(1-$BD$9)/VLOOKUP($A574,'Fuel economy adjusted factor'!$A$2:$K$52,10,FALSE)*VLOOKUP($A574,'US Grid mix, emissions&amp;prices'!$AE$2:$AI$52,2,FALSE)/(1+$AZ$41)^G$168</f>
        <v>866.80608966203999</v>
      </c>
      <c r="H574" s="106">
        <f>VLOOKUP($A574,'VKT US'!$B$63:$AA$113,(H$113+1),FALSE)*$BD$9/VLOOKUP($A574,'Fuel economy adjusted factor'!$A$2:$K$52,11,FALSE)*($AZ$15*VLOOKUP($A574,'US Grid mix, emissions&amp;prices'!$AE$2:$AI$52,3,FALSE)/100+$BA$15*VLOOKUP($A574,'US Grid mix, emissions&amp;prices'!$AE$2:$AI$52,4,FALSE)/100)/(1+$AZ$41)^H$113+VLOOKUP($A574,'VKT US'!$B$63:$AA$113,(H$168+1),FALSE)*(1-$BD$9)/VLOOKUP($A574,'Fuel economy adjusted factor'!$A$2:$K$52,10,FALSE)*VLOOKUP($A574,'US Grid mix, emissions&amp;prices'!$AE$2:$AI$52,2,FALSE)/(1+$AZ$41)^H$168</f>
        <v>831.75186356542372</v>
      </c>
      <c r="I574" s="106">
        <f>VLOOKUP($A574,'VKT US'!$B$63:$AA$113,(I$113+1),FALSE)*$BD$9/VLOOKUP($A574,'Fuel economy adjusted factor'!$A$2:$K$52,11,FALSE)*($AZ$15*VLOOKUP($A574,'US Grid mix, emissions&amp;prices'!$AE$2:$AI$52,3,FALSE)/100+$BA$15*VLOOKUP($A574,'US Grid mix, emissions&amp;prices'!$AE$2:$AI$52,4,FALSE)/100)/(1+$AZ$41)^I$113+VLOOKUP($A574,'VKT US'!$B$63:$AA$113,(I$168+1),FALSE)*(1-$BD$9)/VLOOKUP($A574,'Fuel economy adjusted factor'!$A$2:$K$52,10,FALSE)*VLOOKUP($A574,'US Grid mix, emissions&amp;prices'!$AE$2:$AI$52,2,FALSE)/(1+$AZ$41)^I$168</f>
        <v>798.40056235675956</v>
      </c>
      <c r="J574" s="106">
        <f>VLOOKUP($A574,'VKT US'!$B$63:$AA$113,(J$113+1),FALSE)*$BD$9/VLOOKUP($A574,'Fuel economy adjusted factor'!$A$2:$K$52,11,FALSE)*($AZ$15*VLOOKUP($A574,'US Grid mix, emissions&amp;prices'!$AE$2:$AI$52,3,FALSE)/100+$BA$15*VLOOKUP($A574,'US Grid mix, emissions&amp;prices'!$AE$2:$AI$52,4,FALSE)/100)/(1+$AZ$41)^J$113+VLOOKUP($A574,'VKT US'!$B$63:$AA$113,(J$168+1),FALSE)*(1-$BD$9)/VLOOKUP($A574,'Fuel economy adjusted factor'!$A$2:$K$52,10,FALSE)*VLOOKUP($A574,'US Grid mix, emissions&amp;prices'!$AE$2:$AI$52,2,FALSE)/(1+$AZ$41)^J$168</f>
        <v>766.70494891528392</v>
      </c>
      <c r="K574" s="106">
        <f>VLOOKUP($A574,'VKT US'!$B$63:$AA$113,(K$113+1),FALSE)*$BD$9/VLOOKUP($A574,'Fuel economy adjusted factor'!$A$2:$K$52,11,FALSE)*($AZ$15*VLOOKUP($A574,'US Grid mix, emissions&amp;prices'!$AE$2:$AI$52,3,FALSE)/100+$BA$15*VLOOKUP($A574,'US Grid mix, emissions&amp;prices'!$AE$2:$AI$52,4,FALSE)/100)/(1+$AZ$41)^K$113+VLOOKUP($A574,'VKT US'!$B$63:$AA$113,(K$168+1),FALSE)*(1-$BD$9)/VLOOKUP($A574,'Fuel economy adjusted factor'!$A$2:$K$52,10,FALSE)*VLOOKUP($A574,'US Grid mix, emissions&amp;prices'!$AE$2:$AI$52,2,FALSE)/(1+$AZ$41)^K$168</f>
        <v>736.6188066160513</v>
      </c>
      <c r="L574" s="106">
        <f>VLOOKUP($A574,'VKT US'!$B$63:$AA$113,(L$113+1),FALSE)*$BD$9/VLOOKUP($A574,'Fuel economy adjusted factor'!$A$2:$K$52,11,FALSE)*($AZ$15*VLOOKUP($A574,'US Grid mix, emissions&amp;prices'!$AE$2:$AI$52,3,FALSE)/100+$BA$15*VLOOKUP($A574,'US Grid mix, emissions&amp;prices'!$AE$2:$AI$52,4,FALSE)/100)/(1+$AZ$41)^L$113+VLOOKUP($A574,'VKT US'!$B$63:$AA$113,(L$168+1),FALSE)*(1-$BD$9)/VLOOKUP($A574,'Fuel economy adjusted factor'!$A$2:$K$52,10,FALSE)*VLOOKUP($A574,'US Grid mix, emissions&amp;prices'!$AE$2:$AI$52,2,FALSE)/(1+$AZ$41)^L$168</f>
        <v>708.02845203030529</v>
      </c>
      <c r="M574" s="106">
        <f>VLOOKUP($A574,'VKT US'!$B$63:$AA$113,(M$113+1),FALSE)*$BD$9/VLOOKUP($A574,'Fuel economy adjusted factor'!$A$2:$K$52,11,FALSE)*($AZ$15*VLOOKUP($A574,'US Grid mix, emissions&amp;prices'!$AE$2:$AI$52,3,FALSE)/100+$BA$15*VLOOKUP($A574,'US Grid mix, emissions&amp;prices'!$AE$2:$AI$52,4,FALSE)/100)/(1+$AZ$41)^M$113+VLOOKUP($A574,'VKT US'!$B$63:$AA$113,(M$168+1),FALSE)*(1-$BD$9)/VLOOKUP($A574,'Fuel economy adjusted factor'!$A$2:$K$52,10,FALSE)*VLOOKUP($A574,'US Grid mix, emissions&amp;prices'!$AE$2:$AI$52,2,FALSE)/(1+$AZ$41)^M$168</f>
        <v>680.95974404095273</v>
      </c>
      <c r="N574" s="106">
        <f>VLOOKUP($A574,'VKT US'!$B$63:$AA$113,(N$113+1),FALSE)*$BD$9/VLOOKUP($A574,'Fuel economy adjusted factor'!$A$2:$K$52,11,FALSE)*($AZ$15*VLOOKUP($A574,'US Grid mix, emissions&amp;prices'!$AE$2:$AI$52,3,FALSE)/100+$BA$15*VLOOKUP($A574,'US Grid mix, emissions&amp;prices'!$AE$2:$AI$52,4,FALSE)/100)/(1+$AZ$41)^N$113+VLOOKUP($A574,'VKT US'!$B$63:$AA$113,(N$168+1),FALSE)*(1-$BD$9)/VLOOKUP($A574,'Fuel economy adjusted factor'!$A$2:$K$52,10,FALSE)*VLOOKUP($A574,'US Grid mix, emissions&amp;prices'!$AE$2:$AI$52,2,FALSE)/(1+$AZ$41)^N$168</f>
        <v>655.30253069371429</v>
      </c>
      <c r="O574" s="106">
        <f>VLOOKUP($A574,'VKT US'!$B$63:$AA$113,(O$113+1),FALSE)*$BD$9/VLOOKUP($A574,'Fuel economy adjusted factor'!$A$2:$K$52,11,FALSE)*($AZ$15*VLOOKUP($A574,'US Grid mix, emissions&amp;prices'!$AE$2:$AI$52,3,FALSE)/100+$BA$15*VLOOKUP($A574,'US Grid mix, emissions&amp;prices'!$AE$2:$AI$52,4,FALSE)/100)/(1+$AZ$41)^O$113+VLOOKUP($A574,'VKT US'!$B$63:$AA$113,(O$168+1),FALSE)*(1-$BD$9)/VLOOKUP($A574,'Fuel economy adjusted factor'!$A$2:$K$52,10,FALSE)*VLOOKUP($A574,'US Grid mix, emissions&amp;prices'!$AE$2:$AI$52,2,FALSE)/(1+$AZ$41)^O$168</f>
        <v>631.08289948460265</v>
      </c>
      <c r="P574" s="106">
        <f>VLOOKUP($A574,'VKT US'!$B$63:$AA$113,(P$113+1),FALSE)*$BD$9/VLOOKUP($A574,'Fuel economy adjusted factor'!$A$2:$K$52,11,FALSE)*($AZ$15*VLOOKUP($A574,'US Grid mix, emissions&amp;prices'!$AE$2:$AI$52,3,FALSE)/100+$BA$15*VLOOKUP($A574,'US Grid mix, emissions&amp;prices'!$AE$2:$AI$52,4,FALSE)/100)/(1+$AZ$41)^P$113+VLOOKUP($A574,'VKT US'!$B$63:$AA$113,(P$168+1),FALSE)*(1-$BD$9)/VLOOKUP($A574,'Fuel economy adjusted factor'!$A$2:$K$52,10,FALSE)*VLOOKUP($A574,'US Grid mix, emissions&amp;prices'!$AE$2:$AI$52,2,FALSE)/(1+$AZ$41)^P$168</f>
        <v>608.19412051695383</v>
      </c>
      <c r="Q574" s="106">
        <f>VLOOKUP($A574,'VKT US'!$B$63:$AA$113,(Q$113+1),FALSE)*$BD$9/VLOOKUP($A574,'Fuel economy adjusted factor'!$A$2:$K$52,11,FALSE)*($AZ$15*VLOOKUP($A574,'US Grid mix, emissions&amp;prices'!$AE$2:$AI$52,3,FALSE)/100+$BA$15*VLOOKUP($A574,'US Grid mix, emissions&amp;prices'!$AE$2:$AI$52,4,FALSE)/100)/(1+$AZ$41)^Q$113+VLOOKUP($A574,'VKT US'!$B$63:$AA$113,(Q$168+1),FALSE)*(1-$BD$9)/VLOOKUP($A574,'Fuel economy adjusted factor'!$A$2:$K$52,10,FALSE)*VLOOKUP($A574,'US Grid mix, emissions&amp;prices'!$AE$2:$AI$52,2,FALSE)/(1+$AZ$41)^Q$168</f>
        <v>586.72698257617958</v>
      </c>
      <c r="R574" s="106">
        <f>VLOOKUP($A574,'VKT US'!$B$63:$AA$113,(R$113+1),FALSE)*$BD$9/VLOOKUP($A574,'Fuel economy adjusted factor'!$A$2:$K$52,11,FALSE)*($AZ$15*VLOOKUP($A574,'US Grid mix, emissions&amp;prices'!$AE$2:$AI$52,3,FALSE)/100+$BA$15*VLOOKUP($A574,'US Grid mix, emissions&amp;prices'!$AE$2:$AI$52,4,FALSE)/100)/(1+$AZ$41)^R$113+VLOOKUP($A574,'VKT US'!$B$63:$AA$113,(R$168+1),FALSE)*(1-$BD$9)/VLOOKUP($A574,'Fuel economy adjusted factor'!$A$2:$K$52,10,FALSE)*VLOOKUP($A574,'US Grid mix, emissions&amp;prices'!$AE$2:$AI$52,2,FALSE)/(1+$AZ$41)^R$168</f>
        <v>566.44829918664095</v>
      </c>
      <c r="S574" s="106">
        <f>VLOOKUP($A574,'VKT US'!$B$63:$AA$113,(S$113+1),FALSE)*$BD$9/VLOOKUP($A574,'Fuel economy adjusted factor'!$A$2:$K$52,11,FALSE)*($AZ$15*VLOOKUP($A574,'US Grid mix, emissions&amp;prices'!$AE$2:$AI$52,3,FALSE)/100+$BA$15*VLOOKUP($A574,'US Grid mix, emissions&amp;prices'!$AE$2:$AI$52,4,FALSE)/100)/(1+$AZ$41)^S$113+VLOOKUP($A574,'VKT US'!$B$63:$AA$113,(S$168+1),FALSE)*(1-$BD$9)/VLOOKUP($A574,'Fuel economy adjusted factor'!$A$2:$K$52,10,FALSE)*VLOOKUP($A574,'US Grid mix, emissions&amp;prices'!$AE$2:$AI$52,2,FALSE)/(1+$AZ$41)^S$168</f>
        <v>547.51278400940396</v>
      </c>
      <c r="T574" s="106">
        <f>VLOOKUP($A574,'VKT US'!$B$63:$AA$113,(T$113+1),FALSE)*$BD$9/VLOOKUP($A574,'Fuel economy adjusted factor'!$A$2:$K$52,11,FALSE)*($AZ$15*VLOOKUP($A574,'US Grid mix, emissions&amp;prices'!$AE$2:$AI$52,3,FALSE)/100+$BA$15*VLOOKUP($A574,'US Grid mix, emissions&amp;prices'!$AE$2:$AI$52,4,FALSE)/100)/(1+$AZ$41)^T$113+VLOOKUP($A574,'VKT US'!$B$63:$AA$113,(T$168+1),FALSE)*(1-$BD$9)/VLOOKUP($A574,'Fuel economy adjusted factor'!$A$2:$K$52,10,FALSE)*VLOOKUP($A574,'US Grid mix, emissions&amp;prices'!$AE$2:$AI$52,2,FALSE)/(1+$AZ$41)^T$168</f>
        <v>529.69352296814577</v>
      </c>
      <c r="U574" s="109">
        <f>VLOOKUP($A574,'VKT US'!$B$63:$AA$113,(U$113+1),FALSE)*$BD$9/VLOOKUP($A574,'Fuel economy adjusted factor'!$A$2:$K$52,11,FALSE)*($AZ$15*VLOOKUP($A574,'US Grid mix, emissions&amp;prices'!$AE$2:$AI$52,3,FALSE)/100+$BA$15*VLOOKUP($A574,'US Grid mix, emissions&amp;prices'!$AE$2:$AI$52,4,FALSE)/100)/(1+$AZ$41)^U$113+VLOOKUP($A574,'VKT US'!$B$63:$AA$113,(U$168+1),FALSE)*(1-$BD$9)/VLOOKUP($A574,'Fuel economy adjusted factor'!$A$2:$K$52,10,FALSE)*VLOOKUP($A574,'US Grid mix, emissions&amp;prices'!$AE$2:$AI$52,2,FALSE)/(1+$AZ$41)^U$168</f>
        <v>513.14234539145673</v>
      </c>
      <c r="V574" s="110" cm="1">
        <f t="array" ref="V574">SUMPRODUCT(INDEX(B574:U574,,_xlfn.SEQUENCE($AZ$13)))</f>
        <v>11596.489411533479</v>
      </c>
    </row>
    <row r="575" spans="1:22" x14ac:dyDescent="0.25">
      <c r="A575" s="102" t="s">
        <v>157</v>
      </c>
      <c r="B575" s="106">
        <f>VLOOKUP($A575,'VKT US'!$B$63:$AA$113,(B$113+1),FALSE)*$BD$9/VLOOKUP($A575,'Fuel economy adjusted factor'!$A$2:$K$52,11,FALSE)*($AZ$15*VLOOKUP($A575,'US Grid mix, emissions&amp;prices'!$AE$2:$AI$52,3,FALSE)/100+$BA$15*VLOOKUP($A575,'US Grid mix, emissions&amp;prices'!$AE$2:$AI$52,4,FALSE)/100)/(1+$AZ$41)^B$113+VLOOKUP($A575,'VKT US'!$B$63:$AA$113,(B$168+1),FALSE)*(1-$BD$9)/VLOOKUP($A575,'Fuel economy adjusted factor'!$A$2:$K$52,10,FALSE)*VLOOKUP($A575,'US Grid mix, emissions&amp;prices'!$AE$2:$AI$52,2,FALSE)/(1+$AZ$41)^B$168</f>
        <v>1132.8191096285609</v>
      </c>
      <c r="C575" s="106">
        <f>VLOOKUP($A575,'VKT US'!$B$63:$AA$113,(C$113+1),FALSE)*$BD$9/VLOOKUP($A575,'Fuel economy adjusted factor'!$A$2:$K$52,11,FALSE)*($AZ$15*VLOOKUP($A575,'US Grid mix, emissions&amp;prices'!$AE$2:$AI$52,3,FALSE)/100+$BA$15*VLOOKUP($A575,'US Grid mix, emissions&amp;prices'!$AE$2:$AI$52,4,FALSE)/100)/(1+$AZ$41)^C$113+VLOOKUP($A575,'VKT US'!$B$63:$AA$113,(C$168+1),FALSE)*(1-$BD$9)/VLOOKUP($A575,'Fuel economy adjusted factor'!$A$2:$K$52,10,FALSE)*VLOOKUP($A575,'US Grid mix, emissions&amp;prices'!$AE$2:$AI$52,2,FALSE)/(1+$AZ$41)^C$168</f>
        <v>1086.0925630385032</v>
      </c>
      <c r="D575" s="106">
        <f>VLOOKUP($A575,'VKT US'!$B$63:$AA$113,(D$113+1),FALSE)*$BD$9/VLOOKUP($A575,'Fuel economy adjusted factor'!$A$2:$K$52,11,FALSE)*($AZ$15*VLOOKUP($A575,'US Grid mix, emissions&amp;prices'!$AE$2:$AI$52,3,FALSE)/100+$BA$15*VLOOKUP($A575,'US Grid mix, emissions&amp;prices'!$AE$2:$AI$52,4,FALSE)/100)/(1+$AZ$41)^D$113+VLOOKUP($A575,'VKT US'!$B$63:$AA$113,(D$168+1),FALSE)*(1-$BD$9)/VLOOKUP($A575,'Fuel economy adjusted factor'!$A$2:$K$52,10,FALSE)*VLOOKUP($A575,'US Grid mix, emissions&amp;prices'!$AE$2:$AI$52,2,FALSE)/(1+$AZ$41)^D$168</f>
        <v>1041.3529546178829</v>
      </c>
      <c r="E575" s="106">
        <f>VLOOKUP($A575,'VKT US'!$B$63:$AA$113,(E$113+1),FALSE)*$BD$9/VLOOKUP($A575,'Fuel economy adjusted factor'!$A$2:$K$52,11,FALSE)*($AZ$15*VLOOKUP($A575,'US Grid mix, emissions&amp;prices'!$AE$2:$AI$52,3,FALSE)/100+$BA$15*VLOOKUP($A575,'US Grid mix, emissions&amp;prices'!$AE$2:$AI$52,4,FALSE)/100)/(1+$AZ$41)^E$113+VLOOKUP($A575,'VKT US'!$B$63:$AA$113,(E$168+1),FALSE)*(1-$BD$9)/VLOOKUP($A575,'Fuel economy adjusted factor'!$A$2:$K$52,10,FALSE)*VLOOKUP($A575,'US Grid mix, emissions&amp;prices'!$AE$2:$AI$52,2,FALSE)/(1+$AZ$41)^E$168</f>
        <v>998.62632943016206</v>
      </c>
      <c r="F575" s="106">
        <f>VLOOKUP($A575,'VKT US'!$B$63:$AA$113,(F$113+1),FALSE)*$BD$9/VLOOKUP($A575,'Fuel economy adjusted factor'!$A$2:$K$52,11,FALSE)*($AZ$15*VLOOKUP($A575,'US Grid mix, emissions&amp;prices'!$AE$2:$AI$52,3,FALSE)/100+$BA$15*VLOOKUP($A575,'US Grid mix, emissions&amp;prices'!$AE$2:$AI$52,4,FALSE)/100)/(1+$AZ$41)^F$113+VLOOKUP($A575,'VKT US'!$B$63:$AA$113,(F$168+1),FALSE)*(1-$BD$9)/VLOOKUP($A575,'Fuel economy adjusted factor'!$A$2:$K$52,10,FALSE)*VLOOKUP($A575,'US Grid mix, emissions&amp;prices'!$AE$2:$AI$52,2,FALSE)/(1+$AZ$41)^F$168</f>
        <v>957.7801707200158</v>
      </c>
      <c r="G575" s="106">
        <f>VLOOKUP($A575,'VKT US'!$B$63:$AA$113,(G$113+1),FALSE)*$BD$9/VLOOKUP($A575,'Fuel economy adjusted factor'!$A$2:$K$52,11,FALSE)*($AZ$15*VLOOKUP($A575,'US Grid mix, emissions&amp;prices'!$AE$2:$AI$52,3,FALSE)/100+$BA$15*VLOOKUP($A575,'US Grid mix, emissions&amp;prices'!$AE$2:$AI$52,4,FALSE)/100)/(1+$AZ$41)^G$113+VLOOKUP($A575,'VKT US'!$B$63:$AA$113,(G$168+1),FALSE)*(1-$BD$9)/VLOOKUP($A575,'Fuel economy adjusted factor'!$A$2:$K$52,10,FALSE)*VLOOKUP($A575,'US Grid mix, emissions&amp;prices'!$AE$2:$AI$52,2,FALSE)/(1+$AZ$41)^G$168</f>
        <v>918.91796135865138</v>
      </c>
      <c r="H575" s="106">
        <f>VLOOKUP($A575,'VKT US'!$B$63:$AA$113,(H$113+1),FALSE)*$BD$9/VLOOKUP($A575,'Fuel economy adjusted factor'!$A$2:$K$52,11,FALSE)*($AZ$15*VLOOKUP($A575,'US Grid mix, emissions&amp;prices'!$AE$2:$AI$52,3,FALSE)/100+$BA$15*VLOOKUP($A575,'US Grid mix, emissions&amp;prices'!$AE$2:$AI$52,4,FALSE)/100)/(1+$AZ$41)^H$113+VLOOKUP($A575,'VKT US'!$B$63:$AA$113,(H$168+1),FALSE)*(1-$BD$9)/VLOOKUP($A575,'Fuel economy adjusted factor'!$A$2:$K$52,10,FALSE)*VLOOKUP($A575,'US Grid mix, emissions&amp;prices'!$AE$2:$AI$52,2,FALSE)/(1+$AZ$41)^H$168</f>
        <v>881.75629583058969</v>
      </c>
      <c r="I575" s="106">
        <f>VLOOKUP($A575,'VKT US'!$B$63:$AA$113,(I$113+1),FALSE)*$BD$9/VLOOKUP($A575,'Fuel economy adjusted factor'!$A$2:$K$52,11,FALSE)*($AZ$15*VLOOKUP($A575,'US Grid mix, emissions&amp;prices'!$AE$2:$AI$52,3,FALSE)/100+$BA$15*VLOOKUP($A575,'US Grid mix, emissions&amp;prices'!$AE$2:$AI$52,4,FALSE)/100)/(1+$AZ$41)^I$113+VLOOKUP($A575,'VKT US'!$B$63:$AA$113,(I$168+1),FALSE)*(1-$BD$9)/VLOOKUP($A575,'Fuel economy adjusted factor'!$A$2:$K$52,10,FALSE)*VLOOKUP($A575,'US Grid mix, emissions&amp;prices'!$AE$2:$AI$52,2,FALSE)/(1+$AZ$41)^I$168</f>
        <v>846.39993403198605</v>
      </c>
      <c r="J575" s="106">
        <f>VLOOKUP($A575,'VKT US'!$B$63:$AA$113,(J$113+1),FALSE)*$BD$9/VLOOKUP($A575,'Fuel economy adjusted factor'!$A$2:$K$52,11,FALSE)*($AZ$15*VLOOKUP($A575,'US Grid mix, emissions&amp;prices'!$AE$2:$AI$52,3,FALSE)/100+$BA$15*VLOOKUP($A575,'US Grid mix, emissions&amp;prices'!$AE$2:$AI$52,4,FALSE)/100)/(1+$AZ$41)^J$113+VLOOKUP($A575,'VKT US'!$B$63:$AA$113,(J$168+1),FALSE)*(1-$BD$9)/VLOOKUP($A575,'Fuel economy adjusted factor'!$A$2:$K$52,10,FALSE)*VLOOKUP($A575,'US Grid mix, emissions&amp;prices'!$AE$2:$AI$52,2,FALSE)/(1+$AZ$41)^J$168</f>
        <v>812.79879897419187</v>
      </c>
      <c r="K575" s="106">
        <f>VLOOKUP($A575,'VKT US'!$B$63:$AA$113,(K$113+1),FALSE)*$BD$9/VLOOKUP($A575,'Fuel economy adjusted factor'!$A$2:$K$52,11,FALSE)*($AZ$15*VLOOKUP($A575,'US Grid mix, emissions&amp;prices'!$AE$2:$AI$52,3,FALSE)/100+$BA$15*VLOOKUP($A575,'US Grid mix, emissions&amp;prices'!$AE$2:$AI$52,4,FALSE)/100)/(1+$AZ$41)^K$113+VLOOKUP($A575,'VKT US'!$B$63:$AA$113,(K$168+1),FALSE)*(1-$BD$9)/VLOOKUP($A575,'Fuel economy adjusted factor'!$A$2:$K$52,10,FALSE)*VLOOKUP($A575,'US Grid mix, emissions&amp;prices'!$AE$2:$AI$52,2,FALSE)/(1+$AZ$41)^K$168</f>
        <v>780.90389551598423</v>
      </c>
      <c r="L575" s="106">
        <f>VLOOKUP($A575,'VKT US'!$B$63:$AA$113,(L$113+1),FALSE)*$BD$9/VLOOKUP($A575,'Fuel economy adjusted factor'!$A$2:$K$52,11,FALSE)*($AZ$15*VLOOKUP($A575,'US Grid mix, emissions&amp;prices'!$AE$2:$AI$52,3,FALSE)/100+$BA$15*VLOOKUP($A575,'US Grid mix, emissions&amp;prices'!$AE$2:$AI$52,4,FALSE)/100)/(1+$AZ$41)^L$113+VLOOKUP($A575,'VKT US'!$B$63:$AA$113,(L$168+1),FALSE)*(1-$BD$9)/VLOOKUP($A575,'Fuel economy adjusted factor'!$A$2:$K$52,10,FALSE)*VLOOKUP($A575,'US Grid mix, emissions&amp;prices'!$AE$2:$AI$52,2,FALSE)/(1+$AZ$41)^L$168</f>
        <v>750.59470564781213</v>
      </c>
      <c r="M575" s="106">
        <f>VLOOKUP($A575,'VKT US'!$B$63:$AA$113,(M$113+1),FALSE)*$BD$9/VLOOKUP($A575,'Fuel economy adjusted factor'!$A$2:$K$52,11,FALSE)*($AZ$15*VLOOKUP($A575,'US Grid mix, emissions&amp;prices'!$AE$2:$AI$52,3,FALSE)/100+$BA$15*VLOOKUP($A575,'US Grid mix, emissions&amp;prices'!$AE$2:$AI$52,4,FALSE)/100)/(1+$AZ$41)^M$113+VLOOKUP($A575,'VKT US'!$B$63:$AA$113,(M$168+1),FALSE)*(1-$BD$9)/VLOOKUP($A575,'Fuel economy adjusted factor'!$A$2:$K$52,10,FALSE)*VLOOKUP($A575,'US Grid mix, emissions&amp;prices'!$AE$2:$AI$52,2,FALSE)/(1+$AZ$41)^M$168</f>
        <v>721.8986428733956</v>
      </c>
      <c r="N575" s="106">
        <f>VLOOKUP($A575,'VKT US'!$B$63:$AA$113,(N$113+1),FALSE)*$BD$9/VLOOKUP($A575,'Fuel economy adjusted factor'!$A$2:$K$52,11,FALSE)*($AZ$15*VLOOKUP($A575,'US Grid mix, emissions&amp;prices'!$AE$2:$AI$52,3,FALSE)/100+$BA$15*VLOOKUP($A575,'US Grid mix, emissions&amp;prices'!$AE$2:$AI$52,4,FALSE)/100)/(1+$AZ$41)^N$113+VLOOKUP($A575,'VKT US'!$B$63:$AA$113,(N$168+1),FALSE)*(1-$BD$9)/VLOOKUP($A575,'Fuel economy adjusted factor'!$A$2:$K$52,10,FALSE)*VLOOKUP($A575,'US Grid mix, emissions&amp;prices'!$AE$2:$AI$52,2,FALSE)/(1+$AZ$41)^N$168</f>
        <v>694.69893296782618</v>
      </c>
      <c r="O575" s="106">
        <f>VLOOKUP($A575,'VKT US'!$B$63:$AA$113,(O$113+1),FALSE)*$BD$9/VLOOKUP($A575,'Fuel economy adjusted factor'!$A$2:$K$52,11,FALSE)*($AZ$15*VLOOKUP($A575,'US Grid mix, emissions&amp;prices'!$AE$2:$AI$52,3,FALSE)/100+$BA$15*VLOOKUP($A575,'US Grid mix, emissions&amp;prices'!$AE$2:$AI$52,4,FALSE)/100)/(1+$AZ$41)^O$113+VLOOKUP($A575,'VKT US'!$B$63:$AA$113,(O$168+1),FALSE)*(1-$BD$9)/VLOOKUP($A575,'Fuel economy adjusted factor'!$A$2:$K$52,10,FALSE)*VLOOKUP($A575,'US Grid mix, emissions&amp;prices'!$AE$2:$AI$52,2,FALSE)/(1+$AZ$41)^O$168</f>
        <v>669.02323179201585</v>
      </c>
      <c r="P575" s="106">
        <f>VLOOKUP($A575,'VKT US'!$B$63:$AA$113,(P$113+1),FALSE)*$BD$9/VLOOKUP($A575,'Fuel economy adjusted factor'!$A$2:$K$52,11,FALSE)*($AZ$15*VLOOKUP($A575,'US Grid mix, emissions&amp;prices'!$AE$2:$AI$52,3,FALSE)/100+$BA$15*VLOOKUP($A575,'US Grid mix, emissions&amp;prices'!$AE$2:$AI$52,4,FALSE)/100)/(1+$AZ$41)^P$113+VLOOKUP($A575,'VKT US'!$B$63:$AA$113,(P$168+1),FALSE)*(1-$BD$9)/VLOOKUP($A575,'Fuel economy adjusted factor'!$A$2:$K$52,10,FALSE)*VLOOKUP($A575,'US Grid mix, emissions&amp;prices'!$AE$2:$AI$52,2,FALSE)/(1+$AZ$41)^P$168</f>
        <v>644.75839291076022</v>
      </c>
      <c r="Q575" s="106">
        <f>VLOOKUP($A575,'VKT US'!$B$63:$AA$113,(Q$113+1),FALSE)*$BD$9/VLOOKUP($A575,'Fuel economy adjusted factor'!$A$2:$K$52,11,FALSE)*($AZ$15*VLOOKUP($A575,'US Grid mix, emissions&amp;prices'!$AE$2:$AI$52,3,FALSE)/100+$BA$15*VLOOKUP($A575,'US Grid mix, emissions&amp;prices'!$AE$2:$AI$52,4,FALSE)/100)/(1+$AZ$41)^Q$113+VLOOKUP($A575,'VKT US'!$B$63:$AA$113,(Q$168+1),FALSE)*(1-$BD$9)/VLOOKUP($A575,'Fuel economy adjusted factor'!$A$2:$K$52,10,FALSE)*VLOOKUP($A575,'US Grid mix, emissions&amp;prices'!$AE$2:$AI$52,2,FALSE)/(1+$AZ$41)^Q$168</f>
        <v>622.0006632777895</v>
      </c>
      <c r="R575" s="106">
        <f>VLOOKUP($A575,'VKT US'!$B$63:$AA$113,(R$113+1),FALSE)*$BD$9/VLOOKUP($A575,'Fuel economy adjusted factor'!$A$2:$K$52,11,FALSE)*($AZ$15*VLOOKUP($A575,'US Grid mix, emissions&amp;prices'!$AE$2:$AI$52,3,FALSE)/100+$BA$15*VLOOKUP($A575,'US Grid mix, emissions&amp;prices'!$AE$2:$AI$52,4,FALSE)/100)/(1+$AZ$41)^R$113+VLOOKUP($A575,'VKT US'!$B$63:$AA$113,(R$168+1),FALSE)*(1-$BD$9)/VLOOKUP($A575,'Fuel economy adjusted factor'!$A$2:$K$52,10,FALSE)*VLOOKUP($A575,'US Grid mix, emissions&amp;prices'!$AE$2:$AI$52,2,FALSE)/(1+$AZ$41)^R$168</f>
        <v>600.50283738385997</v>
      </c>
      <c r="S575" s="106">
        <f>VLOOKUP($A575,'VKT US'!$B$63:$AA$113,(S$113+1),FALSE)*$BD$9/VLOOKUP($A575,'Fuel economy adjusted factor'!$A$2:$K$52,11,FALSE)*($AZ$15*VLOOKUP($A575,'US Grid mix, emissions&amp;prices'!$AE$2:$AI$52,3,FALSE)/100+$BA$15*VLOOKUP($A575,'US Grid mix, emissions&amp;prices'!$AE$2:$AI$52,4,FALSE)/100)/(1+$AZ$41)^S$113+VLOOKUP($A575,'VKT US'!$B$63:$AA$113,(S$168+1),FALSE)*(1-$BD$9)/VLOOKUP($A575,'Fuel economy adjusted factor'!$A$2:$K$52,10,FALSE)*VLOOKUP($A575,'US Grid mix, emissions&amp;prices'!$AE$2:$AI$52,2,FALSE)/(1+$AZ$41)^S$168</f>
        <v>580.42893018423865</v>
      </c>
      <c r="T575" s="106">
        <f>VLOOKUP($A575,'VKT US'!$B$63:$AA$113,(T$113+1),FALSE)*$BD$9/VLOOKUP($A575,'Fuel economy adjusted factor'!$A$2:$K$52,11,FALSE)*($AZ$15*VLOOKUP($A575,'US Grid mix, emissions&amp;prices'!$AE$2:$AI$52,3,FALSE)/100+$BA$15*VLOOKUP($A575,'US Grid mix, emissions&amp;prices'!$AE$2:$AI$52,4,FALSE)/100)/(1+$AZ$41)^T$113+VLOOKUP($A575,'VKT US'!$B$63:$AA$113,(T$168+1),FALSE)*(1-$BD$9)/VLOOKUP($A575,'Fuel economy adjusted factor'!$A$2:$K$52,10,FALSE)*VLOOKUP($A575,'US Grid mix, emissions&amp;prices'!$AE$2:$AI$52,2,FALSE)/(1+$AZ$41)^T$168</f>
        <v>561.53838566195134</v>
      </c>
      <c r="U575" s="109">
        <f>VLOOKUP($A575,'VKT US'!$B$63:$AA$113,(U$113+1),FALSE)*$BD$9/VLOOKUP($A575,'Fuel economy adjusted factor'!$A$2:$K$52,11,FALSE)*($AZ$15*VLOOKUP($A575,'US Grid mix, emissions&amp;prices'!$AE$2:$AI$52,3,FALSE)/100+$BA$15*VLOOKUP($A575,'US Grid mix, emissions&amp;prices'!$AE$2:$AI$52,4,FALSE)/100)/(1+$AZ$41)^U$113+VLOOKUP($A575,'VKT US'!$B$63:$AA$113,(U$168+1),FALSE)*(1-$BD$9)/VLOOKUP($A575,'Fuel economy adjusted factor'!$A$2:$K$52,10,FALSE)*VLOOKUP($A575,'US Grid mix, emissions&amp;prices'!$AE$2:$AI$52,2,FALSE)/(1+$AZ$41)^U$168</f>
        <v>543.99216103541903</v>
      </c>
      <c r="V575" s="110" cm="1">
        <f t="array" ref="V575">SUMPRODUCT(INDEX(B575:U575,,_xlfn.SEQUENCE($AZ$13)))</f>
        <v>12293.663526427579</v>
      </c>
    </row>
    <row r="576" spans="1:22" x14ac:dyDescent="0.25">
      <c r="A576" s="102" t="s">
        <v>200</v>
      </c>
      <c r="B576" s="106">
        <f>VLOOKUP($A576,'VKT US'!$B$63:$AA$113,(B$113+1),FALSE)*$BD$9/VLOOKUP($A576,'Fuel economy adjusted factor'!$A$2:$K$52,11,FALSE)*($AZ$15*VLOOKUP($A576,'US Grid mix, emissions&amp;prices'!$AE$2:$AI$52,3,FALSE)/100+$BA$15*VLOOKUP($A576,'US Grid mix, emissions&amp;prices'!$AE$2:$AI$52,4,FALSE)/100)/(1+$AZ$41)^B$113+VLOOKUP($A576,'VKT US'!$B$63:$AA$113,(B$168+1),FALSE)*(1-$BD$9)/VLOOKUP($A576,'Fuel economy adjusted factor'!$A$2:$K$52,10,FALSE)*VLOOKUP($A576,'US Grid mix, emissions&amp;prices'!$AE$2:$AI$52,2,FALSE)/(1+$AZ$41)^B$168</f>
        <v>936.57395219936916</v>
      </c>
      <c r="C576" s="106">
        <f>VLOOKUP($A576,'VKT US'!$B$63:$AA$113,(C$113+1),FALSE)*$BD$9/VLOOKUP($A576,'Fuel economy adjusted factor'!$A$2:$K$52,11,FALSE)*($AZ$15*VLOOKUP($A576,'US Grid mix, emissions&amp;prices'!$AE$2:$AI$52,3,FALSE)/100+$BA$15*VLOOKUP($A576,'US Grid mix, emissions&amp;prices'!$AE$2:$AI$52,4,FALSE)/100)/(1+$AZ$41)^C$113+VLOOKUP($A576,'VKT US'!$B$63:$AA$113,(C$168+1),FALSE)*(1-$BD$9)/VLOOKUP($A576,'Fuel economy adjusted factor'!$A$2:$K$52,10,FALSE)*VLOOKUP($A576,'US Grid mix, emissions&amp;prices'!$AE$2:$AI$52,2,FALSE)/(1+$AZ$41)^C$168</f>
        <v>897.94213001301159</v>
      </c>
      <c r="D576" s="106">
        <f>VLOOKUP($A576,'VKT US'!$B$63:$AA$113,(D$113+1),FALSE)*$BD$9/VLOOKUP($A576,'Fuel economy adjusted factor'!$A$2:$K$52,11,FALSE)*($AZ$15*VLOOKUP($A576,'US Grid mix, emissions&amp;prices'!$AE$2:$AI$52,3,FALSE)/100+$BA$15*VLOOKUP($A576,'US Grid mix, emissions&amp;prices'!$AE$2:$AI$52,4,FALSE)/100)/(1+$AZ$41)^D$113+VLOOKUP($A576,'VKT US'!$B$63:$AA$113,(D$168+1),FALSE)*(1-$BD$9)/VLOOKUP($A576,'Fuel economy adjusted factor'!$A$2:$K$52,10,FALSE)*VLOOKUP($A576,'US Grid mix, emissions&amp;prices'!$AE$2:$AI$52,2,FALSE)/(1+$AZ$41)^D$168</f>
        <v>860.9530365891801</v>
      </c>
      <c r="E576" s="106">
        <f>VLOOKUP($A576,'VKT US'!$B$63:$AA$113,(E$113+1),FALSE)*$BD$9/VLOOKUP($A576,'Fuel economy adjusted factor'!$A$2:$K$52,11,FALSE)*($AZ$15*VLOOKUP($A576,'US Grid mix, emissions&amp;prices'!$AE$2:$AI$52,3,FALSE)/100+$BA$15*VLOOKUP($A576,'US Grid mix, emissions&amp;prices'!$AE$2:$AI$52,4,FALSE)/100)/(1+$AZ$41)^E$113+VLOOKUP($A576,'VKT US'!$B$63:$AA$113,(E$168+1),FALSE)*(1-$BD$9)/VLOOKUP($A576,'Fuel economy adjusted factor'!$A$2:$K$52,10,FALSE)*VLOOKUP($A576,'US Grid mix, emissions&amp;prices'!$AE$2:$AI$52,2,FALSE)/(1+$AZ$41)^E$168</f>
        <v>825.62820504628189</v>
      </c>
      <c r="F576" s="106">
        <f>VLOOKUP($A576,'VKT US'!$B$63:$AA$113,(F$113+1),FALSE)*$BD$9/VLOOKUP($A576,'Fuel economy adjusted factor'!$A$2:$K$52,11,FALSE)*($AZ$15*VLOOKUP($A576,'US Grid mix, emissions&amp;prices'!$AE$2:$AI$52,3,FALSE)/100+$BA$15*VLOOKUP($A576,'US Grid mix, emissions&amp;prices'!$AE$2:$AI$52,4,FALSE)/100)/(1+$AZ$41)^F$113+VLOOKUP($A576,'VKT US'!$B$63:$AA$113,(F$168+1),FALSE)*(1-$BD$9)/VLOOKUP($A576,'Fuel economy adjusted factor'!$A$2:$K$52,10,FALSE)*VLOOKUP($A576,'US Grid mix, emissions&amp;prices'!$AE$2:$AI$52,2,FALSE)/(1+$AZ$41)^F$168</f>
        <v>791.85807531403555</v>
      </c>
      <c r="G576" s="106">
        <f>VLOOKUP($A576,'VKT US'!$B$63:$AA$113,(G$113+1),FALSE)*$BD$9/VLOOKUP($A576,'Fuel economy adjusted factor'!$A$2:$K$52,11,FALSE)*($AZ$15*VLOOKUP($A576,'US Grid mix, emissions&amp;prices'!$AE$2:$AI$52,3,FALSE)/100+$BA$15*VLOOKUP($A576,'US Grid mix, emissions&amp;prices'!$AE$2:$AI$52,4,FALSE)/100)/(1+$AZ$41)^G$113+VLOOKUP($A576,'VKT US'!$B$63:$AA$113,(G$168+1),FALSE)*(1-$BD$9)/VLOOKUP($A576,'Fuel economy adjusted factor'!$A$2:$K$52,10,FALSE)*VLOOKUP($A576,'US Grid mix, emissions&amp;prices'!$AE$2:$AI$52,2,FALSE)/(1+$AZ$41)^G$168</f>
        <v>759.72820329527462</v>
      </c>
      <c r="H576" s="106">
        <f>VLOOKUP($A576,'VKT US'!$B$63:$AA$113,(H$113+1),FALSE)*$BD$9/VLOOKUP($A576,'Fuel economy adjusted factor'!$A$2:$K$52,11,FALSE)*($AZ$15*VLOOKUP($A576,'US Grid mix, emissions&amp;prices'!$AE$2:$AI$52,3,FALSE)/100+$BA$15*VLOOKUP($A576,'US Grid mix, emissions&amp;prices'!$AE$2:$AI$52,4,FALSE)/100)/(1+$AZ$41)^H$113+VLOOKUP($A576,'VKT US'!$B$63:$AA$113,(H$168+1),FALSE)*(1-$BD$9)/VLOOKUP($A576,'Fuel economy adjusted factor'!$A$2:$K$52,10,FALSE)*VLOOKUP($A576,'US Grid mix, emissions&amp;prices'!$AE$2:$AI$52,2,FALSE)/(1+$AZ$41)^H$168</f>
        <v>729.00427953895655</v>
      </c>
      <c r="I576" s="106">
        <f>VLOOKUP($A576,'VKT US'!$B$63:$AA$113,(I$113+1),FALSE)*$BD$9/VLOOKUP($A576,'Fuel economy adjusted factor'!$A$2:$K$52,11,FALSE)*($AZ$15*VLOOKUP($A576,'US Grid mix, emissions&amp;prices'!$AE$2:$AI$52,3,FALSE)/100+$BA$15*VLOOKUP($A576,'US Grid mix, emissions&amp;prices'!$AE$2:$AI$52,4,FALSE)/100)/(1+$AZ$41)^I$113+VLOOKUP($A576,'VKT US'!$B$63:$AA$113,(I$168+1),FALSE)*(1-$BD$9)/VLOOKUP($A576,'Fuel economy adjusted factor'!$A$2:$K$52,10,FALSE)*VLOOKUP($A576,'US Grid mix, emissions&amp;prices'!$AE$2:$AI$52,2,FALSE)/(1+$AZ$41)^I$168</f>
        <v>699.7729157460501</v>
      </c>
      <c r="J576" s="106">
        <f>VLOOKUP($A576,'VKT US'!$B$63:$AA$113,(J$113+1),FALSE)*$BD$9/VLOOKUP($A576,'Fuel economy adjusted factor'!$A$2:$K$52,11,FALSE)*($AZ$15*VLOOKUP($A576,'US Grid mix, emissions&amp;prices'!$AE$2:$AI$52,3,FALSE)/100+$BA$15*VLOOKUP($A576,'US Grid mix, emissions&amp;prices'!$AE$2:$AI$52,4,FALSE)/100)/(1+$AZ$41)^J$113+VLOOKUP($A576,'VKT US'!$B$63:$AA$113,(J$168+1),FALSE)*(1-$BD$9)/VLOOKUP($A576,'Fuel economy adjusted factor'!$A$2:$K$52,10,FALSE)*VLOOKUP($A576,'US Grid mix, emissions&amp;prices'!$AE$2:$AI$52,2,FALSE)/(1+$AZ$41)^J$168</f>
        <v>671.99271006980416</v>
      </c>
      <c r="K576" s="106">
        <f>VLOOKUP($A576,'VKT US'!$B$63:$AA$113,(K$113+1),FALSE)*$BD$9/VLOOKUP($A576,'Fuel economy adjusted factor'!$A$2:$K$52,11,FALSE)*($AZ$15*VLOOKUP($A576,'US Grid mix, emissions&amp;prices'!$AE$2:$AI$52,3,FALSE)/100+$BA$15*VLOOKUP($A576,'US Grid mix, emissions&amp;prices'!$AE$2:$AI$52,4,FALSE)/100)/(1+$AZ$41)^K$113+VLOOKUP($A576,'VKT US'!$B$63:$AA$113,(K$168+1),FALSE)*(1-$BD$9)/VLOOKUP($A576,'Fuel economy adjusted factor'!$A$2:$K$52,10,FALSE)*VLOOKUP($A576,'US Grid mix, emissions&amp;prices'!$AE$2:$AI$52,2,FALSE)/(1+$AZ$41)^K$168</f>
        <v>645.62315509587245</v>
      </c>
      <c r="L576" s="106">
        <f>VLOOKUP($A576,'VKT US'!$B$63:$AA$113,(L$113+1),FALSE)*$BD$9/VLOOKUP($A576,'Fuel economy adjusted factor'!$A$2:$K$52,11,FALSE)*($AZ$15*VLOOKUP($A576,'US Grid mix, emissions&amp;prices'!$AE$2:$AI$52,3,FALSE)/100+$BA$15*VLOOKUP($A576,'US Grid mix, emissions&amp;prices'!$AE$2:$AI$52,4,FALSE)/100)/(1+$AZ$41)^L$113+VLOOKUP($A576,'VKT US'!$B$63:$AA$113,(L$168+1),FALSE)*(1-$BD$9)/VLOOKUP($A576,'Fuel economy adjusted factor'!$A$2:$K$52,10,FALSE)*VLOOKUP($A576,'US Grid mix, emissions&amp;prices'!$AE$2:$AI$52,2,FALSE)/(1+$AZ$41)^L$168</f>
        <v>620.56461088389949</v>
      </c>
      <c r="M576" s="106">
        <f>VLOOKUP($A576,'VKT US'!$B$63:$AA$113,(M$113+1),FALSE)*$BD$9/VLOOKUP($A576,'Fuel economy adjusted factor'!$A$2:$K$52,11,FALSE)*($AZ$15*VLOOKUP($A576,'US Grid mix, emissions&amp;prices'!$AE$2:$AI$52,3,FALSE)/100+$BA$15*VLOOKUP($A576,'US Grid mix, emissions&amp;prices'!$AE$2:$AI$52,4,FALSE)/100)/(1+$AZ$41)^M$113+VLOOKUP($A576,'VKT US'!$B$63:$AA$113,(M$168+1),FALSE)*(1-$BD$9)/VLOOKUP($A576,'Fuel economy adjusted factor'!$A$2:$K$52,10,FALSE)*VLOOKUP($A576,'US Grid mix, emissions&amp;prices'!$AE$2:$AI$52,2,FALSE)/(1+$AZ$41)^M$168</f>
        <v>596.83974192930634</v>
      </c>
      <c r="N576" s="106">
        <f>VLOOKUP($A576,'VKT US'!$B$63:$AA$113,(N$113+1),FALSE)*$BD$9/VLOOKUP($A576,'Fuel economy adjusted factor'!$A$2:$K$52,11,FALSE)*($AZ$15*VLOOKUP($A576,'US Grid mix, emissions&amp;prices'!$AE$2:$AI$52,3,FALSE)/100+$BA$15*VLOOKUP($A576,'US Grid mix, emissions&amp;prices'!$AE$2:$AI$52,4,FALSE)/100)/(1+$AZ$41)^N$113+VLOOKUP($A576,'VKT US'!$B$63:$AA$113,(N$168+1),FALSE)*(1-$BD$9)/VLOOKUP($A576,'Fuel economy adjusted factor'!$A$2:$K$52,10,FALSE)*VLOOKUP($A576,'US Grid mix, emissions&amp;prices'!$AE$2:$AI$52,2,FALSE)/(1+$AZ$41)^N$168</f>
        <v>574.35200351775347</v>
      </c>
      <c r="O576" s="106">
        <f>VLOOKUP($A576,'VKT US'!$B$63:$AA$113,(O$113+1),FALSE)*$BD$9/VLOOKUP($A576,'Fuel economy adjusted factor'!$A$2:$K$52,11,FALSE)*($AZ$15*VLOOKUP($A576,'US Grid mix, emissions&amp;prices'!$AE$2:$AI$52,3,FALSE)/100+$BA$15*VLOOKUP($A576,'US Grid mix, emissions&amp;prices'!$AE$2:$AI$52,4,FALSE)/100)/(1+$AZ$41)^O$113+VLOOKUP($A576,'VKT US'!$B$63:$AA$113,(O$168+1),FALSE)*(1-$BD$9)/VLOOKUP($A576,'Fuel economy adjusted factor'!$A$2:$K$52,10,FALSE)*VLOOKUP($A576,'US Grid mix, emissions&amp;prices'!$AE$2:$AI$52,2,FALSE)/(1+$AZ$41)^O$168</f>
        <v>553.12426051683997</v>
      </c>
      <c r="P576" s="106">
        <f>VLOOKUP($A576,'VKT US'!$B$63:$AA$113,(P$113+1),FALSE)*$BD$9/VLOOKUP($A576,'Fuel economy adjusted factor'!$A$2:$K$52,11,FALSE)*($AZ$15*VLOOKUP($A576,'US Grid mix, emissions&amp;prices'!$AE$2:$AI$52,3,FALSE)/100+$BA$15*VLOOKUP($A576,'US Grid mix, emissions&amp;prices'!$AE$2:$AI$52,4,FALSE)/100)/(1+$AZ$41)^P$113+VLOOKUP($A576,'VKT US'!$B$63:$AA$113,(P$168+1),FALSE)*(1-$BD$9)/VLOOKUP($A576,'Fuel economy adjusted factor'!$A$2:$K$52,10,FALSE)*VLOOKUP($A576,'US Grid mix, emissions&amp;prices'!$AE$2:$AI$52,2,FALSE)/(1+$AZ$41)^P$168</f>
        <v>533.06296753781339</v>
      </c>
      <c r="Q576" s="106">
        <f>VLOOKUP($A576,'VKT US'!$B$63:$AA$113,(Q$113+1),FALSE)*$BD$9/VLOOKUP($A576,'Fuel economy adjusted factor'!$A$2:$K$52,11,FALSE)*($AZ$15*VLOOKUP($A576,'US Grid mix, emissions&amp;prices'!$AE$2:$AI$52,3,FALSE)/100+$BA$15*VLOOKUP($A576,'US Grid mix, emissions&amp;prices'!$AE$2:$AI$52,4,FALSE)/100)/(1+$AZ$41)^Q$113+VLOOKUP($A576,'VKT US'!$B$63:$AA$113,(Q$168+1),FALSE)*(1-$BD$9)/VLOOKUP($A576,'Fuel economy adjusted factor'!$A$2:$K$52,10,FALSE)*VLOOKUP($A576,'US Grid mix, emissions&amp;prices'!$AE$2:$AI$52,2,FALSE)/(1+$AZ$41)^Q$168</f>
        <v>514.24769808810868</v>
      </c>
      <c r="R576" s="106">
        <f>VLOOKUP($A576,'VKT US'!$B$63:$AA$113,(R$113+1),FALSE)*$BD$9/VLOOKUP($A576,'Fuel economy adjusted factor'!$A$2:$K$52,11,FALSE)*($AZ$15*VLOOKUP($A576,'US Grid mix, emissions&amp;prices'!$AE$2:$AI$52,3,FALSE)/100+$BA$15*VLOOKUP($A576,'US Grid mix, emissions&amp;prices'!$AE$2:$AI$52,4,FALSE)/100)/(1+$AZ$41)^R$113+VLOOKUP($A576,'VKT US'!$B$63:$AA$113,(R$168+1),FALSE)*(1-$BD$9)/VLOOKUP($A576,'Fuel economy adjusted factor'!$A$2:$K$52,10,FALSE)*VLOOKUP($A576,'US Grid mix, emissions&amp;prices'!$AE$2:$AI$52,2,FALSE)/(1+$AZ$41)^R$168</f>
        <v>496.47407157524623</v>
      </c>
      <c r="S576" s="106">
        <f>VLOOKUP($A576,'VKT US'!$B$63:$AA$113,(S$113+1),FALSE)*$BD$9/VLOOKUP($A576,'Fuel economy adjusted factor'!$A$2:$K$52,11,FALSE)*($AZ$15*VLOOKUP($A576,'US Grid mix, emissions&amp;prices'!$AE$2:$AI$52,3,FALSE)/100+$BA$15*VLOOKUP($A576,'US Grid mix, emissions&amp;prices'!$AE$2:$AI$52,4,FALSE)/100)/(1+$AZ$41)^S$113+VLOOKUP($A576,'VKT US'!$B$63:$AA$113,(S$168+1),FALSE)*(1-$BD$9)/VLOOKUP($A576,'Fuel economy adjusted factor'!$A$2:$K$52,10,FALSE)*VLOOKUP($A576,'US Grid mix, emissions&amp;prices'!$AE$2:$AI$52,2,FALSE)/(1+$AZ$41)^S$168</f>
        <v>479.87768964433292</v>
      </c>
      <c r="T576" s="106">
        <f>VLOOKUP($A576,'VKT US'!$B$63:$AA$113,(T$113+1),FALSE)*$BD$9/VLOOKUP($A576,'Fuel economy adjusted factor'!$A$2:$K$52,11,FALSE)*($AZ$15*VLOOKUP($A576,'US Grid mix, emissions&amp;prices'!$AE$2:$AI$52,3,FALSE)/100+$BA$15*VLOOKUP($A576,'US Grid mix, emissions&amp;prices'!$AE$2:$AI$52,4,FALSE)/100)/(1+$AZ$41)^T$113+VLOOKUP($A576,'VKT US'!$B$63:$AA$113,(T$168+1),FALSE)*(1-$BD$9)/VLOOKUP($A576,'Fuel economy adjusted factor'!$A$2:$K$52,10,FALSE)*VLOOKUP($A576,'US Grid mix, emissions&amp;prices'!$AE$2:$AI$52,2,FALSE)/(1+$AZ$41)^T$168</f>
        <v>464.25966926309303</v>
      </c>
      <c r="U576" s="109">
        <f>VLOOKUP($A576,'VKT US'!$B$63:$AA$113,(U$113+1),FALSE)*$BD$9/VLOOKUP($A576,'Fuel economy adjusted factor'!$A$2:$K$52,11,FALSE)*($AZ$15*VLOOKUP($A576,'US Grid mix, emissions&amp;prices'!$AE$2:$AI$52,3,FALSE)/100+$BA$15*VLOOKUP($A576,'US Grid mix, emissions&amp;prices'!$AE$2:$AI$52,4,FALSE)/100)/(1+$AZ$41)^U$113+VLOOKUP($A576,'VKT US'!$B$63:$AA$113,(U$168+1),FALSE)*(1-$BD$9)/VLOOKUP($A576,'Fuel economy adjusted factor'!$A$2:$K$52,10,FALSE)*VLOOKUP($A576,'US Grid mix, emissions&amp;prices'!$AE$2:$AI$52,2,FALSE)/(1+$AZ$41)^U$168</f>
        <v>449.75308405017461</v>
      </c>
      <c r="V576" s="110" cm="1">
        <f t="array" ref="V576">SUMPRODUCT(INDEX(B576:U576,,_xlfn.SEQUENCE($AZ$13)))</f>
        <v>10163.957279755636</v>
      </c>
    </row>
    <row r="577" spans="1:22" x14ac:dyDescent="0.25">
      <c r="A577" s="102" t="s">
        <v>203</v>
      </c>
      <c r="B577" s="106">
        <f>VLOOKUP($A577,'VKT US'!$B$63:$AA$113,(B$113+1),FALSE)*$BD$9/VLOOKUP($A577,'Fuel economy adjusted factor'!$A$2:$K$52,11,FALSE)*($AZ$15*VLOOKUP($A577,'US Grid mix, emissions&amp;prices'!$AE$2:$AI$52,3,FALSE)/100+$BA$15*VLOOKUP($A577,'US Grid mix, emissions&amp;prices'!$AE$2:$AI$52,4,FALSE)/100)/(1+$AZ$41)^B$113+VLOOKUP($A577,'VKT US'!$B$63:$AA$113,(B$168+1),FALSE)*(1-$BD$9)/VLOOKUP($A577,'Fuel economy adjusted factor'!$A$2:$K$52,10,FALSE)*VLOOKUP($A577,'US Grid mix, emissions&amp;prices'!$AE$2:$AI$52,2,FALSE)/(1+$AZ$41)^B$168</f>
        <v>1406.0832295873192</v>
      </c>
      <c r="C577" s="106">
        <f>VLOOKUP($A577,'VKT US'!$B$63:$AA$113,(C$113+1),FALSE)*$BD$9/VLOOKUP($A577,'Fuel economy adjusted factor'!$A$2:$K$52,11,FALSE)*($AZ$15*VLOOKUP($A577,'US Grid mix, emissions&amp;prices'!$AE$2:$AI$52,3,FALSE)/100+$BA$15*VLOOKUP($A577,'US Grid mix, emissions&amp;prices'!$AE$2:$AI$52,4,FALSE)/100)/(1+$AZ$41)^C$113+VLOOKUP($A577,'VKT US'!$B$63:$AA$113,(C$168+1),FALSE)*(1-$BD$9)/VLOOKUP($A577,'Fuel economy adjusted factor'!$A$2:$K$52,10,FALSE)*VLOOKUP($A577,'US Grid mix, emissions&amp;prices'!$AE$2:$AI$52,2,FALSE)/(1+$AZ$41)^C$168</f>
        <v>1348.0850787983961</v>
      </c>
      <c r="D577" s="106">
        <f>VLOOKUP($A577,'VKT US'!$B$63:$AA$113,(D$113+1),FALSE)*$BD$9/VLOOKUP($A577,'Fuel economy adjusted factor'!$A$2:$K$52,11,FALSE)*($AZ$15*VLOOKUP($A577,'US Grid mix, emissions&amp;prices'!$AE$2:$AI$52,3,FALSE)/100+$BA$15*VLOOKUP($A577,'US Grid mix, emissions&amp;prices'!$AE$2:$AI$52,4,FALSE)/100)/(1+$AZ$41)^D$113+VLOOKUP($A577,'VKT US'!$B$63:$AA$113,(D$168+1),FALSE)*(1-$BD$9)/VLOOKUP($A577,'Fuel economy adjusted factor'!$A$2:$K$52,10,FALSE)*VLOOKUP($A577,'US Grid mix, emissions&amp;prices'!$AE$2:$AI$52,2,FALSE)/(1+$AZ$41)^D$168</f>
        <v>1292.553165041076</v>
      </c>
      <c r="E577" s="106">
        <f>VLOOKUP($A577,'VKT US'!$B$63:$AA$113,(E$113+1),FALSE)*$BD$9/VLOOKUP($A577,'Fuel economy adjusted factor'!$A$2:$K$52,11,FALSE)*($AZ$15*VLOOKUP($A577,'US Grid mix, emissions&amp;prices'!$AE$2:$AI$52,3,FALSE)/100+$BA$15*VLOOKUP($A577,'US Grid mix, emissions&amp;prices'!$AE$2:$AI$52,4,FALSE)/100)/(1+$AZ$41)^E$113+VLOOKUP($A577,'VKT US'!$B$63:$AA$113,(E$168+1),FALSE)*(1-$BD$9)/VLOOKUP($A577,'Fuel economy adjusted factor'!$A$2:$K$52,10,FALSE)*VLOOKUP($A577,'US Grid mix, emissions&amp;prices'!$AE$2:$AI$52,2,FALSE)/(1+$AZ$41)^E$168</f>
        <v>1239.5198160953503</v>
      </c>
      <c r="F577" s="106">
        <f>VLOOKUP($A577,'VKT US'!$B$63:$AA$113,(F$113+1),FALSE)*$BD$9/VLOOKUP($A577,'Fuel economy adjusted factor'!$A$2:$K$52,11,FALSE)*($AZ$15*VLOOKUP($A577,'US Grid mix, emissions&amp;prices'!$AE$2:$AI$52,3,FALSE)/100+$BA$15*VLOOKUP($A577,'US Grid mix, emissions&amp;prices'!$AE$2:$AI$52,4,FALSE)/100)/(1+$AZ$41)^F$113+VLOOKUP($A577,'VKT US'!$B$63:$AA$113,(F$168+1),FALSE)*(1-$BD$9)/VLOOKUP($A577,'Fuel economy adjusted factor'!$A$2:$K$52,10,FALSE)*VLOOKUP($A577,'US Grid mix, emissions&amp;prices'!$AE$2:$AI$52,2,FALSE)/(1+$AZ$41)^F$168</f>
        <v>1188.8205488714505</v>
      </c>
      <c r="G577" s="106">
        <f>VLOOKUP($A577,'VKT US'!$B$63:$AA$113,(G$113+1),FALSE)*$BD$9/VLOOKUP($A577,'Fuel economy adjusted factor'!$A$2:$K$52,11,FALSE)*($AZ$15*VLOOKUP($A577,'US Grid mix, emissions&amp;prices'!$AE$2:$AI$52,3,FALSE)/100+$BA$15*VLOOKUP($A577,'US Grid mix, emissions&amp;prices'!$AE$2:$AI$52,4,FALSE)/100)/(1+$AZ$41)^G$113+VLOOKUP($A577,'VKT US'!$B$63:$AA$113,(G$168+1),FALSE)*(1-$BD$9)/VLOOKUP($A577,'Fuel economy adjusted factor'!$A$2:$K$52,10,FALSE)*VLOOKUP($A577,'US Grid mix, emissions&amp;prices'!$AE$2:$AI$52,2,FALSE)/(1+$AZ$41)^G$168</f>
        <v>1140.5838088806827</v>
      </c>
      <c r="H577" s="106">
        <f>VLOOKUP($A577,'VKT US'!$B$63:$AA$113,(H$113+1),FALSE)*$BD$9/VLOOKUP($A577,'Fuel economy adjusted factor'!$A$2:$K$52,11,FALSE)*($AZ$15*VLOOKUP($A577,'US Grid mix, emissions&amp;prices'!$AE$2:$AI$52,3,FALSE)/100+$BA$15*VLOOKUP($A577,'US Grid mix, emissions&amp;prices'!$AE$2:$AI$52,4,FALSE)/100)/(1+$AZ$41)^H$113+VLOOKUP($A577,'VKT US'!$B$63:$AA$113,(H$168+1),FALSE)*(1-$BD$9)/VLOOKUP($A577,'Fuel economy adjusted factor'!$A$2:$K$52,10,FALSE)*VLOOKUP($A577,'US Grid mix, emissions&amp;prices'!$AE$2:$AI$52,2,FALSE)/(1+$AZ$41)^H$168</f>
        <v>1094.4578261545671</v>
      </c>
      <c r="I577" s="106">
        <f>VLOOKUP($A577,'VKT US'!$B$63:$AA$113,(I$113+1),FALSE)*$BD$9/VLOOKUP($A577,'Fuel economy adjusted factor'!$A$2:$K$52,11,FALSE)*($AZ$15*VLOOKUP($A577,'US Grid mix, emissions&amp;prices'!$AE$2:$AI$52,3,FALSE)/100+$BA$15*VLOOKUP($A577,'US Grid mix, emissions&amp;prices'!$AE$2:$AI$52,4,FALSE)/100)/(1+$AZ$41)^I$113+VLOOKUP($A577,'VKT US'!$B$63:$AA$113,(I$168+1),FALSE)*(1-$BD$9)/VLOOKUP($A577,'Fuel economy adjusted factor'!$A$2:$K$52,10,FALSE)*VLOOKUP($A577,'US Grid mix, emissions&amp;prices'!$AE$2:$AI$52,2,FALSE)/(1+$AZ$41)^I$168</f>
        <v>1050.5726312795098</v>
      </c>
      <c r="J577" s="106">
        <f>VLOOKUP($A577,'VKT US'!$B$63:$AA$113,(J$113+1),FALSE)*$BD$9/VLOOKUP($A577,'Fuel economy adjusted factor'!$A$2:$K$52,11,FALSE)*($AZ$15*VLOOKUP($A577,'US Grid mix, emissions&amp;prices'!$AE$2:$AI$52,3,FALSE)/100+$BA$15*VLOOKUP($A577,'US Grid mix, emissions&amp;prices'!$AE$2:$AI$52,4,FALSE)/100)/(1+$AZ$41)^J$113+VLOOKUP($A577,'VKT US'!$B$63:$AA$113,(J$168+1),FALSE)*(1-$BD$9)/VLOOKUP($A577,'Fuel economy adjusted factor'!$A$2:$K$52,10,FALSE)*VLOOKUP($A577,'US Grid mix, emissions&amp;prices'!$AE$2:$AI$52,2,FALSE)/(1+$AZ$41)^J$168</f>
        <v>1008.8660674527799</v>
      </c>
      <c r="K577" s="106">
        <f>VLOOKUP($A577,'VKT US'!$B$63:$AA$113,(K$113+1),FALSE)*$BD$9/VLOOKUP($A577,'Fuel economy adjusted factor'!$A$2:$K$52,11,FALSE)*($AZ$15*VLOOKUP($A577,'US Grid mix, emissions&amp;prices'!$AE$2:$AI$52,3,FALSE)/100+$BA$15*VLOOKUP($A577,'US Grid mix, emissions&amp;prices'!$AE$2:$AI$52,4,FALSE)/100)/(1+$AZ$41)^K$113+VLOOKUP($A577,'VKT US'!$B$63:$AA$113,(K$168+1),FALSE)*(1-$BD$9)/VLOOKUP($A577,'Fuel economy adjusted factor'!$A$2:$K$52,10,FALSE)*VLOOKUP($A577,'US Grid mix, emissions&amp;prices'!$AE$2:$AI$52,2,FALSE)/(1+$AZ$41)^K$168</f>
        <v>969.2773206875554</v>
      </c>
      <c r="L577" s="106">
        <f>VLOOKUP($A577,'VKT US'!$B$63:$AA$113,(L$113+1),FALSE)*$BD$9/VLOOKUP($A577,'Fuel economy adjusted factor'!$A$2:$K$52,11,FALSE)*($AZ$15*VLOOKUP($A577,'US Grid mix, emissions&amp;prices'!$AE$2:$AI$52,3,FALSE)/100+$BA$15*VLOOKUP($A577,'US Grid mix, emissions&amp;prices'!$AE$2:$AI$52,4,FALSE)/100)/(1+$AZ$41)^L$113+VLOOKUP($A577,'VKT US'!$B$63:$AA$113,(L$168+1),FALSE)*(1-$BD$9)/VLOOKUP($A577,'Fuel economy adjusted factor'!$A$2:$K$52,10,FALSE)*VLOOKUP($A577,'US Grid mix, emissions&amp;prices'!$AE$2:$AI$52,2,FALSE)/(1+$AZ$41)^L$168</f>
        <v>931.65680103549153</v>
      </c>
      <c r="M577" s="106">
        <f>VLOOKUP($A577,'VKT US'!$B$63:$AA$113,(M$113+1),FALSE)*$BD$9/VLOOKUP($A577,'Fuel economy adjusted factor'!$A$2:$K$52,11,FALSE)*($AZ$15*VLOOKUP($A577,'US Grid mix, emissions&amp;prices'!$AE$2:$AI$52,3,FALSE)/100+$BA$15*VLOOKUP($A577,'US Grid mix, emissions&amp;prices'!$AE$2:$AI$52,4,FALSE)/100)/(1+$AZ$41)^M$113+VLOOKUP($A577,'VKT US'!$B$63:$AA$113,(M$168+1),FALSE)*(1-$BD$9)/VLOOKUP($A577,'Fuel economy adjusted factor'!$A$2:$K$52,10,FALSE)*VLOOKUP($A577,'US Grid mix, emissions&amp;prices'!$AE$2:$AI$52,2,FALSE)/(1+$AZ$41)^M$168</f>
        <v>896.0385348186353</v>
      </c>
      <c r="N577" s="106">
        <f>VLOOKUP($A577,'VKT US'!$B$63:$AA$113,(N$113+1),FALSE)*$BD$9/VLOOKUP($A577,'Fuel economy adjusted factor'!$A$2:$K$52,11,FALSE)*($AZ$15*VLOOKUP($A577,'US Grid mix, emissions&amp;prices'!$AE$2:$AI$52,3,FALSE)/100+$BA$15*VLOOKUP($A577,'US Grid mix, emissions&amp;prices'!$AE$2:$AI$52,4,FALSE)/100)/(1+$AZ$41)^N$113+VLOOKUP($A577,'VKT US'!$B$63:$AA$113,(N$168+1),FALSE)*(1-$BD$9)/VLOOKUP($A577,'Fuel economy adjusted factor'!$A$2:$K$52,10,FALSE)*VLOOKUP($A577,'US Grid mix, emissions&amp;prices'!$AE$2:$AI$52,2,FALSE)/(1+$AZ$41)^N$168</f>
        <v>862.27757896717435</v>
      </c>
      <c r="O577" s="106">
        <f>VLOOKUP($A577,'VKT US'!$B$63:$AA$113,(O$113+1),FALSE)*$BD$9/VLOOKUP($A577,'Fuel economy adjusted factor'!$A$2:$K$52,11,FALSE)*($AZ$15*VLOOKUP($A577,'US Grid mix, emissions&amp;prices'!$AE$2:$AI$52,3,FALSE)/100+$BA$15*VLOOKUP($A577,'US Grid mix, emissions&amp;prices'!$AE$2:$AI$52,4,FALSE)/100)/(1+$AZ$41)^O$113+VLOOKUP($A577,'VKT US'!$B$63:$AA$113,(O$168+1),FALSE)*(1-$BD$9)/VLOOKUP($A577,'Fuel economy adjusted factor'!$A$2:$K$52,10,FALSE)*VLOOKUP($A577,'US Grid mix, emissions&amp;prices'!$AE$2:$AI$52,2,FALSE)/(1+$AZ$41)^O$168</f>
        <v>830.40826062292444</v>
      </c>
      <c r="P577" s="106">
        <f>VLOOKUP($A577,'VKT US'!$B$63:$AA$113,(P$113+1),FALSE)*$BD$9/VLOOKUP($A577,'Fuel economy adjusted factor'!$A$2:$K$52,11,FALSE)*($AZ$15*VLOOKUP($A577,'US Grid mix, emissions&amp;prices'!$AE$2:$AI$52,3,FALSE)/100+$BA$15*VLOOKUP($A577,'US Grid mix, emissions&amp;prices'!$AE$2:$AI$52,4,FALSE)/100)/(1+$AZ$41)^P$113+VLOOKUP($A577,'VKT US'!$B$63:$AA$113,(P$168+1),FALSE)*(1-$BD$9)/VLOOKUP($A577,'Fuel economy adjusted factor'!$A$2:$K$52,10,FALSE)*VLOOKUP($A577,'US Grid mix, emissions&amp;prices'!$AE$2:$AI$52,2,FALSE)/(1+$AZ$41)^P$168</f>
        <v>800.29013961880491</v>
      </c>
      <c r="Q577" s="106">
        <f>VLOOKUP($A577,'VKT US'!$B$63:$AA$113,(Q$113+1),FALSE)*$BD$9/VLOOKUP($A577,'Fuel economy adjusted factor'!$A$2:$K$52,11,FALSE)*($AZ$15*VLOOKUP($A577,'US Grid mix, emissions&amp;prices'!$AE$2:$AI$52,3,FALSE)/100+$BA$15*VLOOKUP($A577,'US Grid mix, emissions&amp;prices'!$AE$2:$AI$52,4,FALSE)/100)/(1+$AZ$41)^Q$113+VLOOKUP($A577,'VKT US'!$B$63:$AA$113,(Q$168+1),FALSE)*(1-$BD$9)/VLOOKUP($A577,'Fuel economy adjusted factor'!$A$2:$K$52,10,FALSE)*VLOOKUP($A577,'US Grid mix, emissions&amp;prices'!$AE$2:$AI$52,2,FALSE)/(1+$AZ$41)^Q$168</f>
        <v>772.04268006553639</v>
      </c>
      <c r="R577" s="106">
        <f>VLOOKUP($A577,'VKT US'!$B$63:$AA$113,(R$113+1),FALSE)*$BD$9/VLOOKUP($A577,'Fuel economy adjusted factor'!$A$2:$K$52,11,FALSE)*($AZ$15*VLOOKUP($A577,'US Grid mix, emissions&amp;prices'!$AE$2:$AI$52,3,FALSE)/100+$BA$15*VLOOKUP($A577,'US Grid mix, emissions&amp;prices'!$AE$2:$AI$52,4,FALSE)/100)/(1+$AZ$41)^R$113+VLOOKUP($A577,'VKT US'!$B$63:$AA$113,(R$168+1),FALSE)*(1-$BD$9)/VLOOKUP($A577,'Fuel economy adjusted factor'!$A$2:$K$52,10,FALSE)*VLOOKUP($A577,'US Grid mix, emissions&amp;prices'!$AE$2:$AI$52,2,FALSE)/(1+$AZ$41)^R$168</f>
        <v>745.35904434195345</v>
      </c>
      <c r="S577" s="106">
        <f>VLOOKUP($A577,'VKT US'!$B$63:$AA$113,(S$113+1),FALSE)*$BD$9/VLOOKUP($A577,'Fuel economy adjusted factor'!$A$2:$K$52,11,FALSE)*($AZ$15*VLOOKUP($A577,'US Grid mix, emissions&amp;prices'!$AE$2:$AI$52,3,FALSE)/100+$BA$15*VLOOKUP($A577,'US Grid mix, emissions&amp;prices'!$AE$2:$AI$52,4,FALSE)/100)/(1+$AZ$41)^S$113+VLOOKUP($A577,'VKT US'!$B$63:$AA$113,(S$168+1),FALSE)*(1-$BD$9)/VLOOKUP($A577,'Fuel economy adjusted factor'!$A$2:$K$52,10,FALSE)*VLOOKUP($A577,'US Grid mix, emissions&amp;prices'!$AE$2:$AI$52,2,FALSE)/(1+$AZ$41)^S$168</f>
        <v>720.44281188632806</v>
      </c>
      <c r="T577" s="106">
        <f>VLOOKUP($A577,'VKT US'!$B$63:$AA$113,(T$113+1),FALSE)*$BD$9/VLOOKUP($A577,'Fuel economy adjusted factor'!$A$2:$K$52,11,FALSE)*($AZ$15*VLOOKUP($A577,'US Grid mix, emissions&amp;prices'!$AE$2:$AI$52,3,FALSE)/100+$BA$15*VLOOKUP($A577,'US Grid mix, emissions&amp;prices'!$AE$2:$AI$52,4,FALSE)/100)/(1+$AZ$41)^T$113+VLOOKUP($A577,'VKT US'!$B$63:$AA$113,(T$168+1),FALSE)*(1-$BD$9)/VLOOKUP($A577,'Fuel economy adjusted factor'!$A$2:$K$52,10,FALSE)*VLOOKUP($A577,'US Grid mix, emissions&amp;prices'!$AE$2:$AI$52,2,FALSE)/(1+$AZ$41)^T$168</f>
        <v>696.99539859254082</v>
      </c>
      <c r="U577" s="109">
        <f>VLOOKUP($A577,'VKT US'!$B$63:$AA$113,(U$113+1),FALSE)*$BD$9/VLOOKUP($A577,'Fuel economy adjusted factor'!$A$2:$K$52,11,FALSE)*($AZ$15*VLOOKUP($A577,'US Grid mix, emissions&amp;prices'!$AE$2:$AI$52,3,FALSE)/100+$BA$15*VLOOKUP($A577,'US Grid mix, emissions&amp;prices'!$AE$2:$AI$52,4,FALSE)/100)/(1+$AZ$41)^U$113+VLOOKUP($A577,'VKT US'!$B$63:$AA$113,(U$168+1),FALSE)*(1-$BD$9)/VLOOKUP($A577,'Fuel economy adjusted factor'!$A$2:$K$52,10,FALSE)*VLOOKUP($A577,'US Grid mix, emissions&amp;prices'!$AE$2:$AI$52,2,FALSE)/(1+$AZ$41)^U$168</f>
        <v>675.21658855990609</v>
      </c>
      <c r="V577" s="110" cm="1">
        <f t="array" ref="V577">SUMPRODUCT(INDEX(B577:U577,,_xlfn.SEQUENCE($AZ$13)))</f>
        <v>15259.200668292911</v>
      </c>
    </row>
    <row r="578" spans="1:22" x14ac:dyDescent="0.25">
      <c r="A578" s="102" t="s">
        <v>202</v>
      </c>
      <c r="B578" s="106">
        <f>VLOOKUP($A578,'VKT US'!$B$63:$AA$113,(B$113+1),FALSE)*$BD$9/VLOOKUP($A578,'Fuel economy adjusted factor'!$A$2:$K$52,11,FALSE)*($AZ$15*VLOOKUP($A578,'US Grid mix, emissions&amp;prices'!$AE$2:$AI$52,3,FALSE)/100+$BA$15*VLOOKUP($A578,'US Grid mix, emissions&amp;prices'!$AE$2:$AI$52,4,FALSE)/100)/(1+$AZ$41)^B$113+VLOOKUP($A578,'VKT US'!$B$63:$AA$113,(B$168+1),FALSE)*(1-$BD$9)/VLOOKUP($A578,'Fuel economy adjusted factor'!$A$2:$K$52,10,FALSE)*VLOOKUP($A578,'US Grid mix, emissions&amp;prices'!$AE$2:$AI$52,2,FALSE)/(1+$AZ$41)^B$168</f>
        <v>1036.3939314301067</v>
      </c>
      <c r="C578" s="106">
        <f>VLOOKUP($A578,'VKT US'!$B$63:$AA$113,(C$113+1),FALSE)*$BD$9/VLOOKUP($A578,'Fuel economy adjusted factor'!$A$2:$K$52,11,FALSE)*($AZ$15*VLOOKUP($A578,'US Grid mix, emissions&amp;prices'!$AE$2:$AI$52,3,FALSE)/100+$BA$15*VLOOKUP($A578,'US Grid mix, emissions&amp;prices'!$AE$2:$AI$52,4,FALSE)/100)/(1+$AZ$41)^C$113+VLOOKUP($A578,'VKT US'!$B$63:$AA$113,(C$168+1),FALSE)*(1-$BD$9)/VLOOKUP($A578,'Fuel economy adjusted factor'!$A$2:$K$52,10,FALSE)*VLOOKUP($A578,'US Grid mix, emissions&amp;prices'!$AE$2:$AI$52,2,FALSE)/(1+$AZ$41)^C$168</f>
        <v>993.64473262951378</v>
      </c>
      <c r="D578" s="106">
        <f>VLOOKUP($A578,'VKT US'!$B$63:$AA$113,(D$113+1),FALSE)*$BD$9/VLOOKUP($A578,'Fuel economy adjusted factor'!$A$2:$K$52,11,FALSE)*($AZ$15*VLOOKUP($A578,'US Grid mix, emissions&amp;prices'!$AE$2:$AI$52,3,FALSE)/100+$BA$15*VLOOKUP($A578,'US Grid mix, emissions&amp;prices'!$AE$2:$AI$52,4,FALSE)/100)/(1+$AZ$41)^D$113+VLOOKUP($A578,'VKT US'!$B$63:$AA$113,(D$168+1),FALSE)*(1-$BD$9)/VLOOKUP($A578,'Fuel economy adjusted factor'!$A$2:$K$52,10,FALSE)*VLOOKUP($A578,'US Grid mix, emissions&amp;prices'!$AE$2:$AI$52,2,FALSE)/(1+$AZ$41)^D$168</f>
        <v>952.71334449562755</v>
      </c>
      <c r="E578" s="106">
        <f>VLOOKUP($A578,'VKT US'!$B$63:$AA$113,(E$113+1),FALSE)*$BD$9/VLOOKUP($A578,'Fuel economy adjusted factor'!$A$2:$K$52,11,FALSE)*($AZ$15*VLOOKUP($A578,'US Grid mix, emissions&amp;prices'!$AE$2:$AI$52,3,FALSE)/100+$BA$15*VLOOKUP($A578,'US Grid mix, emissions&amp;prices'!$AE$2:$AI$52,4,FALSE)/100)/(1+$AZ$41)^E$113+VLOOKUP($A578,'VKT US'!$B$63:$AA$113,(E$168+1),FALSE)*(1-$BD$9)/VLOOKUP($A578,'Fuel economy adjusted factor'!$A$2:$K$52,10,FALSE)*VLOOKUP($A578,'US Grid mix, emissions&amp;prices'!$AE$2:$AI$52,2,FALSE)/(1+$AZ$41)^E$168</f>
        <v>913.62359514494597</v>
      </c>
      <c r="F578" s="106">
        <f>VLOOKUP($A578,'VKT US'!$B$63:$AA$113,(F$113+1),FALSE)*$BD$9/VLOOKUP($A578,'Fuel economy adjusted factor'!$A$2:$K$52,11,FALSE)*($AZ$15*VLOOKUP($A578,'US Grid mix, emissions&amp;prices'!$AE$2:$AI$52,3,FALSE)/100+$BA$15*VLOOKUP($A578,'US Grid mix, emissions&amp;prices'!$AE$2:$AI$52,4,FALSE)/100)/(1+$AZ$41)^F$113+VLOOKUP($A578,'VKT US'!$B$63:$AA$113,(F$168+1),FALSE)*(1-$BD$9)/VLOOKUP($A578,'Fuel economy adjusted factor'!$A$2:$K$52,10,FALSE)*VLOOKUP($A578,'US Grid mix, emissions&amp;prices'!$AE$2:$AI$52,2,FALSE)/(1+$AZ$41)^F$168</f>
        <v>876.2542476033891</v>
      </c>
      <c r="G578" s="106">
        <f>VLOOKUP($A578,'VKT US'!$B$63:$AA$113,(G$113+1),FALSE)*$BD$9/VLOOKUP($A578,'Fuel economy adjusted factor'!$A$2:$K$52,11,FALSE)*($AZ$15*VLOOKUP($A578,'US Grid mix, emissions&amp;prices'!$AE$2:$AI$52,3,FALSE)/100+$BA$15*VLOOKUP($A578,'US Grid mix, emissions&amp;prices'!$AE$2:$AI$52,4,FALSE)/100)/(1+$AZ$41)^G$113+VLOOKUP($A578,'VKT US'!$B$63:$AA$113,(G$168+1),FALSE)*(1-$BD$9)/VLOOKUP($A578,'Fuel economy adjusted factor'!$A$2:$K$52,10,FALSE)*VLOOKUP($A578,'US Grid mix, emissions&amp;prices'!$AE$2:$AI$52,2,FALSE)/(1+$AZ$41)^G$168</f>
        <v>840.69997631528349</v>
      </c>
      <c r="H578" s="106">
        <f>VLOOKUP($A578,'VKT US'!$B$63:$AA$113,(H$113+1),FALSE)*$BD$9/VLOOKUP($A578,'Fuel economy adjusted factor'!$A$2:$K$52,11,FALSE)*($AZ$15*VLOOKUP($A578,'US Grid mix, emissions&amp;prices'!$AE$2:$AI$52,3,FALSE)/100+$BA$15*VLOOKUP($A578,'US Grid mix, emissions&amp;prices'!$AE$2:$AI$52,4,FALSE)/100)/(1+$AZ$41)^H$113+VLOOKUP($A578,'VKT US'!$B$63:$AA$113,(H$168+1),FALSE)*(1-$BD$9)/VLOOKUP($A578,'Fuel economy adjusted factor'!$A$2:$K$52,10,FALSE)*VLOOKUP($A578,'US Grid mix, emissions&amp;prices'!$AE$2:$AI$52,2,FALSE)/(1+$AZ$41)^H$168</f>
        <v>806.70149914645538</v>
      </c>
      <c r="I578" s="106">
        <f>VLOOKUP($A578,'VKT US'!$B$63:$AA$113,(I$113+1),FALSE)*$BD$9/VLOOKUP($A578,'Fuel economy adjusted factor'!$A$2:$K$52,11,FALSE)*($AZ$15*VLOOKUP($A578,'US Grid mix, emissions&amp;prices'!$AE$2:$AI$52,3,FALSE)/100+$BA$15*VLOOKUP($A578,'US Grid mix, emissions&amp;prices'!$AE$2:$AI$52,4,FALSE)/100)/(1+$AZ$41)^I$113+VLOOKUP($A578,'VKT US'!$B$63:$AA$113,(I$168+1),FALSE)*(1-$BD$9)/VLOOKUP($A578,'Fuel economy adjusted factor'!$A$2:$K$52,10,FALSE)*VLOOKUP($A578,'US Grid mix, emissions&amp;prices'!$AE$2:$AI$52,2,FALSE)/(1+$AZ$41)^I$168</f>
        <v>774.35465886624968</v>
      </c>
      <c r="J578" s="106">
        <f>VLOOKUP($A578,'VKT US'!$B$63:$AA$113,(J$113+1),FALSE)*$BD$9/VLOOKUP($A578,'Fuel economy adjusted factor'!$A$2:$K$52,11,FALSE)*($AZ$15*VLOOKUP($A578,'US Grid mix, emissions&amp;prices'!$AE$2:$AI$52,3,FALSE)/100+$BA$15*VLOOKUP($A578,'US Grid mix, emissions&amp;prices'!$AE$2:$AI$52,4,FALSE)/100)/(1+$AZ$41)^J$113+VLOOKUP($A578,'VKT US'!$B$63:$AA$113,(J$168+1),FALSE)*(1-$BD$9)/VLOOKUP($A578,'Fuel economy adjusted factor'!$A$2:$K$52,10,FALSE)*VLOOKUP($A578,'US Grid mix, emissions&amp;prices'!$AE$2:$AI$52,2,FALSE)/(1+$AZ$41)^J$168</f>
        <v>743.61364102229766</v>
      </c>
      <c r="K578" s="106">
        <f>VLOOKUP($A578,'VKT US'!$B$63:$AA$113,(K$113+1),FALSE)*$BD$9/VLOOKUP($A578,'Fuel economy adjusted factor'!$A$2:$K$52,11,FALSE)*($AZ$15*VLOOKUP($A578,'US Grid mix, emissions&amp;prices'!$AE$2:$AI$52,3,FALSE)/100+$BA$15*VLOOKUP($A578,'US Grid mix, emissions&amp;prices'!$AE$2:$AI$52,4,FALSE)/100)/(1+$AZ$41)^K$113+VLOOKUP($A578,'VKT US'!$B$63:$AA$113,(K$168+1),FALSE)*(1-$BD$9)/VLOOKUP($A578,'Fuel economy adjusted factor'!$A$2:$K$52,10,FALSE)*VLOOKUP($A578,'US Grid mix, emissions&amp;prices'!$AE$2:$AI$52,2,FALSE)/(1+$AZ$41)^K$168</f>
        <v>714.4336209231717</v>
      </c>
      <c r="L578" s="106">
        <f>VLOOKUP($A578,'VKT US'!$B$63:$AA$113,(L$113+1),FALSE)*$BD$9/VLOOKUP($A578,'Fuel economy adjusted factor'!$A$2:$K$52,11,FALSE)*($AZ$15*VLOOKUP($A578,'US Grid mix, emissions&amp;prices'!$AE$2:$AI$52,3,FALSE)/100+$BA$15*VLOOKUP($A578,'US Grid mix, emissions&amp;prices'!$AE$2:$AI$52,4,FALSE)/100)/(1+$AZ$41)^L$113+VLOOKUP($A578,'VKT US'!$B$63:$AA$113,(L$168+1),FALSE)*(1-$BD$9)/VLOOKUP($A578,'Fuel economy adjusted factor'!$A$2:$K$52,10,FALSE)*VLOOKUP($A578,'US Grid mix, emissions&amp;prices'!$AE$2:$AI$52,2,FALSE)/(1+$AZ$41)^L$168</f>
        <v>686.70433901139654</v>
      </c>
      <c r="M578" s="106">
        <f>VLOOKUP($A578,'VKT US'!$B$63:$AA$113,(M$113+1),FALSE)*$BD$9/VLOOKUP($A578,'Fuel economy adjusted factor'!$A$2:$K$52,11,FALSE)*($AZ$15*VLOOKUP($A578,'US Grid mix, emissions&amp;prices'!$AE$2:$AI$52,3,FALSE)/100+$BA$15*VLOOKUP($A578,'US Grid mix, emissions&amp;prices'!$AE$2:$AI$52,4,FALSE)/100)/(1+$AZ$41)^M$113+VLOOKUP($A578,'VKT US'!$B$63:$AA$113,(M$168+1),FALSE)*(1-$BD$9)/VLOOKUP($A578,'Fuel economy adjusted factor'!$A$2:$K$52,10,FALSE)*VLOOKUP($A578,'US Grid mix, emissions&amp;prices'!$AE$2:$AI$52,2,FALSE)/(1+$AZ$41)^M$168</f>
        <v>660.45087536255824</v>
      </c>
      <c r="N578" s="106">
        <f>VLOOKUP($A578,'VKT US'!$B$63:$AA$113,(N$113+1),FALSE)*$BD$9/VLOOKUP($A578,'Fuel economy adjusted factor'!$A$2:$K$52,11,FALSE)*($AZ$15*VLOOKUP($A578,'US Grid mix, emissions&amp;prices'!$AE$2:$AI$52,3,FALSE)/100+$BA$15*VLOOKUP($A578,'US Grid mix, emissions&amp;prices'!$AE$2:$AI$52,4,FALSE)/100)/(1+$AZ$41)^N$113+VLOOKUP($A578,'VKT US'!$B$63:$AA$113,(N$168+1),FALSE)*(1-$BD$9)/VLOOKUP($A578,'Fuel economy adjusted factor'!$A$2:$K$52,10,FALSE)*VLOOKUP($A578,'US Grid mix, emissions&amp;prices'!$AE$2:$AI$52,2,FALSE)/(1+$AZ$41)^N$168</f>
        <v>635.56639553414652</v>
      </c>
      <c r="O578" s="106">
        <f>VLOOKUP($A578,'VKT US'!$B$63:$AA$113,(O$113+1),FALSE)*$BD$9/VLOOKUP($A578,'Fuel economy adjusted factor'!$A$2:$K$52,11,FALSE)*($AZ$15*VLOOKUP($A578,'US Grid mix, emissions&amp;prices'!$AE$2:$AI$52,3,FALSE)/100+$BA$15*VLOOKUP($A578,'US Grid mix, emissions&amp;prices'!$AE$2:$AI$52,4,FALSE)/100)/(1+$AZ$41)^O$113+VLOOKUP($A578,'VKT US'!$B$63:$AA$113,(O$168+1),FALSE)*(1-$BD$9)/VLOOKUP($A578,'Fuel economy adjusted factor'!$A$2:$K$52,10,FALSE)*VLOOKUP($A578,'US Grid mix, emissions&amp;prices'!$AE$2:$AI$52,2,FALSE)/(1+$AZ$41)^O$168</f>
        <v>612.07620132957663</v>
      </c>
      <c r="P578" s="106">
        <f>VLOOKUP($A578,'VKT US'!$B$63:$AA$113,(P$113+1),FALSE)*$BD$9/VLOOKUP($A578,'Fuel economy adjusted factor'!$A$2:$K$52,11,FALSE)*($AZ$15*VLOOKUP($A578,'US Grid mix, emissions&amp;prices'!$AE$2:$AI$52,3,FALSE)/100+$BA$15*VLOOKUP($A578,'US Grid mix, emissions&amp;prices'!$AE$2:$AI$52,4,FALSE)/100)/(1+$AZ$41)^P$113+VLOOKUP($A578,'VKT US'!$B$63:$AA$113,(P$168+1),FALSE)*(1-$BD$9)/VLOOKUP($A578,'Fuel economy adjusted factor'!$A$2:$K$52,10,FALSE)*VLOOKUP($A578,'US Grid mix, emissions&amp;prices'!$AE$2:$AI$52,2,FALSE)/(1+$AZ$41)^P$168</f>
        <v>589.87677729981397</v>
      </c>
      <c r="Q578" s="106">
        <f>VLOOKUP($A578,'VKT US'!$B$63:$AA$113,(Q$113+1),FALSE)*$BD$9/VLOOKUP($A578,'Fuel economy adjusted factor'!$A$2:$K$52,11,FALSE)*($AZ$15*VLOOKUP($A578,'US Grid mix, emissions&amp;prices'!$AE$2:$AI$52,3,FALSE)/100+$BA$15*VLOOKUP($A578,'US Grid mix, emissions&amp;prices'!$AE$2:$AI$52,4,FALSE)/100)/(1+$AZ$41)^Q$113+VLOOKUP($A578,'VKT US'!$B$63:$AA$113,(Q$168+1),FALSE)*(1-$BD$9)/VLOOKUP($A578,'Fuel economy adjusted factor'!$A$2:$K$52,10,FALSE)*VLOOKUP($A578,'US Grid mix, emissions&amp;prices'!$AE$2:$AI$52,2,FALSE)/(1+$AZ$41)^Q$168</f>
        <v>569.0561778905477</v>
      </c>
      <c r="R578" s="106">
        <f>VLOOKUP($A578,'VKT US'!$B$63:$AA$113,(R$113+1),FALSE)*$BD$9/VLOOKUP($A578,'Fuel economy adjusted factor'!$A$2:$K$52,11,FALSE)*($AZ$15*VLOOKUP($A578,'US Grid mix, emissions&amp;prices'!$AE$2:$AI$52,3,FALSE)/100+$BA$15*VLOOKUP($A578,'US Grid mix, emissions&amp;prices'!$AE$2:$AI$52,4,FALSE)/100)/(1+$AZ$41)^R$113+VLOOKUP($A578,'VKT US'!$B$63:$AA$113,(R$168+1),FALSE)*(1-$BD$9)/VLOOKUP($A578,'Fuel economy adjusted factor'!$A$2:$K$52,10,FALSE)*VLOOKUP($A578,'US Grid mix, emissions&amp;prices'!$AE$2:$AI$52,2,FALSE)/(1+$AZ$41)^R$168</f>
        <v>549.38823964159383</v>
      </c>
      <c r="S578" s="106">
        <f>VLOOKUP($A578,'VKT US'!$B$63:$AA$113,(S$113+1),FALSE)*$BD$9/VLOOKUP($A578,'Fuel economy adjusted factor'!$A$2:$K$52,11,FALSE)*($AZ$15*VLOOKUP($A578,'US Grid mix, emissions&amp;prices'!$AE$2:$AI$52,3,FALSE)/100+$BA$15*VLOOKUP($A578,'US Grid mix, emissions&amp;prices'!$AE$2:$AI$52,4,FALSE)/100)/(1+$AZ$41)^S$113+VLOOKUP($A578,'VKT US'!$B$63:$AA$113,(S$168+1),FALSE)*(1-$BD$9)/VLOOKUP($A578,'Fuel economy adjusted factor'!$A$2:$K$52,10,FALSE)*VLOOKUP($A578,'US Grid mix, emissions&amp;prices'!$AE$2:$AI$52,2,FALSE)/(1+$AZ$41)^S$168</f>
        <v>531.02301661088393</v>
      </c>
      <c r="T578" s="106">
        <f>VLOOKUP($A578,'VKT US'!$B$63:$AA$113,(T$113+1),FALSE)*$BD$9/VLOOKUP($A578,'Fuel economy adjusted factor'!$A$2:$K$52,11,FALSE)*($AZ$15*VLOOKUP($A578,'US Grid mix, emissions&amp;prices'!$AE$2:$AI$52,3,FALSE)/100+$BA$15*VLOOKUP($A578,'US Grid mix, emissions&amp;prices'!$AE$2:$AI$52,4,FALSE)/100)/(1+$AZ$41)^T$113+VLOOKUP($A578,'VKT US'!$B$63:$AA$113,(T$168+1),FALSE)*(1-$BD$9)/VLOOKUP($A578,'Fuel economy adjusted factor'!$A$2:$K$52,10,FALSE)*VLOOKUP($A578,'US Grid mix, emissions&amp;prices'!$AE$2:$AI$52,2,FALSE)/(1+$AZ$41)^T$168</f>
        <v>513.74042882797801</v>
      </c>
      <c r="U578" s="109">
        <f>VLOOKUP($A578,'VKT US'!$B$63:$AA$113,(U$113+1),FALSE)*$BD$9/VLOOKUP($A578,'Fuel economy adjusted factor'!$A$2:$K$52,11,FALSE)*($AZ$15*VLOOKUP($A578,'US Grid mix, emissions&amp;prices'!$AE$2:$AI$52,3,FALSE)/100+$BA$15*VLOOKUP($A578,'US Grid mix, emissions&amp;prices'!$AE$2:$AI$52,4,FALSE)/100)/(1+$AZ$41)^U$113+VLOOKUP($A578,'VKT US'!$B$63:$AA$113,(U$168+1),FALSE)*(1-$BD$9)/VLOOKUP($A578,'Fuel economy adjusted factor'!$A$2:$K$52,10,FALSE)*VLOOKUP($A578,'US Grid mix, emissions&amp;prices'!$AE$2:$AI$52,2,FALSE)/(1+$AZ$41)^U$168</f>
        <v>497.68773288748491</v>
      </c>
      <c r="V578" s="110" cm="1">
        <f t="array" ref="V578">SUMPRODUCT(INDEX(B578:U578,,_xlfn.SEQUENCE($AZ$13)))</f>
        <v>11247.231058814719</v>
      </c>
    </row>
    <row r="579" spans="1:22" x14ac:dyDescent="0.25">
      <c r="A579" s="102" t="s">
        <v>201</v>
      </c>
      <c r="B579" s="106">
        <f>VLOOKUP($A579,'VKT US'!$B$63:$AA$113,(B$113+1),FALSE)*$BD$9/VLOOKUP($A579,'Fuel economy adjusted factor'!$A$2:$K$52,11,FALSE)*($AZ$15*VLOOKUP($A579,'US Grid mix, emissions&amp;prices'!$AE$2:$AI$52,3,FALSE)/100+$BA$15*VLOOKUP($A579,'US Grid mix, emissions&amp;prices'!$AE$2:$AI$52,4,FALSE)/100)/(1+$AZ$41)^B$113+VLOOKUP($A579,'VKT US'!$B$63:$AA$113,(B$168+1),FALSE)*(1-$BD$9)/VLOOKUP($A579,'Fuel economy adjusted factor'!$A$2:$K$52,10,FALSE)*VLOOKUP($A579,'US Grid mix, emissions&amp;prices'!$AE$2:$AI$52,2,FALSE)/(1+$AZ$41)^B$168</f>
        <v>1301.4553202396007</v>
      </c>
      <c r="C579" s="106">
        <f>VLOOKUP($A579,'VKT US'!$B$63:$AA$113,(C$113+1),FALSE)*$BD$9/VLOOKUP($A579,'Fuel economy adjusted factor'!$A$2:$K$52,11,FALSE)*($AZ$15*VLOOKUP($A579,'US Grid mix, emissions&amp;prices'!$AE$2:$AI$52,3,FALSE)/100+$BA$15*VLOOKUP($A579,'US Grid mix, emissions&amp;prices'!$AE$2:$AI$52,4,FALSE)/100)/(1+$AZ$41)^C$113+VLOOKUP($A579,'VKT US'!$B$63:$AA$113,(C$168+1),FALSE)*(1-$BD$9)/VLOOKUP($A579,'Fuel economy adjusted factor'!$A$2:$K$52,10,FALSE)*VLOOKUP($A579,'US Grid mix, emissions&amp;prices'!$AE$2:$AI$52,2,FALSE)/(1+$AZ$41)^C$168</f>
        <v>1247.7728636680536</v>
      </c>
      <c r="D579" s="106">
        <f>VLOOKUP($A579,'VKT US'!$B$63:$AA$113,(D$113+1),FALSE)*$BD$9/VLOOKUP($A579,'Fuel economy adjusted factor'!$A$2:$K$52,11,FALSE)*($AZ$15*VLOOKUP($A579,'US Grid mix, emissions&amp;prices'!$AE$2:$AI$52,3,FALSE)/100+$BA$15*VLOOKUP($A579,'US Grid mix, emissions&amp;prices'!$AE$2:$AI$52,4,FALSE)/100)/(1+$AZ$41)^D$113+VLOOKUP($A579,'VKT US'!$B$63:$AA$113,(D$168+1),FALSE)*(1-$BD$9)/VLOOKUP($A579,'Fuel economy adjusted factor'!$A$2:$K$52,10,FALSE)*VLOOKUP($A579,'US Grid mix, emissions&amp;prices'!$AE$2:$AI$52,2,FALSE)/(1+$AZ$41)^D$168</f>
        <v>1196.3731292271818</v>
      </c>
      <c r="E579" s="106">
        <f>VLOOKUP($A579,'VKT US'!$B$63:$AA$113,(E$113+1),FALSE)*$BD$9/VLOOKUP($A579,'Fuel economy adjusted factor'!$A$2:$K$52,11,FALSE)*($AZ$15*VLOOKUP($A579,'US Grid mix, emissions&amp;prices'!$AE$2:$AI$52,3,FALSE)/100+$BA$15*VLOOKUP($A579,'US Grid mix, emissions&amp;prices'!$AE$2:$AI$52,4,FALSE)/100)/(1+$AZ$41)^E$113+VLOOKUP($A579,'VKT US'!$B$63:$AA$113,(E$168+1),FALSE)*(1-$BD$9)/VLOOKUP($A579,'Fuel economy adjusted factor'!$A$2:$K$52,10,FALSE)*VLOOKUP($A579,'US Grid mix, emissions&amp;prices'!$AE$2:$AI$52,2,FALSE)/(1+$AZ$41)^E$168</f>
        <v>1147.2860391579866</v>
      </c>
      <c r="F579" s="106">
        <f>VLOOKUP($A579,'VKT US'!$B$63:$AA$113,(F$113+1),FALSE)*$BD$9/VLOOKUP($A579,'Fuel economy adjusted factor'!$A$2:$K$52,11,FALSE)*($AZ$15*VLOOKUP($A579,'US Grid mix, emissions&amp;prices'!$AE$2:$AI$52,3,FALSE)/100+$BA$15*VLOOKUP($A579,'US Grid mix, emissions&amp;prices'!$AE$2:$AI$52,4,FALSE)/100)/(1+$AZ$41)^F$113+VLOOKUP($A579,'VKT US'!$B$63:$AA$113,(F$168+1),FALSE)*(1-$BD$9)/VLOOKUP($A579,'Fuel economy adjusted factor'!$A$2:$K$52,10,FALSE)*VLOOKUP($A579,'US Grid mix, emissions&amp;prices'!$AE$2:$AI$52,2,FALSE)/(1+$AZ$41)^F$168</f>
        <v>1100.3593497043621</v>
      </c>
      <c r="G579" s="106">
        <f>VLOOKUP($A579,'VKT US'!$B$63:$AA$113,(G$113+1),FALSE)*$BD$9/VLOOKUP($A579,'Fuel economy adjusted factor'!$A$2:$K$52,11,FALSE)*($AZ$15*VLOOKUP($A579,'US Grid mix, emissions&amp;prices'!$AE$2:$AI$52,3,FALSE)/100+$BA$15*VLOOKUP($A579,'US Grid mix, emissions&amp;prices'!$AE$2:$AI$52,4,FALSE)/100)/(1+$AZ$41)^G$113+VLOOKUP($A579,'VKT US'!$B$63:$AA$113,(G$168+1),FALSE)*(1-$BD$9)/VLOOKUP($A579,'Fuel economy adjusted factor'!$A$2:$K$52,10,FALSE)*VLOOKUP($A579,'US Grid mix, emissions&amp;prices'!$AE$2:$AI$52,2,FALSE)/(1+$AZ$41)^G$168</f>
        <v>1055.7119486323616</v>
      </c>
      <c r="H579" s="106">
        <f>VLOOKUP($A579,'VKT US'!$B$63:$AA$113,(H$113+1),FALSE)*$BD$9/VLOOKUP($A579,'Fuel economy adjusted factor'!$A$2:$K$52,11,FALSE)*($AZ$15*VLOOKUP($A579,'US Grid mix, emissions&amp;prices'!$AE$2:$AI$52,3,FALSE)/100+$BA$15*VLOOKUP($A579,'US Grid mix, emissions&amp;prices'!$AE$2:$AI$52,4,FALSE)/100)/(1+$AZ$41)^H$113+VLOOKUP($A579,'VKT US'!$B$63:$AA$113,(H$168+1),FALSE)*(1-$BD$9)/VLOOKUP($A579,'Fuel economy adjusted factor'!$A$2:$K$52,10,FALSE)*VLOOKUP($A579,'US Grid mix, emissions&amp;prices'!$AE$2:$AI$52,2,FALSE)/(1+$AZ$41)^H$168</f>
        <v>1013.0182414911403</v>
      </c>
      <c r="I579" s="106">
        <f>VLOOKUP($A579,'VKT US'!$B$63:$AA$113,(I$113+1),FALSE)*$BD$9/VLOOKUP($A579,'Fuel economy adjusted factor'!$A$2:$K$52,11,FALSE)*($AZ$15*VLOOKUP($A579,'US Grid mix, emissions&amp;prices'!$AE$2:$AI$52,3,FALSE)/100+$BA$15*VLOOKUP($A579,'US Grid mix, emissions&amp;prices'!$AE$2:$AI$52,4,FALSE)/100)/(1+$AZ$41)^I$113+VLOOKUP($A579,'VKT US'!$B$63:$AA$113,(I$168+1),FALSE)*(1-$BD$9)/VLOOKUP($A579,'Fuel economy adjusted factor'!$A$2:$K$52,10,FALSE)*VLOOKUP($A579,'US Grid mix, emissions&amp;prices'!$AE$2:$AI$52,2,FALSE)/(1+$AZ$41)^I$168</f>
        <v>972.39858317499795</v>
      </c>
      <c r="J579" s="106">
        <f>VLOOKUP($A579,'VKT US'!$B$63:$AA$113,(J$113+1),FALSE)*$BD$9/VLOOKUP($A579,'Fuel economy adjusted factor'!$A$2:$K$52,11,FALSE)*($AZ$15*VLOOKUP($A579,'US Grid mix, emissions&amp;prices'!$AE$2:$AI$52,3,FALSE)/100+$BA$15*VLOOKUP($A579,'US Grid mix, emissions&amp;prices'!$AE$2:$AI$52,4,FALSE)/100)/(1+$AZ$41)^J$113+VLOOKUP($A579,'VKT US'!$B$63:$AA$113,(J$168+1),FALSE)*(1-$BD$9)/VLOOKUP($A579,'Fuel economy adjusted factor'!$A$2:$K$52,10,FALSE)*VLOOKUP($A579,'US Grid mix, emissions&amp;prices'!$AE$2:$AI$52,2,FALSE)/(1+$AZ$41)^J$168</f>
        <v>933.79544202442685</v>
      </c>
      <c r="K579" s="106">
        <f>VLOOKUP($A579,'VKT US'!$B$63:$AA$113,(K$113+1),FALSE)*$BD$9/VLOOKUP($A579,'Fuel economy adjusted factor'!$A$2:$K$52,11,FALSE)*($AZ$15*VLOOKUP($A579,'US Grid mix, emissions&amp;prices'!$AE$2:$AI$52,3,FALSE)/100+$BA$15*VLOOKUP($A579,'US Grid mix, emissions&amp;prices'!$AE$2:$AI$52,4,FALSE)/100)/(1+$AZ$41)^K$113+VLOOKUP($A579,'VKT US'!$B$63:$AA$113,(K$168+1),FALSE)*(1-$BD$9)/VLOOKUP($A579,'Fuel economy adjusted factor'!$A$2:$K$52,10,FALSE)*VLOOKUP($A579,'US Grid mix, emissions&amp;prices'!$AE$2:$AI$52,2,FALSE)/(1+$AZ$41)^K$168</f>
        <v>897.15252927569759</v>
      </c>
      <c r="L579" s="106">
        <f>VLOOKUP($A579,'VKT US'!$B$63:$AA$113,(L$113+1),FALSE)*$BD$9/VLOOKUP($A579,'Fuel economy adjusted factor'!$A$2:$K$52,11,FALSE)*($AZ$15*VLOOKUP($A579,'US Grid mix, emissions&amp;prices'!$AE$2:$AI$52,3,FALSE)/100+$BA$15*VLOOKUP($A579,'US Grid mix, emissions&amp;prices'!$AE$2:$AI$52,4,FALSE)/100)/(1+$AZ$41)^L$113+VLOOKUP($A579,'VKT US'!$B$63:$AA$113,(L$168+1),FALSE)*(1-$BD$9)/VLOOKUP($A579,'Fuel economy adjusted factor'!$A$2:$K$52,10,FALSE)*VLOOKUP($A579,'US Grid mix, emissions&amp;prices'!$AE$2:$AI$52,2,FALSE)/(1+$AZ$41)^L$168</f>
        <v>862.33138610216918</v>
      </c>
      <c r="M579" s="106">
        <f>VLOOKUP($A579,'VKT US'!$B$63:$AA$113,(M$113+1),FALSE)*$BD$9/VLOOKUP($A579,'Fuel economy adjusted factor'!$A$2:$K$52,11,FALSE)*($AZ$15*VLOOKUP($A579,'US Grid mix, emissions&amp;prices'!$AE$2:$AI$52,3,FALSE)/100+$BA$15*VLOOKUP($A579,'US Grid mix, emissions&amp;prices'!$AE$2:$AI$52,4,FALSE)/100)/(1+$AZ$41)^M$113+VLOOKUP($A579,'VKT US'!$B$63:$AA$113,(M$168+1),FALSE)*(1-$BD$9)/VLOOKUP($A579,'Fuel economy adjusted factor'!$A$2:$K$52,10,FALSE)*VLOOKUP($A579,'US Grid mix, emissions&amp;prices'!$AE$2:$AI$52,2,FALSE)/(1+$AZ$41)^M$168</f>
        <v>829.3635068968656</v>
      </c>
      <c r="N579" s="106">
        <f>VLOOKUP($A579,'VKT US'!$B$63:$AA$113,(N$113+1),FALSE)*$BD$9/VLOOKUP($A579,'Fuel economy adjusted factor'!$A$2:$K$52,11,FALSE)*($AZ$15*VLOOKUP($A579,'US Grid mix, emissions&amp;prices'!$AE$2:$AI$52,3,FALSE)/100+$BA$15*VLOOKUP($A579,'US Grid mix, emissions&amp;prices'!$AE$2:$AI$52,4,FALSE)/100)/(1+$AZ$41)^N$113+VLOOKUP($A579,'VKT US'!$B$63:$AA$113,(N$168+1),FALSE)*(1-$BD$9)/VLOOKUP($A579,'Fuel economy adjusted factor'!$A$2:$K$52,10,FALSE)*VLOOKUP($A579,'US Grid mix, emissions&amp;prices'!$AE$2:$AI$52,2,FALSE)/(1+$AZ$41)^N$168</f>
        <v>798.11473393329516</v>
      </c>
      <c r="O579" s="106">
        <f>VLOOKUP($A579,'VKT US'!$B$63:$AA$113,(O$113+1),FALSE)*$BD$9/VLOOKUP($A579,'Fuel economy adjusted factor'!$A$2:$K$52,11,FALSE)*($AZ$15*VLOOKUP($A579,'US Grid mix, emissions&amp;prices'!$AE$2:$AI$52,3,FALSE)/100+$BA$15*VLOOKUP($A579,'US Grid mix, emissions&amp;prices'!$AE$2:$AI$52,4,FALSE)/100)/(1+$AZ$41)^O$113+VLOOKUP($A579,'VKT US'!$B$63:$AA$113,(O$168+1),FALSE)*(1-$BD$9)/VLOOKUP($A579,'Fuel economy adjusted factor'!$A$2:$K$52,10,FALSE)*VLOOKUP($A579,'US Grid mix, emissions&amp;prices'!$AE$2:$AI$52,2,FALSE)/(1+$AZ$41)^O$168</f>
        <v>768.61684003998221</v>
      </c>
      <c r="P579" s="106">
        <f>VLOOKUP($A579,'VKT US'!$B$63:$AA$113,(P$113+1),FALSE)*$BD$9/VLOOKUP($A579,'Fuel economy adjusted factor'!$A$2:$K$52,11,FALSE)*($AZ$15*VLOOKUP($A579,'US Grid mix, emissions&amp;prices'!$AE$2:$AI$52,3,FALSE)/100+$BA$15*VLOOKUP($A579,'US Grid mix, emissions&amp;prices'!$AE$2:$AI$52,4,FALSE)/100)/(1+$AZ$41)^P$113+VLOOKUP($A579,'VKT US'!$B$63:$AA$113,(P$168+1),FALSE)*(1-$BD$9)/VLOOKUP($A579,'Fuel economy adjusted factor'!$A$2:$K$52,10,FALSE)*VLOOKUP($A579,'US Grid mix, emissions&amp;prices'!$AE$2:$AI$52,2,FALSE)/(1+$AZ$41)^P$168</f>
        <v>740.7398353281518</v>
      </c>
      <c r="Q579" s="106">
        <f>VLOOKUP($A579,'VKT US'!$B$63:$AA$113,(Q$113+1),FALSE)*$BD$9/VLOOKUP($A579,'Fuel economy adjusted factor'!$A$2:$K$52,11,FALSE)*($AZ$15*VLOOKUP($A579,'US Grid mix, emissions&amp;prices'!$AE$2:$AI$52,3,FALSE)/100+$BA$15*VLOOKUP($A579,'US Grid mix, emissions&amp;prices'!$AE$2:$AI$52,4,FALSE)/100)/(1+$AZ$41)^Q$113+VLOOKUP($A579,'VKT US'!$B$63:$AA$113,(Q$168+1),FALSE)*(1-$BD$9)/VLOOKUP($A579,'Fuel economy adjusted factor'!$A$2:$K$52,10,FALSE)*VLOOKUP($A579,'US Grid mix, emissions&amp;prices'!$AE$2:$AI$52,2,FALSE)/(1+$AZ$41)^Q$168</f>
        <v>714.59429447731316</v>
      </c>
      <c r="R579" s="106">
        <f>VLOOKUP($A579,'VKT US'!$B$63:$AA$113,(R$113+1),FALSE)*$BD$9/VLOOKUP($A579,'Fuel economy adjusted factor'!$A$2:$K$52,11,FALSE)*($AZ$15*VLOOKUP($A579,'US Grid mix, emissions&amp;prices'!$AE$2:$AI$52,3,FALSE)/100+$BA$15*VLOOKUP($A579,'US Grid mix, emissions&amp;prices'!$AE$2:$AI$52,4,FALSE)/100)/(1+$AZ$41)^R$113+VLOOKUP($A579,'VKT US'!$B$63:$AA$113,(R$168+1),FALSE)*(1-$BD$9)/VLOOKUP($A579,'Fuel economy adjusted factor'!$A$2:$K$52,10,FALSE)*VLOOKUP($A579,'US Grid mix, emissions&amp;prices'!$AE$2:$AI$52,2,FALSE)/(1+$AZ$41)^R$168</f>
        <v>689.89621192782931</v>
      </c>
      <c r="S579" s="106">
        <f>VLOOKUP($A579,'VKT US'!$B$63:$AA$113,(S$113+1),FALSE)*$BD$9/VLOOKUP($A579,'Fuel economy adjusted factor'!$A$2:$K$52,11,FALSE)*($AZ$15*VLOOKUP($A579,'US Grid mix, emissions&amp;prices'!$AE$2:$AI$52,3,FALSE)/100+$BA$15*VLOOKUP($A579,'US Grid mix, emissions&amp;prices'!$AE$2:$AI$52,4,FALSE)/100)/(1+$AZ$41)^S$113+VLOOKUP($A579,'VKT US'!$B$63:$AA$113,(S$168+1),FALSE)*(1-$BD$9)/VLOOKUP($A579,'Fuel economy adjusted factor'!$A$2:$K$52,10,FALSE)*VLOOKUP($A579,'US Grid mix, emissions&amp;prices'!$AE$2:$AI$52,2,FALSE)/(1+$AZ$41)^S$168</f>
        <v>666.83401859008666</v>
      </c>
      <c r="T579" s="106">
        <f>VLOOKUP($A579,'VKT US'!$B$63:$AA$113,(T$113+1),FALSE)*$BD$9/VLOOKUP($A579,'Fuel economy adjusted factor'!$A$2:$K$52,11,FALSE)*($AZ$15*VLOOKUP($A579,'US Grid mix, emissions&amp;prices'!$AE$2:$AI$52,3,FALSE)/100+$BA$15*VLOOKUP($A579,'US Grid mix, emissions&amp;prices'!$AE$2:$AI$52,4,FALSE)/100)/(1+$AZ$41)^T$113+VLOOKUP($A579,'VKT US'!$B$63:$AA$113,(T$168+1),FALSE)*(1-$BD$9)/VLOOKUP($A579,'Fuel economy adjusted factor'!$A$2:$K$52,10,FALSE)*VLOOKUP($A579,'US Grid mix, emissions&amp;prices'!$AE$2:$AI$52,2,FALSE)/(1+$AZ$41)^T$168</f>
        <v>645.13134826806561</v>
      </c>
      <c r="U579" s="109">
        <f>VLOOKUP($A579,'VKT US'!$B$63:$AA$113,(U$113+1),FALSE)*$BD$9/VLOOKUP($A579,'Fuel economy adjusted factor'!$A$2:$K$52,11,FALSE)*($AZ$15*VLOOKUP($A579,'US Grid mix, emissions&amp;prices'!$AE$2:$AI$52,3,FALSE)/100+$BA$15*VLOOKUP($A579,'US Grid mix, emissions&amp;prices'!$AE$2:$AI$52,4,FALSE)/100)/(1+$AZ$41)^U$113+VLOOKUP($A579,'VKT US'!$B$63:$AA$113,(U$168+1),FALSE)*(1-$BD$9)/VLOOKUP($A579,'Fuel economy adjusted factor'!$A$2:$K$52,10,FALSE)*VLOOKUP($A579,'US Grid mix, emissions&amp;prices'!$AE$2:$AI$52,2,FALSE)/(1+$AZ$41)^U$168</f>
        <v>624.97311894775794</v>
      </c>
      <c r="V579" s="110" cm="1">
        <f t="array" ref="V579">SUMPRODUCT(INDEX(B579:U579,,_xlfn.SEQUENCE($AZ$13)))</f>
        <v>14123.749913568121</v>
      </c>
    </row>
    <row r="580" spans="1:22" x14ac:dyDescent="0.25">
      <c r="A580" s="102" t="s">
        <v>204</v>
      </c>
      <c r="B580" s="106">
        <f>VLOOKUP($A580,'VKT US'!$B$63:$AA$113,(B$113+1),FALSE)*$BD$9/VLOOKUP($A580,'Fuel economy adjusted factor'!$A$2:$K$52,11,FALSE)*($AZ$15*VLOOKUP($A580,'US Grid mix, emissions&amp;prices'!$AE$2:$AI$52,3,FALSE)/100+$BA$15*VLOOKUP($A580,'US Grid mix, emissions&amp;prices'!$AE$2:$AI$52,4,FALSE)/100)/(1+$AZ$41)^B$113+VLOOKUP($A580,'VKT US'!$B$63:$AA$113,(B$168+1),FALSE)*(1-$BD$9)/VLOOKUP($A580,'Fuel economy adjusted factor'!$A$2:$K$52,10,FALSE)*VLOOKUP($A580,'US Grid mix, emissions&amp;prices'!$AE$2:$AI$52,2,FALSE)/(1+$AZ$41)^B$168</f>
        <v>1188.026268816217</v>
      </c>
      <c r="C580" s="106">
        <f>VLOOKUP($A580,'VKT US'!$B$63:$AA$113,(C$113+1),FALSE)*$BD$9/VLOOKUP($A580,'Fuel economy adjusted factor'!$A$2:$K$52,11,FALSE)*($AZ$15*VLOOKUP($A580,'US Grid mix, emissions&amp;prices'!$AE$2:$AI$52,3,FALSE)/100+$BA$15*VLOOKUP($A580,'US Grid mix, emissions&amp;prices'!$AE$2:$AI$52,4,FALSE)/100)/(1+$AZ$41)^C$113+VLOOKUP($A580,'VKT US'!$B$63:$AA$113,(C$168+1),FALSE)*(1-$BD$9)/VLOOKUP($A580,'Fuel economy adjusted factor'!$A$2:$K$52,10,FALSE)*VLOOKUP($A580,'US Grid mix, emissions&amp;prices'!$AE$2:$AI$52,2,FALSE)/(1+$AZ$41)^C$168</f>
        <v>1139.0225361565026</v>
      </c>
      <c r="D580" s="106">
        <f>VLOOKUP($A580,'VKT US'!$B$63:$AA$113,(D$113+1),FALSE)*$BD$9/VLOOKUP($A580,'Fuel economy adjusted factor'!$A$2:$K$52,11,FALSE)*($AZ$15*VLOOKUP($A580,'US Grid mix, emissions&amp;prices'!$AE$2:$AI$52,3,FALSE)/100+$BA$15*VLOOKUP($A580,'US Grid mix, emissions&amp;prices'!$AE$2:$AI$52,4,FALSE)/100)/(1+$AZ$41)^D$113+VLOOKUP($A580,'VKT US'!$B$63:$AA$113,(D$168+1),FALSE)*(1-$BD$9)/VLOOKUP($A580,'Fuel economy adjusted factor'!$A$2:$K$52,10,FALSE)*VLOOKUP($A580,'US Grid mix, emissions&amp;prices'!$AE$2:$AI$52,2,FALSE)/(1+$AZ$41)^D$168</f>
        <v>1092.1025737296013</v>
      </c>
      <c r="E580" s="106">
        <f>VLOOKUP($A580,'VKT US'!$B$63:$AA$113,(E$113+1),FALSE)*$BD$9/VLOOKUP($A580,'Fuel economy adjusted factor'!$A$2:$K$52,11,FALSE)*($AZ$15*VLOOKUP($A580,'US Grid mix, emissions&amp;prices'!$AE$2:$AI$52,3,FALSE)/100+$BA$15*VLOOKUP($A580,'US Grid mix, emissions&amp;prices'!$AE$2:$AI$52,4,FALSE)/100)/(1+$AZ$41)^E$113+VLOOKUP($A580,'VKT US'!$B$63:$AA$113,(E$168+1),FALSE)*(1-$BD$9)/VLOOKUP($A580,'Fuel economy adjusted factor'!$A$2:$K$52,10,FALSE)*VLOOKUP($A580,'US Grid mix, emissions&amp;prices'!$AE$2:$AI$52,2,FALSE)/(1+$AZ$41)^E$168</f>
        <v>1047.293695887206</v>
      </c>
      <c r="F580" s="106">
        <f>VLOOKUP($A580,'VKT US'!$B$63:$AA$113,(F$113+1),FALSE)*$BD$9/VLOOKUP($A580,'Fuel economy adjusted factor'!$A$2:$K$52,11,FALSE)*($AZ$15*VLOOKUP($A580,'US Grid mix, emissions&amp;prices'!$AE$2:$AI$52,3,FALSE)/100+$BA$15*VLOOKUP($A580,'US Grid mix, emissions&amp;prices'!$AE$2:$AI$52,4,FALSE)/100)/(1+$AZ$41)^F$113+VLOOKUP($A580,'VKT US'!$B$63:$AA$113,(F$168+1),FALSE)*(1-$BD$9)/VLOOKUP($A580,'Fuel economy adjusted factor'!$A$2:$K$52,10,FALSE)*VLOOKUP($A580,'US Grid mix, emissions&amp;prices'!$AE$2:$AI$52,2,FALSE)/(1+$AZ$41)^F$168</f>
        <v>1004.4569277611798</v>
      </c>
      <c r="G580" s="106">
        <f>VLOOKUP($A580,'VKT US'!$B$63:$AA$113,(G$113+1),FALSE)*$BD$9/VLOOKUP($A580,'Fuel economy adjusted factor'!$A$2:$K$52,11,FALSE)*($AZ$15*VLOOKUP($A580,'US Grid mix, emissions&amp;prices'!$AE$2:$AI$52,3,FALSE)/100+$BA$15*VLOOKUP($A580,'US Grid mix, emissions&amp;prices'!$AE$2:$AI$52,4,FALSE)/100)/(1+$AZ$41)^G$113+VLOOKUP($A580,'VKT US'!$B$63:$AA$113,(G$168+1),FALSE)*(1-$BD$9)/VLOOKUP($A580,'Fuel economy adjusted factor'!$A$2:$K$52,10,FALSE)*VLOOKUP($A580,'US Grid mix, emissions&amp;prices'!$AE$2:$AI$52,2,FALSE)/(1+$AZ$41)^G$168</f>
        <v>963.70079538919435</v>
      </c>
      <c r="H580" s="106">
        <f>VLOOKUP($A580,'VKT US'!$B$63:$AA$113,(H$113+1),FALSE)*$BD$9/VLOOKUP($A580,'Fuel economy adjusted factor'!$A$2:$K$52,11,FALSE)*($AZ$15*VLOOKUP($A580,'US Grid mix, emissions&amp;prices'!$AE$2:$AI$52,3,FALSE)/100+$BA$15*VLOOKUP($A580,'US Grid mix, emissions&amp;prices'!$AE$2:$AI$52,4,FALSE)/100)/(1+$AZ$41)^H$113+VLOOKUP($A580,'VKT US'!$B$63:$AA$113,(H$168+1),FALSE)*(1-$BD$9)/VLOOKUP($A580,'Fuel economy adjusted factor'!$A$2:$K$52,10,FALSE)*VLOOKUP($A580,'US Grid mix, emissions&amp;prices'!$AE$2:$AI$52,2,FALSE)/(1+$AZ$41)^H$168</f>
        <v>924.72808168314157</v>
      </c>
      <c r="I580" s="106">
        <f>VLOOKUP($A580,'VKT US'!$B$63:$AA$113,(I$113+1),FALSE)*$BD$9/VLOOKUP($A580,'Fuel economy adjusted factor'!$A$2:$K$52,11,FALSE)*($AZ$15*VLOOKUP($A580,'US Grid mix, emissions&amp;prices'!$AE$2:$AI$52,3,FALSE)/100+$BA$15*VLOOKUP($A580,'US Grid mix, emissions&amp;prices'!$AE$2:$AI$52,4,FALSE)/100)/(1+$AZ$41)^I$113+VLOOKUP($A580,'VKT US'!$B$63:$AA$113,(I$168+1),FALSE)*(1-$BD$9)/VLOOKUP($A580,'Fuel economy adjusted factor'!$A$2:$K$52,10,FALSE)*VLOOKUP($A580,'US Grid mix, emissions&amp;prices'!$AE$2:$AI$52,2,FALSE)/(1+$AZ$41)^I$168</f>
        <v>887.64865194057302</v>
      </c>
      <c r="J580" s="106">
        <f>VLOOKUP($A580,'VKT US'!$B$63:$AA$113,(J$113+1),FALSE)*$BD$9/VLOOKUP($A580,'Fuel economy adjusted factor'!$A$2:$K$52,11,FALSE)*($AZ$15*VLOOKUP($A580,'US Grid mix, emissions&amp;prices'!$AE$2:$AI$52,3,FALSE)/100+$BA$15*VLOOKUP($A580,'US Grid mix, emissions&amp;prices'!$AE$2:$AI$52,4,FALSE)/100)/(1+$AZ$41)^J$113+VLOOKUP($A580,'VKT US'!$B$63:$AA$113,(J$168+1),FALSE)*(1-$BD$9)/VLOOKUP($A580,'Fuel economy adjusted factor'!$A$2:$K$52,10,FALSE)*VLOOKUP($A580,'US Grid mix, emissions&amp;prices'!$AE$2:$AI$52,2,FALSE)/(1+$AZ$41)^J$168</f>
        <v>852.40998870528381</v>
      </c>
      <c r="K580" s="106">
        <f>VLOOKUP($A580,'VKT US'!$B$63:$AA$113,(K$113+1),FALSE)*$BD$9/VLOOKUP($A580,'Fuel economy adjusted factor'!$A$2:$K$52,11,FALSE)*($AZ$15*VLOOKUP($A580,'US Grid mix, emissions&amp;prices'!$AE$2:$AI$52,3,FALSE)/100+$BA$15*VLOOKUP($A580,'US Grid mix, emissions&amp;prices'!$AE$2:$AI$52,4,FALSE)/100)/(1+$AZ$41)^K$113+VLOOKUP($A580,'VKT US'!$B$63:$AA$113,(K$168+1),FALSE)*(1-$BD$9)/VLOOKUP($A580,'Fuel economy adjusted factor'!$A$2:$K$52,10,FALSE)*VLOOKUP($A580,'US Grid mix, emissions&amp;prices'!$AE$2:$AI$52,2,FALSE)/(1+$AZ$41)^K$168</f>
        <v>818.96070909158448</v>
      </c>
      <c r="L580" s="106">
        <f>VLOOKUP($A580,'VKT US'!$B$63:$AA$113,(L$113+1),FALSE)*$BD$9/VLOOKUP($A580,'Fuel economy adjusted factor'!$A$2:$K$52,11,FALSE)*($AZ$15*VLOOKUP($A580,'US Grid mix, emissions&amp;prices'!$AE$2:$AI$52,3,FALSE)/100+$BA$15*VLOOKUP($A580,'US Grid mix, emissions&amp;prices'!$AE$2:$AI$52,4,FALSE)/100)/(1+$AZ$41)^L$113+VLOOKUP($A580,'VKT US'!$B$63:$AA$113,(L$168+1),FALSE)*(1-$BD$9)/VLOOKUP($A580,'Fuel economy adjusted factor'!$A$2:$K$52,10,FALSE)*VLOOKUP($A580,'US Grid mix, emissions&amp;prices'!$AE$2:$AI$52,2,FALSE)/(1+$AZ$41)^L$168</f>
        <v>787.17442172772326</v>
      </c>
      <c r="M580" s="106">
        <f>VLOOKUP($A580,'VKT US'!$B$63:$AA$113,(M$113+1),FALSE)*$BD$9/VLOOKUP($A580,'Fuel economy adjusted factor'!$A$2:$K$52,11,FALSE)*($AZ$15*VLOOKUP($A580,'US Grid mix, emissions&amp;prices'!$AE$2:$AI$52,3,FALSE)/100+$BA$15*VLOOKUP($A580,'US Grid mix, emissions&amp;prices'!$AE$2:$AI$52,4,FALSE)/100)/(1+$AZ$41)^M$113+VLOOKUP($A580,'VKT US'!$B$63:$AA$113,(M$168+1),FALSE)*(1-$BD$9)/VLOOKUP($A580,'Fuel economy adjusted factor'!$A$2:$K$52,10,FALSE)*VLOOKUP($A580,'US Grid mix, emissions&amp;prices'!$AE$2:$AI$52,2,FALSE)/(1+$AZ$41)^M$168</f>
        <v>757.07987609564577</v>
      </c>
      <c r="N580" s="106">
        <f>VLOOKUP($A580,'VKT US'!$B$63:$AA$113,(N$113+1),FALSE)*$BD$9/VLOOKUP($A580,'Fuel economy adjusted factor'!$A$2:$K$52,11,FALSE)*($AZ$15*VLOOKUP($A580,'US Grid mix, emissions&amp;prices'!$AE$2:$AI$52,3,FALSE)/100+$BA$15*VLOOKUP($A580,'US Grid mix, emissions&amp;prices'!$AE$2:$AI$52,4,FALSE)/100)/(1+$AZ$41)^N$113+VLOOKUP($A580,'VKT US'!$B$63:$AA$113,(N$168+1),FALSE)*(1-$BD$9)/VLOOKUP($A580,'Fuel economy adjusted factor'!$A$2:$K$52,10,FALSE)*VLOOKUP($A580,'US Grid mix, emissions&amp;prices'!$AE$2:$AI$52,2,FALSE)/(1+$AZ$41)^N$168</f>
        <v>728.55460705900987</v>
      </c>
      <c r="O580" s="106">
        <f>VLOOKUP($A580,'VKT US'!$B$63:$AA$113,(O$113+1),FALSE)*$BD$9/VLOOKUP($A580,'Fuel economy adjusted factor'!$A$2:$K$52,11,FALSE)*($AZ$15*VLOOKUP($A580,'US Grid mix, emissions&amp;prices'!$AE$2:$AI$52,3,FALSE)/100+$BA$15*VLOOKUP($A580,'US Grid mix, emissions&amp;prices'!$AE$2:$AI$52,4,FALSE)/100)/(1+$AZ$41)^O$113+VLOOKUP($A580,'VKT US'!$B$63:$AA$113,(O$168+1),FALSE)*(1-$BD$9)/VLOOKUP($A580,'Fuel economy adjusted factor'!$A$2:$K$52,10,FALSE)*VLOOKUP($A580,'US Grid mix, emissions&amp;prices'!$AE$2:$AI$52,2,FALSE)/(1+$AZ$41)^O$168</f>
        <v>701.62761826806354</v>
      </c>
      <c r="P580" s="106">
        <f>VLOOKUP($A580,'VKT US'!$B$63:$AA$113,(P$113+1),FALSE)*$BD$9/VLOOKUP($A580,'Fuel economy adjusted factor'!$A$2:$K$52,11,FALSE)*($AZ$15*VLOOKUP($A580,'US Grid mix, emissions&amp;prices'!$AE$2:$AI$52,3,FALSE)/100+$BA$15*VLOOKUP($A580,'US Grid mix, emissions&amp;prices'!$AE$2:$AI$52,4,FALSE)/100)/(1+$AZ$41)^P$113+VLOOKUP($A580,'VKT US'!$B$63:$AA$113,(P$168+1),FALSE)*(1-$BD$9)/VLOOKUP($A580,'Fuel economy adjusted factor'!$A$2:$K$52,10,FALSE)*VLOOKUP($A580,'US Grid mix, emissions&amp;prices'!$AE$2:$AI$52,2,FALSE)/(1+$AZ$41)^P$168</f>
        <v>676.18024917400135</v>
      </c>
      <c r="Q580" s="106">
        <f>VLOOKUP($A580,'VKT US'!$B$63:$AA$113,(Q$113+1),FALSE)*$BD$9/VLOOKUP($A580,'Fuel economy adjusted factor'!$A$2:$K$52,11,FALSE)*($AZ$15*VLOOKUP($A580,'US Grid mix, emissions&amp;prices'!$AE$2:$AI$52,3,FALSE)/100+$BA$15*VLOOKUP($A580,'US Grid mix, emissions&amp;prices'!$AE$2:$AI$52,4,FALSE)/100)/(1+$AZ$41)^Q$113+VLOOKUP($A580,'VKT US'!$B$63:$AA$113,(Q$168+1),FALSE)*(1-$BD$9)/VLOOKUP($A580,'Fuel economy adjusted factor'!$A$2:$K$52,10,FALSE)*VLOOKUP($A580,'US Grid mix, emissions&amp;prices'!$AE$2:$AI$52,2,FALSE)/(1+$AZ$41)^Q$168</f>
        <v>652.31343725956299</v>
      </c>
      <c r="R580" s="106">
        <f>VLOOKUP($A580,'VKT US'!$B$63:$AA$113,(R$113+1),FALSE)*$BD$9/VLOOKUP($A580,'Fuel economy adjusted factor'!$A$2:$K$52,11,FALSE)*($AZ$15*VLOOKUP($A580,'US Grid mix, emissions&amp;prices'!$AE$2:$AI$52,3,FALSE)/100+$BA$15*VLOOKUP($A580,'US Grid mix, emissions&amp;prices'!$AE$2:$AI$52,4,FALSE)/100)/(1+$AZ$41)^R$113+VLOOKUP($A580,'VKT US'!$B$63:$AA$113,(R$168+1),FALSE)*(1-$BD$9)/VLOOKUP($A580,'Fuel economy adjusted factor'!$A$2:$K$52,10,FALSE)*VLOOKUP($A580,'US Grid mix, emissions&amp;prices'!$AE$2:$AI$52,2,FALSE)/(1+$AZ$41)^R$168</f>
        <v>629.76792962525064</v>
      </c>
      <c r="S580" s="106">
        <f>VLOOKUP($A580,'VKT US'!$B$63:$AA$113,(S$113+1),FALSE)*$BD$9/VLOOKUP($A580,'Fuel economy adjusted factor'!$A$2:$K$52,11,FALSE)*($AZ$15*VLOOKUP($A580,'US Grid mix, emissions&amp;prices'!$AE$2:$AI$52,3,FALSE)/100+$BA$15*VLOOKUP($A580,'US Grid mix, emissions&amp;prices'!$AE$2:$AI$52,4,FALSE)/100)/(1+$AZ$41)^S$113+VLOOKUP($A580,'VKT US'!$B$63:$AA$113,(S$168+1),FALSE)*(1-$BD$9)/VLOOKUP($A580,'Fuel economy adjusted factor'!$A$2:$K$52,10,FALSE)*VLOOKUP($A580,'US Grid mix, emissions&amp;prices'!$AE$2:$AI$52,2,FALSE)/(1+$AZ$41)^S$168</f>
        <v>608.71573438222663</v>
      </c>
      <c r="T580" s="106">
        <f>VLOOKUP($A580,'VKT US'!$B$63:$AA$113,(T$113+1),FALSE)*$BD$9/VLOOKUP($A580,'Fuel economy adjusted factor'!$A$2:$K$52,11,FALSE)*($AZ$15*VLOOKUP($A580,'US Grid mix, emissions&amp;prices'!$AE$2:$AI$52,3,FALSE)/100+$BA$15*VLOOKUP($A580,'US Grid mix, emissions&amp;prices'!$AE$2:$AI$52,4,FALSE)/100)/(1+$AZ$41)^T$113+VLOOKUP($A580,'VKT US'!$B$63:$AA$113,(T$168+1),FALSE)*(1-$BD$9)/VLOOKUP($A580,'Fuel economy adjusted factor'!$A$2:$K$52,10,FALSE)*VLOOKUP($A580,'US Grid mix, emissions&amp;prices'!$AE$2:$AI$52,2,FALSE)/(1+$AZ$41)^T$168</f>
        <v>588.90457218168922</v>
      </c>
      <c r="U580" s="109">
        <f>VLOOKUP($A580,'VKT US'!$B$63:$AA$113,(U$113+1),FALSE)*$BD$9/VLOOKUP($A580,'Fuel economy adjusted factor'!$A$2:$K$52,11,FALSE)*($AZ$15*VLOOKUP($A580,'US Grid mix, emissions&amp;prices'!$AE$2:$AI$52,3,FALSE)/100+$BA$15*VLOOKUP($A580,'US Grid mix, emissions&amp;prices'!$AE$2:$AI$52,4,FALSE)/100)/(1+$AZ$41)^U$113+VLOOKUP($A580,'VKT US'!$B$63:$AA$113,(U$168+1),FALSE)*(1-$BD$9)/VLOOKUP($A580,'Fuel economy adjusted factor'!$A$2:$K$52,10,FALSE)*VLOOKUP($A580,'US Grid mix, emissions&amp;prices'!$AE$2:$AI$52,2,FALSE)/(1+$AZ$41)^U$168</f>
        <v>570.50324438125585</v>
      </c>
      <c r="V580" s="110" cm="1">
        <f t="array" ref="V580">SUMPRODUCT(INDEX(B580:U580,,_xlfn.SEQUENCE($AZ$13)))</f>
        <v>12892.786752310925</v>
      </c>
    </row>
    <row r="581" spans="1:22" x14ac:dyDescent="0.25">
      <c r="A581" s="102" t="s">
        <v>205</v>
      </c>
      <c r="B581" s="106">
        <f>VLOOKUP($A581,'VKT US'!$B$63:$AA$113,(B$113+1),FALSE)*$BD$9/VLOOKUP($A581,'Fuel economy adjusted factor'!$A$2:$K$52,11,FALSE)*($AZ$15*VLOOKUP($A581,'US Grid mix, emissions&amp;prices'!$AE$2:$AI$52,3,FALSE)/100+$BA$15*VLOOKUP($A581,'US Grid mix, emissions&amp;prices'!$AE$2:$AI$52,4,FALSE)/100)/(1+$AZ$41)^B$113+VLOOKUP($A581,'VKT US'!$B$63:$AA$113,(B$168+1),FALSE)*(1-$BD$9)/VLOOKUP($A581,'Fuel economy adjusted factor'!$A$2:$K$52,10,FALSE)*VLOOKUP($A581,'US Grid mix, emissions&amp;prices'!$AE$2:$AI$52,2,FALSE)/(1+$AZ$41)^B$168</f>
        <v>1414.3571755615158</v>
      </c>
      <c r="C581" s="106">
        <f>VLOOKUP($A581,'VKT US'!$B$63:$AA$113,(C$113+1),FALSE)*$BD$9/VLOOKUP($A581,'Fuel economy adjusted factor'!$A$2:$K$52,11,FALSE)*($AZ$15*VLOOKUP($A581,'US Grid mix, emissions&amp;prices'!$AE$2:$AI$52,3,FALSE)/100+$BA$15*VLOOKUP($A581,'US Grid mix, emissions&amp;prices'!$AE$2:$AI$52,4,FALSE)/100)/(1+$AZ$41)^C$113+VLOOKUP($A581,'VKT US'!$B$63:$AA$113,(C$168+1),FALSE)*(1-$BD$9)/VLOOKUP($A581,'Fuel economy adjusted factor'!$A$2:$K$52,10,FALSE)*VLOOKUP($A581,'US Grid mix, emissions&amp;prices'!$AE$2:$AI$52,2,FALSE)/(1+$AZ$41)^C$168</f>
        <v>1356.0177408740774</v>
      </c>
      <c r="D581" s="106">
        <f>VLOOKUP($A581,'VKT US'!$B$63:$AA$113,(D$113+1),FALSE)*$BD$9/VLOOKUP($A581,'Fuel economy adjusted factor'!$A$2:$K$52,11,FALSE)*($AZ$15*VLOOKUP($A581,'US Grid mix, emissions&amp;prices'!$AE$2:$AI$52,3,FALSE)/100+$BA$15*VLOOKUP($A581,'US Grid mix, emissions&amp;prices'!$AE$2:$AI$52,4,FALSE)/100)/(1+$AZ$41)^D$113+VLOOKUP($A581,'VKT US'!$B$63:$AA$113,(D$168+1),FALSE)*(1-$BD$9)/VLOOKUP($A581,'Fuel economy adjusted factor'!$A$2:$K$52,10,FALSE)*VLOOKUP($A581,'US Grid mix, emissions&amp;prices'!$AE$2:$AI$52,2,FALSE)/(1+$AZ$41)^D$168</f>
        <v>1300.1590555255711</v>
      </c>
      <c r="E581" s="106">
        <f>VLOOKUP($A581,'VKT US'!$B$63:$AA$113,(E$113+1),FALSE)*$BD$9/VLOOKUP($A581,'Fuel economy adjusted factor'!$A$2:$K$52,11,FALSE)*($AZ$15*VLOOKUP($A581,'US Grid mix, emissions&amp;prices'!$AE$2:$AI$52,3,FALSE)/100+$BA$15*VLOOKUP($A581,'US Grid mix, emissions&amp;prices'!$AE$2:$AI$52,4,FALSE)/100)/(1+$AZ$41)^E$113+VLOOKUP($A581,'VKT US'!$B$63:$AA$113,(E$168+1),FALSE)*(1-$BD$9)/VLOOKUP($A581,'Fuel economy adjusted factor'!$A$2:$K$52,10,FALSE)*VLOOKUP($A581,'US Grid mix, emissions&amp;prices'!$AE$2:$AI$52,2,FALSE)/(1+$AZ$41)^E$168</f>
        <v>1246.8136375253443</v>
      </c>
      <c r="F581" s="106">
        <f>VLOOKUP($A581,'VKT US'!$B$63:$AA$113,(F$113+1),FALSE)*$BD$9/VLOOKUP($A581,'Fuel economy adjusted factor'!$A$2:$K$52,11,FALSE)*($AZ$15*VLOOKUP($A581,'US Grid mix, emissions&amp;prices'!$AE$2:$AI$52,3,FALSE)/100+$BA$15*VLOOKUP($A581,'US Grid mix, emissions&amp;prices'!$AE$2:$AI$52,4,FALSE)/100)/(1+$AZ$41)^F$113+VLOOKUP($A581,'VKT US'!$B$63:$AA$113,(F$168+1),FALSE)*(1-$BD$9)/VLOOKUP($A581,'Fuel economy adjusted factor'!$A$2:$K$52,10,FALSE)*VLOOKUP($A581,'US Grid mix, emissions&amp;prices'!$AE$2:$AI$52,2,FALSE)/(1+$AZ$41)^F$168</f>
        <v>1195.8160359005249</v>
      </c>
      <c r="G581" s="106">
        <f>VLOOKUP($A581,'VKT US'!$B$63:$AA$113,(G$113+1),FALSE)*$BD$9/VLOOKUP($A581,'Fuel economy adjusted factor'!$A$2:$K$52,11,FALSE)*($AZ$15*VLOOKUP($A581,'US Grid mix, emissions&amp;prices'!$AE$2:$AI$52,3,FALSE)/100+$BA$15*VLOOKUP($A581,'US Grid mix, emissions&amp;prices'!$AE$2:$AI$52,4,FALSE)/100)/(1+$AZ$41)^G$113+VLOOKUP($A581,'VKT US'!$B$63:$AA$113,(G$168+1),FALSE)*(1-$BD$9)/VLOOKUP($A581,'Fuel economy adjusted factor'!$A$2:$K$52,10,FALSE)*VLOOKUP($A581,'US Grid mix, emissions&amp;prices'!$AE$2:$AI$52,2,FALSE)/(1+$AZ$41)^G$168</f>
        <v>1147.2954519862565</v>
      </c>
      <c r="H581" s="106">
        <f>VLOOKUP($A581,'VKT US'!$B$63:$AA$113,(H$113+1),FALSE)*$BD$9/VLOOKUP($A581,'Fuel economy adjusted factor'!$A$2:$K$52,11,FALSE)*($AZ$15*VLOOKUP($A581,'US Grid mix, emissions&amp;prices'!$AE$2:$AI$52,3,FALSE)/100+$BA$15*VLOOKUP($A581,'US Grid mix, emissions&amp;prices'!$AE$2:$AI$52,4,FALSE)/100)/(1+$AZ$41)^H$113+VLOOKUP($A581,'VKT US'!$B$63:$AA$113,(H$168+1),FALSE)*(1-$BD$9)/VLOOKUP($A581,'Fuel economy adjusted factor'!$A$2:$K$52,10,FALSE)*VLOOKUP($A581,'US Grid mix, emissions&amp;prices'!$AE$2:$AI$52,2,FALSE)/(1+$AZ$41)^H$168</f>
        <v>1100.8980458614033</v>
      </c>
      <c r="I581" s="106">
        <f>VLOOKUP($A581,'VKT US'!$B$63:$AA$113,(I$113+1),FALSE)*$BD$9/VLOOKUP($A581,'Fuel economy adjusted factor'!$A$2:$K$52,11,FALSE)*($AZ$15*VLOOKUP($A581,'US Grid mix, emissions&amp;prices'!$AE$2:$AI$52,3,FALSE)/100+$BA$15*VLOOKUP($A581,'US Grid mix, emissions&amp;prices'!$AE$2:$AI$52,4,FALSE)/100)/(1+$AZ$41)^I$113+VLOOKUP($A581,'VKT US'!$B$63:$AA$113,(I$168+1),FALSE)*(1-$BD$9)/VLOOKUP($A581,'Fuel economy adjusted factor'!$A$2:$K$52,10,FALSE)*VLOOKUP($A581,'US Grid mix, emissions&amp;prices'!$AE$2:$AI$52,2,FALSE)/(1+$AZ$41)^I$168</f>
        <v>1056.7546132634125</v>
      </c>
      <c r="J581" s="106">
        <f>VLOOKUP($A581,'VKT US'!$B$63:$AA$113,(J$113+1),FALSE)*$BD$9/VLOOKUP($A581,'Fuel economy adjusted factor'!$A$2:$K$52,11,FALSE)*($AZ$15*VLOOKUP($A581,'US Grid mix, emissions&amp;prices'!$AE$2:$AI$52,3,FALSE)/100+$BA$15*VLOOKUP($A581,'US Grid mix, emissions&amp;prices'!$AE$2:$AI$52,4,FALSE)/100)/(1+$AZ$41)^J$113+VLOOKUP($A581,'VKT US'!$B$63:$AA$113,(J$168+1),FALSE)*(1-$BD$9)/VLOOKUP($A581,'Fuel economy adjusted factor'!$A$2:$K$52,10,FALSE)*VLOOKUP($A581,'US Grid mix, emissions&amp;prices'!$AE$2:$AI$52,2,FALSE)/(1+$AZ$41)^J$168</f>
        <v>1014.8026316345137</v>
      </c>
      <c r="K581" s="106">
        <f>VLOOKUP($A581,'VKT US'!$B$63:$AA$113,(K$113+1),FALSE)*$BD$9/VLOOKUP($A581,'Fuel economy adjusted factor'!$A$2:$K$52,11,FALSE)*($AZ$15*VLOOKUP($A581,'US Grid mix, emissions&amp;prices'!$AE$2:$AI$52,3,FALSE)/100+$BA$15*VLOOKUP($A581,'US Grid mix, emissions&amp;prices'!$AE$2:$AI$52,4,FALSE)/100)/(1+$AZ$41)^K$113+VLOOKUP($A581,'VKT US'!$B$63:$AA$113,(K$168+1),FALSE)*(1-$BD$9)/VLOOKUP($A581,'Fuel economy adjusted factor'!$A$2:$K$52,10,FALSE)*VLOOKUP($A581,'US Grid mix, emissions&amp;prices'!$AE$2:$AI$52,2,FALSE)/(1+$AZ$41)^K$168</f>
        <v>974.98092913450114</v>
      </c>
      <c r="L581" s="106">
        <f>VLOOKUP($A581,'VKT US'!$B$63:$AA$113,(L$113+1),FALSE)*$BD$9/VLOOKUP($A581,'Fuel economy adjusted factor'!$A$2:$K$52,11,FALSE)*($AZ$15*VLOOKUP($A581,'US Grid mix, emissions&amp;prices'!$AE$2:$AI$52,3,FALSE)/100+$BA$15*VLOOKUP($A581,'US Grid mix, emissions&amp;prices'!$AE$2:$AI$52,4,FALSE)/100)/(1+$AZ$41)^L$113+VLOOKUP($A581,'VKT US'!$B$63:$AA$113,(L$168+1),FALSE)*(1-$BD$9)/VLOOKUP($A581,'Fuel economy adjusted factor'!$A$2:$K$52,10,FALSE)*VLOOKUP($A581,'US Grid mix, emissions&amp;prices'!$AE$2:$AI$52,2,FALSE)/(1+$AZ$41)^L$168</f>
        <v>937.13903556902108</v>
      </c>
      <c r="M581" s="106">
        <f>VLOOKUP($A581,'VKT US'!$B$63:$AA$113,(M$113+1),FALSE)*$BD$9/VLOOKUP($A581,'Fuel economy adjusted factor'!$A$2:$K$52,11,FALSE)*($AZ$15*VLOOKUP($A581,'US Grid mix, emissions&amp;prices'!$AE$2:$AI$52,3,FALSE)/100+$BA$15*VLOOKUP($A581,'US Grid mix, emissions&amp;prices'!$AE$2:$AI$52,4,FALSE)/100)/(1+$AZ$41)^M$113+VLOOKUP($A581,'VKT US'!$B$63:$AA$113,(M$168+1),FALSE)*(1-$BD$9)/VLOOKUP($A581,'Fuel economy adjusted factor'!$A$2:$K$52,10,FALSE)*VLOOKUP($A581,'US Grid mix, emissions&amp;prices'!$AE$2:$AI$52,2,FALSE)/(1+$AZ$41)^M$168</f>
        <v>901.31117748436418</v>
      </c>
      <c r="N581" s="106">
        <f>VLOOKUP($A581,'VKT US'!$B$63:$AA$113,(N$113+1),FALSE)*$BD$9/VLOOKUP($A581,'Fuel economy adjusted factor'!$A$2:$K$52,11,FALSE)*($AZ$15*VLOOKUP($A581,'US Grid mix, emissions&amp;prices'!$AE$2:$AI$52,3,FALSE)/100+$BA$15*VLOOKUP($A581,'US Grid mix, emissions&amp;prices'!$AE$2:$AI$52,4,FALSE)/100)/(1+$AZ$41)^N$113+VLOOKUP($A581,'VKT US'!$B$63:$AA$113,(N$168+1),FALSE)*(1-$BD$9)/VLOOKUP($A581,'Fuel economy adjusted factor'!$A$2:$K$52,10,FALSE)*VLOOKUP($A581,'US Grid mix, emissions&amp;prices'!$AE$2:$AI$52,2,FALSE)/(1+$AZ$41)^N$168</f>
        <v>867.35155890876672</v>
      </c>
      <c r="O581" s="106">
        <f>VLOOKUP($A581,'VKT US'!$B$63:$AA$113,(O$113+1),FALSE)*$BD$9/VLOOKUP($A581,'Fuel economy adjusted factor'!$A$2:$K$52,11,FALSE)*($AZ$15*VLOOKUP($A581,'US Grid mix, emissions&amp;prices'!$AE$2:$AI$52,3,FALSE)/100+$BA$15*VLOOKUP($A581,'US Grid mix, emissions&amp;prices'!$AE$2:$AI$52,4,FALSE)/100)/(1+$AZ$41)^O$113+VLOOKUP($A581,'VKT US'!$B$63:$AA$113,(O$168+1),FALSE)*(1-$BD$9)/VLOOKUP($A581,'Fuel economy adjusted factor'!$A$2:$K$52,10,FALSE)*VLOOKUP($A581,'US Grid mix, emissions&amp;prices'!$AE$2:$AI$52,2,FALSE)/(1+$AZ$41)^O$168</f>
        <v>835.29470897842998</v>
      </c>
      <c r="P581" s="106">
        <f>VLOOKUP($A581,'VKT US'!$B$63:$AA$113,(P$113+1),FALSE)*$BD$9/VLOOKUP($A581,'Fuel economy adjusted factor'!$A$2:$K$52,11,FALSE)*($AZ$15*VLOOKUP($A581,'US Grid mix, emissions&amp;prices'!$AE$2:$AI$52,3,FALSE)/100+$BA$15*VLOOKUP($A581,'US Grid mix, emissions&amp;prices'!$AE$2:$AI$52,4,FALSE)/100)/(1+$AZ$41)^P$113+VLOOKUP($A581,'VKT US'!$B$63:$AA$113,(P$168+1),FALSE)*(1-$BD$9)/VLOOKUP($A581,'Fuel economy adjusted factor'!$A$2:$K$52,10,FALSE)*VLOOKUP($A581,'US Grid mix, emissions&amp;prices'!$AE$2:$AI$52,2,FALSE)/(1+$AZ$41)^P$168</f>
        <v>804.99936112117075</v>
      </c>
      <c r="Q581" s="106">
        <f>VLOOKUP($A581,'VKT US'!$B$63:$AA$113,(Q$113+1),FALSE)*$BD$9/VLOOKUP($A581,'Fuel economy adjusted factor'!$A$2:$K$52,11,FALSE)*($AZ$15*VLOOKUP($A581,'US Grid mix, emissions&amp;prices'!$AE$2:$AI$52,3,FALSE)/100+$BA$15*VLOOKUP($A581,'US Grid mix, emissions&amp;prices'!$AE$2:$AI$52,4,FALSE)/100)/(1+$AZ$41)^Q$113+VLOOKUP($A581,'VKT US'!$B$63:$AA$113,(Q$168+1),FALSE)*(1-$BD$9)/VLOOKUP($A581,'Fuel economy adjusted factor'!$A$2:$K$52,10,FALSE)*VLOOKUP($A581,'US Grid mix, emissions&amp;prices'!$AE$2:$AI$52,2,FALSE)/(1+$AZ$41)^Q$168</f>
        <v>776.58568242145748</v>
      </c>
      <c r="R581" s="106">
        <f>VLOOKUP($A581,'VKT US'!$B$63:$AA$113,(R$113+1),FALSE)*$BD$9/VLOOKUP($A581,'Fuel economy adjusted factor'!$A$2:$K$52,11,FALSE)*($AZ$15*VLOOKUP($A581,'US Grid mix, emissions&amp;prices'!$AE$2:$AI$52,3,FALSE)/100+$BA$15*VLOOKUP($A581,'US Grid mix, emissions&amp;prices'!$AE$2:$AI$52,4,FALSE)/100)/(1+$AZ$41)^R$113+VLOOKUP($A581,'VKT US'!$B$63:$AA$113,(R$168+1),FALSE)*(1-$BD$9)/VLOOKUP($A581,'Fuel economy adjusted factor'!$A$2:$K$52,10,FALSE)*VLOOKUP($A581,'US Grid mix, emissions&amp;prices'!$AE$2:$AI$52,2,FALSE)/(1+$AZ$41)^R$168</f>
        <v>749.74502970504886</v>
      </c>
      <c r="S581" s="106">
        <f>VLOOKUP($A581,'VKT US'!$B$63:$AA$113,(S$113+1),FALSE)*$BD$9/VLOOKUP($A581,'Fuel economy adjusted factor'!$A$2:$K$52,11,FALSE)*($AZ$15*VLOOKUP($A581,'US Grid mix, emissions&amp;prices'!$AE$2:$AI$52,3,FALSE)/100+$BA$15*VLOOKUP($A581,'US Grid mix, emissions&amp;prices'!$AE$2:$AI$52,4,FALSE)/100)/(1+$AZ$41)^S$113+VLOOKUP($A581,'VKT US'!$B$63:$AA$113,(S$168+1),FALSE)*(1-$BD$9)/VLOOKUP($A581,'Fuel economy adjusted factor'!$A$2:$K$52,10,FALSE)*VLOOKUP($A581,'US Grid mix, emissions&amp;prices'!$AE$2:$AI$52,2,FALSE)/(1+$AZ$41)^S$168</f>
        <v>724.68218035158975</v>
      </c>
      <c r="T581" s="106">
        <f>VLOOKUP($A581,'VKT US'!$B$63:$AA$113,(T$113+1),FALSE)*$BD$9/VLOOKUP($A581,'Fuel economy adjusted factor'!$A$2:$K$52,11,FALSE)*($AZ$15*VLOOKUP($A581,'US Grid mix, emissions&amp;prices'!$AE$2:$AI$52,3,FALSE)/100+$BA$15*VLOOKUP($A581,'US Grid mix, emissions&amp;prices'!$AE$2:$AI$52,4,FALSE)/100)/(1+$AZ$41)^T$113+VLOOKUP($A581,'VKT US'!$B$63:$AA$113,(T$168+1),FALSE)*(1-$BD$9)/VLOOKUP($A581,'Fuel economy adjusted factor'!$A$2:$K$52,10,FALSE)*VLOOKUP($A581,'US Grid mix, emissions&amp;prices'!$AE$2:$AI$52,2,FALSE)/(1+$AZ$41)^T$168</f>
        <v>701.09679326880814</v>
      </c>
      <c r="U581" s="109">
        <f>VLOOKUP($A581,'VKT US'!$B$63:$AA$113,(U$113+1),FALSE)*$BD$9/VLOOKUP($A581,'Fuel economy adjusted factor'!$A$2:$K$52,11,FALSE)*($AZ$15*VLOOKUP($A581,'US Grid mix, emissions&amp;prices'!$AE$2:$AI$52,3,FALSE)/100+$BA$15*VLOOKUP($A581,'US Grid mix, emissions&amp;prices'!$AE$2:$AI$52,4,FALSE)/100)/(1+$AZ$41)^U$113+VLOOKUP($A581,'VKT US'!$B$63:$AA$113,(U$168+1),FALSE)*(1-$BD$9)/VLOOKUP($A581,'Fuel economy adjusted factor'!$A$2:$K$52,10,FALSE)*VLOOKUP($A581,'US Grid mix, emissions&amp;prices'!$AE$2:$AI$52,2,FALSE)/(1+$AZ$41)^U$168</f>
        <v>679.1898281641262</v>
      </c>
      <c r="V581" s="110" cm="1">
        <f t="array" ref="V581">SUMPRODUCT(INDEX(B581:U581,,_xlfn.SEQUENCE($AZ$13)))</f>
        <v>15348.991798207704</v>
      </c>
    </row>
    <row r="582" spans="1:22" x14ac:dyDescent="0.25">
      <c r="A582" s="102" t="s">
        <v>207</v>
      </c>
      <c r="B582" s="106">
        <f>VLOOKUP($A582,'VKT US'!$B$63:$AA$113,(B$113+1),FALSE)*$BD$9/VLOOKUP($A582,'Fuel economy adjusted factor'!$A$2:$K$52,11,FALSE)*($AZ$15*VLOOKUP($A582,'US Grid mix, emissions&amp;prices'!$AE$2:$AI$52,3,FALSE)/100+$BA$15*VLOOKUP($A582,'US Grid mix, emissions&amp;prices'!$AE$2:$AI$52,4,FALSE)/100)/(1+$AZ$41)^B$113+VLOOKUP($A582,'VKT US'!$B$63:$AA$113,(B$168+1),FALSE)*(1-$BD$9)/VLOOKUP($A582,'Fuel economy adjusted factor'!$A$2:$K$52,10,FALSE)*VLOOKUP($A582,'US Grid mix, emissions&amp;prices'!$AE$2:$AI$52,2,FALSE)/(1+$AZ$41)^B$168</f>
        <v>1317.0187789576464</v>
      </c>
      <c r="C582" s="106">
        <f>VLOOKUP($A582,'VKT US'!$B$63:$AA$113,(C$113+1),FALSE)*$BD$9/VLOOKUP($A582,'Fuel economy adjusted factor'!$A$2:$K$52,11,FALSE)*($AZ$15*VLOOKUP($A582,'US Grid mix, emissions&amp;prices'!$AE$2:$AI$52,3,FALSE)/100+$BA$15*VLOOKUP($A582,'US Grid mix, emissions&amp;prices'!$AE$2:$AI$52,4,FALSE)/100)/(1+$AZ$41)^C$113+VLOOKUP($A582,'VKT US'!$B$63:$AA$113,(C$168+1),FALSE)*(1-$BD$9)/VLOOKUP($A582,'Fuel economy adjusted factor'!$A$2:$K$52,10,FALSE)*VLOOKUP($A582,'US Grid mix, emissions&amp;prices'!$AE$2:$AI$52,2,FALSE)/(1+$AZ$41)^C$168</f>
        <v>1262.6943605117713</v>
      </c>
      <c r="D582" s="106">
        <f>VLOOKUP($A582,'VKT US'!$B$63:$AA$113,(D$113+1),FALSE)*$BD$9/VLOOKUP($A582,'Fuel economy adjusted factor'!$A$2:$K$52,11,FALSE)*($AZ$15*VLOOKUP($A582,'US Grid mix, emissions&amp;prices'!$AE$2:$AI$52,3,FALSE)/100+$BA$15*VLOOKUP($A582,'US Grid mix, emissions&amp;prices'!$AE$2:$AI$52,4,FALSE)/100)/(1+$AZ$41)^D$113+VLOOKUP($A582,'VKT US'!$B$63:$AA$113,(D$168+1),FALSE)*(1-$BD$9)/VLOOKUP($A582,'Fuel economy adjusted factor'!$A$2:$K$52,10,FALSE)*VLOOKUP($A582,'US Grid mix, emissions&amp;prices'!$AE$2:$AI$52,2,FALSE)/(1+$AZ$41)^D$168</f>
        <v>1210.6799621384171</v>
      </c>
      <c r="E582" s="106">
        <f>VLOOKUP($A582,'VKT US'!$B$63:$AA$113,(E$113+1),FALSE)*$BD$9/VLOOKUP($A582,'Fuel economy adjusted factor'!$A$2:$K$52,11,FALSE)*($AZ$15*VLOOKUP($A582,'US Grid mix, emissions&amp;prices'!$AE$2:$AI$52,3,FALSE)/100+$BA$15*VLOOKUP($A582,'US Grid mix, emissions&amp;prices'!$AE$2:$AI$52,4,FALSE)/100)/(1+$AZ$41)^E$113+VLOOKUP($A582,'VKT US'!$B$63:$AA$113,(E$168+1),FALSE)*(1-$BD$9)/VLOOKUP($A582,'Fuel economy adjusted factor'!$A$2:$K$52,10,FALSE)*VLOOKUP($A582,'US Grid mix, emissions&amp;prices'!$AE$2:$AI$52,2,FALSE)/(1+$AZ$41)^E$168</f>
        <v>1161.0058639038243</v>
      </c>
      <c r="F582" s="106">
        <f>VLOOKUP($A582,'VKT US'!$B$63:$AA$113,(F$113+1),FALSE)*$BD$9/VLOOKUP($A582,'Fuel economy adjusted factor'!$A$2:$K$52,11,FALSE)*($AZ$15*VLOOKUP($A582,'US Grid mix, emissions&amp;prices'!$AE$2:$AI$52,3,FALSE)/100+$BA$15*VLOOKUP($A582,'US Grid mix, emissions&amp;prices'!$AE$2:$AI$52,4,FALSE)/100)/(1+$AZ$41)^F$113+VLOOKUP($A582,'VKT US'!$B$63:$AA$113,(F$168+1),FALSE)*(1-$BD$9)/VLOOKUP($A582,'Fuel economy adjusted factor'!$A$2:$K$52,10,FALSE)*VLOOKUP($A582,'US Grid mix, emissions&amp;prices'!$AE$2:$AI$52,2,FALSE)/(1+$AZ$41)^F$168</f>
        <v>1113.5180014443129</v>
      </c>
      <c r="G582" s="106">
        <f>VLOOKUP($A582,'VKT US'!$B$63:$AA$113,(G$113+1),FALSE)*$BD$9/VLOOKUP($A582,'Fuel economy adjusted factor'!$A$2:$K$52,11,FALSE)*($AZ$15*VLOOKUP($A582,'US Grid mix, emissions&amp;prices'!$AE$2:$AI$52,3,FALSE)/100+$BA$15*VLOOKUP($A582,'US Grid mix, emissions&amp;prices'!$AE$2:$AI$52,4,FALSE)/100)/(1+$AZ$41)^G$113+VLOOKUP($A582,'VKT US'!$B$63:$AA$113,(G$168+1),FALSE)*(1-$BD$9)/VLOOKUP($A582,'Fuel economy adjusted factor'!$A$2:$K$52,10,FALSE)*VLOOKUP($A582,'US Grid mix, emissions&amp;prices'!$AE$2:$AI$52,2,FALSE)/(1+$AZ$41)^G$168</f>
        <v>1068.3366842457685</v>
      </c>
      <c r="H582" s="106">
        <f>VLOOKUP($A582,'VKT US'!$B$63:$AA$113,(H$113+1),FALSE)*$BD$9/VLOOKUP($A582,'Fuel economy adjusted factor'!$A$2:$K$52,11,FALSE)*($AZ$15*VLOOKUP($A582,'US Grid mix, emissions&amp;prices'!$AE$2:$AI$52,3,FALSE)/100+$BA$15*VLOOKUP($A582,'US Grid mix, emissions&amp;prices'!$AE$2:$AI$52,4,FALSE)/100)/(1+$AZ$41)^H$113+VLOOKUP($A582,'VKT US'!$B$63:$AA$113,(H$168+1),FALSE)*(1-$BD$9)/VLOOKUP($A582,'Fuel economy adjusted factor'!$A$2:$K$52,10,FALSE)*VLOOKUP($A582,'US Grid mix, emissions&amp;prices'!$AE$2:$AI$52,2,FALSE)/(1+$AZ$41)^H$168</f>
        <v>1025.1324242347875</v>
      </c>
      <c r="I582" s="106">
        <f>VLOOKUP($A582,'VKT US'!$B$63:$AA$113,(I$113+1),FALSE)*$BD$9/VLOOKUP($A582,'Fuel economy adjusted factor'!$A$2:$K$52,11,FALSE)*($AZ$15*VLOOKUP($A582,'US Grid mix, emissions&amp;prices'!$AE$2:$AI$52,3,FALSE)/100+$BA$15*VLOOKUP($A582,'US Grid mix, emissions&amp;prices'!$AE$2:$AI$52,4,FALSE)/100)/(1+$AZ$41)^I$113+VLOOKUP($A582,'VKT US'!$B$63:$AA$113,(I$168+1),FALSE)*(1-$BD$9)/VLOOKUP($A582,'Fuel economy adjusted factor'!$A$2:$K$52,10,FALSE)*VLOOKUP($A582,'US Grid mix, emissions&amp;prices'!$AE$2:$AI$52,2,FALSE)/(1+$AZ$41)^I$168</f>
        <v>984.02701557015985</v>
      </c>
      <c r="J582" s="106">
        <f>VLOOKUP($A582,'VKT US'!$B$63:$AA$113,(J$113+1),FALSE)*$BD$9/VLOOKUP($A582,'Fuel economy adjusted factor'!$A$2:$K$52,11,FALSE)*($AZ$15*VLOOKUP($A582,'US Grid mix, emissions&amp;prices'!$AE$2:$AI$52,3,FALSE)/100+$BA$15*VLOOKUP($A582,'US Grid mix, emissions&amp;prices'!$AE$2:$AI$52,4,FALSE)/100)/(1+$AZ$41)^J$113+VLOOKUP($A582,'VKT US'!$B$63:$AA$113,(J$168+1),FALSE)*(1-$BD$9)/VLOOKUP($A582,'Fuel economy adjusted factor'!$A$2:$K$52,10,FALSE)*VLOOKUP($A582,'US Grid mix, emissions&amp;prices'!$AE$2:$AI$52,2,FALSE)/(1+$AZ$41)^J$168</f>
        <v>944.962238599795</v>
      </c>
      <c r="K582" s="106">
        <f>VLOOKUP($A582,'VKT US'!$B$63:$AA$113,(K$113+1),FALSE)*$BD$9/VLOOKUP($A582,'Fuel economy adjusted factor'!$A$2:$K$52,11,FALSE)*($AZ$15*VLOOKUP($A582,'US Grid mix, emissions&amp;prices'!$AE$2:$AI$52,3,FALSE)/100+$BA$15*VLOOKUP($A582,'US Grid mix, emissions&amp;prices'!$AE$2:$AI$52,4,FALSE)/100)/(1+$AZ$41)^K$113+VLOOKUP($A582,'VKT US'!$B$63:$AA$113,(K$168+1),FALSE)*(1-$BD$9)/VLOOKUP($A582,'Fuel economy adjusted factor'!$A$2:$K$52,10,FALSE)*VLOOKUP($A582,'US Grid mix, emissions&amp;prices'!$AE$2:$AI$52,2,FALSE)/(1+$AZ$41)^K$168</f>
        <v>907.88113143055443</v>
      </c>
      <c r="L582" s="106">
        <f>VLOOKUP($A582,'VKT US'!$B$63:$AA$113,(L$113+1),FALSE)*$BD$9/VLOOKUP($A582,'Fuel economy adjusted factor'!$A$2:$K$52,11,FALSE)*($AZ$15*VLOOKUP($A582,'US Grid mix, emissions&amp;prices'!$AE$2:$AI$52,3,FALSE)/100+$BA$15*VLOOKUP($A582,'US Grid mix, emissions&amp;prices'!$AE$2:$AI$52,4,FALSE)/100)/(1+$AZ$41)^L$113+VLOOKUP($A582,'VKT US'!$B$63:$AA$113,(L$168+1),FALSE)*(1-$BD$9)/VLOOKUP($A582,'Fuel economy adjusted factor'!$A$2:$K$52,10,FALSE)*VLOOKUP($A582,'US Grid mix, emissions&amp;prices'!$AE$2:$AI$52,2,FALSE)/(1+$AZ$41)^L$168</f>
        <v>872.64357947535791</v>
      </c>
      <c r="M582" s="106">
        <f>VLOOKUP($A582,'VKT US'!$B$63:$AA$113,(M$113+1),FALSE)*$BD$9/VLOOKUP($A582,'Fuel economy adjusted factor'!$A$2:$K$52,11,FALSE)*($AZ$15*VLOOKUP($A582,'US Grid mix, emissions&amp;prices'!$AE$2:$AI$52,3,FALSE)/100+$BA$15*VLOOKUP($A582,'US Grid mix, emissions&amp;prices'!$AE$2:$AI$52,4,FALSE)/100)/(1+$AZ$41)^M$113+VLOOKUP($A582,'VKT US'!$B$63:$AA$113,(M$168+1),FALSE)*(1-$BD$9)/VLOOKUP($A582,'Fuel economy adjusted factor'!$A$2:$K$52,10,FALSE)*VLOOKUP($A582,'US Grid mix, emissions&amp;prices'!$AE$2:$AI$52,2,FALSE)/(1+$AZ$41)^M$168</f>
        <v>839.28145375305621</v>
      </c>
      <c r="N582" s="106">
        <f>VLOOKUP($A582,'VKT US'!$B$63:$AA$113,(N$113+1),FALSE)*$BD$9/VLOOKUP($A582,'Fuel economy adjusted factor'!$A$2:$K$52,11,FALSE)*($AZ$15*VLOOKUP($A582,'US Grid mix, emissions&amp;prices'!$AE$2:$AI$52,3,FALSE)/100+$BA$15*VLOOKUP($A582,'US Grid mix, emissions&amp;prices'!$AE$2:$AI$52,4,FALSE)/100)/(1+$AZ$41)^N$113+VLOOKUP($A582,'VKT US'!$B$63:$AA$113,(N$168+1),FALSE)*(1-$BD$9)/VLOOKUP($A582,'Fuel economy adjusted factor'!$A$2:$K$52,10,FALSE)*VLOOKUP($A582,'US Grid mix, emissions&amp;prices'!$AE$2:$AI$52,2,FALSE)/(1+$AZ$41)^N$168</f>
        <v>807.65899221144173</v>
      </c>
      <c r="O582" s="106">
        <f>VLOOKUP($A582,'VKT US'!$B$63:$AA$113,(O$113+1),FALSE)*$BD$9/VLOOKUP($A582,'Fuel economy adjusted factor'!$A$2:$K$52,11,FALSE)*($AZ$15*VLOOKUP($A582,'US Grid mix, emissions&amp;prices'!$AE$2:$AI$52,3,FALSE)/100+$BA$15*VLOOKUP($A582,'US Grid mix, emissions&amp;prices'!$AE$2:$AI$52,4,FALSE)/100)/(1+$AZ$41)^O$113+VLOOKUP($A582,'VKT US'!$B$63:$AA$113,(O$168+1),FALSE)*(1-$BD$9)/VLOOKUP($A582,'Fuel economy adjusted factor'!$A$2:$K$52,10,FALSE)*VLOOKUP($A582,'US Grid mix, emissions&amp;prices'!$AE$2:$AI$52,2,FALSE)/(1+$AZ$41)^O$168</f>
        <v>777.80834763453754</v>
      </c>
      <c r="P582" s="106">
        <f>VLOOKUP($A582,'VKT US'!$B$63:$AA$113,(P$113+1),FALSE)*$BD$9/VLOOKUP($A582,'Fuel economy adjusted factor'!$A$2:$K$52,11,FALSE)*($AZ$15*VLOOKUP($A582,'US Grid mix, emissions&amp;prices'!$AE$2:$AI$52,3,FALSE)/100+$BA$15*VLOOKUP($A582,'US Grid mix, emissions&amp;prices'!$AE$2:$AI$52,4,FALSE)/100)/(1+$AZ$41)^P$113+VLOOKUP($A582,'VKT US'!$B$63:$AA$113,(P$168+1),FALSE)*(1-$BD$9)/VLOOKUP($A582,'Fuel economy adjusted factor'!$A$2:$K$52,10,FALSE)*VLOOKUP($A582,'US Grid mix, emissions&amp;prices'!$AE$2:$AI$52,2,FALSE)/(1+$AZ$41)^P$168</f>
        <v>749.59797564895734</v>
      </c>
      <c r="Q582" s="106">
        <f>VLOOKUP($A582,'VKT US'!$B$63:$AA$113,(Q$113+1),FALSE)*$BD$9/VLOOKUP($A582,'Fuel economy adjusted factor'!$A$2:$K$52,11,FALSE)*($AZ$15*VLOOKUP($A582,'US Grid mix, emissions&amp;prices'!$AE$2:$AI$52,3,FALSE)/100+$BA$15*VLOOKUP($A582,'US Grid mix, emissions&amp;prices'!$AE$2:$AI$52,4,FALSE)/100)/(1+$AZ$41)^Q$113+VLOOKUP($A582,'VKT US'!$B$63:$AA$113,(Q$168+1),FALSE)*(1-$BD$9)/VLOOKUP($A582,'Fuel economy adjusted factor'!$A$2:$K$52,10,FALSE)*VLOOKUP($A582,'US Grid mix, emissions&amp;prices'!$AE$2:$AI$52,2,FALSE)/(1+$AZ$41)^Q$168</f>
        <v>723.13977324196344</v>
      </c>
      <c r="R582" s="106">
        <f>VLOOKUP($A582,'VKT US'!$B$63:$AA$113,(R$113+1),FALSE)*$BD$9/VLOOKUP($A582,'Fuel economy adjusted factor'!$A$2:$K$52,11,FALSE)*($AZ$15*VLOOKUP($A582,'US Grid mix, emissions&amp;prices'!$AE$2:$AI$52,3,FALSE)/100+$BA$15*VLOOKUP($A582,'US Grid mix, emissions&amp;prices'!$AE$2:$AI$52,4,FALSE)/100)/(1+$AZ$41)^R$113+VLOOKUP($A582,'VKT US'!$B$63:$AA$113,(R$168+1),FALSE)*(1-$BD$9)/VLOOKUP($A582,'Fuel economy adjusted factor'!$A$2:$K$52,10,FALSE)*VLOOKUP($A582,'US Grid mix, emissions&amp;prices'!$AE$2:$AI$52,2,FALSE)/(1+$AZ$41)^R$168</f>
        <v>698.14633857228296</v>
      </c>
      <c r="S582" s="106">
        <f>VLOOKUP($A582,'VKT US'!$B$63:$AA$113,(S$113+1),FALSE)*$BD$9/VLOOKUP($A582,'Fuel economy adjusted factor'!$A$2:$K$52,11,FALSE)*($AZ$15*VLOOKUP($A582,'US Grid mix, emissions&amp;prices'!$AE$2:$AI$52,3,FALSE)/100+$BA$15*VLOOKUP($A582,'US Grid mix, emissions&amp;prices'!$AE$2:$AI$52,4,FALSE)/100)/(1+$AZ$41)^S$113+VLOOKUP($A582,'VKT US'!$B$63:$AA$113,(S$168+1),FALSE)*(1-$BD$9)/VLOOKUP($A582,'Fuel economy adjusted factor'!$A$2:$K$52,10,FALSE)*VLOOKUP($A582,'US Grid mix, emissions&amp;prices'!$AE$2:$AI$52,2,FALSE)/(1+$AZ$41)^S$168</f>
        <v>674.80835590210779</v>
      </c>
      <c r="T582" s="106">
        <f>VLOOKUP($A582,'VKT US'!$B$63:$AA$113,(T$113+1),FALSE)*$BD$9/VLOOKUP($A582,'Fuel economy adjusted factor'!$A$2:$K$52,11,FALSE)*($AZ$15*VLOOKUP($A582,'US Grid mix, emissions&amp;prices'!$AE$2:$AI$52,3,FALSE)/100+$BA$15*VLOOKUP($A582,'US Grid mix, emissions&amp;prices'!$AE$2:$AI$52,4,FALSE)/100)/(1+$AZ$41)^T$113+VLOOKUP($A582,'VKT US'!$B$63:$AA$113,(T$168+1),FALSE)*(1-$BD$9)/VLOOKUP($A582,'Fuel economy adjusted factor'!$A$2:$K$52,10,FALSE)*VLOOKUP($A582,'US Grid mix, emissions&amp;prices'!$AE$2:$AI$52,2,FALSE)/(1+$AZ$41)^T$168</f>
        <v>652.84615410914398</v>
      </c>
      <c r="U582" s="109">
        <f>VLOOKUP($A582,'VKT US'!$B$63:$AA$113,(U$113+1),FALSE)*$BD$9/VLOOKUP($A582,'Fuel economy adjusted factor'!$A$2:$K$52,11,FALSE)*($AZ$15*VLOOKUP($A582,'US Grid mix, emissions&amp;prices'!$AE$2:$AI$52,3,FALSE)/100+$BA$15*VLOOKUP($A582,'US Grid mix, emissions&amp;prices'!$AE$2:$AI$52,4,FALSE)/100)/(1+$AZ$41)^U$113+VLOOKUP($A582,'VKT US'!$B$63:$AA$113,(U$168+1),FALSE)*(1-$BD$9)/VLOOKUP($A582,'Fuel economy adjusted factor'!$A$2:$K$52,10,FALSE)*VLOOKUP($A582,'US Grid mix, emissions&amp;prices'!$AE$2:$AI$52,2,FALSE)/(1+$AZ$41)^U$168</f>
        <v>632.44686252186762</v>
      </c>
      <c r="V582" s="110" cm="1">
        <f t="array" ref="V582">SUMPRODUCT(INDEX(B582:U582,,_xlfn.SEQUENCE($AZ$13)))</f>
        <v>14292.648834111433</v>
      </c>
    </row>
    <row r="583" spans="1:22" x14ac:dyDescent="0.25">
      <c r="A583" s="102" t="s">
        <v>206</v>
      </c>
      <c r="B583" s="106">
        <f>VLOOKUP($A583,'VKT US'!$B$63:$AA$113,(B$113+1),FALSE)*$BD$9/VLOOKUP($A583,'Fuel economy adjusted factor'!$A$2:$K$52,11,FALSE)*($AZ$15*VLOOKUP($A583,'US Grid mix, emissions&amp;prices'!$AE$2:$AI$52,3,FALSE)/100+$BA$15*VLOOKUP($A583,'US Grid mix, emissions&amp;prices'!$AE$2:$AI$52,4,FALSE)/100)/(1+$AZ$41)^B$113+VLOOKUP($A583,'VKT US'!$B$63:$AA$113,(B$168+1),FALSE)*(1-$BD$9)/VLOOKUP($A583,'Fuel economy adjusted factor'!$A$2:$K$52,10,FALSE)*VLOOKUP($A583,'US Grid mix, emissions&amp;prices'!$AE$2:$AI$52,2,FALSE)/(1+$AZ$41)^B$168</f>
        <v>1297.605214026941</v>
      </c>
      <c r="C583" s="106">
        <f>VLOOKUP($A583,'VKT US'!$B$63:$AA$113,(C$113+1),FALSE)*$BD$9/VLOOKUP($A583,'Fuel economy adjusted factor'!$A$2:$K$52,11,FALSE)*($AZ$15*VLOOKUP($A583,'US Grid mix, emissions&amp;prices'!$AE$2:$AI$52,3,FALSE)/100+$BA$15*VLOOKUP($A583,'US Grid mix, emissions&amp;prices'!$AE$2:$AI$52,4,FALSE)/100)/(1+$AZ$41)^C$113+VLOOKUP($A583,'VKT US'!$B$63:$AA$113,(C$168+1),FALSE)*(1-$BD$9)/VLOOKUP($A583,'Fuel economy adjusted factor'!$A$2:$K$52,10,FALSE)*VLOOKUP($A583,'US Grid mix, emissions&amp;prices'!$AE$2:$AI$52,2,FALSE)/(1+$AZ$41)^C$168</f>
        <v>1244.0815667178729</v>
      </c>
      <c r="D583" s="106">
        <f>VLOOKUP($A583,'VKT US'!$B$63:$AA$113,(D$113+1),FALSE)*$BD$9/VLOOKUP($A583,'Fuel economy adjusted factor'!$A$2:$K$52,11,FALSE)*($AZ$15*VLOOKUP($A583,'US Grid mix, emissions&amp;prices'!$AE$2:$AI$52,3,FALSE)/100+$BA$15*VLOOKUP($A583,'US Grid mix, emissions&amp;prices'!$AE$2:$AI$52,4,FALSE)/100)/(1+$AZ$41)^D$113+VLOOKUP($A583,'VKT US'!$B$63:$AA$113,(D$168+1),FALSE)*(1-$BD$9)/VLOOKUP($A583,'Fuel economy adjusted factor'!$A$2:$K$52,10,FALSE)*VLOOKUP($A583,'US Grid mix, emissions&amp;prices'!$AE$2:$AI$52,2,FALSE)/(1+$AZ$41)^D$168</f>
        <v>1192.833888543415</v>
      </c>
      <c r="E583" s="106">
        <f>VLOOKUP($A583,'VKT US'!$B$63:$AA$113,(E$113+1),FALSE)*$BD$9/VLOOKUP($A583,'Fuel economy adjusted factor'!$A$2:$K$52,11,FALSE)*($AZ$15*VLOOKUP($A583,'US Grid mix, emissions&amp;prices'!$AE$2:$AI$52,3,FALSE)/100+$BA$15*VLOOKUP($A583,'US Grid mix, emissions&amp;prices'!$AE$2:$AI$52,4,FALSE)/100)/(1+$AZ$41)^E$113+VLOOKUP($A583,'VKT US'!$B$63:$AA$113,(E$168+1),FALSE)*(1-$BD$9)/VLOOKUP($A583,'Fuel economy adjusted factor'!$A$2:$K$52,10,FALSE)*VLOOKUP($A583,'US Grid mix, emissions&amp;prices'!$AE$2:$AI$52,2,FALSE)/(1+$AZ$41)^E$168</f>
        <v>1143.8920132253509</v>
      </c>
      <c r="F583" s="106">
        <f>VLOOKUP($A583,'VKT US'!$B$63:$AA$113,(F$113+1),FALSE)*$BD$9/VLOOKUP($A583,'Fuel economy adjusted factor'!$A$2:$K$52,11,FALSE)*($AZ$15*VLOOKUP($A583,'US Grid mix, emissions&amp;prices'!$AE$2:$AI$52,3,FALSE)/100+$BA$15*VLOOKUP($A583,'US Grid mix, emissions&amp;prices'!$AE$2:$AI$52,4,FALSE)/100)/(1+$AZ$41)^F$113+VLOOKUP($A583,'VKT US'!$B$63:$AA$113,(F$168+1),FALSE)*(1-$BD$9)/VLOOKUP($A583,'Fuel economy adjusted factor'!$A$2:$K$52,10,FALSE)*VLOOKUP($A583,'US Grid mix, emissions&amp;prices'!$AE$2:$AI$52,2,FALSE)/(1+$AZ$41)^F$168</f>
        <v>1097.1041473915579</v>
      </c>
      <c r="G583" s="106">
        <f>VLOOKUP($A583,'VKT US'!$B$63:$AA$113,(G$113+1),FALSE)*$BD$9/VLOOKUP($A583,'Fuel economy adjusted factor'!$A$2:$K$52,11,FALSE)*($AZ$15*VLOOKUP($A583,'US Grid mix, emissions&amp;prices'!$AE$2:$AI$52,3,FALSE)/100+$BA$15*VLOOKUP($A583,'US Grid mix, emissions&amp;prices'!$AE$2:$AI$52,4,FALSE)/100)/(1+$AZ$41)^G$113+VLOOKUP($A583,'VKT US'!$B$63:$AA$113,(G$168+1),FALSE)*(1-$BD$9)/VLOOKUP($A583,'Fuel economy adjusted factor'!$A$2:$K$52,10,FALSE)*VLOOKUP($A583,'US Grid mix, emissions&amp;prices'!$AE$2:$AI$52,2,FALSE)/(1+$AZ$41)^G$168</f>
        <v>1052.5888271014126</v>
      </c>
      <c r="H583" s="106">
        <f>VLOOKUP($A583,'VKT US'!$B$63:$AA$113,(H$113+1),FALSE)*$BD$9/VLOOKUP($A583,'Fuel economy adjusted factor'!$A$2:$K$52,11,FALSE)*($AZ$15*VLOOKUP($A583,'US Grid mix, emissions&amp;prices'!$AE$2:$AI$52,3,FALSE)/100+$BA$15*VLOOKUP($A583,'US Grid mix, emissions&amp;prices'!$AE$2:$AI$52,4,FALSE)/100)/(1+$AZ$41)^H$113+VLOOKUP($A583,'VKT US'!$B$63:$AA$113,(H$168+1),FALSE)*(1-$BD$9)/VLOOKUP($A583,'Fuel economy adjusted factor'!$A$2:$K$52,10,FALSE)*VLOOKUP($A583,'US Grid mix, emissions&amp;prices'!$AE$2:$AI$52,2,FALSE)/(1+$AZ$41)^H$168</f>
        <v>1010.0214211128696</v>
      </c>
      <c r="I583" s="106">
        <f>VLOOKUP($A583,'VKT US'!$B$63:$AA$113,(I$113+1),FALSE)*$BD$9/VLOOKUP($A583,'Fuel economy adjusted factor'!$A$2:$K$52,11,FALSE)*($AZ$15*VLOOKUP($A583,'US Grid mix, emissions&amp;prices'!$AE$2:$AI$52,3,FALSE)/100+$BA$15*VLOOKUP($A583,'US Grid mix, emissions&amp;prices'!$AE$2:$AI$52,4,FALSE)/100)/(1+$AZ$41)^I$113+VLOOKUP($A583,'VKT US'!$B$63:$AA$113,(I$168+1),FALSE)*(1-$BD$9)/VLOOKUP($A583,'Fuel economy adjusted factor'!$A$2:$K$52,10,FALSE)*VLOOKUP($A583,'US Grid mix, emissions&amp;prices'!$AE$2:$AI$52,2,FALSE)/(1+$AZ$41)^I$168</f>
        <v>969.52192827333431</v>
      </c>
      <c r="J583" s="106">
        <f>VLOOKUP($A583,'VKT US'!$B$63:$AA$113,(J$113+1),FALSE)*$BD$9/VLOOKUP($A583,'Fuel economy adjusted factor'!$A$2:$K$52,11,FALSE)*($AZ$15*VLOOKUP($A583,'US Grid mix, emissions&amp;prices'!$AE$2:$AI$52,3,FALSE)/100+$BA$15*VLOOKUP($A583,'US Grid mix, emissions&amp;prices'!$AE$2:$AI$52,4,FALSE)/100)/(1+$AZ$41)^J$113+VLOOKUP($A583,'VKT US'!$B$63:$AA$113,(J$168+1),FALSE)*(1-$BD$9)/VLOOKUP($A583,'Fuel economy adjusted factor'!$A$2:$K$52,10,FALSE)*VLOOKUP($A583,'US Grid mix, emissions&amp;prices'!$AE$2:$AI$52,2,FALSE)/(1+$AZ$41)^J$168</f>
        <v>931.03298711969012</v>
      </c>
      <c r="K583" s="106">
        <f>VLOOKUP($A583,'VKT US'!$B$63:$AA$113,(K$113+1),FALSE)*$BD$9/VLOOKUP($A583,'Fuel economy adjusted factor'!$A$2:$K$52,11,FALSE)*($AZ$15*VLOOKUP($A583,'US Grid mix, emissions&amp;prices'!$AE$2:$AI$52,3,FALSE)/100+$BA$15*VLOOKUP($A583,'US Grid mix, emissions&amp;prices'!$AE$2:$AI$52,4,FALSE)/100)/(1+$AZ$41)^K$113+VLOOKUP($A583,'VKT US'!$B$63:$AA$113,(K$168+1),FALSE)*(1-$BD$9)/VLOOKUP($A583,'Fuel economy adjusted factor'!$A$2:$K$52,10,FALSE)*VLOOKUP($A583,'US Grid mix, emissions&amp;prices'!$AE$2:$AI$52,2,FALSE)/(1+$AZ$41)^K$168</f>
        <v>894.49847540773067</v>
      </c>
      <c r="L583" s="106">
        <f>VLOOKUP($A583,'VKT US'!$B$63:$AA$113,(L$113+1),FALSE)*$BD$9/VLOOKUP($A583,'Fuel economy adjusted factor'!$A$2:$K$52,11,FALSE)*($AZ$15*VLOOKUP($A583,'US Grid mix, emissions&amp;prices'!$AE$2:$AI$52,3,FALSE)/100+$BA$15*VLOOKUP($A583,'US Grid mix, emissions&amp;prices'!$AE$2:$AI$52,4,FALSE)/100)/(1+$AZ$41)^L$113+VLOOKUP($A583,'VKT US'!$B$63:$AA$113,(L$168+1),FALSE)*(1-$BD$9)/VLOOKUP($A583,'Fuel economy adjusted factor'!$A$2:$K$52,10,FALSE)*VLOOKUP($A583,'US Grid mix, emissions&amp;prices'!$AE$2:$AI$52,2,FALSE)/(1+$AZ$41)^L$168</f>
        <v>859.78034391472613</v>
      </c>
      <c r="M583" s="106">
        <f>VLOOKUP($A583,'VKT US'!$B$63:$AA$113,(M$113+1),FALSE)*$BD$9/VLOOKUP($A583,'Fuel economy adjusted factor'!$A$2:$K$52,11,FALSE)*($AZ$15*VLOOKUP($A583,'US Grid mix, emissions&amp;prices'!$AE$2:$AI$52,3,FALSE)/100+$BA$15*VLOOKUP($A583,'US Grid mix, emissions&amp;prices'!$AE$2:$AI$52,4,FALSE)/100)/(1+$AZ$41)^M$113+VLOOKUP($A583,'VKT US'!$B$63:$AA$113,(M$168+1),FALSE)*(1-$BD$9)/VLOOKUP($A583,'Fuel economy adjusted factor'!$A$2:$K$52,10,FALSE)*VLOOKUP($A583,'US Grid mix, emissions&amp;prices'!$AE$2:$AI$52,2,FALSE)/(1+$AZ$41)^M$168</f>
        <v>826.90999386357225</v>
      </c>
      <c r="N583" s="106">
        <f>VLOOKUP($A583,'VKT US'!$B$63:$AA$113,(N$113+1),FALSE)*$BD$9/VLOOKUP($A583,'Fuel economy adjusted factor'!$A$2:$K$52,11,FALSE)*($AZ$15*VLOOKUP($A583,'US Grid mix, emissions&amp;prices'!$AE$2:$AI$52,3,FALSE)/100+$BA$15*VLOOKUP($A583,'US Grid mix, emissions&amp;prices'!$AE$2:$AI$52,4,FALSE)/100)/(1+$AZ$41)^N$113+VLOOKUP($A583,'VKT US'!$B$63:$AA$113,(N$168+1),FALSE)*(1-$BD$9)/VLOOKUP($A583,'Fuel economy adjusted factor'!$A$2:$K$52,10,FALSE)*VLOOKUP($A583,'US Grid mix, emissions&amp;prices'!$AE$2:$AI$52,2,FALSE)/(1+$AZ$41)^N$168</f>
        <v>795.75366440770722</v>
      </c>
      <c r="O583" s="106">
        <f>VLOOKUP($A583,'VKT US'!$B$63:$AA$113,(O$113+1),FALSE)*$BD$9/VLOOKUP($A583,'Fuel economy adjusted factor'!$A$2:$K$52,11,FALSE)*($AZ$15*VLOOKUP($A583,'US Grid mix, emissions&amp;prices'!$AE$2:$AI$52,3,FALSE)/100+$BA$15*VLOOKUP($A583,'US Grid mix, emissions&amp;prices'!$AE$2:$AI$52,4,FALSE)/100)/(1+$AZ$41)^O$113+VLOOKUP($A583,'VKT US'!$B$63:$AA$113,(O$168+1),FALSE)*(1-$BD$9)/VLOOKUP($A583,'Fuel economy adjusted factor'!$A$2:$K$52,10,FALSE)*VLOOKUP($A583,'US Grid mix, emissions&amp;prices'!$AE$2:$AI$52,2,FALSE)/(1+$AZ$41)^O$168</f>
        <v>766.34303438182997</v>
      </c>
      <c r="P583" s="106">
        <f>VLOOKUP($A583,'VKT US'!$B$63:$AA$113,(P$113+1),FALSE)*$BD$9/VLOOKUP($A583,'Fuel economy adjusted factor'!$A$2:$K$52,11,FALSE)*($AZ$15*VLOOKUP($A583,'US Grid mix, emissions&amp;prices'!$AE$2:$AI$52,3,FALSE)/100+$BA$15*VLOOKUP($A583,'US Grid mix, emissions&amp;prices'!$AE$2:$AI$52,4,FALSE)/100)/(1+$AZ$41)^P$113+VLOOKUP($A583,'VKT US'!$B$63:$AA$113,(P$168+1),FALSE)*(1-$BD$9)/VLOOKUP($A583,'Fuel economy adjusted factor'!$A$2:$K$52,10,FALSE)*VLOOKUP($A583,'US Grid mix, emissions&amp;prices'!$AE$2:$AI$52,2,FALSE)/(1+$AZ$41)^P$168</f>
        <v>738.54849844734645</v>
      </c>
      <c r="Q583" s="106">
        <f>VLOOKUP($A583,'VKT US'!$B$63:$AA$113,(Q$113+1),FALSE)*$BD$9/VLOOKUP($A583,'Fuel economy adjusted factor'!$A$2:$K$52,11,FALSE)*($AZ$15*VLOOKUP($A583,'US Grid mix, emissions&amp;prices'!$AE$2:$AI$52,3,FALSE)/100+$BA$15*VLOOKUP($A583,'US Grid mix, emissions&amp;prices'!$AE$2:$AI$52,4,FALSE)/100)/(1+$AZ$41)^Q$113+VLOOKUP($A583,'VKT US'!$B$63:$AA$113,(Q$168+1),FALSE)*(1-$BD$9)/VLOOKUP($A583,'Fuel economy adjusted factor'!$A$2:$K$52,10,FALSE)*VLOOKUP($A583,'US Grid mix, emissions&amp;prices'!$AE$2:$AI$52,2,FALSE)/(1+$AZ$41)^Q$168</f>
        <v>712.48030416976121</v>
      </c>
      <c r="R583" s="106">
        <f>VLOOKUP($A583,'VKT US'!$B$63:$AA$113,(R$113+1),FALSE)*$BD$9/VLOOKUP($A583,'Fuel economy adjusted factor'!$A$2:$K$52,11,FALSE)*($AZ$15*VLOOKUP($A583,'US Grid mix, emissions&amp;prices'!$AE$2:$AI$52,3,FALSE)/100+$BA$15*VLOOKUP($A583,'US Grid mix, emissions&amp;prices'!$AE$2:$AI$52,4,FALSE)/100)/(1+$AZ$41)^R$113+VLOOKUP($A583,'VKT US'!$B$63:$AA$113,(R$168+1),FALSE)*(1-$BD$9)/VLOOKUP($A583,'Fuel economy adjusted factor'!$A$2:$K$52,10,FALSE)*VLOOKUP($A583,'US Grid mix, emissions&amp;prices'!$AE$2:$AI$52,2,FALSE)/(1+$AZ$41)^R$168</f>
        <v>687.85528616547208</v>
      </c>
      <c r="S583" s="106">
        <f>VLOOKUP($A583,'VKT US'!$B$63:$AA$113,(S$113+1),FALSE)*$BD$9/VLOOKUP($A583,'Fuel economy adjusted factor'!$A$2:$K$52,11,FALSE)*($AZ$15*VLOOKUP($A583,'US Grid mix, emissions&amp;prices'!$AE$2:$AI$52,3,FALSE)/100+$BA$15*VLOOKUP($A583,'US Grid mix, emissions&amp;prices'!$AE$2:$AI$52,4,FALSE)/100)/(1+$AZ$41)^S$113+VLOOKUP($A583,'VKT US'!$B$63:$AA$113,(S$168+1),FALSE)*(1-$BD$9)/VLOOKUP($A583,'Fuel economy adjusted factor'!$A$2:$K$52,10,FALSE)*VLOOKUP($A583,'US Grid mix, emissions&amp;prices'!$AE$2:$AI$52,2,FALSE)/(1+$AZ$41)^S$168</f>
        <v>664.86131790811942</v>
      </c>
      <c r="T583" s="106">
        <f>VLOOKUP($A583,'VKT US'!$B$63:$AA$113,(T$113+1),FALSE)*$BD$9/VLOOKUP($A583,'Fuel economy adjusted factor'!$A$2:$K$52,11,FALSE)*($AZ$15*VLOOKUP($A583,'US Grid mix, emissions&amp;prices'!$AE$2:$AI$52,3,FALSE)/100+$BA$15*VLOOKUP($A583,'US Grid mix, emissions&amp;prices'!$AE$2:$AI$52,4,FALSE)/100)/(1+$AZ$41)^T$113+VLOOKUP($A583,'VKT US'!$B$63:$AA$113,(T$168+1),FALSE)*(1-$BD$9)/VLOOKUP($A583,'Fuel economy adjusted factor'!$A$2:$K$52,10,FALSE)*VLOOKUP($A583,'US Grid mix, emissions&amp;prices'!$AE$2:$AI$52,2,FALSE)/(1+$AZ$41)^T$168</f>
        <v>643.22285077812398</v>
      </c>
      <c r="U583" s="109">
        <f>VLOOKUP($A583,'VKT US'!$B$63:$AA$113,(U$113+1),FALSE)*$BD$9/VLOOKUP($A583,'Fuel economy adjusted factor'!$A$2:$K$52,11,FALSE)*($AZ$15*VLOOKUP($A583,'US Grid mix, emissions&amp;prices'!$AE$2:$AI$52,3,FALSE)/100+$BA$15*VLOOKUP($A583,'US Grid mix, emissions&amp;prices'!$AE$2:$AI$52,4,FALSE)/100)/(1+$AZ$41)^U$113+VLOOKUP($A583,'VKT US'!$B$63:$AA$113,(U$168+1),FALSE)*(1-$BD$9)/VLOOKUP($A583,'Fuel economy adjusted factor'!$A$2:$K$52,10,FALSE)*VLOOKUP($A583,'US Grid mix, emissions&amp;prices'!$AE$2:$AI$52,2,FALSE)/(1+$AZ$41)^U$168</f>
        <v>623.12425571704557</v>
      </c>
      <c r="V583" s="110" cm="1">
        <f t="array" ref="V583">SUMPRODUCT(INDEX(B583:U583,,_xlfn.SEQUENCE($AZ$13)))</f>
        <v>14081.96750548801</v>
      </c>
    </row>
    <row r="584" spans="1:22" x14ac:dyDescent="0.25">
      <c r="A584" s="102" t="s">
        <v>208</v>
      </c>
      <c r="B584" s="106">
        <f>VLOOKUP($A584,'VKT US'!$B$63:$AA$113,(B$113+1),FALSE)*$BD$9/VLOOKUP($A584,'Fuel economy adjusted factor'!$A$2:$K$52,11,FALSE)*($AZ$15*VLOOKUP($A584,'US Grid mix, emissions&amp;prices'!$AE$2:$AI$52,3,FALSE)/100+$BA$15*VLOOKUP($A584,'US Grid mix, emissions&amp;prices'!$AE$2:$AI$52,4,FALSE)/100)/(1+$AZ$41)^B$113+VLOOKUP($A584,'VKT US'!$B$63:$AA$113,(B$168+1),FALSE)*(1-$BD$9)/VLOOKUP($A584,'Fuel economy adjusted factor'!$A$2:$K$52,10,FALSE)*VLOOKUP($A584,'US Grid mix, emissions&amp;prices'!$AE$2:$AI$52,2,FALSE)/(1+$AZ$41)^B$168</f>
        <v>1228.4702550161062</v>
      </c>
      <c r="C584" s="106">
        <f>VLOOKUP($A584,'VKT US'!$B$63:$AA$113,(C$113+1),FALSE)*$BD$9/VLOOKUP($A584,'Fuel economy adjusted factor'!$A$2:$K$52,11,FALSE)*($AZ$15*VLOOKUP($A584,'US Grid mix, emissions&amp;prices'!$AE$2:$AI$52,3,FALSE)/100+$BA$15*VLOOKUP($A584,'US Grid mix, emissions&amp;prices'!$AE$2:$AI$52,4,FALSE)/100)/(1+$AZ$41)^C$113+VLOOKUP($A584,'VKT US'!$B$63:$AA$113,(C$168+1),FALSE)*(1-$BD$9)/VLOOKUP($A584,'Fuel economy adjusted factor'!$A$2:$K$52,10,FALSE)*VLOOKUP($A584,'US Grid mix, emissions&amp;prices'!$AE$2:$AI$52,2,FALSE)/(1+$AZ$41)^C$168</f>
        <v>1177.7982879583367</v>
      </c>
      <c r="D584" s="106">
        <f>VLOOKUP($A584,'VKT US'!$B$63:$AA$113,(D$113+1),FALSE)*$BD$9/VLOOKUP($A584,'Fuel economy adjusted factor'!$A$2:$K$52,11,FALSE)*($AZ$15*VLOOKUP($A584,'US Grid mix, emissions&amp;prices'!$AE$2:$AI$52,3,FALSE)/100+$BA$15*VLOOKUP($A584,'US Grid mix, emissions&amp;prices'!$AE$2:$AI$52,4,FALSE)/100)/(1+$AZ$41)^D$113+VLOOKUP($A584,'VKT US'!$B$63:$AA$113,(D$168+1),FALSE)*(1-$BD$9)/VLOOKUP($A584,'Fuel economy adjusted factor'!$A$2:$K$52,10,FALSE)*VLOOKUP($A584,'US Grid mix, emissions&amp;prices'!$AE$2:$AI$52,2,FALSE)/(1+$AZ$41)^D$168</f>
        <v>1129.2810289373258</v>
      </c>
      <c r="E584" s="106">
        <f>VLOOKUP($A584,'VKT US'!$B$63:$AA$113,(E$113+1),FALSE)*$BD$9/VLOOKUP($A584,'Fuel economy adjusted factor'!$A$2:$K$52,11,FALSE)*($AZ$15*VLOOKUP($A584,'US Grid mix, emissions&amp;prices'!$AE$2:$AI$52,3,FALSE)/100+$BA$15*VLOOKUP($A584,'US Grid mix, emissions&amp;prices'!$AE$2:$AI$52,4,FALSE)/100)/(1+$AZ$41)^E$113+VLOOKUP($A584,'VKT US'!$B$63:$AA$113,(E$168+1),FALSE)*(1-$BD$9)/VLOOKUP($A584,'Fuel economy adjusted factor'!$A$2:$K$52,10,FALSE)*VLOOKUP($A584,'US Grid mix, emissions&amp;prices'!$AE$2:$AI$52,2,FALSE)/(1+$AZ$41)^E$168</f>
        <v>1082.9467221674236</v>
      </c>
      <c r="F584" s="106">
        <f>VLOOKUP($A584,'VKT US'!$B$63:$AA$113,(F$113+1),FALSE)*$BD$9/VLOOKUP($A584,'Fuel economy adjusted factor'!$A$2:$K$52,11,FALSE)*($AZ$15*VLOOKUP($A584,'US Grid mix, emissions&amp;prices'!$AE$2:$AI$52,3,FALSE)/100+$BA$15*VLOOKUP($A584,'US Grid mix, emissions&amp;prices'!$AE$2:$AI$52,4,FALSE)/100)/(1+$AZ$41)^F$113+VLOOKUP($A584,'VKT US'!$B$63:$AA$113,(F$168+1),FALSE)*(1-$BD$9)/VLOOKUP($A584,'Fuel economy adjusted factor'!$A$2:$K$52,10,FALSE)*VLOOKUP($A584,'US Grid mix, emissions&amp;prices'!$AE$2:$AI$52,2,FALSE)/(1+$AZ$41)^F$168</f>
        <v>1038.6516616581293</v>
      </c>
      <c r="G584" s="106">
        <f>VLOOKUP($A584,'VKT US'!$B$63:$AA$113,(G$113+1),FALSE)*$BD$9/VLOOKUP($A584,'Fuel economy adjusted factor'!$A$2:$K$52,11,FALSE)*($AZ$15*VLOOKUP($A584,'US Grid mix, emissions&amp;prices'!$AE$2:$AI$52,3,FALSE)/100+$BA$15*VLOOKUP($A584,'US Grid mix, emissions&amp;prices'!$AE$2:$AI$52,4,FALSE)/100)/(1+$AZ$41)^G$113+VLOOKUP($A584,'VKT US'!$B$63:$AA$113,(G$168+1),FALSE)*(1-$BD$9)/VLOOKUP($A584,'Fuel economy adjusted factor'!$A$2:$K$52,10,FALSE)*VLOOKUP($A584,'US Grid mix, emissions&amp;prices'!$AE$2:$AI$52,2,FALSE)/(1+$AZ$41)^G$168</f>
        <v>996.50806799973998</v>
      </c>
      <c r="H584" s="106">
        <f>VLOOKUP($A584,'VKT US'!$B$63:$AA$113,(H$113+1),FALSE)*$BD$9/VLOOKUP($A584,'Fuel economy adjusted factor'!$A$2:$K$52,11,FALSE)*($AZ$15*VLOOKUP($A584,'US Grid mix, emissions&amp;prices'!$AE$2:$AI$52,3,FALSE)/100+$BA$15*VLOOKUP($A584,'US Grid mix, emissions&amp;prices'!$AE$2:$AI$52,4,FALSE)/100)/(1+$AZ$41)^H$113+VLOOKUP($A584,'VKT US'!$B$63:$AA$113,(H$168+1),FALSE)*(1-$BD$9)/VLOOKUP($A584,'Fuel economy adjusted factor'!$A$2:$K$52,10,FALSE)*VLOOKUP($A584,'US Grid mix, emissions&amp;prices'!$AE$2:$AI$52,2,FALSE)/(1+$AZ$41)^H$168</f>
        <v>956.20860594083274</v>
      </c>
      <c r="I584" s="106">
        <f>VLOOKUP($A584,'VKT US'!$B$63:$AA$113,(I$113+1),FALSE)*$BD$9/VLOOKUP($A584,'Fuel economy adjusted factor'!$A$2:$K$52,11,FALSE)*($AZ$15*VLOOKUP($A584,'US Grid mix, emissions&amp;prices'!$AE$2:$AI$52,3,FALSE)/100+$BA$15*VLOOKUP($A584,'US Grid mix, emissions&amp;prices'!$AE$2:$AI$52,4,FALSE)/100)/(1+$AZ$41)^I$113+VLOOKUP($A584,'VKT US'!$B$63:$AA$113,(I$168+1),FALSE)*(1-$BD$9)/VLOOKUP($A584,'Fuel economy adjusted factor'!$A$2:$K$52,10,FALSE)*VLOOKUP($A584,'US Grid mix, emissions&amp;prices'!$AE$2:$AI$52,2,FALSE)/(1+$AZ$41)^I$168</f>
        <v>917.8668809240171</v>
      </c>
      <c r="J584" s="106">
        <f>VLOOKUP($A584,'VKT US'!$B$63:$AA$113,(J$113+1),FALSE)*$BD$9/VLOOKUP($A584,'Fuel economy adjusted factor'!$A$2:$K$52,11,FALSE)*($AZ$15*VLOOKUP($A584,'US Grid mix, emissions&amp;prices'!$AE$2:$AI$52,3,FALSE)/100+$BA$15*VLOOKUP($A584,'US Grid mix, emissions&amp;prices'!$AE$2:$AI$52,4,FALSE)/100)/(1+$AZ$41)^J$113+VLOOKUP($A584,'VKT US'!$B$63:$AA$113,(J$168+1),FALSE)*(1-$BD$9)/VLOOKUP($A584,'Fuel economy adjusted factor'!$A$2:$K$52,10,FALSE)*VLOOKUP($A584,'US Grid mix, emissions&amp;prices'!$AE$2:$AI$52,2,FALSE)/(1+$AZ$41)^J$168</f>
        <v>881.42858764097571</v>
      </c>
      <c r="K584" s="106">
        <f>VLOOKUP($A584,'VKT US'!$B$63:$AA$113,(K$113+1),FALSE)*$BD$9/VLOOKUP($A584,'Fuel economy adjusted factor'!$A$2:$K$52,11,FALSE)*($AZ$15*VLOOKUP($A584,'US Grid mix, emissions&amp;prices'!$AE$2:$AI$52,3,FALSE)/100+$BA$15*VLOOKUP($A584,'US Grid mix, emissions&amp;prices'!$AE$2:$AI$52,4,FALSE)/100)/(1+$AZ$41)^K$113+VLOOKUP($A584,'VKT US'!$B$63:$AA$113,(K$168+1),FALSE)*(1-$BD$9)/VLOOKUP($A584,'Fuel economy adjusted factor'!$A$2:$K$52,10,FALSE)*VLOOKUP($A584,'US Grid mix, emissions&amp;prices'!$AE$2:$AI$52,2,FALSE)/(1+$AZ$41)^K$168</f>
        <v>846.84059397809915</v>
      </c>
      <c r="L584" s="106">
        <f>VLOOKUP($A584,'VKT US'!$B$63:$AA$113,(L$113+1),FALSE)*$BD$9/VLOOKUP($A584,'Fuel economy adjusted factor'!$A$2:$K$52,11,FALSE)*($AZ$15*VLOOKUP($A584,'US Grid mix, emissions&amp;prices'!$AE$2:$AI$52,3,FALSE)/100+$BA$15*VLOOKUP($A584,'US Grid mix, emissions&amp;prices'!$AE$2:$AI$52,4,FALSE)/100)/(1+$AZ$41)^L$113+VLOOKUP($A584,'VKT US'!$B$63:$AA$113,(L$168+1),FALSE)*(1-$BD$9)/VLOOKUP($A584,'Fuel economy adjusted factor'!$A$2:$K$52,10,FALSE)*VLOOKUP($A584,'US Grid mix, emissions&amp;prices'!$AE$2:$AI$52,2,FALSE)/(1+$AZ$41)^L$168</f>
        <v>813.97220582132286</v>
      </c>
      <c r="M584" s="106">
        <f>VLOOKUP($A584,'VKT US'!$B$63:$AA$113,(M$113+1),FALSE)*$BD$9/VLOOKUP($A584,'Fuel economy adjusted factor'!$A$2:$K$52,11,FALSE)*($AZ$15*VLOOKUP($A584,'US Grid mix, emissions&amp;prices'!$AE$2:$AI$52,3,FALSE)/100+$BA$15*VLOOKUP($A584,'US Grid mix, emissions&amp;prices'!$AE$2:$AI$52,4,FALSE)/100)/(1+$AZ$41)^M$113+VLOOKUP($A584,'VKT US'!$B$63:$AA$113,(M$168+1),FALSE)*(1-$BD$9)/VLOOKUP($A584,'Fuel economy adjusted factor'!$A$2:$K$52,10,FALSE)*VLOOKUP($A584,'US Grid mix, emissions&amp;prices'!$AE$2:$AI$52,2,FALSE)/(1+$AZ$41)^M$168</f>
        <v>782.85315137139901</v>
      </c>
      <c r="N584" s="106">
        <f>VLOOKUP($A584,'VKT US'!$B$63:$AA$113,(N$113+1),FALSE)*$BD$9/VLOOKUP($A584,'Fuel economy adjusted factor'!$A$2:$K$52,11,FALSE)*($AZ$15*VLOOKUP($A584,'US Grid mix, emissions&amp;prices'!$AE$2:$AI$52,3,FALSE)/100+$BA$15*VLOOKUP($A584,'US Grid mix, emissions&amp;prices'!$AE$2:$AI$52,4,FALSE)/100)/(1+$AZ$41)^N$113+VLOOKUP($A584,'VKT US'!$B$63:$AA$113,(N$168+1),FALSE)*(1-$BD$9)/VLOOKUP($A584,'Fuel economy adjusted factor'!$A$2:$K$52,10,FALSE)*VLOOKUP($A584,'US Grid mix, emissions&amp;prices'!$AE$2:$AI$52,2,FALSE)/(1+$AZ$41)^N$168</f>
        <v>753.35679641053048</v>
      </c>
      <c r="O584" s="106">
        <f>VLOOKUP($A584,'VKT US'!$B$63:$AA$113,(O$113+1),FALSE)*$BD$9/VLOOKUP($A584,'Fuel economy adjusted factor'!$A$2:$K$52,11,FALSE)*($AZ$15*VLOOKUP($A584,'US Grid mix, emissions&amp;prices'!$AE$2:$AI$52,3,FALSE)/100+$BA$15*VLOOKUP($A584,'US Grid mix, emissions&amp;prices'!$AE$2:$AI$52,4,FALSE)/100)/(1+$AZ$41)^O$113+VLOOKUP($A584,'VKT US'!$B$63:$AA$113,(O$168+1),FALSE)*(1-$BD$9)/VLOOKUP($A584,'Fuel economy adjusted factor'!$A$2:$K$52,10,FALSE)*VLOOKUP($A584,'US Grid mix, emissions&amp;prices'!$AE$2:$AI$52,2,FALSE)/(1+$AZ$41)^O$168</f>
        <v>725.51313196042486</v>
      </c>
      <c r="P584" s="106">
        <f>VLOOKUP($A584,'VKT US'!$B$63:$AA$113,(P$113+1),FALSE)*$BD$9/VLOOKUP($A584,'Fuel economy adjusted factor'!$A$2:$K$52,11,FALSE)*($AZ$15*VLOOKUP($A584,'US Grid mix, emissions&amp;prices'!$AE$2:$AI$52,3,FALSE)/100+$BA$15*VLOOKUP($A584,'US Grid mix, emissions&amp;prices'!$AE$2:$AI$52,4,FALSE)/100)/(1+$AZ$41)^P$113+VLOOKUP($A584,'VKT US'!$B$63:$AA$113,(P$168+1),FALSE)*(1-$BD$9)/VLOOKUP($A584,'Fuel economy adjusted factor'!$A$2:$K$52,10,FALSE)*VLOOKUP($A584,'US Grid mix, emissions&amp;prices'!$AE$2:$AI$52,2,FALSE)/(1+$AZ$41)^P$168</f>
        <v>699.19945791042153</v>
      </c>
      <c r="Q584" s="106">
        <f>VLOOKUP($A584,'VKT US'!$B$63:$AA$113,(Q$113+1),FALSE)*$BD$9/VLOOKUP($A584,'Fuel economy adjusted factor'!$A$2:$K$52,11,FALSE)*($AZ$15*VLOOKUP($A584,'US Grid mix, emissions&amp;prices'!$AE$2:$AI$52,3,FALSE)/100+$BA$15*VLOOKUP($A584,'US Grid mix, emissions&amp;prices'!$AE$2:$AI$52,4,FALSE)/100)/(1+$AZ$41)^Q$113+VLOOKUP($A584,'VKT US'!$B$63:$AA$113,(Q$168+1),FALSE)*(1-$BD$9)/VLOOKUP($A584,'Fuel economy adjusted factor'!$A$2:$K$52,10,FALSE)*VLOOKUP($A584,'US Grid mix, emissions&amp;prices'!$AE$2:$AI$52,2,FALSE)/(1+$AZ$41)^Q$168</f>
        <v>674.52014795865887</v>
      </c>
      <c r="R584" s="106">
        <f>VLOOKUP($A584,'VKT US'!$B$63:$AA$113,(R$113+1),FALSE)*$BD$9/VLOOKUP($A584,'Fuel economy adjusted factor'!$A$2:$K$52,11,FALSE)*($AZ$15*VLOOKUP($A584,'US Grid mix, emissions&amp;prices'!$AE$2:$AI$52,3,FALSE)/100+$BA$15*VLOOKUP($A584,'US Grid mix, emissions&amp;prices'!$AE$2:$AI$52,4,FALSE)/100)/(1+$AZ$41)^R$113+VLOOKUP($A584,'VKT US'!$B$63:$AA$113,(R$168+1),FALSE)*(1-$BD$9)/VLOOKUP($A584,'Fuel economy adjusted factor'!$A$2:$K$52,10,FALSE)*VLOOKUP($A584,'US Grid mix, emissions&amp;prices'!$AE$2:$AI$52,2,FALSE)/(1+$AZ$41)^R$168</f>
        <v>651.20712345745085</v>
      </c>
      <c r="S584" s="106">
        <f>VLOOKUP($A584,'VKT US'!$B$63:$AA$113,(S$113+1),FALSE)*$BD$9/VLOOKUP($A584,'Fuel economy adjusted factor'!$A$2:$K$52,11,FALSE)*($AZ$15*VLOOKUP($A584,'US Grid mix, emissions&amp;prices'!$AE$2:$AI$52,3,FALSE)/100+$BA$15*VLOOKUP($A584,'US Grid mix, emissions&amp;prices'!$AE$2:$AI$52,4,FALSE)/100)/(1+$AZ$41)^S$113+VLOOKUP($A584,'VKT US'!$B$63:$AA$113,(S$168+1),FALSE)*(1-$BD$9)/VLOOKUP($A584,'Fuel economy adjusted factor'!$A$2:$K$52,10,FALSE)*VLOOKUP($A584,'US Grid mix, emissions&amp;prices'!$AE$2:$AI$52,2,FALSE)/(1+$AZ$41)^S$168</f>
        <v>629.4382481912362</v>
      </c>
      <c r="T584" s="106">
        <f>VLOOKUP($A584,'VKT US'!$B$63:$AA$113,(T$113+1),FALSE)*$BD$9/VLOOKUP($A584,'Fuel economy adjusted factor'!$A$2:$K$52,11,FALSE)*($AZ$15*VLOOKUP($A584,'US Grid mix, emissions&amp;prices'!$AE$2:$AI$52,3,FALSE)/100+$BA$15*VLOOKUP($A584,'US Grid mix, emissions&amp;prices'!$AE$2:$AI$52,4,FALSE)/100)/(1+$AZ$41)^T$113+VLOOKUP($A584,'VKT US'!$B$63:$AA$113,(T$168+1),FALSE)*(1-$BD$9)/VLOOKUP($A584,'Fuel economy adjusted factor'!$A$2:$K$52,10,FALSE)*VLOOKUP($A584,'US Grid mix, emissions&amp;prices'!$AE$2:$AI$52,2,FALSE)/(1+$AZ$41)^T$168</f>
        <v>608.95265446365795</v>
      </c>
      <c r="U584" s="109">
        <f>VLOOKUP($A584,'VKT US'!$B$63:$AA$113,(U$113+1),FALSE)*$BD$9/VLOOKUP($A584,'Fuel economy adjusted factor'!$A$2:$K$52,11,FALSE)*($AZ$15*VLOOKUP($A584,'US Grid mix, emissions&amp;prices'!$AE$2:$AI$52,3,FALSE)/100+$BA$15*VLOOKUP($A584,'US Grid mix, emissions&amp;prices'!$AE$2:$AI$52,4,FALSE)/100)/(1+$AZ$41)^U$113+VLOOKUP($A584,'VKT US'!$B$63:$AA$113,(U$168+1),FALSE)*(1-$BD$9)/VLOOKUP($A584,'Fuel economy adjusted factor'!$A$2:$K$52,10,FALSE)*VLOOKUP($A584,'US Grid mix, emissions&amp;prices'!$AE$2:$AI$52,2,FALSE)/(1+$AZ$41)^U$168</f>
        <v>589.9248901380779</v>
      </c>
      <c r="V584" s="110" cm="1">
        <f t="array" ref="V584">SUMPRODUCT(INDEX(B584:U584,,_xlfn.SEQUENCE($AZ$13)))</f>
        <v>13331.695977784662</v>
      </c>
    </row>
    <row r="585" spans="1:22" x14ac:dyDescent="0.25">
      <c r="A585" s="102" t="s">
        <v>211</v>
      </c>
      <c r="B585" s="106">
        <f>VLOOKUP($A585,'VKT US'!$B$63:$AA$113,(B$113+1),FALSE)*$BD$9/VLOOKUP($A585,'Fuel economy adjusted factor'!$A$2:$K$52,11,FALSE)*($AZ$15*VLOOKUP($A585,'US Grid mix, emissions&amp;prices'!$AE$2:$AI$52,3,FALSE)/100+$BA$15*VLOOKUP($A585,'US Grid mix, emissions&amp;prices'!$AE$2:$AI$52,4,FALSE)/100)/(1+$AZ$41)^B$113+VLOOKUP($A585,'VKT US'!$B$63:$AA$113,(B$168+1),FALSE)*(1-$BD$9)/VLOOKUP($A585,'Fuel economy adjusted factor'!$A$2:$K$52,10,FALSE)*VLOOKUP($A585,'US Grid mix, emissions&amp;prices'!$AE$2:$AI$52,2,FALSE)/(1+$AZ$41)^B$168</f>
        <v>1038.2040798530948</v>
      </c>
      <c r="C585" s="106">
        <f>VLOOKUP($A585,'VKT US'!$B$63:$AA$113,(C$113+1),FALSE)*$BD$9/VLOOKUP($A585,'Fuel economy adjusted factor'!$A$2:$K$52,11,FALSE)*($AZ$15*VLOOKUP($A585,'US Grid mix, emissions&amp;prices'!$AE$2:$AI$52,3,FALSE)/100+$BA$15*VLOOKUP($A585,'US Grid mix, emissions&amp;prices'!$AE$2:$AI$52,4,FALSE)/100)/(1+$AZ$41)^C$113+VLOOKUP($A585,'VKT US'!$B$63:$AA$113,(C$168+1),FALSE)*(1-$BD$9)/VLOOKUP($A585,'Fuel economy adjusted factor'!$A$2:$K$52,10,FALSE)*VLOOKUP($A585,'US Grid mix, emissions&amp;prices'!$AE$2:$AI$52,2,FALSE)/(1+$AZ$41)^C$168</f>
        <v>995.3802160120706</v>
      </c>
      <c r="D585" s="106">
        <f>VLOOKUP($A585,'VKT US'!$B$63:$AA$113,(D$113+1),FALSE)*$BD$9/VLOOKUP($A585,'Fuel economy adjusted factor'!$A$2:$K$52,11,FALSE)*($AZ$15*VLOOKUP($A585,'US Grid mix, emissions&amp;prices'!$AE$2:$AI$52,3,FALSE)/100+$BA$15*VLOOKUP($A585,'US Grid mix, emissions&amp;prices'!$AE$2:$AI$52,4,FALSE)/100)/(1+$AZ$41)^D$113+VLOOKUP($A585,'VKT US'!$B$63:$AA$113,(D$168+1),FALSE)*(1-$BD$9)/VLOOKUP($A585,'Fuel economy adjusted factor'!$A$2:$K$52,10,FALSE)*VLOOKUP($A585,'US Grid mix, emissions&amp;prices'!$AE$2:$AI$52,2,FALSE)/(1+$AZ$41)^D$168</f>
        <v>954.37733779566429</v>
      </c>
      <c r="E585" s="106">
        <f>VLOOKUP($A585,'VKT US'!$B$63:$AA$113,(E$113+1),FALSE)*$BD$9/VLOOKUP($A585,'Fuel economy adjusted factor'!$A$2:$K$52,11,FALSE)*($AZ$15*VLOOKUP($A585,'US Grid mix, emissions&amp;prices'!$AE$2:$AI$52,3,FALSE)/100+$BA$15*VLOOKUP($A585,'US Grid mix, emissions&amp;prices'!$AE$2:$AI$52,4,FALSE)/100)/(1+$AZ$41)^E$113+VLOOKUP($A585,'VKT US'!$B$63:$AA$113,(E$168+1),FALSE)*(1-$BD$9)/VLOOKUP($A585,'Fuel economy adjusted factor'!$A$2:$K$52,10,FALSE)*VLOOKUP($A585,'US Grid mix, emissions&amp;prices'!$AE$2:$AI$52,2,FALSE)/(1+$AZ$41)^E$168</f>
        <v>915.21931493816601</v>
      </c>
      <c r="F585" s="106">
        <f>VLOOKUP($A585,'VKT US'!$B$63:$AA$113,(F$113+1),FALSE)*$BD$9/VLOOKUP($A585,'Fuel economy adjusted factor'!$A$2:$K$52,11,FALSE)*($AZ$15*VLOOKUP($A585,'US Grid mix, emissions&amp;prices'!$AE$2:$AI$52,3,FALSE)/100+$BA$15*VLOOKUP($A585,'US Grid mix, emissions&amp;prices'!$AE$2:$AI$52,4,FALSE)/100)/(1+$AZ$41)^F$113+VLOOKUP($A585,'VKT US'!$B$63:$AA$113,(F$168+1),FALSE)*(1-$BD$9)/VLOOKUP($A585,'Fuel economy adjusted factor'!$A$2:$K$52,10,FALSE)*VLOOKUP($A585,'US Grid mix, emissions&amp;prices'!$AE$2:$AI$52,2,FALSE)/(1+$AZ$41)^F$168</f>
        <v>877.78469871501147</v>
      </c>
      <c r="G585" s="106">
        <f>VLOOKUP($A585,'VKT US'!$B$63:$AA$113,(G$113+1),FALSE)*$BD$9/VLOOKUP($A585,'Fuel economy adjusted factor'!$A$2:$K$52,11,FALSE)*($AZ$15*VLOOKUP($A585,'US Grid mix, emissions&amp;prices'!$AE$2:$AI$52,3,FALSE)/100+$BA$15*VLOOKUP($A585,'US Grid mix, emissions&amp;prices'!$AE$2:$AI$52,4,FALSE)/100)/(1+$AZ$41)^G$113+VLOOKUP($A585,'VKT US'!$B$63:$AA$113,(G$168+1),FALSE)*(1-$BD$9)/VLOOKUP($A585,'Fuel economy adjusted factor'!$A$2:$K$52,10,FALSE)*VLOOKUP($A585,'US Grid mix, emissions&amp;prices'!$AE$2:$AI$52,2,FALSE)/(1+$AZ$41)^G$168</f>
        <v>842.16832892733828</v>
      </c>
      <c r="H585" s="106">
        <f>VLOOKUP($A585,'VKT US'!$B$63:$AA$113,(H$113+1),FALSE)*$BD$9/VLOOKUP($A585,'Fuel economy adjusted factor'!$A$2:$K$52,11,FALSE)*($AZ$15*VLOOKUP($A585,'US Grid mix, emissions&amp;prices'!$AE$2:$AI$52,3,FALSE)/100+$BA$15*VLOOKUP($A585,'US Grid mix, emissions&amp;prices'!$AE$2:$AI$52,4,FALSE)/100)/(1+$AZ$41)^H$113+VLOOKUP($A585,'VKT US'!$B$63:$AA$113,(H$168+1),FALSE)*(1-$BD$9)/VLOOKUP($A585,'Fuel economy adjusted factor'!$A$2:$K$52,10,FALSE)*VLOOKUP($A585,'US Grid mix, emissions&amp;prices'!$AE$2:$AI$52,2,FALSE)/(1+$AZ$41)^H$168</f>
        <v>808.1104705831051</v>
      </c>
      <c r="I585" s="106">
        <f>VLOOKUP($A585,'VKT US'!$B$63:$AA$113,(I$113+1),FALSE)*$BD$9/VLOOKUP($A585,'Fuel economy adjusted factor'!$A$2:$K$52,11,FALSE)*($AZ$15*VLOOKUP($A585,'US Grid mix, emissions&amp;prices'!$AE$2:$AI$52,3,FALSE)/100+$BA$15*VLOOKUP($A585,'US Grid mix, emissions&amp;prices'!$AE$2:$AI$52,4,FALSE)/100)/(1+$AZ$41)^I$113+VLOOKUP($A585,'VKT US'!$B$63:$AA$113,(I$168+1),FALSE)*(1-$BD$9)/VLOOKUP($A585,'Fuel economy adjusted factor'!$A$2:$K$52,10,FALSE)*VLOOKUP($A585,'US Grid mix, emissions&amp;prices'!$AE$2:$AI$52,2,FALSE)/(1+$AZ$41)^I$168</f>
        <v>775.70713384904502</v>
      </c>
      <c r="J585" s="106">
        <f>VLOOKUP($A585,'VKT US'!$B$63:$AA$113,(J$113+1),FALSE)*$BD$9/VLOOKUP($A585,'Fuel economy adjusted factor'!$A$2:$K$52,11,FALSE)*($AZ$15*VLOOKUP($A585,'US Grid mix, emissions&amp;prices'!$AE$2:$AI$52,3,FALSE)/100+$BA$15*VLOOKUP($A585,'US Grid mix, emissions&amp;prices'!$AE$2:$AI$52,4,FALSE)/100)/(1+$AZ$41)^J$113+VLOOKUP($A585,'VKT US'!$B$63:$AA$113,(J$168+1),FALSE)*(1-$BD$9)/VLOOKUP($A585,'Fuel economy adjusted factor'!$A$2:$K$52,10,FALSE)*VLOOKUP($A585,'US Grid mix, emissions&amp;prices'!$AE$2:$AI$52,2,FALSE)/(1+$AZ$41)^J$168</f>
        <v>744.91242425402834</v>
      </c>
      <c r="K585" s="106">
        <f>VLOOKUP($A585,'VKT US'!$B$63:$AA$113,(K$113+1),FALSE)*$BD$9/VLOOKUP($A585,'Fuel economy adjusted factor'!$A$2:$K$52,11,FALSE)*($AZ$15*VLOOKUP($A585,'US Grid mix, emissions&amp;prices'!$AE$2:$AI$52,3,FALSE)/100+$BA$15*VLOOKUP($A585,'US Grid mix, emissions&amp;prices'!$AE$2:$AI$52,4,FALSE)/100)/(1+$AZ$41)^K$113+VLOOKUP($A585,'VKT US'!$B$63:$AA$113,(K$168+1),FALSE)*(1-$BD$9)/VLOOKUP($A585,'Fuel economy adjusted factor'!$A$2:$K$52,10,FALSE)*VLOOKUP($A585,'US Grid mix, emissions&amp;prices'!$AE$2:$AI$52,2,FALSE)/(1+$AZ$41)^K$168</f>
        <v>715.68143881656601</v>
      </c>
      <c r="L585" s="106">
        <f>VLOOKUP($A585,'VKT US'!$B$63:$AA$113,(L$113+1),FALSE)*$BD$9/VLOOKUP($A585,'Fuel economy adjusted factor'!$A$2:$K$52,11,FALSE)*($AZ$15*VLOOKUP($A585,'US Grid mix, emissions&amp;prices'!$AE$2:$AI$52,3,FALSE)/100+$BA$15*VLOOKUP($A585,'US Grid mix, emissions&amp;prices'!$AE$2:$AI$52,4,FALSE)/100)/(1+$AZ$41)^L$113+VLOOKUP($A585,'VKT US'!$B$63:$AA$113,(L$168+1),FALSE)*(1-$BD$9)/VLOOKUP($A585,'Fuel economy adjusted factor'!$A$2:$K$52,10,FALSE)*VLOOKUP($A585,'US Grid mix, emissions&amp;prices'!$AE$2:$AI$52,2,FALSE)/(1+$AZ$41)^L$168</f>
        <v>687.90372540167118</v>
      </c>
      <c r="M585" s="106">
        <f>VLOOKUP($A585,'VKT US'!$B$63:$AA$113,(M$113+1),FALSE)*$BD$9/VLOOKUP($A585,'Fuel economy adjusted factor'!$A$2:$K$52,11,FALSE)*($AZ$15*VLOOKUP($A585,'US Grid mix, emissions&amp;prices'!$AE$2:$AI$52,3,FALSE)/100+$BA$15*VLOOKUP($A585,'US Grid mix, emissions&amp;prices'!$AE$2:$AI$52,4,FALSE)/100)/(1+$AZ$41)^M$113+VLOOKUP($A585,'VKT US'!$B$63:$AA$113,(M$168+1),FALSE)*(1-$BD$9)/VLOOKUP($A585,'Fuel economy adjusted factor'!$A$2:$K$52,10,FALSE)*VLOOKUP($A585,'US Grid mix, emissions&amp;prices'!$AE$2:$AI$52,2,FALSE)/(1+$AZ$41)^M$168</f>
        <v>661.60440788937353</v>
      </c>
      <c r="N585" s="106">
        <f>VLOOKUP($A585,'VKT US'!$B$63:$AA$113,(N$113+1),FALSE)*$BD$9/VLOOKUP($A585,'Fuel economy adjusted factor'!$A$2:$K$52,11,FALSE)*($AZ$15*VLOOKUP($A585,'US Grid mix, emissions&amp;prices'!$AE$2:$AI$52,3,FALSE)/100+$BA$15*VLOOKUP($A585,'US Grid mix, emissions&amp;prices'!$AE$2:$AI$52,4,FALSE)/100)/(1+$AZ$41)^N$113+VLOOKUP($A585,'VKT US'!$B$63:$AA$113,(N$168+1),FALSE)*(1-$BD$9)/VLOOKUP($A585,'Fuel economy adjusted factor'!$A$2:$K$52,10,FALSE)*VLOOKUP($A585,'US Grid mix, emissions&amp;prices'!$AE$2:$AI$52,2,FALSE)/(1+$AZ$41)^N$168</f>
        <v>636.67646524190013</v>
      </c>
      <c r="O585" s="106">
        <f>VLOOKUP($A585,'VKT US'!$B$63:$AA$113,(O$113+1),FALSE)*$BD$9/VLOOKUP($A585,'Fuel economy adjusted factor'!$A$2:$K$52,11,FALSE)*($AZ$15*VLOOKUP($A585,'US Grid mix, emissions&amp;prices'!$AE$2:$AI$52,3,FALSE)/100+$BA$15*VLOOKUP($A585,'US Grid mix, emissions&amp;prices'!$AE$2:$AI$52,4,FALSE)/100)/(1+$AZ$41)^O$113+VLOOKUP($A585,'VKT US'!$B$63:$AA$113,(O$168+1),FALSE)*(1-$BD$9)/VLOOKUP($A585,'Fuel economy adjusted factor'!$A$2:$K$52,10,FALSE)*VLOOKUP($A585,'US Grid mix, emissions&amp;prices'!$AE$2:$AI$52,2,FALSE)/(1+$AZ$41)^O$168</f>
        <v>613.14524345437599</v>
      </c>
      <c r="P585" s="106">
        <f>VLOOKUP($A585,'VKT US'!$B$63:$AA$113,(P$113+1),FALSE)*$BD$9/VLOOKUP($A585,'Fuel economy adjusted factor'!$A$2:$K$52,11,FALSE)*($AZ$15*VLOOKUP($A585,'US Grid mix, emissions&amp;prices'!$AE$2:$AI$52,3,FALSE)/100+$BA$15*VLOOKUP($A585,'US Grid mix, emissions&amp;prices'!$AE$2:$AI$52,4,FALSE)/100)/(1+$AZ$41)^P$113+VLOOKUP($A585,'VKT US'!$B$63:$AA$113,(P$168+1),FALSE)*(1-$BD$9)/VLOOKUP($A585,'Fuel economy adjusted factor'!$A$2:$K$52,10,FALSE)*VLOOKUP($A585,'US Grid mix, emissions&amp;prices'!$AE$2:$AI$52,2,FALSE)/(1+$AZ$41)^P$168</f>
        <v>590.90704627940272</v>
      </c>
      <c r="Q585" s="106">
        <f>VLOOKUP($A585,'VKT US'!$B$63:$AA$113,(Q$113+1),FALSE)*$BD$9/VLOOKUP($A585,'Fuel economy adjusted factor'!$A$2:$K$52,11,FALSE)*($AZ$15*VLOOKUP($A585,'US Grid mix, emissions&amp;prices'!$AE$2:$AI$52,3,FALSE)/100+$BA$15*VLOOKUP($A585,'US Grid mix, emissions&amp;prices'!$AE$2:$AI$52,4,FALSE)/100)/(1+$AZ$41)^Q$113+VLOOKUP($A585,'VKT US'!$B$63:$AA$113,(Q$168+1),FALSE)*(1-$BD$9)/VLOOKUP($A585,'Fuel economy adjusted factor'!$A$2:$K$52,10,FALSE)*VLOOKUP($A585,'US Grid mix, emissions&amp;prices'!$AE$2:$AI$52,2,FALSE)/(1+$AZ$41)^Q$168</f>
        <v>570.05008195710161</v>
      </c>
      <c r="R585" s="106">
        <f>VLOOKUP($A585,'VKT US'!$B$63:$AA$113,(R$113+1),FALSE)*$BD$9/VLOOKUP($A585,'Fuel economy adjusted factor'!$A$2:$K$52,11,FALSE)*($AZ$15*VLOOKUP($A585,'US Grid mix, emissions&amp;prices'!$AE$2:$AI$52,3,FALSE)/100+$BA$15*VLOOKUP($A585,'US Grid mix, emissions&amp;prices'!$AE$2:$AI$52,4,FALSE)/100)/(1+$AZ$41)^R$113+VLOOKUP($A585,'VKT US'!$B$63:$AA$113,(R$168+1),FALSE)*(1-$BD$9)/VLOOKUP($A585,'Fuel economy adjusted factor'!$A$2:$K$52,10,FALSE)*VLOOKUP($A585,'US Grid mix, emissions&amp;prices'!$AE$2:$AI$52,2,FALSE)/(1+$AZ$41)^R$168</f>
        <v>550.34779201394622</v>
      </c>
      <c r="S585" s="106">
        <f>VLOOKUP($A585,'VKT US'!$B$63:$AA$113,(S$113+1),FALSE)*$BD$9/VLOOKUP($A585,'Fuel economy adjusted factor'!$A$2:$K$52,11,FALSE)*($AZ$15*VLOOKUP($A585,'US Grid mix, emissions&amp;prices'!$AE$2:$AI$52,3,FALSE)/100+$BA$15*VLOOKUP($A585,'US Grid mix, emissions&amp;prices'!$AE$2:$AI$52,4,FALSE)/100)/(1+$AZ$41)^S$113+VLOOKUP($A585,'VKT US'!$B$63:$AA$113,(S$168+1),FALSE)*(1-$BD$9)/VLOOKUP($A585,'Fuel economy adjusted factor'!$A$2:$K$52,10,FALSE)*VLOOKUP($A585,'US Grid mix, emissions&amp;prices'!$AE$2:$AI$52,2,FALSE)/(1+$AZ$41)^S$168</f>
        <v>531.95049258979293</v>
      </c>
      <c r="T585" s="106">
        <f>VLOOKUP($A585,'VKT US'!$B$63:$AA$113,(T$113+1),FALSE)*$BD$9/VLOOKUP($A585,'Fuel economy adjusted factor'!$A$2:$K$52,11,FALSE)*($AZ$15*VLOOKUP($A585,'US Grid mix, emissions&amp;prices'!$AE$2:$AI$52,3,FALSE)/100+$BA$15*VLOOKUP($A585,'US Grid mix, emissions&amp;prices'!$AE$2:$AI$52,4,FALSE)/100)/(1+$AZ$41)^T$113+VLOOKUP($A585,'VKT US'!$B$63:$AA$113,(T$168+1),FALSE)*(1-$BD$9)/VLOOKUP($A585,'Fuel economy adjusted factor'!$A$2:$K$52,10,FALSE)*VLOOKUP($A585,'US Grid mix, emissions&amp;prices'!$AE$2:$AI$52,2,FALSE)/(1+$AZ$41)^T$168</f>
        <v>514.6377193261817</v>
      </c>
      <c r="U585" s="109">
        <f>VLOOKUP($A585,'VKT US'!$B$63:$AA$113,(U$113+1),FALSE)*$BD$9/VLOOKUP($A585,'Fuel economy adjusted factor'!$A$2:$K$52,11,FALSE)*($AZ$15*VLOOKUP($A585,'US Grid mix, emissions&amp;prices'!$AE$2:$AI$52,3,FALSE)/100+$BA$15*VLOOKUP($A585,'US Grid mix, emissions&amp;prices'!$AE$2:$AI$52,4,FALSE)/100)/(1+$AZ$41)^U$113+VLOOKUP($A585,'VKT US'!$B$63:$AA$113,(U$168+1),FALSE)*(1-$BD$9)/VLOOKUP($A585,'Fuel economy adjusted factor'!$A$2:$K$52,10,FALSE)*VLOOKUP($A585,'US Grid mix, emissions&amp;prices'!$AE$2:$AI$52,2,FALSE)/(1+$AZ$41)^U$168</f>
        <v>498.55698601364281</v>
      </c>
      <c r="V585" s="110" cm="1">
        <f t="array" ref="V585">SUMPRODUCT(INDEX(B585:U585,,_xlfn.SEQUENCE($AZ$13)))</f>
        <v>11266.875285731412</v>
      </c>
    </row>
    <row r="586" spans="1:22" x14ac:dyDescent="0.25">
      <c r="A586" s="102" t="s">
        <v>215</v>
      </c>
      <c r="B586" s="106">
        <f>VLOOKUP($A586,'VKT US'!$B$63:$AA$113,(B$113+1),FALSE)*$BD$9/VLOOKUP($A586,'Fuel economy adjusted factor'!$A$2:$K$52,11,FALSE)*($AZ$15*VLOOKUP($A586,'US Grid mix, emissions&amp;prices'!$AE$2:$AI$52,3,FALSE)/100+$BA$15*VLOOKUP($A586,'US Grid mix, emissions&amp;prices'!$AE$2:$AI$52,4,FALSE)/100)/(1+$AZ$41)^B$113+VLOOKUP($A586,'VKT US'!$B$63:$AA$113,(B$168+1),FALSE)*(1-$BD$9)/VLOOKUP($A586,'Fuel economy adjusted factor'!$A$2:$K$52,10,FALSE)*VLOOKUP($A586,'US Grid mix, emissions&amp;prices'!$AE$2:$AI$52,2,FALSE)/(1+$AZ$41)^B$168</f>
        <v>1229.9346855249958</v>
      </c>
      <c r="C586" s="106">
        <f>VLOOKUP($A586,'VKT US'!$B$63:$AA$113,(C$113+1),FALSE)*$BD$9/VLOOKUP($A586,'Fuel economy adjusted factor'!$A$2:$K$52,11,FALSE)*($AZ$15*VLOOKUP($A586,'US Grid mix, emissions&amp;prices'!$AE$2:$AI$52,3,FALSE)/100+$BA$15*VLOOKUP($A586,'US Grid mix, emissions&amp;prices'!$AE$2:$AI$52,4,FALSE)/100)/(1+$AZ$41)^C$113+VLOOKUP($A586,'VKT US'!$B$63:$AA$113,(C$168+1),FALSE)*(1-$BD$9)/VLOOKUP($A586,'Fuel economy adjusted factor'!$A$2:$K$52,10,FALSE)*VLOOKUP($A586,'US Grid mix, emissions&amp;prices'!$AE$2:$AI$52,2,FALSE)/(1+$AZ$41)^C$168</f>
        <v>1179.2023136066268</v>
      </c>
      <c r="D586" s="106">
        <f>VLOOKUP($A586,'VKT US'!$B$63:$AA$113,(D$113+1),FALSE)*$BD$9/VLOOKUP($A586,'Fuel economy adjusted factor'!$A$2:$K$52,11,FALSE)*($AZ$15*VLOOKUP($A586,'US Grid mix, emissions&amp;prices'!$AE$2:$AI$52,3,FALSE)/100+$BA$15*VLOOKUP($A586,'US Grid mix, emissions&amp;prices'!$AE$2:$AI$52,4,FALSE)/100)/(1+$AZ$41)^D$113+VLOOKUP($A586,'VKT US'!$B$63:$AA$113,(D$168+1),FALSE)*(1-$BD$9)/VLOOKUP($A586,'Fuel economy adjusted factor'!$A$2:$K$52,10,FALSE)*VLOOKUP($A586,'US Grid mix, emissions&amp;prices'!$AE$2:$AI$52,2,FALSE)/(1+$AZ$41)^D$168</f>
        <v>1130.6272183018084</v>
      </c>
      <c r="E586" s="106">
        <f>VLOOKUP($A586,'VKT US'!$B$63:$AA$113,(E$113+1),FALSE)*$BD$9/VLOOKUP($A586,'Fuel economy adjusted factor'!$A$2:$K$52,11,FALSE)*($AZ$15*VLOOKUP($A586,'US Grid mix, emissions&amp;prices'!$AE$2:$AI$52,3,FALSE)/100+$BA$15*VLOOKUP($A586,'US Grid mix, emissions&amp;prices'!$AE$2:$AI$52,4,FALSE)/100)/(1+$AZ$41)^E$113+VLOOKUP($A586,'VKT US'!$B$63:$AA$113,(E$168+1),FALSE)*(1-$BD$9)/VLOOKUP($A586,'Fuel economy adjusted factor'!$A$2:$K$52,10,FALSE)*VLOOKUP($A586,'US Grid mix, emissions&amp;prices'!$AE$2:$AI$52,2,FALSE)/(1+$AZ$41)^E$168</f>
        <v>1084.2376774941547</v>
      </c>
      <c r="F586" s="106">
        <f>VLOOKUP($A586,'VKT US'!$B$63:$AA$113,(F$113+1),FALSE)*$BD$9/VLOOKUP($A586,'Fuel economy adjusted factor'!$A$2:$K$52,11,FALSE)*($AZ$15*VLOOKUP($A586,'US Grid mix, emissions&amp;prices'!$AE$2:$AI$52,3,FALSE)/100+$BA$15*VLOOKUP($A586,'US Grid mix, emissions&amp;prices'!$AE$2:$AI$52,4,FALSE)/100)/(1+$AZ$41)^F$113+VLOOKUP($A586,'VKT US'!$B$63:$AA$113,(F$168+1),FALSE)*(1-$BD$9)/VLOOKUP($A586,'Fuel economy adjusted factor'!$A$2:$K$52,10,FALSE)*VLOOKUP($A586,'US Grid mix, emissions&amp;prices'!$AE$2:$AI$52,2,FALSE)/(1+$AZ$41)^F$168</f>
        <v>1039.8898138846325</v>
      </c>
      <c r="G586" s="106">
        <f>VLOOKUP($A586,'VKT US'!$B$63:$AA$113,(G$113+1),FALSE)*$BD$9/VLOOKUP($A586,'Fuel economy adjusted factor'!$A$2:$K$52,11,FALSE)*($AZ$15*VLOOKUP($A586,'US Grid mix, emissions&amp;prices'!$AE$2:$AI$52,3,FALSE)/100+$BA$15*VLOOKUP($A586,'US Grid mix, emissions&amp;prices'!$AE$2:$AI$52,4,FALSE)/100)/(1+$AZ$41)^G$113+VLOOKUP($A586,'VKT US'!$B$63:$AA$113,(G$168+1),FALSE)*(1-$BD$9)/VLOOKUP($A586,'Fuel economy adjusted factor'!$A$2:$K$52,10,FALSE)*VLOOKUP($A586,'US Grid mix, emissions&amp;prices'!$AE$2:$AI$52,2,FALSE)/(1+$AZ$41)^G$168</f>
        <v>997.69598183906555</v>
      </c>
      <c r="H586" s="106">
        <f>VLOOKUP($A586,'VKT US'!$B$63:$AA$113,(H$113+1),FALSE)*$BD$9/VLOOKUP($A586,'Fuel economy adjusted factor'!$A$2:$K$52,11,FALSE)*($AZ$15*VLOOKUP($A586,'US Grid mix, emissions&amp;prices'!$AE$2:$AI$52,3,FALSE)/100+$BA$15*VLOOKUP($A586,'US Grid mix, emissions&amp;prices'!$AE$2:$AI$52,4,FALSE)/100)/(1+$AZ$41)^H$113+VLOOKUP($A586,'VKT US'!$B$63:$AA$113,(H$168+1),FALSE)*(1-$BD$9)/VLOOKUP($A586,'Fuel economy adjusted factor'!$A$2:$K$52,10,FALSE)*VLOOKUP($A586,'US Grid mix, emissions&amp;prices'!$AE$2:$AI$52,2,FALSE)/(1+$AZ$41)^H$168</f>
        <v>957.34847973890373</v>
      </c>
      <c r="I586" s="106">
        <f>VLOOKUP($A586,'VKT US'!$B$63:$AA$113,(I$113+1),FALSE)*$BD$9/VLOOKUP($A586,'Fuel economy adjusted factor'!$A$2:$K$52,11,FALSE)*($AZ$15*VLOOKUP($A586,'US Grid mix, emissions&amp;prices'!$AE$2:$AI$52,3,FALSE)/100+$BA$15*VLOOKUP($A586,'US Grid mix, emissions&amp;prices'!$AE$2:$AI$52,4,FALSE)/100)/(1+$AZ$41)^I$113+VLOOKUP($A586,'VKT US'!$B$63:$AA$113,(I$168+1),FALSE)*(1-$BD$9)/VLOOKUP($A586,'Fuel economy adjusted factor'!$A$2:$K$52,10,FALSE)*VLOOKUP($A586,'US Grid mix, emissions&amp;prices'!$AE$2:$AI$52,2,FALSE)/(1+$AZ$41)^I$168</f>
        <v>918.9610484531338</v>
      </c>
      <c r="J586" s="106">
        <f>VLOOKUP($A586,'VKT US'!$B$63:$AA$113,(J$113+1),FALSE)*$BD$9/VLOOKUP($A586,'Fuel economy adjusted factor'!$A$2:$K$52,11,FALSE)*($AZ$15*VLOOKUP($A586,'US Grid mix, emissions&amp;prices'!$AE$2:$AI$52,3,FALSE)/100+$BA$15*VLOOKUP($A586,'US Grid mix, emissions&amp;prices'!$AE$2:$AI$52,4,FALSE)/100)/(1+$AZ$41)^J$113+VLOOKUP($A586,'VKT US'!$B$63:$AA$113,(J$168+1),FALSE)*(1-$BD$9)/VLOOKUP($A586,'Fuel economy adjusted factor'!$A$2:$K$52,10,FALSE)*VLOOKUP($A586,'US Grid mix, emissions&amp;prices'!$AE$2:$AI$52,2,FALSE)/(1+$AZ$41)^J$168</f>
        <v>882.47931793735734</v>
      </c>
      <c r="K586" s="106">
        <f>VLOOKUP($A586,'VKT US'!$B$63:$AA$113,(K$113+1),FALSE)*$BD$9/VLOOKUP($A586,'Fuel economy adjusted factor'!$A$2:$K$52,11,FALSE)*($AZ$15*VLOOKUP($A586,'US Grid mix, emissions&amp;prices'!$AE$2:$AI$52,3,FALSE)/100+$BA$15*VLOOKUP($A586,'US Grid mix, emissions&amp;prices'!$AE$2:$AI$52,4,FALSE)/100)/(1+$AZ$41)^K$113+VLOOKUP($A586,'VKT US'!$B$63:$AA$113,(K$168+1),FALSE)*(1-$BD$9)/VLOOKUP($A586,'Fuel economy adjusted factor'!$A$2:$K$52,10,FALSE)*VLOOKUP($A586,'US Grid mix, emissions&amp;prices'!$AE$2:$AI$52,2,FALSE)/(1+$AZ$41)^K$168</f>
        <v>847.85009274042068</v>
      </c>
      <c r="L586" s="106">
        <f>VLOOKUP($A586,'VKT US'!$B$63:$AA$113,(L$113+1),FALSE)*$BD$9/VLOOKUP($A586,'Fuel economy adjusted factor'!$A$2:$K$52,11,FALSE)*($AZ$15*VLOOKUP($A586,'US Grid mix, emissions&amp;prices'!$AE$2:$AI$52,3,FALSE)/100+$BA$15*VLOOKUP($A586,'US Grid mix, emissions&amp;prices'!$AE$2:$AI$52,4,FALSE)/100)/(1+$AZ$41)^L$113+VLOOKUP($A586,'VKT US'!$B$63:$AA$113,(L$168+1),FALSE)*(1-$BD$9)/VLOOKUP($A586,'Fuel economy adjusted factor'!$A$2:$K$52,10,FALSE)*VLOOKUP($A586,'US Grid mix, emissions&amp;prices'!$AE$2:$AI$52,2,FALSE)/(1+$AZ$41)^L$168</f>
        <v>814.94252295087949</v>
      </c>
      <c r="M586" s="106">
        <f>VLOOKUP($A586,'VKT US'!$B$63:$AA$113,(M$113+1),FALSE)*$BD$9/VLOOKUP($A586,'Fuel economy adjusted factor'!$A$2:$K$52,11,FALSE)*($AZ$15*VLOOKUP($A586,'US Grid mix, emissions&amp;prices'!$AE$2:$AI$52,3,FALSE)/100+$BA$15*VLOOKUP($A586,'US Grid mix, emissions&amp;prices'!$AE$2:$AI$52,4,FALSE)/100)/(1+$AZ$41)^M$113+VLOOKUP($A586,'VKT US'!$B$63:$AA$113,(M$168+1),FALSE)*(1-$BD$9)/VLOOKUP($A586,'Fuel economy adjusted factor'!$A$2:$K$52,10,FALSE)*VLOOKUP($A586,'US Grid mix, emissions&amp;prices'!$AE$2:$AI$52,2,FALSE)/(1+$AZ$41)^M$168</f>
        <v>783.78637220777455</v>
      </c>
      <c r="N586" s="106">
        <f>VLOOKUP($A586,'VKT US'!$B$63:$AA$113,(N$113+1),FALSE)*$BD$9/VLOOKUP($A586,'Fuel economy adjusted factor'!$A$2:$K$52,11,FALSE)*($AZ$15*VLOOKUP($A586,'US Grid mix, emissions&amp;prices'!$AE$2:$AI$52,3,FALSE)/100+$BA$15*VLOOKUP($A586,'US Grid mix, emissions&amp;prices'!$AE$2:$AI$52,4,FALSE)/100)/(1+$AZ$41)^N$113+VLOOKUP($A586,'VKT US'!$B$63:$AA$113,(N$168+1),FALSE)*(1-$BD$9)/VLOOKUP($A586,'Fuel economy adjusted factor'!$A$2:$K$52,10,FALSE)*VLOOKUP($A586,'US Grid mix, emissions&amp;prices'!$AE$2:$AI$52,2,FALSE)/(1+$AZ$41)^N$168</f>
        <v>754.25485533563528</v>
      </c>
      <c r="O586" s="106">
        <f>VLOOKUP($A586,'VKT US'!$B$63:$AA$113,(O$113+1),FALSE)*$BD$9/VLOOKUP($A586,'Fuel economy adjusted factor'!$A$2:$K$52,11,FALSE)*($AZ$15*VLOOKUP($A586,'US Grid mix, emissions&amp;prices'!$AE$2:$AI$52,3,FALSE)/100+$BA$15*VLOOKUP($A586,'US Grid mix, emissions&amp;prices'!$AE$2:$AI$52,4,FALSE)/100)/(1+$AZ$41)^O$113+VLOOKUP($A586,'VKT US'!$B$63:$AA$113,(O$168+1),FALSE)*(1-$BD$9)/VLOOKUP($A586,'Fuel economy adjusted factor'!$A$2:$K$52,10,FALSE)*VLOOKUP($A586,'US Grid mix, emissions&amp;prices'!$AE$2:$AI$52,2,FALSE)/(1+$AZ$41)^O$168</f>
        <v>726.37799910776084</v>
      </c>
      <c r="P586" s="106">
        <f>VLOOKUP($A586,'VKT US'!$B$63:$AA$113,(P$113+1),FALSE)*$BD$9/VLOOKUP($A586,'Fuel economy adjusted factor'!$A$2:$K$52,11,FALSE)*($AZ$15*VLOOKUP($A586,'US Grid mix, emissions&amp;prices'!$AE$2:$AI$52,3,FALSE)/100+$BA$15*VLOOKUP($A586,'US Grid mix, emissions&amp;prices'!$AE$2:$AI$52,4,FALSE)/100)/(1+$AZ$41)^P$113+VLOOKUP($A586,'VKT US'!$B$63:$AA$113,(P$168+1),FALSE)*(1-$BD$9)/VLOOKUP($A586,'Fuel economy adjusted factor'!$A$2:$K$52,10,FALSE)*VLOOKUP($A586,'US Grid mix, emissions&amp;prices'!$AE$2:$AI$52,2,FALSE)/(1+$AZ$41)^P$168</f>
        <v>700.03295714557385</v>
      </c>
      <c r="Q586" s="106">
        <f>VLOOKUP($A586,'VKT US'!$B$63:$AA$113,(Q$113+1),FALSE)*$BD$9/VLOOKUP($A586,'Fuel economy adjusted factor'!$A$2:$K$52,11,FALSE)*($AZ$15*VLOOKUP($A586,'US Grid mix, emissions&amp;prices'!$AE$2:$AI$52,3,FALSE)/100+$BA$15*VLOOKUP($A586,'US Grid mix, emissions&amp;prices'!$AE$2:$AI$52,4,FALSE)/100)/(1+$AZ$41)^Q$113+VLOOKUP($A586,'VKT US'!$B$63:$AA$113,(Q$168+1),FALSE)*(1-$BD$9)/VLOOKUP($A586,'Fuel economy adjusted factor'!$A$2:$K$52,10,FALSE)*VLOOKUP($A586,'US Grid mix, emissions&amp;prices'!$AE$2:$AI$52,2,FALSE)/(1+$AZ$41)^Q$168</f>
        <v>675.32422756864378</v>
      </c>
      <c r="R586" s="106">
        <f>VLOOKUP($A586,'VKT US'!$B$63:$AA$113,(R$113+1),FALSE)*$BD$9/VLOOKUP($A586,'Fuel economy adjusted factor'!$A$2:$K$52,11,FALSE)*($AZ$15*VLOOKUP($A586,'US Grid mix, emissions&amp;prices'!$AE$2:$AI$52,3,FALSE)/100+$BA$15*VLOOKUP($A586,'US Grid mix, emissions&amp;prices'!$AE$2:$AI$52,4,FALSE)/100)/(1+$AZ$41)^R$113+VLOOKUP($A586,'VKT US'!$B$63:$AA$113,(R$168+1),FALSE)*(1-$BD$9)/VLOOKUP($A586,'Fuel economy adjusted factor'!$A$2:$K$52,10,FALSE)*VLOOKUP($A586,'US Grid mix, emissions&amp;prices'!$AE$2:$AI$52,2,FALSE)/(1+$AZ$41)^R$168</f>
        <v>651.9834121590319</v>
      </c>
      <c r="S586" s="106">
        <f>VLOOKUP($A586,'VKT US'!$B$63:$AA$113,(S$113+1),FALSE)*$BD$9/VLOOKUP($A586,'Fuel economy adjusted factor'!$A$2:$K$52,11,FALSE)*($AZ$15*VLOOKUP($A586,'US Grid mix, emissions&amp;prices'!$AE$2:$AI$52,3,FALSE)/100+$BA$15*VLOOKUP($A586,'US Grid mix, emissions&amp;prices'!$AE$2:$AI$52,4,FALSE)/100)/(1+$AZ$41)^S$113+VLOOKUP($A586,'VKT US'!$B$63:$AA$113,(S$168+1),FALSE)*(1-$BD$9)/VLOOKUP($A586,'Fuel economy adjusted factor'!$A$2:$K$52,10,FALSE)*VLOOKUP($A586,'US Grid mix, emissions&amp;prices'!$AE$2:$AI$52,2,FALSE)/(1+$AZ$41)^S$168</f>
        <v>630.18858672841236</v>
      </c>
      <c r="T586" s="106">
        <f>VLOOKUP($A586,'VKT US'!$B$63:$AA$113,(T$113+1),FALSE)*$BD$9/VLOOKUP($A586,'Fuel economy adjusted factor'!$A$2:$K$52,11,FALSE)*($AZ$15*VLOOKUP($A586,'US Grid mix, emissions&amp;prices'!$AE$2:$AI$52,3,FALSE)/100+$BA$15*VLOOKUP($A586,'US Grid mix, emissions&amp;prices'!$AE$2:$AI$52,4,FALSE)/100)/(1+$AZ$41)^T$113+VLOOKUP($A586,'VKT US'!$B$63:$AA$113,(T$168+1),FALSE)*(1-$BD$9)/VLOOKUP($A586,'Fuel economy adjusted factor'!$A$2:$K$52,10,FALSE)*VLOOKUP($A586,'US Grid mix, emissions&amp;prices'!$AE$2:$AI$52,2,FALSE)/(1+$AZ$41)^T$168</f>
        <v>609.67857260618098</v>
      </c>
      <c r="U586" s="109">
        <f>VLOOKUP($A586,'VKT US'!$B$63:$AA$113,(U$113+1),FALSE)*$BD$9/VLOOKUP($A586,'Fuel economy adjusted factor'!$A$2:$K$52,11,FALSE)*($AZ$15*VLOOKUP($A586,'US Grid mix, emissions&amp;prices'!$AE$2:$AI$52,3,FALSE)/100+$BA$15*VLOOKUP($A586,'US Grid mix, emissions&amp;prices'!$AE$2:$AI$52,4,FALSE)/100)/(1+$AZ$41)^U$113+VLOOKUP($A586,'VKT US'!$B$63:$AA$113,(U$168+1),FALSE)*(1-$BD$9)/VLOOKUP($A586,'Fuel economy adjusted factor'!$A$2:$K$52,10,FALSE)*VLOOKUP($A586,'US Grid mix, emissions&amp;prices'!$AE$2:$AI$52,2,FALSE)/(1+$AZ$41)^U$168</f>
        <v>590.62812573010319</v>
      </c>
      <c r="V586" s="110" cm="1">
        <f t="array" ref="V586">SUMPRODUCT(INDEX(B586:U586,,_xlfn.SEQUENCE($AZ$13)))</f>
        <v>13347.58837912315</v>
      </c>
    </row>
    <row r="587" spans="1:22" x14ac:dyDescent="0.25">
      <c r="A587" s="102" t="s">
        <v>212</v>
      </c>
      <c r="B587" s="106">
        <f>VLOOKUP($A587,'VKT US'!$B$63:$AA$113,(B$113+1),FALSE)*$BD$9/VLOOKUP($A587,'Fuel economy adjusted factor'!$A$2:$K$52,11,FALSE)*($AZ$15*VLOOKUP($A587,'US Grid mix, emissions&amp;prices'!$AE$2:$AI$52,3,FALSE)/100+$BA$15*VLOOKUP($A587,'US Grid mix, emissions&amp;prices'!$AE$2:$AI$52,4,FALSE)/100)/(1+$AZ$41)^B$113+VLOOKUP($A587,'VKT US'!$B$63:$AA$113,(B$168+1),FALSE)*(1-$BD$9)/VLOOKUP($A587,'Fuel economy adjusted factor'!$A$2:$K$52,10,FALSE)*VLOOKUP($A587,'US Grid mix, emissions&amp;prices'!$AE$2:$AI$52,2,FALSE)/(1+$AZ$41)^B$168</f>
        <v>1161.9163066552906</v>
      </c>
      <c r="C587" s="106">
        <f>VLOOKUP($A587,'VKT US'!$B$63:$AA$113,(C$113+1),FALSE)*$BD$9/VLOOKUP($A587,'Fuel economy adjusted factor'!$A$2:$K$52,11,FALSE)*($AZ$15*VLOOKUP($A587,'US Grid mix, emissions&amp;prices'!$AE$2:$AI$52,3,FALSE)/100+$BA$15*VLOOKUP($A587,'US Grid mix, emissions&amp;prices'!$AE$2:$AI$52,4,FALSE)/100)/(1+$AZ$41)^C$113+VLOOKUP($A587,'VKT US'!$B$63:$AA$113,(C$168+1),FALSE)*(1-$BD$9)/VLOOKUP($A587,'Fuel economy adjusted factor'!$A$2:$K$52,10,FALSE)*VLOOKUP($A587,'US Grid mix, emissions&amp;prices'!$AE$2:$AI$52,2,FALSE)/(1+$AZ$41)^C$168</f>
        <v>1113.9895582669462</v>
      </c>
      <c r="D587" s="106">
        <f>VLOOKUP($A587,'VKT US'!$B$63:$AA$113,(D$113+1),FALSE)*$BD$9/VLOOKUP($A587,'Fuel economy adjusted factor'!$A$2:$K$52,11,FALSE)*($AZ$15*VLOOKUP($A587,'US Grid mix, emissions&amp;prices'!$AE$2:$AI$52,3,FALSE)/100+$BA$15*VLOOKUP($A587,'US Grid mix, emissions&amp;prices'!$AE$2:$AI$52,4,FALSE)/100)/(1+$AZ$41)^D$113+VLOOKUP($A587,'VKT US'!$B$63:$AA$113,(D$168+1),FALSE)*(1-$BD$9)/VLOOKUP($A587,'Fuel economy adjusted factor'!$A$2:$K$52,10,FALSE)*VLOOKUP($A587,'US Grid mix, emissions&amp;prices'!$AE$2:$AI$52,2,FALSE)/(1+$AZ$41)^D$168</f>
        <v>1068.1007838497001</v>
      </c>
      <c r="E587" s="106">
        <f>VLOOKUP($A587,'VKT US'!$B$63:$AA$113,(E$113+1),FALSE)*$BD$9/VLOOKUP($A587,'Fuel economy adjusted factor'!$A$2:$K$52,11,FALSE)*($AZ$15*VLOOKUP($A587,'US Grid mix, emissions&amp;prices'!$AE$2:$AI$52,3,FALSE)/100+$BA$15*VLOOKUP($A587,'US Grid mix, emissions&amp;prices'!$AE$2:$AI$52,4,FALSE)/100)/(1+$AZ$41)^E$113+VLOOKUP($A587,'VKT US'!$B$63:$AA$113,(E$168+1),FALSE)*(1-$BD$9)/VLOOKUP($A587,'Fuel economy adjusted factor'!$A$2:$K$52,10,FALSE)*VLOOKUP($A587,'US Grid mix, emissions&amp;prices'!$AE$2:$AI$52,2,FALSE)/(1+$AZ$41)^E$168</f>
        <v>1024.2766974514402</v>
      </c>
      <c r="F587" s="106">
        <f>VLOOKUP($A587,'VKT US'!$B$63:$AA$113,(F$113+1),FALSE)*$BD$9/VLOOKUP($A587,'Fuel economy adjusted factor'!$A$2:$K$52,11,FALSE)*($AZ$15*VLOOKUP($A587,'US Grid mix, emissions&amp;prices'!$AE$2:$AI$52,3,FALSE)/100+$BA$15*VLOOKUP($A587,'US Grid mix, emissions&amp;prices'!$AE$2:$AI$52,4,FALSE)/100)/(1+$AZ$41)^F$113+VLOOKUP($A587,'VKT US'!$B$63:$AA$113,(F$168+1),FALSE)*(1-$BD$9)/VLOOKUP($A587,'Fuel economy adjusted factor'!$A$2:$K$52,10,FALSE)*VLOOKUP($A587,'US Grid mix, emissions&amp;prices'!$AE$2:$AI$52,2,FALSE)/(1+$AZ$41)^F$168</f>
        <v>982.38137853762828</v>
      </c>
      <c r="G587" s="106">
        <f>VLOOKUP($A587,'VKT US'!$B$63:$AA$113,(G$113+1),FALSE)*$BD$9/VLOOKUP($A587,'Fuel economy adjusted factor'!$A$2:$K$52,11,FALSE)*($AZ$15*VLOOKUP($A587,'US Grid mix, emissions&amp;prices'!$AE$2:$AI$52,3,FALSE)/100+$BA$15*VLOOKUP($A587,'US Grid mix, emissions&amp;prices'!$AE$2:$AI$52,4,FALSE)/100)/(1+$AZ$41)^G$113+VLOOKUP($A587,'VKT US'!$B$63:$AA$113,(G$168+1),FALSE)*(1-$BD$9)/VLOOKUP($A587,'Fuel economy adjusted factor'!$A$2:$K$52,10,FALSE)*VLOOKUP($A587,'US Grid mix, emissions&amp;prices'!$AE$2:$AI$52,2,FALSE)/(1+$AZ$41)^G$168</f>
        <v>942.52096800445247</v>
      </c>
      <c r="H587" s="106">
        <f>VLOOKUP($A587,'VKT US'!$B$63:$AA$113,(H$113+1),FALSE)*$BD$9/VLOOKUP($A587,'Fuel economy adjusted factor'!$A$2:$K$52,11,FALSE)*($AZ$15*VLOOKUP($A587,'US Grid mix, emissions&amp;prices'!$AE$2:$AI$52,3,FALSE)/100+$BA$15*VLOOKUP($A587,'US Grid mix, emissions&amp;prices'!$AE$2:$AI$52,4,FALSE)/100)/(1+$AZ$41)^H$113+VLOOKUP($A587,'VKT US'!$B$63:$AA$113,(H$168+1),FALSE)*(1-$BD$9)/VLOOKUP($A587,'Fuel economy adjusted factor'!$A$2:$K$52,10,FALSE)*VLOOKUP($A587,'US Grid mix, emissions&amp;prices'!$AE$2:$AI$52,2,FALSE)/(1+$AZ$41)^H$168</f>
        <v>904.40478088108853</v>
      </c>
      <c r="I587" s="106">
        <f>VLOOKUP($A587,'VKT US'!$B$63:$AA$113,(I$113+1),FALSE)*$BD$9/VLOOKUP($A587,'Fuel economy adjusted factor'!$A$2:$K$52,11,FALSE)*($AZ$15*VLOOKUP($A587,'US Grid mix, emissions&amp;prices'!$AE$2:$AI$52,3,FALSE)/100+$BA$15*VLOOKUP($A587,'US Grid mix, emissions&amp;prices'!$AE$2:$AI$52,4,FALSE)/100)/(1+$AZ$41)^I$113+VLOOKUP($A587,'VKT US'!$B$63:$AA$113,(I$168+1),FALSE)*(1-$BD$9)/VLOOKUP($A587,'Fuel economy adjusted factor'!$A$2:$K$52,10,FALSE)*VLOOKUP($A587,'US Grid mix, emissions&amp;prices'!$AE$2:$AI$52,2,FALSE)/(1+$AZ$41)^I$168</f>
        <v>868.14026788989099</v>
      </c>
      <c r="J587" s="106">
        <f>VLOOKUP($A587,'VKT US'!$B$63:$AA$113,(J$113+1),FALSE)*$BD$9/VLOOKUP($A587,'Fuel economy adjusted factor'!$A$2:$K$52,11,FALSE)*($AZ$15*VLOOKUP($A587,'US Grid mix, emissions&amp;prices'!$AE$2:$AI$52,3,FALSE)/100+$BA$15*VLOOKUP($A587,'US Grid mix, emissions&amp;prices'!$AE$2:$AI$52,4,FALSE)/100)/(1+$AZ$41)^J$113+VLOOKUP($A587,'VKT US'!$B$63:$AA$113,(J$168+1),FALSE)*(1-$BD$9)/VLOOKUP($A587,'Fuel economy adjusted factor'!$A$2:$K$52,10,FALSE)*VLOOKUP($A587,'US Grid mix, emissions&amp;prices'!$AE$2:$AI$52,2,FALSE)/(1+$AZ$41)^J$168</f>
        <v>833.67606578212531</v>
      </c>
      <c r="K587" s="106">
        <f>VLOOKUP($A587,'VKT US'!$B$63:$AA$113,(K$113+1),FALSE)*$BD$9/VLOOKUP($A587,'Fuel economy adjusted factor'!$A$2:$K$52,11,FALSE)*($AZ$15*VLOOKUP($A587,'US Grid mix, emissions&amp;prices'!$AE$2:$AI$52,3,FALSE)/100+$BA$15*VLOOKUP($A587,'US Grid mix, emissions&amp;prices'!$AE$2:$AI$52,4,FALSE)/100)/(1+$AZ$41)^K$113+VLOOKUP($A587,'VKT US'!$B$63:$AA$113,(K$168+1),FALSE)*(1-$BD$9)/VLOOKUP($A587,'Fuel economy adjusted factor'!$A$2:$K$52,10,FALSE)*VLOOKUP($A587,'US Grid mix, emissions&amp;prices'!$AE$2:$AI$52,2,FALSE)/(1+$AZ$41)^K$168</f>
        <v>800.96192094443904</v>
      </c>
      <c r="L587" s="106">
        <f>VLOOKUP($A587,'VKT US'!$B$63:$AA$113,(L$113+1),FALSE)*$BD$9/VLOOKUP($A587,'Fuel economy adjusted factor'!$A$2:$K$52,11,FALSE)*($AZ$15*VLOOKUP($A587,'US Grid mix, emissions&amp;prices'!$AE$2:$AI$52,3,FALSE)/100+$BA$15*VLOOKUP($A587,'US Grid mix, emissions&amp;prices'!$AE$2:$AI$52,4,FALSE)/100)/(1+$AZ$41)^L$113+VLOOKUP($A587,'VKT US'!$B$63:$AA$113,(L$168+1),FALSE)*(1-$BD$9)/VLOOKUP($A587,'Fuel economy adjusted factor'!$A$2:$K$52,10,FALSE)*VLOOKUP($A587,'US Grid mix, emissions&amp;prices'!$AE$2:$AI$52,2,FALSE)/(1+$AZ$41)^L$168</f>
        <v>769.87421978367047</v>
      </c>
      <c r="M587" s="106">
        <f>VLOOKUP($A587,'VKT US'!$B$63:$AA$113,(M$113+1),FALSE)*$BD$9/VLOOKUP($A587,'Fuel economy adjusted factor'!$A$2:$K$52,11,FALSE)*($AZ$15*VLOOKUP($A587,'US Grid mix, emissions&amp;prices'!$AE$2:$AI$52,3,FALSE)/100+$BA$15*VLOOKUP($A587,'US Grid mix, emissions&amp;prices'!$AE$2:$AI$52,4,FALSE)/100)/(1+$AZ$41)^M$113+VLOOKUP($A587,'VKT US'!$B$63:$AA$113,(M$168+1),FALSE)*(1-$BD$9)/VLOOKUP($A587,'Fuel economy adjusted factor'!$A$2:$K$52,10,FALSE)*VLOOKUP($A587,'US Grid mix, emissions&amp;prices'!$AE$2:$AI$52,2,FALSE)/(1+$AZ$41)^M$168</f>
        <v>740.44107993724708</v>
      </c>
      <c r="N587" s="106">
        <f>VLOOKUP($A587,'VKT US'!$B$63:$AA$113,(N$113+1),FALSE)*$BD$9/VLOOKUP($A587,'Fuel economy adjusted factor'!$A$2:$K$52,11,FALSE)*($AZ$15*VLOOKUP($A587,'US Grid mix, emissions&amp;prices'!$AE$2:$AI$52,3,FALSE)/100+$BA$15*VLOOKUP($A587,'US Grid mix, emissions&amp;prices'!$AE$2:$AI$52,4,FALSE)/100)/(1+$AZ$41)^N$113+VLOOKUP($A587,'VKT US'!$B$63:$AA$113,(N$168+1),FALSE)*(1-$BD$9)/VLOOKUP($A587,'Fuel economy adjusted factor'!$A$2:$K$52,10,FALSE)*VLOOKUP($A587,'US Grid mix, emissions&amp;prices'!$AE$2:$AI$52,2,FALSE)/(1+$AZ$41)^N$168</f>
        <v>712.54272775819777</v>
      </c>
      <c r="O587" s="106">
        <f>VLOOKUP($A587,'VKT US'!$B$63:$AA$113,(O$113+1),FALSE)*$BD$9/VLOOKUP($A587,'Fuel economy adjusted factor'!$A$2:$K$52,11,FALSE)*($AZ$15*VLOOKUP($A587,'US Grid mix, emissions&amp;prices'!$AE$2:$AI$52,3,FALSE)/100+$BA$15*VLOOKUP($A587,'US Grid mix, emissions&amp;prices'!$AE$2:$AI$52,4,FALSE)/100)/(1+$AZ$41)^O$113+VLOOKUP($A587,'VKT US'!$B$63:$AA$113,(O$168+1),FALSE)*(1-$BD$9)/VLOOKUP($A587,'Fuel economy adjusted factor'!$A$2:$K$52,10,FALSE)*VLOOKUP($A587,'US Grid mix, emissions&amp;prices'!$AE$2:$AI$52,2,FALSE)/(1+$AZ$41)^O$168</f>
        <v>686.2075294662443</v>
      </c>
      <c r="P587" s="106">
        <f>VLOOKUP($A587,'VKT US'!$B$63:$AA$113,(P$113+1),FALSE)*$BD$9/VLOOKUP($A587,'Fuel economy adjusted factor'!$A$2:$K$52,11,FALSE)*($AZ$15*VLOOKUP($A587,'US Grid mix, emissions&amp;prices'!$AE$2:$AI$52,3,FALSE)/100+$BA$15*VLOOKUP($A587,'US Grid mix, emissions&amp;prices'!$AE$2:$AI$52,4,FALSE)/100)/(1+$AZ$41)^P$113+VLOOKUP($A587,'VKT US'!$B$63:$AA$113,(P$168+1),FALSE)*(1-$BD$9)/VLOOKUP($A587,'Fuel economy adjusted factor'!$A$2:$K$52,10,FALSE)*VLOOKUP($A587,'US Grid mix, emissions&amp;prices'!$AE$2:$AI$52,2,FALSE)/(1+$AZ$41)^P$168</f>
        <v>661.31943238626241</v>
      </c>
      <c r="Q587" s="106">
        <f>VLOOKUP($A587,'VKT US'!$B$63:$AA$113,(Q$113+1),FALSE)*$BD$9/VLOOKUP($A587,'Fuel economy adjusted factor'!$A$2:$K$52,11,FALSE)*($AZ$15*VLOOKUP($A587,'US Grid mix, emissions&amp;prices'!$AE$2:$AI$52,3,FALSE)/100+$BA$15*VLOOKUP($A587,'US Grid mix, emissions&amp;prices'!$AE$2:$AI$52,4,FALSE)/100)/(1+$AZ$41)^Q$113+VLOOKUP($A587,'VKT US'!$B$63:$AA$113,(Q$168+1),FALSE)*(1-$BD$9)/VLOOKUP($A587,'Fuel economy adjusted factor'!$A$2:$K$52,10,FALSE)*VLOOKUP($A587,'US Grid mix, emissions&amp;prices'!$AE$2:$AI$52,2,FALSE)/(1+$AZ$41)^Q$168</f>
        <v>637.97715563770794</v>
      </c>
      <c r="R587" s="106">
        <f>VLOOKUP($A587,'VKT US'!$B$63:$AA$113,(R$113+1),FALSE)*$BD$9/VLOOKUP($A587,'Fuel economy adjusted factor'!$A$2:$K$52,11,FALSE)*($AZ$15*VLOOKUP($A587,'US Grid mix, emissions&amp;prices'!$AE$2:$AI$52,3,FALSE)/100+$BA$15*VLOOKUP($A587,'US Grid mix, emissions&amp;prices'!$AE$2:$AI$52,4,FALSE)/100)/(1+$AZ$41)^R$113+VLOOKUP($A587,'VKT US'!$B$63:$AA$113,(R$168+1),FALSE)*(1-$BD$9)/VLOOKUP($A587,'Fuel economy adjusted factor'!$A$2:$K$52,10,FALSE)*VLOOKUP($A587,'US Grid mix, emissions&amp;prices'!$AE$2:$AI$52,2,FALSE)/(1+$AZ$41)^R$168</f>
        <v>615.92714407674191</v>
      </c>
      <c r="S587" s="106">
        <f>VLOOKUP($A587,'VKT US'!$B$63:$AA$113,(S$113+1),FALSE)*$BD$9/VLOOKUP($A587,'Fuel economy adjusted factor'!$A$2:$K$52,11,FALSE)*($AZ$15*VLOOKUP($A587,'US Grid mix, emissions&amp;prices'!$AE$2:$AI$52,3,FALSE)/100+$BA$15*VLOOKUP($A587,'US Grid mix, emissions&amp;prices'!$AE$2:$AI$52,4,FALSE)/100)/(1+$AZ$41)^S$113+VLOOKUP($A587,'VKT US'!$B$63:$AA$113,(S$168+1),FALSE)*(1-$BD$9)/VLOOKUP($A587,'Fuel economy adjusted factor'!$A$2:$K$52,10,FALSE)*VLOOKUP($A587,'US Grid mix, emissions&amp;prices'!$AE$2:$AI$52,2,FALSE)/(1+$AZ$41)^S$168</f>
        <v>595.33762548963682</v>
      </c>
      <c r="T587" s="106">
        <f>VLOOKUP($A587,'VKT US'!$B$63:$AA$113,(T$113+1),FALSE)*$BD$9/VLOOKUP($A587,'Fuel economy adjusted factor'!$A$2:$K$52,11,FALSE)*($AZ$15*VLOOKUP($A587,'US Grid mix, emissions&amp;prices'!$AE$2:$AI$52,3,FALSE)/100+$BA$15*VLOOKUP($A587,'US Grid mix, emissions&amp;prices'!$AE$2:$AI$52,4,FALSE)/100)/(1+$AZ$41)^T$113+VLOOKUP($A587,'VKT US'!$B$63:$AA$113,(T$168+1),FALSE)*(1-$BD$9)/VLOOKUP($A587,'Fuel economy adjusted factor'!$A$2:$K$52,10,FALSE)*VLOOKUP($A587,'US Grid mix, emissions&amp;prices'!$AE$2:$AI$52,2,FALSE)/(1+$AZ$41)^T$168</f>
        <v>575.9618650213655</v>
      </c>
      <c r="U587" s="109">
        <f>VLOOKUP($A587,'VKT US'!$B$63:$AA$113,(U$113+1),FALSE)*$BD$9/VLOOKUP($A587,'Fuel economy adjusted factor'!$A$2:$K$52,11,FALSE)*($AZ$15*VLOOKUP($A587,'US Grid mix, emissions&amp;prices'!$AE$2:$AI$52,3,FALSE)/100+$BA$15*VLOOKUP($A587,'US Grid mix, emissions&amp;prices'!$AE$2:$AI$52,4,FALSE)/100)/(1+$AZ$41)^U$113+VLOOKUP($A587,'VKT US'!$B$63:$AA$113,(U$168+1),FALSE)*(1-$BD$9)/VLOOKUP($A587,'Fuel economy adjusted factor'!$A$2:$K$52,10,FALSE)*VLOOKUP($A587,'US Grid mix, emissions&amp;prices'!$AE$2:$AI$52,2,FALSE)/(1+$AZ$41)^U$168</f>
        <v>557.96495418139102</v>
      </c>
      <c r="V587" s="110" cm="1">
        <f t="array" ref="V587">SUMPRODUCT(INDEX(B587:U587,,_xlfn.SEQUENCE($AZ$13)))</f>
        <v>12609.434285208363</v>
      </c>
    </row>
    <row r="588" spans="1:22" x14ac:dyDescent="0.25">
      <c r="A588" s="102" t="s">
        <v>213</v>
      </c>
      <c r="B588" s="106">
        <f>VLOOKUP($A588,'VKT US'!$B$63:$AA$113,(B$113+1),FALSE)*$BD$9/VLOOKUP($A588,'Fuel economy adjusted factor'!$A$2:$K$52,11,FALSE)*($AZ$15*VLOOKUP($A588,'US Grid mix, emissions&amp;prices'!$AE$2:$AI$52,3,FALSE)/100+$BA$15*VLOOKUP($A588,'US Grid mix, emissions&amp;prices'!$AE$2:$AI$52,4,FALSE)/100)/(1+$AZ$41)^B$113+VLOOKUP($A588,'VKT US'!$B$63:$AA$113,(B$168+1),FALSE)*(1-$BD$9)/VLOOKUP($A588,'Fuel economy adjusted factor'!$A$2:$K$52,10,FALSE)*VLOOKUP($A588,'US Grid mix, emissions&amp;prices'!$AE$2:$AI$52,2,FALSE)/(1+$AZ$41)^B$168</f>
        <v>983.28893328227616</v>
      </c>
      <c r="C588" s="106">
        <f>VLOOKUP($A588,'VKT US'!$B$63:$AA$113,(C$113+1),FALSE)*$BD$9/VLOOKUP($A588,'Fuel economy adjusted factor'!$A$2:$K$52,11,FALSE)*($AZ$15*VLOOKUP($A588,'US Grid mix, emissions&amp;prices'!$AE$2:$AI$52,3,FALSE)/100+$BA$15*VLOOKUP($A588,'US Grid mix, emissions&amp;prices'!$AE$2:$AI$52,4,FALSE)/100)/(1+$AZ$41)^C$113+VLOOKUP($A588,'VKT US'!$B$63:$AA$113,(C$168+1),FALSE)*(1-$BD$9)/VLOOKUP($A588,'Fuel economy adjusted factor'!$A$2:$K$52,10,FALSE)*VLOOKUP($A588,'US Grid mix, emissions&amp;prices'!$AE$2:$AI$52,2,FALSE)/(1+$AZ$41)^C$168</f>
        <v>942.73021056831385</v>
      </c>
      <c r="D588" s="106">
        <f>VLOOKUP($A588,'VKT US'!$B$63:$AA$113,(D$113+1),FALSE)*$BD$9/VLOOKUP($A588,'Fuel economy adjusted factor'!$A$2:$K$52,11,FALSE)*($AZ$15*VLOOKUP($A588,'US Grid mix, emissions&amp;prices'!$AE$2:$AI$52,3,FALSE)/100+$BA$15*VLOOKUP($A588,'US Grid mix, emissions&amp;prices'!$AE$2:$AI$52,4,FALSE)/100)/(1+$AZ$41)^D$113+VLOOKUP($A588,'VKT US'!$B$63:$AA$113,(D$168+1),FALSE)*(1-$BD$9)/VLOOKUP($A588,'Fuel economy adjusted factor'!$A$2:$K$52,10,FALSE)*VLOOKUP($A588,'US Grid mix, emissions&amp;prices'!$AE$2:$AI$52,2,FALSE)/(1+$AZ$41)^D$168</f>
        <v>903.89615359888046</v>
      </c>
      <c r="E588" s="106">
        <f>VLOOKUP($A588,'VKT US'!$B$63:$AA$113,(E$113+1),FALSE)*$BD$9/VLOOKUP($A588,'Fuel economy adjusted factor'!$A$2:$K$52,11,FALSE)*($AZ$15*VLOOKUP($A588,'US Grid mix, emissions&amp;prices'!$AE$2:$AI$52,3,FALSE)/100+$BA$15*VLOOKUP($A588,'US Grid mix, emissions&amp;prices'!$AE$2:$AI$52,4,FALSE)/100)/(1+$AZ$41)^E$113+VLOOKUP($A588,'VKT US'!$B$63:$AA$113,(E$168+1),FALSE)*(1-$BD$9)/VLOOKUP($A588,'Fuel economy adjusted factor'!$A$2:$K$52,10,FALSE)*VLOOKUP($A588,'US Grid mix, emissions&amp;prices'!$AE$2:$AI$52,2,FALSE)/(1+$AZ$41)^E$168</f>
        <v>866.80936953380478</v>
      </c>
      <c r="F588" s="106">
        <f>VLOOKUP($A588,'VKT US'!$B$63:$AA$113,(F$113+1),FALSE)*$BD$9/VLOOKUP($A588,'Fuel economy adjusted factor'!$A$2:$K$52,11,FALSE)*($AZ$15*VLOOKUP($A588,'US Grid mix, emissions&amp;prices'!$AE$2:$AI$52,3,FALSE)/100+$BA$15*VLOOKUP($A588,'US Grid mix, emissions&amp;prices'!$AE$2:$AI$52,4,FALSE)/100)/(1+$AZ$41)^F$113+VLOOKUP($A588,'VKT US'!$B$63:$AA$113,(F$168+1),FALSE)*(1-$BD$9)/VLOOKUP($A588,'Fuel economy adjusted factor'!$A$2:$K$52,10,FALSE)*VLOOKUP($A588,'US Grid mix, emissions&amp;prices'!$AE$2:$AI$52,2,FALSE)/(1+$AZ$41)^F$168</f>
        <v>831.35483360180808</v>
      </c>
      <c r="G588" s="106">
        <f>VLOOKUP($A588,'VKT US'!$B$63:$AA$113,(G$113+1),FALSE)*$BD$9/VLOOKUP($A588,'Fuel economy adjusted factor'!$A$2:$K$52,11,FALSE)*($AZ$15*VLOOKUP($A588,'US Grid mix, emissions&amp;prices'!$AE$2:$AI$52,3,FALSE)/100+$BA$15*VLOOKUP($A588,'US Grid mix, emissions&amp;prices'!$AE$2:$AI$52,4,FALSE)/100)/(1+$AZ$41)^G$113+VLOOKUP($A588,'VKT US'!$B$63:$AA$113,(G$168+1),FALSE)*(1-$BD$9)/VLOOKUP($A588,'Fuel economy adjusted factor'!$A$2:$K$52,10,FALSE)*VLOOKUP($A588,'US Grid mix, emissions&amp;prices'!$AE$2:$AI$52,2,FALSE)/(1+$AZ$41)^G$168</f>
        <v>797.62236911287653</v>
      </c>
      <c r="H588" s="106">
        <f>VLOOKUP($A588,'VKT US'!$B$63:$AA$113,(H$113+1),FALSE)*$BD$9/VLOOKUP($A588,'Fuel economy adjusted factor'!$A$2:$K$52,11,FALSE)*($AZ$15*VLOOKUP($A588,'US Grid mix, emissions&amp;prices'!$AE$2:$AI$52,3,FALSE)/100+$BA$15*VLOOKUP($A588,'US Grid mix, emissions&amp;prices'!$AE$2:$AI$52,4,FALSE)/100)/(1+$AZ$41)^H$113+VLOOKUP($A588,'VKT US'!$B$63:$AA$113,(H$168+1),FALSE)*(1-$BD$9)/VLOOKUP($A588,'Fuel economy adjusted factor'!$A$2:$K$52,10,FALSE)*VLOOKUP($A588,'US Grid mix, emissions&amp;prices'!$AE$2:$AI$52,2,FALSE)/(1+$AZ$41)^H$168</f>
        <v>765.36597959269807</v>
      </c>
      <c r="I588" s="106">
        <f>VLOOKUP($A588,'VKT US'!$B$63:$AA$113,(I$113+1),FALSE)*$BD$9/VLOOKUP($A588,'Fuel economy adjusted factor'!$A$2:$K$52,11,FALSE)*($AZ$15*VLOOKUP($A588,'US Grid mix, emissions&amp;prices'!$AE$2:$AI$52,3,FALSE)/100+$BA$15*VLOOKUP($A588,'US Grid mix, emissions&amp;prices'!$AE$2:$AI$52,4,FALSE)/100)/(1+$AZ$41)^I$113+VLOOKUP($A588,'VKT US'!$B$63:$AA$113,(I$168+1),FALSE)*(1-$BD$9)/VLOOKUP($A588,'Fuel economy adjusted factor'!$A$2:$K$52,10,FALSE)*VLOOKUP($A588,'US Grid mix, emissions&amp;prices'!$AE$2:$AI$52,2,FALSE)/(1+$AZ$41)^I$168</f>
        <v>734.67659681110786</v>
      </c>
      <c r="J588" s="106">
        <f>VLOOKUP($A588,'VKT US'!$B$63:$AA$113,(J$113+1),FALSE)*$BD$9/VLOOKUP($A588,'Fuel economy adjusted factor'!$A$2:$K$52,11,FALSE)*($AZ$15*VLOOKUP($A588,'US Grid mix, emissions&amp;prices'!$AE$2:$AI$52,3,FALSE)/100+$BA$15*VLOOKUP($A588,'US Grid mix, emissions&amp;prices'!$AE$2:$AI$52,4,FALSE)/100)/(1+$AZ$41)^J$113+VLOOKUP($A588,'VKT US'!$B$63:$AA$113,(J$168+1),FALSE)*(1-$BD$9)/VLOOKUP($A588,'Fuel economy adjusted factor'!$A$2:$K$52,10,FALSE)*VLOOKUP($A588,'US Grid mix, emissions&amp;prices'!$AE$2:$AI$52,2,FALSE)/(1+$AZ$41)^J$168</f>
        <v>705.5107538559289</v>
      </c>
      <c r="K588" s="106">
        <f>VLOOKUP($A588,'VKT US'!$B$63:$AA$113,(K$113+1),FALSE)*$BD$9/VLOOKUP($A588,'Fuel economy adjusted factor'!$A$2:$K$52,11,FALSE)*($AZ$15*VLOOKUP($A588,'US Grid mix, emissions&amp;prices'!$AE$2:$AI$52,3,FALSE)/100+$BA$15*VLOOKUP($A588,'US Grid mix, emissions&amp;prices'!$AE$2:$AI$52,4,FALSE)/100)/(1+$AZ$41)^K$113+VLOOKUP($A588,'VKT US'!$B$63:$AA$113,(K$168+1),FALSE)*(1-$BD$9)/VLOOKUP($A588,'Fuel economy adjusted factor'!$A$2:$K$52,10,FALSE)*VLOOKUP($A588,'US Grid mix, emissions&amp;prices'!$AE$2:$AI$52,2,FALSE)/(1+$AZ$41)^K$168</f>
        <v>677.82592286040904</v>
      </c>
      <c r="L588" s="106">
        <f>VLOOKUP($A588,'VKT US'!$B$63:$AA$113,(L$113+1),FALSE)*$BD$9/VLOOKUP($A588,'Fuel economy adjusted factor'!$A$2:$K$52,11,FALSE)*($AZ$15*VLOOKUP($A588,'US Grid mix, emissions&amp;prices'!$AE$2:$AI$52,3,FALSE)/100+$BA$15*VLOOKUP($A588,'US Grid mix, emissions&amp;prices'!$AE$2:$AI$52,4,FALSE)/100)/(1+$AZ$41)^L$113+VLOOKUP($A588,'VKT US'!$B$63:$AA$113,(L$168+1),FALSE)*(1-$BD$9)/VLOOKUP($A588,'Fuel economy adjusted factor'!$A$2:$K$52,10,FALSE)*VLOOKUP($A588,'US Grid mix, emissions&amp;prices'!$AE$2:$AI$52,2,FALSE)/(1+$AZ$41)^L$168</f>
        <v>651.51749398521383</v>
      </c>
      <c r="M588" s="106">
        <f>VLOOKUP($A588,'VKT US'!$B$63:$AA$113,(M$113+1),FALSE)*$BD$9/VLOOKUP($A588,'Fuel economy adjusted factor'!$A$2:$K$52,11,FALSE)*($AZ$15*VLOOKUP($A588,'US Grid mix, emissions&amp;prices'!$AE$2:$AI$52,3,FALSE)/100+$BA$15*VLOOKUP($A588,'US Grid mix, emissions&amp;prices'!$AE$2:$AI$52,4,FALSE)/100)/(1+$AZ$41)^M$113+VLOOKUP($A588,'VKT US'!$B$63:$AA$113,(M$168+1),FALSE)*(1-$BD$9)/VLOOKUP($A588,'Fuel economy adjusted factor'!$A$2:$K$52,10,FALSE)*VLOOKUP($A588,'US Grid mix, emissions&amp;prices'!$AE$2:$AI$52,2,FALSE)/(1+$AZ$41)^M$168</f>
        <v>626.60926219866747</v>
      </c>
      <c r="N588" s="106">
        <f>VLOOKUP($A588,'VKT US'!$B$63:$AA$113,(N$113+1),FALSE)*$BD$9/VLOOKUP($A588,'Fuel economy adjusted factor'!$A$2:$K$52,11,FALSE)*($AZ$15*VLOOKUP($A588,'US Grid mix, emissions&amp;prices'!$AE$2:$AI$52,3,FALSE)/100+$BA$15*VLOOKUP($A588,'US Grid mix, emissions&amp;prices'!$AE$2:$AI$52,4,FALSE)/100)/(1+$AZ$41)^N$113+VLOOKUP($A588,'VKT US'!$B$63:$AA$113,(N$168+1),FALSE)*(1-$BD$9)/VLOOKUP($A588,'Fuel economy adjusted factor'!$A$2:$K$52,10,FALSE)*VLOOKUP($A588,'US Grid mix, emissions&amp;prices'!$AE$2:$AI$52,2,FALSE)/(1+$AZ$41)^N$168</f>
        <v>602.99986727293731</v>
      </c>
      <c r="O588" s="106">
        <f>VLOOKUP($A588,'VKT US'!$B$63:$AA$113,(O$113+1),FALSE)*$BD$9/VLOOKUP($A588,'Fuel economy adjusted factor'!$A$2:$K$52,11,FALSE)*($AZ$15*VLOOKUP($A588,'US Grid mix, emissions&amp;prices'!$AE$2:$AI$52,3,FALSE)/100+$BA$15*VLOOKUP($A588,'US Grid mix, emissions&amp;prices'!$AE$2:$AI$52,4,FALSE)/100)/(1+$AZ$41)^O$113+VLOOKUP($A588,'VKT US'!$B$63:$AA$113,(O$168+1),FALSE)*(1-$BD$9)/VLOOKUP($A588,'Fuel economy adjusted factor'!$A$2:$K$52,10,FALSE)*VLOOKUP($A588,'US Grid mix, emissions&amp;prices'!$AE$2:$AI$52,2,FALSE)/(1+$AZ$41)^O$168</f>
        <v>580.7133145428063</v>
      </c>
      <c r="P588" s="106">
        <f>VLOOKUP($A588,'VKT US'!$B$63:$AA$113,(P$113+1),FALSE)*$BD$9/VLOOKUP($A588,'Fuel economy adjusted factor'!$A$2:$K$52,11,FALSE)*($AZ$15*VLOOKUP($A588,'US Grid mix, emissions&amp;prices'!$AE$2:$AI$52,3,FALSE)/100+$BA$15*VLOOKUP($A588,'US Grid mix, emissions&amp;prices'!$AE$2:$AI$52,4,FALSE)/100)/(1+$AZ$41)^P$113+VLOOKUP($A588,'VKT US'!$B$63:$AA$113,(P$168+1),FALSE)*(1-$BD$9)/VLOOKUP($A588,'Fuel economy adjusted factor'!$A$2:$K$52,10,FALSE)*VLOOKUP($A588,'US Grid mix, emissions&amp;prices'!$AE$2:$AI$52,2,FALSE)/(1+$AZ$41)^P$168</f>
        <v>559.65139270813711</v>
      </c>
      <c r="Q588" s="106">
        <f>VLOOKUP($A588,'VKT US'!$B$63:$AA$113,(Q$113+1),FALSE)*$BD$9/VLOOKUP($A588,'Fuel economy adjusted factor'!$A$2:$K$52,11,FALSE)*($AZ$15*VLOOKUP($A588,'US Grid mix, emissions&amp;prices'!$AE$2:$AI$52,3,FALSE)/100+$BA$15*VLOOKUP($A588,'US Grid mix, emissions&amp;prices'!$AE$2:$AI$52,4,FALSE)/100)/(1+$AZ$41)^Q$113+VLOOKUP($A588,'VKT US'!$B$63:$AA$113,(Q$168+1),FALSE)*(1-$BD$9)/VLOOKUP($A588,'Fuel economy adjusted factor'!$A$2:$K$52,10,FALSE)*VLOOKUP($A588,'US Grid mix, emissions&amp;prices'!$AE$2:$AI$52,2,FALSE)/(1+$AZ$41)^Q$168</f>
        <v>539.8976442901153</v>
      </c>
      <c r="R588" s="106">
        <f>VLOOKUP($A588,'VKT US'!$B$63:$AA$113,(R$113+1),FALSE)*$BD$9/VLOOKUP($A588,'Fuel economy adjusted factor'!$A$2:$K$52,11,FALSE)*($AZ$15*VLOOKUP($A588,'US Grid mix, emissions&amp;prices'!$AE$2:$AI$52,3,FALSE)/100+$BA$15*VLOOKUP($A588,'US Grid mix, emissions&amp;prices'!$AE$2:$AI$52,4,FALSE)/100)/(1+$AZ$41)^R$113+VLOOKUP($A588,'VKT US'!$B$63:$AA$113,(R$168+1),FALSE)*(1-$BD$9)/VLOOKUP($A588,'Fuel economy adjusted factor'!$A$2:$K$52,10,FALSE)*VLOOKUP($A588,'US Grid mix, emissions&amp;prices'!$AE$2:$AI$52,2,FALSE)/(1+$AZ$41)^R$168</f>
        <v>521.23749448203068</v>
      </c>
      <c r="S588" s="106">
        <f>VLOOKUP($A588,'VKT US'!$B$63:$AA$113,(S$113+1),FALSE)*$BD$9/VLOOKUP($A588,'Fuel economy adjusted factor'!$A$2:$K$52,11,FALSE)*($AZ$15*VLOOKUP($A588,'US Grid mix, emissions&amp;prices'!$AE$2:$AI$52,3,FALSE)/100+$BA$15*VLOOKUP($A588,'US Grid mix, emissions&amp;prices'!$AE$2:$AI$52,4,FALSE)/100)/(1+$AZ$41)^S$113+VLOOKUP($A588,'VKT US'!$B$63:$AA$113,(S$168+1),FALSE)*(1-$BD$9)/VLOOKUP($A588,'Fuel economy adjusted factor'!$A$2:$K$52,10,FALSE)*VLOOKUP($A588,'US Grid mix, emissions&amp;prices'!$AE$2:$AI$52,2,FALSE)/(1+$AZ$41)^S$168</f>
        <v>503.81330854682415</v>
      </c>
      <c r="T588" s="106">
        <f>VLOOKUP($A588,'VKT US'!$B$63:$AA$113,(T$113+1),FALSE)*$BD$9/VLOOKUP($A588,'Fuel economy adjusted factor'!$A$2:$K$52,11,FALSE)*($AZ$15*VLOOKUP($A588,'US Grid mix, emissions&amp;prices'!$AE$2:$AI$52,3,FALSE)/100+$BA$15*VLOOKUP($A588,'US Grid mix, emissions&amp;prices'!$AE$2:$AI$52,4,FALSE)/100)/(1+$AZ$41)^T$113+VLOOKUP($A588,'VKT US'!$B$63:$AA$113,(T$168+1),FALSE)*(1-$BD$9)/VLOOKUP($A588,'Fuel economy adjusted factor'!$A$2:$K$52,10,FALSE)*VLOOKUP($A588,'US Grid mix, emissions&amp;prices'!$AE$2:$AI$52,2,FALSE)/(1+$AZ$41)^T$168</f>
        <v>487.41628344849954</v>
      </c>
      <c r="U588" s="109">
        <f>VLOOKUP($A588,'VKT US'!$B$63:$AA$113,(U$113+1),FALSE)*$BD$9/VLOOKUP($A588,'Fuel economy adjusted factor'!$A$2:$K$52,11,FALSE)*($AZ$15*VLOOKUP($A588,'US Grid mix, emissions&amp;prices'!$AE$2:$AI$52,3,FALSE)/100+$BA$15*VLOOKUP($A588,'US Grid mix, emissions&amp;prices'!$AE$2:$AI$52,4,FALSE)/100)/(1+$AZ$41)^U$113+VLOOKUP($A588,'VKT US'!$B$63:$AA$113,(U$168+1),FALSE)*(1-$BD$9)/VLOOKUP($A588,'Fuel economy adjusted factor'!$A$2:$K$52,10,FALSE)*VLOOKUP($A588,'US Grid mix, emissions&amp;prices'!$AE$2:$AI$52,2,FALSE)/(1+$AZ$41)^U$168</f>
        <v>472.18613032916244</v>
      </c>
      <c r="V588" s="110" cm="1">
        <f t="array" ref="V588">SUMPRODUCT(INDEX(B588:U588,,_xlfn.SEQUENCE($AZ$13)))</f>
        <v>10670.921060817729</v>
      </c>
    </row>
    <row r="589" spans="1:22" x14ac:dyDescent="0.25">
      <c r="A589" s="102" t="s">
        <v>214</v>
      </c>
      <c r="B589" s="106">
        <f>VLOOKUP($A589,'VKT US'!$B$63:$AA$113,(B$113+1),FALSE)*$BD$9/VLOOKUP($A589,'Fuel economy adjusted factor'!$A$2:$K$52,11,FALSE)*($AZ$15*VLOOKUP($A589,'US Grid mix, emissions&amp;prices'!$AE$2:$AI$52,3,FALSE)/100+$BA$15*VLOOKUP($A589,'US Grid mix, emissions&amp;prices'!$AE$2:$AI$52,4,FALSE)/100)/(1+$AZ$41)^B$113+VLOOKUP($A589,'VKT US'!$B$63:$AA$113,(B$168+1),FALSE)*(1-$BD$9)/VLOOKUP($A589,'Fuel economy adjusted factor'!$A$2:$K$52,10,FALSE)*VLOOKUP($A589,'US Grid mix, emissions&amp;prices'!$AE$2:$AI$52,2,FALSE)/(1+$AZ$41)^B$168</f>
        <v>1322.4273883440533</v>
      </c>
      <c r="C589" s="106">
        <f>VLOOKUP($A589,'VKT US'!$B$63:$AA$113,(C$113+1),FALSE)*$BD$9/VLOOKUP($A589,'Fuel economy adjusted factor'!$A$2:$K$52,11,FALSE)*($AZ$15*VLOOKUP($A589,'US Grid mix, emissions&amp;prices'!$AE$2:$AI$52,3,FALSE)/100+$BA$15*VLOOKUP($A589,'US Grid mix, emissions&amp;prices'!$AE$2:$AI$52,4,FALSE)/100)/(1+$AZ$41)^C$113+VLOOKUP($A589,'VKT US'!$B$63:$AA$113,(C$168+1),FALSE)*(1-$BD$9)/VLOOKUP($A589,'Fuel economy adjusted factor'!$A$2:$K$52,10,FALSE)*VLOOKUP($A589,'US Grid mix, emissions&amp;prices'!$AE$2:$AI$52,2,FALSE)/(1+$AZ$41)^C$168</f>
        <v>1267.8798754638301</v>
      </c>
      <c r="D589" s="106">
        <f>VLOOKUP($A589,'VKT US'!$B$63:$AA$113,(D$113+1),FALSE)*$BD$9/VLOOKUP($A589,'Fuel economy adjusted factor'!$A$2:$K$52,11,FALSE)*($AZ$15*VLOOKUP($A589,'US Grid mix, emissions&amp;prices'!$AE$2:$AI$52,3,FALSE)/100+$BA$15*VLOOKUP($A589,'US Grid mix, emissions&amp;prices'!$AE$2:$AI$52,4,FALSE)/100)/(1+$AZ$41)^D$113+VLOOKUP($A589,'VKT US'!$B$63:$AA$113,(D$168+1),FALSE)*(1-$BD$9)/VLOOKUP($A589,'Fuel economy adjusted factor'!$A$2:$K$52,10,FALSE)*VLOOKUP($A589,'US Grid mix, emissions&amp;prices'!$AE$2:$AI$52,2,FALSE)/(1+$AZ$41)^D$168</f>
        <v>1215.6518692302343</v>
      </c>
      <c r="E589" s="106">
        <f>VLOOKUP($A589,'VKT US'!$B$63:$AA$113,(E$113+1),FALSE)*$BD$9/VLOOKUP($A589,'Fuel economy adjusted factor'!$A$2:$K$52,11,FALSE)*($AZ$15*VLOOKUP($A589,'US Grid mix, emissions&amp;prices'!$AE$2:$AI$52,3,FALSE)/100+$BA$15*VLOOKUP($A589,'US Grid mix, emissions&amp;prices'!$AE$2:$AI$52,4,FALSE)/100)/(1+$AZ$41)^E$113+VLOOKUP($A589,'VKT US'!$B$63:$AA$113,(E$168+1),FALSE)*(1-$BD$9)/VLOOKUP($A589,'Fuel economy adjusted factor'!$A$2:$K$52,10,FALSE)*VLOOKUP($A589,'US Grid mix, emissions&amp;prices'!$AE$2:$AI$52,2,FALSE)/(1+$AZ$41)^E$168</f>
        <v>1165.7737740608479</v>
      </c>
      <c r="F589" s="106">
        <f>VLOOKUP($A589,'VKT US'!$B$63:$AA$113,(F$113+1),FALSE)*$BD$9/VLOOKUP($A589,'Fuel economy adjusted factor'!$A$2:$K$52,11,FALSE)*($AZ$15*VLOOKUP($A589,'US Grid mix, emissions&amp;prices'!$AE$2:$AI$52,3,FALSE)/100+$BA$15*VLOOKUP($A589,'US Grid mix, emissions&amp;prices'!$AE$2:$AI$52,4,FALSE)/100)/(1+$AZ$41)^F$113+VLOOKUP($A589,'VKT US'!$B$63:$AA$113,(F$168+1),FALSE)*(1-$BD$9)/VLOOKUP($A589,'Fuel economy adjusted factor'!$A$2:$K$52,10,FALSE)*VLOOKUP($A589,'US Grid mix, emissions&amp;prices'!$AE$2:$AI$52,2,FALSE)/(1+$AZ$41)^F$168</f>
        <v>1118.0908928948897</v>
      </c>
      <c r="G589" s="106">
        <f>VLOOKUP($A589,'VKT US'!$B$63:$AA$113,(G$113+1),FALSE)*$BD$9/VLOOKUP($A589,'Fuel economy adjusted factor'!$A$2:$K$52,11,FALSE)*($AZ$15*VLOOKUP($A589,'US Grid mix, emissions&amp;prices'!$AE$2:$AI$52,3,FALSE)/100+$BA$15*VLOOKUP($A589,'US Grid mix, emissions&amp;prices'!$AE$2:$AI$52,4,FALSE)/100)/(1+$AZ$41)^G$113+VLOOKUP($A589,'VKT US'!$B$63:$AA$113,(G$168+1),FALSE)*(1-$BD$9)/VLOOKUP($A589,'Fuel economy adjusted factor'!$A$2:$K$52,10,FALSE)*VLOOKUP($A589,'US Grid mix, emissions&amp;prices'!$AE$2:$AI$52,2,FALSE)/(1+$AZ$41)^G$168</f>
        <v>1072.7240292939748</v>
      </c>
      <c r="H589" s="106">
        <f>VLOOKUP($A589,'VKT US'!$B$63:$AA$113,(H$113+1),FALSE)*$BD$9/VLOOKUP($A589,'Fuel economy adjusted factor'!$A$2:$K$52,11,FALSE)*($AZ$15*VLOOKUP($A589,'US Grid mix, emissions&amp;prices'!$AE$2:$AI$52,3,FALSE)/100+$BA$15*VLOOKUP($A589,'US Grid mix, emissions&amp;prices'!$AE$2:$AI$52,4,FALSE)/100)/(1+$AZ$41)^H$113+VLOOKUP($A589,'VKT US'!$B$63:$AA$113,(H$168+1),FALSE)*(1-$BD$9)/VLOOKUP($A589,'Fuel economy adjusted factor'!$A$2:$K$52,10,FALSE)*VLOOKUP($A589,'US Grid mix, emissions&amp;prices'!$AE$2:$AI$52,2,FALSE)/(1+$AZ$41)^H$168</f>
        <v>1029.342342073935</v>
      </c>
      <c r="I589" s="106">
        <f>VLOOKUP($A589,'VKT US'!$B$63:$AA$113,(I$113+1),FALSE)*$BD$9/VLOOKUP($A589,'Fuel economy adjusted factor'!$A$2:$K$52,11,FALSE)*($AZ$15*VLOOKUP($A589,'US Grid mix, emissions&amp;prices'!$AE$2:$AI$52,3,FALSE)/100+$BA$15*VLOOKUP($A589,'US Grid mix, emissions&amp;prices'!$AE$2:$AI$52,4,FALSE)/100)/(1+$AZ$41)^I$113+VLOOKUP($A589,'VKT US'!$B$63:$AA$113,(I$168+1),FALSE)*(1-$BD$9)/VLOOKUP($A589,'Fuel economy adjusted factor'!$A$2:$K$52,10,FALSE)*VLOOKUP($A589,'US Grid mix, emissions&amp;prices'!$AE$2:$AI$52,2,FALSE)/(1+$AZ$41)^I$168</f>
        <v>988.06812556640682</v>
      </c>
      <c r="J589" s="106">
        <f>VLOOKUP($A589,'VKT US'!$B$63:$AA$113,(J$113+1),FALSE)*$BD$9/VLOOKUP($A589,'Fuel economy adjusted factor'!$A$2:$K$52,11,FALSE)*($AZ$15*VLOOKUP($A589,'US Grid mix, emissions&amp;prices'!$AE$2:$AI$52,3,FALSE)/100+$BA$15*VLOOKUP($A589,'US Grid mix, emissions&amp;prices'!$AE$2:$AI$52,4,FALSE)/100)/(1+$AZ$41)^J$113+VLOOKUP($A589,'VKT US'!$B$63:$AA$113,(J$168+1),FALSE)*(1-$BD$9)/VLOOKUP($A589,'Fuel economy adjusted factor'!$A$2:$K$52,10,FALSE)*VLOOKUP($A589,'US Grid mix, emissions&amp;prices'!$AE$2:$AI$52,2,FALSE)/(1+$AZ$41)^J$168</f>
        <v>948.84292102828397</v>
      </c>
      <c r="K589" s="106">
        <f>VLOOKUP($A589,'VKT US'!$B$63:$AA$113,(K$113+1),FALSE)*$BD$9/VLOOKUP($A589,'Fuel economy adjusted factor'!$A$2:$K$52,11,FALSE)*($AZ$15*VLOOKUP($A589,'US Grid mix, emissions&amp;prices'!$AE$2:$AI$52,3,FALSE)/100+$BA$15*VLOOKUP($A589,'US Grid mix, emissions&amp;prices'!$AE$2:$AI$52,4,FALSE)/100)/(1+$AZ$41)^K$113+VLOOKUP($A589,'VKT US'!$B$63:$AA$113,(K$168+1),FALSE)*(1-$BD$9)/VLOOKUP($A589,'Fuel economy adjusted factor'!$A$2:$K$52,10,FALSE)*VLOOKUP($A589,'US Grid mix, emissions&amp;prices'!$AE$2:$AI$52,2,FALSE)/(1+$AZ$41)^K$168</f>
        <v>911.60953264065938</v>
      </c>
      <c r="L589" s="106">
        <f>VLOOKUP($A589,'VKT US'!$B$63:$AA$113,(L$113+1),FALSE)*$BD$9/VLOOKUP($A589,'Fuel economy adjusted factor'!$A$2:$K$52,11,FALSE)*($AZ$15*VLOOKUP($A589,'US Grid mix, emissions&amp;prices'!$AE$2:$AI$52,3,FALSE)/100+$BA$15*VLOOKUP($A589,'US Grid mix, emissions&amp;prices'!$AE$2:$AI$52,4,FALSE)/100)/(1+$AZ$41)^L$113+VLOOKUP($A589,'VKT US'!$B$63:$AA$113,(L$168+1),FALSE)*(1-$BD$9)/VLOOKUP($A589,'Fuel economy adjusted factor'!$A$2:$K$52,10,FALSE)*VLOOKUP($A589,'US Grid mix, emissions&amp;prices'!$AE$2:$AI$52,2,FALSE)/(1+$AZ$41)^L$168</f>
        <v>876.22727040698874</v>
      </c>
      <c r="M589" s="106">
        <f>VLOOKUP($A589,'VKT US'!$B$63:$AA$113,(M$113+1),FALSE)*$BD$9/VLOOKUP($A589,'Fuel economy adjusted factor'!$A$2:$K$52,11,FALSE)*($AZ$15*VLOOKUP($A589,'US Grid mix, emissions&amp;prices'!$AE$2:$AI$52,3,FALSE)/100+$BA$15*VLOOKUP($A589,'US Grid mix, emissions&amp;prices'!$AE$2:$AI$52,4,FALSE)/100)/(1+$AZ$41)^M$113+VLOOKUP($A589,'VKT US'!$B$63:$AA$113,(M$168+1),FALSE)*(1-$BD$9)/VLOOKUP($A589,'Fuel economy adjusted factor'!$A$2:$K$52,10,FALSE)*VLOOKUP($A589,'US Grid mix, emissions&amp;prices'!$AE$2:$AI$52,2,FALSE)/(1+$AZ$41)^M$168</f>
        <v>842.72813623103775</v>
      </c>
      <c r="N589" s="106">
        <f>VLOOKUP($A589,'VKT US'!$B$63:$AA$113,(N$113+1),FALSE)*$BD$9/VLOOKUP($A589,'Fuel economy adjusted factor'!$A$2:$K$52,11,FALSE)*($AZ$15*VLOOKUP($A589,'US Grid mix, emissions&amp;prices'!$AE$2:$AI$52,3,FALSE)/100+$BA$15*VLOOKUP($A589,'US Grid mix, emissions&amp;prices'!$AE$2:$AI$52,4,FALSE)/100)/(1+$AZ$41)^N$113+VLOOKUP($A589,'VKT US'!$B$63:$AA$113,(N$168+1),FALSE)*(1-$BD$9)/VLOOKUP($A589,'Fuel economy adjusted factor'!$A$2:$K$52,10,FALSE)*VLOOKUP($A589,'US Grid mix, emissions&amp;prices'!$AE$2:$AI$52,2,FALSE)/(1+$AZ$41)^N$168</f>
        <v>810.9758105257165</v>
      </c>
      <c r="O589" s="106">
        <f>VLOOKUP($A589,'VKT US'!$B$63:$AA$113,(O$113+1),FALSE)*$BD$9/VLOOKUP($A589,'Fuel economy adjusted factor'!$A$2:$K$52,11,FALSE)*($AZ$15*VLOOKUP($A589,'US Grid mix, emissions&amp;prices'!$AE$2:$AI$52,3,FALSE)/100+$BA$15*VLOOKUP($A589,'US Grid mix, emissions&amp;prices'!$AE$2:$AI$52,4,FALSE)/100)/(1+$AZ$41)^O$113+VLOOKUP($A589,'VKT US'!$B$63:$AA$113,(O$168+1),FALSE)*(1-$BD$9)/VLOOKUP($A589,'Fuel economy adjusted factor'!$A$2:$K$52,10,FALSE)*VLOOKUP($A589,'US Grid mix, emissions&amp;prices'!$AE$2:$AI$52,2,FALSE)/(1+$AZ$41)^O$168</f>
        <v>781.00257811709093</v>
      </c>
      <c r="P589" s="106">
        <f>VLOOKUP($A589,'VKT US'!$B$63:$AA$113,(P$113+1),FALSE)*$BD$9/VLOOKUP($A589,'Fuel economy adjusted factor'!$A$2:$K$52,11,FALSE)*($AZ$15*VLOOKUP($A589,'US Grid mix, emissions&amp;prices'!$AE$2:$AI$52,3,FALSE)/100+$BA$15*VLOOKUP($A589,'US Grid mix, emissions&amp;prices'!$AE$2:$AI$52,4,FALSE)/100)/(1+$AZ$41)^P$113+VLOOKUP($A589,'VKT US'!$B$63:$AA$113,(P$168+1),FALSE)*(1-$BD$9)/VLOOKUP($A589,'Fuel economy adjusted factor'!$A$2:$K$52,10,FALSE)*VLOOKUP($A589,'US Grid mix, emissions&amp;prices'!$AE$2:$AI$52,2,FALSE)/(1+$AZ$41)^P$168</f>
        <v>752.6763544176606</v>
      </c>
      <c r="Q589" s="106">
        <f>VLOOKUP($A589,'VKT US'!$B$63:$AA$113,(Q$113+1),FALSE)*$BD$9/VLOOKUP($A589,'Fuel economy adjusted factor'!$A$2:$K$52,11,FALSE)*($AZ$15*VLOOKUP($A589,'US Grid mix, emissions&amp;prices'!$AE$2:$AI$52,3,FALSE)/100+$BA$15*VLOOKUP($A589,'US Grid mix, emissions&amp;prices'!$AE$2:$AI$52,4,FALSE)/100)/(1+$AZ$41)^Q$113+VLOOKUP($A589,'VKT US'!$B$63:$AA$113,(Q$168+1),FALSE)*(1-$BD$9)/VLOOKUP($A589,'Fuel economy adjusted factor'!$A$2:$K$52,10,FALSE)*VLOOKUP($A589,'US Grid mix, emissions&amp;prices'!$AE$2:$AI$52,2,FALSE)/(1+$AZ$41)^Q$168</f>
        <v>726.10949594275576</v>
      </c>
      <c r="R589" s="106">
        <f>VLOOKUP($A589,'VKT US'!$B$63:$AA$113,(R$113+1),FALSE)*$BD$9/VLOOKUP($A589,'Fuel economy adjusted factor'!$A$2:$K$52,11,FALSE)*($AZ$15*VLOOKUP($A589,'US Grid mix, emissions&amp;prices'!$AE$2:$AI$52,3,FALSE)/100+$BA$15*VLOOKUP($A589,'US Grid mix, emissions&amp;prices'!$AE$2:$AI$52,4,FALSE)/100)/(1+$AZ$41)^R$113+VLOOKUP($A589,'VKT US'!$B$63:$AA$113,(R$168+1),FALSE)*(1-$BD$9)/VLOOKUP($A589,'Fuel economy adjusted factor'!$A$2:$K$52,10,FALSE)*VLOOKUP($A589,'US Grid mix, emissions&amp;prices'!$AE$2:$AI$52,2,FALSE)/(1+$AZ$41)^R$168</f>
        <v>701.01342057613715</v>
      </c>
      <c r="S589" s="106">
        <f>VLOOKUP($A589,'VKT US'!$B$63:$AA$113,(S$113+1),FALSE)*$BD$9/VLOOKUP($A589,'Fuel economy adjusted factor'!$A$2:$K$52,11,FALSE)*($AZ$15*VLOOKUP($A589,'US Grid mix, emissions&amp;prices'!$AE$2:$AI$52,3,FALSE)/100+$BA$15*VLOOKUP($A589,'US Grid mix, emissions&amp;prices'!$AE$2:$AI$52,4,FALSE)/100)/(1+$AZ$41)^S$113+VLOOKUP($A589,'VKT US'!$B$63:$AA$113,(S$168+1),FALSE)*(1-$BD$9)/VLOOKUP($A589,'Fuel economy adjusted factor'!$A$2:$K$52,10,FALSE)*VLOOKUP($A589,'US Grid mix, emissions&amp;prices'!$AE$2:$AI$52,2,FALSE)/(1+$AZ$41)^S$168</f>
        <v>677.57959566426712</v>
      </c>
      <c r="T589" s="106">
        <f>VLOOKUP($A589,'VKT US'!$B$63:$AA$113,(T$113+1),FALSE)*$BD$9/VLOOKUP($A589,'Fuel economy adjusted factor'!$A$2:$K$52,11,FALSE)*($AZ$15*VLOOKUP($A589,'US Grid mix, emissions&amp;prices'!$AE$2:$AI$52,3,FALSE)/100+$BA$15*VLOOKUP($A589,'US Grid mix, emissions&amp;prices'!$AE$2:$AI$52,4,FALSE)/100)/(1+$AZ$41)^T$113+VLOOKUP($A589,'VKT US'!$B$63:$AA$113,(T$168+1),FALSE)*(1-$BD$9)/VLOOKUP($A589,'Fuel economy adjusted factor'!$A$2:$K$52,10,FALSE)*VLOOKUP($A589,'US Grid mix, emissions&amp;prices'!$AE$2:$AI$52,2,FALSE)/(1+$AZ$41)^T$168</f>
        <v>655.52720155767702</v>
      </c>
      <c r="U589" s="109">
        <f>VLOOKUP($A589,'VKT US'!$B$63:$AA$113,(U$113+1),FALSE)*$BD$9/VLOOKUP($A589,'Fuel economy adjusted factor'!$A$2:$K$52,11,FALSE)*($AZ$15*VLOOKUP($A589,'US Grid mix, emissions&amp;prices'!$AE$2:$AI$52,3,FALSE)/100+$BA$15*VLOOKUP($A589,'US Grid mix, emissions&amp;prices'!$AE$2:$AI$52,4,FALSE)/100)/(1+$AZ$41)^U$113+VLOOKUP($A589,'VKT US'!$B$63:$AA$113,(U$168+1),FALSE)*(1-$BD$9)/VLOOKUP($A589,'Fuel economy adjusted factor'!$A$2:$K$52,10,FALSE)*VLOOKUP($A589,'US Grid mix, emissions&amp;prices'!$AE$2:$AI$52,2,FALSE)/(1+$AZ$41)^U$168</f>
        <v>635.04413607004483</v>
      </c>
      <c r="V589" s="110" cm="1">
        <f t="array" ref="V589">SUMPRODUCT(INDEX(B589:U589,,_xlfn.SEQUENCE($AZ$13)))</f>
        <v>14351.344545877953</v>
      </c>
    </row>
    <row r="590" spans="1:22" x14ac:dyDescent="0.25">
      <c r="A590" s="102" t="s">
        <v>216</v>
      </c>
      <c r="B590" s="106">
        <f>VLOOKUP($A590,'VKT US'!$B$63:$AA$113,(B$113+1),FALSE)*$BD$9/VLOOKUP($A590,'Fuel economy adjusted factor'!$A$2:$K$52,11,FALSE)*($AZ$15*VLOOKUP($A590,'US Grid mix, emissions&amp;prices'!$AE$2:$AI$52,3,FALSE)/100+$BA$15*VLOOKUP($A590,'US Grid mix, emissions&amp;prices'!$AE$2:$AI$52,4,FALSE)/100)/(1+$AZ$41)^B$113+VLOOKUP($A590,'VKT US'!$B$63:$AA$113,(B$168+1),FALSE)*(1-$BD$9)/VLOOKUP($A590,'Fuel economy adjusted factor'!$A$2:$K$52,10,FALSE)*VLOOKUP($A590,'US Grid mix, emissions&amp;prices'!$AE$2:$AI$52,2,FALSE)/(1+$AZ$41)^B$168</f>
        <v>922.67207198607161</v>
      </c>
      <c r="C590" s="106">
        <f>VLOOKUP($A590,'VKT US'!$B$63:$AA$113,(C$113+1),FALSE)*$BD$9/VLOOKUP($A590,'Fuel economy adjusted factor'!$A$2:$K$52,11,FALSE)*($AZ$15*VLOOKUP($A590,'US Grid mix, emissions&amp;prices'!$AE$2:$AI$52,3,FALSE)/100+$BA$15*VLOOKUP($A590,'US Grid mix, emissions&amp;prices'!$AE$2:$AI$52,4,FALSE)/100)/(1+$AZ$41)^C$113+VLOOKUP($A590,'VKT US'!$B$63:$AA$113,(C$168+1),FALSE)*(1-$BD$9)/VLOOKUP($A590,'Fuel economy adjusted factor'!$A$2:$K$52,10,FALSE)*VLOOKUP($A590,'US Grid mix, emissions&amp;prices'!$AE$2:$AI$52,2,FALSE)/(1+$AZ$41)^C$168</f>
        <v>884.61367484873995</v>
      </c>
      <c r="D590" s="106">
        <f>VLOOKUP($A590,'VKT US'!$B$63:$AA$113,(D$113+1),FALSE)*$BD$9/VLOOKUP($A590,'Fuel economy adjusted factor'!$A$2:$K$52,11,FALSE)*($AZ$15*VLOOKUP($A590,'US Grid mix, emissions&amp;prices'!$AE$2:$AI$52,3,FALSE)/100+$BA$15*VLOOKUP($A590,'US Grid mix, emissions&amp;prices'!$AE$2:$AI$52,4,FALSE)/100)/(1+$AZ$41)^D$113+VLOOKUP($A590,'VKT US'!$B$63:$AA$113,(D$168+1),FALSE)*(1-$BD$9)/VLOOKUP($A590,'Fuel economy adjusted factor'!$A$2:$K$52,10,FALSE)*VLOOKUP($A590,'US Grid mix, emissions&amp;prices'!$AE$2:$AI$52,2,FALSE)/(1+$AZ$41)^D$168</f>
        <v>848.17362290184587</v>
      </c>
      <c r="E590" s="106">
        <f>VLOOKUP($A590,'VKT US'!$B$63:$AA$113,(E$113+1),FALSE)*$BD$9/VLOOKUP($A590,'Fuel economy adjusted factor'!$A$2:$K$52,11,FALSE)*($AZ$15*VLOOKUP($A590,'US Grid mix, emissions&amp;prices'!$AE$2:$AI$52,3,FALSE)/100+$BA$15*VLOOKUP($A590,'US Grid mix, emissions&amp;prices'!$AE$2:$AI$52,4,FALSE)/100)/(1+$AZ$41)^E$113+VLOOKUP($A590,'VKT US'!$B$63:$AA$113,(E$168+1),FALSE)*(1-$BD$9)/VLOOKUP($A590,'Fuel economy adjusted factor'!$A$2:$K$52,10,FALSE)*VLOOKUP($A590,'US Grid mix, emissions&amp;prices'!$AE$2:$AI$52,2,FALSE)/(1+$AZ$41)^E$168</f>
        <v>813.37312964052262</v>
      </c>
      <c r="F590" s="106">
        <f>VLOOKUP($A590,'VKT US'!$B$63:$AA$113,(F$113+1),FALSE)*$BD$9/VLOOKUP($A590,'Fuel economy adjusted factor'!$A$2:$K$52,11,FALSE)*($AZ$15*VLOOKUP($A590,'US Grid mix, emissions&amp;prices'!$AE$2:$AI$52,3,FALSE)/100+$BA$15*VLOOKUP($A590,'US Grid mix, emissions&amp;prices'!$AE$2:$AI$52,4,FALSE)/100)/(1+$AZ$41)^F$113+VLOOKUP($A590,'VKT US'!$B$63:$AA$113,(F$168+1),FALSE)*(1-$BD$9)/VLOOKUP($A590,'Fuel economy adjusted factor'!$A$2:$K$52,10,FALSE)*VLOOKUP($A590,'US Grid mix, emissions&amp;prices'!$AE$2:$AI$52,2,FALSE)/(1+$AZ$41)^F$168</f>
        <v>780.10426123123193</v>
      </c>
      <c r="G590" s="106">
        <f>VLOOKUP($A590,'VKT US'!$B$63:$AA$113,(G$113+1),FALSE)*$BD$9/VLOOKUP($A590,'Fuel economy adjusted factor'!$A$2:$K$52,11,FALSE)*($AZ$15*VLOOKUP($A590,'US Grid mix, emissions&amp;prices'!$AE$2:$AI$52,3,FALSE)/100+$BA$15*VLOOKUP($A590,'US Grid mix, emissions&amp;prices'!$AE$2:$AI$52,4,FALSE)/100)/(1+$AZ$41)^G$113+VLOOKUP($A590,'VKT US'!$B$63:$AA$113,(G$168+1),FALSE)*(1-$BD$9)/VLOOKUP($A590,'Fuel economy adjusted factor'!$A$2:$K$52,10,FALSE)*VLOOKUP($A590,'US Grid mix, emissions&amp;prices'!$AE$2:$AI$52,2,FALSE)/(1+$AZ$41)^G$168</f>
        <v>748.45130364194506</v>
      </c>
      <c r="H590" s="106">
        <f>VLOOKUP($A590,'VKT US'!$B$63:$AA$113,(H$113+1),FALSE)*$BD$9/VLOOKUP($A590,'Fuel economy adjusted factor'!$A$2:$K$52,11,FALSE)*($AZ$15*VLOOKUP($A590,'US Grid mix, emissions&amp;prices'!$AE$2:$AI$52,3,FALSE)/100+$BA$15*VLOOKUP($A590,'US Grid mix, emissions&amp;prices'!$AE$2:$AI$52,4,FALSE)/100)/(1+$AZ$41)^H$113+VLOOKUP($A590,'VKT US'!$B$63:$AA$113,(H$168+1),FALSE)*(1-$BD$9)/VLOOKUP($A590,'Fuel economy adjusted factor'!$A$2:$K$52,10,FALSE)*VLOOKUP($A590,'US Grid mix, emissions&amp;prices'!$AE$2:$AI$52,2,FALSE)/(1+$AZ$41)^H$168</f>
        <v>718.18342535511692</v>
      </c>
      <c r="I590" s="106">
        <f>VLOOKUP($A590,'VKT US'!$B$63:$AA$113,(I$113+1),FALSE)*$BD$9/VLOOKUP($A590,'Fuel economy adjusted factor'!$A$2:$K$52,11,FALSE)*($AZ$15*VLOOKUP($A590,'US Grid mix, emissions&amp;prices'!$AE$2:$AI$52,3,FALSE)/100+$BA$15*VLOOKUP($A590,'US Grid mix, emissions&amp;prices'!$AE$2:$AI$52,4,FALSE)/100)/(1+$AZ$41)^I$113+VLOOKUP($A590,'VKT US'!$B$63:$AA$113,(I$168+1),FALSE)*(1-$BD$9)/VLOOKUP($A590,'Fuel economy adjusted factor'!$A$2:$K$52,10,FALSE)*VLOOKUP($A590,'US Grid mix, emissions&amp;prices'!$AE$2:$AI$52,2,FALSE)/(1+$AZ$41)^I$168</f>
        <v>689.38595246528985</v>
      </c>
      <c r="J590" s="106">
        <f>VLOOKUP($A590,'VKT US'!$B$63:$AA$113,(J$113+1),FALSE)*$BD$9/VLOOKUP($A590,'Fuel economy adjusted factor'!$A$2:$K$52,11,FALSE)*($AZ$15*VLOOKUP($A590,'US Grid mix, emissions&amp;prices'!$AE$2:$AI$52,3,FALSE)/100+$BA$15*VLOOKUP($A590,'US Grid mix, emissions&amp;prices'!$AE$2:$AI$52,4,FALSE)/100)/(1+$AZ$41)^J$113+VLOOKUP($A590,'VKT US'!$B$63:$AA$113,(J$168+1),FALSE)*(1-$BD$9)/VLOOKUP($A590,'Fuel economy adjusted factor'!$A$2:$K$52,10,FALSE)*VLOOKUP($A590,'US Grid mix, emissions&amp;prices'!$AE$2:$AI$52,2,FALSE)/(1+$AZ$41)^J$168</f>
        <v>662.0180976671619</v>
      </c>
      <c r="K590" s="106">
        <f>VLOOKUP($A590,'VKT US'!$B$63:$AA$113,(K$113+1),FALSE)*$BD$9/VLOOKUP($A590,'Fuel economy adjusted factor'!$A$2:$K$52,11,FALSE)*($AZ$15*VLOOKUP($A590,'US Grid mix, emissions&amp;prices'!$AE$2:$AI$52,3,FALSE)/100+$BA$15*VLOOKUP($A590,'US Grid mix, emissions&amp;prices'!$AE$2:$AI$52,4,FALSE)/100)/(1+$AZ$41)^K$113+VLOOKUP($A590,'VKT US'!$B$63:$AA$113,(K$168+1),FALSE)*(1-$BD$9)/VLOOKUP($A590,'Fuel economy adjusted factor'!$A$2:$K$52,10,FALSE)*VLOOKUP($A590,'US Grid mix, emissions&amp;prices'!$AE$2:$AI$52,2,FALSE)/(1+$AZ$41)^K$168</f>
        <v>636.0399548114774</v>
      </c>
      <c r="L590" s="106">
        <f>VLOOKUP($A590,'VKT US'!$B$63:$AA$113,(L$113+1),FALSE)*$BD$9/VLOOKUP($A590,'Fuel economy adjusted factor'!$A$2:$K$52,11,FALSE)*($AZ$15*VLOOKUP($A590,'US Grid mix, emissions&amp;prices'!$AE$2:$AI$52,3,FALSE)/100+$BA$15*VLOOKUP($A590,'US Grid mix, emissions&amp;prices'!$AE$2:$AI$52,4,FALSE)/100)/(1+$AZ$41)^L$113+VLOOKUP($A590,'VKT US'!$B$63:$AA$113,(L$168+1),FALSE)*(1-$BD$9)/VLOOKUP($A590,'Fuel economy adjusted factor'!$A$2:$K$52,10,FALSE)*VLOOKUP($A590,'US Grid mix, emissions&amp;prices'!$AE$2:$AI$52,2,FALSE)/(1+$AZ$41)^L$168</f>
        <v>611.3533629468194</v>
      </c>
      <c r="M590" s="106">
        <f>VLOOKUP($A590,'VKT US'!$B$63:$AA$113,(M$113+1),FALSE)*$BD$9/VLOOKUP($A590,'Fuel economy adjusted factor'!$A$2:$K$52,11,FALSE)*($AZ$15*VLOOKUP($A590,'US Grid mix, emissions&amp;prices'!$AE$2:$AI$52,3,FALSE)/100+$BA$15*VLOOKUP($A590,'US Grid mix, emissions&amp;prices'!$AE$2:$AI$52,4,FALSE)/100)/(1+$AZ$41)^M$113+VLOOKUP($A590,'VKT US'!$B$63:$AA$113,(M$168+1),FALSE)*(1-$BD$9)/VLOOKUP($A590,'Fuel economy adjusted factor'!$A$2:$K$52,10,FALSE)*VLOOKUP($A590,'US Grid mix, emissions&amp;prices'!$AE$2:$AI$52,2,FALSE)/(1+$AZ$41)^M$168</f>
        <v>587.98065015192765</v>
      </c>
      <c r="N590" s="106">
        <f>VLOOKUP($A590,'VKT US'!$B$63:$AA$113,(N$113+1),FALSE)*$BD$9/VLOOKUP($A590,'Fuel economy adjusted factor'!$A$2:$K$52,11,FALSE)*($AZ$15*VLOOKUP($A590,'US Grid mix, emissions&amp;prices'!$AE$2:$AI$52,3,FALSE)/100+$BA$15*VLOOKUP($A590,'US Grid mix, emissions&amp;prices'!$AE$2:$AI$52,4,FALSE)/100)/(1+$AZ$41)^N$113+VLOOKUP($A590,'VKT US'!$B$63:$AA$113,(N$168+1),FALSE)*(1-$BD$9)/VLOOKUP($A590,'Fuel economy adjusted factor'!$A$2:$K$52,10,FALSE)*VLOOKUP($A590,'US Grid mix, emissions&amp;prices'!$AE$2:$AI$52,2,FALSE)/(1+$AZ$41)^N$168</f>
        <v>565.82670475792679</v>
      </c>
      <c r="O590" s="106">
        <f>VLOOKUP($A590,'VKT US'!$B$63:$AA$113,(O$113+1),FALSE)*$BD$9/VLOOKUP($A590,'Fuel economy adjusted factor'!$A$2:$K$52,11,FALSE)*($AZ$15*VLOOKUP($A590,'US Grid mix, emissions&amp;prices'!$AE$2:$AI$52,3,FALSE)/100+$BA$15*VLOOKUP($A590,'US Grid mix, emissions&amp;prices'!$AE$2:$AI$52,4,FALSE)/100)/(1+$AZ$41)^O$113+VLOOKUP($A590,'VKT US'!$B$63:$AA$113,(O$168+1),FALSE)*(1-$BD$9)/VLOOKUP($A590,'Fuel economy adjusted factor'!$A$2:$K$52,10,FALSE)*VLOOKUP($A590,'US Grid mix, emissions&amp;prices'!$AE$2:$AI$52,2,FALSE)/(1+$AZ$41)^O$168</f>
        <v>544.91405224154414</v>
      </c>
      <c r="P590" s="106">
        <f>VLOOKUP($A590,'VKT US'!$B$63:$AA$113,(P$113+1),FALSE)*$BD$9/VLOOKUP($A590,'Fuel economy adjusted factor'!$A$2:$K$52,11,FALSE)*($AZ$15*VLOOKUP($A590,'US Grid mix, emissions&amp;prices'!$AE$2:$AI$52,3,FALSE)/100+$BA$15*VLOOKUP($A590,'US Grid mix, emissions&amp;prices'!$AE$2:$AI$52,4,FALSE)/100)/(1+$AZ$41)^P$113+VLOOKUP($A590,'VKT US'!$B$63:$AA$113,(P$168+1),FALSE)*(1-$BD$9)/VLOOKUP($A590,'Fuel economy adjusted factor'!$A$2:$K$52,10,FALSE)*VLOOKUP($A590,'US Grid mix, emissions&amp;prices'!$AE$2:$AI$52,2,FALSE)/(1+$AZ$41)^P$168</f>
        <v>525.15053573949876</v>
      </c>
      <c r="Q590" s="106">
        <f>VLOOKUP($A590,'VKT US'!$B$63:$AA$113,(Q$113+1),FALSE)*$BD$9/VLOOKUP($A590,'Fuel economy adjusted factor'!$A$2:$K$52,11,FALSE)*($AZ$15*VLOOKUP($A590,'US Grid mix, emissions&amp;prices'!$AE$2:$AI$52,3,FALSE)/100+$BA$15*VLOOKUP($A590,'US Grid mix, emissions&amp;prices'!$AE$2:$AI$52,4,FALSE)/100)/(1+$AZ$41)^Q$113+VLOOKUP($A590,'VKT US'!$B$63:$AA$113,(Q$168+1),FALSE)*(1-$BD$9)/VLOOKUP($A590,'Fuel economy adjusted factor'!$A$2:$K$52,10,FALSE)*VLOOKUP($A590,'US Grid mix, emissions&amp;prices'!$AE$2:$AI$52,2,FALSE)/(1+$AZ$41)^Q$168</f>
        <v>506.61454762305812</v>
      </c>
      <c r="R590" s="106">
        <f>VLOOKUP($A590,'VKT US'!$B$63:$AA$113,(R$113+1),FALSE)*$BD$9/VLOOKUP($A590,'Fuel economy adjusted factor'!$A$2:$K$52,11,FALSE)*($AZ$15*VLOOKUP($A590,'US Grid mix, emissions&amp;prices'!$AE$2:$AI$52,3,FALSE)/100+$BA$15*VLOOKUP($A590,'US Grid mix, emissions&amp;prices'!$AE$2:$AI$52,4,FALSE)/100)/(1+$AZ$41)^R$113+VLOOKUP($A590,'VKT US'!$B$63:$AA$113,(R$168+1),FALSE)*(1-$BD$9)/VLOOKUP($A590,'Fuel economy adjusted factor'!$A$2:$K$52,10,FALSE)*VLOOKUP($A590,'US Grid mix, emissions&amp;prices'!$AE$2:$AI$52,2,FALSE)/(1+$AZ$41)^R$168</f>
        <v>489.10474098918917</v>
      </c>
      <c r="S590" s="106">
        <f>VLOOKUP($A590,'VKT US'!$B$63:$AA$113,(S$113+1),FALSE)*$BD$9/VLOOKUP($A590,'Fuel economy adjusted factor'!$A$2:$K$52,11,FALSE)*($AZ$15*VLOOKUP($A590,'US Grid mix, emissions&amp;prices'!$AE$2:$AI$52,3,FALSE)/100+$BA$15*VLOOKUP($A590,'US Grid mix, emissions&amp;prices'!$AE$2:$AI$52,4,FALSE)/100)/(1+$AZ$41)^S$113+VLOOKUP($A590,'VKT US'!$B$63:$AA$113,(S$168+1),FALSE)*(1-$BD$9)/VLOOKUP($A590,'Fuel economy adjusted factor'!$A$2:$K$52,10,FALSE)*VLOOKUP($A590,'US Grid mix, emissions&amp;prices'!$AE$2:$AI$52,2,FALSE)/(1+$AZ$41)^S$168</f>
        <v>472.75470470245688</v>
      </c>
      <c r="T590" s="106">
        <f>VLOOKUP($A590,'VKT US'!$B$63:$AA$113,(T$113+1),FALSE)*$BD$9/VLOOKUP($A590,'Fuel economy adjusted factor'!$A$2:$K$52,11,FALSE)*($AZ$15*VLOOKUP($A590,'US Grid mix, emissions&amp;prices'!$AE$2:$AI$52,3,FALSE)/100+$BA$15*VLOOKUP($A590,'US Grid mix, emissions&amp;prices'!$AE$2:$AI$52,4,FALSE)/100)/(1+$AZ$41)^T$113+VLOOKUP($A590,'VKT US'!$B$63:$AA$113,(T$168+1),FALSE)*(1-$BD$9)/VLOOKUP($A590,'Fuel economy adjusted factor'!$A$2:$K$52,10,FALSE)*VLOOKUP($A590,'US Grid mix, emissions&amp;prices'!$AE$2:$AI$52,2,FALSE)/(1+$AZ$41)^T$168</f>
        <v>457.36850781790821</v>
      </c>
      <c r="U590" s="109">
        <f>VLOOKUP($A590,'VKT US'!$B$63:$AA$113,(U$113+1),FALSE)*$BD$9/VLOOKUP($A590,'Fuel economy adjusted factor'!$A$2:$K$52,11,FALSE)*($AZ$15*VLOOKUP($A590,'US Grid mix, emissions&amp;prices'!$AE$2:$AI$52,3,FALSE)/100+$BA$15*VLOOKUP($A590,'US Grid mix, emissions&amp;prices'!$AE$2:$AI$52,4,FALSE)/100)/(1+$AZ$41)^U$113+VLOOKUP($A590,'VKT US'!$B$63:$AA$113,(U$168+1),FALSE)*(1-$BD$9)/VLOOKUP($A590,'Fuel economy adjusted factor'!$A$2:$K$52,10,FALSE)*VLOOKUP($A590,'US Grid mix, emissions&amp;prices'!$AE$2:$AI$52,2,FALSE)/(1+$AZ$41)^U$168</f>
        <v>443.07724869799131</v>
      </c>
      <c r="V590" s="110" cm="1">
        <f t="array" ref="V590">SUMPRODUCT(INDEX(B590:U590,,_xlfn.SEQUENCE($AZ$13)))</f>
        <v>10013.090264647619</v>
      </c>
    </row>
    <row r="591" spans="1:22" x14ac:dyDescent="0.25">
      <c r="A591" s="102" t="s">
        <v>209</v>
      </c>
      <c r="B591" s="106">
        <f>VLOOKUP($A591,'VKT US'!$B$63:$AA$113,(B$113+1),FALSE)*$BD$9/VLOOKUP($A591,'Fuel economy adjusted factor'!$A$2:$K$52,11,FALSE)*($AZ$15*VLOOKUP($A591,'US Grid mix, emissions&amp;prices'!$AE$2:$AI$52,3,FALSE)/100+$BA$15*VLOOKUP($A591,'US Grid mix, emissions&amp;prices'!$AE$2:$AI$52,4,FALSE)/100)/(1+$AZ$41)^B$113+VLOOKUP($A591,'VKT US'!$B$63:$AA$113,(B$168+1),FALSE)*(1-$BD$9)/VLOOKUP($A591,'Fuel economy adjusted factor'!$A$2:$K$52,10,FALSE)*VLOOKUP($A591,'US Grid mix, emissions&amp;prices'!$AE$2:$AI$52,2,FALSE)/(1+$AZ$41)^B$168</f>
        <v>1084.179251720687</v>
      </c>
      <c r="C591" s="106">
        <f>VLOOKUP($A591,'VKT US'!$B$63:$AA$113,(C$113+1),FALSE)*$BD$9/VLOOKUP($A591,'Fuel economy adjusted factor'!$A$2:$K$52,11,FALSE)*($AZ$15*VLOOKUP($A591,'US Grid mix, emissions&amp;prices'!$AE$2:$AI$52,3,FALSE)/100+$BA$15*VLOOKUP($A591,'US Grid mix, emissions&amp;prices'!$AE$2:$AI$52,4,FALSE)/100)/(1+$AZ$41)^C$113+VLOOKUP($A591,'VKT US'!$B$63:$AA$113,(C$168+1),FALSE)*(1-$BD$9)/VLOOKUP($A591,'Fuel economy adjusted factor'!$A$2:$K$52,10,FALSE)*VLOOKUP($A591,'US Grid mix, emissions&amp;prices'!$AE$2:$AI$52,2,FALSE)/(1+$AZ$41)^C$168</f>
        <v>1039.4590030182164</v>
      </c>
      <c r="D591" s="106">
        <f>VLOOKUP($A591,'VKT US'!$B$63:$AA$113,(D$113+1),FALSE)*$BD$9/VLOOKUP($A591,'Fuel economy adjusted factor'!$A$2:$K$52,11,FALSE)*($AZ$15*VLOOKUP($A591,'US Grid mix, emissions&amp;prices'!$AE$2:$AI$52,3,FALSE)/100+$BA$15*VLOOKUP($A591,'US Grid mix, emissions&amp;prices'!$AE$2:$AI$52,4,FALSE)/100)/(1+$AZ$41)^D$113+VLOOKUP($A591,'VKT US'!$B$63:$AA$113,(D$168+1),FALSE)*(1-$BD$9)/VLOOKUP($A591,'Fuel economy adjusted factor'!$A$2:$K$52,10,FALSE)*VLOOKUP($A591,'US Grid mix, emissions&amp;prices'!$AE$2:$AI$52,2,FALSE)/(1+$AZ$41)^D$168</f>
        <v>996.64037931434109</v>
      </c>
      <c r="E591" s="106">
        <f>VLOOKUP($A591,'VKT US'!$B$63:$AA$113,(E$113+1),FALSE)*$BD$9/VLOOKUP($A591,'Fuel economy adjusted factor'!$A$2:$K$52,11,FALSE)*($AZ$15*VLOOKUP($A591,'US Grid mix, emissions&amp;prices'!$AE$2:$AI$52,3,FALSE)/100+$BA$15*VLOOKUP($A591,'US Grid mix, emissions&amp;prices'!$AE$2:$AI$52,4,FALSE)/100)/(1+$AZ$41)^E$113+VLOOKUP($A591,'VKT US'!$B$63:$AA$113,(E$168+1),FALSE)*(1-$BD$9)/VLOOKUP($A591,'Fuel economy adjusted factor'!$A$2:$K$52,10,FALSE)*VLOOKUP($A591,'US Grid mix, emissions&amp;prices'!$AE$2:$AI$52,2,FALSE)/(1+$AZ$41)^E$168</f>
        <v>955.74830737554544</v>
      </c>
      <c r="F591" s="106">
        <f>VLOOKUP($A591,'VKT US'!$B$63:$AA$113,(F$113+1),FALSE)*$BD$9/VLOOKUP($A591,'Fuel economy adjusted factor'!$A$2:$K$52,11,FALSE)*($AZ$15*VLOOKUP($A591,'US Grid mix, emissions&amp;prices'!$AE$2:$AI$52,3,FALSE)/100+$BA$15*VLOOKUP($A591,'US Grid mix, emissions&amp;prices'!$AE$2:$AI$52,4,FALSE)/100)/(1+$AZ$41)^F$113+VLOOKUP($A591,'VKT US'!$B$63:$AA$113,(F$168+1),FALSE)*(1-$BD$9)/VLOOKUP($A591,'Fuel economy adjusted factor'!$A$2:$K$52,10,FALSE)*VLOOKUP($A591,'US Grid mix, emissions&amp;prices'!$AE$2:$AI$52,2,FALSE)/(1+$AZ$41)^F$168</f>
        <v>916.65596031887264</v>
      </c>
      <c r="G591" s="106">
        <f>VLOOKUP($A591,'VKT US'!$B$63:$AA$113,(G$113+1),FALSE)*$BD$9/VLOOKUP($A591,'Fuel economy adjusted factor'!$A$2:$K$52,11,FALSE)*($AZ$15*VLOOKUP($A591,'US Grid mix, emissions&amp;prices'!$AE$2:$AI$52,3,FALSE)/100+$BA$15*VLOOKUP($A591,'US Grid mix, emissions&amp;prices'!$AE$2:$AI$52,4,FALSE)/100)/(1+$AZ$41)^G$113+VLOOKUP($A591,'VKT US'!$B$63:$AA$113,(G$168+1),FALSE)*(1-$BD$9)/VLOOKUP($A591,'Fuel economy adjusted factor'!$A$2:$K$52,10,FALSE)*VLOOKUP($A591,'US Grid mix, emissions&amp;prices'!$AE$2:$AI$52,2,FALSE)/(1+$AZ$41)^G$168</f>
        <v>879.46237777114175</v>
      </c>
      <c r="H591" s="106">
        <f>VLOOKUP($A591,'VKT US'!$B$63:$AA$113,(H$113+1),FALSE)*$BD$9/VLOOKUP($A591,'Fuel economy adjusted factor'!$A$2:$K$52,11,FALSE)*($AZ$15*VLOOKUP($A591,'US Grid mix, emissions&amp;prices'!$AE$2:$AI$52,3,FALSE)/100+$BA$15*VLOOKUP($A591,'US Grid mix, emissions&amp;prices'!$AE$2:$AI$52,4,FALSE)/100)/(1+$AZ$41)^H$113+VLOOKUP($A591,'VKT US'!$B$63:$AA$113,(H$168+1),FALSE)*(1-$BD$9)/VLOOKUP($A591,'Fuel economy adjusted factor'!$A$2:$K$52,10,FALSE)*VLOOKUP($A591,'US Grid mix, emissions&amp;prices'!$AE$2:$AI$52,2,FALSE)/(1+$AZ$41)^H$168</f>
        <v>843.89632280044202</v>
      </c>
      <c r="I591" s="106">
        <f>VLOOKUP($A591,'VKT US'!$B$63:$AA$113,(I$113+1),FALSE)*$BD$9/VLOOKUP($A591,'Fuel economy adjusted factor'!$A$2:$K$52,11,FALSE)*($AZ$15*VLOOKUP($A591,'US Grid mix, emissions&amp;prices'!$AE$2:$AI$52,3,FALSE)/100+$BA$15*VLOOKUP($A591,'US Grid mix, emissions&amp;prices'!$AE$2:$AI$52,4,FALSE)/100)/(1+$AZ$41)^I$113+VLOOKUP($A591,'VKT US'!$B$63:$AA$113,(I$168+1),FALSE)*(1-$BD$9)/VLOOKUP($A591,'Fuel economy adjusted factor'!$A$2:$K$52,10,FALSE)*VLOOKUP($A591,'US Grid mix, emissions&amp;prices'!$AE$2:$AI$52,2,FALSE)/(1+$AZ$41)^I$168</f>
        <v>810.05805722691662</v>
      </c>
      <c r="J591" s="106">
        <f>VLOOKUP($A591,'VKT US'!$B$63:$AA$113,(J$113+1),FALSE)*$BD$9/VLOOKUP($A591,'Fuel economy adjusted factor'!$A$2:$K$52,11,FALSE)*($AZ$15*VLOOKUP($A591,'US Grid mix, emissions&amp;prices'!$AE$2:$AI$52,3,FALSE)/100+$BA$15*VLOOKUP($A591,'US Grid mix, emissions&amp;prices'!$AE$2:$AI$52,4,FALSE)/100)/(1+$AZ$41)^J$113+VLOOKUP($A591,'VKT US'!$B$63:$AA$113,(J$168+1),FALSE)*(1-$BD$9)/VLOOKUP($A591,'Fuel economy adjusted factor'!$A$2:$K$52,10,FALSE)*VLOOKUP($A591,'US Grid mix, emissions&amp;prices'!$AE$2:$AI$52,2,FALSE)/(1+$AZ$41)^J$168</f>
        <v>777.89965421774605</v>
      </c>
      <c r="K591" s="106">
        <f>VLOOKUP($A591,'VKT US'!$B$63:$AA$113,(K$113+1),FALSE)*$BD$9/VLOOKUP($A591,'Fuel economy adjusted factor'!$A$2:$K$52,11,FALSE)*($AZ$15*VLOOKUP($A591,'US Grid mix, emissions&amp;prices'!$AE$2:$AI$52,3,FALSE)/100+$BA$15*VLOOKUP($A591,'US Grid mix, emissions&amp;prices'!$AE$2:$AI$52,4,FALSE)/100)/(1+$AZ$41)^K$113+VLOOKUP($A591,'VKT US'!$B$63:$AA$113,(K$168+1),FALSE)*(1-$BD$9)/VLOOKUP($A591,'Fuel economy adjusted factor'!$A$2:$K$52,10,FALSE)*VLOOKUP($A591,'US Grid mix, emissions&amp;prices'!$AE$2:$AI$52,2,FALSE)/(1+$AZ$41)^K$168</f>
        <v>747.37422233625057</v>
      </c>
      <c r="L591" s="106">
        <f>VLOOKUP($A591,'VKT US'!$B$63:$AA$113,(L$113+1),FALSE)*$BD$9/VLOOKUP($A591,'Fuel economy adjusted factor'!$A$2:$K$52,11,FALSE)*($AZ$15*VLOOKUP($A591,'US Grid mix, emissions&amp;prices'!$AE$2:$AI$52,3,FALSE)/100+$BA$15*VLOOKUP($A591,'US Grid mix, emissions&amp;prices'!$AE$2:$AI$52,4,FALSE)/100)/(1+$AZ$41)^L$113+VLOOKUP($A591,'VKT US'!$B$63:$AA$113,(L$168+1),FALSE)*(1-$BD$9)/VLOOKUP($A591,'Fuel economy adjusted factor'!$A$2:$K$52,10,FALSE)*VLOOKUP($A591,'US Grid mix, emissions&amp;prices'!$AE$2:$AI$52,2,FALSE)/(1+$AZ$41)^L$168</f>
        <v>718.36641825505899</v>
      </c>
      <c r="M591" s="106">
        <f>VLOOKUP($A591,'VKT US'!$B$63:$AA$113,(M$113+1),FALSE)*$BD$9/VLOOKUP($A591,'Fuel economy adjusted factor'!$A$2:$K$52,11,FALSE)*($AZ$15*VLOOKUP($A591,'US Grid mix, emissions&amp;prices'!$AE$2:$AI$52,3,FALSE)/100+$BA$15*VLOOKUP($A591,'US Grid mix, emissions&amp;prices'!$AE$2:$AI$52,4,FALSE)/100)/(1+$AZ$41)^M$113+VLOOKUP($A591,'VKT US'!$B$63:$AA$113,(M$168+1),FALSE)*(1-$BD$9)/VLOOKUP($A591,'Fuel economy adjusted factor'!$A$2:$K$52,10,FALSE)*VLOOKUP($A591,'US Grid mix, emissions&amp;prices'!$AE$2:$AI$52,2,FALSE)/(1+$AZ$41)^M$168</f>
        <v>690.90247842419058</v>
      </c>
      <c r="N591" s="106">
        <f>VLOOKUP($A591,'VKT US'!$B$63:$AA$113,(N$113+1),FALSE)*$BD$9/VLOOKUP($A591,'Fuel economy adjusted factor'!$A$2:$K$52,11,FALSE)*($AZ$15*VLOOKUP($A591,'US Grid mix, emissions&amp;prices'!$AE$2:$AI$52,3,FALSE)/100+$BA$15*VLOOKUP($A591,'US Grid mix, emissions&amp;prices'!$AE$2:$AI$52,4,FALSE)/100)/(1+$AZ$41)^N$113+VLOOKUP($A591,'VKT US'!$B$63:$AA$113,(N$168+1),FALSE)*(1-$BD$9)/VLOOKUP($A591,'Fuel economy adjusted factor'!$A$2:$K$52,10,FALSE)*VLOOKUP($A591,'US Grid mix, emissions&amp;prices'!$AE$2:$AI$52,2,FALSE)/(1+$AZ$41)^N$168</f>
        <v>664.87064255402311</v>
      </c>
      <c r="O591" s="106">
        <f>VLOOKUP($A591,'VKT US'!$B$63:$AA$113,(O$113+1),FALSE)*$BD$9/VLOOKUP($A591,'Fuel economy adjusted factor'!$A$2:$K$52,11,FALSE)*($AZ$15*VLOOKUP($A591,'US Grid mix, emissions&amp;prices'!$AE$2:$AI$52,3,FALSE)/100+$BA$15*VLOOKUP($A591,'US Grid mix, emissions&amp;prices'!$AE$2:$AI$52,4,FALSE)/100)/(1+$AZ$41)^O$113+VLOOKUP($A591,'VKT US'!$B$63:$AA$113,(O$168+1),FALSE)*(1-$BD$9)/VLOOKUP($A591,'Fuel economy adjusted factor'!$A$2:$K$52,10,FALSE)*VLOOKUP($A591,'US Grid mix, emissions&amp;prices'!$AE$2:$AI$52,2,FALSE)/(1+$AZ$41)^O$168</f>
        <v>640.2973790456756</v>
      </c>
      <c r="P591" s="106">
        <f>VLOOKUP($A591,'VKT US'!$B$63:$AA$113,(P$113+1),FALSE)*$BD$9/VLOOKUP($A591,'Fuel economy adjusted factor'!$A$2:$K$52,11,FALSE)*($AZ$15*VLOOKUP($A591,'US Grid mix, emissions&amp;prices'!$AE$2:$AI$52,3,FALSE)/100+$BA$15*VLOOKUP($A591,'US Grid mix, emissions&amp;prices'!$AE$2:$AI$52,4,FALSE)/100)/(1+$AZ$41)^P$113+VLOOKUP($A591,'VKT US'!$B$63:$AA$113,(P$168+1),FALSE)*(1-$BD$9)/VLOOKUP($A591,'Fuel economy adjusted factor'!$A$2:$K$52,10,FALSE)*VLOOKUP($A591,'US Grid mix, emissions&amp;prices'!$AE$2:$AI$52,2,FALSE)/(1+$AZ$41)^P$168</f>
        <v>617.07439963281183</v>
      </c>
      <c r="Q591" s="106">
        <f>VLOOKUP($A591,'VKT US'!$B$63:$AA$113,(Q$113+1),FALSE)*$BD$9/VLOOKUP($A591,'Fuel economy adjusted factor'!$A$2:$K$52,11,FALSE)*($AZ$15*VLOOKUP($A591,'US Grid mix, emissions&amp;prices'!$AE$2:$AI$52,3,FALSE)/100+$BA$15*VLOOKUP($A591,'US Grid mix, emissions&amp;prices'!$AE$2:$AI$52,4,FALSE)/100)/(1+$AZ$41)^Q$113+VLOOKUP($A591,'VKT US'!$B$63:$AA$113,(Q$168+1),FALSE)*(1-$BD$9)/VLOOKUP($A591,'Fuel economy adjusted factor'!$A$2:$K$52,10,FALSE)*VLOOKUP($A591,'US Grid mix, emissions&amp;prices'!$AE$2:$AI$52,2,FALSE)/(1+$AZ$41)^Q$168</f>
        <v>595.29381871338683</v>
      </c>
      <c r="R591" s="106">
        <f>VLOOKUP($A591,'VKT US'!$B$63:$AA$113,(R$113+1),FALSE)*$BD$9/VLOOKUP($A591,'Fuel economy adjusted factor'!$A$2:$K$52,11,FALSE)*($AZ$15*VLOOKUP($A591,'US Grid mix, emissions&amp;prices'!$AE$2:$AI$52,3,FALSE)/100+$BA$15*VLOOKUP($A591,'US Grid mix, emissions&amp;prices'!$AE$2:$AI$52,4,FALSE)/100)/(1+$AZ$41)^R$113+VLOOKUP($A591,'VKT US'!$B$63:$AA$113,(R$168+1),FALSE)*(1-$BD$9)/VLOOKUP($A591,'Fuel economy adjusted factor'!$A$2:$K$52,10,FALSE)*VLOOKUP($A591,'US Grid mix, emissions&amp;prices'!$AE$2:$AI$52,2,FALSE)/(1+$AZ$41)^R$168</f>
        <v>574.71904504193606</v>
      </c>
      <c r="S591" s="106">
        <f>VLOOKUP($A591,'VKT US'!$B$63:$AA$113,(S$113+1),FALSE)*$BD$9/VLOOKUP($A591,'Fuel economy adjusted factor'!$A$2:$K$52,11,FALSE)*($AZ$15*VLOOKUP($A591,'US Grid mix, emissions&amp;prices'!$AE$2:$AI$52,3,FALSE)/100+$BA$15*VLOOKUP($A591,'US Grid mix, emissions&amp;prices'!$AE$2:$AI$52,4,FALSE)/100)/(1+$AZ$41)^S$113+VLOOKUP($A591,'VKT US'!$B$63:$AA$113,(S$168+1),FALSE)*(1-$BD$9)/VLOOKUP($A591,'Fuel economy adjusted factor'!$A$2:$K$52,10,FALSE)*VLOOKUP($A591,'US Grid mix, emissions&amp;prices'!$AE$2:$AI$52,2,FALSE)/(1+$AZ$41)^S$168</f>
        <v>555.50705126304229</v>
      </c>
      <c r="T591" s="106">
        <f>VLOOKUP($A591,'VKT US'!$B$63:$AA$113,(T$113+1),FALSE)*$BD$9/VLOOKUP($A591,'Fuel economy adjusted factor'!$A$2:$K$52,11,FALSE)*($AZ$15*VLOOKUP($A591,'US Grid mix, emissions&amp;prices'!$AE$2:$AI$52,3,FALSE)/100+$BA$15*VLOOKUP($A591,'US Grid mix, emissions&amp;prices'!$AE$2:$AI$52,4,FALSE)/100)/(1+$AZ$41)^T$113+VLOOKUP($A591,'VKT US'!$B$63:$AA$113,(T$168+1),FALSE)*(1-$BD$9)/VLOOKUP($A591,'Fuel economy adjusted factor'!$A$2:$K$52,10,FALSE)*VLOOKUP($A591,'US Grid mix, emissions&amp;prices'!$AE$2:$AI$52,2,FALSE)/(1+$AZ$41)^T$168</f>
        <v>537.42761011423841</v>
      </c>
      <c r="U591" s="109">
        <f>VLOOKUP($A591,'VKT US'!$B$63:$AA$113,(U$113+1),FALSE)*$BD$9/VLOOKUP($A591,'Fuel economy adjusted factor'!$A$2:$K$52,11,FALSE)*($AZ$15*VLOOKUP($A591,'US Grid mix, emissions&amp;prices'!$AE$2:$AI$52,3,FALSE)/100+$BA$15*VLOOKUP($A591,'US Grid mix, emissions&amp;prices'!$AE$2:$AI$52,4,FALSE)/100)/(1+$AZ$41)^U$113+VLOOKUP($A591,'VKT US'!$B$63:$AA$113,(U$168+1),FALSE)*(1-$BD$9)/VLOOKUP($A591,'Fuel economy adjusted factor'!$A$2:$K$52,10,FALSE)*VLOOKUP($A591,'US Grid mix, emissions&amp;prices'!$AE$2:$AI$52,2,FALSE)/(1+$AZ$41)^U$168</f>
        <v>520.63476779331904</v>
      </c>
      <c r="V591" s="110" cm="1">
        <f t="array" ref="V591">SUMPRODUCT(INDEX(B591:U591,,_xlfn.SEQUENCE($AZ$13)))</f>
        <v>11765.810454379107</v>
      </c>
    </row>
    <row r="592" spans="1:22" x14ac:dyDescent="0.25">
      <c r="A592" s="102" t="s">
        <v>210</v>
      </c>
      <c r="B592" s="106">
        <f>VLOOKUP($A592,'VKT US'!$B$63:$AA$113,(B$113+1),FALSE)*$BD$9/VLOOKUP($A592,'Fuel economy adjusted factor'!$A$2:$K$52,11,FALSE)*($AZ$15*VLOOKUP($A592,'US Grid mix, emissions&amp;prices'!$AE$2:$AI$52,3,FALSE)/100+$BA$15*VLOOKUP($A592,'US Grid mix, emissions&amp;prices'!$AE$2:$AI$52,4,FALSE)/100)/(1+$AZ$41)^B$113+VLOOKUP($A592,'VKT US'!$B$63:$AA$113,(B$168+1),FALSE)*(1-$BD$9)/VLOOKUP($A592,'Fuel economy adjusted factor'!$A$2:$K$52,10,FALSE)*VLOOKUP($A592,'US Grid mix, emissions&amp;prices'!$AE$2:$AI$52,2,FALSE)/(1+$AZ$41)^B$168</f>
        <v>1289.5197942474092</v>
      </c>
      <c r="C592" s="106">
        <f>VLOOKUP($A592,'VKT US'!$B$63:$AA$113,(C$113+1),FALSE)*$BD$9/VLOOKUP($A592,'Fuel economy adjusted factor'!$A$2:$K$52,11,FALSE)*($AZ$15*VLOOKUP($A592,'US Grid mix, emissions&amp;prices'!$AE$2:$AI$52,3,FALSE)/100+$BA$15*VLOOKUP($A592,'US Grid mix, emissions&amp;prices'!$AE$2:$AI$52,4,FALSE)/100)/(1+$AZ$41)^C$113+VLOOKUP($A592,'VKT US'!$B$63:$AA$113,(C$168+1),FALSE)*(1-$BD$9)/VLOOKUP($A592,'Fuel economy adjusted factor'!$A$2:$K$52,10,FALSE)*VLOOKUP($A592,'US Grid mix, emissions&amp;prices'!$AE$2:$AI$52,2,FALSE)/(1+$AZ$41)^C$168</f>
        <v>1236.3296545043922</v>
      </c>
      <c r="D592" s="106">
        <f>VLOOKUP($A592,'VKT US'!$B$63:$AA$113,(D$113+1),FALSE)*$BD$9/VLOOKUP($A592,'Fuel economy adjusted factor'!$A$2:$K$52,11,FALSE)*($AZ$15*VLOOKUP($A592,'US Grid mix, emissions&amp;prices'!$AE$2:$AI$52,3,FALSE)/100+$BA$15*VLOOKUP($A592,'US Grid mix, emissions&amp;prices'!$AE$2:$AI$52,4,FALSE)/100)/(1+$AZ$41)^D$113+VLOOKUP($A592,'VKT US'!$B$63:$AA$113,(D$168+1),FALSE)*(1-$BD$9)/VLOOKUP($A592,'Fuel economy adjusted factor'!$A$2:$K$52,10,FALSE)*VLOOKUP($A592,'US Grid mix, emissions&amp;prices'!$AE$2:$AI$52,2,FALSE)/(1+$AZ$41)^D$168</f>
        <v>1185.401302259183</v>
      </c>
      <c r="E592" s="106">
        <f>VLOOKUP($A592,'VKT US'!$B$63:$AA$113,(E$113+1),FALSE)*$BD$9/VLOOKUP($A592,'Fuel economy adjusted factor'!$A$2:$K$52,11,FALSE)*($AZ$15*VLOOKUP($A592,'US Grid mix, emissions&amp;prices'!$AE$2:$AI$52,3,FALSE)/100+$BA$15*VLOOKUP($A592,'US Grid mix, emissions&amp;prices'!$AE$2:$AI$52,4,FALSE)/100)/(1+$AZ$41)^E$113+VLOOKUP($A592,'VKT US'!$B$63:$AA$113,(E$168+1),FALSE)*(1-$BD$9)/VLOOKUP($A592,'Fuel economy adjusted factor'!$A$2:$K$52,10,FALSE)*VLOOKUP($A592,'US Grid mix, emissions&amp;prices'!$AE$2:$AI$52,2,FALSE)/(1+$AZ$41)^E$168</f>
        <v>1136.7643853386858</v>
      </c>
      <c r="F592" s="106">
        <f>VLOOKUP($A592,'VKT US'!$B$63:$AA$113,(F$113+1),FALSE)*$BD$9/VLOOKUP($A592,'Fuel economy adjusted factor'!$A$2:$K$52,11,FALSE)*($AZ$15*VLOOKUP($A592,'US Grid mix, emissions&amp;prices'!$AE$2:$AI$52,3,FALSE)/100+$BA$15*VLOOKUP($A592,'US Grid mix, emissions&amp;prices'!$AE$2:$AI$52,4,FALSE)/100)/(1+$AZ$41)^F$113+VLOOKUP($A592,'VKT US'!$B$63:$AA$113,(F$168+1),FALSE)*(1-$BD$9)/VLOOKUP($A592,'Fuel economy adjusted factor'!$A$2:$K$52,10,FALSE)*VLOOKUP($A592,'US Grid mix, emissions&amp;prices'!$AE$2:$AI$52,2,FALSE)/(1+$AZ$41)^F$168</f>
        <v>1090.2680562001565</v>
      </c>
      <c r="G592" s="106">
        <f>VLOOKUP($A592,'VKT US'!$B$63:$AA$113,(G$113+1),FALSE)*$BD$9/VLOOKUP($A592,'Fuel economy adjusted factor'!$A$2:$K$52,11,FALSE)*($AZ$15*VLOOKUP($A592,'US Grid mix, emissions&amp;prices'!$AE$2:$AI$52,3,FALSE)/100+$BA$15*VLOOKUP($A592,'US Grid mix, emissions&amp;prices'!$AE$2:$AI$52,4,FALSE)/100)/(1+$AZ$41)^G$113+VLOOKUP($A592,'VKT US'!$B$63:$AA$113,(G$168+1),FALSE)*(1-$BD$9)/VLOOKUP($A592,'Fuel economy adjusted factor'!$A$2:$K$52,10,FALSE)*VLOOKUP($A592,'US Grid mix, emissions&amp;prices'!$AE$2:$AI$52,2,FALSE)/(1+$AZ$41)^G$168</f>
        <v>1046.0301123009776</v>
      </c>
      <c r="H592" s="106">
        <f>VLOOKUP($A592,'VKT US'!$B$63:$AA$113,(H$113+1),FALSE)*$BD$9/VLOOKUP($A592,'Fuel economy adjusted factor'!$A$2:$K$52,11,FALSE)*($AZ$15*VLOOKUP($A592,'US Grid mix, emissions&amp;prices'!$AE$2:$AI$52,3,FALSE)/100+$BA$15*VLOOKUP($A592,'US Grid mix, emissions&amp;prices'!$AE$2:$AI$52,4,FALSE)/100)/(1+$AZ$41)^H$113+VLOOKUP($A592,'VKT US'!$B$63:$AA$113,(H$168+1),FALSE)*(1-$BD$9)/VLOOKUP($A592,'Fuel economy adjusted factor'!$A$2:$K$52,10,FALSE)*VLOOKUP($A592,'US Grid mix, emissions&amp;prices'!$AE$2:$AI$52,2,FALSE)/(1+$AZ$41)^H$168</f>
        <v>1003.7279451868033</v>
      </c>
      <c r="I592" s="106">
        <f>VLOOKUP($A592,'VKT US'!$B$63:$AA$113,(I$113+1),FALSE)*$BD$9/VLOOKUP($A592,'Fuel economy adjusted factor'!$A$2:$K$52,11,FALSE)*($AZ$15*VLOOKUP($A592,'US Grid mix, emissions&amp;prices'!$AE$2:$AI$52,3,FALSE)/100+$BA$15*VLOOKUP($A592,'US Grid mix, emissions&amp;prices'!$AE$2:$AI$52,4,FALSE)/100)/(1+$AZ$41)^I$113+VLOOKUP($A592,'VKT US'!$B$63:$AA$113,(I$168+1),FALSE)*(1-$BD$9)/VLOOKUP($A592,'Fuel economy adjusted factor'!$A$2:$K$52,10,FALSE)*VLOOKUP($A592,'US Grid mix, emissions&amp;prices'!$AE$2:$AI$52,2,FALSE)/(1+$AZ$41)^I$168</f>
        <v>963.48080598836441</v>
      </c>
      <c r="J592" s="106">
        <f>VLOOKUP($A592,'VKT US'!$B$63:$AA$113,(J$113+1),FALSE)*$BD$9/VLOOKUP($A592,'Fuel economy adjusted factor'!$A$2:$K$52,11,FALSE)*($AZ$15*VLOOKUP($A592,'US Grid mix, emissions&amp;prices'!$AE$2:$AI$52,3,FALSE)/100+$BA$15*VLOOKUP($A592,'US Grid mix, emissions&amp;prices'!$AE$2:$AI$52,4,FALSE)/100)/(1+$AZ$41)^J$113+VLOOKUP($A592,'VKT US'!$B$63:$AA$113,(J$168+1),FALSE)*(1-$BD$9)/VLOOKUP($A592,'Fuel economy adjusted factor'!$A$2:$K$52,10,FALSE)*VLOOKUP($A592,'US Grid mix, emissions&amp;prices'!$AE$2:$AI$52,2,FALSE)/(1+$AZ$41)^J$168</f>
        <v>925.23169066366506</v>
      </c>
      <c r="K592" s="106">
        <f>VLOOKUP($A592,'VKT US'!$B$63:$AA$113,(K$113+1),FALSE)*$BD$9/VLOOKUP($A592,'Fuel economy adjusted factor'!$A$2:$K$52,11,FALSE)*($AZ$15*VLOOKUP($A592,'US Grid mix, emissions&amp;prices'!$AE$2:$AI$52,3,FALSE)/100+$BA$15*VLOOKUP($A592,'US Grid mix, emissions&amp;prices'!$AE$2:$AI$52,4,FALSE)/100)/(1+$AZ$41)^K$113+VLOOKUP($A592,'VKT US'!$B$63:$AA$113,(K$168+1),FALSE)*(1-$BD$9)/VLOOKUP($A592,'Fuel economy adjusted factor'!$A$2:$K$52,10,FALSE)*VLOOKUP($A592,'US Grid mix, emissions&amp;prices'!$AE$2:$AI$52,2,FALSE)/(1+$AZ$41)^K$168</f>
        <v>888.92482666800504</v>
      </c>
      <c r="L592" s="106">
        <f>VLOOKUP($A592,'VKT US'!$B$63:$AA$113,(L$113+1),FALSE)*$BD$9/VLOOKUP($A592,'Fuel economy adjusted factor'!$A$2:$K$52,11,FALSE)*($AZ$15*VLOOKUP($A592,'US Grid mix, emissions&amp;prices'!$AE$2:$AI$52,3,FALSE)/100+$BA$15*VLOOKUP($A592,'US Grid mix, emissions&amp;prices'!$AE$2:$AI$52,4,FALSE)/100)/(1+$AZ$41)^L$113+VLOOKUP($A592,'VKT US'!$B$63:$AA$113,(L$168+1),FALSE)*(1-$BD$9)/VLOOKUP($A592,'Fuel economy adjusted factor'!$A$2:$K$52,10,FALSE)*VLOOKUP($A592,'US Grid mix, emissions&amp;prices'!$AE$2:$AI$52,2,FALSE)/(1+$AZ$41)^L$168</f>
        <v>854.42302496779689</v>
      </c>
      <c r="M592" s="106">
        <f>VLOOKUP($A592,'VKT US'!$B$63:$AA$113,(M$113+1),FALSE)*$BD$9/VLOOKUP($A592,'Fuel economy adjusted factor'!$A$2:$K$52,11,FALSE)*($AZ$15*VLOOKUP($A592,'US Grid mix, emissions&amp;prices'!$AE$2:$AI$52,3,FALSE)/100+$BA$15*VLOOKUP($A592,'US Grid mix, emissions&amp;prices'!$AE$2:$AI$52,4,FALSE)/100)/(1+$AZ$41)^M$113+VLOOKUP($A592,'VKT US'!$B$63:$AA$113,(M$168+1),FALSE)*(1-$BD$9)/VLOOKUP($A592,'Fuel economy adjusted factor'!$A$2:$K$52,10,FALSE)*VLOOKUP($A592,'US Grid mix, emissions&amp;prices'!$AE$2:$AI$52,2,FALSE)/(1+$AZ$41)^M$168</f>
        <v>821.75749112390758</v>
      </c>
      <c r="N592" s="106">
        <f>VLOOKUP($A592,'VKT US'!$B$63:$AA$113,(N$113+1),FALSE)*$BD$9/VLOOKUP($A592,'Fuel economy adjusted factor'!$A$2:$K$52,11,FALSE)*($AZ$15*VLOOKUP($A592,'US Grid mix, emissions&amp;prices'!$AE$2:$AI$52,3,FALSE)/100+$BA$15*VLOOKUP($A592,'US Grid mix, emissions&amp;prices'!$AE$2:$AI$52,4,FALSE)/100)/(1+$AZ$41)^N$113+VLOOKUP($A592,'VKT US'!$B$63:$AA$113,(N$168+1),FALSE)*(1-$BD$9)/VLOOKUP($A592,'Fuel economy adjusted factor'!$A$2:$K$52,10,FALSE)*VLOOKUP($A592,'US Grid mix, emissions&amp;prices'!$AE$2:$AI$52,2,FALSE)/(1+$AZ$41)^N$168</f>
        <v>790.79529775790786</v>
      </c>
      <c r="O592" s="106">
        <f>VLOOKUP($A592,'VKT US'!$B$63:$AA$113,(O$113+1),FALSE)*$BD$9/VLOOKUP($A592,'Fuel economy adjusted factor'!$A$2:$K$52,11,FALSE)*($AZ$15*VLOOKUP($A592,'US Grid mix, emissions&amp;prices'!$AE$2:$AI$52,3,FALSE)/100+$BA$15*VLOOKUP($A592,'US Grid mix, emissions&amp;prices'!$AE$2:$AI$52,4,FALSE)/100)/(1+$AZ$41)^O$113+VLOOKUP($A592,'VKT US'!$B$63:$AA$113,(O$168+1),FALSE)*(1-$BD$9)/VLOOKUP($A592,'Fuel economy adjusted factor'!$A$2:$K$52,10,FALSE)*VLOOKUP($A592,'US Grid mix, emissions&amp;prices'!$AE$2:$AI$52,2,FALSE)/(1+$AZ$41)^O$168</f>
        <v>761.56792631266012</v>
      </c>
      <c r="P592" s="106">
        <f>VLOOKUP($A592,'VKT US'!$B$63:$AA$113,(P$113+1),FALSE)*$BD$9/VLOOKUP($A592,'Fuel economy adjusted factor'!$A$2:$K$52,11,FALSE)*($AZ$15*VLOOKUP($A592,'US Grid mix, emissions&amp;prices'!$AE$2:$AI$52,3,FALSE)/100+$BA$15*VLOOKUP($A592,'US Grid mix, emissions&amp;prices'!$AE$2:$AI$52,4,FALSE)/100)/(1+$AZ$41)^P$113+VLOOKUP($A592,'VKT US'!$B$63:$AA$113,(P$168+1),FALSE)*(1-$BD$9)/VLOOKUP($A592,'Fuel economy adjusted factor'!$A$2:$K$52,10,FALSE)*VLOOKUP($A592,'US Grid mix, emissions&amp;prices'!$AE$2:$AI$52,2,FALSE)/(1+$AZ$41)^P$168</f>
        <v>733.94657902459824</v>
      </c>
      <c r="Q592" s="106">
        <f>VLOOKUP($A592,'VKT US'!$B$63:$AA$113,(Q$113+1),FALSE)*$BD$9/VLOOKUP($A592,'Fuel economy adjusted factor'!$A$2:$K$52,11,FALSE)*($AZ$15*VLOOKUP($A592,'US Grid mix, emissions&amp;prices'!$AE$2:$AI$52,3,FALSE)/100+$BA$15*VLOOKUP($A592,'US Grid mix, emissions&amp;prices'!$AE$2:$AI$52,4,FALSE)/100)/(1+$AZ$41)^Q$113+VLOOKUP($A592,'VKT US'!$B$63:$AA$113,(Q$168+1),FALSE)*(1-$BD$9)/VLOOKUP($A592,'Fuel economy adjusted factor'!$A$2:$K$52,10,FALSE)*VLOOKUP($A592,'US Grid mix, emissions&amp;prices'!$AE$2:$AI$52,2,FALSE)/(1+$AZ$41)^Q$168</f>
        <v>708.04081650310536</v>
      </c>
      <c r="R592" s="106">
        <f>VLOOKUP($A592,'VKT US'!$B$63:$AA$113,(R$113+1),FALSE)*$BD$9/VLOOKUP($A592,'Fuel economy adjusted factor'!$A$2:$K$52,11,FALSE)*($AZ$15*VLOOKUP($A592,'US Grid mix, emissions&amp;prices'!$AE$2:$AI$52,3,FALSE)/100+$BA$15*VLOOKUP($A592,'US Grid mix, emissions&amp;prices'!$AE$2:$AI$52,4,FALSE)/100)/(1+$AZ$41)^R$113+VLOOKUP($A592,'VKT US'!$B$63:$AA$113,(R$168+1),FALSE)*(1-$BD$9)/VLOOKUP($A592,'Fuel economy adjusted factor'!$A$2:$K$52,10,FALSE)*VLOOKUP($A592,'US Grid mix, emissions&amp;prices'!$AE$2:$AI$52,2,FALSE)/(1+$AZ$41)^R$168</f>
        <v>683.56923777718134</v>
      </c>
      <c r="S592" s="106">
        <f>VLOOKUP($A592,'VKT US'!$B$63:$AA$113,(S$113+1),FALSE)*$BD$9/VLOOKUP($A592,'Fuel economy adjusted factor'!$A$2:$K$52,11,FALSE)*($AZ$15*VLOOKUP($A592,'US Grid mix, emissions&amp;prices'!$AE$2:$AI$52,3,FALSE)/100+$BA$15*VLOOKUP($A592,'US Grid mix, emissions&amp;prices'!$AE$2:$AI$52,4,FALSE)/100)/(1+$AZ$41)^S$113+VLOOKUP($A592,'VKT US'!$B$63:$AA$113,(S$168+1),FALSE)*(1-$BD$9)/VLOOKUP($A592,'Fuel economy adjusted factor'!$A$2:$K$52,10,FALSE)*VLOOKUP($A592,'US Grid mix, emissions&amp;prices'!$AE$2:$AI$52,2,FALSE)/(1+$AZ$41)^S$168</f>
        <v>660.71854567481648</v>
      </c>
      <c r="T592" s="106">
        <f>VLOOKUP($A592,'VKT US'!$B$63:$AA$113,(T$113+1),FALSE)*$BD$9/VLOOKUP($A592,'Fuel economy adjusted factor'!$A$2:$K$52,11,FALSE)*($AZ$15*VLOOKUP($A592,'US Grid mix, emissions&amp;prices'!$AE$2:$AI$52,3,FALSE)/100+$BA$15*VLOOKUP($A592,'US Grid mix, emissions&amp;prices'!$AE$2:$AI$52,4,FALSE)/100)/(1+$AZ$41)^T$113+VLOOKUP($A592,'VKT US'!$B$63:$AA$113,(T$168+1),FALSE)*(1-$BD$9)/VLOOKUP($A592,'Fuel economy adjusted factor'!$A$2:$K$52,10,FALSE)*VLOOKUP($A592,'US Grid mix, emissions&amp;prices'!$AE$2:$AI$52,2,FALSE)/(1+$AZ$41)^T$168</f>
        <v>639.2149085287333</v>
      </c>
      <c r="U592" s="109">
        <f>VLOOKUP($A592,'VKT US'!$B$63:$AA$113,(U$113+1),FALSE)*$BD$9/VLOOKUP($A592,'Fuel economy adjusted factor'!$A$2:$K$52,11,FALSE)*($AZ$15*VLOOKUP($A592,'US Grid mix, emissions&amp;prices'!$AE$2:$AI$52,3,FALSE)/100+$BA$15*VLOOKUP($A592,'US Grid mix, emissions&amp;prices'!$AE$2:$AI$52,4,FALSE)/100)/(1+$AZ$41)^U$113+VLOOKUP($A592,'VKT US'!$B$63:$AA$113,(U$168+1),FALSE)*(1-$BD$9)/VLOOKUP($A592,'Fuel economy adjusted factor'!$A$2:$K$52,10,FALSE)*VLOOKUP($A592,'US Grid mix, emissions&amp;prices'!$AE$2:$AI$52,2,FALSE)/(1+$AZ$41)^U$168</f>
        <v>619.2415484592309</v>
      </c>
      <c r="V592" s="110" cm="1">
        <f t="array" ref="V592">SUMPRODUCT(INDEX(B592:U592,,_xlfn.SEQUENCE($AZ$13)))</f>
        <v>13994.222313519915</v>
      </c>
    </row>
    <row r="593" spans="1:22" x14ac:dyDescent="0.25">
      <c r="A593" s="102" t="s">
        <v>217</v>
      </c>
      <c r="B593" s="106">
        <f>VLOOKUP($A593,'VKT US'!$B$63:$AA$113,(B$113+1),FALSE)*$BD$9/VLOOKUP($A593,'Fuel economy adjusted factor'!$A$2:$K$52,11,FALSE)*($AZ$15*VLOOKUP($A593,'US Grid mix, emissions&amp;prices'!$AE$2:$AI$52,3,FALSE)/100+$BA$15*VLOOKUP($A593,'US Grid mix, emissions&amp;prices'!$AE$2:$AI$52,4,FALSE)/100)/(1+$AZ$41)^B$113+VLOOKUP($A593,'VKT US'!$B$63:$AA$113,(B$168+1),FALSE)*(1-$BD$9)/VLOOKUP($A593,'Fuel economy adjusted factor'!$A$2:$K$52,10,FALSE)*VLOOKUP($A593,'US Grid mix, emissions&amp;prices'!$AE$2:$AI$52,2,FALSE)/(1+$AZ$41)^B$168</f>
        <v>1066.2669202123725</v>
      </c>
      <c r="C593" s="106">
        <f>VLOOKUP($A593,'VKT US'!$B$63:$AA$113,(C$113+1),FALSE)*$BD$9/VLOOKUP($A593,'Fuel economy adjusted factor'!$A$2:$K$52,11,FALSE)*($AZ$15*VLOOKUP($A593,'US Grid mix, emissions&amp;prices'!$AE$2:$AI$52,3,FALSE)/100+$BA$15*VLOOKUP($A593,'US Grid mix, emissions&amp;prices'!$AE$2:$AI$52,4,FALSE)/100)/(1+$AZ$41)^C$113+VLOOKUP($A593,'VKT US'!$B$63:$AA$113,(C$168+1),FALSE)*(1-$BD$9)/VLOOKUP($A593,'Fuel economy adjusted factor'!$A$2:$K$52,10,FALSE)*VLOOKUP($A593,'US Grid mix, emissions&amp;prices'!$AE$2:$AI$52,2,FALSE)/(1+$AZ$41)^C$168</f>
        <v>1022.2855197387546</v>
      </c>
      <c r="D593" s="106">
        <f>VLOOKUP($A593,'VKT US'!$B$63:$AA$113,(D$113+1),FALSE)*$BD$9/VLOOKUP($A593,'Fuel economy adjusted factor'!$A$2:$K$52,11,FALSE)*($AZ$15*VLOOKUP($A593,'US Grid mix, emissions&amp;prices'!$AE$2:$AI$52,3,FALSE)/100+$BA$15*VLOOKUP($A593,'US Grid mix, emissions&amp;prices'!$AE$2:$AI$52,4,FALSE)/100)/(1+$AZ$41)^D$113+VLOOKUP($A593,'VKT US'!$B$63:$AA$113,(D$168+1),FALSE)*(1-$BD$9)/VLOOKUP($A593,'Fuel economy adjusted factor'!$A$2:$K$52,10,FALSE)*VLOOKUP($A593,'US Grid mix, emissions&amp;prices'!$AE$2:$AI$52,2,FALSE)/(1+$AZ$41)^D$168</f>
        <v>980.17432645406166</v>
      </c>
      <c r="E593" s="106">
        <f>VLOOKUP($A593,'VKT US'!$B$63:$AA$113,(E$113+1),FALSE)*$BD$9/VLOOKUP($A593,'Fuel economy adjusted factor'!$A$2:$K$52,11,FALSE)*($AZ$15*VLOOKUP($A593,'US Grid mix, emissions&amp;prices'!$AE$2:$AI$52,3,FALSE)/100+$BA$15*VLOOKUP($A593,'US Grid mix, emissions&amp;prices'!$AE$2:$AI$52,4,FALSE)/100)/(1+$AZ$41)^E$113+VLOOKUP($A593,'VKT US'!$B$63:$AA$113,(E$168+1),FALSE)*(1-$BD$9)/VLOOKUP($A593,'Fuel economy adjusted factor'!$A$2:$K$52,10,FALSE)*VLOOKUP($A593,'US Grid mix, emissions&amp;prices'!$AE$2:$AI$52,2,FALSE)/(1+$AZ$41)^E$168</f>
        <v>939.95785529573368</v>
      </c>
      <c r="F593" s="106">
        <f>VLOOKUP($A593,'VKT US'!$B$63:$AA$113,(F$113+1),FALSE)*$BD$9/VLOOKUP($A593,'Fuel economy adjusted factor'!$A$2:$K$52,11,FALSE)*($AZ$15*VLOOKUP($A593,'US Grid mix, emissions&amp;prices'!$AE$2:$AI$52,3,FALSE)/100+$BA$15*VLOOKUP($A593,'US Grid mix, emissions&amp;prices'!$AE$2:$AI$52,4,FALSE)/100)/(1+$AZ$41)^F$113+VLOOKUP($A593,'VKT US'!$B$63:$AA$113,(F$168+1),FALSE)*(1-$BD$9)/VLOOKUP($A593,'Fuel economy adjusted factor'!$A$2:$K$52,10,FALSE)*VLOOKUP($A593,'US Grid mix, emissions&amp;prices'!$AE$2:$AI$52,2,FALSE)/(1+$AZ$41)^F$168</f>
        <v>901.51137475864778</v>
      </c>
      <c r="G593" s="106">
        <f>VLOOKUP($A593,'VKT US'!$B$63:$AA$113,(G$113+1),FALSE)*$BD$9/VLOOKUP($A593,'Fuel economy adjusted factor'!$A$2:$K$52,11,FALSE)*($AZ$15*VLOOKUP($A593,'US Grid mix, emissions&amp;prices'!$AE$2:$AI$52,3,FALSE)/100+$BA$15*VLOOKUP($A593,'US Grid mix, emissions&amp;prices'!$AE$2:$AI$52,4,FALSE)/100)/(1+$AZ$41)^G$113+VLOOKUP($A593,'VKT US'!$B$63:$AA$113,(G$168+1),FALSE)*(1-$BD$9)/VLOOKUP($A593,'Fuel economy adjusted factor'!$A$2:$K$52,10,FALSE)*VLOOKUP($A593,'US Grid mix, emissions&amp;prices'!$AE$2:$AI$52,2,FALSE)/(1+$AZ$41)^G$168</f>
        <v>864.93228818058219</v>
      </c>
      <c r="H593" s="106">
        <f>VLOOKUP($A593,'VKT US'!$B$63:$AA$113,(H$113+1),FALSE)*$BD$9/VLOOKUP($A593,'Fuel economy adjusted factor'!$A$2:$K$52,11,FALSE)*($AZ$15*VLOOKUP($A593,'US Grid mix, emissions&amp;prices'!$AE$2:$AI$52,3,FALSE)/100+$BA$15*VLOOKUP($A593,'US Grid mix, emissions&amp;prices'!$AE$2:$AI$52,4,FALSE)/100)/(1+$AZ$41)^H$113+VLOOKUP($A593,'VKT US'!$B$63:$AA$113,(H$168+1),FALSE)*(1-$BD$9)/VLOOKUP($A593,'Fuel economy adjusted factor'!$A$2:$K$52,10,FALSE)*VLOOKUP($A593,'US Grid mix, emissions&amp;prices'!$AE$2:$AI$52,2,FALSE)/(1+$AZ$41)^H$168</f>
        <v>829.95383988660774</v>
      </c>
      <c r="I593" s="106">
        <f>VLOOKUP($A593,'VKT US'!$B$63:$AA$113,(I$113+1),FALSE)*$BD$9/VLOOKUP($A593,'Fuel economy adjusted factor'!$A$2:$K$52,11,FALSE)*($AZ$15*VLOOKUP($A593,'US Grid mix, emissions&amp;prices'!$AE$2:$AI$52,3,FALSE)/100+$BA$15*VLOOKUP($A593,'US Grid mix, emissions&amp;prices'!$AE$2:$AI$52,4,FALSE)/100)/(1+$AZ$41)^I$113+VLOOKUP($A593,'VKT US'!$B$63:$AA$113,(I$168+1),FALSE)*(1-$BD$9)/VLOOKUP($A593,'Fuel economy adjusted factor'!$A$2:$K$52,10,FALSE)*VLOOKUP($A593,'US Grid mix, emissions&amp;prices'!$AE$2:$AI$52,2,FALSE)/(1+$AZ$41)^I$168</f>
        <v>796.67463521528771</v>
      </c>
      <c r="J593" s="106">
        <f>VLOOKUP($A593,'VKT US'!$B$63:$AA$113,(J$113+1),FALSE)*$BD$9/VLOOKUP($A593,'Fuel economy adjusted factor'!$A$2:$K$52,11,FALSE)*($AZ$15*VLOOKUP($A593,'US Grid mix, emissions&amp;prices'!$AE$2:$AI$52,3,FALSE)/100+$BA$15*VLOOKUP($A593,'US Grid mix, emissions&amp;prices'!$AE$2:$AI$52,4,FALSE)/100)/(1+$AZ$41)^J$113+VLOOKUP($A593,'VKT US'!$B$63:$AA$113,(J$168+1),FALSE)*(1-$BD$9)/VLOOKUP($A593,'Fuel economy adjusted factor'!$A$2:$K$52,10,FALSE)*VLOOKUP($A593,'US Grid mix, emissions&amp;prices'!$AE$2:$AI$52,2,FALSE)/(1+$AZ$41)^J$168</f>
        <v>765.04753915980041</v>
      </c>
      <c r="K593" s="106">
        <f>VLOOKUP($A593,'VKT US'!$B$63:$AA$113,(K$113+1),FALSE)*$BD$9/VLOOKUP($A593,'Fuel economy adjusted factor'!$A$2:$K$52,11,FALSE)*($AZ$15*VLOOKUP($A593,'US Grid mix, emissions&amp;prices'!$AE$2:$AI$52,3,FALSE)/100+$BA$15*VLOOKUP($A593,'US Grid mix, emissions&amp;prices'!$AE$2:$AI$52,4,FALSE)/100)/(1+$AZ$41)^K$113+VLOOKUP($A593,'VKT US'!$B$63:$AA$113,(K$168+1),FALSE)*(1-$BD$9)/VLOOKUP($A593,'Fuel economy adjusted factor'!$A$2:$K$52,10,FALSE)*VLOOKUP($A593,'US Grid mix, emissions&amp;prices'!$AE$2:$AI$52,2,FALSE)/(1+$AZ$41)^K$168</f>
        <v>735.02643500310501</v>
      </c>
      <c r="L593" s="106">
        <f>VLOOKUP($A593,'VKT US'!$B$63:$AA$113,(L$113+1),FALSE)*$BD$9/VLOOKUP($A593,'Fuel economy adjusted factor'!$A$2:$K$52,11,FALSE)*($AZ$15*VLOOKUP($A593,'US Grid mix, emissions&amp;prices'!$AE$2:$AI$52,3,FALSE)/100+$BA$15*VLOOKUP($A593,'US Grid mix, emissions&amp;prices'!$AE$2:$AI$52,4,FALSE)/100)/(1+$AZ$41)^L$113+VLOOKUP($A593,'VKT US'!$B$63:$AA$113,(L$168+1),FALSE)*(1-$BD$9)/VLOOKUP($A593,'Fuel economy adjusted factor'!$A$2:$K$52,10,FALSE)*VLOOKUP($A593,'US Grid mix, emissions&amp;prices'!$AE$2:$AI$52,2,FALSE)/(1+$AZ$41)^L$168</f>
        <v>706.49788506942264</v>
      </c>
      <c r="M593" s="106">
        <f>VLOOKUP($A593,'VKT US'!$B$63:$AA$113,(M$113+1),FALSE)*$BD$9/VLOOKUP($A593,'Fuel economy adjusted factor'!$A$2:$K$52,11,FALSE)*($AZ$15*VLOOKUP($A593,'US Grid mix, emissions&amp;prices'!$AE$2:$AI$52,3,FALSE)/100+$BA$15*VLOOKUP($A593,'US Grid mix, emissions&amp;prices'!$AE$2:$AI$52,4,FALSE)/100)/(1+$AZ$41)^M$113+VLOOKUP($A593,'VKT US'!$B$63:$AA$113,(M$168+1),FALSE)*(1-$BD$9)/VLOOKUP($A593,'Fuel economy adjusted factor'!$A$2:$K$52,10,FALSE)*VLOOKUP($A593,'US Grid mix, emissions&amp;prices'!$AE$2:$AI$52,2,FALSE)/(1+$AZ$41)^M$168</f>
        <v>679.48769234171459</v>
      </c>
      <c r="N593" s="106">
        <f>VLOOKUP($A593,'VKT US'!$B$63:$AA$113,(N$113+1),FALSE)*$BD$9/VLOOKUP($A593,'Fuel economy adjusted factor'!$A$2:$K$52,11,FALSE)*($AZ$15*VLOOKUP($A593,'US Grid mix, emissions&amp;prices'!$AE$2:$AI$52,3,FALSE)/100+$BA$15*VLOOKUP($A593,'US Grid mix, emissions&amp;prices'!$AE$2:$AI$52,4,FALSE)/100)/(1+$AZ$41)^N$113+VLOOKUP($A593,'VKT US'!$B$63:$AA$113,(N$168+1),FALSE)*(1-$BD$9)/VLOOKUP($A593,'Fuel economy adjusted factor'!$A$2:$K$52,10,FALSE)*VLOOKUP($A593,'US Grid mix, emissions&amp;prices'!$AE$2:$AI$52,2,FALSE)/(1+$AZ$41)^N$168</f>
        <v>653.88594298458111</v>
      </c>
      <c r="O593" s="106">
        <f>VLOOKUP($A593,'VKT US'!$B$63:$AA$113,(O$113+1),FALSE)*$BD$9/VLOOKUP($A593,'Fuel economy adjusted factor'!$A$2:$K$52,11,FALSE)*($AZ$15*VLOOKUP($A593,'US Grid mix, emissions&amp;prices'!$AE$2:$AI$52,3,FALSE)/100+$BA$15*VLOOKUP($A593,'US Grid mix, emissions&amp;prices'!$AE$2:$AI$52,4,FALSE)/100)/(1+$AZ$41)^O$113+VLOOKUP($A593,'VKT US'!$B$63:$AA$113,(O$168+1),FALSE)*(1-$BD$9)/VLOOKUP($A593,'Fuel economy adjusted factor'!$A$2:$K$52,10,FALSE)*VLOOKUP($A593,'US Grid mix, emissions&amp;prices'!$AE$2:$AI$52,2,FALSE)/(1+$AZ$41)^O$168</f>
        <v>629.71866809989012</v>
      </c>
      <c r="P593" s="106">
        <f>VLOOKUP($A593,'VKT US'!$B$63:$AA$113,(P$113+1),FALSE)*$BD$9/VLOOKUP($A593,'Fuel economy adjusted factor'!$A$2:$K$52,11,FALSE)*($AZ$15*VLOOKUP($A593,'US Grid mix, emissions&amp;prices'!$AE$2:$AI$52,3,FALSE)/100+$BA$15*VLOOKUP($A593,'US Grid mix, emissions&amp;prices'!$AE$2:$AI$52,4,FALSE)/100)/(1+$AZ$41)^P$113+VLOOKUP($A593,'VKT US'!$B$63:$AA$113,(P$168+1),FALSE)*(1-$BD$9)/VLOOKUP($A593,'Fuel economy adjusted factor'!$A$2:$K$52,10,FALSE)*VLOOKUP($A593,'US Grid mix, emissions&amp;prices'!$AE$2:$AI$52,2,FALSE)/(1+$AZ$41)^P$168</f>
        <v>606.87936851228937</v>
      </c>
      <c r="Q593" s="106">
        <f>VLOOKUP($A593,'VKT US'!$B$63:$AA$113,(Q$113+1),FALSE)*$BD$9/VLOOKUP($A593,'Fuel economy adjusted factor'!$A$2:$K$52,11,FALSE)*($AZ$15*VLOOKUP($A593,'US Grid mix, emissions&amp;prices'!$AE$2:$AI$52,3,FALSE)/100+$BA$15*VLOOKUP($A593,'US Grid mix, emissions&amp;prices'!$AE$2:$AI$52,4,FALSE)/100)/(1+$AZ$41)^Q$113+VLOOKUP($A593,'VKT US'!$B$63:$AA$113,(Q$168+1),FALSE)*(1-$BD$9)/VLOOKUP($A593,'Fuel economy adjusted factor'!$A$2:$K$52,10,FALSE)*VLOOKUP($A593,'US Grid mix, emissions&amp;prices'!$AE$2:$AI$52,2,FALSE)/(1+$AZ$41)^Q$168</f>
        <v>585.45863674627049</v>
      </c>
      <c r="R593" s="106">
        <f>VLOOKUP($A593,'VKT US'!$B$63:$AA$113,(R$113+1),FALSE)*$BD$9/VLOOKUP($A593,'Fuel economy adjusted factor'!$A$2:$K$52,11,FALSE)*($AZ$15*VLOOKUP($A593,'US Grid mix, emissions&amp;prices'!$AE$2:$AI$52,3,FALSE)/100+$BA$15*VLOOKUP($A593,'US Grid mix, emissions&amp;prices'!$AE$2:$AI$52,4,FALSE)/100)/(1+$AZ$41)^R$113+VLOOKUP($A593,'VKT US'!$B$63:$AA$113,(R$168+1),FALSE)*(1-$BD$9)/VLOOKUP($A593,'Fuel economy adjusted factor'!$A$2:$K$52,10,FALSE)*VLOOKUP($A593,'US Grid mix, emissions&amp;prices'!$AE$2:$AI$52,2,FALSE)/(1+$AZ$41)^R$168</f>
        <v>565.22379041259785</v>
      </c>
      <c r="S593" s="106">
        <f>VLOOKUP($A593,'VKT US'!$B$63:$AA$113,(S$113+1),FALSE)*$BD$9/VLOOKUP($A593,'Fuel economy adjusted factor'!$A$2:$K$52,11,FALSE)*($AZ$15*VLOOKUP($A593,'US Grid mix, emissions&amp;prices'!$AE$2:$AI$52,3,FALSE)/100+$BA$15*VLOOKUP($A593,'US Grid mix, emissions&amp;prices'!$AE$2:$AI$52,4,FALSE)/100)/(1+$AZ$41)^S$113+VLOOKUP($A593,'VKT US'!$B$63:$AA$113,(S$168+1),FALSE)*(1-$BD$9)/VLOOKUP($A593,'Fuel economy adjusted factor'!$A$2:$K$52,10,FALSE)*VLOOKUP($A593,'US Grid mix, emissions&amp;prices'!$AE$2:$AI$52,2,FALSE)/(1+$AZ$41)^S$168</f>
        <v>546.32920872303987</v>
      </c>
      <c r="T593" s="106">
        <f>VLOOKUP($A593,'VKT US'!$B$63:$AA$113,(T$113+1),FALSE)*$BD$9/VLOOKUP($A593,'Fuel economy adjusted factor'!$A$2:$K$52,11,FALSE)*($AZ$15*VLOOKUP($A593,'US Grid mix, emissions&amp;prices'!$AE$2:$AI$52,3,FALSE)/100+$BA$15*VLOOKUP($A593,'US Grid mix, emissions&amp;prices'!$AE$2:$AI$52,4,FALSE)/100)/(1+$AZ$41)^T$113+VLOOKUP($A593,'VKT US'!$B$63:$AA$113,(T$168+1),FALSE)*(1-$BD$9)/VLOOKUP($A593,'Fuel economy adjusted factor'!$A$2:$K$52,10,FALSE)*VLOOKUP($A593,'US Grid mix, emissions&amp;prices'!$AE$2:$AI$52,2,FALSE)/(1+$AZ$41)^T$168</f>
        <v>528.54846812843721</v>
      </c>
      <c r="U593" s="109">
        <f>VLOOKUP($A593,'VKT US'!$B$63:$AA$113,(U$113+1),FALSE)*$BD$9/VLOOKUP($A593,'Fuel economy adjusted factor'!$A$2:$K$52,11,FALSE)*($AZ$15*VLOOKUP($A593,'US Grid mix, emissions&amp;prices'!$AE$2:$AI$52,3,FALSE)/100+$BA$15*VLOOKUP($A593,'US Grid mix, emissions&amp;prices'!$AE$2:$AI$52,4,FALSE)/100)/(1+$AZ$41)^U$113+VLOOKUP($A593,'VKT US'!$B$63:$AA$113,(U$168+1),FALSE)*(1-$BD$9)/VLOOKUP($A593,'Fuel economy adjusted factor'!$A$2:$K$52,10,FALSE)*VLOOKUP($A593,'US Grid mix, emissions&amp;prices'!$AE$2:$AI$52,2,FALSE)/(1+$AZ$41)^U$168</f>
        <v>512.03306974323402</v>
      </c>
      <c r="V593" s="110" cm="1">
        <f t="array" ref="V593">SUMPRODUCT(INDEX(B593:U593,,_xlfn.SEQUENCE($AZ$13)))</f>
        <v>11571.420922400561</v>
      </c>
    </row>
    <row r="594" spans="1:22" x14ac:dyDescent="0.25">
      <c r="A594" s="102" t="s">
        <v>218</v>
      </c>
      <c r="B594" s="106">
        <f>VLOOKUP($A594,'VKT US'!$B$63:$AA$113,(B$113+1),FALSE)*$BD$9/VLOOKUP($A594,'Fuel economy adjusted factor'!$A$2:$K$52,11,FALSE)*($AZ$15*VLOOKUP($A594,'US Grid mix, emissions&amp;prices'!$AE$2:$AI$52,3,FALSE)/100+$BA$15*VLOOKUP($A594,'US Grid mix, emissions&amp;prices'!$AE$2:$AI$52,4,FALSE)/100)/(1+$AZ$41)^B$113+VLOOKUP($A594,'VKT US'!$B$63:$AA$113,(B$168+1),FALSE)*(1-$BD$9)/VLOOKUP($A594,'Fuel economy adjusted factor'!$A$2:$K$52,10,FALSE)*VLOOKUP($A594,'US Grid mix, emissions&amp;prices'!$AE$2:$AI$52,2,FALSE)/(1+$AZ$41)^B$168</f>
        <v>1198.4389672146842</v>
      </c>
      <c r="C594" s="106">
        <f>VLOOKUP($A594,'VKT US'!$B$63:$AA$113,(C$113+1),FALSE)*$BD$9/VLOOKUP($A594,'Fuel economy adjusted factor'!$A$2:$K$52,11,FALSE)*($AZ$15*VLOOKUP($A594,'US Grid mix, emissions&amp;prices'!$AE$2:$AI$52,3,FALSE)/100+$BA$15*VLOOKUP($A594,'US Grid mix, emissions&amp;prices'!$AE$2:$AI$52,4,FALSE)/100)/(1+$AZ$41)^C$113+VLOOKUP($A594,'VKT US'!$B$63:$AA$113,(C$168+1),FALSE)*(1-$BD$9)/VLOOKUP($A594,'Fuel economy adjusted factor'!$A$2:$K$52,10,FALSE)*VLOOKUP($A594,'US Grid mix, emissions&amp;prices'!$AE$2:$AI$52,2,FALSE)/(1+$AZ$41)^C$168</f>
        <v>1149.0057313512293</v>
      </c>
      <c r="D594" s="106">
        <f>VLOOKUP($A594,'VKT US'!$B$63:$AA$113,(D$113+1),FALSE)*$BD$9/VLOOKUP($A594,'Fuel economy adjusted factor'!$A$2:$K$52,11,FALSE)*($AZ$15*VLOOKUP($A594,'US Grid mix, emissions&amp;prices'!$AE$2:$AI$52,3,FALSE)/100+$BA$15*VLOOKUP($A594,'US Grid mix, emissions&amp;prices'!$AE$2:$AI$52,4,FALSE)/100)/(1+$AZ$41)^D$113+VLOOKUP($A594,'VKT US'!$B$63:$AA$113,(D$168+1),FALSE)*(1-$BD$9)/VLOOKUP($A594,'Fuel economy adjusted factor'!$A$2:$K$52,10,FALSE)*VLOOKUP($A594,'US Grid mix, emissions&amp;prices'!$AE$2:$AI$52,2,FALSE)/(1+$AZ$41)^D$168</f>
        <v>1101.6745293495451</v>
      </c>
      <c r="E594" s="106">
        <f>VLOOKUP($A594,'VKT US'!$B$63:$AA$113,(E$113+1),FALSE)*$BD$9/VLOOKUP($A594,'Fuel economy adjusted factor'!$A$2:$K$52,11,FALSE)*($AZ$15*VLOOKUP($A594,'US Grid mix, emissions&amp;prices'!$AE$2:$AI$52,3,FALSE)/100+$BA$15*VLOOKUP($A594,'US Grid mix, emissions&amp;prices'!$AE$2:$AI$52,4,FALSE)/100)/(1+$AZ$41)^E$113+VLOOKUP($A594,'VKT US'!$B$63:$AA$113,(E$168+1),FALSE)*(1-$BD$9)/VLOOKUP($A594,'Fuel economy adjusted factor'!$A$2:$K$52,10,FALSE)*VLOOKUP($A594,'US Grid mix, emissions&amp;prices'!$AE$2:$AI$52,2,FALSE)/(1+$AZ$41)^E$168</f>
        <v>1056.4729149635282</v>
      </c>
      <c r="F594" s="106">
        <f>VLOOKUP($A594,'VKT US'!$B$63:$AA$113,(F$113+1),FALSE)*$BD$9/VLOOKUP($A594,'Fuel economy adjusted factor'!$A$2:$K$52,11,FALSE)*($AZ$15*VLOOKUP($A594,'US Grid mix, emissions&amp;prices'!$AE$2:$AI$52,3,FALSE)/100+$BA$15*VLOOKUP($A594,'US Grid mix, emissions&amp;prices'!$AE$2:$AI$52,4,FALSE)/100)/(1+$AZ$41)^F$113+VLOOKUP($A594,'VKT US'!$B$63:$AA$113,(F$168+1),FALSE)*(1-$BD$9)/VLOOKUP($A594,'Fuel economy adjusted factor'!$A$2:$K$52,10,FALSE)*VLOOKUP($A594,'US Grid mix, emissions&amp;prices'!$AE$2:$AI$52,2,FALSE)/(1+$AZ$41)^F$168</f>
        <v>1013.2606952514813</v>
      </c>
      <c r="G594" s="106">
        <f>VLOOKUP($A594,'VKT US'!$B$63:$AA$113,(G$113+1),FALSE)*$BD$9/VLOOKUP($A594,'Fuel economy adjusted factor'!$A$2:$K$52,11,FALSE)*($AZ$15*VLOOKUP($A594,'US Grid mix, emissions&amp;prices'!$AE$2:$AI$52,3,FALSE)/100+$BA$15*VLOOKUP($A594,'US Grid mix, emissions&amp;prices'!$AE$2:$AI$52,4,FALSE)/100)/(1+$AZ$41)^G$113+VLOOKUP($A594,'VKT US'!$B$63:$AA$113,(G$168+1),FALSE)*(1-$BD$9)/VLOOKUP($A594,'Fuel economy adjusted factor'!$A$2:$K$52,10,FALSE)*VLOOKUP($A594,'US Grid mix, emissions&amp;prices'!$AE$2:$AI$52,2,FALSE)/(1+$AZ$41)^G$168</f>
        <v>972.14734744965494</v>
      </c>
      <c r="H594" s="106">
        <f>VLOOKUP($A594,'VKT US'!$B$63:$AA$113,(H$113+1),FALSE)*$BD$9/VLOOKUP($A594,'Fuel economy adjusted factor'!$A$2:$K$52,11,FALSE)*($AZ$15*VLOOKUP($A594,'US Grid mix, emissions&amp;prices'!$AE$2:$AI$52,3,FALSE)/100+$BA$15*VLOOKUP($A594,'US Grid mix, emissions&amp;prices'!$AE$2:$AI$52,4,FALSE)/100)/(1+$AZ$41)^H$113+VLOOKUP($A594,'VKT US'!$B$63:$AA$113,(H$168+1),FALSE)*(1-$BD$9)/VLOOKUP($A594,'Fuel economy adjusted factor'!$A$2:$K$52,10,FALSE)*VLOOKUP($A594,'US Grid mix, emissions&amp;prices'!$AE$2:$AI$52,2,FALSE)/(1+$AZ$41)^H$168</f>
        <v>932.83304945018813</v>
      </c>
      <c r="I594" s="106">
        <f>VLOOKUP($A594,'VKT US'!$B$63:$AA$113,(I$113+1),FALSE)*$BD$9/VLOOKUP($A594,'Fuel economy adjusted factor'!$A$2:$K$52,11,FALSE)*($AZ$15*VLOOKUP($A594,'US Grid mix, emissions&amp;prices'!$AE$2:$AI$52,3,FALSE)/100+$BA$15*VLOOKUP($A594,'US Grid mix, emissions&amp;prices'!$AE$2:$AI$52,4,FALSE)/100)/(1+$AZ$41)^I$113+VLOOKUP($A594,'VKT US'!$B$63:$AA$113,(I$168+1),FALSE)*(1-$BD$9)/VLOOKUP($A594,'Fuel economy adjusted factor'!$A$2:$K$52,10,FALSE)*VLOOKUP($A594,'US Grid mix, emissions&amp;prices'!$AE$2:$AI$52,2,FALSE)/(1+$AZ$41)^I$168</f>
        <v>895.42862948742766</v>
      </c>
      <c r="J594" s="106">
        <f>VLOOKUP($A594,'VKT US'!$B$63:$AA$113,(J$113+1),FALSE)*$BD$9/VLOOKUP($A594,'Fuel economy adjusted factor'!$A$2:$K$52,11,FALSE)*($AZ$15*VLOOKUP($A594,'US Grid mix, emissions&amp;prices'!$AE$2:$AI$52,3,FALSE)/100+$BA$15*VLOOKUP($A594,'US Grid mix, emissions&amp;prices'!$AE$2:$AI$52,4,FALSE)/100)/(1+$AZ$41)^J$113+VLOOKUP($A594,'VKT US'!$B$63:$AA$113,(J$168+1),FALSE)*(1-$BD$9)/VLOOKUP($A594,'Fuel economy adjusted factor'!$A$2:$K$52,10,FALSE)*VLOOKUP($A594,'US Grid mix, emissions&amp;prices'!$AE$2:$AI$52,2,FALSE)/(1+$AZ$41)^J$168</f>
        <v>859.88110980521833</v>
      </c>
      <c r="K594" s="106">
        <f>VLOOKUP($A594,'VKT US'!$B$63:$AA$113,(K$113+1),FALSE)*$BD$9/VLOOKUP($A594,'Fuel economy adjusted factor'!$A$2:$K$52,11,FALSE)*($AZ$15*VLOOKUP($A594,'US Grid mix, emissions&amp;prices'!$AE$2:$AI$52,3,FALSE)/100+$BA$15*VLOOKUP($A594,'US Grid mix, emissions&amp;prices'!$AE$2:$AI$52,4,FALSE)/100)/(1+$AZ$41)^K$113+VLOOKUP($A594,'VKT US'!$B$63:$AA$113,(K$168+1),FALSE)*(1-$BD$9)/VLOOKUP($A594,'Fuel economy adjusted factor'!$A$2:$K$52,10,FALSE)*VLOOKUP($A594,'US Grid mix, emissions&amp;prices'!$AE$2:$AI$52,2,FALSE)/(1+$AZ$41)^K$168</f>
        <v>826.13865716209557</v>
      </c>
      <c r="L594" s="106">
        <f>VLOOKUP($A594,'VKT US'!$B$63:$AA$113,(L$113+1),FALSE)*$BD$9/VLOOKUP($A594,'Fuel economy adjusted factor'!$A$2:$K$52,11,FALSE)*($AZ$15*VLOOKUP($A594,'US Grid mix, emissions&amp;prices'!$AE$2:$AI$52,3,FALSE)/100+$BA$15*VLOOKUP($A594,'US Grid mix, emissions&amp;prices'!$AE$2:$AI$52,4,FALSE)/100)/(1+$AZ$41)^L$113+VLOOKUP($A594,'VKT US'!$B$63:$AA$113,(L$168+1),FALSE)*(1-$BD$9)/VLOOKUP($A594,'Fuel economy adjusted factor'!$A$2:$K$52,10,FALSE)*VLOOKUP($A594,'US Grid mix, emissions&amp;prices'!$AE$2:$AI$52,2,FALSE)/(1+$AZ$41)^L$168</f>
        <v>794.07377240336621</v>
      </c>
      <c r="M594" s="106">
        <f>VLOOKUP($A594,'VKT US'!$B$63:$AA$113,(M$113+1),FALSE)*$BD$9/VLOOKUP($A594,'Fuel economy adjusted factor'!$A$2:$K$52,11,FALSE)*($AZ$15*VLOOKUP($A594,'US Grid mix, emissions&amp;prices'!$AE$2:$AI$52,3,FALSE)/100+$BA$15*VLOOKUP($A594,'US Grid mix, emissions&amp;prices'!$AE$2:$AI$52,4,FALSE)/100)/(1+$AZ$41)^M$113+VLOOKUP($A594,'VKT US'!$B$63:$AA$113,(M$168+1),FALSE)*(1-$BD$9)/VLOOKUP($A594,'Fuel economy adjusted factor'!$A$2:$K$52,10,FALSE)*VLOOKUP($A594,'US Grid mix, emissions&amp;prices'!$AE$2:$AI$52,2,FALSE)/(1+$AZ$41)^M$168</f>
        <v>763.71545699167109</v>
      </c>
      <c r="N594" s="106">
        <f>VLOOKUP($A594,'VKT US'!$B$63:$AA$113,(N$113+1),FALSE)*$BD$9/VLOOKUP($A594,'Fuel economy adjusted factor'!$A$2:$K$52,11,FALSE)*($AZ$15*VLOOKUP($A594,'US Grid mix, emissions&amp;prices'!$AE$2:$AI$52,3,FALSE)/100+$BA$15*VLOOKUP($A594,'US Grid mix, emissions&amp;prices'!$AE$2:$AI$52,4,FALSE)/100)/(1+$AZ$41)^N$113+VLOOKUP($A594,'VKT US'!$B$63:$AA$113,(N$168+1),FALSE)*(1-$BD$9)/VLOOKUP($A594,'Fuel economy adjusted factor'!$A$2:$K$52,10,FALSE)*VLOOKUP($A594,'US Grid mix, emissions&amp;prices'!$AE$2:$AI$52,2,FALSE)/(1+$AZ$41)^N$168</f>
        <v>734.94017242001701</v>
      </c>
      <c r="O594" s="106">
        <f>VLOOKUP($A594,'VKT US'!$B$63:$AA$113,(O$113+1),FALSE)*$BD$9/VLOOKUP($A594,'Fuel economy adjusted factor'!$A$2:$K$52,11,FALSE)*($AZ$15*VLOOKUP($A594,'US Grid mix, emissions&amp;prices'!$AE$2:$AI$52,3,FALSE)/100+$BA$15*VLOOKUP($A594,'US Grid mix, emissions&amp;prices'!$AE$2:$AI$52,4,FALSE)/100)/(1+$AZ$41)^O$113+VLOOKUP($A594,'VKT US'!$B$63:$AA$113,(O$168+1),FALSE)*(1-$BD$9)/VLOOKUP($A594,'Fuel economy adjusted factor'!$A$2:$K$52,10,FALSE)*VLOOKUP($A594,'US Grid mix, emissions&amp;prices'!$AE$2:$AI$52,2,FALSE)/(1+$AZ$41)^O$168</f>
        <v>707.7771765470568</v>
      </c>
      <c r="P594" s="106">
        <f>VLOOKUP($A594,'VKT US'!$B$63:$AA$113,(P$113+1),FALSE)*$BD$9/VLOOKUP($A594,'Fuel economy adjusted factor'!$A$2:$K$52,11,FALSE)*($AZ$15*VLOOKUP($A594,'US Grid mix, emissions&amp;prices'!$AE$2:$AI$52,3,FALSE)/100+$BA$15*VLOOKUP($A594,'US Grid mix, emissions&amp;prices'!$AE$2:$AI$52,4,FALSE)/100)/(1+$AZ$41)^P$113+VLOOKUP($A594,'VKT US'!$B$63:$AA$113,(P$168+1),FALSE)*(1-$BD$9)/VLOOKUP($A594,'Fuel economy adjusted factor'!$A$2:$K$52,10,FALSE)*VLOOKUP($A594,'US Grid mix, emissions&amp;prices'!$AE$2:$AI$52,2,FALSE)/(1+$AZ$41)^P$168</f>
        <v>682.10676879941775</v>
      </c>
      <c r="Q594" s="106">
        <f>VLOOKUP($A594,'VKT US'!$B$63:$AA$113,(Q$113+1),FALSE)*$BD$9/VLOOKUP($A594,'Fuel economy adjusted factor'!$A$2:$K$52,11,FALSE)*($AZ$15*VLOOKUP($A594,'US Grid mix, emissions&amp;prices'!$AE$2:$AI$52,3,FALSE)/100+$BA$15*VLOOKUP($A594,'US Grid mix, emissions&amp;prices'!$AE$2:$AI$52,4,FALSE)/100)/(1+$AZ$41)^Q$113+VLOOKUP($A594,'VKT US'!$B$63:$AA$113,(Q$168+1),FALSE)*(1-$BD$9)/VLOOKUP($A594,'Fuel economy adjusted factor'!$A$2:$K$52,10,FALSE)*VLOOKUP($A594,'US Grid mix, emissions&amp;prices'!$AE$2:$AI$52,2,FALSE)/(1+$AZ$41)^Q$168</f>
        <v>658.03077134698128</v>
      </c>
      <c r="R594" s="106">
        <f>VLOOKUP($A594,'VKT US'!$B$63:$AA$113,(R$113+1),FALSE)*$BD$9/VLOOKUP($A594,'Fuel economy adjusted factor'!$A$2:$K$52,11,FALSE)*($AZ$15*VLOOKUP($A594,'US Grid mix, emissions&amp;prices'!$AE$2:$AI$52,3,FALSE)/100+$BA$15*VLOOKUP($A594,'US Grid mix, emissions&amp;prices'!$AE$2:$AI$52,4,FALSE)/100)/(1+$AZ$41)^R$113+VLOOKUP($A594,'VKT US'!$B$63:$AA$113,(R$168+1),FALSE)*(1-$BD$9)/VLOOKUP($A594,'Fuel economy adjusted factor'!$A$2:$K$52,10,FALSE)*VLOOKUP($A594,'US Grid mix, emissions&amp;prices'!$AE$2:$AI$52,2,FALSE)/(1+$AZ$41)^R$168</f>
        <v>635.2876590153669</v>
      </c>
      <c r="S594" s="106">
        <f>VLOOKUP($A594,'VKT US'!$B$63:$AA$113,(S$113+1),FALSE)*$BD$9/VLOOKUP($A594,'Fuel economy adjusted factor'!$A$2:$K$52,11,FALSE)*($AZ$15*VLOOKUP($A594,'US Grid mix, emissions&amp;prices'!$AE$2:$AI$52,3,FALSE)/100+$BA$15*VLOOKUP($A594,'US Grid mix, emissions&amp;prices'!$AE$2:$AI$52,4,FALSE)/100)/(1+$AZ$41)^S$113+VLOOKUP($A594,'VKT US'!$B$63:$AA$113,(S$168+1),FALSE)*(1-$BD$9)/VLOOKUP($A594,'Fuel economy adjusted factor'!$A$2:$K$52,10,FALSE)*VLOOKUP($A594,'US Grid mix, emissions&amp;prices'!$AE$2:$AI$52,2,FALSE)/(1+$AZ$41)^S$168</f>
        <v>614.05094751588854</v>
      </c>
      <c r="T594" s="106">
        <f>VLOOKUP($A594,'VKT US'!$B$63:$AA$113,(T$113+1),FALSE)*$BD$9/VLOOKUP($A594,'Fuel economy adjusted factor'!$A$2:$K$52,11,FALSE)*($AZ$15*VLOOKUP($A594,'US Grid mix, emissions&amp;prices'!$AE$2:$AI$52,3,FALSE)/100+$BA$15*VLOOKUP($A594,'US Grid mix, emissions&amp;prices'!$AE$2:$AI$52,4,FALSE)/100)/(1+$AZ$41)^T$113+VLOOKUP($A594,'VKT US'!$B$63:$AA$113,(T$168+1),FALSE)*(1-$BD$9)/VLOOKUP($A594,'Fuel economy adjusted factor'!$A$2:$K$52,10,FALSE)*VLOOKUP($A594,'US Grid mix, emissions&amp;prices'!$AE$2:$AI$52,2,FALSE)/(1+$AZ$41)^T$168</f>
        <v>594.06614634596804</v>
      </c>
      <c r="U594" s="109">
        <f>VLOOKUP($A594,'VKT US'!$B$63:$AA$113,(U$113+1),FALSE)*$BD$9/VLOOKUP($A594,'Fuel economy adjusted factor'!$A$2:$K$52,11,FALSE)*($AZ$15*VLOOKUP($A594,'US Grid mix, emissions&amp;prices'!$AE$2:$AI$52,3,FALSE)/100+$BA$15*VLOOKUP($A594,'US Grid mix, emissions&amp;prices'!$AE$2:$AI$52,4,FALSE)/100)/(1+$AZ$41)^U$113+VLOOKUP($A594,'VKT US'!$B$63:$AA$113,(U$168+1),FALSE)*(1-$BD$9)/VLOOKUP($A594,'Fuel economy adjusted factor'!$A$2:$K$52,10,FALSE)*VLOOKUP($A594,'US Grid mix, emissions&amp;prices'!$AE$2:$AI$52,2,FALSE)/(1+$AZ$41)^U$168</f>
        <v>575.50353635712975</v>
      </c>
      <c r="V594" s="110" cm="1">
        <f t="array" ref="V594">SUMPRODUCT(INDEX(B594:U594,,_xlfn.SEQUENCE($AZ$13)))</f>
        <v>13005.788209847164</v>
      </c>
    </row>
    <row r="595" spans="1:22" x14ac:dyDescent="0.25">
      <c r="A595" s="102" t="s">
        <v>219</v>
      </c>
      <c r="B595" s="106">
        <f>VLOOKUP($A595,'VKT US'!$B$63:$AA$113,(B$113+1),FALSE)*$BD$9/VLOOKUP($A595,'Fuel economy adjusted factor'!$A$2:$K$52,11,FALSE)*($AZ$15*VLOOKUP($A595,'US Grid mix, emissions&amp;prices'!$AE$2:$AI$52,3,FALSE)/100+$BA$15*VLOOKUP($A595,'US Grid mix, emissions&amp;prices'!$AE$2:$AI$52,4,FALSE)/100)/(1+$AZ$41)^B$113+VLOOKUP($A595,'VKT US'!$B$63:$AA$113,(B$168+1),FALSE)*(1-$BD$9)/VLOOKUP($A595,'Fuel economy adjusted factor'!$A$2:$K$52,10,FALSE)*VLOOKUP($A595,'US Grid mix, emissions&amp;prices'!$AE$2:$AI$52,2,FALSE)/(1+$AZ$41)^B$168</f>
        <v>1023.3226437188493</v>
      </c>
      <c r="C595" s="106">
        <f>VLOOKUP($A595,'VKT US'!$B$63:$AA$113,(C$113+1),FALSE)*$BD$9/VLOOKUP($A595,'Fuel economy adjusted factor'!$A$2:$K$52,11,FALSE)*($AZ$15*VLOOKUP($A595,'US Grid mix, emissions&amp;prices'!$AE$2:$AI$52,3,FALSE)/100+$BA$15*VLOOKUP($A595,'US Grid mix, emissions&amp;prices'!$AE$2:$AI$52,4,FALSE)/100)/(1+$AZ$41)^C$113+VLOOKUP($A595,'VKT US'!$B$63:$AA$113,(C$168+1),FALSE)*(1-$BD$9)/VLOOKUP($A595,'Fuel economy adjusted factor'!$A$2:$K$52,10,FALSE)*VLOOKUP($A595,'US Grid mix, emissions&amp;prices'!$AE$2:$AI$52,2,FALSE)/(1+$AZ$41)^C$168</f>
        <v>981.11260967019348</v>
      </c>
      <c r="D595" s="106">
        <f>VLOOKUP($A595,'VKT US'!$B$63:$AA$113,(D$113+1),FALSE)*$BD$9/VLOOKUP($A595,'Fuel economy adjusted factor'!$A$2:$K$52,11,FALSE)*($AZ$15*VLOOKUP($A595,'US Grid mix, emissions&amp;prices'!$AE$2:$AI$52,3,FALSE)/100+$BA$15*VLOOKUP($A595,'US Grid mix, emissions&amp;prices'!$AE$2:$AI$52,4,FALSE)/100)/(1+$AZ$41)^D$113+VLOOKUP($A595,'VKT US'!$B$63:$AA$113,(D$168+1),FALSE)*(1-$BD$9)/VLOOKUP($A595,'Fuel economy adjusted factor'!$A$2:$K$52,10,FALSE)*VLOOKUP($A595,'US Grid mix, emissions&amp;prices'!$AE$2:$AI$52,2,FALSE)/(1+$AZ$41)^D$168</f>
        <v>940.69745955593828</v>
      </c>
      <c r="E595" s="106">
        <f>VLOOKUP($A595,'VKT US'!$B$63:$AA$113,(E$113+1),FALSE)*$BD$9/VLOOKUP($A595,'Fuel economy adjusted factor'!$A$2:$K$52,11,FALSE)*($AZ$15*VLOOKUP($A595,'US Grid mix, emissions&amp;prices'!$AE$2:$AI$52,3,FALSE)/100+$BA$15*VLOOKUP($A595,'US Grid mix, emissions&amp;prices'!$AE$2:$AI$52,4,FALSE)/100)/(1+$AZ$41)^E$113+VLOOKUP($A595,'VKT US'!$B$63:$AA$113,(E$168+1),FALSE)*(1-$BD$9)/VLOOKUP($A595,'Fuel economy adjusted factor'!$A$2:$K$52,10,FALSE)*VLOOKUP($A595,'US Grid mix, emissions&amp;prices'!$AE$2:$AI$52,2,FALSE)/(1+$AZ$41)^E$168</f>
        <v>902.10072096576789</v>
      </c>
      <c r="F595" s="106">
        <f>VLOOKUP($A595,'VKT US'!$B$63:$AA$113,(F$113+1),FALSE)*$BD$9/VLOOKUP($A595,'Fuel economy adjusted factor'!$A$2:$K$52,11,FALSE)*($AZ$15*VLOOKUP($A595,'US Grid mix, emissions&amp;prices'!$AE$2:$AI$52,3,FALSE)/100+$BA$15*VLOOKUP($A595,'US Grid mix, emissions&amp;prices'!$AE$2:$AI$52,4,FALSE)/100)/(1+$AZ$41)^F$113+VLOOKUP($A595,'VKT US'!$B$63:$AA$113,(F$168+1),FALSE)*(1-$BD$9)/VLOOKUP($A595,'Fuel economy adjusted factor'!$A$2:$K$52,10,FALSE)*VLOOKUP($A595,'US Grid mix, emissions&amp;prices'!$AE$2:$AI$52,2,FALSE)/(1+$AZ$41)^F$168</f>
        <v>865.2026859999454</v>
      </c>
      <c r="G595" s="106">
        <f>VLOOKUP($A595,'VKT US'!$B$63:$AA$113,(G$113+1),FALSE)*$BD$9/VLOOKUP($A595,'Fuel economy adjusted factor'!$A$2:$K$52,11,FALSE)*($AZ$15*VLOOKUP($A595,'US Grid mix, emissions&amp;prices'!$AE$2:$AI$52,3,FALSE)/100+$BA$15*VLOOKUP($A595,'US Grid mix, emissions&amp;prices'!$AE$2:$AI$52,4,FALSE)/100)/(1+$AZ$41)^G$113+VLOOKUP($A595,'VKT US'!$B$63:$AA$113,(G$168+1),FALSE)*(1-$BD$9)/VLOOKUP($A595,'Fuel economy adjusted factor'!$A$2:$K$52,10,FALSE)*VLOOKUP($A595,'US Grid mix, emissions&amp;prices'!$AE$2:$AI$52,2,FALSE)/(1+$AZ$41)^G$168</f>
        <v>830.0968350424464</v>
      </c>
      <c r="H595" s="106">
        <f>VLOOKUP($A595,'VKT US'!$B$63:$AA$113,(H$113+1),FALSE)*$BD$9/VLOOKUP($A595,'Fuel economy adjusted factor'!$A$2:$K$52,11,FALSE)*($AZ$15*VLOOKUP($A595,'US Grid mix, emissions&amp;prices'!$AE$2:$AI$52,3,FALSE)/100+$BA$15*VLOOKUP($A595,'US Grid mix, emissions&amp;prices'!$AE$2:$AI$52,4,FALSE)/100)/(1+$AZ$41)^H$113+VLOOKUP($A595,'VKT US'!$B$63:$AA$113,(H$168+1),FALSE)*(1-$BD$9)/VLOOKUP($A595,'Fuel economy adjusted factor'!$A$2:$K$52,10,FALSE)*VLOOKUP($A595,'US Grid mix, emissions&amp;prices'!$AE$2:$AI$52,2,FALSE)/(1+$AZ$41)^H$168</f>
        <v>796.52715609728739</v>
      </c>
      <c r="I595" s="106">
        <f>VLOOKUP($A595,'VKT US'!$B$63:$AA$113,(I$113+1),FALSE)*$BD$9/VLOOKUP($A595,'Fuel economy adjusted factor'!$A$2:$K$52,11,FALSE)*($AZ$15*VLOOKUP($A595,'US Grid mix, emissions&amp;prices'!$AE$2:$AI$52,3,FALSE)/100+$BA$15*VLOOKUP($A595,'US Grid mix, emissions&amp;prices'!$AE$2:$AI$52,4,FALSE)/100)/(1+$AZ$41)^I$113+VLOOKUP($A595,'VKT US'!$B$63:$AA$113,(I$168+1),FALSE)*(1-$BD$9)/VLOOKUP($A595,'Fuel economy adjusted factor'!$A$2:$K$52,10,FALSE)*VLOOKUP($A595,'US Grid mix, emissions&amp;prices'!$AE$2:$AI$52,2,FALSE)/(1+$AZ$41)^I$168</f>
        <v>764.58828313822301</v>
      </c>
      <c r="J595" s="106">
        <f>VLOOKUP($A595,'VKT US'!$B$63:$AA$113,(J$113+1),FALSE)*$BD$9/VLOOKUP($A595,'Fuel economy adjusted factor'!$A$2:$K$52,11,FALSE)*($AZ$15*VLOOKUP($A595,'US Grid mix, emissions&amp;prices'!$AE$2:$AI$52,3,FALSE)/100+$BA$15*VLOOKUP($A595,'US Grid mix, emissions&amp;prices'!$AE$2:$AI$52,4,FALSE)/100)/(1+$AZ$41)^J$113+VLOOKUP($A595,'VKT US'!$B$63:$AA$113,(J$168+1),FALSE)*(1-$BD$9)/VLOOKUP($A595,'Fuel economy adjusted factor'!$A$2:$K$52,10,FALSE)*VLOOKUP($A595,'US Grid mix, emissions&amp;prices'!$AE$2:$AI$52,2,FALSE)/(1+$AZ$41)^J$168</f>
        <v>734.23497953746494</v>
      </c>
      <c r="K595" s="106">
        <f>VLOOKUP($A595,'VKT US'!$B$63:$AA$113,(K$113+1),FALSE)*$BD$9/VLOOKUP($A595,'Fuel economy adjusted factor'!$A$2:$K$52,11,FALSE)*($AZ$15*VLOOKUP($A595,'US Grid mix, emissions&amp;prices'!$AE$2:$AI$52,3,FALSE)/100+$BA$15*VLOOKUP($A595,'US Grid mix, emissions&amp;prices'!$AE$2:$AI$52,4,FALSE)/100)/(1+$AZ$41)^K$113+VLOOKUP($A595,'VKT US'!$B$63:$AA$113,(K$168+1),FALSE)*(1-$BD$9)/VLOOKUP($A595,'Fuel economy adjusted factor'!$A$2:$K$52,10,FALSE)*VLOOKUP($A595,'US Grid mix, emissions&amp;prices'!$AE$2:$AI$52,2,FALSE)/(1+$AZ$41)^K$168</f>
        <v>705.42298594502608</v>
      </c>
      <c r="L595" s="106">
        <f>VLOOKUP($A595,'VKT US'!$B$63:$AA$113,(L$113+1),FALSE)*$BD$9/VLOOKUP($A595,'Fuel economy adjusted factor'!$A$2:$K$52,11,FALSE)*($AZ$15*VLOOKUP($A595,'US Grid mix, emissions&amp;prices'!$AE$2:$AI$52,3,FALSE)/100+$BA$15*VLOOKUP($A595,'US Grid mix, emissions&amp;prices'!$AE$2:$AI$52,4,FALSE)/100)/(1+$AZ$41)^L$113+VLOOKUP($A595,'VKT US'!$B$63:$AA$113,(L$168+1),FALSE)*(1-$BD$9)/VLOOKUP($A595,'Fuel economy adjusted factor'!$A$2:$K$52,10,FALSE)*VLOOKUP($A595,'US Grid mix, emissions&amp;prices'!$AE$2:$AI$52,2,FALSE)/(1+$AZ$41)^L$168</f>
        <v>678.04343342755101</v>
      </c>
      <c r="M595" s="106">
        <f>VLOOKUP($A595,'VKT US'!$B$63:$AA$113,(M$113+1),FALSE)*$BD$9/VLOOKUP($A595,'Fuel economy adjusted factor'!$A$2:$K$52,11,FALSE)*($AZ$15*VLOOKUP($A595,'US Grid mix, emissions&amp;prices'!$AE$2:$AI$52,3,FALSE)/100+$BA$15*VLOOKUP($A595,'US Grid mix, emissions&amp;prices'!$AE$2:$AI$52,4,FALSE)/100)/(1+$AZ$41)^M$113+VLOOKUP($A595,'VKT US'!$B$63:$AA$113,(M$168+1),FALSE)*(1-$BD$9)/VLOOKUP($A595,'Fuel economy adjusted factor'!$A$2:$K$52,10,FALSE)*VLOOKUP($A595,'US Grid mix, emissions&amp;prices'!$AE$2:$AI$52,2,FALSE)/(1+$AZ$41)^M$168</f>
        <v>652.12108574375657</v>
      </c>
      <c r="N595" s="106">
        <f>VLOOKUP($A595,'VKT US'!$B$63:$AA$113,(N$113+1),FALSE)*$BD$9/VLOOKUP($A595,'Fuel economy adjusted factor'!$A$2:$K$52,11,FALSE)*($AZ$15*VLOOKUP($A595,'US Grid mix, emissions&amp;prices'!$AE$2:$AI$52,3,FALSE)/100+$BA$15*VLOOKUP($A595,'US Grid mix, emissions&amp;prices'!$AE$2:$AI$52,4,FALSE)/100)/(1+$AZ$41)^N$113+VLOOKUP($A595,'VKT US'!$B$63:$AA$113,(N$168+1),FALSE)*(1-$BD$9)/VLOOKUP($A595,'Fuel economy adjusted factor'!$A$2:$K$52,10,FALSE)*VLOOKUP($A595,'US Grid mix, emissions&amp;prices'!$AE$2:$AI$52,2,FALSE)/(1+$AZ$41)^N$168</f>
        <v>627.55045587675181</v>
      </c>
      <c r="O595" s="106">
        <f>VLOOKUP($A595,'VKT US'!$B$63:$AA$113,(O$113+1),FALSE)*$BD$9/VLOOKUP($A595,'Fuel economy adjusted factor'!$A$2:$K$52,11,FALSE)*($AZ$15*VLOOKUP($A595,'US Grid mix, emissions&amp;prices'!$AE$2:$AI$52,3,FALSE)/100+$BA$15*VLOOKUP($A595,'US Grid mix, emissions&amp;prices'!$AE$2:$AI$52,4,FALSE)/100)/(1+$AZ$41)^O$113+VLOOKUP($A595,'VKT US'!$B$63:$AA$113,(O$168+1),FALSE)*(1-$BD$9)/VLOOKUP($A595,'Fuel economy adjusted factor'!$A$2:$K$52,10,FALSE)*VLOOKUP($A595,'US Grid mix, emissions&amp;prices'!$AE$2:$AI$52,2,FALSE)/(1+$AZ$41)^O$168</f>
        <v>604.35652651659098</v>
      </c>
      <c r="P595" s="106">
        <f>VLOOKUP($A595,'VKT US'!$B$63:$AA$113,(P$113+1),FALSE)*$BD$9/VLOOKUP($A595,'Fuel economy adjusted factor'!$A$2:$K$52,11,FALSE)*($AZ$15*VLOOKUP($A595,'US Grid mix, emissions&amp;prices'!$AE$2:$AI$52,3,FALSE)/100+$BA$15*VLOOKUP($A595,'US Grid mix, emissions&amp;prices'!$AE$2:$AI$52,4,FALSE)/100)/(1+$AZ$41)^P$113+VLOOKUP($A595,'VKT US'!$B$63:$AA$113,(P$168+1),FALSE)*(1-$BD$9)/VLOOKUP($A595,'Fuel economy adjusted factor'!$A$2:$K$52,10,FALSE)*VLOOKUP($A595,'US Grid mix, emissions&amp;prices'!$AE$2:$AI$52,2,FALSE)/(1+$AZ$41)^P$168</f>
        <v>582.43708777979191</v>
      </c>
      <c r="Q595" s="106">
        <f>VLOOKUP($A595,'VKT US'!$B$63:$AA$113,(Q$113+1),FALSE)*$BD$9/VLOOKUP($A595,'Fuel economy adjusted factor'!$A$2:$K$52,11,FALSE)*($AZ$15*VLOOKUP($A595,'US Grid mix, emissions&amp;prices'!$AE$2:$AI$52,3,FALSE)/100+$BA$15*VLOOKUP($A595,'US Grid mix, emissions&amp;prices'!$AE$2:$AI$52,4,FALSE)/100)/(1+$AZ$41)^Q$113+VLOOKUP($A595,'VKT US'!$B$63:$AA$113,(Q$168+1),FALSE)*(1-$BD$9)/VLOOKUP($A595,'Fuel economy adjusted factor'!$A$2:$K$52,10,FALSE)*VLOOKUP($A595,'US Grid mix, emissions&amp;prices'!$AE$2:$AI$52,2,FALSE)/(1+$AZ$41)^Q$168</f>
        <v>561.87908354495289</v>
      </c>
      <c r="R595" s="106">
        <f>VLOOKUP($A595,'VKT US'!$B$63:$AA$113,(R$113+1),FALSE)*$BD$9/VLOOKUP($A595,'Fuel economy adjusted factor'!$A$2:$K$52,11,FALSE)*($AZ$15*VLOOKUP($A595,'US Grid mix, emissions&amp;prices'!$AE$2:$AI$52,3,FALSE)/100+$BA$15*VLOOKUP($A595,'US Grid mix, emissions&amp;prices'!$AE$2:$AI$52,4,FALSE)/100)/(1+$AZ$41)^R$113+VLOOKUP($A595,'VKT US'!$B$63:$AA$113,(R$168+1),FALSE)*(1-$BD$9)/VLOOKUP($A595,'Fuel economy adjusted factor'!$A$2:$K$52,10,FALSE)*VLOOKUP($A595,'US Grid mix, emissions&amp;prices'!$AE$2:$AI$52,2,FALSE)/(1+$AZ$41)^R$168</f>
        <v>542.45920278817732</v>
      </c>
      <c r="S595" s="106">
        <f>VLOOKUP($A595,'VKT US'!$B$63:$AA$113,(S$113+1),FALSE)*$BD$9/VLOOKUP($A595,'Fuel economy adjusted factor'!$A$2:$K$52,11,FALSE)*($AZ$15*VLOOKUP($A595,'US Grid mix, emissions&amp;prices'!$AE$2:$AI$52,3,FALSE)/100+$BA$15*VLOOKUP($A595,'US Grid mix, emissions&amp;prices'!$AE$2:$AI$52,4,FALSE)/100)/(1+$AZ$41)^S$113+VLOOKUP($A595,'VKT US'!$B$63:$AA$113,(S$168+1),FALSE)*(1-$BD$9)/VLOOKUP($A595,'Fuel economy adjusted factor'!$A$2:$K$52,10,FALSE)*VLOOKUP($A595,'US Grid mix, emissions&amp;prices'!$AE$2:$AI$52,2,FALSE)/(1+$AZ$41)^S$168</f>
        <v>524.32560704399987</v>
      </c>
      <c r="T595" s="106">
        <f>VLOOKUP($A595,'VKT US'!$B$63:$AA$113,(T$113+1),FALSE)*$BD$9/VLOOKUP($A595,'Fuel economy adjusted factor'!$A$2:$K$52,11,FALSE)*($AZ$15*VLOOKUP($A595,'US Grid mix, emissions&amp;prices'!$AE$2:$AI$52,3,FALSE)/100+$BA$15*VLOOKUP($A595,'US Grid mix, emissions&amp;prices'!$AE$2:$AI$52,4,FALSE)/100)/(1+$AZ$41)^T$113+VLOOKUP($A595,'VKT US'!$B$63:$AA$113,(T$168+1),FALSE)*(1-$BD$9)/VLOOKUP($A595,'Fuel economy adjusted factor'!$A$2:$K$52,10,FALSE)*VLOOKUP($A595,'US Grid mix, emissions&amp;prices'!$AE$2:$AI$52,2,FALSE)/(1+$AZ$41)^T$168</f>
        <v>507.26099205160779</v>
      </c>
      <c r="U595" s="109">
        <f>VLOOKUP($A595,'VKT US'!$B$63:$AA$113,(U$113+1),FALSE)*$BD$9/VLOOKUP($A595,'Fuel economy adjusted factor'!$A$2:$K$52,11,FALSE)*($AZ$15*VLOOKUP($A595,'US Grid mix, emissions&amp;prices'!$AE$2:$AI$52,3,FALSE)/100+$BA$15*VLOOKUP($A595,'US Grid mix, emissions&amp;prices'!$AE$2:$AI$52,4,FALSE)/100)/(1+$AZ$41)^U$113+VLOOKUP($A595,'VKT US'!$B$63:$AA$113,(U$168+1),FALSE)*(1-$BD$9)/VLOOKUP($A595,'Fuel economy adjusted factor'!$A$2:$K$52,10,FALSE)*VLOOKUP($A595,'US Grid mix, emissions&amp;prices'!$AE$2:$AI$52,2,FALSE)/(1+$AZ$41)^U$168</f>
        <v>491.41075716459648</v>
      </c>
      <c r="V595" s="110" cm="1">
        <f t="array" ref="V595">SUMPRODUCT(INDEX(B595:U595,,_xlfn.SEQUENCE($AZ$13)))</f>
        <v>11105.377861235793</v>
      </c>
    </row>
    <row r="596" spans="1:22" x14ac:dyDescent="0.25">
      <c r="A596" s="102" t="s">
        <v>220</v>
      </c>
      <c r="B596" s="106">
        <f>VLOOKUP($A596,'VKT US'!$B$63:$AA$113,(B$113+1),FALSE)*$BD$9/VLOOKUP($A596,'Fuel economy adjusted factor'!$A$2:$K$52,11,FALSE)*($AZ$15*VLOOKUP($A596,'US Grid mix, emissions&amp;prices'!$AE$2:$AI$52,3,FALSE)/100+$BA$15*VLOOKUP($A596,'US Grid mix, emissions&amp;prices'!$AE$2:$AI$52,4,FALSE)/100)/(1+$AZ$41)^B$113+VLOOKUP($A596,'VKT US'!$B$63:$AA$113,(B$168+1),FALSE)*(1-$BD$9)/VLOOKUP($A596,'Fuel economy adjusted factor'!$A$2:$K$52,10,FALSE)*VLOOKUP($A596,'US Grid mix, emissions&amp;prices'!$AE$2:$AI$52,2,FALSE)/(1+$AZ$41)^B$168</f>
        <v>919.25553377337167</v>
      </c>
      <c r="C596" s="106">
        <f>VLOOKUP($A596,'VKT US'!$B$63:$AA$113,(C$113+1),FALSE)*$BD$9/VLOOKUP($A596,'Fuel economy adjusted factor'!$A$2:$K$52,11,FALSE)*($AZ$15*VLOOKUP($A596,'US Grid mix, emissions&amp;prices'!$AE$2:$AI$52,3,FALSE)/100+$BA$15*VLOOKUP($A596,'US Grid mix, emissions&amp;prices'!$AE$2:$AI$52,4,FALSE)/100)/(1+$AZ$41)^C$113+VLOOKUP($A596,'VKT US'!$B$63:$AA$113,(C$168+1),FALSE)*(1-$BD$9)/VLOOKUP($A596,'Fuel economy adjusted factor'!$A$2:$K$52,10,FALSE)*VLOOKUP($A596,'US Grid mix, emissions&amp;prices'!$AE$2:$AI$52,2,FALSE)/(1+$AZ$41)^C$168</f>
        <v>881.33806207648831</v>
      </c>
      <c r="D596" s="106">
        <f>VLOOKUP($A596,'VKT US'!$B$63:$AA$113,(D$113+1),FALSE)*$BD$9/VLOOKUP($A596,'Fuel economy adjusted factor'!$A$2:$K$52,11,FALSE)*($AZ$15*VLOOKUP($A596,'US Grid mix, emissions&amp;prices'!$AE$2:$AI$52,3,FALSE)/100+$BA$15*VLOOKUP($A596,'US Grid mix, emissions&amp;prices'!$AE$2:$AI$52,4,FALSE)/100)/(1+$AZ$41)^D$113+VLOOKUP($A596,'VKT US'!$B$63:$AA$113,(D$168+1),FALSE)*(1-$BD$9)/VLOOKUP($A596,'Fuel economy adjusted factor'!$A$2:$K$52,10,FALSE)*VLOOKUP($A596,'US Grid mix, emissions&amp;prices'!$AE$2:$AI$52,2,FALSE)/(1+$AZ$41)^D$168</f>
        <v>845.03294304208737</v>
      </c>
      <c r="E596" s="106">
        <f>VLOOKUP($A596,'VKT US'!$B$63:$AA$113,(E$113+1),FALSE)*$BD$9/VLOOKUP($A596,'Fuel economy adjusted factor'!$A$2:$K$52,11,FALSE)*($AZ$15*VLOOKUP($A596,'US Grid mix, emissions&amp;prices'!$AE$2:$AI$52,3,FALSE)/100+$BA$15*VLOOKUP($A596,'US Grid mix, emissions&amp;prices'!$AE$2:$AI$52,4,FALSE)/100)/(1+$AZ$41)^E$113+VLOOKUP($A596,'VKT US'!$B$63:$AA$113,(E$168+1),FALSE)*(1-$BD$9)/VLOOKUP($A596,'Fuel economy adjusted factor'!$A$2:$K$52,10,FALSE)*VLOOKUP($A596,'US Grid mix, emissions&amp;prices'!$AE$2:$AI$52,2,FALSE)/(1+$AZ$41)^E$168</f>
        <v>810.36131161440801</v>
      </c>
      <c r="F596" s="106">
        <f>VLOOKUP($A596,'VKT US'!$B$63:$AA$113,(F$113+1),FALSE)*$BD$9/VLOOKUP($A596,'Fuel economy adjusted factor'!$A$2:$K$52,11,FALSE)*($AZ$15*VLOOKUP($A596,'US Grid mix, emissions&amp;prices'!$AE$2:$AI$52,3,FALSE)/100+$BA$15*VLOOKUP($A596,'US Grid mix, emissions&amp;prices'!$AE$2:$AI$52,4,FALSE)/100)/(1+$AZ$41)^F$113+VLOOKUP($A596,'VKT US'!$B$63:$AA$113,(F$168+1),FALSE)*(1-$BD$9)/VLOOKUP($A596,'Fuel economy adjusted factor'!$A$2:$K$52,10,FALSE)*VLOOKUP($A596,'US Grid mix, emissions&amp;prices'!$AE$2:$AI$52,2,FALSE)/(1+$AZ$41)^F$168</f>
        <v>777.21563362527263</v>
      </c>
      <c r="G596" s="106">
        <f>VLOOKUP($A596,'VKT US'!$B$63:$AA$113,(G$113+1),FALSE)*$BD$9/VLOOKUP($A596,'Fuel economy adjusted factor'!$A$2:$K$52,11,FALSE)*($AZ$15*VLOOKUP($A596,'US Grid mix, emissions&amp;prices'!$AE$2:$AI$52,3,FALSE)/100+$BA$15*VLOOKUP($A596,'US Grid mix, emissions&amp;prices'!$AE$2:$AI$52,4,FALSE)/100)/(1+$AZ$41)^G$113+VLOOKUP($A596,'VKT US'!$B$63:$AA$113,(G$168+1),FALSE)*(1-$BD$9)/VLOOKUP($A596,'Fuel economy adjusted factor'!$A$2:$K$52,10,FALSE)*VLOOKUP($A596,'US Grid mix, emissions&amp;prices'!$AE$2:$AI$52,2,FALSE)/(1+$AZ$41)^G$168</f>
        <v>745.67988294235283</v>
      </c>
      <c r="H596" s="106">
        <f>VLOOKUP($A596,'VKT US'!$B$63:$AA$113,(H$113+1),FALSE)*$BD$9/VLOOKUP($A596,'Fuel economy adjusted factor'!$A$2:$K$52,11,FALSE)*($AZ$15*VLOOKUP($A596,'US Grid mix, emissions&amp;prices'!$AE$2:$AI$52,3,FALSE)/100+$BA$15*VLOOKUP($A596,'US Grid mix, emissions&amp;prices'!$AE$2:$AI$52,4,FALSE)/100)/(1+$AZ$41)^H$113+VLOOKUP($A596,'VKT US'!$B$63:$AA$113,(H$168+1),FALSE)*(1-$BD$9)/VLOOKUP($A596,'Fuel economy adjusted factor'!$A$2:$K$52,10,FALSE)*VLOOKUP($A596,'US Grid mix, emissions&amp;prices'!$AE$2:$AI$52,2,FALSE)/(1+$AZ$41)^H$168</f>
        <v>715.52408278807479</v>
      </c>
      <c r="I596" s="106">
        <f>VLOOKUP($A596,'VKT US'!$B$63:$AA$113,(I$113+1),FALSE)*$BD$9/VLOOKUP($A596,'Fuel economy adjusted factor'!$A$2:$K$52,11,FALSE)*($AZ$15*VLOOKUP($A596,'US Grid mix, emissions&amp;prices'!$AE$2:$AI$52,3,FALSE)/100+$BA$15*VLOOKUP($A596,'US Grid mix, emissions&amp;prices'!$AE$2:$AI$52,4,FALSE)/100)/(1+$AZ$41)^I$113+VLOOKUP($A596,'VKT US'!$B$63:$AA$113,(I$168+1),FALSE)*(1-$BD$9)/VLOOKUP($A596,'Fuel economy adjusted factor'!$A$2:$K$52,10,FALSE)*VLOOKUP($A596,'US Grid mix, emissions&amp;prices'!$AE$2:$AI$52,2,FALSE)/(1+$AZ$41)^I$168</f>
        <v>686.8332433052235</v>
      </c>
      <c r="J596" s="106">
        <f>VLOOKUP($A596,'VKT US'!$B$63:$AA$113,(J$113+1),FALSE)*$BD$9/VLOOKUP($A596,'Fuel economy adjusted factor'!$A$2:$K$52,11,FALSE)*($AZ$15*VLOOKUP($A596,'US Grid mix, emissions&amp;prices'!$AE$2:$AI$52,3,FALSE)/100+$BA$15*VLOOKUP($A596,'US Grid mix, emissions&amp;prices'!$AE$2:$AI$52,4,FALSE)/100)/(1+$AZ$41)^J$113+VLOOKUP($A596,'VKT US'!$B$63:$AA$113,(J$168+1),FALSE)*(1-$BD$9)/VLOOKUP($A596,'Fuel economy adjusted factor'!$A$2:$K$52,10,FALSE)*VLOOKUP($A596,'US Grid mix, emissions&amp;prices'!$AE$2:$AI$52,2,FALSE)/(1+$AZ$41)^J$168</f>
        <v>659.56672821874008</v>
      </c>
      <c r="K596" s="106">
        <f>VLOOKUP($A596,'VKT US'!$B$63:$AA$113,(K$113+1),FALSE)*$BD$9/VLOOKUP($A596,'Fuel economy adjusted factor'!$A$2:$K$52,11,FALSE)*($AZ$15*VLOOKUP($A596,'US Grid mix, emissions&amp;prices'!$AE$2:$AI$52,3,FALSE)/100+$BA$15*VLOOKUP($A596,'US Grid mix, emissions&amp;prices'!$AE$2:$AI$52,4,FALSE)/100)/(1+$AZ$41)^K$113+VLOOKUP($A596,'VKT US'!$B$63:$AA$113,(K$168+1),FALSE)*(1-$BD$9)/VLOOKUP($A596,'Fuel economy adjusted factor'!$A$2:$K$52,10,FALSE)*VLOOKUP($A596,'US Grid mix, emissions&amp;prices'!$AE$2:$AI$52,2,FALSE)/(1+$AZ$41)^K$168</f>
        <v>633.68477914680193</v>
      </c>
      <c r="L596" s="106">
        <f>VLOOKUP($A596,'VKT US'!$B$63:$AA$113,(L$113+1),FALSE)*$BD$9/VLOOKUP($A596,'Fuel economy adjusted factor'!$A$2:$K$52,11,FALSE)*($AZ$15*VLOOKUP($A596,'US Grid mix, emissions&amp;prices'!$AE$2:$AI$52,3,FALSE)/100+$BA$15*VLOOKUP($A596,'US Grid mix, emissions&amp;prices'!$AE$2:$AI$52,4,FALSE)/100)/(1+$AZ$41)^L$113+VLOOKUP($A596,'VKT US'!$B$63:$AA$113,(L$168+1),FALSE)*(1-$BD$9)/VLOOKUP($A596,'Fuel economy adjusted factor'!$A$2:$K$52,10,FALSE)*VLOOKUP($A596,'US Grid mix, emissions&amp;prices'!$AE$2:$AI$52,2,FALSE)/(1+$AZ$41)^L$168</f>
        <v>609.08959861560425</v>
      </c>
      <c r="M596" s="106">
        <f>VLOOKUP($A596,'VKT US'!$B$63:$AA$113,(M$113+1),FALSE)*$BD$9/VLOOKUP($A596,'Fuel economy adjusted factor'!$A$2:$K$52,11,FALSE)*($AZ$15*VLOOKUP($A596,'US Grid mix, emissions&amp;prices'!$AE$2:$AI$52,3,FALSE)/100+$BA$15*VLOOKUP($A596,'US Grid mix, emissions&amp;prices'!$AE$2:$AI$52,4,FALSE)/100)/(1+$AZ$41)^M$113+VLOOKUP($A596,'VKT US'!$B$63:$AA$113,(M$168+1),FALSE)*(1-$BD$9)/VLOOKUP($A596,'Fuel economy adjusted factor'!$A$2:$K$52,10,FALSE)*VLOOKUP($A596,'US Grid mix, emissions&amp;prices'!$AE$2:$AI$52,2,FALSE)/(1+$AZ$41)^M$168</f>
        <v>585.80343202583003</v>
      </c>
      <c r="N596" s="106">
        <f>VLOOKUP($A596,'VKT US'!$B$63:$AA$113,(N$113+1),FALSE)*$BD$9/VLOOKUP($A596,'Fuel economy adjusted factor'!$A$2:$K$52,11,FALSE)*($AZ$15*VLOOKUP($A596,'US Grid mix, emissions&amp;prices'!$AE$2:$AI$52,3,FALSE)/100+$BA$15*VLOOKUP($A596,'US Grid mix, emissions&amp;prices'!$AE$2:$AI$52,4,FALSE)/100)/(1+$AZ$41)^N$113+VLOOKUP($A596,'VKT US'!$B$63:$AA$113,(N$168+1),FALSE)*(1-$BD$9)/VLOOKUP($A596,'Fuel economy adjusted factor'!$A$2:$K$52,10,FALSE)*VLOOKUP($A596,'US Grid mix, emissions&amp;prices'!$AE$2:$AI$52,2,FALSE)/(1+$AZ$41)^N$168</f>
        <v>563.73151989510723</v>
      </c>
      <c r="O596" s="106">
        <f>VLOOKUP($A596,'VKT US'!$B$63:$AA$113,(O$113+1),FALSE)*$BD$9/VLOOKUP($A596,'Fuel economy adjusted factor'!$A$2:$K$52,11,FALSE)*($AZ$15*VLOOKUP($A596,'US Grid mix, emissions&amp;prices'!$AE$2:$AI$52,3,FALSE)/100+$BA$15*VLOOKUP($A596,'US Grid mix, emissions&amp;prices'!$AE$2:$AI$52,4,FALSE)/100)/(1+$AZ$41)^O$113+VLOOKUP($A596,'VKT US'!$B$63:$AA$113,(O$168+1),FALSE)*(1-$BD$9)/VLOOKUP($A596,'Fuel economy adjusted factor'!$A$2:$K$52,10,FALSE)*VLOOKUP($A596,'US Grid mix, emissions&amp;prices'!$AE$2:$AI$52,2,FALSE)/(1+$AZ$41)^O$168</f>
        <v>542.89630429116664</v>
      </c>
      <c r="P596" s="106">
        <f>VLOOKUP($A596,'VKT US'!$B$63:$AA$113,(P$113+1),FALSE)*$BD$9/VLOOKUP($A596,'Fuel economy adjusted factor'!$A$2:$K$52,11,FALSE)*($AZ$15*VLOOKUP($A596,'US Grid mix, emissions&amp;prices'!$AE$2:$AI$52,3,FALSE)/100+$BA$15*VLOOKUP($A596,'US Grid mix, emissions&amp;prices'!$AE$2:$AI$52,4,FALSE)/100)/(1+$AZ$41)^P$113+VLOOKUP($A596,'VKT US'!$B$63:$AA$113,(P$168+1),FALSE)*(1-$BD$9)/VLOOKUP($A596,'Fuel economy adjusted factor'!$A$2:$K$52,10,FALSE)*VLOOKUP($A596,'US Grid mix, emissions&amp;prices'!$AE$2:$AI$52,2,FALSE)/(1+$AZ$41)^P$168</f>
        <v>523.20596959595889</v>
      </c>
      <c r="Q596" s="106">
        <f>VLOOKUP($A596,'VKT US'!$B$63:$AA$113,(Q$113+1),FALSE)*$BD$9/VLOOKUP($A596,'Fuel economy adjusted factor'!$A$2:$K$52,11,FALSE)*($AZ$15*VLOOKUP($A596,'US Grid mix, emissions&amp;prices'!$AE$2:$AI$52,3,FALSE)/100+$BA$15*VLOOKUP($A596,'US Grid mix, emissions&amp;prices'!$AE$2:$AI$52,4,FALSE)/100)/(1+$AZ$41)^Q$113+VLOOKUP($A596,'VKT US'!$B$63:$AA$113,(Q$168+1),FALSE)*(1-$BD$9)/VLOOKUP($A596,'Fuel economy adjusted factor'!$A$2:$K$52,10,FALSE)*VLOOKUP($A596,'US Grid mix, emissions&amp;prices'!$AE$2:$AI$52,2,FALSE)/(1+$AZ$41)^Q$168</f>
        <v>504.73861790369619</v>
      </c>
      <c r="R596" s="106">
        <f>VLOOKUP($A596,'VKT US'!$B$63:$AA$113,(R$113+1),FALSE)*$BD$9/VLOOKUP($A596,'Fuel economy adjusted factor'!$A$2:$K$52,11,FALSE)*($AZ$15*VLOOKUP($A596,'US Grid mix, emissions&amp;prices'!$AE$2:$AI$52,3,FALSE)/100+$BA$15*VLOOKUP($A596,'US Grid mix, emissions&amp;prices'!$AE$2:$AI$52,4,FALSE)/100)/(1+$AZ$41)^R$113+VLOOKUP($A596,'VKT US'!$B$63:$AA$113,(R$168+1),FALSE)*(1-$BD$9)/VLOOKUP($A596,'Fuel economy adjusted factor'!$A$2:$K$52,10,FALSE)*VLOOKUP($A596,'US Grid mix, emissions&amp;prices'!$AE$2:$AI$52,2,FALSE)/(1+$AZ$41)^R$168</f>
        <v>487.2936478735113</v>
      </c>
      <c r="S596" s="106">
        <f>VLOOKUP($A596,'VKT US'!$B$63:$AA$113,(S$113+1),FALSE)*$BD$9/VLOOKUP($A596,'Fuel economy adjusted factor'!$A$2:$K$52,11,FALSE)*($AZ$15*VLOOKUP($A596,'US Grid mix, emissions&amp;prices'!$AE$2:$AI$52,3,FALSE)/100+$BA$15*VLOOKUP($A596,'US Grid mix, emissions&amp;prices'!$AE$2:$AI$52,4,FALSE)/100)/(1+$AZ$41)^S$113+VLOOKUP($A596,'VKT US'!$B$63:$AA$113,(S$168+1),FALSE)*(1-$BD$9)/VLOOKUP($A596,'Fuel economy adjusted factor'!$A$2:$K$52,10,FALSE)*VLOOKUP($A596,'US Grid mix, emissions&amp;prices'!$AE$2:$AI$52,2,FALSE)/(1+$AZ$41)^S$168</f>
        <v>471.00415370726637</v>
      </c>
      <c r="T596" s="106">
        <f>VLOOKUP($A596,'VKT US'!$B$63:$AA$113,(T$113+1),FALSE)*$BD$9/VLOOKUP($A596,'Fuel economy adjusted factor'!$A$2:$K$52,11,FALSE)*($AZ$15*VLOOKUP($A596,'US Grid mix, emissions&amp;prices'!$AE$2:$AI$52,3,FALSE)/100+$BA$15*VLOOKUP($A596,'US Grid mix, emissions&amp;prices'!$AE$2:$AI$52,4,FALSE)/100)/(1+$AZ$41)^T$113+VLOOKUP($A596,'VKT US'!$B$63:$AA$113,(T$168+1),FALSE)*(1-$BD$9)/VLOOKUP($A596,'Fuel economy adjusted factor'!$A$2:$K$52,10,FALSE)*VLOOKUP($A596,'US Grid mix, emissions&amp;prices'!$AE$2:$AI$52,2,FALSE)/(1+$AZ$41)^T$168</f>
        <v>455.67492996756562</v>
      </c>
      <c r="U596" s="109">
        <f>VLOOKUP($A596,'VKT US'!$B$63:$AA$113,(U$113+1),FALSE)*$BD$9/VLOOKUP($A596,'Fuel economy adjusted factor'!$A$2:$K$52,11,FALSE)*($AZ$15*VLOOKUP($A596,'US Grid mix, emissions&amp;prices'!$AE$2:$AI$52,3,FALSE)/100+$BA$15*VLOOKUP($A596,'US Grid mix, emissions&amp;prices'!$AE$2:$AI$52,4,FALSE)/100)/(1+$AZ$41)^U$113+VLOOKUP($A596,'VKT US'!$B$63:$AA$113,(U$168+1),FALSE)*(1-$BD$9)/VLOOKUP($A596,'Fuel economy adjusted factor'!$A$2:$K$52,10,FALSE)*VLOOKUP($A596,'US Grid mix, emissions&amp;prices'!$AE$2:$AI$52,2,FALSE)/(1+$AZ$41)^U$168</f>
        <v>441.4365895761689</v>
      </c>
      <c r="V596" s="110" cm="1">
        <f t="array" ref="V596">SUMPRODUCT(INDEX(B596:U596,,_xlfn.SEQUENCE($AZ$13)))</f>
        <v>9976.0130553605304</v>
      </c>
    </row>
    <row r="597" spans="1:22" x14ac:dyDescent="0.25">
      <c r="A597" s="102" t="s">
        <v>221</v>
      </c>
      <c r="B597" s="106">
        <f>VLOOKUP($A597,'VKT US'!$B$63:$AA$113,(B$113+1),FALSE)*$BD$9/VLOOKUP($A597,'Fuel economy adjusted factor'!$A$2:$K$52,11,FALSE)*($AZ$15*VLOOKUP($A597,'US Grid mix, emissions&amp;prices'!$AE$2:$AI$52,3,FALSE)/100+$BA$15*VLOOKUP($A597,'US Grid mix, emissions&amp;prices'!$AE$2:$AI$52,4,FALSE)/100)/(1+$AZ$41)^B$113+VLOOKUP($A597,'VKT US'!$B$63:$AA$113,(B$168+1),FALSE)*(1-$BD$9)/VLOOKUP($A597,'Fuel economy adjusted factor'!$A$2:$K$52,10,FALSE)*VLOOKUP($A597,'US Grid mix, emissions&amp;prices'!$AE$2:$AI$52,2,FALSE)/(1+$AZ$41)^B$168</f>
        <v>955.59177088402976</v>
      </c>
      <c r="C597" s="106">
        <f>VLOOKUP($A597,'VKT US'!$B$63:$AA$113,(C$113+1),FALSE)*$BD$9/VLOOKUP($A597,'Fuel economy adjusted factor'!$A$2:$K$52,11,FALSE)*($AZ$15*VLOOKUP($A597,'US Grid mix, emissions&amp;prices'!$AE$2:$AI$52,3,FALSE)/100+$BA$15*VLOOKUP($A597,'US Grid mix, emissions&amp;prices'!$AE$2:$AI$52,4,FALSE)/100)/(1+$AZ$41)^C$113+VLOOKUP($A597,'VKT US'!$B$63:$AA$113,(C$168+1),FALSE)*(1-$BD$9)/VLOOKUP($A597,'Fuel economy adjusted factor'!$A$2:$K$52,10,FALSE)*VLOOKUP($A597,'US Grid mix, emissions&amp;prices'!$AE$2:$AI$52,2,FALSE)/(1+$AZ$41)^C$168</f>
        <v>916.17550131039116</v>
      </c>
      <c r="D597" s="106">
        <f>VLOOKUP($A597,'VKT US'!$B$63:$AA$113,(D$113+1),FALSE)*$BD$9/VLOOKUP($A597,'Fuel economy adjusted factor'!$A$2:$K$52,11,FALSE)*($AZ$15*VLOOKUP($A597,'US Grid mix, emissions&amp;prices'!$AE$2:$AI$52,3,FALSE)/100+$BA$15*VLOOKUP($A597,'US Grid mix, emissions&amp;prices'!$AE$2:$AI$52,4,FALSE)/100)/(1+$AZ$41)^D$113+VLOOKUP($A597,'VKT US'!$B$63:$AA$113,(D$168+1),FALSE)*(1-$BD$9)/VLOOKUP($A597,'Fuel economy adjusted factor'!$A$2:$K$52,10,FALSE)*VLOOKUP($A597,'US Grid mix, emissions&amp;prices'!$AE$2:$AI$52,2,FALSE)/(1+$AZ$41)^D$168</f>
        <v>878.43531730754853</v>
      </c>
      <c r="E597" s="106">
        <f>VLOOKUP($A597,'VKT US'!$B$63:$AA$113,(E$113+1),FALSE)*$BD$9/VLOOKUP($A597,'Fuel economy adjusted factor'!$A$2:$K$52,11,FALSE)*($AZ$15*VLOOKUP($A597,'US Grid mix, emissions&amp;prices'!$AE$2:$AI$52,3,FALSE)/100+$BA$15*VLOOKUP($A597,'US Grid mix, emissions&amp;prices'!$AE$2:$AI$52,4,FALSE)/100)/(1+$AZ$41)^E$113+VLOOKUP($A597,'VKT US'!$B$63:$AA$113,(E$168+1),FALSE)*(1-$BD$9)/VLOOKUP($A597,'Fuel economy adjusted factor'!$A$2:$K$52,10,FALSE)*VLOOKUP($A597,'US Grid mix, emissions&amp;prices'!$AE$2:$AI$52,2,FALSE)/(1+$AZ$41)^E$168</f>
        <v>842.39318923961719</v>
      </c>
      <c r="F597" s="106">
        <f>VLOOKUP($A597,'VKT US'!$B$63:$AA$113,(F$113+1),FALSE)*$BD$9/VLOOKUP($A597,'Fuel economy adjusted factor'!$A$2:$K$52,11,FALSE)*($AZ$15*VLOOKUP($A597,'US Grid mix, emissions&amp;prices'!$AE$2:$AI$52,3,FALSE)/100+$BA$15*VLOOKUP($A597,'US Grid mix, emissions&amp;prices'!$AE$2:$AI$52,4,FALSE)/100)/(1+$AZ$41)^F$113+VLOOKUP($A597,'VKT US'!$B$63:$AA$113,(F$168+1),FALSE)*(1-$BD$9)/VLOOKUP($A597,'Fuel economy adjusted factor'!$A$2:$K$52,10,FALSE)*VLOOKUP($A597,'US Grid mix, emissions&amp;prices'!$AE$2:$AI$52,2,FALSE)/(1+$AZ$41)^F$168</f>
        <v>807.93733233900662</v>
      </c>
      <c r="G597" s="106">
        <f>VLOOKUP($A597,'VKT US'!$B$63:$AA$113,(G$113+1),FALSE)*$BD$9/VLOOKUP($A597,'Fuel economy adjusted factor'!$A$2:$K$52,11,FALSE)*($AZ$15*VLOOKUP($A597,'US Grid mix, emissions&amp;prices'!$AE$2:$AI$52,3,FALSE)/100+$BA$15*VLOOKUP($A597,'US Grid mix, emissions&amp;prices'!$AE$2:$AI$52,4,FALSE)/100)/(1+$AZ$41)^G$113+VLOOKUP($A597,'VKT US'!$B$63:$AA$113,(G$168+1),FALSE)*(1-$BD$9)/VLOOKUP($A597,'Fuel economy adjusted factor'!$A$2:$K$52,10,FALSE)*VLOOKUP($A597,'US Grid mix, emissions&amp;prices'!$AE$2:$AI$52,2,FALSE)/(1+$AZ$41)^G$168</f>
        <v>775.15503978369406</v>
      </c>
      <c r="H597" s="106">
        <f>VLOOKUP($A597,'VKT US'!$B$63:$AA$113,(H$113+1),FALSE)*$BD$9/VLOOKUP($A597,'Fuel economy adjusted factor'!$A$2:$K$52,11,FALSE)*($AZ$15*VLOOKUP($A597,'US Grid mix, emissions&amp;prices'!$AE$2:$AI$52,3,FALSE)/100+$BA$15*VLOOKUP($A597,'US Grid mix, emissions&amp;prices'!$AE$2:$AI$52,4,FALSE)/100)/(1+$AZ$41)^H$113+VLOOKUP($A597,'VKT US'!$B$63:$AA$113,(H$168+1),FALSE)*(1-$BD$9)/VLOOKUP($A597,'Fuel economy adjusted factor'!$A$2:$K$52,10,FALSE)*VLOOKUP($A597,'US Grid mix, emissions&amp;prices'!$AE$2:$AI$52,2,FALSE)/(1+$AZ$41)^H$168</f>
        <v>743.80724429796624</v>
      </c>
      <c r="I597" s="106">
        <f>VLOOKUP($A597,'VKT US'!$B$63:$AA$113,(I$113+1),FALSE)*$BD$9/VLOOKUP($A597,'Fuel economy adjusted factor'!$A$2:$K$52,11,FALSE)*($AZ$15*VLOOKUP($A597,'US Grid mix, emissions&amp;prices'!$AE$2:$AI$52,3,FALSE)/100+$BA$15*VLOOKUP($A597,'US Grid mix, emissions&amp;prices'!$AE$2:$AI$52,4,FALSE)/100)/(1+$AZ$41)^I$113+VLOOKUP($A597,'VKT US'!$B$63:$AA$113,(I$168+1),FALSE)*(1-$BD$9)/VLOOKUP($A597,'Fuel economy adjusted factor'!$A$2:$K$52,10,FALSE)*VLOOKUP($A597,'US Grid mix, emissions&amp;prices'!$AE$2:$AI$52,2,FALSE)/(1+$AZ$41)^I$168</f>
        <v>713.98231629668794</v>
      </c>
      <c r="J597" s="106">
        <f>VLOOKUP($A597,'VKT US'!$B$63:$AA$113,(J$113+1),FALSE)*$BD$9/VLOOKUP($A597,'Fuel economy adjusted factor'!$A$2:$K$52,11,FALSE)*($AZ$15*VLOOKUP($A597,'US Grid mix, emissions&amp;prices'!$AE$2:$AI$52,3,FALSE)/100+$BA$15*VLOOKUP($A597,'US Grid mix, emissions&amp;prices'!$AE$2:$AI$52,4,FALSE)/100)/(1+$AZ$41)^J$113+VLOOKUP($A597,'VKT US'!$B$63:$AA$113,(J$168+1),FALSE)*(1-$BD$9)/VLOOKUP($A597,'Fuel economy adjusted factor'!$A$2:$K$52,10,FALSE)*VLOOKUP($A597,'US Grid mix, emissions&amp;prices'!$AE$2:$AI$52,2,FALSE)/(1+$AZ$41)^J$168</f>
        <v>685.63801323834753</v>
      </c>
      <c r="K597" s="106">
        <f>VLOOKUP($A597,'VKT US'!$B$63:$AA$113,(K$113+1),FALSE)*$BD$9/VLOOKUP($A597,'Fuel economy adjusted factor'!$A$2:$K$52,11,FALSE)*($AZ$15*VLOOKUP($A597,'US Grid mix, emissions&amp;prices'!$AE$2:$AI$52,3,FALSE)/100+$BA$15*VLOOKUP($A597,'US Grid mix, emissions&amp;prices'!$AE$2:$AI$52,4,FALSE)/100)/(1+$AZ$41)^K$113+VLOOKUP($A597,'VKT US'!$B$63:$AA$113,(K$168+1),FALSE)*(1-$BD$9)/VLOOKUP($A597,'Fuel economy adjusted factor'!$A$2:$K$52,10,FALSE)*VLOOKUP($A597,'US Grid mix, emissions&amp;prices'!$AE$2:$AI$52,2,FALSE)/(1+$AZ$41)^K$168</f>
        <v>658.73300517594191</v>
      </c>
      <c r="L597" s="106">
        <f>VLOOKUP($A597,'VKT US'!$B$63:$AA$113,(L$113+1),FALSE)*$BD$9/VLOOKUP($A597,'Fuel economy adjusted factor'!$A$2:$K$52,11,FALSE)*($AZ$15*VLOOKUP($A597,'US Grid mix, emissions&amp;prices'!$AE$2:$AI$52,3,FALSE)/100+$BA$15*VLOOKUP($A597,'US Grid mix, emissions&amp;prices'!$AE$2:$AI$52,4,FALSE)/100)/(1+$AZ$41)^L$113+VLOOKUP($A597,'VKT US'!$B$63:$AA$113,(L$168+1),FALSE)*(1-$BD$9)/VLOOKUP($A597,'Fuel economy adjusted factor'!$A$2:$K$52,10,FALSE)*VLOOKUP($A597,'US Grid mix, emissions&amp;prices'!$AE$2:$AI$52,2,FALSE)/(1+$AZ$41)^L$168</f>
        <v>633.16562890729517</v>
      </c>
      <c r="M597" s="106">
        <f>VLOOKUP($A597,'VKT US'!$B$63:$AA$113,(M$113+1),FALSE)*$BD$9/VLOOKUP($A597,'Fuel economy adjusted factor'!$A$2:$K$52,11,FALSE)*($AZ$15*VLOOKUP($A597,'US Grid mix, emissions&amp;prices'!$AE$2:$AI$52,3,FALSE)/100+$BA$15*VLOOKUP($A597,'US Grid mix, emissions&amp;prices'!$AE$2:$AI$52,4,FALSE)/100)/(1+$AZ$41)^M$113+VLOOKUP($A597,'VKT US'!$B$63:$AA$113,(M$168+1),FALSE)*(1-$BD$9)/VLOOKUP($A597,'Fuel economy adjusted factor'!$A$2:$K$52,10,FALSE)*VLOOKUP($A597,'US Grid mix, emissions&amp;prices'!$AE$2:$AI$52,2,FALSE)/(1+$AZ$41)^M$168</f>
        <v>608.95900914697404</v>
      </c>
      <c r="N597" s="106">
        <f>VLOOKUP($A597,'VKT US'!$B$63:$AA$113,(N$113+1),FALSE)*$BD$9/VLOOKUP($A597,'Fuel economy adjusted factor'!$A$2:$K$52,11,FALSE)*($AZ$15*VLOOKUP($A597,'US Grid mix, emissions&amp;prices'!$AE$2:$AI$52,3,FALSE)/100+$BA$15*VLOOKUP($A597,'US Grid mix, emissions&amp;prices'!$AE$2:$AI$52,4,FALSE)/100)/(1+$AZ$41)^N$113+VLOOKUP($A597,'VKT US'!$B$63:$AA$113,(N$168+1),FALSE)*(1-$BD$9)/VLOOKUP($A597,'Fuel economy adjusted factor'!$A$2:$K$52,10,FALSE)*VLOOKUP($A597,'US Grid mix, emissions&amp;prices'!$AE$2:$AI$52,2,FALSE)/(1+$AZ$41)^N$168</f>
        <v>586.01464076964555</v>
      </c>
      <c r="O597" s="106">
        <f>VLOOKUP($A597,'VKT US'!$B$63:$AA$113,(O$113+1),FALSE)*$BD$9/VLOOKUP($A597,'Fuel economy adjusted factor'!$A$2:$K$52,11,FALSE)*($AZ$15*VLOOKUP($A597,'US Grid mix, emissions&amp;prices'!$AE$2:$AI$52,3,FALSE)/100+$BA$15*VLOOKUP($A597,'US Grid mix, emissions&amp;prices'!$AE$2:$AI$52,4,FALSE)/100)/(1+$AZ$41)^O$113+VLOOKUP($A597,'VKT US'!$B$63:$AA$113,(O$168+1),FALSE)*(1-$BD$9)/VLOOKUP($A597,'Fuel economy adjusted factor'!$A$2:$K$52,10,FALSE)*VLOOKUP($A597,'US Grid mix, emissions&amp;prices'!$AE$2:$AI$52,2,FALSE)/(1+$AZ$41)^O$168</f>
        <v>564.3558529307586</v>
      </c>
      <c r="P597" s="106">
        <f>VLOOKUP($A597,'VKT US'!$B$63:$AA$113,(P$113+1),FALSE)*$BD$9/VLOOKUP($A597,'Fuel economy adjusted factor'!$A$2:$K$52,11,FALSE)*($AZ$15*VLOOKUP($A597,'US Grid mix, emissions&amp;prices'!$AE$2:$AI$52,3,FALSE)/100+$BA$15*VLOOKUP($A597,'US Grid mix, emissions&amp;prices'!$AE$2:$AI$52,4,FALSE)/100)/(1+$AZ$41)^P$113+VLOOKUP($A597,'VKT US'!$B$63:$AA$113,(P$168+1),FALSE)*(1-$BD$9)/VLOOKUP($A597,'Fuel economy adjusted factor'!$A$2:$K$52,10,FALSE)*VLOOKUP($A597,'US Grid mix, emissions&amp;prices'!$AE$2:$AI$52,2,FALSE)/(1+$AZ$41)^P$168</f>
        <v>543.88720073406546</v>
      </c>
      <c r="Q597" s="106">
        <f>VLOOKUP($A597,'VKT US'!$B$63:$AA$113,(Q$113+1),FALSE)*$BD$9/VLOOKUP($A597,'Fuel economy adjusted factor'!$A$2:$K$52,11,FALSE)*($AZ$15*VLOOKUP($A597,'US Grid mix, emissions&amp;prices'!$AE$2:$AI$52,3,FALSE)/100+$BA$15*VLOOKUP($A597,'US Grid mix, emissions&amp;prices'!$AE$2:$AI$52,4,FALSE)/100)/(1+$AZ$41)^Q$113+VLOOKUP($A597,'VKT US'!$B$63:$AA$113,(Q$168+1),FALSE)*(1-$BD$9)/VLOOKUP($A597,'Fuel economy adjusted factor'!$A$2:$K$52,10,FALSE)*VLOOKUP($A597,'US Grid mix, emissions&amp;prices'!$AE$2:$AI$52,2,FALSE)/(1+$AZ$41)^Q$168</f>
        <v>524.68987348523297</v>
      </c>
      <c r="R597" s="106">
        <f>VLOOKUP($A597,'VKT US'!$B$63:$AA$113,(R$113+1),FALSE)*$BD$9/VLOOKUP($A597,'Fuel economy adjusted factor'!$A$2:$K$52,11,FALSE)*($AZ$15*VLOOKUP($A597,'US Grid mix, emissions&amp;prices'!$AE$2:$AI$52,3,FALSE)/100+$BA$15*VLOOKUP($A597,'US Grid mix, emissions&amp;prices'!$AE$2:$AI$52,4,FALSE)/100)/(1+$AZ$41)^R$113+VLOOKUP($A597,'VKT US'!$B$63:$AA$113,(R$168+1),FALSE)*(1-$BD$9)/VLOOKUP($A597,'Fuel economy adjusted factor'!$A$2:$K$52,10,FALSE)*VLOOKUP($A597,'US Grid mix, emissions&amp;prices'!$AE$2:$AI$52,2,FALSE)/(1+$AZ$41)^R$168</f>
        <v>506.55534049446055</v>
      </c>
      <c r="S597" s="106">
        <f>VLOOKUP($A597,'VKT US'!$B$63:$AA$113,(S$113+1),FALSE)*$BD$9/VLOOKUP($A597,'Fuel economy adjusted factor'!$A$2:$K$52,11,FALSE)*($AZ$15*VLOOKUP($A597,'US Grid mix, emissions&amp;prices'!$AE$2:$AI$52,3,FALSE)/100+$BA$15*VLOOKUP($A597,'US Grid mix, emissions&amp;prices'!$AE$2:$AI$52,4,FALSE)/100)/(1+$AZ$41)^S$113+VLOOKUP($A597,'VKT US'!$B$63:$AA$113,(S$168+1),FALSE)*(1-$BD$9)/VLOOKUP($A597,'Fuel economy adjusted factor'!$A$2:$K$52,10,FALSE)*VLOOKUP($A597,'US Grid mix, emissions&amp;prices'!$AE$2:$AI$52,2,FALSE)/(1+$AZ$41)^S$168</f>
        <v>489.62195689737632</v>
      </c>
      <c r="T597" s="106">
        <f>VLOOKUP($A597,'VKT US'!$B$63:$AA$113,(T$113+1),FALSE)*$BD$9/VLOOKUP($A597,'Fuel economy adjusted factor'!$A$2:$K$52,11,FALSE)*($AZ$15*VLOOKUP($A597,'US Grid mix, emissions&amp;prices'!$AE$2:$AI$52,3,FALSE)/100+$BA$15*VLOOKUP($A597,'US Grid mix, emissions&amp;prices'!$AE$2:$AI$52,4,FALSE)/100)/(1+$AZ$41)^T$113+VLOOKUP($A597,'VKT US'!$B$63:$AA$113,(T$168+1),FALSE)*(1-$BD$9)/VLOOKUP($A597,'Fuel economy adjusted factor'!$A$2:$K$52,10,FALSE)*VLOOKUP($A597,'US Grid mix, emissions&amp;prices'!$AE$2:$AI$52,2,FALSE)/(1+$AZ$41)^T$168</f>
        <v>473.68680119636133</v>
      </c>
      <c r="U597" s="109">
        <f>VLOOKUP($A597,'VKT US'!$B$63:$AA$113,(U$113+1),FALSE)*$BD$9/VLOOKUP($A597,'Fuel economy adjusted factor'!$A$2:$K$52,11,FALSE)*($AZ$15*VLOOKUP($A597,'US Grid mix, emissions&amp;prices'!$AE$2:$AI$52,3,FALSE)/100+$BA$15*VLOOKUP($A597,'US Grid mix, emissions&amp;prices'!$AE$2:$AI$52,4,FALSE)/100)/(1+$AZ$41)^U$113+VLOOKUP($A597,'VKT US'!$B$63:$AA$113,(U$168+1),FALSE)*(1-$BD$9)/VLOOKUP($A597,'Fuel economy adjusted factor'!$A$2:$K$52,10,FALSE)*VLOOKUP($A597,'US Grid mix, emissions&amp;prices'!$AE$2:$AI$52,2,FALSE)/(1+$AZ$41)^U$168</f>
        <v>458.88564916716007</v>
      </c>
      <c r="V597" s="110" cm="1">
        <f t="array" ref="V597">SUMPRODUCT(INDEX(B597:U597,,_xlfn.SEQUENCE($AZ$13)))</f>
        <v>10370.343861627904</v>
      </c>
    </row>
    <row r="598" spans="1:22" x14ac:dyDescent="0.25">
      <c r="A598" s="102" t="s">
        <v>222</v>
      </c>
      <c r="B598" s="106">
        <f>VLOOKUP($A598,'VKT US'!$B$63:$AA$113,(B$113+1),FALSE)*$BD$9/VLOOKUP($A598,'Fuel economy adjusted factor'!$A$2:$K$52,11,FALSE)*($AZ$15*VLOOKUP($A598,'US Grid mix, emissions&amp;prices'!$AE$2:$AI$52,3,FALSE)/100+$BA$15*VLOOKUP($A598,'US Grid mix, emissions&amp;prices'!$AE$2:$AI$52,4,FALSE)/100)/(1+$AZ$41)^B$113+VLOOKUP($A598,'VKT US'!$B$63:$AA$113,(B$168+1),FALSE)*(1-$BD$9)/VLOOKUP($A598,'Fuel economy adjusted factor'!$A$2:$K$52,10,FALSE)*VLOOKUP($A598,'US Grid mix, emissions&amp;prices'!$AE$2:$AI$52,2,FALSE)/(1+$AZ$41)^B$168</f>
        <v>1026.7427697646444</v>
      </c>
      <c r="C598" s="106">
        <f>VLOOKUP($A598,'VKT US'!$B$63:$AA$113,(C$113+1),FALSE)*$BD$9/VLOOKUP($A598,'Fuel economy adjusted factor'!$A$2:$K$52,11,FALSE)*($AZ$15*VLOOKUP($A598,'US Grid mix, emissions&amp;prices'!$AE$2:$AI$52,3,FALSE)/100+$BA$15*VLOOKUP($A598,'US Grid mix, emissions&amp;prices'!$AE$2:$AI$52,4,FALSE)/100)/(1+$AZ$41)^C$113+VLOOKUP($A598,'VKT US'!$B$63:$AA$113,(C$168+1),FALSE)*(1-$BD$9)/VLOOKUP($A598,'Fuel economy adjusted factor'!$A$2:$K$52,10,FALSE)*VLOOKUP($A598,'US Grid mix, emissions&amp;prices'!$AE$2:$AI$52,2,FALSE)/(1+$AZ$41)^C$168</f>
        <v>984.39166228452495</v>
      </c>
      <c r="D598" s="106">
        <f>VLOOKUP($A598,'VKT US'!$B$63:$AA$113,(D$113+1),FALSE)*$BD$9/VLOOKUP($A598,'Fuel economy adjusted factor'!$A$2:$K$52,11,FALSE)*($AZ$15*VLOOKUP($A598,'US Grid mix, emissions&amp;prices'!$AE$2:$AI$52,3,FALSE)/100+$BA$15*VLOOKUP($A598,'US Grid mix, emissions&amp;prices'!$AE$2:$AI$52,4,FALSE)/100)/(1+$AZ$41)^D$113+VLOOKUP($A598,'VKT US'!$B$63:$AA$113,(D$168+1),FALSE)*(1-$BD$9)/VLOOKUP($A598,'Fuel economy adjusted factor'!$A$2:$K$52,10,FALSE)*VLOOKUP($A598,'US Grid mix, emissions&amp;prices'!$AE$2:$AI$52,2,FALSE)/(1+$AZ$41)^D$168</f>
        <v>943.84143755973639</v>
      </c>
      <c r="E598" s="106">
        <f>VLOOKUP($A598,'VKT US'!$B$63:$AA$113,(E$113+1),FALSE)*$BD$9/VLOOKUP($A598,'Fuel economy adjusted factor'!$A$2:$K$52,11,FALSE)*($AZ$15*VLOOKUP($A598,'US Grid mix, emissions&amp;prices'!$AE$2:$AI$52,3,FALSE)/100+$BA$15*VLOOKUP($A598,'US Grid mix, emissions&amp;prices'!$AE$2:$AI$52,4,FALSE)/100)/(1+$AZ$41)^E$113+VLOOKUP($A598,'VKT US'!$B$63:$AA$113,(E$168+1),FALSE)*(1-$BD$9)/VLOOKUP($A598,'Fuel economy adjusted factor'!$A$2:$K$52,10,FALSE)*VLOOKUP($A598,'US Grid mix, emissions&amp;prices'!$AE$2:$AI$52,2,FALSE)/(1+$AZ$41)^E$168</f>
        <v>905.11570181334628</v>
      </c>
      <c r="F598" s="106">
        <f>VLOOKUP($A598,'VKT US'!$B$63:$AA$113,(F$113+1),FALSE)*$BD$9/VLOOKUP($A598,'Fuel economy adjusted factor'!$A$2:$K$52,11,FALSE)*($AZ$15*VLOOKUP($A598,'US Grid mix, emissions&amp;prices'!$AE$2:$AI$52,3,FALSE)/100+$BA$15*VLOOKUP($A598,'US Grid mix, emissions&amp;prices'!$AE$2:$AI$52,4,FALSE)/100)/(1+$AZ$41)^F$113+VLOOKUP($A598,'VKT US'!$B$63:$AA$113,(F$168+1),FALSE)*(1-$BD$9)/VLOOKUP($A598,'Fuel economy adjusted factor'!$A$2:$K$52,10,FALSE)*VLOOKUP($A598,'US Grid mix, emissions&amp;prices'!$AE$2:$AI$52,2,FALSE)/(1+$AZ$41)^F$168</f>
        <v>868.09434706055345</v>
      </c>
      <c r="G598" s="106">
        <f>VLOOKUP($A598,'VKT US'!$B$63:$AA$113,(G$113+1),FALSE)*$BD$9/VLOOKUP($A598,'Fuel economy adjusted factor'!$A$2:$K$52,11,FALSE)*($AZ$15*VLOOKUP($A598,'US Grid mix, emissions&amp;prices'!$AE$2:$AI$52,3,FALSE)/100+$BA$15*VLOOKUP($A598,'US Grid mix, emissions&amp;prices'!$AE$2:$AI$52,4,FALSE)/100)/(1+$AZ$41)^G$113+VLOOKUP($A598,'VKT US'!$B$63:$AA$113,(G$168+1),FALSE)*(1-$BD$9)/VLOOKUP($A598,'Fuel economy adjusted factor'!$A$2:$K$52,10,FALSE)*VLOOKUP($A598,'US Grid mix, emissions&amp;prices'!$AE$2:$AI$52,2,FALSE)/(1+$AZ$41)^G$168</f>
        <v>832.87116611338183</v>
      </c>
      <c r="H598" s="106">
        <f>VLOOKUP($A598,'VKT US'!$B$63:$AA$113,(H$113+1),FALSE)*$BD$9/VLOOKUP($A598,'Fuel economy adjusted factor'!$A$2:$K$52,11,FALSE)*($AZ$15*VLOOKUP($A598,'US Grid mix, emissions&amp;prices'!$AE$2:$AI$52,3,FALSE)/100+$BA$15*VLOOKUP($A598,'US Grid mix, emissions&amp;prices'!$AE$2:$AI$52,4,FALSE)/100)/(1+$AZ$41)^H$113+VLOOKUP($A598,'VKT US'!$B$63:$AA$113,(H$168+1),FALSE)*(1-$BD$9)/VLOOKUP($A598,'Fuel economy adjusted factor'!$A$2:$K$52,10,FALSE)*VLOOKUP($A598,'US Grid mix, emissions&amp;prices'!$AE$2:$AI$52,2,FALSE)/(1+$AZ$41)^H$168</f>
        <v>799.18929133828181</v>
      </c>
      <c r="I598" s="106">
        <f>VLOOKUP($A598,'VKT US'!$B$63:$AA$113,(I$113+1),FALSE)*$BD$9/VLOOKUP($A598,'Fuel economy adjusted factor'!$A$2:$K$52,11,FALSE)*($AZ$15*VLOOKUP($A598,'US Grid mix, emissions&amp;prices'!$AE$2:$AI$52,3,FALSE)/100+$BA$15*VLOOKUP($A598,'US Grid mix, emissions&amp;prices'!$AE$2:$AI$52,4,FALSE)/100)/(1+$AZ$41)^I$113+VLOOKUP($A598,'VKT US'!$B$63:$AA$113,(I$168+1),FALSE)*(1-$BD$9)/VLOOKUP($A598,'Fuel economy adjusted factor'!$A$2:$K$52,10,FALSE)*VLOOKUP($A598,'US Grid mix, emissions&amp;prices'!$AE$2:$AI$52,2,FALSE)/(1+$AZ$41)^I$168</f>
        <v>767.14367299255832</v>
      </c>
      <c r="J598" s="106">
        <f>VLOOKUP($A598,'VKT US'!$B$63:$AA$113,(J$113+1),FALSE)*$BD$9/VLOOKUP($A598,'Fuel economy adjusted factor'!$A$2:$K$52,11,FALSE)*($AZ$15*VLOOKUP($A598,'US Grid mix, emissions&amp;prices'!$AE$2:$AI$52,3,FALSE)/100+$BA$15*VLOOKUP($A598,'US Grid mix, emissions&amp;prices'!$AE$2:$AI$52,4,FALSE)/100)/(1+$AZ$41)^J$113+VLOOKUP($A598,'VKT US'!$B$63:$AA$113,(J$168+1),FALSE)*(1-$BD$9)/VLOOKUP($A598,'Fuel economy adjusted factor'!$A$2:$K$52,10,FALSE)*VLOOKUP($A598,'US Grid mix, emissions&amp;prices'!$AE$2:$AI$52,2,FALSE)/(1+$AZ$41)^J$168</f>
        <v>736.6889232595779</v>
      </c>
      <c r="K598" s="106">
        <f>VLOOKUP($A598,'VKT US'!$B$63:$AA$113,(K$113+1),FALSE)*$BD$9/VLOOKUP($A598,'Fuel economy adjusted factor'!$A$2:$K$52,11,FALSE)*($AZ$15*VLOOKUP($A598,'US Grid mix, emissions&amp;prices'!$AE$2:$AI$52,3,FALSE)/100+$BA$15*VLOOKUP($A598,'US Grid mix, emissions&amp;prices'!$AE$2:$AI$52,4,FALSE)/100)/(1+$AZ$41)^K$113+VLOOKUP($A598,'VKT US'!$B$63:$AA$113,(K$168+1),FALSE)*(1-$BD$9)/VLOOKUP($A598,'Fuel economy adjusted factor'!$A$2:$K$52,10,FALSE)*VLOOKUP($A598,'US Grid mix, emissions&amp;prices'!$AE$2:$AI$52,2,FALSE)/(1+$AZ$41)^K$168</f>
        <v>707.78063486674387</v>
      </c>
      <c r="L598" s="106">
        <f>VLOOKUP($A598,'VKT US'!$B$63:$AA$113,(L$113+1),FALSE)*$BD$9/VLOOKUP($A598,'Fuel economy adjusted factor'!$A$2:$K$52,11,FALSE)*($AZ$15*VLOOKUP($A598,'US Grid mix, emissions&amp;prices'!$AE$2:$AI$52,3,FALSE)/100+$BA$15*VLOOKUP($A598,'US Grid mix, emissions&amp;prices'!$AE$2:$AI$52,4,FALSE)/100)/(1+$AZ$41)^L$113+VLOOKUP($A598,'VKT US'!$B$63:$AA$113,(L$168+1),FALSE)*(1-$BD$9)/VLOOKUP($A598,'Fuel economy adjusted factor'!$A$2:$K$52,10,FALSE)*VLOOKUP($A598,'US Grid mix, emissions&amp;prices'!$AE$2:$AI$52,2,FALSE)/(1+$AZ$41)^L$168</f>
        <v>680.30957502138745</v>
      </c>
      <c r="M598" s="106">
        <f>VLOOKUP($A598,'VKT US'!$B$63:$AA$113,(M$113+1),FALSE)*$BD$9/VLOOKUP($A598,'Fuel economy adjusted factor'!$A$2:$K$52,11,FALSE)*($AZ$15*VLOOKUP($A598,'US Grid mix, emissions&amp;prices'!$AE$2:$AI$52,3,FALSE)/100+$BA$15*VLOOKUP($A598,'US Grid mix, emissions&amp;prices'!$AE$2:$AI$52,4,FALSE)/100)/(1+$AZ$41)^M$113+VLOOKUP($A598,'VKT US'!$B$63:$AA$113,(M$168+1),FALSE)*(1-$BD$9)/VLOOKUP($A598,'Fuel economy adjusted factor'!$A$2:$K$52,10,FALSE)*VLOOKUP($A598,'US Grid mix, emissions&amp;prices'!$AE$2:$AI$52,2,FALSE)/(1+$AZ$41)^M$168</f>
        <v>654.30059024710567</v>
      </c>
      <c r="N598" s="106">
        <f>VLOOKUP($A598,'VKT US'!$B$63:$AA$113,(N$113+1),FALSE)*$BD$9/VLOOKUP($A598,'Fuel economy adjusted factor'!$A$2:$K$52,11,FALSE)*($AZ$15*VLOOKUP($A598,'US Grid mix, emissions&amp;prices'!$AE$2:$AI$52,3,FALSE)/100+$BA$15*VLOOKUP($A598,'US Grid mix, emissions&amp;prices'!$AE$2:$AI$52,4,FALSE)/100)/(1+$AZ$41)^N$113+VLOOKUP($A598,'VKT US'!$B$63:$AA$113,(N$168+1),FALSE)*(1-$BD$9)/VLOOKUP($A598,'Fuel economy adjusted factor'!$A$2:$K$52,10,FALSE)*VLOOKUP($A598,'US Grid mix, emissions&amp;prices'!$AE$2:$AI$52,2,FALSE)/(1+$AZ$41)^N$168</f>
        <v>629.64784097066024</v>
      </c>
      <c r="O598" s="106">
        <f>VLOOKUP($A598,'VKT US'!$B$63:$AA$113,(O$113+1),FALSE)*$BD$9/VLOOKUP($A598,'Fuel economy adjusted factor'!$A$2:$K$52,11,FALSE)*($AZ$15*VLOOKUP($A598,'US Grid mix, emissions&amp;prices'!$AE$2:$AI$52,3,FALSE)/100+$BA$15*VLOOKUP($A598,'US Grid mix, emissions&amp;prices'!$AE$2:$AI$52,4,FALSE)/100)/(1+$AZ$41)^O$113+VLOOKUP($A598,'VKT US'!$B$63:$AA$113,(O$168+1),FALSE)*(1-$BD$9)/VLOOKUP($A598,'Fuel economy adjusted factor'!$A$2:$K$52,10,FALSE)*VLOOKUP($A598,'US Grid mix, emissions&amp;prices'!$AE$2:$AI$52,2,FALSE)/(1+$AZ$41)^O$168</f>
        <v>606.37639337869234</v>
      </c>
      <c r="P598" s="106">
        <f>VLOOKUP($A598,'VKT US'!$B$63:$AA$113,(P$113+1),FALSE)*$BD$9/VLOOKUP($A598,'Fuel economy adjusted factor'!$A$2:$K$52,11,FALSE)*($AZ$15*VLOOKUP($A598,'US Grid mix, emissions&amp;prices'!$AE$2:$AI$52,3,FALSE)/100+$BA$15*VLOOKUP($A598,'US Grid mix, emissions&amp;prices'!$AE$2:$AI$52,4,FALSE)/100)/(1+$AZ$41)^P$113+VLOOKUP($A598,'VKT US'!$B$63:$AA$113,(P$168+1),FALSE)*(1-$BD$9)/VLOOKUP($A598,'Fuel economy adjusted factor'!$A$2:$K$52,10,FALSE)*VLOOKUP($A598,'US Grid mix, emissions&amp;prices'!$AE$2:$AI$52,2,FALSE)/(1+$AZ$41)^P$168</f>
        <v>584.38369598413453</v>
      </c>
      <c r="Q598" s="106">
        <f>VLOOKUP($A598,'VKT US'!$B$63:$AA$113,(Q$113+1),FALSE)*$BD$9/VLOOKUP($A598,'Fuel economy adjusted factor'!$A$2:$K$52,11,FALSE)*($AZ$15*VLOOKUP($A598,'US Grid mix, emissions&amp;prices'!$AE$2:$AI$52,3,FALSE)/100+$BA$15*VLOOKUP($A598,'US Grid mix, emissions&amp;prices'!$AE$2:$AI$52,4,FALSE)/100)/(1+$AZ$41)^Q$113+VLOOKUP($A598,'VKT US'!$B$63:$AA$113,(Q$168+1),FALSE)*(1-$BD$9)/VLOOKUP($A598,'Fuel economy adjusted factor'!$A$2:$K$52,10,FALSE)*VLOOKUP($A598,'US Grid mix, emissions&amp;prices'!$AE$2:$AI$52,2,FALSE)/(1+$AZ$41)^Q$168</f>
        <v>563.756983247471</v>
      </c>
      <c r="R598" s="106">
        <f>VLOOKUP($A598,'VKT US'!$B$63:$AA$113,(R$113+1),FALSE)*$BD$9/VLOOKUP($A598,'Fuel economy adjusted factor'!$A$2:$K$52,11,FALSE)*($AZ$15*VLOOKUP($A598,'US Grid mix, emissions&amp;prices'!$AE$2:$AI$52,3,FALSE)/100+$BA$15*VLOOKUP($A598,'US Grid mix, emissions&amp;prices'!$AE$2:$AI$52,4,FALSE)/100)/(1+$AZ$41)^R$113+VLOOKUP($A598,'VKT US'!$B$63:$AA$113,(R$168+1),FALSE)*(1-$BD$9)/VLOOKUP($A598,'Fuel economy adjusted factor'!$A$2:$K$52,10,FALSE)*VLOOKUP($A598,'US Grid mix, emissions&amp;prices'!$AE$2:$AI$52,2,FALSE)/(1+$AZ$41)^R$168</f>
        <v>544.27219779969664</v>
      </c>
      <c r="S598" s="106">
        <f>VLOOKUP($A598,'VKT US'!$B$63:$AA$113,(S$113+1),FALSE)*$BD$9/VLOOKUP($A598,'Fuel economy adjusted factor'!$A$2:$K$52,11,FALSE)*($AZ$15*VLOOKUP($A598,'US Grid mix, emissions&amp;prices'!$AE$2:$AI$52,3,FALSE)/100+$BA$15*VLOOKUP($A598,'US Grid mix, emissions&amp;prices'!$AE$2:$AI$52,4,FALSE)/100)/(1+$AZ$41)^S$113+VLOOKUP($A598,'VKT US'!$B$63:$AA$113,(S$168+1),FALSE)*(1-$BD$9)/VLOOKUP($A598,'Fuel economy adjusted factor'!$A$2:$K$52,10,FALSE)*VLOOKUP($A598,'US Grid mix, emissions&amp;prices'!$AE$2:$AI$52,2,FALSE)/(1+$AZ$41)^S$168</f>
        <v>526.07799635751257</v>
      </c>
      <c r="T598" s="106">
        <f>VLOOKUP($A598,'VKT US'!$B$63:$AA$113,(T$113+1),FALSE)*$BD$9/VLOOKUP($A598,'Fuel economy adjusted factor'!$A$2:$K$52,11,FALSE)*($AZ$15*VLOOKUP($A598,'US Grid mix, emissions&amp;prices'!$AE$2:$AI$52,3,FALSE)/100+$BA$15*VLOOKUP($A598,'US Grid mix, emissions&amp;prices'!$AE$2:$AI$52,4,FALSE)/100)/(1+$AZ$41)^T$113+VLOOKUP($A598,'VKT US'!$B$63:$AA$113,(T$168+1),FALSE)*(1-$BD$9)/VLOOKUP($A598,'Fuel economy adjusted factor'!$A$2:$K$52,10,FALSE)*VLOOKUP($A598,'US Grid mix, emissions&amp;prices'!$AE$2:$AI$52,2,FALSE)/(1+$AZ$41)^T$168</f>
        <v>508.95634839066702</v>
      </c>
      <c r="U598" s="109">
        <f>VLOOKUP($A598,'VKT US'!$B$63:$AA$113,(U$113+1),FALSE)*$BD$9/VLOOKUP($A598,'Fuel economy adjusted factor'!$A$2:$K$52,11,FALSE)*($AZ$15*VLOOKUP($A598,'US Grid mix, emissions&amp;prices'!$AE$2:$AI$52,3,FALSE)/100+$BA$15*VLOOKUP($A598,'US Grid mix, emissions&amp;prices'!$AE$2:$AI$52,4,FALSE)/100)/(1+$AZ$41)^U$113+VLOOKUP($A598,'VKT US'!$B$63:$AA$113,(U$168+1),FALSE)*(1-$BD$9)/VLOOKUP($A598,'Fuel economy adjusted factor'!$A$2:$K$52,10,FALSE)*VLOOKUP($A598,'US Grid mix, emissions&amp;prices'!$AE$2:$AI$52,2,FALSE)/(1+$AZ$41)^U$168</f>
        <v>493.05313920322203</v>
      </c>
      <c r="V598" s="110" cm="1">
        <f t="array" ref="V598">SUMPRODUCT(INDEX(B598:U598,,_xlfn.SEQUENCE($AZ$13)))</f>
        <v>11142.494006671193</v>
      </c>
    </row>
    <row r="599" spans="1:22" x14ac:dyDescent="0.25">
      <c r="A599" s="102" t="s">
        <v>223</v>
      </c>
      <c r="B599" s="106">
        <f>VLOOKUP($A599,'VKT US'!$B$63:$AA$113,(B$113+1),FALSE)*$BD$9/VLOOKUP($A599,'Fuel economy adjusted factor'!$A$2:$K$52,11,FALSE)*($AZ$15*VLOOKUP($A599,'US Grid mix, emissions&amp;prices'!$AE$2:$AI$52,3,FALSE)/100+$BA$15*VLOOKUP($A599,'US Grid mix, emissions&amp;prices'!$AE$2:$AI$52,4,FALSE)/100)/(1+$AZ$41)^B$113+VLOOKUP($A599,'VKT US'!$B$63:$AA$113,(B$168+1),FALSE)*(1-$BD$9)/VLOOKUP($A599,'Fuel economy adjusted factor'!$A$2:$K$52,10,FALSE)*VLOOKUP($A599,'US Grid mix, emissions&amp;prices'!$AE$2:$AI$52,2,FALSE)/(1+$AZ$41)^B$168</f>
        <v>1138.7389943416485</v>
      </c>
      <c r="C599" s="106">
        <f>VLOOKUP($A599,'VKT US'!$B$63:$AA$113,(C$113+1),FALSE)*$BD$9/VLOOKUP($A599,'Fuel economy adjusted factor'!$A$2:$K$52,11,FALSE)*($AZ$15*VLOOKUP($A599,'US Grid mix, emissions&amp;prices'!$AE$2:$AI$52,3,FALSE)/100+$BA$15*VLOOKUP($A599,'US Grid mix, emissions&amp;prices'!$AE$2:$AI$52,4,FALSE)/100)/(1+$AZ$41)^C$113+VLOOKUP($A599,'VKT US'!$B$63:$AA$113,(C$168+1),FALSE)*(1-$BD$9)/VLOOKUP($A599,'Fuel economy adjusted factor'!$A$2:$K$52,10,FALSE)*VLOOKUP($A599,'US Grid mix, emissions&amp;prices'!$AE$2:$AI$52,2,FALSE)/(1+$AZ$41)^C$168</f>
        <v>1091.7682642217555</v>
      </c>
      <c r="D599" s="106">
        <f>VLOOKUP($A599,'VKT US'!$B$63:$AA$113,(D$113+1),FALSE)*$BD$9/VLOOKUP($A599,'Fuel economy adjusted factor'!$A$2:$K$52,11,FALSE)*($AZ$15*VLOOKUP($A599,'US Grid mix, emissions&amp;prices'!$AE$2:$AI$52,3,FALSE)/100+$BA$15*VLOOKUP($A599,'US Grid mix, emissions&amp;prices'!$AE$2:$AI$52,4,FALSE)/100)/(1+$AZ$41)^D$113+VLOOKUP($A599,'VKT US'!$B$63:$AA$113,(D$168+1),FALSE)*(1-$BD$9)/VLOOKUP($A599,'Fuel economy adjusted factor'!$A$2:$K$52,10,FALSE)*VLOOKUP($A599,'US Grid mix, emissions&amp;prices'!$AE$2:$AI$52,2,FALSE)/(1+$AZ$41)^D$168</f>
        <v>1046.7948556103483</v>
      </c>
      <c r="E599" s="106">
        <f>VLOOKUP($A599,'VKT US'!$B$63:$AA$113,(E$113+1),FALSE)*$BD$9/VLOOKUP($A599,'Fuel economy adjusted factor'!$A$2:$K$52,11,FALSE)*($AZ$15*VLOOKUP($A599,'US Grid mix, emissions&amp;prices'!$AE$2:$AI$52,3,FALSE)/100+$BA$15*VLOOKUP($A599,'US Grid mix, emissions&amp;prices'!$AE$2:$AI$52,4,FALSE)/100)/(1+$AZ$41)^E$113+VLOOKUP($A599,'VKT US'!$B$63:$AA$113,(E$168+1),FALSE)*(1-$BD$9)/VLOOKUP($A599,'Fuel economy adjusted factor'!$A$2:$K$52,10,FALSE)*VLOOKUP($A599,'US Grid mix, emissions&amp;prices'!$AE$2:$AI$52,2,FALSE)/(1+$AZ$41)^E$168</f>
        <v>1003.8449496771482</v>
      </c>
      <c r="F599" s="106">
        <f>VLOOKUP($A599,'VKT US'!$B$63:$AA$113,(F$113+1),FALSE)*$BD$9/VLOOKUP($A599,'Fuel economy adjusted factor'!$A$2:$K$52,11,FALSE)*($AZ$15*VLOOKUP($A599,'US Grid mix, emissions&amp;prices'!$AE$2:$AI$52,3,FALSE)/100+$BA$15*VLOOKUP($A599,'US Grid mix, emissions&amp;prices'!$AE$2:$AI$52,4,FALSE)/100)/(1+$AZ$41)^F$113+VLOOKUP($A599,'VKT US'!$B$63:$AA$113,(F$168+1),FALSE)*(1-$BD$9)/VLOOKUP($A599,'Fuel economy adjusted factor'!$A$2:$K$52,10,FALSE)*VLOOKUP($A599,'US Grid mix, emissions&amp;prices'!$AE$2:$AI$52,2,FALSE)/(1+$AZ$41)^F$168</f>
        <v>962.78533716093398</v>
      </c>
      <c r="G599" s="106">
        <f>VLOOKUP($A599,'VKT US'!$B$63:$AA$113,(G$113+1),FALSE)*$BD$9/VLOOKUP($A599,'Fuel economy adjusted factor'!$A$2:$K$52,11,FALSE)*($AZ$15*VLOOKUP($A599,'US Grid mix, emissions&amp;prices'!$AE$2:$AI$52,3,FALSE)/100+$BA$15*VLOOKUP($A599,'US Grid mix, emissions&amp;prices'!$AE$2:$AI$52,4,FALSE)/100)/(1+$AZ$41)^G$113+VLOOKUP($A599,'VKT US'!$B$63:$AA$113,(G$168+1),FALSE)*(1-$BD$9)/VLOOKUP($A599,'Fuel economy adjusted factor'!$A$2:$K$52,10,FALSE)*VLOOKUP($A599,'US Grid mix, emissions&amp;prices'!$AE$2:$AI$52,2,FALSE)/(1+$AZ$41)^G$168</f>
        <v>923.72004171357435</v>
      </c>
      <c r="H599" s="106">
        <f>VLOOKUP($A599,'VKT US'!$B$63:$AA$113,(H$113+1),FALSE)*$BD$9/VLOOKUP($A599,'Fuel economy adjusted factor'!$A$2:$K$52,11,FALSE)*($AZ$15*VLOOKUP($A599,'US Grid mix, emissions&amp;prices'!$AE$2:$AI$52,3,FALSE)/100+$BA$15*VLOOKUP($A599,'US Grid mix, emissions&amp;prices'!$AE$2:$AI$52,4,FALSE)/100)/(1+$AZ$41)^H$113+VLOOKUP($A599,'VKT US'!$B$63:$AA$113,(H$168+1),FALSE)*(1-$BD$9)/VLOOKUP($A599,'Fuel economy adjusted factor'!$A$2:$K$52,10,FALSE)*VLOOKUP($A599,'US Grid mix, emissions&amp;prices'!$AE$2:$AI$52,2,FALSE)/(1+$AZ$41)^H$168</f>
        <v>886.36417679939473</v>
      </c>
      <c r="I599" s="106">
        <f>VLOOKUP($A599,'VKT US'!$B$63:$AA$113,(I$113+1),FALSE)*$BD$9/VLOOKUP($A599,'Fuel economy adjusted factor'!$A$2:$K$52,11,FALSE)*($AZ$15*VLOOKUP($A599,'US Grid mix, emissions&amp;prices'!$AE$2:$AI$52,3,FALSE)/100+$BA$15*VLOOKUP($A599,'US Grid mix, emissions&amp;prices'!$AE$2:$AI$52,4,FALSE)/100)/(1+$AZ$41)^I$113+VLOOKUP($A599,'VKT US'!$B$63:$AA$113,(I$168+1),FALSE)*(1-$BD$9)/VLOOKUP($A599,'Fuel economy adjusted factor'!$A$2:$K$52,10,FALSE)*VLOOKUP($A599,'US Grid mix, emissions&amp;prices'!$AE$2:$AI$52,2,FALSE)/(1+$AZ$41)^I$168</f>
        <v>850.8230497686875</v>
      </c>
      <c r="J599" s="106">
        <f>VLOOKUP($A599,'VKT US'!$B$63:$AA$113,(J$113+1),FALSE)*$BD$9/VLOOKUP($A599,'Fuel economy adjusted factor'!$A$2:$K$52,11,FALSE)*($AZ$15*VLOOKUP($A599,'US Grid mix, emissions&amp;prices'!$AE$2:$AI$52,3,FALSE)/100+$BA$15*VLOOKUP($A599,'US Grid mix, emissions&amp;prices'!$AE$2:$AI$52,4,FALSE)/100)/(1+$AZ$41)^J$113+VLOOKUP($A599,'VKT US'!$B$63:$AA$113,(J$168+1),FALSE)*(1-$BD$9)/VLOOKUP($A599,'Fuel economy adjusted factor'!$A$2:$K$52,10,FALSE)*VLOOKUP($A599,'US Grid mix, emissions&amp;prices'!$AE$2:$AI$52,2,FALSE)/(1+$AZ$41)^J$168</f>
        <v>817.04632194053806</v>
      </c>
      <c r="K599" s="106">
        <f>VLOOKUP($A599,'VKT US'!$B$63:$AA$113,(K$113+1),FALSE)*$BD$9/VLOOKUP($A599,'Fuel economy adjusted factor'!$A$2:$K$52,11,FALSE)*($AZ$15*VLOOKUP($A599,'US Grid mix, emissions&amp;prices'!$AE$2:$AI$52,3,FALSE)/100+$BA$15*VLOOKUP($A599,'US Grid mix, emissions&amp;prices'!$AE$2:$AI$52,4,FALSE)/100)/(1+$AZ$41)^K$113+VLOOKUP($A599,'VKT US'!$B$63:$AA$113,(K$168+1),FALSE)*(1-$BD$9)/VLOOKUP($A599,'Fuel economy adjusted factor'!$A$2:$K$52,10,FALSE)*VLOOKUP($A599,'US Grid mix, emissions&amp;prices'!$AE$2:$AI$52,2,FALSE)/(1+$AZ$41)^K$168</f>
        <v>784.98474213497491</v>
      </c>
      <c r="L599" s="106">
        <f>VLOOKUP($A599,'VKT US'!$B$63:$AA$113,(L$113+1),FALSE)*$BD$9/VLOOKUP($A599,'Fuel economy adjusted factor'!$A$2:$K$52,11,FALSE)*($AZ$15*VLOOKUP($A599,'US Grid mix, emissions&amp;prices'!$AE$2:$AI$52,3,FALSE)/100+$BA$15*VLOOKUP($A599,'US Grid mix, emissions&amp;prices'!$AE$2:$AI$52,4,FALSE)/100)/(1+$AZ$41)^L$113+VLOOKUP($A599,'VKT US'!$B$63:$AA$113,(L$168+1),FALSE)*(1-$BD$9)/VLOOKUP($A599,'Fuel economy adjusted factor'!$A$2:$K$52,10,FALSE)*VLOOKUP($A599,'US Grid mix, emissions&amp;prices'!$AE$2:$AI$52,2,FALSE)/(1+$AZ$41)^L$168</f>
        <v>754.51716253958011</v>
      </c>
      <c r="M599" s="106">
        <f>VLOOKUP($A599,'VKT US'!$B$63:$AA$113,(M$113+1),FALSE)*$BD$9/VLOOKUP($A599,'Fuel economy adjusted factor'!$A$2:$K$52,11,FALSE)*($AZ$15*VLOOKUP($A599,'US Grid mix, emissions&amp;prices'!$AE$2:$AI$52,3,FALSE)/100+$BA$15*VLOOKUP($A599,'US Grid mix, emissions&amp;prices'!$AE$2:$AI$52,4,FALSE)/100)/(1+$AZ$41)^M$113+VLOOKUP($A599,'VKT US'!$B$63:$AA$113,(M$168+1),FALSE)*(1-$BD$9)/VLOOKUP($A599,'Fuel economy adjusted factor'!$A$2:$K$52,10,FALSE)*VLOOKUP($A599,'US Grid mix, emissions&amp;prices'!$AE$2:$AI$52,2,FALSE)/(1+$AZ$41)^M$168</f>
        <v>725.6711399155281</v>
      </c>
      <c r="N599" s="106">
        <f>VLOOKUP($A599,'VKT US'!$B$63:$AA$113,(N$113+1),FALSE)*$BD$9/VLOOKUP($A599,'Fuel economy adjusted factor'!$A$2:$K$52,11,FALSE)*($AZ$15*VLOOKUP($A599,'US Grid mix, emissions&amp;prices'!$AE$2:$AI$52,3,FALSE)/100+$BA$15*VLOOKUP($A599,'US Grid mix, emissions&amp;prices'!$AE$2:$AI$52,4,FALSE)/100)/(1+$AZ$41)^N$113+VLOOKUP($A599,'VKT US'!$B$63:$AA$113,(N$168+1),FALSE)*(1-$BD$9)/VLOOKUP($A599,'Fuel economy adjusted factor'!$A$2:$K$52,10,FALSE)*VLOOKUP($A599,'US Grid mix, emissions&amp;prices'!$AE$2:$AI$52,2,FALSE)/(1+$AZ$41)^N$168</f>
        <v>698.32928979930898</v>
      </c>
      <c r="O599" s="106">
        <f>VLOOKUP($A599,'VKT US'!$B$63:$AA$113,(O$113+1),FALSE)*$BD$9/VLOOKUP($A599,'Fuel economy adjusted factor'!$A$2:$K$52,11,FALSE)*($AZ$15*VLOOKUP($A599,'US Grid mix, emissions&amp;prices'!$AE$2:$AI$52,3,FALSE)/100+$BA$15*VLOOKUP($A599,'US Grid mix, emissions&amp;prices'!$AE$2:$AI$52,4,FALSE)/100)/(1+$AZ$41)^O$113+VLOOKUP($A599,'VKT US'!$B$63:$AA$113,(O$168+1),FALSE)*(1-$BD$9)/VLOOKUP($A599,'Fuel economy adjusted factor'!$A$2:$K$52,10,FALSE)*VLOOKUP($A599,'US Grid mix, emissions&amp;prices'!$AE$2:$AI$52,2,FALSE)/(1+$AZ$41)^O$168</f>
        <v>672.51941257579915</v>
      </c>
      <c r="P599" s="106">
        <f>VLOOKUP($A599,'VKT US'!$B$63:$AA$113,(P$113+1),FALSE)*$BD$9/VLOOKUP($A599,'Fuel economy adjusted factor'!$A$2:$K$52,11,FALSE)*($AZ$15*VLOOKUP($A599,'US Grid mix, emissions&amp;prices'!$AE$2:$AI$52,3,FALSE)/100+$BA$15*VLOOKUP($A599,'US Grid mix, emissions&amp;prices'!$AE$2:$AI$52,4,FALSE)/100)/(1+$AZ$41)^P$113+VLOOKUP($A599,'VKT US'!$B$63:$AA$113,(P$168+1),FALSE)*(1-$BD$9)/VLOOKUP($A599,'Fuel economy adjusted factor'!$A$2:$K$52,10,FALSE)*VLOOKUP($A599,'US Grid mix, emissions&amp;prices'!$AE$2:$AI$52,2,FALSE)/(1+$AZ$41)^P$168</f>
        <v>648.12777052929164</v>
      </c>
      <c r="Q599" s="106">
        <f>VLOOKUP($A599,'VKT US'!$B$63:$AA$113,(Q$113+1),FALSE)*$BD$9/VLOOKUP($A599,'Fuel economy adjusted factor'!$A$2:$K$52,11,FALSE)*($AZ$15*VLOOKUP($A599,'US Grid mix, emissions&amp;prices'!$AE$2:$AI$52,3,FALSE)/100+$BA$15*VLOOKUP($A599,'US Grid mix, emissions&amp;prices'!$AE$2:$AI$52,4,FALSE)/100)/(1+$AZ$41)^Q$113+VLOOKUP($A599,'VKT US'!$B$63:$AA$113,(Q$168+1),FALSE)*(1-$BD$9)/VLOOKUP($A599,'Fuel economy adjusted factor'!$A$2:$K$52,10,FALSE)*VLOOKUP($A599,'US Grid mix, emissions&amp;prices'!$AE$2:$AI$52,2,FALSE)/(1+$AZ$41)^Q$168</f>
        <v>625.25111358072957</v>
      </c>
      <c r="R599" s="106">
        <f>VLOOKUP($A599,'VKT US'!$B$63:$AA$113,(R$113+1),FALSE)*$BD$9/VLOOKUP($A599,'Fuel economy adjusted factor'!$A$2:$K$52,11,FALSE)*($AZ$15*VLOOKUP($A599,'US Grid mix, emissions&amp;prices'!$AE$2:$AI$52,3,FALSE)/100+$BA$15*VLOOKUP($A599,'US Grid mix, emissions&amp;prices'!$AE$2:$AI$52,4,FALSE)/100)/(1+$AZ$41)^R$113+VLOOKUP($A599,'VKT US'!$B$63:$AA$113,(R$168+1),FALSE)*(1-$BD$9)/VLOOKUP($A599,'Fuel economy adjusted factor'!$A$2:$K$52,10,FALSE)*VLOOKUP($A599,'US Grid mix, emissions&amp;prices'!$AE$2:$AI$52,2,FALSE)/(1+$AZ$41)^R$168</f>
        <v>603.64094437462222</v>
      </c>
      <c r="S599" s="106">
        <f>VLOOKUP($A599,'VKT US'!$B$63:$AA$113,(S$113+1),FALSE)*$BD$9/VLOOKUP($A599,'Fuel economy adjusted factor'!$A$2:$K$52,11,FALSE)*($AZ$15*VLOOKUP($A599,'US Grid mix, emissions&amp;prices'!$AE$2:$AI$52,3,FALSE)/100+$BA$15*VLOOKUP($A599,'US Grid mix, emissions&amp;prices'!$AE$2:$AI$52,4,FALSE)/100)/(1+$AZ$41)^S$113+VLOOKUP($A599,'VKT US'!$B$63:$AA$113,(S$168+1),FALSE)*(1-$BD$9)/VLOOKUP($A599,'Fuel economy adjusted factor'!$A$2:$K$52,10,FALSE)*VLOOKUP($A599,'US Grid mix, emissions&amp;prices'!$AE$2:$AI$52,2,FALSE)/(1+$AZ$41)^S$168</f>
        <v>583.46213497538838</v>
      </c>
      <c r="T599" s="106">
        <f>VLOOKUP($A599,'VKT US'!$B$63:$AA$113,(T$113+1),FALSE)*$BD$9/VLOOKUP($A599,'Fuel economy adjusted factor'!$A$2:$K$52,11,FALSE)*($AZ$15*VLOOKUP($A599,'US Grid mix, emissions&amp;prices'!$AE$2:$AI$52,3,FALSE)/100+$BA$15*VLOOKUP($A599,'US Grid mix, emissions&amp;prices'!$AE$2:$AI$52,4,FALSE)/100)/(1+$AZ$41)^T$113+VLOOKUP($A599,'VKT US'!$B$63:$AA$113,(T$168+1),FALSE)*(1-$BD$9)/VLOOKUP($A599,'Fuel economy adjusted factor'!$A$2:$K$52,10,FALSE)*VLOOKUP($A599,'US Grid mix, emissions&amp;prices'!$AE$2:$AI$52,2,FALSE)/(1+$AZ$41)^T$168</f>
        <v>564.47287226871595</v>
      </c>
      <c r="U599" s="109">
        <f>VLOOKUP($A599,'VKT US'!$B$63:$AA$113,(U$113+1),FALSE)*$BD$9/VLOOKUP($A599,'Fuel economy adjusted factor'!$A$2:$K$52,11,FALSE)*($AZ$15*VLOOKUP($A599,'US Grid mix, emissions&amp;prices'!$AE$2:$AI$52,3,FALSE)/100+$BA$15*VLOOKUP($A599,'US Grid mix, emissions&amp;prices'!$AE$2:$AI$52,4,FALSE)/100)/(1+$AZ$41)^U$113+VLOOKUP($A599,'VKT US'!$B$63:$AA$113,(U$168+1),FALSE)*(1-$BD$9)/VLOOKUP($A599,'Fuel economy adjusted factor'!$A$2:$K$52,10,FALSE)*VLOOKUP($A599,'US Grid mix, emissions&amp;prices'!$AE$2:$AI$52,2,FALSE)/(1+$AZ$41)^U$168</f>
        <v>546.83495460306028</v>
      </c>
      <c r="V599" s="110" cm="1">
        <f t="array" ref="V599">SUMPRODUCT(INDEX(B599:U599,,_xlfn.SEQUENCE($AZ$13)))</f>
        <v>12357.907738199219</v>
      </c>
    </row>
    <row r="600" spans="1:22" x14ac:dyDescent="0.25">
      <c r="A600" s="102" t="s">
        <v>224</v>
      </c>
      <c r="B600" s="106">
        <f>VLOOKUP($A600,'VKT US'!$B$63:$AA$113,(B$113+1),FALSE)*$BD$9/VLOOKUP($A600,'Fuel economy adjusted factor'!$A$2:$K$52,11,FALSE)*($AZ$15*VLOOKUP($A600,'US Grid mix, emissions&amp;prices'!$AE$2:$AI$52,3,FALSE)/100+$BA$15*VLOOKUP($A600,'US Grid mix, emissions&amp;prices'!$AE$2:$AI$52,4,FALSE)/100)/(1+$AZ$41)^B$113+VLOOKUP($A600,'VKT US'!$B$63:$AA$113,(B$168+1),FALSE)*(1-$BD$9)/VLOOKUP($A600,'Fuel economy adjusted factor'!$A$2:$K$52,10,FALSE)*VLOOKUP($A600,'US Grid mix, emissions&amp;prices'!$AE$2:$AI$52,2,FALSE)/(1+$AZ$41)^B$168</f>
        <v>1050.9617382224544</v>
      </c>
      <c r="C600" s="106">
        <f>VLOOKUP($A600,'VKT US'!$B$63:$AA$113,(C$113+1),FALSE)*$BD$9/VLOOKUP($A600,'Fuel economy adjusted factor'!$A$2:$K$52,11,FALSE)*($AZ$15*VLOOKUP($A600,'US Grid mix, emissions&amp;prices'!$AE$2:$AI$52,3,FALSE)/100+$BA$15*VLOOKUP($A600,'US Grid mix, emissions&amp;prices'!$AE$2:$AI$52,4,FALSE)/100)/(1+$AZ$41)^C$113+VLOOKUP($A600,'VKT US'!$B$63:$AA$113,(C$168+1),FALSE)*(1-$BD$9)/VLOOKUP($A600,'Fuel economy adjusted factor'!$A$2:$K$52,10,FALSE)*VLOOKUP($A600,'US Grid mix, emissions&amp;prices'!$AE$2:$AI$52,2,FALSE)/(1+$AZ$41)^C$168</f>
        <v>1007.6116462192206</v>
      </c>
      <c r="D600" s="106">
        <f>VLOOKUP($A600,'VKT US'!$B$63:$AA$113,(D$113+1),FALSE)*$BD$9/VLOOKUP($A600,'Fuel economy adjusted factor'!$A$2:$K$52,11,FALSE)*($AZ$15*VLOOKUP($A600,'US Grid mix, emissions&amp;prices'!$AE$2:$AI$52,3,FALSE)/100+$BA$15*VLOOKUP($A600,'US Grid mix, emissions&amp;prices'!$AE$2:$AI$52,4,FALSE)/100)/(1+$AZ$41)^D$113+VLOOKUP($A600,'VKT US'!$B$63:$AA$113,(D$168+1),FALSE)*(1-$BD$9)/VLOOKUP($A600,'Fuel economy adjusted factor'!$A$2:$K$52,10,FALSE)*VLOOKUP($A600,'US Grid mix, emissions&amp;prices'!$AE$2:$AI$52,2,FALSE)/(1+$AZ$41)^D$168</f>
        <v>966.10491647439471</v>
      </c>
      <c r="E600" s="106">
        <f>VLOOKUP($A600,'VKT US'!$B$63:$AA$113,(E$113+1),FALSE)*$BD$9/VLOOKUP($A600,'Fuel economy adjusted factor'!$A$2:$K$52,11,FALSE)*($AZ$15*VLOOKUP($A600,'US Grid mix, emissions&amp;prices'!$AE$2:$AI$52,3,FALSE)/100+$BA$15*VLOOKUP($A600,'US Grid mix, emissions&amp;prices'!$AE$2:$AI$52,4,FALSE)/100)/(1+$AZ$41)^E$113+VLOOKUP($A600,'VKT US'!$B$63:$AA$113,(E$168+1),FALSE)*(1-$BD$9)/VLOOKUP($A600,'Fuel economy adjusted factor'!$A$2:$K$52,10,FALSE)*VLOOKUP($A600,'US Grid mix, emissions&amp;prices'!$AE$2:$AI$52,2,FALSE)/(1+$AZ$41)^E$168</f>
        <v>926.46571203831286</v>
      </c>
      <c r="F600" s="106">
        <f>VLOOKUP($A600,'VKT US'!$B$63:$AA$113,(F$113+1),FALSE)*$BD$9/VLOOKUP($A600,'Fuel economy adjusted factor'!$A$2:$K$52,11,FALSE)*($AZ$15*VLOOKUP($A600,'US Grid mix, emissions&amp;prices'!$AE$2:$AI$52,3,FALSE)/100+$BA$15*VLOOKUP($A600,'US Grid mix, emissions&amp;prices'!$AE$2:$AI$52,4,FALSE)/100)/(1+$AZ$41)^F$113+VLOOKUP($A600,'VKT US'!$B$63:$AA$113,(F$168+1),FALSE)*(1-$BD$9)/VLOOKUP($A600,'Fuel economy adjusted factor'!$A$2:$K$52,10,FALSE)*VLOOKUP($A600,'US Grid mix, emissions&amp;prices'!$AE$2:$AI$52,2,FALSE)/(1+$AZ$41)^F$168</f>
        <v>888.57109180031125</v>
      </c>
      <c r="G600" s="106">
        <f>VLOOKUP($A600,'VKT US'!$B$63:$AA$113,(G$113+1),FALSE)*$BD$9/VLOOKUP($A600,'Fuel economy adjusted factor'!$A$2:$K$52,11,FALSE)*($AZ$15*VLOOKUP($A600,'US Grid mix, emissions&amp;prices'!$AE$2:$AI$52,3,FALSE)/100+$BA$15*VLOOKUP($A600,'US Grid mix, emissions&amp;prices'!$AE$2:$AI$52,4,FALSE)/100)/(1+$AZ$41)^G$113+VLOOKUP($A600,'VKT US'!$B$63:$AA$113,(G$168+1),FALSE)*(1-$BD$9)/VLOOKUP($A600,'Fuel economy adjusted factor'!$A$2:$K$52,10,FALSE)*VLOOKUP($A600,'US Grid mix, emissions&amp;prices'!$AE$2:$AI$52,2,FALSE)/(1+$AZ$41)^G$168</f>
        <v>852.51706097187991</v>
      </c>
      <c r="H600" s="106">
        <f>VLOOKUP($A600,'VKT US'!$B$63:$AA$113,(H$113+1),FALSE)*$BD$9/VLOOKUP($A600,'Fuel economy adjusted factor'!$A$2:$K$52,11,FALSE)*($AZ$15*VLOOKUP($A600,'US Grid mix, emissions&amp;prices'!$AE$2:$AI$52,3,FALSE)/100+$BA$15*VLOOKUP($A600,'US Grid mix, emissions&amp;prices'!$AE$2:$AI$52,4,FALSE)/100)/(1+$AZ$41)^H$113+VLOOKUP($A600,'VKT US'!$B$63:$AA$113,(H$168+1),FALSE)*(1-$BD$9)/VLOOKUP($A600,'Fuel economy adjusted factor'!$A$2:$K$52,10,FALSE)*VLOOKUP($A600,'US Grid mix, emissions&amp;prices'!$AE$2:$AI$52,2,FALSE)/(1+$AZ$41)^H$168</f>
        <v>818.0406928856994</v>
      </c>
      <c r="I600" s="106">
        <f>VLOOKUP($A600,'VKT US'!$B$63:$AA$113,(I$113+1),FALSE)*$BD$9/VLOOKUP($A600,'Fuel economy adjusted factor'!$A$2:$K$52,11,FALSE)*($AZ$15*VLOOKUP($A600,'US Grid mix, emissions&amp;prices'!$AE$2:$AI$52,3,FALSE)/100+$BA$15*VLOOKUP($A600,'US Grid mix, emissions&amp;prices'!$AE$2:$AI$52,4,FALSE)/100)/(1+$AZ$41)^I$113+VLOOKUP($A600,'VKT US'!$B$63:$AA$113,(I$168+1),FALSE)*(1-$BD$9)/VLOOKUP($A600,'Fuel economy adjusted factor'!$A$2:$K$52,10,FALSE)*VLOOKUP($A600,'US Grid mix, emissions&amp;prices'!$AE$2:$AI$52,2,FALSE)/(1+$AZ$41)^I$168</f>
        <v>785.23917750054125</v>
      </c>
      <c r="J600" s="106">
        <f>VLOOKUP($A600,'VKT US'!$B$63:$AA$113,(J$113+1),FALSE)*$BD$9/VLOOKUP($A600,'Fuel economy adjusted factor'!$A$2:$K$52,11,FALSE)*($AZ$15*VLOOKUP($A600,'US Grid mix, emissions&amp;prices'!$AE$2:$AI$52,3,FALSE)/100+$BA$15*VLOOKUP($A600,'US Grid mix, emissions&amp;prices'!$AE$2:$AI$52,4,FALSE)/100)/(1+$AZ$41)^J$113+VLOOKUP($A600,'VKT US'!$B$63:$AA$113,(J$168+1),FALSE)*(1-$BD$9)/VLOOKUP($A600,'Fuel economy adjusted factor'!$A$2:$K$52,10,FALSE)*VLOOKUP($A600,'US Grid mix, emissions&amp;prices'!$AE$2:$AI$52,2,FALSE)/(1+$AZ$41)^J$168</f>
        <v>754.06605638487986</v>
      </c>
      <c r="K600" s="106">
        <f>VLOOKUP($A600,'VKT US'!$B$63:$AA$113,(K$113+1),FALSE)*$BD$9/VLOOKUP($A600,'Fuel economy adjusted factor'!$A$2:$K$52,11,FALSE)*($AZ$15*VLOOKUP($A600,'US Grid mix, emissions&amp;prices'!$AE$2:$AI$52,3,FALSE)/100+$BA$15*VLOOKUP($A600,'US Grid mix, emissions&amp;prices'!$AE$2:$AI$52,4,FALSE)/100)/(1+$AZ$41)^K$113+VLOOKUP($A600,'VKT US'!$B$63:$AA$113,(K$168+1),FALSE)*(1-$BD$9)/VLOOKUP($A600,'Fuel economy adjusted factor'!$A$2:$K$52,10,FALSE)*VLOOKUP($A600,'US Grid mix, emissions&amp;prices'!$AE$2:$AI$52,2,FALSE)/(1+$AZ$41)^K$168</f>
        <v>724.47587478045227</v>
      </c>
      <c r="L600" s="106">
        <f>VLOOKUP($A600,'VKT US'!$B$63:$AA$113,(L$113+1),FALSE)*$BD$9/VLOOKUP($A600,'Fuel economy adjusted factor'!$A$2:$K$52,11,FALSE)*($AZ$15*VLOOKUP($A600,'US Grid mix, emissions&amp;prices'!$AE$2:$AI$52,3,FALSE)/100+$BA$15*VLOOKUP($A600,'US Grid mix, emissions&amp;prices'!$AE$2:$AI$52,4,FALSE)/100)/(1+$AZ$41)^L$113+VLOOKUP($A600,'VKT US'!$B$63:$AA$113,(L$168+1),FALSE)*(1-$BD$9)/VLOOKUP($A600,'Fuel economy adjusted factor'!$A$2:$K$52,10,FALSE)*VLOOKUP($A600,'US Grid mix, emissions&amp;prices'!$AE$2:$AI$52,2,FALSE)/(1+$AZ$41)^L$168</f>
        <v>696.35682329445376</v>
      </c>
      <c r="M600" s="106">
        <f>VLOOKUP($A600,'VKT US'!$B$63:$AA$113,(M$113+1),FALSE)*$BD$9/VLOOKUP($A600,'Fuel economy adjusted factor'!$A$2:$K$52,11,FALSE)*($AZ$15*VLOOKUP($A600,'US Grid mix, emissions&amp;prices'!$AE$2:$AI$52,3,FALSE)/100+$BA$15*VLOOKUP($A600,'US Grid mix, emissions&amp;prices'!$AE$2:$AI$52,4,FALSE)/100)/(1+$AZ$41)^M$113+VLOOKUP($A600,'VKT US'!$B$63:$AA$113,(M$168+1),FALSE)*(1-$BD$9)/VLOOKUP($A600,'Fuel economy adjusted factor'!$A$2:$K$52,10,FALSE)*VLOOKUP($A600,'US Grid mix, emissions&amp;prices'!$AE$2:$AI$52,2,FALSE)/(1+$AZ$41)^M$168</f>
        <v>669.73433453415191</v>
      </c>
      <c r="N600" s="106">
        <f>VLOOKUP($A600,'VKT US'!$B$63:$AA$113,(N$113+1),FALSE)*$BD$9/VLOOKUP($A600,'Fuel economy adjusted factor'!$A$2:$K$52,11,FALSE)*($AZ$15*VLOOKUP($A600,'US Grid mix, emissions&amp;prices'!$AE$2:$AI$52,3,FALSE)/100+$BA$15*VLOOKUP($A600,'US Grid mix, emissions&amp;prices'!$AE$2:$AI$52,4,FALSE)/100)/(1+$AZ$41)^N$113+VLOOKUP($A600,'VKT US'!$B$63:$AA$113,(N$168+1),FALSE)*(1-$BD$9)/VLOOKUP($A600,'Fuel economy adjusted factor'!$A$2:$K$52,10,FALSE)*VLOOKUP($A600,'US Grid mix, emissions&amp;prices'!$AE$2:$AI$52,2,FALSE)/(1+$AZ$41)^N$168</f>
        <v>644.50007236596082</v>
      </c>
      <c r="O600" s="106">
        <f>VLOOKUP($A600,'VKT US'!$B$63:$AA$113,(O$113+1),FALSE)*$BD$9/VLOOKUP($A600,'Fuel economy adjusted factor'!$A$2:$K$52,11,FALSE)*($AZ$15*VLOOKUP($A600,'US Grid mix, emissions&amp;prices'!$AE$2:$AI$52,3,FALSE)/100+$BA$15*VLOOKUP($A600,'US Grid mix, emissions&amp;prices'!$AE$2:$AI$52,4,FALSE)/100)/(1+$AZ$41)^O$113+VLOOKUP($A600,'VKT US'!$B$63:$AA$113,(O$168+1),FALSE)*(1-$BD$9)/VLOOKUP($A600,'Fuel economy adjusted factor'!$A$2:$K$52,10,FALSE)*VLOOKUP($A600,'US Grid mix, emissions&amp;prices'!$AE$2:$AI$52,2,FALSE)/(1+$AZ$41)^O$168</f>
        <v>620.67969424163903</v>
      </c>
      <c r="P600" s="106">
        <f>VLOOKUP($A600,'VKT US'!$B$63:$AA$113,(P$113+1),FALSE)*$BD$9/VLOOKUP($A600,'Fuel economy adjusted factor'!$A$2:$K$52,11,FALSE)*($AZ$15*VLOOKUP($A600,'US Grid mix, emissions&amp;prices'!$AE$2:$AI$52,3,FALSE)/100+$BA$15*VLOOKUP($A600,'US Grid mix, emissions&amp;prices'!$AE$2:$AI$52,4,FALSE)/100)/(1+$AZ$41)^P$113+VLOOKUP($A600,'VKT US'!$B$63:$AA$113,(P$168+1),FALSE)*(1-$BD$9)/VLOOKUP($A600,'Fuel economy adjusted factor'!$A$2:$K$52,10,FALSE)*VLOOKUP($A600,'US Grid mix, emissions&amp;prices'!$AE$2:$AI$52,2,FALSE)/(1+$AZ$41)^P$168</f>
        <v>598.16822967366056</v>
      </c>
      <c r="Q600" s="106">
        <f>VLOOKUP($A600,'VKT US'!$B$63:$AA$113,(Q$113+1),FALSE)*$BD$9/VLOOKUP($A600,'Fuel economy adjusted factor'!$A$2:$K$52,11,FALSE)*($AZ$15*VLOOKUP($A600,'US Grid mix, emissions&amp;prices'!$AE$2:$AI$52,3,FALSE)/100+$BA$15*VLOOKUP($A600,'US Grid mix, emissions&amp;prices'!$AE$2:$AI$52,4,FALSE)/100)/(1+$AZ$41)^Q$113+VLOOKUP($A600,'VKT US'!$B$63:$AA$113,(Q$168+1),FALSE)*(1-$BD$9)/VLOOKUP($A600,'Fuel economy adjusted factor'!$A$2:$K$52,10,FALSE)*VLOOKUP($A600,'US Grid mix, emissions&amp;prices'!$AE$2:$AI$52,2,FALSE)/(1+$AZ$41)^Q$168</f>
        <v>577.05497082255783</v>
      </c>
      <c r="R600" s="106">
        <f>VLOOKUP($A600,'VKT US'!$B$63:$AA$113,(R$113+1),FALSE)*$BD$9/VLOOKUP($A600,'Fuel economy adjusted factor'!$A$2:$K$52,11,FALSE)*($AZ$15*VLOOKUP($A600,'US Grid mix, emissions&amp;prices'!$AE$2:$AI$52,3,FALSE)/100+$BA$15*VLOOKUP($A600,'US Grid mix, emissions&amp;prices'!$AE$2:$AI$52,4,FALSE)/100)/(1+$AZ$41)^R$113+VLOOKUP($A600,'VKT US'!$B$63:$AA$113,(R$168+1),FALSE)*(1-$BD$9)/VLOOKUP($A600,'Fuel economy adjusted factor'!$A$2:$K$52,10,FALSE)*VLOOKUP($A600,'US Grid mix, emissions&amp;prices'!$AE$2:$AI$52,2,FALSE)/(1+$AZ$41)^R$168</f>
        <v>557.11057521918929</v>
      </c>
      <c r="S600" s="106">
        <f>VLOOKUP($A600,'VKT US'!$B$63:$AA$113,(S$113+1),FALSE)*$BD$9/VLOOKUP($A600,'Fuel economy adjusted factor'!$A$2:$K$52,11,FALSE)*($AZ$15*VLOOKUP($A600,'US Grid mix, emissions&amp;prices'!$AE$2:$AI$52,3,FALSE)/100+$BA$15*VLOOKUP($A600,'US Grid mix, emissions&amp;prices'!$AE$2:$AI$52,4,FALSE)/100)/(1+$AZ$41)^S$113+VLOOKUP($A600,'VKT US'!$B$63:$AA$113,(S$168+1),FALSE)*(1-$BD$9)/VLOOKUP($A600,'Fuel economy adjusted factor'!$A$2:$K$52,10,FALSE)*VLOOKUP($A600,'US Grid mix, emissions&amp;prices'!$AE$2:$AI$52,2,FALSE)/(1+$AZ$41)^S$168</f>
        <v>538.48720611805561</v>
      </c>
      <c r="T600" s="106">
        <f>VLOOKUP($A600,'VKT US'!$B$63:$AA$113,(T$113+1),FALSE)*$BD$9/VLOOKUP($A600,'Fuel economy adjusted factor'!$A$2:$K$52,11,FALSE)*($AZ$15*VLOOKUP($A600,'US Grid mix, emissions&amp;prices'!$AE$2:$AI$52,3,FALSE)/100+$BA$15*VLOOKUP($A600,'US Grid mix, emissions&amp;prices'!$AE$2:$AI$52,4,FALSE)/100)/(1+$AZ$41)^T$113+VLOOKUP($A600,'VKT US'!$B$63:$AA$113,(T$168+1),FALSE)*(1-$BD$9)/VLOOKUP($A600,'Fuel economy adjusted factor'!$A$2:$K$52,10,FALSE)*VLOOKUP($A600,'US Grid mix, emissions&amp;prices'!$AE$2:$AI$52,2,FALSE)/(1+$AZ$41)^T$168</f>
        <v>520.96169005078036</v>
      </c>
      <c r="U600" s="109">
        <f>VLOOKUP($A600,'VKT US'!$B$63:$AA$113,(U$113+1),FALSE)*$BD$9/VLOOKUP($A600,'Fuel economy adjusted factor'!$A$2:$K$52,11,FALSE)*($AZ$15*VLOOKUP($A600,'US Grid mix, emissions&amp;prices'!$AE$2:$AI$52,3,FALSE)/100+$BA$15*VLOOKUP($A600,'US Grid mix, emissions&amp;prices'!$AE$2:$AI$52,4,FALSE)/100)/(1+$AZ$41)^U$113+VLOOKUP($A600,'VKT US'!$B$63:$AA$113,(U$168+1),FALSE)*(1-$BD$9)/VLOOKUP($A600,'Fuel economy adjusted factor'!$A$2:$K$52,10,FALSE)*VLOOKUP($A600,'US Grid mix, emissions&amp;prices'!$AE$2:$AI$52,2,FALSE)/(1+$AZ$41)^U$168</f>
        <v>504.68335348671201</v>
      </c>
      <c r="V600" s="110" cm="1">
        <f t="array" ref="V600">SUMPRODUCT(INDEX(B600:U600,,_xlfn.SEQUENCE($AZ$13)))</f>
        <v>11405.324891714352</v>
      </c>
    </row>
    <row r="601" spans="1:22" x14ac:dyDescent="0.25">
      <c r="A601" s="102" t="s">
        <v>225</v>
      </c>
      <c r="B601" s="106">
        <f>VLOOKUP($A601,'VKT US'!$B$63:$AA$113,(B$113+1),FALSE)*$BD$9/VLOOKUP($A601,'Fuel economy adjusted factor'!$A$2:$K$52,11,FALSE)*($AZ$15*VLOOKUP($A601,'US Grid mix, emissions&amp;prices'!$AE$2:$AI$52,3,FALSE)/100+$BA$15*VLOOKUP($A601,'US Grid mix, emissions&amp;prices'!$AE$2:$AI$52,4,FALSE)/100)/(1+$AZ$41)^B$113+VLOOKUP($A601,'VKT US'!$B$63:$AA$113,(B$168+1),FALSE)*(1-$BD$9)/VLOOKUP($A601,'Fuel economy adjusted factor'!$A$2:$K$52,10,FALSE)*VLOOKUP($A601,'US Grid mix, emissions&amp;prices'!$AE$2:$AI$52,2,FALSE)/(1+$AZ$41)^B$168</f>
        <v>1069.9027641733765</v>
      </c>
      <c r="C601" s="106">
        <f>VLOOKUP($A601,'VKT US'!$B$63:$AA$113,(C$113+1),FALSE)*$BD$9/VLOOKUP($A601,'Fuel economy adjusted factor'!$A$2:$K$52,11,FALSE)*($AZ$15*VLOOKUP($A601,'US Grid mix, emissions&amp;prices'!$AE$2:$AI$52,3,FALSE)/100+$BA$15*VLOOKUP($A601,'US Grid mix, emissions&amp;prices'!$AE$2:$AI$52,4,FALSE)/100)/(1+$AZ$41)^C$113+VLOOKUP($A601,'VKT US'!$B$63:$AA$113,(C$168+1),FALSE)*(1-$BD$9)/VLOOKUP($A601,'Fuel economy adjusted factor'!$A$2:$K$52,10,FALSE)*VLOOKUP($A601,'US Grid mix, emissions&amp;prices'!$AE$2:$AI$52,2,FALSE)/(1+$AZ$41)^C$168</f>
        <v>1025.7713923311667</v>
      </c>
      <c r="D601" s="106">
        <f>VLOOKUP($A601,'VKT US'!$B$63:$AA$113,(D$113+1),FALSE)*$BD$9/VLOOKUP($A601,'Fuel economy adjusted factor'!$A$2:$K$52,11,FALSE)*($AZ$15*VLOOKUP($A601,'US Grid mix, emissions&amp;prices'!$AE$2:$AI$52,3,FALSE)/100+$BA$15*VLOOKUP($A601,'US Grid mix, emissions&amp;prices'!$AE$2:$AI$52,4,FALSE)/100)/(1+$AZ$41)^D$113+VLOOKUP($A601,'VKT US'!$B$63:$AA$113,(D$168+1),FALSE)*(1-$BD$9)/VLOOKUP($A601,'Fuel economy adjusted factor'!$A$2:$K$52,10,FALSE)*VLOOKUP($A601,'US Grid mix, emissions&amp;prices'!$AE$2:$AI$52,2,FALSE)/(1+$AZ$41)^D$168</f>
        <v>983.51660486297942</v>
      </c>
      <c r="E601" s="106">
        <f>VLOOKUP($A601,'VKT US'!$B$63:$AA$113,(E$113+1),FALSE)*$BD$9/VLOOKUP($A601,'Fuel economy adjusted factor'!$A$2:$K$52,11,FALSE)*($AZ$15*VLOOKUP($A601,'US Grid mix, emissions&amp;prices'!$AE$2:$AI$52,3,FALSE)/100+$BA$15*VLOOKUP($A601,'US Grid mix, emissions&amp;prices'!$AE$2:$AI$52,4,FALSE)/100)/(1+$AZ$41)^E$113+VLOOKUP($A601,'VKT US'!$B$63:$AA$113,(E$168+1),FALSE)*(1-$BD$9)/VLOOKUP($A601,'Fuel economy adjusted factor'!$A$2:$K$52,10,FALSE)*VLOOKUP($A601,'US Grid mix, emissions&amp;prices'!$AE$2:$AI$52,2,FALSE)/(1+$AZ$41)^E$168</f>
        <v>943.16300029928937</v>
      </c>
      <c r="F601" s="106">
        <f>VLOOKUP($A601,'VKT US'!$B$63:$AA$113,(F$113+1),FALSE)*$BD$9/VLOOKUP($A601,'Fuel economy adjusted factor'!$A$2:$K$52,11,FALSE)*($AZ$15*VLOOKUP($A601,'US Grid mix, emissions&amp;prices'!$AE$2:$AI$52,3,FALSE)/100+$BA$15*VLOOKUP($A601,'US Grid mix, emissions&amp;prices'!$AE$2:$AI$52,4,FALSE)/100)/(1+$AZ$41)^F$113+VLOOKUP($A601,'VKT US'!$B$63:$AA$113,(F$168+1),FALSE)*(1-$BD$9)/VLOOKUP($A601,'Fuel economy adjusted factor'!$A$2:$K$52,10,FALSE)*VLOOKUP($A601,'US Grid mix, emissions&amp;prices'!$AE$2:$AI$52,2,FALSE)/(1+$AZ$41)^F$168</f>
        <v>904.58542181530788</v>
      </c>
      <c r="G601" s="106">
        <f>VLOOKUP($A601,'VKT US'!$B$63:$AA$113,(G$113+1),FALSE)*$BD$9/VLOOKUP($A601,'Fuel economy adjusted factor'!$A$2:$K$52,11,FALSE)*($AZ$15*VLOOKUP($A601,'US Grid mix, emissions&amp;prices'!$AE$2:$AI$52,3,FALSE)/100+$BA$15*VLOOKUP($A601,'US Grid mix, emissions&amp;prices'!$AE$2:$AI$52,4,FALSE)/100)/(1+$AZ$41)^G$113+VLOOKUP($A601,'VKT US'!$B$63:$AA$113,(G$168+1),FALSE)*(1-$BD$9)/VLOOKUP($A601,'Fuel economy adjusted factor'!$A$2:$K$52,10,FALSE)*VLOOKUP($A601,'US Grid mix, emissions&amp;prices'!$AE$2:$AI$52,2,FALSE)/(1+$AZ$41)^G$168</f>
        <v>867.88160488266317</v>
      </c>
      <c r="H601" s="106">
        <f>VLOOKUP($A601,'VKT US'!$B$63:$AA$113,(H$113+1),FALSE)*$BD$9/VLOOKUP($A601,'Fuel economy adjusted factor'!$A$2:$K$52,11,FALSE)*($AZ$15*VLOOKUP($A601,'US Grid mix, emissions&amp;prices'!$AE$2:$AI$52,3,FALSE)/100+$BA$15*VLOOKUP($A601,'US Grid mix, emissions&amp;prices'!$AE$2:$AI$52,4,FALSE)/100)/(1+$AZ$41)^H$113+VLOOKUP($A601,'VKT US'!$B$63:$AA$113,(H$168+1),FALSE)*(1-$BD$9)/VLOOKUP($A601,'Fuel economy adjusted factor'!$A$2:$K$52,10,FALSE)*VLOOKUP($A601,'US Grid mix, emissions&amp;prices'!$AE$2:$AI$52,2,FALSE)/(1+$AZ$41)^H$168</f>
        <v>832.78388422115665</v>
      </c>
      <c r="I601" s="106">
        <f>VLOOKUP($A601,'VKT US'!$B$63:$AA$113,(I$113+1),FALSE)*$BD$9/VLOOKUP($A601,'Fuel economy adjusted factor'!$A$2:$K$52,11,FALSE)*($AZ$15*VLOOKUP($A601,'US Grid mix, emissions&amp;prices'!$AE$2:$AI$52,3,FALSE)/100+$BA$15*VLOOKUP($A601,'US Grid mix, emissions&amp;prices'!$AE$2:$AI$52,4,FALSE)/100)/(1+$AZ$41)^I$113+VLOOKUP($A601,'VKT US'!$B$63:$AA$113,(I$168+1),FALSE)*(1-$BD$9)/VLOOKUP($A601,'Fuel economy adjusted factor'!$A$2:$K$52,10,FALSE)*VLOOKUP($A601,'US Grid mix, emissions&amp;prices'!$AE$2:$AI$52,2,FALSE)/(1+$AZ$41)^I$168</f>
        <v>799.39120140188163</v>
      </c>
      <c r="J601" s="106">
        <f>VLOOKUP($A601,'VKT US'!$B$63:$AA$113,(J$113+1),FALSE)*$BD$9/VLOOKUP($A601,'Fuel economy adjusted factor'!$A$2:$K$52,11,FALSE)*($AZ$15*VLOOKUP($A601,'US Grid mix, emissions&amp;prices'!$AE$2:$AI$52,3,FALSE)/100+$BA$15*VLOOKUP($A601,'US Grid mix, emissions&amp;prices'!$AE$2:$AI$52,4,FALSE)/100)/(1+$AZ$41)^J$113+VLOOKUP($A601,'VKT US'!$B$63:$AA$113,(J$168+1),FALSE)*(1-$BD$9)/VLOOKUP($A601,'Fuel economy adjusted factor'!$A$2:$K$52,10,FALSE)*VLOOKUP($A601,'US Grid mix, emissions&amp;prices'!$AE$2:$AI$52,2,FALSE)/(1+$AZ$41)^J$168</f>
        <v>767.65626069322389</v>
      </c>
      <c r="K601" s="106">
        <f>VLOOKUP($A601,'VKT US'!$B$63:$AA$113,(K$113+1),FALSE)*$BD$9/VLOOKUP($A601,'Fuel economy adjusted factor'!$A$2:$K$52,11,FALSE)*($AZ$15*VLOOKUP($A601,'US Grid mix, emissions&amp;prices'!$AE$2:$AI$52,3,FALSE)/100+$BA$15*VLOOKUP($A601,'US Grid mix, emissions&amp;prices'!$AE$2:$AI$52,4,FALSE)/100)/(1+$AZ$41)^K$113+VLOOKUP($A601,'VKT US'!$B$63:$AA$113,(K$168+1),FALSE)*(1-$BD$9)/VLOOKUP($A601,'Fuel economy adjusted factor'!$A$2:$K$52,10,FALSE)*VLOOKUP($A601,'US Grid mix, emissions&amp;prices'!$AE$2:$AI$52,2,FALSE)/(1+$AZ$41)^K$168</f>
        <v>737.53278812559711</v>
      </c>
      <c r="L601" s="106">
        <f>VLOOKUP($A601,'VKT US'!$B$63:$AA$113,(L$113+1),FALSE)*$BD$9/VLOOKUP($A601,'Fuel economy adjusted factor'!$A$2:$K$52,11,FALSE)*($AZ$15*VLOOKUP($A601,'US Grid mix, emissions&amp;prices'!$AE$2:$AI$52,3,FALSE)/100+$BA$15*VLOOKUP($A601,'US Grid mix, emissions&amp;prices'!$AE$2:$AI$52,4,FALSE)/100)/(1+$AZ$41)^L$113+VLOOKUP($A601,'VKT US'!$B$63:$AA$113,(L$168+1),FALSE)*(1-$BD$9)/VLOOKUP($A601,'Fuel economy adjusted factor'!$A$2:$K$52,10,FALSE)*VLOOKUP($A601,'US Grid mix, emissions&amp;prices'!$AE$2:$AI$52,2,FALSE)/(1+$AZ$41)^L$168</f>
        <v>708.90695921417819</v>
      </c>
      <c r="M601" s="106">
        <f>VLOOKUP($A601,'VKT US'!$B$63:$AA$113,(M$113+1),FALSE)*$BD$9/VLOOKUP($A601,'Fuel economy adjusted factor'!$A$2:$K$52,11,FALSE)*($AZ$15*VLOOKUP($A601,'US Grid mix, emissions&amp;prices'!$AE$2:$AI$52,3,FALSE)/100+$BA$15*VLOOKUP($A601,'US Grid mix, emissions&amp;prices'!$AE$2:$AI$52,4,FALSE)/100)/(1+$AZ$41)^M$113+VLOOKUP($A601,'VKT US'!$B$63:$AA$113,(M$168+1),FALSE)*(1-$BD$9)/VLOOKUP($A601,'Fuel economy adjusted factor'!$A$2:$K$52,10,FALSE)*VLOOKUP($A601,'US Grid mix, emissions&amp;prices'!$AE$2:$AI$52,2,FALSE)/(1+$AZ$41)^M$168</f>
        <v>681.80466492704545</v>
      </c>
      <c r="N601" s="106">
        <f>VLOOKUP($A601,'VKT US'!$B$63:$AA$113,(N$113+1),FALSE)*$BD$9/VLOOKUP($A601,'Fuel economy adjusted factor'!$A$2:$K$52,11,FALSE)*($AZ$15*VLOOKUP($A601,'US Grid mix, emissions&amp;prices'!$AE$2:$AI$52,3,FALSE)/100+$BA$15*VLOOKUP($A601,'US Grid mix, emissions&amp;prices'!$AE$2:$AI$52,4,FALSE)/100)/(1+$AZ$41)^N$113+VLOOKUP($A601,'VKT US'!$B$63:$AA$113,(N$168+1),FALSE)*(1-$BD$9)/VLOOKUP($A601,'Fuel economy adjusted factor'!$A$2:$K$52,10,FALSE)*VLOOKUP($A601,'US Grid mix, emissions&amp;prices'!$AE$2:$AI$52,2,FALSE)/(1+$AZ$41)^N$168</f>
        <v>656.11561663563316</v>
      </c>
      <c r="O601" s="106">
        <f>VLOOKUP($A601,'VKT US'!$B$63:$AA$113,(O$113+1),FALSE)*$BD$9/VLOOKUP($A601,'Fuel economy adjusted factor'!$A$2:$K$52,11,FALSE)*($AZ$15*VLOOKUP($A601,'US Grid mix, emissions&amp;prices'!$AE$2:$AI$52,3,FALSE)/100+$BA$15*VLOOKUP($A601,'US Grid mix, emissions&amp;prices'!$AE$2:$AI$52,4,FALSE)/100)/(1+$AZ$41)^O$113+VLOOKUP($A601,'VKT US'!$B$63:$AA$113,(O$168+1),FALSE)*(1-$BD$9)/VLOOKUP($A601,'Fuel economy adjusted factor'!$A$2:$K$52,10,FALSE)*VLOOKUP($A601,'US Grid mix, emissions&amp;prices'!$AE$2:$AI$52,2,FALSE)/(1+$AZ$41)^O$168</f>
        <v>631.86593420478471</v>
      </c>
      <c r="P601" s="106">
        <f>VLOOKUP($A601,'VKT US'!$B$63:$AA$113,(P$113+1),FALSE)*$BD$9/VLOOKUP($A601,'Fuel economy adjusted factor'!$A$2:$K$52,11,FALSE)*($AZ$15*VLOOKUP($A601,'US Grid mix, emissions&amp;prices'!$AE$2:$AI$52,3,FALSE)/100+$BA$15*VLOOKUP($A601,'US Grid mix, emissions&amp;prices'!$AE$2:$AI$52,4,FALSE)/100)/(1+$AZ$41)^P$113+VLOOKUP($A601,'VKT US'!$B$63:$AA$113,(P$168+1),FALSE)*(1-$BD$9)/VLOOKUP($A601,'Fuel economy adjusted factor'!$A$2:$K$52,10,FALSE)*VLOOKUP($A601,'US Grid mix, emissions&amp;prices'!$AE$2:$AI$52,2,FALSE)/(1+$AZ$41)^P$168</f>
        <v>608.94875530956881</v>
      </c>
      <c r="Q601" s="106">
        <f>VLOOKUP($A601,'VKT US'!$B$63:$AA$113,(Q$113+1),FALSE)*$BD$9/VLOOKUP($A601,'Fuel economy adjusted factor'!$A$2:$K$52,11,FALSE)*($AZ$15*VLOOKUP($A601,'US Grid mix, emissions&amp;prices'!$AE$2:$AI$52,3,FALSE)/100+$BA$15*VLOOKUP($A601,'US Grid mix, emissions&amp;prices'!$AE$2:$AI$52,4,FALSE)/100)/(1+$AZ$41)^Q$113+VLOOKUP($A601,'VKT US'!$B$63:$AA$113,(Q$168+1),FALSE)*(1-$BD$9)/VLOOKUP($A601,'Fuel economy adjusted factor'!$A$2:$K$52,10,FALSE)*VLOOKUP($A601,'US Grid mix, emissions&amp;prices'!$AE$2:$AI$52,2,FALSE)/(1+$AZ$41)^Q$168</f>
        <v>587.45498138426024</v>
      </c>
      <c r="R601" s="106">
        <f>VLOOKUP($A601,'VKT US'!$B$63:$AA$113,(R$113+1),FALSE)*$BD$9/VLOOKUP($A601,'Fuel economy adjusted factor'!$A$2:$K$52,11,FALSE)*($AZ$15*VLOOKUP($A601,'US Grid mix, emissions&amp;prices'!$AE$2:$AI$52,3,FALSE)/100+$BA$15*VLOOKUP($A601,'US Grid mix, emissions&amp;prices'!$AE$2:$AI$52,4,FALSE)/100)/(1+$AZ$41)^R$113+VLOOKUP($A601,'VKT US'!$B$63:$AA$113,(R$168+1),FALSE)*(1-$BD$9)/VLOOKUP($A601,'Fuel economy adjusted factor'!$A$2:$K$52,10,FALSE)*VLOOKUP($A601,'US Grid mix, emissions&amp;prices'!$AE$2:$AI$52,2,FALSE)/(1+$AZ$41)^R$168</f>
        <v>567.15113662022304</v>
      </c>
      <c r="S601" s="106">
        <f>VLOOKUP($A601,'VKT US'!$B$63:$AA$113,(S$113+1),FALSE)*$BD$9/VLOOKUP($A601,'Fuel economy adjusted factor'!$A$2:$K$52,11,FALSE)*($AZ$15*VLOOKUP($A601,'US Grid mix, emissions&amp;prices'!$AE$2:$AI$52,3,FALSE)/100+$BA$15*VLOOKUP($A601,'US Grid mix, emissions&amp;prices'!$AE$2:$AI$52,4,FALSE)/100)/(1+$AZ$41)^S$113+VLOOKUP($A601,'VKT US'!$B$63:$AA$113,(S$168+1),FALSE)*(1-$BD$9)/VLOOKUP($A601,'Fuel economy adjusted factor'!$A$2:$K$52,10,FALSE)*VLOOKUP($A601,'US Grid mix, emissions&amp;prices'!$AE$2:$AI$52,2,FALSE)/(1+$AZ$41)^S$168</f>
        <v>548.19212664406109</v>
      </c>
      <c r="T601" s="106">
        <f>VLOOKUP($A601,'VKT US'!$B$63:$AA$113,(T$113+1),FALSE)*$BD$9/VLOOKUP($A601,'Fuel economy adjusted factor'!$A$2:$K$52,11,FALSE)*($AZ$15*VLOOKUP($A601,'US Grid mix, emissions&amp;prices'!$AE$2:$AI$52,3,FALSE)/100+$BA$15*VLOOKUP($A601,'US Grid mix, emissions&amp;prices'!$AE$2:$AI$52,4,FALSE)/100)/(1+$AZ$41)^T$113+VLOOKUP($A601,'VKT US'!$B$63:$AA$113,(T$168+1),FALSE)*(1-$BD$9)/VLOOKUP($A601,'Fuel economy adjusted factor'!$A$2:$K$52,10,FALSE)*VLOOKUP($A601,'US Grid mix, emissions&amp;prices'!$AE$2:$AI$52,2,FALSE)/(1+$AZ$41)^T$168</f>
        <v>530.35075582911918</v>
      </c>
      <c r="U601" s="109">
        <f>VLOOKUP($A601,'VKT US'!$B$63:$AA$113,(U$113+1),FALSE)*$BD$9/VLOOKUP($A601,'Fuel economy adjusted factor'!$A$2:$K$52,11,FALSE)*($AZ$15*VLOOKUP($A601,'US Grid mix, emissions&amp;prices'!$AE$2:$AI$52,3,FALSE)/100+$BA$15*VLOOKUP($A601,'US Grid mix, emissions&amp;prices'!$AE$2:$AI$52,4,FALSE)/100)/(1+$AZ$41)^U$113+VLOOKUP($A601,'VKT US'!$B$63:$AA$113,(U$168+1),FALSE)*(1-$BD$9)/VLOOKUP($A601,'Fuel economy adjusted factor'!$A$2:$K$52,10,FALSE)*VLOOKUP($A601,'US Grid mix, emissions&amp;prices'!$AE$2:$AI$52,2,FALSE)/(1+$AZ$41)^U$168</f>
        <v>513.77904189070489</v>
      </c>
      <c r="V601" s="110" cm="1">
        <f t="array" ref="V601">SUMPRODUCT(INDEX(B601:U601,,_xlfn.SEQUENCE($AZ$13)))</f>
        <v>11610.878097788283</v>
      </c>
    </row>
    <row r="602" spans="1:22" x14ac:dyDescent="0.25">
      <c r="A602" s="102" t="s">
        <v>226</v>
      </c>
      <c r="B602" s="106">
        <f>VLOOKUP($A602,'VKT US'!$B$63:$AA$113,(B$113+1),FALSE)*$BD$9/VLOOKUP($A602,'Fuel economy adjusted factor'!$A$2:$K$52,11,FALSE)*($AZ$15*VLOOKUP($A602,'US Grid mix, emissions&amp;prices'!$AE$2:$AI$52,3,FALSE)/100+$BA$15*VLOOKUP($A602,'US Grid mix, emissions&amp;prices'!$AE$2:$AI$52,4,FALSE)/100)/(1+$AZ$41)^B$113+VLOOKUP($A602,'VKT US'!$B$63:$AA$113,(B$168+1),FALSE)*(1-$BD$9)/VLOOKUP($A602,'Fuel economy adjusted factor'!$A$2:$K$52,10,FALSE)*VLOOKUP($A602,'US Grid mix, emissions&amp;prices'!$AE$2:$AI$52,2,FALSE)/(1+$AZ$41)^B$168</f>
        <v>1114.5935933578721</v>
      </c>
      <c r="C602" s="106">
        <f>VLOOKUP($A602,'VKT US'!$B$63:$AA$113,(C$113+1),FALSE)*$BD$9/VLOOKUP($A602,'Fuel economy adjusted factor'!$A$2:$K$52,11,FALSE)*($AZ$15*VLOOKUP($A602,'US Grid mix, emissions&amp;prices'!$AE$2:$AI$52,3,FALSE)/100+$BA$15*VLOOKUP($A602,'US Grid mix, emissions&amp;prices'!$AE$2:$AI$52,4,FALSE)/100)/(1+$AZ$41)^C$113+VLOOKUP($A602,'VKT US'!$B$63:$AA$113,(C$168+1),FALSE)*(1-$BD$9)/VLOOKUP($A602,'Fuel economy adjusted factor'!$A$2:$K$52,10,FALSE)*VLOOKUP($A602,'US Grid mix, emissions&amp;prices'!$AE$2:$AI$52,2,FALSE)/(1+$AZ$41)^C$168</f>
        <v>1068.6188132483687</v>
      </c>
      <c r="D602" s="106">
        <f>VLOOKUP($A602,'VKT US'!$B$63:$AA$113,(D$113+1),FALSE)*$BD$9/VLOOKUP($A602,'Fuel economy adjusted factor'!$A$2:$K$52,11,FALSE)*($AZ$15*VLOOKUP($A602,'US Grid mix, emissions&amp;prices'!$AE$2:$AI$52,3,FALSE)/100+$BA$15*VLOOKUP($A602,'US Grid mix, emissions&amp;prices'!$AE$2:$AI$52,4,FALSE)/100)/(1+$AZ$41)^D$113+VLOOKUP($A602,'VKT US'!$B$63:$AA$113,(D$168+1),FALSE)*(1-$BD$9)/VLOOKUP($A602,'Fuel economy adjusted factor'!$A$2:$K$52,10,FALSE)*VLOOKUP($A602,'US Grid mix, emissions&amp;prices'!$AE$2:$AI$52,2,FALSE)/(1+$AZ$41)^D$168</f>
        <v>1024.5990041798989</v>
      </c>
      <c r="E602" s="106">
        <f>VLOOKUP($A602,'VKT US'!$B$63:$AA$113,(E$113+1),FALSE)*$BD$9/VLOOKUP($A602,'Fuel economy adjusted factor'!$A$2:$K$52,11,FALSE)*($AZ$15*VLOOKUP($A602,'US Grid mix, emissions&amp;prices'!$AE$2:$AI$52,3,FALSE)/100+$BA$15*VLOOKUP($A602,'US Grid mix, emissions&amp;prices'!$AE$2:$AI$52,4,FALSE)/100)/(1+$AZ$41)^E$113+VLOOKUP($A602,'VKT US'!$B$63:$AA$113,(E$168+1),FALSE)*(1-$BD$9)/VLOOKUP($A602,'Fuel economy adjusted factor'!$A$2:$K$52,10,FALSE)*VLOOKUP($A602,'US Grid mix, emissions&amp;prices'!$AE$2:$AI$52,2,FALSE)/(1+$AZ$41)^E$168</f>
        <v>982.55979218633377</v>
      </c>
      <c r="F602" s="106">
        <f>VLOOKUP($A602,'VKT US'!$B$63:$AA$113,(F$113+1),FALSE)*$BD$9/VLOOKUP($A602,'Fuel economy adjusted factor'!$A$2:$K$52,11,FALSE)*($AZ$15*VLOOKUP($A602,'US Grid mix, emissions&amp;prices'!$AE$2:$AI$52,3,FALSE)/100+$BA$15*VLOOKUP($A602,'US Grid mix, emissions&amp;prices'!$AE$2:$AI$52,4,FALSE)/100)/(1+$AZ$41)^F$113+VLOOKUP($A602,'VKT US'!$B$63:$AA$113,(F$168+1),FALSE)*(1-$BD$9)/VLOOKUP($A602,'Fuel economy adjusted factor'!$A$2:$K$52,10,FALSE)*VLOOKUP($A602,'US Grid mix, emissions&amp;prices'!$AE$2:$AI$52,2,FALSE)/(1+$AZ$41)^F$168</f>
        <v>942.37079252641843</v>
      </c>
      <c r="G602" s="106">
        <f>VLOOKUP($A602,'VKT US'!$B$63:$AA$113,(G$113+1),FALSE)*$BD$9/VLOOKUP($A602,'Fuel economy adjusted factor'!$A$2:$K$52,11,FALSE)*($AZ$15*VLOOKUP($A602,'US Grid mix, emissions&amp;prices'!$AE$2:$AI$52,3,FALSE)/100+$BA$15*VLOOKUP($A602,'US Grid mix, emissions&amp;prices'!$AE$2:$AI$52,4,FALSE)/100)/(1+$AZ$41)^G$113+VLOOKUP($A602,'VKT US'!$B$63:$AA$113,(G$168+1),FALSE)*(1-$BD$9)/VLOOKUP($A602,'Fuel economy adjusted factor'!$A$2:$K$52,10,FALSE)*VLOOKUP($A602,'US Grid mix, emissions&amp;prices'!$AE$2:$AI$52,2,FALSE)/(1+$AZ$41)^G$168</f>
        <v>904.13382317293372</v>
      </c>
      <c r="H602" s="106">
        <f>VLOOKUP($A602,'VKT US'!$B$63:$AA$113,(H$113+1),FALSE)*$BD$9/VLOOKUP($A602,'Fuel economy adjusted factor'!$A$2:$K$52,11,FALSE)*($AZ$15*VLOOKUP($A602,'US Grid mix, emissions&amp;prices'!$AE$2:$AI$52,3,FALSE)/100+$BA$15*VLOOKUP($A602,'US Grid mix, emissions&amp;prices'!$AE$2:$AI$52,4,FALSE)/100)/(1+$AZ$41)^H$113+VLOOKUP($A602,'VKT US'!$B$63:$AA$113,(H$168+1),FALSE)*(1-$BD$9)/VLOOKUP($A602,'Fuel economy adjusted factor'!$A$2:$K$52,10,FALSE)*VLOOKUP($A602,'US Grid mix, emissions&amp;prices'!$AE$2:$AI$52,2,FALSE)/(1+$AZ$41)^H$168</f>
        <v>867.57003821907028</v>
      </c>
      <c r="I602" s="106">
        <f>VLOOKUP($A602,'VKT US'!$B$63:$AA$113,(I$113+1),FALSE)*$BD$9/VLOOKUP($A602,'Fuel economy adjusted factor'!$A$2:$K$52,11,FALSE)*($AZ$15*VLOOKUP($A602,'US Grid mix, emissions&amp;prices'!$AE$2:$AI$52,3,FALSE)/100+$BA$15*VLOOKUP($A602,'US Grid mix, emissions&amp;prices'!$AE$2:$AI$52,4,FALSE)/100)/(1+$AZ$41)^I$113+VLOOKUP($A602,'VKT US'!$B$63:$AA$113,(I$168+1),FALSE)*(1-$BD$9)/VLOOKUP($A602,'Fuel economy adjusted factor'!$A$2:$K$52,10,FALSE)*VLOOKUP($A602,'US Grid mix, emissions&amp;prices'!$AE$2:$AI$52,2,FALSE)/(1+$AZ$41)^I$168</f>
        <v>832.78251211696568</v>
      </c>
      <c r="J602" s="106">
        <f>VLOOKUP($A602,'VKT US'!$B$63:$AA$113,(J$113+1),FALSE)*$BD$9/VLOOKUP($A602,'Fuel economy adjusted factor'!$A$2:$K$52,11,FALSE)*($AZ$15*VLOOKUP($A602,'US Grid mix, emissions&amp;prices'!$AE$2:$AI$52,3,FALSE)/100+$BA$15*VLOOKUP($A602,'US Grid mix, emissions&amp;prices'!$AE$2:$AI$52,4,FALSE)/100)/(1+$AZ$41)^J$113+VLOOKUP($A602,'VKT US'!$B$63:$AA$113,(J$168+1),FALSE)*(1-$BD$9)/VLOOKUP($A602,'Fuel economy adjusted factor'!$A$2:$K$52,10,FALSE)*VLOOKUP($A602,'US Grid mix, emissions&amp;prices'!$AE$2:$AI$52,2,FALSE)/(1+$AZ$41)^J$168</f>
        <v>799.72197354849982</v>
      </c>
      <c r="K602" s="106">
        <f>VLOOKUP($A602,'VKT US'!$B$63:$AA$113,(K$113+1),FALSE)*$BD$9/VLOOKUP($A602,'Fuel economy adjusted factor'!$A$2:$K$52,11,FALSE)*($AZ$15*VLOOKUP($A602,'US Grid mix, emissions&amp;prices'!$AE$2:$AI$52,3,FALSE)/100+$BA$15*VLOOKUP($A602,'US Grid mix, emissions&amp;prices'!$AE$2:$AI$52,4,FALSE)/100)/(1+$AZ$41)^K$113+VLOOKUP($A602,'VKT US'!$B$63:$AA$113,(K$168+1),FALSE)*(1-$BD$9)/VLOOKUP($A602,'Fuel economy adjusted factor'!$A$2:$K$52,10,FALSE)*VLOOKUP($A602,'US Grid mix, emissions&amp;prices'!$AE$2:$AI$52,2,FALSE)/(1+$AZ$41)^K$168</f>
        <v>768.34021563752822</v>
      </c>
      <c r="L602" s="106">
        <f>VLOOKUP($A602,'VKT US'!$B$63:$AA$113,(L$113+1),FALSE)*$BD$9/VLOOKUP($A602,'Fuel economy adjusted factor'!$A$2:$K$52,11,FALSE)*($AZ$15*VLOOKUP($A602,'US Grid mix, emissions&amp;prices'!$AE$2:$AI$52,3,FALSE)/100+$BA$15*VLOOKUP($A602,'US Grid mix, emissions&amp;prices'!$AE$2:$AI$52,4,FALSE)/100)/(1+$AZ$41)^L$113+VLOOKUP($A602,'VKT US'!$B$63:$AA$113,(L$168+1),FALSE)*(1-$BD$9)/VLOOKUP($A602,'Fuel economy adjusted factor'!$A$2:$K$52,10,FALSE)*VLOOKUP($A602,'US Grid mix, emissions&amp;prices'!$AE$2:$AI$52,2,FALSE)/(1+$AZ$41)^L$168</f>
        <v>738.51865934509522</v>
      </c>
      <c r="M602" s="106">
        <f>VLOOKUP($A602,'VKT US'!$B$63:$AA$113,(M$113+1),FALSE)*$BD$9/VLOOKUP($A602,'Fuel economy adjusted factor'!$A$2:$K$52,11,FALSE)*($AZ$15*VLOOKUP($A602,'US Grid mix, emissions&amp;prices'!$AE$2:$AI$52,3,FALSE)/100+$BA$15*VLOOKUP($A602,'US Grid mix, emissions&amp;prices'!$AE$2:$AI$52,4,FALSE)/100)/(1+$AZ$41)^M$113+VLOOKUP($A602,'VKT US'!$B$63:$AA$113,(M$168+1),FALSE)*(1-$BD$9)/VLOOKUP($A602,'Fuel economy adjusted factor'!$A$2:$K$52,10,FALSE)*VLOOKUP($A602,'US Grid mix, emissions&amp;prices'!$AE$2:$AI$52,2,FALSE)/(1+$AZ$41)^M$168</f>
        <v>710.28427712899065</v>
      </c>
      <c r="N602" s="106">
        <f>VLOOKUP($A602,'VKT US'!$B$63:$AA$113,(N$113+1),FALSE)*$BD$9/VLOOKUP($A602,'Fuel economy adjusted factor'!$A$2:$K$52,11,FALSE)*($AZ$15*VLOOKUP($A602,'US Grid mix, emissions&amp;prices'!$AE$2:$AI$52,3,FALSE)/100+$BA$15*VLOOKUP($A602,'US Grid mix, emissions&amp;prices'!$AE$2:$AI$52,4,FALSE)/100)/(1+$AZ$41)^N$113+VLOOKUP($A602,'VKT US'!$B$63:$AA$113,(N$168+1),FALSE)*(1-$BD$9)/VLOOKUP($A602,'Fuel economy adjusted factor'!$A$2:$K$52,10,FALSE)*VLOOKUP($A602,'US Grid mix, emissions&amp;prices'!$AE$2:$AI$52,2,FALSE)/(1+$AZ$41)^N$168</f>
        <v>683.52217350250714</v>
      </c>
      <c r="O602" s="106">
        <f>VLOOKUP($A602,'VKT US'!$B$63:$AA$113,(O$113+1),FALSE)*$BD$9/VLOOKUP($A602,'Fuel economy adjusted factor'!$A$2:$K$52,11,FALSE)*($AZ$15*VLOOKUP($A602,'US Grid mix, emissions&amp;prices'!$AE$2:$AI$52,3,FALSE)/100+$BA$15*VLOOKUP($A602,'US Grid mix, emissions&amp;prices'!$AE$2:$AI$52,4,FALSE)/100)/(1+$AZ$41)^O$113+VLOOKUP($A602,'VKT US'!$B$63:$AA$113,(O$168+1),FALSE)*(1-$BD$9)/VLOOKUP($A602,'Fuel economy adjusted factor'!$A$2:$K$52,10,FALSE)*VLOOKUP($A602,'US Grid mix, emissions&amp;prices'!$AE$2:$AI$52,2,FALSE)/(1+$AZ$41)^O$168</f>
        <v>658.25955938142931</v>
      </c>
      <c r="P602" s="106">
        <f>VLOOKUP($A602,'VKT US'!$B$63:$AA$113,(P$113+1),FALSE)*$BD$9/VLOOKUP($A602,'Fuel economy adjusted factor'!$A$2:$K$52,11,FALSE)*($AZ$15*VLOOKUP($A602,'US Grid mix, emissions&amp;prices'!$AE$2:$AI$52,3,FALSE)/100+$BA$15*VLOOKUP($A602,'US Grid mix, emissions&amp;prices'!$AE$2:$AI$52,4,FALSE)/100)/(1+$AZ$41)^P$113+VLOOKUP($A602,'VKT US'!$B$63:$AA$113,(P$168+1),FALSE)*(1-$BD$9)/VLOOKUP($A602,'Fuel economy adjusted factor'!$A$2:$K$52,10,FALSE)*VLOOKUP($A602,'US Grid mix, emissions&amp;prices'!$AE$2:$AI$52,2,FALSE)/(1+$AZ$41)^P$168</f>
        <v>634.38510870255914</v>
      </c>
      <c r="Q602" s="106">
        <f>VLOOKUP($A602,'VKT US'!$B$63:$AA$113,(Q$113+1),FALSE)*$BD$9/VLOOKUP($A602,'Fuel economy adjusted factor'!$A$2:$K$52,11,FALSE)*($AZ$15*VLOOKUP($A602,'US Grid mix, emissions&amp;prices'!$AE$2:$AI$52,3,FALSE)/100+$BA$15*VLOOKUP($A602,'US Grid mix, emissions&amp;prices'!$AE$2:$AI$52,4,FALSE)/100)/(1+$AZ$41)^Q$113+VLOOKUP($A602,'VKT US'!$B$63:$AA$113,(Q$168+1),FALSE)*(1-$BD$9)/VLOOKUP($A602,'Fuel economy adjusted factor'!$A$2:$K$52,10,FALSE)*VLOOKUP($A602,'US Grid mix, emissions&amp;prices'!$AE$2:$AI$52,2,FALSE)/(1+$AZ$41)^Q$168</f>
        <v>611.993519937256</v>
      </c>
      <c r="R602" s="106">
        <f>VLOOKUP($A602,'VKT US'!$B$63:$AA$113,(R$113+1),FALSE)*$BD$9/VLOOKUP($A602,'Fuel economy adjusted factor'!$A$2:$K$52,11,FALSE)*($AZ$15*VLOOKUP($A602,'US Grid mix, emissions&amp;prices'!$AE$2:$AI$52,3,FALSE)/100+$BA$15*VLOOKUP($A602,'US Grid mix, emissions&amp;prices'!$AE$2:$AI$52,4,FALSE)/100)/(1+$AZ$41)^R$113+VLOOKUP($A602,'VKT US'!$B$63:$AA$113,(R$168+1),FALSE)*(1-$BD$9)/VLOOKUP($A602,'Fuel economy adjusted factor'!$A$2:$K$52,10,FALSE)*VLOOKUP($A602,'US Grid mix, emissions&amp;prices'!$AE$2:$AI$52,2,FALSE)/(1+$AZ$41)^R$168</f>
        <v>590.84156477615943</v>
      </c>
      <c r="S602" s="106">
        <f>VLOOKUP($A602,'VKT US'!$B$63:$AA$113,(S$113+1),FALSE)*$BD$9/VLOOKUP($A602,'Fuel economy adjusted factor'!$A$2:$K$52,11,FALSE)*($AZ$15*VLOOKUP($A602,'US Grid mix, emissions&amp;prices'!$AE$2:$AI$52,3,FALSE)/100+$BA$15*VLOOKUP($A602,'US Grid mix, emissions&amp;prices'!$AE$2:$AI$52,4,FALSE)/100)/(1+$AZ$41)^S$113+VLOOKUP($A602,'VKT US'!$B$63:$AA$113,(S$168+1),FALSE)*(1-$BD$9)/VLOOKUP($A602,'Fuel economy adjusted factor'!$A$2:$K$52,10,FALSE)*VLOOKUP($A602,'US Grid mix, emissions&amp;prices'!$AE$2:$AI$52,2,FALSE)/(1+$AZ$41)^S$168</f>
        <v>571.09061939733829</v>
      </c>
      <c r="T602" s="106">
        <f>VLOOKUP($A602,'VKT US'!$B$63:$AA$113,(T$113+1),FALSE)*$BD$9/VLOOKUP($A602,'Fuel economy adjusted factor'!$A$2:$K$52,11,FALSE)*($AZ$15*VLOOKUP($A602,'US Grid mix, emissions&amp;prices'!$AE$2:$AI$52,3,FALSE)/100+$BA$15*VLOOKUP($A602,'US Grid mix, emissions&amp;prices'!$AE$2:$AI$52,4,FALSE)/100)/(1+$AZ$41)^T$113+VLOOKUP($A602,'VKT US'!$B$63:$AA$113,(T$168+1),FALSE)*(1-$BD$9)/VLOOKUP($A602,'Fuel economy adjusted factor'!$A$2:$K$52,10,FALSE)*VLOOKUP($A602,'US Grid mix, emissions&amp;prices'!$AE$2:$AI$52,2,FALSE)/(1+$AZ$41)^T$168</f>
        <v>552.50399800242997</v>
      </c>
      <c r="U602" s="109">
        <f>VLOOKUP($A602,'VKT US'!$B$63:$AA$113,(U$113+1),FALSE)*$BD$9/VLOOKUP($A602,'Fuel economy adjusted factor'!$A$2:$K$52,11,FALSE)*($AZ$15*VLOOKUP($A602,'US Grid mix, emissions&amp;prices'!$AE$2:$AI$52,3,FALSE)/100+$BA$15*VLOOKUP($A602,'US Grid mix, emissions&amp;prices'!$AE$2:$AI$52,4,FALSE)/100)/(1+$AZ$41)^U$113+VLOOKUP($A602,'VKT US'!$B$63:$AA$113,(U$168+1),FALSE)*(1-$BD$9)/VLOOKUP($A602,'Fuel economy adjusted factor'!$A$2:$K$52,10,FALSE)*VLOOKUP($A602,'US Grid mix, emissions&amp;prices'!$AE$2:$AI$52,2,FALSE)/(1+$AZ$41)^U$168</f>
        <v>535.24006822747822</v>
      </c>
      <c r="V602" s="110" cm="1">
        <f t="array" ref="V602">SUMPRODUCT(INDEX(B602:U602,,_xlfn.SEQUENCE($AZ$13)))</f>
        <v>12095.875227551911</v>
      </c>
    </row>
    <row r="603" spans="1:22" x14ac:dyDescent="0.25">
      <c r="A603" s="102" t="s">
        <v>228</v>
      </c>
      <c r="B603" s="106">
        <f>VLOOKUP($A603,'VKT US'!$B$63:$AA$113,(B$113+1),FALSE)*$BD$9/VLOOKUP($A603,'Fuel economy adjusted factor'!$A$2:$K$52,11,FALSE)*($AZ$15*VLOOKUP($A603,'US Grid mix, emissions&amp;prices'!$AE$2:$AI$52,3,FALSE)/100+$BA$15*VLOOKUP($A603,'US Grid mix, emissions&amp;prices'!$AE$2:$AI$52,4,FALSE)/100)/(1+$AZ$41)^B$113+VLOOKUP($A603,'VKT US'!$B$63:$AA$113,(B$168+1),FALSE)*(1-$BD$9)/VLOOKUP($A603,'Fuel economy adjusted factor'!$A$2:$K$52,10,FALSE)*VLOOKUP($A603,'US Grid mix, emissions&amp;prices'!$AE$2:$AI$52,2,FALSE)/(1+$AZ$41)^B$168</f>
        <v>1177.3114093212016</v>
      </c>
      <c r="C603" s="106">
        <f>VLOOKUP($A603,'VKT US'!$B$63:$AA$113,(C$113+1),FALSE)*$BD$9/VLOOKUP($A603,'Fuel economy adjusted factor'!$A$2:$K$52,11,FALSE)*($AZ$15*VLOOKUP($A603,'US Grid mix, emissions&amp;prices'!$AE$2:$AI$52,3,FALSE)/100+$BA$15*VLOOKUP($A603,'US Grid mix, emissions&amp;prices'!$AE$2:$AI$52,4,FALSE)/100)/(1+$AZ$41)^C$113+VLOOKUP($A603,'VKT US'!$B$63:$AA$113,(C$168+1),FALSE)*(1-$BD$9)/VLOOKUP($A603,'Fuel economy adjusted factor'!$A$2:$K$52,10,FALSE)*VLOOKUP($A603,'US Grid mix, emissions&amp;prices'!$AE$2:$AI$52,2,FALSE)/(1+$AZ$41)^C$168</f>
        <v>1128.7496434125283</v>
      </c>
      <c r="D603" s="106">
        <f>VLOOKUP($A603,'VKT US'!$B$63:$AA$113,(D$113+1),FALSE)*$BD$9/VLOOKUP($A603,'Fuel economy adjusted factor'!$A$2:$K$52,11,FALSE)*($AZ$15*VLOOKUP($A603,'US Grid mix, emissions&amp;prices'!$AE$2:$AI$52,3,FALSE)/100+$BA$15*VLOOKUP($A603,'US Grid mix, emissions&amp;prices'!$AE$2:$AI$52,4,FALSE)/100)/(1+$AZ$41)^D$113+VLOOKUP($A603,'VKT US'!$B$63:$AA$113,(D$168+1),FALSE)*(1-$BD$9)/VLOOKUP($A603,'Fuel economy adjusted factor'!$A$2:$K$52,10,FALSE)*VLOOKUP($A603,'US Grid mix, emissions&amp;prices'!$AE$2:$AI$52,2,FALSE)/(1+$AZ$41)^D$168</f>
        <v>1082.2528541242282</v>
      </c>
      <c r="E603" s="106">
        <f>VLOOKUP($A603,'VKT US'!$B$63:$AA$113,(E$113+1),FALSE)*$BD$9/VLOOKUP($A603,'Fuel economy adjusted factor'!$A$2:$K$52,11,FALSE)*($AZ$15*VLOOKUP($A603,'US Grid mix, emissions&amp;prices'!$AE$2:$AI$52,3,FALSE)/100+$BA$15*VLOOKUP($A603,'US Grid mix, emissions&amp;prices'!$AE$2:$AI$52,4,FALSE)/100)/(1+$AZ$41)^E$113+VLOOKUP($A603,'VKT US'!$B$63:$AA$113,(E$168+1),FALSE)*(1-$BD$9)/VLOOKUP($A603,'Fuel economy adjusted factor'!$A$2:$K$52,10,FALSE)*VLOOKUP($A603,'US Grid mix, emissions&amp;prices'!$AE$2:$AI$52,2,FALSE)/(1+$AZ$41)^E$168</f>
        <v>1037.8481094586934</v>
      </c>
      <c r="F603" s="106">
        <f>VLOOKUP($A603,'VKT US'!$B$63:$AA$113,(F$113+1),FALSE)*$BD$9/VLOOKUP($A603,'Fuel economy adjusted factor'!$A$2:$K$52,11,FALSE)*($AZ$15*VLOOKUP($A603,'US Grid mix, emissions&amp;prices'!$AE$2:$AI$52,3,FALSE)/100+$BA$15*VLOOKUP($A603,'US Grid mix, emissions&amp;prices'!$AE$2:$AI$52,4,FALSE)/100)/(1+$AZ$41)^F$113+VLOOKUP($A603,'VKT US'!$B$63:$AA$113,(F$168+1),FALSE)*(1-$BD$9)/VLOOKUP($A603,'Fuel economy adjusted factor'!$A$2:$K$52,10,FALSE)*VLOOKUP($A603,'US Grid mix, emissions&amp;prices'!$AE$2:$AI$52,2,FALSE)/(1+$AZ$41)^F$168</f>
        <v>995.39768796803946</v>
      </c>
      <c r="G603" s="106">
        <f>VLOOKUP($A603,'VKT US'!$B$63:$AA$113,(G$113+1),FALSE)*$BD$9/VLOOKUP($A603,'Fuel economy adjusted factor'!$A$2:$K$52,11,FALSE)*($AZ$15*VLOOKUP($A603,'US Grid mix, emissions&amp;prices'!$AE$2:$AI$52,3,FALSE)/100+$BA$15*VLOOKUP($A603,'US Grid mix, emissions&amp;prices'!$AE$2:$AI$52,4,FALSE)/100)/(1+$AZ$41)^G$113+VLOOKUP($A603,'VKT US'!$B$63:$AA$113,(G$168+1),FALSE)*(1-$BD$9)/VLOOKUP($A603,'Fuel economy adjusted factor'!$A$2:$K$52,10,FALSE)*VLOOKUP($A603,'US Grid mix, emissions&amp;prices'!$AE$2:$AI$52,2,FALSE)/(1+$AZ$41)^G$168</f>
        <v>955.00913688898402</v>
      </c>
      <c r="H603" s="106">
        <f>VLOOKUP($A603,'VKT US'!$B$63:$AA$113,(H$113+1),FALSE)*$BD$9/VLOOKUP($A603,'Fuel economy adjusted factor'!$A$2:$K$52,11,FALSE)*($AZ$15*VLOOKUP($A603,'US Grid mix, emissions&amp;prices'!$AE$2:$AI$52,3,FALSE)/100+$BA$15*VLOOKUP($A603,'US Grid mix, emissions&amp;prices'!$AE$2:$AI$52,4,FALSE)/100)/(1+$AZ$41)^H$113+VLOOKUP($A603,'VKT US'!$B$63:$AA$113,(H$168+1),FALSE)*(1-$BD$9)/VLOOKUP($A603,'Fuel economy adjusted factor'!$A$2:$K$52,10,FALSE)*VLOOKUP($A603,'US Grid mix, emissions&amp;prices'!$AE$2:$AI$52,2,FALSE)/(1+$AZ$41)^H$168</f>
        <v>916.38791974698938</v>
      </c>
      <c r="I603" s="106">
        <f>VLOOKUP($A603,'VKT US'!$B$63:$AA$113,(I$113+1),FALSE)*$BD$9/VLOOKUP($A603,'Fuel economy adjusted factor'!$A$2:$K$52,11,FALSE)*($AZ$15*VLOOKUP($A603,'US Grid mix, emissions&amp;prices'!$AE$2:$AI$52,3,FALSE)/100+$BA$15*VLOOKUP($A603,'US Grid mix, emissions&amp;prices'!$AE$2:$AI$52,4,FALSE)/100)/(1+$AZ$41)^I$113+VLOOKUP($A603,'VKT US'!$B$63:$AA$113,(I$168+1),FALSE)*(1-$BD$9)/VLOOKUP($A603,'Fuel economy adjusted factor'!$A$2:$K$52,10,FALSE)*VLOOKUP($A603,'US Grid mix, emissions&amp;prices'!$AE$2:$AI$52,2,FALSE)/(1+$AZ$41)^I$168</f>
        <v>879.64291095981162</v>
      </c>
      <c r="J603" s="106">
        <f>VLOOKUP($A603,'VKT US'!$B$63:$AA$113,(J$113+1),FALSE)*$BD$9/VLOOKUP($A603,'Fuel economy adjusted factor'!$A$2:$K$52,11,FALSE)*($AZ$15*VLOOKUP($A603,'US Grid mix, emissions&amp;prices'!$AE$2:$AI$52,3,FALSE)/100+$BA$15*VLOOKUP($A603,'US Grid mix, emissions&amp;prices'!$AE$2:$AI$52,4,FALSE)/100)/(1+$AZ$41)^J$113+VLOOKUP($A603,'VKT US'!$B$63:$AA$113,(J$168+1),FALSE)*(1-$BD$9)/VLOOKUP($A603,'Fuel economy adjusted factor'!$A$2:$K$52,10,FALSE)*VLOOKUP($A603,'US Grid mix, emissions&amp;prices'!$AE$2:$AI$52,2,FALSE)/(1+$AZ$41)^J$168</f>
        <v>844.72206672841912</v>
      </c>
      <c r="K603" s="106">
        <f>VLOOKUP($A603,'VKT US'!$B$63:$AA$113,(K$113+1),FALSE)*$BD$9/VLOOKUP($A603,'Fuel economy adjusted factor'!$A$2:$K$52,11,FALSE)*($AZ$15*VLOOKUP($A603,'US Grid mix, emissions&amp;prices'!$AE$2:$AI$52,3,FALSE)/100+$BA$15*VLOOKUP($A603,'US Grid mix, emissions&amp;prices'!$AE$2:$AI$52,4,FALSE)/100)/(1+$AZ$41)^K$113+VLOOKUP($A603,'VKT US'!$B$63:$AA$113,(K$168+1),FALSE)*(1-$BD$9)/VLOOKUP($A603,'Fuel economy adjusted factor'!$A$2:$K$52,10,FALSE)*VLOOKUP($A603,'US Grid mix, emissions&amp;prices'!$AE$2:$AI$52,2,FALSE)/(1+$AZ$41)^K$168</f>
        <v>811.57446759155596</v>
      </c>
      <c r="L603" s="106">
        <f>VLOOKUP($A603,'VKT US'!$B$63:$AA$113,(L$113+1),FALSE)*$BD$9/VLOOKUP($A603,'Fuel economy adjusted factor'!$A$2:$K$52,11,FALSE)*($AZ$15*VLOOKUP($A603,'US Grid mix, emissions&amp;prices'!$AE$2:$AI$52,3,FALSE)/100+$BA$15*VLOOKUP($A603,'US Grid mix, emissions&amp;prices'!$AE$2:$AI$52,4,FALSE)/100)/(1+$AZ$41)^L$113+VLOOKUP($A603,'VKT US'!$B$63:$AA$113,(L$168+1),FALSE)*(1-$BD$9)/VLOOKUP($A603,'Fuel economy adjusted factor'!$A$2:$K$52,10,FALSE)*VLOOKUP($A603,'US Grid mix, emissions&amp;prices'!$AE$2:$AI$52,2,FALSE)/(1+$AZ$41)^L$168</f>
        <v>780.07486210663262</v>
      </c>
      <c r="M603" s="106">
        <f>VLOOKUP($A603,'VKT US'!$B$63:$AA$113,(M$113+1),FALSE)*$BD$9/VLOOKUP($A603,'Fuel economy adjusted factor'!$A$2:$K$52,11,FALSE)*($AZ$15*VLOOKUP($A603,'US Grid mix, emissions&amp;prices'!$AE$2:$AI$52,3,FALSE)/100+$BA$15*VLOOKUP($A603,'US Grid mix, emissions&amp;prices'!$AE$2:$AI$52,4,FALSE)/100)/(1+$AZ$41)^M$113+VLOOKUP($A603,'VKT US'!$B$63:$AA$113,(M$168+1),FALSE)*(1-$BD$9)/VLOOKUP($A603,'Fuel economy adjusted factor'!$A$2:$K$52,10,FALSE)*VLOOKUP($A603,'US Grid mix, emissions&amp;prices'!$AE$2:$AI$52,2,FALSE)/(1+$AZ$41)^M$168</f>
        <v>750.25174046279358</v>
      </c>
      <c r="N603" s="106">
        <f>VLOOKUP($A603,'VKT US'!$B$63:$AA$113,(N$113+1),FALSE)*$BD$9/VLOOKUP($A603,'Fuel economy adjusted factor'!$A$2:$K$52,11,FALSE)*($AZ$15*VLOOKUP($A603,'US Grid mix, emissions&amp;prices'!$AE$2:$AI$52,3,FALSE)/100+$BA$15*VLOOKUP($A603,'US Grid mix, emissions&amp;prices'!$AE$2:$AI$52,4,FALSE)/100)/(1+$AZ$41)^N$113+VLOOKUP($A603,'VKT US'!$B$63:$AA$113,(N$168+1),FALSE)*(1-$BD$9)/VLOOKUP($A603,'Fuel economy adjusted factor'!$A$2:$K$52,10,FALSE)*VLOOKUP($A603,'US Grid mix, emissions&amp;prices'!$AE$2:$AI$52,2,FALSE)/(1+$AZ$41)^N$168</f>
        <v>721.98374204197466</v>
      </c>
      <c r="O603" s="106">
        <f>VLOOKUP($A603,'VKT US'!$B$63:$AA$113,(O$113+1),FALSE)*$BD$9/VLOOKUP($A603,'Fuel economy adjusted factor'!$A$2:$K$52,11,FALSE)*($AZ$15*VLOOKUP($A603,'US Grid mix, emissions&amp;prices'!$AE$2:$AI$52,3,FALSE)/100+$BA$15*VLOOKUP($A603,'US Grid mix, emissions&amp;prices'!$AE$2:$AI$52,4,FALSE)/100)/(1+$AZ$41)^O$113+VLOOKUP($A603,'VKT US'!$B$63:$AA$113,(O$168+1),FALSE)*(1-$BD$9)/VLOOKUP($A603,'Fuel economy adjusted factor'!$A$2:$K$52,10,FALSE)*VLOOKUP($A603,'US Grid mix, emissions&amp;prices'!$AE$2:$AI$52,2,FALSE)/(1+$AZ$41)^O$168</f>
        <v>695.29960890926748</v>
      </c>
      <c r="P603" s="106">
        <f>VLOOKUP($A603,'VKT US'!$B$63:$AA$113,(P$113+1),FALSE)*$BD$9/VLOOKUP($A603,'Fuel economy adjusted factor'!$A$2:$K$52,11,FALSE)*($AZ$15*VLOOKUP($A603,'US Grid mix, emissions&amp;prices'!$AE$2:$AI$52,3,FALSE)/100+$BA$15*VLOOKUP($A603,'US Grid mix, emissions&amp;prices'!$AE$2:$AI$52,4,FALSE)/100)/(1+$AZ$41)^P$113+VLOOKUP($A603,'VKT US'!$B$63:$AA$113,(P$168+1),FALSE)*(1-$BD$9)/VLOOKUP($A603,'Fuel economy adjusted factor'!$A$2:$K$52,10,FALSE)*VLOOKUP($A603,'US Grid mix, emissions&amp;prices'!$AE$2:$AI$52,2,FALSE)/(1+$AZ$41)^P$168</f>
        <v>670.08175072040808</v>
      </c>
      <c r="Q603" s="106">
        <f>VLOOKUP($A603,'VKT US'!$B$63:$AA$113,(Q$113+1),FALSE)*$BD$9/VLOOKUP($A603,'Fuel economy adjusted factor'!$A$2:$K$52,11,FALSE)*($AZ$15*VLOOKUP($A603,'US Grid mix, emissions&amp;prices'!$AE$2:$AI$52,3,FALSE)/100+$BA$15*VLOOKUP($A603,'US Grid mix, emissions&amp;prices'!$AE$2:$AI$52,4,FALSE)/100)/(1+$AZ$41)^Q$113+VLOOKUP($A603,'VKT US'!$B$63:$AA$113,(Q$168+1),FALSE)*(1-$BD$9)/VLOOKUP($A603,'Fuel economy adjusted factor'!$A$2:$K$52,10,FALSE)*VLOOKUP($A603,'US Grid mix, emissions&amp;prices'!$AE$2:$AI$52,2,FALSE)/(1+$AZ$41)^Q$168</f>
        <v>646.43019459868196</v>
      </c>
      <c r="R603" s="106">
        <f>VLOOKUP($A603,'VKT US'!$B$63:$AA$113,(R$113+1),FALSE)*$BD$9/VLOOKUP($A603,'Fuel economy adjusted factor'!$A$2:$K$52,11,FALSE)*($AZ$15*VLOOKUP($A603,'US Grid mix, emissions&amp;prices'!$AE$2:$AI$52,3,FALSE)/100+$BA$15*VLOOKUP($A603,'US Grid mix, emissions&amp;prices'!$AE$2:$AI$52,4,FALSE)/100)/(1+$AZ$41)^R$113+VLOOKUP($A603,'VKT US'!$B$63:$AA$113,(R$168+1),FALSE)*(1-$BD$9)/VLOOKUP($A603,'Fuel economy adjusted factor'!$A$2:$K$52,10,FALSE)*VLOOKUP($A603,'US Grid mix, emissions&amp;prices'!$AE$2:$AI$52,2,FALSE)/(1+$AZ$41)^R$168</f>
        <v>624.08802585752915</v>
      </c>
      <c r="S603" s="106">
        <f>VLOOKUP($A603,'VKT US'!$B$63:$AA$113,(S$113+1),FALSE)*$BD$9/VLOOKUP($A603,'Fuel economy adjusted factor'!$A$2:$K$52,11,FALSE)*($AZ$15*VLOOKUP($A603,'US Grid mix, emissions&amp;prices'!$AE$2:$AI$52,3,FALSE)/100+$BA$15*VLOOKUP($A603,'US Grid mix, emissions&amp;prices'!$AE$2:$AI$52,4,FALSE)/100)/(1+$AZ$41)^S$113+VLOOKUP($A603,'VKT US'!$B$63:$AA$113,(S$168+1),FALSE)*(1-$BD$9)/VLOOKUP($A603,'Fuel economy adjusted factor'!$A$2:$K$52,10,FALSE)*VLOOKUP($A603,'US Grid mix, emissions&amp;prices'!$AE$2:$AI$52,2,FALSE)/(1+$AZ$41)^S$168</f>
        <v>603.22570125963443</v>
      </c>
      <c r="T603" s="106">
        <f>VLOOKUP($A603,'VKT US'!$B$63:$AA$113,(T$113+1),FALSE)*$BD$9/VLOOKUP($A603,'Fuel economy adjusted factor'!$A$2:$K$52,11,FALSE)*($AZ$15*VLOOKUP($A603,'US Grid mix, emissions&amp;prices'!$AE$2:$AI$52,3,FALSE)/100+$BA$15*VLOOKUP($A603,'US Grid mix, emissions&amp;prices'!$AE$2:$AI$52,4,FALSE)/100)/(1+$AZ$41)^T$113+VLOOKUP($A603,'VKT US'!$B$63:$AA$113,(T$168+1),FALSE)*(1-$BD$9)/VLOOKUP($A603,'Fuel economy adjusted factor'!$A$2:$K$52,10,FALSE)*VLOOKUP($A603,'US Grid mix, emissions&amp;prices'!$AE$2:$AI$52,2,FALSE)/(1+$AZ$41)^T$168</f>
        <v>583.59321677438288</v>
      </c>
      <c r="U603" s="109">
        <f>VLOOKUP($A603,'VKT US'!$B$63:$AA$113,(U$113+1),FALSE)*$BD$9/VLOOKUP($A603,'Fuel economy adjusted factor'!$A$2:$K$52,11,FALSE)*($AZ$15*VLOOKUP($A603,'US Grid mix, emissions&amp;prices'!$AE$2:$AI$52,3,FALSE)/100+$BA$15*VLOOKUP($A603,'US Grid mix, emissions&amp;prices'!$AE$2:$AI$52,4,FALSE)/100)/(1+$AZ$41)^U$113+VLOOKUP($A603,'VKT US'!$B$63:$AA$113,(U$168+1),FALSE)*(1-$BD$9)/VLOOKUP($A603,'Fuel economy adjusted factor'!$A$2:$K$52,10,FALSE)*VLOOKUP($A603,'US Grid mix, emissions&amp;prices'!$AE$2:$AI$52,2,FALSE)/(1+$AZ$41)^U$168</f>
        <v>565.35785133276158</v>
      </c>
      <c r="V603" s="110" cm="1">
        <f t="array" ref="V603">SUMPRODUCT(INDEX(B603:U603,,_xlfn.SEQUENCE($AZ$13)))</f>
        <v>12776.506159721119</v>
      </c>
    </row>
    <row r="604" spans="1:22" x14ac:dyDescent="0.25">
      <c r="A604" s="102" t="s">
        <v>227</v>
      </c>
      <c r="B604" s="106">
        <f>VLOOKUP($A604,'VKT US'!$B$63:$AA$113,(B$113+1),FALSE)*$BD$9/VLOOKUP($A604,'Fuel economy adjusted factor'!$A$2:$K$52,11,FALSE)*($AZ$15*VLOOKUP($A604,'US Grid mix, emissions&amp;prices'!$AE$2:$AI$52,3,FALSE)/100+$BA$15*VLOOKUP($A604,'US Grid mix, emissions&amp;prices'!$AE$2:$AI$52,4,FALSE)/100)/(1+$AZ$41)^B$113+VLOOKUP($A604,'VKT US'!$B$63:$AA$113,(B$168+1),FALSE)*(1-$BD$9)/VLOOKUP($A604,'Fuel economy adjusted factor'!$A$2:$K$52,10,FALSE)*VLOOKUP($A604,'US Grid mix, emissions&amp;prices'!$AE$2:$AI$52,2,FALSE)/(1+$AZ$41)^B$168</f>
        <v>1027.3798385975915</v>
      </c>
      <c r="C604" s="106">
        <f>VLOOKUP($A604,'VKT US'!$B$63:$AA$113,(C$113+1),FALSE)*$BD$9/VLOOKUP($A604,'Fuel economy adjusted factor'!$A$2:$K$52,11,FALSE)*($AZ$15*VLOOKUP($A604,'US Grid mix, emissions&amp;prices'!$AE$2:$AI$52,3,FALSE)/100+$BA$15*VLOOKUP($A604,'US Grid mix, emissions&amp;prices'!$AE$2:$AI$52,4,FALSE)/100)/(1+$AZ$41)^C$113+VLOOKUP($A604,'VKT US'!$B$63:$AA$113,(C$168+1),FALSE)*(1-$BD$9)/VLOOKUP($A604,'Fuel economy adjusted factor'!$A$2:$K$52,10,FALSE)*VLOOKUP($A604,'US Grid mix, emissions&amp;prices'!$AE$2:$AI$52,2,FALSE)/(1+$AZ$41)^C$168</f>
        <v>985.00245328877827</v>
      </c>
      <c r="D604" s="106">
        <f>VLOOKUP($A604,'VKT US'!$B$63:$AA$113,(D$113+1),FALSE)*$BD$9/VLOOKUP($A604,'Fuel economy adjusted factor'!$A$2:$K$52,11,FALSE)*($AZ$15*VLOOKUP($A604,'US Grid mix, emissions&amp;prices'!$AE$2:$AI$52,3,FALSE)/100+$BA$15*VLOOKUP($A604,'US Grid mix, emissions&amp;prices'!$AE$2:$AI$52,4,FALSE)/100)/(1+$AZ$41)^D$113+VLOOKUP($A604,'VKT US'!$B$63:$AA$113,(D$168+1),FALSE)*(1-$BD$9)/VLOOKUP($A604,'Fuel economy adjusted factor'!$A$2:$K$52,10,FALSE)*VLOOKUP($A604,'US Grid mix, emissions&amp;prices'!$AE$2:$AI$52,2,FALSE)/(1+$AZ$41)^D$168</f>
        <v>944.42706813909831</v>
      </c>
      <c r="E604" s="106">
        <f>VLOOKUP($A604,'VKT US'!$B$63:$AA$113,(E$113+1),FALSE)*$BD$9/VLOOKUP($A604,'Fuel economy adjusted factor'!$A$2:$K$52,11,FALSE)*($AZ$15*VLOOKUP($A604,'US Grid mix, emissions&amp;prices'!$AE$2:$AI$52,3,FALSE)/100+$BA$15*VLOOKUP($A604,'US Grid mix, emissions&amp;prices'!$AE$2:$AI$52,4,FALSE)/100)/(1+$AZ$41)^E$113+VLOOKUP($A604,'VKT US'!$B$63:$AA$113,(E$168+1),FALSE)*(1-$BD$9)/VLOOKUP($A604,'Fuel economy adjusted factor'!$A$2:$K$52,10,FALSE)*VLOOKUP($A604,'US Grid mix, emissions&amp;prices'!$AE$2:$AI$52,2,FALSE)/(1+$AZ$41)^E$168</f>
        <v>905.67730401870517</v>
      </c>
      <c r="F604" s="106">
        <f>VLOOKUP($A604,'VKT US'!$B$63:$AA$113,(F$113+1),FALSE)*$BD$9/VLOOKUP($A604,'Fuel economy adjusted factor'!$A$2:$K$52,11,FALSE)*($AZ$15*VLOOKUP($A604,'US Grid mix, emissions&amp;prices'!$AE$2:$AI$52,3,FALSE)/100+$BA$15*VLOOKUP($A604,'US Grid mix, emissions&amp;prices'!$AE$2:$AI$52,4,FALSE)/100)/(1+$AZ$41)^F$113+VLOOKUP($A604,'VKT US'!$B$63:$AA$113,(F$168+1),FALSE)*(1-$BD$9)/VLOOKUP($A604,'Fuel economy adjusted factor'!$A$2:$K$52,10,FALSE)*VLOOKUP($A604,'US Grid mix, emissions&amp;prices'!$AE$2:$AI$52,2,FALSE)/(1+$AZ$41)^F$168</f>
        <v>868.6329784187235</v>
      </c>
      <c r="G604" s="106">
        <f>VLOOKUP($A604,'VKT US'!$B$63:$AA$113,(G$113+1),FALSE)*$BD$9/VLOOKUP($A604,'Fuel economy adjusted factor'!$A$2:$K$52,11,FALSE)*($AZ$15*VLOOKUP($A604,'US Grid mix, emissions&amp;prices'!$AE$2:$AI$52,3,FALSE)/100+$BA$15*VLOOKUP($A604,'US Grid mix, emissions&amp;prices'!$AE$2:$AI$52,4,FALSE)/100)/(1+$AZ$41)^G$113+VLOOKUP($A604,'VKT US'!$B$63:$AA$113,(G$168+1),FALSE)*(1-$BD$9)/VLOOKUP($A604,'Fuel economy adjusted factor'!$A$2:$K$52,10,FALSE)*VLOOKUP($A604,'US Grid mix, emissions&amp;prices'!$AE$2:$AI$52,2,FALSE)/(1+$AZ$41)^G$168</f>
        <v>833.38794234732859</v>
      </c>
      <c r="H604" s="106">
        <f>VLOOKUP($A604,'VKT US'!$B$63:$AA$113,(H$113+1),FALSE)*$BD$9/VLOOKUP($A604,'Fuel economy adjusted factor'!$A$2:$K$52,11,FALSE)*($AZ$15*VLOOKUP($A604,'US Grid mix, emissions&amp;prices'!$AE$2:$AI$52,3,FALSE)/100+$BA$15*VLOOKUP($A604,'US Grid mix, emissions&amp;prices'!$AE$2:$AI$52,4,FALSE)/100)/(1+$AZ$41)^H$113+VLOOKUP($A604,'VKT US'!$B$63:$AA$113,(H$168+1),FALSE)*(1-$BD$9)/VLOOKUP($A604,'Fuel economy adjusted factor'!$A$2:$K$52,10,FALSE)*VLOOKUP($A604,'US Grid mix, emissions&amp;prices'!$AE$2:$AI$52,2,FALSE)/(1+$AZ$41)^H$168</f>
        <v>799.68516879087224</v>
      </c>
      <c r="I604" s="106">
        <f>VLOOKUP($A604,'VKT US'!$B$63:$AA$113,(I$113+1),FALSE)*$BD$9/VLOOKUP($A604,'Fuel economy adjusted factor'!$A$2:$K$52,11,FALSE)*($AZ$15*VLOOKUP($A604,'US Grid mix, emissions&amp;prices'!$AE$2:$AI$52,3,FALSE)/100+$BA$15*VLOOKUP($A604,'US Grid mix, emissions&amp;prices'!$AE$2:$AI$52,4,FALSE)/100)/(1+$AZ$41)^I$113+VLOOKUP($A604,'VKT US'!$B$63:$AA$113,(I$168+1),FALSE)*(1-$BD$9)/VLOOKUP($A604,'Fuel economy adjusted factor'!$A$2:$K$52,10,FALSE)*VLOOKUP($A604,'US Grid mix, emissions&amp;prices'!$AE$2:$AI$52,2,FALSE)/(1+$AZ$41)^I$168</f>
        <v>767.61966692097735</v>
      </c>
      <c r="J604" s="106">
        <f>VLOOKUP($A604,'VKT US'!$B$63:$AA$113,(J$113+1),FALSE)*$BD$9/VLOOKUP($A604,'Fuel economy adjusted factor'!$A$2:$K$52,11,FALSE)*($AZ$15*VLOOKUP($A604,'US Grid mix, emissions&amp;prices'!$AE$2:$AI$52,3,FALSE)/100+$BA$15*VLOOKUP($A604,'US Grid mix, emissions&amp;prices'!$AE$2:$AI$52,4,FALSE)/100)/(1+$AZ$41)^J$113+VLOOKUP($A604,'VKT US'!$B$63:$AA$113,(J$168+1),FALSE)*(1-$BD$9)/VLOOKUP($A604,'Fuel economy adjusted factor'!$A$2:$K$52,10,FALSE)*VLOOKUP($A604,'US Grid mix, emissions&amp;prices'!$AE$2:$AI$52,2,FALSE)/(1+$AZ$41)^J$168</f>
        <v>737.14602075897733</v>
      </c>
      <c r="K604" s="106">
        <f>VLOOKUP($A604,'VKT US'!$B$63:$AA$113,(K$113+1),FALSE)*$BD$9/VLOOKUP($A604,'Fuel economy adjusted factor'!$A$2:$K$52,11,FALSE)*($AZ$15*VLOOKUP($A604,'US Grid mix, emissions&amp;prices'!$AE$2:$AI$52,3,FALSE)/100+$BA$15*VLOOKUP($A604,'US Grid mix, emissions&amp;prices'!$AE$2:$AI$52,4,FALSE)/100)/(1+$AZ$41)^K$113+VLOOKUP($A604,'VKT US'!$B$63:$AA$113,(K$168+1),FALSE)*(1-$BD$9)/VLOOKUP($A604,'Fuel economy adjusted factor'!$A$2:$K$52,10,FALSE)*VLOOKUP($A604,'US Grid mix, emissions&amp;prices'!$AE$2:$AI$52,2,FALSE)/(1+$AZ$41)^K$168</f>
        <v>708.21979547864703</v>
      </c>
      <c r="L604" s="106">
        <f>VLOOKUP($A604,'VKT US'!$B$63:$AA$113,(L$113+1),FALSE)*$BD$9/VLOOKUP($A604,'Fuel economy adjusted factor'!$A$2:$K$52,11,FALSE)*($AZ$15*VLOOKUP($A604,'US Grid mix, emissions&amp;prices'!$AE$2:$AI$52,3,FALSE)/100+$BA$15*VLOOKUP($A604,'US Grid mix, emissions&amp;prices'!$AE$2:$AI$52,4,FALSE)/100)/(1+$AZ$41)^L$113+VLOOKUP($A604,'VKT US'!$B$63:$AA$113,(L$168+1),FALSE)*(1-$BD$9)/VLOOKUP($A604,'Fuel economy adjusted factor'!$A$2:$K$52,10,FALSE)*VLOOKUP($A604,'US Grid mix, emissions&amp;prices'!$AE$2:$AI$52,2,FALSE)/(1+$AZ$41)^L$168</f>
        <v>680.73169051103514</v>
      </c>
      <c r="M604" s="106">
        <f>VLOOKUP($A604,'VKT US'!$B$63:$AA$113,(M$113+1),FALSE)*$BD$9/VLOOKUP($A604,'Fuel economy adjusted factor'!$A$2:$K$52,11,FALSE)*($AZ$15*VLOOKUP($A604,'US Grid mix, emissions&amp;prices'!$AE$2:$AI$52,3,FALSE)/100+$BA$15*VLOOKUP($A604,'US Grid mix, emissions&amp;prices'!$AE$2:$AI$52,4,FALSE)/100)/(1+$AZ$41)^M$113+VLOOKUP($A604,'VKT US'!$B$63:$AA$113,(M$168+1),FALSE)*(1-$BD$9)/VLOOKUP($A604,'Fuel economy adjusted factor'!$A$2:$K$52,10,FALSE)*VLOOKUP($A604,'US Grid mix, emissions&amp;prices'!$AE$2:$AI$52,2,FALSE)/(1+$AZ$41)^M$168</f>
        <v>654.70656779640058</v>
      </c>
      <c r="N604" s="106">
        <f>VLOOKUP($A604,'VKT US'!$B$63:$AA$113,(N$113+1),FALSE)*$BD$9/VLOOKUP($A604,'Fuel economy adjusted factor'!$A$2:$K$52,11,FALSE)*($AZ$15*VLOOKUP($A604,'US Grid mix, emissions&amp;prices'!$AE$2:$AI$52,3,FALSE)/100+$BA$15*VLOOKUP($A604,'US Grid mix, emissions&amp;prices'!$AE$2:$AI$52,4,FALSE)/100)/(1+$AZ$41)^N$113+VLOOKUP($A604,'VKT US'!$B$63:$AA$113,(N$168+1),FALSE)*(1-$BD$9)/VLOOKUP($A604,'Fuel economy adjusted factor'!$A$2:$K$52,10,FALSE)*VLOOKUP($A604,'US Grid mix, emissions&amp;prices'!$AE$2:$AI$52,2,FALSE)/(1+$AZ$41)^N$168</f>
        <v>630.03852209063211</v>
      </c>
      <c r="O604" s="106">
        <f>VLOOKUP($A604,'VKT US'!$B$63:$AA$113,(O$113+1),FALSE)*$BD$9/VLOOKUP($A604,'Fuel economy adjusted factor'!$A$2:$K$52,11,FALSE)*($AZ$15*VLOOKUP($A604,'US Grid mix, emissions&amp;prices'!$AE$2:$AI$52,3,FALSE)/100+$BA$15*VLOOKUP($A604,'US Grid mix, emissions&amp;prices'!$AE$2:$AI$52,4,FALSE)/100)/(1+$AZ$41)^O$113+VLOOKUP($A604,'VKT US'!$B$63:$AA$113,(O$168+1),FALSE)*(1-$BD$9)/VLOOKUP($A604,'Fuel economy adjusted factor'!$A$2:$K$52,10,FALSE)*VLOOKUP($A604,'US Grid mix, emissions&amp;prices'!$AE$2:$AI$52,2,FALSE)/(1+$AZ$41)^O$168</f>
        <v>606.75263513332845</v>
      </c>
      <c r="P604" s="106">
        <f>VLOOKUP($A604,'VKT US'!$B$63:$AA$113,(P$113+1),FALSE)*$BD$9/VLOOKUP($A604,'Fuel economy adjusted factor'!$A$2:$K$52,11,FALSE)*($AZ$15*VLOOKUP($A604,'US Grid mix, emissions&amp;prices'!$AE$2:$AI$52,3,FALSE)/100+$BA$15*VLOOKUP($A604,'US Grid mix, emissions&amp;prices'!$AE$2:$AI$52,4,FALSE)/100)/(1+$AZ$41)^P$113+VLOOKUP($A604,'VKT US'!$B$63:$AA$113,(P$168+1),FALSE)*(1-$BD$9)/VLOOKUP($A604,'Fuel economy adjusted factor'!$A$2:$K$52,10,FALSE)*VLOOKUP($A604,'US Grid mix, emissions&amp;prices'!$AE$2:$AI$52,2,FALSE)/(1+$AZ$41)^P$168</f>
        <v>584.74629180672707</v>
      </c>
      <c r="Q604" s="106">
        <f>VLOOKUP($A604,'VKT US'!$B$63:$AA$113,(Q$113+1),FALSE)*$BD$9/VLOOKUP($A604,'Fuel economy adjusted factor'!$A$2:$K$52,11,FALSE)*($AZ$15*VLOOKUP($A604,'US Grid mix, emissions&amp;prices'!$AE$2:$AI$52,3,FALSE)/100+$BA$15*VLOOKUP($A604,'US Grid mix, emissions&amp;prices'!$AE$2:$AI$52,4,FALSE)/100)/(1+$AZ$41)^Q$113+VLOOKUP($A604,'VKT US'!$B$63:$AA$113,(Q$168+1),FALSE)*(1-$BD$9)/VLOOKUP($A604,'Fuel economy adjusted factor'!$A$2:$K$52,10,FALSE)*VLOOKUP($A604,'US Grid mix, emissions&amp;prices'!$AE$2:$AI$52,2,FALSE)/(1+$AZ$41)^Q$168</f>
        <v>564.10678069816595</v>
      </c>
      <c r="R604" s="106">
        <f>VLOOKUP($A604,'VKT US'!$B$63:$AA$113,(R$113+1),FALSE)*$BD$9/VLOOKUP($A604,'Fuel economy adjusted factor'!$A$2:$K$52,11,FALSE)*($AZ$15*VLOOKUP($A604,'US Grid mix, emissions&amp;prices'!$AE$2:$AI$52,3,FALSE)/100+$BA$15*VLOOKUP($A604,'US Grid mix, emissions&amp;prices'!$AE$2:$AI$52,4,FALSE)/100)/(1+$AZ$41)^R$113+VLOOKUP($A604,'VKT US'!$B$63:$AA$113,(R$168+1),FALSE)*(1-$BD$9)/VLOOKUP($A604,'Fuel economy adjusted factor'!$A$2:$K$52,10,FALSE)*VLOOKUP($A604,'US Grid mix, emissions&amp;prices'!$AE$2:$AI$52,2,FALSE)/(1+$AZ$41)^R$168</f>
        <v>544.60990541651029</v>
      </c>
      <c r="S604" s="106">
        <f>VLOOKUP($A604,'VKT US'!$B$63:$AA$113,(S$113+1),FALSE)*$BD$9/VLOOKUP($A604,'Fuel economy adjusted factor'!$A$2:$K$52,11,FALSE)*($AZ$15*VLOOKUP($A604,'US Grid mix, emissions&amp;prices'!$AE$2:$AI$52,3,FALSE)/100+$BA$15*VLOOKUP($A604,'US Grid mix, emissions&amp;prices'!$AE$2:$AI$52,4,FALSE)/100)/(1+$AZ$41)^S$113+VLOOKUP($A604,'VKT US'!$B$63:$AA$113,(S$168+1),FALSE)*(1-$BD$9)/VLOOKUP($A604,'Fuel economy adjusted factor'!$A$2:$K$52,10,FALSE)*VLOOKUP($A604,'US Grid mix, emissions&amp;prices'!$AE$2:$AI$52,2,FALSE)/(1+$AZ$41)^S$168</f>
        <v>526.40441491632589</v>
      </c>
      <c r="T604" s="106">
        <f>VLOOKUP($A604,'VKT US'!$B$63:$AA$113,(T$113+1),FALSE)*$BD$9/VLOOKUP($A604,'Fuel economy adjusted factor'!$A$2:$K$52,11,FALSE)*($AZ$15*VLOOKUP($A604,'US Grid mix, emissions&amp;prices'!$AE$2:$AI$52,3,FALSE)/100+$BA$15*VLOOKUP($A604,'US Grid mix, emissions&amp;prices'!$AE$2:$AI$52,4,FALSE)/100)/(1+$AZ$41)^T$113+VLOOKUP($A604,'VKT US'!$B$63:$AA$113,(T$168+1),FALSE)*(1-$BD$9)/VLOOKUP($A604,'Fuel economy adjusted factor'!$A$2:$K$52,10,FALSE)*VLOOKUP($A604,'US Grid mix, emissions&amp;prices'!$AE$2:$AI$52,2,FALSE)/(1+$AZ$41)^T$168</f>
        <v>509.27214338473789</v>
      </c>
      <c r="U604" s="109">
        <f>VLOOKUP($A604,'VKT US'!$B$63:$AA$113,(U$113+1),FALSE)*$BD$9/VLOOKUP($A604,'Fuel economy adjusted factor'!$A$2:$K$52,11,FALSE)*($AZ$15*VLOOKUP($A604,'US Grid mix, emissions&amp;prices'!$AE$2:$AI$52,3,FALSE)/100+$BA$15*VLOOKUP($A604,'US Grid mix, emissions&amp;prices'!$AE$2:$AI$52,4,FALSE)/100)/(1+$AZ$41)^U$113+VLOOKUP($A604,'VKT US'!$B$63:$AA$113,(U$168+1),FALSE)*(1-$BD$9)/VLOOKUP($A604,'Fuel economy adjusted factor'!$A$2:$K$52,10,FALSE)*VLOOKUP($A604,'US Grid mix, emissions&amp;prices'!$AE$2:$AI$52,2,FALSE)/(1+$AZ$41)^U$168</f>
        <v>493.35906664407946</v>
      </c>
      <c r="V604" s="110" cm="1">
        <f t="array" ref="V604">SUMPRODUCT(INDEX(B604:U604,,_xlfn.SEQUENCE($AZ$13)))</f>
        <v>11149.407652291096</v>
      </c>
    </row>
    <row r="605" spans="1:22" x14ac:dyDescent="0.25">
      <c r="A605" s="102" t="s">
        <v>229</v>
      </c>
      <c r="B605" s="106">
        <f>VLOOKUP($A605,'VKT US'!$B$63:$AA$113,(B$113+1),FALSE)*$BD$9/VLOOKUP($A605,'Fuel economy adjusted factor'!$A$2:$K$52,11,FALSE)*($AZ$15*VLOOKUP($A605,'US Grid mix, emissions&amp;prices'!$AE$2:$AI$52,3,FALSE)/100+$BA$15*VLOOKUP($A605,'US Grid mix, emissions&amp;prices'!$AE$2:$AI$52,4,FALSE)/100)/(1+$AZ$41)^B$113+VLOOKUP($A605,'VKT US'!$B$63:$AA$113,(B$168+1),FALSE)*(1-$BD$9)/VLOOKUP($A605,'Fuel economy adjusted factor'!$A$2:$K$52,10,FALSE)*VLOOKUP($A605,'US Grid mix, emissions&amp;prices'!$AE$2:$AI$52,2,FALSE)/(1+$AZ$41)^B$168</f>
        <v>894.0205835913797</v>
      </c>
      <c r="C605" s="106">
        <f>VLOOKUP($A605,'VKT US'!$B$63:$AA$113,(C$113+1),FALSE)*$BD$9/VLOOKUP($A605,'Fuel economy adjusted factor'!$A$2:$K$52,11,FALSE)*($AZ$15*VLOOKUP($A605,'US Grid mix, emissions&amp;prices'!$AE$2:$AI$52,3,FALSE)/100+$BA$15*VLOOKUP($A605,'US Grid mix, emissions&amp;prices'!$AE$2:$AI$52,4,FALSE)/100)/(1+$AZ$41)^C$113+VLOOKUP($A605,'VKT US'!$B$63:$AA$113,(C$168+1),FALSE)*(1-$BD$9)/VLOOKUP($A605,'Fuel economy adjusted factor'!$A$2:$K$52,10,FALSE)*VLOOKUP($A605,'US Grid mix, emissions&amp;prices'!$AE$2:$AI$52,2,FALSE)/(1+$AZ$41)^C$168</f>
        <v>857.14400365325491</v>
      </c>
      <c r="D605" s="106">
        <f>VLOOKUP($A605,'VKT US'!$B$63:$AA$113,(D$113+1),FALSE)*$BD$9/VLOOKUP($A605,'Fuel economy adjusted factor'!$A$2:$K$52,11,FALSE)*($AZ$15*VLOOKUP($A605,'US Grid mix, emissions&amp;prices'!$AE$2:$AI$52,3,FALSE)/100+$BA$15*VLOOKUP($A605,'US Grid mix, emissions&amp;prices'!$AE$2:$AI$52,4,FALSE)/100)/(1+$AZ$41)^D$113+VLOOKUP($A605,'VKT US'!$B$63:$AA$113,(D$168+1),FALSE)*(1-$BD$9)/VLOOKUP($A605,'Fuel economy adjusted factor'!$A$2:$K$52,10,FALSE)*VLOOKUP($A605,'US Grid mix, emissions&amp;prices'!$AE$2:$AI$52,2,FALSE)/(1+$AZ$41)^D$168</f>
        <v>821.83551486640204</v>
      </c>
      <c r="E605" s="106">
        <f>VLOOKUP($A605,'VKT US'!$B$63:$AA$113,(E$113+1),FALSE)*$BD$9/VLOOKUP($A605,'Fuel economy adjusted factor'!$A$2:$K$52,11,FALSE)*($AZ$15*VLOOKUP($A605,'US Grid mix, emissions&amp;prices'!$AE$2:$AI$52,3,FALSE)/100+$BA$15*VLOOKUP($A605,'US Grid mix, emissions&amp;prices'!$AE$2:$AI$52,4,FALSE)/100)/(1+$AZ$41)^E$113+VLOOKUP($A605,'VKT US'!$B$63:$AA$113,(E$168+1),FALSE)*(1-$BD$9)/VLOOKUP($A605,'Fuel economy adjusted factor'!$A$2:$K$52,10,FALSE)*VLOOKUP($A605,'US Grid mix, emissions&amp;prices'!$AE$2:$AI$52,2,FALSE)/(1+$AZ$41)^E$168</f>
        <v>788.11567198897978</v>
      </c>
      <c r="F605" s="106">
        <f>VLOOKUP($A605,'VKT US'!$B$63:$AA$113,(F$113+1),FALSE)*$BD$9/VLOOKUP($A605,'Fuel economy adjusted factor'!$A$2:$K$52,11,FALSE)*($AZ$15*VLOOKUP($A605,'US Grid mix, emissions&amp;prices'!$AE$2:$AI$52,3,FALSE)/100+$BA$15*VLOOKUP($A605,'US Grid mix, emissions&amp;prices'!$AE$2:$AI$52,4,FALSE)/100)/(1+$AZ$41)^F$113+VLOOKUP($A605,'VKT US'!$B$63:$AA$113,(F$168+1),FALSE)*(1-$BD$9)/VLOOKUP($A605,'Fuel economy adjusted factor'!$A$2:$K$52,10,FALSE)*VLOOKUP($A605,'US Grid mix, emissions&amp;prices'!$AE$2:$AI$52,2,FALSE)/(1+$AZ$41)^F$168</f>
        <v>755.87989282783496</v>
      </c>
      <c r="G605" s="106">
        <f>VLOOKUP($A605,'VKT US'!$B$63:$AA$113,(G$113+1),FALSE)*$BD$9/VLOOKUP($A605,'Fuel economy adjusted factor'!$A$2:$K$52,11,FALSE)*($AZ$15*VLOOKUP($A605,'US Grid mix, emissions&amp;prices'!$AE$2:$AI$52,3,FALSE)/100+$BA$15*VLOOKUP($A605,'US Grid mix, emissions&amp;prices'!$AE$2:$AI$52,4,FALSE)/100)/(1+$AZ$41)^G$113+VLOOKUP($A605,'VKT US'!$B$63:$AA$113,(G$168+1),FALSE)*(1-$BD$9)/VLOOKUP($A605,'Fuel economy adjusted factor'!$A$2:$K$52,10,FALSE)*VLOOKUP($A605,'US Grid mix, emissions&amp;prices'!$AE$2:$AI$52,2,FALSE)/(1+$AZ$41)^G$168</f>
        <v>725.20984604138062</v>
      </c>
      <c r="H605" s="106">
        <f>VLOOKUP($A605,'VKT US'!$B$63:$AA$113,(H$113+1),FALSE)*$BD$9/VLOOKUP($A605,'Fuel economy adjusted factor'!$A$2:$K$52,11,FALSE)*($AZ$15*VLOOKUP($A605,'US Grid mix, emissions&amp;prices'!$AE$2:$AI$52,3,FALSE)/100+$BA$15*VLOOKUP($A605,'US Grid mix, emissions&amp;prices'!$AE$2:$AI$52,4,FALSE)/100)/(1+$AZ$41)^H$113+VLOOKUP($A605,'VKT US'!$B$63:$AA$113,(H$168+1),FALSE)*(1-$BD$9)/VLOOKUP($A605,'Fuel economy adjusted factor'!$A$2:$K$52,10,FALSE)*VLOOKUP($A605,'US Grid mix, emissions&amp;prices'!$AE$2:$AI$52,2,FALSE)/(1+$AZ$41)^H$168</f>
        <v>695.88186806127828</v>
      </c>
      <c r="I605" s="106">
        <f>VLOOKUP($A605,'VKT US'!$B$63:$AA$113,(I$113+1),FALSE)*$BD$9/VLOOKUP($A605,'Fuel economy adjusted factor'!$A$2:$K$52,11,FALSE)*($AZ$15*VLOOKUP($A605,'US Grid mix, emissions&amp;prices'!$AE$2:$AI$52,3,FALSE)/100+$BA$15*VLOOKUP($A605,'US Grid mix, emissions&amp;prices'!$AE$2:$AI$52,4,FALSE)/100)/(1+$AZ$41)^I$113+VLOOKUP($A605,'VKT US'!$B$63:$AA$113,(I$168+1),FALSE)*(1-$BD$9)/VLOOKUP($A605,'Fuel economy adjusted factor'!$A$2:$K$52,10,FALSE)*VLOOKUP($A605,'US Grid mix, emissions&amp;prices'!$AE$2:$AI$52,2,FALSE)/(1+$AZ$41)^I$168</f>
        <v>667.97863537374042</v>
      </c>
      <c r="J605" s="106">
        <f>VLOOKUP($A605,'VKT US'!$B$63:$AA$113,(J$113+1),FALSE)*$BD$9/VLOOKUP($A605,'Fuel economy adjusted factor'!$A$2:$K$52,11,FALSE)*($AZ$15*VLOOKUP($A605,'US Grid mix, emissions&amp;prices'!$AE$2:$AI$52,3,FALSE)/100+$BA$15*VLOOKUP($A605,'US Grid mix, emissions&amp;prices'!$AE$2:$AI$52,4,FALSE)/100)/(1+$AZ$41)^J$113+VLOOKUP($A605,'VKT US'!$B$63:$AA$113,(J$168+1),FALSE)*(1-$BD$9)/VLOOKUP($A605,'Fuel economy adjusted factor'!$A$2:$K$52,10,FALSE)*VLOOKUP($A605,'US Grid mix, emissions&amp;prices'!$AE$2:$AI$52,2,FALSE)/(1+$AZ$41)^J$168</f>
        <v>641.46062723071748</v>
      </c>
      <c r="K605" s="106">
        <f>VLOOKUP($A605,'VKT US'!$B$63:$AA$113,(K$113+1),FALSE)*$BD$9/VLOOKUP($A605,'Fuel economy adjusted factor'!$A$2:$K$52,11,FALSE)*($AZ$15*VLOOKUP($A605,'US Grid mix, emissions&amp;prices'!$AE$2:$AI$52,3,FALSE)/100+$BA$15*VLOOKUP($A605,'US Grid mix, emissions&amp;prices'!$AE$2:$AI$52,4,FALSE)/100)/(1+$AZ$41)^K$113+VLOOKUP($A605,'VKT US'!$B$63:$AA$113,(K$168+1),FALSE)*(1-$BD$9)/VLOOKUP($A605,'Fuel economy adjusted factor'!$A$2:$K$52,10,FALSE)*VLOOKUP($A605,'US Grid mix, emissions&amp;prices'!$AE$2:$AI$52,2,FALSE)/(1+$AZ$41)^K$168</f>
        <v>616.28917667790415</v>
      </c>
      <c r="L605" s="106">
        <f>VLOOKUP($A605,'VKT US'!$B$63:$AA$113,(L$113+1),FALSE)*$BD$9/VLOOKUP($A605,'Fuel economy adjusted factor'!$A$2:$K$52,11,FALSE)*($AZ$15*VLOOKUP($A605,'US Grid mix, emissions&amp;prices'!$AE$2:$AI$52,3,FALSE)/100+$BA$15*VLOOKUP($A605,'US Grid mix, emissions&amp;prices'!$AE$2:$AI$52,4,FALSE)/100)/(1+$AZ$41)^L$113+VLOOKUP($A605,'VKT US'!$B$63:$AA$113,(L$168+1),FALSE)*(1-$BD$9)/VLOOKUP($A605,'Fuel economy adjusted factor'!$A$2:$K$52,10,FALSE)*VLOOKUP($A605,'US Grid mix, emissions&amp;prices'!$AE$2:$AI$52,2,FALSE)/(1+$AZ$41)^L$168</f>
        <v>592.36917092958117</v>
      </c>
      <c r="M605" s="106">
        <f>VLOOKUP($A605,'VKT US'!$B$63:$AA$113,(M$113+1),FALSE)*$BD$9/VLOOKUP($A605,'Fuel economy adjusted factor'!$A$2:$K$52,11,FALSE)*($AZ$15*VLOOKUP($A605,'US Grid mix, emissions&amp;prices'!$AE$2:$AI$52,3,FALSE)/100+$BA$15*VLOOKUP($A605,'US Grid mix, emissions&amp;prices'!$AE$2:$AI$52,4,FALSE)/100)/(1+$AZ$41)^M$113+VLOOKUP($A605,'VKT US'!$B$63:$AA$113,(M$168+1),FALSE)*(1-$BD$9)/VLOOKUP($A605,'Fuel economy adjusted factor'!$A$2:$K$52,10,FALSE)*VLOOKUP($A605,'US Grid mix, emissions&amp;prices'!$AE$2:$AI$52,2,FALSE)/(1+$AZ$41)^M$168</f>
        <v>569.72224471664799</v>
      </c>
      <c r="N605" s="106">
        <f>VLOOKUP($A605,'VKT US'!$B$63:$AA$113,(N$113+1),FALSE)*$BD$9/VLOOKUP($A605,'Fuel economy adjusted factor'!$A$2:$K$52,11,FALSE)*($AZ$15*VLOOKUP($A605,'US Grid mix, emissions&amp;prices'!$AE$2:$AI$52,3,FALSE)/100+$BA$15*VLOOKUP($A605,'US Grid mix, emissions&amp;prices'!$AE$2:$AI$52,4,FALSE)/100)/(1+$AZ$41)^N$113+VLOOKUP($A605,'VKT US'!$B$63:$AA$113,(N$168+1),FALSE)*(1-$BD$9)/VLOOKUP($A605,'Fuel economy adjusted factor'!$A$2:$K$52,10,FALSE)*VLOOKUP($A605,'US Grid mix, emissions&amp;prices'!$AE$2:$AI$52,2,FALSE)/(1+$AZ$41)^N$168</f>
        <v>548.25623984737376</v>
      </c>
      <c r="O605" s="106">
        <f>VLOOKUP($A605,'VKT US'!$B$63:$AA$113,(O$113+1),FALSE)*$BD$9/VLOOKUP($A605,'Fuel economy adjusted factor'!$A$2:$K$52,11,FALSE)*($AZ$15*VLOOKUP($A605,'US Grid mix, emissions&amp;prices'!$AE$2:$AI$52,3,FALSE)/100+$BA$15*VLOOKUP($A605,'US Grid mix, emissions&amp;prices'!$AE$2:$AI$52,4,FALSE)/100)/(1+$AZ$41)^O$113+VLOOKUP($A605,'VKT US'!$B$63:$AA$113,(O$168+1),FALSE)*(1-$BD$9)/VLOOKUP($A605,'Fuel economy adjusted factor'!$A$2:$K$52,10,FALSE)*VLOOKUP($A605,'US Grid mix, emissions&amp;prices'!$AE$2:$AI$52,2,FALSE)/(1+$AZ$41)^O$168</f>
        <v>527.9929823208987</v>
      </c>
      <c r="P605" s="106">
        <f>VLOOKUP($A605,'VKT US'!$B$63:$AA$113,(P$113+1),FALSE)*$BD$9/VLOOKUP($A605,'Fuel economy adjusted factor'!$A$2:$K$52,11,FALSE)*($AZ$15*VLOOKUP($A605,'US Grid mix, emissions&amp;prices'!$AE$2:$AI$52,3,FALSE)/100+$BA$15*VLOOKUP($A605,'US Grid mix, emissions&amp;prices'!$AE$2:$AI$52,4,FALSE)/100)/(1+$AZ$41)^P$113+VLOOKUP($A605,'VKT US'!$B$63:$AA$113,(P$168+1),FALSE)*(1-$BD$9)/VLOOKUP($A605,'Fuel economy adjusted factor'!$A$2:$K$52,10,FALSE)*VLOOKUP($A605,'US Grid mix, emissions&amp;prices'!$AE$2:$AI$52,2,FALSE)/(1+$AZ$41)^P$168</f>
        <v>508.84317699630105</v>
      </c>
      <c r="Q605" s="106">
        <f>VLOOKUP($A605,'VKT US'!$B$63:$AA$113,(Q$113+1),FALSE)*$BD$9/VLOOKUP($A605,'Fuel economy adjusted factor'!$A$2:$K$52,11,FALSE)*($AZ$15*VLOOKUP($A605,'US Grid mix, emissions&amp;prices'!$AE$2:$AI$52,3,FALSE)/100+$BA$15*VLOOKUP($A605,'US Grid mix, emissions&amp;prices'!$AE$2:$AI$52,4,FALSE)/100)/(1+$AZ$41)^Q$113+VLOOKUP($A605,'VKT US'!$B$63:$AA$113,(Q$168+1),FALSE)*(1-$BD$9)/VLOOKUP($A605,'Fuel economy adjusted factor'!$A$2:$K$52,10,FALSE)*VLOOKUP($A605,'US Grid mix, emissions&amp;prices'!$AE$2:$AI$52,2,FALSE)/(1+$AZ$41)^Q$168</f>
        <v>490.88278194756771</v>
      </c>
      <c r="R605" s="106">
        <f>VLOOKUP($A605,'VKT US'!$B$63:$AA$113,(R$113+1),FALSE)*$BD$9/VLOOKUP($A605,'Fuel economy adjusted factor'!$A$2:$K$52,11,FALSE)*($AZ$15*VLOOKUP($A605,'US Grid mix, emissions&amp;prices'!$AE$2:$AI$52,3,FALSE)/100+$BA$15*VLOOKUP($A605,'US Grid mix, emissions&amp;prices'!$AE$2:$AI$52,4,FALSE)/100)/(1+$AZ$41)^R$113+VLOOKUP($A605,'VKT US'!$B$63:$AA$113,(R$168+1),FALSE)*(1-$BD$9)/VLOOKUP($A605,'Fuel economy adjusted factor'!$A$2:$K$52,10,FALSE)*VLOOKUP($A605,'US Grid mix, emissions&amp;prices'!$AE$2:$AI$52,2,FALSE)/(1+$AZ$41)^R$168</f>
        <v>473.91670264304526</v>
      </c>
      <c r="S605" s="106">
        <f>VLOOKUP($A605,'VKT US'!$B$63:$AA$113,(S$113+1),FALSE)*$BD$9/VLOOKUP($A605,'Fuel economy adjusted factor'!$A$2:$K$52,11,FALSE)*($AZ$15*VLOOKUP($A605,'US Grid mix, emissions&amp;prices'!$AE$2:$AI$52,3,FALSE)/100+$BA$15*VLOOKUP($A605,'US Grid mix, emissions&amp;prices'!$AE$2:$AI$52,4,FALSE)/100)/(1+$AZ$41)^S$113+VLOOKUP($A605,'VKT US'!$B$63:$AA$113,(S$168+1),FALSE)*(1-$BD$9)/VLOOKUP($A605,'Fuel economy adjusted factor'!$A$2:$K$52,10,FALSE)*VLOOKUP($A605,'US Grid mix, emissions&amp;prices'!$AE$2:$AI$52,2,FALSE)/(1+$AZ$41)^S$168</f>
        <v>458.07437964811527</v>
      </c>
      <c r="T605" s="106">
        <f>VLOOKUP($A605,'VKT US'!$B$63:$AA$113,(T$113+1),FALSE)*$BD$9/VLOOKUP($A605,'Fuel economy adjusted factor'!$A$2:$K$52,11,FALSE)*($AZ$15*VLOOKUP($A605,'US Grid mix, emissions&amp;prices'!$AE$2:$AI$52,3,FALSE)/100+$BA$15*VLOOKUP($A605,'US Grid mix, emissions&amp;prices'!$AE$2:$AI$52,4,FALSE)/100)/(1+$AZ$41)^T$113+VLOOKUP($A605,'VKT US'!$B$63:$AA$113,(T$168+1),FALSE)*(1-$BD$9)/VLOOKUP($A605,'Fuel economy adjusted factor'!$A$2:$K$52,10,FALSE)*VLOOKUP($A605,'US Grid mix, emissions&amp;prices'!$AE$2:$AI$52,2,FALSE)/(1+$AZ$41)^T$168</f>
        <v>443.16596620891062</v>
      </c>
      <c r="U605" s="109">
        <f>VLOOKUP($A605,'VKT US'!$B$63:$AA$113,(U$113+1),FALSE)*$BD$9/VLOOKUP($A605,'Fuel economy adjusted factor'!$A$2:$K$52,11,FALSE)*($AZ$15*VLOOKUP($A605,'US Grid mix, emissions&amp;prices'!$AE$2:$AI$52,3,FALSE)/100+$BA$15*VLOOKUP($A605,'US Grid mix, emissions&amp;prices'!$AE$2:$AI$52,4,FALSE)/100)/(1+$AZ$41)^U$113+VLOOKUP($A605,'VKT US'!$B$63:$AA$113,(U$168+1),FALSE)*(1-$BD$9)/VLOOKUP($A605,'Fuel economy adjusted factor'!$A$2:$K$52,10,FALSE)*VLOOKUP($A605,'US Grid mix, emissions&amp;prices'!$AE$2:$AI$52,2,FALSE)/(1+$AZ$41)^U$168</f>
        <v>429.31848972558998</v>
      </c>
      <c r="V605" s="110" cm="1">
        <f t="array" ref="V605">SUMPRODUCT(INDEX(B605:U605,,_xlfn.SEQUENCE($AZ$13)))</f>
        <v>9702.1564581273742</v>
      </c>
    </row>
    <row r="606" spans="1:22" x14ac:dyDescent="0.25">
      <c r="A606" s="102" t="s">
        <v>159</v>
      </c>
      <c r="B606" s="106">
        <f>VLOOKUP($A606,'VKT US'!$B$63:$AA$113,(B$113+1),FALSE)*$BD$9/VLOOKUP($A606,'Fuel economy adjusted factor'!$A$2:$K$52,11,FALSE)*($AZ$15*VLOOKUP($A606,'US Grid mix, emissions&amp;prices'!$AE$2:$AI$52,3,FALSE)/100+$BA$15*VLOOKUP($A606,'US Grid mix, emissions&amp;prices'!$AE$2:$AI$52,4,FALSE)/100)/(1+$AZ$41)^B$113+VLOOKUP($A606,'VKT US'!$B$63:$AA$113,(B$168+1),FALSE)*(1-$BD$9)/VLOOKUP($A606,'Fuel economy adjusted factor'!$A$2:$K$52,10,FALSE)*VLOOKUP($A606,'US Grid mix, emissions&amp;prices'!$AE$2:$AI$52,2,FALSE)/(1+$AZ$41)^B$168</f>
        <v>1196.3001370694244</v>
      </c>
      <c r="C606" s="106">
        <f>VLOOKUP($A606,'VKT US'!$B$63:$AA$113,(C$113+1),FALSE)*$BD$9/VLOOKUP($A606,'Fuel economy adjusted factor'!$A$2:$K$52,11,FALSE)*($AZ$15*VLOOKUP($A606,'US Grid mix, emissions&amp;prices'!$AE$2:$AI$52,3,FALSE)/100+$BA$15*VLOOKUP($A606,'US Grid mix, emissions&amp;prices'!$AE$2:$AI$52,4,FALSE)/100)/(1+$AZ$41)^C$113+VLOOKUP($A606,'VKT US'!$B$63:$AA$113,(C$168+1),FALSE)*(1-$BD$9)/VLOOKUP($A606,'Fuel economy adjusted factor'!$A$2:$K$52,10,FALSE)*VLOOKUP($A606,'US Grid mix, emissions&amp;prices'!$AE$2:$AI$52,2,FALSE)/(1+$AZ$41)^C$168</f>
        <v>1146.9551237170319</v>
      </c>
      <c r="D606" s="106">
        <f>VLOOKUP($A606,'VKT US'!$B$63:$AA$113,(D$113+1),FALSE)*$BD$9/VLOOKUP($A606,'Fuel economy adjusted factor'!$A$2:$K$52,11,FALSE)*($AZ$15*VLOOKUP($A606,'US Grid mix, emissions&amp;prices'!$AE$2:$AI$52,3,FALSE)/100+$BA$15*VLOOKUP($A606,'US Grid mix, emissions&amp;prices'!$AE$2:$AI$52,4,FALSE)/100)/(1+$AZ$41)^D$113+VLOOKUP($A606,'VKT US'!$B$63:$AA$113,(D$168+1),FALSE)*(1-$BD$9)/VLOOKUP($A606,'Fuel economy adjusted factor'!$A$2:$K$52,10,FALSE)*VLOOKUP($A606,'US Grid mix, emissions&amp;prices'!$AE$2:$AI$52,2,FALSE)/(1+$AZ$41)^D$168</f>
        <v>1099.708392768461</v>
      </c>
      <c r="E606" s="106">
        <f>VLOOKUP($A606,'VKT US'!$B$63:$AA$113,(E$113+1),FALSE)*$BD$9/VLOOKUP($A606,'Fuel economy adjusted factor'!$A$2:$K$52,11,FALSE)*($AZ$15*VLOOKUP($A606,'US Grid mix, emissions&amp;prices'!$AE$2:$AI$52,3,FALSE)/100+$BA$15*VLOOKUP($A606,'US Grid mix, emissions&amp;prices'!$AE$2:$AI$52,4,FALSE)/100)/(1+$AZ$41)^E$113+VLOOKUP($A606,'VKT US'!$B$63:$AA$113,(E$168+1),FALSE)*(1-$BD$9)/VLOOKUP($A606,'Fuel economy adjusted factor'!$A$2:$K$52,10,FALSE)*VLOOKUP($A606,'US Grid mix, emissions&amp;prices'!$AE$2:$AI$52,2,FALSE)/(1+$AZ$41)^E$168</f>
        <v>1054.5874488029726</v>
      </c>
      <c r="F606" s="106">
        <f>VLOOKUP($A606,'VKT US'!$B$63:$AA$113,(F$113+1),FALSE)*$BD$9/VLOOKUP($A606,'Fuel economy adjusted factor'!$A$2:$K$52,11,FALSE)*($AZ$15*VLOOKUP($A606,'US Grid mix, emissions&amp;prices'!$AE$2:$AI$52,3,FALSE)/100+$BA$15*VLOOKUP($A606,'US Grid mix, emissions&amp;prices'!$AE$2:$AI$52,4,FALSE)/100)/(1+$AZ$41)^F$113+VLOOKUP($A606,'VKT US'!$B$63:$AA$113,(F$168+1),FALSE)*(1-$BD$9)/VLOOKUP($A606,'Fuel economy adjusted factor'!$A$2:$K$52,10,FALSE)*VLOOKUP($A606,'US Grid mix, emissions&amp;prices'!$AE$2:$AI$52,2,FALSE)/(1+$AZ$41)^F$168</f>
        <v>1011.4523490784196</v>
      </c>
      <c r="G606" s="106">
        <f>VLOOKUP($A606,'VKT US'!$B$63:$AA$113,(G$113+1),FALSE)*$BD$9/VLOOKUP($A606,'Fuel economy adjusted factor'!$A$2:$K$52,11,FALSE)*($AZ$15*VLOOKUP($A606,'US Grid mix, emissions&amp;prices'!$AE$2:$AI$52,3,FALSE)/100+$BA$15*VLOOKUP($A606,'US Grid mix, emissions&amp;prices'!$AE$2:$AI$52,4,FALSE)/100)/(1+$AZ$41)^G$113+VLOOKUP($A606,'VKT US'!$B$63:$AA$113,(G$168+1),FALSE)*(1-$BD$9)/VLOOKUP($A606,'Fuel economy adjusted factor'!$A$2:$K$52,10,FALSE)*VLOOKUP($A606,'US Grid mix, emissions&amp;prices'!$AE$2:$AI$52,2,FALSE)/(1+$AZ$41)^G$168</f>
        <v>970.41237544921</v>
      </c>
      <c r="H606" s="106">
        <f>VLOOKUP($A606,'VKT US'!$B$63:$AA$113,(H$113+1),FALSE)*$BD$9/VLOOKUP($A606,'Fuel economy adjusted factor'!$A$2:$K$52,11,FALSE)*($AZ$15*VLOOKUP($A606,'US Grid mix, emissions&amp;prices'!$AE$2:$AI$52,3,FALSE)/100+$BA$15*VLOOKUP($A606,'US Grid mix, emissions&amp;prices'!$AE$2:$AI$52,4,FALSE)/100)/(1+$AZ$41)^H$113+VLOOKUP($A606,'VKT US'!$B$63:$AA$113,(H$168+1),FALSE)*(1-$BD$9)/VLOOKUP($A606,'Fuel economy adjusted factor'!$A$2:$K$52,10,FALSE)*VLOOKUP($A606,'US Grid mix, emissions&amp;prices'!$AE$2:$AI$52,2,FALSE)/(1+$AZ$41)^H$168</f>
        <v>931.16824089402462</v>
      </c>
      <c r="I606" s="106">
        <f>VLOOKUP($A606,'VKT US'!$B$63:$AA$113,(I$113+1),FALSE)*$BD$9/VLOOKUP($A606,'Fuel economy adjusted factor'!$A$2:$K$52,11,FALSE)*($AZ$15*VLOOKUP($A606,'US Grid mix, emissions&amp;prices'!$AE$2:$AI$52,3,FALSE)/100+$BA$15*VLOOKUP($A606,'US Grid mix, emissions&amp;prices'!$AE$2:$AI$52,4,FALSE)/100)/(1+$AZ$41)^I$113+VLOOKUP($A606,'VKT US'!$B$63:$AA$113,(I$168+1),FALSE)*(1-$BD$9)/VLOOKUP($A606,'Fuel economy adjusted factor'!$A$2:$K$52,10,FALSE)*VLOOKUP($A606,'US Grid mix, emissions&amp;prices'!$AE$2:$AI$52,2,FALSE)/(1+$AZ$41)^I$168</f>
        <v>893.83057585426889</v>
      </c>
      <c r="J606" s="106">
        <f>VLOOKUP($A606,'VKT US'!$B$63:$AA$113,(J$113+1),FALSE)*$BD$9/VLOOKUP($A606,'Fuel economy adjusted factor'!$A$2:$K$52,11,FALSE)*($AZ$15*VLOOKUP($A606,'US Grid mix, emissions&amp;prices'!$AE$2:$AI$52,3,FALSE)/100+$BA$15*VLOOKUP($A606,'US Grid mix, emissions&amp;prices'!$AE$2:$AI$52,4,FALSE)/100)/(1+$AZ$41)^J$113+VLOOKUP($A606,'VKT US'!$B$63:$AA$113,(J$168+1),FALSE)*(1-$BD$9)/VLOOKUP($A606,'Fuel economy adjusted factor'!$A$2:$K$52,10,FALSE)*VLOOKUP($A606,'US Grid mix, emissions&amp;prices'!$AE$2:$AI$52,2,FALSE)/(1+$AZ$41)^J$168</f>
        <v>858.34649712213331</v>
      </c>
      <c r="K606" s="106">
        <f>VLOOKUP($A606,'VKT US'!$B$63:$AA$113,(K$113+1),FALSE)*$BD$9/VLOOKUP($A606,'Fuel economy adjusted factor'!$A$2:$K$52,11,FALSE)*($AZ$15*VLOOKUP($A606,'US Grid mix, emissions&amp;prices'!$AE$2:$AI$52,3,FALSE)/100+$BA$15*VLOOKUP($A606,'US Grid mix, emissions&amp;prices'!$AE$2:$AI$52,4,FALSE)/100)/(1+$AZ$41)^K$113+VLOOKUP($A606,'VKT US'!$B$63:$AA$113,(K$168+1),FALSE)*(1-$BD$9)/VLOOKUP($A606,'Fuel economy adjusted factor'!$A$2:$K$52,10,FALSE)*VLOOKUP($A606,'US Grid mix, emissions&amp;prices'!$AE$2:$AI$52,2,FALSE)/(1+$AZ$41)^K$168</f>
        <v>824.6642639619065</v>
      </c>
      <c r="L606" s="106">
        <f>VLOOKUP($A606,'VKT US'!$B$63:$AA$113,(L$113+1),FALSE)*$BD$9/VLOOKUP($A606,'Fuel economy adjusted factor'!$A$2:$K$52,11,FALSE)*($AZ$15*VLOOKUP($A606,'US Grid mix, emissions&amp;prices'!$AE$2:$AI$52,3,FALSE)/100+$BA$15*VLOOKUP($A606,'US Grid mix, emissions&amp;prices'!$AE$2:$AI$52,4,FALSE)/100)/(1+$AZ$41)^L$113+VLOOKUP($A606,'VKT US'!$B$63:$AA$113,(L$168+1),FALSE)*(1-$BD$9)/VLOOKUP($A606,'Fuel economy adjusted factor'!$A$2:$K$52,10,FALSE)*VLOOKUP($A606,'US Grid mix, emissions&amp;prices'!$AE$2:$AI$52,2,FALSE)/(1+$AZ$41)^L$168</f>
        <v>792.65660476409653</v>
      </c>
      <c r="M606" s="106">
        <f>VLOOKUP($A606,'VKT US'!$B$63:$AA$113,(M$113+1),FALSE)*$BD$9/VLOOKUP($A606,'Fuel economy adjusted factor'!$A$2:$K$52,11,FALSE)*($AZ$15*VLOOKUP($A606,'US Grid mix, emissions&amp;prices'!$AE$2:$AI$52,3,FALSE)/100+$BA$15*VLOOKUP($A606,'US Grid mix, emissions&amp;prices'!$AE$2:$AI$52,4,FALSE)/100)/(1+$AZ$41)^M$113+VLOOKUP($A606,'VKT US'!$B$63:$AA$113,(M$168+1),FALSE)*(1-$BD$9)/VLOOKUP($A606,'Fuel economy adjusted factor'!$A$2:$K$52,10,FALSE)*VLOOKUP($A606,'US Grid mix, emissions&amp;prices'!$AE$2:$AI$52,2,FALSE)/(1+$AZ$41)^M$168</f>
        <v>762.35246923301111</v>
      </c>
      <c r="N606" s="106">
        <f>VLOOKUP($A606,'VKT US'!$B$63:$AA$113,(N$113+1),FALSE)*$BD$9/VLOOKUP($A606,'Fuel economy adjusted factor'!$A$2:$K$52,11,FALSE)*($AZ$15*VLOOKUP($A606,'US Grid mix, emissions&amp;prices'!$AE$2:$AI$52,3,FALSE)/100+$BA$15*VLOOKUP($A606,'US Grid mix, emissions&amp;prices'!$AE$2:$AI$52,4,FALSE)/100)/(1+$AZ$41)^N$113+VLOOKUP($A606,'VKT US'!$B$63:$AA$113,(N$168+1),FALSE)*(1-$BD$9)/VLOOKUP($A606,'Fuel economy adjusted factor'!$A$2:$K$52,10,FALSE)*VLOOKUP($A606,'US Grid mix, emissions&amp;prices'!$AE$2:$AI$52,2,FALSE)/(1+$AZ$41)^N$168</f>
        <v>733.62853933836936</v>
      </c>
      <c r="O606" s="106">
        <f>VLOOKUP($A606,'VKT US'!$B$63:$AA$113,(O$113+1),FALSE)*$BD$9/VLOOKUP($A606,'Fuel economy adjusted factor'!$A$2:$K$52,11,FALSE)*($AZ$15*VLOOKUP($A606,'US Grid mix, emissions&amp;prices'!$AE$2:$AI$52,3,FALSE)/100+$BA$15*VLOOKUP($A606,'US Grid mix, emissions&amp;prices'!$AE$2:$AI$52,4,FALSE)/100)/(1+$AZ$41)^O$113+VLOOKUP($A606,'VKT US'!$B$63:$AA$113,(O$168+1),FALSE)*(1-$BD$9)/VLOOKUP($A606,'Fuel economy adjusted factor'!$A$2:$K$52,10,FALSE)*VLOOKUP($A606,'US Grid mix, emissions&amp;prices'!$AE$2:$AI$52,2,FALSE)/(1+$AZ$41)^O$168</f>
        <v>706.51402072290671</v>
      </c>
      <c r="P606" s="106">
        <f>VLOOKUP($A606,'VKT US'!$B$63:$AA$113,(P$113+1),FALSE)*$BD$9/VLOOKUP($A606,'Fuel economy adjusted factor'!$A$2:$K$52,11,FALSE)*($AZ$15*VLOOKUP($A606,'US Grid mix, emissions&amp;prices'!$AE$2:$AI$52,3,FALSE)/100+$BA$15*VLOOKUP($A606,'US Grid mix, emissions&amp;prices'!$AE$2:$AI$52,4,FALSE)/100)/(1+$AZ$41)^P$113+VLOOKUP($A606,'VKT US'!$B$63:$AA$113,(P$168+1),FALSE)*(1-$BD$9)/VLOOKUP($A606,'Fuel economy adjusted factor'!$A$2:$K$52,10,FALSE)*VLOOKUP($A606,'US Grid mix, emissions&amp;prices'!$AE$2:$AI$52,2,FALSE)/(1+$AZ$41)^P$168</f>
        <v>680.88942644047836</v>
      </c>
      <c r="Q606" s="106">
        <f>VLOOKUP($A606,'VKT US'!$B$63:$AA$113,(Q$113+1),FALSE)*$BD$9/VLOOKUP($A606,'Fuel economy adjusted factor'!$A$2:$K$52,11,FALSE)*($AZ$15*VLOOKUP($A606,'US Grid mix, emissions&amp;prices'!$AE$2:$AI$52,3,FALSE)/100+$BA$15*VLOOKUP($A606,'US Grid mix, emissions&amp;prices'!$AE$2:$AI$52,4,FALSE)/100)/(1+$AZ$41)^Q$113+VLOOKUP($A606,'VKT US'!$B$63:$AA$113,(Q$168+1),FALSE)*(1-$BD$9)/VLOOKUP($A606,'Fuel economy adjusted factor'!$A$2:$K$52,10,FALSE)*VLOOKUP($A606,'US Grid mix, emissions&amp;prices'!$AE$2:$AI$52,2,FALSE)/(1+$AZ$41)^Q$168</f>
        <v>656.85639694096835</v>
      </c>
      <c r="R606" s="106">
        <f>VLOOKUP($A606,'VKT US'!$B$63:$AA$113,(R$113+1),FALSE)*$BD$9/VLOOKUP($A606,'Fuel economy adjusted factor'!$A$2:$K$52,11,FALSE)*($AZ$15*VLOOKUP($A606,'US Grid mix, emissions&amp;prices'!$AE$2:$AI$52,3,FALSE)/100+$BA$15*VLOOKUP($A606,'US Grid mix, emissions&amp;prices'!$AE$2:$AI$52,4,FALSE)/100)/(1+$AZ$41)^R$113+VLOOKUP($A606,'VKT US'!$B$63:$AA$113,(R$168+1),FALSE)*(1-$BD$9)/VLOOKUP($A606,'Fuel economy adjusted factor'!$A$2:$K$52,10,FALSE)*VLOOKUP($A606,'US Grid mix, emissions&amp;prices'!$AE$2:$AI$52,2,FALSE)/(1+$AZ$41)^R$168</f>
        <v>634.1538737887638</v>
      </c>
      <c r="S606" s="106">
        <f>VLOOKUP($A606,'VKT US'!$B$63:$AA$113,(S$113+1),FALSE)*$BD$9/VLOOKUP($A606,'Fuel economy adjusted factor'!$A$2:$K$52,11,FALSE)*($AZ$15*VLOOKUP($A606,'US Grid mix, emissions&amp;prices'!$AE$2:$AI$52,3,FALSE)/100+$BA$15*VLOOKUP($A606,'US Grid mix, emissions&amp;prices'!$AE$2:$AI$52,4,FALSE)/100)/(1+$AZ$41)^S$113+VLOOKUP($A606,'VKT US'!$B$63:$AA$113,(S$168+1),FALSE)*(1-$BD$9)/VLOOKUP($A606,'Fuel economy adjusted factor'!$A$2:$K$52,10,FALSE)*VLOOKUP($A606,'US Grid mix, emissions&amp;prices'!$AE$2:$AI$52,2,FALSE)/(1+$AZ$41)^S$168</f>
        <v>612.95506302514582</v>
      </c>
      <c r="T606" s="106">
        <f>VLOOKUP($A606,'VKT US'!$B$63:$AA$113,(T$113+1),FALSE)*$BD$9/VLOOKUP($A606,'Fuel economy adjusted factor'!$A$2:$K$52,11,FALSE)*($AZ$15*VLOOKUP($A606,'US Grid mix, emissions&amp;prices'!$AE$2:$AI$52,3,FALSE)/100+$BA$15*VLOOKUP($A606,'US Grid mix, emissions&amp;prices'!$AE$2:$AI$52,4,FALSE)/100)/(1+$AZ$41)^T$113+VLOOKUP($A606,'VKT US'!$B$63:$AA$113,(T$168+1),FALSE)*(1-$BD$9)/VLOOKUP($A606,'Fuel economy adjusted factor'!$A$2:$K$52,10,FALSE)*VLOOKUP($A606,'US Grid mix, emissions&amp;prices'!$AE$2:$AI$52,2,FALSE)/(1+$AZ$41)^T$168</f>
        <v>593.0059283316657</v>
      </c>
      <c r="U606" s="109">
        <f>VLOOKUP($A606,'VKT US'!$B$63:$AA$113,(U$113+1),FALSE)*$BD$9/VLOOKUP($A606,'Fuel economy adjusted factor'!$A$2:$K$52,11,FALSE)*($AZ$15*VLOOKUP($A606,'US Grid mix, emissions&amp;prices'!$AE$2:$AI$52,3,FALSE)/100+$BA$15*VLOOKUP($A606,'US Grid mix, emissions&amp;prices'!$AE$2:$AI$52,4,FALSE)/100)/(1+$AZ$41)^U$113+VLOOKUP($A606,'VKT US'!$B$63:$AA$113,(U$168+1),FALSE)*(1-$BD$9)/VLOOKUP($A606,'Fuel economy adjusted factor'!$A$2:$K$52,10,FALSE)*VLOOKUP($A606,'US Grid mix, emissions&amp;prices'!$AE$2:$AI$52,2,FALSE)/(1+$AZ$41)^U$168</f>
        <v>574.47644666300471</v>
      </c>
      <c r="V606" s="110" cm="1">
        <f t="array" ref="V606">SUMPRODUCT(INDEX(B606:U606,,_xlfn.SEQUENCE($AZ$13)))</f>
        <v>12982.577038776237</v>
      </c>
    </row>
    <row r="607" spans="1:22" x14ac:dyDescent="0.25">
      <c r="A607" s="102" t="s">
        <v>158</v>
      </c>
      <c r="B607" s="106">
        <f>VLOOKUP($A607,'VKT US'!$B$63:$AA$113,(B$113+1),FALSE)*$BD$9/VLOOKUP($A607,'Fuel economy adjusted factor'!$A$2:$K$52,11,FALSE)*($AZ$15*VLOOKUP($A607,'US Grid mix, emissions&amp;prices'!$AE$2:$AI$52,3,FALSE)/100+$BA$15*VLOOKUP($A607,'US Grid mix, emissions&amp;prices'!$AE$2:$AI$52,4,FALSE)/100)/(1+$AZ$41)^B$113+VLOOKUP($A607,'VKT US'!$B$63:$AA$113,(B$168+1),FALSE)*(1-$BD$9)/VLOOKUP($A607,'Fuel economy adjusted factor'!$A$2:$K$52,10,FALSE)*VLOOKUP($A607,'US Grid mix, emissions&amp;prices'!$AE$2:$AI$52,2,FALSE)/(1+$AZ$41)^B$168</f>
        <v>1250.0384062284711</v>
      </c>
      <c r="C607" s="106">
        <f>VLOOKUP($A607,'VKT US'!$B$63:$AA$113,(C$113+1),FALSE)*$BD$9/VLOOKUP($A607,'Fuel economy adjusted factor'!$A$2:$K$52,11,FALSE)*($AZ$15*VLOOKUP($A607,'US Grid mix, emissions&amp;prices'!$AE$2:$AI$52,3,FALSE)/100+$BA$15*VLOOKUP($A607,'US Grid mix, emissions&amp;prices'!$AE$2:$AI$52,4,FALSE)/100)/(1+$AZ$41)^C$113+VLOOKUP($A607,'VKT US'!$B$63:$AA$113,(C$168+1),FALSE)*(1-$BD$9)/VLOOKUP($A607,'Fuel economy adjusted factor'!$A$2:$K$52,10,FALSE)*VLOOKUP($A607,'US Grid mix, emissions&amp;prices'!$AE$2:$AI$52,2,FALSE)/(1+$AZ$41)^C$168</f>
        <v>1198.4767956133851</v>
      </c>
      <c r="D607" s="106">
        <f>VLOOKUP($A607,'VKT US'!$B$63:$AA$113,(D$113+1),FALSE)*$BD$9/VLOOKUP($A607,'Fuel economy adjusted factor'!$A$2:$K$52,11,FALSE)*($AZ$15*VLOOKUP($A607,'US Grid mix, emissions&amp;prices'!$AE$2:$AI$52,3,FALSE)/100+$BA$15*VLOOKUP($A607,'US Grid mix, emissions&amp;prices'!$AE$2:$AI$52,4,FALSE)/100)/(1+$AZ$41)^D$113+VLOOKUP($A607,'VKT US'!$B$63:$AA$113,(D$168+1),FALSE)*(1-$BD$9)/VLOOKUP($A607,'Fuel economy adjusted factor'!$A$2:$K$52,10,FALSE)*VLOOKUP($A607,'US Grid mix, emissions&amp;prices'!$AE$2:$AI$52,2,FALSE)/(1+$AZ$41)^D$168</f>
        <v>1149.1077230668111</v>
      </c>
      <c r="E607" s="106">
        <f>VLOOKUP($A607,'VKT US'!$B$63:$AA$113,(E$113+1),FALSE)*$BD$9/VLOOKUP($A607,'Fuel economy adjusted factor'!$A$2:$K$52,11,FALSE)*($AZ$15*VLOOKUP($A607,'US Grid mix, emissions&amp;prices'!$AE$2:$AI$52,3,FALSE)/100+$BA$15*VLOOKUP($A607,'US Grid mix, emissions&amp;prices'!$AE$2:$AI$52,4,FALSE)/100)/(1+$AZ$41)^E$113+VLOOKUP($A607,'VKT US'!$B$63:$AA$113,(E$168+1),FALSE)*(1-$BD$9)/VLOOKUP($A607,'Fuel economy adjusted factor'!$A$2:$K$52,10,FALSE)*VLOOKUP($A607,'US Grid mix, emissions&amp;prices'!$AE$2:$AI$52,2,FALSE)/(1+$AZ$41)^E$168</f>
        <v>1101.959928684447</v>
      </c>
      <c r="F607" s="106">
        <f>VLOOKUP($A607,'VKT US'!$B$63:$AA$113,(F$113+1),FALSE)*$BD$9/VLOOKUP($A607,'Fuel economy adjusted factor'!$A$2:$K$52,11,FALSE)*($AZ$15*VLOOKUP($A607,'US Grid mix, emissions&amp;prices'!$AE$2:$AI$52,3,FALSE)/100+$BA$15*VLOOKUP($A607,'US Grid mix, emissions&amp;prices'!$AE$2:$AI$52,4,FALSE)/100)/(1+$AZ$41)^F$113+VLOOKUP($A607,'VKT US'!$B$63:$AA$113,(F$168+1),FALSE)*(1-$BD$9)/VLOOKUP($A607,'Fuel economy adjusted factor'!$A$2:$K$52,10,FALSE)*VLOOKUP($A607,'US Grid mix, emissions&amp;prices'!$AE$2:$AI$52,2,FALSE)/(1+$AZ$41)^F$168</f>
        <v>1056.8871834415388</v>
      </c>
      <c r="G607" s="106">
        <f>VLOOKUP($A607,'VKT US'!$B$63:$AA$113,(G$113+1),FALSE)*$BD$9/VLOOKUP($A607,'Fuel economy adjusted factor'!$A$2:$K$52,11,FALSE)*($AZ$15*VLOOKUP($A607,'US Grid mix, emissions&amp;prices'!$AE$2:$AI$52,3,FALSE)/100+$BA$15*VLOOKUP($A607,'US Grid mix, emissions&amp;prices'!$AE$2:$AI$52,4,FALSE)/100)/(1+$AZ$41)^G$113+VLOOKUP($A607,'VKT US'!$B$63:$AA$113,(G$168+1),FALSE)*(1-$BD$9)/VLOOKUP($A607,'Fuel economy adjusted factor'!$A$2:$K$52,10,FALSE)*VLOOKUP($A607,'US Grid mix, emissions&amp;prices'!$AE$2:$AI$52,2,FALSE)/(1+$AZ$41)^G$168</f>
        <v>1014.0036781760548</v>
      </c>
      <c r="H607" s="106">
        <f>VLOOKUP($A607,'VKT US'!$B$63:$AA$113,(H$113+1),FALSE)*$BD$9/VLOOKUP($A607,'Fuel economy adjusted factor'!$A$2:$K$52,11,FALSE)*($AZ$15*VLOOKUP($A607,'US Grid mix, emissions&amp;prices'!$AE$2:$AI$52,3,FALSE)/100+$BA$15*VLOOKUP($A607,'US Grid mix, emissions&amp;prices'!$AE$2:$AI$52,4,FALSE)/100)/(1+$AZ$41)^H$113+VLOOKUP($A607,'VKT US'!$B$63:$AA$113,(H$168+1),FALSE)*(1-$BD$9)/VLOOKUP($A607,'Fuel economy adjusted factor'!$A$2:$K$52,10,FALSE)*VLOOKUP($A607,'US Grid mix, emissions&amp;prices'!$AE$2:$AI$52,2,FALSE)/(1+$AZ$41)^H$168</f>
        <v>972.99668177684555</v>
      </c>
      <c r="I607" s="106">
        <f>VLOOKUP($A607,'VKT US'!$B$63:$AA$113,(I$113+1),FALSE)*$BD$9/VLOOKUP($A607,'Fuel economy adjusted factor'!$A$2:$K$52,11,FALSE)*($AZ$15*VLOOKUP($A607,'US Grid mix, emissions&amp;prices'!$AE$2:$AI$52,3,FALSE)/100+$BA$15*VLOOKUP($A607,'US Grid mix, emissions&amp;prices'!$AE$2:$AI$52,4,FALSE)/100)/(1+$AZ$41)^I$113+VLOOKUP($A607,'VKT US'!$B$63:$AA$113,(I$168+1),FALSE)*(1-$BD$9)/VLOOKUP($A607,'Fuel economy adjusted factor'!$A$2:$K$52,10,FALSE)*VLOOKUP($A607,'US Grid mix, emissions&amp;prices'!$AE$2:$AI$52,2,FALSE)/(1+$AZ$41)^I$168</f>
        <v>933.98179424793079</v>
      </c>
      <c r="J607" s="106">
        <f>VLOOKUP($A607,'VKT US'!$B$63:$AA$113,(J$113+1),FALSE)*$BD$9/VLOOKUP($A607,'Fuel economy adjusted factor'!$A$2:$K$52,11,FALSE)*($AZ$15*VLOOKUP($A607,'US Grid mix, emissions&amp;prices'!$AE$2:$AI$52,3,FALSE)/100+$BA$15*VLOOKUP($A607,'US Grid mix, emissions&amp;prices'!$AE$2:$AI$52,4,FALSE)/100)/(1+$AZ$41)^J$113+VLOOKUP($A607,'VKT US'!$B$63:$AA$113,(J$168+1),FALSE)*(1-$BD$9)/VLOOKUP($A607,'Fuel economy adjusted factor'!$A$2:$K$52,10,FALSE)*VLOOKUP($A607,'US Grid mix, emissions&amp;prices'!$AE$2:$AI$52,2,FALSE)/(1+$AZ$41)^J$168</f>
        <v>896.90375684716264</v>
      </c>
      <c r="K607" s="106">
        <f>VLOOKUP($A607,'VKT US'!$B$63:$AA$113,(K$113+1),FALSE)*$BD$9/VLOOKUP($A607,'Fuel economy adjusted factor'!$A$2:$K$52,11,FALSE)*($AZ$15*VLOOKUP($A607,'US Grid mix, emissions&amp;prices'!$AE$2:$AI$52,3,FALSE)/100+$BA$15*VLOOKUP($A607,'US Grid mix, emissions&amp;prices'!$AE$2:$AI$52,4,FALSE)/100)/(1+$AZ$41)^K$113+VLOOKUP($A607,'VKT US'!$B$63:$AA$113,(K$168+1),FALSE)*(1-$BD$9)/VLOOKUP($A607,'Fuel economy adjusted factor'!$A$2:$K$52,10,FALSE)*VLOOKUP($A607,'US Grid mix, emissions&amp;prices'!$AE$2:$AI$52,2,FALSE)/(1+$AZ$41)^K$168</f>
        <v>861.70850462478302</v>
      </c>
      <c r="L607" s="106">
        <f>VLOOKUP($A607,'VKT US'!$B$63:$AA$113,(L$113+1),FALSE)*$BD$9/VLOOKUP($A607,'Fuel economy adjusted factor'!$A$2:$K$52,11,FALSE)*($AZ$15*VLOOKUP($A607,'US Grid mix, emissions&amp;prices'!$AE$2:$AI$52,3,FALSE)/100+$BA$15*VLOOKUP($A607,'US Grid mix, emissions&amp;prices'!$AE$2:$AI$52,4,FALSE)/100)/(1+$AZ$41)^L$113+VLOOKUP($A607,'VKT US'!$B$63:$AA$113,(L$168+1),FALSE)*(1-$BD$9)/VLOOKUP($A607,'Fuel economy adjusted factor'!$A$2:$K$52,10,FALSE)*VLOOKUP($A607,'US Grid mix, emissions&amp;prices'!$AE$2:$AI$52,2,FALSE)/(1+$AZ$41)^L$168</f>
        <v>828.2630488809184</v>
      </c>
      <c r="M607" s="106">
        <f>VLOOKUP($A607,'VKT US'!$B$63:$AA$113,(M$113+1),FALSE)*$BD$9/VLOOKUP($A607,'Fuel economy adjusted factor'!$A$2:$K$52,11,FALSE)*($AZ$15*VLOOKUP($A607,'US Grid mix, emissions&amp;prices'!$AE$2:$AI$52,3,FALSE)/100+$BA$15*VLOOKUP($A607,'US Grid mix, emissions&amp;prices'!$AE$2:$AI$52,4,FALSE)/100)/(1+$AZ$41)^M$113+VLOOKUP($A607,'VKT US'!$B$63:$AA$113,(M$168+1),FALSE)*(1-$BD$9)/VLOOKUP($A607,'Fuel economy adjusted factor'!$A$2:$K$52,10,FALSE)*VLOOKUP($A607,'US Grid mix, emissions&amp;prices'!$AE$2:$AI$52,2,FALSE)/(1+$AZ$41)^M$168</f>
        <v>796.59763975189549</v>
      </c>
      <c r="N607" s="106">
        <f>VLOOKUP($A607,'VKT US'!$B$63:$AA$113,(N$113+1),FALSE)*$BD$9/VLOOKUP($A607,'Fuel economy adjusted factor'!$A$2:$K$52,11,FALSE)*($AZ$15*VLOOKUP($A607,'US Grid mix, emissions&amp;prices'!$AE$2:$AI$52,3,FALSE)/100+$BA$15*VLOOKUP($A607,'US Grid mix, emissions&amp;prices'!$AE$2:$AI$52,4,FALSE)/100)/(1+$AZ$41)^N$113+VLOOKUP($A607,'VKT US'!$B$63:$AA$113,(N$168+1),FALSE)*(1-$BD$9)/VLOOKUP($A607,'Fuel economy adjusted factor'!$A$2:$K$52,10,FALSE)*VLOOKUP($A607,'US Grid mix, emissions&amp;prices'!$AE$2:$AI$52,2,FALSE)/(1+$AZ$41)^N$168</f>
        <v>766.58341971337313</v>
      </c>
      <c r="O607" s="106">
        <f>VLOOKUP($A607,'VKT US'!$B$63:$AA$113,(O$113+1),FALSE)*$BD$9/VLOOKUP($A607,'Fuel economy adjusted factor'!$A$2:$K$52,11,FALSE)*($AZ$15*VLOOKUP($A607,'US Grid mix, emissions&amp;prices'!$AE$2:$AI$52,3,FALSE)/100+$BA$15*VLOOKUP($A607,'US Grid mix, emissions&amp;prices'!$AE$2:$AI$52,4,FALSE)/100)/(1+$AZ$41)^O$113+VLOOKUP($A607,'VKT US'!$B$63:$AA$113,(O$168+1),FALSE)*(1-$BD$9)/VLOOKUP($A607,'Fuel economy adjusted factor'!$A$2:$K$52,10,FALSE)*VLOOKUP($A607,'US Grid mix, emissions&amp;prices'!$AE$2:$AI$52,2,FALSE)/(1+$AZ$41)^O$168</f>
        <v>738.25090633695936</v>
      </c>
      <c r="P607" s="106">
        <f>VLOOKUP($A607,'VKT US'!$B$63:$AA$113,(P$113+1),FALSE)*$BD$9/VLOOKUP($A607,'Fuel economy adjusted factor'!$A$2:$K$52,11,FALSE)*($AZ$15*VLOOKUP($A607,'US Grid mix, emissions&amp;prices'!$AE$2:$AI$52,3,FALSE)/100+$BA$15*VLOOKUP($A607,'US Grid mix, emissions&amp;prices'!$AE$2:$AI$52,4,FALSE)/100)/(1+$AZ$41)^P$113+VLOOKUP($A607,'VKT US'!$B$63:$AA$113,(P$168+1),FALSE)*(1-$BD$9)/VLOOKUP($A607,'Fuel economy adjusted factor'!$A$2:$K$52,10,FALSE)*VLOOKUP($A607,'US Grid mix, emissions&amp;prices'!$AE$2:$AI$52,2,FALSE)/(1+$AZ$41)^P$168</f>
        <v>711.4752452762441</v>
      </c>
      <c r="Q607" s="106">
        <f>VLOOKUP($A607,'VKT US'!$B$63:$AA$113,(Q$113+1),FALSE)*$BD$9/VLOOKUP($A607,'Fuel economy adjusted factor'!$A$2:$K$52,11,FALSE)*($AZ$15*VLOOKUP($A607,'US Grid mix, emissions&amp;prices'!$AE$2:$AI$52,3,FALSE)/100+$BA$15*VLOOKUP($A607,'US Grid mix, emissions&amp;prices'!$AE$2:$AI$52,4,FALSE)/100)/(1+$AZ$41)^Q$113+VLOOKUP($A607,'VKT US'!$B$63:$AA$113,(Q$168+1),FALSE)*(1-$BD$9)/VLOOKUP($A607,'Fuel economy adjusted factor'!$A$2:$K$52,10,FALSE)*VLOOKUP($A607,'US Grid mix, emissions&amp;prices'!$AE$2:$AI$52,2,FALSE)/(1+$AZ$41)^Q$168</f>
        <v>686.36264270979814</v>
      </c>
      <c r="R607" s="106">
        <f>VLOOKUP($A607,'VKT US'!$B$63:$AA$113,(R$113+1),FALSE)*$BD$9/VLOOKUP($A607,'Fuel economy adjusted factor'!$A$2:$K$52,11,FALSE)*($AZ$15*VLOOKUP($A607,'US Grid mix, emissions&amp;prices'!$AE$2:$AI$52,3,FALSE)/100+$BA$15*VLOOKUP($A607,'US Grid mix, emissions&amp;prices'!$AE$2:$AI$52,4,FALSE)/100)/(1+$AZ$41)^R$113+VLOOKUP($A607,'VKT US'!$B$63:$AA$113,(R$168+1),FALSE)*(1-$BD$9)/VLOOKUP($A607,'Fuel economy adjusted factor'!$A$2:$K$52,10,FALSE)*VLOOKUP($A607,'US Grid mix, emissions&amp;prices'!$AE$2:$AI$52,2,FALSE)/(1+$AZ$41)^R$168</f>
        <v>662.64031335517075</v>
      </c>
      <c r="S607" s="106">
        <f>VLOOKUP($A607,'VKT US'!$B$63:$AA$113,(S$113+1),FALSE)*$BD$9/VLOOKUP($A607,'Fuel economy adjusted factor'!$A$2:$K$52,11,FALSE)*($AZ$15*VLOOKUP($A607,'US Grid mix, emissions&amp;prices'!$AE$2:$AI$52,3,FALSE)/100+$BA$15*VLOOKUP($A607,'US Grid mix, emissions&amp;prices'!$AE$2:$AI$52,4,FALSE)/100)/(1+$AZ$41)^S$113+VLOOKUP($A607,'VKT US'!$B$63:$AA$113,(S$168+1),FALSE)*(1-$BD$9)/VLOOKUP($A607,'Fuel economy adjusted factor'!$A$2:$K$52,10,FALSE)*VLOOKUP($A607,'US Grid mix, emissions&amp;prices'!$AE$2:$AI$52,2,FALSE)/(1+$AZ$41)^S$168</f>
        <v>640.48924373663226</v>
      </c>
      <c r="T607" s="106">
        <f>VLOOKUP($A607,'VKT US'!$B$63:$AA$113,(T$113+1),FALSE)*$BD$9/VLOOKUP($A607,'Fuel economy adjusted factor'!$A$2:$K$52,11,FALSE)*($AZ$15*VLOOKUP($A607,'US Grid mix, emissions&amp;prices'!$AE$2:$AI$52,3,FALSE)/100+$BA$15*VLOOKUP($A607,'US Grid mix, emissions&amp;prices'!$AE$2:$AI$52,4,FALSE)/100)/(1+$AZ$41)^T$113+VLOOKUP($A607,'VKT US'!$B$63:$AA$113,(T$168+1),FALSE)*(1-$BD$9)/VLOOKUP($A607,'Fuel economy adjusted factor'!$A$2:$K$52,10,FALSE)*VLOOKUP($A607,'US Grid mix, emissions&amp;prices'!$AE$2:$AI$52,2,FALSE)/(1+$AZ$41)^T$168</f>
        <v>619.6439861251406</v>
      </c>
      <c r="U607" s="109">
        <f>VLOOKUP($A607,'VKT US'!$B$63:$AA$113,(U$113+1),FALSE)*$BD$9/VLOOKUP($A607,'Fuel economy adjusted factor'!$A$2:$K$52,11,FALSE)*($AZ$15*VLOOKUP($A607,'US Grid mix, emissions&amp;prices'!$AE$2:$AI$52,3,FALSE)/100+$BA$15*VLOOKUP($A607,'US Grid mix, emissions&amp;prices'!$AE$2:$AI$52,4,FALSE)/100)/(1+$AZ$41)^U$113+VLOOKUP($A607,'VKT US'!$B$63:$AA$113,(U$168+1),FALSE)*(1-$BD$9)/VLOOKUP($A607,'Fuel economy adjusted factor'!$A$2:$K$52,10,FALSE)*VLOOKUP($A607,'US Grid mix, emissions&amp;prices'!$AE$2:$AI$52,2,FALSE)/(1+$AZ$41)^U$168</f>
        <v>600.28215290653532</v>
      </c>
      <c r="V607" s="110" cm="1">
        <f t="array" ref="V607">SUMPRODUCT(INDEX(B607:U607,,_xlfn.SEQUENCE($AZ$13)))</f>
        <v>13565.759467390577</v>
      </c>
    </row>
    <row r="608" spans="1:22" x14ac:dyDescent="0.25">
      <c r="A608" s="102" t="s">
        <v>160</v>
      </c>
      <c r="B608" s="106">
        <f>VLOOKUP($A608,'VKT US'!$B$63:$AA$113,(B$113+1),FALSE)*$BD$9/VLOOKUP($A608,'Fuel economy adjusted factor'!$A$2:$K$52,11,FALSE)*($AZ$15*VLOOKUP($A608,'US Grid mix, emissions&amp;prices'!$AE$2:$AI$52,3,FALSE)/100+$BA$15*VLOOKUP($A608,'US Grid mix, emissions&amp;prices'!$AE$2:$AI$52,4,FALSE)/100)/(1+$AZ$41)^B$113+VLOOKUP($A608,'VKT US'!$B$63:$AA$113,(B$168+1),FALSE)*(1-$BD$9)/VLOOKUP($A608,'Fuel economy adjusted factor'!$A$2:$K$52,10,FALSE)*VLOOKUP($A608,'US Grid mix, emissions&amp;prices'!$AE$2:$AI$52,2,FALSE)/(1+$AZ$41)^B$168</f>
        <v>1825.241705814967</v>
      </c>
      <c r="C608" s="106">
        <f>VLOOKUP($A608,'VKT US'!$B$63:$AA$113,(C$113+1),FALSE)*$BD$9/VLOOKUP($A608,'Fuel economy adjusted factor'!$A$2:$K$52,11,FALSE)*($AZ$15*VLOOKUP($A608,'US Grid mix, emissions&amp;prices'!$AE$2:$AI$52,3,FALSE)/100+$BA$15*VLOOKUP($A608,'US Grid mix, emissions&amp;prices'!$AE$2:$AI$52,4,FALSE)/100)/(1+$AZ$41)^C$113+VLOOKUP($A608,'VKT US'!$B$63:$AA$113,(C$168+1),FALSE)*(1-$BD$9)/VLOOKUP($A608,'Fuel economy adjusted factor'!$A$2:$K$52,10,FALSE)*VLOOKUP($A608,'US Grid mix, emissions&amp;prices'!$AE$2:$AI$52,2,FALSE)/(1+$AZ$41)^C$168</f>
        <v>1749.9540973345233</v>
      </c>
      <c r="D608" s="106">
        <f>VLOOKUP($A608,'VKT US'!$B$63:$AA$113,(D$113+1),FALSE)*$BD$9/VLOOKUP($A608,'Fuel economy adjusted factor'!$A$2:$K$52,11,FALSE)*($AZ$15*VLOOKUP($A608,'US Grid mix, emissions&amp;prices'!$AE$2:$AI$52,3,FALSE)/100+$BA$15*VLOOKUP($A608,'US Grid mix, emissions&amp;prices'!$AE$2:$AI$52,4,FALSE)/100)/(1+$AZ$41)^D$113+VLOOKUP($A608,'VKT US'!$B$63:$AA$113,(D$168+1),FALSE)*(1-$BD$9)/VLOOKUP($A608,'Fuel economy adjusted factor'!$A$2:$K$52,10,FALSE)*VLOOKUP($A608,'US Grid mix, emissions&amp;prices'!$AE$2:$AI$52,2,FALSE)/(1+$AZ$41)^D$168</f>
        <v>1677.8679200295505</v>
      </c>
      <c r="E608" s="106">
        <f>VLOOKUP($A608,'VKT US'!$B$63:$AA$113,(E$113+1),FALSE)*$BD$9/VLOOKUP($A608,'Fuel economy adjusted factor'!$A$2:$K$52,11,FALSE)*($AZ$15*VLOOKUP($A608,'US Grid mix, emissions&amp;prices'!$AE$2:$AI$52,3,FALSE)/100+$BA$15*VLOOKUP($A608,'US Grid mix, emissions&amp;prices'!$AE$2:$AI$52,4,FALSE)/100)/(1+$AZ$41)^E$113+VLOOKUP($A608,'VKT US'!$B$63:$AA$113,(E$168+1),FALSE)*(1-$BD$9)/VLOOKUP($A608,'Fuel economy adjusted factor'!$A$2:$K$52,10,FALSE)*VLOOKUP($A608,'US Grid mix, emissions&amp;prices'!$AE$2:$AI$52,2,FALSE)/(1+$AZ$41)^E$168</f>
        <v>1609.0251387077174</v>
      </c>
      <c r="F608" s="106">
        <f>VLOOKUP($A608,'VKT US'!$B$63:$AA$113,(F$113+1),FALSE)*$BD$9/VLOOKUP($A608,'Fuel economy adjusted factor'!$A$2:$K$52,11,FALSE)*($AZ$15*VLOOKUP($A608,'US Grid mix, emissions&amp;prices'!$AE$2:$AI$52,3,FALSE)/100+$BA$15*VLOOKUP($A608,'US Grid mix, emissions&amp;prices'!$AE$2:$AI$52,4,FALSE)/100)/(1+$AZ$41)^F$113+VLOOKUP($A608,'VKT US'!$B$63:$AA$113,(F$168+1),FALSE)*(1-$BD$9)/VLOOKUP($A608,'Fuel economy adjusted factor'!$A$2:$K$52,10,FALSE)*VLOOKUP($A608,'US Grid mix, emissions&amp;prices'!$AE$2:$AI$52,2,FALSE)/(1+$AZ$41)^F$168</f>
        <v>1543.2122372776366</v>
      </c>
      <c r="G608" s="106">
        <f>VLOOKUP($A608,'VKT US'!$B$63:$AA$113,(G$113+1),FALSE)*$BD$9/VLOOKUP($A608,'Fuel economy adjusted factor'!$A$2:$K$52,11,FALSE)*($AZ$15*VLOOKUP($A608,'US Grid mix, emissions&amp;prices'!$AE$2:$AI$52,3,FALSE)/100+$BA$15*VLOOKUP($A608,'US Grid mix, emissions&amp;prices'!$AE$2:$AI$52,4,FALSE)/100)/(1+$AZ$41)^G$113+VLOOKUP($A608,'VKT US'!$B$63:$AA$113,(G$168+1),FALSE)*(1-$BD$9)/VLOOKUP($A608,'Fuel economy adjusted factor'!$A$2:$K$52,10,FALSE)*VLOOKUP($A608,'US Grid mix, emissions&amp;prices'!$AE$2:$AI$52,2,FALSE)/(1+$AZ$41)^G$168</f>
        <v>1480.5959513202667</v>
      </c>
      <c r="H608" s="106">
        <f>VLOOKUP($A608,'VKT US'!$B$63:$AA$113,(H$113+1),FALSE)*$BD$9/VLOOKUP($A608,'Fuel economy adjusted factor'!$A$2:$K$52,11,FALSE)*($AZ$15*VLOOKUP($A608,'US Grid mix, emissions&amp;prices'!$AE$2:$AI$52,3,FALSE)/100+$BA$15*VLOOKUP($A608,'US Grid mix, emissions&amp;prices'!$AE$2:$AI$52,4,FALSE)/100)/(1+$AZ$41)^H$113+VLOOKUP($A608,'VKT US'!$B$63:$AA$113,(H$168+1),FALSE)*(1-$BD$9)/VLOOKUP($A608,'Fuel economy adjusted factor'!$A$2:$K$52,10,FALSE)*VLOOKUP($A608,'US Grid mix, emissions&amp;prices'!$AE$2:$AI$52,2,FALSE)/(1+$AZ$41)^H$168</f>
        <v>1420.7196469722537</v>
      </c>
      <c r="I608" s="106">
        <f>VLOOKUP($A608,'VKT US'!$B$63:$AA$113,(I$113+1),FALSE)*$BD$9/VLOOKUP($A608,'Fuel economy adjusted factor'!$A$2:$K$52,11,FALSE)*($AZ$15*VLOOKUP($A608,'US Grid mix, emissions&amp;prices'!$AE$2:$AI$52,3,FALSE)/100+$BA$15*VLOOKUP($A608,'US Grid mix, emissions&amp;prices'!$AE$2:$AI$52,4,FALSE)/100)/(1+$AZ$41)^I$113+VLOOKUP($A608,'VKT US'!$B$63:$AA$113,(I$168+1),FALSE)*(1-$BD$9)/VLOOKUP($A608,'Fuel economy adjusted factor'!$A$2:$K$52,10,FALSE)*VLOOKUP($A608,'US Grid mix, emissions&amp;prices'!$AE$2:$AI$52,2,FALSE)/(1+$AZ$41)^I$168</f>
        <v>1363.7521174062545</v>
      </c>
      <c r="J608" s="106">
        <f>VLOOKUP($A608,'VKT US'!$B$63:$AA$113,(J$113+1),FALSE)*$BD$9/VLOOKUP($A608,'Fuel economy adjusted factor'!$A$2:$K$52,11,FALSE)*($AZ$15*VLOOKUP($A608,'US Grid mix, emissions&amp;prices'!$AE$2:$AI$52,3,FALSE)/100+$BA$15*VLOOKUP($A608,'US Grid mix, emissions&amp;prices'!$AE$2:$AI$52,4,FALSE)/100)/(1+$AZ$41)^J$113+VLOOKUP($A608,'VKT US'!$B$63:$AA$113,(J$168+1),FALSE)*(1-$BD$9)/VLOOKUP($A608,'Fuel economy adjusted factor'!$A$2:$K$52,10,FALSE)*VLOOKUP($A608,'US Grid mix, emissions&amp;prices'!$AE$2:$AI$52,2,FALSE)/(1+$AZ$41)^J$168</f>
        <v>1309.6126766527195</v>
      </c>
      <c r="K608" s="106">
        <f>VLOOKUP($A608,'VKT US'!$B$63:$AA$113,(K$113+1),FALSE)*$BD$9/VLOOKUP($A608,'Fuel economy adjusted factor'!$A$2:$K$52,11,FALSE)*($AZ$15*VLOOKUP($A608,'US Grid mix, emissions&amp;prices'!$AE$2:$AI$52,3,FALSE)/100+$BA$15*VLOOKUP($A608,'US Grid mix, emissions&amp;prices'!$AE$2:$AI$52,4,FALSE)/100)/(1+$AZ$41)^K$113+VLOOKUP($A608,'VKT US'!$B$63:$AA$113,(K$168+1),FALSE)*(1-$BD$9)/VLOOKUP($A608,'Fuel economy adjusted factor'!$A$2:$K$52,10,FALSE)*VLOOKUP($A608,'US Grid mix, emissions&amp;prices'!$AE$2:$AI$52,2,FALSE)/(1+$AZ$41)^K$168</f>
        <v>1258.2223818562707</v>
      </c>
      <c r="L608" s="106">
        <f>VLOOKUP($A608,'VKT US'!$B$63:$AA$113,(L$113+1),FALSE)*$BD$9/VLOOKUP($A608,'Fuel economy adjusted factor'!$A$2:$K$52,11,FALSE)*($AZ$15*VLOOKUP($A608,'US Grid mix, emissions&amp;prices'!$AE$2:$AI$52,3,FALSE)/100+$BA$15*VLOOKUP($A608,'US Grid mix, emissions&amp;prices'!$AE$2:$AI$52,4,FALSE)/100)/(1+$AZ$41)^L$113+VLOOKUP($A608,'VKT US'!$B$63:$AA$113,(L$168+1),FALSE)*(1-$BD$9)/VLOOKUP($A608,'Fuel economy adjusted factor'!$A$2:$K$52,10,FALSE)*VLOOKUP($A608,'US Grid mix, emissions&amp;prices'!$AE$2:$AI$52,2,FALSE)/(1+$AZ$41)^L$168</f>
        <v>1209.387049766056</v>
      </c>
      <c r="M608" s="106">
        <f>VLOOKUP($A608,'VKT US'!$B$63:$AA$113,(M$113+1),FALSE)*$BD$9/VLOOKUP($A608,'Fuel economy adjusted factor'!$A$2:$K$52,11,FALSE)*($AZ$15*VLOOKUP($A608,'US Grid mix, emissions&amp;prices'!$AE$2:$AI$52,3,FALSE)/100+$BA$15*VLOOKUP($A608,'US Grid mix, emissions&amp;prices'!$AE$2:$AI$52,4,FALSE)/100)/(1+$AZ$41)^M$113+VLOOKUP($A608,'VKT US'!$B$63:$AA$113,(M$168+1),FALSE)*(1-$BD$9)/VLOOKUP($A608,'Fuel economy adjusted factor'!$A$2:$K$52,10,FALSE)*VLOOKUP($A608,'US Grid mix, emissions&amp;prices'!$AE$2:$AI$52,2,FALSE)/(1+$AZ$41)^M$168</f>
        <v>1163.1508500733057</v>
      </c>
      <c r="N608" s="106">
        <f>VLOOKUP($A608,'VKT US'!$B$63:$AA$113,(N$113+1),FALSE)*$BD$9/VLOOKUP($A608,'Fuel economy adjusted factor'!$A$2:$K$52,11,FALSE)*($AZ$15*VLOOKUP($A608,'US Grid mix, emissions&amp;prices'!$AE$2:$AI$52,3,FALSE)/100+$BA$15*VLOOKUP($A608,'US Grid mix, emissions&amp;prices'!$AE$2:$AI$52,4,FALSE)/100)/(1+$AZ$41)^N$113+VLOOKUP($A608,'VKT US'!$B$63:$AA$113,(N$168+1),FALSE)*(1-$BD$9)/VLOOKUP($A608,'Fuel economy adjusted factor'!$A$2:$K$52,10,FALSE)*VLOOKUP($A608,'US Grid mix, emissions&amp;prices'!$AE$2:$AI$52,2,FALSE)/(1+$AZ$41)^N$168</f>
        <v>1119.325631656932</v>
      </c>
      <c r="O608" s="106">
        <f>VLOOKUP($A608,'VKT US'!$B$63:$AA$113,(O$113+1),FALSE)*$BD$9/VLOOKUP($A608,'Fuel economy adjusted factor'!$A$2:$K$52,11,FALSE)*($AZ$15*VLOOKUP($A608,'US Grid mix, emissions&amp;prices'!$AE$2:$AI$52,3,FALSE)/100+$BA$15*VLOOKUP($A608,'US Grid mix, emissions&amp;prices'!$AE$2:$AI$52,4,FALSE)/100)/(1+$AZ$41)^O$113+VLOOKUP($A608,'VKT US'!$B$63:$AA$113,(O$168+1),FALSE)*(1-$BD$9)/VLOOKUP($A608,'Fuel economy adjusted factor'!$A$2:$K$52,10,FALSE)*VLOOKUP($A608,'US Grid mix, emissions&amp;prices'!$AE$2:$AI$52,2,FALSE)/(1+$AZ$41)^O$168</f>
        <v>1077.9559547033909</v>
      </c>
      <c r="P608" s="106">
        <f>VLOOKUP($A608,'VKT US'!$B$63:$AA$113,(P$113+1),FALSE)*$BD$9/VLOOKUP($A608,'Fuel economy adjusted factor'!$A$2:$K$52,11,FALSE)*($AZ$15*VLOOKUP($A608,'US Grid mix, emissions&amp;prices'!$AE$2:$AI$52,3,FALSE)/100+$BA$15*VLOOKUP($A608,'US Grid mix, emissions&amp;prices'!$AE$2:$AI$52,4,FALSE)/100)/(1+$AZ$41)^P$113+VLOOKUP($A608,'VKT US'!$B$63:$AA$113,(P$168+1),FALSE)*(1-$BD$9)/VLOOKUP($A608,'Fuel economy adjusted factor'!$A$2:$K$52,10,FALSE)*VLOOKUP($A608,'US Grid mix, emissions&amp;prices'!$AE$2:$AI$52,2,FALSE)/(1+$AZ$41)^P$168</f>
        <v>1038.8595133258527</v>
      </c>
      <c r="Q608" s="106">
        <f>VLOOKUP($A608,'VKT US'!$B$63:$AA$113,(Q$113+1),FALSE)*$BD$9/VLOOKUP($A608,'Fuel economy adjusted factor'!$A$2:$K$52,11,FALSE)*($AZ$15*VLOOKUP($A608,'US Grid mix, emissions&amp;prices'!$AE$2:$AI$52,3,FALSE)/100+$BA$15*VLOOKUP($A608,'US Grid mix, emissions&amp;prices'!$AE$2:$AI$52,4,FALSE)/100)/(1+$AZ$41)^Q$113+VLOOKUP($A608,'VKT US'!$B$63:$AA$113,(Q$168+1),FALSE)*(1-$BD$9)/VLOOKUP($A608,'Fuel economy adjusted factor'!$A$2:$K$52,10,FALSE)*VLOOKUP($A608,'US Grid mix, emissions&amp;prices'!$AE$2:$AI$52,2,FALSE)/(1+$AZ$41)^Q$168</f>
        <v>1002.1913843168186</v>
      </c>
      <c r="R608" s="106">
        <f>VLOOKUP($A608,'VKT US'!$B$63:$AA$113,(R$113+1),FALSE)*$BD$9/VLOOKUP($A608,'Fuel economy adjusted factor'!$A$2:$K$52,11,FALSE)*($AZ$15*VLOOKUP($A608,'US Grid mix, emissions&amp;prices'!$AE$2:$AI$52,3,FALSE)/100+$BA$15*VLOOKUP($A608,'US Grid mix, emissions&amp;prices'!$AE$2:$AI$52,4,FALSE)/100)/(1+$AZ$41)^R$113+VLOOKUP($A608,'VKT US'!$B$63:$AA$113,(R$168+1),FALSE)*(1-$BD$9)/VLOOKUP($A608,'Fuel economy adjusted factor'!$A$2:$K$52,10,FALSE)*VLOOKUP($A608,'US Grid mix, emissions&amp;prices'!$AE$2:$AI$52,2,FALSE)/(1+$AZ$41)^R$168</f>
        <v>967.55326065485565</v>
      </c>
      <c r="S608" s="106">
        <f>VLOOKUP($A608,'VKT US'!$B$63:$AA$113,(S$113+1),FALSE)*$BD$9/VLOOKUP($A608,'Fuel economy adjusted factor'!$A$2:$K$52,11,FALSE)*($AZ$15*VLOOKUP($A608,'US Grid mix, emissions&amp;prices'!$AE$2:$AI$52,3,FALSE)/100+$BA$15*VLOOKUP($A608,'US Grid mix, emissions&amp;prices'!$AE$2:$AI$52,4,FALSE)/100)/(1+$AZ$41)^S$113+VLOOKUP($A608,'VKT US'!$B$63:$AA$113,(S$168+1),FALSE)*(1-$BD$9)/VLOOKUP($A608,'Fuel economy adjusted factor'!$A$2:$K$52,10,FALSE)*VLOOKUP($A608,'US Grid mix, emissions&amp;prices'!$AE$2:$AI$52,2,FALSE)/(1+$AZ$41)^S$168</f>
        <v>935.20940954219009</v>
      </c>
      <c r="T608" s="106">
        <f>VLOOKUP($A608,'VKT US'!$B$63:$AA$113,(T$113+1),FALSE)*$BD$9/VLOOKUP($A608,'Fuel economy adjusted factor'!$A$2:$K$52,11,FALSE)*($AZ$15*VLOOKUP($A608,'US Grid mix, emissions&amp;prices'!$AE$2:$AI$52,3,FALSE)/100+$BA$15*VLOOKUP($A608,'US Grid mix, emissions&amp;prices'!$AE$2:$AI$52,4,FALSE)/100)/(1+$AZ$41)^T$113+VLOOKUP($A608,'VKT US'!$B$63:$AA$113,(T$168+1),FALSE)*(1-$BD$9)/VLOOKUP($A608,'Fuel economy adjusted factor'!$A$2:$K$52,10,FALSE)*VLOOKUP($A608,'US Grid mix, emissions&amp;prices'!$AE$2:$AI$52,2,FALSE)/(1+$AZ$41)^T$168</f>
        <v>904.77223787500407</v>
      </c>
      <c r="U608" s="109">
        <f>VLOOKUP($A608,'VKT US'!$B$63:$AA$113,(U$113+1),FALSE)*$BD$9/VLOOKUP($A608,'Fuel economy adjusted factor'!$A$2:$K$52,11,FALSE)*($AZ$15*VLOOKUP($A608,'US Grid mix, emissions&amp;prices'!$AE$2:$AI$52,3,FALSE)/100+$BA$15*VLOOKUP($A608,'US Grid mix, emissions&amp;prices'!$AE$2:$AI$52,4,FALSE)/100)/(1+$AZ$41)^U$113+VLOOKUP($A608,'VKT US'!$B$63:$AA$113,(U$168+1),FALSE)*(1-$BD$9)/VLOOKUP($A608,'Fuel economy adjusted factor'!$A$2:$K$52,10,FALSE)*VLOOKUP($A608,'US Grid mix, emissions&amp;prices'!$AE$2:$AI$52,2,FALSE)/(1+$AZ$41)^U$168</f>
        <v>876.50108611234964</v>
      </c>
      <c r="V608" s="110" cm="1">
        <f t="array" ref="V608">SUMPRODUCT(INDEX(B608:U608,,_xlfn.SEQUENCE($AZ$13)))</f>
        <v>19808.023359571842</v>
      </c>
    </row>
    <row r="609" spans="1:22" x14ac:dyDescent="0.25">
      <c r="A609" s="103" t="s">
        <v>134</v>
      </c>
      <c r="B609" s="113">
        <f>VLOOKUP($A609,'VKT US'!$B$63:$AA$113,(B$113+1),FALSE)*$BD$9/VLOOKUP($A609,'Fuel economy adjusted factor'!$A$2:$K$52,11,FALSE)*($AZ$15*VLOOKUP($A609,'US Grid mix, emissions&amp;prices'!$AE$2:$AI$52,3,FALSE)/100+$BA$15*VLOOKUP($A609,'US Grid mix, emissions&amp;prices'!$AE$2:$AI$52,4,FALSE)/100)/(1+$AZ$41)^B$113+VLOOKUP($A609,'VKT US'!$B$63:$AA$113,(B$168+1),FALSE)*(1-$BD$9)/VLOOKUP($A609,'Fuel economy adjusted factor'!$A$2:$K$52,10,FALSE)*VLOOKUP($A609,'US Grid mix, emissions&amp;prices'!$AE$2:$AI$52,2,FALSE)/(1+$AZ$41)^B$168</f>
        <v>1130.1896766768837</v>
      </c>
      <c r="C609" s="113">
        <f>VLOOKUP($A609,'VKT US'!$B$63:$AA$113,(C$113+1),FALSE)*$BD$9/VLOOKUP($A609,'Fuel economy adjusted factor'!$A$2:$K$52,11,FALSE)*($AZ$15*VLOOKUP($A609,'US Grid mix, emissions&amp;prices'!$AE$2:$AI$52,3,FALSE)/100+$BA$15*VLOOKUP($A609,'US Grid mix, emissions&amp;prices'!$AE$2:$AI$52,4,FALSE)/100)/(1+$AZ$41)^C$113+VLOOKUP($A609,'VKT US'!$B$63:$AA$113,(C$168+1),FALSE)*(1-$BD$9)/VLOOKUP($A609,'Fuel economy adjusted factor'!$A$2:$K$52,10,FALSE)*VLOOKUP($A609,'US Grid mix, emissions&amp;prices'!$AE$2:$AI$52,2,FALSE)/(1+$AZ$41)^C$168</f>
        <v>1083.5715889928224</v>
      </c>
      <c r="D609" s="113">
        <f>VLOOKUP($A609,'VKT US'!$B$63:$AA$113,(D$113+1),FALSE)*$BD$9/VLOOKUP($A609,'Fuel economy adjusted factor'!$A$2:$K$52,11,FALSE)*($AZ$15*VLOOKUP($A609,'US Grid mix, emissions&amp;prices'!$AE$2:$AI$52,3,FALSE)/100+$BA$15*VLOOKUP($A609,'US Grid mix, emissions&amp;prices'!$AE$2:$AI$52,4,FALSE)/100)/(1+$AZ$41)^D$113+VLOOKUP($A609,'VKT US'!$B$63:$AA$113,(D$168+1),FALSE)*(1-$BD$9)/VLOOKUP($A609,'Fuel economy adjusted factor'!$A$2:$K$52,10,FALSE)*VLOOKUP($A609,'US Grid mix, emissions&amp;prices'!$AE$2:$AI$52,2,FALSE)/(1+$AZ$41)^D$168</f>
        <v>1038.9358275144248</v>
      </c>
      <c r="E609" s="113">
        <f>VLOOKUP($A609,'VKT US'!$B$63:$AA$113,(E$113+1),FALSE)*$BD$9/VLOOKUP($A609,'Fuel economy adjusted factor'!$A$2:$K$52,11,FALSE)*($AZ$15*VLOOKUP($A609,'US Grid mix, emissions&amp;prices'!$AE$2:$AI$52,3,FALSE)/100+$BA$15*VLOOKUP($A609,'US Grid mix, emissions&amp;prices'!$AE$2:$AI$52,4,FALSE)/100)/(1+$AZ$41)^E$113+VLOOKUP($A609,'VKT US'!$B$63:$AA$113,(E$168+1),FALSE)*(1-$BD$9)/VLOOKUP($A609,'Fuel economy adjusted factor'!$A$2:$K$52,10,FALSE)*VLOOKUP($A609,'US Grid mix, emissions&amp;prices'!$AE$2:$AI$52,2,FALSE)/(1+$AZ$41)^E$168</f>
        <v>996.30837685088636</v>
      </c>
      <c r="F609" s="113">
        <f>VLOOKUP($A609,'VKT US'!$B$63:$AA$113,(F$113+1),FALSE)*$BD$9/VLOOKUP($A609,'Fuel economy adjusted factor'!$A$2:$K$52,11,FALSE)*($AZ$15*VLOOKUP($A609,'US Grid mix, emissions&amp;prices'!$AE$2:$AI$52,3,FALSE)/100+$BA$15*VLOOKUP($A609,'US Grid mix, emissions&amp;prices'!$AE$2:$AI$52,4,FALSE)/100)/(1+$AZ$41)^F$113+VLOOKUP($A609,'VKT US'!$B$63:$AA$113,(F$168+1),FALSE)*(1-$BD$9)/VLOOKUP($A609,'Fuel economy adjusted factor'!$A$2:$K$52,10,FALSE)*VLOOKUP($A609,'US Grid mix, emissions&amp;prices'!$AE$2:$AI$52,2,FALSE)/(1+$AZ$41)^F$168</f>
        <v>955.55702783696529</v>
      </c>
      <c r="G609" s="113">
        <f>VLOOKUP($A609,'VKT US'!$B$63:$AA$113,(G$113+1),FALSE)*$BD$9/VLOOKUP($A609,'Fuel economy adjusted factor'!$A$2:$K$52,11,FALSE)*($AZ$15*VLOOKUP($A609,'US Grid mix, emissions&amp;prices'!$AE$2:$AI$52,3,FALSE)/100+$BA$15*VLOOKUP($A609,'US Grid mix, emissions&amp;prices'!$AE$2:$AI$52,4,FALSE)/100)/(1+$AZ$41)^G$113+VLOOKUP($A609,'VKT US'!$B$63:$AA$113,(G$168+1),FALSE)*(1-$BD$9)/VLOOKUP($A609,'Fuel economy adjusted factor'!$A$2:$K$52,10,FALSE)*VLOOKUP($A609,'US Grid mix, emissions&amp;prices'!$AE$2:$AI$52,2,FALSE)/(1+$AZ$41)^G$168</f>
        <v>916.78502314552691</v>
      </c>
      <c r="H609" s="113">
        <f>VLOOKUP($A609,'VKT US'!$B$63:$AA$113,(H$113+1),FALSE)*$BD$9/VLOOKUP($A609,'Fuel economy adjusted factor'!$A$2:$K$52,11,FALSE)*($AZ$15*VLOOKUP($A609,'US Grid mix, emissions&amp;prices'!$AE$2:$AI$52,3,FALSE)/100+$BA$15*VLOOKUP($A609,'US Grid mix, emissions&amp;prices'!$AE$2:$AI$52,4,FALSE)/100)/(1+$AZ$41)^H$113+VLOOKUP($A609,'VKT US'!$B$63:$AA$113,(H$168+1),FALSE)*(1-$BD$9)/VLOOKUP($A609,'Fuel economy adjusted factor'!$A$2:$K$52,10,FALSE)*VLOOKUP($A609,'US Grid mix, emissions&amp;prices'!$AE$2:$AI$52,2,FALSE)/(1+$AZ$41)^H$168</f>
        <v>879.70961508527091</v>
      </c>
      <c r="I609" s="113">
        <f>VLOOKUP($A609,'VKT US'!$B$63:$AA$113,(I$113+1),FALSE)*$BD$9/VLOOKUP($A609,'Fuel economy adjusted factor'!$A$2:$K$52,11,FALSE)*($AZ$15*VLOOKUP($A609,'US Grid mix, emissions&amp;prices'!$AE$2:$AI$52,3,FALSE)/100+$BA$15*VLOOKUP($A609,'US Grid mix, emissions&amp;prices'!$AE$2:$AI$52,4,FALSE)/100)/(1+$AZ$41)^I$113+VLOOKUP($A609,'VKT US'!$B$63:$AA$113,(I$168+1),FALSE)*(1-$BD$9)/VLOOKUP($A609,'Fuel economy adjusted factor'!$A$2:$K$52,10,FALSE)*VLOOKUP($A609,'US Grid mix, emissions&amp;prices'!$AE$2:$AI$52,2,FALSE)/(1+$AZ$41)^I$168</f>
        <v>844.43532038985654</v>
      </c>
      <c r="J609" s="113">
        <f>VLOOKUP($A609,'VKT US'!$B$63:$AA$113,(J$113+1),FALSE)*$BD$9/VLOOKUP($A609,'Fuel economy adjusted factor'!$A$2:$K$52,11,FALSE)*($AZ$15*VLOOKUP($A609,'US Grid mix, emissions&amp;prices'!$AE$2:$AI$52,3,FALSE)/100+$BA$15*VLOOKUP($A609,'US Grid mix, emissions&amp;prices'!$AE$2:$AI$52,4,FALSE)/100)/(1+$AZ$41)^J$113+VLOOKUP($A609,'VKT US'!$B$63:$AA$113,(J$168+1),FALSE)*(1-$BD$9)/VLOOKUP($A609,'Fuel economy adjusted factor'!$A$2:$K$52,10,FALSE)*VLOOKUP($A609,'US Grid mix, emissions&amp;prices'!$AE$2:$AI$52,2,FALSE)/(1+$AZ$41)^J$168</f>
        <v>810.91217830638971</v>
      </c>
      <c r="K609" s="113">
        <f>VLOOKUP($A609,'VKT US'!$B$63:$AA$113,(K$113+1),FALSE)*$BD$9/VLOOKUP($A609,'Fuel economy adjusted factor'!$A$2:$K$52,11,FALSE)*($AZ$15*VLOOKUP($A609,'US Grid mix, emissions&amp;prices'!$AE$2:$AI$52,3,FALSE)/100+$BA$15*VLOOKUP($A609,'US Grid mix, emissions&amp;prices'!$AE$2:$AI$52,4,FALSE)/100)/(1+$AZ$41)^K$113+VLOOKUP($A609,'VKT US'!$B$63:$AA$113,(K$168+1),FALSE)*(1-$BD$9)/VLOOKUP($A609,'Fuel economy adjusted factor'!$A$2:$K$52,10,FALSE)*VLOOKUP($A609,'US Grid mix, emissions&amp;prices'!$AE$2:$AI$52,2,FALSE)/(1+$AZ$41)^K$168</f>
        <v>779.09130741828164</v>
      </c>
      <c r="L609" s="113">
        <f>VLOOKUP($A609,'VKT US'!$B$63:$AA$113,(L$113+1),FALSE)*$BD$9/VLOOKUP($A609,'Fuel economy adjusted factor'!$A$2:$K$52,11,FALSE)*($AZ$15*VLOOKUP($A609,'US Grid mix, emissions&amp;prices'!$AE$2:$AI$52,3,FALSE)/100+$BA$15*VLOOKUP($A609,'US Grid mix, emissions&amp;prices'!$AE$2:$AI$52,4,FALSE)/100)/(1+$AZ$41)^L$113+VLOOKUP($A609,'VKT US'!$B$63:$AA$113,(L$168+1),FALSE)*(1-$BD$9)/VLOOKUP($A609,'Fuel economy adjusted factor'!$A$2:$K$52,10,FALSE)*VLOOKUP($A609,'US Grid mix, emissions&amp;prices'!$AE$2:$AI$52,2,FALSE)/(1+$AZ$41)^L$168</f>
        <v>748.85246945528183</v>
      </c>
      <c r="M609" s="113">
        <f>VLOOKUP($A609,'VKT US'!$B$63:$AA$113,(M$113+1),FALSE)*$BD$9/VLOOKUP($A609,'Fuel economy adjusted factor'!$A$2:$K$52,11,FALSE)*($AZ$15*VLOOKUP($A609,'US Grid mix, emissions&amp;prices'!$AE$2:$AI$52,3,FALSE)/100+$BA$15*VLOOKUP($A609,'US Grid mix, emissions&amp;prices'!$AE$2:$AI$52,4,FALSE)/100)/(1+$AZ$41)^M$113+VLOOKUP($A609,'VKT US'!$B$63:$AA$113,(M$168+1),FALSE)*(1-$BD$9)/VLOOKUP($A609,'Fuel economy adjusted factor'!$A$2:$K$52,10,FALSE)*VLOOKUP($A609,'US Grid mix, emissions&amp;prices'!$AE$2:$AI$52,2,FALSE)/(1+$AZ$41)^M$168</f>
        <v>720.2230142905014</v>
      </c>
      <c r="N609" s="113">
        <f>VLOOKUP($A609,'VKT US'!$B$63:$AA$113,(N$113+1),FALSE)*$BD$9/VLOOKUP($A609,'Fuel economy adjusted factor'!$A$2:$K$52,11,FALSE)*($AZ$15*VLOOKUP($A609,'US Grid mix, emissions&amp;prices'!$AE$2:$AI$52,3,FALSE)/100+$BA$15*VLOOKUP($A609,'US Grid mix, emissions&amp;prices'!$AE$2:$AI$52,4,FALSE)/100)/(1+$AZ$41)^N$113+VLOOKUP($A609,'VKT US'!$B$63:$AA$113,(N$168+1),FALSE)*(1-$BD$9)/VLOOKUP($A609,'Fuel economy adjusted factor'!$A$2:$K$52,10,FALSE)*VLOOKUP($A609,'US Grid mix, emissions&amp;prices'!$AE$2:$AI$52,2,FALSE)/(1+$AZ$41)^N$168</f>
        <v>693.0864387484803</v>
      </c>
      <c r="O609" s="113">
        <f>VLOOKUP($A609,'VKT US'!$B$63:$AA$113,(O$113+1),FALSE)*$BD$9/VLOOKUP($A609,'Fuel economy adjusted factor'!$A$2:$K$52,11,FALSE)*($AZ$15*VLOOKUP($A609,'US Grid mix, emissions&amp;prices'!$AE$2:$AI$52,3,FALSE)/100+$BA$15*VLOOKUP($A609,'US Grid mix, emissions&amp;prices'!$AE$2:$AI$52,4,FALSE)/100)/(1+$AZ$41)^O$113+VLOOKUP($A609,'VKT US'!$B$63:$AA$113,(O$168+1),FALSE)*(1-$BD$9)/VLOOKUP($A609,'Fuel economy adjusted factor'!$A$2:$K$52,10,FALSE)*VLOOKUP($A609,'US Grid mix, emissions&amp;prices'!$AE$2:$AI$52,2,FALSE)/(1+$AZ$41)^O$168</f>
        <v>667.47033449697619</v>
      </c>
      <c r="P609" s="113">
        <f>VLOOKUP($A609,'VKT US'!$B$63:$AA$113,(P$113+1),FALSE)*$BD$9/VLOOKUP($A609,'Fuel economy adjusted factor'!$A$2:$K$52,11,FALSE)*($AZ$15*VLOOKUP($A609,'US Grid mix, emissions&amp;prices'!$AE$2:$AI$52,3,FALSE)/100+$BA$15*VLOOKUP($A609,'US Grid mix, emissions&amp;prices'!$AE$2:$AI$52,4,FALSE)/100)/(1+$AZ$41)^P$113+VLOOKUP($A609,'VKT US'!$B$63:$AA$113,(P$168+1),FALSE)*(1-$BD$9)/VLOOKUP($A609,'Fuel economy adjusted factor'!$A$2:$K$52,10,FALSE)*VLOOKUP($A609,'US Grid mix, emissions&amp;prices'!$AE$2:$AI$52,2,FALSE)/(1+$AZ$41)^P$168</f>
        <v>643.26181772962127</v>
      </c>
      <c r="Q609" s="113">
        <f>VLOOKUP($A609,'VKT US'!$B$63:$AA$113,(Q$113+1),FALSE)*$BD$9/VLOOKUP($A609,'Fuel economy adjusted factor'!$A$2:$K$52,11,FALSE)*($AZ$15*VLOOKUP($A609,'US Grid mix, emissions&amp;prices'!$AE$2:$AI$52,3,FALSE)/100+$BA$15*VLOOKUP($A609,'US Grid mix, emissions&amp;prices'!$AE$2:$AI$52,4,FALSE)/100)/(1+$AZ$41)^Q$113+VLOOKUP($A609,'VKT US'!$B$63:$AA$113,(Q$168+1),FALSE)*(1-$BD$9)/VLOOKUP($A609,'Fuel economy adjusted factor'!$A$2:$K$52,10,FALSE)*VLOOKUP($A609,'US Grid mix, emissions&amp;prices'!$AE$2:$AI$52,2,FALSE)/(1+$AZ$41)^Q$168</f>
        <v>620.55691199738953</v>
      </c>
      <c r="R609" s="113">
        <f>VLOOKUP($A609,'VKT US'!$B$63:$AA$113,(R$113+1),FALSE)*$BD$9/VLOOKUP($A609,'Fuel economy adjusted factor'!$A$2:$K$52,11,FALSE)*($AZ$15*VLOOKUP($A609,'US Grid mix, emissions&amp;prices'!$AE$2:$AI$52,3,FALSE)/100+$BA$15*VLOOKUP($A609,'US Grid mix, emissions&amp;prices'!$AE$2:$AI$52,4,FALSE)/100)/(1+$AZ$41)^R$113+VLOOKUP($A609,'VKT US'!$B$63:$AA$113,(R$168+1),FALSE)*(1-$BD$9)/VLOOKUP($A609,'Fuel economy adjusted factor'!$A$2:$K$52,10,FALSE)*VLOOKUP($A609,'US Grid mix, emissions&amp;prices'!$AE$2:$AI$52,2,FALSE)/(1+$AZ$41)^R$168</f>
        <v>599.10898558989584</v>
      </c>
      <c r="S609" s="113">
        <f>VLOOKUP($A609,'VKT US'!$B$63:$AA$113,(S$113+1),FALSE)*$BD$9/VLOOKUP($A609,'Fuel economy adjusted factor'!$A$2:$K$52,11,FALSE)*($AZ$15*VLOOKUP($A609,'US Grid mix, emissions&amp;prices'!$AE$2:$AI$52,3,FALSE)/100+$BA$15*VLOOKUP($A609,'US Grid mix, emissions&amp;prices'!$AE$2:$AI$52,4,FALSE)/100)/(1+$AZ$41)^S$113+VLOOKUP($A609,'VKT US'!$B$63:$AA$113,(S$168+1),FALSE)*(1-$BD$9)/VLOOKUP($A609,'Fuel economy adjusted factor'!$A$2:$K$52,10,FALSE)*VLOOKUP($A609,'US Grid mix, emissions&amp;prices'!$AE$2:$AI$52,2,FALSE)/(1+$AZ$41)^S$168</f>
        <v>579.08167276055906</v>
      </c>
      <c r="T609" s="113">
        <f>VLOOKUP($A609,'VKT US'!$B$63:$AA$113,(T$113+1),FALSE)*$BD$9/VLOOKUP($A609,'Fuel economy adjusted factor'!$A$2:$K$52,11,FALSE)*($AZ$15*VLOOKUP($A609,'US Grid mix, emissions&amp;prices'!$AE$2:$AI$52,3,FALSE)/100+$BA$15*VLOOKUP($A609,'US Grid mix, emissions&amp;prices'!$AE$2:$AI$52,4,FALSE)/100)/(1+$AZ$41)^T$113+VLOOKUP($A609,'VKT US'!$B$63:$AA$113,(T$168+1),FALSE)*(1-$BD$9)/VLOOKUP($A609,'Fuel economy adjusted factor'!$A$2:$K$52,10,FALSE)*VLOOKUP($A609,'US Grid mix, emissions&amp;prices'!$AE$2:$AI$52,2,FALSE)/(1+$AZ$41)^T$168</f>
        <v>560.23497585685425</v>
      </c>
      <c r="U609" s="98">
        <f>VLOOKUP($A609,'VKT US'!$B$63:$AA$113,(U$113+1),FALSE)*$BD$9/VLOOKUP($A609,'Fuel economy adjusted factor'!$A$2:$K$52,11,FALSE)*($AZ$15*VLOOKUP($A609,'US Grid mix, emissions&amp;prices'!$AE$2:$AI$52,3,FALSE)/100+$BA$15*VLOOKUP($A609,'US Grid mix, emissions&amp;prices'!$AE$2:$AI$52,4,FALSE)/100)/(1+$AZ$41)^U$113+VLOOKUP($A609,'VKT US'!$B$63:$AA$113,(U$168+1),FALSE)*(1-$BD$9)/VLOOKUP($A609,'Fuel economy adjusted factor'!$A$2:$K$52,10,FALSE)*VLOOKUP($A609,'US Grid mix, emissions&amp;prices'!$AE$2:$AI$52,2,FALSE)/(1+$AZ$41)^U$168</f>
        <v>542.72947849279353</v>
      </c>
      <c r="V609" s="111" cm="1">
        <f t="array" ref="V609">SUMPRODUCT(INDEX(B609:U609,,_xlfn.SEQUENCE($AZ$13)))</f>
        <v>12265.128199208546</v>
      </c>
    </row>
  </sheetData>
  <mergeCells count="54">
    <mergeCell ref="AV1:AX1"/>
    <mergeCell ref="AD1:AG1"/>
    <mergeCell ref="AH1:AK1"/>
    <mergeCell ref="B58:U58"/>
    <mergeCell ref="A58:A59"/>
    <mergeCell ref="V58:V59"/>
    <mergeCell ref="B1:E1"/>
    <mergeCell ref="Z1:AC1"/>
    <mergeCell ref="V1:Y1"/>
    <mergeCell ref="J1:M1"/>
    <mergeCell ref="N1:Q1"/>
    <mergeCell ref="R1:U1"/>
    <mergeCell ref="F1:I1"/>
    <mergeCell ref="AL1:AQ1"/>
    <mergeCell ref="A112:A113"/>
    <mergeCell ref="B112:U112"/>
    <mergeCell ref="V112:V113"/>
    <mergeCell ref="A167:A168"/>
    <mergeCell ref="B167:U167"/>
    <mergeCell ref="V167:V168"/>
    <mergeCell ref="B391:U391"/>
    <mergeCell ref="V391:V392"/>
    <mergeCell ref="A222:A223"/>
    <mergeCell ref="B222:U222"/>
    <mergeCell ref="V222:V223"/>
    <mergeCell ref="A279:A280"/>
    <mergeCell ref="B279:U279"/>
    <mergeCell ref="V279:V280"/>
    <mergeCell ref="AY67:BD67"/>
    <mergeCell ref="AY72:BD72"/>
    <mergeCell ref="AV3:AX9"/>
    <mergeCell ref="AY47:BD47"/>
    <mergeCell ref="AY55:BD55"/>
    <mergeCell ref="BD3:BE3"/>
    <mergeCell ref="BD4:BE4"/>
    <mergeCell ref="BD8:BE8"/>
    <mergeCell ref="BD9:BE9"/>
    <mergeCell ref="AV12:AX23"/>
    <mergeCell ref="Y112:Y113"/>
    <mergeCell ref="Z112:AS112"/>
    <mergeCell ref="AT112:AT113"/>
    <mergeCell ref="A557:A558"/>
    <mergeCell ref="B557:U557"/>
    <mergeCell ref="V557:V558"/>
    <mergeCell ref="A502:A503"/>
    <mergeCell ref="B502:U502"/>
    <mergeCell ref="V502:V503"/>
    <mergeCell ref="A447:A448"/>
    <mergeCell ref="B447:U447"/>
    <mergeCell ref="V447:V448"/>
    <mergeCell ref="A335:A336"/>
    <mergeCell ref="B335:U335"/>
    <mergeCell ref="V335:V336"/>
    <mergeCell ref="A391:A392"/>
  </mergeCells>
  <dataValidations count="1">
    <dataValidation type="list" allowBlank="1" showInputMessage="1" showErrorMessage="1" sqref="AZ26" xr:uid="{BAEC33CD-72F1-4094-B85D-209047226E7D}">
      <formula1>"Yes,No"</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FE78838-D1A5-46E4-9687-689E5B4AAF09}">
          <x14:formula1>
            <xm:f>'Year data'!$B$2:$N$2</xm:f>
          </x14:formula1>
          <xm:sqref>AZ12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B3E98-56B7-4177-9D98-5FEFDE7D6A97}">
  <sheetPr codeName="Sheet10">
    <tabColor theme="9"/>
  </sheetPr>
  <dimension ref="A1:CB60"/>
  <sheetViews>
    <sheetView showGridLines="0" topLeftCell="A15" zoomScale="85" zoomScaleNormal="85" workbookViewId="0">
      <selection activeCell="X53" sqref="X53"/>
    </sheetView>
  </sheetViews>
  <sheetFormatPr defaultRowHeight="15" outlineLevelCol="1" x14ac:dyDescent="0.25"/>
  <cols>
    <col min="1" max="1" width="20.140625" customWidth="1"/>
    <col min="2" max="2" width="16.5703125" customWidth="1"/>
    <col min="3" max="3" width="16" bestFit="1" customWidth="1"/>
    <col min="4" max="4" width="14.42578125" customWidth="1"/>
    <col min="5" max="5" width="14.85546875" customWidth="1"/>
    <col min="6" max="6" width="12.42578125" customWidth="1"/>
    <col min="7" max="7" width="13.7109375" customWidth="1"/>
    <col min="8" max="8" width="19.5703125" customWidth="1"/>
    <col min="9" max="9" width="16" customWidth="1"/>
    <col min="10" max="15" width="13.7109375" customWidth="1"/>
    <col min="16" max="16" width="24.85546875" customWidth="1"/>
    <col min="17" max="17" width="17.5703125" customWidth="1"/>
    <col min="18" max="18" width="24.140625" customWidth="1"/>
    <col min="19" max="24" width="13.7109375" customWidth="1"/>
    <col min="25" max="25" width="25.28515625" customWidth="1"/>
    <col min="26" max="26" width="18.85546875" customWidth="1"/>
    <col min="27" max="27" width="17.85546875" customWidth="1"/>
    <col min="28" max="33" width="13.7109375" customWidth="1"/>
    <col min="34" max="34" width="16.7109375" customWidth="1"/>
    <col min="35" max="35" width="15.28515625" customWidth="1"/>
    <col min="36" max="42" width="17.140625" customWidth="1"/>
    <col min="43" max="43" width="24.42578125" customWidth="1"/>
    <col min="44" max="45" width="17.140625" customWidth="1"/>
    <col min="46" max="46" width="16.85546875" customWidth="1"/>
    <col min="47" max="47" width="14" customWidth="1"/>
    <col min="48" max="48" width="11" customWidth="1"/>
    <col min="49" max="49" width="12.28515625" customWidth="1"/>
    <col min="50" max="50" width="13" customWidth="1"/>
    <col min="51" max="51" width="13.7109375" customWidth="1"/>
    <col min="52" max="52" width="12.140625" customWidth="1"/>
    <col min="53" max="53" width="17.140625" customWidth="1"/>
    <col min="54" max="54" width="29.140625" customWidth="1"/>
    <col min="55" max="55" width="26.140625" customWidth="1"/>
    <col min="56" max="56" width="24.5703125" customWidth="1"/>
    <col min="57" max="57" width="28.85546875" customWidth="1"/>
    <col min="58" max="58" width="27" customWidth="1"/>
    <col min="59" max="59" width="26.7109375" customWidth="1"/>
    <col min="60" max="62" width="33.5703125" customWidth="1"/>
    <col min="63" max="66" width="33.5703125" customWidth="1" outlineLevel="1"/>
    <col min="67" max="68" width="33.5703125" customWidth="1"/>
    <col min="69" max="69" width="38" customWidth="1"/>
    <col min="70" max="72" width="33.5703125" customWidth="1"/>
    <col min="73" max="78" width="9.140625" customWidth="1"/>
    <col min="79" max="79" width="33.7109375" customWidth="1"/>
    <col min="80" max="80" width="37" customWidth="1"/>
  </cols>
  <sheetData>
    <row r="1" spans="1:80" ht="15" customHeight="1" x14ac:dyDescent="0.25">
      <c r="A1" s="244" t="s">
        <v>3</v>
      </c>
      <c r="B1" s="245" t="s">
        <v>308</v>
      </c>
      <c r="C1" s="246"/>
      <c r="D1" s="246"/>
      <c r="E1" s="246"/>
      <c r="F1" s="246"/>
      <c r="G1" s="246"/>
      <c r="H1" s="246"/>
      <c r="I1" s="247"/>
      <c r="J1" s="245" t="s">
        <v>255</v>
      </c>
      <c r="K1" s="246"/>
      <c r="L1" s="246"/>
      <c r="M1" s="246"/>
      <c r="N1" s="246"/>
      <c r="O1" s="246"/>
      <c r="P1" s="246"/>
      <c r="Q1" s="246"/>
      <c r="R1" s="247"/>
      <c r="S1" s="245" t="s">
        <v>254</v>
      </c>
      <c r="T1" s="246"/>
      <c r="U1" s="246"/>
      <c r="V1" s="246"/>
      <c r="W1" s="246"/>
      <c r="X1" s="246"/>
      <c r="Y1" s="246"/>
      <c r="Z1" s="246"/>
      <c r="AA1" s="247"/>
      <c r="AB1" s="245" t="s">
        <v>389</v>
      </c>
      <c r="AC1" s="246"/>
      <c r="AD1" s="246"/>
      <c r="AE1" s="246"/>
      <c r="AF1" s="246"/>
      <c r="AG1" s="246"/>
      <c r="AH1" s="246"/>
      <c r="AI1" s="246"/>
      <c r="AJ1" s="247"/>
      <c r="AK1" s="245" t="s">
        <v>519</v>
      </c>
      <c r="AL1" s="246"/>
      <c r="AM1" s="246"/>
      <c r="AN1" s="246"/>
      <c r="AO1" s="246"/>
      <c r="AP1" s="246"/>
      <c r="AQ1" s="246"/>
      <c r="AR1" s="246"/>
      <c r="AS1" s="247"/>
      <c r="AT1" s="243" t="s">
        <v>465</v>
      </c>
      <c r="AU1" s="243"/>
      <c r="AV1" s="243"/>
      <c r="AW1" s="243"/>
      <c r="AX1" s="243" t="s">
        <v>466</v>
      </c>
      <c r="AY1" s="243"/>
      <c r="AZ1" s="243"/>
      <c r="BA1" s="243"/>
      <c r="BB1" s="240" t="s">
        <v>596</v>
      </c>
      <c r="BC1" s="241"/>
      <c r="BD1" s="241"/>
      <c r="BE1" s="241"/>
      <c r="BF1" s="241"/>
      <c r="BG1" s="241"/>
      <c r="BH1" s="241"/>
      <c r="BI1" s="241"/>
      <c r="BJ1" s="241"/>
      <c r="BK1" s="241"/>
      <c r="BL1" s="241"/>
      <c r="BM1" s="241"/>
      <c r="BN1" s="241"/>
      <c r="BO1" s="241"/>
      <c r="BP1" s="241"/>
      <c r="BQ1" s="241"/>
      <c r="BR1" s="241"/>
      <c r="BS1" s="242"/>
      <c r="BT1" s="199"/>
      <c r="CA1" s="92"/>
      <c r="CB1" s="123"/>
    </row>
    <row r="2" spans="1:80" ht="30" x14ac:dyDescent="0.25">
      <c r="A2" s="235"/>
      <c r="B2" s="94" t="s">
        <v>309</v>
      </c>
      <c r="C2" s="94" t="s">
        <v>311</v>
      </c>
      <c r="D2" s="94" t="s">
        <v>422</v>
      </c>
      <c r="E2" s="94" t="s">
        <v>423</v>
      </c>
      <c r="F2" s="94" t="s">
        <v>331</v>
      </c>
      <c r="G2" s="94" t="s">
        <v>366</v>
      </c>
      <c r="H2" s="38" t="s">
        <v>499</v>
      </c>
      <c r="I2" s="94"/>
      <c r="J2" s="94" t="s">
        <v>309</v>
      </c>
      <c r="K2" s="94" t="s">
        <v>311</v>
      </c>
      <c r="L2" s="94" t="s">
        <v>422</v>
      </c>
      <c r="M2" s="94" t="s">
        <v>423</v>
      </c>
      <c r="N2" s="94" t="s">
        <v>331</v>
      </c>
      <c r="O2" s="94" t="s">
        <v>366</v>
      </c>
      <c r="P2" s="38" t="s">
        <v>499</v>
      </c>
      <c r="Q2" s="94" t="s">
        <v>424</v>
      </c>
      <c r="R2" s="38" t="s">
        <v>484</v>
      </c>
      <c r="S2" s="94" t="s">
        <v>309</v>
      </c>
      <c r="T2" s="94" t="s">
        <v>311</v>
      </c>
      <c r="U2" s="94" t="s">
        <v>422</v>
      </c>
      <c r="V2" s="94" t="s">
        <v>423</v>
      </c>
      <c r="W2" s="94" t="s">
        <v>331</v>
      </c>
      <c r="X2" s="94" t="s">
        <v>366</v>
      </c>
      <c r="Y2" s="38" t="s">
        <v>499</v>
      </c>
      <c r="Z2" s="94" t="s">
        <v>424</v>
      </c>
      <c r="AA2" s="38" t="s">
        <v>484</v>
      </c>
      <c r="AB2" s="94" t="s">
        <v>309</v>
      </c>
      <c r="AC2" s="94" t="s">
        <v>311</v>
      </c>
      <c r="AD2" s="94" t="s">
        <v>422</v>
      </c>
      <c r="AE2" s="94" t="s">
        <v>423</v>
      </c>
      <c r="AF2" s="94" t="s">
        <v>331</v>
      </c>
      <c r="AG2" s="94" t="s">
        <v>366</v>
      </c>
      <c r="AH2" s="38" t="s">
        <v>499</v>
      </c>
      <c r="AI2" s="94" t="s">
        <v>424</v>
      </c>
      <c r="AJ2" s="38" t="s">
        <v>485</v>
      </c>
      <c r="AK2" s="94" t="s">
        <v>309</v>
      </c>
      <c r="AL2" s="94" t="s">
        <v>311</v>
      </c>
      <c r="AM2" s="94" t="s">
        <v>422</v>
      </c>
      <c r="AN2" s="94" t="s">
        <v>423</v>
      </c>
      <c r="AO2" s="94" t="s">
        <v>331</v>
      </c>
      <c r="AP2" s="94" t="s">
        <v>366</v>
      </c>
      <c r="AQ2" s="38" t="s">
        <v>499</v>
      </c>
      <c r="AR2" s="94" t="s">
        <v>424</v>
      </c>
      <c r="AS2" s="38" t="s">
        <v>485</v>
      </c>
      <c r="AT2" s="94" t="s">
        <v>448</v>
      </c>
      <c r="AU2" s="94" t="s">
        <v>255</v>
      </c>
      <c r="AV2" s="94" t="s">
        <v>254</v>
      </c>
      <c r="AW2" s="94" t="s">
        <v>389</v>
      </c>
      <c r="AX2" s="94" t="s">
        <v>448</v>
      </c>
      <c r="AY2" s="94" t="s">
        <v>255</v>
      </c>
      <c r="AZ2" s="94" t="s">
        <v>254</v>
      </c>
      <c r="BA2" s="94" t="s">
        <v>389</v>
      </c>
      <c r="BB2" s="210" t="s">
        <v>534</v>
      </c>
      <c r="BC2" s="207" t="s">
        <v>441</v>
      </c>
      <c r="BD2" s="207" t="s">
        <v>478</v>
      </c>
      <c r="BE2" s="207" t="str">
        <f>"ΔEmissions BEVs and HEVs (million t) in " &amp; 'TCO Inputs'!$AZ$12</f>
        <v>ΔEmissions BEVs and HEVs (million t) in 2023</v>
      </c>
      <c r="BF2" s="207" t="str">
        <f>"BEVs emissions (million t) in " &amp; 'TCO Inputs'!$AZ$12</f>
        <v>BEVs emissions (million t) in 2023</v>
      </c>
      <c r="BG2" s="207" t="str">
        <f>"HEVs emissions (million t) in " &amp; 'TCO Inputs'!$AZ$12</f>
        <v>HEVs emissions (million t) in 2023</v>
      </c>
      <c r="BH2" s="208" t="s">
        <v>552</v>
      </c>
      <c r="BI2" s="207" t="s">
        <v>489</v>
      </c>
      <c r="BJ2" s="207" t="s">
        <v>555</v>
      </c>
      <c r="BK2" s="209" t="s">
        <v>556</v>
      </c>
      <c r="BL2" s="209" t="s">
        <v>557</v>
      </c>
      <c r="BM2" s="207" t="s">
        <v>479</v>
      </c>
      <c r="BN2" s="209" t="s">
        <v>559</v>
      </c>
      <c r="BO2" s="209" t="s">
        <v>631</v>
      </c>
      <c r="BP2" s="209" t="s">
        <v>560</v>
      </c>
      <c r="BQ2" s="206" t="s">
        <v>579</v>
      </c>
      <c r="BR2" s="206" t="s">
        <v>580</v>
      </c>
      <c r="BS2" s="206" t="s">
        <v>581</v>
      </c>
      <c r="BT2" s="199"/>
      <c r="CA2" s="206" t="s">
        <v>601</v>
      </c>
      <c r="CB2" s="206" t="s">
        <v>602</v>
      </c>
    </row>
    <row r="3" spans="1:80" x14ac:dyDescent="0.25">
      <c r="A3" s="83" t="s">
        <v>187</v>
      </c>
      <c r="B3" s="150">
        <f>VLOOKUP($A3,'TCO Inputs'!$A$3:$AG$53,10,FALSE)</f>
        <v>23731.611795719989</v>
      </c>
      <c r="C3" s="71">
        <f>VLOOKUP($A3,'TCO Inputs'!$A$3:$AG$53,14,FALSE)</f>
        <v>21182.345434986637</v>
      </c>
      <c r="D3" s="71">
        <f>VLOOKUP($A3,'TCO Inputs'!$A$3:$AG$53,18,FALSE)</f>
        <v>30378.519953460178</v>
      </c>
      <c r="E3" s="71">
        <f>VLOOKUP($A3,'TCO Inputs'!$A$3:$AG$53,22,FALSE)</f>
        <v>31184.607825597031</v>
      </c>
      <c r="F3" s="71">
        <f>VLOOKUP($A3,'TCO Inputs'!$A$3:$AG$53,26,FALSE)</f>
        <v>0</v>
      </c>
      <c r="G3" s="65">
        <f>VLOOKUP($A3,'TCO Inputs'!$A$3:$AG$53,30,FALSE)</f>
        <v>106477.08500976385</v>
      </c>
      <c r="H3" s="95">
        <f>(VLOOKUP($A3,Data!$D$64:$M$112,5,FALSE)+VLOOKUP($A3,Data!$D$64:$M$112,8,FALSE))*VLOOKUP($A3,'VKT US'!$B$63:$AB$113,27,FALSE)*CONVERT(0.9072,"g","ton")*m2k</f>
        <v>88.836675366478929</v>
      </c>
      <c r="I3" s="92"/>
      <c r="J3" s="144">
        <f>VLOOKUP($A3,'TCO Inputs'!$A$3:$AG$53,11,FALSE)</f>
        <v>40967.546942691188</v>
      </c>
      <c r="K3" s="65">
        <f>VLOOKUP($A3,'TCO Inputs'!$A$3:$AG$53,15,FALSE)</f>
        <v>14769.476918898186</v>
      </c>
      <c r="L3" s="65">
        <f>VLOOKUP($A3,'TCO Inputs'!$A$3:$AG$53,19,FALSE)</f>
        <v>18916.553559672364</v>
      </c>
      <c r="M3" s="65">
        <f>VLOOKUP($A3,'TCO Inputs'!$A$3:$AG$53,23,FALSE)</f>
        <v>36963.62043125186</v>
      </c>
      <c r="N3" s="65">
        <f>VLOOKUP($A3,'TCO Inputs'!$A$3:$AG$53,27,FALSE)</f>
        <v>0</v>
      </c>
      <c r="O3" s="65">
        <f>VLOOKUP($A3,'TCO Inputs'!$A$3:$AG$53,31,FALSE)</f>
        <v>111617.19785251361</v>
      </c>
      <c r="P3" s="7">
        <f>VLOOKUP($A3,_xlfn.IFS('Scenario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analysis'!$Q$121:$R$126),2,FALSE)+VLOOKUP($A3,Data!$D$64:$F$114,3,FALSE)*VLOOKUP($A3,'VKT US'!$B$63:$AB$113,27,FALSE)*m2k*CONVERT(0.9072,"g","ton")</f>
        <v>37.168801967569827</v>
      </c>
      <c r="Q3" s="95">
        <f>H3-P3</f>
        <v>51.667873398909101</v>
      </c>
      <c r="R3" s="60">
        <f>(O3-G3)</f>
        <v>5140.1128427497606</v>
      </c>
      <c r="S3" s="144">
        <f>VLOOKUP($A3,'TCO Inputs'!$A$3:$AG$53,12,FALSE)</f>
        <v>25202.087524607668</v>
      </c>
      <c r="T3" s="65">
        <f>VLOOKUP($A3,'TCO Inputs'!$A$3:$AG$53,16,FALSE)</f>
        <v>13035.289498453316</v>
      </c>
      <c r="U3" s="65">
        <f>VLOOKUP($A3,'TCO Inputs'!$A$3:$AG$53,20,FALSE)</f>
        <v>27922.384297648496</v>
      </c>
      <c r="V3" s="65">
        <f>VLOOKUP($A3,'TCO Inputs'!$A$3:$AG$53,24,FALSE)</f>
        <v>32496.636287742946</v>
      </c>
      <c r="W3" s="65">
        <f>VLOOKUP($A3,'TCO Inputs'!$A$3:$AG$53,28,FALSE)</f>
        <v>0</v>
      </c>
      <c r="X3" s="65">
        <f>VLOOKUP($A3,'TCO Inputs'!$A$3:$AG$53,32,FALSE)</f>
        <v>98656.397608452433</v>
      </c>
      <c r="Y3" s="7">
        <f>(VLOOKUP($A3,Data!$D$64:$M$112,4,FALSE)+VLOOKUP($A3,Data!$D$64:$M$112,7,FALSE))*VLOOKUP($A3,'VKT US'!$B$63:$AB$113,27,FALSE)*CONVERT(0.9072,"g","ton")*m2k</f>
        <v>58.647582054766019</v>
      </c>
      <c r="Z3" s="95">
        <f>H3-Y3</f>
        <v>30.189093311712909</v>
      </c>
      <c r="AA3" s="118">
        <f>(X3-G3)</f>
        <v>-7820.6874013114139</v>
      </c>
      <c r="AB3" s="144">
        <f>VLOOKUP($A3,'TCO Inputs'!$A$3:$AG$53,13,FALSE)</f>
        <v>28460.759801658827</v>
      </c>
      <c r="AC3" s="65">
        <f>VLOOKUP($A3,'TCO Inputs'!$A$3:$AG$53,17,FALSE)</f>
        <v>21089.288947505764</v>
      </c>
      <c r="AD3" s="65">
        <f>VLOOKUP($A3,'TCO Inputs'!$A$3:$AG$53,21,FALSE)</f>
        <v>27922.384297648496</v>
      </c>
      <c r="AE3" s="65">
        <f>VLOOKUP($A3,'TCO Inputs'!$A$3:$AG$53,25,FALSE)</f>
        <v>32571.256287742948</v>
      </c>
      <c r="AF3" s="65">
        <f>VLOOKUP($A3,'TCO Inputs'!$A$3:$AG$53,29,FALSE)</f>
        <v>0</v>
      </c>
      <c r="AG3" s="65">
        <f>VLOOKUP($A3,'TCO Inputs'!$A$3:$AG$53,33,FALSE)</f>
        <v>110043.68933455604</v>
      </c>
      <c r="AH3" s="7">
        <f>(VLOOKUP($A3,Data!$D$64:$M$112,9,FALSE)+VLOOKUP($A3,Data!$D$64:$M$112,10,FALSE))*VLOOKUP($A3,'VKT US'!$B$63:$AB$113,27,FALSE)*CONVERT(0.9072,"g","ton")*m2k</f>
        <v>41.888979001082632</v>
      </c>
      <c r="AI3" s="95">
        <f>H3-AH3</f>
        <v>46.947696365396297</v>
      </c>
      <c r="AJ3" s="186">
        <f>(AG3-G3)</f>
        <v>3566.6043247921916</v>
      </c>
      <c r="AK3" s="188">
        <f>VLOOKUP($A3,'TCO Inputs'!$A$3:$AT$53,40,FALSE)</f>
        <v>30376.676612640622</v>
      </c>
      <c r="AL3" s="188">
        <f>VLOOKUP($A3,'TCO Inputs'!$A$3:$AT$53,41,FALSE)</f>
        <v>13119.296338400329</v>
      </c>
      <c r="AM3" s="188">
        <f>VLOOKUP($A3,'TCO Inputs'!$A$3:$AT$53,42,FALSE)</f>
        <v>26905.277460433248</v>
      </c>
      <c r="AN3" s="188">
        <f>VLOOKUP($A3,'TCO Inputs'!$A$3:$AT$53,43,FALSE)</f>
        <v>36761.720431251859</v>
      </c>
      <c r="AO3" s="188">
        <f>VLOOKUP($A3,'TCO Inputs'!$A$3:$AT$53,44,FALSE)</f>
        <v>0</v>
      </c>
      <c r="AP3" s="188">
        <f>VLOOKUP($A3,'TCO Inputs'!$A$3:$AT$53,45,FALSE)</f>
        <v>107162.97084272606</v>
      </c>
      <c r="AQ3" s="96">
        <f>(VLOOKUP($A3,Data!$D$64:$O$114,11,FALSE)+VLOOKUP($A3,'Fuel economy adjusted factor'!$A$2:$L$52,12,FALSE)*(1-'TCO Inputs'!$BD$9))*VLOOKUP($A3,'VKT US'!$B$63:$AB$113,27,FALSE)*CONVERT(0.9072,"g","ton")*m2k+VLOOKUP($A3,'US Grid mix, emissions&amp;prices'!$H$224:$AK$274,30,FALSE)</f>
        <v>45.557551758221848</v>
      </c>
      <c r="AR3" s="96">
        <f>H3-AQ3</f>
        <v>43.27912360825708</v>
      </c>
      <c r="AS3" s="60">
        <f>VLOOKUP($A3,'TCO Inputs'!$A$3:$AT$53,46,FALSE)</f>
        <v>685.88583296221623</v>
      </c>
      <c r="AT3" s="98">
        <f>(VLOOKUP($A3,Data!$D$64:$M$112,5,FALSE)+VLOOKUP($A3,Data!$D$64:$M$112,8,FALSE))*VLOOKUP($A3,'VKT US'!$B$63:$AB$113,2,FALSE)*CONVERT(0.9072,"g","ton")*m2k*VLOOKUP($A3,'VKT US'!$F$5:$S$56,11,FALSE)/1000000</f>
        <v>31.284442242473613</v>
      </c>
      <c r="AU3" s="98">
        <f>(VLOOKUP($A3,Data!$D$64:$F$114,3,FALSE)+VLOOKUP($A3,Data!$D$64:$I$114,6,FALSE))*VLOOKUP($A3,'VKT US'!$B$63:$AB$113,2,FALSE)*m2k*CONVERT(0.9072,"g","ton")*VLOOKUP($A3,'VKT US'!$F$5:$S$56,2,FALSE)/1000000</f>
        <v>5.0928605076969169E-2</v>
      </c>
      <c r="AV3" s="98">
        <f>(VLOOKUP($A3,Data!$D$64:$M$112,4,FALSE)+VLOOKUP($A3,Data!$D$64:$M$112,7,FALSE))*VLOOKUP($A3,'VKT US'!$B$63:$AB$113,2,FALSE)*CONVERT(0.9072,"g","ton")*m2k*VLOOKUP($A3,'VKT US'!$F$5:$S$56,4,FALSE)/1000000</f>
        <v>0.31869343023451918</v>
      </c>
      <c r="AW3" s="98">
        <f>(VLOOKUP($A3,Data!$D$64:$M$112,9,FALSE)+VLOOKUP($A3,Data!$D$64:$M$112,10,FALSE))*VLOOKUP($A3,'VKT US'!$B$63:$AB$113,2,FALSE)*CONVERT(0.9072,"g","ton")*m2k*VLOOKUP($A3,'VKT US'!$F$5:$S$56,9,FALSE)/1000000</f>
        <v>0</v>
      </c>
      <c r="AX3" s="98">
        <f>H3*VLOOKUP($A3,'VKT US'!$F$5:$S$56,11,FALSE)/1000000</f>
        <v>364.4258096883699</v>
      </c>
      <c r="AY3" s="98">
        <f>P3*VLOOKUP($A3,'VKT US'!$F$5:$S$56,2,FALSE)/1000000</f>
        <v>0.48319442557840775</v>
      </c>
      <c r="AZ3" s="98">
        <f>Y3*VLOOKUP($A3,'VKT US'!$F$5:$S$56,4,FALSE)/1000000</f>
        <v>3.712391944066689</v>
      </c>
      <c r="BA3" s="98">
        <f>AH3*VLOOKUP($A3,'VKT US'!$F$5:$S$56,9,FALSE)/1000000</f>
        <v>0</v>
      </c>
      <c r="BB3" s="79">
        <f>VLOOKUP($A3,Data!$D$64:$M$112,4,FALSE)+VLOOKUP($A3,Data!$D$64:$M$112,7,FALSE)-(VLOOKUP($A3,Data!$D$64:$F$114,3,FALSE)+VLOOKUP($A3,Data!$D$64:$I$114,6,FALSE))</f>
        <v>34.547497945014129</v>
      </c>
      <c r="BC3" s="10">
        <f>(Y3-P3)*VLOOKUP($A3,'VKT US'!$F$5:$S$56,14,FALSE)/1000000*'Scenario analysis'!$E$4</f>
        <v>103.86923262367206</v>
      </c>
      <c r="BD3" s="10">
        <f>P3*VLOOKUP($A3,'VKT US'!$F$5:$S$56,14,FALSE)/1000000*'Scenario analysis'!$E$4</f>
        <v>179.74460943497093</v>
      </c>
      <c r="BE3" s="79">
        <f>(VLOOKUP($A3,Data!$D$64:$M$114,4,FALSE)+VLOOKUP($A3,Data!$D$64:$M$114,7,FALSE)-(VLOOKUP($A3,Data!$D$64:$F$114,3,FALSE)+VLOOKUP($A3,Data!$D$64:$I$114,6,FALSE)))*VLOOKUP($A3,'VKT US'!$B$63:$AB$113,2,FALSE)*CONVERT(0.9072,"g","ton")*m2k*VLOOKUP($A3,'VKT US'!$F$5:$S$56,14,FALSE)/1000000*'Scenario analysis'!$E$4</f>
        <v>5.4020211164890926</v>
      </c>
      <c r="BF3" s="79">
        <f>(VLOOKUP($A3,Data!$D$64:$F$114,3,FALSE)+VLOOKUP($A3,Data!$D$64:$I$114,6,FALSE))*VLOOKUP($A3,'VKT US'!$B$63:$AB$113,2,FALSE)*CONVERT(0.9072,"g","ton")*m2k*VLOOKUP($A3,'VKT US'!$F$5:$S$56,14,FALSE)/1000000*'Scenario analysis'!$E$4</f>
        <v>18.94504933013194</v>
      </c>
      <c r="BG3" s="79">
        <f>(VLOOKUP($A3,Data!$D$64:$M$114,4,FALSE)+VLOOKUP($A3,Data!$D$64:$M$114,7,FALSE))*VLOOKUP($A3,'VKT US'!$B$63:$AB$113,2,FALSE)*CONVERT(0.9072,"g","ton")*m2k*VLOOKUP($A3,'VKT US'!$F$5:$S$56,14,FALSE)/1000000*'Scenario analysis'!$E$4</f>
        <v>24.347070446621036</v>
      </c>
      <c r="BH3" s="79">
        <f t="shared" ref="BH3:BH34" si="0">Y3-P3</f>
        <v>21.478780087196192</v>
      </c>
      <c r="BI3" s="165">
        <f t="shared" ref="BI3:BI34" si="1">(O3-X3)/BH3</f>
        <v>603.42348082362889</v>
      </c>
      <c r="BJ3" s="193">
        <f t="shared" ref="BJ3:BJ34" si="2">(O3-X3)</f>
        <v>12960.800244061174</v>
      </c>
      <c r="BK3" s="191">
        <f>(VLOOKUP($A3,'US Grid mix, emissions&amp;prices'!$H$169:$AK$219,30,FALSE)+VLOOKUP($A3,Data!$D$64:$F$114,3,FALSE)*VLOOKUP($A3,'VKT US'!$B$63:$AB$113,27,FALSE)*m2k*CONVERT(0.9072,"g","ton"))*VLOOKUP($A3,'VKT US'!$F$5:$S$56,14,FALSE)/1000000</f>
        <v>179.74460943497093</v>
      </c>
      <c r="BL3" s="191">
        <f>P3*VLOOKUP($A3,'VKT US'!$F$5:$S$56,14,FALSE)/1000000-BK3</f>
        <v>0</v>
      </c>
      <c r="BM3" s="193">
        <v>16.931249193983991</v>
      </c>
      <c r="BN3" s="191">
        <v>2.4078714235438596</v>
      </c>
      <c r="BO3" s="191" cm="1">
        <f t="array" ref="BO3">_xlfn.IFS(AND(Q3&gt;0,R3&gt;0),R3/Q3,AND(Q3&gt;0,R3&lt;=0),-R3/Q3,Q3&lt;=0,0)</f>
        <v>99.483731468194847</v>
      </c>
      <c r="BP3" s="212" cm="1">
        <f t="array" ref="BP3">_xlfn.IFS(AND(Z3&gt;0,AA3&gt;0),AA3/Z3,AND(Z3&gt;0,AA3&lt;=0),AA3/Z3,Z3&lt;=0,0)</f>
        <v>-259.05671695933665</v>
      </c>
      <c r="BQ3" s="191">
        <f>P3*1000000/(VLOOKUP($A3,'VKT US'!$B$63:$AB$113,27,FALSE)*m2k)</f>
        <v>98.683101704927722</v>
      </c>
      <c r="BR3" s="191">
        <f>Y3*1000000/(VLOOKUP($A3,'VKT US'!$B$63:$AB$113,27,FALSE)*m2k)</f>
        <v>155.70922381916549</v>
      </c>
      <c r="BS3" s="191">
        <f>H3*1000000/(VLOOKUP($A3,'VKT US'!$B$63:$AB$113,27,FALSE)*m2k)</f>
        <v>235.86121172177965</v>
      </c>
      <c r="BT3" s="95"/>
      <c r="BU3" s="10">
        <f>$G$53</f>
        <v>98050.523542576251</v>
      </c>
      <c r="BV3" s="10">
        <f>$O$53</f>
        <v>107341.56748661415</v>
      </c>
      <c r="BW3" s="10">
        <f>$X$53</f>
        <v>91222.648207705992</v>
      </c>
      <c r="BX3" s="10">
        <f>$AG$53</f>
        <v>99790.149589169916</v>
      </c>
      <c r="BY3" s="53">
        <f>$AP$53</f>
        <v>101100.40929383134</v>
      </c>
      <c r="BZ3" s="79">
        <f>$Q$53</f>
        <v>38.44404962980262</v>
      </c>
      <c r="CA3" s="96">
        <f>VLOOKUP($A3,'TCO Inputs'!$Y$114:$AT$164,22,FALSE)</f>
        <v>82029.057109342553</v>
      </c>
      <c r="CB3" s="211">
        <f>CA3*VLOOKUP($A3,'VKT US'!$F$5:$S$56,14,FALSE)/(10^9)</f>
        <v>396.68431727506965</v>
      </c>
    </row>
    <row r="4" spans="1:80" x14ac:dyDescent="0.25">
      <c r="A4" s="83" t="s">
        <v>231</v>
      </c>
      <c r="B4" s="150">
        <f>VLOOKUP($A4,'TCO Inputs'!$A$3:$AG$53,10,FALSE)</f>
        <v>23731.611795719989</v>
      </c>
      <c r="C4" s="71">
        <f>VLOOKUP($A4,'TCO Inputs'!$A$3:$AG$53,14,FALSE)</f>
        <v>22740.385756005438</v>
      </c>
      <c r="D4" s="71">
        <f>VLOOKUP($A4,'TCO Inputs'!$A$3:$AG$53,18,FALSE)</f>
        <v>18944.588606549703</v>
      </c>
      <c r="E4" s="71">
        <f>VLOOKUP($A4,'TCO Inputs'!$A$3:$AG$53,22,FALSE)</f>
        <v>24164.59292800496</v>
      </c>
      <c r="F4" s="71">
        <f>VLOOKUP($A4,'TCO Inputs'!$A$3:$AG$53,26,FALSE)</f>
        <v>0</v>
      </c>
      <c r="G4" s="65">
        <f>VLOOKUP($A4,'TCO Inputs'!$A$3:$AG$53,30,FALSE)</f>
        <v>89581.179086280084</v>
      </c>
      <c r="H4" s="95">
        <f>(VLOOKUP($A4,Data!$D$64:$M$114,5,FALSE)+VLOOKUP($A4,Data!$D$64:$M$114,8,FALSE))*VLOOKUP($A4,'VKT US'!$B$63:$AB$113,27,FALSE)*CONVERT(0.9072,"g","ton")*m2k</f>
        <v>64.245797369725153</v>
      </c>
      <c r="I4" s="92"/>
      <c r="J4" s="144">
        <f>VLOOKUP($A4,'TCO Inputs'!$A$3:$AG$53,11,FALSE)</f>
        <v>40967.546942691188</v>
      </c>
      <c r="K4" s="65">
        <f>VLOOKUP($A4,'TCO Inputs'!$A$3:$AG$53,15,FALSE)</f>
        <v>22472.309466161507</v>
      </c>
      <c r="L4" s="65">
        <f>VLOOKUP($A4,'TCO Inputs'!$A$3:$AG$53,19,FALSE)</f>
        <v>11796.701274149387</v>
      </c>
      <c r="M4" s="65">
        <f>VLOOKUP($A4,'TCO Inputs'!$A$3:$AG$53,23,FALSE)</f>
        <v>30630.807825597032</v>
      </c>
      <c r="N4" s="65">
        <f>VLOOKUP($A4,'TCO Inputs'!$A$3:$AG$53,27,FALSE)</f>
        <v>0</v>
      </c>
      <c r="O4" s="65">
        <f>VLOOKUP($A4,'TCO Inputs'!$A$3:$AG$53,31,FALSE)</f>
        <v>105867.3655085991</v>
      </c>
      <c r="P4" s="7">
        <f>VLOOKUP($A4,_xlfn.IFS('Scenario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analysis'!$Q$121:$R$126),2,FALSE)+VLOOKUP($A4,Data!$D$64:$F$114,3,FALSE)*VLOOKUP($A4,'VKT US'!$B$63:$AB$113,27,FALSE)*m2k*CONVERT(0.9072,"g","ton")</f>
        <v>43.825818292665588</v>
      </c>
      <c r="Q4" s="95">
        <f t="shared" ref="Q4:Q53" si="3">H4-P4</f>
        <v>20.419979077059565</v>
      </c>
      <c r="R4" s="60">
        <f t="shared" ref="R4:R53" si="4">(O4-G4)</f>
        <v>16286.18642231902</v>
      </c>
      <c r="S4" s="144">
        <f>VLOOKUP($A4,'TCO Inputs'!$A$3:$AG$53,12,FALSE)</f>
        <v>25202.087524607668</v>
      </c>
      <c r="T4" s="65">
        <f>VLOOKUP($A4,'TCO Inputs'!$A$3:$AG$53,16,FALSE)</f>
        <v>13994.083542157192</v>
      </c>
      <c r="U4" s="65">
        <f>VLOOKUP($A4,'TCO Inputs'!$A$3:$AG$53,20,FALSE)</f>
        <v>17412.898463892492</v>
      </c>
      <c r="V4" s="65">
        <f>VLOOKUP($A4,'TCO Inputs'!$A$3:$AG$53,24,FALSE)</f>
        <v>25181.26865068917</v>
      </c>
      <c r="W4" s="65">
        <f>VLOOKUP($A4,'TCO Inputs'!$A$3:$AG$53,28,FALSE)</f>
        <v>0</v>
      </c>
      <c r="X4" s="65">
        <f>VLOOKUP($A4,'TCO Inputs'!$A$3:$AG$53,32,FALSE)</f>
        <v>81790.338181346509</v>
      </c>
      <c r="Y4" s="7">
        <f>(VLOOKUP($A4,Data!$D$64:$M$114,4,FALSE)+VLOOKUP($A4,Data!$D$64:$M$114,7,FALSE))*VLOOKUP($A4,'VKT US'!$B$63:$AB$113,27,FALSE)*CONVERT(0.9072,"g","ton")*m2k</f>
        <v>42.03002363480541</v>
      </c>
      <c r="Z4" s="95">
        <f t="shared" ref="Z4:Z53" si="5">H4-Y4</f>
        <v>22.215773734919743</v>
      </c>
      <c r="AA4" s="118">
        <f t="shared" ref="AA4:AA53" si="6">(X4-G4)</f>
        <v>-7790.8409049335751</v>
      </c>
      <c r="AB4" s="144">
        <f>VLOOKUP($A4,'TCO Inputs'!$A$3:$AG$53,13,FALSE)</f>
        <v>28460.759801658827</v>
      </c>
      <c r="AC4" s="65">
        <f>VLOOKUP($A4,'TCO Inputs'!$A$3:$AG$53,17,FALSE)</f>
        <v>15502.936666570948</v>
      </c>
      <c r="AD4" s="65">
        <f>VLOOKUP($A4,'TCO Inputs'!$A$3:$AG$53,21,FALSE)</f>
        <v>17412.898463892492</v>
      </c>
      <c r="AE4" s="65">
        <f>VLOOKUP($A4,'TCO Inputs'!$A$3:$AG$53,25,FALSE)</f>
        <v>25181.26865068917</v>
      </c>
      <c r="AF4" s="65">
        <f>VLOOKUP($A4,'TCO Inputs'!$A$3:$AG$53,29,FALSE)</f>
        <v>0</v>
      </c>
      <c r="AG4" s="65">
        <f>VLOOKUP($A4,'TCO Inputs'!$A$3:$AG$53,33,FALSE)</f>
        <v>86557.863582811435</v>
      </c>
      <c r="AH4" s="7">
        <f>(VLOOKUP($A4,Data!$D$64:$M$114,9,FALSE)+VLOOKUP($A4,Data!$D$64:$M$114,10,FALSE))*VLOOKUP($A4,'VKT US'!$B$63:$AB$113,27,FALSE)*CONVERT(0.9072,"g","ton")*m2k</f>
        <v>26.122716825561501</v>
      </c>
      <c r="AI4" s="95">
        <f t="shared" ref="AI4:AI53" si="7">H4-AH4</f>
        <v>38.123080544163656</v>
      </c>
      <c r="AJ4" s="186">
        <f t="shared" ref="AJ4:AJ53" si="8">(AG4-G4)</f>
        <v>-3023.3155034686497</v>
      </c>
      <c r="AK4" s="188">
        <f>VLOOKUP($A4,'TCO Inputs'!$A$3:$AT$53,40,FALSE)</f>
        <v>30376.676612640622</v>
      </c>
      <c r="AL4" s="188">
        <f>VLOOKUP($A4,'TCO Inputs'!$A$3:$AT$53,41,FALSE)</f>
        <v>17245.125827873144</v>
      </c>
      <c r="AM4" s="188">
        <f>VLOOKUP($A4,'TCO Inputs'!$A$3:$AT$53,42,FALSE)</f>
        <v>16778.612441088502</v>
      </c>
      <c r="AN4" s="188">
        <f>VLOOKUP($A4,'TCO Inputs'!$A$3:$AT$53,43,FALSE)</f>
        <v>30630.807825597032</v>
      </c>
      <c r="AO4" s="188">
        <f>VLOOKUP($A4,'TCO Inputs'!$A$3:$AT$53,44,FALSE)</f>
        <v>0</v>
      </c>
      <c r="AP4" s="188">
        <f>VLOOKUP($A4,'TCO Inputs'!$A$3:$AT$53,45,FALSE)</f>
        <v>95031.222707199311</v>
      </c>
      <c r="AQ4" s="96">
        <f>(VLOOKUP($A4,Data!$D$64:$O$114,11,FALSE)+VLOOKUP($A4,'Fuel economy adjusted factor'!$A$2:$L$52,12,FALSE)*(1-'TCO Inputs'!$BD$9))*VLOOKUP($A4,'VKT US'!$B$63:$AB$113,27,FALSE)*CONVERT(0.9072,"g","ton")*m2k+VLOOKUP($A4,'US Grid mix, emissions&amp;prices'!$H$224:$AK$274,30,FALSE)</f>
        <v>41.759653373819688</v>
      </c>
      <c r="AR4" s="96">
        <f t="shared" ref="AR4:AR53" si="9">H4-AQ4</f>
        <v>22.486143995905465</v>
      </c>
      <c r="AS4" s="60">
        <f>VLOOKUP($A4,'TCO Inputs'!$A$3:$AT$53,46,FALSE)</f>
        <v>5450.0436209192267</v>
      </c>
      <c r="AT4" s="98">
        <f>(VLOOKUP($A4,Data!$D$64:$M$114,5,FALSE)+VLOOKUP($A4,Data!$D$64:$M$114,8,FALSE))*VLOOKUP($A4,'VKT US'!$B$63:$AB$113,2,FALSE)*CONVERT(0.9072,"g","ton")*m2k*VLOOKUP($A4,'VKT US'!$F$5:$S$56,11,FALSE)/1000000</f>
        <v>2.505571206444364</v>
      </c>
      <c r="AU4" s="98">
        <f>(VLOOKUP($A4,Data!$D$64:$F$114,3,FALSE)+VLOOKUP($A4,Data!$D$64:$I$114,6,FALSE))*VLOOKUP($A4,'VKT US'!$B$63:$AB$113,2,FALSE)*m2k*CONVERT(0.9072,"g","ton")*VLOOKUP($A4,'VKT US'!$F$5:$S$56,2,FALSE)/1000000</f>
        <v>1.3079037055521089E-2</v>
      </c>
      <c r="AV4" s="98">
        <f>(VLOOKUP($A4,Data!$D$64:$M$114,4,FALSE)+VLOOKUP($A4,Data!$D$64:$M$114,7,FALSE))*VLOOKUP($A4,'VKT US'!$B$63:$AB$113,2,FALSE)*CONVERT(0.9072,"g","ton")*m2k*VLOOKUP($A4,'VKT US'!$F$5:$S$56,4,FALSE)/1000000</f>
        <v>3.8245891498626304E-2</v>
      </c>
      <c r="AW4" s="98">
        <f>(VLOOKUP($A4,Data!$D$64:$M$114,9,FALSE)+VLOOKUP($A4,Data!$D$64:$M$114,10,FALSE))*VLOOKUP($A4,'VKT US'!$B$63:$AB$113,2,FALSE)*CONVERT(0.9072,"g","ton")*m2k*VLOOKUP($A4,'VKT US'!$F$5:$S$56,9,FALSE)/1000000</f>
        <v>0</v>
      </c>
      <c r="AX4" s="98">
        <f>H4*VLOOKUP($A4,'VKT US'!$F$5:$S$56,11,FALSE)/1000000</f>
        <v>29.186865745066136</v>
      </c>
      <c r="AY4" s="98">
        <f>P4*VLOOKUP($A4,'VKT US'!$F$5:$S$56,2,FALSE)/1000000</f>
        <v>0.11832970939019707</v>
      </c>
      <c r="AZ4" s="98">
        <f>Y4*VLOOKUP($A4,'VKT US'!$F$5:$S$56,4,FALSE)/1000000</f>
        <v>0.44551825052893734</v>
      </c>
      <c r="BA4" s="98">
        <f>AH4*VLOOKUP($A4,'VKT US'!$F$5:$S$56,9,FALSE)/1000000</f>
        <v>0</v>
      </c>
      <c r="BB4" s="79">
        <f>VLOOKUP($A4,Data!$D$64:$M$114,4,FALSE)+VLOOKUP($A4,Data!$D$64:$M$114,7,FALSE)-(VLOOKUP($A4,Data!$D$64:$F$114,3,FALSE)+VLOOKUP($A4,Data!$D$64:$I$114,6,FALSE))</f>
        <v>-61.296010000859809</v>
      </c>
      <c r="BC4" s="10">
        <f>(Y4-P4)*VLOOKUP($A4,'VKT US'!$F$5:$S$56,14,FALSE)/1000000*'Scenario analysis'!$E$4</f>
        <v>-1.0052858494701276</v>
      </c>
      <c r="BD4" s="10">
        <f>P4*VLOOKUP($A4,'VKT US'!$F$5:$S$56,14,FALSE)/1000000*'Scenario analysis'!$E$4</f>
        <v>24.533693080234197</v>
      </c>
      <c r="BE4" s="79">
        <f>(VLOOKUP($A4,Data!$D$64:$M$114,4,FALSE)+VLOOKUP($A4,Data!$D$64:$M$114,7,FALSE)-(VLOOKUP($A4,Data!$D$64:$F$114,3,FALSE)+VLOOKUP($A4,Data!$D$64:$I$114,6,FALSE)))*VLOOKUP($A4,'VKT US'!$B$63:$AB$113,2,FALSE)*CONVERT(0.9072,"g","ton")*m2k*VLOOKUP($A4,'VKT US'!$F$5:$S$56,14,FALSE)/1000000*'Scenario analysis'!$E$4</f>
        <v>-0.69190430602731523</v>
      </c>
      <c r="BF4" s="79">
        <f>(VLOOKUP($A4,Data!$D$64:$F$114,3,FALSE)+VLOOKUP($A4,Data!$D$64:$I$114,6,FALSE))*VLOOKUP($A4,'VKT US'!$B$63:$AB$113,2,FALSE)*CONVERT(0.9072,"g","ton")*m2k*VLOOKUP($A4,'VKT US'!$F$5:$S$56,14,FALSE)/1000000*'Scenario analysis'!$E$4</f>
        <v>2.711720349511372</v>
      </c>
      <c r="BG4" s="79">
        <f>(VLOOKUP($A4,Data!$D$64:$M$114,4,FALSE)+VLOOKUP($A4,Data!$D$64:$M$114,7,FALSE))*VLOOKUP($A4,'VKT US'!$B$63:$AB$113,2,FALSE)*CONVERT(0.9072,"g","ton")*m2k*VLOOKUP($A4,'VKT US'!$F$5:$S$56,14,FALSE)/1000000*'Scenario analysis'!$E$4</f>
        <v>2.0198160434840569</v>
      </c>
      <c r="BH4" s="79">
        <f t="shared" si="0"/>
        <v>-1.7957946578601778</v>
      </c>
      <c r="BI4" s="96">
        <f t="shared" si="1"/>
        <v>-13407.450134606233</v>
      </c>
      <c r="BJ4" s="191">
        <f t="shared" si="2"/>
        <v>24077.027327252596</v>
      </c>
      <c r="BK4" s="191">
        <f>(VLOOKUP($A4,'US Grid mix, emissions&amp;prices'!$H$169:$AK$219,30,FALSE)+VLOOKUP($A4,Data!$D$64:$F$114,3,FALSE)*VLOOKUP($A4,'VKT US'!$B$63:$AB$113,27,FALSE)*m2k*CONVERT(0.9072,"g","ton"))*VLOOKUP($A4,'VKT US'!$F$5:$S$56,14,FALSE)/1000000</f>
        <v>24.533693080234197</v>
      </c>
      <c r="BL4" s="191">
        <f>P4*VLOOKUP($A4,'VKT US'!$F$5:$S$56,14,FALSE)/1000000-BK4</f>
        <v>0</v>
      </c>
      <c r="BM4" s="191">
        <v>2.3647321339509699</v>
      </c>
      <c r="BN4" s="191">
        <v>0.41488874370251061</v>
      </c>
      <c r="BO4" s="191" cm="1">
        <f t="array" ref="BO4">_xlfn.IFS(AND(Q4&gt;0,R4&gt;0),R4/Q4,AND(Q4&gt;0,R4&lt;=0),-R4/Q4,Q4&lt;=0,0)</f>
        <v>797.56136678001917</v>
      </c>
      <c r="BP4" s="212" cm="1">
        <f t="array" ref="BP4">_xlfn.IFS(AND(Z4&gt;0,AA4&gt;0),AA4/Z4,AND(Z4&gt;0,AA4&lt;=0),AA4/Z4,Z4&lt;=0,0)</f>
        <v>-350.68960450779099</v>
      </c>
      <c r="BQ4" s="191">
        <f>P4*1000000/(VLOOKUP($A4,'VKT US'!$B$63:$AB$113,27,FALSE)*m2k)</f>
        <v>186.58455643585756</v>
      </c>
      <c r="BR4" s="191">
        <f>Y4*1000000/(VLOOKUP($A4,'VKT US'!$B$63:$AB$113,27,FALSE)*m2k)</f>
        <v>178.93911904894634</v>
      </c>
      <c r="BS4" s="191">
        <f>H4*1000000/(VLOOKUP($A4,'VKT US'!$B$63:$AB$113,27,FALSE)*m2k)</f>
        <v>273.52081654352742</v>
      </c>
      <c r="BT4" s="95"/>
      <c r="BU4" s="10">
        <f t="shared" ref="BU4:BU53" si="10">$G$53</f>
        <v>98050.523542576251</v>
      </c>
      <c r="BV4" s="10">
        <f t="shared" ref="BV4:BV53" si="11">$O$53</f>
        <v>107341.56748661415</v>
      </c>
      <c r="BW4" s="10">
        <f t="shared" ref="BW4:BW53" si="12">$X$53</f>
        <v>91222.648207705992</v>
      </c>
      <c r="BX4" s="10">
        <f t="shared" ref="BX4:BX53" si="13">$AG$53</f>
        <v>99790.149589169916</v>
      </c>
      <c r="BY4" s="53">
        <f t="shared" ref="BY4:BY53" si="14">$AP$53</f>
        <v>101100.40929383134</v>
      </c>
      <c r="BZ4" s="79">
        <f t="shared" ref="BZ4:BZ53" si="15">$Q$53</f>
        <v>38.44404962980262</v>
      </c>
      <c r="CA4" s="96">
        <f>VLOOKUP($A4,'TCO Inputs'!$Y$114:$AT$164,22,FALSE)</f>
        <v>87527.203393746269</v>
      </c>
      <c r="CB4" s="211">
        <f>CA4*VLOOKUP($A4,'VKT US'!$F$5:$S$56,14,FALSE)/(10^9)</f>
        <v>48.997728459819157</v>
      </c>
    </row>
    <row r="5" spans="1:80" x14ac:dyDescent="0.25">
      <c r="A5" s="83" t="s">
        <v>189</v>
      </c>
      <c r="B5" s="150">
        <f>VLOOKUP($A5,'TCO Inputs'!$A$3:$AG$53,10,FALSE)</f>
        <v>23731.611795719989</v>
      </c>
      <c r="C5" s="71">
        <f>VLOOKUP($A5,'TCO Inputs'!$A$3:$AG$53,14,FALSE)</f>
        <v>22995.364881085901</v>
      </c>
      <c r="D5" s="71">
        <f>VLOOKUP($A5,'TCO Inputs'!$A$3:$AG$53,18,FALSE)</f>
        <v>22318.843025806462</v>
      </c>
      <c r="E5" s="71">
        <f>VLOOKUP($A5,'TCO Inputs'!$A$3:$AG$53,22,FALSE)</f>
        <v>29860.242477743468</v>
      </c>
      <c r="F5" s="71">
        <f>VLOOKUP($A5,'TCO Inputs'!$A$3:$AG$53,26,FALSE)</f>
        <v>0</v>
      </c>
      <c r="G5" s="65">
        <f>VLOOKUP($A5,'TCO Inputs'!$A$3:$AG$53,30,FALSE)</f>
        <v>98906.062180355817</v>
      </c>
      <c r="H5" s="95">
        <f>(VLOOKUP($A5,Data!$D$64:$M$112,5,FALSE)+VLOOKUP($A5,Data!$D$64:$M$112,8,FALSE))*VLOOKUP($A5,'VKT US'!$B$63:$AB$113,27,FALSE)*CONVERT(0.9072,"g","ton")*m2k</f>
        <v>65.954668274672642</v>
      </c>
      <c r="I5" s="92"/>
      <c r="J5" s="144">
        <f>VLOOKUP($A5,'TCO Inputs'!$A$3:$AG$53,11,FALSE)</f>
        <v>40967.546942691188</v>
      </c>
      <c r="K5" s="65">
        <f>VLOOKUP($A5,'TCO Inputs'!$A$3:$AG$53,15,FALSE)</f>
        <v>10832.584538825424</v>
      </c>
      <c r="L5" s="65">
        <f>VLOOKUP($A5,'TCO Inputs'!$A$3:$AG$53,19,FALSE)</f>
        <v>13897.832749402885</v>
      </c>
      <c r="M5" s="65">
        <f>VLOOKUP($A5,'TCO Inputs'!$A$3:$AG$53,23,FALSE)</f>
        <v>36358.735465387836</v>
      </c>
      <c r="N5" s="65">
        <f>VLOOKUP($A5,'TCO Inputs'!$A$3:$AG$53,27,FALSE)</f>
        <v>0</v>
      </c>
      <c r="O5" s="65">
        <f>VLOOKUP($A5,'TCO Inputs'!$A$3:$AG$53,31,FALSE)</f>
        <v>102056.69969630733</v>
      </c>
      <c r="P5" s="7">
        <f>VLOOKUP($A5,_xlfn.IFS('Scenario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analysis'!$Q$121:$R$126),2,FALSE)+VLOOKUP($A5,Data!$D$64:$F$114,3,FALSE)*VLOOKUP($A5,'VKT US'!$B$63:$AB$113,27,FALSE)*m2k*CONVERT(0.9072,"g","ton")</f>
        <v>27.073708240871571</v>
      </c>
      <c r="Q5" s="95">
        <f t="shared" si="3"/>
        <v>38.880960033801074</v>
      </c>
      <c r="R5" s="60">
        <f t="shared" si="4"/>
        <v>3150.6375159515155</v>
      </c>
      <c r="S5" s="144">
        <f>VLOOKUP($A5,'TCO Inputs'!$A$3:$AG$53,12,FALSE)</f>
        <v>25202.087524607668</v>
      </c>
      <c r="T5" s="65">
        <f>VLOOKUP($A5,'TCO Inputs'!$A$3:$AG$53,16,FALSE)</f>
        <v>14150.99377297594</v>
      </c>
      <c r="U5" s="65">
        <f>VLOOKUP($A5,'TCO Inputs'!$A$3:$AG$53,20,FALSE)</f>
        <v>20514.340823719976</v>
      </c>
      <c r="V5" s="65">
        <f>VLOOKUP($A5,'TCO Inputs'!$A$3:$AG$53,24,FALSE)</f>
        <v>31116.550982133904</v>
      </c>
      <c r="W5" s="65">
        <f>VLOOKUP($A5,'TCO Inputs'!$A$3:$AG$53,28,FALSE)</f>
        <v>0</v>
      </c>
      <c r="X5" s="65">
        <f>VLOOKUP($A5,'TCO Inputs'!$A$3:$AG$53,32,FALSE)</f>
        <v>90983.973103437485</v>
      </c>
      <c r="Y5" s="7">
        <f>(VLOOKUP($A5,Data!$D$64:$M$112,4,FALSE)+VLOOKUP($A5,Data!$D$64:$M$114,7,FALSE))*VLOOKUP($A5,'VKT US'!$B$63:$AB$113,27,FALSE)*CONVERT(0.9072,"g","ton")*m2k</f>
        <v>43.511721217779517</v>
      </c>
      <c r="Z5" s="95">
        <f t="shared" si="5"/>
        <v>22.442947056893125</v>
      </c>
      <c r="AA5" s="118">
        <f t="shared" si="6"/>
        <v>-7922.0890769183316</v>
      </c>
      <c r="AB5" s="144">
        <f>VLOOKUP($A5,'TCO Inputs'!$A$3:$AG$53,13,FALSE)</f>
        <v>28460.759801658827</v>
      </c>
      <c r="AC5" s="65">
        <f>VLOOKUP($A5,'TCO Inputs'!$A$3:$AG$53,17,FALSE)</f>
        <v>15676.765082229029</v>
      </c>
      <c r="AD5" s="65">
        <f>VLOOKUP($A5,'TCO Inputs'!$A$3:$AG$53,21,FALSE)</f>
        <v>20514.340823719976</v>
      </c>
      <c r="AE5" s="65">
        <f>VLOOKUP($A5,'TCO Inputs'!$A$3:$AG$53,25,FALSE)</f>
        <v>31325.486982133902</v>
      </c>
      <c r="AF5" s="65">
        <f>VLOOKUP($A5,'TCO Inputs'!$A$3:$AG$53,29,FALSE)</f>
        <v>0</v>
      </c>
      <c r="AG5" s="65">
        <f>VLOOKUP($A5,'TCO Inputs'!$A$3:$AG$53,33,FALSE)</f>
        <v>95977.352689741732</v>
      </c>
      <c r="AH5" s="7">
        <f>(VLOOKUP($A5,Data!$D$64:$M$112,9,FALSE)+VLOOKUP($A5,Data!$D$64:$M$112,10,FALSE))*VLOOKUP($A5,'VKT US'!$B$63:$AB$113,27,FALSE)*CONVERT(0.9072,"g","ton")*m2k</f>
        <v>30.775480446998472</v>
      </c>
      <c r="AI5" s="95">
        <f t="shared" si="7"/>
        <v>35.17918782767417</v>
      </c>
      <c r="AJ5" s="186">
        <f t="shared" si="8"/>
        <v>-2928.7094906140846</v>
      </c>
      <c r="AK5" s="188">
        <f>VLOOKUP($A5,'TCO Inputs'!$A$3:$AT$53,40,FALSE)</f>
        <v>30376.676612640622</v>
      </c>
      <c r="AL5" s="188">
        <f>VLOOKUP($A5,'TCO Inputs'!$A$3:$AT$53,41,FALSE)</f>
        <v>11818.12841049897</v>
      </c>
      <c r="AM5" s="188">
        <f>VLOOKUP($A5,'TCO Inputs'!$A$3:$AT$53,42,FALSE)</f>
        <v>19767.080987656238</v>
      </c>
      <c r="AN5" s="188">
        <f>VLOOKUP($A5,'TCO Inputs'!$A$3:$AT$53,43,FALSE)</f>
        <v>35793.415465387836</v>
      </c>
      <c r="AO5" s="188">
        <f>VLOOKUP($A5,'TCO Inputs'!$A$3:$AT$53,44,FALSE)</f>
        <v>0</v>
      </c>
      <c r="AP5" s="188">
        <f>VLOOKUP($A5,'TCO Inputs'!$A$3:$AT$53,45,FALSE)</f>
        <v>97755.301476183668</v>
      </c>
      <c r="AQ5" s="96">
        <f>(VLOOKUP($A5,Data!$D$64:$O$114,11,FALSE)+VLOOKUP($A5,'Fuel economy adjusted factor'!$A$2:$L$52,12,FALSE)*(1-'TCO Inputs'!$BD$9))*VLOOKUP($A5,'VKT US'!$B$63:$AB$113,27,FALSE)*CONVERT(0.9072,"g","ton")*m2k+VLOOKUP($A5,'US Grid mix, emissions&amp;prices'!$H$224:$AK$274,30,FALSE)</f>
        <v>33.552084913640186</v>
      </c>
      <c r="AR5" s="96">
        <f t="shared" si="9"/>
        <v>32.402583361032455</v>
      </c>
      <c r="AS5" s="60">
        <f>VLOOKUP($A5,'TCO Inputs'!$A$3:$AT$53,46,FALSE)</f>
        <v>-1150.7607041721494</v>
      </c>
      <c r="AT5" s="98">
        <f>(VLOOKUP($A5,Data!$D$64:$M$112,5,FALSE)+VLOOKUP($A5,Data!$D$64:$M$112,8,FALSE))*VLOOKUP($A5,'VKT US'!$B$63:$AB$113,2,FALSE)*CONVERT(0.9072,"g","ton")*m2k*VLOOKUP($A5,'VKT US'!$F$5:$S$56,11,FALSE)/1000000</f>
        <v>30.965118965542953</v>
      </c>
      <c r="AU5" s="98">
        <f>(VLOOKUP($A5,Data!$D$64:$F$114,3,FALSE)+VLOOKUP($A5,Data!$D$64:$I$114,6,FALSE))*VLOOKUP($A5,'VKT US'!$B$63:$AB$113,2,FALSE)*m2k*CONVERT(0.9072,"g","ton")*VLOOKUP($A5,'VKT US'!$F$5:$S$56,2,FALSE)/1000000</f>
        <v>0.25602129684775515</v>
      </c>
      <c r="AV5" s="98">
        <f>(VLOOKUP($A5,Data!$D$64:$M$112,4,FALSE)+VLOOKUP($A5,Data!$D$64:$M$112,7,FALSE))*VLOOKUP($A5,'VKT US'!$B$63:$AB$113,2,FALSE)*CONVERT(0.9072,"g","ton")*m2k*VLOOKUP($A5,'VKT US'!$F$5:$S$56,4,FALSE)/1000000</f>
        <v>0.65629230757277501</v>
      </c>
      <c r="AW5" s="98">
        <f>(VLOOKUP($A5,Data!$D$64:$M$112,9,FALSE)+VLOOKUP($A5,Data!$D$64:$M$112,10,FALSE))*VLOOKUP($A5,'VKT US'!$B$63:$AB$113,2,FALSE)*CONVERT(0.9072,"g","ton")*m2k*VLOOKUP($A5,'VKT US'!$F$5:$S$56,9,FALSE)/1000000</f>
        <v>0</v>
      </c>
      <c r="AX5" s="98">
        <f>H5*VLOOKUP($A5,'VKT US'!$F$5:$S$56,11,FALSE)/1000000</f>
        <v>360.70608079418469</v>
      </c>
      <c r="AY5" s="98">
        <f>P5*VLOOKUP($A5,'VKT US'!$F$5:$S$56,2,FALSE)/1000000</f>
        <v>2.4312190000302669</v>
      </c>
      <c r="AZ5" s="98">
        <f>Y5*VLOOKUP($A5,'VKT US'!$F$5:$S$56,4,FALSE)/1000000</f>
        <v>7.6450094179638617</v>
      </c>
      <c r="BA5" s="98">
        <f>AH5*VLOOKUP($A5,'VKT US'!$F$5:$S$56,9,FALSE)/1000000</f>
        <v>0</v>
      </c>
      <c r="BB5" s="79">
        <f>VLOOKUP($A5,Data!$D$64:$M$112,4,FALSE)+VLOOKUP($A5,Data!$D$64:$M$112,7,FALSE)-(VLOOKUP($A5,Data!$D$64:$F$114,3,FALSE)+VLOOKUP($A5,Data!$D$64:$I$114,6,FALSE))</f>
        <v>37.22410620830442</v>
      </c>
      <c r="BC5" s="10">
        <f>(Y5-P5)*VLOOKUP($A5,'VKT US'!$F$5:$S$56,14,FALSE)/1000000*'Scenario analysis'!$E$4</f>
        <v>107.32378672623197</v>
      </c>
      <c r="BD5" s="10">
        <f>P5*VLOOKUP($A5,'VKT US'!$F$5:$S$56,14,FALSE)/1000000*'Scenario analysis'!$E$4</f>
        <v>176.76424110465049</v>
      </c>
      <c r="BE5" s="79">
        <f>(VLOOKUP($A5,Data!$D$64:$M$114,4,FALSE)+VLOOKUP($A5,Data!$D$64:$M$114,7,FALSE)-(VLOOKUP($A5,Data!$D$64:$F$114,3,FALSE)+VLOOKUP($A5,Data!$D$64:$I$114,6,FALSE)))*VLOOKUP($A5,'VKT US'!$B$63:$AB$113,2,FALSE)*CONVERT(0.9072,"g","ton")*m2k*VLOOKUP($A5,'VKT US'!$F$5:$S$56,14,FALSE)/1000000*'Scenario analysis'!$E$4</f>
        <v>5.7734894959647631</v>
      </c>
      <c r="BF5" s="79">
        <f>(VLOOKUP($A5,Data!$D$64:$F$114,3,FALSE)+VLOOKUP($A5,Data!$D$64:$I$114,6,FALSE))*VLOOKUP($A5,'VKT US'!$B$63:$AB$113,2,FALSE)*CONVERT(0.9072,"g","ton")*m2k*VLOOKUP($A5,'VKT US'!$F$5:$S$56,14,FALSE)/1000000*'Scenario analysis'!$E$4</f>
        <v>18.61428782983289</v>
      </c>
      <c r="BG5" s="79">
        <f>(VLOOKUP($A5,Data!$D$64:$M$114,4,FALSE)+VLOOKUP($A5,Data!$D$64:$M$114,7,FALSE))*VLOOKUP($A5,'VKT US'!$B$63:$AB$113,2,FALSE)*CONVERT(0.9072,"g","ton")*m2k*VLOOKUP($A5,'VKT US'!$F$5:$S$56,14,FALSE)/1000000*'Scenario analysis'!$E$4</f>
        <v>24.387777325797654</v>
      </c>
      <c r="BH5" s="79">
        <f t="shared" si="0"/>
        <v>16.438012976907945</v>
      </c>
      <c r="BI5" s="96">
        <f t="shared" si="1"/>
        <v>673.60493074344015</v>
      </c>
      <c r="BJ5" s="191">
        <f t="shared" si="2"/>
        <v>11072.726592869847</v>
      </c>
      <c r="BK5" s="191">
        <f>(VLOOKUP($A5,'US Grid mix, emissions&amp;prices'!$H$169:$AK$219,30,FALSE)+VLOOKUP($A5,Data!$D$64:$F$114,3,FALSE)*VLOOKUP($A5,'VKT US'!$B$63:$AB$113,27,FALSE)*m2k*CONVERT(0.9072,"g","ton"))*VLOOKUP($A5,'VKT US'!$F$5:$S$56,14,FALSE)/1000000</f>
        <v>176.76424110465049</v>
      </c>
      <c r="BL5" s="191">
        <f>P5*VLOOKUP($A5,'VKT US'!$F$5:$S$56,14,FALSE)/1000000-BK5</f>
        <v>0</v>
      </c>
      <c r="BM5" s="191">
        <v>16.643407819362956</v>
      </c>
      <c r="BN5" s="191">
        <v>2.3565524558568853</v>
      </c>
      <c r="BO5" s="191" cm="1">
        <f t="array" ref="BO5">_xlfn.IFS(AND(Q5&gt;0,R5&gt;0),R5/Q5,AND(Q5&gt;0,R5&lt;=0),-R5/Q5,Q5&lt;=0,0)</f>
        <v>81.032914650577453</v>
      </c>
      <c r="BP5" s="212" cm="1">
        <f t="array" ref="BP5">_xlfn.IFS(AND(Z5&gt;0,AA5&gt;0),AA5/Z5,AND(Z5&gt;0,AA5&lt;=0),AA5/Z5,Z5&lt;=0,0)</f>
        <v>-352.98791450319544</v>
      </c>
      <c r="BQ5" s="191">
        <f>P5*1000000/(VLOOKUP($A5,'VKT US'!$B$63:$AB$113,27,FALSE)*m2k)</f>
        <v>97.837851285232531</v>
      </c>
      <c r="BR5" s="191">
        <f>Y5*1000000/(VLOOKUP($A5,'VKT US'!$B$63:$AB$113,27,FALSE)*m2k)</f>
        <v>157.24086526288735</v>
      </c>
      <c r="BS5" s="191">
        <f>H5*1000000/(VLOOKUP($A5,'VKT US'!$B$63:$AB$113,27,FALSE)*m2k)</f>
        <v>238.34426258914772</v>
      </c>
      <c r="BT5" s="95"/>
      <c r="BU5" s="10">
        <f t="shared" si="10"/>
        <v>98050.523542576251</v>
      </c>
      <c r="BV5" s="10">
        <f t="shared" si="11"/>
        <v>107341.56748661415</v>
      </c>
      <c r="BW5" s="10">
        <f t="shared" si="12"/>
        <v>91222.648207705992</v>
      </c>
      <c r="BX5" s="10">
        <f t="shared" si="13"/>
        <v>99790.149589169916</v>
      </c>
      <c r="BY5" s="53">
        <f t="shared" si="14"/>
        <v>101100.40929383134</v>
      </c>
      <c r="BZ5" s="79">
        <f t="shared" si="15"/>
        <v>38.44404962980262</v>
      </c>
      <c r="CA5" s="96">
        <f>VLOOKUP($A5,'TCO Inputs'!$Y$114:$AT$164,22,FALSE)</f>
        <v>62442.968966805245</v>
      </c>
      <c r="CB5" s="211">
        <f>CA5*VLOOKUP($A5,'VKT US'!$F$5:$S$56,14,FALSE)/(10^9)</f>
        <v>407.69014438427143</v>
      </c>
    </row>
    <row r="6" spans="1:80" x14ac:dyDescent="0.25">
      <c r="A6" s="83" t="s">
        <v>188</v>
      </c>
      <c r="B6" s="150">
        <f>VLOOKUP($A6,'TCO Inputs'!$A$3:$AG$53,10,FALSE)</f>
        <v>23731.611795719989</v>
      </c>
      <c r="C6" s="71">
        <f>VLOOKUP($A6,'TCO Inputs'!$A$3:$AG$53,14,FALSE)</f>
        <v>20598.028824524059</v>
      </c>
      <c r="D6" s="71">
        <f>VLOOKUP($A6,'TCO Inputs'!$A$3:$AG$53,18,FALSE)</f>
        <v>29367.437148700574</v>
      </c>
      <c r="E6" s="71">
        <f>VLOOKUP($A6,'TCO Inputs'!$A$3:$AG$53,22,FALSE)</f>
        <v>33425.460117534276</v>
      </c>
      <c r="F6" s="71">
        <f>VLOOKUP($A6,'TCO Inputs'!$A$3:$AG$53,26,FALSE)</f>
        <v>0</v>
      </c>
      <c r="G6" s="65">
        <f>VLOOKUP($A6,'TCO Inputs'!$A$3:$AG$53,30,FALSE)</f>
        <v>107122.53788647891</v>
      </c>
      <c r="H6" s="95">
        <f>(VLOOKUP($A6,Data!$D$64:$M$112,5,FALSE)+VLOOKUP($A6,Data!$D$64:$M$112,8,FALSE))*VLOOKUP($A6,'VKT US'!$B$63:$AB$113,27,FALSE)*CONVERT(0.9072,"g","ton")*m2k</f>
        <v>86.331994844440274</v>
      </c>
      <c r="I6" s="92"/>
      <c r="J6" s="144">
        <f>VLOOKUP($A6,'TCO Inputs'!$A$3:$AG$53,11,FALSE)</f>
        <v>40967.546942691188</v>
      </c>
      <c r="K6" s="65">
        <f>VLOOKUP($A6,'TCO Inputs'!$A$3:$AG$53,15,FALSE)</f>
        <v>12915.809927283542</v>
      </c>
      <c r="L6" s="65">
        <f>VLOOKUP($A6,'TCO Inputs'!$A$3:$AG$53,19,FALSE)</f>
        <v>18286.957316708584</v>
      </c>
      <c r="M6" s="65">
        <f>VLOOKUP($A6,'TCO Inputs'!$A$3:$AG$53,23,FALSE)</f>
        <v>43544.181126958989</v>
      </c>
      <c r="N6" s="65">
        <f>VLOOKUP($A6,'TCO Inputs'!$A$3:$AG$53,27,FALSE)</f>
        <v>0</v>
      </c>
      <c r="O6" s="65">
        <f>VLOOKUP($A6,'TCO Inputs'!$A$3:$AG$53,31,FALSE)</f>
        <v>115714.49531364228</v>
      </c>
      <c r="P6" s="7">
        <f>VLOOKUP($A6,_xlfn.IFS('Scenario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analysis'!$Q$121:$R$126),2,FALSE)+VLOOKUP($A6,Data!$D$64:$F$114,3,FALSE)*VLOOKUP($A6,'VKT US'!$B$63:$AB$113,27,FALSE)*m2k*CONVERT(0.9072,"g","ton")</f>
        <v>44.423688691656189</v>
      </c>
      <c r="Q6" s="95">
        <f t="shared" si="3"/>
        <v>41.908306152784085</v>
      </c>
      <c r="R6" s="60">
        <f t="shared" si="4"/>
        <v>8591.9574271633755</v>
      </c>
      <c r="S6" s="144">
        <f>VLOOKUP($A6,'TCO Inputs'!$A$3:$AG$53,12,FALSE)</f>
        <v>25202.087524607668</v>
      </c>
      <c r="T6" s="65">
        <f>VLOOKUP($A6,'TCO Inputs'!$A$3:$AG$53,16,FALSE)</f>
        <v>12675.710045860955</v>
      </c>
      <c r="U6" s="65">
        <f>VLOOKUP($A6,'TCO Inputs'!$A$3:$AG$53,20,FALSE)</f>
        <v>26993.048613273706</v>
      </c>
      <c r="V6" s="65">
        <f>VLOOKUP($A6,'TCO Inputs'!$A$3:$AG$53,24,FALSE)</f>
        <v>34831.767847289688</v>
      </c>
      <c r="W6" s="65">
        <f>VLOOKUP($A6,'TCO Inputs'!$A$3:$AG$53,28,FALSE)</f>
        <v>0</v>
      </c>
      <c r="X6" s="65">
        <f>VLOOKUP($A6,'TCO Inputs'!$A$3:$AG$53,32,FALSE)</f>
        <v>99702.614031032019</v>
      </c>
      <c r="Y6" s="7">
        <f>(VLOOKUP($A6,Data!$D$64:$M$112,4,FALSE)+VLOOKUP($A6,Data!$D$64:$M$112,7,FALSE))*VLOOKUP($A6,'VKT US'!$B$63:$AB$113,27,FALSE)*CONVERT(0.9072,"g","ton")*m2k</f>
        <v>56.974469804378494</v>
      </c>
      <c r="Z6" s="95">
        <f t="shared" si="5"/>
        <v>29.35752504006178</v>
      </c>
      <c r="AA6" s="118">
        <f t="shared" si="6"/>
        <v>-7419.9238554468902</v>
      </c>
      <c r="AB6" s="144">
        <f>VLOOKUP($A6,'TCO Inputs'!$A$3:$AG$53,13,FALSE)</f>
        <v>28460.759801658827</v>
      </c>
      <c r="AC6" s="65">
        <f>VLOOKUP($A6,'TCO Inputs'!$A$3:$AG$53,17,FALSE)</f>
        <v>20507.539307330455</v>
      </c>
      <c r="AD6" s="65">
        <f>VLOOKUP($A6,'TCO Inputs'!$A$3:$AG$53,21,FALSE)</f>
        <v>26993.048613273706</v>
      </c>
      <c r="AE6" s="65">
        <f>VLOOKUP($A6,'TCO Inputs'!$A$3:$AG$53,25,FALSE)</f>
        <v>35074.282847289694</v>
      </c>
      <c r="AF6" s="65">
        <f>VLOOKUP($A6,'TCO Inputs'!$A$3:$AG$53,29,FALSE)</f>
        <v>0</v>
      </c>
      <c r="AG6" s="65">
        <f>VLOOKUP($A6,'TCO Inputs'!$A$3:$AG$53,33,FALSE)</f>
        <v>111035.63056955268</v>
      </c>
      <c r="AH6" s="7">
        <f>(VLOOKUP($A6,Data!$D$64:$M$112,9,FALSE)+VLOOKUP($A6,Data!$D$64:$M$112,10,FALSE))*VLOOKUP($A6,'VKT US'!$B$63:$AB$113,27,FALSE)*CONVERT(0.9072,"g","ton")*m2k</f>
        <v>40.494795662269034</v>
      </c>
      <c r="AI6" s="95">
        <f t="shared" si="7"/>
        <v>45.83719918217124</v>
      </c>
      <c r="AJ6" s="186">
        <f t="shared" si="8"/>
        <v>3913.0926830737735</v>
      </c>
      <c r="AK6" s="188">
        <f>VLOOKUP($A6,'TCO Inputs'!$A$3:$AT$53,40,FALSE)</f>
        <v>30376.676612640622</v>
      </c>
      <c r="AL6" s="188">
        <f>VLOOKUP($A6,'TCO Inputs'!$A$3:$AT$53,41,FALSE)</f>
        <v>12061.024901853552</v>
      </c>
      <c r="AM6" s="188">
        <f>VLOOKUP($A6,'TCO Inputs'!$A$3:$AT$53,42,FALSE)</f>
        <v>26009.793959617346</v>
      </c>
      <c r="AN6" s="188">
        <f>VLOOKUP($A6,'TCO Inputs'!$A$3:$AT$53,43,FALSE)</f>
        <v>42888.006126958986</v>
      </c>
      <c r="AO6" s="188">
        <f>VLOOKUP($A6,'TCO Inputs'!$A$3:$AT$53,44,FALSE)</f>
        <v>0</v>
      </c>
      <c r="AP6" s="188">
        <f>VLOOKUP($A6,'TCO Inputs'!$A$3:$AT$53,45,FALSE)</f>
        <v>111335.50160107051</v>
      </c>
      <c r="AQ6" s="96">
        <f>(VLOOKUP($A6,Data!$D$64:$O$114,11,FALSE)+VLOOKUP($A6,'Fuel economy adjusted factor'!$A$2:$L$52,12,FALSE)*(1-'TCO Inputs'!$BD$9))*VLOOKUP($A6,'VKT US'!$B$63:$AB$113,27,FALSE)*CONVERT(0.9072,"g","ton")*m2k+VLOOKUP($A6,'US Grid mix, emissions&amp;prices'!$H$224:$AK$274,30,FALSE)</f>
        <v>48.590621944038652</v>
      </c>
      <c r="AR6" s="96">
        <f t="shared" si="9"/>
        <v>37.741372900401622</v>
      </c>
      <c r="AS6" s="60">
        <f>VLOOKUP($A6,'TCO Inputs'!$A$3:$AT$53,46,FALSE)</f>
        <v>4212.9637145916058</v>
      </c>
      <c r="AT6" s="98">
        <f>(VLOOKUP($A6,Data!$D$64:$M$112,5,FALSE)+VLOOKUP($A6,Data!$D$64:$M$112,8,FALSE))*VLOOKUP($A6,'VKT US'!$B$63:$AB$113,2,FALSE)*CONVERT(0.9072,"g","ton")*m2k*VLOOKUP($A6,'VKT US'!$F$5:$S$56,11,FALSE)/1000000</f>
        <v>16.646393366503194</v>
      </c>
      <c r="AU6" s="98">
        <f>(VLOOKUP($A6,Data!$D$64:$F$114,3,FALSE)+VLOOKUP($A6,Data!$D$64:$I$114,6,FALSE))*VLOOKUP($A6,'VKT US'!$B$63:$AB$113,2,FALSE)*m2k*CONVERT(0.9072,"g","ton")*VLOOKUP($A6,'VKT US'!$F$5:$S$56,2,FALSE)/1000000</f>
        <v>3.3900591888406245E-2</v>
      </c>
      <c r="AV6" s="98">
        <f>(VLOOKUP($A6,Data!$D$64:$M$112,4,FALSE)+VLOOKUP($A6,Data!$D$64:$M$112,7,FALSE))*VLOOKUP($A6,'VKT US'!$B$63:$AB$113,2,FALSE)*CONVERT(0.9072,"g","ton")*m2k*VLOOKUP($A6,'VKT US'!$F$5:$S$56,4,FALSE)/1000000</f>
        <v>0.18096779951548589</v>
      </c>
      <c r="AW6" s="98">
        <f>(VLOOKUP($A6,Data!$D$64:$M$112,9,FALSE)+VLOOKUP($A6,Data!$D$64:$M$112,10,FALSE))*VLOOKUP($A6,'VKT US'!$B$63:$AB$113,2,FALSE)*CONVERT(0.9072,"g","ton")*m2k*VLOOKUP($A6,'VKT US'!$F$5:$S$56,9,FALSE)/1000000</f>
        <v>0</v>
      </c>
      <c r="AX6" s="98">
        <f>H6*VLOOKUP($A6,'VKT US'!$F$5:$S$56,11,FALSE)/1000000</f>
        <v>193.91029362009732</v>
      </c>
      <c r="AY6" s="98">
        <f>P6*VLOOKUP($A6,'VKT US'!$F$5:$S$56,2,FALSE)/1000000</f>
        <v>0.3154081897107589</v>
      </c>
      <c r="AZ6" s="98">
        <f>Y6*VLOOKUP($A6,'VKT US'!$F$5:$S$56,4,FALSE)/1000000</f>
        <v>2.1080553827620041</v>
      </c>
      <c r="BA6" s="98">
        <f>AH6*VLOOKUP($A6,'VKT US'!$F$5:$S$56,9,FALSE)/1000000</f>
        <v>0</v>
      </c>
      <c r="BB6" s="79">
        <f>VLOOKUP($A6,Data!$D$64:$M$112,4,FALSE)+VLOOKUP($A6,Data!$D$64:$M$112,7,FALSE)-(VLOOKUP($A6,Data!$D$64:$F$114,3,FALSE)+VLOOKUP($A6,Data!$D$64:$I$114,6,FALSE))</f>
        <v>3.7203337272558201</v>
      </c>
      <c r="BC6" s="10">
        <f>(Y6-P6)*VLOOKUP($A6,'VKT US'!$F$5:$S$56,14,FALSE)/1000000*'Scenario analysis'!$E$4</f>
        <v>33.991280487585819</v>
      </c>
      <c r="BD6" s="10">
        <f>P6*VLOOKUP($A6,'VKT US'!$F$5:$S$56,14,FALSE)/1000000*'Scenario analysis'!$E$4</f>
        <v>120.31267608361246</v>
      </c>
      <c r="BE6" s="79">
        <f>(VLOOKUP($A6,Data!$D$64:$M$114,4,FALSE)+VLOOKUP($A6,Data!$D$64:$M$114,7,FALSE)-(VLOOKUP($A6,Data!$D$64:$F$114,3,FALSE)+VLOOKUP($A6,Data!$D$64:$I$114,6,FALSE)))*VLOOKUP($A6,'VKT US'!$B$63:$AB$113,2,FALSE)*CONVERT(0.9072,"g","ton")*m2k*VLOOKUP($A6,'VKT US'!$F$5:$S$56,14,FALSE)/1000000*'Scenario analysis'!$E$4</f>
        <v>0.31494917288389318</v>
      </c>
      <c r="BF6" s="79">
        <f>(VLOOKUP($A6,Data!$D$64:$F$114,3,FALSE)+VLOOKUP($A6,Data!$D$64:$I$114,6,FALSE))*VLOOKUP($A6,'VKT US'!$B$63:$AB$113,2,FALSE)*CONVERT(0.9072,"g","ton")*m2k*VLOOKUP($A6,'VKT US'!$F$5:$S$56,14,FALSE)/1000000*'Scenario analysis'!$E$4</f>
        <v>12.931404649488822</v>
      </c>
      <c r="BG6" s="79">
        <f>(VLOOKUP($A6,Data!$D$64:$M$114,4,FALSE)+VLOOKUP($A6,Data!$D$64:$M$114,7,FALSE))*VLOOKUP($A6,'VKT US'!$B$63:$AB$113,2,FALSE)*CONVERT(0.9072,"g","ton")*m2k*VLOOKUP($A6,'VKT US'!$F$5:$S$56,14,FALSE)/1000000*'Scenario analysis'!$E$4</f>
        <v>13.246353822372715</v>
      </c>
      <c r="BH6" s="79">
        <f t="shared" si="0"/>
        <v>12.550781112722305</v>
      </c>
      <c r="BI6" s="96">
        <f t="shared" si="1"/>
        <v>1275.7677102964979</v>
      </c>
      <c r="BJ6" s="191">
        <f t="shared" si="2"/>
        <v>16011.881282610266</v>
      </c>
      <c r="BK6" s="191">
        <f>(VLOOKUP($A6,'US Grid mix, emissions&amp;prices'!$H$169:$AK$219,30,FALSE)+VLOOKUP($A6,Data!$D$64:$F$114,3,FALSE)*VLOOKUP($A6,'VKT US'!$B$63:$AB$113,27,FALSE)*m2k*CONVERT(0.9072,"g","ton"))*VLOOKUP($A6,'VKT US'!$F$5:$S$56,14,FALSE)/1000000</f>
        <v>120.31267608361246</v>
      </c>
      <c r="BL6" s="191">
        <f>P6*VLOOKUP($A6,'VKT US'!$F$5:$S$56,14,FALSE)/1000000-BK6</f>
        <v>0</v>
      </c>
      <c r="BM6" s="191">
        <v>11.439950678613894</v>
      </c>
      <c r="BN6" s="191">
        <v>1.7833097394015223</v>
      </c>
      <c r="BO6" s="191" cm="1">
        <f t="array" ref="BO6">_xlfn.IFS(AND(Q6&gt;0,R6&gt;0),R6/Q6,AND(Q6&gt;0,R6&lt;=0),-R6/Q6,Q6&lt;=0,0)</f>
        <v>205.01800754819072</v>
      </c>
      <c r="BP6" s="212" cm="1">
        <f t="array" ref="BP6">_xlfn.IFS(AND(Z6&gt;0,AA6&gt;0),AA6/Z6,AND(Z6&gt;0,AA6&lt;=0),AA6/Z6,Z6&lt;=0,0)</f>
        <v>-252.74350768062141</v>
      </c>
      <c r="BQ6" s="191">
        <f>P6*1000000/(VLOOKUP($A6,'VKT US'!$B$63:$AB$113,27,FALSE)*m2k)</f>
        <v>122.00549984177988</v>
      </c>
      <c r="BR6" s="191">
        <f>Y6*1000000/(VLOOKUP($A6,'VKT US'!$B$63:$AB$113,27,FALSE)*m2k)</f>
        <v>156.47504454102642</v>
      </c>
      <c r="BS6" s="191">
        <f>H6*1000000/(VLOOKUP($A6,'VKT US'!$B$63:$AB$113,27,FALSE)*m2k)</f>
        <v>237.10273715546367</v>
      </c>
      <c r="BT6" s="95"/>
      <c r="BU6" s="10">
        <f t="shared" si="10"/>
        <v>98050.523542576251</v>
      </c>
      <c r="BV6" s="10">
        <f t="shared" si="11"/>
        <v>107341.56748661415</v>
      </c>
      <c r="BW6" s="10">
        <f t="shared" si="12"/>
        <v>91222.648207705992</v>
      </c>
      <c r="BX6" s="10">
        <f t="shared" si="13"/>
        <v>99790.149589169916</v>
      </c>
      <c r="BY6" s="53">
        <f t="shared" si="14"/>
        <v>101100.40929383134</v>
      </c>
      <c r="BZ6" s="79">
        <f t="shared" si="15"/>
        <v>38.44404962980262</v>
      </c>
      <c r="CA6" s="96">
        <f>VLOOKUP($A6,'TCO Inputs'!$Y$114:$AT$164,22,FALSE)</f>
        <v>81183.378318804942</v>
      </c>
      <c r="CB6" s="211">
        <f>CA6*VLOOKUP($A6,'VKT US'!$F$5:$S$56,14,FALSE)/(10^9)</f>
        <v>219.86894350081943</v>
      </c>
    </row>
    <row r="7" spans="1:80" x14ac:dyDescent="0.25">
      <c r="A7" s="83" t="s">
        <v>149</v>
      </c>
      <c r="B7" s="150">
        <f>VLOOKUP($A7,'TCO Inputs'!$A$3:$AG$53,10,FALSE)</f>
        <v>23731.611795719989</v>
      </c>
      <c r="C7" s="71">
        <f>VLOOKUP($A7,'TCO Inputs'!$A$3:$AG$53,14,FALSE)</f>
        <v>21830.18361794564</v>
      </c>
      <c r="D7" s="71">
        <f>VLOOKUP($A7,'TCO Inputs'!$A$3:$AG$53,18,FALSE)</f>
        <v>21353.796031718874</v>
      </c>
      <c r="E7" s="71">
        <f>VLOOKUP($A7,'TCO Inputs'!$A$3:$AG$53,22,FALSE)</f>
        <v>34130.536263502894</v>
      </c>
      <c r="F7" s="71">
        <f>VLOOKUP($A7,'TCO Inputs'!$A$3:$AG$53,26,FALSE)</f>
        <v>0</v>
      </c>
      <c r="G7" s="65">
        <f>VLOOKUP($A7,'TCO Inputs'!$A$3:$AG$53,30,FALSE)</f>
        <v>101046.12770888739</v>
      </c>
      <c r="H7" s="95">
        <f>(VLOOKUP($A7,Data!$D$64:$M$112,5,FALSE)+VLOOKUP($A7,Data!$D$64:$M$112,8,FALSE))*VLOOKUP($A7,'VKT US'!$B$63:$AB$113,27,FALSE)*CONVERT(0.9072,"g","ton")*m2k</f>
        <v>62.664580030041044</v>
      </c>
      <c r="I7" s="92"/>
      <c r="J7" s="144">
        <f>VLOOKUP($A7,'TCO Inputs'!$A$3:$AG$53,11,FALSE)</f>
        <v>40967.546942691188</v>
      </c>
      <c r="K7" s="65">
        <f>VLOOKUP($A7,'TCO Inputs'!$A$3:$AG$53,15,FALSE)</f>
        <v>16498.107386033953</v>
      </c>
      <c r="L7" s="65">
        <f>VLOOKUP($A7,'TCO Inputs'!$A$3:$AG$53,19,FALSE)</f>
        <v>13296.902777197996</v>
      </c>
      <c r="M7" s="65">
        <f>VLOOKUP($A7,'TCO Inputs'!$A$3:$AG$53,23,FALSE)</f>
        <v>42872.403835021745</v>
      </c>
      <c r="N7" s="65">
        <f>VLOOKUP($A7,'TCO Inputs'!$A$3:$AG$53,27,FALSE)</f>
        <v>0</v>
      </c>
      <c r="O7" s="65">
        <f>VLOOKUP($A7,'TCO Inputs'!$A$3:$AG$53,31,FALSE)</f>
        <v>113634.96094094487</v>
      </c>
      <c r="P7" s="7">
        <f>VLOOKUP($A7,_xlfn.IFS('Scenario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analysis'!$Q$121:$R$126),2,FALSE)+VLOOKUP($A7,Data!$D$64:$F$114,3,FALSE)*VLOOKUP($A7,'VKT US'!$B$63:$AB$113,27,FALSE)*m2k*CONVERT(0.9072,"g","ton")</f>
        <v>19.252662043639923</v>
      </c>
      <c r="Q7" s="95">
        <f t="shared" si="3"/>
        <v>43.411917986401122</v>
      </c>
      <c r="R7" s="60">
        <f t="shared" si="4"/>
        <v>12588.833232057485</v>
      </c>
      <c r="S7" s="144">
        <f>VLOOKUP($A7,'TCO Inputs'!$A$3:$AG$53,12,FALSE)</f>
        <v>25202.087524607668</v>
      </c>
      <c r="T7" s="65">
        <f>VLOOKUP($A7,'TCO Inputs'!$A$3:$AG$53,16,FALSE)</f>
        <v>13433.959149505008</v>
      </c>
      <c r="U7" s="65">
        <f>VLOOKUP($A7,'TCO Inputs'!$A$3:$AG$53,20,FALSE)</f>
        <v>19627.318905750115</v>
      </c>
      <c r="V7" s="65">
        <f>VLOOKUP($A7,'TCO Inputs'!$A$3:$AG$53,24,FALSE)</f>
        <v>35566.508627063056</v>
      </c>
      <c r="W7" s="65">
        <f>VLOOKUP($A7,'TCO Inputs'!$A$3:$AG$53,28,FALSE)</f>
        <v>0</v>
      </c>
      <c r="X7" s="65">
        <f>VLOOKUP($A7,'TCO Inputs'!$A$3:$AG$53,32,FALSE)</f>
        <v>93829.874206925844</v>
      </c>
      <c r="Y7" s="7">
        <f>(VLOOKUP($A7,Data!$D$64:$M$112,4,FALSE)+VLOOKUP($A7,Data!$D$64:$M$112,7,FALSE))*VLOOKUP($A7,'VKT US'!$B$63:$AB$113,27,FALSE)*CONVERT(0.9072,"g","ton")*m2k</f>
        <v>41.359973081133518</v>
      </c>
      <c r="Z7" s="95">
        <f t="shared" si="5"/>
        <v>21.304606948907526</v>
      </c>
      <c r="AA7" s="118">
        <f t="shared" si="6"/>
        <v>-7216.2535019615461</v>
      </c>
      <c r="AB7" s="144">
        <f>VLOOKUP($A7,'TCO Inputs'!$A$3:$AG$53,13,FALSE)</f>
        <v>28460.759801658827</v>
      </c>
      <c r="AC7" s="65">
        <f>VLOOKUP($A7,'TCO Inputs'!$A$3:$AG$53,17,FALSE)</f>
        <v>14882.419220142316</v>
      </c>
      <c r="AD7" s="65">
        <f>VLOOKUP($A7,'TCO Inputs'!$A$3:$AG$53,21,FALSE)</f>
        <v>19627.318905750115</v>
      </c>
      <c r="AE7" s="65">
        <f>VLOOKUP($A7,'TCO Inputs'!$A$3:$AG$53,25,FALSE)</f>
        <v>35837.006127063054</v>
      </c>
      <c r="AF7" s="65">
        <f>VLOOKUP($A7,'TCO Inputs'!$A$3:$AG$53,29,FALSE)</f>
        <v>0</v>
      </c>
      <c r="AG7" s="65">
        <f>VLOOKUP($A7,'TCO Inputs'!$A$3:$AG$53,33,FALSE)</f>
        <v>98807.504054614314</v>
      </c>
      <c r="AH7" s="7">
        <f>(VLOOKUP($A7,Data!$D$64:$M$112,9,FALSE)+VLOOKUP($A7,Data!$D$64:$M$112,10,FALSE))*VLOOKUP($A7,'VKT US'!$B$63:$AB$113,27,FALSE)*CONVERT(0.9072,"g","ton")*m2k</f>
        <v>29.444775944859344</v>
      </c>
      <c r="AI7" s="95">
        <f t="shared" si="7"/>
        <v>33.2198040851817</v>
      </c>
      <c r="AJ7" s="186">
        <f t="shared" si="8"/>
        <v>-2238.6236542730767</v>
      </c>
      <c r="AK7" s="188">
        <f>VLOOKUP($A7,'TCO Inputs'!$A$3:$AT$53,40,FALSE)</f>
        <v>30376.676612640622</v>
      </c>
      <c r="AL7" s="188">
        <f>VLOOKUP($A7,'TCO Inputs'!$A$3:$AT$53,41,FALSE)</f>
        <v>14168.78959176699</v>
      </c>
      <c r="AM7" s="188">
        <f>VLOOKUP($A7,'TCO Inputs'!$A$3:$AT$53,42,FALSE)</f>
        <v>18912.369922796541</v>
      </c>
      <c r="AN7" s="188">
        <f>VLOOKUP($A7,'TCO Inputs'!$A$3:$AT$53,43,FALSE)</f>
        <v>42140.516335021748</v>
      </c>
      <c r="AO7" s="188">
        <f>VLOOKUP($A7,'TCO Inputs'!$A$3:$AT$53,44,FALSE)</f>
        <v>0</v>
      </c>
      <c r="AP7" s="188">
        <f>VLOOKUP($A7,'TCO Inputs'!$A$3:$AT$53,45,FALSE)</f>
        <v>105598.3524622259</v>
      </c>
      <c r="AQ7" s="96">
        <f>(VLOOKUP($A7,Data!$D$64:$O$114,11,FALSE)+VLOOKUP($A7,'Fuel economy adjusted factor'!$A$2:$L$52,12,FALSE)*(1-'TCO Inputs'!$BD$9))*VLOOKUP($A7,'VKT US'!$B$63:$AB$113,27,FALSE)*CONVERT(0.9072,"g","ton")*m2k+VLOOKUP($A7,'US Grid mix, emissions&amp;prices'!$H$224:$AK$274,30,FALSE)</f>
        <v>28.513655630892149</v>
      </c>
      <c r="AR7" s="96">
        <f t="shared" si="9"/>
        <v>34.150924399148892</v>
      </c>
      <c r="AS7" s="60">
        <f>VLOOKUP($A7,'TCO Inputs'!$A$3:$AT$53,46,FALSE)</f>
        <v>4552.2247533385089</v>
      </c>
      <c r="AT7" s="98">
        <f>(VLOOKUP($A7,Data!$D$64:$M$112,5,FALSE)+VLOOKUP($A7,Data!$D$64:$M$112,8,FALSE))*VLOOKUP($A7,'VKT US'!$B$63:$AB$113,2,FALSE)*CONVERT(0.9072,"g","ton")*m2k*VLOOKUP($A7,'VKT US'!$F$5:$S$56,11,FALSE)/1000000</f>
        <v>167.79663701001087</v>
      </c>
      <c r="AU7" s="98">
        <f>(VLOOKUP($A7,Data!$D$64:$F$114,3,FALSE)+VLOOKUP($A7,Data!$D$64:$I$114,6,FALSE))*VLOOKUP($A7,'VKT US'!$B$63:$AB$113,2,FALSE)*m2k*CONVERT(0.9072,"g","ton")*VLOOKUP($A7,'VKT US'!$F$5:$S$56,2,FALSE)/1000000</f>
        <v>2.4558527831776744</v>
      </c>
      <c r="AV7" s="98">
        <f>(VLOOKUP($A7,Data!$D$64:$M$112,4,FALSE)+VLOOKUP($A7,Data!$D$64:$M$112,7,FALSE))*VLOOKUP($A7,'VKT US'!$B$63:$AB$113,2,FALSE)*CONVERT(0.9072,"g","ton")*m2k*VLOOKUP($A7,'VKT US'!$F$5:$S$56,4,FALSE)/1000000</f>
        <v>6.0473511165447729</v>
      </c>
      <c r="AW7" s="98">
        <f>(VLOOKUP($A7,Data!$D$64:$M$112,9,FALSE)+VLOOKUP($A7,Data!$D$64:$M$112,10,FALSE))*VLOOKUP($A7,'VKT US'!$B$63:$AB$113,2,FALSE)*CONVERT(0.9072,"g","ton")*m2k*VLOOKUP($A7,'VKT US'!$F$5:$S$56,9,FALSE)/1000000</f>
        <v>4.2718328168620527E-2</v>
      </c>
      <c r="AX7" s="98">
        <f>H7*VLOOKUP($A7,'VKT US'!$F$5:$S$56,11,FALSE)/1000000</f>
        <v>1954.6273138390372</v>
      </c>
      <c r="AY7" s="98">
        <f>P7*VLOOKUP($A7,'VKT US'!$F$5:$S$56,2,FALSE)/1000000</f>
        <v>24.192895124037925</v>
      </c>
      <c r="AZ7" s="98">
        <f>Y7*VLOOKUP($A7,'VKT US'!$F$5:$S$56,4,FALSE)/1000000</f>
        <v>70.444306151786606</v>
      </c>
      <c r="BA7" s="98">
        <f>AH7*VLOOKUP($A7,'VKT US'!$F$5:$S$56,9,FALSE)/1000000</f>
        <v>0.49761671346812292</v>
      </c>
      <c r="BB7" s="79">
        <f>VLOOKUP($A7,Data!$D$64:$M$112,4,FALSE)+VLOOKUP($A7,Data!$D$64:$M$112,7,FALSE)-(VLOOKUP($A7,Data!$D$64:$F$114,3,FALSE)+VLOOKUP($A7,Data!$D$64:$I$114,6,FALSE))</f>
        <v>70.229820131399123</v>
      </c>
      <c r="BC7" s="10">
        <f>(Y7-P7)*VLOOKUP($A7,'VKT US'!$F$5:$S$56,14,FALSE)/1000000*'Scenario analysis'!$E$4</f>
        <v>814.66104392495026</v>
      </c>
      <c r="BD7" s="10">
        <f>P7*VLOOKUP($A7,'VKT US'!$F$5:$S$56,14,FALSE)/1000000*'Scenario analysis'!$E$4</f>
        <v>709.4663721067443</v>
      </c>
      <c r="BE7" s="79">
        <f>(VLOOKUP($A7,Data!$D$64:$M$114,4,FALSE)+VLOOKUP($A7,Data!$D$64:$M$114,7,FALSE)-(VLOOKUP($A7,Data!$D$64:$F$114,3,FALSE)+VLOOKUP($A7,Data!$D$64:$I$114,6,FALSE)))*VLOOKUP($A7,'VKT US'!$B$63:$AB$113,2,FALSE)*CONVERT(0.9072,"g","ton")*m2k*VLOOKUP($A7,'VKT US'!$F$5:$S$56,14,FALSE)/1000000*'Scenario analysis'!$E$4</f>
        <v>58.821138898792192</v>
      </c>
      <c r="BF7" s="79">
        <f>(VLOOKUP($A7,Data!$D$64:$F$114,3,FALSE)+VLOOKUP($A7,Data!$D$64:$I$114,6,FALSE))*VLOOKUP($A7,'VKT US'!$B$63:$AB$113,2,FALSE)*CONVERT(0.9072,"g","ton")*m2k*VLOOKUP($A7,'VKT US'!$F$5:$S$56,14,FALSE)/1000000*'Scenario analysis'!$E$4</f>
        <v>72.018869820095688</v>
      </c>
      <c r="BG7" s="79">
        <f>(VLOOKUP($A7,Data!$D$64:$M$114,4,FALSE)+VLOOKUP($A7,Data!$D$64:$M$114,7,FALSE))*VLOOKUP($A7,'VKT US'!$B$63:$AB$113,2,FALSE)*CONVERT(0.9072,"g","ton")*m2k*VLOOKUP($A7,'VKT US'!$F$5:$S$56,14,FALSE)/1000000*'Scenario analysis'!$E$4</f>
        <v>130.84000871888787</v>
      </c>
      <c r="BH7" s="79">
        <f t="shared" si="0"/>
        <v>22.107311037493595</v>
      </c>
      <c r="BI7" s="96">
        <f t="shared" si="1"/>
        <v>895.86140532559409</v>
      </c>
      <c r="BJ7" s="191">
        <f t="shared" si="2"/>
        <v>19805.086734019031</v>
      </c>
      <c r="BK7" s="191">
        <f>(VLOOKUP($A7,'US Grid mix, emissions&amp;prices'!$H$169:$AK$219,30,FALSE)+VLOOKUP($A7,Data!$D$64:$F$114,3,FALSE)*VLOOKUP($A7,'VKT US'!$B$63:$AB$113,27,FALSE)*m2k*CONVERT(0.9072,"g","ton"))*VLOOKUP($A7,'VKT US'!$F$5:$S$56,14,FALSE)/1000000</f>
        <v>709.4663721067443</v>
      </c>
      <c r="BL7" s="191">
        <f>P7*VLOOKUP($A7,'VKT US'!$F$5:$S$56,14,FALSE)/1000000-BK7</f>
        <v>0</v>
      </c>
      <c r="BM7" s="191">
        <v>65.650901399479523</v>
      </c>
      <c r="BN7" s="191">
        <v>7.6140868752552677</v>
      </c>
      <c r="BO7" s="191" cm="1">
        <f t="array" ref="BO7">_xlfn.IFS(AND(Q7&gt;0,R7&gt;0),R7/Q7,AND(Q7&gt;0,R7&lt;=0),-R7/Q7,Q7&lt;=0,0)</f>
        <v>289.9856494707505</v>
      </c>
      <c r="BP7" s="212" cm="1">
        <f t="array" ref="BP7">_xlfn.IFS(AND(Z7&gt;0,AA7&gt;0),AA7/Z7,AND(Z7&gt;0,AA7&lt;=0),AA7/Z7,Z7&lt;=0,0)</f>
        <v>-338.71798335765993</v>
      </c>
      <c r="BQ7" s="191">
        <f>P7*1000000/(VLOOKUP($A7,'VKT US'!$B$63:$AB$113,27,FALSE)*m2k)</f>
        <v>72.718772061673121</v>
      </c>
      <c r="BR7" s="191">
        <f>Y7*1000000/(VLOOKUP($A7,'VKT US'!$B$63:$AB$113,27,FALSE)*m2k)</f>
        <v>156.21977096707278</v>
      </c>
      <c r="BS7" s="191">
        <f>H7*1000000/(VLOOKUP($A7,'VKT US'!$B$63:$AB$113,27,FALSE)*m2k)</f>
        <v>236.68889534423568</v>
      </c>
      <c r="BT7" s="95"/>
      <c r="BU7" s="10">
        <f t="shared" si="10"/>
        <v>98050.523542576251</v>
      </c>
      <c r="BV7" s="10">
        <f t="shared" si="11"/>
        <v>107341.56748661415</v>
      </c>
      <c r="BW7" s="10">
        <f t="shared" si="12"/>
        <v>91222.648207705992</v>
      </c>
      <c r="BX7" s="10">
        <f t="shared" si="13"/>
        <v>99790.149589169916</v>
      </c>
      <c r="BY7" s="53">
        <f t="shared" si="14"/>
        <v>101100.40929383134</v>
      </c>
      <c r="BZ7" s="79">
        <f t="shared" si="15"/>
        <v>38.44404962980262</v>
      </c>
      <c r="CA7" s="96">
        <f>VLOOKUP($A7,'TCO Inputs'!$Y$114:$AT$164,22,FALSE)</f>
        <v>59030.459246674014</v>
      </c>
      <c r="CB7" s="211">
        <f>CA7*VLOOKUP($A7,'VKT US'!$F$5:$S$56,14,FALSE)/(10^9)</f>
        <v>2175.2901323777114</v>
      </c>
    </row>
    <row r="8" spans="1:80" x14ac:dyDescent="0.25">
      <c r="A8" s="83" t="s">
        <v>190</v>
      </c>
      <c r="B8" s="150">
        <f>VLOOKUP($A8,'TCO Inputs'!$A$3:$AG$53,10,FALSE)</f>
        <v>23731.611795719989</v>
      </c>
      <c r="C8" s="71">
        <f>VLOOKUP($A8,'TCO Inputs'!$A$3:$AG$53,14,FALSE)</f>
        <v>18444.456944455058</v>
      </c>
      <c r="D8" s="71">
        <f>VLOOKUP($A8,'TCO Inputs'!$A$3:$AG$53,18,FALSE)</f>
        <v>21993.182291052519</v>
      </c>
      <c r="E8" s="71">
        <f>VLOOKUP($A8,'TCO Inputs'!$A$3:$AG$53,22,FALSE)</f>
        <v>31765.418589576111</v>
      </c>
      <c r="F8" s="71">
        <f>VLOOKUP($A8,'TCO Inputs'!$A$3:$AG$53,26,FALSE)</f>
        <v>0</v>
      </c>
      <c r="G8" s="65">
        <f>VLOOKUP($A8,'TCO Inputs'!$A$3:$AG$53,30,FALSE)</f>
        <v>95934.669620803674</v>
      </c>
      <c r="H8" s="95">
        <f>(VLOOKUP($A8,Data!$D$64:$M$112,5,FALSE)+VLOOKUP($A8,Data!$D$64:$M$112,8,FALSE))*VLOOKUP($A8,'VKT US'!$B$63:$AB$113,27,FALSE)*CONVERT(0.9072,"g","ton")*m2k</f>
        <v>66.233626036555364</v>
      </c>
      <c r="I8" s="92"/>
      <c r="J8" s="144">
        <f>VLOOKUP($A8,'TCO Inputs'!$A$3:$AG$53,11,FALSE)</f>
        <v>40967.546942691188</v>
      </c>
      <c r="K8" s="65">
        <f>VLOOKUP($A8,'TCO Inputs'!$A$3:$AG$53,15,FALSE)</f>
        <v>11888.971984222351</v>
      </c>
      <c r="L8" s="65">
        <f>VLOOKUP($A8,'TCO Inputs'!$A$3:$AG$53,19,FALSE)</f>
        <v>13695.045426627032</v>
      </c>
      <c r="M8" s="65">
        <f>VLOOKUP($A8,'TCO Inputs'!$A$3:$AG$53,23,FALSE)</f>
        <v>39838.256161094963</v>
      </c>
      <c r="N8" s="65">
        <f>VLOOKUP($A8,'TCO Inputs'!$A$3:$AG$53,27,FALSE)</f>
        <v>0</v>
      </c>
      <c r="O8" s="65">
        <f>VLOOKUP($A8,'TCO Inputs'!$A$3:$AG$53,31,FALSE)</f>
        <v>106389.82051463553</v>
      </c>
      <c r="P8" s="7">
        <f>VLOOKUP($A8,_xlfn.IFS('Scenario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analysis'!$Q$121:$R$126),2,FALSE)+VLOOKUP($A8,Data!$D$64:$F$114,3,FALSE)*VLOOKUP($A8,'VKT US'!$B$63:$AB$113,27,FALSE)*m2k*CONVERT(0.9072,"g","ton")</f>
        <v>36.015301882118379</v>
      </c>
      <c r="Q8" s="95">
        <f t="shared" si="3"/>
        <v>30.218324154436985</v>
      </c>
      <c r="R8" s="60">
        <f t="shared" si="4"/>
        <v>10455.150893831858</v>
      </c>
      <c r="S8" s="144">
        <f>VLOOKUP($A8,'TCO Inputs'!$A$3:$AG$53,12,FALSE)</f>
        <v>25202.087524607668</v>
      </c>
      <c r="T8" s="65">
        <f>VLOOKUP($A8,'TCO Inputs'!$A$3:$AG$53,16,FALSE)</f>
        <v>11350.43504274157</v>
      </c>
      <c r="U8" s="65">
        <f>VLOOKUP($A8,'TCO Inputs'!$A$3:$AG$53,20,FALSE)</f>
        <v>20215.010105818488</v>
      </c>
      <c r="V8" s="65">
        <f>VLOOKUP($A8,'TCO Inputs'!$A$3:$AG$53,24,FALSE)</f>
        <v>33101.883474258531</v>
      </c>
      <c r="W8" s="65">
        <f>VLOOKUP($A8,'TCO Inputs'!$A$3:$AG$53,28,FALSE)</f>
        <v>0</v>
      </c>
      <c r="X8" s="65">
        <f>VLOOKUP($A8,'TCO Inputs'!$A$3:$AG$53,32,FALSE)</f>
        <v>89869.416147426266</v>
      </c>
      <c r="Y8" s="7">
        <f>(VLOOKUP($A8,Data!$D$64:$M$112,4,FALSE)+VLOOKUP($A8,Data!$D$64:$M$112,7,FALSE))*VLOOKUP($A8,'VKT US'!$B$63:$AB$113,27,FALSE)*CONVERT(0.9072,"g","ton")*m2k</f>
        <v>43.642523971132626</v>
      </c>
      <c r="Z8" s="95">
        <f t="shared" si="5"/>
        <v>22.591102065422739</v>
      </c>
      <c r="AA8" s="118">
        <f t="shared" si="6"/>
        <v>-6065.2534733774082</v>
      </c>
      <c r="AB8" s="144">
        <f>VLOOKUP($A8,'TCO Inputs'!$A$3:$AG$53,13,FALSE)</f>
        <v>28460.759801658827</v>
      </c>
      <c r="AC8" s="65">
        <f>VLOOKUP($A8,'TCO Inputs'!$A$3:$AG$53,17,FALSE)</f>
        <v>15777.978566685248</v>
      </c>
      <c r="AD8" s="65">
        <f>VLOOKUP($A8,'TCO Inputs'!$A$3:$AG$53,21,FALSE)</f>
        <v>20215.010105818488</v>
      </c>
      <c r="AE8" s="65">
        <f>VLOOKUP($A8,'TCO Inputs'!$A$3:$AG$53,25,FALSE)</f>
        <v>33210.082474258532</v>
      </c>
      <c r="AF8" s="65">
        <f>VLOOKUP($A8,'TCO Inputs'!$A$3:$AG$53,29,FALSE)</f>
        <v>0</v>
      </c>
      <c r="AG8" s="65">
        <f>VLOOKUP($A8,'TCO Inputs'!$A$3:$AG$53,33,FALSE)</f>
        <v>97663.830948421091</v>
      </c>
      <c r="AH8" s="7">
        <f>(VLOOKUP($A8,Data!$D$64:$M$112,9,FALSE)+VLOOKUP($A8,Data!$D$64:$M$112,10,FALSE))*VLOOKUP($A8,'VKT US'!$B$63:$AB$113,27,FALSE)*CONVERT(0.9072,"g","ton")*m2k</f>
        <v>30.326426454227139</v>
      </c>
      <c r="AI8" s="95">
        <f t="shared" si="7"/>
        <v>35.907199582328225</v>
      </c>
      <c r="AJ8" s="186">
        <f t="shared" si="8"/>
        <v>1729.1613276174176</v>
      </c>
      <c r="AK8" s="188">
        <f>VLOOKUP($A8,'TCO Inputs'!$A$3:$AT$53,40,FALSE)</f>
        <v>30376.676612640622</v>
      </c>
      <c r="AL8" s="188">
        <f>VLOOKUP($A8,'TCO Inputs'!$A$3:$AT$53,41,FALSE)</f>
        <v>10965.791085021123</v>
      </c>
      <c r="AM8" s="188">
        <f>VLOOKUP($A8,'TCO Inputs'!$A$3:$AT$53,42,FALSE)</f>
        <v>19478.653755521613</v>
      </c>
      <c r="AN8" s="188">
        <f>VLOOKUP($A8,'TCO Inputs'!$A$3:$AT$53,43,FALSE)</f>
        <v>39545.501161094966</v>
      </c>
      <c r="AO8" s="188">
        <f>VLOOKUP($A8,'TCO Inputs'!$A$3:$AT$53,44,FALSE)</f>
        <v>0</v>
      </c>
      <c r="AP8" s="188">
        <f>VLOOKUP($A8,'TCO Inputs'!$A$3:$AT$53,45,FALSE)</f>
        <v>100366.62261427833</v>
      </c>
      <c r="AQ8" s="96">
        <f>(VLOOKUP($A8,Data!$D$64:$O$114,11,FALSE)+VLOOKUP($A8,'Fuel economy adjusted factor'!$A$2:$L$52,12,FALSE)*(1-'TCO Inputs'!$BD$9))*VLOOKUP($A8,'VKT US'!$B$63:$AB$113,27,FALSE)*CONVERT(0.9072,"g","ton")*m2k+VLOOKUP($A8,'US Grid mix, emissions&amp;prices'!$H$224:$AK$274,30,FALSE)</f>
        <v>38.284233636863362</v>
      </c>
      <c r="AR8" s="96">
        <f t="shared" si="9"/>
        <v>27.949392399692002</v>
      </c>
      <c r="AS8" s="60">
        <f>VLOOKUP($A8,'TCO Inputs'!$A$3:$AT$53,46,FALSE)</f>
        <v>4431.9529934746533</v>
      </c>
      <c r="AT8" s="98">
        <f>(VLOOKUP($A8,Data!$D$64:$M$112,5,FALSE)+VLOOKUP($A8,Data!$D$64:$M$112,8,FALSE))*VLOOKUP($A8,'VKT US'!$B$63:$AB$113,2,FALSE)*CONVERT(0.9072,"g","ton")*m2k*VLOOKUP($A8,'VKT US'!$F$5:$S$56,11,FALSE)/1000000</f>
        <v>25.636503482395131</v>
      </c>
      <c r="AU8" s="98">
        <f>(VLOOKUP($A8,Data!$D$64:$F$114,3,FALSE)+VLOOKUP($A8,Data!$D$64:$I$114,6,FALSE))*VLOOKUP($A8,'VKT US'!$B$63:$AB$113,2,FALSE)*m2k*CONVERT(0.9072,"g","ton")*VLOOKUP($A8,'VKT US'!$F$5:$S$56,2,FALSE)/1000000</f>
        <v>0.35095549981388308</v>
      </c>
      <c r="AV8" s="98">
        <f>(VLOOKUP($A8,Data!$D$64:$M$112,4,FALSE)+VLOOKUP($A8,Data!$D$64:$M$112,7,FALSE))*VLOOKUP($A8,'VKT US'!$B$63:$AB$113,2,FALSE)*CONVERT(0.9072,"g","ton")*m2k*VLOOKUP($A8,'VKT US'!$F$5:$S$56,4,FALSE)/1000000</f>
        <v>0.5720950437270268</v>
      </c>
      <c r="AW8" s="98">
        <f>(VLOOKUP($A8,Data!$D$64:$M$112,9,FALSE)+VLOOKUP($A8,Data!$D$64:$M$112,10,FALSE))*VLOOKUP($A8,'VKT US'!$B$63:$AB$113,2,FALSE)*CONVERT(0.9072,"g","ton")*m2k*VLOOKUP($A8,'VKT US'!$F$5:$S$56,9,FALSE)/1000000</f>
        <v>0</v>
      </c>
      <c r="AX8" s="98">
        <f>H8*VLOOKUP($A8,'VKT US'!$F$5:$S$56,11,FALSE)/1000000</f>
        <v>298.63417307362079</v>
      </c>
      <c r="AY8" s="98">
        <f>P8*VLOOKUP($A8,'VKT US'!$F$5:$S$56,2,FALSE)/1000000</f>
        <v>3.2449786995788661</v>
      </c>
      <c r="AZ8" s="98">
        <f>Y8*VLOOKUP($A8,'VKT US'!$F$5:$S$56,4,FALSE)/1000000</f>
        <v>6.6642134103919517</v>
      </c>
      <c r="BA8" s="98">
        <f>AH8*VLOOKUP($A8,'VKT US'!$F$5:$S$56,9,FALSE)/1000000</f>
        <v>0</v>
      </c>
      <c r="BB8" s="79">
        <f>VLOOKUP($A8,Data!$D$64:$M$112,4,FALSE)+VLOOKUP($A8,Data!$D$64:$M$112,7,FALSE)-(VLOOKUP($A8,Data!$D$64:$F$114,3,FALSE)+VLOOKUP($A8,Data!$D$64:$I$114,6,FALSE))</f>
        <v>-6.3500285721029002</v>
      </c>
      <c r="BC8" s="10">
        <f>(Y8-P8)*VLOOKUP($A8,'VKT US'!$F$5:$S$56,14,FALSE)/1000000*'Scenario analysis'!$E$4</f>
        <v>41.505817163997726</v>
      </c>
      <c r="BD8" s="10">
        <f>P8*VLOOKUP($A8,'VKT US'!$F$5:$S$56,14,FALSE)/1000000*'Scenario analysis'!$E$4</f>
        <v>195.98806978211181</v>
      </c>
      <c r="BE8" s="79">
        <f>(VLOOKUP($A8,Data!$D$64:$M$114,4,FALSE)+VLOOKUP($A8,Data!$D$64:$M$114,7,FALSE)-(VLOOKUP($A8,Data!$D$64:$F$114,3,FALSE)+VLOOKUP($A8,Data!$D$64:$I$114,6,FALSE)))*VLOOKUP($A8,'VKT US'!$B$63:$AB$113,2,FALSE)*CONVERT(0.9072,"g","ton")*m2k*VLOOKUP($A8,'VKT US'!$F$5:$S$56,14,FALSE)/1000000*'Scenario analysis'!$E$4</f>
        <v>-0.80891350230386827</v>
      </c>
      <c r="BF8" s="79">
        <f>(VLOOKUP($A8,Data!$D$64:$F$114,3,FALSE)+VLOOKUP($A8,Data!$D$64:$I$114,6,FALSE))*VLOOKUP($A8,'VKT US'!$B$63:$AB$113,2,FALSE)*CONVERT(0.9072,"g","ton")*m2k*VLOOKUP($A8,'VKT US'!$F$5:$S$56,14,FALSE)/1000000*'Scenario analysis'!$E$4</f>
        <v>21.196777346139722</v>
      </c>
      <c r="BG8" s="79">
        <f>(VLOOKUP($A8,Data!$D$64:$M$114,4,FALSE)+VLOOKUP($A8,Data!$D$64:$M$114,7,FALSE))*VLOOKUP($A8,'VKT US'!$B$63:$AB$113,2,FALSE)*CONVERT(0.9072,"g","ton")*m2k*VLOOKUP($A8,'VKT US'!$F$5:$S$56,14,FALSE)/1000000*'Scenario analysis'!$E$4</f>
        <v>20.387863843835849</v>
      </c>
      <c r="BH8" s="79">
        <f t="shared" si="0"/>
        <v>7.6272220890142464</v>
      </c>
      <c r="BI8" s="96">
        <f t="shared" si="1"/>
        <v>2165.9791958862952</v>
      </c>
      <c r="BJ8" s="191">
        <f t="shared" si="2"/>
        <v>16520.404367209267</v>
      </c>
      <c r="BK8" s="191">
        <f>(VLOOKUP($A8,'US Grid mix, emissions&amp;prices'!$H$169:$AK$219,30,FALSE)+VLOOKUP($A8,Data!$D$64:$F$114,3,FALSE)*VLOOKUP($A8,'VKT US'!$B$63:$AB$113,27,FALSE)*m2k*CONVERT(0.9072,"g","ton"))*VLOOKUP($A8,'VKT US'!$F$5:$S$56,14,FALSE)/1000000</f>
        <v>195.98806978211181</v>
      </c>
      <c r="BL8" s="191">
        <f>P8*VLOOKUP($A8,'VKT US'!$F$5:$S$56,14,FALSE)/1000000-BK8</f>
        <v>0</v>
      </c>
      <c r="BM8" s="191">
        <v>18.69178045919783</v>
      </c>
      <c r="BN8" s="191">
        <v>2.9951882075404619</v>
      </c>
      <c r="BO8" s="191" cm="1">
        <f t="array" ref="BO8">_xlfn.IFS(AND(Q8&gt;0,R8&gt;0),R8/Q8,AND(Q8&gt;0,R8&lt;=0),-R8/Q8,Q8&lt;=0,0)</f>
        <v>345.98711829281632</v>
      </c>
      <c r="BP8" s="212" cm="1">
        <f t="array" ref="BP8">_xlfn.IFS(AND(Z8&gt;0,AA8&gt;0),AA8/Z8,AND(Z8&gt;0,AA8&lt;=0),AA8/Z8,Z8&lt;=0,0)</f>
        <v>-268.47975170988684</v>
      </c>
      <c r="BQ8" s="191">
        <f>P8*1000000/(VLOOKUP($A8,'VKT US'!$B$63:$AB$113,27,FALSE)*m2k)</f>
        <v>132.07779956938947</v>
      </c>
      <c r="BR8" s="191">
        <f>Y8*1000000/(VLOOKUP($A8,'VKT US'!$B$63:$AB$113,27,FALSE)*m2k)</f>
        <v>160.04887457637733</v>
      </c>
      <c r="BS8" s="191">
        <f>H8*1000000/(VLOOKUP($A8,'VKT US'!$B$63:$AB$113,27,FALSE)*m2k)</f>
        <v>242.89652251265562</v>
      </c>
      <c r="BT8" s="95"/>
      <c r="BU8" s="10">
        <f t="shared" si="10"/>
        <v>98050.523542576251</v>
      </c>
      <c r="BV8" s="10">
        <f t="shared" si="11"/>
        <v>107341.56748661415</v>
      </c>
      <c r="BW8" s="10">
        <f t="shared" si="12"/>
        <v>91222.648207705992</v>
      </c>
      <c r="BX8" s="10">
        <f t="shared" si="13"/>
        <v>99790.149589169916</v>
      </c>
      <c r="BY8" s="53">
        <f t="shared" si="14"/>
        <v>101100.40929383134</v>
      </c>
      <c r="BZ8" s="79">
        <f t="shared" si="15"/>
        <v>38.44404962980262</v>
      </c>
      <c r="CA8" s="96">
        <f>VLOOKUP($A8,'TCO Inputs'!$Y$114:$AT$164,22,FALSE)</f>
        <v>67628.5787406858</v>
      </c>
      <c r="CB8" s="211">
        <f>CA8*VLOOKUP($A8,'VKT US'!$F$5:$S$56,14,FALSE)/(10^9)</f>
        <v>368.02119979106396</v>
      </c>
    </row>
    <row r="9" spans="1:80" x14ac:dyDescent="0.25">
      <c r="A9" s="83" t="s">
        <v>191</v>
      </c>
      <c r="B9" s="150">
        <f>VLOOKUP($A9,'TCO Inputs'!$A$3:$AG$53,10,FALSE)</f>
        <v>23731.611795719989</v>
      </c>
      <c r="C9" s="71">
        <f>VLOOKUP($A9,'TCO Inputs'!$A$3:$AG$53,14,FALSE)</f>
        <v>16539.187970706462</v>
      </c>
      <c r="D9" s="71">
        <f>VLOOKUP($A9,'TCO Inputs'!$A$3:$AG$53,18,FALSE)</f>
        <v>20659.848811588759</v>
      </c>
      <c r="E9" s="71">
        <f>VLOOKUP($A9,'TCO Inputs'!$A$3:$AG$53,22,FALSE)</f>
        <v>32389.122825597031</v>
      </c>
      <c r="F9" s="71">
        <f>VLOOKUP($A9,'TCO Inputs'!$A$3:$AG$53,26,FALSE)</f>
        <v>0</v>
      </c>
      <c r="G9" s="65">
        <f>VLOOKUP($A9,'TCO Inputs'!$A$3:$AG$53,30,FALSE)</f>
        <v>93319.771403612249</v>
      </c>
      <c r="H9" s="95">
        <f>(VLOOKUP($A9,Data!$D$64:$M$112,5,FALSE)+VLOOKUP($A9,Data!$D$64:$M$112,8,FALSE))*VLOOKUP($A9,'VKT US'!$B$63:$AB$113,27,FALSE)*CONVERT(0.9072,"g","ton")*m2k</f>
        <v>61.635188792495796</v>
      </c>
      <c r="I9" s="92"/>
      <c r="J9" s="144">
        <f>VLOOKUP($A9,'TCO Inputs'!$A$3:$AG$53,11,FALSE)</f>
        <v>40967.546942691188</v>
      </c>
      <c r="K9" s="65">
        <f>VLOOKUP($A9,'TCO Inputs'!$A$3:$AG$53,15,FALSE)</f>
        <v>17463.258312405156</v>
      </c>
      <c r="L9" s="65">
        <f>VLOOKUP($A9,'TCO Inputs'!$A$3:$AG$53,19,FALSE)</f>
        <v>12864.785288351013</v>
      </c>
      <c r="M9" s="65">
        <f>VLOOKUP($A9,'TCO Inputs'!$A$3:$AG$53,23,FALSE)</f>
        <v>43645.376508948531</v>
      </c>
      <c r="N9" s="65">
        <f>VLOOKUP($A9,'TCO Inputs'!$A$3:$AG$53,27,FALSE)</f>
        <v>0</v>
      </c>
      <c r="O9" s="65">
        <f>VLOOKUP($A9,'TCO Inputs'!$A$3:$AG$53,31,FALSE)</f>
        <v>114940.96705239589</v>
      </c>
      <c r="P9" s="7">
        <f>VLOOKUP($A9,_xlfn.IFS('Scenario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analysis'!$Q$121:$R$126),2,FALSE)+VLOOKUP($A9,Data!$D$64:$F$114,3,FALSE)*VLOOKUP($A9,'VKT US'!$B$63:$AB$113,27,FALSE)*m2k*CONVERT(0.9072,"g","ton")</f>
        <v>23.648506319461397</v>
      </c>
      <c r="Q9" s="95">
        <f t="shared" si="3"/>
        <v>37.986682473034399</v>
      </c>
      <c r="R9" s="60">
        <f t="shared" si="4"/>
        <v>21621.195648783643</v>
      </c>
      <c r="S9" s="144">
        <f>VLOOKUP($A9,'TCO Inputs'!$A$3:$AG$53,12,FALSE)</f>
        <v>25202.087524607668</v>
      </c>
      <c r="T9" s="65">
        <f>VLOOKUP($A9,'TCO Inputs'!$A$3:$AG$53,16,FALSE)</f>
        <v>10177.96182812705</v>
      </c>
      <c r="U9" s="65">
        <f>VLOOKUP($A9,'TCO Inputs'!$A$3:$AG$53,20,FALSE)</f>
        <v>18989.478056609241</v>
      </c>
      <c r="V9" s="65">
        <f>VLOOKUP($A9,'TCO Inputs'!$A$3:$AG$53,24,FALSE)</f>
        <v>33751.828787742947</v>
      </c>
      <c r="W9" s="65">
        <f>VLOOKUP($A9,'TCO Inputs'!$A$3:$AG$53,28,FALSE)</f>
        <v>0</v>
      </c>
      <c r="X9" s="65">
        <f>VLOOKUP($A9,'TCO Inputs'!$A$3:$AG$53,32,FALSE)</f>
        <v>88121.35619708692</v>
      </c>
      <c r="Y9" s="7">
        <f>(VLOOKUP($A9,Data!$D$64:$M$112,4,FALSE)+VLOOKUP($A9,Data!$D$64:$M$112,7,FALSE))*VLOOKUP($A9,'VKT US'!$B$63:$AB$113,27,FALSE)*CONVERT(0.9072,"g","ton")*m2k</f>
        <v>40.637064900428101</v>
      </c>
      <c r="Z9" s="95">
        <f t="shared" si="5"/>
        <v>20.998123892067696</v>
      </c>
      <c r="AA9" s="118">
        <f t="shared" si="6"/>
        <v>-5198.4152065253293</v>
      </c>
      <c r="AB9" s="144">
        <f>VLOOKUP($A9,'TCO Inputs'!$A$3:$AG$53,13,FALSE)</f>
        <v>28460.759801658827</v>
      </c>
      <c r="AC9" s="65">
        <f>VLOOKUP($A9,'TCO Inputs'!$A$3:$AG$53,17,FALSE)</f>
        <v>14666.463865837351</v>
      </c>
      <c r="AD9" s="65">
        <f>VLOOKUP($A9,'TCO Inputs'!$A$3:$AG$53,21,FALSE)</f>
        <v>18989.478056609241</v>
      </c>
      <c r="AE9" s="65">
        <f>VLOOKUP($A9,'TCO Inputs'!$A$3:$AG$53,25,FALSE)</f>
        <v>33988.747287742946</v>
      </c>
      <c r="AF9" s="65">
        <f>VLOOKUP($A9,'TCO Inputs'!$A$3:$AG$53,29,FALSE)</f>
        <v>0</v>
      </c>
      <c r="AG9" s="65">
        <f>VLOOKUP($A9,'TCO Inputs'!$A$3:$AG$53,33,FALSE)</f>
        <v>96105.449011848366</v>
      </c>
      <c r="AH9" s="7">
        <f>(VLOOKUP($A9,Data!$D$64:$M$112,9,FALSE)+VLOOKUP($A9,Data!$D$64:$M$112,10,FALSE))*VLOOKUP($A9,'VKT US'!$B$63:$AB$113,27,FALSE)*CONVERT(0.9072,"g","ton")*m2k</f>
        <v>28.487891258692166</v>
      </c>
      <c r="AI9" s="95">
        <f t="shared" si="7"/>
        <v>33.147297533803631</v>
      </c>
      <c r="AJ9" s="186">
        <f t="shared" si="8"/>
        <v>2785.6776082361175</v>
      </c>
      <c r="AK9" s="188">
        <f>VLOOKUP($A9,'TCO Inputs'!$A$3:$AT$53,40,FALSE)</f>
        <v>30376.676612640622</v>
      </c>
      <c r="AL9" s="188">
        <f>VLOOKUP($A9,'TCO Inputs'!$A$3:$AT$53,41,FALSE)</f>
        <v>13058.869441505165</v>
      </c>
      <c r="AM9" s="188">
        <f>VLOOKUP($A9,'TCO Inputs'!$A$3:$AT$53,42,FALSE)</f>
        <v>18297.763203012277</v>
      </c>
      <c r="AN9" s="188">
        <f>VLOOKUP($A9,'TCO Inputs'!$A$3:$AT$53,43,FALSE)</f>
        <v>43004.34400894853</v>
      </c>
      <c r="AO9" s="188">
        <f>VLOOKUP($A9,'TCO Inputs'!$A$3:$AT$53,44,FALSE)</f>
        <v>0</v>
      </c>
      <c r="AP9" s="188">
        <f>VLOOKUP($A9,'TCO Inputs'!$A$3:$AT$53,45,FALSE)</f>
        <v>104737.65326610659</v>
      </c>
      <c r="AQ9" s="96">
        <f>(VLOOKUP($A9,Data!$D$64:$O$114,11,FALSE)+VLOOKUP($A9,'Fuel economy adjusted factor'!$A$2:$L$52,12,FALSE)*(1-'TCO Inputs'!$BD$9))*VLOOKUP($A9,'VKT US'!$B$63:$AB$113,27,FALSE)*CONVERT(0.9072,"g","ton")*m2k+VLOOKUP($A9,'US Grid mix, emissions&amp;prices'!$H$224:$AK$274,30,FALSE)</f>
        <v>30.495684449479274</v>
      </c>
      <c r="AR9" s="96">
        <f t="shared" si="9"/>
        <v>31.139504343016522</v>
      </c>
      <c r="AS9" s="60">
        <f>VLOOKUP($A9,'TCO Inputs'!$A$3:$AT$53,46,FALSE)</f>
        <v>11417.881862494338</v>
      </c>
      <c r="AT9" s="98">
        <f>(VLOOKUP($A9,Data!$D$64:$M$112,5,FALSE)+VLOOKUP($A9,Data!$D$64:$M$112,8,FALSE))*VLOOKUP($A9,'VKT US'!$B$63:$AB$113,2,FALSE)*CONVERT(0.9072,"g","ton")*m2k*VLOOKUP($A9,'VKT US'!$F$5:$S$56,11,FALSE)/1000000</f>
        <v>13.823593114746815</v>
      </c>
      <c r="AU9" s="98">
        <f>(VLOOKUP($A9,Data!$D$64:$F$114,3,FALSE)+VLOOKUP($A9,Data!$D$64:$I$114,6,FALSE))*VLOOKUP($A9,'VKT US'!$B$63:$AB$113,2,FALSE)*m2k*CONVERT(0.9072,"g","ton")*VLOOKUP($A9,'VKT US'!$F$5:$S$56,2,FALSE)/1000000</f>
        <v>7.820382052255391E-2</v>
      </c>
      <c r="AV9" s="98">
        <f>(VLOOKUP($A9,Data!$D$64:$M$112,4,FALSE)+VLOOKUP($A9,Data!$D$64:$M$112,7,FALSE))*VLOOKUP($A9,'VKT US'!$B$63:$AB$113,2,FALSE)*CONVERT(0.9072,"g","ton")*m2k*VLOOKUP($A9,'VKT US'!$F$5:$S$56,4,FALSE)/1000000</f>
        <v>0.26268580068019126</v>
      </c>
      <c r="AW9" s="98">
        <f>(VLOOKUP($A9,Data!$D$64:$M$112,9,FALSE)+VLOOKUP($A9,Data!$D$64:$M$112,10,FALSE))*VLOOKUP($A9,'VKT US'!$B$63:$AB$113,2,FALSE)*CONVERT(0.9072,"g","ton")*m2k*VLOOKUP($A9,'VKT US'!$F$5:$S$56,9,FALSE)/1000000</f>
        <v>0</v>
      </c>
      <c r="AX9" s="98">
        <f>H9*VLOOKUP($A9,'VKT US'!$F$5:$S$56,11,FALSE)/1000000</f>
        <v>161.02809423927454</v>
      </c>
      <c r="AY9" s="98">
        <f>P9*VLOOKUP($A9,'VKT US'!$F$5:$S$56,2,FALSE)/1000000</f>
        <v>0.74729279969498019</v>
      </c>
      <c r="AZ9" s="98">
        <f>Y9*VLOOKUP($A9,'VKT US'!$F$5:$S$56,4,FALSE)/1000000</f>
        <v>3.0599709870022358</v>
      </c>
      <c r="BA9" s="98">
        <f>AH9*VLOOKUP($A9,'VKT US'!$F$5:$S$56,9,FALSE)/1000000</f>
        <v>0</v>
      </c>
      <c r="BB9" s="79">
        <f>VLOOKUP($A9,Data!$D$64:$M$112,4,FALSE)+VLOOKUP($A9,Data!$D$64:$M$112,7,FALSE)-(VLOOKUP($A9,Data!$D$64:$F$114,3,FALSE)+VLOOKUP($A9,Data!$D$64:$I$114,6,FALSE))</f>
        <v>46.099329396884428</v>
      </c>
      <c r="BC9" s="10">
        <f>(Y9-P9)*VLOOKUP($A9,'VKT US'!$F$5:$S$56,14,FALSE)/1000000*'Scenario analysis'!$E$4</f>
        <v>50.043197011953623</v>
      </c>
      <c r="BD9" s="10">
        <f>P9*VLOOKUP($A9,'VKT US'!$F$5:$S$56,14,FALSE)/1000000*'Scenario analysis'!$E$4</f>
        <v>69.661405065237432</v>
      </c>
      <c r="BE9" s="79">
        <f>(VLOOKUP($A9,Data!$D$64:$M$114,4,FALSE)+VLOOKUP($A9,Data!$D$64:$M$114,7,FALSE)-(VLOOKUP($A9,Data!$D$64:$F$114,3,FALSE)+VLOOKUP($A9,Data!$D$64:$I$114,6,FALSE)))*VLOOKUP($A9,'VKT US'!$B$63:$AB$113,2,FALSE)*CONVERT(0.9072,"g","ton")*m2k*VLOOKUP($A9,'VKT US'!$F$5:$S$56,14,FALSE)/1000000*'Scenario analysis'!$E$4</f>
        <v>2.9861114764908665</v>
      </c>
      <c r="BF9" s="79">
        <f>(VLOOKUP($A9,Data!$D$64:$F$114,3,FALSE)+VLOOKUP($A9,Data!$D$64:$I$114,6,FALSE))*VLOOKUP($A9,'VKT US'!$B$63:$AB$113,2,FALSE)*CONVERT(0.9072,"g","ton")*m2k*VLOOKUP($A9,'VKT US'!$F$5:$S$56,14,FALSE)/1000000*'Scenario analysis'!$E$4</f>
        <v>7.2900314592812361</v>
      </c>
      <c r="BG9" s="79">
        <f>(VLOOKUP($A9,Data!$D$64:$M$114,4,FALSE)+VLOOKUP($A9,Data!$D$64:$M$114,7,FALSE))*VLOOKUP($A9,'VKT US'!$B$63:$AB$113,2,FALSE)*CONVERT(0.9072,"g","ton")*m2k*VLOOKUP($A9,'VKT US'!$F$5:$S$56,14,FALSE)/1000000*'Scenario analysis'!$E$4</f>
        <v>10.276142935772102</v>
      </c>
      <c r="BH9" s="79">
        <f t="shared" si="0"/>
        <v>16.988558580966703</v>
      </c>
      <c r="BI9" s="96">
        <f t="shared" si="1"/>
        <v>1578.6866629966232</v>
      </c>
      <c r="BJ9" s="191">
        <f t="shared" si="2"/>
        <v>26819.610855308973</v>
      </c>
      <c r="BK9" s="191">
        <f>(VLOOKUP($A9,'US Grid mix, emissions&amp;prices'!$H$169:$AK$219,30,FALSE)+VLOOKUP($A9,Data!$D$64:$F$114,3,FALSE)*VLOOKUP($A9,'VKT US'!$B$63:$AB$113,27,FALSE)*m2k*CONVERT(0.9072,"g","ton"))*VLOOKUP($A9,'VKT US'!$F$5:$S$56,14,FALSE)/1000000</f>
        <v>69.661405065237432</v>
      </c>
      <c r="BL9" s="191">
        <f>P9*VLOOKUP($A9,'VKT US'!$F$5:$S$56,14,FALSE)/1000000-BK9</f>
        <v>0</v>
      </c>
      <c r="BM9" s="191">
        <v>6.5395153134378576</v>
      </c>
      <c r="BN9" s="191">
        <v>0.89738119888168288</v>
      </c>
      <c r="BO9" s="191" cm="1">
        <f t="array" ref="BO9">_xlfn.IFS(AND(Q9&gt;0,R9&gt;0),R9/Q9,AND(Q9&gt;0,R9&lt;=0),-R9/Q9,Q9&lt;=0,0)</f>
        <v>569.17830779594613</v>
      </c>
      <c r="BP9" s="212" cm="1">
        <f t="array" ref="BP9">_xlfn.IFS(AND(Z9&gt;0,AA9&gt;0),AA9/Z9,AND(Z9&gt;0,AA9&lt;=0),AA9/Z9,Z9&lt;=0,0)</f>
        <v>-247.56569840456535</v>
      </c>
      <c r="BQ9" s="191">
        <f>P9*1000000/(VLOOKUP($A9,'VKT US'!$B$63:$AB$113,27,FALSE)*m2k)</f>
        <v>92.322470090723314</v>
      </c>
      <c r="BR9" s="191">
        <f>Y9*1000000/(VLOOKUP($A9,'VKT US'!$B$63:$AB$113,27,FALSE)*m2k)</f>
        <v>158.6448699196323</v>
      </c>
      <c r="BS9" s="191">
        <f>H9*1000000/(VLOOKUP($A9,'VKT US'!$B$63:$AB$113,27,FALSE)*m2k)</f>
        <v>240.62039255090156</v>
      </c>
      <c r="BT9" s="95"/>
      <c r="BU9" s="10">
        <f t="shared" si="10"/>
        <v>98050.523542576251</v>
      </c>
      <c r="BV9" s="10">
        <f t="shared" si="11"/>
        <v>107341.56748661415</v>
      </c>
      <c r="BW9" s="10">
        <f t="shared" si="12"/>
        <v>91222.648207705992</v>
      </c>
      <c r="BX9" s="10">
        <f t="shared" si="13"/>
        <v>99790.149589169916</v>
      </c>
      <c r="BY9" s="53">
        <f t="shared" si="14"/>
        <v>101100.40929383134</v>
      </c>
      <c r="BZ9" s="79">
        <f t="shared" si="15"/>
        <v>38.44404962980262</v>
      </c>
      <c r="CA9" s="96">
        <f>VLOOKUP($A9,'TCO Inputs'!$Y$114:$AT$164,22,FALSE)</f>
        <v>61195.334980570573</v>
      </c>
      <c r="CB9" s="211">
        <f>CA9*VLOOKUP($A9,'VKT US'!$F$5:$S$56,14,FALSE)/(10^9)</f>
        <v>180.26309825226673</v>
      </c>
    </row>
    <row r="10" spans="1:80" x14ac:dyDescent="0.25">
      <c r="A10" s="83" t="s">
        <v>192</v>
      </c>
      <c r="B10" s="150">
        <f>VLOOKUP($A10,'TCO Inputs'!$A$3:$AG$53,10,FALSE)</f>
        <v>23731.611795719989</v>
      </c>
      <c r="C10" s="71">
        <f>VLOOKUP($A10,'TCO Inputs'!$A$3:$AG$53,14,FALSE)</f>
        <v>17479.546995978206</v>
      </c>
      <c r="D10" s="71">
        <f>VLOOKUP($A10,'TCO Inputs'!$A$3:$AG$53,18,FALSE)</f>
        <v>21498.723583834504</v>
      </c>
      <c r="E10" s="71">
        <f>VLOOKUP($A10,'TCO Inputs'!$A$3:$AG$53,22,FALSE)</f>
        <v>33615.214701408753</v>
      </c>
      <c r="F10" s="71">
        <f>VLOOKUP($A10,'TCO Inputs'!$A$3:$AG$53,26,FALSE)</f>
        <v>0</v>
      </c>
      <c r="G10" s="65">
        <f>VLOOKUP($A10,'TCO Inputs'!$A$3:$AG$53,30,FALSE)</f>
        <v>96325.097076941456</v>
      </c>
      <c r="H10" s="95">
        <f>(VLOOKUP($A10,Data!$D$64:$M$112,5,FALSE)+VLOOKUP($A10,Data!$D$64:$M$112,8,FALSE))*VLOOKUP($A10,'VKT US'!$B$63:$AB$113,27,FALSE)*CONVERT(0.9072,"g","ton")*m2k</f>
        <v>63.531123932417671</v>
      </c>
      <c r="I10" s="92"/>
      <c r="J10" s="144">
        <f>VLOOKUP($A10,'TCO Inputs'!$A$3:$AG$53,11,FALSE)</f>
        <v>40967.546942691188</v>
      </c>
      <c r="K10" s="65">
        <f>VLOOKUP($A10,'TCO Inputs'!$A$3:$AG$53,15,FALSE)</f>
        <v>11071.916383954363</v>
      </c>
      <c r="L10" s="65">
        <f>VLOOKUP($A10,'TCO Inputs'!$A$3:$AG$53,19,FALSE)</f>
        <v>13387.14844440191</v>
      </c>
      <c r="M10" s="65">
        <f>VLOOKUP($A10,'TCO Inputs'!$A$3:$AG$53,23,FALSE)</f>
        <v>40081.429599000825</v>
      </c>
      <c r="N10" s="65">
        <f>VLOOKUP($A10,'TCO Inputs'!$A$3:$AG$53,27,FALSE)</f>
        <v>0</v>
      </c>
      <c r="O10" s="65">
        <f>VLOOKUP($A10,'TCO Inputs'!$A$3:$AG$53,31,FALSE)</f>
        <v>105508.04137004827</v>
      </c>
      <c r="P10" s="7">
        <f>VLOOKUP($A10,_xlfn.IFS('Scenario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analysis'!$Q$121:$R$126),2,FALSE)+VLOOKUP($A10,Data!$D$64:$F$114,3,FALSE)*VLOOKUP($A10,'VKT US'!$B$63:$AB$113,27,FALSE)*m2k*CONVERT(0.9072,"g","ton")</f>
        <v>32.113003416850937</v>
      </c>
      <c r="Q10" s="95">
        <f t="shared" si="3"/>
        <v>31.418120515566734</v>
      </c>
      <c r="R10" s="60">
        <f t="shared" si="4"/>
        <v>9182.9442931068188</v>
      </c>
      <c r="S10" s="144">
        <f>VLOOKUP($A10,'TCO Inputs'!$A$3:$AG$53,12,FALSE)</f>
        <v>25202.087524607668</v>
      </c>
      <c r="T10" s="65">
        <f>VLOOKUP($A10,'TCO Inputs'!$A$3:$AG$53,16,FALSE)</f>
        <v>10756.644305217356</v>
      </c>
      <c r="U10" s="65">
        <f>VLOOKUP($A10,'TCO Inputs'!$A$3:$AG$53,20,FALSE)</f>
        <v>19760.52891109894</v>
      </c>
      <c r="V10" s="65">
        <f>VLOOKUP($A10,'TCO Inputs'!$A$3:$AG$53,24,FALSE)</f>
        <v>35029.505966383156</v>
      </c>
      <c r="W10" s="65">
        <f>VLOOKUP($A10,'TCO Inputs'!$A$3:$AG$53,28,FALSE)</f>
        <v>0</v>
      </c>
      <c r="X10" s="65">
        <f>VLOOKUP($A10,'TCO Inputs'!$A$3:$AG$53,32,FALSE)</f>
        <v>90748.766707307121</v>
      </c>
      <c r="Y10" s="7">
        <f>(VLOOKUP($A10,Data!$D$64:$M$112,4,FALSE)+VLOOKUP($A10,Data!$D$64:$M$112,7,FALSE))*VLOOKUP($A10,'VKT US'!$B$63:$AB$113,27,FALSE)*CONVERT(0.9072,"g","ton")*m2k</f>
        <v>41.912856595491363</v>
      </c>
      <c r="Z10" s="95">
        <f t="shared" si="5"/>
        <v>21.618267336926309</v>
      </c>
      <c r="AA10" s="118">
        <f t="shared" si="6"/>
        <v>-5576.3303696343355</v>
      </c>
      <c r="AB10" s="144">
        <f>VLOOKUP($A10,'TCO Inputs'!$A$3:$AG$53,13,FALSE)</f>
        <v>28460.759801658827</v>
      </c>
      <c r="AC10" s="65">
        <f>VLOOKUP($A10,'TCO Inputs'!$A$3:$AG$53,17,FALSE)</f>
        <v>15100.712828252546</v>
      </c>
      <c r="AD10" s="65">
        <f>VLOOKUP($A10,'TCO Inputs'!$A$3:$AG$53,21,FALSE)</f>
        <v>19760.52891109894</v>
      </c>
      <c r="AE10" s="65">
        <f>VLOOKUP($A10,'TCO Inputs'!$A$3:$AG$53,25,FALSE)</f>
        <v>35029.505966383156</v>
      </c>
      <c r="AF10" s="65">
        <f>VLOOKUP($A10,'TCO Inputs'!$A$3:$AG$53,29,FALSE)</f>
        <v>0</v>
      </c>
      <c r="AG10" s="65">
        <f>VLOOKUP($A10,'TCO Inputs'!$A$3:$AG$53,33,FALSE)</f>
        <v>98351.507507393471</v>
      </c>
      <c r="AH10" s="7">
        <f>(VLOOKUP($A10,Data!$D$64:$M$112,9,FALSE)+VLOOKUP($A10,Data!$D$64:$M$112,10,FALSE))*VLOOKUP($A10,'VKT US'!$B$63:$AB$113,27,FALSE)*CONVERT(0.9072,"g","ton")*m2k</f>
        <v>29.644616726982719</v>
      </c>
      <c r="AI10" s="95">
        <f t="shared" si="7"/>
        <v>33.886507205434953</v>
      </c>
      <c r="AJ10" s="186">
        <f t="shared" si="8"/>
        <v>2026.4104304520151</v>
      </c>
      <c r="AK10" s="188">
        <f>VLOOKUP($A10,'TCO Inputs'!$A$3:$AT$53,40,FALSE)</f>
        <v>30376.676612640622</v>
      </c>
      <c r="AL10" s="188">
        <f>VLOOKUP($A10,'TCO Inputs'!$A$3:$AT$53,41,FALSE)</f>
        <v>10300.72905249965</v>
      </c>
      <c r="AM10" s="188">
        <f>VLOOKUP($A10,'TCO Inputs'!$A$3:$AT$53,42,FALSE)</f>
        <v>19040.727591547555</v>
      </c>
      <c r="AN10" s="188">
        <f>VLOOKUP($A10,'TCO Inputs'!$A$3:$AT$53,43,FALSE)</f>
        <v>40081.429599000825</v>
      </c>
      <c r="AO10" s="188">
        <f>VLOOKUP($A10,'TCO Inputs'!$A$3:$AT$53,44,FALSE)</f>
        <v>0</v>
      </c>
      <c r="AP10" s="188">
        <f>VLOOKUP($A10,'TCO Inputs'!$A$3:$AT$53,45,FALSE)</f>
        <v>99799.562855688651</v>
      </c>
      <c r="AQ10" s="96">
        <f>(VLOOKUP($A10,Data!$D$64:$O$114,11,FALSE)+VLOOKUP($A10,'Fuel economy adjusted factor'!$A$2:$L$52,12,FALSE)*(1-'TCO Inputs'!$BD$9))*VLOOKUP($A10,'VKT US'!$B$63:$AB$113,27,FALSE)*CONVERT(0.9072,"g","ton")*m2k+VLOOKUP($A10,'US Grid mix, emissions&amp;prices'!$H$224:$AK$274,30,FALSE)</f>
        <v>35.456943390767933</v>
      </c>
      <c r="AR10" s="96">
        <f t="shared" si="9"/>
        <v>28.074180541649739</v>
      </c>
      <c r="AS10" s="60">
        <f>VLOOKUP($A10,'TCO Inputs'!$A$3:$AT$53,46,FALSE)</f>
        <v>3474.4657787471951</v>
      </c>
      <c r="AT10" s="98">
        <f>(VLOOKUP($A10,Data!$D$64:$M$112,5,FALSE)+VLOOKUP($A10,Data!$D$64:$M$112,8,FALSE))*VLOOKUP($A10,'VKT US'!$B$63:$AB$113,2,FALSE)*CONVERT(0.9072,"g","ton")*m2k*VLOOKUP($A10,'VKT US'!$F$5:$S$56,11,FALSE)/1000000</f>
        <v>4.3156577243890109</v>
      </c>
      <c r="AU10" s="98">
        <f>(VLOOKUP($A10,Data!$D$64:$F$114,3,FALSE)+VLOOKUP($A10,Data!$D$64:$I$114,6,FALSE))*VLOOKUP($A10,'VKT US'!$B$63:$AB$113,2,FALSE)*m2k*CONVERT(0.9072,"g","ton")*VLOOKUP($A10,'VKT US'!$F$5:$S$56,2,FALSE)/1000000</f>
        <v>2.8962917084595956E-2</v>
      </c>
      <c r="AV10" s="98">
        <f>(VLOOKUP($A10,Data!$D$64:$M$112,4,FALSE)+VLOOKUP($A10,Data!$D$64:$M$112,7,FALSE))*VLOOKUP($A10,'VKT US'!$B$63:$AB$113,2,FALSE)*CONVERT(0.9072,"g","ton")*m2k*VLOOKUP($A10,'VKT US'!$F$5:$S$56,4,FALSE)/1000000</f>
        <v>8.2395222893926534E-2</v>
      </c>
      <c r="AW10" s="98">
        <f>(VLOOKUP($A10,Data!$D$64:$M$112,9,FALSE)+VLOOKUP($A10,Data!$D$64:$M$112,10,FALSE))*VLOOKUP($A10,'VKT US'!$B$63:$AB$113,2,FALSE)*CONVERT(0.9072,"g","ton")*m2k*VLOOKUP($A10,'VKT US'!$F$5:$S$56,9,FALSE)/1000000</f>
        <v>0</v>
      </c>
      <c r="AX10" s="98">
        <f>H10*VLOOKUP($A10,'VKT US'!$F$5:$S$56,11,FALSE)/1000000</f>
        <v>50.272178367722098</v>
      </c>
      <c r="AY10" s="98">
        <f>P10*VLOOKUP($A10,'VKT US'!$F$5:$S$56,2,FALSE)/1000000</f>
        <v>0.26974922870154788</v>
      </c>
      <c r="AZ10" s="98">
        <f>Y10*VLOOKUP($A10,'VKT US'!$F$5:$S$56,4,FALSE)/1000000</f>
        <v>0.95980441603675215</v>
      </c>
      <c r="BA10" s="98">
        <f>AH10*VLOOKUP($A10,'VKT US'!$F$5:$S$56,9,FALSE)/1000000</f>
        <v>0</v>
      </c>
      <c r="BB10" s="79">
        <f>VLOOKUP($A10,Data!$D$64:$M$112,4,FALSE)+VLOOKUP($A10,Data!$D$64:$M$112,7,FALSE)-(VLOOKUP($A10,Data!$D$64:$F$114,3,FALSE)+VLOOKUP($A10,Data!$D$64:$I$114,6,FALSE))</f>
        <v>6.5585768291248598</v>
      </c>
      <c r="BC10" s="10">
        <f>(Y10-P10)*VLOOKUP($A10,'VKT US'!$F$5:$S$56,14,FALSE)/1000000*'Scenario analysis'!$E$4</f>
        <v>8.9639257025023973</v>
      </c>
      <c r="BD10" s="10">
        <f>P10*VLOOKUP($A10,'VKT US'!$F$5:$S$56,14,FALSE)/1000000*'Scenario analysis'!$E$4</f>
        <v>29.373764225393554</v>
      </c>
      <c r="BE10" s="79">
        <f>(VLOOKUP($A10,Data!$D$64:$M$114,4,FALSE)+VLOOKUP($A10,Data!$D$64:$M$114,7,FALSE)-(VLOOKUP($A10,Data!$D$64:$F$114,3,FALSE)+VLOOKUP($A10,Data!$D$64:$I$114,6,FALSE)))*VLOOKUP($A10,'VKT US'!$B$63:$AB$113,2,FALSE)*CONVERT(0.9072,"g","ton")*m2k*VLOOKUP($A10,'VKT US'!$F$5:$S$56,14,FALSE)/1000000*'Scenario analysis'!$E$4</f>
        <v>0.13727666515552292</v>
      </c>
      <c r="BF10" s="79">
        <f>(VLOOKUP($A10,Data!$D$64:$F$114,3,FALSE)+VLOOKUP($A10,Data!$D$64:$I$114,6,FALSE))*VLOOKUP($A10,'VKT US'!$B$63:$AB$113,2,FALSE)*CONVERT(0.9072,"g","ton")*m2k*VLOOKUP($A10,'VKT US'!$F$5:$S$56,14,FALSE)/1000000*'Scenario analysis'!$E$4</f>
        <v>3.1538547925333242</v>
      </c>
      <c r="BG10" s="79">
        <f>(VLOOKUP($A10,Data!$D$64:$M$114,4,FALSE)+VLOOKUP($A10,Data!$D$64:$M$114,7,FALSE))*VLOOKUP($A10,'VKT US'!$B$63:$AB$113,2,FALSE)*CONVERT(0.9072,"g","ton")*m2k*VLOOKUP($A10,'VKT US'!$F$5:$S$56,14,FALSE)/1000000*'Scenario analysis'!$E$4</f>
        <v>3.2911314576888473</v>
      </c>
      <c r="BH10" s="79">
        <f t="shared" si="0"/>
        <v>9.7998531786404257</v>
      </c>
      <c r="BI10" s="96">
        <f t="shared" si="1"/>
        <v>1506.0709985849778</v>
      </c>
      <c r="BJ10" s="191">
        <f t="shared" si="2"/>
        <v>14759.274662741154</v>
      </c>
      <c r="BK10" s="191">
        <f>(VLOOKUP($A10,'US Grid mix, emissions&amp;prices'!$H$169:$AK$219,30,FALSE)+VLOOKUP($A10,Data!$D$64:$F$114,3,FALSE)*VLOOKUP($A10,'VKT US'!$B$63:$AB$113,27,FALSE)*m2k*CONVERT(0.9072,"g","ton"))*VLOOKUP($A10,'VKT US'!$F$5:$S$56,14,FALSE)/1000000</f>
        <v>29.373764225393554</v>
      </c>
      <c r="BL10" s="191">
        <f>P10*VLOOKUP($A10,'VKT US'!$F$5:$S$56,14,FALSE)/1000000-BK10</f>
        <v>0</v>
      </c>
      <c r="BM10" s="191">
        <v>2.7916060681984805</v>
      </c>
      <c r="BN10" s="191">
        <v>0.43313551125761052</v>
      </c>
      <c r="BO10" s="191" cm="1">
        <f t="array" ref="BO10">_xlfn.IFS(AND(Q10&gt;0,R10&gt;0),R10/Q10,AND(Q10&gt;0,R10&lt;=0),-R10/Q10,Q10&lt;=0,0)</f>
        <v>292.28178332809392</v>
      </c>
      <c r="BP10" s="212" cm="1">
        <f t="array" ref="BP10">_xlfn.IFS(AND(Z10&gt;0,AA10&gt;0),AA10/Z10,AND(Z10&gt;0,AA10&lt;=0),AA10/Z10,Z10&lt;=0,0)</f>
        <v>-257.94529611119054</v>
      </c>
      <c r="BQ10" s="191">
        <f>P10*1000000/(VLOOKUP($A10,'VKT US'!$B$63:$AB$113,27,FALSE)*m2k)</f>
        <v>120.47559755206186</v>
      </c>
      <c r="BR10" s="191">
        <f>Y10*1000000/(VLOOKUP($A10,'VKT US'!$B$63:$AB$113,27,FALSE)*m2k)</f>
        <v>157.24086526288735</v>
      </c>
      <c r="BS10" s="191">
        <f>H10*1000000/(VLOOKUP($A10,'VKT US'!$B$63:$AB$113,27,FALSE)*m2k)</f>
        <v>238.34426258914769</v>
      </c>
      <c r="BT10" s="95"/>
      <c r="BU10" s="10">
        <f t="shared" si="10"/>
        <v>98050.523542576251</v>
      </c>
      <c r="BV10" s="10">
        <f t="shared" si="11"/>
        <v>107341.56748661415</v>
      </c>
      <c r="BW10" s="10">
        <f t="shared" si="12"/>
        <v>91222.648207705992</v>
      </c>
      <c r="BX10" s="10">
        <f t="shared" si="13"/>
        <v>99790.149589169916</v>
      </c>
      <c r="BY10" s="53">
        <f t="shared" si="14"/>
        <v>101100.40929383134</v>
      </c>
      <c r="BZ10" s="79">
        <f t="shared" si="15"/>
        <v>38.44404962980262</v>
      </c>
      <c r="CA10" s="96">
        <f>VLOOKUP($A10,'TCO Inputs'!$Y$114:$AT$164,22,FALSE)</f>
        <v>60755.466997595635</v>
      </c>
      <c r="CB10" s="211">
        <f>CA10*VLOOKUP($A10,'VKT US'!$F$5:$S$56,14,FALSE)/(10^9)</f>
        <v>55.573025662700729</v>
      </c>
    </row>
    <row r="11" spans="1:80" x14ac:dyDescent="0.25">
      <c r="A11" s="83" t="s">
        <v>193</v>
      </c>
      <c r="B11" s="150">
        <f>VLOOKUP($A11,'TCO Inputs'!$A$3:$AG$53,10,FALSE)</f>
        <v>23731.611795719989</v>
      </c>
      <c r="C11" s="71">
        <f>VLOOKUP($A11,'TCO Inputs'!$A$3:$AG$53,14,FALSE)</f>
        <v>18377.405329824462</v>
      </c>
      <c r="D11" s="71">
        <f>VLOOKUP($A11,'TCO Inputs'!$A$3:$AG$53,18,FALSE)</f>
        <v>24820.122072319682</v>
      </c>
      <c r="E11" s="71">
        <f>VLOOKUP($A11,'TCO Inputs'!$A$3:$AG$53,22,FALSE)</f>
        <v>44395.635710833471</v>
      </c>
      <c r="F11" s="71">
        <f>VLOOKUP($A11,'TCO Inputs'!$A$3:$AG$53,26,FALSE)</f>
        <v>0</v>
      </c>
      <c r="G11" s="65">
        <f>VLOOKUP($A11,'TCO Inputs'!$A$3:$AG$53,30,FALSE)</f>
        <v>111324.77490869761</v>
      </c>
      <c r="H11" s="95">
        <f>(VLOOKUP($A11,Data!$D$64:$M$112,5,FALSE)+VLOOKUP($A11,Data!$D$64:$M$112,8,FALSE))*VLOOKUP($A11,'VKT US'!$B$63:$AB$113,27,FALSE)*CONVERT(0.9072,"g","ton")*m2k</f>
        <v>72.645787897221723</v>
      </c>
      <c r="I11" s="92"/>
      <c r="J11" s="144">
        <f>VLOOKUP($A11,'TCO Inputs'!$A$3:$AG$53,11,FALSE)</f>
        <v>40967.546942691188</v>
      </c>
      <c r="K11" s="65">
        <f>VLOOKUP($A11,'TCO Inputs'!$A$3:$AG$53,15,FALSE)</f>
        <v>11736.445892362304</v>
      </c>
      <c r="L11" s="65">
        <f>VLOOKUP($A11,'TCO Inputs'!$A$3:$AG$53,19,FALSE)</f>
        <v>15455.366793969277</v>
      </c>
      <c r="M11" s="65">
        <f>VLOOKUP($A11,'TCO Inputs'!$A$3:$AG$53,23,FALSE)</f>
        <v>58250.86550601761</v>
      </c>
      <c r="N11" s="65">
        <f>VLOOKUP($A11,'TCO Inputs'!$A$3:$AG$53,27,FALSE)</f>
        <v>0</v>
      </c>
      <c r="O11" s="65">
        <f>VLOOKUP($A11,'TCO Inputs'!$A$3:$AG$53,31,FALSE)</f>
        <v>126410.22513504038</v>
      </c>
      <c r="P11" s="7">
        <f>VLOOKUP($A11,_xlfn.IFS('Scenario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analysis'!$Q$121:$R$126),2,FALSE)+VLOOKUP($A11,Data!$D$64:$F$114,3,FALSE)*VLOOKUP($A11,'VKT US'!$B$63:$AB$113,27,FALSE)*m2k*CONVERT(0.9072,"g","ton")</f>
        <v>33.703296877011461</v>
      </c>
      <c r="Q11" s="95">
        <f t="shared" si="3"/>
        <v>38.942491020210262</v>
      </c>
      <c r="R11" s="60">
        <f t="shared" si="4"/>
        <v>15085.450226342771</v>
      </c>
      <c r="S11" s="144">
        <f>VLOOKUP($A11,'TCO Inputs'!$A$3:$AG$53,12,FALSE)</f>
        <v>25202.087524607668</v>
      </c>
      <c r="T11" s="65">
        <f>VLOOKUP($A11,'TCO Inputs'!$A$3:$AG$53,16,FALSE)</f>
        <v>11309.172510661208</v>
      </c>
      <c r="U11" s="65">
        <f>VLOOKUP($A11,'TCO Inputs'!$A$3:$AG$53,20,FALSE)</f>
        <v>22813.388798387445</v>
      </c>
      <c r="V11" s="65">
        <f>VLOOKUP($A11,'TCO Inputs'!$A$3:$AG$53,24,FALSE)</f>
        <v>46263.491095561571</v>
      </c>
      <c r="W11" s="65">
        <f>VLOOKUP($A11,'TCO Inputs'!$A$3:$AG$53,28,FALSE)</f>
        <v>0</v>
      </c>
      <c r="X11" s="65">
        <f>VLOOKUP($A11,'TCO Inputs'!$A$3:$AG$53,32,FALSE)</f>
        <v>105588.1399292179</v>
      </c>
      <c r="Y11" s="7">
        <f>(VLOOKUP($A11,Data!$D$64:$M$112,4,FALSE)+VLOOKUP($A11,Data!$D$64:$M$112,7,FALSE))*VLOOKUP($A11,'VKT US'!$B$63:$AB$113,27,FALSE)*CONVERT(0.9072,"g","ton")*m2k</f>
        <v>47.956034540381808</v>
      </c>
      <c r="Z11" s="95">
        <f t="shared" si="5"/>
        <v>24.689753356839915</v>
      </c>
      <c r="AA11" s="118">
        <f t="shared" si="6"/>
        <v>-5736.6349794797134</v>
      </c>
      <c r="AB11" s="144">
        <f>VLOOKUP($A11,'TCO Inputs'!$A$3:$AG$53,13,FALSE)</f>
        <v>28460.759801658827</v>
      </c>
      <c r="AC11" s="65">
        <f>VLOOKUP($A11,'TCO Inputs'!$A$3:$AG$53,17,FALSE)</f>
        <v>17247.479808847347</v>
      </c>
      <c r="AD11" s="65">
        <f>VLOOKUP($A11,'TCO Inputs'!$A$3:$AG$53,21,FALSE)</f>
        <v>22813.388798387445</v>
      </c>
      <c r="AE11" s="65">
        <f>VLOOKUP($A11,'TCO Inputs'!$A$3:$AG$53,25,FALSE)</f>
        <v>46487.351095561564</v>
      </c>
      <c r="AF11" s="65">
        <f>VLOOKUP($A11,'TCO Inputs'!$A$3:$AG$53,29,FALSE)</f>
        <v>0</v>
      </c>
      <c r="AG11" s="65">
        <f>VLOOKUP($A11,'TCO Inputs'!$A$3:$AG$53,33,FALSE)</f>
        <v>115008.97950445519</v>
      </c>
      <c r="AH11" s="7">
        <f>(VLOOKUP($A11,Data!$D$64:$M$112,9,FALSE)+VLOOKUP($A11,Data!$D$64:$M$112,10,FALSE))*VLOOKUP($A11,'VKT US'!$B$63:$AB$113,27,FALSE)*CONVERT(0.9072,"g","ton")*m2k</f>
        <v>34.224497239645274</v>
      </c>
      <c r="AI11" s="95">
        <f t="shared" si="7"/>
        <v>38.421290657576449</v>
      </c>
      <c r="AJ11" s="186">
        <f t="shared" si="8"/>
        <v>3684.2045957575756</v>
      </c>
      <c r="AK11" s="188">
        <f>VLOOKUP($A11,'TCO Inputs'!$A$3:$AT$53,40,FALSE)</f>
        <v>30376.676612640622</v>
      </c>
      <c r="AL11" s="188">
        <f>VLOOKUP($A11,'TCO Inputs'!$A$3:$AT$53,41,FALSE)</f>
        <v>10871.57248952872</v>
      </c>
      <c r="AM11" s="188">
        <f>VLOOKUP($A11,'TCO Inputs'!$A$3:$AT$53,42,FALSE)</f>
        <v>21982.383341276687</v>
      </c>
      <c r="AN11" s="188">
        <f>VLOOKUP($A11,'TCO Inputs'!$A$3:$AT$53,43,FALSE)</f>
        <v>57645.165506017613</v>
      </c>
      <c r="AO11" s="188">
        <f>VLOOKUP($A11,'TCO Inputs'!$A$3:$AT$53,44,FALSE)</f>
        <v>0</v>
      </c>
      <c r="AP11" s="188">
        <f>VLOOKUP($A11,'TCO Inputs'!$A$3:$AT$53,45,FALSE)</f>
        <v>120875.79794946364</v>
      </c>
      <c r="AQ11" s="96">
        <f>(VLOOKUP($A11,Data!$D$64:$O$114,11,FALSE)+VLOOKUP($A11,'Fuel economy adjusted factor'!$A$2:$L$52,12,FALSE)*(1-'TCO Inputs'!$BD$9))*VLOOKUP($A11,'VKT US'!$B$63:$AB$113,27,FALSE)*CONVERT(0.9072,"g","ton")*m2k+VLOOKUP($A11,'US Grid mix, emissions&amp;prices'!$H$224:$AK$274,30,FALSE)</f>
        <v>38.975001600077427</v>
      </c>
      <c r="AR11" s="96">
        <f t="shared" si="9"/>
        <v>33.670786297144296</v>
      </c>
      <c r="AS11" s="60">
        <f>VLOOKUP($A11,'TCO Inputs'!$A$3:$AT$53,46,FALSE)</f>
        <v>9551.0230407660274</v>
      </c>
      <c r="AT11" s="98">
        <f>(VLOOKUP($A11,Data!$D$64:$M$112,5,FALSE)+VLOOKUP($A11,Data!$D$64:$M$112,8,FALSE))*VLOOKUP($A11,'VKT US'!$B$63:$AB$113,2,FALSE)*CONVERT(0.9072,"g","ton")*m2k*VLOOKUP($A11,'VKT US'!$F$5:$S$56,11,FALSE)/1000000</f>
        <v>100.63268719874031</v>
      </c>
      <c r="AU11" s="98">
        <f>(VLOOKUP($A11,Data!$D$64:$F$114,3,FALSE)+VLOOKUP($A11,Data!$D$64:$I$114,6,FALSE))*VLOOKUP($A11,'VKT US'!$B$63:$AB$113,2,FALSE)*m2k*CONVERT(0.9072,"g","ton")*VLOOKUP($A11,'VKT US'!$F$5:$S$56,2,FALSE)/1000000</f>
        <v>0.91474560336054045</v>
      </c>
      <c r="AV11" s="98">
        <f>(VLOOKUP($A11,Data!$D$64:$M$112,4,FALSE)+VLOOKUP($A11,Data!$D$64:$M$112,7,FALSE))*VLOOKUP($A11,'VKT US'!$B$63:$AB$113,2,FALSE)*CONVERT(0.9072,"g","ton")*m2k*VLOOKUP($A11,'VKT US'!$F$5:$S$56,4,FALSE)/1000000</f>
        <v>1.7064245411964709</v>
      </c>
      <c r="AW11" s="98">
        <f>(VLOOKUP($A11,Data!$D$64:$M$112,9,FALSE)+VLOOKUP($A11,Data!$D$64:$M$112,10,FALSE))*VLOOKUP($A11,'VKT US'!$B$63:$AB$113,2,FALSE)*CONVERT(0.9072,"g","ton")*m2k*VLOOKUP($A11,'VKT US'!$F$5:$S$56,9,FALSE)/1000000</f>
        <v>0</v>
      </c>
      <c r="AX11" s="98">
        <f>H11*VLOOKUP($A11,'VKT US'!$F$5:$S$56,11,FALSE)/1000000</f>
        <v>1172.2487564035184</v>
      </c>
      <c r="AY11" s="98">
        <f>P11*VLOOKUP($A11,'VKT US'!$F$5:$S$56,2,FALSE)/1000000</f>
        <v>8.5909703739502206</v>
      </c>
      <c r="AZ11" s="98">
        <f>Y11*VLOOKUP($A11,'VKT US'!$F$5:$S$56,4,FALSE)/1000000</f>
        <v>19.87777631698826</v>
      </c>
      <c r="BA11" s="98">
        <f>AH11*VLOOKUP($A11,'VKT US'!$F$5:$S$56,9,FALSE)/1000000</f>
        <v>0</v>
      </c>
      <c r="BB11" s="79">
        <f>VLOOKUP($A11,Data!$D$64:$M$112,4,FALSE)+VLOOKUP($A11,Data!$D$64:$M$112,7,FALSE)-(VLOOKUP($A11,Data!$D$64:$F$114,3,FALSE)+VLOOKUP($A11,Data!$D$64:$I$114,6,FALSE))</f>
        <v>19.993252692919924</v>
      </c>
      <c r="BC11" s="10">
        <f>(Y11-P11)*VLOOKUP($A11,'VKT US'!$F$5:$S$56,14,FALSE)/1000000*'Scenario analysis'!$E$4</f>
        <v>264.86147454594385</v>
      </c>
      <c r="BD11" s="10">
        <f>P11*VLOOKUP($A11,'VKT US'!$F$5:$S$56,14,FALSE)/1000000*'Scenario analysis'!$E$4</f>
        <v>626.3151065248793</v>
      </c>
      <c r="BE11" s="79">
        <f>(VLOOKUP($A11,Data!$D$64:$M$114,4,FALSE)+VLOOKUP($A11,Data!$D$64:$M$114,7,FALSE)-(VLOOKUP($A11,Data!$D$64:$F$114,3,FALSE)+VLOOKUP($A11,Data!$D$64:$I$114,6,FALSE)))*VLOOKUP($A11,'VKT US'!$B$63:$AB$113,2,FALSE)*CONVERT(0.9072,"g","ton")*m2k*VLOOKUP($A11,'VKT US'!$F$5:$S$56,14,FALSE)/1000000*'Scenario analysis'!$E$4</f>
        <v>9.815301041083627</v>
      </c>
      <c r="BF11" s="79">
        <f>(VLOOKUP($A11,Data!$D$64:$F$114,3,FALSE)+VLOOKUP($A11,Data!$D$64:$I$114,6,FALSE))*VLOOKUP($A11,'VKT US'!$B$63:$AB$113,2,FALSE)*CONVERT(0.9072,"g","ton")*m2k*VLOOKUP($A11,'VKT US'!$F$5:$S$56,14,FALSE)/1000000*'Scenario analysis'!$E$4</f>
        <v>66.688507243505668</v>
      </c>
      <c r="BG11" s="79">
        <f>(VLOOKUP($A11,Data!$D$64:$M$114,4,FALSE)+VLOOKUP($A11,Data!$D$64:$M$114,7,FALSE))*VLOOKUP($A11,'VKT US'!$B$63:$AB$113,2,FALSE)*CONVERT(0.9072,"g","ton")*m2k*VLOOKUP($A11,'VKT US'!$F$5:$S$56,14,FALSE)/1000000*'Scenario analysis'!$E$4</f>
        <v>76.503808284589297</v>
      </c>
      <c r="BH11" s="79">
        <f t="shared" si="0"/>
        <v>14.252737663370347</v>
      </c>
      <c r="BI11" s="96">
        <f t="shared" si="1"/>
        <v>1460.9182949697738</v>
      </c>
      <c r="BJ11" s="191">
        <f t="shared" si="2"/>
        <v>20822.085205822485</v>
      </c>
      <c r="BK11" s="191">
        <f>(VLOOKUP($A11,'US Grid mix, emissions&amp;prices'!$H$169:$AK$219,30,FALSE)+VLOOKUP($A11,Data!$D$64:$F$114,3,FALSE)*VLOOKUP($A11,'VKT US'!$B$63:$AB$113,27,FALSE)*m2k*CONVERT(0.9072,"g","ton"))*VLOOKUP($A11,'VKT US'!$F$5:$S$56,14,FALSE)/1000000</f>
        <v>626.3151065248793</v>
      </c>
      <c r="BL11" s="191">
        <f>P11*VLOOKUP($A11,'VKT US'!$F$5:$S$56,14,FALSE)/1000000-BK11</f>
        <v>0</v>
      </c>
      <c r="BM11" s="191">
        <v>59.284722717173793</v>
      </c>
      <c r="BN11" s="191">
        <v>8.8525970710933564</v>
      </c>
      <c r="BO11" s="191" cm="1">
        <f t="array" ref="BO11">_xlfn.IFS(AND(Q11&gt;0,R11&gt;0),R11/Q11,AND(Q11&gt;0,R11&lt;=0),-R11/Q11,Q11&lt;=0,0)</f>
        <v>387.37763895262293</v>
      </c>
      <c r="BP11" s="212" cm="1">
        <f t="array" ref="BP11">_xlfn.IFS(AND(Z11&gt;0,AA11&gt;0),AA11/Z11,AND(Z11&gt;0,AA11&lt;=0),AA11/Z11,Z11&lt;=0,0)</f>
        <v>-232.34881679733212</v>
      </c>
      <c r="BQ11" s="191">
        <f>P11*1000000/(VLOOKUP($A11,'VKT US'!$B$63:$AB$113,27,FALSE)*m2k)</f>
        <v>109.52148207683001</v>
      </c>
      <c r="BR11" s="191">
        <f>Y11*1000000/(VLOOKUP($A11,'VKT US'!$B$63:$AB$113,27,FALSE)*m2k)</f>
        <v>155.8368606061423</v>
      </c>
      <c r="BS11" s="191">
        <f>H11*1000000/(VLOOKUP($A11,'VKT US'!$B$63:$AB$113,27,FALSE)*m2k)</f>
        <v>236.06813262739365</v>
      </c>
      <c r="BT11" s="95"/>
      <c r="BU11" s="10">
        <f t="shared" si="10"/>
        <v>98050.523542576251</v>
      </c>
      <c r="BV11" s="10">
        <f t="shared" si="11"/>
        <v>107341.56748661415</v>
      </c>
      <c r="BW11" s="10">
        <f t="shared" si="12"/>
        <v>91222.648207705992</v>
      </c>
      <c r="BX11" s="10">
        <f t="shared" si="13"/>
        <v>99790.149589169916</v>
      </c>
      <c r="BY11" s="53">
        <f t="shared" si="14"/>
        <v>101100.40929383134</v>
      </c>
      <c r="BZ11" s="79">
        <f t="shared" si="15"/>
        <v>38.44404962980262</v>
      </c>
      <c r="CA11" s="96">
        <f>VLOOKUP($A11,'TCO Inputs'!$Y$114:$AT$164,22,FALSE)</f>
        <v>65745.946049283142</v>
      </c>
      <c r="CB11" s="211">
        <f>CA11*VLOOKUP($A11,'VKT US'!$F$5:$S$56,14,FALSE)/(10^9)</f>
        <v>1221.7700646230385</v>
      </c>
    </row>
    <row r="12" spans="1:80" x14ac:dyDescent="0.25">
      <c r="A12" s="83" t="s">
        <v>194</v>
      </c>
      <c r="B12" s="150">
        <f>VLOOKUP($A12,'TCO Inputs'!$A$3:$AG$53,10,FALSE)</f>
        <v>23731.611795719989</v>
      </c>
      <c r="C12" s="71">
        <f>VLOOKUP($A12,'TCO Inputs'!$A$3:$AG$53,14,FALSE)</f>
        <v>23100.230217836837</v>
      </c>
      <c r="D12" s="71">
        <f>VLOOKUP($A12,'TCO Inputs'!$A$3:$AG$53,18,FALSE)</f>
        <v>31260.020476328158</v>
      </c>
      <c r="E12" s="71">
        <f>VLOOKUP($A12,'TCO Inputs'!$A$3:$AG$53,22,FALSE)</f>
        <v>31740.105915649328</v>
      </c>
      <c r="F12" s="71">
        <f>VLOOKUP($A12,'TCO Inputs'!$A$3:$AG$53,26,FALSE)</f>
        <v>0</v>
      </c>
      <c r="G12" s="65">
        <f>VLOOKUP($A12,'TCO Inputs'!$A$3:$AG$53,30,FALSE)</f>
        <v>109831.96840553431</v>
      </c>
      <c r="H12" s="95">
        <f>(VLOOKUP($A12,Data!$D$64:$M$112,5,FALSE)+VLOOKUP($A12,Data!$D$64:$M$112,8,FALSE))*VLOOKUP($A12,'VKT US'!$B$63:$AB$113,27,FALSE)*CONVERT(0.9072,"g","ton")*m2k</f>
        <v>91.33427181153597</v>
      </c>
      <c r="I12" s="92"/>
      <c r="J12" s="144">
        <f>VLOOKUP($A12,'TCO Inputs'!$A$3:$AG$53,11,FALSE)</f>
        <v>40967.546942691188</v>
      </c>
      <c r="K12" s="65">
        <f>VLOOKUP($A12,'TCO Inputs'!$A$3:$AG$53,15,FALSE)</f>
        <v>14383.856747221771</v>
      </c>
      <c r="L12" s="65">
        <f>VLOOKUP($A12,'TCO Inputs'!$A$3:$AG$53,19,FALSE)</f>
        <v>19465.459559018524</v>
      </c>
      <c r="M12" s="65">
        <f>VLOOKUP($A12,'TCO Inputs'!$A$3:$AG$53,23,FALSE)</f>
        <v>36795.9150833983</v>
      </c>
      <c r="N12" s="65">
        <f>VLOOKUP($A12,'TCO Inputs'!$A$3:$AG$53,27,FALSE)</f>
        <v>0</v>
      </c>
      <c r="O12" s="65">
        <f>VLOOKUP($A12,'TCO Inputs'!$A$3:$AG$53,31,FALSE)</f>
        <v>111612.77833232978</v>
      </c>
      <c r="P12" s="7">
        <f>VLOOKUP($A12,_xlfn.IFS('Scenario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analysis'!$Q$121:$R$126),2,FALSE)+VLOOKUP($A12,Data!$D$64:$F$114,3,FALSE)*VLOOKUP($A12,'VKT US'!$B$63:$AB$113,27,FALSE)*m2k*CONVERT(0.9072,"g","ton")</f>
        <v>38.797570544861593</v>
      </c>
      <c r="Q12" s="95">
        <f t="shared" si="3"/>
        <v>52.536701266674378</v>
      </c>
      <c r="R12" s="60">
        <f t="shared" si="4"/>
        <v>1780.8099267954676</v>
      </c>
      <c r="S12" s="144">
        <f>VLOOKUP($A12,'TCO Inputs'!$A$3:$AG$53,12,FALSE)</f>
        <v>25202.087524607668</v>
      </c>
      <c r="T12" s="65">
        <f>VLOOKUP($A12,'TCO Inputs'!$A$3:$AG$53,16,FALSE)</f>
        <v>14215.526287899591</v>
      </c>
      <c r="U12" s="65">
        <f>VLOOKUP($A12,'TCO Inputs'!$A$3:$AG$53,20,FALSE)</f>
        <v>28732.614565476091</v>
      </c>
      <c r="V12" s="65">
        <f>VLOOKUP($A12,'TCO Inputs'!$A$3:$AG$53,24,FALSE)</f>
        <v>33075.505821454004</v>
      </c>
      <c r="W12" s="65">
        <f>VLOOKUP($A12,'TCO Inputs'!$A$3:$AG$53,28,FALSE)</f>
        <v>0</v>
      </c>
      <c r="X12" s="65">
        <f>VLOOKUP($A12,'TCO Inputs'!$A$3:$AG$53,32,FALSE)</f>
        <v>101225.73419943736</v>
      </c>
      <c r="Y12" s="7">
        <f>(VLOOKUP($A12,Data!$D$64:$M$112,4,FALSE)+VLOOKUP($A12,Data!$D$64:$M$112,7,FALSE))*VLOOKUP($A12,'VKT US'!$B$63:$AB$113,27,FALSE)*CONVERT(0.9072,"g","ton")*m2k</f>
        <v>60.29990334423087</v>
      </c>
      <c r="Z12" s="95">
        <f t="shared" si="5"/>
        <v>31.0343684673051</v>
      </c>
      <c r="AA12" s="118">
        <f t="shared" si="6"/>
        <v>-8606.2342060969531</v>
      </c>
      <c r="AB12" s="144">
        <f>VLOOKUP($A12,'TCO Inputs'!$A$3:$AG$53,13,FALSE)</f>
        <v>28460.759801658827</v>
      </c>
      <c r="AC12" s="65">
        <f>VLOOKUP($A12,'TCO Inputs'!$A$3:$AG$53,17,FALSE)</f>
        <v>21679.92418468749</v>
      </c>
      <c r="AD12" s="65">
        <f>VLOOKUP($A12,'TCO Inputs'!$A$3:$AG$53,21,FALSE)</f>
        <v>28732.614565476091</v>
      </c>
      <c r="AE12" s="65">
        <f>VLOOKUP($A12,'TCO Inputs'!$A$3:$AG$53,25,FALSE)</f>
        <v>33336.675821454002</v>
      </c>
      <c r="AF12" s="65">
        <f>VLOOKUP($A12,'TCO Inputs'!$A$3:$AG$53,29,FALSE)</f>
        <v>0</v>
      </c>
      <c r="AG12" s="65">
        <f>VLOOKUP($A12,'TCO Inputs'!$A$3:$AG$53,33,FALSE)</f>
        <v>112209.9743732764</v>
      </c>
      <c r="AH12" s="7">
        <f>(VLOOKUP($A12,Data!$D$64:$M$112,9,FALSE)+VLOOKUP($A12,Data!$D$64:$M$112,10,FALSE))*VLOOKUP($A12,'VKT US'!$B$63:$AB$113,27,FALSE)*CONVERT(0.9072,"g","ton")*m2k</f>
        <v>43.104481169997705</v>
      </c>
      <c r="AI12" s="95">
        <f t="shared" si="7"/>
        <v>48.229790641538266</v>
      </c>
      <c r="AJ12" s="186">
        <f t="shared" si="8"/>
        <v>2378.0059677420941</v>
      </c>
      <c r="AK12" s="188">
        <f>VLOOKUP($A12,'TCO Inputs'!$A$3:$AT$53,40,FALSE)</f>
        <v>30376.676612640622</v>
      </c>
      <c r="AL12" s="188">
        <f>VLOOKUP($A12,'TCO Inputs'!$A$3:$AT$53,41,FALSE)</f>
        <v>13494.167879303932</v>
      </c>
      <c r="AM12" s="188">
        <f>VLOOKUP($A12,'TCO Inputs'!$A$3:$AT$53,42,FALSE)</f>
        <v>27685.994104483543</v>
      </c>
      <c r="AN12" s="188">
        <f>VLOOKUP($A12,'TCO Inputs'!$A$3:$AT$53,43,FALSE)</f>
        <v>36089.265083398299</v>
      </c>
      <c r="AO12" s="188">
        <f>VLOOKUP($A12,'TCO Inputs'!$A$3:$AT$53,44,FALSE)</f>
        <v>0</v>
      </c>
      <c r="AP12" s="188">
        <f>VLOOKUP($A12,'TCO Inputs'!$A$3:$AT$53,45,FALSE)</f>
        <v>107646.1036798264</v>
      </c>
      <c r="AQ12" s="96">
        <f>(VLOOKUP($A12,Data!$D$64:$O$114,11,FALSE)+VLOOKUP($A12,'Fuel economy adjusted factor'!$A$2:$L$52,12,FALSE)*(1-'TCO Inputs'!$BD$9))*VLOOKUP($A12,'VKT US'!$B$63:$AB$113,27,FALSE)*CONVERT(0.9072,"g","ton")*m2k+VLOOKUP($A12,'US Grid mix, emissions&amp;prices'!$H$224:$AK$274,30,FALSE)</f>
        <v>47.141937629471364</v>
      </c>
      <c r="AR12" s="96">
        <f t="shared" si="9"/>
        <v>44.192334182064606</v>
      </c>
      <c r="AS12" s="60">
        <f>VLOOKUP($A12,'TCO Inputs'!$A$3:$AT$53,46,FALSE)</f>
        <v>-2185.8647257079137</v>
      </c>
      <c r="AT12" s="98">
        <f>(VLOOKUP($A12,Data!$D$64:$M$112,5,FALSE)+VLOOKUP($A12,Data!$D$64:$M$112,8,FALSE))*VLOOKUP($A12,'VKT US'!$B$63:$AB$113,2,FALSE)*CONVERT(0.9072,"g","ton")*m2k*VLOOKUP($A12,'VKT US'!$F$5:$S$56,11,FALSE)/1000000</f>
        <v>64.735690524126781</v>
      </c>
      <c r="AU12" s="98">
        <f>(VLOOKUP($A12,Data!$D$64:$F$114,3,FALSE)+VLOOKUP($A12,Data!$D$64:$I$114,6,FALSE))*VLOOKUP($A12,'VKT US'!$B$63:$AB$113,2,FALSE)*m2k*CONVERT(0.9072,"g","ton")*VLOOKUP($A12,'VKT US'!$F$5:$S$56,2,FALSE)/1000000</f>
        <v>0.37840103312904527</v>
      </c>
      <c r="AV12" s="98">
        <f>(VLOOKUP($A12,Data!$D$64:$M$112,4,FALSE)+VLOOKUP($A12,Data!$D$64:$M$112,7,FALSE))*VLOOKUP($A12,'VKT US'!$B$63:$AB$113,2,FALSE)*CONVERT(0.9072,"g","ton")*m2k*VLOOKUP($A12,'VKT US'!$F$5:$S$56,4,FALSE)/1000000</f>
        <v>0.90743979558058352</v>
      </c>
      <c r="AW12" s="98">
        <f>(VLOOKUP($A12,Data!$D$64:$M$112,9,FALSE)+VLOOKUP($A12,Data!$D$64:$M$112,10,FALSE))*VLOOKUP($A12,'VKT US'!$B$63:$AB$113,2,FALSE)*CONVERT(0.9072,"g","ton")*m2k*VLOOKUP($A12,'VKT US'!$F$5:$S$56,9,FALSE)/1000000</f>
        <v>0</v>
      </c>
      <c r="AX12" s="98">
        <f>H12*VLOOKUP($A12,'VKT US'!$F$5:$S$56,11,FALSE)/1000000</f>
        <v>754.09228178476565</v>
      </c>
      <c r="AY12" s="98">
        <f>P12*VLOOKUP($A12,'VKT US'!$F$5:$S$56,2,FALSE)/1000000</f>
        <v>3.5848955183452111</v>
      </c>
      <c r="AZ12" s="98">
        <f>Y12*VLOOKUP($A12,'VKT US'!$F$5:$S$56,4,FALSE)/1000000</f>
        <v>10.570573056243671</v>
      </c>
      <c r="BA12" s="98">
        <f>AH12*VLOOKUP($A12,'VKT US'!$F$5:$S$56,9,FALSE)/1000000</f>
        <v>0</v>
      </c>
      <c r="BB12" s="79">
        <f>VLOOKUP($A12,Data!$D$64:$M$112,4,FALSE)+VLOOKUP($A12,Data!$D$64:$M$112,7,FALSE)-(VLOOKUP($A12,Data!$D$64:$F$114,3,FALSE)+VLOOKUP($A12,Data!$D$64:$I$114,6,FALSE))</f>
        <v>32.496747690445034</v>
      </c>
      <c r="BC12" s="10">
        <f>(Y12-P12)*VLOOKUP($A12,'VKT US'!$F$5:$S$56,14,FALSE)/1000000*'Scenario analysis'!$E$4</f>
        <v>207.33409378463833</v>
      </c>
      <c r="BD12" s="10">
        <f>P12*VLOOKUP($A12,'VKT US'!$F$5:$S$56,14,FALSE)/1000000*'Scenario analysis'!$E$4</f>
        <v>374.10169422177347</v>
      </c>
      <c r="BE12" s="79">
        <f>(VLOOKUP($A12,Data!$D$64:$M$114,4,FALSE)+VLOOKUP($A12,Data!$D$64:$M$114,7,FALSE)-(VLOOKUP($A12,Data!$D$64:$F$114,3,FALSE)+VLOOKUP($A12,Data!$D$64:$I$114,6,FALSE)))*VLOOKUP($A12,'VKT US'!$B$63:$AB$113,2,FALSE)*CONVERT(0.9072,"g","ton")*m2k*VLOOKUP($A12,'VKT US'!$F$5:$S$56,14,FALSE)/1000000*'Scenario analysis'!$E$4</f>
        <v>10.425815981889304</v>
      </c>
      <c r="BF12" s="79">
        <f>(VLOOKUP($A12,Data!$D$64:$F$114,3,FALSE)+VLOOKUP($A12,Data!$D$64:$I$114,6,FALSE))*VLOOKUP($A12,'VKT US'!$B$63:$AB$113,2,FALSE)*CONVERT(0.9072,"g","ton")*m2k*VLOOKUP($A12,'VKT US'!$F$5:$S$56,14,FALSE)/1000000*'Scenario analysis'!$E$4</f>
        <v>39.488031621682971</v>
      </c>
      <c r="BG12" s="79">
        <f>(VLOOKUP($A12,Data!$D$64:$M$114,4,FALSE)+VLOOKUP($A12,Data!$D$64:$M$114,7,FALSE))*VLOOKUP($A12,'VKT US'!$B$63:$AB$113,2,FALSE)*CONVERT(0.9072,"g","ton")*m2k*VLOOKUP($A12,'VKT US'!$F$5:$S$56,14,FALSE)/1000000*'Scenario analysis'!$E$4</f>
        <v>49.913847603572272</v>
      </c>
      <c r="BH12" s="79">
        <f t="shared" si="0"/>
        <v>21.502332799369277</v>
      </c>
      <c r="BI12" s="96">
        <f t="shared" si="1"/>
        <v>483.06591800109715</v>
      </c>
      <c r="BJ12" s="191">
        <f t="shared" si="2"/>
        <v>10387.044132892421</v>
      </c>
      <c r="BK12" s="191">
        <f>(VLOOKUP($A12,'US Grid mix, emissions&amp;prices'!$H$169:$AK$219,30,FALSE)+VLOOKUP($A12,Data!$D$64:$F$114,3,FALSE)*VLOOKUP($A12,'VKT US'!$B$63:$AB$113,27,FALSE)*m2k*CONVERT(0.9072,"g","ton"))*VLOOKUP($A12,'VKT US'!$F$5:$S$56,14,FALSE)/1000000</f>
        <v>374.10169422177347</v>
      </c>
      <c r="BL12" s="191">
        <f>P12*VLOOKUP($A12,'VKT US'!$F$5:$S$56,14,FALSE)/1000000-BK12</f>
        <v>0</v>
      </c>
      <c r="BM12" s="191">
        <v>35.263611807026372</v>
      </c>
      <c r="BN12" s="191">
        <v>5.0510771005414057</v>
      </c>
      <c r="BO12" s="191" cm="1">
        <f t="array" ref="BO12">_xlfn.IFS(AND(Q12&gt;0,R12&gt;0),R12/Q12,AND(Q12&gt;0,R12&lt;=0),-R12/Q12,Q12&lt;=0,0)</f>
        <v>33.896493001266705</v>
      </c>
      <c r="BP12" s="212" cm="1">
        <f t="array" ref="BP12">_xlfn.IFS(AND(Z12&gt;0,AA12&gt;0),AA12/Z12,AND(Z12&gt;0,AA12&lt;=0),AA12/Z12,Z12&lt;=0,0)</f>
        <v>-277.31301235156997</v>
      </c>
      <c r="BQ12" s="191">
        <f>P12*1000000/(VLOOKUP($A12,'VKT US'!$B$63:$AB$113,27,FALSE)*m2k)</f>
        <v>100.10277402775255</v>
      </c>
      <c r="BR12" s="191">
        <f>Y12*1000000/(VLOOKUP($A12,'VKT US'!$B$63:$AB$113,27,FALSE)*m2k)</f>
        <v>155.58158703218865</v>
      </c>
      <c r="BS12" s="191">
        <f>H12*1000000/(VLOOKUP($A12,'VKT US'!$B$63:$AB$113,27,FALSE)*m2k)</f>
        <v>235.65429081616563</v>
      </c>
      <c r="BT12" s="95"/>
      <c r="BU12" s="10">
        <f t="shared" si="10"/>
        <v>98050.523542576251</v>
      </c>
      <c r="BV12" s="10">
        <f t="shared" si="11"/>
        <v>107341.56748661415</v>
      </c>
      <c r="BW12" s="10">
        <f t="shared" si="12"/>
        <v>91222.648207705992</v>
      </c>
      <c r="BX12" s="10">
        <f t="shared" si="13"/>
        <v>99790.149589169916</v>
      </c>
      <c r="BY12" s="53">
        <f t="shared" si="14"/>
        <v>101100.40929383134</v>
      </c>
      <c r="BZ12" s="79">
        <f t="shared" si="15"/>
        <v>38.44404962980262</v>
      </c>
      <c r="CA12" s="96">
        <f>VLOOKUP($A12,'TCO Inputs'!$Y$114:$AT$164,22,FALSE)</f>
        <v>84008.128237828787</v>
      </c>
      <c r="CB12" s="211">
        <f>CA12*VLOOKUP($A12,'VKT US'!$F$5:$S$56,14,FALSE)/(10^9)</f>
        <v>810.03997572044034</v>
      </c>
    </row>
    <row r="13" spans="1:80" x14ac:dyDescent="0.25">
      <c r="A13" s="83" t="s">
        <v>233</v>
      </c>
      <c r="B13" s="150">
        <f>VLOOKUP($A13,'TCO Inputs'!$A$3:$AG$53,10,FALSE)</f>
        <v>23731.611795719989</v>
      </c>
      <c r="C13" s="71">
        <f>VLOOKUP($A13,'TCO Inputs'!$A$3:$AG$53,14,FALSE)</f>
        <v>20333.109927887934</v>
      </c>
      <c r="D13" s="71">
        <f>VLOOKUP($A13,'TCO Inputs'!$A$3:$AG$53,18,FALSE)</f>
        <v>19928.390930911071</v>
      </c>
      <c r="E13" s="71">
        <f>VLOOKUP($A13,'TCO Inputs'!$A$3:$AG$53,22,FALSE)</f>
        <v>21458.784142245531</v>
      </c>
      <c r="F13" s="71">
        <f>VLOOKUP($A13,'TCO Inputs'!$A$3:$AG$53,26,FALSE)</f>
        <v>0</v>
      </c>
      <c r="G13" s="65">
        <f>VLOOKUP($A13,'TCO Inputs'!$A$3:$AG$53,30,FALSE)</f>
        <v>85451.896796764515</v>
      </c>
      <c r="H13" s="95">
        <f>(VLOOKUP($A13,Data!$D$64:$M$114,5,FALSE)+VLOOKUP($A13,Data!$D$64:$M$114,8,FALSE))*VLOOKUP($A13,'VKT US'!$B$63:$AB$113,27,FALSE)*CONVERT(0.9072,"g","ton")*m2k</f>
        <v>58.379351301287684</v>
      </c>
      <c r="I13" s="92"/>
      <c r="J13" s="144">
        <f>VLOOKUP($A13,'TCO Inputs'!$A$3:$AG$53,11,FALSE)</f>
        <v>40967.546942691188</v>
      </c>
      <c r="K13" s="65">
        <f>VLOOKUP($A13,'TCO Inputs'!$A$3:$AG$53,15,FALSE)</f>
        <v>20636.796898384873</v>
      </c>
      <c r="L13" s="65">
        <f>VLOOKUP($A13,'TCO Inputs'!$A$3:$AG$53,19,FALSE)</f>
        <v>12409.310097404199</v>
      </c>
      <c r="M13" s="65">
        <f>VLOOKUP($A13,'TCO Inputs'!$A$3:$AG$53,23,FALSE)</f>
        <v>25555.792164025879</v>
      </c>
      <c r="N13" s="65">
        <f>VLOOKUP($A13,'TCO Inputs'!$A$3:$AG$53,27,FALSE)</f>
        <v>0</v>
      </c>
      <c r="O13" s="65">
        <f>VLOOKUP($A13,'TCO Inputs'!$A$3:$AG$53,31,FALSE)</f>
        <v>99569.446102506132</v>
      </c>
      <c r="P13" s="7">
        <f>VLOOKUP($A13,_xlfn.IFS('Scenario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analysis'!$Q$121:$R$126),2,FALSE)+VLOOKUP($A13,Data!$D$64:$F$114,3,FALSE)*VLOOKUP($A13,'VKT US'!$B$63:$AB$113,27,FALSE)*m2k*CONVERT(0.9072,"g","ton")</f>
        <v>43.236549437358725</v>
      </c>
      <c r="Q13" s="95">
        <f t="shared" si="3"/>
        <v>15.142801863928959</v>
      </c>
      <c r="R13" s="60">
        <f t="shared" si="4"/>
        <v>14117.549305741617</v>
      </c>
      <c r="S13" s="144">
        <f>VLOOKUP($A13,'TCO Inputs'!$A$3:$AG$53,12,FALSE)</f>
        <v>25202.087524607668</v>
      </c>
      <c r="T13" s="65">
        <f>VLOOKUP($A13,'TCO Inputs'!$A$3:$AG$53,16,FALSE)</f>
        <v>12512.683032546422</v>
      </c>
      <c r="U13" s="65">
        <f>VLOOKUP($A13,'TCO Inputs'!$A$3:$AG$53,20,FALSE)</f>
        <v>18317.159323731019</v>
      </c>
      <c r="V13" s="65">
        <f>VLOOKUP($A13,'TCO Inputs'!$A$3:$AG$53,24,FALSE)</f>
        <v>22361.61850576002</v>
      </c>
      <c r="W13" s="65">
        <f>VLOOKUP($A13,'TCO Inputs'!$A$3:$AG$53,28,FALSE)</f>
        <v>0</v>
      </c>
      <c r="X13" s="65">
        <f>VLOOKUP($A13,'TCO Inputs'!$A$3:$AG$53,32,FALSE)</f>
        <v>78393.548386645125</v>
      </c>
      <c r="Y13" s="7">
        <f>(VLOOKUP($A13,Data!$D$64:$M$114,4,FALSE)+VLOOKUP($A13,Data!$D$64:$M$114,7,FALSE))*VLOOKUP($A13,'VKT US'!$B$63:$AB$113,27,FALSE)*CONVERT(0.9072,"g","ton")*m2k</f>
        <v>38.536045374632359</v>
      </c>
      <c r="Z13" s="95">
        <f t="shared" si="5"/>
        <v>19.843305926655326</v>
      </c>
      <c r="AA13" s="118">
        <f t="shared" si="6"/>
        <v>-7058.3484101193899</v>
      </c>
      <c r="AB13" s="144">
        <f>VLOOKUP($A13,'TCO Inputs'!$A$3:$AG$53,13,FALSE)</f>
        <v>28460.759801658827</v>
      </c>
      <c r="AC13" s="65">
        <f>VLOOKUP($A13,'TCO Inputs'!$A$3:$AG$53,17,FALSE)</f>
        <v>13861.810385658273</v>
      </c>
      <c r="AD13" s="65">
        <f>VLOOKUP($A13,'TCO Inputs'!$A$3:$AG$53,21,FALSE)</f>
        <v>18317.159323731019</v>
      </c>
      <c r="AE13" s="65">
        <f>VLOOKUP($A13,'TCO Inputs'!$A$3:$AG$53,25,FALSE)</f>
        <v>22510.858505760018</v>
      </c>
      <c r="AF13" s="65">
        <f>VLOOKUP($A13,'TCO Inputs'!$A$3:$AG$53,29,FALSE)</f>
        <v>0</v>
      </c>
      <c r="AG13" s="65">
        <f>VLOOKUP($A13,'TCO Inputs'!$A$3:$AG$53,33,FALSE)</f>
        <v>83150.588016808135</v>
      </c>
      <c r="AH13" s="7">
        <f>(VLOOKUP($A13,Data!$D$64:$M$114,9,FALSE)+VLOOKUP($A13,Data!$D$64:$M$114,10,FALSE))*VLOOKUP($A13,'VKT US'!$B$63:$AB$113,27,FALSE)*CONVERT(0.9072,"g","ton")*m2k</f>
        <v>27.47928307597541</v>
      </c>
      <c r="AI13" s="95">
        <f t="shared" si="7"/>
        <v>30.900068225312275</v>
      </c>
      <c r="AJ13" s="186">
        <f t="shared" si="8"/>
        <v>-2301.30877995638</v>
      </c>
      <c r="AK13" s="188">
        <f>VLOOKUP($A13,'TCO Inputs'!$A$3:$AT$53,40,FALSE)</f>
        <v>30376.676612640622</v>
      </c>
      <c r="AL13" s="188">
        <f>VLOOKUP($A13,'TCO Inputs'!$A$3:$AT$53,41,FALSE)</f>
        <v>15721.41132650172</v>
      </c>
      <c r="AM13" s="188">
        <f>VLOOKUP($A13,'TCO Inputs'!$A$3:$AT$53,42,FALSE)</f>
        <v>17649.934498374801</v>
      </c>
      <c r="AN13" s="188">
        <f>VLOOKUP($A13,'TCO Inputs'!$A$3:$AT$53,43,FALSE)</f>
        <v>25151.99216402588</v>
      </c>
      <c r="AO13" s="188">
        <f>VLOOKUP($A13,'TCO Inputs'!$A$3:$AT$53,44,FALSE)</f>
        <v>0</v>
      </c>
      <c r="AP13" s="188">
        <f>VLOOKUP($A13,'TCO Inputs'!$A$3:$AT$53,45,FALSE)</f>
        <v>88900.014601543022</v>
      </c>
      <c r="AQ13" s="96">
        <f>(VLOOKUP($A13,Data!$D$64:$O$114,11,FALSE)+VLOOKUP($A13,'Fuel economy adjusted factor'!$A$2:$L$52,12,FALSE)*(1-'TCO Inputs'!$BD$9))*VLOOKUP($A13,'VKT US'!$B$63:$AB$113,27,FALSE)*CONVERT(0.9072,"g","ton")*m2k+VLOOKUP($A13,'US Grid mix, emissions&amp;prices'!$H$224:$AK$274,30,FALSE)</f>
        <v>39.720012540494892</v>
      </c>
      <c r="AR13" s="96">
        <f t="shared" si="9"/>
        <v>18.659338760792792</v>
      </c>
      <c r="AS13" s="60">
        <f>VLOOKUP($A13,'TCO Inputs'!$A$3:$AT$53,46,FALSE)</f>
        <v>3448.117804778507</v>
      </c>
      <c r="AT13" s="98">
        <f>(VLOOKUP($A13,Data!$D$64:$M$114,5,FALSE)+VLOOKUP($A13,Data!$D$64:$M$114,8,FALSE))*VLOOKUP($A13,'VKT US'!$B$63:$AB$113,2,FALSE)*CONVERT(0.9072,"g","ton")*m2k*VLOOKUP($A13,'VKT US'!$F$5:$S$56,11,FALSE)/1000000</f>
        <v>4.7660552326699523</v>
      </c>
      <c r="AU13" s="98">
        <f>(VLOOKUP($A13,Data!$D$64:$F$114,3,FALSE)+VLOOKUP($A13,Data!$D$64:$I$114,6,FALSE))*VLOOKUP($A13,'VKT US'!$B$63:$AB$113,2,FALSE)*m2k*CONVERT(0.9072,"g","ton")*VLOOKUP($A13,'VKT US'!$F$5:$S$56,2,FALSE)/1000000</f>
        <v>0.12191878258757735</v>
      </c>
      <c r="AV13" s="98">
        <f>(VLOOKUP($A13,Data!$D$64:$M$114,4,FALSE)+VLOOKUP($A13,Data!$D$64:$M$114,7,FALSE))*VLOOKUP($A13,'VKT US'!$B$63:$AB$113,2,FALSE)*CONVERT(0.9072,"g","ton")*m2k*VLOOKUP($A13,'VKT US'!$F$5:$S$56,4,FALSE)/1000000</f>
        <v>0.12041700394319767</v>
      </c>
      <c r="AW13" s="98">
        <f>(VLOOKUP($A13,Data!$D$64:$M$114,9,FALSE)+VLOOKUP($A13,Data!$D$64:$M$114,10,FALSE))*VLOOKUP($A13,'VKT US'!$B$63:$AB$113,2,FALSE)*CONVERT(0.9072,"g","ton")*m2k*VLOOKUP($A13,'VKT US'!$F$5:$S$56,9,FALSE)/1000000</f>
        <v>0</v>
      </c>
      <c r="AX13" s="98">
        <f>H13*VLOOKUP($A13,'VKT US'!$F$5:$S$56,11,FALSE)/1000000</f>
        <v>55.518763087524583</v>
      </c>
      <c r="AY13" s="98">
        <f>P13*VLOOKUP($A13,'VKT US'!$F$5:$S$56,2,FALSE)/1000000</f>
        <v>1.1068556655963835</v>
      </c>
      <c r="AZ13" s="98">
        <f>Y13*VLOOKUP($A13,'VKT US'!$F$5:$S$56,4,FALSE)/1000000</f>
        <v>1.4027120516366178</v>
      </c>
      <c r="BA13" s="98">
        <f>AH13*VLOOKUP($A13,'VKT US'!$F$5:$S$56,9,FALSE)/1000000</f>
        <v>0</v>
      </c>
      <c r="BB13" s="79">
        <f>VLOOKUP($A13,Data!$D$64:$M$114,4,FALSE)+VLOOKUP($A13,Data!$D$64:$M$114,7,FALSE)-(VLOOKUP($A13,Data!$D$64:$F$114,3,FALSE)+VLOOKUP($A13,Data!$D$64:$I$114,6,FALSE))</f>
        <v>-68.562070345041548</v>
      </c>
      <c r="BC13" s="10">
        <f>(Y13-P13)*VLOOKUP($A13,'VKT US'!$F$5:$S$56,14,FALSE)/1000000*'Scenario analysis'!$E$4</f>
        <v>-5.0770144381507487</v>
      </c>
      <c r="BD13" s="10">
        <f>P13*VLOOKUP($A13,'VKT US'!$F$5:$S$56,14,FALSE)/1000000*'Scenario analysis'!$E$4</f>
        <v>46.699797047291156</v>
      </c>
      <c r="BE13" s="79">
        <f>(VLOOKUP($A13,Data!$D$64:$M$114,4,FALSE)+VLOOKUP($A13,Data!$D$64:$M$114,7,FALSE)-(VLOOKUP($A13,Data!$D$64:$F$114,3,FALSE)+VLOOKUP($A13,Data!$D$64:$I$114,6,FALSE)))*VLOOKUP($A13,'VKT US'!$B$63:$AB$113,2,FALSE)*CONVERT(0.9072,"g","ton")*m2k*VLOOKUP($A13,'VKT US'!$F$5:$S$56,14,FALSE)/1000000*'Scenario analysis'!$E$4</f>
        <v>-1.5707818648049403</v>
      </c>
      <c r="BF13" s="79">
        <f>(VLOOKUP($A13,Data!$D$64:$F$114,3,FALSE)+VLOOKUP($A13,Data!$D$64:$I$114,6,FALSE))*VLOOKUP($A13,'VKT US'!$B$63:$AB$113,2,FALSE)*CONVERT(0.9072,"g","ton")*m2k*VLOOKUP($A13,'VKT US'!$F$5:$S$56,14,FALSE)/1000000*'Scenario analysis'!$E$4</f>
        <v>5.1439248856579027</v>
      </c>
      <c r="BG13" s="79">
        <f>(VLOOKUP($A13,Data!$D$64:$M$114,4,FALSE)+VLOOKUP($A13,Data!$D$64:$M$114,7,FALSE))*VLOOKUP($A13,'VKT US'!$B$63:$AB$113,2,FALSE)*CONVERT(0.9072,"g","ton")*m2k*VLOOKUP($A13,'VKT US'!$F$5:$S$56,14,FALSE)/1000000*'Scenario analysis'!$E$4</f>
        <v>3.5731430208529615</v>
      </c>
      <c r="BH13" s="79">
        <f t="shared" si="0"/>
        <v>-4.7005040627263668</v>
      </c>
      <c r="BI13" s="96">
        <f t="shared" si="1"/>
        <v>-4505.0269999295888</v>
      </c>
      <c r="BJ13" s="191">
        <f t="shared" si="2"/>
        <v>21175.897715861007</v>
      </c>
      <c r="BK13" s="191">
        <f>(VLOOKUP($A13,'US Grid mix, emissions&amp;prices'!$H$169:$AK$219,30,FALSE)+VLOOKUP($A13,Data!$D$64:$F$114,3,FALSE)*VLOOKUP($A13,'VKT US'!$B$63:$AB$113,27,FALSE)*m2k*CONVERT(0.9072,"g","ton"))*VLOOKUP($A13,'VKT US'!$F$5:$S$56,14,FALSE)/1000000</f>
        <v>46.699797047291156</v>
      </c>
      <c r="BL13" s="191">
        <f>P13*VLOOKUP($A13,'VKT US'!$F$5:$S$56,14,FALSE)/1000000-BK13</f>
        <v>0</v>
      </c>
      <c r="BM13" s="191">
        <v>4.4936471570032079</v>
      </c>
      <c r="BN13" s="191">
        <v>0.7775275868188789</v>
      </c>
      <c r="BO13" s="191" cm="1">
        <f t="array" ref="BO13">_xlfn.IFS(AND(Q13&gt;0,R13&gt;0),R13/Q13,AND(Q13&gt;0,R13&lt;=0),-R13/Q13,Q13&lt;=0,0)</f>
        <v>932.29439522486564</v>
      </c>
      <c r="BP13" s="212" cm="1">
        <f t="array" ref="BP13">_xlfn.IFS(AND(Z13&gt;0,AA13&gt;0),AA13/Z13,AND(Z13&gt;0,AA13&lt;=0),AA13/Z13,Z13&lt;=0,0)</f>
        <v>-355.70425796026137</v>
      </c>
      <c r="BQ13" s="191">
        <f>P13*1000000/(VLOOKUP($A13,'VKT US'!$B$63:$AB$113,27,FALSE)*m2k)</f>
        <v>174.98854997844302</v>
      </c>
      <c r="BR13" s="191">
        <f>Y13*1000000/(VLOOKUP($A13,'VKT US'!$B$63:$AB$113,27,FALSE)*m2k)</f>
        <v>155.96449739311916</v>
      </c>
      <c r="BS13" s="191">
        <f>H13*1000000/(VLOOKUP($A13,'VKT US'!$B$63:$AB$113,27,FALSE)*m2k)</f>
        <v>236.27505353300759</v>
      </c>
      <c r="BT13" s="95"/>
      <c r="BU13" s="10">
        <f t="shared" si="10"/>
        <v>98050.523542576251</v>
      </c>
      <c r="BV13" s="10">
        <f t="shared" si="11"/>
        <v>107341.56748661415</v>
      </c>
      <c r="BW13" s="10">
        <f t="shared" si="12"/>
        <v>91222.648207705992</v>
      </c>
      <c r="BX13" s="10">
        <f t="shared" si="13"/>
        <v>99790.149589169916</v>
      </c>
      <c r="BY13" s="53">
        <f t="shared" si="14"/>
        <v>101100.40929383134</v>
      </c>
      <c r="BZ13" s="79">
        <f t="shared" si="15"/>
        <v>38.44404962980262</v>
      </c>
      <c r="CA13" s="96">
        <f>VLOOKUP($A13,'TCO Inputs'!$Y$114:$AT$164,22,FALSE)</f>
        <v>52685.951452719019</v>
      </c>
      <c r="CB13" s="211">
        <f>CA13*VLOOKUP($A13,'VKT US'!$F$5:$S$56,14,FALSE)/(10^9)</f>
        <v>56.906096164081809</v>
      </c>
    </row>
    <row r="14" spans="1:80" x14ac:dyDescent="0.25">
      <c r="A14" s="83" t="s">
        <v>196</v>
      </c>
      <c r="B14" s="150">
        <f>VLOOKUP($A14,'TCO Inputs'!$A$3:$AG$53,10,FALSE)</f>
        <v>23731.611795719989</v>
      </c>
      <c r="C14" s="71">
        <f>VLOOKUP($A14,'TCO Inputs'!$A$3:$AG$53,14,FALSE)</f>
        <v>20752.238448240365</v>
      </c>
      <c r="D14" s="71">
        <f>VLOOKUP($A14,'TCO Inputs'!$A$3:$AG$53,18,FALSE)</f>
        <v>24581.417868835124</v>
      </c>
      <c r="E14" s="71">
        <f>VLOOKUP($A14,'TCO Inputs'!$A$3:$AG$53,22,FALSE)</f>
        <v>22509.985288214157</v>
      </c>
      <c r="F14" s="71">
        <f>VLOOKUP($A14,'TCO Inputs'!$A$3:$AG$53,26,FALSE)</f>
        <v>0</v>
      </c>
      <c r="G14" s="65">
        <f>VLOOKUP($A14,'TCO Inputs'!$A$3:$AG$53,30,FALSE)</f>
        <v>91575.253401009642</v>
      </c>
      <c r="H14" s="95">
        <f>(VLOOKUP($A14,Data!$D$64:$M$112,5,FALSE)+VLOOKUP($A14,Data!$D$64:$M$112,8,FALSE))*VLOOKUP($A14,'VKT US'!$B$63:$AB$113,27,FALSE)*CONVERT(0.9072,"g","ton")*m2k</f>
        <v>74.469680635410029</v>
      </c>
      <c r="I14" s="92"/>
      <c r="J14" s="144">
        <f>VLOOKUP($A14,'TCO Inputs'!$A$3:$AG$53,11,FALSE)</f>
        <v>40967.546942691188</v>
      </c>
      <c r="K14" s="65">
        <f>VLOOKUP($A14,'TCO Inputs'!$A$3:$AG$53,15,FALSE)</f>
        <v>11538.118984631934</v>
      </c>
      <c r="L14" s="65">
        <f>VLOOKUP($A14,'TCO Inputs'!$A$3:$AG$53,19,FALSE)</f>
        <v>15306.726871515768</v>
      </c>
      <c r="M14" s="65">
        <f>VLOOKUP($A14,'TCO Inputs'!$A$3:$AG$53,23,FALSE)</f>
        <v>26582.992546015419</v>
      </c>
      <c r="N14" s="65">
        <f>VLOOKUP($A14,'TCO Inputs'!$A$3:$AG$53,27,FALSE)</f>
        <v>0</v>
      </c>
      <c r="O14" s="65">
        <f>VLOOKUP($A14,'TCO Inputs'!$A$3:$AG$53,31,FALSE)</f>
        <v>94395.385344854309</v>
      </c>
      <c r="P14" s="7">
        <f>VLOOKUP($A14,_xlfn.IFS('Scenario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analysis'!$Q$121:$R$126),2,FALSE)+VLOOKUP($A14,Data!$D$64:$F$114,3,FALSE)*VLOOKUP($A14,'VKT US'!$B$63:$AB$113,27,FALSE)*m2k*CONVERT(0.9072,"g","ton")</f>
        <v>21.136598175004703</v>
      </c>
      <c r="Q14" s="95">
        <f t="shared" si="3"/>
        <v>53.333082460405322</v>
      </c>
      <c r="R14" s="60">
        <f t="shared" si="4"/>
        <v>2820.1319438446662</v>
      </c>
      <c r="S14" s="144">
        <f>VLOOKUP($A14,'TCO Inputs'!$A$3:$AG$53,12,FALSE)</f>
        <v>25202.087524607668</v>
      </c>
      <c r="T14" s="65">
        <f>VLOOKUP($A14,'TCO Inputs'!$A$3:$AG$53,16,FALSE)</f>
        <v>12770.608275840228</v>
      </c>
      <c r="U14" s="65">
        <f>VLOOKUP($A14,'TCO Inputs'!$A$3:$AG$53,20,FALSE)</f>
        <v>22593.984083695257</v>
      </c>
      <c r="V14" s="65">
        <f>VLOOKUP($A14,'TCO Inputs'!$A$3:$AG$53,24,FALSE)</f>
        <v>23457.046785533385</v>
      </c>
      <c r="W14" s="65">
        <f>VLOOKUP($A14,'TCO Inputs'!$A$3:$AG$53,28,FALSE)</f>
        <v>0</v>
      </c>
      <c r="X14" s="65">
        <f>VLOOKUP($A14,'TCO Inputs'!$A$3:$AG$53,32,FALSE)</f>
        <v>84023.726669676544</v>
      </c>
      <c r="Y14" s="7">
        <f>(VLOOKUP($A14,Data!$D$64:$M$112,4,FALSE)+VLOOKUP($A14,Data!$D$64:$M$112,7,FALSE))*VLOOKUP($A14,'VKT US'!$B$63:$AB$113,27,FALSE)*CONVERT(0.9072,"g","ton")*m2k</f>
        <v>49.050832220596547</v>
      </c>
      <c r="Z14" s="95">
        <f t="shared" si="5"/>
        <v>25.418848414813482</v>
      </c>
      <c r="AA14" s="118">
        <f t="shared" si="6"/>
        <v>-7551.5267313330987</v>
      </c>
      <c r="AB14" s="144">
        <f>VLOOKUP($A14,'TCO Inputs'!$A$3:$AG$53,13,FALSE)</f>
        <v>28460.759801658827</v>
      </c>
      <c r="AC14" s="65">
        <f>VLOOKUP($A14,'TCO Inputs'!$A$3:$AG$53,17,FALSE)</f>
        <v>17752.128698238128</v>
      </c>
      <c r="AD14" s="65">
        <f>VLOOKUP($A14,'TCO Inputs'!$A$3:$AG$53,21,FALSE)</f>
        <v>22593.984083695257</v>
      </c>
      <c r="AE14" s="65">
        <f>VLOOKUP($A14,'TCO Inputs'!$A$3:$AG$53,25,FALSE)</f>
        <v>23680.906785533385</v>
      </c>
      <c r="AF14" s="65">
        <f>VLOOKUP($A14,'TCO Inputs'!$A$3:$AG$53,29,FALSE)</f>
        <v>0</v>
      </c>
      <c r="AG14" s="65">
        <f>VLOOKUP($A14,'TCO Inputs'!$A$3:$AG$53,33,FALSE)</f>
        <v>92487.779369125608</v>
      </c>
      <c r="AH14" s="7">
        <f>(VLOOKUP($A14,Data!$D$64:$M$112,9,FALSE)+VLOOKUP($A14,Data!$D$64:$M$112,10,FALSE))*VLOOKUP($A14,'VKT US'!$B$63:$AB$113,27,FALSE)*CONVERT(0.9072,"g","ton")*m2k</f>
        <v>33.895347716147967</v>
      </c>
      <c r="AI14" s="95">
        <f t="shared" si="7"/>
        <v>40.574332919262062</v>
      </c>
      <c r="AJ14" s="186">
        <f t="shared" si="8"/>
        <v>912.52596811596595</v>
      </c>
      <c r="AK14" s="188">
        <f>VLOOKUP($A14,'TCO Inputs'!$A$3:$AT$53,40,FALSE)</f>
        <v>30376.676612640622</v>
      </c>
      <c r="AL14" s="188">
        <f>VLOOKUP($A14,'TCO Inputs'!$A$3:$AT$53,41,FALSE)</f>
        <v>11457.8471526264</v>
      </c>
      <c r="AM14" s="188">
        <f>VLOOKUP($A14,'TCO Inputs'!$A$3:$AT$53,42,FALSE)</f>
        <v>21770.970710392667</v>
      </c>
      <c r="AN14" s="188">
        <f>VLOOKUP($A14,'TCO Inputs'!$A$3:$AT$53,43,FALSE)</f>
        <v>25977.292546015418</v>
      </c>
      <c r="AO14" s="188">
        <f>VLOOKUP($A14,'TCO Inputs'!$A$3:$AT$53,44,FALSE)</f>
        <v>0</v>
      </c>
      <c r="AP14" s="188">
        <f>VLOOKUP($A14,'TCO Inputs'!$A$3:$AT$53,45,FALSE)</f>
        <v>89582.787021675103</v>
      </c>
      <c r="AQ14" s="96">
        <f>(VLOOKUP($A14,Data!$D$64:$O$114,11,FALSE)+VLOOKUP($A14,'Fuel economy adjusted factor'!$A$2:$L$52,12,FALSE)*(1-'TCO Inputs'!$BD$9))*VLOOKUP($A14,'VKT US'!$B$63:$AB$113,27,FALSE)*CONVERT(0.9072,"g","ton")*m2k+VLOOKUP($A14,'US Grid mix, emissions&amp;prices'!$H$224:$AK$274,30,FALSE)</f>
        <v>32.979156233672192</v>
      </c>
      <c r="AR14" s="96">
        <f t="shared" si="9"/>
        <v>41.490524401737837</v>
      </c>
      <c r="AS14" s="60">
        <f>VLOOKUP($A14,'TCO Inputs'!$A$3:$AT$53,46,FALSE)</f>
        <v>-1992.4663793345389</v>
      </c>
      <c r="AT14" s="98">
        <f>(VLOOKUP($A14,Data!$D$64:$M$112,5,FALSE)+VLOOKUP($A14,Data!$D$64:$M$112,8,FALSE))*VLOOKUP($A14,'VKT US'!$B$63:$AB$113,2,FALSE)*CONVERT(0.9072,"g","ton")*m2k*VLOOKUP($A14,'VKT US'!$F$5:$S$56,11,FALSE)/1000000</f>
        <v>10.027923014837985</v>
      </c>
      <c r="AU14" s="98">
        <f>(VLOOKUP($A14,Data!$D$64:$F$114,3,FALSE)+VLOOKUP($A14,Data!$D$64:$I$114,6,FALSE))*VLOOKUP($A14,'VKT US'!$B$63:$AB$113,2,FALSE)*m2k*CONVERT(0.9072,"g","ton")*VLOOKUP($A14,'VKT US'!$F$5:$S$56,2,FALSE)/1000000</f>
        <v>1.8108733435105301E-2</v>
      </c>
      <c r="AV14" s="98">
        <f>(VLOOKUP($A14,Data!$D$64:$M$112,4,FALSE)+VLOOKUP($A14,Data!$D$64:$M$112,7,FALSE))*VLOOKUP($A14,'VKT US'!$B$63:$AB$113,2,FALSE)*CONVERT(0.9072,"g","ton")*m2k*VLOOKUP($A14,'VKT US'!$F$5:$S$56,4,FALSE)/1000000</f>
        <v>0.18401240705564023</v>
      </c>
      <c r="AW14" s="98">
        <f>(VLOOKUP($A14,Data!$D$64:$M$112,9,FALSE)+VLOOKUP($A14,Data!$D$64:$M$112,10,FALSE))*VLOOKUP($A14,'VKT US'!$B$63:$AB$113,2,FALSE)*CONVERT(0.9072,"g","ton")*m2k*VLOOKUP($A14,'VKT US'!$F$5:$S$56,9,FALSE)/1000000</f>
        <v>0</v>
      </c>
      <c r="AX14" s="98">
        <f>H14*VLOOKUP($A14,'VKT US'!$F$5:$S$56,11,FALSE)/1000000</f>
        <v>116.81314104470417</v>
      </c>
      <c r="AY14" s="98">
        <f>P14*VLOOKUP($A14,'VKT US'!$F$5:$S$56,2,FALSE)/1000000</f>
        <v>0.17966108448753998</v>
      </c>
      <c r="AZ14" s="98">
        <f>Y14*VLOOKUP($A14,'VKT US'!$F$5:$S$56,4,FALSE)/1000000</f>
        <v>2.1435213680400689</v>
      </c>
      <c r="BA14" s="98">
        <f>AH14*VLOOKUP($A14,'VKT US'!$F$5:$S$56,9,FALSE)/1000000</f>
        <v>0</v>
      </c>
      <c r="BB14" s="79">
        <f>VLOOKUP($A14,Data!$D$64:$M$112,4,FALSE)+VLOOKUP($A14,Data!$D$64:$M$112,7,FALSE)-(VLOOKUP($A14,Data!$D$64:$F$114,3,FALSE)+VLOOKUP($A14,Data!$D$64:$I$114,6,FALSE))</f>
        <v>79.512994041702427</v>
      </c>
      <c r="BC14" s="10">
        <f>(Y14-P14)*VLOOKUP($A14,'VKT US'!$F$5:$S$56,14,FALSE)/1000000*'Scenario analysis'!$E$4</f>
        <v>55.119446546425657</v>
      </c>
      <c r="BD14" s="10">
        <f>P14*VLOOKUP($A14,'VKT US'!$F$5:$S$56,14,FALSE)/1000000*'Scenario analysis'!$E$4</f>
        <v>41.736326756364285</v>
      </c>
      <c r="BE14" s="79">
        <f>(VLOOKUP($A14,Data!$D$64:$M$114,4,FALSE)+VLOOKUP($A14,Data!$D$64:$M$114,7,FALSE)-(VLOOKUP($A14,Data!$D$64:$F$114,3,FALSE)+VLOOKUP($A14,Data!$D$64:$I$114,6,FALSE)))*VLOOKUP($A14,'VKT US'!$B$63:$AB$113,2,FALSE)*CONVERT(0.9072,"g","ton")*m2k*VLOOKUP($A14,'VKT US'!$F$5:$S$56,14,FALSE)/1000000*'Scenario analysis'!$E$4</f>
        <v>4.1079005814313252</v>
      </c>
      <c r="BF14" s="79">
        <f>(VLOOKUP($A14,Data!$D$64:$F$114,3,FALSE)+VLOOKUP($A14,Data!$D$64:$I$114,6,FALSE))*VLOOKUP($A14,'VKT US'!$B$63:$AB$113,2,FALSE)*CONVERT(0.9072,"g","ton")*m2k*VLOOKUP($A14,'VKT US'!$F$5:$S$56,14,FALSE)/1000000*'Scenario analysis'!$E$4</f>
        <v>4.2067652989363449</v>
      </c>
      <c r="BG14" s="79">
        <f>(VLOOKUP($A14,Data!$D$64:$M$114,4,FALSE)+VLOOKUP($A14,Data!$D$64:$M$114,7,FALSE))*VLOOKUP($A14,'VKT US'!$B$63:$AB$113,2,FALSE)*CONVERT(0.9072,"g","ton")*m2k*VLOOKUP($A14,'VKT US'!$F$5:$S$56,14,FALSE)/1000000*'Scenario analysis'!$E$4</f>
        <v>8.3146658803676718</v>
      </c>
      <c r="BH14" s="79">
        <f t="shared" si="0"/>
        <v>27.914234045591844</v>
      </c>
      <c r="BI14" s="96">
        <f t="shared" si="1"/>
        <v>371.55447855878515</v>
      </c>
      <c r="BJ14" s="191">
        <f t="shared" si="2"/>
        <v>10371.658675177765</v>
      </c>
      <c r="BK14" s="191">
        <f>(VLOOKUP($A14,'US Grid mix, emissions&amp;prices'!$H$169:$AK$219,30,FALSE)+VLOOKUP($A14,Data!$D$64:$F$114,3,FALSE)*VLOOKUP($A14,'VKT US'!$B$63:$AB$113,27,FALSE)*m2k*CONVERT(0.9072,"g","ton"))*VLOOKUP($A14,'VKT US'!$F$5:$S$56,14,FALSE)/1000000</f>
        <v>41.736326756364285</v>
      </c>
      <c r="BL14" s="191">
        <f>P14*VLOOKUP($A14,'VKT US'!$F$5:$S$56,14,FALSE)/1000000-BK14</f>
        <v>0</v>
      </c>
      <c r="BM14" s="191">
        <v>3.8493089072129205</v>
      </c>
      <c r="BN14" s="191">
        <v>0.42740538911687587</v>
      </c>
      <c r="BO14" s="191" cm="1">
        <f t="array" ref="BO14">_xlfn.IFS(AND(Q14&gt;0,R14&gt;0),R14/Q14,AND(Q14&gt;0,R14&lt;=0),-R14/Q14,Q14&lt;=0,0)</f>
        <v>52.877722676883387</v>
      </c>
      <c r="BP14" s="212" cm="1">
        <f t="array" ref="BP14">_xlfn.IFS(AND(Z14&gt;0,AA14&gt;0),AA14/Z14,AND(Z14&gt;0,AA14&lt;=0),AA14/Z14,Z14&lt;=0,0)</f>
        <v>-297.08374699352055</v>
      </c>
      <c r="BQ14" s="191">
        <f>P14*1000000/(VLOOKUP($A14,'VKT US'!$B$63:$AB$113,27,FALSE)*m2k)</f>
        <v>69.352001762876199</v>
      </c>
      <c r="BR14" s="191">
        <f>Y14*1000000/(VLOOKUP($A14,'VKT US'!$B$63:$AB$113,27,FALSE)*m2k)</f>
        <v>160.94233208521501</v>
      </c>
      <c r="BS14" s="191">
        <f>H14*1000000/(VLOOKUP($A14,'VKT US'!$B$63:$AB$113,27,FALSE)*m2k)</f>
        <v>244.34496885195364</v>
      </c>
      <c r="BT14" s="95"/>
      <c r="BU14" s="10">
        <f t="shared" si="10"/>
        <v>98050.523542576251</v>
      </c>
      <c r="BV14" s="10">
        <f t="shared" si="11"/>
        <v>107341.56748661415</v>
      </c>
      <c r="BW14" s="10">
        <f t="shared" si="12"/>
        <v>91222.648207705992</v>
      </c>
      <c r="BX14" s="10">
        <f t="shared" si="13"/>
        <v>99790.149589169916</v>
      </c>
      <c r="BY14" s="53">
        <f t="shared" si="14"/>
        <v>101100.40929383134</v>
      </c>
      <c r="BZ14" s="79">
        <f t="shared" si="15"/>
        <v>38.44404962980262</v>
      </c>
      <c r="CA14" s="96">
        <f>VLOOKUP($A14,'TCO Inputs'!$Y$114:$AT$164,22,FALSE)</f>
        <v>77101.620156320365</v>
      </c>
      <c r="CB14" s="211">
        <f>CA14*VLOOKUP($A14,'VKT US'!$F$5:$S$56,14,FALSE)/(10^9)</f>
        <v>152.24485916067019</v>
      </c>
    </row>
    <row r="15" spans="1:80" x14ac:dyDescent="0.25">
      <c r="A15" s="83" t="s">
        <v>197</v>
      </c>
      <c r="B15" s="150">
        <f>VLOOKUP($A15,'TCO Inputs'!$A$3:$AG$53,10,FALSE)</f>
        <v>23731.611795719989</v>
      </c>
      <c r="C15" s="71">
        <f>VLOOKUP($A15,'TCO Inputs'!$A$3:$AG$53,14,FALSE)</f>
        <v>16628.885496526425</v>
      </c>
      <c r="D15" s="71">
        <f>VLOOKUP($A15,'TCO Inputs'!$A$3:$AG$53,18,FALSE)</f>
        <v>21450.982743137592</v>
      </c>
      <c r="E15" s="71">
        <f>VLOOKUP($A15,'TCO Inputs'!$A$3:$AG$53,22,FALSE)</f>
        <v>26669.519073973581</v>
      </c>
      <c r="F15" s="71">
        <f>VLOOKUP($A15,'TCO Inputs'!$A$3:$AG$53,26,FALSE)</f>
        <v>0</v>
      </c>
      <c r="G15" s="65">
        <f>VLOOKUP($A15,'TCO Inputs'!$A$3:$AG$53,30,FALSE)</f>
        <v>88480.999109357595</v>
      </c>
      <c r="H15" s="95">
        <f>(VLOOKUP($A15,Data!$D$64:$M$112,5,FALSE)+VLOOKUP($A15,Data!$D$64:$M$112,8,FALSE))*VLOOKUP($A15,'VKT US'!$B$63:$AB$113,27,FALSE)*CONVERT(0.9072,"g","ton")*m2k</f>
        <v>63.940371306421689</v>
      </c>
      <c r="I15" s="92"/>
      <c r="J15" s="144">
        <f>VLOOKUP($A15,'TCO Inputs'!$A$3:$AG$53,11,FALSE)</f>
        <v>40967.546942691188</v>
      </c>
      <c r="K15" s="65">
        <f>VLOOKUP($A15,'TCO Inputs'!$A$3:$AG$53,15,FALSE)</f>
        <v>11465.750283842508</v>
      </c>
      <c r="L15" s="65">
        <f>VLOOKUP($A15,'TCO Inputs'!$A$3:$AG$53,19,FALSE)</f>
        <v>13357.420459911211</v>
      </c>
      <c r="M15" s="65">
        <f>VLOOKUP($A15,'TCO Inputs'!$A$3:$AG$53,23,FALSE)</f>
        <v>33090.181297638868</v>
      </c>
      <c r="N15" s="65">
        <f>VLOOKUP($A15,'TCO Inputs'!$A$3:$AG$53,27,FALSE)</f>
        <v>0</v>
      </c>
      <c r="O15" s="65">
        <f>VLOOKUP($A15,'TCO Inputs'!$A$3:$AG$53,31,FALSE)</f>
        <v>98880.89898408376</v>
      </c>
      <c r="P15" s="7">
        <f>VLOOKUP($A15,_xlfn.IFS('Scenario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analysis'!$Q$121:$R$126),2,FALSE)+VLOOKUP($A15,Data!$D$64:$F$114,3,FALSE)*VLOOKUP($A15,'VKT US'!$B$63:$AB$113,27,FALSE)*m2k*CONVERT(0.9072,"g","ton")</f>
        <v>21.103183692834492</v>
      </c>
      <c r="Q15" s="95">
        <f t="shared" si="3"/>
        <v>42.837187613587197</v>
      </c>
      <c r="R15" s="60">
        <f t="shared" si="4"/>
        <v>10399.899874726165</v>
      </c>
      <c r="S15" s="144">
        <f>VLOOKUP($A15,'TCO Inputs'!$A$3:$AG$53,12,FALSE)</f>
        <v>25202.087524607668</v>
      </c>
      <c r="T15" s="65">
        <f>VLOOKUP($A15,'TCO Inputs'!$A$3:$AG$53,16,FALSE)</f>
        <v>10233.16030555472</v>
      </c>
      <c r="U15" s="65">
        <f>VLOOKUP($A15,'TCO Inputs'!$A$3:$AG$53,20,FALSE)</f>
        <v>19716.647968160501</v>
      </c>
      <c r="V15" s="65">
        <f>VLOOKUP($A15,'TCO Inputs'!$A$3:$AG$53,24,FALSE)</f>
        <v>27791.584430462535</v>
      </c>
      <c r="W15" s="65">
        <f>VLOOKUP($A15,'TCO Inputs'!$A$3:$AG$53,28,FALSE)</f>
        <v>0</v>
      </c>
      <c r="X15" s="65">
        <f>VLOOKUP($A15,'TCO Inputs'!$A$3:$AG$53,32,FALSE)</f>
        <v>82943.480228785425</v>
      </c>
      <c r="Y15" s="7">
        <f>(VLOOKUP($A15,Data!$D$64:$M$112,4,FALSE)+VLOOKUP($A15,Data!$D$64:$M$112,7,FALSE))*VLOOKUP($A15,'VKT US'!$B$63:$AB$113,27,FALSE)*CONVERT(0.9072,"g","ton")*m2k</f>
        <v>42.15924621696329</v>
      </c>
      <c r="Z15" s="95">
        <f t="shared" si="5"/>
        <v>21.781125089458399</v>
      </c>
      <c r="AA15" s="118">
        <f t="shared" si="6"/>
        <v>-5537.51888057217</v>
      </c>
      <c r="AB15" s="144">
        <f>VLOOKUP($A15,'TCO Inputs'!$A$3:$AG$53,13,FALSE)</f>
        <v>28460.759801658827</v>
      </c>
      <c r="AC15" s="65">
        <f>VLOOKUP($A15,'TCO Inputs'!$A$3:$AG$53,17,FALSE)</f>
        <v>15213.462938395454</v>
      </c>
      <c r="AD15" s="65">
        <f>VLOOKUP($A15,'TCO Inputs'!$A$3:$AG$53,21,FALSE)</f>
        <v>19716.647968160501</v>
      </c>
      <c r="AE15" s="65">
        <f>VLOOKUP($A15,'TCO Inputs'!$A$3:$AG$53,25,FALSE)</f>
        <v>28062.081930462537</v>
      </c>
      <c r="AF15" s="65">
        <f>VLOOKUP($A15,'TCO Inputs'!$A$3:$AG$53,29,FALSE)</f>
        <v>0</v>
      </c>
      <c r="AG15" s="65">
        <f>VLOOKUP($A15,'TCO Inputs'!$A$3:$AG$53,33,FALSE)</f>
        <v>91452.952638677321</v>
      </c>
      <c r="AH15" s="7">
        <f>(VLOOKUP($A15,Data!$D$64:$M$112,9,FALSE)+VLOOKUP($A15,Data!$D$64:$M$112,10,FALSE))*VLOOKUP($A15,'VKT US'!$B$63:$AB$113,27,FALSE)*CONVERT(0.9072,"g","ton")*m2k</f>
        <v>29.578786822283259</v>
      </c>
      <c r="AI15" s="95">
        <f t="shared" si="7"/>
        <v>34.361584484138433</v>
      </c>
      <c r="AJ15" s="186">
        <f t="shared" si="8"/>
        <v>2971.9535293197259</v>
      </c>
      <c r="AK15" s="188">
        <f>VLOOKUP($A15,'TCO Inputs'!$A$3:$AT$53,40,FALSE)</f>
        <v>30376.676612640622</v>
      </c>
      <c r="AL15" s="188">
        <f>VLOOKUP($A15,'TCO Inputs'!$A$3:$AT$53,41,FALSE)</f>
        <v>10230.119727822297</v>
      </c>
      <c r="AM15" s="188">
        <f>VLOOKUP($A15,'TCO Inputs'!$A$3:$AT$53,42,FALSE)</f>
        <v>18998.44506537075</v>
      </c>
      <c r="AN15" s="188">
        <f>VLOOKUP($A15,'TCO Inputs'!$A$3:$AT$53,43,FALSE)</f>
        <v>32358.293797638871</v>
      </c>
      <c r="AO15" s="188">
        <f>VLOOKUP($A15,'TCO Inputs'!$A$3:$AT$53,44,FALSE)</f>
        <v>0</v>
      </c>
      <c r="AP15" s="188">
        <f>VLOOKUP($A15,'TCO Inputs'!$A$3:$AT$53,45,FALSE)</f>
        <v>91963.535203472537</v>
      </c>
      <c r="AQ15" s="96">
        <f>(VLOOKUP($A15,Data!$D$64:$O$114,11,FALSE)+VLOOKUP($A15,'Fuel economy adjusted factor'!$A$2:$L$52,12,FALSE)*(1-'TCO Inputs'!$BD$9))*VLOOKUP($A15,'VKT US'!$B$63:$AB$113,27,FALSE)*CONVERT(0.9072,"g","ton")*m2k+VLOOKUP($A15,'US Grid mix, emissions&amp;prices'!$H$224:$AK$274,30,FALSE)</f>
        <v>29.852740133179871</v>
      </c>
      <c r="AR15" s="96">
        <f t="shared" si="9"/>
        <v>34.087631173241817</v>
      </c>
      <c r="AS15" s="60">
        <f>VLOOKUP($A15,'TCO Inputs'!$A$3:$AT$53,46,FALSE)</f>
        <v>3482.5360941149411</v>
      </c>
      <c r="AT15" s="98">
        <f>(VLOOKUP($A15,Data!$D$64:$M$112,5,FALSE)+VLOOKUP($A15,Data!$D$64:$M$112,8,FALSE))*VLOOKUP($A15,'VKT US'!$B$63:$AB$113,2,FALSE)*CONVERT(0.9072,"g","ton")*m2k*VLOOKUP($A15,'VKT US'!$F$5:$S$56,11,FALSE)/1000000</f>
        <v>46.987617860595911</v>
      </c>
      <c r="AU15" s="98">
        <f>(VLOOKUP($A15,Data!$D$64:$F$114,3,FALSE)+VLOOKUP($A15,Data!$D$64:$I$114,6,FALSE))*VLOOKUP($A15,'VKT US'!$B$63:$AB$113,2,FALSE)*m2k*CONVERT(0.9072,"g","ton")*VLOOKUP($A15,'VKT US'!$F$5:$S$56,2,FALSE)/1000000</f>
        <v>0.21595930309545264</v>
      </c>
      <c r="AV15" s="98">
        <f>(VLOOKUP($A15,Data!$D$64:$M$112,4,FALSE)+VLOOKUP($A15,Data!$D$64:$M$112,7,FALSE))*VLOOKUP($A15,'VKT US'!$B$63:$AB$113,2,FALSE)*CONVERT(0.9072,"g","ton")*m2k*VLOOKUP($A15,'VKT US'!$F$5:$S$56,4,FALSE)/1000000</f>
        <v>1.0329185936433105</v>
      </c>
      <c r="AW15" s="98">
        <f>(VLOOKUP($A15,Data!$D$64:$M$112,9,FALSE)+VLOOKUP($A15,Data!$D$64:$M$112,10,FALSE))*VLOOKUP($A15,'VKT US'!$B$63:$AB$113,2,FALSE)*CONVERT(0.9072,"g","ton")*m2k*VLOOKUP($A15,'VKT US'!$F$5:$S$56,9,FALSE)/1000000</f>
        <v>0</v>
      </c>
      <c r="AX15" s="98">
        <f>H15*VLOOKUP($A15,'VKT US'!$F$5:$S$56,11,FALSE)/1000000</f>
        <v>547.34876049436161</v>
      </c>
      <c r="AY15" s="98">
        <f>P15*VLOOKUP($A15,'VKT US'!$F$5:$S$56,2,FALSE)/1000000</f>
        <v>2.1018770958063153</v>
      </c>
      <c r="AZ15" s="98">
        <f>Y15*VLOOKUP($A15,'VKT US'!$F$5:$S$56,4,FALSE)/1000000</f>
        <v>12.032248870321322</v>
      </c>
      <c r="BA15" s="98">
        <f>AH15*VLOOKUP($A15,'VKT US'!$F$5:$S$56,9,FALSE)/1000000</f>
        <v>0</v>
      </c>
      <c r="BB15" s="79">
        <f>VLOOKUP($A15,Data!$D$64:$M$112,4,FALSE)+VLOOKUP($A15,Data!$D$64:$M$112,7,FALSE)-(VLOOKUP($A15,Data!$D$64:$F$114,3,FALSE)+VLOOKUP($A15,Data!$D$64:$I$114,6,FALSE))</f>
        <v>63.548242083482393</v>
      </c>
      <c r="BC15" s="10">
        <f>(Y15-P15)*VLOOKUP($A15,'VKT US'!$F$5:$S$56,14,FALSE)/1000000*'Scenario analysis'!$E$4</f>
        <v>211.47024714233035</v>
      </c>
      <c r="BD15" s="10">
        <f>P15*VLOOKUP($A15,'VKT US'!$F$5:$S$56,14,FALSE)/1000000*'Scenario analysis'!$E$4</f>
        <v>211.94349446387534</v>
      </c>
      <c r="BE15" s="79">
        <f>(VLOOKUP($A15,Data!$D$64:$M$114,4,FALSE)+VLOOKUP($A15,Data!$D$64:$M$114,7,FALSE)-(VLOOKUP($A15,Data!$D$64:$F$114,3,FALSE)+VLOOKUP($A15,Data!$D$64:$I$114,6,FALSE)))*VLOOKUP($A15,'VKT US'!$B$63:$AB$113,2,FALSE)*CONVERT(0.9072,"g","ton")*m2k*VLOOKUP($A15,'VKT US'!$F$5:$S$56,14,FALSE)/1000000*'Scenario analysis'!$E$4</f>
        <v>14.571981162529855</v>
      </c>
      <c r="BF15" s="79">
        <f>(VLOOKUP($A15,Data!$D$64:$F$114,3,FALSE)+VLOOKUP($A15,Data!$D$64:$I$114,6,FALSE))*VLOOKUP($A15,'VKT US'!$B$63:$AB$113,2,FALSE)*CONVERT(0.9072,"g","ton")*m2k*VLOOKUP($A15,'VKT US'!$F$5:$S$56,14,FALSE)/1000000*'Scenario analysis'!$E$4</f>
        <v>21.77633004867721</v>
      </c>
      <c r="BG15" s="79">
        <f>(VLOOKUP($A15,Data!$D$64:$M$114,4,FALSE)+VLOOKUP($A15,Data!$D$64:$M$114,7,FALSE))*VLOOKUP($A15,'VKT US'!$B$63:$AB$113,2,FALSE)*CONVERT(0.9072,"g","ton")*m2k*VLOOKUP($A15,'VKT US'!$F$5:$S$56,14,FALSE)/1000000*'Scenario analysis'!$E$4</f>
        <v>36.348311211207061</v>
      </c>
      <c r="BH15" s="79">
        <f t="shared" si="0"/>
        <v>21.056062524128798</v>
      </c>
      <c r="BI15" s="96">
        <f t="shared" si="1"/>
        <v>756.90403830417722</v>
      </c>
      <c r="BJ15" s="191">
        <f t="shared" si="2"/>
        <v>15937.418755298335</v>
      </c>
      <c r="BK15" s="191">
        <f>(VLOOKUP($A15,'US Grid mix, emissions&amp;prices'!$H$169:$AK$219,30,FALSE)+VLOOKUP($A15,Data!$D$64:$F$114,3,FALSE)*VLOOKUP($A15,'VKT US'!$B$63:$AB$113,27,FALSE)*m2k*CONVERT(0.9072,"g","ton"))*VLOOKUP($A15,'VKT US'!$F$5:$S$56,14,FALSE)/1000000</f>
        <v>211.94349446387534</v>
      </c>
      <c r="BL15" s="191">
        <f>P15*VLOOKUP($A15,'VKT US'!$F$5:$S$56,14,FALSE)/1000000-BK15</f>
        <v>0</v>
      </c>
      <c r="BM15" s="191">
        <v>19.72406117750204</v>
      </c>
      <c r="BN15" s="191">
        <v>2.4538679284150469</v>
      </c>
      <c r="BO15" s="191" cm="1">
        <f t="array" ref="BO15">_xlfn.IFS(AND(Q15&gt;0,R15&gt;0),R15/Q15,AND(Q15&gt;0,R15&lt;=0),-R15/Q15,Q15&lt;=0,0)</f>
        <v>242.77737298112214</v>
      </c>
      <c r="BP15" s="212" cm="1">
        <f t="array" ref="BP15">_xlfn.IFS(AND(Z15&gt;0,AA15&gt;0),AA15/Z15,AND(Z15&gt;0,AA15&lt;=0),AA15/Z15,Z15&lt;=0,0)</f>
        <v>-254.23474948280847</v>
      </c>
      <c r="BQ15" s="191">
        <f>P15*1000000/(VLOOKUP($A15,'VKT US'!$B$63:$AB$113,27,FALSE)*m2k)</f>
        <v>79.347203506980861</v>
      </c>
      <c r="BR15" s="191">
        <f>Y15*1000000/(VLOOKUP($A15,'VKT US'!$B$63:$AB$113,27,FALSE)*m2k)</f>
        <v>158.51723313265552</v>
      </c>
      <c r="BS15" s="191">
        <f>H15*1000000/(VLOOKUP($A15,'VKT US'!$B$63:$AB$113,27,FALSE)*m2k)</f>
        <v>240.41347164528761</v>
      </c>
      <c r="BT15" s="95"/>
      <c r="BU15" s="10">
        <f t="shared" si="10"/>
        <v>98050.523542576251</v>
      </c>
      <c r="BV15" s="10">
        <f t="shared" si="11"/>
        <v>107341.56748661415</v>
      </c>
      <c r="BW15" s="10">
        <f t="shared" si="12"/>
        <v>91222.648207705992</v>
      </c>
      <c r="BX15" s="10">
        <f t="shared" si="13"/>
        <v>99790.149589169916</v>
      </c>
      <c r="BY15" s="53">
        <f t="shared" si="14"/>
        <v>101100.40929383134</v>
      </c>
      <c r="BZ15" s="79">
        <f t="shared" si="15"/>
        <v>38.44404962980262</v>
      </c>
      <c r="CA15" s="96">
        <f>VLOOKUP($A15,'TCO Inputs'!$Y$114:$AT$164,22,FALSE)</f>
        <v>63153.289960076596</v>
      </c>
      <c r="CB15" s="211">
        <f>CA15*VLOOKUP($A15,'VKT US'!$F$5:$S$56,14,FALSE)/(10^9)</f>
        <v>634.26112172704131</v>
      </c>
    </row>
    <row r="16" spans="1:80" x14ac:dyDescent="0.25">
      <c r="A16" s="83" t="s">
        <v>198</v>
      </c>
      <c r="B16" s="150">
        <f>VLOOKUP($A16,'TCO Inputs'!$A$3:$AG$53,10,FALSE)</f>
        <v>23731.611795719989</v>
      </c>
      <c r="C16" s="71">
        <f>VLOOKUP($A16,'TCO Inputs'!$A$3:$AG$53,14,FALSE)</f>
        <v>23777.334825147595</v>
      </c>
      <c r="D16" s="71">
        <f>VLOOKUP($A16,'TCO Inputs'!$A$3:$AG$53,18,FALSE)</f>
        <v>30731.46116861235</v>
      </c>
      <c r="E16" s="71">
        <f>VLOOKUP($A16,'TCO Inputs'!$A$3:$AG$53,22,FALSE)</f>
        <v>25439.691400046799</v>
      </c>
      <c r="F16" s="71">
        <f>VLOOKUP($A16,'TCO Inputs'!$A$3:$AG$53,26,FALSE)</f>
        <v>0</v>
      </c>
      <c r="G16" s="65">
        <f>VLOOKUP($A16,'TCO Inputs'!$A$3:$AG$53,30,FALSE)</f>
        <v>103680.09918952674</v>
      </c>
      <c r="H16" s="95">
        <f>(VLOOKUP($A16,Data!$D$64:$M$112,5,FALSE)+VLOOKUP($A16,Data!$D$64:$M$112,8,FALSE))*VLOOKUP($A16,'VKT US'!$B$63:$AB$113,27,FALSE)*CONVERT(0.9072,"g","ton")*m2k</f>
        <v>91.44562706429717</v>
      </c>
      <c r="I16" s="92"/>
      <c r="J16" s="144">
        <f>VLOOKUP($A16,'TCO Inputs'!$A$3:$AG$53,11,FALSE)</f>
        <v>40967.546942691188</v>
      </c>
      <c r="K16" s="65">
        <f>VLOOKUP($A16,'TCO Inputs'!$A$3:$AG$53,15,FALSE)</f>
        <v>16306.972359132653</v>
      </c>
      <c r="L16" s="65">
        <f>VLOOKUP($A16,'TCO Inputs'!$A$3:$AG$53,19,FALSE)</f>
        <v>19136.328302157188</v>
      </c>
      <c r="M16" s="65">
        <f>VLOOKUP($A16,'TCO Inputs'!$A$3:$AG$53,23,FALSE)</f>
        <v>31158.702095753928</v>
      </c>
      <c r="N16" s="65">
        <f>VLOOKUP($A16,'TCO Inputs'!$A$3:$AG$53,27,FALSE)</f>
        <v>0</v>
      </c>
      <c r="O16" s="65">
        <f>VLOOKUP($A16,'TCO Inputs'!$A$3:$AG$53,31,FALSE)</f>
        <v>107569.54969973495</v>
      </c>
      <c r="P16" s="7">
        <f>VLOOKUP($A16,_xlfn.IFS('Scenario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analysis'!$Q$121:$R$126),2,FALSE)+VLOOKUP($A16,Data!$D$64:$F$114,3,FALSE)*VLOOKUP($A16,'VKT US'!$B$63:$AB$113,27,FALSE)*m2k*CONVERT(0.9072,"g","ton")</f>
        <v>62.686557990553453</v>
      </c>
      <c r="Q16" s="95">
        <f t="shared" si="3"/>
        <v>28.759069073743717</v>
      </c>
      <c r="R16" s="60">
        <f t="shared" si="4"/>
        <v>3889.4505102082185</v>
      </c>
      <c r="S16" s="144">
        <f>VLOOKUP($A16,'TCO Inputs'!$A$3:$AG$53,12,FALSE)</f>
        <v>25202.087524607668</v>
      </c>
      <c r="T16" s="65">
        <f>VLOOKUP($A16,'TCO Inputs'!$A$3:$AG$53,16,FALSE)</f>
        <v>14632.206046244673</v>
      </c>
      <c r="U16" s="65">
        <f>VLOOKUP($A16,'TCO Inputs'!$A$3:$AG$53,20,FALSE)</f>
        <v>28246.789840086229</v>
      </c>
      <c r="V16" s="65">
        <f>VLOOKUP($A16,'TCO Inputs'!$A$3:$AG$53,24,FALSE)</f>
        <v>26510.014277658011</v>
      </c>
      <c r="W16" s="65">
        <f>VLOOKUP($A16,'TCO Inputs'!$A$3:$AG$53,28,FALSE)</f>
        <v>0</v>
      </c>
      <c r="X16" s="65">
        <f>VLOOKUP($A16,'TCO Inputs'!$A$3:$AG$53,32,FALSE)</f>
        <v>94591.097688596579</v>
      </c>
      <c r="Y16" s="7">
        <f>(VLOOKUP($A16,Data!$D$64:$M$112,4,FALSE)+VLOOKUP($A16,Data!$D$64:$M$112,7,FALSE))*VLOOKUP($A16,'VKT US'!$B$63:$AB$113,27,FALSE)*CONVERT(0.9072,"g","ton")*m2k</f>
        <v>60.301610224467439</v>
      </c>
      <c r="Z16" s="95">
        <f t="shared" si="5"/>
        <v>31.144016839829732</v>
      </c>
      <c r="AA16" s="118">
        <f t="shared" si="6"/>
        <v>-9089.0015009301569</v>
      </c>
      <c r="AB16" s="144">
        <f>VLOOKUP($A16,'TCO Inputs'!$A$3:$AG$53,13,FALSE)</f>
        <v>28460.759801658827</v>
      </c>
      <c r="AC16" s="65">
        <f>VLOOKUP($A16,'TCO Inputs'!$A$3:$AG$53,17,FALSE)</f>
        <v>21753.448372217415</v>
      </c>
      <c r="AD16" s="65">
        <f>VLOOKUP($A16,'TCO Inputs'!$A$3:$AG$53,21,FALSE)</f>
        <v>28246.789840086229</v>
      </c>
      <c r="AE16" s="65">
        <f>VLOOKUP($A16,'TCO Inputs'!$A$3:$AG$53,25,FALSE)</f>
        <v>26771.184277658012</v>
      </c>
      <c r="AF16" s="65">
        <f>VLOOKUP($A16,'TCO Inputs'!$A$3:$AG$53,29,FALSE)</f>
        <v>0</v>
      </c>
      <c r="AG16" s="65">
        <f>VLOOKUP($A16,'TCO Inputs'!$A$3:$AG$53,33,FALSE)</f>
        <v>105232.18229162048</v>
      </c>
      <c r="AH16" s="7">
        <f>(VLOOKUP($A16,Data!$D$64:$M$112,9,FALSE)+VLOOKUP($A16,Data!$D$64:$M$112,10,FALSE))*VLOOKUP($A16,'VKT US'!$B$63:$AB$113,27,FALSE)*CONVERT(0.9072,"g","ton")*m2k</f>
        <v>42.375650082253657</v>
      </c>
      <c r="AI16" s="95">
        <f t="shared" si="7"/>
        <v>49.069976982043514</v>
      </c>
      <c r="AJ16" s="186">
        <f t="shared" si="8"/>
        <v>1552.0831020937476</v>
      </c>
      <c r="AK16" s="188">
        <f>VLOOKUP($A16,'TCO Inputs'!$A$3:$AT$53,40,FALSE)</f>
        <v>30376.676612640622</v>
      </c>
      <c r="AL16" s="188">
        <f>VLOOKUP($A16,'TCO Inputs'!$A$3:$AT$53,41,FALSE)</f>
        <v>14597.93483729344</v>
      </c>
      <c r="AM16" s="188">
        <f>VLOOKUP($A16,'TCO Inputs'!$A$3:$AT$53,42,FALSE)</f>
        <v>27217.866136097484</v>
      </c>
      <c r="AN16" s="188">
        <f>VLOOKUP($A16,'TCO Inputs'!$A$3:$AT$53,43,FALSE)</f>
        <v>30452.052095753927</v>
      </c>
      <c r="AO16" s="188">
        <f>VLOOKUP($A16,'TCO Inputs'!$A$3:$AT$53,44,FALSE)</f>
        <v>0</v>
      </c>
      <c r="AP16" s="188">
        <f>VLOOKUP($A16,'TCO Inputs'!$A$3:$AT$53,45,FALSE)</f>
        <v>102644.52968178547</v>
      </c>
      <c r="AQ16" s="96">
        <f>(VLOOKUP($A16,Data!$D$64:$O$114,11,FALSE)+VLOOKUP($A16,'Fuel economy adjusted factor'!$A$2:$L$52,12,FALSE)*(1-'TCO Inputs'!$BD$9))*VLOOKUP($A16,'VKT US'!$B$63:$AB$113,27,FALSE)*CONVERT(0.9072,"g","ton")*m2k+VLOOKUP($A16,'US Grid mix, emissions&amp;prices'!$H$224:$AK$274,30,FALSE)</f>
        <v>59.597298816427497</v>
      </c>
      <c r="AR16" s="96">
        <f t="shared" si="9"/>
        <v>31.848328247869674</v>
      </c>
      <c r="AS16" s="60">
        <f>VLOOKUP($A16,'TCO Inputs'!$A$3:$AT$53,46,FALSE)</f>
        <v>-1035.5695077412674</v>
      </c>
      <c r="AT16" s="98">
        <f>(VLOOKUP($A16,Data!$D$64:$M$112,5,FALSE)+VLOOKUP($A16,Data!$D$64:$M$112,8,FALSE))*VLOOKUP($A16,'VKT US'!$B$63:$AB$113,2,FALSE)*CONVERT(0.9072,"g","ton")*m2k*VLOOKUP($A16,'VKT US'!$F$5:$S$56,11,FALSE)/1000000</f>
        <v>40.555844251452676</v>
      </c>
      <c r="AU16" s="98">
        <f>(VLOOKUP($A16,Data!$D$64:$F$114,3,FALSE)+VLOOKUP($A16,Data!$D$64:$I$114,6,FALSE))*VLOOKUP($A16,'VKT US'!$B$63:$AB$113,2,FALSE)*m2k*CONVERT(0.9072,"g","ton")*VLOOKUP($A16,'VKT US'!$F$5:$S$56,2,FALSE)/1000000</f>
        <v>0.1795771930089215</v>
      </c>
      <c r="AV16" s="98">
        <f>(VLOOKUP($A16,Data!$D$64:$M$112,4,FALSE)+VLOOKUP($A16,Data!$D$64:$M$112,7,FALSE))*VLOOKUP($A16,'VKT US'!$B$63:$AB$113,2,FALSE)*CONVERT(0.9072,"g","ton")*m2k*VLOOKUP($A16,'VKT US'!$F$5:$S$56,4,FALSE)/1000000</f>
        <v>0.61653815693684511</v>
      </c>
      <c r="AW16" s="98">
        <f>(VLOOKUP($A16,Data!$D$64:$M$112,9,FALSE)+VLOOKUP($A16,Data!$D$64:$M$112,10,FALSE))*VLOOKUP($A16,'VKT US'!$B$63:$AB$113,2,FALSE)*CONVERT(0.9072,"g","ton")*m2k*VLOOKUP($A16,'VKT US'!$F$5:$S$56,9,FALSE)/1000000</f>
        <v>0</v>
      </c>
      <c r="AX16" s="98">
        <f>H16*VLOOKUP($A16,'VKT US'!$F$5:$S$56,11,FALSE)/1000000</f>
        <v>472.42639853957206</v>
      </c>
      <c r="AY16" s="98">
        <f>P16*VLOOKUP($A16,'VKT US'!$F$5:$S$56,2,FALSE)/1000000</f>
        <v>1.6361191635534451</v>
      </c>
      <c r="AZ16" s="98">
        <f>Y16*VLOOKUP($A16,'VKT US'!$F$5:$S$56,4,FALSE)/1000000</f>
        <v>7.1819217777340718</v>
      </c>
      <c r="BA16" s="98">
        <f>AH16*VLOOKUP($A16,'VKT US'!$F$5:$S$56,9,FALSE)/1000000</f>
        <v>0</v>
      </c>
      <c r="BB16" s="79">
        <f>VLOOKUP($A16,Data!$D$64:$M$112,4,FALSE)+VLOOKUP($A16,Data!$D$64:$M$112,7,FALSE)-(VLOOKUP($A16,Data!$D$64:$F$114,3,FALSE)+VLOOKUP($A16,Data!$D$64:$I$114,6,FALSE))</f>
        <v>-52.085466899464905</v>
      </c>
      <c r="BC16" s="10">
        <f>(Y16-P16)*VLOOKUP($A16,'VKT US'!$F$5:$S$56,14,FALSE)/1000000*'Scenario analysis'!$E$4</f>
        <v>-14.72013610705949</v>
      </c>
      <c r="BD16" s="10">
        <f>P16*VLOOKUP($A16,'VKT US'!$F$5:$S$56,14,FALSE)/1000000*'Scenario analysis'!$E$4</f>
        <v>386.90770457349498</v>
      </c>
      <c r="BE16" s="79">
        <f>(VLOOKUP($A16,Data!$D$64:$M$114,4,FALSE)+VLOOKUP($A16,Data!$D$64:$M$114,7,FALSE)-(VLOOKUP($A16,Data!$D$64:$F$114,3,FALSE)+VLOOKUP($A16,Data!$D$64:$I$114,6,FALSE)))*VLOOKUP($A16,'VKT US'!$B$63:$AB$113,2,FALSE)*CONVERT(0.9072,"g","ton")*m2k*VLOOKUP($A16,'VKT US'!$F$5:$S$56,14,FALSE)/1000000*'Scenario analysis'!$E$4</f>
        <v>-10.515464955155348</v>
      </c>
      <c r="BF16" s="79">
        <f>(VLOOKUP($A16,Data!$D$64:$F$114,3,FALSE)+VLOOKUP($A16,Data!$D$64:$I$114,6,FALSE))*VLOOKUP($A16,'VKT US'!$B$63:$AB$113,2,FALSE)*CONVERT(0.9072,"g","ton")*m2k*VLOOKUP($A16,'VKT US'!$F$5:$S$56,14,FALSE)/1000000*'Scenario analysis'!$E$4</f>
        <v>42.466221952887523</v>
      </c>
      <c r="BG16" s="79">
        <f>(VLOOKUP($A16,Data!$D$64:$M$114,4,FALSE)+VLOOKUP($A16,Data!$D$64:$M$114,7,FALSE))*VLOOKUP($A16,'VKT US'!$B$63:$AB$113,2,FALSE)*CONVERT(0.9072,"g","ton")*m2k*VLOOKUP($A16,'VKT US'!$F$5:$S$56,14,FALSE)/1000000*'Scenario analysis'!$E$4</f>
        <v>31.950756997732174</v>
      </c>
      <c r="BH16" s="79">
        <f t="shared" si="0"/>
        <v>-2.3849477660860146</v>
      </c>
      <c r="BI16" s="96">
        <f t="shared" si="1"/>
        <v>-5441.8181377773199</v>
      </c>
      <c r="BJ16" s="191">
        <f t="shared" si="2"/>
        <v>12978.452011138375</v>
      </c>
      <c r="BK16" s="191">
        <f>(VLOOKUP($A16,'US Grid mix, emissions&amp;prices'!$H$169:$AK$219,30,FALSE)+VLOOKUP($A16,Data!$D$64:$F$114,3,FALSE)*VLOOKUP($A16,'VKT US'!$B$63:$AB$113,27,FALSE)*m2k*CONVERT(0.9072,"g","ton"))*VLOOKUP($A16,'VKT US'!$F$5:$S$56,14,FALSE)/1000000</f>
        <v>386.90770457349498</v>
      </c>
      <c r="BL16" s="191">
        <f>P16*VLOOKUP($A16,'VKT US'!$F$5:$S$56,14,FALSE)/1000000-BK16</f>
        <v>0</v>
      </c>
      <c r="BM16" s="191">
        <v>37.165294705649615</v>
      </c>
      <c r="BN16" s="191">
        <v>6.3382413218644373</v>
      </c>
      <c r="BO16" s="191" cm="1">
        <f t="array" ref="BO16">_xlfn.IFS(AND(Q16&gt;0,R16&gt;0),R16/Q16,AND(Q16&gt;0,R16&lt;=0),-R16/Q16,Q16&lt;=0,0)</f>
        <v>135.24257340301693</v>
      </c>
      <c r="BP16" s="212" cm="1">
        <f t="array" ref="BP16">_xlfn.IFS(AND(Z16&gt;0,AA16&gt;0),AA16/Z16,AND(Z16&gt;0,AA16&lt;=0),AA16/Z16,Z16&lt;=0,0)</f>
        <v>-291.83780459899879</v>
      </c>
      <c r="BQ16" s="191">
        <f>P16*1000000/(VLOOKUP($A16,'VKT US'!$B$63:$AB$113,27,FALSE)*m2k)</f>
        <v>164.5212701393134</v>
      </c>
      <c r="BR16" s="191">
        <f>Y16*1000000/(VLOOKUP($A16,'VKT US'!$B$63:$AB$113,27,FALSE)*m2k)</f>
        <v>158.2619595587019</v>
      </c>
      <c r="BS16" s="191">
        <f>H16*1000000/(VLOOKUP($A16,'VKT US'!$B$63:$AB$113,27,FALSE)*m2k)</f>
        <v>239.99962983405968</v>
      </c>
      <c r="BT16" s="95"/>
      <c r="BU16" s="10">
        <f t="shared" si="10"/>
        <v>98050.523542576251</v>
      </c>
      <c r="BV16" s="10">
        <f t="shared" si="11"/>
        <v>107341.56748661415</v>
      </c>
      <c r="BW16" s="10">
        <f t="shared" si="12"/>
        <v>91222.648207705992</v>
      </c>
      <c r="BX16" s="10">
        <f t="shared" si="13"/>
        <v>99790.149589169916</v>
      </c>
      <c r="BY16" s="53">
        <f t="shared" si="14"/>
        <v>101100.40929383134</v>
      </c>
      <c r="BZ16" s="79">
        <f t="shared" si="15"/>
        <v>38.44404962980262</v>
      </c>
      <c r="CA16" s="96">
        <f>VLOOKUP($A16,'TCO Inputs'!$Y$114:$AT$164,22,FALSE)</f>
        <v>90081.30774070062</v>
      </c>
      <c r="CB16" s="211">
        <f>CA16*VLOOKUP($A16,'VKT US'!$F$5:$S$56,14,FALSE)/(10^9)</f>
        <v>555.99083950637828</v>
      </c>
    </row>
    <row r="17" spans="1:80" x14ac:dyDescent="0.25">
      <c r="A17" s="83" t="s">
        <v>195</v>
      </c>
      <c r="B17" s="150">
        <f>VLOOKUP($A17,'TCO Inputs'!$A$3:$AG$53,10,FALSE)</f>
        <v>23731.611795719989</v>
      </c>
      <c r="C17" s="71">
        <f>VLOOKUP($A17,'TCO Inputs'!$A$3:$AG$53,14,FALSE)</f>
        <v>19695.278854197299</v>
      </c>
      <c r="D17" s="71">
        <f>VLOOKUP($A17,'TCO Inputs'!$A$3:$AG$53,18,FALSE)</f>
        <v>25140.667716998956</v>
      </c>
      <c r="E17" s="71">
        <f>VLOOKUP($A17,'TCO Inputs'!$A$3:$AG$53,22,FALSE)</f>
        <v>23891.089108109558</v>
      </c>
      <c r="F17" s="71">
        <f>VLOOKUP($A17,'TCO Inputs'!$A$3:$AG$53,26,FALSE)</f>
        <v>0</v>
      </c>
      <c r="G17" s="65">
        <f>VLOOKUP($A17,'TCO Inputs'!$A$3:$AG$53,30,FALSE)</f>
        <v>92458.647475025806</v>
      </c>
      <c r="H17" s="95">
        <f>(VLOOKUP($A17,Data!$D$64:$M$112,5,FALSE)+VLOOKUP($A17,Data!$D$64:$M$112,8,FALSE))*VLOOKUP($A17,'VKT US'!$B$63:$AB$113,27,FALSE)*CONVERT(0.9072,"g","ton")*m2k</f>
        <v>75.647945450786096</v>
      </c>
      <c r="I17" s="92"/>
      <c r="J17" s="144">
        <f>VLOOKUP($A17,'TCO Inputs'!$A$3:$AG$53,11,FALSE)</f>
        <v>40967.546942691188</v>
      </c>
      <c r="K17" s="65">
        <f>VLOOKUP($A17,'TCO Inputs'!$A$3:$AG$53,15,FALSE)</f>
        <v>12922.507693619138</v>
      </c>
      <c r="L17" s="65">
        <f>VLOOKUP($A17,'TCO Inputs'!$A$3:$AG$53,19,FALSE)</f>
        <v>15654.968975549698</v>
      </c>
      <c r="M17" s="65">
        <f>VLOOKUP($A17,'TCO Inputs'!$A$3:$AG$53,23,FALSE)</f>
        <v>29965.701331774846</v>
      </c>
      <c r="N17" s="65">
        <f>VLOOKUP($A17,'TCO Inputs'!$A$3:$AG$53,27,FALSE)</f>
        <v>0</v>
      </c>
      <c r="O17" s="65">
        <f>VLOOKUP($A17,'TCO Inputs'!$A$3:$AG$53,31,FALSE)</f>
        <v>99510.724943634879</v>
      </c>
      <c r="P17" s="7">
        <f>VLOOKUP($A17,_xlfn.IFS('Scenario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analysis'!$Q$121:$R$126),2,FALSE)+VLOOKUP($A17,Data!$D$64:$F$114,3,FALSE)*VLOOKUP($A17,'VKT US'!$B$63:$AB$113,27,FALSE)*m2k*CONVERT(0.9072,"g","ton")</f>
        <v>29.72163320526073</v>
      </c>
      <c r="Q17" s="95">
        <f t="shared" si="3"/>
        <v>45.926312245525367</v>
      </c>
      <c r="R17" s="60">
        <f t="shared" si="4"/>
        <v>7052.0774686090735</v>
      </c>
      <c r="S17" s="144">
        <f>VLOOKUP($A17,'TCO Inputs'!$A$3:$AG$53,12,FALSE)</f>
        <v>25202.087524607668</v>
      </c>
      <c r="T17" s="65">
        <f>VLOOKUP($A17,'TCO Inputs'!$A$3:$AG$53,16,FALSE)</f>
        <v>12120.17160258295</v>
      </c>
      <c r="U17" s="65">
        <f>VLOOKUP($A17,'TCO Inputs'!$A$3:$AG$53,20,FALSE)</f>
        <v>23108.017986688392</v>
      </c>
      <c r="V17" s="65">
        <f>VLOOKUP($A17,'TCO Inputs'!$A$3:$AG$53,24,FALSE)</f>
        <v>24896.257718111279</v>
      </c>
      <c r="W17" s="65">
        <f>VLOOKUP($A17,'TCO Inputs'!$A$3:$AG$53,28,FALSE)</f>
        <v>0</v>
      </c>
      <c r="X17" s="65">
        <f>VLOOKUP($A17,'TCO Inputs'!$A$3:$AG$53,32,FALSE)</f>
        <v>85326.534831990284</v>
      </c>
      <c r="Y17" s="7">
        <f>(VLOOKUP($A17,Data!$D$64:$M$112,4,FALSE)+VLOOKUP($A17,Data!$D$64:$M$112,7,FALSE))*VLOOKUP($A17,'VKT US'!$B$63:$AB$113,27,FALSE)*CONVERT(0.9072,"g","ton")*m2k</f>
        <v>49.848501924294013</v>
      </c>
      <c r="Z17" s="95">
        <f t="shared" si="5"/>
        <v>25.799443526492084</v>
      </c>
      <c r="AA17" s="118">
        <f t="shared" si="6"/>
        <v>-7132.1126430355216</v>
      </c>
      <c r="AB17" s="144">
        <f>VLOOKUP($A17,'TCO Inputs'!$A$3:$AG$53,13,FALSE)</f>
        <v>28460.759801658827</v>
      </c>
      <c r="AC17" s="65">
        <f>VLOOKUP($A17,'TCO Inputs'!$A$3:$AG$53,17,FALSE)</f>
        <v>18018.850089038384</v>
      </c>
      <c r="AD17" s="65">
        <f>VLOOKUP($A17,'TCO Inputs'!$A$3:$AG$53,21,FALSE)</f>
        <v>23108.017986688392</v>
      </c>
      <c r="AE17" s="65">
        <f>VLOOKUP($A17,'TCO Inputs'!$A$3:$AG$53,25,FALSE)</f>
        <v>25082.807718111279</v>
      </c>
      <c r="AF17" s="65">
        <f>VLOOKUP($A17,'TCO Inputs'!$A$3:$AG$53,29,FALSE)</f>
        <v>0</v>
      </c>
      <c r="AG17" s="65">
        <f>VLOOKUP($A17,'TCO Inputs'!$A$3:$AG$53,33,FALSE)</f>
        <v>94670.435595496878</v>
      </c>
      <c r="AH17" s="7">
        <f>(VLOOKUP($A17,Data!$D$64:$M$112,9,FALSE)+VLOOKUP($A17,Data!$D$64:$M$112,10,FALSE))*VLOOKUP($A17,'VKT US'!$B$63:$AB$113,27,FALSE)*CONVERT(0.9072,"g","ton")*m2k</f>
        <v>34.666498028341664</v>
      </c>
      <c r="AI17" s="95">
        <f t="shared" si="7"/>
        <v>40.981447422444433</v>
      </c>
      <c r="AJ17" s="186">
        <f t="shared" si="8"/>
        <v>2211.788120471072</v>
      </c>
      <c r="AK17" s="188">
        <f>VLOOKUP($A17,'TCO Inputs'!$A$3:$AT$53,40,FALSE)</f>
        <v>30376.676612640622</v>
      </c>
      <c r="AL17" s="188">
        <f>VLOOKUP($A17,'TCO Inputs'!$A$3:$AT$53,41,FALSE)</f>
        <v>11808.806218453496</v>
      </c>
      <c r="AM17" s="188">
        <f>VLOOKUP($A17,'TCO Inputs'!$A$3:$AT$53,42,FALSE)</f>
        <v>22266.280302749525</v>
      </c>
      <c r="AN17" s="188">
        <f>VLOOKUP($A17,'TCO Inputs'!$A$3:$AT$53,43,FALSE)</f>
        <v>29460.951331774846</v>
      </c>
      <c r="AO17" s="188">
        <f>VLOOKUP($A17,'TCO Inputs'!$A$3:$AT$53,44,FALSE)</f>
        <v>0</v>
      </c>
      <c r="AP17" s="188">
        <f>VLOOKUP($A17,'TCO Inputs'!$A$3:$AT$53,45,FALSE)</f>
        <v>93912.714465618483</v>
      </c>
      <c r="AQ17" s="96">
        <f>(VLOOKUP($A17,Data!$D$64:$O$114,11,FALSE)+VLOOKUP($A17,'Fuel economy adjusted factor'!$A$2:$L$52,12,FALSE)*(1-'TCO Inputs'!$BD$9))*VLOOKUP($A17,'VKT US'!$B$63:$AB$113,27,FALSE)*CONVERT(0.9072,"g","ton")*m2k+VLOOKUP($A17,'US Grid mix, emissions&amp;prices'!$H$224:$AK$274,30,FALSE)</f>
        <v>37.791209334413814</v>
      </c>
      <c r="AR17" s="96">
        <f t="shared" si="9"/>
        <v>37.856736116372282</v>
      </c>
      <c r="AS17" s="60">
        <f>VLOOKUP($A17,'TCO Inputs'!$A$3:$AT$53,46,FALSE)</f>
        <v>1454.066990592677</v>
      </c>
      <c r="AT17" s="98">
        <f>(VLOOKUP($A17,Data!$D$64:$M$112,5,FALSE)+VLOOKUP($A17,Data!$D$64:$M$112,8,FALSE))*VLOOKUP($A17,'VKT US'!$B$63:$AB$113,2,FALSE)*CONVERT(0.9072,"g","ton")*m2k*VLOOKUP($A17,'VKT US'!$F$5:$S$56,11,FALSE)/1000000</f>
        <v>16.529985259044551</v>
      </c>
      <c r="AU17" s="98">
        <f>(VLOOKUP($A17,Data!$D$64:$F$114,3,FALSE)+VLOOKUP($A17,Data!$D$64:$I$114,6,FALSE))*VLOOKUP($A17,'VKT US'!$B$63:$AB$113,2,FALSE)*m2k*CONVERT(0.9072,"g","ton")*VLOOKUP($A17,'VKT US'!$F$5:$S$56,2,FALSE)/1000000</f>
        <v>2.8092100245410888E-2</v>
      </c>
      <c r="AV17" s="98">
        <f>(VLOOKUP($A17,Data!$D$64:$M$112,4,FALSE)+VLOOKUP($A17,Data!$D$64:$M$112,7,FALSE))*VLOOKUP($A17,'VKT US'!$B$63:$AB$113,2,FALSE)*CONVERT(0.9072,"g","ton")*m2k*VLOOKUP($A17,'VKT US'!$F$5:$S$56,4,FALSE)/1000000</f>
        <v>0.24477520846735759</v>
      </c>
      <c r="AW17" s="98">
        <f>(VLOOKUP($A17,Data!$D$64:$M$112,9,FALSE)+VLOOKUP($A17,Data!$D$64:$M$112,10,FALSE))*VLOOKUP($A17,'VKT US'!$B$63:$AB$113,2,FALSE)*CONVERT(0.9072,"g","ton")*m2k*VLOOKUP($A17,'VKT US'!$F$5:$S$56,9,FALSE)/1000000</f>
        <v>0</v>
      </c>
      <c r="AX17" s="98">
        <f>H17*VLOOKUP($A17,'VKT US'!$F$5:$S$56,11,FALSE)/1000000</f>
        <v>192.55428035043093</v>
      </c>
      <c r="AY17" s="98">
        <f>P17*VLOOKUP($A17,'VKT US'!$F$5:$S$56,2,FALSE)/1000000</f>
        <v>0.26749469884734661</v>
      </c>
      <c r="AZ17" s="98">
        <f>Y17*VLOOKUP($A17,'VKT US'!$F$5:$S$56,4,FALSE)/1000000</f>
        <v>2.8513343100696171</v>
      </c>
      <c r="BA17" s="98">
        <f>AH17*VLOOKUP($A17,'VKT US'!$F$5:$S$56,9,FALSE)/1000000</f>
        <v>0</v>
      </c>
      <c r="BB17" s="79">
        <f>VLOOKUP($A17,Data!$D$64:$M$112,4,FALSE)+VLOOKUP($A17,Data!$D$64:$M$112,7,FALSE)-(VLOOKUP($A17,Data!$D$64:$F$114,3,FALSE)+VLOOKUP($A17,Data!$D$64:$I$114,6,FALSE))</f>
        <v>43.272739438184033</v>
      </c>
      <c r="BC17" s="10">
        <f>(Y17-P17)*VLOOKUP($A17,'VKT US'!$F$5:$S$56,14,FALSE)/1000000*'Scenario analysis'!$E$4</f>
        <v>63.46605513172765</v>
      </c>
      <c r="BD17" s="10">
        <f>P17*VLOOKUP($A17,'VKT US'!$F$5:$S$56,14,FALSE)/1000000*'Scenario analysis'!$E$4</f>
        <v>93.721225986148653</v>
      </c>
      <c r="BE17" s="79">
        <f>(VLOOKUP($A17,Data!$D$64:$M$114,4,FALSE)+VLOOKUP($A17,Data!$D$64:$M$114,7,FALSE)-(VLOOKUP($A17,Data!$D$64:$F$114,3,FALSE)+VLOOKUP($A17,Data!$D$64:$I$114,6,FALSE)))*VLOOKUP($A17,'VKT US'!$B$63:$AB$113,2,FALSE)*CONVERT(0.9072,"g","ton")*m2k*VLOOKUP($A17,'VKT US'!$F$5:$S$56,14,FALSE)/1000000*'Scenario analysis'!$E$4</f>
        <v>3.6513397371418228</v>
      </c>
      <c r="BF17" s="79">
        <f>(VLOOKUP($A17,Data!$D$64:$F$114,3,FALSE)+VLOOKUP($A17,Data!$D$64:$I$114,6,FALSE))*VLOOKUP($A17,'VKT US'!$B$63:$AB$113,2,FALSE)*CONVERT(0.9072,"g","ton")*m2k*VLOOKUP($A17,'VKT US'!$F$5:$S$56,14,FALSE)/1000000*'Scenario analysis'!$E$4</f>
        <v>9.8425355226504614</v>
      </c>
      <c r="BG17" s="79">
        <f>(VLOOKUP($A17,Data!$D$64:$M$114,4,FALSE)+VLOOKUP($A17,Data!$D$64:$M$114,7,FALSE))*VLOOKUP($A17,'VKT US'!$B$63:$AB$113,2,FALSE)*CONVERT(0.9072,"g","ton")*m2k*VLOOKUP($A17,'VKT US'!$F$5:$S$56,14,FALSE)/1000000*'Scenario analysis'!$E$4</f>
        <v>13.493875259792285</v>
      </c>
      <c r="BH17" s="79">
        <f t="shared" si="0"/>
        <v>20.126868719033283</v>
      </c>
      <c r="BI17" s="96">
        <f t="shared" si="1"/>
        <v>704.73903862805537</v>
      </c>
      <c r="BJ17" s="191">
        <f t="shared" si="2"/>
        <v>14184.190111644595</v>
      </c>
      <c r="BK17" s="191">
        <f>(VLOOKUP($A17,'US Grid mix, emissions&amp;prices'!$H$169:$AK$219,30,FALSE)+VLOOKUP($A17,Data!$D$64:$F$114,3,FALSE)*VLOOKUP($A17,'VKT US'!$B$63:$AB$113,27,FALSE)*m2k*CONVERT(0.9072,"g","ton"))*VLOOKUP($A17,'VKT US'!$F$5:$S$56,14,FALSE)/1000000</f>
        <v>93.721225986148653</v>
      </c>
      <c r="BL17" s="191">
        <f>P17*VLOOKUP($A17,'VKT US'!$F$5:$S$56,14,FALSE)/1000000-BK17</f>
        <v>0</v>
      </c>
      <c r="BM17" s="191">
        <v>8.8129479228035148</v>
      </c>
      <c r="BN17" s="191">
        <v>1.2310628623000728</v>
      </c>
      <c r="BO17" s="191" cm="1">
        <f t="array" ref="BO17">_xlfn.IFS(AND(Q17&gt;0,R17&gt;0),R17/Q17,AND(Q17&gt;0,R17&lt;=0),-R17/Q17,Q17&lt;=0,0)</f>
        <v>153.5520080712808</v>
      </c>
      <c r="BP17" s="212" cm="1">
        <f t="array" ref="BP17">_xlfn.IFS(AND(Z17&gt;0,AA17&gt;0),AA17/Z17,AND(Z17&gt;0,AA17&lt;=0),AA17/Z17,Z17&lt;=0,0)</f>
        <v>-276.44443709461922</v>
      </c>
      <c r="BQ17" s="191">
        <f>P17*1000000/(VLOOKUP($A17,'VKT US'!$B$63:$AB$113,27,FALSE)*m2k)</f>
        <v>95.351318250777297</v>
      </c>
      <c r="BR17" s="191">
        <f>Y17*1000000/(VLOOKUP($A17,'VKT US'!$B$63:$AB$113,27,FALSE)*m2k)</f>
        <v>159.92123778940046</v>
      </c>
      <c r="BS17" s="191">
        <f>H17*1000000/(VLOOKUP($A17,'VKT US'!$B$63:$AB$113,27,FALSE)*m2k)</f>
        <v>242.6896016070416</v>
      </c>
      <c r="BT17" s="95"/>
      <c r="BU17" s="10">
        <f t="shared" si="10"/>
        <v>98050.523542576251</v>
      </c>
      <c r="BV17" s="10">
        <f t="shared" si="11"/>
        <v>107341.56748661415</v>
      </c>
      <c r="BW17" s="10">
        <f t="shared" si="12"/>
        <v>91222.648207705992</v>
      </c>
      <c r="BX17" s="10">
        <f t="shared" si="13"/>
        <v>99790.149589169916</v>
      </c>
      <c r="BY17" s="53">
        <f t="shared" si="14"/>
        <v>101100.40929383134</v>
      </c>
      <c r="BZ17" s="79">
        <f t="shared" si="15"/>
        <v>38.44404962980262</v>
      </c>
      <c r="CA17" s="96">
        <f>VLOOKUP($A17,'TCO Inputs'!$Y$114:$AT$164,22,FALSE)</f>
        <v>76919.850595336975</v>
      </c>
      <c r="CB17" s="211">
        <f>CA17*VLOOKUP($A17,'VKT US'!$F$5:$S$56,14,FALSE)/(10^9)</f>
        <v>242.55136488227609</v>
      </c>
    </row>
    <row r="18" spans="1:80" x14ac:dyDescent="0.25">
      <c r="A18" s="83" t="s">
        <v>199</v>
      </c>
      <c r="B18" s="150">
        <f>VLOOKUP($A18,'TCO Inputs'!$A$3:$AG$53,10,FALSE)</f>
        <v>23731.611795719989</v>
      </c>
      <c r="C18" s="71">
        <f>VLOOKUP($A18,'TCO Inputs'!$A$3:$AG$53,14,FALSE)</f>
        <v>19517.941220017299</v>
      </c>
      <c r="D18" s="71">
        <f>VLOOKUP($A18,'TCO Inputs'!$A$3:$AG$53,18,FALSE)</f>
        <v>25202.048797894982</v>
      </c>
      <c r="E18" s="71">
        <f>VLOOKUP($A18,'TCO Inputs'!$A$3:$AG$53,22,FALSE)</f>
        <v>31767.45629763887</v>
      </c>
      <c r="F18" s="71">
        <f>VLOOKUP($A18,'TCO Inputs'!$A$3:$AG$53,26,FALSE)</f>
        <v>0</v>
      </c>
      <c r="G18" s="65">
        <f>VLOOKUP($A18,'TCO Inputs'!$A$3:$AG$53,30,FALSE)</f>
        <v>100219.05811127114</v>
      </c>
      <c r="H18" s="95">
        <f>(VLOOKUP($A18,Data!$D$64:$M$112,5,FALSE)+VLOOKUP($A18,Data!$D$64:$M$112,8,FALSE))*VLOOKUP($A18,'VKT US'!$B$63:$AB$113,27,FALSE)*CONVERT(0.9072,"g","ton")*m2k</f>
        <v>75.056767357233269</v>
      </c>
      <c r="I18" s="92"/>
      <c r="J18" s="144">
        <f>VLOOKUP($A18,'TCO Inputs'!$A$3:$AG$53,11,FALSE)</f>
        <v>40967.546942691188</v>
      </c>
      <c r="K18" s="65">
        <f>VLOOKUP($A18,'TCO Inputs'!$A$3:$AG$53,15,FALSE)</f>
        <v>12570.919836385438</v>
      </c>
      <c r="L18" s="65">
        <f>VLOOKUP($A18,'TCO Inputs'!$A$3:$AG$53,19,FALSE)</f>
        <v>15693.190669894886</v>
      </c>
      <c r="M18" s="65">
        <f>VLOOKUP($A18,'TCO Inputs'!$A$3:$AG$53,23,FALSE)</f>
        <v>40228.173487168184</v>
      </c>
      <c r="N18" s="65">
        <f>VLOOKUP($A18,'TCO Inputs'!$A$3:$AG$53,27,FALSE)</f>
        <v>0</v>
      </c>
      <c r="O18" s="65">
        <f>VLOOKUP($A18,'TCO Inputs'!$A$3:$AG$53,31,FALSE)</f>
        <v>109459.8309361397</v>
      </c>
      <c r="P18" s="7">
        <f>VLOOKUP($A18,_xlfn.IFS('Scenario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analysis'!$Q$121:$R$126),2,FALSE)+VLOOKUP($A18,Data!$D$64:$F$114,3,FALSE)*VLOOKUP($A18,'VKT US'!$B$63:$AB$113,27,FALSE)*m2k*CONVERT(0.9072,"g","ton")</f>
        <v>30.654779079113545</v>
      </c>
      <c r="Q18" s="95">
        <f t="shared" si="3"/>
        <v>44.401988278119724</v>
      </c>
      <c r="R18" s="60">
        <f t="shared" si="4"/>
        <v>9240.7728248685598</v>
      </c>
      <c r="S18" s="144">
        <f>VLOOKUP($A18,'TCO Inputs'!$A$3:$AG$53,12,FALSE)</f>
        <v>25202.087524607668</v>
      </c>
      <c r="T18" s="65">
        <f>VLOOKUP($A18,'TCO Inputs'!$A$3:$AG$53,16,FALSE)</f>
        <v>12011.040750779874</v>
      </c>
      <c r="U18" s="65">
        <f>VLOOKUP($A18,'TCO Inputs'!$A$3:$AG$53,20,FALSE)</f>
        <v>23164.436341894958</v>
      </c>
      <c r="V18" s="65">
        <f>VLOOKUP($A18,'TCO Inputs'!$A$3:$AG$53,24,FALSE)</f>
        <v>33104.006914711797</v>
      </c>
      <c r="W18" s="65">
        <f>VLOOKUP($A18,'TCO Inputs'!$A$3:$AG$53,28,FALSE)</f>
        <v>0</v>
      </c>
      <c r="X18" s="65">
        <f>VLOOKUP($A18,'TCO Inputs'!$A$3:$AG$53,32,FALSE)</f>
        <v>93481.571531994297</v>
      </c>
      <c r="Y18" s="7">
        <f>(VLOOKUP($A18,Data!$D$64:$M$112,4,FALSE)+VLOOKUP($A18,Data!$D$64:$M$112,7,FALSE))*VLOOKUP($A18,'VKT US'!$B$63:$AB$113,27,FALSE)*CONVERT(0.9072,"g","ton")*m2k</f>
        <v>49.491618975902384</v>
      </c>
      <c r="Z18" s="95">
        <f t="shared" si="5"/>
        <v>25.565148381330886</v>
      </c>
      <c r="AA18" s="118">
        <f t="shared" si="6"/>
        <v>-6737.4865792768396</v>
      </c>
      <c r="AB18" s="144">
        <f>VLOOKUP($A18,'TCO Inputs'!$A$3:$AG$53,13,FALSE)</f>
        <v>28460.759801658827</v>
      </c>
      <c r="AC18" s="65">
        <f>VLOOKUP($A18,'TCO Inputs'!$A$3:$AG$53,17,FALSE)</f>
        <v>17856.607133805835</v>
      </c>
      <c r="AD18" s="65">
        <f>VLOOKUP($A18,'TCO Inputs'!$A$3:$AG$53,21,FALSE)</f>
        <v>23164.436341894958</v>
      </c>
      <c r="AE18" s="65">
        <f>VLOOKUP($A18,'TCO Inputs'!$A$3:$AG$53,25,FALSE)</f>
        <v>33346.521914711797</v>
      </c>
      <c r="AF18" s="65">
        <f>VLOOKUP($A18,'TCO Inputs'!$A$3:$AG$53,29,FALSE)</f>
        <v>0</v>
      </c>
      <c r="AG18" s="65">
        <f>VLOOKUP($A18,'TCO Inputs'!$A$3:$AG$53,33,FALSE)</f>
        <v>102828.32519207141</v>
      </c>
      <c r="AH18" s="7">
        <f>(VLOOKUP($A18,Data!$D$64:$M$112,9,FALSE)+VLOOKUP($A18,Data!$D$64:$M$112,10,FALSE))*VLOOKUP($A18,'VKT US'!$B$63:$AB$113,27,FALSE)*CONVERT(0.9072,"g","ton")*m2k</f>
        <v>34.751136477240976</v>
      </c>
      <c r="AI18" s="95">
        <f t="shared" si="7"/>
        <v>40.305630879992293</v>
      </c>
      <c r="AJ18" s="186">
        <f t="shared" si="8"/>
        <v>2609.2670808002731</v>
      </c>
      <c r="AK18" s="188">
        <f>VLOOKUP($A18,'TCO Inputs'!$A$3:$AT$53,40,FALSE)</f>
        <v>30376.676612640622</v>
      </c>
      <c r="AL18" s="188">
        <f>VLOOKUP($A18,'TCO Inputs'!$A$3:$AT$53,41,FALSE)</f>
        <v>11596.489411533479</v>
      </c>
      <c r="AM18" s="188">
        <f>VLOOKUP($A18,'TCO Inputs'!$A$3:$AT$53,42,FALSE)</f>
        <v>22320.643550691129</v>
      </c>
      <c r="AN18" s="188">
        <f>VLOOKUP($A18,'TCO Inputs'!$A$3:$AT$53,43,FALSE)</f>
        <v>39571.998487168181</v>
      </c>
      <c r="AO18" s="188">
        <f>VLOOKUP($A18,'TCO Inputs'!$A$3:$AT$53,44,FALSE)</f>
        <v>0</v>
      </c>
      <c r="AP18" s="188">
        <f>VLOOKUP($A18,'TCO Inputs'!$A$3:$AT$53,45,FALSE)</f>
        <v>103865.80806203341</v>
      </c>
      <c r="AQ18" s="96">
        <f>(VLOOKUP($A18,Data!$D$64:$O$114,11,FALSE)+VLOOKUP($A18,'Fuel economy adjusted factor'!$A$2:$L$52,12,FALSE)*(1-'TCO Inputs'!$BD$9))*VLOOKUP($A18,'VKT US'!$B$63:$AB$113,27,FALSE)*CONVERT(0.9072,"g","ton")*m2k+VLOOKUP($A18,'US Grid mix, emissions&amp;prices'!$H$224:$AK$274,30,FALSE)</f>
        <v>38.101797619801033</v>
      </c>
      <c r="AR18" s="96">
        <f t="shared" si="9"/>
        <v>36.954969737432236</v>
      </c>
      <c r="AS18" s="60">
        <f>VLOOKUP($A18,'TCO Inputs'!$A$3:$AT$53,46,FALSE)</f>
        <v>3646.7499507622706</v>
      </c>
      <c r="AT18" s="98">
        <f>(VLOOKUP($A18,Data!$D$64:$M$112,5,FALSE)+VLOOKUP($A18,Data!$D$64:$M$112,8,FALSE))*VLOOKUP($A18,'VKT US'!$B$63:$AB$113,2,FALSE)*CONVERT(0.9072,"g","ton")*m2k*VLOOKUP($A18,'VKT US'!$F$5:$S$56,11,FALSE)/1000000</f>
        <v>13.972965871319806</v>
      </c>
      <c r="AU18" s="98">
        <f>(VLOOKUP($A18,Data!$D$64:$F$114,3,FALSE)+VLOOKUP($A18,Data!$D$64:$I$114,6,FALSE))*VLOOKUP($A18,'VKT US'!$B$63:$AB$113,2,FALSE)*m2k*CONVERT(0.9072,"g","ton")*VLOOKUP($A18,'VKT US'!$F$5:$S$56,2,FALSE)/1000000</f>
        <v>3.6488180087966372E-2</v>
      </c>
      <c r="AV18" s="98">
        <f>(VLOOKUP($A18,Data!$D$64:$M$112,4,FALSE)+VLOOKUP($A18,Data!$D$64:$M$112,7,FALSE))*VLOOKUP($A18,'VKT US'!$B$63:$AB$113,2,FALSE)*CONVERT(0.9072,"g","ton")*m2k*VLOOKUP($A18,'VKT US'!$F$5:$S$56,4,FALSE)/1000000</f>
        <v>0.21413195709648469</v>
      </c>
      <c r="AW18" s="98">
        <f>(VLOOKUP($A18,Data!$D$64:$M$112,9,FALSE)+VLOOKUP($A18,Data!$D$64:$M$112,10,FALSE))*VLOOKUP($A18,'VKT US'!$B$63:$AB$113,2,FALSE)*CONVERT(0.9072,"g","ton")*m2k*VLOOKUP($A18,'VKT US'!$F$5:$S$56,9,FALSE)/1000000</f>
        <v>0</v>
      </c>
      <c r="AX18" s="98">
        <f>H18*VLOOKUP($A18,'VKT US'!$F$5:$S$56,11,FALSE)/1000000</f>
        <v>162.76810569089605</v>
      </c>
      <c r="AY18" s="98">
        <f>P18*VLOOKUP($A18,'VKT US'!$F$5:$S$56,2,FALSE)/1000000</f>
        <v>0.34639900359398307</v>
      </c>
      <c r="AZ18" s="98">
        <f>Y18*VLOOKUP($A18,'VKT US'!$F$5:$S$56,4,FALSE)/1000000</f>
        <v>2.4943775963854797</v>
      </c>
      <c r="BA18" s="98">
        <f>AH18*VLOOKUP($A18,'VKT US'!$F$5:$S$56,9,FALSE)/1000000</f>
        <v>0</v>
      </c>
      <c r="BB18" s="79">
        <f>VLOOKUP($A18,Data!$D$64:$M$112,4,FALSE)+VLOOKUP($A18,Data!$D$64:$M$112,7,FALSE)-(VLOOKUP($A18,Data!$D$64:$F$114,3,FALSE)+VLOOKUP($A18,Data!$D$64:$I$114,6,FALSE))</f>
        <v>38.010308964786731</v>
      </c>
      <c r="BC18" s="10">
        <f>(Y18-P18)*VLOOKUP($A18,'VKT US'!$F$5:$S$56,14,FALSE)/1000000*'Scenario analysis'!$E$4</f>
        <v>49.37324105347323</v>
      </c>
      <c r="BD18" s="10">
        <f>P18*VLOOKUP($A18,'VKT US'!$F$5:$S$56,14,FALSE)/1000000*'Scenario analysis'!$E$4</f>
        <v>80.349241444264521</v>
      </c>
      <c r="BE18" s="79">
        <f>(VLOOKUP($A18,Data!$D$64:$M$114,4,FALSE)+VLOOKUP($A18,Data!$D$64:$M$114,7,FALSE)-(VLOOKUP($A18,Data!$D$64:$F$114,3,FALSE)+VLOOKUP($A18,Data!$D$64:$I$114,6,FALSE)))*VLOOKUP($A18,'VKT US'!$B$63:$AB$113,2,FALSE)*CONVERT(0.9072,"g","ton")*m2k*VLOOKUP($A18,'VKT US'!$F$5:$S$56,14,FALSE)/1000000*'Scenario analysis'!$E$4</f>
        <v>2.6724931048345515</v>
      </c>
      <c r="BF18" s="79">
        <f>(VLOOKUP($A18,Data!$D$64:$F$114,3,FALSE)+VLOOKUP($A18,Data!$D$64:$I$114,6,FALSE))*VLOOKUP($A18,'VKT US'!$B$63:$AB$113,2,FALSE)*CONVERT(0.9072,"g","ton")*m2k*VLOOKUP($A18,'VKT US'!$F$5:$S$56,14,FALSE)/1000000*'Scenario analysis'!$E$4</f>
        <v>8.4636432591653694</v>
      </c>
      <c r="BG18" s="79">
        <f>(VLOOKUP($A18,Data!$D$64:$M$114,4,FALSE)+VLOOKUP($A18,Data!$D$64:$M$114,7,FALSE))*VLOOKUP($A18,'VKT US'!$B$63:$AB$113,2,FALSE)*CONVERT(0.9072,"g","ton")*m2k*VLOOKUP($A18,'VKT US'!$F$5:$S$56,14,FALSE)/1000000*'Scenario analysis'!$E$4</f>
        <v>11.136136363999922</v>
      </c>
      <c r="BH18" s="79">
        <f t="shared" si="0"/>
        <v>18.836839896788838</v>
      </c>
      <c r="BI18" s="96">
        <f t="shared" si="1"/>
        <v>848.24522009497207</v>
      </c>
      <c r="BJ18" s="191">
        <f t="shared" si="2"/>
        <v>15978.259404145399</v>
      </c>
      <c r="BK18" s="191">
        <f>(VLOOKUP($A18,'US Grid mix, emissions&amp;prices'!$H$169:$AK$219,30,FALSE)+VLOOKUP($A18,Data!$D$64:$F$114,3,FALSE)*VLOOKUP($A18,'VKT US'!$B$63:$AB$113,27,FALSE)*m2k*CONVERT(0.9072,"g","ton"))*VLOOKUP($A18,'VKT US'!$F$5:$S$56,14,FALSE)/1000000</f>
        <v>80.349241444264521</v>
      </c>
      <c r="BL18" s="191">
        <f>P18*VLOOKUP($A18,'VKT US'!$F$5:$S$56,14,FALSE)/1000000-BK18</f>
        <v>0</v>
      </c>
      <c r="BM18" s="191">
        <v>7.5663885407328983</v>
      </c>
      <c r="BN18" s="191">
        <v>1.0728343679060686</v>
      </c>
      <c r="BO18" s="191" cm="1">
        <f t="array" ref="BO18">_xlfn.IFS(AND(Q18&gt;0,R18&gt;0),R18/Q18,AND(Q18&gt;0,R18&lt;=0),-R18/Q18,Q18&lt;=0,0)</f>
        <v>208.11619441425327</v>
      </c>
      <c r="BP18" s="212" cm="1">
        <f t="array" ref="BP18">_xlfn.IFS(AND(Z18&gt;0,AA18&gt;0),AA18/Z18,AND(Z18&gt;0,AA18&lt;=0),AA18/Z18,Z18&lt;=0,0)</f>
        <v>-263.54185310330263</v>
      </c>
      <c r="BQ18" s="191">
        <f>P18*1000000/(VLOOKUP($A18,'VKT US'!$B$63:$AB$113,27,FALSE)*m2k)</f>
        <v>98.105460780558772</v>
      </c>
      <c r="BR18" s="191">
        <f>Y18*1000000/(VLOOKUP($A18,'VKT US'!$B$63:$AB$113,27,FALSE)*m2k)</f>
        <v>158.38959634567865</v>
      </c>
      <c r="BS18" s="191">
        <f>H18*1000000/(VLOOKUP($A18,'VKT US'!$B$63:$AB$113,27,FALSE)*m2k)</f>
        <v>240.20655073967359</v>
      </c>
      <c r="BT18" s="95"/>
      <c r="BU18" s="10">
        <f t="shared" si="10"/>
        <v>98050.523542576251</v>
      </c>
      <c r="BV18" s="10">
        <f t="shared" si="11"/>
        <v>107341.56748661415</v>
      </c>
      <c r="BW18" s="10">
        <f t="shared" si="12"/>
        <v>91222.648207705992</v>
      </c>
      <c r="BX18" s="10">
        <f t="shared" si="13"/>
        <v>99790.149589169916</v>
      </c>
      <c r="BY18" s="53">
        <f t="shared" si="14"/>
        <v>101100.40929383134</v>
      </c>
      <c r="BZ18" s="79">
        <f t="shared" si="15"/>
        <v>38.44404962980262</v>
      </c>
      <c r="CA18" s="96">
        <f>VLOOKUP($A18,'TCO Inputs'!$Y$114:$AT$164,22,FALSE)</f>
        <v>73420.456127909478</v>
      </c>
      <c r="CB18" s="211">
        <f>CA18*VLOOKUP($A18,'VKT US'!$F$5:$S$56,14,FALSE)/(10^9)</f>
        <v>192.44235755686353</v>
      </c>
    </row>
    <row r="19" spans="1:80" x14ac:dyDescent="0.25">
      <c r="A19" s="83" t="s">
        <v>157</v>
      </c>
      <c r="B19" s="150">
        <f>VLOOKUP($A19,'TCO Inputs'!$A$3:$AG$53,10,FALSE)</f>
        <v>23731.611795719989</v>
      </c>
      <c r="C19" s="71">
        <f>VLOOKUP($A19,'TCO Inputs'!$A$3:$AG$53,14,FALSE)</f>
        <v>21323.12334407412</v>
      </c>
      <c r="D19" s="71">
        <f>VLOOKUP($A19,'TCO Inputs'!$A$3:$AG$53,18,FALSE)</f>
        <v>27800.514555826918</v>
      </c>
      <c r="E19" s="71">
        <f>VLOOKUP($A19,'TCO Inputs'!$A$3:$AG$53,22,FALSE)</f>
        <v>38592.622341199567</v>
      </c>
      <c r="F19" s="71">
        <f>VLOOKUP($A19,'TCO Inputs'!$A$3:$AG$53,26,FALSE)</f>
        <v>0</v>
      </c>
      <c r="G19" s="65">
        <f>VLOOKUP($A19,'TCO Inputs'!$A$3:$AG$53,30,FALSE)</f>
        <v>111447.8720368206</v>
      </c>
      <c r="H19" s="95">
        <f>(VLOOKUP($A19,Data!$D$64:$M$112,5,FALSE)+VLOOKUP($A19,Data!$D$64:$M$112,8,FALSE))*VLOOKUP($A19,'VKT US'!$B$63:$AB$113,27,FALSE)*CONVERT(0.9072,"g","ton")*m2k</f>
        <v>82.082296035675256</v>
      </c>
      <c r="I19" s="92"/>
      <c r="J19" s="144">
        <f>VLOOKUP($A19,'TCO Inputs'!$A$3:$AG$53,11,FALSE)</f>
        <v>40967.546942691188</v>
      </c>
      <c r="K19" s="65">
        <f>VLOOKUP($A19,'TCO Inputs'!$A$3:$AG$53,15,FALSE)</f>
        <v>12934.246869360666</v>
      </c>
      <c r="L19" s="65">
        <f>VLOOKUP($A19,'TCO Inputs'!$A$3:$AG$53,19,FALSE)</f>
        <v>17311.24239717449</v>
      </c>
      <c r="M19" s="65">
        <f>VLOOKUP($A19,'TCO Inputs'!$A$3:$AG$53,23,FALSE)</f>
        <v>47308.040294707949</v>
      </c>
      <c r="N19" s="65">
        <f>VLOOKUP($A19,'TCO Inputs'!$A$3:$AG$53,27,FALSE)</f>
        <v>0</v>
      </c>
      <c r="O19" s="65">
        <f>VLOOKUP($A19,'TCO Inputs'!$A$3:$AG$53,31,FALSE)</f>
        <v>118521.07650393428</v>
      </c>
      <c r="P19" s="7">
        <f>VLOOKUP($A19,_xlfn.IFS('Scenario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analysis'!$Q$121:$R$126),2,FALSE)+VLOOKUP($A19,Data!$D$64:$F$114,3,FALSE)*VLOOKUP($A19,'VKT US'!$B$63:$AB$113,27,FALSE)*m2k*CONVERT(0.9072,"g","ton")</f>
        <v>64.084978557539259</v>
      </c>
      <c r="Q19" s="95">
        <f t="shared" si="3"/>
        <v>17.997317478135997</v>
      </c>
      <c r="R19" s="60">
        <f t="shared" si="4"/>
        <v>7073.2044671136828</v>
      </c>
      <c r="S19" s="144">
        <f>VLOOKUP($A19,'TCO Inputs'!$A$3:$AG$53,12,FALSE)</f>
        <v>25202.087524607668</v>
      </c>
      <c r="T19" s="65">
        <f>VLOOKUP($A19,'TCO Inputs'!$A$3:$AG$53,16,FALSE)</f>
        <v>13121.922057891763</v>
      </c>
      <c r="U19" s="65">
        <f>VLOOKUP($A19,'TCO Inputs'!$A$3:$AG$53,20,FALSE)</f>
        <v>25552.81337897282</v>
      </c>
      <c r="V19" s="65">
        <f>VLOOKUP($A19,'TCO Inputs'!$A$3:$AG$53,24,FALSE)</f>
        <v>40216.327831538954</v>
      </c>
      <c r="W19" s="65">
        <f>VLOOKUP($A19,'TCO Inputs'!$A$3:$AG$53,28,FALSE)</f>
        <v>0</v>
      </c>
      <c r="X19" s="65">
        <f>VLOOKUP($A19,'TCO Inputs'!$A$3:$AG$53,32,FALSE)</f>
        <v>104093.15079301121</v>
      </c>
      <c r="Y19" s="7">
        <f>(VLOOKUP($A19,Data!$D$64:$M$112,4,FALSE)+VLOOKUP($A19,Data!$D$64:$M$112,7,FALSE))*VLOOKUP($A19,'VKT US'!$B$63:$AB$113,27,FALSE)*CONVERT(0.9072,"g","ton")*m2k</f>
        <v>54.15452461050166</v>
      </c>
      <c r="Z19" s="95">
        <f t="shared" si="5"/>
        <v>27.927771425173596</v>
      </c>
      <c r="AA19" s="118">
        <f t="shared" si="6"/>
        <v>-7354.7212438093848</v>
      </c>
      <c r="AB19" s="144">
        <f>VLOOKUP($A19,'TCO Inputs'!$A$3:$AG$53,13,FALSE)</f>
        <v>28460.759801658827</v>
      </c>
      <c r="AC19" s="65">
        <f>VLOOKUP($A19,'TCO Inputs'!$A$3:$AG$53,17,FALSE)</f>
        <v>19508.135214092941</v>
      </c>
      <c r="AD19" s="65">
        <f>VLOOKUP($A19,'TCO Inputs'!$A$3:$AG$53,21,FALSE)</f>
        <v>25552.81337897282</v>
      </c>
      <c r="AE19" s="65">
        <f>VLOOKUP($A19,'TCO Inputs'!$A$3:$AG$53,25,FALSE)</f>
        <v>40440.187831538948</v>
      </c>
      <c r="AF19" s="65">
        <f>VLOOKUP($A19,'TCO Inputs'!$A$3:$AG$53,29,FALSE)</f>
        <v>0</v>
      </c>
      <c r="AG19" s="65">
        <f>VLOOKUP($A19,'TCO Inputs'!$A$3:$AG$53,33,FALSE)</f>
        <v>113961.89622626353</v>
      </c>
      <c r="AH19" s="7">
        <f>(VLOOKUP($A19,Data!$D$64:$M$112,9,FALSE)+VLOOKUP($A19,Data!$D$64:$M$112,10,FALSE))*VLOOKUP($A19,'VKT US'!$B$63:$AB$113,27,FALSE)*CONVERT(0.9072,"g","ton")*m2k</f>
        <v>38.334164147311697</v>
      </c>
      <c r="AI19" s="95">
        <f t="shared" si="7"/>
        <v>43.748131888363559</v>
      </c>
      <c r="AJ19" s="186">
        <f t="shared" si="8"/>
        <v>2514.0241894429346</v>
      </c>
      <c r="AK19" s="188">
        <f>VLOOKUP($A19,'TCO Inputs'!$A$3:$AT$53,40,FALSE)</f>
        <v>30376.676612640622</v>
      </c>
      <c r="AL19" s="188">
        <f>VLOOKUP($A19,'TCO Inputs'!$A$3:$AT$53,41,FALSE)</f>
        <v>12293.663526427579</v>
      </c>
      <c r="AM19" s="188">
        <f>VLOOKUP($A19,'TCO Inputs'!$A$3:$AT$53,42,FALSE)</f>
        <v>24622.021046885788</v>
      </c>
      <c r="AN19" s="188">
        <f>VLOOKUP($A19,'TCO Inputs'!$A$3:$AT$53,43,FALSE)</f>
        <v>46702.340294707952</v>
      </c>
      <c r="AO19" s="188">
        <f>VLOOKUP($A19,'TCO Inputs'!$A$3:$AT$53,44,FALSE)</f>
        <v>0</v>
      </c>
      <c r="AP19" s="188">
        <f>VLOOKUP($A19,'TCO Inputs'!$A$3:$AT$53,45,FALSE)</f>
        <v>113994.70148066193</v>
      </c>
      <c r="AQ19" s="96">
        <f>(VLOOKUP($A19,Data!$D$64:$O$114,11,FALSE)+VLOOKUP($A19,'Fuel economy adjusted factor'!$A$2:$L$52,12,FALSE)*(1-'TCO Inputs'!$BD$9))*VLOOKUP($A19,'VKT US'!$B$63:$AB$113,27,FALSE)*CONVERT(0.9072,"g","ton")*m2k+VLOOKUP($A19,'US Grid mix, emissions&amp;prices'!$H$224:$AK$274,30,FALSE)</f>
        <v>57.559775363804754</v>
      </c>
      <c r="AR19" s="96">
        <f t="shared" si="9"/>
        <v>24.522520671870502</v>
      </c>
      <c r="AS19" s="60">
        <f>VLOOKUP($A19,'TCO Inputs'!$A$3:$AT$53,46,FALSE)</f>
        <v>2546.8294438413286</v>
      </c>
      <c r="AT19" s="98">
        <f>(VLOOKUP($A19,Data!$D$64:$M$112,5,FALSE)+VLOOKUP($A19,Data!$D$64:$M$112,8,FALSE))*VLOOKUP($A19,'VKT US'!$B$63:$AB$113,2,FALSE)*CONVERT(0.9072,"g","ton")*m2k*VLOOKUP($A19,'VKT US'!$F$5:$S$56,11,FALSE)/1000000</f>
        <v>24.06353868952635</v>
      </c>
      <c r="AU19" s="98">
        <f>(VLOOKUP($A19,Data!$D$64:$F$114,3,FALSE)+VLOOKUP($A19,Data!$D$64:$I$114,6,FALSE))*VLOOKUP($A19,'VKT US'!$B$63:$AB$113,2,FALSE)*m2k*CONVERT(0.9072,"g","ton")*VLOOKUP($A19,'VKT US'!$F$5:$S$56,2,FALSE)/1000000</f>
        <v>8.2151543417764331E-2</v>
      </c>
      <c r="AV19" s="98">
        <f>(VLOOKUP($A19,Data!$D$64:$M$112,4,FALSE)+VLOOKUP($A19,Data!$D$64:$M$112,7,FALSE))*VLOOKUP($A19,'VKT US'!$B$63:$AB$113,2,FALSE)*CONVERT(0.9072,"g","ton")*m2k*VLOOKUP($A19,'VKT US'!$F$5:$S$56,4,FALSE)/1000000</f>
        <v>0.31194394279899662</v>
      </c>
      <c r="AW19" s="98">
        <f>(VLOOKUP($A19,Data!$D$64:$M$112,9,FALSE)+VLOOKUP($A19,Data!$D$64:$M$112,10,FALSE))*VLOOKUP($A19,'VKT US'!$B$63:$AB$113,2,FALSE)*CONVERT(0.9072,"g","ton")*m2k*VLOOKUP($A19,'VKT US'!$F$5:$S$56,9,FALSE)/1000000</f>
        <v>0</v>
      </c>
      <c r="AX19" s="98">
        <f>H19*VLOOKUP($A19,'VKT US'!$F$5:$S$56,11,FALSE)/1000000</f>
        <v>280.311040961831</v>
      </c>
      <c r="AY19" s="98">
        <f>P19*VLOOKUP($A19,'VKT US'!$F$5:$S$56,2,FALSE)/1000000</f>
        <v>0.74338575126745543</v>
      </c>
      <c r="AZ19" s="98">
        <f>Y19*VLOOKUP($A19,'VKT US'!$F$5:$S$56,4,FALSE)/1000000</f>
        <v>3.6337686013646615</v>
      </c>
      <c r="BA19" s="98">
        <f>AH19*VLOOKUP($A19,'VKT US'!$F$5:$S$56,9,FALSE)/1000000</f>
        <v>0</v>
      </c>
      <c r="BB19" s="79">
        <f>VLOOKUP($A19,Data!$D$64:$M$112,4,FALSE)+VLOOKUP($A19,Data!$D$64:$M$112,7,FALSE)-(VLOOKUP($A19,Data!$D$64:$F$114,3,FALSE)+VLOOKUP($A19,Data!$D$64:$I$114,6,FALSE))</f>
        <v>-82.22603162105915</v>
      </c>
      <c r="BC19" s="10">
        <f>(Y19-P19)*VLOOKUP($A19,'VKT US'!$F$5:$S$56,14,FALSE)/1000000*'Scenario analysis'!$E$4</f>
        <v>-40.116054809847789</v>
      </c>
      <c r="BD19" s="10">
        <f>P19*VLOOKUP($A19,'VKT US'!$F$5:$S$56,14,FALSE)/1000000*'Scenario analysis'!$E$4</f>
        <v>258.88408787889136</v>
      </c>
      <c r="BE19" s="79">
        <f>(VLOOKUP($A19,Data!$D$64:$M$114,4,FALSE)+VLOOKUP($A19,Data!$D$64:$M$114,7,FALSE)-(VLOOKUP($A19,Data!$D$64:$F$114,3,FALSE)+VLOOKUP($A19,Data!$D$64:$I$114,6,FALSE)))*VLOOKUP($A19,'VKT US'!$B$63:$AB$113,2,FALSE)*CONVERT(0.9072,"g","ton")*m2k*VLOOKUP($A19,'VKT US'!$F$5:$S$56,14,FALSE)/1000000*'Scenario analysis'!$E$4</f>
        <v>-9.8289479352497473</v>
      </c>
      <c r="BF19" s="79">
        <f>(VLOOKUP($A19,Data!$D$64:$F$114,3,FALSE)+VLOOKUP($A19,Data!$D$64:$I$114,6,FALSE))*VLOOKUP($A19,'VKT US'!$B$63:$AB$113,2,FALSE)*CONVERT(0.9072,"g","ton")*m2k*VLOOKUP($A19,'VKT US'!$F$5:$S$56,14,FALSE)/1000000*'Scenario analysis'!$E$4</f>
        <v>28.609274995236429</v>
      </c>
      <c r="BG19" s="79">
        <f>(VLOOKUP($A19,Data!$D$64:$M$114,4,FALSE)+VLOOKUP($A19,Data!$D$64:$M$114,7,FALSE))*VLOOKUP($A19,'VKT US'!$B$63:$AB$113,2,FALSE)*CONVERT(0.9072,"g","ton")*m2k*VLOOKUP($A19,'VKT US'!$F$5:$S$56,14,FALSE)/1000000*'Scenario analysis'!$E$4</f>
        <v>18.780327059986686</v>
      </c>
      <c r="BH19" s="79">
        <f t="shared" si="0"/>
        <v>-9.9304539470375985</v>
      </c>
      <c r="BI19" s="96">
        <f t="shared" si="1"/>
        <v>-1452.8968955368985</v>
      </c>
      <c r="BJ19" s="191">
        <f t="shared" si="2"/>
        <v>14427.925710923068</v>
      </c>
      <c r="BK19" s="191">
        <f>(VLOOKUP($A19,'US Grid mix, emissions&amp;prices'!$H$169:$AK$219,30,FALSE)+VLOOKUP($A19,Data!$D$64:$F$114,3,FALSE)*VLOOKUP($A19,'VKT US'!$B$63:$AB$113,27,FALSE)*m2k*CONVERT(0.9072,"g","ton"))*VLOOKUP($A19,'VKT US'!$F$5:$S$56,14,FALSE)/1000000</f>
        <v>258.88408787889136</v>
      </c>
      <c r="BL19" s="191">
        <f>P19*VLOOKUP($A19,'VKT US'!$F$5:$S$56,14,FALSE)/1000000-BK19</f>
        <v>0</v>
      </c>
      <c r="BM19" s="191">
        <v>24.950828706247439</v>
      </c>
      <c r="BN19" s="191">
        <v>4.3743508184863273</v>
      </c>
      <c r="BO19" s="191" cm="1">
        <f t="array" ref="BO19">_xlfn.IFS(AND(Q19&gt;0,R19&gt;0),R19/Q19,AND(Q19&gt;0,R19&lt;=0),-R19/Q19,Q19&lt;=0,0)</f>
        <v>393.01437426475087</v>
      </c>
      <c r="BP19" s="212" cm="1">
        <f t="array" ref="BP19">_xlfn.IFS(AND(Z19&gt;0,AA19&gt;0),AA19/Z19,AND(Z19&gt;0,AA19&lt;=0),AA19/Z19,Z19&lt;=0,0)</f>
        <v>-263.34794609425836</v>
      </c>
      <c r="BQ19" s="191">
        <f>P19*1000000/(VLOOKUP($A19,'VKT US'!$B$63:$AB$113,27,FALSE)*m2k)</f>
        <v>185.92348377908178</v>
      </c>
      <c r="BR19" s="191">
        <f>Y19*1000000/(VLOOKUP($A19,'VKT US'!$B$63:$AB$113,27,FALSE)*m2k)</f>
        <v>157.11322847591049</v>
      </c>
      <c r="BS19" s="191">
        <f>H19*1000000/(VLOOKUP($A19,'VKT US'!$B$63:$AB$113,27,FALSE)*m2k)</f>
        <v>238.13734168353369</v>
      </c>
      <c r="BT19" s="95"/>
      <c r="BU19" s="10">
        <f t="shared" si="10"/>
        <v>98050.523542576251</v>
      </c>
      <c r="BV19" s="10">
        <f t="shared" si="11"/>
        <v>107341.56748661415</v>
      </c>
      <c r="BW19" s="10">
        <f t="shared" si="12"/>
        <v>91222.648207705992</v>
      </c>
      <c r="BX19" s="10">
        <f t="shared" si="13"/>
        <v>99790.149589169916</v>
      </c>
      <c r="BY19" s="53">
        <f t="shared" si="14"/>
        <v>101100.40929383134</v>
      </c>
      <c r="BZ19" s="79">
        <f t="shared" si="15"/>
        <v>38.44404962980262</v>
      </c>
      <c r="CA19" s="96">
        <f>VLOOKUP($A19,'TCO Inputs'!$Y$114:$AT$164,22,FALSE)</f>
        <v>78849.779084051406</v>
      </c>
      <c r="CB19" s="211">
        <f>CA19*VLOOKUP($A19,'VKT US'!$F$5:$S$56,14,FALSE)/(10^9)</f>
        <v>318.52945256584246</v>
      </c>
    </row>
    <row r="20" spans="1:80" x14ac:dyDescent="0.25">
      <c r="A20" s="83" t="s">
        <v>200</v>
      </c>
      <c r="B20" s="150">
        <f>VLOOKUP($A20,'TCO Inputs'!$A$3:$AG$53,10,FALSE)</f>
        <v>23731.611795719989</v>
      </c>
      <c r="C20" s="71">
        <f>VLOOKUP($A20,'TCO Inputs'!$A$3:$AG$53,14,FALSE)</f>
        <v>17792.464729765517</v>
      </c>
      <c r="D20" s="71">
        <f>VLOOKUP($A20,'TCO Inputs'!$A$3:$AG$53,18,FALSE)</f>
        <v>25491.903902126236</v>
      </c>
      <c r="E20" s="71">
        <f>VLOOKUP($A20,'TCO Inputs'!$A$3:$AG$53,22,FALSE)</f>
        <v>43634.839946854394</v>
      </c>
      <c r="F20" s="71">
        <f>VLOOKUP($A20,'TCO Inputs'!$A$3:$AG$53,26,FALSE)</f>
        <v>0</v>
      </c>
      <c r="G20" s="65">
        <f>VLOOKUP($A20,'TCO Inputs'!$A$3:$AG$53,30,FALSE)</f>
        <v>110650.82037446613</v>
      </c>
      <c r="H20" s="95">
        <f>(VLOOKUP($A20,Data!$D$64:$M$112,5,FALSE)+VLOOKUP($A20,Data!$D$64:$M$112,8,FALSE))*VLOOKUP($A20,'VKT US'!$B$63:$AB$113,27,FALSE)*CONVERT(0.9072,"g","ton")*m2k</f>
        <v>74.612019980171894</v>
      </c>
      <c r="I20" s="92"/>
      <c r="J20" s="144">
        <f>VLOOKUP($A20,'TCO Inputs'!$A$3:$AG$53,11,FALSE)</f>
        <v>40967.546942691188</v>
      </c>
      <c r="K20" s="65">
        <f>VLOOKUP($A20,'TCO Inputs'!$A$3:$AG$53,15,FALSE)</f>
        <v>10610.485726310199</v>
      </c>
      <c r="L20" s="65">
        <f>VLOOKUP($A20,'TCO Inputs'!$A$3:$AG$53,19,FALSE)</f>
        <v>15873.682004302715</v>
      </c>
      <c r="M20" s="65">
        <f>VLOOKUP($A20,'TCO Inputs'!$A$3:$AG$53,23,FALSE)</f>
        <v>54598.87363020589</v>
      </c>
      <c r="N20" s="65">
        <f>VLOOKUP($A20,'TCO Inputs'!$A$3:$AG$53,27,FALSE)</f>
        <v>0</v>
      </c>
      <c r="O20" s="65">
        <f>VLOOKUP($A20,'TCO Inputs'!$A$3:$AG$53,31,FALSE)</f>
        <v>122050.58830350998</v>
      </c>
      <c r="P20" s="7">
        <f>VLOOKUP($A20,_xlfn.IFS('Scenario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analysis'!$Q$121:$R$126),2,FALSE)+VLOOKUP($A20,Data!$D$64:$F$114,3,FALSE)*VLOOKUP($A20,'VKT US'!$B$63:$AB$113,27,FALSE)*m2k*CONVERT(0.9072,"g","ton")</f>
        <v>35.197090979428992</v>
      </c>
      <c r="Q20" s="95">
        <f t="shared" si="3"/>
        <v>39.414929000742902</v>
      </c>
      <c r="R20" s="60">
        <f t="shared" si="4"/>
        <v>11399.767929043854</v>
      </c>
      <c r="S20" s="144">
        <f>VLOOKUP($A20,'TCO Inputs'!$A$3:$AG$53,12,FALSE)</f>
        <v>25202.087524607668</v>
      </c>
      <c r="T20" s="65">
        <f>VLOOKUP($A20,'TCO Inputs'!$A$3:$AG$53,16,FALSE)</f>
        <v>10949.209064471092</v>
      </c>
      <c r="U20" s="65">
        <f>VLOOKUP($A20,'TCO Inputs'!$A$3:$AG$53,20,FALSE)</f>
        <v>23430.856352592618</v>
      </c>
      <c r="V20" s="65">
        <f>VLOOKUP($A20,'TCO Inputs'!$A$3:$AG$53,24,FALSE)</f>
        <v>45470.686409045986</v>
      </c>
      <c r="W20" s="65">
        <f>VLOOKUP($A20,'TCO Inputs'!$A$3:$AG$53,28,FALSE)</f>
        <v>0</v>
      </c>
      <c r="X20" s="65">
        <f>VLOOKUP($A20,'TCO Inputs'!$A$3:$AG$53,32,FALSE)</f>
        <v>105052.83935071736</v>
      </c>
      <c r="Y20" s="7">
        <f>(VLOOKUP($A20,Data!$D$64:$M$112,4,FALSE)+VLOOKUP($A20,Data!$D$64:$M$112,7,FALSE))*VLOOKUP($A20,'VKT US'!$B$63:$AB$113,27,FALSE)*CONVERT(0.9072,"g","ton")*m2k</f>
        <v>49.254013355310057</v>
      </c>
      <c r="Z20" s="95">
        <f t="shared" si="5"/>
        <v>25.358006624861837</v>
      </c>
      <c r="AA20" s="118">
        <f t="shared" si="6"/>
        <v>-5597.9810237487691</v>
      </c>
      <c r="AB20" s="144">
        <f>VLOOKUP($A20,'TCO Inputs'!$A$3:$AG$53,13,FALSE)</f>
        <v>28460.759801658827</v>
      </c>
      <c r="AC20" s="65">
        <f>VLOOKUP($A20,'TCO Inputs'!$A$3:$AG$53,17,FALSE)</f>
        <v>17714.300379341676</v>
      </c>
      <c r="AD20" s="65">
        <f>VLOOKUP($A20,'TCO Inputs'!$A$3:$AG$53,21,FALSE)</f>
        <v>23430.856352592618</v>
      </c>
      <c r="AE20" s="65">
        <f>VLOOKUP($A20,'TCO Inputs'!$A$3:$AG$53,25,FALSE)</f>
        <v>45636.715909045983</v>
      </c>
      <c r="AF20" s="65">
        <f>VLOOKUP($A20,'TCO Inputs'!$A$3:$AG$53,29,FALSE)</f>
        <v>0</v>
      </c>
      <c r="AG20" s="65">
        <f>VLOOKUP($A20,'TCO Inputs'!$A$3:$AG$53,33,FALSE)</f>
        <v>115242.63244263909</v>
      </c>
      <c r="AH20" s="7">
        <f>(VLOOKUP($A20,Data!$D$64:$M$112,9,FALSE)+VLOOKUP($A20,Data!$D$64:$M$112,10,FALSE))*VLOOKUP($A20,'VKT US'!$B$63:$AB$113,27,FALSE)*CONVERT(0.9072,"g","ton")*m2k</f>
        <v>35.150818041487717</v>
      </c>
      <c r="AI20" s="95">
        <f t="shared" si="7"/>
        <v>39.461201938684177</v>
      </c>
      <c r="AJ20" s="186">
        <f t="shared" si="8"/>
        <v>4591.8120681729633</v>
      </c>
      <c r="AK20" s="188">
        <f>VLOOKUP($A20,'TCO Inputs'!$A$3:$AT$53,40,FALSE)</f>
        <v>30376.676612640622</v>
      </c>
      <c r="AL20" s="188">
        <f>VLOOKUP($A20,'TCO Inputs'!$A$3:$AT$53,41,FALSE)</f>
        <v>10163.957279755636</v>
      </c>
      <c r="AM20" s="188">
        <f>VLOOKUP($A20,'TCO Inputs'!$A$3:$AT$53,42,FALSE)</f>
        <v>22577.358888193157</v>
      </c>
      <c r="AN20" s="188">
        <f>VLOOKUP($A20,'TCO Inputs'!$A$3:$AT$53,43,FALSE)</f>
        <v>54149.646130205889</v>
      </c>
      <c r="AO20" s="188">
        <f>VLOOKUP($A20,'TCO Inputs'!$A$3:$AT$53,44,FALSE)</f>
        <v>0</v>
      </c>
      <c r="AP20" s="188">
        <f>VLOOKUP($A20,'TCO Inputs'!$A$3:$AT$53,45,FALSE)</f>
        <v>117267.6389107953</v>
      </c>
      <c r="AQ20" s="96">
        <f>(VLOOKUP($A20,Data!$D$64:$O$114,11,FALSE)+VLOOKUP($A20,'Fuel economy adjusted factor'!$A$2:$L$52,12,FALSE)*(1-'TCO Inputs'!$BD$9))*VLOOKUP($A20,'VKT US'!$B$63:$AB$113,27,FALSE)*CONVERT(0.9072,"g","ton")*m2k+VLOOKUP($A20,'US Grid mix, emissions&amp;prices'!$H$224:$AK$274,30,FALSE)</f>
        <v>40.332321292025789</v>
      </c>
      <c r="AR20" s="96">
        <f t="shared" si="9"/>
        <v>34.279698688146105</v>
      </c>
      <c r="AS20" s="60">
        <f>VLOOKUP($A20,'TCO Inputs'!$A$3:$AT$53,46,FALSE)</f>
        <v>6616.8185363291705</v>
      </c>
      <c r="AT20" s="98">
        <f>(VLOOKUP($A20,Data!$D$64:$M$112,5,FALSE)+VLOOKUP($A20,Data!$D$64:$M$112,8,FALSE))*VLOOKUP($A20,'VKT US'!$B$63:$AB$113,2,FALSE)*CONVERT(0.9072,"g","ton")*m2k*VLOOKUP($A20,'VKT US'!$F$5:$S$56,11,FALSE)/1000000</f>
        <v>20.130048973811896</v>
      </c>
      <c r="AU20" s="98">
        <f>(VLOOKUP($A20,Data!$D$64:$F$114,3,FALSE)+VLOOKUP($A20,Data!$D$64:$I$114,6,FALSE))*VLOOKUP($A20,'VKT US'!$B$63:$AB$113,2,FALSE)*m2k*CONVERT(0.9072,"g","ton")*VLOOKUP($A20,'VKT US'!$F$5:$S$56,2,FALSE)/1000000</f>
        <v>3.0777941347300344E-2</v>
      </c>
      <c r="AV20" s="98">
        <f>(VLOOKUP($A20,Data!$D$64:$M$112,4,FALSE)+VLOOKUP($A20,Data!$D$64:$M$112,7,FALSE))*VLOOKUP($A20,'VKT US'!$B$63:$AB$113,2,FALSE)*CONVERT(0.9072,"g","ton")*m2k*VLOOKUP($A20,'VKT US'!$F$5:$S$56,4,FALSE)/1000000</f>
        <v>0.1699757499644256</v>
      </c>
      <c r="AW20" s="98">
        <f>(VLOOKUP($A20,Data!$D$64:$M$112,9,FALSE)+VLOOKUP($A20,Data!$D$64:$M$112,10,FALSE))*VLOOKUP($A20,'VKT US'!$B$63:$AB$113,2,FALSE)*CONVERT(0.9072,"g","ton")*m2k*VLOOKUP($A20,'VKT US'!$F$5:$S$56,9,FALSE)/1000000</f>
        <v>0</v>
      </c>
      <c r="AX20" s="98">
        <f>H20*VLOOKUP($A20,'VKT US'!$F$5:$S$56,11,FALSE)/1000000</f>
        <v>234.49065639368425</v>
      </c>
      <c r="AY20" s="98">
        <f>P20*VLOOKUP($A20,'VKT US'!$F$5:$S$56,2,FALSE)/1000000</f>
        <v>0.28861614603131769</v>
      </c>
      <c r="AZ20" s="98">
        <f>Y20*VLOOKUP($A20,'VKT US'!$F$5:$S$56,4,FALSE)/1000000</f>
        <v>1.9800113368834644</v>
      </c>
      <c r="BA20" s="98">
        <f>AH20*VLOOKUP($A20,'VKT US'!$F$5:$S$56,9,FALSE)/1000000</f>
        <v>0</v>
      </c>
      <c r="BB20" s="79">
        <f>VLOOKUP($A20,Data!$D$64:$M$112,4,FALSE)+VLOOKUP($A20,Data!$D$64:$M$112,7,FALSE)-(VLOOKUP($A20,Data!$D$64:$F$114,3,FALSE)+VLOOKUP($A20,Data!$D$64:$I$114,6,FALSE))</f>
        <v>17.500636588772977</v>
      </c>
      <c r="BC20" s="10">
        <f>(Y20-P20)*VLOOKUP($A20,'VKT US'!$F$5:$S$56,14,FALSE)/1000000*'Scenario analysis'!$E$4</f>
        <v>53.053636431050315</v>
      </c>
      <c r="BD20" s="10">
        <f>P20*VLOOKUP($A20,'VKT US'!$F$5:$S$56,14,FALSE)/1000000*'Scenario analysis'!$E$4</f>
        <v>132.84086077456089</v>
      </c>
      <c r="BE20" s="79">
        <f>(VLOOKUP($A20,Data!$D$64:$M$114,4,FALSE)+VLOOKUP($A20,Data!$D$64:$M$114,7,FALSE)-(VLOOKUP($A20,Data!$D$64:$F$114,3,FALSE)+VLOOKUP($A20,Data!$D$64:$I$114,6,FALSE)))*VLOOKUP($A20,'VKT US'!$B$63:$AB$113,2,FALSE)*CONVERT(0.9072,"g","ton")*m2k*VLOOKUP($A20,'VKT US'!$F$5:$S$56,14,FALSE)/1000000*'Scenario analysis'!$E$4</f>
        <v>1.7921600190000988</v>
      </c>
      <c r="BF20" s="79">
        <f>(VLOOKUP($A20,Data!$D$64:$F$114,3,FALSE)+VLOOKUP($A20,Data!$D$64:$I$114,6,FALSE))*VLOOKUP($A20,'VKT US'!$B$63:$AB$113,2,FALSE)*CONVERT(0.9072,"g","ton")*m2k*VLOOKUP($A20,'VKT US'!$F$5:$S$56,14,FALSE)/1000000*'Scenario analysis'!$E$4</f>
        <v>14.166110516217191</v>
      </c>
      <c r="BG20" s="79">
        <f>(VLOOKUP($A20,Data!$D$64:$M$114,4,FALSE)+VLOOKUP($A20,Data!$D$64:$M$114,7,FALSE))*VLOOKUP($A20,'VKT US'!$B$63:$AB$113,2,FALSE)*CONVERT(0.9072,"g","ton")*m2k*VLOOKUP($A20,'VKT US'!$F$5:$S$56,14,FALSE)/1000000*'Scenario analysis'!$E$4</f>
        <v>15.958270535217292</v>
      </c>
      <c r="BH20" s="79">
        <f t="shared" si="0"/>
        <v>14.056922375881065</v>
      </c>
      <c r="BI20" s="96">
        <f t="shared" si="1"/>
        <v>1209.2084240258339</v>
      </c>
      <c r="BJ20" s="191">
        <f t="shared" si="2"/>
        <v>16997.748952792623</v>
      </c>
      <c r="BK20" s="191">
        <f>(VLOOKUP($A20,'US Grid mix, emissions&amp;prices'!$H$169:$AK$219,30,FALSE)+VLOOKUP($A20,Data!$D$64:$F$114,3,FALSE)*VLOOKUP($A20,'VKT US'!$B$63:$AB$113,27,FALSE)*m2k*CONVERT(0.9072,"g","ton"))*VLOOKUP($A20,'VKT US'!$F$5:$S$56,14,FALSE)/1000000</f>
        <v>132.84086077456089</v>
      </c>
      <c r="BL20" s="191">
        <f>P20*VLOOKUP($A20,'VKT US'!$F$5:$S$56,14,FALSE)/1000000-BK20</f>
        <v>0</v>
      </c>
      <c r="BM20" s="191">
        <v>12.583433475635823</v>
      </c>
      <c r="BN20" s="191">
        <v>1.8923838320938842</v>
      </c>
      <c r="BO20" s="191" cm="1">
        <f t="array" ref="BO20">_xlfn.IFS(AND(Q20&gt;0,R20&gt;0),R20/Q20,AND(Q20&gt;0,R20&lt;=0),-R20/Q20,Q20&lt;=0,0)</f>
        <v>289.22462168659467</v>
      </c>
      <c r="BP20" s="212" cm="1">
        <f t="array" ref="BP20">_xlfn.IFS(AND(Z20&gt;0,AA20&gt;0),AA20/Z20,AND(Z20&gt;0,AA20&lt;=0),AA20/Z20,Z20&lt;=0,0)</f>
        <v>-220.75792890835203</v>
      </c>
      <c r="BQ20" s="191">
        <f>P20*1000000/(VLOOKUP($A20,'VKT US'!$B$63:$AB$113,27,FALSE)*m2k)</f>
        <v>111.36156806421234</v>
      </c>
      <c r="BR20" s="191">
        <f>Y20*1000000/(VLOOKUP($A20,'VKT US'!$B$63:$AB$113,27,FALSE)*m2k)</f>
        <v>155.83686060614232</v>
      </c>
      <c r="BS20" s="191">
        <f>H20*1000000/(VLOOKUP($A20,'VKT US'!$B$63:$AB$113,27,FALSE)*m2k)</f>
        <v>236.06813262739362</v>
      </c>
      <c r="BT20" s="95"/>
      <c r="BU20" s="10">
        <f t="shared" si="10"/>
        <v>98050.523542576251</v>
      </c>
      <c r="BV20" s="10">
        <f t="shared" si="11"/>
        <v>107341.56748661415</v>
      </c>
      <c r="BW20" s="10">
        <f t="shared" si="12"/>
        <v>91222.648207705992</v>
      </c>
      <c r="BX20" s="10">
        <f t="shared" si="13"/>
        <v>99790.149589169916</v>
      </c>
      <c r="BY20" s="53">
        <f t="shared" si="14"/>
        <v>101100.40929383134</v>
      </c>
      <c r="BZ20" s="79">
        <f t="shared" si="15"/>
        <v>38.44404962980262</v>
      </c>
      <c r="CA20" s="96">
        <f>VLOOKUP($A20,'TCO Inputs'!$Y$114:$AT$164,22,FALSE)</f>
        <v>68376.037897738774</v>
      </c>
      <c r="CB20" s="211">
        <f>CA20*VLOOKUP($A20,'VKT US'!$F$5:$S$56,14,FALSE)/(10^9)</f>
        <v>258.06484223364566</v>
      </c>
    </row>
    <row r="21" spans="1:80" x14ac:dyDescent="0.25">
      <c r="A21" s="83" t="s">
        <v>203</v>
      </c>
      <c r="B21" s="150">
        <f>VLOOKUP($A21,'TCO Inputs'!$A$3:$AG$53,10,FALSE)</f>
        <v>23731.611795719989</v>
      </c>
      <c r="C21" s="71">
        <f>VLOOKUP($A21,'TCO Inputs'!$A$3:$AG$53,14,FALSE)</f>
        <v>19812.919463886941</v>
      </c>
      <c r="D21" s="71">
        <f>VLOOKUP($A21,'TCO Inputs'!$A$3:$AG$53,18,FALSE)</f>
        <v>24237.00180380739</v>
      </c>
      <c r="E21" s="71">
        <f>VLOOKUP($A21,'TCO Inputs'!$A$3:$AG$53,22,FALSE)</f>
        <v>23034.736816172317</v>
      </c>
      <c r="F21" s="71">
        <f>VLOOKUP($A21,'TCO Inputs'!$A$3:$AG$53,26,FALSE)</f>
        <v>0</v>
      </c>
      <c r="G21" s="65">
        <f>VLOOKUP($A21,'TCO Inputs'!$A$3:$AG$53,30,FALSE)</f>
        <v>90816.269879586631</v>
      </c>
      <c r="H21" s="95">
        <f>(VLOOKUP($A21,Data!$D$64:$M$112,5,FALSE)+VLOOKUP($A21,Data!$D$64:$M$112,8,FALSE))*VLOOKUP($A21,'VKT US'!$B$63:$AB$113,27,FALSE)*CONVERT(0.9072,"g","ton")*m2k</f>
        <v>73.674989288967794</v>
      </c>
      <c r="I21" s="92"/>
      <c r="J21" s="144">
        <f>VLOOKUP($A21,'TCO Inputs'!$A$3:$AG$53,11,FALSE)</f>
        <v>40967.546942691188</v>
      </c>
      <c r="K21" s="65">
        <f>VLOOKUP($A21,'TCO Inputs'!$A$3:$AG$53,15,FALSE)</f>
        <v>20149.817564391313</v>
      </c>
      <c r="L21" s="65">
        <f>VLOOKUP($A21,'TCO Inputs'!$A$3:$AG$53,19,FALSE)</f>
        <v>15092.260697689995</v>
      </c>
      <c r="M21" s="65">
        <f>VLOOKUP($A21,'TCO Inputs'!$A$3:$AG$53,23,FALSE)</f>
        <v>27694.045601931739</v>
      </c>
      <c r="N21" s="65">
        <f>VLOOKUP($A21,'TCO Inputs'!$A$3:$AG$53,27,FALSE)</f>
        <v>0</v>
      </c>
      <c r="O21" s="65">
        <f>VLOOKUP($A21,'TCO Inputs'!$A$3:$AG$53,31,FALSE)</f>
        <v>103903.67080670423</v>
      </c>
      <c r="P21" s="7">
        <f>VLOOKUP($A21,_xlfn.IFS('Scenario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analysis'!$Q$121:$R$126),2,FALSE)+VLOOKUP($A21,Data!$D$64:$F$114,3,FALSE)*VLOOKUP($A21,'VKT US'!$B$63:$AB$113,27,FALSE)*m2k*CONVERT(0.9072,"g","ton")</f>
        <v>21.193838510207684</v>
      </c>
      <c r="Q21" s="95">
        <f t="shared" si="3"/>
        <v>52.48115077876011</v>
      </c>
      <c r="R21" s="60">
        <f t="shared" si="4"/>
        <v>13087.400927117604</v>
      </c>
      <c r="S21" s="144">
        <f>VLOOKUP($A21,'TCO Inputs'!$A$3:$AG$53,12,FALSE)</f>
        <v>25202.087524607668</v>
      </c>
      <c r="T21" s="65">
        <f>VLOOKUP($A21,'TCO Inputs'!$A$3:$AG$53,16,FALSE)</f>
        <v>12192.565823930425</v>
      </c>
      <c r="U21" s="65">
        <f>VLOOKUP($A21,'TCO Inputs'!$A$3:$AG$53,20,FALSE)</f>
        <v>22277.414423925093</v>
      </c>
      <c r="V21" s="65">
        <f>VLOOKUP($A21,'TCO Inputs'!$A$3:$AG$53,24,FALSE)</f>
        <v>24003.876158564544</v>
      </c>
      <c r="W21" s="65">
        <f>VLOOKUP($A21,'TCO Inputs'!$A$3:$AG$53,28,FALSE)</f>
        <v>0</v>
      </c>
      <c r="X21" s="65">
        <f>VLOOKUP($A21,'TCO Inputs'!$A$3:$AG$53,32,FALSE)</f>
        <v>83675.943931027723</v>
      </c>
      <c r="Y21" s="7">
        <f>(VLOOKUP($A21,Data!$D$64:$M$112,4,FALSE)+VLOOKUP($A21,Data!$D$64:$M$112,7,FALSE))*VLOOKUP($A21,'VKT US'!$B$63:$AB$113,27,FALSE)*CONVERT(0.9072,"g","ton")*m2k</f>
        <v>48.516990080754901</v>
      </c>
      <c r="Z21" s="95">
        <f t="shared" si="5"/>
        <v>25.157999208212892</v>
      </c>
      <c r="AA21" s="118">
        <f t="shared" si="6"/>
        <v>-7140.3259485589078</v>
      </c>
      <c r="AB21" s="144">
        <f>VLOOKUP($A21,'TCO Inputs'!$A$3:$AG$53,13,FALSE)</f>
        <v>28460.759801658827</v>
      </c>
      <c r="AC21" s="65">
        <f>VLOOKUP($A21,'TCO Inputs'!$A$3:$AG$53,17,FALSE)</f>
        <v>17569.512355051327</v>
      </c>
      <c r="AD21" s="65">
        <f>VLOOKUP($A21,'TCO Inputs'!$A$3:$AG$53,21,FALSE)</f>
        <v>22277.414423925093</v>
      </c>
      <c r="AE21" s="65">
        <f>VLOOKUP($A21,'TCO Inputs'!$A$3:$AG$53,25,FALSE)</f>
        <v>24209.081158564542</v>
      </c>
      <c r="AF21" s="65">
        <f>VLOOKUP($A21,'TCO Inputs'!$A$3:$AG$53,29,FALSE)</f>
        <v>0</v>
      </c>
      <c r="AG21" s="65">
        <f>VLOOKUP($A21,'TCO Inputs'!$A$3:$AG$53,33,FALSE)</f>
        <v>92516.767739199786</v>
      </c>
      <c r="AH21" s="7">
        <f>(VLOOKUP($A21,Data!$D$64:$M$112,9,FALSE)+VLOOKUP($A21,Data!$D$64:$M$112,10,FALSE))*VLOOKUP($A21,'VKT US'!$B$63:$AB$113,27,FALSE)*CONVERT(0.9072,"g","ton")*m2k</f>
        <v>33.420431975101863</v>
      </c>
      <c r="AI21" s="95">
        <f t="shared" si="7"/>
        <v>40.254557313865931</v>
      </c>
      <c r="AJ21" s="186">
        <f t="shared" si="8"/>
        <v>1700.497859613155</v>
      </c>
      <c r="AK21" s="188">
        <f>VLOOKUP($A21,'TCO Inputs'!$A$3:$AT$53,40,FALSE)</f>
        <v>30376.676612640622</v>
      </c>
      <c r="AL21" s="188">
        <f>VLOOKUP($A21,'TCO Inputs'!$A$3:$AT$53,41,FALSE)</f>
        <v>15259.200668292911</v>
      </c>
      <c r="AM21" s="188">
        <f>VLOOKUP($A21,'TCO Inputs'!$A$3:$AT$53,42,FALSE)</f>
        <v>21465.932485831432</v>
      </c>
      <c r="AN21" s="188">
        <f>VLOOKUP($A21,'TCO Inputs'!$A$3:$AT$53,43,FALSE)</f>
        <v>27138.82060193174</v>
      </c>
      <c r="AO21" s="188">
        <f>VLOOKUP($A21,'TCO Inputs'!$A$3:$AT$53,44,FALSE)</f>
        <v>0</v>
      </c>
      <c r="AP21" s="188">
        <f>VLOOKUP($A21,'TCO Inputs'!$A$3:$AT$53,45,FALSE)</f>
        <v>94240.630368696715</v>
      </c>
      <c r="AQ21" s="96">
        <f>(VLOOKUP($A21,Data!$D$64:$O$114,11,FALSE)+VLOOKUP($A21,'Fuel economy adjusted factor'!$A$2:$L$52,12,FALSE)*(1-'TCO Inputs'!$BD$9))*VLOOKUP($A21,'VKT US'!$B$63:$AB$113,27,FALSE)*CONVERT(0.9072,"g","ton")*m2k+VLOOKUP($A21,'US Grid mix, emissions&amp;prices'!$H$224:$AK$274,30,FALSE)</f>
        <v>32.774308731262856</v>
      </c>
      <c r="AR21" s="96">
        <f t="shared" si="9"/>
        <v>40.900680557704938</v>
      </c>
      <c r="AS21" s="60">
        <f>VLOOKUP($A21,'TCO Inputs'!$A$3:$AT$53,46,FALSE)</f>
        <v>3424.360489110084</v>
      </c>
      <c r="AT21" s="98">
        <f>(VLOOKUP($A21,Data!$D$64:$M$112,5,FALSE)+VLOOKUP($A21,Data!$D$64:$M$112,8,FALSE))*VLOOKUP($A21,'VKT US'!$B$63:$AB$113,2,FALSE)*CONVERT(0.9072,"g","ton")*m2k*VLOOKUP($A21,'VKT US'!$F$5:$S$56,11,FALSE)/1000000</f>
        <v>6.5530132219749317</v>
      </c>
      <c r="AU21" s="98">
        <f>(VLOOKUP($A21,Data!$D$64:$F$114,3,FALSE)+VLOOKUP($A21,Data!$D$64:$I$114,6,FALSE))*VLOOKUP($A21,'VKT US'!$B$63:$AB$113,2,FALSE)*m2k*CONVERT(0.9072,"g","ton")*VLOOKUP($A21,'VKT US'!$F$5:$S$56,2,FALSE)/1000000</f>
        <v>1.5848469219614681E-2</v>
      </c>
      <c r="AV21" s="98">
        <f>(VLOOKUP($A21,Data!$D$64:$M$112,4,FALSE)+VLOOKUP($A21,Data!$D$64:$M$112,7,FALSE))*VLOOKUP($A21,'VKT US'!$B$63:$AB$113,2,FALSE)*CONVERT(0.9072,"g","ton")*m2k*VLOOKUP($A21,'VKT US'!$F$5:$S$56,4,FALSE)/1000000</f>
        <v>0.13994339854432369</v>
      </c>
      <c r="AW21" s="98">
        <f>(VLOOKUP($A21,Data!$D$64:$M$112,9,FALSE)+VLOOKUP($A21,Data!$D$64:$M$112,10,FALSE))*VLOOKUP($A21,'VKT US'!$B$63:$AB$113,2,FALSE)*CONVERT(0.9072,"g","ton")*m2k*VLOOKUP($A21,'VKT US'!$F$5:$S$56,9,FALSE)/1000000</f>
        <v>0</v>
      </c>
      <c r="AX21" s="98">
        <f>H21*VLOOKUP($A21,'VKT US'!$F$5:$S$56,11,FALSE)/1000000</f>
        <v>76.334656402299544</v>
      </c>
      <c r="AY21" s="98">
        <f>P21*VLOOKUP($A21,'VKT US'!$F$5:$S$56,2,FALSE)/1000000</f>
        <v>0.15683440497553686</v>
      </c>
      <c r="AZ21" s="98">
        <f>Y21*VLOOKUP($A21,'VKT US'!$F$5:$S$56,4,FALSE)/1000000</f>
        <v>1.6301708667133645</v>
      </c>
      <c r="BA21" s="98">
        <f>AH21*VLOOKUP($A21,'VKT US'!$F$5:$S$56,9,FALSE)/1000000</f>
        <v>0</v>
      </c>
      <c r="BB21" s="79">
        <f>VLOOKUP($A21,Data!$D$64:$M$112,4,FALSE)+VLOOKUP($A21,Data!$D$64:$M$112,7,FALSE)-(VLOOKUP($A21,Data!$D$64:$F$114,3,FALSE)+VLOOKUP($A21,Data!$D$64:$I$114,6,FALSE))</f>
        <v>78.430503373558736</v>
      </c>
      <c r="BC21" s="10">
        <f>(Y21-P21)*VLOOKUP($A21,'VKT US'!$F$5:$S$56,14,FALSE)/1000000*'Scenario analysis'!$E$4</f>
        <v>33.771415341196359</v>
      </c>
      <c r="BD21" s="10">
        <f>P21*VLOOKUP($A21,'VKT US'!$F$5:$S$56,14,FALSE)/1000000*'Scenario analysis'!$E$4</f>
        <v>26.195584398616699</v>
      </c>
      <c r="BE21" s="79">
        <f>(VLOOKUP($A21,Data!$D$64:$M$114,4,FALSE)+VLOOKUP($A21,Data!$D$64:$M$114,7,FALSE)-(VLOOKUP($A21,Data!$D$64:$F$114,3,FALSE)+VLOOKUP($A21,Data!$D$64:$I$114,6,FALSE)))*VLOOKUP($A21,'VKT US'!$B$63:$AB$113,2,FALSE)*CONVERT(0.9072,"g","ton")*m2k*VLOOKUP($A21,'VKT US'!$F$5:$S$56,14,FALSE)/1000000*'Scenario analysis'!$E$4</f>
        <v>2.5007951783417472</v>
      </c>
      <c r="BF21" s="79">
        <f>(VLOOKUP($A21,Data!$D$64:$F$114,3,FALSE)+VLOOKUP($A21,Data!$D$64:$I$114,6,FALSE))*VLOOKUP($A21,'VKT US'!$B$63:$AB$113,2,FALSE)*CONVERT(0.9072,"g","ton")*m2k*VLOOKUP($A21,'VKT US'!$F$5:$S$56,14,FALSE)/1000000*'Scenario analysis'!$E$4</f>
        <v>2.6471226966815879</v>
      </c>
      <c r="BG21" s="79">
        <f>(VLOOKUP($A21,Data!$D$64:$M$114,4,FALSE)+VLOOKUP($A21,Data!$D$64:$M$114,7,FALSE))*VLOOKUP($A21,'VKT US'!$B$63:$AB$113,2,FALSE)*CONVERT(0.9072,"g","ton")*m2k*VLOOKUP($A21,'VKT US'!$F$5:$S$56,14,FALSE)/1000000*'Scenario analysis'!$E$4</f>
        <v>5.1479178750233352</v>
      </c>
      <c r="BH21" s="79">
        <f t="shared" si="0"/>
        <v>27.323151570547218</v>
      </c>
      <c r="BI21" s="96">
        <f t="shared" si="1"/>
        <v>740.31455791069266</v>
      </c>
      <c r="BJ21" s="191">
        <f t="shared" si="2"/>
        <v>20227.726875676512</v>
      </c>
      <c r="BK21" s="191">
        <f>(VLOOKUP($A21,'US Grid mix, emissions&amp;prices'!$H$169:$AK$219,30,FALSE)+VLOOKUP($A21,Data!$D$64:$F$114,3,FALSE)*VLOOKUP($A21,'VKT US'!$B$63:$AB$113,27,FALSE)*m2k*CONVERT(0.9072,"g","ton"))*VLOOKUP($A21,'VKT US'!$F$5:$S$56,14,FALSE)/1000000</f>
        <v>26.195584398616699</v>
      </c>
      <c r="BL21" s="191">
        <f>P21*VLOOKUP($A21,'VKT US'!$F$5:$S$56,14,FALSE)/1000000-BK21</f>
        <v>0</v>
      </c>
      <c r="BM21" s="191">
        <v>2.4188888573068938</v>
      </c>
      <c r="BN21" s="191">
        <v>0.27289586977942815</v>
      </c>
      <c r="BO21" s="191" cm="1">
        <f t="array" ref="BO21">_xlfn.IFS(AND(Q21&gt;0,R21&gt;0),R21/Q21,AND(Q21&gt;0,R21&lt;=0),-R21/Q21,Q21&lt;=0,0)</f>
        <v>249.37336039541012</v>
      </c>
      <c r="BP21" s="212" cm="1">
        <f t="array" ref="BP21">_xlfn.IFS(AND(Z21&gt;0,AA21&gt;0),AA21/Z21,AND(Z21&gt;0,AA21&lt;=0),AA21/Z21,Z21&lt;=0,0)</f>
        <v>-283.81930889909285</v>
      </c>
      <c r="BQ21" s="191">
        <f>P21*1000000/(VLOOKUP($A21,'VKT US'!$B$63:$AB$113,27,FALSE)*m2k)</f>
        <v>70.52799944471775</v>
      </c>
      <c r="BR21" s="191">
        <f>Y21*1000000/(VLOOKUP($A21,'VKT US'!$B$63:$AB$113,27,FALSE)*m2k)</f>
        <v>161.45287923312233</v>
      </c>
      <c r="BS21" s="191">
        <f>H21*1000000/(VLOOKUP($A21,'VKT US'!$B$63:$AB$113,27,FALSE)*m2k)</f>
        <v>245.17265247440957</v>
      </c>
      <c r="BT21" s="95"/>
      <c r="BU21" s="10">
        <f t="shared" si="10"/>
        <v>98050.523542576251</v>
      </c>
      <c r="BV21" s="10">
        <f t="shared" si="11"/>
        <v>107341.56748661415</v>
      </c>
      <c r="BW21" s="10">
        <f t="shared" si="12"/>
        <v>91222.648207705992</v>
      </c>
      <c r="BX21" s="10">
        <f t="shared" si="13"/>
        <v>99790.149589169916</v>
      </c>
      <c r="BY21" s="53">
        <f t="shared" si="14"/>
        <v>101100.40929383134</v>
      </c>
      <c r="BZ21" s="79">
        <f t="shared" si="15"/>
        <v>38.44404962980262</v>
      </c>
      <c r="CA21" s="96">
        <f>VLOOKUP($A21,'TCO Inputs'!$Y$114:$AT$164,22,FALSE)</f>
        <v>77141.121578226186</v>
      </c>
      <c r="CB21" s="211">
        <f>CA21*VLOOKUP($A21,'VKT US'!$F$5:$S$56,14,FALSE)/(10^9)</f>
        <v>95.346426270687559</v>
      </c>
    </row>
    <row r="22" spans="1:80" x14ac:dyDescent="0.25">
      <c r="A22" s="83" t="s">
        <v>202</v>
      </c>
      <c r="B22" s="150">
        <f>VLOOKUP($A22,'TCO Inputs'!$A$3:$AG$53,10,FALSE)</f>
        <v>23731.611795719989</v>
      </c>
      <c r="C22" s="71">
        <f>VLOOKUP($A22,'TCO Inputs'!$A$3:$AG$53,14,FALSE)</f>
        <v>18719.011827273484</v>
      </c>
      <c r="D22" s="71">
        <f>VLOOKUP($A22,'TCO Inputs'!$A$3:$AG$53,18,FALSE)</f>
        <v>23000.855035762343</v>
      </c>
      <c r="E22" s="71">
        <f>VLOOKUP($A22,'TCO Inputs'!$A$3:$AG$53,22,FALSE)</f>
        <v>33287.010117534272</v>
      </c>
      <c r="F22" s="71">
        <f>VLOOKUP($A22,'TCO Inputs'!$A$3:$AG$53,26,FALSE)</f>
        <v>0</v>
      </c>
      <c r="G22" s="65">
        <f>VLOOKUP($A22,'TCO Inputs'!$A$3:$AG$53,30,FALSE)</f>
        <v>98738.488776290091</v>
      </c>
      <c r="H22" s="95">
        <f>(VLOOKUP($A22,Data!$D$64:$M$112,5,FALSE)+VLOOKUP($A22,Data!$D$64:$M$112,8,FALSE))*VLOOKUP($A22,'VKT US'!$B$63:$AB$113,27,FALSE)*CONVERT(0.9072,"g","ton")*m2k</f>
        <v>68.029098664157431</v>
      </c>
      <c r="I22" s="92"/>
      <c r="J22" s="144">
        <f>VLOOKUP($A22,'TCO Inputs'!$A$3:$AG$53,11,FALSE)</f>
        <v>40967.546942691188</v>
      </c>
      <c r="K22" s="65">
        <f>VLOOKUP($A22,'TCO Inputs'!$A$3:$AG$53,15,FALSE)</f>
        <v>12312.964204782291</v>
      </c>
      <c r="L22" s="65">
        <f>VLOOKUP($A22,'TCO Inputs'!$A$3:$AG$53,19,FALSE)</f>
        <v>14322.518242127193</v>
      </c>
      <c r="M22" s="65">
        <f>VLOOKUP($A22,'TCO Inputs'!$A$3:$AG$53,23,FALSE)</f>
        <v>41007.625779105423</v>
      </c>
      <c r="N22" s="65">
        <f>VLOOKUP($A22,'TCO Inputs'!$A$3:$AG$53,27,FALSE)</f>
        <v>0</v>
      </c>
      <c r="O22" s="65">
        <f>VLOOKUP($A22,'TCO Inputs'!$A$3:$AG$53,31,FALSE)</f>
        <v>108610.6551687061</v>
      </c>
      <c r="P22" s="7">
        <f>VLOOKUP($A22,_xlfn.IFS('Scenario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analysis'!$Q$121:$R$126),2,FALSE)+VLOOKUP($A22,Data!$D$64:$F$114,3,FALSE)*VLOOKUP($A22,'VKT US'!$B$63:$AB$113,27,FALSE)*m2k*CONVERT(0.9072,"g","ton")</f>
        <v>23.787373770587489</v>
      </c>
      <c r="Q22" s="95">
        <f t="shared" si="3"/>
        <v>44.241724893569938</v>
      </c>
      <c r="R22" s="60">
        <f t="shared" si="4"/>
        <v>9872.1663924160093</v>
      </c>
      <c r="S22" s="144">
        <f>VLOOKUP($A22,'TCO Inputs'!$A$3:$AG$53,12,FALSE)</f>
        <v>25202.087524607668</v>
      </c>
      <c r="T22" s="65">
        <f>VLOOKUP($A22,'TCO Inputs'!$A$3:$AG$53,16,FALSE)</f>
        <v>11519.391893706757</v>
      </c>
      <c r="U22" s="65">
        <f>VLOOKUP($A22,'TCO Inputs'!$A$3:$AG$53,20,FALSE)</f>
        <v>21141.211437126243</v>
      </c>
      <c r="V22" s="65">
        <f>VLOOKUP($A22,'TCO Inputs'!$A$3:$AG$53,24,FALSE)</f>
        <v>34687.492847289694</v>
      </c>
      <c r="W22" s="65">
        <f>VLOOKUP($A22,'TCO Inputs'!$A$3:$AG$53,28,FALSE)</f>
        <v>0</v>
      </c>
      <c r="X22" s="65">
        <f>VLOOKUP($A22,'TCO Inputs'!$A$3:$AG$53,32,FALSE)</f>
        <v>92550.18370273037</v>
      </c>
      <c r="Y22" s="7">
        <f>(VLOOKUP($A22,Data!$D$64:$M$112,4,FALSE)+VLOOKUP($A22,Data!$D$64:$M$112,7,FALSE))*VLOOKUP($A22,'VKT US'!$B$63:$AB$113,27,FALSE)*CONVERT(0.9072,"g","ton")*m2k</f>
        <v>44.877737329758219</v>
      </c>
      <c r="Z22" s="95">
        <f t="shared" si="5"/>
        <v>23.151361334399212</v>
      </c>
      <c r="AA22" s="118">
        <f t="shared" si="6"/>
        <v>-6188.3050735597208</v>
      </c>
      <c r="AB22" s="144">
        <f>VLOOKUP($A22,'TCO Inputs'!$A$3:$AG$53,13,FALSE)</f>
        <v>28460.759801658827</v>
      </c>
      <c r="AC22" s="65">
        <f>VLOOKUP($A22,'TCO Inputs'!$A$3:$AG$53,17,FALSE)</f>
        <v>16171.495868706339</v>
      </c>
      <c r="AD22" s="65">
        <f>VLOOKUP($A22,'TCO Inputs'!$A$3:$AG$53,21,FALSE)</f>
        <v>21141.211437126243</v>
      </c>
      <c r="AE22" s="65">
        <f>VLOOKUP($A22,'TCO Inputs'!$A$3:$AG$53,25,FALSE)</f>
        <v>34911.352847289687</v>
      </c>
      <c r="AF22" s="65">
        <f>VLOOKUP($A22,'TCO Inputs'!$A$3:$AG$53,29,FALSE)</f>
        <v>0</v>
      </c>
      <c r="AG22" s="65">
        <f>VLOOKUP($A22,'TCO Inputs'!$A$3:$AG$53,33,FALSE)</f>
        <v>100684.81995478109</v>
      </c>
      <c r="AH22" s="7">
        <f>(VLOOKUP($A22,Data!$D$64:$M$112,9,FALSE)+VLOOKUP($A22,Data!$D$64:$M$112,10,FALSE))*VLOOKUP($A22,'VKT US'!$B$63:$AB$113,27,FALSE)*CONVERT(0.9072,"g","ton")*m2k</f>
        <v>31.715907656990787</v>
      </c>
      <c r="AI22" s="95">
        <f t="shared" si="7"/>
        <v>36.313191007166644</v>
      </c>
      <c r="AJ22" s="186">
        <f t="shared" si="8"/>
        <v>1946.3311784910038</v>
      </c>
      <c r="AK22" s="188">
        <f>VLOOKUP($A22,'TCO Inputs'!$A$3:$AT$53,40,FALSE)</f>
        <v>30376.676612640622</v>
      </c>
      <c r="AL22" s="188">
        <f>VLOOKUP($A22,'TCO Inputs'!$A$3:$AT$53,41,FALSE)</f>
        <v>11247.231058814719</v>
      </c>
      <c r="AM22" s="188">
        <f>VLOOKUP($A22,'TCO Inputs'!$A$3:$AT$53,42,FALSE)</f>
        <v>20371.117075896309</v>
      </c>
      <c r="AN22" s="188">
        <f>VLOOKUP($A22,'TCO Inputs'!$A$3:$AT$53,43,FALSE)</f>
        <v>40401.925779105426</v>
      </c>
      <c r="AO22" s="188">
        <f>VLOOKUP($A22,'TCO Inputs'!$A$3:$AT$53,44,FALSE)</f>
        <v>0</v>
      </c>
      <c r="AP22" s="188">
        <f>VLOOKUP($A22,'TCO Inputs'!$A$3:$AT$53,45,FALSE)</f>
        <v>102396.95052645708</v>
      </c>
      <c r="AQ22" s="96">
        <f>(VLOOKUP($A22,Data!$D$64:$O$114,11,FALSE)+VLOOKUP($A22,'Fuel economy adjusted factor'!$A$2:$L$52,12,FALSE)*(1-'TCO Inputs'!$BD$9))*VLOOKUP($A22,'VKT US'!$B$63:$AB$113,27,FALSE)*CONVERT(0.9072,"g","ton")*m2k+VLOOKUP($A22,'US Grid mix, emissions&amp;prices'!$H$224:$AK$274,30,FALSE)</f>
        <v>32.455694087073319</v>
      </c>
      <c r="AR22" s="96">
        <f t="shared" si="9"/>
        <v>35.573404577084112</v>
      </c>
      <c r="AS22" s="60">
        <f>VLOOKUP($A22,'TCO Inputs'!$A$3:$AT$53,46,FALSE)</f>
        <v>3658.4617501669854</v>
      </c>
      <c r="AT22" s="98">
        <f>(VLOOKUP($A22,Data!$D$64:$M$112,5,FALSE)+VLOOKUP($A22,Data!$D$64:$M$112,8,FALSE))*VLOOKUP($A22,'VKT US'!$B$63:$AB$113,2,FALSE)*CONVERT(0.9072,"g","ton")*m2k*VLOOKUP($A22,'VKT US'!$F$5:$S$56,11,FALSE)/1000000</f>
        <v>25.274419446507192</v>
      </c>
      <c r="AU22" s="98">
        <f>(VLOOKUP($A22,Data!$D$64:$F$114,3,FALSE)+VLOOKUP($A22,Data!$D$64:$I$114,6,FALSE))*VLOOKUP($A22,'VKT US'!$B$63:$AB$113,2,FALSE)*m2k*CONVERT(0.9072,"g","ton")*VLOOKUP($A22,'VKT US'!$F$5:$S$56,2,FALSE)/1000000</f>
        <v>0.17734868067669279</v>
      </c>
      <c r="AV22" s="98">
        <f>(VLOOKUP($A22,Data!$D$64:$M$112,4,FALSE)+VLOOKUP($A22,Data!$D$64:$M$112,7,FALSE))*VLOOKUP($A22,'VKT US'!$B$63:$AB$113,2,FALSE)*CONVERT(0.9072,"g","ton")*m2k*VLOOKUP($A22,'VKT US'!$F$5:$S$56,4,FALSE)/1000000</f>
        <v>0.64992811452022192</v>
      </c>
      <c r="AW22" s="98">
        <f>(VLOOKUP($A22,Data!$D$64:$M$112,9,FALSE)+VLOOKUP($A22,Data!$D$64:$M$112,10,FALSE))*VLOOKUP($A22,'VKT US'!$B$63:$AB$113,2,FALSE)*CONVERT(0.9072,"g","ton")*m2k*VLOOKUP($A22,'VKT US'!$F$5:$S$56,9,FALSE)/1000000</f>
        <v>0</v>
      </c>
      <c r="AX22" s="98">
        <f>H22*VLOOKUP($A22,'VKT US'!$F$5:$S$56,11,FALSE)/1000000</f>
        <v>294.41633319874052</v>
      </c>
      <c r="AY22" s="98">
        <f>P22*VLOOKUP($A22,'VKT US'!$F$5:$S$56,2,FALSE)/1000000</f>
        <v>1.715069648859358</v>
      </c>
      <c r="AZ22" s="98">
        <f>Y22*VLOOKUP($A22,'VKT US'!$F$5:$S$56,4,FALSE)/1000000</f>
        <v>7.570874287530212</v>
      </c>
      <c r="BA22" s="98">
        <f>AH22*VLOOKUP($A22,'VKT US'!$F$5:$S$56,9,FALSE)/1000000</f>
        <v>0</v>
      </c>
      <c r="BB22" s="79">
        <f>VLOOKUP($A22,Data!$D$64:$M$112,4,FALSE)+VLOOKUP($A22,Data!$D$64:$M$112,7,FALSE)-(VLOOKUP($A22,Data!$D$64:$F$114,3,FALSE)+VLOOKUP($A22,Data!$D$64:$I$114,6,FALSE))</f>
        <v>56.892024068197969</v>
      </c>
      <c r="BC22" s="10">
        <f>(Y22-P22)*VLOOKUP($A22,'VKT US'!$F$5:$S$56,14,FALSE)/1000000*'Scenario analysis'!$E$4</f>
        <v>106.71723960940389</v>
      </c>
      <c r="BD22" s="10">
        <f>P22*VLOOKUP($A22,'VKT US'!$F$5:$S$56,14,FALSE)/1000000*'Scenario analysis'!$E$4</f>
        <v>120.3641112791727</v>
      </c>
      <c r="BE22" s="79">
        <f>(VLOOKUP($A22,Data!$D$64:$M$114,4,FALSE)+VLOOKUP($A22,Data!$D$64:$M$114,7,FALSE)-(VLOOKUP($A22,Data!$D$64:$F$114,3,FALSE)+VLOOKUP($A22,Data!$D$64:$I$114,6,FALSE)))*VLOOKUP($A22,'VKT US'!$B$63:$AB$113,2,FALSE)*CONVERT(0.9072,"g","ton")*m2k*VLOOKUP($A22,'VKT US'!$F$5:$S$56,14,FALSE)/1000000*'Scenario analysis'!$E$4</f>
        <v>7.0476063436357697</v>
      </c>
      <c r="BF22" s="79">
        <f>(VLOOKUP($A22,Data!$D$64:$F$114,3,FALSE)+VLOOKUP($A22,Data!$D$64:$I$114,6,FALSE))*VLOOKUP($A22,'VKT US'!$B$63:$AB$113,2,FALSE)*CONVERT(0.9072,"g","ton")*m2k*VLOOKUP($A22,'VKT US'!$F$5:$S$56,14,FALSE)/1000000*'Scenario analysis'!$E$4</f>
        <v>12.446384524605627</v>
      </c>
      <c r="BG22" s="79">
        <f>(VLOOKUP($A22,Data!$D$64:$M$114,4,FALSE)+VLOOKUP($A22,Data!$D$64:$M$114,7,FALSE))*VLOOKUP($A22,'VKT US'!$B$63:$AB$113,2,FALSE)*CONVERT(0.9072,"g","ton")*m2k*VLOOKUP($A22,'VKT US'!$F$5:$S$56,14,FALSE)/1000000*'Scenario analysis'!$E$4</f>
        <v>19.493990868241394</v>
      </c>
      <c r="BH22" s="79">
        <f t="shared" si="0"/>
        <v>21.090363559170729</v>
      </c>
      <c r="BI22" s="96">
        <f t="shared" si="1"/>
        <v>761.50756817997808</v>
      </c>
      <c r="BJ22" s="191">
        <f t="shared" si="2"/>
        <v>16060.47146597573</v>
      </c>
      <c r="BK22" s="191">
        <f>(VLOOKUP($A22,'US Grid mix, emissions&amp;prices'!$H$169:$AK$219,30,FALSE)+VLOOKUP($A22,Data!$D$64:$F$114,3,FALSE)*VLOOKUP($A22,'VKT US'!$B$63:$AB$113,27,FALSE)*m2k*CONVERT(0.9072,"g","ton"))*VLOOKUP($A22,'VKT US'!$F$5:$S$56,14,FALSE)/1000000</f>
        <v>120.3641112791727</v>
      </c>
      <c r="BL22" s="191">
        <f>P22*VLOOKUP($A22,'VKT US'!$F$5:$S$56,14,FALSE)/1000000-BK22</f>
        <v>0</v>
      </c>
      <c r="BM22" s="191">
        <v>11.235358357415073</v>
      </c>
      <c r="BN22" s="191">
        <v>1.4480063084709922</v>
      </c>
      <c r="BO22" s="191" cm="1">
        <f t="array" ref="BO22">_xlfn.IFS(AND(Q22&gt;0,R22&gt;0),R22/Q22,AND(Q22&gt;0,R22&lt;=0),-R22/Q22,Q22&lt;=0,0)</f>
        <v>223.14153474271126</v>
      </c>
      <c r="BP22" s="212" cm="1">
        <f t="array" ref="BP22">_xlfn.IFS(AND(Z22&gt;0,AA22&gt;0),AA22/Z22,AND(Z22&gt;0,AA22&lt;=0),AA22/Z22,Z22&lt;=0,0)</f>
        <v>-267.29767568202959</v>
      </c>
      <c r="BQ22" s="191">
        <f>P22*1000000/(VLOOKUP($A22,'VKT US'!$B$63:$AB$113,27,FALSE)*m2k)</f>
        <v>83.412925889544809</v>
      </c>
      <c r="BR22" s="191">
        <f>Y22*1000000/(VLOOKUP($A22,'VKT US'!$B$63:$AB$113,27,FALSE)*m2k)</f>
        <v>157.36850204986411</v>
      </c>
      <c r="BS22" s="191">
        <f>H22*1000000/(VLOOKUP($A22,'VKT US'!$B$63:$AB$113,27,FALSE)*m2k)</f>
        <v>238.55118349476163</v>
      </c>
      <c r="BT22" s="95"/>
      <c r="BU22" s="10">
        <f t="shared" si="10"/>
        <v>98050.523542576251</v>
      </c>
      <c r="BV22" s="10">
        <f t="shared" si="11"/>
        <v>107341.56748661415</v>
      </c>
      <c r="BW22" s="10">
        <f t="shared" si="12"/>
        <v>91222.648207705992</v>
      </c>
      <c r="BX22" s="10">
        <f t="shared" si="13"/>
        <v>99790.149589169916</v>
      </c>
      <c r="BY22" s="53">
        <f t="shared" si="14"/>
        <v>101100.40929383134</v>
      </c>
      <c r="BZ22" s="79">
        <f t="shared" si="15"/>
        <v>38.44404962980262</v>
      </c>
      <c r="CA22" s="96">
        <f>VLOOKUP($A22,'TCO Inputs'!$Y$114:$AT$164,22,FALSE)</f>
        <v>65354.721796031583</v>
      </c>
      <c r="CB22" s="211">
        <f>CA22*VLOOKUP($A22,'VKT US'!$F$5:$S$56,14,FALSE)/(10^9)</f>
        <v>330.6948922879198</v>
      </c>
    </row>
    <row r="23" spans="1:80" x14ac:dyDescent="0.25">
      <c r="A23" s="83" t="s">
        <v>201</v>
      </c>
      <c r="B23" s="150">
        <f>VLOOKUP($A23,'TCO Inputs'!$A$3:$AG$53,10,FALSE)</f>
        <v>23731.611795719989</v>
      </c>
      <c r="C23" s="71">
        <f>VLOOKUP($A23,'TCO Inputs'!$A$3:$AG$53,14,FALSE)</f>
        <v>17927.602636829703</v>
      </c>
      <c r="D23" s="71">
        <f>VLOOKUP($A23,'TCO Inputs'!$A$3:$AG$53,18,FALSE)</f>
        <v>22351.238596279367</v>
      </c>
      <c r="E23" s="71">
        <f>VLOOKUP($A23,'TCO Inputs'!$A$3:$AG$53,22,FALSE)</f>
        <v>29211.225567795766</v>
      </c>
      <c r="F23" s="71">
        <f>VLOOKUP($A23,'TCO Inputs'!$A$3:$AG$53,26,FALSE)</f>
        <v>0</v>
      </c>
      <c r="G23" s="65">
        <f>VLOOKUP($A23,'TCO Inputs'!$A$3:$AG$53,30,FALSE)</f>
        <v>93221.678596624814</v>
      </c>
      <c r="H23" s="95">
        <f>(VLOOKUP($A23,Data!$D$64:$M$112,5,FALSE)+VLOOKUP($A23,Data!$D$64:$M$112,8,FALSE))*VLOOKUP($A23,'VKT US'!$B$63:$AB$113,27,FALSE)*CONVERT(0.9072,"g","ton")*m2k</f>
        <v>66.79585072492722</v>
      </c>
      <c r="I23" s="92"/>
      <c r="J23" s="144">
        <f>VLOOKUP($A23,'TCO Inputs'!$A$3:$AG$53,11,FALSE)</f>
        <v>40967.546942691188</v>
      </c>
      <c r="K23" s="65">
        <f>VLOOKUP($A23,'TCO Inputs'!$A$3:$AG$53,15,FALSE)</f>
        <v>18862.787725423172</v>
      </c>
      <c r="L23" s="65">
        <f>VLOOKUP($A23,'TCO Inputs'!$A$3:$AG$53,19,FALSE)</f>
        <v>13918.005310307288</v>
      </c>
      <c r="M23" s="65">
        <f>VLOOKUP($A23,'TCO Inputs'!$A$3:$AG$53,23,FALSE)</f>
        <v>35312.287409471515</v>
      </c>
      <c r="N23" s="65">
        <f>VLOOKUP($A23,'TCO Inputs'!$A$3:$AG$53,27,FALSE)</f>
        <v>0</v>
      </c>
      <c r="O23" s="65">
        <f>VLOOKUP($A23,'TCO Inputs'!$A$3:$AG$53,31,FALSE)</f>
        <v>109060.62738789315</v>
      </c>
      <c r="P23" s="7">
        <f>VLOOKUP($A23,_xlfn.IFS('Scenario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analysis'!$Q$121:$R$126),2,FALSE)+VLOOKUP($A23,Data!$D$64:$F$114,3,FALSE)*VLOOKUP($A23,'VKT US'!$B$63:$AB$113,27,FALSE)*m2k*CONVERT(0.9072,"g","ton")</f>
        <v>30.880021055130534</v>
      </c>
      <c r="Q23" s="95">
        <f t="shared" si="3"/>
        <v>35.915829669796686</v>
      </c>
      <c r="R23" s="60">
        <f t="shared" si="4"/>
        <v>15838.94879126834</v>
      </c>
      <c r="S23" s="144">
        <f>VLOOKUP($A23,'TCO Inputs'!$A$3:$AG$53,12,FALSE)</f>
        <v>25202.087524607668</v>
      </c>
      <c r="T23" s="65">
        <f>VLOOKUP($A23,'TCO Inputs'!$A$3:$AG$53,16,FALSE)</f>
        <v>11032.370853433666</v>
      </c>
      <c r="U23" s="65">
        <f>VLOOKUP($A23,'TCO Inputs'!$A$3:$AG$53,20,FALSE)</f>
        <v>20544.117177856773</v>
      </c>
      <c r="V23" s="65">
        <f>VLOOKUP($A23,'TCO Inputs'!$A$3:$AG$53,24,FALSE)</f>
        <v>30440.228015844958</v>
      </c>
      <c r="W23" s="65">
        <f>VLOOKUP($A23,'TCO Inputs'!$A$3:$AG$53,28,FALSE)</f>
        <v>0</v>
      </c>
      <c r="X23" s="65">
        <f>VLOOKUP($A23,'TCO Inputs'!$A$3:$AG$53,32,FALSE)</f>
        <v>87218.803571743076</v>
      </c>
      <c r="Y23" s="7">
        <f>(VLOOKUP($A23,Data!$D$64:$M$112,4,FALSE)+VLOOKUP($A23,Data!$D$64:$M$112,7,FALSE))*VLOOKUP($A23,'VKT US'!$B$63:$AB$113,27,FALSE)*CONVERT(0.9072,"g","ton")*m2k</f>
        <v>44.034700270090326</v>
      </c>
      <c r="Z23" s="95">
        <f t="shared" si="5"/>
        <v>22.761150454836894</v>
      </c>
      <c r="AA23" s="118">
        <f t="shared" si="6"/>
        <v>-6002.8750248817378</v>
      </c>
      <c r="AB23" s="144">
        <f>VLOOKUP($A23,'TCO Inputs'!$A$3:$AG$53,13,FALSE)</f>
        <v>28460.759801658827</v>
      </c>
      <c r="AC23" s="65">
        <f>VLOOKUP($A23,'TCO Inputs'!$A$3:$AG$53,17,FALSE)</f>
        <v>15897.669023403831</v>
      </c>
      <c r="AD23" s="65">
        <f>VLOOKUP($A23,'TCO Inputs'!$A$3:$AG$53,21,FALSE)</f>
        <v>20544.117177856773</v>
      </c>
      <c r="AE23" s="65">
        <f>VLOOKUP($A23,'TCO Inputs'!$A$3:$AG$53,25,FALSE)</f>
        <v>30673.415515844958</v>
      </c>
      <c r="AF23" s="65">
        <f>VLOOKUP($A23,'TCO Inputs'!$A$3:$AG$53,29,FALSE)</f>
        <v>0</v>
      </c>
      <c r="AG23" s="65">
        <f>VLOOKUP($A23,'TCO Inputs'!$A$3:$AG$53,33,FALSE)</f>
        <v>95575.961518764379</v>
      </c>
      <c r="AH23" s="7">
        <f>(VLOOKUP($A23,Data!$D$64:$M$112,9,FALSE)+VLOOKUP($A23,Data!$D$64:$M$112,10,FALSE))*VLOOKUP($A23,'VKT US'!$B$63:$AB$113,27,FALSE)*CONVERT(0.9072,"g","ton")*m2k</f>
        <v>30.820150739473114</v>
      </c>
      <c r="AI23" s="95">
        <f t="shared" si="7"/>
        <v>35.975699985454106</v>
      </c>
      <c r="AJ23" s="186">
        <f t="shared" si="8"/>
        <v>2354.2829221395659</v>
      </c>
      <c r="AK23" s="188">
        <f>VLOOKUP($A23,'TCO Inputs'!$A$3:$AT$53,40,FALSE)</f>
        <v>30376.676612640622</v>
      </c>
      <c r="AL23" s="188">
        <f>VLOOKUP($A23,'TCO Inputs'!$A$3:$AT$53,41,FALSE)</f>
        <v>14123.749913568121</v>
      </c>
      <c r="AM23" s="188">
        <f>VLOOKUP($A23,'TCO Inputs'!$A$3:$AT$53,42,FALSE)</f>
        <v>19795.772701847647</v>
      </c>
      <c r="AN23" s="188">
        <f>VLOOKUP($A23,'TCO Inputs'!$A$3:$AT$53,43,FALSE)</f>
        <v>34681.349909471515</v>
      </c>
      <c r="AO23" s="188">
        <f>VLOOKUP($A23,'TCO Inputs'!$A$3:$AT$53,44,FALSE)</f>
        <v>0</v>
      </c>
      <c r="AP23" s="188">
        <f>VLOOKUP($A23,'TCO Inputs'!$A$3:$AT$53,45,FALSE)</f>
        <v>98977.549137527909</v>
      </c>
      <c r="AQ23" s="96">
        <f>(VLOOKUP($A23,Data!$D$64:$O$114,11,FALSE)+VLOOKUP($A23,'Fuel economy adjusted factor'!$A$2:$L$52,12,FALSE)*(1-'TCO Inputs'!$BD$9))*VLOOKUP($A23,'VKT US'!$B$63:$AB$113,27,FALSE)*CONVERT(0.9072,"g","ton")*m2k+VLOOKUP($A23,'US Grid mix, emissions&amp;prices'!$H$224:$AK$274,30,FALSE)</f>
        <v>35.779827974665523</v>
      </c>
      <c r="AR23" s="96">
        <f t="shared" si="9"/>
        <v>31.016022750261698</v>
      </c>
      <c r="AS23" s="60">
        <f>VLOOKUP($A23,'TCO Inputs'!$A$3:$AT$53,46,FALSE)</f>
        <v>5755.8705409030954</v>
      </c>
      <c r="AT23" s="98">
        <f>(VLOOKUP($A23,Data!$D$64:$M$112,5,FALSE)+VLOOKUP($A23,Data!$D$64:$M$112,8,FALSE))*VLOOKUP($A23,'VKT US'!$B$63:$AB$113,2,FALSE)*CONVERT(0.9072,"g","ton")*m2k*VLOOKUP($A23,'VKT US'!$F$5:$S$56,11,FALSE)/1000000</f>
        <v>27.474015506288577</v>
      </c>
      <c r="AU23" s="98">
        <f>(VLOOKUP($A23,Data!$D$64:$F$114,3,FALSE)+VLOOKUP($A23,Data!$D$64:$I$114,6,FALSE))*VLOOKUP($A23,'VKT US'!$B$63:$AB$113,2,FALSE)*m2k*CONVERT(0.9072,"g","ton")*VLOOKUP($A23,'VKT US'!$F$5:$S$56,2,FALSE)/1000000</f>
        <v>0.24303983158820788</v>
      </c>
      <c r="AV23" s="98">
        <f>(VLOOKUP($A23,Data!$D$64:$M$112,4,FALSE)+VLOOKUP($A23,Data!$D$64:$M$112,7,FALSE))*VLOOKUP($A23,'VKT US'!$B$63:$AB$113,2,FALSE)*CONVERT(0.9072,"g","ton")*m2k*VLOOKUP($A23,'VKT US'!$F$5:$S$56,4,FALSE)/1000000</f>
        <v>0.70803073607833344</v>
      </c>
      <c r="AW23" s="98">
        <f>(VLOOKUP($A23,Data!$D$64:$M$112,9,FALSE)+VLOOKUP($A23,Data!$D$64:$M$112,10,FALSE))*VLOOKUP($A23,'VKT US'!$B$63:$AB$113,2,FALSE)*CONVERT(0.9072,"g","ton")*m2k*VLOOKUP($A23,'VKT US'!$F$5:$S$56,9,FALSE)/1000000</f>
        <v>0</v>
      </c>
      <c r="AX23" s="98">
        <f>H23*VLOOKUP($A23,'VKT US'!$F$5:$S$56,11,FALSE)/1000000</f>
        <v>320.03895957834379</v>
      </c>
      <c r="AY23" s="98">
        <f>P23*VLOOKUP($A23,'VKT US'!$F$5:$S$56,2,FALSE)/1000000</f>
        <v>2.2789455538686334</v>
      </c>
      <c r="AZ23" s="98">
        <f>Y23*VLOOKUP($A23,'VKT US'!$F$5:$S$56,4,FALSE)/1000000</f>
        <v>8.2476993605879176</v>
      </c>
      <c r="BA23" s="98">
        <f>AH23*VLOOKUP($A23,'VKT US'!$F$5:$S$56,9,FALSE)/1000000</f>
        <v>0</v>
      </c>
      <c r="BB23" s="79">
        <f>VLOOKUP($A23,Data!$D$64:$M$112,4,FALSE)+VLOOKUP($A23,Data!$D$64:$M$112,7,FALSE)-(VLOOKUP($A23,Data!$D$64:$F$114,3,FALSE)+VLOOKUP($A23,Data!$D$64:$I$114,6,FALSE))</f>
        <v>20.469534443591101</v>
      </c>
      <c r="BC23" s="10">
        <f>(Y23-P23)*VLOOKUP($A23,'VKT US'!$F$5:$S$56,14,FALSE)/1000000*'Scenario analysis'!$E$4</f>
        <v>72.233659037265724</v>
      </c>
      <c r="BD23" s="10">
        <f>P23*VLOOKUP($A23,'VKT US'!$F$5:$S$56,14,FALSE)/1000000*'Scenario analysis'!$E$4</f>
        <v>169.56528361582727</v>
      </c>
      <c r="BE23" s="79">
        <f>(VLOOKUP($A23,Data!$D$64:$M$114,4,FALSE)+VLOOKUP($A23,Data!$D$64:$M$114,7,FALSE)-(VLOOKUP($A23,Data!$D$64:$F$114,3,FALSE)+VLOOKUP($A23,Data!$D$64:$I$114,6,FALSE)))*VLOOKUP($A23,'VKT US'!$B$63:$AB$113,2,FALSE)*CONVERT(0.9072,"g","ton")*m2k*VLOOKUP($A23,'VKT US'!$F$5:$S$56,14,FALSE)/1000000*'Scenario analysis'!$E$4</f>
        <v>2.6740201019186403</v>
      </c>
      <c r="BF23" s="79">
        <f>(VLOOKUP($A23,Data!$D$64:$F$114,3,FALSE)+VLOOKUP($A23,Data!$D$64:$I$114,6,FALSE))*VLOOKUP($A23,'VKT US'!$B$63:$AB$113,2,FALSE)*CONVERT(0.9072,"g","ton")*m2k*VLOOKUP($A23,'VKT US'!$F$5:$S$56,14,FALSE)/1000000*'Scenario analysis'!$E$4</f>
        <v>18.083414894769756</v>
      </c>
      <c r="BG23" s="79">
        <f>(VLOOKUP($A23,Data!$D$64:$M$114,4,FALSE)+VLOOKUP($A23,Data!$D$64:$M$114,7,FALSE))*VLOOKUP($A23,'VKT US'!$B$63:$AB$113,2,FALSE)*CONVERT(0.9072,"g","ton")*m2k*VLOOKUP($A23,'VKT US'!$F$5:$S$56,14,FALSE)/1000000*'Scenario analysis'!$E$4</f>
        <v>20.757434996688399</v>
      </c>
      <c r="BH23" s="79">
        <f t="shared" si="0"/>
        <v>13.154679214959792</v>
      </c>
      <c r="BI23" s="96">
        <f t="shared" si="1"/>
        <v>1660.3843742013164</v>
      </c>
      <c r="BJ23" s="191">
        <f t="shared" si="2"/>
        <v>21841.823816150078</v>
      </c>
      <c r="BK23" s="191">
        <f>(VLOOKUP($A23,'US Grid mix, emissions&amp;prices'!$H$169:$AK$219,30,FALSE)+VLOOKUP($A23,Data!$D$64:$F$114,3,FALSE)*VLOOKUP($A23,'VKT US'!$B$63:$AB$113,27,FALSE)*m2k*CONVERT(0.9072,"g","ton"))*VLOOKUP($A23,'VKT US'!$F$5:$S$56,14,FALSE)/1000000</f>
        <v>169.56528361582727</v>
      </c>
      <c r="BL23" s="191">
        <f>P23*VLOOKUP($A23,'VKT US'!$F$5:$S$56,14,FALSE)/1000000-BK23</f>
        <v>0</v>
      </c>
      <c r="BM23" s="191">
        <v>16.062614079324096</v>
      </c>
      <c r="BN23" s="191">
        <v>2.4162420335779871</v>
      </c>
      <c r="BO23" s="191" cm="1">
        <f t="array" ref="BO23">_xlfn.IFS(AND(Q23&gt;0,R23&gt;0),R23/Q23,AND(Q23&gt;0,R23&lt;=0),-R23/Q23,Q23&lt;=0,0)</f>
        <v>441.00189072307739</v>
      </c>
      <c r="BP23" s="212" cm="1">
        <f t="array" ref="BP23">_xlfn.IFS(AND(Z23&gt;0,AA23&gt;0),AA23/Z23,AND(Z23&gt;0,AA23&lt;=0),AA23/Z23,Z23&lt;=0,0)</f>
        <v>-263.73337484819831</v>
      </c>
      <c r="BQ23" s="191">
        <f>P23*1000000/(VLOOKUP($A23,'VKT US'!$B$63:$AB$113,27,FALSE)*m2k)</f>
        <v>111.43120644965688</v>
      </c>
      <c r="BR23" s="191">
        <f>Y23*1000000/(VLOOKUP($A23,'VKT US'!$B$63:$AB$113,27,FALSE)*m2k)</f>
        <v>158.90014349358594</v>
      </c>
      <c r="BS23" s="191">
        <f>H23*1000000/(VLOOKUP($A23,'VKT US'!$B$63:$AB$113,27,FALSE)*m2k)</f>
        <v>241.03423436212955</v>
      </c>
      <c r="BT23" s="95"/>
      <c r="BU23" s="10">
        <f t="shared" si="10"/>
        <v>98050.523542576251</v>
      </c>
      <c r="BV23" s="10">
        <f t="shared" si="11"/>
        <v>107341.56748661415</v>
      </c>
      <c r="BW23" s="10">
        <f t="shared" si="12"/>
        <v>91222.648207705992</v>
      </c>
      <c r="BX23" s="10">
        <f t="shared" si="13"/>
        <v>99790.149589169916</v>
      </c>
      <c r="BY23" s="53">
        <f t="shared" si="14"/>
        <v>101100.40929383134</v>
      </c>
      <c r="BZ23" s="79">
        <f t="shared" si="15"/>
        <v>38.44404962980262</v>
      </c>
      <c r="CA23" s="96">
        <f>VLOOKUP($A23,'TCO Inputs'!$Y$114:$AT$164,22,FALSE)</f>
        <v>66721.634671479958</v>
      </c>
      <c r="CB23" s="211">
        <f>CA23*VLOOKUP($A23,'VKT US'!$F$5:$S$56,14,FALSE)/(10^9)</f>
        <v>366.37516814456359</v>
      </c>
    </row>
    <row r="24" spans="1:80" x14ac:dyDescent="0.25">
      <c r="A24" s="83" t="s">
        <v>204</v>
      </c>
      <c r="B24" s="150">
        <f>VLOOKUP($A24,'TCO Inputs'!$A$3:$AG$53,10,FALSE)</f>
        <v>23731.611795719989</v>
      </c>
      <c r="C24" s="71">
        <f>VLOOKUP($A24,'TCO Inputs'!$A$3:$AG$53,14,FALSE)</f>
        <v>19201.145410626566</v>
      </c>
      <c r="D24" s="71">
        <f>VLOOKUP($A24,'TCO Inputs'!$A$3:$AG$53,18,FALSE)</f>
        <v>24393.864566097251</v>
      </c>
      <c r="E24" s="71">
        <f>VLOOKUP($A24,'TCO Inputs'!$A$3:$AG$53,22,FALSE)</f>
        <v>40748.027307063589</v>
      </c>
      <c r="F24" s="71">
        <f>VLOOKUP($A24,'TCO Inputs'!$A$3:$AG$53,26,FALSE)</f>
        <v>0</v>
      </c>
      <c r="G24" s="65">
        <f>VLOOKUP($A24,'TCO Inputs'!$A$3:$AG$53,30,FALSE)</f>
        <v>108074.64907950739</v>
      </c>
      <c r="H24" s="95">
        <f>(VLOOKUP($A24,Data!$D$64:$M$112,5,FALSE)+VLOOKUP($A24,Data!$D$64:$M$112,8,FALSE))*VLOOKUP($A24,'VKT US'!$B$63:$AB$113,27,FALSE)*CONVERT(0.9072,"g","ton")*m2k</f>
        <v>73.713737772698053</v>
      </c>
      <c r="I24" s="92"/>
      <c r="J24" s="144">
        <f>VLOOKUP($A24,'TCO Inputs'!$A$3:$AG$53,11,FALSE)</f>
        <v>40967.546942691188</v>
      </c>
      <c r="K24" s="65">
        <f>VLOOKUP($A24,'TCO Inputs'!$A$3:$AG$53,15,FALSE)</f>
        <v>15518.35641277682</v>
      </c>
      <c r="L24" s="65">
        <f>VLOOKUP($A24,'TCO Inputs'!$A$3:$AG$53,19,FALSE)</f>
        <v>15189.938361016584</v>
      </c>
      <c r="M24" s="65">
        <f>VLOOKUP($A24,'TCO Inputs'!$A$3:$AG$53,23,FALSE)</f>
        <v>50126.646788530139</v>
      </c>
      <c r="N24" s="65">
        <f>VLOOKUP($A24,'TCO Inputs'!$A$3:$AG$53,27,FALSE)</f>
        <v>0</v>
      </c>
      <c r="O24" s="65">
        <f>VLOOKUP($A24,'TCO Inputs'!$A$3:$AG$53,31,FALSE)</f>
        <v>121802.48850501473</v>
      </c>
      <c r="P24" s="7">
        <f>VLOOKUP($A24,_xlfn.IFS('Scenario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analysis'!$Q$121:$R$126),2,FALSE)+VLOOKUP($A24,Data!$D$64:$F$114,3,FALSE)*VLOOKUP($A24,'VKT US'!$B$63:$AB$113,27,FALSE)*m2k*CONVERT(0.9072,"g","ton")</f>
        <v>37.429646240370978</v>
      </c>
      <c r="Q24" s="95">
        <f t="shared" si="3"/>
        <v>36.284091532327075</v>
      </c>
      <c r="R24" s="60">
        <f t="shared" si="4"/>
        <v>13727.839425507336</v>
      </c>
      <c r="S24" s="144">
        <f>VLOOKUP($A24,'TCO Inputs'!$A$3:$AG$53,12,FALSE)</f>
        <v>25202.087524607668</v>
      </c>
      <c r="T24" s="65">
        <f>VLOOKUP($A24,'TCO Inputs'!$A$3:$AG$53,16,FALSE)</f>
        <v>11816.089483462501</v>
      </c>
      <c r="U24" s="65">
        <f>VLOOKUP($A24,'TCO Inputs'!$A$3:$AG$53,20,FALSE)</f>
        <v>22421.594665008535</v>
      </c>
      <c r="V24" s="65">
        <f>VLOOKUP($A24,'TCO Inputs'!$A$3:$AG$53,24,FALSE)</f>
        <v>42462.417043890207</v>
      </c>
      <c r="W24" s="65">
        <f>VLOOKUP($A24,'TCO Inputs'!$A$3:$AG$53,28,FALSE)</f>
        <v>0</v>
      </c>
      <c r="X24" s="65">
        <f>VLOOKUP($A24,'TCO Inputs'!$A$3:$AG$53,32,FALSE)</f>
        <v>101902.18871696891</v>
      </c>
      <c r="Y24" s="7">
        <f>(VLOOKUP($A24,Data!$D$64:$M$112,4,FALSE)+VLOOKUP($A24,Data!$D$64:$M$112,7,FALSE))*VLOOKUP($A24,'VKT US'!$B$63:$AB$113,27,FALSE)*CONVERT(0.9072,"g","ton")*m2k</f>
        <v>48.56076996865395</v>
      </c>
      <c r="Z24" s="95">
        <f t="shared" si="5"/>
        <v>25.152967804044103</v>
      </c>
      <c r="AA24" s="118">
        <f t="shared" si="6"/>
        <v>-6172.4603625384771</v>
      </c>
      <c r="AB24" s="144">
        <f>VLOOKUP($A24,'TCO Inputs'!$A$3:$AG$53,13,FALSE)</f>
        <v>28460.759801658827</v>
      </c>
      <c r="AC24" s="65">
        <f>VLOOKUP($A24,'TCO Inputs'!$A$3:$AG$53,17,FALSE)</f>
        <v>17566.776446944008</v>
      </c>
      <c r="AD24" s="65">
        <f>VLOOKUP($A24,'TCO Inputs'!$A$3:$AG$53,21,FALSE)</f>
        <v>22421.594665008535</v>
      </c>
      <c r="AE24" s="65">
        <f>VLOOKUP($A24,'TCO Inputs'!$A$3:$AG$53,25,FALSE)</f>
        <v>42686.277043890208</v>
      </c>
      <c r="AF24" s="65">
        <f>VLOOKUP($A24,'TCO Inputs'!$A$3:$AG$53,29,FALSE)</f>
        <v>0</v>
      </c>
      <c r="AG24" s="65">
        <f>VLOOKUP($A24,'TCO Inputs'!$A$3:$AG$53,33,FALSE)</f>
        <v>111135.40795750158</v>
      </c>
      <c r="AH24" s="7">
        <f>(VLOOKUP($A24,Data!$D$64:$M$112,9,FALSE)+VLOOKUP($A24,Data!$D$64:$M$112,10,FALSE))*VLOOKUP($A24,'VKT US'!$B$63:$AB$113,27,FALSE)*CONVERT(0.9072,"g","ton")*m2k</f>
        <v>33.636730233400087</v>
      </c>
      <c r="AI24" s="95">
        <f t="shared" si="7"/>
        <v>40.077007539297966</v>
      </c>
      <c r="AJ24" s="186">
        <f t="shared" si="8"/>
        <v>3060.7588779941871</v>
      </c>
      <c r="AK24" s="188">
        <f>VLOOKUP($A24,'TCO Inputs'!$A$3:$AT$53,40,FALSE)</f>
        <v>30376.676612640622</v>
      </c>
      <c r="AL24" s="188">
        <f>VLOOKUP($A24,'TCO Inputs'!$A$3:$AT$53,41,FALSE)</f>
        <v>12892.786752310925</v>
      </c>
      <c r="AM24" s="188">
        <f>VLOOKUP($A24,'TCO Inputs'!$A$3:$AT$53,42,FALSE)</f>
        <v>21604.860786126643</v>
      </c>
      <c r="AN24" s="188">
        <f>VLOOKUP($A24,'TCO Inputs'!$A$3:$AT$53,43,FALSE)</f>
        <v>49520.946788530142</v>
      </c>
      <c r="AO24" s="188">
        <f>VLOOKUP($A24,'TCO Inputs'!$A$3:$AT$53,44,FALSE)</f>
        <v>0</v>
      </c>
      <c r="AP24" s="188">
        <f>VLOOKUP($A24,'TCO Inputs'!$A$3:$AT$53,45,FALSE)</f>
        <v>114395.27093960834</v>
      </c>
      <c r="AQ24" s="96">
        <f>(VLOOKUP($A24,Data!$D$64:$O$114,11,FALSE)+VLOOKUP($A24,'Fuel economy adjusted factor'!$A$2:$L$52,12,FALSE)*(1-'TCO Inputs'!$BD$9))*VLOOKUP($A24,'VKT US'!$B$63:$AB$113,27,FALSE)*CONVERT(0.9072,"g","ton")*m2k+VLOOKUP($A24,'US Grid mix, emissions&amp;prices'!$H$224:$AK$274,30,FALSE)</f>
        <v>41.228316560216527</v>
      </c>
      <c r="AR24" s="96">
        <f t="shared" si="9"/>
        <v>32.485421212481526</v>
      </c>
      <c r="AS24" s="60">
        <f>VLOOKUP($A24,'TCO Inputs'!$A$3:$AT$53,46,FALSE)</f>
        <v>6320.6218601009459</v>
      </c>
      <c r="AT24" s="98">
        <f>(VLOOKUP($A24,Data!$D$64:$M$112,5,FALSE)+VLOOKUP($A24,Data!$D$64:$M$112,8,FALSE))*VLOOKUP($A24,'VKT US'!$B$63:$AB$113,2,FALSE)*CONVERT(0.9072,"g","ton")*m2k*VLOOKUP($A24,'VKT US'!$F$5:$S$56,11,FALSE)/1000000</f>
        <v>45.116238863312283</v>
      </c>
      <c r="AU24" s="98">
        <f>(VLOOKUP($A24,Data!$D$64:$F$114,3,FALSE)+VLOOKUP($A24,Data!$D$64:$I$114,6,FALSE))*VLOOKUP($A24,'VKT US'!$B$63:$AB$113,2,FALSE)*m2k*CONVERT(0.9072,"g","ton")*VLOOKUP($A24,'VKT US'!$F$5:$S$56,2,FALSE)/1000000</f>
        <v>0.20259147232927668</v>
      </c>
      <c r="AV24" s="98">
        <f>(VLOOKUP($A24,Data!$D$64:$M$112,4,FALSE)+VLOOKUP($A24,Data!$D$64:$M$112,7,FALSE))*VLOOKUP($A24,'VKT US'!$B$63:$AB$113,2,FALSE)*CONVERT(0.9072,"g","ton")*m2k*VLOOKUP($A24,'VKT US'!$F$5:$S$56,4,FALSE)/1000000</f>
        <v>0.61739045636263334</v>
      </c>
      <c r="AW24" s="98">
        <f>(VLOOKUP($A24,Data!$D$64:$M$112,9,FALSE)+VLOOKUP($A24,Data!$D$64:$M$112,10,FALSE))*VLOOKUP($A24,'VKT US'!$B$63:$AB$113,2,FALSE)*CONVERT(0.9072,"g","ton")*m2k*VLOOKUP($A24,'VKT US'!$F$5:$S$56,9,FALSE)/1000000</f>
        <v>0</v>
      </c>
      <c r="AX24" s="98">
        <f>H24*VLOOKUP($A24,'VKT US'!$F$5:$S$56,11,FALSE)/1000000</f>
        <v>525.54946482422804</v>
      </c>
      <c r="AY24" s="98">
        <f>P24*VLOOKUP($A24,'VKT US'!$F$5:$S$56,2,FALSE)/1000000</f>
        <v>1.8827112058906601</v>
      </c>
      <c r="AZ24" s="98">
        <f>Y24*VLOOKUP($A24,'VKT US'!$F$5:$S$56,4,FALSE)/1000000</f>
        <v>7.1918500323576495</v>
      </c>
      <c r="BA24" s="98">
        <f>AH24*VLOOKUP($A24,'VKT US'!$F$5:$S$56,9,FALSE)/1000000</f>
        <v>0</v>
      </c>
      <c r="BB24" s="79">
        <f>VLOOKUP($A24,Data!$D$64:$M$112,4,FALSE)+VLOOKUP($A24,Data!$D$64:$M$112,7,FALSE)-(VLOOKUP($A24,Data!$D$64:$F$114,3,FALSE)+VLOOKUP($A24,Data!$D$64:$I$114,6,FALSE))</f>
        <v>5.4335005436905703</v>
      </c>
      <c r="BC24" s="10">
        <f>(Y24-P24)*VLOOKUP($A24,'VKT US'!$F$5:$S$56,14,FALSE)/1000000*'Scenario analysis'!$E$4</f>
        <v>94.897282233103653</v>
      </c>
      <c r="BD24" s="10">
        <f>P24*VLOOKUP($A24,'VKT US'!$F$5:$S$56,14,FALSE)/1000000*'Scenario analysis'!$E$4</f>
        <v>319.10270605765874</v>
      </c>
      <c r="BE24" s="79">
        <f>(VLOOKUP($A24,Data!$D$64:$M$114,4,FALSE)+VLOOKUP($A24,Data!$D$64:$M$114,7,FALSE)-(VLOOKUP($A24,Data!$D$64:$F$114,3,FALSE)+VLOOKUP($A24,Data!$D$64:$I$114,6,FALSE)))*VLOOKUP($A24,'VKT US'!$B$63:$AB$113,2,FALSE)*CONVERT(0.9072,"g","ton")*m2k*VLOOKUP($A24,'VKT US'!$F$5:$S$56,14,FALSE)/1000000*'Scenario analysis'!$E$4</f>
        <v>1.2027374746621047</v>
      </c>
      <c r="BF24" s="79">
        <f>(VLOOKUP($A24,Data!$D$64:$F$114,3,FALSE)+VLOOKUP($A24,Data!$D$64:$I$114,6,FALSE))*VLOOKUP($A24,'VKT US'!$B$63:$AB$113,2,FALSE)*CONVERT(0.9072,"g","ton")*m2k*VLOOKUP($A24,'VKT US'!$F$5:$S$56,14,FALSE)/1000000*'Scenario analysis'!$E$4</f>
        <v>34.337442111252791</v>
      </c>
      <c r="BG24" s="79">
        <f>(VLOOKUP($A24,Data!$D$64:$M$114,4,FALSE)+VLOOKUP($A24,Data!$D$64:$M$114,7,FALSE))*VLOOKUP($A24,'VKT US'!$B$63:$AB$113,2,FALSE)*CONVERT(0.9072,"g","ton")*m2k*VLOOKUP($A24,'VKT US'!$F$5:$S$56,14,FALSE)/1000000*'Scenario analysis'!$E$4</f>
        <v>35.540179585914885</v>
      </c>
      <c r="BH24" s="79">
        <f t="shared" si="0"/>
        <v>11.131123728282972</v>
      </c>
      <c r="BI24" s="96">
        <f t="shared" si="1"/>
        <v>1787.8068983710352</v>
      </c>
      <c r="BJ24" s="191">
        <f t="shared" si="2"/>
        <v>19900.299788045813</v>
      </c>
      <c r="BK24" s="191">
        <f>(VLOOKUP($A24,'US Grid mix, emissions&amp;prices'!$H$169:$AK$219,30,FALSE)+VLOOKUP($A24,Data!$D$64:$F$114,3,FALSE)*VLOOKUP($A24,'VKT US'!$B$63:$AB$113,27,FALSE)*m2k*CONVERT(0.9072,"g","ton"))*VLOOKUP($A24,'VKT US'!$F$5:$S$56,14,FALSE)/1000000</f>
        <v>319.10270605765874</v>
      </c>
      <c r="BL24" s="191">
        <f>P24*VLOOKUP($A24,'VKT US'!$F$5:$S$56,14,FALSE)/1000000-BK24</f>
        <v>0</v>
      </c>
      <c r="BM24" s="191">
        <v>30.358911503141634</v>
      </c>
      <c r="BN24" s="191">
        <v>4.7570709659846813</v>
      </c>
      <c r="BO24" s="191" cm="1">
        <f t="array" ref="BO24">_xlfn.IFS(AND(Q24&gt;0,R24&gt;0),R24/Q24,AND(Q24&gt;0,R24&lt;=0),-R24/Q24,Q24&lt;=0,0)</f>
        <v>378.3432034746304</v>
      </c>
      <c r="BP24" s="212" cm="1">
        <f t="array" ref="BP24">_xlfn.IFS(AND(Z24&gt;0,AA24&gt;0),AA24/Z24,AND(Z24&gt;0,AA24&lt;=0),AA24/Z24,Z24&lt;=0,0)</f>
        <v>-245.39690149589691</v>
      </c>
      <c r="BQ24" s="191">
        <f>P24*1000000/(VLOOKUP($A24,'VKT US'!$B$63:$AB$113,27,FALSE)*m2k)</f>
        <v>123.75591160473292</v>
      </c>
      <c r="BR24" s="191">
        <f>Y24*1000000/(VLOOKUP($A24,'VKT US'!$B$63:$AB$113,27,FALSE)*m2k)</f>
        <v>160.55942172428456</v>
      </c>
      <c r="BS24" s="191">
        <f>H24*1000000/(VLOOKUP($A24,'VKT US'!$B$63:$AB$113,27,FALSE)*m2k)</f>
        <v>243.72420613511164</v>
      </c>
      <c r="BT24" s="95"/>
      <c r="BU24" s="10">
        <f t="shared" si="10"/>
        <v>98050.523542576251</v>
      </c>
      <c r="BV24" s="10">
        <f t="shared" si="11"/>
        <v>107341.56748661415</v>
      </c>
      <c r="BW24" s="10">
        <f t="shared" si="12"/>
        <v>91222.648207705992</v>
      </c>
      <c r="BX24" s="10">
        <f t="shared" si="13"/>
        <v>99790.149589169916</v>
      </c>
      <c r="BY24" s="53">
        <f t="shared" si="14"/>
        <v>101100.40929383134</v>
      </c>
      <c r="BZ24" s="79">
        <f t="shared" si="15"/>
        <v>38.44404962980262</v>
      </c>
      <c r="CA24" s="96">
        <f>VLOOKUP($A24,'TCO Inputs'!$Y$114:$AT$164,22,FALSE)</f>
        <v>75824.598617670737</v>
      </c>
      <c r="CB24" s="211">
        <f>CA24*VLOOKUP($A24,'VKT US'!$F$5:$S$56,14,FALSE)/(10^9)</f>
        <v>646.43503305509012</v>
      </c>
    </row>
    <row r="25" spans="1:80" x14ac:dyDescent="0.25">
      <c r="A25" s="83" t="s">
        <v>205</v>
      </c>
      <c r="B25" s="150">
        <f>VLOOKUP($A25,'TCO Inputs'!$A$3:$AG$53,10,FALSE)</f>
        <v>23731.611795719989</v>
      </c>
      <c r="C25" s="71">
        <f>VLOOKUP($A25,'TCO Inputs'!$A$3:$AG$53,14,FALSE)</f>
        <v>24353.969361789608</v>
      </c>
      <c r="D25" s="71">
        <f>VLOOKUP($A25,'TCO Inputs'!$A$3:$AG$53,18,FALSE)</f>
        <v>30535.382715750024</v>
      </c>
      <c r="E25" s="71">
        <f>VLOOKUP($A25,'TCO Inputs'!$A$3:$AG$53,22,FALSE)</f>
        <v>27561.868365910825</v>
      </c>
      <c r="F25" s="71">
        <f>VLOOKUP($A25,'TCO Inputs'!$A$3:$AG$53,26,FALSE)</f>
        <v>0</v>
      </c>
      <c r="G25" s="65">
        <f>VLOOKUP($A25,'TCO Inputs'!$A$3:$AG$53,30,FALSE)</f>
        <v>106182.83223917044</v>
      </c>
      <c r="H25" s="95">
        <f>(VLOOKUP($A25,Data!$D$64:$M$112,5,FALSE)+VLOOKUP($A25,Data!$D$64:$M$112,8,FALSE))*VLOOKUP($A25,'VKT US'!$B$63:$AB$113,27,FALSE)*CONVERT(0.9072,"g","ton")*m2k</f>
        <v>93.369010565058687</v>
      </c>
      <c r="I25" s="92"/>
      <c r="J25" s="144">
        <f>VLOOKUP($A25,'TCO Inputs'!$A$3:$AG$53,11,FALSE)</f>
        <v>40967.546942691188</v>
      </c>
      <c r="K25" s="65">
        <f>VLOOKUP($A25,'TCO Inputs'!$A$3:$AG$53,15,FALSE)</f>
        <v>17571.750717115723</v>
      </c>
      <c r="L25" s="65">
        <f>VLOOKUP($A25,'TCO Inputs'!$A$3:$AG$53,19,FALSE)</f>
        <v>19014.231222998958</v>
      </c>
      <c r="M25" s="65">
        <f>VLOOKUP($A25,'TCO Inputs'!$A$3:$AG$53,23,FALSE)</f>
        <v>33262.423061617948</v>
      </c>
      <c r="N25" s="65">
        <f>VLOOKUP($A25,'TCO Inputs'!$A$3:$AG$53,27,FALSE)</f>
        <v>0</v>
      </c>
      <c r="O25" s="65">
        <f>VLOOKUP($A25,'TCO Inputs'!$A$3:$AG$53,31,FALSE)</f>
        <v>110815.95194442381</v>
      </c>
      <c r="P25" s="7">
        <f>VLOOKUP($A25,_xlfn.IFS('Scenario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analysis'!$Q$121:$R$126),2,FALSE)+VLOOKUP($A25,Data!$D$64:$F$114,3,FALSE)*VLOOKUP($A25,'VKT US'!$B$63:$AB$113,27,FALSE)*m2k*CONVERT(0.9072,"g","ton")</f>
        <v>41.981127011257463</v>
      </c>
      <c r="Q25" s="95">
        <f t="shared" si="3"/>
        <v>51.387883553801224</v>
      </c>
      <c r="R25" s="60">
        <f t="shared" si="4"/>
        <v>4633.119705253368</v>
      </c>
      <c r="S25" s="144">
        <f>VLOOKUP($A25,'TCO Inputs'!$A$3:$AG$53,12,FALSE)</f>
        <v>25202.087524607668</v>
      </c>
      <c r="T25" s="65">
        <f>VLOOKUP($A25,'TCO Inputs'!$A$3:$AG$53,16,FALSE)</f>
        <v>14987.058068793605</v>
      </c>
      <c r="U25" s="65">
        <f>VLOOKUP($A25,'TCO Inputs'!$A$3:$AG$53,20,FALSE)</f>
        <v>28066.564538731938</v>
      </c>
      <c r="V25" s="65">
        <f>VLOOKUP($A25,'TCO Inputs'!$A$3:$AG$53,24,FALSE)</f>
        <v>28721.477490009274</v>
      </c>
      <c r="W25" s="65">
        <f>VLOOKUP($A25,'TCO Inputs'!$A$3:$AG$53,28,FALSE)</f>
        <v>0</v>
      </c>
      <c r="X25" s="65">
        <f>VLOOKUP($A25,'TCO Inputs'!$A$3:$AG$53,32,FALSE)</f>
        <v>96977.18762214249</v>
      </c>
      <c r="Y25" s="7">
        <f>(VLOOKUP($A25,Data!$D$64:$M$112,4,FALSE)+VLOOKUP($A25,Data!$D$64:$M$112,7,FALSE))*VLOOKUP($A25,'VKT US'!$B$63:$AB$113,27,FALSE)*CONVERT(0.9072,"g","ton")*m2k</f>
        <v>61.46317936045191</v>
      </c>
      <c r="Z25" s="95">
        <f t="shared" si="5"/>
        <v>31.905831204606777</v>
      </c>
      <c r="AA25" s="118">
        <f t="shared" si="6"/>
        <v>-9205.6446170279523</v>
      </c>
      <c r="AB25" s="144">
        <f>VLOOKUP($A25,'TCO Inputs'!$A$3:$AG$53,13,FALSE)</f>
        <v>28460.759801658827</v>
      </c>
      <c r="AC25" s="65">
        <f>VLOOKUP($A25,'TCO Inputs'!$A$3:$AG$53,17,FALSE)</f>
        <v>22281.000754127475</v>
      </c>
      <c r="AD25" s="65">
        <f>VLOOKUP($A25,'TCO Inputs'!$A$3:$AG$53,21,FALSE)</f>
        <v>28066.564538731938</v>
      </c>
      <c r="AE25" s="65">
        <f>VLOOKUP($A25,'TCO Inputs'!$A$3:$AG$53,25,FALSE)</f>
        <v>28978.170290009275</v>
      </c>
      <c r="AF25" s="65">
        <f>VLOOKUP($A25,'TCO Inputs'!$A$3:$AG$53,29,FALSE)</f>
        <v>0</v>
      </c>
      <c r="AG25" s="65">
        <f>VLOOKUP($A25,'TCO Inputs'!$A$3:$AG$53,33,FALSE)</f>
        <v>107786.49538452752</v>
      </c>
      <c r="AH25" s="7">
        <f>(VLOOKUP($A25,Data!$D$64:$M$112,9,FALSE)+VLOOKUP($A25,Data!$D$64:$M$112,10,FALSE))*VLOOKUP($A25,'VKT US'!$B$63:$AB$113,27,FALSE)*CONVERT(0.9072,"g","ton")*m2k</f>
        <v>42.105277259380863</v>
      </c>
      <c r="AI25" s="95">
        <f t="shared" si="7"/>
        <v>51.263733305677825</v>
      </c>
      <c r="AJ25" s="186">
        <f t="shared" si="8"/>
        <v>1603.6631453570735</v>
      </c>
      <c r="AK25" s="188">
        <f>VLOOKUP($A25,'TCO Inputs'!$A$3:$AT$53,40,FALSE)</f>
        <v>30376.676612640622</v>
      </c>
      <c r="AL25" s="188">
        <f>VLOOKUP($A25,'TCO Inputs'!$A$3:$AT$53,41,FALSE)</f>
        <v>15348.991798207704</v>
      </c>
      <c r="AM25" s="188">
        <f>VLOOKUP($A25,'TCO Inputs'!$A$3:$AT$53,42,FALSE)</f>
        <v>27044.205760728466</v>
      </c>
      <c r="AN25" s="188">
        <f>VLOOKUP($A25,'TCO Inputs'!$A$3:$AT$53,43,FALSE)</f>
        <v>32567.887061617952</v>
      </c>
      <c r="AO25" s="188">
        <f>VLOOKUP($A25,'TCO Inputs'!$A$3:$AT$53,44,FALSE)</f>
        <v>0</v>
      </c>
      <c r="AP25" s="188">
        <f>VLOOKUP($A25,'TCO Inputs'!$A$3:$AT$53,45,FALSE)</f>
        <v>105337.76123319473</v>
      </c>
      <c r="AQ25" s="96">
        <f>(VLOOKUP($A25,Data!$D$64:$O$114,11,FALSE)+VLOOKUP($A25,'Fuel economy adjusted factor'!$A$2:$L$52,12,FALSE)*(1-'TCO Inputs'!$BD$9))*VLOOKUP($A25,'VKT US'!$B$63:$AB$113,27,FALSE)*CONVERT(0.9072,"g","ton")*m2k+VLOOKUP($A25,'US Grid mix, emissions&amp;prices'!$H$224:$AK$274,30,FALSE)</f>
        <v>49.398684973671422</v>
      </c>
      <c r="AR25" s="96">
        <f t="shared" si="9"/>
        <v>43.970325591387265</v>
      </c>
      <c r="AS25" s="60">
        <f>VLOOKUP($A25,'TCO Inputs'!$A$3:$AT$53,46,FALSE)</f>
        <v>-845.07100597571116</v>
      </c>
      <c r="AT25" s="98">
        <f>(VLOOKUP($A25,Data!$D$64:$M$112,5,FALSE)+VLOOKUP($A25,Data!$D$64:$M$112,8,FALSE))*VLOOKUP($A25,'VKT US'!$B$63:$AB$113,2,FALSE)*CONVERT(0.9072,"g","ton")*m2k*VLOOKUP($A25,'VKT US'!$F$5:$S$56,11,FALSE)/1000000</f>
        <v>33.818330039958589</v>
      </c>
      <c r="AU25" s="98">
        <f>(VLOOKUP($A25,Data!$D$64:$F$114,3,FALSE)+VLOOKUP($A25,Data!$D$64:$I$114,6,FALSE))*VLOOKUP($A25,'VKT US'!$B$63:$AB$113,2,FALSE)*m2k*CONVERT(0.9072,"g","ton")*VLOOKUP($A25,'VKT US'!$F$5:$S$56,2,FALSE)/1000000</f>
        <v>0.16602702786225915</v>
      </c>
      <c r="AV25" s="98">
        <f>(VLOOKUP($A25,Data!$D$64:$M$112,4,FALSE)+VLOOKUP($A25,Data!$D$64:$M$112,7,FALSE))*VLOOKUP($A25,'VKT US'!$B$63:$AB$113,2,FALSE)*CONVERT(0.9072,"g","ton")*m2k*VLOOKUP($A25,'VKT US'!$F$5:$S$56,4,FALSE)/1000000</f>
        <v>0.65690665585664276</v>
      </c>
      <c r="AW25" s="98">
        <f>(VLOOKUP($A25,Data!$D$64:$M$112,9,FALSE)+VLOOKUP($A25,Data!$D$64:$M$112,10,FALSE))*VLOOKUP($A25,'VKT US'!$B$63:$AB$113,2,FALSE)*CONVERT(0.9072,"g","ton")*m2k*VLOOKUP($A25,'VKT US'!$F$5:$S$56,9,FALSE)/1000000</f>
        <v>0</v>
      </c>
      <c r="AX25" s="98">
        <f>H25*VLOOKUP($A25,'VKT US'!$F$5:$S$56,11,FALSE)/1000000</f>
        <v>393.94252937609559</v>
      </c>
      <c r="AY25" s="98">
        <f>P25*VLOOKUP($A25,'VKT US'!$F$5:$S$56,2,FALSE)/1000000</f>
        <v>1.5574998121176518</v>
      </c>
      <c r="AZ25" s="98">
        <f>Y25*VLOOKUP($A25,'VKT US'!$F$5:$S$56,4,FALSE)/1000000</f>
        <v>7.652165830376263</v>
      </c>
      <c r="BA25" s="98">
        <f>AH25*VLOOKUP($A25,'VKT US'!$F$5:$S$56,9,FALSE)/1000000</f>
        <v>0</v>
      </c>
      <c r="BB25" s="79">
        <f>VLOOKUP($A25,Data!$D$64:$M$112,4,FALSE)+VLOOKUP($A25,Data!$D$64:$M$112,7,FALSE)-(VLOOKUP($A25,Data!$D$64:$F$114,3,FALSE)+VLOOKUP($A25,Data!$D$64:$I$114,6,FALSE))</f>
        <v>24.652540256655101</v>
      </c>
      <c r="BC25" s="10">
        <f>(Y25-P25)*VLOOKUP($A25,'VKT US'!$F$5:$S$56,14,FALSE)/1000000*'Scenario analysis'!$E$4</f>
        <v>99.718884949351775</v>
      </c>
      <c r="BD25" s="10">
        <f>P25*VLOOKUP($A25,'VKT US'!$F$5:$S$56,14,FALSE)/1000000*'Scenario analysis'!$E$4</f>
        <v>214.88039860712132</v>
      </c>
      <c r="BE25" s="79">
        <f>(VLOOKUP($A25,Data!$D$64:$M$114,4,FALSE)+VLOOKUP($A25,Data!$D$64:$M$114,7,FALSE)-(VLOOKUP($A25,Data!$D$64:$F$114,3,FALSE)+VLOOKUP($A25,Data!$D$64:$I$114,6,FALSE)))*VLOOKUP($A25,'VKT US'!$B$63:$AB$113,2,FALSE)*CONVERT(0.9072,"g","ton")*m2k*VLOOKUP($A25,'VKT US'!$F$5:$S$56,14,FALSE)/1000000*'Scenario analysis'!$E$4</f>
        <v>4.101129725330944</v>
      </c>
      <c r="BF25" s="79">
        <f>(VLOOKUP($A25,Data!$D$64:$F$114,3,FALSE)+VLOOKUP($A25,Data!$D$64:$I$114,6,FALSE))*VLOOKUP($A25,'VKT US'!$B$63:$AB$113,2,FALSE)*CONVERT(0.9072,"g","ton")*m2k*VLOOKUP($A25,'VKT US'!$F$5:$S$56,14,FALSE)/1000000*'Scenario analysis'!$E$4</f>
        <v>22.90591218633352</v>
      </c>
      <c r="BG25" s="79">
        <f>(VLOOKUP($A25,Data!$D$64:$M$114,4,FALSE)+VLOOKUP($A25,Data!$D$64:$M$114,7,FALSE))*VLOOKUP($A25,'VKT US'!$B$63:$AB$113,2,FALSE)*CONVERT(0.9072,"g","ton")*m2k*VLOOKUP($A25,'VKT US'!$F$5:$S$56,14,FALSE)/1000000*'Scenario analysis'!$E$4</f>
        <v>27.007041911664462</v>
      </c>
      <c r="BH25" s="79">
        <f t="shared" si="0"/>
        <v>19.482052349194447</v>
      </c>
      <c r="BI25" s="96">
        <f t="shared" si="1"/>
        <v>710.33400764132182</v>
      </c>
      <c r="BJ25" s="191">
        <f t="shared" si="2"/>
        <v>13838.76432228132</v>
      </c>
      <c r="BK25" s="191">
        <f>(VLOOKUP($A25,'US Grid mix, emissions&amp;prices'!$H$169:$AK$219,30,FALSE)+VLOOKUP($A25,Data!$D$64:$F$114,3,FALSE)*VLOOKUP($A25,'VKT US'!$B$63:$AB$113,27,FALSE)*m2k*CONVERT(0.9072,"g","ton"))*VLOOKUP($A25,'VKT US'!$F$5:$S$56,14,FALSE)/1000000</f>
        <v>214.88039860712132</v>
      </c>
      <c r="BL25" s="191">
        <f>P25*VLOOKUP($A25,'VKT US'!$F$5:$S$56,14,FALSE)/1000000-BK25</f>
        <v>0</v>
      </c>
      <c r="BM25" s="191">
        <v>20.35089181595372</v>
      </c>
      <c r="BN25" s="191">
        <v>3.0550005563997935</v>
      </c>
      <c r="BO25" s="191" cm="1">
        <f t="array" ref="BO25">_xlfn.IFS(AND(Q25&gt;0,R25&gt;0),R25/Q25,AND(Q25&gt;0,R25&lt;=0),-R25/Q25,Q25&lt;=0,0)</f>
        <v>90.159768895768238</v>
      </c>
      <c r="BP25" s="212" cm="1">
        <f t="array" ref="BP25">_xlfn.IFS(AND(Z25&gt;0,AA25&gt;0),AA25/Z25,AND(Z25&gt;0,AA25&lt;=0),AA25/Z25,Z25&lt;=0,0)</f>
        <v>-288.52545975040385</v>
      </c>
      <c r="BQ25" s="191">
        <f>P25*1000000/(VLOOKUP($A25,'VKT US'!$B$63:$AB$113,27,FALSE)*m2k)</f>
        <v>110.88723774940249</v>
      </c>
      <c r="BR25" s="191">
        <f>Y25*1000000/(VLOOKUP($A25,'VKT US'!$B$63:$AB$113,27,FALSE)*m2k)</f>
        <v>162.34633674196004</v>
      </c>
      <c r="BS25" s="191">
        <f>H25*1000000/(VLOOKUP($A25,'VKT US'!$B$63:$AB$113,27,FALSE)*m2k)</f>
        <v>246.62109881370759</v>
      </c>
      <c r="BT25" s="95"/>
      <c r="BU25" s="10">
        <f t="shared" si="10"/>
        <v>98050.523542576251</v>
      </c>
      <c r="BV25" s="10">
        <f t="shared" si="11"/>
        <v>107341.56748661415</v>
      </c>
      <c r="BW25" s="10">
        <f t="shared" si="12"/>
        <v>91222.648207705992</v>
      </c>
      <c r="BX25" s="10">
        <f t="shared" si="13"/>
        <v>99790.149589169916</v>
      </c>
      <c r="BY25" s="53">
        <f t="shared" si="14"/>
        <v>101100.40929383134</v>
      </c>
      <c r="BZ25" s="79">
        <f t="shared" si="15"/>
        <v>38.44404962980262</v>
      </c>
      <c r="CA25" s="96">
        <f>VLOOKUP($A25,'TCO Inputs'!$Y$114:$AT$164,22,FALSE)</f>
        <v>99225.304850174012</v>
      </c>
      <c r="CB25" s="211">
        <f>CA25*VLOOKUP($A25,'VKT US'!$F$5:$S$56,14,FALSE)/(10^9)</f>
        <v>507.88472287561564</v>
      </c>
    </row>
    <row r="26" spans="1:80" x14ac:dyDescent="0.25">
      <c r="A26" s="83" t="s">
        <v>207</v>
      </c>
      <c r="B26" s="150">
        <f>VLOOKUP($A26,'TCO Inputs'!$A$3:$AG$53,10,FALSE)</f>
        <v>23731.611795719989</v>
      </c>
      <c r="C26" s="71">
        <f>VLOOKUP($A26,'TCO Inputs'!$A$3:$AG$53,14,FALSE)</f>
        <v>23760.574596648941</v>
      </c>
      <c r="D26" s="71">
        <f>VLOOKUP($A26,'TCO Inputs'!$A$3:$AG$53,18,FALSE)</f>
        <v>34042.629476948183</v>
      </c>
      <c r="E26" s="71">
        <f>VLOOKUP($A26,'TCO Inputs'!$A$3:$AG$53,22,FALSE)</f>
        <v>31849.50744360749</v>
      </c>
      <c r="F26" s="71">
        <f>VLOOKUP($A26,'TCO Inputs'!$A$3:$AG$53,26,FALSE)</f>
        <v>0</v>
      </c>
      <c r="G26" s="65">
        <f>VLOOKUP($A26,'TCO Inputs'!$A$3:$AG$53,30,FALSE)</f>
        <v>113384.32331292461</v>
      </c>
      <c r="H26" s="95">
        <f>(VLOOKUP($A26,Data!$D$64:$M$112,5,FALSE)+VLOOKUP($A26,Data!$D$64:$M$112,8,FALSE))*VLOOKUP($A26,'VKT US'!$B$63:$AB$113,27,FALSE)*CONVERT(0.9072,"g","ton")*m2k</f>
        <v>99.639060325336885</v>
      </c>
      <c r="I26" s="92"/>
      <c r="J26" s="144">
        <f>VLOOKUP($A26,'TCO Inputs'!$A$3:$AG$53,11,FALSE)</f>
        <v>40967.546942691188</v>
      </c>
      <c r="K26" s="65">
        <f>VLOOKUP($A26,'TCO Inputs'!$A$3:$AG$53,15,FALSE)</f>
        <v>15679.645165818385</v>
      </c>
      <c r="L26" s="65">
        <f>VLOOKUP($A26,'TCO Inputs'!$A$3:$AG$53,19,FALSE)</f>
        <v>21198.176369333691</v>
      </c>
      <c r="M26" s="65">
        <f>VLOOKUP($A26,'TCO Inputs'!$A$3:$AG$53,23,FALSE)</f>
        <v>45716.737620781176</v>
      </c>
      <c r="N26" s="65">
        <f>VLOOKUP($A26,'TCO Inputs'!$A$3:$AG$53,27,FALSE)</f>
        <v>0</v>
      </c>
      <c r="O26" s="65">
        <f>VLOOKUP($A26,'TCO Inputs'!$A$3:$AG$53,31,FALSE)</f>
        <v>123562.10609862444</v>
      </c>
      <c r="P26" s="7">
        <f>VLOOKUP($A26,_xlfn.IFS('Scenario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analysis'!$Q$121:$R$126),2,FALSE)+VLOOKUP($A26,Data!$D$64:$F$114,3,FALSE)*VLOOKUP($A26,'VKT US'!$B$63:$AB$113,27,FALSE)*m2k*CONVERT(0.9072,"g","ton")</f>
        <v>47.520200918076796</v>
      </c>
      <c r="Q26" s="95">
        <f t="shared" si="3"/>
        <v>52.118859407260089</v>
      </c>
      <c r="R26" s="60">
        <f t="shared" si="4"/>
        <v>10177.782785699834</v>
      </c>
      <c r="S26" s="144">
        <f>VLOOKUP($A26,'TCO Inputs'!$A$3:$AG$53,12,FALSE)</f>
        <v>25202.087524607668</v>
      </c>
      <c r="T26" s="65">
        <f>VLOOKUP($A26,'TCO Inputs'!$A$3:$AG$53,16,FALSE)</f>
        <v>14621.892059476269</v>
      </c>
      <c r="U26" s="65">
        <f>VLOOKUP($A26,'TCO Inputs'!$A$3:$AG$53,20,FALSE)</f>
        <v>31290.246668173641</v>
      </c>
      <c r="V26" s="65">
        <f>VLOOKUP($A26,'TCO Inputs'!$A$3:$AG$53,24,FALSE)</f>
        <v>33189.510194485163</v>
      </c>
      <c r="W26" s="65">
        <f>VLOOKUP($A26,'TCO Inputs'!$A$3:$AG$53,28,FALSE)</f>
        <v>0</v>
      </c>
      <c r="X26" s="65">
        <f>VLOOKUP($A26,'TCO Inputs'!$A$3:$AG$53,32,FALSE)</f>
        <v>104303.73644674274</v>
      </c>
      <c r="Y26" s="7">
        <f>(VLOOKUP($A26,Data!$D$64:$M$112,4,FALSE)+VLOOKUP($A26,Data!$D$64:$M$112,7,FALSE))*VLOOKUP($A26,'VKT US'!$B$63:$AB$113,27,FALSE)*CONVERT(0.9072,"g","ton")*m2k</f>
        <v>65.775241164612439</v>
      </c>
      <c r="Z26" s="95">
        <f t="shared" si="5"/>
        <v>33.863819160724447</v>
      </c>
      <c r="AA26" s="118">
        <f t="shared" si="6"/>
        <v>-9080.5868661818677</v>
      </c>
      <c r="AB26" s="144">
        <f>VLOOKUP($A26,'TCO Inputs'!$A$3:$AG$53,13,FALSE)</f>
        <v>28460.759801658827</v>
      </c>
      <c r="AC26" s="65">
        <f>VLOOKUP($A26,'TCO Inputs'!$A$3:$AG$53,17,FALSE)</f>
        <v>23656.191650988949</v>
      </c>
      <c r="AD26" s="65">
        <f>VLOOKUP($A26,'TCO Inputs'!$A$3:$AG$53,21,FALSE)</f>
        <v>31290.246668173641</v>
      </c>
      <c r="AE26" s="65">
        <f>VLOOKUP($A26,'TCO Inputs'!$A$3:$AG$53,25,FALSE)</f>
        <v>33376.060194485159</v>
      </c>
      <c r="AF26" s="65">
        <f>VLOOKUP($A26,'TCO Inputs'!$A$3:$AG$53,29,FALSE)</f>
        <v>0</v>
      </c>
      <c r="AG26" s="65">
        <f>VLOOKUP($A26,'TCO Inputs'!$A$3:$AG$53,33,FALSE)</f>
        <v>116783.25831530656</v>
      </c>
      <c r="AH26" s="7">
        <f>(VLOOKUP($A26,Data!$D$64:$M$112,9,FALSE)+VLOOKUP($A26,Data!$D$64:$M$112,10,FALSE))*VLOOKUP($A26,'VKT US'!$B$63:$AB$113,27,FALSE)*CONVERT(0.9072,"g","ton")*m2k</f>
        <v>46.941424186766348</v>
      </c>
      <c r="AI26" s="95">
        <f t="shared" si="7"/>
        <v>52.697636138570537</v>
      </c>
      <c r="AJ26" s="186">
        <f t="shared" si="8"/>
        <v>3398.935002381957</v>
      </c>
      <c r="AK26" s="188">
        <f>VLOOKUP($A26,'TCO Inputs'!$A$3:$AT$53,40,FALSE)</f>
        <v>30376.676612640622</v>
      </c>
      <c r="AL26" s="188">
        <f>VLOOKUP($A26,'TCO Inputs'!$A$3:$AT$53,41,FALSE)</f>
        <v>14292.648834111433</v>
      </c>
      <c r="AM26" s="188">
        <f>VLOOKUP($A26,'TCO Inputs'!$A$3:$AT$53,42,FALSE)</f>
        <v>30150.461344503019</v>
      </c>
      <c r="AN26" s="188">
        <f>VLOOKUP($A26,'TCO Inputs'!$A$3:$AT$53,43,FALSE)</f>
        <v>45211.987620781176</v>
      </c>
      <c r="AO26" s="188">
        <f>VLOOKUP($A26,'TCO Inputs'!$A$3:$AT$53,44,FALSE)</f>
        <v>0</v>
      </c>
      <c r="AP26" s="188">
        <f>VLOOKUP($A26,'TCO Inputs'!$A$3:$AT$53,45,FALSE)</f>
        <v>120031.77441203625</v>
      </c>
      <c r="AQ26" s="96">
        <f>(VLOOKUP($A26,Data!$D$64:$O$114,11,FALSE)+VLOOKUP($A26,'Fuel economy adjusted factor'!$A$2:$L$52,12,FALSE)*(1-'TCO Inputs'!$BD$9))*VLOOKUP($A26,'VKT US'!$B$63:$AB$113,27,FALSE)*CONVERT(0.9072,"g","ton")*m2k+VLOOKUP($A26,'US Grid mix, emissions&amp;prices'!$H$224:$AK$274,30,FALSE)</f>
        <v>54.129785147525112</v>
      </c>
      <c r="AR26" s="96">
        <f t="shared" si="9"/>
        <v>45.509275177811773</v>
      </c>
      <c r="AS26" s="60">
        <f>VLOOKUP($A26,'TCO Inputs'!$A$3:$AT$53,46,FALSE)</f>
        <v>6647.4510991116404</v>
      </c>
      <c r="AT26" s="98">
        <f>(VLOOKUP($A26,Data!$D$64:$M$112,5,FALSE)+VLOOKUP($A26,Data!$D$64:$M$112,8,FALSE))*VLOOKUP($A26,'VKT US'!$B$63:$AB$113,2,FALSE)*CONVERT(0.9072,"g","ton")*m2k*VLOOKUP($A26,'VKT US'!$F$5:$S$56,11,FALSE)/1000000</f>
        <v>19.464571049080714</v>
      </c>
      <c r="AU26" s="98">
        <f>(VLOOKUP($A26,Data!$D$64:$F$114,3,FALSE)+VLOOKUP($A26,Data!$D$64:$I$114,6,FALSE))*VLOOKUP($A26,'VKT US'!$B$63:$AB$113,2,FALSE)*m2k*CONVERT(0.9072,"g","ton")*VLOOKUP($A26,'VKT US'!$F$5:$S$56,2,FALSE)/1000000</f>
        <v>1.8261106413279084E-2</v>
      </c>
      <c r="AV26" s="98">
        <f>(VLOOKUP($A26,Data!$D$64:$M$112,4,FALSE)+VLOOKUP($A26,Data!$D$64:$M$112,7,FALSE))*VLOOKUP($A26,'VKT US'!$B$63:$AB$113,2,FALSE)*CONVERT(0.9072,"g","ton")*m2k*VLOOKUP($A26,'VKT US'!$F$5:$S$56,4,FALSE)/1000000</f>
        <v>0.15923218206151729</v>
      </c>
      <c r="AW26" s="98">
        <f>(VLOOKUP($A26,Data!$D$64:$M$112,9,FALSE)+VLOOKUP($A26,Data!$D$64:$M$112,10,FALSE))*VLOOKUP($A26,'VKT US'!$B$63:$AB$113,2,FALSE)*CONVERT(0.9072,"g","ton")*m2k*VLOOKUP($A26,'VKT US'!$F$5:$S$56,9,FALSE)/1000000</f>
        <v>0</v>
      </c>
      <c r="AX26" s="98">
        <f>H26*VLOOKUP($A26,'VKT US'!$F$5:$S$56,11,FALSE)/1000000</f>
        <v>226.7386456763366</v>
      </c>
      <c r="AY26" s="98">
        <f>P26*VLOOKUP($A26,'VKT US'!$F$5:$S$56,2,FALSE)/1000000</f>
        <v>0.17107272330507647</v>
      </c>
      <c r="AZ26" s="98">
        <f>Y26*VLOOKUP($A26,'VKT US'!$F$5:$S$56,4,FALSE)/1000000</f>
        <v>1.8548618008420708</v>
      </c>
      <c r="BA26" s="98">
        <f>AH26*VLOOKUP($A26,'VKT US'!$F$5:$S$56,9,FALSE)/1000000</f>
        <v>0</v>
      </c>
      <c r="BB26" s="79">
        <f>VLOOKUP($A26,Data!$D$64:$M$112,4,FALSE)+VLOOKUP($A26,Data!$D$64:$M$112,7,FALSE)-(VLOOKUP($A26,Data!$D$64:$F$114,3,FALSE)+VLOOKUP($A26,Data!$D$64:$I$114,6,FALSE))</f>
        <v>15.841428461200138</v>
      </c>
      <c r="BC26" s="10">
        <f>(Y26-P26)*VLOOKUP($A26,'VKT US'!$F$5:$S$56,14,FALSE)/1000000*'Scenario analysis'!$E$4</f>
        <v>49.713951103390514</v>
      </c>
      <c r="BD26" s="10">
        <f>P26*VLOOKUP($A26,'VKT US'!$F$5:$S$56,14,FALSE)/1000000*'Scenario analysis'!$E$4</f>
        <v>129.41176316019855</v>
      </c>
      <c r="BE26" s="79">
        <f>(VLOOKUP($A26,Data!$D$64:$M$114,4,FALSE)+VLOOKUP($A26,Data!$D$64:$M$114,7,FALSE)-(VLOOKUP($A26,Data!$D$64:$F$114,3,FALSE)+VLOOKUP($A26,Data!$D$64:$I$114,6,FALSE)))*VLOOKUP($A26,'VKT US'!$B$63:$AB$113,2,FALSE)*CONVERT(0.9072,"g","ton")*m2k*VLOOKUP($A26,'VKT US'!$F$5:$S$56,14,FALSE)/1000000*'Scenario analysis'!$E$4</f>
        <v>1.5631788828042681</v>
      </c>
      <c r="BF26" s="79">
        <f>(VLOOKUP($A26,Data!$D$64:$F$114,3,FALSE)+VLOOKUP($A26,Data!$D$64:$I$114,6,FALSE))*VLOOKUP($A26,'VKT US'!$B$63:$AB$113,2,FALSE)*CONVERT(0.9072,"g","ton")*m2k*VLOOKUP($A26,'VKT US'!$F$5:$S$56,14,FALSE)/1000000*'Scenario analysis'!$E$4</f>
        <v>13.814019748689702</v>
      </c>
      <c r="BG26" s="79">
        <f>(VLOOKUP($A26,Data!$D$64:$M$114,4,FALSE)+VLOOKUP($A26,Data!$D$64:$M$114,7,FALSE))*VLOOKUP($A26,'VKT US'!$B$63:$AB$113,2,FALSE)*CONVERT(0.9072,"g","ton")*m2k*VLOOKUP($A26,'VKT US'!$F$5:$S$56,14,FALSE)/1000000*'Scenario analysis'!$E$4</f>
        <v>15.377198631493973</v>
      </c>
      <c r="BH26" s="79">
        <f t="shared" si="0"/>
        <v>18.255040246535643</v>
      </c>
      <c r="BI26" s="96">
        <f t="shared" si="1"/>
        <v>1054.9617744905529</v>
      </c>
      <c r="BJ26" s="191">
        <f t="shared" si="2"/>
        <v>19258.369651881701</v>
      </c>
      <c r="BK26" s="191">
        <f>(VLOOKUP($A26,'US Grid mix, emissions&amp;prices'!$H$169:$AK$219,30,FALSE)+VLOOKUP($A26,Data!$D$64:$F$114,3,FALSE)*VLOOKUP($A26,'VKT US'!$B$63:$AB$113,27,FALSE)*m2k*CONVERT(0.9072,"g","ton"))*VLOOKUP($A26,'VKT US'!$F$5:$S$56,14,FALSE)/1000000</f>
        <v>129.41176316019855</v>
      </c>
      <c r="BL26" s="191">
        <f>P26*VLOOKUP($A26,'VKT US'!$F$5:$S$56,14,FALSE)/1000000-BK26</f>
        <v>0</v>
      </c>
      <c r="BM26" s="191">
        <v>12.264412319070038</v>
      </c>
      <c r="BN26" s="191">
        <v>1.8528429810466154</v>
      </c>
      <c r="BO26" s="191" cm="1">
        <f t="array" ref="BO26">_xlfn.IFS(AND(Q26&gt;0,R26&gt;0),R26/Q26,AND(Q26&gt;0,R26&lt;=0),-R26/Q26,Q26&lt;=0,0)</f>
        <v>195.28022872047123</v>
      </c>
      <c r="BP26" s="212" cm="1">
        <f t="array" ref="BP26">_xlfn.IFS(AND(Z26&gt;0,AA26&gt;0),AA26/Z26,AND(Z26&gt;0,AA26&lt;=0),AA26/Z26,Z26&lt;=0,0)</f>
        <v>-268.15011098079606</v>
      </c>
      <c r="BQ26" s="191">
        <f>P26*1000000/(VLOOKUP($A26,'VKT US'!$B$63:$AB$113,27,FALSE)*m2k)</f>
        <v>112.58641998610214</v>
      </c>
      <c r="BR26" s="191">
        <f>Y26*1000000/(VLOOKUP($A26,'VKT US'!$B$63:$AB$113,27,FALSE)*m2k)</f>
        <v>155.83686060614232</v>
      </c>
      <c r="BS26" s="191">
        <f>H26*1000000/(VLOOKUP($A26,'VKT US'!$B$63:$AB$113,27,FALSE)*m2k)</f>
        <v>236.06813262739362</v>
      </c>
      <c r="BT26" s="95"/>
      <c r="BU26" s="10">
        <f t="shared" si="10"/>
        <v>98050.523542576251</v>
      </c>
      <c r="BV26" s="10">
        <f t="shared" si="11"/>
        <v>107341.56748661415</v>
      </c>
      <c r="BW26" s="10">
        <f t="shared" si="12"/>
        <v>91222.648207705992</v>
      </c>
      <c r="BX26" s="10">
        <f t="shared" si="13"/>
        <v>99790.149589169916</v>
      </c>
      <c r="BY26" s="53">
        <f t="shared" si="14"/>
        <v>101100.40929383134</v>
      </c>
      <c r="BZ26" s="79">
        <f t="shared" si="15"/>
        <v>38.44404962980262</v>
      </c>
      <c r="CA26" s="96">
        <f>VLOOKUP($A26,'TCO Inputs'!$Y$114:$AT$164,22,FALSE)</f>
        <v>91923.003549707224</v>
      </c>
      <c r="CB26" s="211">
        <f>CA26*VLOOKUP($A26,'VKT US'!$F$5:$S$56,14,FALSE)/(10^9)</f>
        <v>250.33391556691768</v>
      </c>
    </row>
    <row r="27" spans="1:80" x14ac:dyDescent="0.25">
      <c r="A27" s="83" t="s">
        <v>206</v>
      </c>
      <c r="B27" s="150">
        <f>VLOOKUP($A27,'TCO Inputs'!$A$3:$AG$53,10,FALSE)</f>
        <v>23731.611795719989</v>
      </c>
      <c r="C27" s="71">
        <f>VLOOKUP($A27,'TCO Inputs'!$A$3:$AG$53,14,FALSE)</f>
        <v>24362.363719330016</v>
      </c>
      <c r="D27" s="71">
        <f>VLOOKUP($A27,'TCO Inputs'!$A$3:$AG$53,18,FALSE)</f>
        <v>31578.861090982547</v>
      </c>
      <c r="E27" s="71">
        <f>VLOOKUP($A27,'TCO Inputs'!$A$3:$AG$53,22,FALSE)</f>
        <v>30641.492151670249</v>
      </c>
      <c r="F27" s="71">
        <f>VLOOKUP($A27,'TCO Inputs'!$A$3:$AG$53,26,FALSE)</f>
        <v>0</v>
      </c>
      <c r="G27" s="65">
        <f>VLOOKUP($A27,'TCO Inputs'!$A$3:$AG$53,30,FALSE)</f>
        <v>110314.32875770279</v>
      </c>
      <c r="H27" s="95">
        <f>(VLOOKUP($A27,Data!$D$64:$M$112,5,FALSE)+VLOOKUP($A27,Data!$D$64:$M$112,8,FALSE))*VLOOKUP($A27,'VKT US'!$B$63:$AB$113,27,FALSE)*CONVERT(0.9072,"g","ton")*m2k</f>
        <v>93.724132812130662</v>
      </c>
      <c r="I27" s="92"/>
      <c r="J27" s="144">
        <f>VLOOKUP($A27,'TCO Inputs'!$A$3:$AG$53,11,FALSE)</f>
        <v>40967.546942691188</v>
      </c>
      <c r="K27" s="65">
        <f>VLOOKUP($A27,'TCO Inputs'!$A$3:$AG$53,15,FALSE)</f>
        <v>14870.354926124579</v>
      </c>
      <c r="L27" s="65">
        <f>VLOOKUP($A27,'TCO Inputs'!$A$3:$AG$53,19,FALSE)</f>
        <v>19664.000026867139</v>
      </c>
      <c r="M27" s="65">
        <f>VLOOKUP($A27,'TCO Inputs'!$A$3:$AG$53,23,FALSE)</f>
        <v>39084.68410517864</v>
      </c>
      <c r="N27" s="65">
        <f>VLOOKUP($A27,'TCO Inputs'!$A$3:$AG$53,27,FALSE)</f>
        <v>0</v>
      </c>
      <c r="O27" s="65">
        <f>VLOOKUP($A27,'TCO Inputs'!$A$3:$AG$53,31,FALSE)</f>
        <v>114586.58600086154</v>
      </c>
      <c r="P27" s="7">
        <f>VLOOKUP($A27,_xlfn.IFS('Scenario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analysis'!$Q$121:$R$126),2,FALSE)+VLOOKUP($A27,Data!$D$64:$F$114,3,FALSE)*VLOOKUP($A27,'VKT US'!$B$63:$AB$113,27,FALSE)*m2k*CONVERT(0.9072,"g","ton")</f>
        <v>63.639901228254118</v>
      </c>
      <c r="Q27" s="95">
        <f t="shared" si="3"/>
        <v>30.084231583876544</v>
      </c>
      <c r="R27" s="60">
        <f t="shared" si="4"/>
        <v>4272.2572431587469</v>
      </c>
      <c r="S27" s="144">
        <f>VLOOKUP($A27,'TCO Inputs'!$A$3:$AG$53,12,FALSE)</f>
        <v>25202.087524607668</v>
      </c>
      <c r="T27" s="65">
        <f>VLOOKUP($A27,'TCO Inputs'!$A$3:$AG$53,16,FALSE)</f>
        <v>14992.22382728001</v>
      </c>
      <c r="U27" s="65">
        <f>VLOOKUP($A27,'TCO Inputs'!$A$3:$AG$53,20,FALSE)</f>
        <v>29025.676577243517</v>
      </c>
      <c r="V27" s="65">
        <f>VLOOKUP($A27,'TCO Inputs'!$A$3:$AG$53,24,FALSE)</f>
        <v>31930.670134938424</v>
      </c>
      <c r="W27" s="65">
        <f>VLOOKUP($A27,'TCO Inputs'!$A$3:$AG$53,28,FALSE)</f>
        <v>0</v>
      </c>
      <c r="X27" s="65">
        <f>VLOOKUP($A27,'TCO Inputs'!$A$3:$AG$53,32,FALSE)</f>
        <v>101150.65806406962</v>
      </c>
      <c r="Y27" s="7">
        <f>(VLOOKUP($A27,Data!$D$64:$M$112,4,FALSE)+VLOOKUP($A27,Data!$D$64:$M$112,7,FALSE))*VLOOKUP($A27,'VKT US'!$B$63:$AB$113,27,FALSE)*CONVERT(0.9072,"g","ton")*m2k</f>
        <v>61.814466554472801</v>
      </c>
      <c r="Z27" s="95">
        <f t="shared" si="5"/>
        <v>31.909666257657861</v>
      </c>
      <c r="AA27" s="118">
        <f t="shared" si="6"/>
        <v>-9163.6706936331757</v>
      </c>
      <c r="AB27" s="144">
        <f>VLOOKUP($A27,'TCO Inputs'!$A$3:$AG$53,13,FALSE)</f>
        <v>28460.759801658827</v>
      </c>
      <c r="AC27" s="65">
        <f>VLOOKUP($A27,'TCO Inputs'!$A$3:$AG$53,17,FALSE)</f>
        <v>22288.680598177118</v>
      </c>
      <c r="AD27" s="65">
        <f>VLOOKUP($A27,'TCO Inputs'!$A$3:$AG$53,21,FALSE)</f>
        <v>29025.676577243517</v>
      </c>
      <c r="AE27" s="65">
        <f>VLOOKUP($A27,'TCO Inputs'!$A$3:$AG$53,25,FALSE)</f>
        <v>32088.491434938423</v>
      </c>
      <c r="AF27" s="65">
        <f>VLOOKUP($A27,'TCO Inputs'!$A$3:$AG$53,29,FALSE)</f>
        <v>0</v>
      </c>
      <c r="AG27" s="65">
        <f>VLOOKUP($A27,'TCO Inputs'!$A$3:$AG$53,33,FALSE)</f>
        <v>111863.60841201789</v>
      </c>
      <c r="AH27" s="7">
        <f>(VLOOKUP($A27,Data!$D$64:$M$112,9,FALSE)+VLOOKUP($A27,Data!$D$64:$M$112,10,FALSE))*VLOOKUP($A27,'VKT US'!$B$63:$AB$113,27,FALSE)*CONVERT(0.9072,"g","ton")*m2k</f>
        <v>43.544130890669123</v>
      </c>
      <c r="AI27" s="95">
        <f t="shared" si="7"/>
        <v>50.180001921461539</v>
      </c>
      <c r="AJ27" s="186">
        <f t="shared" si="8"/>
        <v>1549.2796543150907</v>
      </c>
      <c r="AK27" s="188">
        <f>VLOOKUP($A27,'TCO Inputs'!$A$3:$AT$53,40,FALSE)</f>
        <v>30376.676612640622</v>
      </c>
      <c r="AL27" s="188">
        <f>VLOOKUP($A27,'TCO Inputs'!$A$3:$AT$53,41,FALSE)</f>
        <v>14081.96750548801</v>
      </c>
      <c r="AM27" s="188">
        <f>VLOOKUP($A27,'TCO Inputs'!$A$3:$AT$53,42,FALSE)</f>
        <v>27968.380975735774</v>
      </c>
      <c r="AN27" s="188">
        <f>VLOOKUP($A27,'TCO Inputs'!$A$3:$AT$53,43,FALSE)</f>
        <v>38657.665605178641</v>
      </c>
      <c r="AO27" s="188">
        <f>VLOOKUP($A27,'TCO Inputs'!$A$3:$AT$53,44,FALSE)</f>
        <v>0</v>
      </c>
      <c r="AP27" s="188">
        <f>VLOOKUP($A27,'TCO Inputs'!$A$3:$AT$53,45,FALSE)</f>
        <v>111084.69069904306</v>
      </c>
      <c r="AQ27" s="96">
        <f>(VLOOKUP($A27,Data!$D$64:$O$114,11,FALSE)+VLOOKUP($A27,'Fuel economy adjusted factor'!$A$2:$L$52,12,FALSE)*(1-'TCO Inputs'!$BD$9))*VLOOKUP($A27,'VKT US'!$B$63:$AB$113,27,FALSE)*CONVERT(0.9072,"g","ton")*m2k+VLOOKUP($A27,'US Grid mix, emissions&amp;prices'!$H$224:$AK$274,30,FALSE)</f>
        <v>60.765760075993882</v>
      </c>
      <c r="AR27" s="96">
        <f t="shared" si="9"/>
        <v>32.958372736136781</v>
      </c>
      <c r="AS27" s="60">
        <f>VLOOKUP($A27,'TCO Inputs'!$A$3:$AT$53,46,FALSE)</f>
        <v>770.361941340263</v>
      </c>
      <c r="AT27" s="98">
        <f>(VLOOKUP($A27,Data!$D$64:$M$112,5,FALSE)+VLOOKUP($A27,Data!$D$64:$M$112,8,FALSE))*VLOOKUP($A27,'VKT US'!$B$63:$AB$113,2,FALSE)*CONVERT(0.9072,"g","ton")*m2k*VLOOKUP($A27,'VKT US'!$F$5:$S$56,11,FALSE)/1000000</f>
        <v>37.080000849020209</v>
      </c>
      <c r="AU27" s="98">
        <f>(VLOOKUP($A27,Data!$D$64:$F$114,3,FALSE)+VLOOKUP($A27,Data!$D$64:$I$114,6,FALSE))*VLOOKUP($A27,'VKT US'!$B$63:$AB$113,2,FALSE)*m2k*CONVERT(0.9072,"g","ton")*VLOOKUP($A27,'VKT US'!$F$5:$S$56,2,FALSE)/1000000</f>
        <v>0.1877599931160607</v>
      </c>
      <c r="AV27" s="98">
        <f>(VLOOKUP($A27,Data!$D$64:$M$112,4,FALSE)+VLOOKUP($A27,Data!$D$64:$M$112,7,FALSE))*VLOOKUP($A27,'VKT US'!$B$63:$AB$113,2,FALSE)*CONVERT(0.9072,"g","ton")*m2k*VLOOKUP($A27,'VKT US'!$F$5:$S$56,4,FALSE)/1000000</f>
        <v>0.60441208449581529</v>
      </c>
      <c r="AW27" s="98">
        <f>(VLOOKUP($A27,Data!$D$64:$M$112,9,FALSE)+VLOOKUP($A27,Data!$D$64:$M$112,10,FALSE))*VLOOKUP($A27,'VKT US'!$B$63:$AB$113,2,FALSE)*CONVERT(0.9072,"g","ton")*m2k*VLOOKUP($A27,'VKT US'!$F$5:$S$56,9,FALSE)/1000000</f>
        <v>0</v>
      </c>
      <c r="AX27" s="98">
        <f>H27*VLOOKUP($A27,'VKT US'!$F$5:$S$56,11,FALSE)/1000000</f>
        <v>431.93703847798537</v>
      </c>
      <c r="AY27" s="98">
        <f>P27*VLOOKUP($A27,'VKT US'!$F$5:$S$56,2,FALSE)/1000000</f>
        <v>1.7119133430400357</v>
      </c>
      <c r="AZ27" s="98">
        <f>Y27*VLOOKUP($A27,'VKT US'!$F$5:$S$56,4,FALSE)/1000000</f>
        <v>7.0406677405544515</v>
      </c>
      <c r="BA27" s="98">
        <f>AH27*VLOOKUP($A27,'VKT US'!$F$5:$S$56,9,FALSE)/1000000</f>
        <v>0</v>
      </c>
      <c r="BB27" s="79">
        <f>VLOOKUP($A27,Data!$D$64:$M$112,4,FALSE)+VLOOKUP($A27,Data!$D$64:$M$112,7,FALSE)-(VLOOKUP($A27,Data!$D$64:$F$114,3,FALSE)+VLOOKUP($A27,Data!$D$64:$I$114,6,FALSE))</f>
        <v>-49.78633822464451</v>
      </c>
      <c r="BC27" s="10">
        <f>(Y27-P27)*VLOOKUP($A27,'VKT US'!$F$5:$S$56,14,FALSE)/1000000*'Scenario analysis'!$E$4</f>
        <v>-10.269895474693687</v>
      </c>
      <c r="BD27" s="10">
        <f>P27*VLOOKUP($A27,'VKT US'!$F$5:$S$56,14,FALSE)/1000000*'Scenario analysis'!$E$4</f>
        <v>358.03808431015767</v>
      </c>
      <c r="BE27" s="79">
        <f>(VLOOKUP($A27,Data!$D$64:$M$114,4,FALSE)+VLOOKUP($A27,Data!$D$64:$M$114,7,FALSE)-(VLOOKUP($A27,Data!$D$64:$F$114,3,FALSE)+VLOOKUP($A27,Data!$D$64:$I$114,6,FALSE)))*VLOOKUP($A27,'VKT US'!$B$63:$AB$113,2,FALSE)*CONVERT(0.9072,"g","ton")*m2k*VLOOKUP($A27,'VKT US'!$F$5:$S$56,14,FALSE)/1000000*'Scenario analysis'!$E$4</f>
        <v>-9.4146055962531836</v>
      </c>
      <c r="BF27" s="79">
        <f>(VLOOKUP($A27,Data!$D$64:$F$114,3,FALSE)+VLOOKUP($A27,Data!$D$64:$I$114,6,FALSE))*VLOOKUP($A27,'VKT US'!$B$63:$AB$113,2,FALSE)*CONVERT(0.9072,"g","ton")*m2k*VLOOKUP($A27,'VKT US'!$F$5:$S$56,14,FALSE)/1000000*'Scenario analysis'!$E$4</f>
        <v>39.269060270295824</v>
      </c>
      <c r="BG27" s="79">
        <f>(VLOOKUP($A27,Data!$D$64:$M$114,4,FALSE)+VLOOKUP($A27,Data!$D$64:$M$114,7,FALSE))*VLOOKUP($A27,'VKT US'!$B$63:$AB$113,2,FALSE)*CONVERT(0.9072,"g","ton")*m2k*VLOOKUP($A27,'VKT US'!$F$5:$S$56,14,FALSE)/1000000*'Scenario analysis'!$E$4</f>
        <v>29.854454674042643</v>
      </c>
      <c r="BH27" s="79">
        <f t="shared" si="0"/>
        <v>-1.8254346737813165</v>
      </c>
      <c r="BI27" s="96">
        <f t="shared" si="1"/>
        <v>-7360.3992132788426</v>
      </c>
      <c r="BJ27" s="191">
        <f t="shared" si="2"/>
        <v>13435.927936791923</v>
      </c>
      <c r="BK27" s="191">
        <f>(VLOOKUP($A27,'US Grid mix, emissions&amp;prices'!$H$169:$AK$219,30,FALSE)+VLOOKUP($A27,Data!$D$64:$F$114,3,FALSE)*VLOOKUP($A27,'VKT US'!$B$63:$AB$113,27,FALSE)*m2k*CONVERT(0.9072,"g","ton"))*VLOOKUP($A27,'VKT US'!$F$5:$S$56,14,FALSE)/1000000</f>
        <v>358.03808431015767</v>
      </c>
      <c r="BL27" s="191">
        <f>P27*VLOOKUP($A27,'VKT US'!$F$5:$S$56,14,FALSE)/1000000-BK27</f>
        <v>0</v>
      </c>
      <c r="BM27" s="191">
        <v>34.379991943306202</v>
      </c>
      <c r="BN27" s="191">
        <v>5.8457876236069666</v>
      </c>
      <c r="BO27" s="191" cm="1">
        <f t="array" ref="BO27">_xlfn.IFS(AND(Q27&gt;0,R27&gt;0),R27/Q27,AND(Q27&gt;0,R27&lt;=0),-R27/Q27,Q27&lt;=0,0)</f>
        <v>142.00985094957306</v>
      </c>
      <c r="BP27" s="212" cm="1">
        <f t="array" ref="BP27">_xlfn.IFS(AND(Z27&gt;0,AA27&gt;0),AA27/Z27,AND(Z27&gt;0,AA27&lt;=0),AA27/Z27,Z27&lt;=0,0)</f>
        <v>-287.1753850272259</v>
      </c>
      <c r="BQ27" s="191">
        <f>P27*1000000/(VLOOKUP($A27,'VKT US'!$B$63:$AB$113,27,FALSE)*m2k)</f>
        <v>162.54135410361846</v>
      </c>
      <c r="BR27" s="191">
        <f>Y27*1000000/(VLOOKUP($A27,'VKT US'!$B$63:$AB$113,27,FALSE)*m2k)</f>
        <v>157.87904919777139</v>
      </c>
      <c r="BS27" s="191">
        <f>H27*1000000/(VLOOKUP($A27,'VKT US'!$B$63:$AB$113,27,FALSE)*m2k)</f>
        <v>239.3788671172176</v>
      </c>
      <c r="BT27" s="95"/>
      <c r="BU27" s="10">
        <f t="shared" si="10"/>
        <v>98050.523542576251</v>
      </c>
      <c r="BV27" s="10">
        <f t="shared" si="11"/>
        <v>107341.56748661415</v>
      </c>
      <c r="BW27" s="10">
        <f t="shared" si="12"/>
        <v>91222.648207705992</v>
      </c>
      <c r="BX27" s="10">
        <f t="shared" si="13"/>
        <v>99790.149589169916</v>
      </c>
      <c r="BY27" s="53">
        <f t="shared" si="14"/>
        <v>101100.40929383134</v>
      </c>
      <c r="BZ27" s="79">
        <f t="shared" si="15"/>
        <v>38.44404962980262</v>
      </c>
      <c r="CA27" s="96">
        <f>VLOOKUP($A27,'TCO Inputs'!$Y$114:$AT$164,22,FALSE)</f>
        <v>91187.299413620203</v>
      </c>
      <c r="CB27" s="211">
        <f>CA27*VLOOKUP($A27,'VKT US'!$F$5:$S$56,14,FALSE)/(10^9)</f>
        <v>513.01974650102727</v>
      </c>
    </row>
    <row r="28" spans="1:80" x14ac:dyDescent="0.25">
      <c r="A28" s="83" t="s">
        <v>208</v>
      </c>
      <c r="B28" s="150">
        <f>VLOOKUP($A28,'TCO Inputs'!$A$3:$AG$53,10,FALSE)</f>
        <v>23731.611795719989</v>
      </c>
      <c r="C28" s="71">
        <f>VLOOKUP($A28,'TCO Inputs'!$A$3:$AG$53,14,FALSE)</f>
        <v>22944.460632832452</v>
      </c>
      <c r="D28" s="71">
        <f>VLOOKUP($A28,'TCO Inputs'!$A$3:$AG$53,18,FALSE)</f>
        <v>27075.876795248783</v>
      </c>
      <c r="E28" s="71">
        <f>VLOOKUP($A28,'TCO Inputs'!$A$3:$AG$53,22,FALSE)</f>
        <v>28807.003623712088</v>
      </c>
      <c r="F28" s="71">
        <f>VLOOKUP($A28,'TCO Inputs'!$A$3:$AG$53,26,FALSE)</f>
        <v>0</v>
      </c>
      <c r="G28" s="65">
        <f>VLOOKUP($A28,'TCO Inputs'!$A$3:$AG$53,30,FALSE)</f>
        <v>102558.95284751331</v>
      </c>
      <c r="H28" s="95">
        <f>(VLOOKUP($A28,Data!$D$64:$M$112,5,FALSE)+VLOOKUP($A28,Data!$D$64:$M$112,8,FALSE))*VLOOKUP($A28,'VKT US'!$B$63:$AB$113,27,FALSE)*CONVERT(0.9072,"g","ton")*m2k</f>
        <v>82.30452549481592</v>
      </c>
      <c r="I28" s="92"/>
      <c r="J28" s="144">
        <f>VLOOKUP($A28,'TCO Inputs'!$A$3:$AG$53,11,FALSE)</f>
        <v>40967.546942691188</v>
      </c>
      <c r="K28" s="65">
        <f>VLOOKUP($A28,'TCO Inputs'!$A$3:$AG$53,15,FALSE)</f>
        <v>14137.09668616968</v>
      </c>
      <c r="L28" s="65">
        <f>VLOOKUP($A28,'TCO Inputs'!$A$3:$AG$53,19,FALSE)</f>
        <v>16860.014061154918</v>
      </c>
      <c r="M28" s="65">
        <f>VLOOKUP($A28,'TCO Inputs'!$A$3:$AG$53,23,FALSE)</f>
        <v>35936.42004926232</v>
      </c>
      <c r="N28" s="65">
        <f>VLOOKUP($A28,'TCO Inputs'!$A$3:$AG$53,27,FALSE)</f>
        <v>0</v>
      </c>
      <c r="O28" s="65">
        <f>VLOOKUP($A28,'TCO Inputs'!$A$3:$AG$53,31,FALSE)</f>
        <v>107901.0777392781</v>
      </c>
      <c r="P28" s="7">
        <f>VLOOKUP($A28,_xlfn.IFS('Scenario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analysis'!$Q$121:$R$126),2,FALSE)+VLOOKUP($A28,Data!$D$64:$F$114,3,FALSE)*VLOOKUP($A28,'VKT US'!$B$63:$AB$113,27,FALSE)*m2k*CONVERT(0.9072,"g","ton")</f>
        <v>46.900896586488216</v>
      </c>
      <c r="Q28" s="95">
        <f t="shared" si="3"/>
        <v>35.403628908327704</v>
      </c>
      <c r="R28" s="60">
        <f t="shared" si="4"/>
        <v>5342.1248917647899</v>
      </c>
      <c r="S28" s="144">
        <f>VLOOKUP($A28,'TCO Inputs'!$A$3:$AG$53,12,FALSE)</f>
        <v>25202.087524607668</v>
      </c>
      <c r="T28" s="65">
        <f>VLOOKUP($A28,'TCO Inputs'!$A$3:$AG$53,16,FALSE)</f>
        <v>14119.668081743048</v>
      </c>
      <c r="U28" s="65">
        <f>VLOOKUP($A28,'TCO Inputs'!$A$3:$AG$53,20,FALSE)</f>
        <v>24886.763352228663</v>
      </c>
      <c r="V28" s="65">
        <f>VLOOKUP($A28,'TCO Inputs'!$A$3:$AG$53,24,FALSE)</f>
        <v>30018.999261907265</v>
      </c>
      <c r="W28" s="65">
        <f>VLOOKUP($A28,'TCO Inputs'!$A$3:$AG$53,28,FALSE)</f>
        <v>0</v>
      </c>
      <c r="X28" s="65">
        <f>VLOOKUP($A28,'TCO Inputs'!$A$3:$AG$53,32,FALSE)</f>
        <v>94227.518220486643</v>
      </c>
      <c r="Y28" s="7">
        <f>(VLOOKUP($A28,Data!$D$64:$M$112,4,FALSE)+VLOOKUP($A28,Data!$D$64:$M$112,7,FALSE))*VLOOKUP($A28,'VKT US'!$B$63:$AB$113,27,FALSE)*CONVERT(0.9072,"g","ton")*m2k</f>
        <v>54.199775060315702</v>
      </c>
      <c r="Z28" s="95">
        <f t="shared" si="5"/>
        <v>28.104750434500218</v>
      </c>
      <c r="AA28" s="118">
        <f t="shared" si="6"/>
        <v>-8331.4346270266687</v>
      </c>
      <c r="AB28" s="144">
        <f>VLOOKUP($A28,'TCO Inputs'!$A$3:$AG$53,13,FALSE)</f>
        <v>28460.759801658827</v>
      </c>
      <c r="AC28" s="65">
        <f>VLOOKUP($A28,'TCO Inputs'!$A$3:$AG$53,17,FALSE)</f>
        <v>19627.425691045726</v>
      </c>
      <c r="AD28" s="65">
        <f>VLOOKUP($A28,'TCO Inputs'!$A$3:$AG$53,21,FALSE)</f>
        <v>24886.763352228663</v>
      </c>
      <c r="AE28" s="65">
        <f>VLOOKUP($A28,'TCO Inputs'!$A$3:$AG$53,25,FALSE)</f>
        <v>30018.999261907265</v>
      </c>
      <c r="AF28" s="65">
        <f>VLOOKUP($A28,'TCO Inputs'!$A$3:$AG$53,29,FALSE)</f>
        <v>0</v>
      </c>
      <c r="AG28" s="65">
        <f>VLOOKUP($A28,'TCO Inputs'!$A$3:$AG$53,33,FALSE)</f>
        <v>102993.94810684049</v>
      </c>
      <c r="AH28" s="7">
        <f>(VLOOKUP($A28,Data!$D$64:$M$112,9,FALSE)+VLOOKUP($A28,Data!$D$64:$M$112,10,FALSE))*VLOOKUP($A28,'VKT US'!$B$63:$AB$113,27,FALSE)*CONVERT(0.9072,"g","ton")*m2k</f>
        <v>37.334960236694862</v>
      </c>
      <c r="AI28" s="95">
        <f t="shared" si="7"/>
        <v>44.969565258121058</v>
      </c>
      <c r="AJ28" s="186">
        <f t="shared" si="8"/>
        <v>434.9952593271737</v>
      </c>
      <c r="AK28" s="188">
        <f>VLOOKUP($A28,'TCO Inputs'!$A$3:$AT$53,40,FALSE)</f>
        <v>30376.676612640622</v>
      </c>
      <c r="AL28" s="188">
        <f>VLOOKUP($A28,'TCO Inputs'!$A$3:$AT$53,41,FALSE)</f>
        <v>13331.695977784662</v>
      </c>
      <c r="AM28" s="188">
        <f>VLOOKUP($A28,'TCO Inputs'!$A$3:$AT$53,42,FALSE)</f>
        <v>23980.23270313071</v>
      </c>
      <c r="AN28" s="188">
        <f>VLOOKUP($A28,'TCO Inputs'!$A$3:$AT$53,43,FALSE)</f>
        <v>35936.42004926232</v>
      </c>
      <c r="AO28" s="188">
        <f>VLOOKUP($A28,'TCO Inputs'!$A$3:$AT$53,44,FALSE)</f>
        <v>0</v>
      </c>
      <c r="AP28" s="188">
        <f>VLOOKUP($A28,'TCO Inputs'!$A$3:$AT$53,45,FALSE)</f>
        <v>103625.02534281832</v>
      </c>
      <c r="AQ28" s="96">
        <f>(VLOOKUP($A28,Data!$D$64:$O$114,11,FALSE)+VLOOKUP($A28,'Fuel economy adjusted factor'!$A$2:$L$52,12,FALSE)*(1-'TCO Inputs'!$BD$9))*VLOOKUP($A28,'VKT US'!$B$63:$AB$113,27,FALSE)*CONVERT(0.9072,"g","ton")*m2k+VLOOKUP($A28,'US Grid mix, emissions&amp;prices'!$H$224:$AK$274,30,FALSE)</f>
        <v>48.689963359730335</v>
      </c>
      <c r="AR28" s="96">
        <f t="shared" si="9"/>
        <v>33.614562135085585</v>
      </c>
      <c r="AS28" s="60">
        <f>VLOOKUP($A28,'TCO Inputs'!$A$3:$AT$53,46,FALSE)</f>
        <v>1066.0724953050085</v>
      </c>
      <c r="AT28" s="98">
        <f>(VLOOKUP($A28,Data!$D$64:$M$112,5,FALSE)+VLOOKUP($A28,Data!$D$64:$M$112,8,FALSE))*VLOOKUP($A28,'VKT US'!$B$63:$AB$113,2,FALSE)*CONVERT(0.9072,"g","ton")*m2k*VLOOKUP($A28,'VKT US'!$F$5:$S$56,11,FALSE)/1000000</f>
        <v>5.5160371691772792</v>
      </c>
      <c r="AU28" s="98">
        <f>(VLOOKUP($A28,Data!$D$64:$F$114,3,FALSE)+VLOOKUP($A28,Data!$D$64:$I$114,6,FALSE))*VLOOKUP($A28,'VKT US'!$B$63:$AB$113,2,FALSE)*m2k*CONVERT(0.9072,"g","ton")*VLOOKUP($A28,'VKT US'!$F$5:$S$56,2,FALSE)/1000000</f>
        <v>2.3429370926637105E-2</v>
      </c>
      <c r="AV28" s="98">
        <f>(VLOOKUP($A28,Data!$D$64:$M$112,4,FALSE)+VLOOKUP($A28,Data!$D$64:$M$112,7,FALSE))*VLOOKUP($A28,'VKT US'!$B$63:$AB$113,2,FALSE)*CONVERT(0.9072,"g","ton")*m2k*VLOOKUP($A28,'VKT US'!$F$5:$S$56,4,FALSE)/1000000</f>
        <v>9.8174619917444375E-2</v>
      </c>
      <c r="AW28" s="98">
        <f>(VLOOKUP($A28,Data!$D$64:$M$112,9,FALSE)+VLOOKUP($A28,Data!$D$64:$M$112,10,FALSE))*VLOOKUP($A28,'VKT US'!$B$63:$AB$113,2,FALSE)*CONVERT(0.9072,"g","ton")*m2k*VLOOKUP($A28,'VKT US'!$F$5:$S$56,9,FALSE)/1000000</f>
        <v>0</v>
      </c>
      <c r="AX28" s="98">
        <f>H28*VLOOKUP($A28,'VKT US'!$F$5:$S$56,11,FALSE)/1000000</f>
        <v>64.255143053802783</v>
      </c>
      <c r="AY28" s="98">
        <f>P28*VLOOKUP($A28,'VKT US'!$F$5:$S$56,2,FALSE)/1000000</f>
        <v>0.21574412429784579</v>
      </c>
      <c r="AZ28" s="98">
        <f>Y28*VLOOKUP($A28,'VKT US'!$F$5:$S$56,4,FALSE)/1000000</f>
        <v>1.1436152537726614</v>
      </c>
      <c r="BA28" s="98">
        <f>AH28*VLOOKUP($A28,'VKT US'!$F$5:$S$56,9,FALSE)/1000000</f>
        <v>0</v>
      </c>
      <c r="BB28" s="79">
        <f>VLOOKUP($A28,Data!$D$64:$M$112,4,FALSE)+VLOOKUP($A28,Data!$D$64:$M$112,7,FALSE)-(VLOOKUP($A28,Data!$D$64:$F$114,3,FALSE)+VLOOKUP($A28,Data!$D$64:$I$114,6,FALSE))</f>
        <v>-15.285629235240663</v>
      </c>
      <c r="BC28" s="10">
        <f>(Y28-P28)*VLOOKUP($A28,'VKT US'!$F$5:$S$56,14,FALSE)/1000000*'Scenario analysis'!$E$4</f>
        <v>7.4572641367095418</v>
      </c>
      <c r="BD28" s="10">
        <f>P28*VLOOKUP($A28,'VKT US'!$F$5:$S$56,14,FALSE)/1000000*'Scenario analysis'!$E$4</f>
        <v>47.918646042415006</v>
      </c>
      <c r="BE28" s="79">
        <f>(VLOOKUP($A28,Data!$D$64:$M$114,4,FALSE)+VLOOKUP($A28,Data!$D$64:$M$114,7,FALSE)-(VLOOKUP($A28,Data!$D$64:$F$114,3,FALSE)+VLOOKUP($A28,Data!$D$64:$I$114,6,FALSE)))*VLOOKUP($A28,'VKT US'!$B$63:$AB$113,2,FALSE)*CONVERT(0.9072,"g","ton")*m2k*VLOOKUP($A28,'VKT US'!$F$5:$S$56,14,FALSE)/1000000*'Scenario analysis'!$E$4</f>
        <v>-0.45007511269131234</v>
      </c>
      <c r="BF28" s="79">
        <f>(VLOOKUP($A28,Data!$D$64:$F$114,3,FALSE)+VLOOKUP($A28,Data!$D$64:$I$114,6,FALSE))*VLOOKUP($A28,'VKT US'!$B$63:$AB$113,2,FALSE)*CONVERT(0.9072,"g","ton")*m2k*VLOOKUP($A28,'VKT US'!$F$5:$S$56,14,FALSE)/1000000*'Scenario analysis'!$E$4</f>
        <v>5.2038670164663321</v>
      </c>
      <c r="BG28" s="79">
        <f>(VLOOKUP($A28,Data!$D$64:$M$114,4,FALSE)+VLOOKUP($A28,Data!$D$64:$M$114,7,FALSE))*VLOOKUP($A28,'VKT US'!$B$63:$AB$113,2,FALSE)*CONVERT(0.9072,"g","ton")*m2k*VLOOKUP($A28,'VKT US'!$F$5:$S$56,14,FALSE)/1000000*'Scenario analysis'!$E$4</f>
        <v>4.7537919037750198</v>
      </c>
      <c r="BH28" s="79">
        <f t="shared" si="0"/>
        <v>7.2988784738274859</v>
      </c>
      <c r="BI28" s="96">
        <f t="shared" si="1"/>
        <v>1873.378159099713</v>
      </c>
      <c r="BJ28" s="191">
        <f t="shared" si="2"/>
        <v>13673.559518791459</v>
      </c>
      <c r="BK28" s="191">
        <f>(VLOOKUP($A28,'US Grid mix, emissions&amp;prices'!$H$169:$AK$219,30,FALSE)+VLOOKUP($A28,Data!$D$64:$F$114,3,FALSE)*VLOOKUP($A28,'VKT US'!$B$63:$AB$113,27,FALSE)*m2k*CONVERT(0.9072,"g","ton"))*VLOOKUP($A28,'VKT US'!$F$5:$S$56,14,FALSE)/1000000</f>
        <v>47.918646042415006</v>
      </c>
      <c r="BL28" s="191">
        <f>P28*VLOOKUP($A28,'VKT US'!$F$5:$S$56,14,FALSE)/1000000-BK28</f>
        <v>0</v>
      </c>
      <c r="BM28" s="191">
        <v>4.5791955095997947</v>
      </c>
      <c r="BN28" s="191">
        <v>0.7469106012492146</v>
      </c>
      <c r="BO28" s="191" cm="1">
        <f t="array" ref="BO28">_xlfn.IFS(AND(Q28&gt;0,R28&gt;0),R28/Q28,AND(Q28&gt;0,R28&lt;=0),-R28/Q28,Q28&lt;=0,0)</f>
        <v>150.89201464622192</v>
      </c>
      <c r="BP28" s="212" cm="1">
        <f t="array" ref="BP28">_xlfn.IFS(AND(Z28&gt;0,AA28&gt;0),AA28/Z28,AND(Z28&gt;0,AA28&lt;=0),AA28/Z28,Z28&lt;=0,0)</f>
        <v>-296.4422205578224</v>
      </c>
      <c r="BQ28" s="191">
        <f>P28*1000000/(VLOOKUP($A28,'VKT US'!$B$63:$AB$113,27,FALSE)*m2k)</f>
        <v>139.71063134628687</v>
      </c>
      <c r="BR28" s="191">
        <f>Y28*1000000/(VLOOKUP($A28,'VKT US'!$B$63:$AB$113,27,FALSE)*m2k)</f>
        <v>161.4528792331223</v>
      </c>
      <c r="BS28" s="191">
        <f>H28*1000000/(VLOOKUP($A28,'VKT US'!$B$63:$AB$113,27,FALSE)*m2k)</f>
        <v>245.17265247440952</v>
      </c>
      <c r="BT28" s="95"/>
      <c r="BU28" s="10">
        <f t="shared" si="10"/>
        <v>98050.523542576251</v>
      </c>
      <c r="BV28" s="10">
        <f t="shared" si="11"/>
        <v>107341.56748661415</v>
      </c>
      <c r="BW28" s="10">
        <f t="shared" si="12"/>
        <v>91222.648207705992</v>
      </c>
      <c r="BX28" s="10">
        <f t="shared" si="13"/>
        <v>99790.149589169916</v>
      </c>
      <c r="BY28" s="53">
        <f t="shared" si="14"/>
        <v>101100.40929383134</v>
      </c>
      <c r="BZ28" s="79">
        <f t="shared" si="15"/>
        <v>38.44404962980262</v>
      </c>
      <c r="CA28" s="96">
        <f>VLOOKUP($A28,'TCO Inputs'!$Y$114:$AT$164,22,FALSE)</f>
        <v>86037.650550863065</v>
      </c>
      <c r="CB28" s="211">
        <f>CA28*VLOOKUP($A28,'VKT US'!$F$5:$S$56,14,FALSE)/(10^9)</f>
        <v>87.904667567816787</v>
      </c>
    </row>
    <row r="29" spans="1:80" x14ac:dyDescent="0.25">
      <c r="A29" s="83" t="s">
        <v>211</v>
      </c>
      <c r="B29" s="150">
        <f>VLOOKUP($A29,'TCO Inputs'!$A$3:$AG$53,10,FALSE)</f>
        <v>23731.611795719989</v>
      </c>
      <c r="C29" s="71">
        <f>VLOOKUP($A29,'TCO Inputs'!$A$3:$AG$53,14,FALSE)</f>
        <v>19754.715480857769</v>
      </c>
      <c r="D29" s="71">
        <f>VLOOKUP($A29,'TCO Inputs'!$A$3:$AG$53,18,FALSE)</f>
        <v>25312.875749512812</v>
      </c>
      <c r="E29" s="71">
        <f>VLOOKUP($A29,'TCO Inputs'!$A$3:$AG$53,22,FALSE)</f>
        <v>33977.562027481974</v>
      </c>
      <c r="F29" s="71">
        <f>VLOOKUP($A29,'TCO Inputs'!$A$3:$AG$53,26,FALSE)</f>
        <v>0</v>
      </c>
      <c r="G29" s="65">
        <f>VLOOKUP($A29,'TCO Inputs'!$A$3:$AG$53,30,FALSE)</f>
        <v>102776.76505357254</v>
      </c>
      <c r="H29" s="95">
        <f>(VLOOKUP($A29,Data!$D$64:$M$112,5,FALSE)+VLOOKUP($A29,Data!$D$64:$M$112,8,FALSE))*VLOOKUP($A29,'VKT US'!$B$63:$AB$113,27,FALSE)*CONVERT(0.9072,"g","ton")*m2k</f>
        <v>75.906355567933204</v>
      </c>
      <c r="I29" s="92"/>
      <c r="J29" s="144">
        <f>VLOOKUP($A29,'TCO Inputs'!$A$3:$AG$53,11,FALSE)</f>
        <v>40967.546942691188</v>
      </c>
      <c r="K29" s="65">
        <f>VLOOKUP($A29,'TCO Inputs'!$A$3:$AG$53,15,FALSE)</f>
        <v>11744.492860495777</v>
      </c>
      <c r="L29" s="65">
        <f>VLOOKUP($A29,'TCO Inputs'!$A$3:$AG$53,19,FALSE)</f>
        <v>15762.202062462586</v>
      </c>
      <c r="M29" s="65">
        <f>VLOOKUP($A29,'TCO Inputs'!$A$3:$AG$53,23,FALSE)</f>
        <v>42284.479217011285</v>
      </c>
      <c r="N29" s="65">
        <f>VLOOKUP($A29,'TCO Inputs'!$A$3:$AG$53,27,FALSE)</f>
        <v>0</v>
      </c>
      <c r="O29" s="65">
        <f>VLOOKUP($A29,'TCO Inputs'!$A$3:$AG$53,31,FALSE)</f>
        <v>110758.72108266084</v>
      </c>
      <c r="P29" s="7">
        <f>VLOOKUP($A29,_xlfn.IFS('Scenario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analysis'!$Q$121:$R$126),2,FALSE)+VLOOKUP($A29,Data!$D$64:$F$114,3,FALSE)*VLOOKUP($A29,'VKT US'!$B$63:$AB$113,27,FALSE)*m2k*CONVERT(0.9072,"g","ton")</f>
        <v>40.856316160062043</v>
      </c>
      <c r="Q29" s="95">
        <f t="shared" si="3"/>
        <v>35.050039407871161</v>
      </c>
      <c r="R29" s="60">
        <f t="shared" si="4"/>
        <v>7981.9560290882946</v>
      </c>
      <c r="S29" s="144">
        <f>VLOOKUP($A29,'TCO Inputs'!$A$3:$AG$53,12,FALSE)</f>
        <v>25202.087524607668</v>
      </c>
      <c r="T29" s="65">
        <f>VLOOKUP($A29,'TCO Inputs'!$A$3:$AG$53,16,FALSE)</f>
        <v>12156.747988220168</v>
      </c>
      <c r="U29" s="65">
        <f>VLOOKUP($A29,'TCO Inputs'!$A$3:$AG$53,20,FALSE)</f>
        <v>23266.302816573476</v>
      </c>
      <c r="V29" s="65">
        <f>VLOOKUP($A29,'TCO Inputs'!$A$3:$AG$53,24,FALSE)</f>
        <v>35407.098313578637</v>
      </c>
      <c r="W29" s="65">
        <f>VLOOKUP($A29,'TCO Inputs'!$A$3:$AG$53,28,FALSE)</f>
        <v>0</v>
      </c>
      <c r="X29" s="65">
        <f>VLOOKUP($A29,'TCO Inputs'!$A$3:$AG$53,32,FALSE)</f>
        <v>96032.236642979944</v>
      </c>
      <c r="Y29" s="7">
        <f>(VLOOKUP($A29,Data!$D$64:$M$112,4,FALSE)+VLOOKUP($A29,Data!$D$64:$M$112,7,FALSE))*VLOOKUP($A29,'VKT US'!$B$63:$AB$113,27,FALSE)*CONVERT(0.9072,"g","ton")*m2k</f>
        <v>50.029722190221626</v>
      </c>
      <c r="Z29" s="95">
        <f t="shared" si="5"/>
        <v>25.876633377711578</v>
      </c>
      <c r="AA29" s="118">
        <f t="shared" si="6"/>
        <v>-6744.5284105925966</v>
      </c>
      <c r="AB29" s="144">
        <f>VLOOKUP($A29,'TCO Inputs'!$A$3:$AG$53,13,FALSE)</f>
        <v>28460.759801658827</v>
      </c>
      <c r="AC29" s="65">
        <f>VLOOKUP($A29,'TCO Inputs'!$A$3:$AG$53,17,FALSE)</f>
        <v>18073.227570744617</v>
      </c>
      <c r="AD29" s="65">
        <f>VLOOKUP($A29,'TCO Inputs'!$A$3:$AG$53,21,FALSE)</f>
        <v>23266.302816573476</v>
      </c>
      <c r="AE29" s="65">
        <f>VLOOKUP($A29,'TCO Inputs'!$A$3:$AG$53,25,FALSE)</f>
        <v>35612.303313578639</v>
      </c>
      <c r="AF29" s="65">
        <f>VLOOKUP($A29,'TCO Inputs'!$A$3:$AG$53,29,FALSE)</f>
        <v>0</v>
      </c>
      <c r="AG29" s="65">
        <f>VLOOKUP($A29,'TCO Inputs'!$A$3:$AG$53,33,FALSE)</f>
        <v>105412.59350255555</v>
      </c>
      <c r="AH29" s="7">
        <f>(VLOOKUP($A29,Data!$D$64:$M$112,9,FALSE)+VLOOKUP($A29,Data!$D$64:$M$112,10,FALSE))*VLOOKUP($A29,'VKT US'!$B$63:$AB$113,27,FALSE)*CONVERT(0.9072,"g","ton")*m2k</f>
        <v>34.903955898864723</v>
      </c>
      <c r="AI29" s="95">
        <f t="shared" si="7"/>
        <v>41.002399669068481</v>
      </c>
      <c r="AJ29" s="186">
        <f t="shared" si="8"/>
        <v>2635.8284489830112</v>
      </c>
      <c r="AK29" s="188">
        <f>VLOOKUP($A29,'TCO Inputs'!$A$3:$AT$53,40,FALSE)</f>
        <v>30376.676612640622</v>
      </c>
      <c r="AL29" s="188">
        <f>VLOOKUP($A29,'TCO Inputs'!$A$3:$AT$53,41,FALSE)</f>
        <v>11266.875285731412</v>
      </c>
      <c r="AM29" s="188">
        <f>VLOOKUP($A29,'TCO Inputs'!$A$3:$AT$53,42,FALSE)</f>
        <v>22418.799415030142</v>
      </c>
      <c r="AN29" s="188">
        <f>VLOOKUP($A29,'TCO Inputs'!$A$3:$AT$53,43,FALSE)</f>
        <v>41729.254217011287</v>
      </c>
      <c r="AO29" s="188">
        <f>VLOOKUP($A29,'TCO Inputs'!$A$3:$AT$53,44,FALSE)</f>
        <v>0</v>
      </c>
      <c r="AP29" s="188">
        <f>VLOOKUP($A29,'TCO Inputs'!$A$3:$AT$53,45,FALSE)</f>
        <v>105791.60553041346</v>
      </c>
      <c r="AQ29" s="96">
        <f>(VLOOKUP($A29,Data!$D$64:$O$114,11,FALSE)+VLOOKUP($A29,'Fuel economy adjusted factor'!$A$2:$L$52,12,FALSE)*(1-'TCO Inputs'!$BD$9))*VLOOKUP($A29,'VKT US'!$B$63:$AB$113,27,FALSE)*CONVERT(0.9072,"g","ton")*m2k+VLOOKUP($A29,'US Grid mix, emissions&amp;prices'!$H$224:$AK$274,30,FALSE)</f>
        <v>43.657511283473781</v>
      </c>
      <c r="AR29" s="96">
        <f t="shared" si="9"/>
        <v>32.248844284459423</v>
      </c>
      <c r="AS29" s="60">
        <f>VLOOKUP($A29,'TCO Inputs'!$A$3:$AT$53,46,FALSE)</f>
        <v>3014.8404768409237</v>
      </c>
      <c r="AT29" s="98">
        <f>(VLOOKUP($A29,Data!$D$64:$M$112,5,FALSE)+VLOOKUP($A29,Data!$D$64:$M$112,8,FALSE))*VLOOKUP($A29,'VKT US'!$B$63:$AB$113,2,FALSE)*CONVERT(0.9072,"g","ton")*m2k*VLOOKUP($A29,'VKT US'!$F$5:$S$56,11,FALSE)/1000000</f>
        <v>10.428599096785108</v>
      </c>
      <c r="AU29" s="98">
        <f>(VLOOKUP($A29,Data!$D$64:$F$114,3,FALSE)+VLOOKUP($A29,Data!$D$64:$I$114,6,FALSE))*VLOOKUP($A29,'VKT US'!$B$63:$AB$113,2,FALSE)*m2k*CONVERT(0.9072,"g","ton")*VLOOKUP($A29,'VKT US'!$F$5:$S$56,2,FALSE)/1000000</f>
        <v>3.0455955414123648E-2</v>
      </c>
      <c r="AV29" s="98">
        <f>(VLOOKUP($A29,Data!$D$64:$M$112,4,FALSE)+VLOOKUP($A29,Data!$D$64:$M$112,7,FALSE))*VLOOKUP($A29,'VKT US'!$B$63:$AB$113,2,FALSE)*CONVERT(0.9072,"g","ton")*m2k*VLOOKUP($A29,'VKT US'!$F$5:$S$56,4,FALSE)/1000000</f>
        <v>0.14001191011343506</v>
      </c>
      <c r="AW29" s="98">
        <f>(VLOOKUP($A29,Data!$D$64:$M$112,9,FALSE)+VLOOKUP($A29,Data!$D$64:$M$112,10,FALSE))*VLOOKUP($A29,'VKT US'!$B$63:$AB$113,2,FALSE)*CONVERT(0.9072,"g","ton")*m2k*VLOOKUP($A29,'VKT US'!$F$5:$S$56,9,FALSE)/1000000</f>
        <v>0</v>
      </c>
      <c r="AX29" s="98">
        <f>H29*VLOOKUP($A29,'VKT US'!$F$5:$S$56,11,FALSE)/1000000</f>
        <v>121.4805314509203</v>
      </c>
      <c r="AY29" s="98">
        <f>P29*VLOOKUP($A29,'VKT US'!$F$5:$S$56,2,FALSE)/1000000</f>
        <v>0.2819085815044281</v>
      </c>
      <c r="AZ29" s="98">
        <f>Y29*VLOOKUP($A29,'VKT US'!$F$5:$S$56,4,FALSE)/1000000</f>
        <v>1.6309689434012249</v>
      </c>
      <c r="BA29" s="98">
        <f>AH29*VLOOKUP($A29,'VKT US'!$F$5:$S$56,9,FALSE)/1000000</f>
        <v>0</v>
      </c>
      <c r="BB29" s="79">
        <f>VLOOKUP($A29,Data!$D$64:$M$112,4,FALSE)+VLOOKUP($A29,Data!$D$64:$M$112,7,FALSE)-(VLOOKUP($A29,Data!$D$64:$F$114,3,FALSE)+VLOOKUP($A29,Data!$D$64:$I$114,6,FALSE))</f>
        <v>-4.4191478594431999</v>
      </c>
      <c r="BC29" s="10">
        <f>(Y29-P29)*VLOOKUP($A29,'VKT US'!$F$5:$S$56,14,FALSE)/1000000*'Scenario analysis'!$E$4</f>
        <v>18.08261796665057</v>
      </c>
      <c r="BD29" s="10">
        <f>P29*VLOOKUP($A29,'VKT US'!$F$5:$S$56,14,FALSE)/1000000*'Scenario analysis'!$E$4</f>
        <v>80.535970414714313</v>
      </c>
      <c r="BE29" s="79">
        <f>(VLOOKUP($A29,Data!$D$64:$M$114,4,FALSE)+VLOOKUP($A29,Data!$D$64:$M$114,7,FALSE)-(VLOOKUP($A29,Data!$D$64:$F$114,3,FALSE)+VLOOKUP($A29,Data!$D$64:$I$114,6,FALSE)))*VLOOKUP($A29,'VKT US'!$B$63:$AB$113,2,FALSE)*CONVERT(0.9072,"g","ton")*m2k*VLOOKUP($A29,'VKT US'!$F$5:$S$56,14,FALSE)/1000000*'Scenario analysis'!$E$4</f>
        <v>-0.23469642035203636</v>
      </c>
      <c r="BF29" s="79">
        <f>(VLOOKUP($A29,Data!$D$64:$F$114,3,FALSE)+VLOOKUP($A29,Data!$D$64:$I$114,6,FALSE))*VLOOKUP($A29,'VKT US'!$B$63:$AB$113,2,FALSE)*CONVERT(0.9072,"g","ton")*m2k*VLOOKUP($A29,'VKT US'!$F$5:$S$56,14,FALSE)/1000000*'Scenario analysis'!$E$4</f>
        <v>8.7006926539594982</v>
      </c>
      <c r="BG29" s="79">
        <f>(VLOOKUP($A29,Data!$D$64:$M$114,4,FALSE)+VLOOKUP($A29,Data!$D$64:$M$114,7,FALSE))*VLOOKUP($A29,'VKT US'!$B$63:$AB$113,2,FALSE)*CONVERT(0.9072,"g","ton")*m2k*VLOOKUP($A29,'VKT US'!$F$5:$S$56,14,FALSE)/1000000*'Scenario analysis'!$E$4</f>
        <v>8.4659962336074592</v>
      </c>
      <c r="BH29" s="79">
        <f t="shared" si="0"/>
        <v>9.1734060301595832</v>
      </c>
      <c r="BI29" s="96">
        <f t="shared" si="1"/>
        <v>1605.3453200767899</v>
      </c>
      <c r="BJ29" s="191">
        <f t="shared" si="2"/>
        <v>14726.484439680891</v>
      </c>
      <c r="BK29" s="191">
        <f>(VLOOKUP($A29,'US Grid mix, emissions&amp;prices'!$H$169:$AK$219,30,FALSE)+VLOOKUP($A29,Data!$D$64:$F$114,3,FALSE)*VLOOKUP($A29,'VKT US'!$B$63:$AB$113,27,FALSE)*m2k*CONVERT(0.9072,"g","ton"))*VLOOKUP($A29,'VKT US'!$F$5:$S$56,14,FALSE)/1000000</f>
        <v>80.535970414714313</v>
      </c>
      <c r="BL29" s="191">
        <f>P29*VLOOKUP($A29,'VKT US'!$F$5:$S$56,14,FALSE)/1000000-BK29</f>
        <v>0</v>
      </c>
      <c r="BM29" s="191">
        <v>7.6768022621949354</v>
      </c>
      <c r="BN29" s="191">
        <v>1.2242507937688822</v>
      </c>
      <c r="BO29" s="191" cm="1">
        <f t="array" ref="BO29">_xlfn.IFS(AND(Q29&gt;0,R29&gt;0),R29/Q29,AND(Q29&gt;0,R29&lt;=0),-R29/Q29,Q29&lt;=0,0)</f>
        <v>227.73030113329324</v>
      </c>
      <c r="BP29" s="212" cm="1">
        <f t="array" ref="BP29">_xlfn.IFS(AND(Z29&gt;0,AA29&gt;0),AA29/Z29,AND(Z29&gt;0,AA29&lt;=0),AA29/Z29,Z29&lt;=0,0)</f>
        <v>-260.64164963599507</v>
      </c>
      <c r="BQ29" s="191">
        <f>P29*1000000/(VLOOKUP($A29,'VKT US'!$B$63:$AB$113,27,FALSE)*m2k)</f>
        <v>130.18128606390007</v>
      </c>
      <c r="BR29" s="191">
        <f>Y29*1000000/(VLOOKUP($A29,'VKT US'!$B$63:$AB$113,27,FALSE)*m2k)</f>
        <v>159.41069064149323</v>
      </c>
      <c r="BS29" s="191">
        <f>H29*1000000/(VLOOKUP($A29,'VKT US'!$B$63:$AB$113,27,FALSE)*m2k)</f>
        <v>241.8619179845856</v>
      </c>
      <c r="BT29" s="95"/>
      <c r="BU29" s="10">
        <f t="shared" si="10"/>
        <v>98050.523542576251</v>
      </c>
      <c r="BV29" s="10">
        <f t="shared" si="11"/>
        <v>107341.56748661415</v>
      </c>
      <c r="BW29" s="10">
        <f t="shared" si="12"/>
        <v>91222.648207705992</v>
      </c>
      <c r="BX29" s="10">
        <f t="shared" si="13"/>
        <v>99790.149589169916</v>
      </c>
      <c r="BY29" s="53">
        <f t="shared" si="14"/>
        <v>101100.40929383134</v>
      </c>
      <c r="BZ29" s="79">
        <f t="shared" si="15"/>
        <v>38.44404962980262</v>
      </c>
      <c r="CA29" s="96">
        <f>VLOOKUP($A29,'TCO Inputs'!$Y$114:$AT$164,22,FALSE)</f>
        <v>76472.1532257246</v>
      </c>
      <c r="CB29" s="211">
        <f>CA29*VLOOKUP($A29,'VKT US'!$F$5:$S$56,14,FALSE)/(10^9)</f>
        <v>150.74190843854834</v>
      </c>
    </row>
    <row r="30" spans="1:80" x14ac:dyDescent="0.25">
      <c r="A30" s="83" t="s">
        <v>215</v>
      </c>
      <c r="B30" s="150">
        <f>VLOOKUP($A30,'TCO Inputs'!$A$3:$AG$53,10,FALSE)</f>
        <v>23731.611795719989</v>
      </c>
      <c r="C30" s="71">
        <f>VLOOKUP($A30,'TCO Inputs'!$A$3:$AG$53,14,FALSE)</f>
        <v>24837.224925723975</v>
      </c>
      <c r="D30" s="71">
        <f>VLOOKUP($A30,'TCO Inputs'!$A$3:$AG$53,18,FALSE)</f>
        <v>23897.70082885434</v>
      </c>
      <c r="E30" s="71">
        <f>VLOOKUP($A30,'TCO Inputs'!$A$3:$AG$53,22,FALSE)</f>
        <v>38055.044667272785</v>
      </c>
      <c r="F30" s="71">
        <f>VLOOKUP($A30,'TCO Inputs'!$A$3:$AG$53,26,FALSE)</f>
        <v>0</v>
      </c>
      <c r="G30" s="65">
        <f>VLOOKUP($A30,'TCO Inputs'!$A$3:$AG$53,30,FALSE)</f>
        <v>110521.58221757109</v>
      </c>
      <c r="H30" s="95">
        <f>(VLOOKUP($A30,Data!$D$64:$M$112,5,FALSE)+VLOOKUP($A30,Data!$D$64:$M$112,8,FALSE))*VLOOKUP($A30,'VKT US'!$B$63:$AB$113,27,FALSE)*CONVERT(0.9072,"g","ton")*m2k</f>
        <v>71.172156909477138</v>
      </c>
      <c r="I30" s="92"/>
      <c r="J30" s="144">
        <f>VLOOKUP($A30,'TCO Inputs'!$A$3:$AG$53,11,FALSE)</f>
        <v>40967.546942691188</v>
      </c>
      <c r="K30" s="65">
        <f>VLOOKUP($A30,'TCO Inputs'!$A$3:$AG$53,15,FALSE)</f>
        <v>12966.752251545513</v>
      </c>
      <c r="L30" s="65">
        <f>VLOOKUP($A30,'TCO Inputs'!$A$3:$AG$53,19,FALSE)</f>
        <v>14880.979665059651</v>
      </c>
      <c r="M30" s="65">
        <f>VLOOKUP($A30,'TCO Inputs'!$A$3:$AG$53,23,FALSE)</f>
        <v>46287.510710833471</v>
      </c>
      <c r="N30" s="65">
        <f>VLOOKUP($A30,'TCO Inputs'!$A$3:$AG$53,27,FALSE)</f>
        <v>0</v>
      </c>
      <c r="O30" s="65">
        <f>VLOOKUP($A30,'TCO Inputs'!$A$3:$AG$53,31,FALSE)</f>
        <v>115102.78957012983</v>
      </c>
      <c r="P30" s="7">
        <f>VLOOKUP($A30,_xlfn.IFS('Scenario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analysis'!$Q$121:$R$126),2,FALSE)+VLOOKUP($A30,Data!$D$64:$F$114,3,FALSE)*VLOOKUP($A30,'VKT US'!$B$63:$AB$113,27,FALSE)*m2k*CONVERT(0.9072,"g","ton")</f>
        <v>29.823954553593865</v>
      </c>
      <c r="Q30" s="95">
        <f t="shared" si="3"/>
        <v>41.348202355883274</v>
      </c>
      <c r="R30" s="60">
        <f t="shared" si="4"/>
        <v>4581.207352558733</v>
      </c>
      <c r="S30" s="144">
        <f>VLOOKUP($A30,'TCO Inputs'!$A$3:$AG$53,12,FALSE)</f>
        <v>25202.087524607668</v>
      </c>
      <c r="T30" s="65">
        <f>VLOOKUP($A30,'TCO Inputs'!$A$3:$AG$53,16,FALSE)</f>
        <v>15284.446108137834</v>
      </c>
      <c r="U30" s="65">
        <f>VLOOKUP($A30,'TCO Inputs'!$A$3:$AG$53,20,FALSE)</f>
        <v>21965.54629375548</v>
      </c>
      <c r="V30" s="65">
        <f>VLOOKUP($A30,'TCO Inputs'!$A$3:$AG$53,24,FALSE)</f>
        <v>39656.132678734415</v>
      </c>
      <c r="W30" s="65">
        <f>VLOOKUP($A30,'TCO Inputs'!$A$3:$AG$53,28,FALSE)</f>
        <v>0</v>
      </c>
      <c r="X30" s="65">
        <f>VLOOKUP($A30,'TCO Inputs'!$A$3:$AG$53,32,FALSE)</f>
        <v>102108.2126052354</v>
      </c>
      <c r="Y30" s="7">
        <f>(VLOOKUP($A30,Data!$D$64:$M$112,4,FALSE)+VLOOKUP($A30,Data!$D$64:$M$112,7,FALSE))*VLOOKUP($A30,'VKT US'!$B$63:$AB$113,27,FALSE)*CONVERT(0.9072,"g","ton")*m2k</f>
        <v>46.93014894569027</v>
      </c>
      <c r="Z30" s="95">
        <f t="shared" si="5"/>
        <v>24.242007963786868</v>
      </c>
      <c r="AA30" s="118">
        <f t="shared" si="6"/>
        <v>-8413.3696123356931</v>
      </c>
      <c r="AB30" s="144">
        <f>VLOOKUP($A30,'TCO Inputs'!$A$3:$AG$53,13,FALSE)</f>
        <v>28460.759801658827</v>
      </c>
      <c r="AC30" s="65">
        <f>VLOOKUP($A30,'TCO Inputs'!$A$3:$AG$53,17,FALSE)</f>
        <v>16932.427142102872</v>
      </c>
      <c r="AD30" s="65">
        <f>VLOOKUP($A30,'TCO Inputs'!$A$3:$AG$53,21,FALSE)</f>
        <v>21965.54629375548</v>
      </c>
      <c r="AE30" s="65">
        <f>VLOOKUP($A30,'TCO Inputs'!$A$3:$AG$53,25,FALSE)</f>
        <v>39963.940178734418</v>
      </c>
      <c r="AF30" s="65">
        <f>VLOOKUP($A30,'TCO Inputs'!$A$3:$AG$53,29,FALSE)</f>
        <v>0</v>
      </c>
      <c r="AG30" s="65">
        <f>VLOOKUP($A30,'TCO Inputs'!$A$3:$AG$53,33,FALSE)</f>
        <v>107322.67341625161</v>
      </c>
      <c r="AH30" s="7">
        <f>(VLOOKUP($A30,Data!$D$64:$M$112,9,FALSE)+VLOOKUP($A30,Data!$D$64:$M$112,10,FALSE))*VLOOKUP($A30,'VKT US'!$B$63:$AB$113,27,FALSE)*CONVERT(0.9072,"g","ton")*m2k</f>
        <v>32.952569438130681</v>
      </c>
      <c r="AI30" s="95">
        <f t="shared" si="7"/>
        <v>38.219587471346458</v>
      </c>
      <c r="AJ30" s="186">
        <f t="shared" si="8"/>
        <v>-3198.9088013194851</v>
      </c>
      <c r="AK30" s="188">
        <f>VLOOKUP($A30,'TCO Inputs'!$A$3:$AT$53,40,FALSE)</f>
        <v>30376.676612640622</v>
      </c>
      <c r="AL30" s="188">
        <f>VLOOKUP($A30,'TCO Inputs'!$A$3:$AT$53,41,FALSE)</f>
        <v>13347.58837912315</v>
      </c>
      <c r="AM30" s="188">
        <f>VLOOKUP($A30,'TCO Inputs'!$A$3:$AT$53,42,FALSE)</f>
        <v>21165.424531932</v>
      </c>
      <c r="AN30" s="188">
        <f>VLOOKUP($A30,'TCO Inputs'!$A$3:$AT$53,43,FALSE)</f>
        <v>45454.673210833469</v>
      </c>
      <c r="AO30" s="188">
        <f>VLOOKUP($A30,'TCO Inputs'!$A$3:$AT$53,44,FALSE)</f>
        <v>0</v>
      </c>
      <c r="AP30" s="188">
        <f>VLOOKUP($A30,'TCO Inputs'!$A$3:$AT$53,45,FALSE)</f>
        <v>110344.36273452925</v>
      </c>
      <c r="AQ30" s="96">
        <f>(VLOOKUP($A30,Data!$D$64:$O$114,11,FALSE)+VLOOKUP($A30,'Fuel economy adjusted factor'!$A$2:$L$52,12,FALSE)*(1-'TCO Inputs'!$BD$9))*VLOOKUP($A30,'VKT US'!$B$63:$AB$113,27,FALSE)*CONVERT(0.9072,"g","ton")*m2k+VLOOKUP($A30,'US Grid mix, emissions&amp;prices'!$H$224:$AK$274,30,FALSE)</f>
        <v>36.522796127103405</v>
      </c>
      <c r="AR30" s="96">
        <f t="shared" si="9"/>
        <v>34.649360782373734</v>
      </c>
      <c r="AS30" s="60">
        <f>VLOOKUP($A30,'TCO Inputs'!$A$3:$AT$53,46,FALSE)</f>
        <v>-177.2194830418448</v>
      </c>
      <c r="AT30" s="98">
        <f>(VLOOKUP($A30,Data!$D$64:$M$112,5,FALSE)+VLOOKUP($A30,Data!$D$64:$M$112,8,FALSE))*VLOOKUP($A30,'VKT US'!$B$63:$AB$113,2,FALSE)*CONVERT(0.9072,"g","ton")*m2k*VLOOKUP($A30,'VKT US'!$F$5:$S$56,11,FALSE)/1000000</f>
        <v>13.254063072370373</v>
      </c>
      <c r="AU30" s="98">
        <f>(VLOOKUP($A30,Data!$D$64:$F$114,3,FALSE)+VLOOKUP($A30,Data!$D$64:$I$114,6,FALSE))*VLOOKUP($A30,'VKT US'!$B$63:$AB$113,2,FALSE)*m2k*CONVERT(0.9072,"g","ton")*VLOOKUP($A30,'VKT US'!$F$5:$S$56,2,FALSE)/1000000</f>
        <v>0.14930079675462854</v>
      </c>
      <c r="AV30" s="98">
        <f>(VLOOKUP($A30,Data!$D$64:$M$112,4,FALSE)+VLOOKUP($A30,Data!$D$64:$M$112,7,FALSE))*VLOOKUP($A30,'VKT US'!$B$63:$AB$113,2,FALSE)*CONVERT(0.9072,"g","ton")*m2k*VLOOKUP($A30,'VKT US'!$F$5:$S$56,4,FALSE)/1000000</f>
        <v>0.28040158314330671</v>
      </c>
      <c r="AW30" s="98">
        <f>(VLOOKUP($A30,Data!$D$64:$M$112,9,FALSE)+VLOOKUP($A30,Data!$D$64:$M$112,10,FALSE))*VLOOKUP($A30,'VKT US'!$B$63:$AB$113,2,FALSE)*CONVERT(0.9072,"g","ton")*m2k*VLOOKUP($A30,'VKT US'!$F$5:$S$56,9,FALSE)/1000000</f>
        <v>0</v>
      </c>
      <c r="AX30" s="98">
        <f>H30*VLOOKUP($A30,'VKT US'!$F$5:$S$56,11,FALSE)/1000000</f>
        <v>154.39375998372876</v>
      </c>
      <c r="AY30" s="98">
        <f>P30*VLOOKUP($A30,'VKT US'!$F$5:$S$56,2,FALSE)/1000000</f>
        <v>1.4136554458403492</v>
      </c>
      <c r="AZ30" s="98">
        <f>Y30*VLOOKUP($A30,'VKT US'!$F$5:$S$56,4,FALSE)/1000000</f>
        <v>3.266338366620043</v>
      </c>
      <c r="BA30" s="98">
        <f>AH30*VLOOKUP($A30,'VKT US'!$F$5:$S$56,9,FALSE)/1000000</f>
        <v>0</v>
      </c>
      <c r="BB30" s="79">
        <f>VLOOKUP($A30,Data!$D$64:$M$112,4,FALSE)+VLOOKUP($A30,Data!$D$64:$M$112,7,FALSE)-(VLOOKUP($A30,Data!$D$64:$F$114,3,FALSE)+VLOOKUP($A30,Data!$D$64:$I$114,6,FALSE))</f>
        <v>34.555211094594483</v>
      </c>
      <c r="BC30" s="10">
        <f>(Y30-P30)*VLOOKUP($A30,'VKT US'!$F$5:$S$56,14,FALSE)/1000000*'Scenario analysis'!$E$4</f>
        <v>43.725143485637624</v>
      </c>
      <c r="BD30" s="10">
        <f>P30*VLOOKUP($A30,'VKT US'!$F$5:$S$56,14,FALSE)/1000000*'Scenario analysis'!$E$4</f>
        <v>76.233010234441281</v>
      </c>
      <c r="BE30" s="79">
        <f>(VLOOKUP($A30,Data!$D$64:$M$114,4,FALSE)+VLOOKUP($A30,Data!$D$64:$M$114,7,FALSE)-(VLOOKUP($A30,Data!$D$64:$F$114,3,FALSE)+VLOOKUP($A30,Data!$D$64:$I$114,6,FALSE)))*VLOOKUP($A30,'VKT US'!$B$63:$AB$113,2,FALSE)*CONVERT(0.9072,"g","ton")*m2k*VLOOKUP($A30,'VKT US'!$F$5:$S$56,14,FALSE)/1000000*'Scenario analysis'!$E$4</f>
        <v>2.2466905869586076</v>
      </c>
      <c r="BF30" s="79">
        <f>(VLOOKUP($A30,Data!$D$64:$F$114,3,FALSE)+VLOOKUP($A30,Data!$D$64:$I$114,6,FALSE))*VLOOKUP($A30,'VKT US'!$B$63:$AB$113,2,FALSE)*CONVERT(0.9072,"g","ton")*m2k*VLOOKUP($A30,'VKT US'!$F$5:$S$56,14,FALSE)/1000000*'Scenario analysis'!$E$4</f>
        <v>8.0512187043144721</v>
      </c>
      <c r="BG30" s="79">
        <f>(VLOOKUP($A30,Data!$D$64:$M$114,4,FALSE)+VLOOKUP($A30,Data!$D$64:$M$114,7,FALSE))*VLOOKUP($A30,'VKT US'!$B$63:$AB$113,2,FALSE)*CONVERT(0.9072,"g","ton")*m2k*VLOOKUP($A30,'VKT US'!$F$5:$S$56,14,FALSE)/1000000*'Scenario analysis'!$E$4</f>
        <v>10.297909291273079</v>
      </c>
      <c r="BH30" s="79">
        <f t="shared" si="0"/>
        <v>17.106194392096405</v>
      </c>
      <c r="BI30" s="96">
        <f t="shared" si="1"/>
        <v>759.64160508419832</v>
      </c>
      <c r="BJ30" s="191">
        <f t="shared" si="2"/>
        <v>12994.576964894426</v>
      </c>
      <c r="BK30" s="191">
        <f>(VLOOKUP($A30,'US Grid mix, emissions&amp;prices'!$H$169:$AK$219,30,FALSE)+VLOOKUP($A30,Data!$D$64:$F$114,3,FALSE)*VLOOKUP($A30,'VKT US'!$B$63:$AB$113,27,FALSE)*m2k*CONVERT(0.9072,"g","ton"))*VLOOKUP($A30,'VKT US'!$F$5:$S$56,14,FALSE)/1000000</f>
        <v>76.233010234441281</v>
      </c>
      <c r="BL30" s="191">
        <f>P30*VLOOKUP($A30,'VKT US'!$F$5:$S$56,14,FALSE)/1000000-BK30</f>
        <v>0</v>
      </c>
      <c r="BM30" s="191">
        <v>7.1878049302765357</v>
      </c>
      <c r="BN30" s="191">
        <v>1.0323712447337732</v>
      </c>
      <c r="BO30" s="191" cm="1">
        <f t="array" ref="BO30">_xlfn.IFS(AND(Q30&gt;0,R30&gt;0),R30/Q30,AND(Q30&gt;0,R30&lt;=0),-R30/Q30,Q30&lt;=0,0)</f>
        <v>110.79580469129853</v>
      </c>
      <c r="BP30" s="212" cm="1">
        <f t="array" ref="BP30">_xlfn.IFS(AND(Z30&gt;0,AA30&gt;0),AA30/Z30,AND(Z30&gt;0,AA30&lt;=0),AA30/Z30,Z30&lt;=0,0)</f>
        <v>-347.05745600379845</v>
      </c>
      <c r="BQ30" s="191">
        <f>P30*1000000/(VLOOKUP($A30,'VKT US'!$B$63:$AB$113,27,FALSE)*m2k)</f>
        <v>100.656065009344</v>
      </c>
      <c r="BR30" s="191">
        <f>Y30*1000000/(VLOOKUP($A30,'VKT US'!$B$63:$AB$113,27,FALSE)*m2k)</f>
        <v>158.38959634567865</v>
      </c>
      <c r="BS30" s="191">
        <f>H30*1000000/(VLOOKUP($A30,'VKT US'!$B$63:$AB$113,27,FALSE)*m2k)</f>
        <v>240.20655073967359</v>
      </c>
      <c r="BT30" s="95"/>
      <c r="BU30" s="10">
        <f t="shared" si="10"/>
        <v>98050.523542576251</v>
      </c>
      <c r="BV30" s="10">
        <f t="shared" si="11"/>
        <v>107341.56748661415</v>
      </c>
      <c r="BW30" s="10">
        <f t="shared" si="12"/>
        <v>91222.648207705992</v>
      </c>
      <c r="BX30" s="10">
        <f t="shared" si="13"/>
        <v>99790.149589169916</v>
      </c>
      <c r="BY30" s="53">
        <f t="shared" si="14"/>
        <v>101100.40929383134</v>
      </c>
      <c r="BZ30" s="79">
        <f t="shared" si="15"/>
        <v>38.44404962980262</v>
      </c>
      <c r="CA30" s="96">
        <f>VLOOKUP($A30,'TCO Inputs'!$Y$114:$AT$164,22,FALSE)</f>
        <v>70417.949810309437</v>
      </c>
      <c r="CB30" s="211">
        <f>CA30*VLOOKUP($A30,'VKT US'!$F$5:$S$56,14,FALSE)/(10^9)</f>
        <v>179.99532151013196</v>
      </c>
    </row>
    <row r="31" spans="1:80" x14ac:dyDescent="0.25">
      <c r="A31" s="83" t="s">
        <v>212</v>
      </c>
      <c r="B31" s="150">
        <f>VLOOKUP($A31,'TCO Inputs'!$A$3:$AG$53,10,FALSE)</f>
        <v>23731.611795719989</v>
      </c>
      <c r="C31" s="71">
        <f>VLOOKUP($A31,'TCO Inputs'!$A$3:$AG$53,14,FALSE)</f>
        <v>16020.114759342798</v>
      </c>
      <c r="D31" s="71">
        <f>VLOOKUP($A31,'TCO Inputs'!$A$3:$AG$53,18,FALSE)</f>
        <v>19727.19738797408</v>
      </c>
      <c r="E31" s="71">
        <f>VLOOKUP($A31,'TCO Inputs'!$A$3:$AG$53,22,FALSE)</f>
        <v>22506.589108109558</v>
      </c>
      <c r="F31" s="71">
        <f>VLOOKUP($A31,'TCO Inputs'!$A$3:$AG$53,26,FALSE)</f>
        <v>0</v>
      </c>
      <c r="G31" s="65">
        <f>VLOOKUP($A31,'TCO Inputs'!$A$3:$AG$53,30,FALSE)</f>
        <v>81985.513051146423</v>
      </c>
      <c r="H31" s="95">
        <f>(VLOOKUP($A31,Data!$D$64:$M$112,5,FALSE)+VLOOKUP($A31,Data!$D$64:$M$112,8,FALSE))*VLOOKUP($A31,'VKT US'!$B$63:$AB$113,27,FALSE)*CONVERT(0.9072,"g","ton")*m2k</f>
        <v>59.611934439792883</v>
      </c>
      <c r="I31" s="92"/>
      <c r="J31" s="144">
        <f>VLOOKUP($A31,'TCO Inputs'!$A$3:$AG$53,11,FALSE)</f>
        <v>40967.546942691188</v>
      </c>
      <c r="K31" s="65">
        <f>VLOOKUP($A31,'TCO Inputs'!$A$3:$AG$53,15,FALSE)</f>
        <v>16841.415970617243</v>
      </c>
      <c r="L31" s="65">
        <f>VLOOKUP($A31,'TCO Inputs'!$A$3:$AG$53,19,FALSE)</f>
        <v>12284.027877050527</v>
      </c>
      <c r="M31" s="65">
        <f>VLOOKUP($A31,'TCO Inputs'!$A$3:$AG$53,23,FALSE)</f>
        <v>28641.203241722549</v>
      </c>
      <c r="N31" s="65">
        <f>VLOOKUP($A31,'TCO Inputs'!$A$3:$AG$53,27,FALSE)</f>
        <v>0</v>
      </c>
      <c r="O31" s="65">
        <f>VLOOKUP($A31,'TCO Inputs'!$A$3:$AG$53,31,FALSE)</f>
        <v>98734.194032081519</v>
      </c>
      <c r="P31" s="7">
        <f>VLOOKUP($A31,_xlfn.IFS('Scenario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analysis'!$Q$121:$R$126),2,FALSE)+VLOOKUP($A31,Data!$D$64:$F$114,3,FALSE)*VLOOKUP($A31,'VKT US'!$B$63:$AB$113,27,FALSE)*m2k*CONVERT(0.9072,"g","ton")</f>
        <v>15.723291129646082</v>
      </c>
      <c r="Q31" s="95">
        <f t="shared" si="3"/>
        <v>43.888643310146804</v>
      </c>
      <c r="R31" s="60">
        <f t="shared" si="4"/>
        <v>16748.680980935096</v>
      </c>
      <c r="S31" s="144">
        <f>VLOOKUP($A31,'TCO Inputs'!$A$3:$AG$53,12,FALSE)</f>
        <v>25202.087524607668</v>
      </c>
      <c r="T31" s="65">
        <f>VLOOKUP($A31,'TCO Inputs'!$A$3:$AG$53,16,FALSE)</f>
        <v>9858.5321595955684</v>
      </c>
      <c r="U31" s="65">
        <f>VLOOKUP($A31,'TCO Inputs'!$A$3:$AG$53,20,FALSE)</f>
        <v>18132.232492776173</v>
      </c>
      <c r="V31" s="65">
        <f>VLOOKUP($A31,'TCO Inputs'!$A$3:$AG$53,24,FALSE)</f>
        <v>23453.507718111279</v>
      </c>
      <c r="W31" s="65">
        <f>VLOOKUP($A31,'TCO Inputs'!$A$3:$AG$53,28,FALSE)</f>
        <v>0</v>
      </c>
      <c r="X31" s="65">
        <f>VLOOKUP($A31,'TCO Inputs'!$A$3:$AG$53,32,FALSE)</f>
        <v>76646.359895090689</v>
      </c>
      <c r="Y31" s="7">
        <f>(VLOOKUP($A31,Data!$D$64:$M$112,4,FALSE)+VLOOKUP($A31,Data!$D$64:$M$112,7,FALSE))*VLOOKUP($A31,'VKT US'!$B$63:$AB$113,27,FALSE)*CONVERT(0.9072,"g","ton")*m2k</f>
        <v>39.270854025115419</v>
      </c>
      <c r="Z31" s="95">
        <f t="shared" si="5"/>
        <v>20.341080414677464</v>
      </c>
      <c r="AA31" s="118">
        <f t="shared" si="6"/>
        <v>-5339.1531560557341</v>
      </c>
      <c r="AB31" s="144">
        <f>VLOOKUP($A31,'TCO Inputs'!$A$3:$AG$53,13,FALSE)</f>
        <v>28460.759801658827</v>
      </c>
      <c r="AC31" s="65">
        <f>VLOOKUP($A31,'TCO Inputs'!$A$3:$AG$53,17,FALSE)</f>
        <v>14206.165058442873</v>
      </c>
      <c r="AD31" s="65">
        <f>VLOOKUP($A31,'TCO Inputs'!$A$3:$AG$53,21,FALSE)</f>
        <v>18132.232492776173</v>
      </c>
      <c r="AE31" s="65">
        <f>VLOOKUP($A31,'TCO Inputs'!$A$3:$AG$53,25,FALSE)</f>
        <v>23453.507718111279</v>
      </c>
      <c r="AF31" s="65">
        <f>VLOOKUP($A31,'TCO Inputs'!$A$3:$AG$53,29,FALSE)</f>
        <v>0</v>
      </c>
      <c r="AG31" s="65">
        <f>VLOOKUP($A31,'TCO Inputs'!$A$3:$AG$53,33,FALSE)</f>
        <v>84252.665070989155</v>
      </c>
      <c r="AH31" s="7">
        <f>(VLOOKUP($A31,Data!$D$64:$M$112,9,FALSE)+VLOOKUP($A31,Data!$D$64:$M$112,10,FALSE))*VLOOKUP($A31,'VKT US'!$B$63:$AB$113,27,FALSE)*CONVERT(0.9072,"g","ton")*m2k</f>
        <v>27.201857049027687</v>
      </c>
      <c r="AI31" s="95">
        <f t="shared" si="7"/>
        <v>32.410077390765196</v>
      </c>
      <c r="AJ31" s="186">
        <f t="shared" si="8"/>
        <v>2267.1520198427315</v>
      </c>
      <c r="AK31" s="188">
        <f>VLOOKUP($A31,'TCO Inputs'!$A$3:$AT$53,40,FALSE)</f>
        <v>30376.676612640622</v>
      </c>
      <c r="AL31" s="188">
        <f>VLOOKUP($A31,'TCO Inputs'!$A$3:$AT$53,41,FALSE)</f>
        <v>12609.434285208363</v>
      </c>
      <c r="AM31" s="188">
        <f>VLOOKUP($A31,'TCO Inputs'!$A$3:$AT$53,42,FALSE)</f>
        <v>17471.743852343974</v>
      </c>
      <c r="AN31" s="188">
        <f>VLOOKUP($A31,'TCO Inputs'!$A$3:$AT$53,43,FALSE)</f>
        <v>28641.203241722549</v>
      </c>
      <c r="AO31" s="188">
        <f>VLOOKUP($A31,'TCO Inputs'!$A$3:$AT$53,44,FALSE)</f>
        <v>0</v>
      </c>
      <c r="AP31" s="188">
        <f>VLOOKUP($A31,'TCO Inputs'!$A$3:$AT$53,45,FALSE)</f>
        <v>89099.057991915499</v>
      </c>
      <c r="AQ31" s="96">
        <f>(VLOOKUP($A31,Data!$D$64:$O$114,11,FALSE)+VLOOKUP($A31,'Fuel economy adjusted factor'!$A$2:$L$52,12,FALSE)*(1-'TCO Inputs'!$BD$9))*VLOOKUP($A31,'VKT US'!$B$63:$AB$113,27,FALSE)*CONVERT(0.9072,"g","ton")*m2k+VLOOKUP($A31,'US Grid mix, emissions&amp;prices'!$H$224:$AK$274,30,FALSE)</f>
        <v>25.777278575585211</v>
      </c>
      <c r="AR31" s="96">
        <f t="shared" si="9"/>
        <v>33.834655864207676</v>
      </c>
      <c r="AS31" s="60">
        <f>VLOOKUP($A31,'TCO Inputs'!$A$3:$AT$53,46,FALSE)</f>
        <v>7113.5449407690758</v>
      </c>
      <c r="AT31" s="98">
        <f>(VLOOKUP($A31,Data!$D$64:$M$112,5,FALSE)+VLOOKUP($A31,Data!$D$64:$M$112,8,FALSE))*VLOOKUP($A31,'VKT US'!$B$63:$AB$113,2,FALSE)*CONVERT(0.9072,"g","ton")*m2k*VLOOKUP($A31,'VKT US'!$F$5:$S$56,11,FALSE)/1000000</f>
        <v>6.0656980685853954</v>
      </c>
      <c r="AU31" s="98">
        <f>(VLOOKUP($A31,Data!$D$64:$F$114,3,FALSE)+VLOOKUP($A31,Data!$D$64:$I$114,6,FALSE))*VLOOKUP($A31,'VKT US'!$B$63:$AB$113,2,FALSE)*m2k*CONVERT(0.9072,"g","ton")*VLOOKUP($A31,'VKT US'!$F$5:$S$56,2,FALSE)/1000000</f>
        <v>1.5499493917510709E-2</v>
      </c>
      <c r="AV31" s="98">
        <f>(VLOOKUP($A31,Data!$D$64:$M$112,4,FALSE)+VLOOKUP($A31,Data!$D$64:$M$112,7,FALSE))*VLOOKUP($A31,'VKT US'!$B$63:$AB$113,2,FALSE)*CONVERT(0.9072,"g","ton")*m2k*VLOOKUP($A31,'VKT US'!$F$5:$S$56,4,FALSE)/1000000</f>
        <v>0.12406162169062199</v>
      </c>
      <c r="AW31" s="98">
        <f>(VLOOKUP($A31,Data!$D$64:$M$112,9,FALSE)+VLOOKUP($A31,Data!$D$64:$M$112,10,FALSE))*VLOOKUP($A31,'VKT US'!$B$63:$AB$113,2,FALSE)*CONVERT(0.9072,"g","ton")*m2k*VLOOKUP($A31,'VKT US'!$F$5:$S$56,9,FALSE)/1000000</f>
        <v>0</v>
      </c>
      <c r="AX31" s="98">
        <f>H31*VLOOKUP($A31,'VKT US'!$F$5:$S$56,11,FALSE)/1000000</f>
        <v>70.658025891486517</v>
      </c>
      <c r="AY31" s="98">
        <f>P31*VLOOKUP($A31,'VKT US'!$F$5:$S$56,2,FALSE)/1000000</f>
        <v>0.15566058218349621</v>
      </c>
      <c r="AZ31" s="98">
        <f>Y31*VLOOKUP($A31,'VKT US'!$F$5:$S$56,4,FALSE)/1000000</f>
        <v>1.4451674281242473</v>
      </c>
      <c r="BA31" s="98">
        <f>AH31*VLOOKUP($A31,'VKT US'!$F$5:$S$56,9,FALSE)/1000000</f>
        <v>0</v>
      </c>
      <c r="BB31" s="79">
        <f>VLOOKUP($A31,Data!$D$64:$M$112,4,FALSE)+VLOOKUP($A31,Data!$D$64:$M$112,7,FALSE)-(VLOOKUP($A31,Data!$D$64:$F$114,3,FALSE)+VLOOKUP($A31,Data!$D$64:$I$114,6,FALSE))</f>
        <v>85.994097813519559</v>
      </c>
      <c r="BC31" s="10">
        <f>(Y31-P31)*VLOOKUP($A31,'VKT US'!$F$5:$S$56,14,FALSE)/1000000*'Scenario analysis'!$E$4</f>
        <v>32.582762778460918</v>
      </c>
      <c r="BD31" s="10">
        <f>P31*VLOOKUP($A31,'VKT US'!$F$5:$S$56,14,FALSE)/1000000*'Scenario analysis'!$E$4</f>
        <v>21.756317936091286</v>
      </c>
      <c r="BE31" s="79">
        <f>(VLOOKUP($A31,Data!$D$64:$M$114,4,FALSE)+VLOOKUP($A31,Data!$D$64:$M$114,7,FALSE)-(VLOOKUP($A31,Data!$D$64:$F$114,3,FALSE)+VLOOKUP($A31,Data!$D$64:$I$114,6,FALSE)))*VLOOKUP($A31,'VKT US'!$B$63:$AB$113,2,FALSE)*CONVERT(0.9072,"g","ton")*m2k*VLOOKUP($A31,'VKT US'!$F$5:$S$56,14,FALSE)/1000000*'Scenario analysis'!$E$4</f>
        <v>2.4984561444365756</v>
      </c>
      <c r="BF31" s="79">
        <f>(VLOOKUP($A31,Data!$D$64:$F$114,3,FALSE)+VLOOKUP($A31,Data!$D$64:$I$114,6,FALSE))*VLOOKUP($A31,'VKT US'!$B$63:$AB$113,2,FALSE)*CONVERT(0.9072,"g","ton")*m2k*VLOOKUP($A31,'VKT US'!$F$5:$S$56,14,FALSE)/1000000*'Scenario analysis'!$E$4</f>
        <v>2.1663282559252086</v>
      </c>
      <c r="BG31" s="79">
        <f>(VLOOKUP($A31,Data!$D$64:$M$114,4,FALSE)+VLOOKUP($A31,Data!$D$64:$M$114,7,FALSE))*VLOOKUP($A31,'VKT US'!$B$63:$AB$113,2,FALSE)*CONVERT(0.9072,"g","ton")*m2k*VLOOKUP($A31,'VKT US'!$F$5:$S$56,14,FALSE)/1000000*'Scenario analysis'!$E$4</f>
        <v>4.6647844003617838</v>
      </c>
      <c r="BH31" s="79">
        <f t="shared" si="0"/>
        <v>23.547562895469337</v>
      </c>
      <c r="BI31" s="96">
        <f t="shared" si="1"/>
        <v>938.00934878235887</v>
      </c>
      <c r="BJ31" s="191">
        <f t="shared" si="2"/>
        <v>22087.83413699083</v>
      </c>
      <c r="BK31" s="191">
        <f>(VLOOKUP($A31,'US Grid mix, emissions&amp;prices'!$H$169:$AK$219,30,FALSE)+VLOOKUP($A31,Data!$D$64:$F$114,3,FALSE)*VLOOKUP($A31,'VKT US'!$B$63:$AB$113,27,FALSE)*m2k*CONVERT(0.9072,"g","ton"))*VLOOKUP($A31,'VKT US'!$F$5:$S$56,14,FALSE)/1000000</f>
        <v>21.756317936091286</v>
      </c>
      <c r="BL31" s="191">
        <f>P31*VLOOKUP($A31,'VKT US'!$F$5:$S$56,14,FALSE)/1000000-BK31</f>
        <v>0</v>
      </c>
      <c r="BM31" s="191">
        <v>1.9952197463385619</v>
      </c>
      <c r="BN31" s="191">
        <v>0.2045919469183104</v>
      </c>
      <c r="BO31" s="191" cm="1">
        <f t="array" ref="BO31">_xlfn.IFS(AND(Q31&gt;0,R31&gt;0),R31/Q31,AND(Q31&gt;0,R31&lt;=0),-R31/Q31,Q31&lt;=0,0)</f>
        <v>381.61765134952111</v>
      </c>
      <c r="BP31" s="212" cm="1">
        <f t="array" ref="BP31">_xlfn.IFS(AND(Z31&gt;0,AA31&gt;0),AA31/Z31,AND(Z31&gt;0,AA31&lt;=0),AA31/Z31,Z31&lt;=0,0)</f>
        <v>-262.48129633287198</v>
      </c>
      <c r="BQ31" s="191">
        <f>P31*1000000/(VLOOKUP($A31,'VKT US'!$B$63:$AB$113,27,FALSE)*m2k)</f>
        <v>64.284890004276605</v>
      </c>
      <c r="BR31" s="191">
        <f>Y31*1000000/(VLOOKUP($A31,'VKT US'!$B$63:$AB$113,27,FALSE)*m2k)</f>
        <v>160.55942172428456</v>
      </c>
      <c r="BS31" s="191">
        <f>H31*1000000/(VLOOKUP($A31,'VKT US'!$B$63:$AB$113,27,FALSE)*m2k)</f>
        <v>243.72420613511167</v>
      </c>
      <c r="BT31" s="95"/>
      <c r="BU31" s="10">
        <f t="shared" si="10"/>
        <v>98050.523542576251</v>
      </c>
      <c r="BV31" s="10">
        <f t="shared" si="11"/>
        <v>107341.56748661415</v>
      </c>
      <c r="BW31" s="10">
        <f t="shared" si="12"/>
        <v>91222.648207705992</v>
      </c>
      <c r="BX31" s="10">
        <f t="shared" si="13"/>
        <v>99790.149589169916</v>
      </c>
      <c r="BY31" s="53">
        <f t="shared" si="14"/>
        <v>101100.40929383134</v>
      </c>
      <c r="BZ31" s="79">
        <f t="shared" si="15"/>
        <v>38.44404962980262</v>
      </c>
      <c r="CA31" s="96">
        <f>VLOOKUP($A31,'TCO Inputs'!$Y$114:$AT$164,22,FALSE)</f>
        <v>61470.882125045871</v>
      </c>
      <c r="CB31" s="211">
        <f>CA31*VLOOKUP($A31,'VKT US'!$F$5:$S$56,14,FALSE)/(10^9)</f>
        <v>85.057259596425979</v>
      </c>
    </row>
    <row r="32" spans="1:80" x14ac:dyDescent="0.25">
      <c r="A32" s="83" t="s">
        <v>213</v>
      </c>
      <c r="B32" s="150">
        <f>VLOOKUP($A32,'TCO Inputs'!$A$3:$AG$53,10,FALSE)</f>
        <v>23731.611795719989</v>
      </c>
      <c r="C32" s="71">
        <f>VLOOKUP($A32,'TCO Inputs'!$A$3:$AG$53,14,FALSE)</f>
        <v>17065.914706884349</v>
      </c>
      <c r="D32" s="71">
        <f>VLOOKUP($A32,'TCO Inputs'!$A$3:$AG$53,18,FALSE)</f>
        <v>20908.783195222659</v>
      </c>
      <c r="E32" s="71">
        <f>VLOOKUP($A32,'TCO Inputs'!$A$3:$AG$53,22,FALSE)</f>
        <v>37606.466667272784</v>
      </c>
      <c r="F32" s="71">
        <f>VLOOKUP($A32,'TCO Inputs'!$A$3:$AG$53,26,FALSE)</f>
        <v>0</v>
      </c>
      <c r="G32" s="65">
        <f>VLOOKUP($A32,'TCO Inputs'!$A$3:$AG$53,30,FALSE)</f>
        <v>99312.776365099766</v>
      </c>
      <c r="H32" s="95">
        <f>(VLOOKUP($A32,Data!$D$64:$M$112,5,FALSE)+VLOOKUP($A32,Data!$D$64:$M$112,8,FALSE))*VLOOKUP($A32,'VKT US'!$B$63:$AB$113,27,FALSE)*CONVERT(0.9072,"g","ton")*m2k</f>
        <v>62.002351023387376</v>
      </c>
      <c r="I32" s="92"/>
      <c r="J32" s="144">
        <f>VLOOKUP($A32,'TCO Inputs'!$A$3:$AG$53,11,FALSE)</f>
        <v>40967.546942691188</v>
      </c>
      <c r="K32" s="65">
        <f>VLOOKUP($A32,'TCO Inputs'!$A$3:$AG$53,15,FALSE)</f>
        <v>12094.71151549338</v>
      </c>
      <c r="L32" s="65">
        <f>VLOOKUP($A32,'TCO Inputs'!$A$3:$AG$53,19,FALSE)</f>
        <v>13019.795493195386</v>
      </c>
      <c r="M32" s="65">
        <f>VLOOKUP($A32,'TCO Inputs'!$A$3:$AG$53,23,FALSE)</f>
        <v>44097.573272927606</v>
      </c>
      <c r="N32" s="65">
        <f>VLOOKUP($A32,'TCO Inputs'!$A$3:$AG$53,27,FALSE)</f>
        <v>0</v>
      </c>
      <c r="O32" s="65">
        <f>VLOOKUP($A32,'TCO Inputs'!$A$3:$AG$53,31,FALSE)</f>
        <v>110179.62722430757</v>
      </c>
      <c r="P32" s="7">
        <f>VLOOKUP($A32,_xlfn.IFS('Scenario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analysis'!$Q$121:$R$126),2,FALSE)+VLOOKUP($A32,Data!$D$64:$F$114,3,FALSE)*VLOOKUP($A32,'VKT US'!$B$63:$AB$113,27,FALSE)*m2k*CONVERT(0.9072,"g","ton")</f>
        <v>21.655196257233996</v>
      </c>
      <c r="Q32" s="95">
        <f t="shared" si="3"/>
        <v>40.34715476615338</v>
      </c>
      <c r="R32" s="60">
        <f t="shared" si="4"/>
        <v>10866.8508592078</v>
      </c>
      <c r="S32" s="144">
        <f>VLOOKUP($A32,'TCO Inputs'!$A$3:$AG$53,12,FALSE)</f>
        <v>25202.087524607668</v>
      </c>
      <c r="T32" s="65">
        <f>VLOOKUP($A32,'TCO Inputs'!$A$3:$AG$53,16,FALSE)</f>
        <v>10502.101358082677</v>
      </c>
      <c r="U32" s="65">
        <f>VLOOKUP($A32,'TCO Inputs'!$A$3:$AG$53,20,FALSE)</f>
        <v>19218.285830502526</v>
      </c>
      <c r="V32" s="65">
        <f>VLOOKUP($A32,'TCO Inputs'!$A$3:$AG$53,24,FALSE)</f>
        <v>39188.681678734414</v>
      </c>
      <c r="W32" s="65">
        <f>VLOOKUP($A32,'TCO Inputs'!$A$3:$AG$53,28,FALSE)</f>
        <v>0</v>
      </c>
      <c r="X32" s="65">
        <f>VLOOKUP($A32,'TCO Inputs'!$A$3:$AG$53,32,FALSE)</f>
        <v>94111.156391927288</v>
      </c>
      <c r="Y32" s="7">
        <f>(VLOOKUP($A32,Data!$D$64:$M$112,4,FALSE)+VLOOKUP($A32,Data!$D$64:$M$112,7,FALSE))*VLOOKUP($A32,'VKT US'!$B$63:$AB$113,27,FALSE)*CONVERT(0.9072,"g","ton")*m2k</f>
        <v>40.895090756487321</v>
      </c>
      <c r="Z32" s="95">
        <f t="shared" si="5"/>
        <v>21.107260266900056</v>
      </c>
      <c r="AA32" s="118">
        <f t="shared" si="6"/>
        <v>-5201.6199731724773</v>
      </c>
      <c r="AB32" s="144">
        <f>VLOOKUP($A32,'TCO Inputs'!$A$3:$AG$53,13,FALSE)</f>
        <v>28460.759801658827</v>
      </c>
      <c r="AC32" s="65">
        <f>VLOOKUP($A32,'TCO Inputs'!$A$3:$AG$53,17,FALSE)</f>
        <v>14743.37276586213</v>
      </c>
      <c r="AD32" s="65">
        <f>VLOOKUP($A32,'TCO Inputs'!$A$3:$AG$53,21,FALSE)</f>
        <v>19218.285830502526</v>
      </c>
      <c r="AE32" s="65">
        <f>VLOOKUP($A32,'TCO Inputs'!$A$3:$AG$53,25,FALSE)</f>
        <v>39436.046978734419</v>
      </c>
      <c r="AF32" s="65">
        <f>VLOOKUP($A32,'TCO Inputs'!$A$3:$AG$53,29,FALSE)</f>
        <v>0</v>
      </c>
      <c r="AG32" s="65">
        <f>VLOOKUP($A32,'TCO Inputs'!$A$3:$AG$53,33,FALSE)</f>
        <v>101858.4653767579</v>
      </c>
      <c r="AH32" s="7">
        <f>(VLOOKUP($A32,Data!$D$64:$M$112,9,FALSE)+VLOOKUP($A32,Data!$D$64:$M$112,10,FALSE))*VLOOKUP($A32,'VKT US'!$B$63:$AB$113,27,FALSE)*CONVERT(0.9072,"g","ton")*m2k</f>
        <v>28.831147190339358</v>
      </c>
      <c r="AI32" s="95">
        <f t="shared" si="7"/>
        <v>33.171203833048018</v>
      </c>
      <c r="AJ32" s="186">
        <f t="shared" si="8"/>
        <v>2545.6890116581344</v>
      </c>
      <c r="AK32" s="188">
        <f>VLOOKUP($A32,'TCO Inputs'!$A$3:$AT$53,40,FALSE)</f>
        <v>30376.676612640622</v>
      </c>
      <c r="AL32" s="188">
        <f>VLOOKUP($A32,'TCO Inputs'!$A$3:$AT$53,41,FALSE)</f>
        <v>10670.921060817729</v>
      </c>
      <c r="AM32" s="188">
        <f>VLOOKUP($A32,'TCO Inputs'!$A$3:$AT$53,42,FALSE)</f>
        <v>18518.236375219894</v>
      </c>
      <c r="AN32" s="188">
        <f>VLOOKUP($A32,'TCO Inputs'!$A$3:$AT$53,43,FALSE)</f>
        <v>43428.274772927609</v>
      </c>
      <c r="AO32" s="188">
        <f>VLOOKUP($A32,'TCO Inputs'!$A$3:$AT$53,44,FALSE)</f>
        <v>0</v>
      </c>
      <c r="AP32" s="188">
        <f>VLOOKUP($A32,'TCO Inputs'!$A$3:$AT$53,45,FALSE)</f>
        <v>102994.10882160586</v>
      </c>
      <c r="AQ32" s="96">
        <f>(VLOOKUP($A32,Data!$D$64:$O$114,11,FALSE)+VLOOKUP($A32,'Fuel economy adjusted factor'!$A$2:$L$52,12,FALSE)*(1-'TCO Inputs'!$BD$9))*VLOOKUP($A32,'VKT US'!$B$63:$AB$113,27,FALSE)*CONVERT(0.9072,"g","ton")*m2k+VLOOKUP($A32,'US Grid mix, emissions&amp;prices'!$H$224:$AK$274,30,FALSE)</f>
        <v>29.567525411939563</v>
      </c>
      <c r="AR32" s="96">
        <f t="shared" si="9"/>
        <v>32.434825611447813</v>
      </c>
      <c r="AS32" s="60">
        <f>VLOOKUP($A32,'TCO Inputs'!$A$3:$AT$53,46,FALSE)</f>
        <v>3681.3324565060902</v>
      </c>
      <c r="AT32" s="98">
        <f>(VLOOKUP($A32,Data!$D$64:$M$112,5,FALSE)+VLOOKUP($A32,Data!$D$64:$M$112,8,FALSE))*VLOOKUP($A32,'VKT US'!$B$63:$AB$113,2,FALSE)*CONVERT(0.9072,"g","ton")*m2k*VLOOKUP($A32,'VKT US'!$F$5:$S$56,11,FALSE)/1000000</f>
        <v>34.24057097215875</v>
      </c>
      <c r="AU32" s="98">
        <f>(VLOOKUP($A32,Data!$D$64:$F$114,3,FALSE)+VLOOKUP($A32,Data!$D$64:$I$114,6,FALSE))*VLOOKUP($A32,'VKT US'!$B$63:$AB$113,2,FALSE)*m2k*CONVERT(0.9072,"g","ton")*VLOOKUP($A32,'VKT US'!$F$5:$S$56,2,FALSE)/1000000</f>
        <v>0.30190948391439526</v>
      </c>
      <c r="AV32" s="98">
        <f>(VLOOKUP($A32,Data!$D$64:$M$112,4,FALSE)+VLOOKUP($A32,Data!$D$64:$M$112,7,FALSE))*VLOOKUP($A32,'VKT US'!$B$63:$AB$113,2,FALSE)*CONVERT(0.9072,"g","ton")*m2k*VLOOKUP($A32,'VKT US'!$F$5:$S$56,4,FALSE)/1000000</f>
        <v>0.61155935810877504</v>
      </c>
      <c r="AW32" s="98">
        <f>(VLOOKUP($A32,Data!$D$64:$M$112,9,FALSE)+VLOOKUP($A32,Data!$D$64:$M$112,10,FALSE))*VLOOKUP($A32,'VKT US'!$B$63:$AB$113,2,FALSE)*CONVERT(0.9072,"g","ton")*m2k*VLOOKUP($A32,'VKT US'!$F$5:$S$56,9,FALSE)/1000000</f>
        <v>0</v>
      </c>
      <c r="AX32" s="98">
        <f>H32*VLOOKUP($A32,'VKT US'!$F$5:$S$56,11,FALSE)/1000000</f>
        <v>398.86112413345097</v>
      </c>
      <c r="AY32" s="98">
        <f>P32*VLOOKUP($A32,'VKT US'!$F$5:$S$56,2,FALSE)/1000000</f>
        <v>2.9191204554751429</v>
      </c>
      <c r="AZ32" s="98">
        <f>Y32*VLOOKUP($A32,'VKT US'!$F$5:$S$56,4,FALSE)/1000000</f>
        <v>7.1239248097800907</v>
      </c>
      <c r="BA32" s="98">
        <f>AH32*VLOOKUP($A32,'VKT US'!$F$5:$S$56,9,FALSE)/1000000</f>
        <v>0</v>
      </c>
      <c r="BB32" s="79">
        <f>VLOOKUP($A32,Data!$D$64:$M$112,4,FALSE)+VLOOKUP($A32,Data!$D$64:$M$112,7,FALSE)-(VLOOKUP($A32,Data!$D$64:$F$114,3,FALSE)+VLOOKUP($A32,Data!$D$64:$I$114,6,FALSE))</f>
        <v>57.110677365114839</v>
      </c>
      <c r="BC32" s="10">
        <f>(Y32-P32)*VLOOKUP($A32,'VKT US'!$F$5:$S$56,14,FALSE)/1000000*'Scenario analysis'!$E$4</f>
        <v>140.91491130198128</v>
      </c>
      <c r="BD32" s="10">
        <f>P32*VLOOKUP($A32,'VKT US'!$F$5:$S$56,14,FALSE)/1000000*'Scenario analysis'!$E$4</f>
        <v>158.60482290760748</v>
      </c>
      <c r="BE32" s="79">
        <f>(VLOOKUP($A32,Data!$D$64:$M$114,4,FALSE)+VLOOKUP($A32,Data!$D$64:$M$114,7,FALSE)-(VLOOKUP($A32,Data!$D$64:$F$114,3,FALSE)+VLOOKUP($A32,Data!$D$64:$I$114,6,FALSE)))*VLOOKUP($A32,'VKT US'!$B$63:$AB$113,2,FALSE)*CONVERT(0.9072,"g","ton")*m2k*VLOOKUP($A32,'VKT US'!$F$5:$S$56,14,FALSE)/1000000*'Scenario analysis'!$E$4</f>
        <v>9.308851258177306</v>
      </c>
      <c r="BF32" s="79">
        <f>(VLOOKUP($A32,Data!$D$64:$F$114,3,FALSE)+VLOOKUP($A32,Data!$D$64:$I$114,6,FALSE))*VLOOKUP($A32,'VKT US'!$B$63:$AB$113,2,FALSE)*CONVERT(0.9072,"g","ton")*m2k*VLOOKUP($A32,'VKT US'!$F$5:$S$56,14,FALSE)/1000000*'Scenario analysis'!$E$4</f>
        <v>16.403673969862183</v>
      </c>
      <c r="BG32" s="79">
        <f>(VLOOKUP($A32,Data!$D$64:$M$114,4,FALSE)+VLOOKUP($A32,Data!$D$64:$M$114,7,FALSE))*VLOOKUP($A32,'VKT US'!$B$63:$AB$113,2,FALSE)*CONVERT(0.9072,"g","ton")*m2k*VLOOKUP($A32,'VKT US'!$F$5:$S$56,14,FALSE)/1000000*'Scenario analysis'!$E$4</f>
        <v>25.712525228039492</v>
      </c>
      <c r="BH32" s="79">
        <f t="shared" si="0"/>
        <v>19.239894499253325</v>
      </c>
      <c r="BI32" s="96">
        <f t="shared" si="1"/>
        <v>835.16418621754258</v>
      </c>
      <c r="BJ32" s="191">
        <f t="shared" si="2"/>
        <v>16068.470832380277</v>
      </c>
      <c r="BK32" s="191">
        <f>(VLOOKUP($A32,'US Grid mix, emissions&amp;prices'!$H$169:$AK$219,30,FALSE)+VLOOKUP($A32,Data!$D$64:$F$114,3,FALSE)*VLOOKUP($A32,'VKT US'!$B$63:$AB$113,27,FALSE)*m2k*CONVERT(0.9072,"g","ton"))*VLOOKUP($A32,'VKT US'!$F$5:$S$56,14,FALSE)/1000000</f>
        <v>158.60482290760748</v>
      </c>
      <c r="BL32" s="191">
        <f>P32*VLOOKUP($A32,'VKT US'!$F$5:$S$56,14,FALSE)/1000000-BK32</f>
        <v>0</v>
      </c>
      <c r="BM32" s="191">
        <v>14.806194864470378</v>
      </c>
      <c r="BN32" s="191">
        <v>1.9100824448939981</v>
      </c>
      <c r="BO32" s="191" cm="1">
        <f t="array" ref="BO32">_xlfn.IFS(AND(Q32&gt;0,R32&gt;0),R32/Q32,AND(Q32&gt;0,R32&lt;=0),-R32/Q32,Q32&lt;=0,0)</f>
        <v>269.33375902689022</v>
      </c>
      <c r="BP32" s="212" cm="1">
        <f t="array" ref="BP32">_xlfn.IFS(AND(Z32&gt;0,AA32&gt;0),AA32/Z32,AND(Z32&gt;0,AA32&lt;=0),AA32/Z32,Z32&lt;=0,0)</f>
        <v>-246.43747731341259</v>
      </c>
      <c r="BQ32" s="191">
        <f>P32*1000000/(VLOOKUP($A32,'VKT US'!$B$63:$AB$113,27,FALSE)*m2k)</f>
        <v>83.534178123072209</v>
      </c>
      <c r="BR32" s="191">
        <f>Y32*1000000/(VLOOKUP($A32,'VKT US'!$B$63:$AB$113,27,FALSE)*m2k)</f>
        <v>157.75141241079459</v>
      </c>
      <c r="BS32" s="191">
        <f>H32*1000000/(VLOOKUP($A32,'VKT US'!$B$63:$AB$113,27,FALSE)*m2k)</f>
        <v>239.17194621160363</v>
      </c>
      <c r="BT32" s="95"/>
      <c r="BU32" s="10">
        <f t="shared" si="10"/>
        <v>98050.523542576251</v>
      </c>
      <c r="BV32" s="10">
        <f t="shared" si="11"/>
        <v>107341.56748661415</v>
      </c>
      <c r="BW32" s="10">
        <f t="shared" si="12"/>
        <v>91222.648207705992</v>
      </c>
      <c r="BX32" s="10">
        <f t="shared" si="13"/>
        <v>99790.149589169916</v>
      </c>
      <c r="BY32" s="53">
        <f t="shared" si="14"/>
        <v>101100.40929383134</v>
      </c>
      <c r="BZ32" s="79">
        <f t="shared" si="15"/>
        <v>38.44404962980262</v>
      </c>
      <c r="CA32" s="96">
        <f>VLOOKUP($A32,'TCO Inputs'!$Y$114:$AT$164,22,FALSE)</f>
        <v>60215.318094883303</v>
      </c>
      <c r="CB32" s="211">
        <f>CA32*VLOOKUP($A32,'VKT US'!$F$5:$S$56,14,FALSE)/(10^9)</f>
        <v>441.02301125873481</v>
      </c>
    </row>
    <row r="33" spans="1:80" x14ac:dyDescent="0.25">
      <c r="A33" s="83" t="s">
        <v>214</v>
      </c>
      <c r="B33" s="150">
        <f>VLOOKUP($A33,'TCO Inputs'!$A$3:$AG$53,10,FALSE)</f>
        <v>23731.611795719989</v>
      </c>
      <c r="C33" s="71">
        <f>VLOOKUP($A33,'TCO Inputs'!$A$3:$AG$53,14,FALSE)</f>
        <v>23088.668303807346</v>
      </c>
      <c r="D33" s="71">
        <f>VLOOKUP($A33,'TCO Inputs'!$A$3:$AG$53,18,FALSE)</f>
        <v>32663.260186812404</v>
      </c>
      <c r="E33" s="71">
        <f>VLOOKUP($A33,'TCO Inputs'!$A$3:$AG$53,22,FALSE)</f>
        <v>28256.599803816684</v>
      </c>
      <c r="F33" s="71">
        <f>VLOOKUP($A33,'TCO Inputs'!$A$3:$AG$53,26,FALSE)</f>
        <v>0</v>
      </c>
      <c r="G33" s="65">
        <f>VLOOKUP($A33,'TCO Inputs'!$A$3:$AG$53,30,FALSE)</f>
        <v>107740.14009015642</v>
      </c>
      <c r="H33" s="95">
        <f>(VLOOKUP($A33,Data!$D$64:$M$112,5,FALSE)+VLOOKUP($A33,Data!$D$64:$M$112,8,FALSE))*VLOOKUP($A33,'VKT US'!$B$63:$AB$113,27,FALSE)*CONVERT(0.9072,"g","ton")*m2k</f>
        <v>96.69116950246493</v>
      </c>
      <c r="I33" s="92"/>
      <c r="J33" s="144">
        <f>VLOOKUP($A33,'TCO Inputs'!$A$3:$AG$53,11,FALSE)</f>
        <v>40967.546942691188</v>
      </c>
      <c r="K33" s="65">
        <f>VLOOKUP($A33,'TCO Inputs'!$A$3:$AG$53,15,FALSE)</f>
        <v>16239.590688889051</v>
      </c>
      <c r="L33" s="65">
        <f>VLOOKUP($A33,'TCO Inputs'!$A$3:$AG$53,19,FALSE)</f>
        <v>20339.249960298788</v>
      </c>
      <c r="M33" s="65">
        <f>VLOOKUP($A33,'TCO Inputs'!$A$3:$AG$53,23,FALSE)</f>
        <v>34011.611645492434</v>
      </c>
      <c r="N33" s="65">
        <f>VLOOKUP($A33,'TCO Inputs'!$A$3:$AG$53,27,FALSE)</f>
        <v>0</v>
      </c>
      <c r="O33" s="65">
        <f>VLOOKUP($A33,'TCO Inputs'!$A$3:$AG$53,31,FALSE)</f>
        <v>111557.99923737146</v>
      </c>
      <c r="P33" s="7">
        <f>VLOOKUP($A33,_xlfn.IFS('Scenario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analysis'!$Q$121:$R$126),2,FALSE)+VLOOKUP($A33,Data!$D$64:$F$114,3,FALSE)*VLOOKUP($A33,'VKT US'!$B$63:$AB$113,27,FALSE)*m2k*CONVERT(0.9072,"g","ton")</f>
        <v>42.406857116648368</v>
      </c>
      <c r="Q33" s="95">
        <f t="shared" si="3"/>
        <v>54.284312385816563</v>
      </c>
      <c r="R33" s="60">
        <f t="shared" si="4"/>
        <v>3817.8591472150438</v>
      </c>
      <c r="S33" s="144">
        <f>VLOOKUP($A33,'TCO Inputs'!$A$3:$AG$53,12,FALSE)</f>
        <v>25202.087524607668</v>
      </c>
      <c r="T33" s="65">
        <f>VLOOKUP($A33,'TCO Inputs'!$A$3:$AG$53,16,FALSE)</f>
        <v>14208.411263881444</v>
      </c>
      <c r="U33" s="65">
        <f>VLOOKUP($A33,'TCO Inputs'!$A$3:$AG$53,20,FALSE)</f>
        <v>30022.400852559476</v>
      </c>
      <c r="V33" s="65">
        <f>VLOOKUP($A33,'TCO Inputs'!$A$3:$AG$53,24,FALSE)</f>
        <v>29445.438329329376</v>
      </c>
      <c r="W33" s="65">
        <f>VLOOKUP($A33,'TCO Inputs'!$A$3:$AG$53,28,FALSE)</f>
        <v>0</v>
      </c>
      <c r="X33" s="65">
        <f>VLOOKUP($A33,'TCO Inputs'!$A$3:$AG$53,32,FALSE)</f>
        <v>98878.337970377979</v>
      </c>
      <c r="Y33" s="7">
        <f>(VLOOKUP($A33,Data!$D$64:$M$112,4,FALSE)+VLOOKUP($A33,Data!$D$64:$M$112,7,FALSE))*VLOOKUP($A33,'VKT US'!$B$63:$AB$113,27,FALSE)*CONVERT(0.9072,"g","ton")*m2k</f>
        <v>63.782068862131482</v>
      </c>
      <c r="Z33" s="95">
        <f t="shared" si="5"/>
        <v>32.909100640333449</v>
      </c>
      <c r="AA33" s="118">
        <f t="shared" si="6"/>
        <v>-8861.8021197784401</v>
      </c>
      <c r="AB33" s="144">
        <f>VLOOKUP($A33,'TCO Inputs'!$A$3:$AG$53,13,FALSE)</f>
        <v>28460.759801658827</v>
      </c>
      <c r="AC33" s="65">
        <f>VLOOKUP($A33,'TCO Inputs'!$A$3:$AG$53,17,FALSE)</f>
        <v>22987.237120015274</v>
      </c>
      <c r="AD33" s="65">
        <f>VLOOKUP($A33,'TCO Inputs'!$A$3:$AG$53,21,FALSE)</f>
        <v>30022.400852559476</v>
      </c>
      <c r="AE33" s="65">
        <f>VLOOKUP($A33,'TCO Inputs'!$A$3:$AG$53,25,FALSE)</f>
        <v>29594.678329329374</v>
      </c>
      <c r="AF33" s="65">
        <f>VLOOKUP($A33,'TCO Inputs'!$A$3:$AG$53,29,FALSE)</f>
        <v>0</v>
      </c>
      <c r="AG33" s="65">
        <f>VLOOKUP($A33,'TCO Inputs'!$A$3:$AG$53,33,FALSE)</f>
        <v>111065.07610356294</v>
      </c>
      <c r="AH33" s="7">
        <f>(VLOOKUP($A33,Data!$D$64:$M$112,9,FALSE)+VLOOKUP($A33,Data!$D$64:$M$112,10,FALSE))*VLOOKUP($A33,'VKT US'!$B$63:$AB$113,27,FALSE)*CONVERT(0.9072,"g","ton")*m2k</f>
        <v>45.039410154556897</v>
      </c>
      <c r="AI33" s="95">
        <f t="shared" si="7"/>
        <v>51.651759347908033</v>
      </c>
      <c r="AJ33" s="186">
        <f t="shared" si="8"/>
        <v>3324.9360134065209</v>
      </c>
      <c r="AK33" s="188">
        <f>VLOOKUP($A33,'TCO Inputs'!$A$3:$AT$53,40,FALSE)</f>
        <v>30376.676612640622</v>
      </c>
      <c r="AL33" s="188">
        <f>VLOOKUP($A33,'TCO Inputs'!$A$3:$AT$53,41,FALSE)</f>
        <v>14351.344545877953</v>
      </c>
      <c r="AM33" s="188">
        <f>VLOOKUP($A33,'TCO Inputs'!$A$3:$AT$53,42,FALSE)</f>
        <v>28928.798356037478</v>
      </c>
      <c r="AN33" s="188">
        <f>VLOOKUP($A33,'TCO Inputs'!$A$3:$AT$53,43,FALSE)</f>
        <v>33607.811645492431</v>
      </c>
      <c r="AO33" s="188">
        <f>VLOOKUP($A33,'TCO Inputs'!$A$3:$AT$53,44,FALSE)</f>
        <v>0</v>
      </c>
      <c r="AP33" s="188">
        <f>VLOOKUP($A33,'TCO Inputs'!$A$3:$AT$53,45,FALSE)</f>
        <v>107264.63116004849</v>
      </c>
      <c r="AQ33" s="96">
        <f>(VLOOKUP($A33,Data!$D$64:$O$114,11,FALSE)+VLOOKUP($A33,'Fuel economy adjusted factor'!$A$2:$L$52,12,FALSE)*(1-'TCO Inputs'!$BD$9))*VLOOKUP($A33,'VKT US'!$B$63:$AB$113,27,FALSE)*CONVERT(0.9072,"g","ton")*m2k+VLOOKUP($A33,'US Grid mix, emissions&amp;prices'!$H$224:$AK$274,30,FALSE)</f>
        <v>50.600593887198087</v>
      </c>
      <c r="AR33" s="96">
        <f t="shared" si="9"/>
        <v>46.090575615266843</v>
      </c>
      <c r="AS33" s="60">
        <f>VLOOKUP($A33,'TCO Inputs'!$A$3:$AT$53,46,FALSE)</f>
        <v>-475.50893010792788</v>
      </c>
      <c r="AT33" s="98">
        <f>(VLOOKUP($A33,Data!$D$64:$M$112,5,FALSE)+VLOOKUP($A33,Data!$D$64:$M$112,8,FALSE))*VLOOKUP($A33,'VKT US'!$B$63:$AB$113,2,FALSE)*CONVERT(0.9072,"g","ton")*m2k*VLOOKUP($A33,'VKT US'!$F$5:$S$56,11,FALSE)/1000000</f>
        <v>13.260935239590946</v>
      </c>
      <c r="AU33" s="98">
        <f>(VLOOKUP($A33,Data!$D$64:$F$114,3,FALSE)+VLOOKUP($A33,Data!$D$64:$I$114,6,FALSE))*VLOOKUP($A33,'VKT US'!$B$63:$AB$113,2,FALSE)*m2k*CONVERT(0.9072,"g","ton")*VLOOKUP($A33,'VKT US'!$F$5:$S$56,2,FALSE)/1000000</f>
        <v>4.6311649726215605E-2</v>
      </c>
      <c r="AV33" s="98">
        <f>(VLOOKUP($A33,Data!$D$64:$M$112,4,FALSE)+VLOOKUP($A33,Data!$D$64:$M$112,7,FALSE))*VLOOKUP($A33,'VKT US'!$B$63:$AB$113,2,FALSE)*CONVERT(0.9072,"g","ton")*m2k*VLOOKUP($A33,'VKT US'!$F$5:$S$56,4,FALSE)/1000000</f>
        <v>0.24256135915571042</v>
      </c>
      <c r="AW33" s="98">
        <f>(VLOOKUP($A33,Data!$D$64:$M$112,9,FALSE)+VLOOKUP($A33,Data!$D$64:$M$112,10,FALSE))*VLOOKUP($A33,'VKT US'!$B$63:$AB$113,2,FALSE)*CONVERT(0.9072,"g","ton")*m2k*VLOOKUP($A33,'VKT US'!$F$5:$S$56,9,FALSE)/1000000</f>
        <v>0</v>
      </c>
      <c r="AX33" s="98">
        <f>H33*VLOOKUP($A33,'VKT US'!$F$5:$S$56,11,FALSE)/1000000</f>
        <v>154.47381239713798</v>
      </c>
      <c r="AY33" s="98">
        <f>P33*VLOOKUP($A33,'VKT US'!$F$5:$S$56,2,FALSE)/1000000</f>
        <v>0.43679062830147819</v>
      </c>
      <c r="AZ33" s="98">
        <f>Y33*VLOOKUP($A33,'VKT US'!$F$5:$S$56,4,FALSE)/1000000</f>
        <v>2.8255456505924244</v>
      </c>
      <c r="BA33" s="98">
        <f>AH33*VLOOKUP($A33,'VKT US'!$F$5:$S$56,9,FALSE)/1000000</f>
        <v>0</v>
      </c>
      <c r="BB33" s="79">
        <f>VLOOKUP($A33,Data!$D$64:$M$112,4,FALSE)+VLOOKUP($A33,Data!$D$64:$M$112,7,FALSE)-(VLOOKUP($A33,Data!$D$64:$F$114,3,FALSE)+VLOOKUP($A33,Data!$D$64:$I$114,6,FALSE))</f>
        <v>28.163946972925572</v>
      </c>
      <c r="BC33" s="10">
        <f>(Y33-P33)*VLOOKUP($A33,'VKT US'!$F$5:$S$56,14,FALSE)/1000000*'Scenario analysis'!$E$4</f>
        <v>41.732963411881229</v>
      </c>
      <c r="BD33" s="10">
        <f>P33*VLOOKUP($A33,'VKT US'!$F$5:$S$56,14,FALSE)/1000000*'Scenario analysis'!$E$4</f>
        <v>82.795147834544267</v>
      </c>
      <c r="BE33" s="79">
        <f>(VLOOKUP($A33,Data!$D$64:$M$114,4,FALSE)+VLOOKUP($A33,Data!$D$64:$M$114,7,FALSE)-(VLOOKUP($A33,Data!$D$64:$F$114,3,FALSE)+VLOOKUP($A33,Data!$D$64:$I$114,6,FALSE)))*VLOOKUP($A33,'VKT US'!$B$63:$AB$113,2,FALSE)*CONVERT(0.9072,"g","ton")*m2k*VLOOKUP($A33,'VKT US'!$F$5:$S$56,14,FALSE)/1000000*'Scenario analysis'!$E$4</f>
        <v>1.911690589850197</v>
      </c>
      <c r="BF33" s="79">
        <f>(VLOOKUP($A33,Data!$D$64:$F$114,3,FALSE)+VLOOKUP($A33,Data!$D$64:$I$114,6,FALSE))*VLOOKUP($A33,'VKT US'!$B$63:$AB$113,2,FALSE)*CONVERT(0.9072,"g","ton")*m2k*VLOOKUP($A33,'VKT US'!$F$5:$S$56,14,FALSE)/1000000*'Scenario analysis'!$E$4</f>
        <v>8.7785305752877036</v>
      </c>
      <c r="BG33" s="79">
        <f>(VLOOKUP($A33,Data!$D$64:$M$114,4,FALSE)+VLOOKUP($A33,Data!$D$64:$M$114,7,FALSE))*VLOOKUP($A33,'VKT US'!$B$63:$AB$113,2,FALSE)*CONVERT(0.9072,"g","ton")*m2k*VLOOKUP($A33,'VKT US'!$F$5:$S$56,14,FALSE)/1000000*'Scenario analysis'!$E$4</f>
        <v>10.690221165137901</v>
      </c>
      <c r="BH33" s="79">
        <f t="shared" si="0"/>
        <v>21.375211745483114</v>
      </c>
      <c r="BI33" s="96">
        <f t="shared" si="1"/>
        <v>593.19465079324311</v>
      </c>
      <c r="BJ33" s="191">
        <f t="shared" si="2"/>
        <v>12679.661266993484</v>
      </c>
      <c r="BK33" s="191">
        <f>(VLOOKUP($A33,'US Grid mix, emissions&amp;prices'!$H$169:$AK$219,30,FALSE)+VLOOKUP($A33,Data!$D$64:$F$114,3,FALSE)*VLOOKUP($A33,'VKT US'!$B$63:$AB$113,27,FALSE)*m2k*CONVERT(0.9072,"g","ton"))*VLOOKUP($A33,'VKT US'!$F$5:$S$56,14,FALSE)/1000000</f>
        <v>82.795147834544267</v>
      </c>
      <c r="BL33" s="191">
        <f>P33*VLOOKUP($A33,'VKT US'!$F$5:$S$56,14,FALSE)/1000000-BK33</f>
        <v>0</v>
      </c>
      <c r="BM33" s="191">
        <v>7.8211627852489753</v>
      </c>
      <c r="BN33" s="191">
        <v>1.1447106900415003</v>
      </c>
      <c r="BO33" s="191" cm="1">
        <f t="array" ref="BO33">_xlfn.IFS(AND(Q33&gt;0,R33&gt;0),R33/Q33,AND(Q33&gt;0,R33&lt;=0),-R33/Q33,Q33&lt;=0,0)</f>
        <v>70.330800546578843</v>
      </c>
      <c r="BP33" s="212" cm="1">
        <f t="array" ref="BP33">_xlfn.IFS(AND(Z33&gt;0,AA33&gt;0),AA33/Z33,AND(Z33&gt;0,AA33&lt;=0),AA33/Z33,Z33&lt;=0,0)</f>
        <v>-269.28120025612003</v>
      </c>
      <c r="BQ33" s="191">
        <f>P33*1000000/(VLOOKUP($A33,'VKT US'!$B$63:$AB$113,27,FALSE)*m2k)</f>
        <v>104.71463806723769</v>
      </c>
      <c r="BR33" s="191">
        <f>Y33*1000000/(VLOOKUP($A33,'VKT US'!$B$63:$AB$113,27,FALSE)*m2k)</f>
        <v>157.49613883684097</v>
      </c>
      <c r="BS33" s="191">
        <f>H33*1000000/(VLOOKUP($A33,'VKT US'!$B$63:$AB$113,27,FALSE)*m2k)</f>
        <v>238.75810440037569</v>
      </c>
      <c r="BT33" s="95"/>
      <c r="BU33" s="10">
        <f t="shared" si="10"/>
        <v>98050.523542576251</v>
      </c>
      <c r="BV33" s="10">
        <f t="shared" si="11"/>
        <v>107341.56748661415</v>
      </c>
      <c r="BW33" s="10">
        <f t="shared" si="12"/>
        <v>91222.648207705992</v>
      </c>
      <c r="BX33" s="10">
        <f t="shared" si="13"/>
        <v>99790.149589169916</v>
      </c>
      <c r="BY33" s="53">
        <f t="shared" si="14"/>
        <v>101100.40929383134</v>
      </c>
      <c r="BZ33" s="79">
        <f t="shared" si="15"/>
        <v>38.44404962980262</v>
      </c>
      <c r="CA33" s="96">
        <f>VLOOKUP($A33,'TCO Inputs'!$Y$114:$AT$164,22,FALSE)</f>
        <v>93731.745037092827</v>
      </c>
      <c r="CB33" s="211">
        <f>CA33*VLOOKUP($A33,'VKT US'!$F$5:$S$56,14,FALSE)/(10^9)</f>
        <v>183.00185901042005</v>
      </c>
    </row>
    <row r="34" spans="1:80" x14ac:dyDescent="0.25">
      <c r="A34" s="83" t="s">
        <v>216</v>
      </c>
      <c r="B34" s="150">
        <f>VLOOKUP($A34,'TCO Inputs'!$A$3:$AG$53,10,FALSE)</f>
        <v>23731.611795719989</v>
      </c>
      <c r="C34" s="71">
        <f>VLOOKUP($A34,'TCO Inputs'!$A$3:$AG$53,14,FALSE)</f>
        <v>14381.621124210398</v>
      </c>
      <c r="D34" s="71">
        <f>VLOOKUP($A34,'TCO Inputs'!$A$3:$AG$53,18,FALSE)</f>
        <v>17335.040263053805</v>
      </c>
      <c r="E34" s="71">
        <f>VLOOKUP($A34,'TCO Inputs'!$A$3:$AG$53,22,FALSE)</f>
        <v>37375.620813241403</v>
      </c>
      <c r="F34" s="71">
        <f>VLOOKUP($A34,'TCO Inputs'!$A$3:$AG$53,26,FALSE)</f>
        <v>0</v>
      </c>
      <c r="G34" s="65">
        <f>VLOOKUP($A34,'TCO Inputs'!$A$3:$AG$53,30,FALSE)</f>
        <v>92823.893996225597</v>
      </c>
      <c r="H34" s="95">
        <f>(VLOOKUP($A34,Data!$D$64:$M$112,5,FALSE)+VLOOKUP($A34,Data!$D$64:$M$112,8,FALSE))*VLOOKUP($A34,'VKT US'!$B$63:$AB$113,27,FALSE)*CONVERT(0.9072,"g","ton")*m2k</f>
        <v>52.160912946635648</v>
      </c>
      <c r="I34" s="92"/>
      <c r="J34" s="144">
        <f>VLOOKUP($A34,'TCO Inputs'!$A$3:$AG$53,11,FALSE)</f>
        <v>40967.546942691188</v>
      </c>
      <c r="K34" s="65">
        <f>VLOOKUP($A34,'TCO Inputs'!$A$3:$AG$53,15,FALSE)</f>
        <v>12352.677166593661</v>
      </c>
      <c r="L34" s="65">
        <f>VLOOKUP($A34,'TCO Inputs'!$A$3:$AG$53,19,FALSE)</f>
        <v>10794.443511320027</v>
      </c>
      <c r="M34" s="65">
        <f>VLOOKUP($A34,'TCO Inputs'!$A$3:$AG$53,23,FALSE)</f>
        <v>42467.431126958989</v>
      </c>
      <c r="N34" s="65">
        <f>VLOOKUP($A34,'TCO Inputs'!$A$3:$AG$53,27,FALSE)</f>
        <v>0</v>
      </c>
      <c r="O34" s="65">
        <f>VLOOKUP($A34,'TCO Inputs'!$A$3:$AG$53,31,FALSE)</f>
        <v>106582.09874756387</v>
      </c>
      <c r="P34" s="7">
        <f>VLOOKUP($A34,_xlfn.IFS('Scenario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analysis'!$Q$121:$R$126),2,FALSE)+VLOOKUP($A34,Data!$D$64:$F$114,3,FALSE)*VLOOKUP($A34,'VKT US'!$B$63:$AB$113,27,FALSE)*m2k*CONVERT(0.9072,"g","ton")</f>
        <v>17.895338085375986</v>
      </c>
      <c r="Q34" s="95">
        <f t="shared" si="3"/>
        <v>34.265574861259665</v>
      </c>
      <c r="R34" s="60">
        <f t="shared" si="4"/>
        <v>13758.204751338271</v>
      </c>
      <c r="S34" s="144">
        <f>VLOOKUP($A34,'TCO Inputs'!$A$3:$AG$53,12,FALSE)</f>
        <v>25202.087524607668</v>
      </c>
      <c r="T34" s="65">
        <f>VLOOKUP($A34,'TCO Inputs'!$A$3:$AG$53,16,FALSE)</f>
        <v>8850.2283841294775</v>
      </c>
      <c r="U34" s="65">
        <f>VLOOKUP($A34,'TCO Inputs'!$A$3:$AG$53,20,FALSE)</f>
        <v>15933.483816253705</v>
      </c>
      <c r="V34" s="65">
        <f>VLOOKUP($A34,'TCO Inputs'!$A$3:$AG$53,24,FALSE)</f>
        <v>38948.123458507784</v>
      </c>
      <c r="W34" s="65">
        <f>VLOOKUP($A34,'TCO Inputs'!$A$3:$AG$53,28,FALSE)</f>
        <v>0</v>
      </c>
      <c r="X34" s="65">
        <f>VLOOKUP($A34,'TCO Inputs'!$A$3:$AG$53,32,FALSE)</f>
        <v>88933.923183498642</v>
      </c>
      <c r="Y34" s="7">
        <f>(VLOOKUP($A34,Data!$D$64:$M$112,4,FALSE)+VLOOKUP($A34,Data!$D$64:$M$112,7,FALSE))*VLOOKUP($A34,'VKT US'!$B$63:$AB$113,27,FALSE)*CONVERT(0.9072,"g","ton")*m2k</f>
        <v>34.37163235430976</v>
      </c>
      <c r="Z34" s="95">
        <f t="shared" si="5"/>
        <v>17.789280592325888</v>
      </c>
      <c r="AA34" s="118">
        <f t="shared" si="6"/>
        <v>-3889.970812726955</v>
      </c>
      <c r="AB34" s="144">
        <f>VLOOKUP($A34,'TCO Inputs'!$A$3:$AG$53,13,FALSE)</f>
        <v>28460.759801658827</v>
      </c>
      <c r="AC34" s="65">
        <f>VLOOKUP($A34,'TCO Inputs'!$A$3:$AG$53,17,FALSE)</f>
        <v>12424.391241454954</v>
      </c>
      <c r="AD34" s="65">
        <f>VLOOKUP($A34,'TCO Inputs'!$A$3:$AG$53,21,FALSE)</f>
        <v>15933.483816253705</v>
      </c>
      <c r="AE34" s="65">
        <f>VLOOKUP($A34,'TCO Inputs'!$A$3:$AG$53,25,FALSE)</f>
        <v>39097.363458507789</v>
      </c>
      <c r="AF34" s="65">
        <f>VLOOKUP($A34,'TCO Inputs'!$A$3:$AG$53,29,FALSE)</f>
        <v>0</v>
      </c>
      <c r="AG34" s="65">
        <f>VLOOKUP($A34,'TCO Inputs'!$A$3:$AG$53,33,FALSE)</f>
        <v>95915.998317875274</v>
      </c>
      <c r="AH34" s="7">
        <f>(VLOOKUP($A34,Data!$D$64:$M$112,9,FALSE)+VLOOKUP($A34,Data!$D$64:$M$112,10,FALSE))*VLOOKUP($A34,'VKT US'!$B$63:$AB$113,27,FALSE)*CONVERT(0.9072,"g","ton")*m2k</f>
        <v>23.903308609979643</v>
      </c>
      <c r="AI34" s="95">
        <f t="shared" si="7"/>
        <v>28.257604336656005</v>
      </c>
      <c r="AJ34" s="186">
        <f t="shared" si="8"/>
        <v>3092.1043216496764</v>
      </c>
      <c r="AK34" s="188">
        <f>VLOOKUP($A34,'TCO Inputs'!$A$3:$AT$53,40,FALSE)</f>
        <v>30376.676612640622</v>
      </c>
      <c r="AL34" s="188">
        <f>VLOOKUP($A34,'TCO Inputs'!$A$3:$AT$53,41,FALSE)</f>
        <v>10013.090264647619</v>
      </c>
      <c r="AM34" s="188">
        <f>VLOOKUP($A34,'TCO Inputs'!$A$3:$AT$53,42,FALSE)</f>
        <v>15353.087272841938</v>
      </c>
      <c r="AN34" s="188">
        <f>VLOOKUP($A34,'TCO Inputs'!$A$3:$AT$53,43,FALSE)</f>
        <v>42063.631126958986</v>
      </c>
      <c r="AO34" s="188">
        <f>VLOOKUP($A34,'TCO Inputs'!$A$3:$AT$53,44,FALSE)</f>
        <v>0</v>
      </c>
      <c r="AP34" s="188">
        <f>VLOOKUP($A34,'TCO Inputs'!$A$3:$AT$53,45,FALSE)</f>
        <v>97806.485277089174</v>
      </c>
      <c r="AQ34" s="96">
        <f>(VLOOKUP($A34,Data!$D$64:$O$114,11,FALSE)+VLOOKUP($A34,'Fuel economy adjusted factor'!$A$2:$L$52,12,FALSE)*(1-'TCO Inputs'!$BD$9))*VLOOKUP($A34,'VKT US'!$B$63:$AB$113,27,FALSE)*CONVERT(0.9072,"g","ton")*m2k+VLOOKUP($A34,'US Grid mix, emissions&amp;prices'!$H$224:$AK$274,30,FALSE)</f>
        <v>24.70670879917915</v>
      </c>
      <c r="AR34" s="96">
        <f t="shared" si="9"/>
        <v>27.454204147456498</v>
      </c>
      <c r="AS34" s="60">
        <f>VLOOKUP($A34,'TCO Inputs'!$A$3:$AT$53,46,FALSE)</f>
        <v>4982.5912808635767</v>
      </c>
      <c r="AT34" s="98">
        <f>(VLOOKUP($A34,Data!$D$64:$M$112,5,FALSE)+VLOOKUP($A34,Data!$D$64:$M$112,8,FALSE))*VLOOKUP($A34,'VKT US'!$B$63:$AB$113,2,FALSE)*CONVERT(0.9072,"g","ton")*m2k*VLOOKUP($A34,'VKT US'!$F$5:$S$56,11,FALSE)/1000000</f>
        <v>44.354825550902277</v>
      </c>
      <c r="AU34" s="98">
        <f>(VLOOKUP($A34,Data!$D$64:$F$114,3,FALSE)+VLOOKUP($A34,Data!$D$64:$I$114,6,FALSE))*VLOOKUP($A34,'VKT US'!$B$63:$AB$113,2,FALSE)*m2k*CONVERT(0.9072,"g","ton")*VLOOKUP($A34,'VKT US'!$F$5:$S$56,2,FALSE)/1000000</f>
        <v>0.24291404013251452</v>
      </c>
      <c r="AV34" s="98">
        <f>(VLOOKUP($A34,Data!$D$64:$M$112,4,FALSE)+VLOOKUP($A34,Data!$D$64:$M$112,7,FALSE))*VLOOKUP($A34,'VKT US'!$B$63:$AB$113,2,FALSE)*CONVERT(0.9072,"g","ton")*m2k*VLOOKUP($A34,'VKT US'!$F$5:$S$56,4,FALSE)/1000000</f>
        <v>0.92650783241576973</v>
      </c>
      <c r="AW34" s="98">
        <f>(VLOOKUP($A34,Data!$D$64:$M$112,9,FALSE)+VLOOKUP($A34,Data!$D$64:$M$112,10,FALSE))*VLOOKUP($A34,'VKT US'!$B$63:$AB$113,2,FALSE)*CONVERT(0.9072,"g","ton")*m2k*VLOOKUP($A34,'VKT US'!$F$5:$S$56,9,FALSE)/1000000</f>
        <v>0</v>
      </c>
      <c r="AX34" s="98">
        <f>H34*VLOOKUP($A34,'VKT US'!$F$5:$S$56,11,FALSE)/1000000</f>
        <v>516.67992319289942</v>
      </c>
      <c r="AY34" s="98">
        <f>P34*VLOOKUP($A34,'VKT US'!$F$5:$S$56,2,FALSE)/1000000</f>
        <v>2.3496578906098669</v>
      </c>
      <c r="AZ34" s="98">
        <f>Y34*VLOOKUP($A34,'VKT US'!$F$5:$S$56,4,FALSE)/1000000</f>
        <v>10.792692559253265</v>
      </c>
      <c r="BA34" s="98">
        <f>AH34*VLOOKUP($A34,'VKT US'!$F$5:$S$56,9,FALSE)/1000000</f>
        <v>0</v>
      </c>
      <c r="BB34" s="79">
        <f>VLOOKUP($A34,Data!$D$64:$M$112,4,FALSE)+VLOOKUP($A34,Data!$D$64:$M$112,7,FALSE)-(VLOOKUP($A34,Data!$D$64:$F$114,3,FALSE)+VLOOKUP($A34,Data!$D$64:$I$114,6,FALSE))</f>
        <v>59.649409759604254</v>
      </c>
      <c r="BC34" s="10">
        <f>(Y34-P34)*VLOOKUP($A34,'VKT US'!$F$5:$S$56,14,FALSE)/1000000*'Scenario analysis'!$E$4</f>
        <v>186.48858431235382</v>
      </c>
      <c r="BD34" s="10">
        <f>P34*VLOOKUP($A34,'VKT US'!$F$5:$S$56,14,FALSE)/1000000*'Scenario analysis'!$E$4</f>
        <v>202.55017365313665</v>
      </c>
      <c r="BE34" s="79">
        <f>(VLOOKUP($A34,Data!$D$64:$M$114,4,FALSE)+VLOOKUP($A34,Data!$D$64:$M$114,7,FALSE)-(VLOOKUP($A34,Data!$D$64:$F$114,3,FALSE)+VLOOKUP($A34,Data!$D$64:$I$114,6,FALSE)))*VLOOKUP($A34,'VKT US'!$B$63:$AB$113,2,FALSE)*CONVERT(0.9072,"g","ton")*m2k*VLOOKUP($A34,'VKT US'!$F$5:$S$56,14,FALSE)/1000000*'Scenario analysis'!$E$4</f>
        <v>12.457172333910885</v>
      </c>
      <c r="BF34" s="79">
        <f>(VLOOKUP($A34,Data!$D$64:$F$114,3,FALSE)+VLOOKUP($A34,Data!$D$64:$I$114,6,FALSE))*VLOOKUP($A34,'VKT US'!$B$63:$AB$113,2,FALSE)*CONVERT(0.9072,"g","ton")*m2k*VLOOKUP($A34,'VKT US'!$F$5:$S$56,14,FALSE)/1000000*'Scenario analysis'!$E$4</f>
        <v>20.940189296602281</v>
      </c>
      <c r="BG34" s="79">
        <f>(VLOOKUP($A34,Data!$D$64:$M$114,4,FALSE)+VLOOKUP($A34,Data!$D$64:$M$114,7,FALSE))*VLOOKUP($A34,'VKT US'!$B$63:$AB$113,2,FALSE)*CONVERT(0.9072,"g","ton")*m2k*VLOOKUP($A34,'VKT US'!$F$5:$S$56,14,FALSE)/1000000*'Scenario analysis'!$E$4</f>
        <v>33.397361630513153</v>
      </c>
      <c r="BH34" s="79">
        <f t="shared" si="0"/>
        <v>16.476294268933774</v>
      </c>
      <c r="BI34" s="96">
        <f t="shared" si="1"/>
        <v>1071.1252952880943</v>
      </c>
      <c r="BJ34" s="191">
        <f t="shared" si="2"/>
        <v>17648.175564065226</v>
      </c>
      <c r="BK34" s="191">
        <f>(VLOOKUP($A34,'US Grid mix, emissions&amp;prices'!$H$169:$AK$219,30,FALSE)+VLOOKUP($A34,Data!$D$64:$F$114,3,FALSE)*VLOOKUP($A34,'VKT US'!$B$63:$AB$113,27,FALSE)*m2k*CONVERT(0.9072,"g","ton"))*VLOOKUP($A34,'VKT US'!$F$5:$S$56,14,FALSE)/1000000</f>
        <v>202.55017365313665</v>
      </c>
      <c r="BL34" s="191">
        <f>P34*VLOOKUP($A34,'VKT US'!$F$5:$S$56,14,FALSE)/1000000-BK34</f>
        <v>0</v>
      </c>
      <c r="BM34" s="191">
        <v>18.90497357949388</v>
      </c>
      <c r="BN34" s="191">
        <v>2.4334777210545298</v>
      </c>
      <c r="BO34" s="191" cm="1">
        <f t="array" ref="BO34">_xlfn.IFS(AND(Q34&gt;0,R34&gt;0),R34/Q34,AND(Q34&gt;0,R34&lt;=0),-R34/Q34,Q34&lt;=0,0)</f>
        <v>401.51682284756203</v>
      </c>
      <c r="BP34" s="212" cm="1">
        <f t="array" ref="BP34">_xlfn.IFS(AND(Z34&gt;0,AA34&gt;0),AA34/Z34,AND(Z34&gt;0,AA34&lt;=0),AA34/Z34,Z34&lt;=0,0)</f>
        <v>-218.6693718466079</v>
      </c>
      <c r="BQ34" s="191">
        <f>P34*1000000/(VLOOKUP($A34,'VKT US'!$B$63:$AB$113,27,FALSE)*m2k)</f>
        <v>83.261818576803478</v>
      </c>
      <c r="BR34" s="191">
        <f>Y34*1000000/(VLOOKUP($A34,'VKT US'!$B$63:$AB$113,27,FALSE)*m2k)</f>
        <v>159.92123778940049</v>
      </c>
      <c r="BS34" s="191">
        <f>H34*1000000/(VLOOKUP($A34,'VKT US'!$B$63:$AB$113,27,FALSE)*m2k)</f>
        <v>242.68960160704162</v>
      </c>
      <c r="BT34" s="95"/>
      <c r="BU34" s="10">
        <f t="shared" si="10"/>
        <v>98050.523542576251</v>
      </c>
      <c r="BV34" s="10">
        <f t="shared" si="11"/>
        <v>107341.56748661415</v>
      </c>
      <c r="BW34" s="10">
        <f t="shared" si="12"/>
        <v>91222.648207705992</v>
      </c>
      <c r="BX34" s="10">
        <f t="shared" si="13"/>
        <v>99790.149589169916</v>
      </c>
      <c r="BY34" s="53">
        <f t="shared" si="14"/>
        <v>101100.40929383134</v>
      </c>
      <c r="BZ34" s="79">
        <f t="shared" si="15"/>
        <v>38.44404962980262</v>
      </c>
      <c r="CA34" s="96">
        <f>VLOOKUP($A34,'TCO Inputs'!$Y$114:$AT$164,22,FALSE)</f>
        <v>53082.414261479258</v>
      </c>
      <c r="CB34" s="211">
        <f>CA34*VLOOKUP($A34,'VKT US'!$F$5:$S$56,14,FALSE)/(10^9)</f>
        <v>600.81861405997915</v>
      </c>
    </row>
    <row r="35" spans="1:80" x14ac:dyDescent="0.25">
      <c r="A35" s="83" t="s">
        <v>209</v>
      </c>
      <c r="B35" s="150">
        <f>VLOOKUP($A35,'TCO Inputs'!$A$3:$AG$53,10,FALSE)</f>
        <v>23731.611795719989</v>
      </c>
      <c r="C35" s="71">
        <f>VLOOKUP($A35,'TCO Inputs'!$A$3:$AG$53,14,FALSE)</f>
        <v>20331.097120598588</v>
      </c>
      <c r="D35" s="71">
        <f>VLOOKUP($A35,'TCO Inputs'!$A$3:$AG$53,18,FALSE)</f>
        <v>27404.947590052499</v>
      </c>
      <c r="E35" s="71">
        <f>VLOOKUP($A35,'TCO Inputs'!$A$3:$AG$53,22,FALSE)</f>
        <v>20187.081850308292</v>
      </c>
      <c r="F35" s="71">
        <f>VLOOKUP($A35,'TCO Inputs'!$A$3:$AG$53,26,FALSE)</f>
        <v>0</v>
      </c>
      <c r="G35" s="65">
        <f>VLOOKUP($A35,'TCO Inputs'!$A$3:$AG$53,30,FALSE)</f>
        <v>91654.738356679358</v>
      </c>
      <c r="H35" s="95">
        <f>(VLOOKUP($A35,Data!$D$64:$M$112,5,FALSE)+VLOOKUP($A35,Data!$D$64:$M$112,8,FALSE))*VLOOKUP($A35,'VKT US'!$B$63:$AB$113,27,FALSE)*CONVERT(0.9072,"g","ton")*m2k</f>
        <v>80.351905299158275</v>
      </c>
      <c r="I35" s="92"/>
      <c r="J35" s="144">
        <f>VLOOKUP($A35,'TCO Inputs'!$A$3:$AG$53,11,FALSE)</f>
        <v>40967.546942691188</v>
      </c>
      <c r="K35" s="65">
        <f>VLOOKUP($A35,'TCO Inputs'!$A$3:$AG$53,15,FALSE)</f>
        <v>12439.892647144588</v>
      </c>
      <c r="L35" s="65">
        <f>VLOOKUP($A35,'TCO Inputs'!$A$3:$AG$53,19,FALSE)</f>
        <v>17064.92481139439</v>
      </c>
      <c r="M35" s="65">
        <f>VLOOKUP($A35,'TCO Inputs'!$A$3:$AG$53,23,FALSE)</f>
        <v>22472.286052193234</v>
      </c>
      <c r="N35" s="65">
        <f>VLOOKUP($A35,'TCO Inputs'!$A$3:$AG$53,27,FALSE)</f>
        <v>0</v>
      </c>
      <c r="O35" s="65">
        <f>VLOOKUP($A35,'TCO Inputs'!$A$3:$AG$53,31,FALSE)</f>
        <v>92944.650453423397</v>
      </c>
      <c r="P35" s="7">
        <f>VLOOKUP($A35,_xlfn.IFS('Scenario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analysis'!$Q$121:$R$126),2,FALSE)+VLOOKUP($A35,Data!$D$64:$F$114,3,FALSE)*VLOOKUP($A35,'VKT US'!$B$63:$AB$113,27,FALSE)*m2k*CONVERT(0.9072,"g","ton")</f>
        <v>31.516891364758436</v>
      </c>
      <c r="Q35" s="95">
        <f t="shared" si="3"/>
        <v>48.835013934399839</v>
      </c>
      <c r="R35" s="60">
        <f t="shared" si="4"/>
        <v>1289.9120967440394</v>
      </c>
      <c r="S35" s="144">
        <f>VLOOKUP($A35,'TCO Inputs'!$A$3:$AG$53,12,FALSE)</f>
        <v>25202.087524607668</v>
      </c>
      <c r="T35" s="65">
        <f>VLOOKUP($A35,'TCO Inputs'!$A$3:$AG$53,16,FALSE)</f>
        <v>12511.444381906826</v>
      </c>
      <c r="U35" s="65">
        <f>VLOOKUP($A35,'TCO Inputs'!$A$3:$AG$53,20,FALSE)</f>
        <v>25189.228423197183</v>
      </c>
      <c r="V35" s="65">
        <f>VLOOKUP($A35,'TCO Inputs'!$A$3:$AG$53,24,FALSE)</f>
        <v>21036.411946213284</v>
      </c>
      <c r="W35" s="65">
        <f>VLOOKUP($A35,'TCO Inputs'!$A$3:$AG$53,28,FALSE)</f>
        <v>0</v>
      </c>
      <c r="X35" s="65">
        <f>VLOOKUP($A35,'TCO Inputs'!$A$3:$AG$53,32,FALSE)</f>
        <v>83939.172275924953</v>
      </c>
      <c r="Y35" s="7">
        <f>(VLOOKUP($A35,Data!$D$64:$M$112,4,FALSE)+VLOOKUP($A35,Data!$D$64:$M$112,7,FALSE))*VLOOKUP($A35,'VKT US'!$B$63:$AB$113,27,FALSE)*CONVERT(0.9072,"g","ton")*m2k</f>
        <v>53.037024971380646</v>
      </c>
      <c r="Z35" s="95">
        <f t="shared" si="5"/>
        <v>27.31488032777763</v>
      </c>
      <c r="AA35" s="118">
        <f t="shared" si="6"/>
        <v>-7715.5660807544045</v>
      </c>
      <c r="AB35" s="144">
        <f>VLOOKUP($A35,'TCO Inputs'!$A$3:$AG$53,13,FALSE)</f>
        <v>28460.759801658827</v>
      </c>
      <c r="AC35" s="65">
        <f>VLOOKUP($A35,'TCO Inputs'!$A$3:$AG$53,17,FALSE)</f>
        <v>19081.04984277386</v>
      </c>
      <c r="AD35" s="65">
        <f>VLOOKUP($A35,'TCO Inputs'!$A$3:$AG$53,21,FALSE)</f>
        <v>25189.228423197183</v>
      </c>
      <c r="AE35" s="65">
        <f>VLOOKUP($A35,'TCO Inputs'!$A$3:$AG$53,25,FALSE)</f>
        <v>21148.341946213281</v>
      </c>
      <c r="AF35" s="65">
        <f>VLOOKUP($A35,'TCO Inputs'!$A$3:$AG$53,29,FALSE)</f>
        <v>0</v>
      </c>
      <c r="AG35" s="65">
        <f>VLOOKUP($A35,'TCO Inputs'!$A$3:$AG$53,33,FALSE)</f>
        <v>93879.380013843154</v>
      </c>
      <c r="AH35" s="7">
        <f>(VLOOKUP($A35,Data!$D$64:$M$112,9,FALSE)+VLOOKUP($A35,Data!$D$64:$M$112,10,FALSE))*VLOOKUP($A35,'VKT US'!$B$63:$AB$113,27,FALSE)*CONVERT(0.9072,"g","ton")*m2k</f>
        <v>37.788716365516152</v>
      </c>
      <c r="AI35" s="95">
        <f t="shared" si="7"/>
        <v>42.563188933642124</v>
      </c>
      <c r="AJ35" s="186">
        <f t="shared" si="8"/>
        <v>2224.6416571637965</v>
      </c>
      <c r="AK35" s="188">
        <f>VLOOKUP($A35,'TCO Inputs'!$A$3:$AT$53,40,FALSE)</f>
        <v>30376.676612640622</v>
      </c>
      <c r="AL35" s="188">
        <f>VLOOKUP($A35,'TCO Inputs'!$A$3:$AT$53,41,FALSE)</f>
        <v>11765.810454379107</v>
      </c>
      <c r="AM35" s="188">
        <f>VLOOKUP($A35,'TCO Inputs'!$A$3:$AT$53,42,FALSE)</f>
        <v>24271.680115706553</v>
      </c>
      <c r="AN35" s="188">
        <f>VLOOKUP($A35,'TCO Inputs'!$A$3:$AT$53,43,FALSE)</f>
        <v>22169.436052193236</v>
      </c>
      <c r="AO35" s="188">
        <f>VLOOKUP($A35,'TCO Inputs'!$A$3:$AT$53,44,FALSE)</f>
        <v>0</v>
      </c>
      <c r="AP35" s="188">
        <f>VLOOKUP($A35,'TCO Inputs'!$A$3:$AT$53,45,FALSE)</f>
        <v>88583.603234919516</v>
      </c>
      <c r="AQ35" s="96">
        <f>(VLOOKUP($A35,Data!$D$64:$O$114,11,FALSE)+VLOOKUP($A35,'Fuel economy adjusted factor'!$A$2:$L$52,12,FALSE)*(1-'TCO Inputs'!$BD$9))*VLOOKUP($A35,'VKT US'!$B$63:$AB$113,27,FALSE)*CONVERT(0.9072,"g","ton")*m2k+VLOOKUP($A35,'US Grid mix, emissions&amp;prices'!$H$224:$AK$274,30,FALSE)</f>
        <v>40.113385221747933</v>
      </c>
      <c r="AR35" s="96">
        <f t="shared" si="9"/>
        <v>40.238520077410342</v>
      </c>
      <c r="AS35" s="60">
        <f>VLOOKUP($A35,'TCO Inputs'!$A$3:$AT$53,46,FALSE)</f>
        <v>-3071.1351217598421</v>
      </c>
      <c r="AT35" s="98">
        <f>(VLOOKUP($A35,Data!$D$64:$M$112,5,FALSE)+VLOOKUP($A35,Data!$D$64:$M$112,8,FALSE))*VLOOKUP($A35,'VKT US'!$B$63:$AB$113,2,FALSE)*CONVERT(0.9072,"g","ton")*m2k*VLOOKUP($A35,'VKT US'!$F$5:$S$56,11,FALSE)/1000000</f>
        <v>53.555119787996908</v>
      </c>
      <c r="AU35" s="98">
        <f>(VLOOKUP($A35,Data!$D$64:$F$114,3,FALSE)+VLOOKUP($A35,Data!$D$64:$I$114,6,FALSE))*VLOOKUP($A35,'VKT US'!$B$63:$AB$113,2,FALSE)*m2k*CONVERT(0.9072,"g","ton")*VLOOKUP($A35,'VKT US'!$F$5:$S$56,2,FALSE)/1000000</f>
        <v>0.23165610551503751</v>
      </c>
      <c r="AV35" s="98">
        <f>(VLOOKUP($A35,Data!$D$64:$M$112,4,FALSE)+VLOOKUP($A35,Data!$D$64:$M$112,7,FALSE))*VLOOKUP($A35,'VKT US'!$B$63:$AB$113,2,FALSE)*CONVERT(0.9072,"g","ton")*m2k*VLOOKUP($A35,'VKT US'!$F$5:$S$56,4,FALSE)/1000000</f>
        <v>0.95886355270973889</v>
      </c>
      <c r="AW35" s="98">
        <f>(VLOOKUP($A35,Data!$D$64:$M$112,9,FALSE)+VLOOKUP($A35,Data!$D$64:$M$112,10,FALSE))*VLOOKUP($A35,'VKT US'!$B$63:$AB$113,2,FALSE)*CONVERT(0.9072,"g","ton")*m2k*VLOOKUP($A35,'VKT US'!$F$5:$S$56,9,FALSE)/1000000</f>
        <v>0</v>
      </c>
      <c r="AX35" s="98">
        <f>H35*VLOOKUP($A35,'VKT US'!$F$5:$S$56,11,FALSE)/1000000</f>
        <v>623.85219274266478</v>
      </c>
      <c r="AY35" s="98">
        <f>P35*VLOOKUP($A35,'VKT US'!$F$5:$S$56,2,FALSE)/1000000</f>
        <v>2.2124857738060419</v>
      </c>
      <c r="AZ35" s="98">
        <f>Y35*VLOOKUP($A35,'VKT US'!$F$5:$S$56,4,FALSE)/1000000</f>
        <v>11.169597458972763</v>
      </c>
      <c r="BA35" s="98">
        <f>AH35*VLOOKUP($A35,'VKT US'!$F$5:$S$56,9,FALSE)/1000000</f>
        <v>0</v>
      </c>
      <c r="BB35" s="79">
        <f>VLOOKUP($A35,Data!$D$64:$M$112,4,FALSE)+VLOOKUP($A35,Data!$D$64:$M$112,7,FALSE)-(VLOOKUP($A35,Data!$D$64:$F$114,3,FALSE)+VLOOKUP($A35,Data!$D$64:$I$114,6,FALSE))</f>
        <v>42.958435125479184</v>
      </c>
      <c r="BC35" s="10">
        <f>(Y35-P35)*VLOOKUP($A35,'VKT US'!$F$5:$S$56,14,FALSE)/1000000*'Scenario analysis'!$E$4</f>
        <v>195.52117388296611</v>
      </c>
      <c r="BD35" s="10">
        <f>P35*VLOOKUP($A35,'VKT US'!$F$5:$S$56,14,FALSE)/1000000*'Scenario analysis'!$E$4</f>
        <v>286.3467164945128</v>
      </c>
      <c r="BE35" s="79">
        <f>(VLOOKUP($A35,Data!$D$64:$M$114,4,FALSE)+VLOOKUP($A35,Data!$D$64:$M$114,7,FALSE)-(VLOOKUP($A35,Data!$D$64:$F$114,3,FALSE)+VLOOKUP($A35,Data!$D$64:$I$114,6,FALSE)))*VLOOKUP($A35,'VKT US'!$B$63:$AB$113,2,FALSE)*CONVERT(0.9072,"g","ton")*m2k*VLOOKUP($A35,'VKT US'!$F$5:$S$56,14,FALSE)/1000000*'Scenario analysis'!$E$4</f>
        <v>11.384711149922657</v>
      </c>
      <c r="BF35" s="79">
        <f>(VLOOKUP($A35,Data!$D$64:$F$114,3,FALSE)+VLOOKUP($A35,Data!$D$64:$I$114,6,FALSE))*VLOOKUP($A35,'VKT US'!$B$63:$AB$113,2,FALSE)*CONVERT(0.9072,"g","ton")*m2k*VLOOKUP($A35,'VKT US'!$F$5:$S$56,14,FALSE)/1000000*'Scenario analysis'!$E$4</f>
        <v>29.981645963773133</v>
      </c>
      <c r="BG35" s="79">
        <f>(VLOOKUP($A35,Data!$D$64:$M$114,4,FALSE)+VLOOKUP($A35,Data!$D$64:$M$114,7,FALSE))*VLOOKUP($A35,'VKT US'!$B$63:$AB$113,2,FALSE)*CONVERT(0.9072,"g","ton")*m2k*VLOOKUP($A35,'VKT US'!$F$5:$S$56,14,FALSE)/1000000*'Scenario analysis'!$E$4</f>
        <v>41.366357113695784</v>
      </c>
      <c r="BH35" s="79">
        <f t="shared" ref="BH35:BH53" si="16">Y35-P35</f>
        <v>21.52013360662221</v>
      </c>
      <c r="BI35" s="96">
        <f t="shared" ref="BI35:BI53" si="17">(O35-X35)/BH35</f>
        <v>418.46757748415018</v>
      </c>
      <c r="BJ35" s="191">
        <f t="shared" ref="BJ35:BJ53" si="18">(O35-X35)</f>
        <v>9005.478177498444</v>
      </c>
      <c r="BK35" s="191">
        <f>(VLOOKUP($A35,'US Grid mix, emissions&amp;prices'!$H$169:$AK$219,30,FALSE)+VLOOKUP($A35,Data!$D$64:$F$114,3,FALSE)*VLOOKUP($A35,'VKT US'!$B$63:$AB$113,27,FALSE)*m2k*CONVERT(0.9072,"g","ton"))*VLOOKUP($A35,'VKT US'!$F$5:$S$56,14,FALSE)/1000000</f>
        <v>286.3467164945128</v>
      </c>
      <c r="BL35" s="191">
        <f>P35*VLOOKUP($A35,'VKT US'!$F$5:$S$56,14,FALSE)/1000000-BK35</f>
        <v>0</v>
      </c>
      <c r="BM35" s="191">
        <v>26.887670896433281</v>
      </c>
      <c r="BN35" s="191">
        <v>3.6994208194141613</v>
      </c>
      <c r="BO35" s="191" cm="1">
        <f t="array" ref="BO35">_xlfn.IFS(AND(Q35&gt;0,R35&gt;0),R35/Q35,AND(Q35&gt;0,R35&lt;=0),-R35/Q35,Q35&lt;=0,0)</f>
        <v>26.413673158295413</v>
      </c>
      <c r="BP35" s="212" cm="1">
        <f t="array" ref="BP35">_xlfn.IFS(AND(Z35&gt;0,AA35&gt;0),AA35/Z35,AND(Z35&gt;0,AA35&lt;=0),AA35/Z35,Z35&lt;=0,0)</f>
        <v>-282.46750445793191</v>
      </c>
      <c r="BQ35" s="191">
        <f>P35*1000000/(VLOOKUP($A35,'VKT US'!$B$63:$AB$113,27,FALSE)*m2k)</f>
        <v>92.756689096004493</v>
      </c>
      <c r="BR35" s="191">
        <f>Y35*1000000/(VLOOKUP($A35,'VKT US'!$B$63:$AB$113,27,FALSE)*m2k)</f>
        <v>156.09213418009594</v>
      </c>
      <c r="BS35" s="191">
        <f>H35*1000000/(VLOOKUP($A35,'VKT US'!$B$63:$AB$113,27,FALSE)*m2k)</f>
        <v>236.48197443862165</v>
      </c>
      <c r="BT35" s="95"/>
      <c r="BU35" s="10">
        <f t="shared" si="10"/>
        <v>98050.523542576251</v>
      </c>
      <c r="BV35" s="10">
        <f t="shared" si="11"/>
        <v>107341.56748661415</v>
      </c>
      <c r="BW35" s="10">
        <f t="shared" si="12"/>
        <v>91222.648207705992</v>
      </c>
      <c r="BX35" s="10">
        <f t="shared" si="13"/>
        <v>99790.149589169916</v>
      </c>
      <c r="BY35" s="53">
        <f t="shared" si="14"/>
        <v>101100.40929383134</v>
      </c>
      <c r="BZ35" s="79">
        <f t="shared" si="15"/>
        <v>38.44404962980262</v>
      </c>
      <c r="CA35" s="96">
        <f>VLOOKUP($A35,'TCO Inputs'!$Y$114:$AT$164,22,FALSE)</f>
        <v>75265.876256663658</v>
      </c>
      <c r="CB35" s="211">
        <f>CA35*VLOOKUP($A35,'VKT US'!$F$5:$S$56,14,FALSE)/(10^9)</f>
        <v>683.82811872991761</v>
      </c>
    </row>
    <row r="36" spans="1:80" x14ac:dyDescent="0.25">
      <c r="A36" s="83" t="s">
        <v>210</v>
      </c>
      <c r="B36" s="150">
        <f>VLOOKUP($A36,'TCO Inputs'!$A$3:$AG$53,10,FALSE)</f>
        <v>23731.611795719989</v>
      </c>
      <c r="C36" s="71">
        <f>VLOOKUP($A36,'TCO Inputs'!$A$3:$AG$53,14,FALSE)</f>
        <v>24052.777779784366</v>
      </c>
      <c r="D36" s="71">
        <f>VLOOKUP($A36,'TCO Inputs'!$A$3:$AG$53,18,FALSE)</f>
        <v>30129.585569826279</v>
      </c>
      <c r="E36" s="71">
        <f>VLOOKUP($A36,'TCO Inputs'!$A$3:$AG$53,22,FALSE)</f>
        <v>27704.497893868986</v>
      </c>
      <c r="F36" s="71">
        <f>VLOOKUP($A36,'TCO Inputs'!$A$3:$AG$53,26,FALSE)</f>
        <v>0</v>
      </c>
      <c r="G36" s="65">
        <f>VLOOKUP($A36,'TCO Inputs'!$A$3:$AG$53,30,FALSE)</f>
        <v>105618.47303919963</v>
      </c>
      <c r="H36" s="95">
        <f>(VLOOKUP($A36,Data!$D$64:$M$112,5,FALSE)+VLOOKUP($A36,Data!$D$64:$M$112,8,FALSE))*VLOOKUP($A36,'VKT US'!$B$63:$AB$113,27,FALSE)*CONVERT(0.9072,"g","ton")*m2k</f>
        <v>92.205489451049175</v>
      </c>
      <c r="I36" s="92"/>
      <c r="J36" s="144">
        <f>VLOOKUP($A36,'TCO Inputs'!$A$3:$AG$53,11,FALSE)</f>
        <v>40967.546942691188</v>
      </c>
      <c r="K36" s="65">
        <f>VLOOKUP($A36,'TCO Inputs'!$A$3:$AG$53,15,FALSE)</f>
        <v>14897.086028813781</v>
      </c>
      <c r="L36" s="65">
        <f>VLOOKUP($A36,'TCO Inputs'!$A$3:$AG$53,19,FALSE)</f>
        <v>18761.543354827994</v>
      </c>
      <c r="M36" s="65">
        <f>VLOOKUP($A36,'TCO Inputs'!$A$3:$AG$53,23,FALSE)</f>
        <v>33613.309735544732</v>
      </c>
      <c r="N36" s="65">
        <f>VLOOKUP($A36,'TCO Inputs'!$A$3:$AG$53,27,FALSE)</f>
        <v>0</v>
      </c>
      <c r="O36" s="65">
        <f>VLOOKUP($A36,'TCO Inputs'!$A$3:$AG$53,31,FALSE)</f>
        <v>108239.48606187769</v>
      </c>
      <c r="P36" s="7">
        <f>VLOOKUP($A36,_xlfn.IFS('Scenario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analysis'!$Q$121:$R$126),2,FALSE)+VLOOKUP($A36,Data!$D$64:$F$114,3,FALSE)*VLOOKUP($A36,'VKT US'!$B$63:$AB$113,27,FALSE)*m2k*CONVERT(0.9072,"g","ton")</f>
        <v>59.849072601494505</v>
      </c>
      <c r="Q36" s="95">
        <f t="shared" si="3"/>
        <v>32.35641684955467</v>
      </c>
      <c r="R36" s="60">
        <f t="shared" si="4"/>
        <v>2621.0130226780602</v>
      </c>
      <c r="S36" s="144">
        <f>VLOOKUP($A36,'TCO Inputs'!$A$3:$AG$53,12,FALSE)</f>
        <v>25202.087524607668</v>
      </c>
      <c r="T36" s="65">
        <f>VLOOKUP($A36,'TCO Inputs'!$A$3:$AG$53,16,FALSE)</f>
        <v>14801.709402944225</v>
      </c>
      <c r="U36" s="65">
        <f>VLOOKUP($A36,'TCO Inputs'!$A$3:$AG$53,20,FALSE)</f>
        <v>27693.576523755215</v>
      </c>
      <c r="V36" s="65">
        <f>VLOOKUP($A36,'TCO Inputs'!$A$3:$AG$53,24,FALSE)</f>
        <v>28870.10786304043</v>
      </c>
      <c r="W36" s="65">
        <f>VLOOKUP($A36,'TCO Inputs'!$A$3:$AG$53,28,FALSE)</f>
        <v>0</v>
      </c>
      <c r="X36" s="65">
        <f>VLOOKUP($A36,'TCO Inputs'!$A$3:$AG$53,32,FALSE)</f>
        <v>96567.481314347533</v>
      </c>
      <c r="Y36" s="7">
        <f>(VLOOKUP($A36,Data!$D$64:$M$112,4,FALSE)+VLOOKUP($A36,Data!$D$64:$M$112,7,FALSE))*VLOOKUP($A36,'VKT US'!$B$63:$AB$113,27,FALSE)*CONVERT(0.9072,"g","ton")*m2k</f>
        <v>60.694050332405283</v>
      </c>
      <c r="Z36" s="95">
        <f t="shared" si="5"/>
        <v>31.511439118643892</v>
      </c>
      <c r="AA36" s="118">
        <f t="shared" si="6"/>
        <v>-9050.9917248520942</v>
      </c>
      <c r="AB36" s="144">
        <f>VLOOKUP($A36,'TCO Inputs'!$A$3:$AG$53,13,FALSE)</f>
        <v>28460.759801658827</v>
      </c>
      <c r="AC36" s="65">
        <f>VLOOKUP($A36,'TCO Inputs'!$A$3:$AG$53,17,FALSE)</f>
        <v>22005.446089255274</v>
      </c>
      <c r="AD36" s="65">
        <f>VLOOKUP($A36,'TCO Inputs'!$A$3:$AG$53,21,FALSE)</f>
        <v>27693.576523755215</v>
      </c>
      <c r="AE36" s="65">
        <f>VLOOKUP($A36,'TCO Inputs'!$A$3:$AG$53,25,FALSE)</f>
        <v>29056.657863040429</v>
      </c>
      <c r="AF36" s="65">
        <f>VLOOKUP($A36,'TCO Inputs'!$A$3:$AG$53,29,FALSE)</f>
        <v>0</v>
      </c>
      <c r="AG36" s="65">
        <f>VLOOKUP($A36,'TCO Inputs'!$A$3:$AG$53,33,FALSE)</f>
        <v>107216.44027770974</v>
      </c>
      <c r="AH36" s="7">
        <f>(VLOOKUP($A36,Data!$D$64:$M$112,9,FALSE)+VLOOKUP($A36,Data!$D$64:$M$112,10,FALSE))*VLOOKUP($A36,'VKT US'!$B$63:$AB$113,27,FALSE)*CONVERT(0.9072,"g","ton")*m2k</f>
        <v>41.545723069435439</v>
      </c>
      <c r="AI36" s="95">
        <f t="shared" si="7"/>
        <v>50.659766381613736</v>
      </c>
      <c r="AJ36" s="186">
        <f t="shared" si="8"/>
        <v>1597.9672385101148</v>
      </c>
      <c r="AK36" s="188">
        <f>VLOOKUP($A36,'TCO Inputs'!$A$3:$AT$53,40,FALSE)</f>
        <v>30376.676612640622</v>
      </c>
      <c r="AL36" s="188">
        <f>VLOOKUP($A36,'TCO Inputs'!$A$3:$AT$53,41,FALSE)</f>
        <v>13994.222313519915</v>
      </c>
      <c r="AM36" s="188">
        <f>VLOOKUP($A36,'TCO Inputs'!$A$3:$AT$53,42,FALSE)</f>
        <v>26684.804288225623</v>
      </c>
      <c r="AN36" s="188">
        <f>VLOOKUP($A36,'TCO Inputs'!$A$3:$AT$53,43,FALSE)</f>
        <v>33108.559735544732</v>
      </c>
      <c r="AO36" s="188">
        <f>VLOOKUP($A36,'TCO Inputs'!$A$3:$AT$53,44,FALSE)</f>
        <v>0</v>
      </c>
      <c r="AP36" s="188">
        <f>VLOOKUP($A36,'TCO Inputs'!$A$3:$AT$53,45,FALSE)</f>
        <v>104164.26294993088</v>
      </c>
      <c r="AQ36" s="96">
        <f>(VLOOKUP($A36,Data!$D$64:$O$114,11,FALSE)+VLOOKUP($A36,'Fuel economy adjusted factor'!$A$2:$L$52,12,FALSE)*(1-'TCO Inputs'!$BD$9))*VLOOKUP($A36,'VKT US'!$B$63:$AB$113,27,FALSE)*CONVERT(0.9072,"g","ton")*m2k+VLOOKUP($A36,'US Grid mix, emissions&amp;prices'!$H$224:$AK$274,30,FALSE)</f>
        <v>58.346480220072863</v>
      </c>
      <c r="AR36" s="96">
        <f t="shared" si="9"/>
        <v>33.859009230976312</v>
      </c>
      <c r="AS36" s="60">
        <f>VLOOKUP($A36,'TCO Inputs'!$A$3:$AT$53,46,FALSE)</f>
        <v>-1454.2100892687449</v>
      </c>
      <c r="AT36" s="98">
        <f>(VLOOKUP($A36,Data!$D$64:$M$112,5,FALSE)+VLOOKUP($A36,Data!$D$64:$M$112,8,FALSE))*VLOOKUP($A36,'VKT US'!$B$63:$AB$113,2,FALSE)*CONVERT(0.9072,"g","ton")*m2k*VLOOKUP($A36,'VKT US'!$F$5:$S$56,11,FALSE)/1000000</f>
        <v>4.9495360906700032</v>
      </c>
      <c r="AU36" s="98">
        <f>(VLOOKUP($A36,Data!$D$64:$F$114,3,FALSE)+VLOOKUP($A36,Data!$D$64:$I$114,6,FALSE))*VLOOKUP($A36,'VKT US'!$B$63:$AB$113,2,FALSE)*m2k*CONVERT(0.9072,"g","ton")*VLOOKUP($A36,'VKT US'!$F$5:$S$56,2,FALSE)/1000000</f>
        <v>6.5583998212248775E-3</v>
      </c>
      <c r="AV36" s="98">
        <f>(VLOOKUP($A36,Data!$D$64:$M$112,4,FALSE)+VLOOKUP($A36,Data!$D$64:$M$112,7,FALSE))*VLOOKUP($A36,'VKT US'!$B$63:$AB$113,2,FALSE)*CONVERT(0.9072,"g","ton")*m2k*VLOOKUP($A36,'VKT US'!$F$5:$S$56,4,FALSE)/1000000</f>
        <v>4.2724723620478064E-2</v>
      </c>
      <c r="AW36" s="98">
        <f>(VLOOKUP($A36,Data!$D$64:$M$112,9,FALSE)+VLOOKUP($A36,Data!$D$64:$M$112,10,FALSE))*VLOOKUP($A36,'VKT US'!$B$63:$AB$113,2,FALSE)*CONVERT(0.9072,"g","ton")*m2k*VLOOKUP($A36,'VKT US'!$F$5:$S$56,9,FALSE)/1000000</f>
        <v>0</v>
      </c>
      <c r="AX36" s="98">
        <f>H36*VLOOKUP($A36,'VKT US'!$F$5:$S$56,11,FALSE)/1000000</f>
        <v>57.656092553741054</v>
      </c>
      <c r="AY36" s="98">
        <f>P36*VLOOKUP($A36,'VKT US'!$F$5:$S$56,2,FALSE)/1000000</f>
        <v>5.9849072601494503E-2</v>
      </c>
      <c r="AZ36" s="98">
        <f>Y36*VLOOKUP($A36,'VKT US'!$F$5:$S$56,4,FALSE)/1000000</f>
        <v>0.49769121272572336</v>
      </c>
      <c r="BA36" s="98">
        <f>AH36*VLOOKUP($A36,'VKT US'!$F$5:$S$56,9,FALSE)/1000000</f>
        <v>0</v>
      </c>
      <c r="BB36" s="79">
        <f>VLOOKUP($A36,Data!$D$64:$M$112,4,FALSE)+VLOOKUP($A36,Data!$D$64:$M$112,7,FALSE)-(VLOOKUP($A36,Data!$D$64:$F$114,3,FALSE)+VLOOKUP($A36,Data!$D$64:$I$114,6,FALSE))</f>
        <v>-42.036135284606644</v>
      </c>
      <c r="BC36" s="10">
        <f>(Y36-P36)*VLOOKUP($A36,'VKT US'!$F$5:$S$56,14,FALSE)/1000000*'Scenario analysis'!$E$4</f>
        <v>0.6737852426282539</v>
      </c>
      <c r="BD36" s="10">
        <f>P36*VLOOKUP($A36,'VKT US'!$F$5:$S$56,14,FALSE)/1000000*'Scenario analysis'!$E$4</f>
        <v>47.723650492431716</v>
      </c>
      <c r="BE36" s="79">
        <f>(VLOOKUP($A36,Data!$D$64:$M$114,4,FALSE)+VLOOKUP($A36,Data!$D$64:$M$114,7,FALSE)-(VLOOKUP($A36,Data!$D$64:$F$114,3,FALSE)+VLOOKUP($A36,Data!$D$64:$I$114,6,FALSE)))*VLOOKUP($A36,'VKT US'!$B$63:$AB$113,2,FALSE)*CONVERT(0.9072,"g","ton")*m2k*VLOOKUP($A36,'VKT US'!$F$5:$S$56,14,FALSE)/1000000*'Scenario analysis'!$E$4</f>
        <v>-1.0749491619606668</v>
      </c>
      <c r="BF36" s="79">
        <f>(VLOOKUP($A36,Data!$D$64:$F$114,3,FALSE)+VLOOKUP($A36,Data!$D$64:$I$114,6,FALSE))*VLOOKUP($A36,'VKT US'!$B$63:$AB$113,2,FALSE)*CONVERT(0.9072,"g","ton")*m2k*VLOOKUP($A36,'VKT US'!$F$5:$S$56,14,FALSE)/1000000*'Scenario analysis'!$E$4</f>
        <v>5.229668017444717</v>
      </c>
      <c r="BG36" s="79">
        <f>(VLOOKUP($A36,Data!$D$64:$M$114,4,FALSE)+VLOOKUP($A36,Data!$D$64:$M$114,7,FALSE))*VLOOKUP($A36,'VKT US'!$B$63:$AB$113,2,FALSE)*CONVERT(0.9072,"g","ton")*m2k*VLOOKUP($A36,'VKT US'!$F$5:$S$56,14,FALSE)/1000000*'Scenario analysis'!$E$4</f>
        <v>4.1547188554840506</v>
      </c>
      <c r="BH36" s="79">
        <f t="shared" si="16"/>
        <v>0.84497773091077732</v>
      </c>
      <c r="BI36" s="96">
        <f t="shared" si="17"/>
        <v>13813.387407203305</v>
      </c>
      <c r="BJ36" s="191">
        <f t="shared" si="18"/>
        <v>11672.004747530154</v>
      </c>
      <c r="BK36" s="191">
        <f>(VLOOKUP($A36,'US Grid mix, emissions&amp;prices'!$H$169:$AK$219,30,FALSE)+VLOOKUP($A36,Data!$D$64:$F$114,3,FALSE)*VLOOKUP($A36,'VKT US'!$B$63:$AB$113,27,FALSE)*m2k*CONVERT(0.9072,"g","ton"))*VLOOKUP($A36,'VKT US'!$F$5:$S$56,14,FALSE)/1000000</f>
        <v>47.723650492431716</v>
      </c>
      <c r="BL36" s="191">
        <f>P36*VLOOKUP($A36,'VKT US'!$F$5:$S$56,14,FALSE)/1000000-BK36</f>
        <v>0</v>
      </c>
      <c r="BM36" s="191">
        <v>4.5806224049775572</v>
      </c>
      <c r="BN36" s="191">
        <v>0.77605436348097534</v>
      </c>
      <c r="BO36" s="191" cm="1">
        <f t="array" ref="BO36">_xlfn.IFS(AND(Q36&gt;0,R36&gt;0),R36/Q36,AND(Q36&gt;0,R36&lt;=0),-R36/Q36,Q36&lt;=0,0)</f>
        <v>81.004427494700607</v>
      </c>
      <c r="BP36" s="212" cm="1">
        <f t="array" ref="BP36">_xlfn.IFS(AND(Z36&gt;0,AA36&gt;0),AA36/Z36,AND(Z36&gt;0,AA36&lt;=0),AA36/Z36,Z36&lt;=0,0)</f>
        <v>-287.22876447420111</v>
      </c>
      <c r="BQ36" s="191">
        <f>P36*1000000/(VLOOKUP($A36,'VKT US'!$B$63:$AB$113,27,FALSE)*m2k)</f>
        <v>160.21202381998424</v>
      </c>
      <c r="BR36" s="191">
        <f>Y36*1000000/(VLOOKUP($A36,'VKT US'!$B$63:$AB$113,27,FALSE)*m2k)</f>
        <v>162.47397352893685</v>
      </c>
      <c r="BS36" s="191">
        <f>H36*1000000/(VLOOKUP($A36,'VKT US'!$B$63:$AB$113,27,FALSE)*m2k)</f>
        <v>246.82801971932162</v>
      </c>
      <c r="BT36" s="95"/>
      <c r="BU36" s="10">
        <f t="shared" si="10"/>
        <v>98050.523542576251</v>
      </c>
      <c r="BV36" s="10">
        <f t="shared" si="11"/>
        <v>107341.56748661415</v>
      </c>
      <c r="BW36" s="10">
        <f t="shared" si="12"/>
        <v>91222.648207705992</v>
      </c>
      <c r="BX36" s="10">
        <f t="shared" si="13"/>
        <v>99790.149589169916</v>
      </c>
      <c r="BY36" s="53">
        <f t="shared" si="14"/>
        <v>101100.40929383134</v>
      </c>
      <c r="BZ36" s="79">
        <f t="shared" si="15"/>
        <v>38.44404962980262</v>
      </c>
      <c r="CA36" s="96">
        <f>VLOOKUP($A36,'TCO Inputs'!$Y$114:$AT$164,22,FALSE)</f>
        <v>97983.994767623575</v>
      </c>
      <c r="CB36" s="211">
        <f>CA36*VLOOKUP($A36,'VKT US'!$F$5:$S$56,14,FALSE)/(10^9)</f>
        <v>78.132437427703039</v>
      </c>
    </row>
    <row r="37" spans="1:80" x14ac:dyDescent="0.25">
      <c r="A37" s="83" t="s">
        <v>217</v>
      </c>
      <c r="B37" s="150">
        <f>VLOOKUP($A37,'TCO Inputs'!$A$3:$AG$53,10,FALSE)</f>
        <v>23731.611795719989</v>
      </c>
      <c r="C37" s="71">
        <f>VLOOKUP($A37,'TCO Inputs'!$A$3:$AG$53,14,FALSE)</f>
        <v>18853.742286679317</v>
      </c>
      <c r="D37" s="71">
        <f>VLOOKUP($A37,'TCO Inputs'!$A$3:$AG$53,18,FALSE)</f>
        <v>24344.418695375447</v>
      </c>
      <c r="E37" s="71">
        <f>VLOOKUP($A37,'TCO Inputs'!$A$3:$AG$53,22,FALSE)</f>
        <v>21445.957996276913</v>
      </c>
      <c r="F37" s="71">
        <f>VLOOKUP($A37,'TCO Inputs'!$A$3:$AG$53,26,FALSE)</f>
        <v>0</v>
      </c>
      <c r="G37" s="65">
        <f>VLOOKUP($A37,'TCO Inputs'!$A$3:$AG$53,30,FALSE)</f>
        <v>88375.730774051655</v>
      </c>
      <c r="H37" s="95">
        <f>(VLOOKUP($A37,Data!$D$64:$M$112,5,FALSE)+VLOOKUP($A37,Data!$D$64:$M$112,8,FALSE))*VLOOKUP($A37,'VKT US'!$B$63:$AB$113,27,FALSE)*CONVERT(0.9072,"g","ton")*m2k</f>
        <v>72.502572513806712</v>
      </c>
      <c r="I37" s="92"/>
      <c r="J37" s="144">
        <f>VLOOKUP($A37,'TCO Inputs'!$A$3:$AG$53,11,FALSE)</f>
        <v>40967.546942691188</v>
      </c>
      <c r="K37" s="65">
        <f>VLOOKUP($A37,'TCO Inputs'!$A$3:$AG$53,15,FALSE)</f>
        <v>12935.080347317693</v>
      </c>
      <c r="L37" s="65">
        <f>VLOOKUP($A37,'TCO Inputs'!$A$3:$AG$53,19,FALSE)</f>
        <v>15159.148662794076</v>
      </c>
      <c r="M37" s="65">
        <f>VLOOKUP($A37,'TCO Inputs'!$A$3:$AG$53,23,FALSE)</f>
        <v>25977.916400046801</v>
      </c>
      <c r="N37" s="65">
        <f>VLOOKUP($A37,'TCO Inputs'!$A$3:$AG$53,27,FALSE)</f>
        <v>0</v>
      </c>
      <c r="O37" s="65">
        <f>VLOOKUP($A37,'TCO Inputs'!$A$3:$AG$53,31,FALSE)</f>
        <v>95039.692352849757</v>
      </c>
      <c r="P37" s="7">
        <f>VLOOKUP($A37,_xlfn.IFS('Scenario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analysis'!$Q$121:$R$126),2,FALSE)+VLOOKUP($A37,Data!$D$64:$F$114,3,FALSE)*VLOOKUP($A37,'VKT US'!$B$63:$AB$113,27,FALSE)*m2k*CONVERT(0.9072,"g","ton")</f>
        <v>42.09849866285272</v>
      </c>
      <c r="Q37" s="95">
        <f t="shared" si="3"/>
        <v>30.404073850953992</v>
      </c>
      <c r="R37" s="60">
        <f t="shared" si="4"/>
        <v>6663.961578798102</v>
      </c>
      <c r="S37" s="144">
        <f>VLOOKUP($A37,'TCO Inputs'!$A$3:$AG$53,12,FALSE)</f>
        <v>25202.087524607668</v>
      </c>
      <c r="T37" s="65">
        <f>VLOOKUP($A37,'TCO Inputs'!$A$3:$AG$53,16,FALSE)</f>
        <v>11602.302945648811</v>
      </c>
      <c r="U37" s="65">
        <f>VLOOKUP($A37,'TCO Inputs'!$A$3:$AG$53,20,FALSE)</f>
        <v>22376.146545536583</v>
      </c>
      <c r="V37" s="65">
        <f>VLOOKUP($A37,'TCO Inputs'!$A$3:$AG$53,24,FALSE)</f>
        <v>22348.252725986644</v>
      </c>
      <c r="W37" s="65">
        <f>VLOOKUP($A37,'TCO Inputs'!$A$3:$AG$53,28,FALSE)</f>
        <v>0</v>
      </c>
      <c r="X37" s="65">
        <f>VLOOKUP($A37,'TCO Inputs'!$A$3:$AG$53,32,FALSE)</f>
        <v>81528.789741779707</v>
      </c>
      <c r="Y37" s="7">
        <f>(VLOOKUP($A37,Data!$D$64:$M$112,4,FALSE)+VLOOKUP($A37,Data!$D$64:$M$112,7,FALSE))*VLOOKUP($A37,'VKT US'!$B$63:$AB$113,27,FALSE)*CONVERT(0.9072,"g","ton")*m2k</f>
        <v>47.807410576952471</v>
      </c>
      <c r="Z37" s="95">
        <f t="shared" si="5"/>
        <v>24.695161936854241</v>
      </c>
      <c r="AA37" s="118">
        <f t="shared" si="6"/>
        <v>-6846.9410322719486</v>
      </c>
      <c r="AB37" s="144">
        <f>VLOOKUP($A37,'TCO Inputs'!$A$3:$AG$53,13,FALSE)</f>
        <v>28460.759801658827</v>
      </c>
      <c r="AC37" s="65">
        <f>VLOOKUP($A37,'TCO Inputs'!$A$3:$AG$53,17,FALSE)</f>
        <v>17248.943688280884</v>
      </c>
      <c r="AD37" s="65">
        <f>VLOOKUP($A37,'TCO Inputs'!$A$3:$AG$53,21,FALSE)</f>
        <v>22376.146545536583</v>
      </c>
      <c r="AE37" s="65">
        <f>VLOOKUP($A37,'TCO Inputs'!$A$3:$AG$53,25,FALSE)</f>
        <v>22562.785225986645</v>
      </c>
      <c r="AF37" s="65">
        <f>VLOOKUP($A37,'TCO Inputs'!$A$3:$AG$53,29,FALSE)</f>
        <v>0</v>
      </c>
      <c r="AG37" s="65">
        <f>VLOOKUP($A37,'TCO Inputs'!$A$3:$AG$53,33,FALSE)</f>
        <v>90648.635261462943</v>
      </c>
      <c r="AH37" s="7">
        <f>(VLOOKUP($A37,Data!$D$64:$M$112,9,FALSE)+VLOOKUP($A37,Data!$D$64:$M$112,10,FALSE))*VLOOKUP($A37,'VKT US'!$B$63:$AB$113,27,FALSE)*CONVERT(0.9072,"g","ton")*m2k</f>
        <v>33.568549260675653</v>
      </c>
      <c r="AI37" s="95">
        <f t="shared" si="7"/>
        <v>38.934023253131059</v>
      </c>
      <c r="AJ37" s="186">
        <f t="shared" si="8"/>
        <v>2272.9044874112878</v>
      </c>
      <c r="AK37" s="188">
        <f>VLOOKUP($A37,'TCO Inputs'!$A$3:$AT$53,40,FALSE)</f>
        <v>30376.676612640622</v>
      </c>
      <c r="AL37" s="188">
        <f>VLOOKUP($A37,'TCO Inputs'!$A$3:$AT$53,41,FALSE)</f>
        <v>11571.420922400561</v>
      </c>
      <c r="AM37" s="188">
        <f>VLOOKUP($A37,'TCO Inputs'!$A$3:$AT$53,42,FALSE)</f>
        <v>21561.068169729242</v>
      </c>
      <c r="AN37" s="188">
        <f>VLOOKUP($A37,'TCO Inputs'!$A$3:$AT$53,43,FALSE)</f>
        <v>25397.453900046799</v>
      </c>
      <c r="AO37" s="188">
        <f>VLOOKUP($A37,'TCO Inputs'!$A$3:$AT$53,44,FALSE)</f>
        <v>0</v>
      </c>
      <c r="AP37" s="188">
        <f>VLOOKUP($A37,'TCO Inputs'!$A$3:$AT$53,45,FALSE)</f>
        <v>88906.619604817213</v>
      </c>
      <c r="AQ37" s="96">
        <f>(VLOOKUP($A37,Data!$D$64:$O$114,11,FALSE)+VLOOKUP($A37,'Fuel economy adjusted factor'!$A$2:$L$52,12,FALSE)*(1-'TCO Inputs'!$BD$9))*VLOOKUP($A37,'VKT US'!$B$63:$AB$113,27,FALSE)*CONVERT(0.9072,"g","ton")*m2k+VLOOKUP($A37,'US Grid mix, emissions&amp;prices'!$H$224:$AK$274,30,FALSE)</f>
        <v>43.298378485787268</v>
      </c>
      <c r="AR37" s="96">
        <f t="shared" si="9"/>
        <v>29.204194028019444</v>
      </c>
      <c r="AS37" s="60">
        <f>VLOOKUP($A37,'TCO Inputs'!$A$3:$AT$53,46,FALSE)</f>
        <v>530.88883076555794</v>
      </c>
      <c r="AT37" s="98">
        <f>(VLOOKUP($A37,Data!$D$64:$M$112,5,FALSE)+VLOOKUP($A37,Data!$D$64:$M$112,8,FALSE))*VLOOKUP($A37,'VKT US'!$B$63:$AB$113,2,FALSE)*CONVERT(0.9072,"g","ton")*m2k*VLOOKUP($A37,'VKT US'!$F$5:$S$56,11,FALSE)/1000000</f>
        <v>55.278230913082943</v>
      </c>
      <c r="AU37" s="98">
        <f>(VLOOKUP($A37,Data!$D$64:$F$114,3,FALSE)+VLOOKUP($A37,Data!$D$64:$I$114,6,FALSE))*VLOOKUP($A37,'VKT US'!$B$63:$AB$113,2,FALSE)*m2k*CONVERT(0.9072,"g","ton")*VLOOKUP($A37,'VKT US'!$F$5:$S$56,2,FALSE)/1000000</f>
        <v>0.23039175863191846</v>
      </c>
      <c r="AV37" s="98">
        <f>(VLOOKUP($A37,Data!$D$64:$M$112,4,FALSE)+VLOOKUP($A37,Data!$D$64:$M$112,7,FALSE))*VLOOKUP($A37,'VKT US'!$B$63:$AB$113,2,FALSE)*CONVERT(0.9072,"g","ton")*m2k*VLOOKUP($A37,'VKT US'!$F$5:$S$56,4,FALSE)/1000000</f>
        <v>0.81999271569684196</v>
      </c>
      <c r="AW37" s="98">
        <f>(VLOOKUP($A37,Data!$D$64:$M$112,9,FALSE)+VLOOKUP($A37,Data!$D$64:$M$112,10,FALSE))*VLOOKUP($A37,'VKT US'!$B$63:$AB$113,2,FALSE)*CONVERT(0.9072,"g","ton")*m2k*VLOOKUP($A37,'VKT US'!$F$5:$S$56,9,FALSE)/1000000</f>
        <v>0</v>
      </c>
      <c r="AX37" s="98">
        <f>H37*VLOOKUP($A37,'VKT US'!$F$5:$S$56,11,FALSE)/1000000</f>
        <v>643.92434752412294</v>
      </c>
      <c r="AY37" s="98">
        <f>P37*VLOOKUP($A37,'VKT US'!$F$5:$S$56,2,FALSE)/1000000</f>
        <v>2.1217643326077766</v>
      </c>
      <c r="AZ37" s="98">
        <f>Y37*VLOOKUP($A37,'VKT US'!$F$5:$S$56,4,FALSE)/1000000</f>
        <v>9.5519206332751025</v>
      </c>
      <c r="BA37" s="98">
        <f>AH37*VLOOKUP($A37,'VKT US'!$F$5:$S$56,9,FALSE)/1000000</f>
        <v>0</v>
      </c>
      <c r="BB37" s="79">
        <f>VLOOKUP($A37,Data!$D$64:$M$112,4,FALSE)+VLOOKUP($A37,Data!$D$64:$M$112,7,FALSE)-(VLOOKUP($A37,Data!$D$64:$F$114,3,FALSE)+VLOOKUP($A37,Data!$D$64:$I$114,6,FALSE))</f>
        <v>-18.030395745153697</v>
      </c>
      <c r="BC37" s="10">
        <f>(Y37-P37)*VLOOKUP($A37,'VKT US'!$F$5:$S$56,14,FALSE)/1000000*'Scenario analysis'!$E$4</f>
        <v>58.90055689134136</v>
      </c>
      <c r="BD37" s="10">
        <f>P37*VLOOKUP($A37,'VKT US'!$F$5:$S$56,14,FALSE)/1000000*'Scenario analysis'!$E$4</f>
        <v>434.34284025425035</v>
      </c>
      <c r="BE37" s="79">
        <f>(VLOOKUP($A37,Data!$D$64:$M$114,4,FALSE)+VLOOKUP($A37,Data!$D$64:$M$114,7,FALSE)-(VLOOKUP($A37,Data!$D$64:$F$114,3,FALSE)+VLOOKUP($A37,Data!$D$64:$I$114,6,FALSE)))*VLOOKUP($A37,'VKT US'!$B$63:$AB$113,2,FALSE)*CONVERT(0.9072,"g","ton")*m2k*VLOOKUP($A37,'VKT US'!$F$5:$S$56,14,FALSE)/1000000*'Scenario analysis'!$E$4</f>
        <v>-4.820215797855087</v>
      </c>
      <c r="BF37" s="79">
        <f>(VLOOKUP($A37,Data!$D$64:$F$114,3,FALSE)+VLOOKUP($A37,Data!$D$64:$I$114,6,FALSE))*VLOOKUP($A37,'VKT US'!$B$63:$AB$113,2,FALSE)*CONVERT(0.9072,"g","ton")*m2k*VLOOKUP($A37,'VKT US'!$F$5:$S$56,14,FALSE)/1000000*'Scenario analysis'!$E$4</f>
        <v>47.163112923275641</v>
      </c>
      <c r="BG37" s="79">
        <f>(VLOOKUP($A37,Data!$D$64:$M$114,4,FALSE)+VLOOKUP($A37,Data!$D$64:$M$114,7,FALSE))*VLOOKUP($A37,'VKT US'!$B$63:$AB$113,2,FALSE)*CONVERT(0.9072,"g","ton")*m2k*VLOOKUP($A37,'VKT US'!$F$5:$S$56,14,FALSE)/1000000*'Scenario analysis'!$E$4</f>
        <v>42.342897125420556</v>
      </c>
      <c r="BH37" s="79">
        <f t="shared" si="16"/>
        <v>5.7089119140997511</v>
      </c>
      <c r="BI37" s="96">
        <f t="shared" si="17"/>
        <v>2366.6335747274547</v>
      </c>
      <c r="BJ37" s="191">
        <f t="shared" si="18"/>
        <v>13510.902611070051</v>
      </c>
      <c r="BK37" s="191">
        <f>(VLOOKUP($A37,'US Grid mix, emissions&amp;prices'!$H$169:$AK$219,30,FALSE)+VLOOKUP($A37,Data!$D$64:$F$114,3,FALSE)*VLOOKUP($A37,'VKT US'!$B$63:$AB$113,27,FALSE)*m2k*CONVERT(0.9072,"g","ton"))*VLOOKUP($A37,'VKT US'!$F$5:$S$56,14,FALSE)/1000000</f>
        <v>434.34284025425035</v>
      </c>
      <c r="BL37" s="191">
        <f>P37*VLOOKUP($A37,'VKT US'!$F$5:$S$56,14,FALSE)/1000000-BK37</f>
        <v>0</v>
      </c>
      <c r="BM37" s="191">
        <v>41.504209841153802</v>
      </c>
      <c r="BN37" s="191">
        <v>6.7662678015850446</v>
      </c>
      <c r="BO37" s="191" cm="1">
        <f t="array" ref="BO37">_xlfn.IFS(AND(Q37&gt;0,R37&gt;0),R37/Q37,AND(Q37&gt;0,R37&lt;=0),-R37/Q37,Q37&lt;=0,0)</f>
        <v>219.17989054578638</v>
      </c>
      <c r="BP37" s="212" cm="1">
        <f t="array" ref="BP37">_xlfn.IFS(AND(Z37&gt;0,AA37&gt;0),AA37/Z37,AND(Z37&gt;0,AA37&lt;=0),AA37/Z37,Z37&lt;=0,0)</f>
        <v>-277.25839781005044</v>
      </c>
      <c r="BQ37" s="191">
        <f>P37*1000000/(VLOOKUP($A37,'VKT US'!$B$63:$AB$113,27,FALSE)*m2k)</f>
        <v>139.47553589490792</v>
      </c>
      <c r="BR37" s="191">
        <f>Y37*1000000/(VLOOKUP($A37,'VKT US'!$B$63:$AB$113,27,FALSE)*m2k)</f>
        <v>158.38959634567865</v>
      </c>
      <c r="BS37" s="191">
        <f>H37*1000000/(VLOOKUP($A37,'VKT US'!$B$63:$AB$113,27,FALSE)*m2k)</f>
        <v>240.20655073967362</v>
      </c>
      <c r="BT37" s="95"/>
      <c r="BU37" s="10">
        <f t="shared" si="10"/>
        <v>98050.523542576251</v>
      </c>
      <c r="BV37" s="10">
        <f t="shared" si="11"/>
        <v>107341.56748661415</v>
      </c>
      <c r="BW37" s="10">
        <f t="shared" si="12"/>
        <v>91222.648207705992</v>
      </c>
      <c r="BX37" s="10">
        <f t="shared" si="13"/>
        <v>99790.149589169916</v>
      </c>
      <c r="BY37" s="53">
        <f t="shared" si="14"/>
        <v>101100.40929383134</v>
      </c>
      <c r="BZ37" s="79">
        <f t="shared" si="15"/>
        <v>38.44404962980262</v>
      </c>
      <c r="CA37" s="96">
        <f>VLOOKUP($A37,'TCO Inputs'!$Y$114:$AT$164,22,FALSE)</f>
        <v>71484.321898416994</v>
      </c>
      <c r="CB37" s="211">
        <f>CA37*VLOOKUP($A37,'VKT US'!$F$5:$S$56,14,FALSE)/(10^9)</f>
        <v>737.52519432253757</v>
      </c>
    </row>
    <row r="38" spans="1:80" x14ac:dyDescent="0.25">
      <c r="A38" s="83" t="s">
        <v>218</v>
      </c>
      <c r="B38" s="150">
        <f>VLOOKUP($A38,'TCO Inputs'!$A$3:$AG$53,10,FALSE)</f>
        <v>23731.611795719989</v>
      </c>
      <c r="C38" s="71">
        <f>VLOOKUP($A38,'TCO Inputs'!$A$3:$AG$53,14,FALSE)</f>
        <v>23168.64286615896</v>
      </c>
      <c r="D38" s="71">
        <f>VLOOKUP($A38,'TCO Inputs'!$A$3:$AG$53,18,FALSE)</f>
        <v>30177.326410523186</v>
      </c>
      <c r="E38" s="71">
        <f>VLOOKUP($A38,'TCO Inputs'!$A$3:$AG$53,22,FALSE)</f>
        <v>33188.736645492434</v>
      </c>
      <c r="F38" s="71">
        <f>VLOOKUP($A38,'TCO Inputs'!$A$3:$AG$53,26,FALSE)</f>
        <v>0</v>
      </c>
      <c r="G38" s="65">
        <f>VLOOKUP($A38,'TCO Inputs'!$A$3:$AG$53,30,FALSE)</f>
        <v>110266.31771789456</v>
      </c>
      <c r="H38" s="95">
        <f>(VLOOKUP($A38,Data!$D$64:$M$112,5,FALSE)+VLOOKUP($A38,Data!$D$64:$M$112,8,FALSE))*VLOOKUP($A38,'VKT US'!$B$63:$AB$113,27,FALSE)*CONVERT(0.9072,"g","ton")*m2k</f>
        <v>89.177362398275847</v>
      </c>
      <c r="I38" s="92"/>
      <c r="J38" s="144">
        <f>VLOOKUP($A38,'TCO Inputs'!$A$3:$AG$53,11,FALSE)</f>
        <v>40967.546942691188</v>
      </c>
      <c r="K38" s="65">
        <f>VLOOKUP($A38,'TCO Inputs'!$A$3:$AG$53,15,FALSE)</f>
        <v>13328.223268699909</v>
      </c>
      <c r="L38" s="65">
        <f>VLOOKUP($A38,'TCO Inputs'!$A$3:$AG$53,19,FALSE)</f>
        <v>18791.27133931869</v>
      </c>
      <c r="M38" s="65">
        <f>VLOOKUP($A38,'TCO Inputs'!$A$3:$AG$53,23,FALSE)</f>
        <v>39657.400397115889</v>
      </c>
      <c r="N38" s="65">
        <f>VLOOKUP($A38,'TCO Inputs'!$A$3:$AG$53,27,FALSE)</f>
        <v>0</v>
      </c>
      <c r="O38" s="65">
        <f>VLOOKUP($A38,'TCO Inputs'!$A$3:$AG$53,31,FALSE)</f>
        <v>112744.44194782566</v>
      </c>
      <c r="P38" s="7">
        <f>VLOOKUP($A38,_xlfn.IFS('Scenario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analysis'!$Q$121:$R$126),2,FALSE)+VLOOKUP($A38,Data!$D$64:$F$114,3,FALSE)*VLOOKUP($A38,'VKT US'!$B$63:$AB$113,27,FALSE)*m2k*CONVERT(0.9072,"g","ton")</f>
        <v>34.567030174308385</v>
      </c>
      <c r="Q38" s="95">
        <f t="shared" si="3"/>
        <v>54.610332223967461</v>
      </c>
      <c r="R38" s="60">
        <f t="shared" si="4"/>
        <v>2478.1242299310979</v>
      </c>
      <c r="S38" s="144">
        <f>VLOOKUP($A38,'TCO Inputs'!$A$3:$AG$53,12,FALSE)</f>
        <v>25202.087524607668</v>
      </c>
      <c r="T38" s="65">
        <f>VLOOKUP($A38,'TCO Inputs'!$A$3:$AG$53,16,FALSE)</f>
        <v>14257.626379174748</v>
      </c>
      <c r="U38" s="65">
        <f>VLOOKUP($A38,'TCO Inputs'!$A$3:$AG$53,20,FALSE)</f>
        <v>27737.457466693653</v>
      </c>
      <c r="V38" s="65">
        <f>VLOOKUP($A38,'TCO Inputs'!$A$3:$AG$53,24,FALSE)</f>
        <v>34585.08472032084</v>
      </c>
      <c r="W38" s="65">
        <f>VLOOKUP($A38,'TCO Inputs'!$A$3:$AG$53,28,FALSE)</f>
        <v>0</v>
      </c>
      <c r="X38" s="65">
        <f>VLOOKUP($A38,'TCO Inputs'!$A$3:$AG$53,32,FALSE)</f>
        <v>101782.25609079692</v>
      </c>
      <c r="Y38" s="7">
        <f>(VLOOKUP($A38,Data!$D$64:$M$112,4,FALSE)+VLOOKUP($A38,Data!$D$64:$M$112,7,FALSE))*VLOOKUP($A38,'VKT US'!$B$63:$AB$113,27,FALSE)*CONVERT(0.9072,"g","ton")*m2k</f>
        <v>58.832234823031293</v>
      </c>
      <c r="Z38" s="95">
        <f t="shared" si="5"/>
        <v>30.345127575244554</v>
      </c>
      <c r="AA38" s="118">
        <f t="shared" si="6"/>
        <v>-8484.0616270976461</v>
      </c>
      <c r="AB38" s="144">
        <f>VLOOKUP($A38,'TCO Inputs'!$A$3:$AG$53,13,FALSE)</f>
        <v>28460.759801658827</v>
      </c>
      <c r="AC38" s="65">
        <f>VLOOKUP($A38,'TCO Inputs'!$A$3:$AG$53,17,FALSE)</f>
        <v>21196.567241434044</v>
      </c>
      <c r="AD38" s="65">
        <f>VLOOKUP($A38,'TCO Inputs'!$A$3:$AG$53,21,FALSE)</f>
        <v>27737.457466693653</v>
      </c>
      <c r="AE38" s="65">
        <f>VLOOKUP($A38,'TCO Inputs'!$A$3:$AG$53,25,FALSE)</f>
        <v>34706.342220320839</v>
      </c>
      <c r="AF38" s="65">
        <f>VLOOKUP($A38,'TCO Inputs'!$A$3:$AG$53,29,FALSE)</f>
        <v>0</v>
      </c>
      <c r="AG38" s="65">
        <f>VLOOKUP($A38,'TCO Inputs'!$A$3:$AG$53,33,FALSE)</f>
        <v>112101.12673010735</v>
      </c>
      <c r="AH38" s="7">
        <f>(VLOOKUP($A38,Data!$D$64:$M$112,9,FALSE)+VLOOKUP($A38,Data!$D$64:$M$112,10,FALSE))*VLOOKUP($A38,'VKT US'!$B$63:$AB$113,27,FALSE)*CONVERT(0.9072,"g","ton")*m2k</f>
        <v>41.611552974134909</v>
      </c>
      <c r="AI38" s="95">
        <f t="shared" si="7"/>
        <v>47.565809424140937</v>
      </c>
      <c r="AJ38" s="186">
        <f t="shared" si="8"/>
        <v>1834.8090122127905</v>
      </c>
      <c r="AK38" s="188">
        <f>VLOOKUP($A38,'TCO Inputs'!$A$3:$AT$53,40,FALSE)</f>
        <v>30376.676612640622</v>
      </c>
      <c r="AL38" s="188">
        <f>VLOOKUP($A38,'TCO Inputs'!$A$3:$AT$53,41,FALSE)</f>
        <v>13005.788209847164</v>
      </c>
      <c r="AM38" s="188">
        <f>VLOOKUP($A38,'TCO Inputs'!$A$3:$AT$53,42,FALSE)</f>
        <v>26727.086814402428</v>
      </c>
      <c r="AN38" s="188">
        <f>VLOOKUP($A38,'TCO Inputs'!$A$3:$AT$53,43,FALSE)</f>
        <v>39329.312897115888</v>
      </c>
      <c r="AO38" s="188">
        <f>VLOOKUP($A38,'TCO Inputs'!$A$3:$AT$53,44,FALSE)</f>
        <v>0</v>
      </c>
      <c r="AP38" s="188">
        <f>VLOOKUP($A38,'TCO Inputs'!$A$3:$AT$53,45,FALSE)</f>
        <v>109438.8645340061</v>
      </c>
      <c r="AQ38" s="96">
        <f>(VLOOKUP($A38,Data!$D$64:$O$114,11,FALSE)+VLOOKUP($A38,'Fuel economy adjusted factor'!$A$2:$L$52,12,FALSE)*(1-'TCO Inputs'!$BD$9))*VLOOKUP($A38,'VKT US'!$B$63:$AB$113,27,FALSE)*CONVERT(0.9072,"g","ton")*m2k+VLOOKUP($A38,'US Grid mix, emissions&amp;prices'!$H$224:$AK$274,30,FALSE)</f>
        <v>44.305338392383746</v>
      </c>
      <c r="AR38" s="96">
        <f t="shared" si="9"/>
        <v>44.872024005892101</v>
      </c>
      <c r="AS38" s="60">
        <f>VLOOKUP($A38,'TCO Inputs'!$A$3:$AT$53,46,FALSE)</f>
        <v>-827.45318388845772</v>
      </c>
      <c r="AT38" s="98">
        <f>(VLOOKUP($A38,Data!$D$64:$M$112,5,FALSE)+VLOOKUP($A38,Data!$D$64:$M$112,8,FALSE))*VLOOKUP($A38,'VKT US'!$B$63:$AB$113,2,FALSE)*CONVERT(0.9072,"g","ton")*m2k*VLOOKUP($A38,'VKT US'!$F$5:$S$56,11,FALSE)/1000000</f>
        <v>27.311018346725135</v>
      </c>
      <c r="AU38" s="98">
        <f>(VLOOKUP($A38,Data!$D$64:$F$114,3,FALSE)+VLOOKUP($A38,Data!$D$64:$I$114,6,FALSE))*VLOOKUP($A38,'VKT US'!$B$63:$AB$113,2,FALSE)*m2k*CONVERT(0.9072,"g","ton")*VLOOKUP($A38,'VKT US'!$F$5:$S$56,2,FALSE)/1000000</f>
        <v>8.2483669345558397E-2</v>
      </c>
      <c r="AV38" s="98">
        <f>(VLOOKUP($A38,Data!$D$64:$M$112,4,FALSE)+VLOOKUP($A38,Data!$D$64:$M$112,7,FALSE))*VLOOKUP($A38,'VKT US'!$B$63:$AB$113,2,FALSE)*CONVERT(0.9072,"g","ton")*m2k*VLOOKUP($A38,'VKT US'!$F$5:$S$56,4,FALSE)/1000000</f>
        <v>0.28484837031557392</v>
      </c>
      <c r="AW38" s="98">
        <f>(VLOOKUP($A38,Data!$D$64:$M$112,9,FALSE)+VLOOKUP($A38,Data!$D$64:$M$112,10,FALSE))*VLOOKUP($A38,'VKT US'!$B$63:$AB$113,2,FALSE)*CONVERT(0.9072,"g","ton")*m2k*VLOOKUP($A38,'VKT US'!$F$5:$S$56,9,FALSE)/1000000</f>
        <v>0</v>
      </c>
      <c r="AX38" s="98">
        <f>H38*VLOOKUP($A38,'VKT US'!$F$5:$S$56,11,FALSE)/1000000</f>
        <v>318.14024035584907</v>
      </c>
      <c r="AY38" s="98">
        <f>P38*VLOOKUP($A38,'VKT US'!$F$5:$S$56,2,FALSE)/1000000</f>
        <v>0.78812828797423118</v>
      </c>
      <c r="AZ38" s="98">
        <f>Y38*VLOOKUP($A38,'VKT US'!$F$5:$S$56,4,FALSE)/1000000</f>
        <v>3.3181380440189647</v>
      </c>
      <c r="BA38" s="98">
        <f>AH38*VLOOKUP($A38,'VKT US'!$F$5:$S$56,9,FALSE)/1000000</f>
        <v>0</v>
      </c>
      <c r="BB38" s="79">
        <f>VLOOKUP($A38,Data!$D$64:$M$112,4,FALSE)+VLOOKUP($A38,Data!$D$64:$M$112,7,FALSE)-(VLOOKUP($A38,Data!$D$64:$F$114,3,FALSE)+VLOOKUP($A38,Data!$D$64:$I$114,6,FALSE))</f>
        <v>44.607565210714682</v>
      </c>
      <c r="BC38" s="10">
        <f>(Y38-P38)*VLOOKUP($A38,'VKT US'!$F$5:$S$56,14,FALSE)/1000000*'Scenario analysis'!$E$4</f>
        <v>104.04677101325895</v>
      </c>
      <c r="BD38" s="10">
        <f>P38*VLOOKUP($A38,'VKT US'!$F$5:$S$56,14,FALSE)/1000000*'Scenario analysis'!$E$4</f>
        <v>148.21996868441693</v>
      </c>
      <c r="BE38" s="79">
        <f>(VLOOKUP($A38,Data!$D$64:$M$114,4,FALSE)+VLOOKUP($A38,Data!$D$64:$M$114,7,FALSE)-(VLOOKUP($A38,Data!$D$64:$F$114,3,FALSE)+VLOOKUP($A38,Data!$D$64:$I$114,6,FALSE)))*VLOOKUP($A38,'VKT US'!$B$63:$AB$113,2,FALSE)*CONVERT(0.9072,"g","ton")*m2k*VLOOKUP($A38,'VKT US'!$F$5:$S$56,14,FALSE)/1000000*'Scenario analysis'!$E$4</f>
        <v>6.1436955043545254</v>
      </c>
      <c r="BF38" s="79">
        <f>(VLOOKUP($A38,Data!$D$64:$F$114,3,FALSE)+VLOOKUP($A38,Data!$D$64:$I$114,6,FALSE))*VLOOKUP($A38,'VKT US'!$B$63:$AB$113,2,FALSE)*CONVERT(0.9072,"g","ton")*m2k*VLOOKUP($A38,'VKT US'!$F$5:$S$56,14,FALSE)/1000000*'Scenario analysis'!$E$4</f>
        <v>15.512356394158768</v>
      </c>
      <c r="BG38" s="79">
        <f>(VLOOKUP($A38,Data!$D$64:$M$114,4,FALSE)+VLOOKUP($A38,Data!$D$64:$M$114,7,FALSE))*VLOOKUP($A38,'VKT US'!$B$63:$AB$113,2,FALSE)*CONVERT(0.9072,"g","ton")*m2k*VLOOKUP($A38,'VKT US'!$F$5:$S$56,14,FALSE)/1000000*'Scenario analysis'!$E$4</f>
        <v>21.65605189851329</v>
      </c>
      <c r="BH38" s="79">
        <f t="shared" si="16"/>
        <v>24.265204648722907</v>
      </c>
      <c r="BI38" s="96">
        <f t="shared" si="17"/>
        <v>451.76564614738129</v>
      </c>
      <c r="BJ38" s="191">
        <f t="shared" si="18"/>
        <v>10962.185857028744</v>
      </c>
      <c r="BK38" s="191">
        <f>(VLOOKUP($A38,'US Grid mix, emissions&amp;prices'!$H$169:$AK$219,30,FALSE)+VLOOKUP($A38,Data!$D$64:$F$114,3,FALSE)*VLOOKUP($A38,'VKT US'!$B$63:$AB$113,27,FALSE)*m2k*CONVERT(0.9072,"g","ton"))*VLOOKUP($A38,'VKT US'!$F$5:$S$56,14,FALSE)/1000000</f>
        <v>148.21996868441693</v>
      </c>
      <c r="BL38" s="191">
        <f>P38*VLOOKUP($A38,'VKT US'!$F$5:$S$56,14,FALSE)/1000000-BK38</f>
        <v>0</v>
      </c>
      <c r="BM38" s="191">
        <v>13.914774711812088</v>
      </c>
      <c r="BN38" s="191">
        <v>1.9102050946614302</v>
      </c>
      <c r="BO38" s="191" cm="1">
        <f t="array" ref="BO38">_xlfn.IFS(AND(Q38&gt;0,R38&gt;0),R38/Q38,AND(Q38&gt;0,R38&lt;=0),-R38/Q38,Q38&lt;=0,0)</f>
        <v>45.378303500660543</v>
      </c>
      <c r="BP38" s="212" cm="1">
        <f t="array" ref="BP38">_xlfn.IFS(AND(Z38&gt;0,AA38&gt;0),AA38/Z38,AND(Z38&gt;0,AA38&lt;=0),AA38/Z38,Z38&lt;=0,0)</f>
        <v>-279.58563054514599</v>
      </c>
      <c r="BQ38" s="191">
        <f>P38*1000000/(VLOOKUP($A38,'VKT US'!$B$63:$AB$113,27,FALSE)*m2k)</f>
        <v>92.38727290449259</v>
      </c>
      <c r="BR38" s="191">
        <f>Y38*1000000/(VLOOKUP($A38,'VKT US'!$B$63:$AB$113,27,FALSE)*m2k)</f>
        <v>157.24086526288733</v>
      </c>
      <c r="BS38" s="191">
        <f>H38*1000000/(VLOOKUP($A38,'VKT US'!$B$63:$AB$113,27,FALSE)*m2k)</f>
        <v>238.34426258914766</v>
      </c>
      <c r="BT38" s="95"/>
      <c r="BU38" s="10">
        <f t="shared" si="10"/>
        <v>98050.523542576251</v>
      </c>
      <c r="BV38" s="10">
        <f t="shared" si="11"/>
        <v>107341.56748661415</v>
      </c>
      <c r="BW38" s="10">
        <f t="shared" si="12"/>
        <v>91222.648207705992</v>
      </c>
      <c r="BX38" s="10">
        <f t="shared" si="13"/>
        <v>99790.149589169916</v>
      </c>
      <c r="BY38" s="53">
        <f t="shared" si="14"/>
        <v>101100.40929383134</v>
      </c>
      <c r="BZ38" s="79">
        <f t="shared" si="15"/>
        <v>38.44404962980262</v>
      </c>
      <c r="CA38" s="96">
        <f>VLOOKUP($A38,'TCO Inputs'!$Y$114:$AT$164,22,FALSE)</f>
        <v>84661.564732769592</v>
      </c>
      <c r="CB38" s="211">
        <f>CA38*VLOOKUP($A38,'VKT US'!$F$5:$S$56,14,FALSE)/(10^9)</f>
        <v>363.02032341764277</v>
      </c>
    </row>
    <row r="39" spans="1:80" x14ac:dyDescent="0.25">
      <c r="A39" s="83" t="s">
        <v>219</v>
      </c>
      <c r="B39" s="150">
        <f>VLOOKUP($A39,'TCO Inputs'!$A$3:$AG$53,10,FALSE)</f>
        <v>23731.611795719989</v>
      </c>
      <c r="C39" s="71">
        <f>VLOOKUP($A39,'TCO Inputs'!$A$3:$AG$53,14,FALSE)</f>
        <v>21755.248749453764</v>
      </c>
      <c r="D39" s="71">
        <f>VLOOKUP($A39,'TCO Inputs'!$A$3:$AG$53,18,FALSE)</f>
        <v>20832.056844102623</v>
      </c>
      <c r="E39" s="71">
        <f>VLOOKUP($A39,'TCO Inputs'!$A$3:$AG$53,22,FALSE)</f>
        <v>24661.994073973579</v>
      </c>
      <c r="F39" s="71">
        <f>VLOOKUP($A39,'TCO Inputs'!$A$3:$AG$53,26,FALSE)</f>
        <v>0</v>
      </c>
      <c r="G39" s="65">
        <f>VLOOKUP($A39,'TCO Inputs'!$A$3:$AG$53,30,FALSE)</f>
        <v>90980.911463249955</v>
      </c>
      <c r="H39" s="95">
        <f>(VLOOKUP($A39,Data!$D$64:$M$112,5,FALSE)+VLOOKUP($A39,Data!$D$64:$M$112,8,FALSE))*VLOOKUP($A39,'VKT US'!$B$63:$AB$113,27,FALSE)*CONVERT(0.9072,"g","ton")*m2k</f>
        <v>62.309277016267231</v>
      </c>
      <c r="I39" s="92"/>
      <c r="J39" s="144">
        <f>VLOOKUP($A39,'TCO Inputs'!$A$3:$AG$53,11,FALSE)</f>
        <v>40967.546942691188</v>
      </c>
      <c r="K39" s="65">
        <f>VLOOKUP($A39,'TCO Inputs'!$A$3:$AG$53,15,FALSE)</f>
        <v>10108.217643092512</v>
      </c>
      <c r="L39" s="65">
        <f>VLOOKUP($A39,'TCO Inputs'!$A$3:$AG$53,19,FALSE)</f>
        <v>12972.018375263902</v>
      </c>
      <c r="M39" s="65">
        <f>VLOOKUP($A39,'TCO Inputs'!$A$3:$AG$53,23,FALSE)</f>
        <v>28807.003623712088</v>
      </c>
      <c r="N39" s="65">
        <f>VLOOKUP($A39,'TCO Inputs'!$A$3:$AG$53,27,FALSE)</f>
        <v>0</v>
      </c>
      <c r="O39" s="65">
        <f>VLOOKUP($A39,'TCO Inputs'!$A$3:$AG$53,31,FALSE)</f>
        <v>92854.786584759684</v>
      </c>
      <c r="P39" s="7">
        <f>VLOOKUP($A39,_xlfn.IFS('Scenario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analysis'!$Q$121:$R$126),2,FALSE)+VLOOKUP($A39,Data!$D$64:$F$114,3,FALSE)*VLOOKUP($A39,'VKT US'!$B$63:$AB$113,27,FALSE)*m2k*CONVERT(0.9072,"g","ton")</f>
        <v>18.958958841388053</v>
      </c>
      <c r="Q39" s="95">
        <f t="shared" si="3"/>
        <v>43.350318174879177</v>
      </c>
      <c r="R39" s="60">
        <f t="shared" si="4"/>
        <v>1873.8751215097291</v>
      </c>
      <c r="S39" s="144">
        <f>VLOOKUP($A39,'TCO Inputs'!$A$3:$AG$53,12,FALSE)</f>
        <v>25202.087524607668</v>
      </c>
      <c r="T39" s="65">
        <f>VLOOKUP($A39,'TCO Inputs'!$A$3:$AG$53,16,FALSE)</f>
        <v>13387.845384279241</v>
      </c>
      <c r="U39" s="65">
        <f>VLOOKUP($A39,'TCO Inputs'!$A$3:$AG$53,20,FALSE)</f>
        <v>19147.762886494322</v>
      </c>
      <c r="V39" s="65">
        <f>VLOOKUP($A39,'TCO Inputs'!$A$3:$AG$53,24,FALSE)</f>
        <v>25699.596930462536</v>
      </c>
      <c r="W39" s="65">
        <f>VLOOKUP($A39,'TCO Inputs'!$A$3:$AG$53,28,FALSE)</f>
        <v>0</v>
      </c>
      <c r="X39" s="65">
        <f>VLOOKUP($A39,'TCO Inputs'!$A$3:$AG$53,32,FALSE)</f>
        <v>83437.29272584377</v>
      </c>
      <c r="Y39" s="7">
        <f>(VLOOKUP($A39,Data!$D$64:$M$112,4,FALSE)+VLOOKUP($A39,Data!$D$64:$M$112,7,FALSE))*VLOOKUP($A39,'VKT US'!$B$63:$AB$113,27,FALSE)*CONVERT(0.9072,"g","ton")*m2k</f>
        <v>41.074691438059901</v>
      </c>
      <c r="Z39" s="95">
        <f t="shared" si="5"/>
        <v>21.23458557820733</v>
      </c>
      <c r="AA39" s="118">
        <f t="shared" si="6"/>
        <v>-7543.6187374061847</v>
      </c>
      <c r="AB39" s="144">
        <f>VLOOKUP($A39,'TCO Inputs'!$A$3:$AG$53,13,FALSE)</f>
        <v>28460.759801658827</v>
      </c>
      <c r="AC39" s="65">
        <f>VLOOKUP($A39,'TCO Inputs'!$A$3:$AG$53,17,FALSE)</f>
        <v>14831.333432380752</v>
      </c>
      <c r="AD39" s="65">
        <f>VLOOKUP($A39,'TCO Inputs'!$A$3:$AG$53,21,FALSE)</f>
        <v>19147.762886494322</v>
      </c>
      <c r="AE39" s="65">
        <f>VLOOKUP($A39,'TCO Inputs'!$A$3:$AG$53,25,FALSE)</f>
        <v>25699.596930462536</v>
      </c>
      <c r="AF39" s="65">
        <f>VLOOKUP($A39,'TCO Inputs'!$A$3:$AG$53,29,FALSE)</f>
        <v>0</v>
      </c>
      <c r="AG39" s="65">
        <f>VLOOKUP($A39,'TCO Inputs'!$A$3:$AG$53,33,FALSE)</f>
        <v>88139.453050996439</v>
      </c>
      <c r="AH39" s="7">
        <f>(VLOOKUP($A39,Data!$D$64:$M$112,9,FALSE)+VLOOKUP($A39,Data!$D$64:$M$112,10,FALSE))*VLOOKUP($A39,'VKT US'!$B$63:$AB$113,27,FALSE)*CONVERT(0.9072,"g","ton")*m2k</f>
        <v>28.725349129215218</v>
      </c>
      <c r="AI39" s="95">
        <f t="shared" si="7"/>
        <v>33.583927887052013</v>
      </c>
      <c r="AJ39" s="186">
        <f t="shared" si="8"/>
        <v>-2841.4584122535161</v>
      </c>
      <c r="AK39" s="188">
        <f>VLOOKUP($A39,'TCO Inputs'!$A$3:$AT$53,40,FALSE)</f>
        <v>30376.676612640622</v>
      </c>
      <c r="AL39" s="188">
        <f>VLOOKUP($A39,'TCO Inputs'!$A$3:$AT$53,41,FALSE)</f>
        <v>11105.377861235793</v>
      </c>
      <c r="AM39" s="188">
        <f>VLOOKUP($A39,'TCO Inputs'!$A$3:$AT$53,42,FALSE)</f>
        <v>18450.282315292894</v>
      </c>
      <c r="AN39" s="188">
        <f>VLOOKUP($A39,'TCO Inputs'!$A$3:$AT$53,43,FALSE)</f>
        <v>28807.003623712088</v>
      </c>
      <c r="AO39" s="188">
        <f>VLOOKUP($A39,'TCO Inputs'!$A$3:$AT$53,44,FALSE)</f>
        <v>0</v>
      </c>
      <c r="AP39" s="188">
        <f>VLOOKUP($A39,'TCO Inputs'!$A$3:$AT$53,45,FALSE)</f>
        <v>88739.3404128814</v>
      </c>
      <c r="AQ39" s="96">
        <f>(VLOOKUP($A39,Data!$D$64:$O$114,11,FALSE)+VLOOKUP($A39,'Fuel economy adjusted factor'!$A$2:$L$52,12,FALSE)*(1-'TCO Inputs'!$BD$9))*VLOOKUP($A39,'VKT US'!$B$63:$AB$113,27,FALSE)*CONVERT(0.9072,"g","ton")*m2k+VLOOKUP($A39,'US Grid mix, emissions&amp;prices'!$H$224:$AK$274,30,FALSE)</f>
        <v>28.256171491093447</v>
      </c>
      <c r="AR39" s="96">
        <f t="shared" si="9"/>
        <v>34.053105525173784</v>
      </c>
      <c r="AS39" s="60">
        <f>VLOOKUP($A39,'TCO Inputs'!$A$3:$AT$53,46,FALSE)</f>
        <v>-2241.571050368555</v>
      </c>
      <c r="AT39" s="98">
        <f>(VLOOKUP($A39,Data!$D$64:$M$112,5,FALSE)+VLOOKUP($A39,Data!$D$64:$M$112,8,FALSE))*VLOOKUP($A39,'VKT US'!$B$63:$AB$113,2,FALSE)*CONVERT(0.9072,"g","ton")*m2k*VLOOKUP($A39,'VKT US'!$F$5:$S$56,11,FALSE)/1000000</f>
        <v>16.444408108048151</v>
      </c>
      <c r="AU39" s="98">
        <f>(VLOOKUP($A39,Data!$D$64:$F$114,3,FALSE)+VLOOKUP($A39,Data!$D$64:$I$114,6,FALSE))*VLOOKUP($A39,'VKT US'!$B$63:$AB$113,2,FALSE)*m2k*CONVERT(0.9072,"g","ton")*VLOOKUP($A39,'VKT US'!$F$5:$S$56,2,FALSE)/1000000</f>
        <v>0.12410913194322748</v>
      </c>
      <c r="AV39" s="98">
        <f>(VLOOKUP($A39,Data!$D$64:$M$112,4,FALSE)+VLOOKUP($A39,Data!$D$64:$M$112,7,FALSE))*VLOOKUP($A39,'VKT US'!$B$63:$AB$113,2,FALSE)*CONVERT(0.9072,"g","ton")*m2k*VLOOKUP($A39,'VKT US'!$F$5:$S$56,4,FALSE)/1000000</f>
        <v>0.55324378304290989</v>
      </c>
      <c r="AW39" s="98">
        <f>(VLOOKUP($A39,Data!$D$64:$M$112,9,FALSE)+VLOOKUP($A39,Data!$D$64:$M$112,10,FALSE))*VLOOKUP($A39,'VKT US'!$B$63:$AB$113,2,FALSE)*CONVERT(0.9072,"g","ton")*m2k*VLOOKUP($A39,'VKT US'!$F$5:$S$56,9,FALSE)/1000000</f>
        <v>0</v>
      </c>
      <c r="AX39" s="98">
        <f>H39*VLOOKUP($A39,'VKT US'!$F$5:$S$56,11,FALSE)/1000000</f>
        <v>191.55741033111036</v>
      </c>
      <c r="AY39" s="98">
        <f>P39*VLOOKUP($A39,'VKT US'!$F$5:$S$56,2,FALSE)/1000000</f>
        <v>1.2209569493853907</v>
      </c>
      <c r="AZ39" s="98">
        <f>Y39*VLOOKUP($A39,'VKT US'!$F$5:$S$56,4,FALSE)/1000000</f>
        <v>6.4446190866315991</v>
      </c>
      <c r="BA39" s="98">
        <f>AH39*VLOOKUP($A39,'VKT US'!$F$5:$S$56,9,FALSE)/1000000</f>
        <v>0</v>
      </c>
      <c r="BB39" s="79">
        <f>VLOOKUP($A39,Data!$D$64:$M$112,4,FALSE)+VLOOKUP($A39,Data!$D$64:$M$112,7,FALSE)-(VLOOKUP($A39,Data!$D$64:$F$114,3,FALSE)+VLOOKUP($A39,Data!$D$64:$I$114,6,FALSE))</f>
        <v>72.111060051119978</v>
      </c>
      <c r="BC39" s="10">
        <f>(Y39-P39)*VLOOKUP($A39,'VKT US'!$F$5:$S$56,14,FALSE)/1000000*'Scenario analysis'!$E$4</f>
        <v>84.76296832326419</v>
      </c>
      <c r="BD39" s="10">
        <f>P39*VLOOKUP($A39,'VKT US'!$F$5:$S$56,14,FALSE)/1000000*'Scenario analysis'!$E$4</f>
        <v>72.664001551387997</v>
      </c>
      <c r="BE39" s="79">
        <f>(VLOOKUP($A39,Data!$D$64:$M$114,4,FALSE)+VLOOKUP($A39,Data!$D$64:$M$114,7,FALSE)-(VLOOKUP($A39,Data!$D$64:$F$114,3,FALSE)+VLOOKUP($A39,Data!$D$64:$I$114,6,FALSE)))*VLOOKUP($A39,'VKT US'!$B$63:$AB$113,2,FALSE)*CONVERT(0.9072,"g","ton")*m2k*VLOOKUP($A39,'VKT US'!$F$5:$S$56,14,FALSE)/1000000*'Scenario analysis'!$E$4</f>
        <v>6.1282237490828093</v>
      </c>
      <c r="BF39" s="79">
        <f>(VLOOKUP($A39,Data!$D$64:$F$114,3,FALSE)+VLOOKUP($A39,Data!$D$64:$I$114,6,FALSE))*VLOOKUP($A39,'VKT US'!$B$63:$AB$113,2,FALSE)*CONVERT(0.9072,"g","ton")*m2k*VLOOKUP($A39,'VKT US'!$F$5:$S$56,14,FALSE)/1000000*'Scenario analysis'!$E$4</f>
        <v>7.3862277950125446</v>
      </c>
      <c r="BG39" s="79">
        <f>(VLOOKUP($A39,Data!$D$64:$M$114,4,FALSE)+VLOOKUP($A39,Data!$D$64:$M$114,7,FALSE))*VLOOKUP($A39,'VKT US'!$B$63:$AB$113,2,FALSE)*CONVERT(0.9072,"g","ton")*m2k*VLOOKUP($A39,'VKT US'!$F$5:$S$56,14,FALSE)/1000000*'Scenario analysis'!$E$4</f>
        <v>13.514451544095355</v>
      </c>
      <c r="BH39" s="79">
        <f t="shared" si="16"/>
        <v>22.115732596671847</v>
      </c>
      <c r="BI39" s="96">
        <f t="shared" si="17"/>
        <v>425.82780460698524</v>
      </c>
      <c r="BJ39" s="191">
        <f t="shared" si="18"/>
        <v>9417.4938589159137</v>
      </c>
      <c r="BK39" s="191">
        <f>(VLOOKUP($A39,'US Grid mix, emissions&amp;prices'!$H$169:$AK$219,30,FALSE)+VLOOKUP($A39,Data!$D$64:$F$114,3,FALSE)*VLOOKUP($A39,'VKT US'!$B$63:$AB$113,27,FALSE)*m2k*CONVERT(0.9072,"g","ton"))*VLOOKUP($A39,'VKT US'!$F$5:$S$56,14,FALSE)/1000000</f>
        <v>72.664001551387997</v>
      </c>
      <c r="BL39" s="191">
        <f>P39*VLOOKUP($A39,'VKT US'!$F$5:$S$56,14,FALSE)/1000000-BK39</f>
        <v>0</v>
      </c>
      <c r="BM39" s="191">
        <v>6.7282816711731011</v>
      </c>
      <c r="BN39" s="191">
        <v>0.78669657499122003</v>
      </c>
      <c r="BO39" s="191" cm="1">
        <f t="array" ref="BO39">_xlfn.IFS(AND(Q39&gt;0,R39&gt;0),R39/Q39,AND(Q39&gt;0,R39&lt;=0),-R39/Q39,Q39&lt;=0,0)</f>
        <v>43.226329134433207</v>
      </c>
      <c r="BP39" s="212" cm="1">
        <f t="array" ref="BP39">_xlfn.IFS(AND(Z39&gt;0,AA39&gt;0),AA39/Z39,AND(Z39&gt;0,AA39&lt;=0),AA39/Z39,Z39&lt;=0,0)</f>
        <v>-355.25151690024336</v>
      </c>
      <c r="BQ39" s="191">
        <f>P39*1000000/(VLOOKUP($A39,'VKT US'!$B$63:$AB$113,27,FALSE)*m2k)</f>
        <v>73.402892034455718</v>
      </c>
      <c r="BR39" s="191">
        <f>Y39*1000000/(VLOOKUP($A39,'VKT US'!$B$63:$AB$113,27,FALSE)*m2k)</f>
        <v>159.02778028056284</v>
      </c>
      <c r="BS39" s="191">
        <f>H39*1000000/(VLOOKUP($A39,'VKT US'!$B$63:$AB$113,27,FALSE)*m2k)</f>
        <v>241.24115526774364</v>
      </c>
      <c r="BT39" s="95"/>
      <c r="BU39" s="10">
        <f t="shared" si="10"/>
        <v>98050.523542576251</v>
      </c>
      <c r="BV39" s="10">
        <f t="shared" si="11"/>
        <v>107341.56748661415</v>
      </c>
      <c r="BW39" s="10">
        <f t="shared" si="12"/>
        <v>91222.648207705992</v>
      </c>
      <c r="BX39" s="10">
        <f t="shared" si="13"/>
        <v>99790.149589169916</v>
      </c>
      <c r="BY39" s="53">
        <f t="shared" si="14"/>
        <v>101100.40929383134</v>
      </c>
      <c r="BZ39" s="79">
        <f t="shared" si="15"/>
        <v>38.44404962980262</v>
      </c>
      <c r="CA39" s="96">
        <f>VLOOKUP($A39,'TCO Inputs'!$Y$114:$AT$164,22,FALSE)</f>
        <v>62400.544107071684</v>
      </c>
      <c r="CB39" s="211">
        <f>CA39*VLOOKUP($A39,'VKT US'!$F$5:$S$56,14,FALSE)/(10^9)</f>
        <v>239.16256539917364</v>
      </c>
    </row>
    <row r="40" spans="1:80" x14ac:dyDescent="0.25">
      <c r="A40" s="83" t="s">
        <v>220</v>
      </c>
      <c r="B40" s="150">
        <f>VLOOKUP($A40,'TCO Inputs'!$A$3:$AG$53,10,FALSE)</f>
        <v>23731.611795719989</v>
      </c>
      <c r="C40" s="71">
        <f>VLOOKUP($A40,'TCO Inputs'!$A$3:$AG$53,14,FALSE)</f>
        <v>16050.768084013602</v>
      </c>
      <c r="D40" s="71">
        <f>VLOOKUP($A40,'TCO Inputs'!$A$3:$AG$53,18,FALSE)</f>
        <v>19514.068634862866</v>
      </c>
      <c r="E40" s="71">
        <f>VLOOKUP($A40,'TCO Inputs'!$A$3:$AG$53,22,FALSE)</f>
        <v>31297.405533659792</v>
      </c>
      <c r="F40" s="71">
        <f>VLOOKUP($A40,'TCO Inputs'!$A$3:$AG$53,26,FALSE)</f>
        <v>0</v>
      </c>
      <c r="G40" s="65">
        <f>VLOOKUP($A40,'TCO Inputs'!$A$3:$AG$53,30,FALSE)</f>
        <v>90593.854048256253</v>
      </c>
      <c r="H40" s="95">
        <f>(VLOOKUP($A40,Data!$D$64:$M$112,5,FALSE)+VLOOKUP($A40,Data!$D$64:$M$112,8,FALSE))*VLOOKUP($A40,'VKT US'!$B$63:$AB$113,27,FALSE)*CONVERT(0.9072,"g","ton")*m2k</f>
        <v>58.267009603887182</v>
      </c>
      <c r="I40" s="92"/>
      <c r="J40" s="144">
        <f>VLOOKUP($A40,'TCO Inputs'!$A$3:$AG$53,11,FALSE)</f>
        <v>40967.546942691188</v>
      </c>
      <c r="K40" s="65">
        <f>VLOOKUP($A40,'TCO Inputs'!$A$3:$AG$53,15,FALSE)</f>
        <v>11277.885067746691</v>
      </c>
      <c r="L40" s="65">
        <f>VLOOKUP($A40,'TCO Inputs'!$A$3:$AG$53,19,FALSE)</f>
        <v>12151.313660574182</v>
      </c>
      <c r="M40" s="65">
        <f>VLOOKUP($A40,'TCO Inputs'!$A$3:$AG$53,23,FALSE)</f>
        <v>38354.819667272779</v>
      </c>
      <c r="N40" s="65">
        <f>VLOOKUP($A40,'TCO Inputs'!$A$3:$AG$53,27,FALSE)</f>
        <v>0</v>
      </c>
      <c r="O40" s="65">
        <f>VLOOKUP($A40,'TCO Inputs'!$A$3:$AG$53,31,FALSE)</f>
        <v>102751.56533828484</v>
      </c>
      <c r="P40" s="7">
        <f>VLOOKUP($A40,_xlfn.IFS('Scenario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analysis'!$Q$121:$R$126),2,FALSE)+VLOOKUP($A40,Data!$D$64:$F$114,3,FALSE)*VLOOKUP($A40,'VKT US'!$B$63:$AB$113,27,FALSE)*m2k*CONVERT(0.9072,"g","ton")</f>
        <v>24.545192672323981</v>
      </c>
      <c r="Q40" s="95">
        <f t="shared" si="3"/>
        <v>33.721816931563197</v>
      </c>
      <c r="R40" s="60">
        <f t="shared" si="4"/>
        <v>12157.711290028587</v>
      </c>
      <c r="S40" s="144">
        <f>VLOOKUP($A40,'TCO Inputs'!$A$3:$AG$53,12,FALSE)</f>
        <v>25202.087524607668</v>
      </c>
      <c r="T40" s="65">
        <f>VLOOKUP($A40,'TCO Inputs'!$A$3:$AG$53,16,FALSE)</f>
        <v>9877.3957440083705</v>
      </c>
      <c r="U40" s="65">
        <f>VLOOKUP($A40,'TCO Inputs'!$A$3:$AG$53,20,FALSE)</f>
        <v>17936.33542608672</v>
      </c>
      <c r="V40" s="65">
        <f>VLOOKUP($A40,'TCO Inputs'!$A$3:$AG$53,24,FALSE)</f>
        <v>32614.179728196217</v>
      </c>
      <c r="W40" s="65">
        <f>VLOOKUP($A40,'TCO Inputs'!$A$3:$AG$53,28,FALSE)</f>
        <v>0</v>
      </c>
      <c r="X40" s="65">
        <f>VLOOKUP($A40,'TCO Inputs'!$A$3:$AG$53,32,FALSE)</f>
        <v>85629.998422898978</v>
      </c>
      <c r="Y40" s="7">
        <f>(VLOOKUP($A40,Data!$D$64:$M$112,4,FALSE)+VLOOKUP($A40,Data!$D$64:$M$112,7,FALSE))*VLOOKUP($A40,'VKT US'!$B$63:$AB$113,27,FALSE)*CONVERT(0.9072,"g","ton")*m2k</f>
        <v>38.414243967296741</v>
      </c>
      <c r="Z40" s="95">
        <f t="shared" si="5"/>
        <v>19.852765636590441</v>
      </c>
      <c r="AA40" s="118">
        <f t="shared" si="6"/>
        <v>-4963.8556253572751</v>
      </c>
      <c r="AB40" s="144">
        <f>VLOOKUP($A40,'TCO Inputs'!$A$3:$AG$53,13,FALSE)</f>
        <v>28460.759801658827</v>
      </c>
      <c r="AC40" s="65">
        <f>VLOOKUP($A40,'TCO Inputs'!$A$3:$AG$53,17,FALSE)</f>
        <v>13866.37992193611</v>
      </c>
      <c r="AD40" s="65">
        <f>VLOOKUP($A40,'TCO Inputs'!$A$3:$AG$53,21,FALSE)</f>
        <v>17936.33542608672</v>
      </c>
      <c r="AE40" s="65">
        <f>VLOOKUP($A40,'TCO Inputs'!$A$3:$AG$53,25,FALSE)</f>
        <v>32838.039728196221</v>
      </c>
      <c r="AF40" s="65">
        <f>VLOOKUP($A40,'TCO Inputs'!$A$3:$AG$53,29,FALSE)</f>
        <v>0</v>
      </c>
      <c r="AG40" s="65">
        <f>VLOOKUP($A40,'TCO Inputs'!$A$3:$AG$53,33,FALSE)</f>
        <v>93101.514877877882</v>
      </c>
      <c r="AH40" s="7">
        <f>(VLOOKUP($A40,Data!$D$64:$M$112,9,FALSE)+VLOOKUP($A40,Data!$D$64:$M$112,10,FALSE))*VLOOKUP($A40,'VKT US'!$B$63:$AB$113,27,FALSE)*CONVERT(0.9072,"g","ton")*m2k</f>
        <v>26.90797354590508</v>
      </c>
      <c r="AI40" s="95">
        <f t="shared" si="7"/>
        <v>31.359036057982102</v>
      </c>
      <c r="AJ40" s="186">
        <f t="shared" si="8"/>
        <v>2507.6608296216291</v>
      </c>
      <c r="AK40" s="188">
        <f>VLOOKUP($A40,'TCO Inputs'!$A$3:$AT$53,40,FALSE)</f>
        <v>30376.676612640622</v>
      </c>
      <c r="AL40" s="188">
        <f>VLOOKUP($A40,'TCO Inputs'!$A$3:$AT$53,41,FALSE)</f>
        <v>9976.0130553605304</v>
      </c>
      <c r="AM40" s="188">
        <f>VLOOKUP($A40,'TCO Inputs'!$A$3:$AT$53,42,FALSE)</f>
        <v>17282.982574768957</v>
      </c>
      <c r="AN40" s="188">
        <f>VLOOKUP($A40,'TCO Inputs'!$A$3:$AT$53,43,FALSE)</f>
        <v>37749.119667272782</v>
      </c>
      <c r="AO40" s="188">
        <f>VLOOKUP($A40,'TCO Inputs'!$A$3:$AT$53,44,FALSE)</f>
        <v>0</v>
      </c>
      <c r="AP40" s="188">
        <f>VLOOKUP($A40,'TCO Inputs'!$A$3:$AT$53,45,FALSE)</f>
        <v>95384.791910042899</v>
      </c>
      <c r="AQ40" s="96">
        <f>(VLOOKUP($A40,Data!$D$64:$O$114,11,FALSE)+VLOOKUP($A40,'Fuel economy adjusted factor'!$A$2:$L$52,12,FALSE)*(1-'TCO Inputs'!$BD$9))*VLOOKUP($A40,'VKT US'!$B$63:$AB$113,27,FALSE)*CONVERT(0.9072,"g","ton")*m2k+VLOOKUP($A40,'US Grid mix, emissions&amp;prices'!$H$224:$AK$274,30,FALSE)</f>
        <v>29.967475936389768</v>
      </c>
      <c r="AR40" s="96">
        <f t="shared" si="9"/>
        <v>28.299533667497414</v>
      </c>
      <c r="AS40" s="60">
        <f>VLOOKUP($A40,'TCO Inputs'!$A$3:$AT$53,46,FALSE)</f>
        <v>4790.937861786646</v>
      </c>
      <c r="AT40" s="98">
        <f>(VLOOKUP($A40,Data!$D$64:$M$112,5,FALSE)+VLOOKUP($A40,Data!$D$64:$M$112,8,FALSE))*VLOOKUP($A40,'VKT US'!$B$63:$AB$113,2,FALSE)*CONVERT(0.9072,"g","ton")*m2k*VLOOKUP($A40,'VKT US'!$F$5:$S$56,11,FALSE)/1000000</f>
        <v>44.449602022833886</v>
      </c>
      <c r="AU40" s="98">
        <f>(VLOOKUP($A40,Data!$D$64:$F$114,3,FALSE)+VLOOKUP($A40,Data!$D$64:$I$114,6,FALSE))*VLOOKUP($A40,'VKT US'!$B$63:$AB$113,2,FALSE)*m2k*CONVERT(0.9072,"g","ton")*VLOOKUP($A40,'VKT US'!$F$5:$S$56,2,FALSE)/1000000</f>
        <v>0.18212321831499034</v>
      </c>
      <c r="AV40" s="98">
        <f>(VLOOKUP($A40,Data!$D$64:$M$112,4,FALSE)+VLOOKUP($A40,Data!$D$64:$M$112,7,FALSE))*VLOOKUP($A40,'VKT US'!$B$63:$AB$113,2,FALSE)*CONVERT(0.9072,"g","ton")*m2k*VLOOKUP($A40,'VKT US'!$F$5:$S$56,4,FALSE)/1000000</f>
        <v>0.80925639080898892</v>
      </c>
      <c r="AW40" s="98">
        <f>(VLOOKUP($A40,Data!$D$64:$M$112,9,FALSE)+VLOOKUP($A40,Data!$D$64:$M$112,10,FALSE))*VLOOKUP($A40,'VKT US'!$B$63:$AB$113,2,FALSE)*CONVERT(0.9072,"g","ton")*m2k*VLOOKUP($A40,'VKT US'!$F$5:$S$56,9,FALSE)/1000000</f>
        <v>0</v>
      </c>
      <c r="AX40" s="98">
        <f>H40*VLOOKUP($A40,'VKT US'!$F$5:$S$56,11,FALSE)/1000000</f>
        <v>517.78395414398301</v>
      </c>
      <c r="AY40" s="98">
        <f>P40*VLOOKUP($A40,'VKT US'!$F$5:$S$56,2,FALSE)/1000000</f>
        <v>1.7230725255971435</v>
      </c>
      <c r="AZ40" s="98">
        <f>Y40*VLOOKUP($A40,'VKT US'!$F$5:$S$56,4,FALSE)/1000000</f>
        <v>9.4268554695746207</v>
      </c>
      <c r="BA40" s="98">
        <f>AH40*VLOOKUP($A40,'VKT US'!$F$5:$S$56,9,FALSE)/1000000</f>
        <v>0</v>
      </c>
      <c r="BB40" s="79">
        <f>VLOOKUP($A40,Data!$D$64:$M$112,4,FALSE)+VLOOKUP($A40,Data!$D$64:$M$112,7,FALSE)-(VLOOKUP($A40,Data!$D$64:$F$114,3,FALSE)+VLOOKUP($A40,Data!$D$64:$I$114,6,FALSE))</f>
        <v>33.863456319594576</v>
      </c>
      <c r="BC40" s="10">
        <f>(Y40-P40)*VLOOKUP($A40,'VKT US'!$F$5:$S$56,14,FALSE)/1000000*'Scenario analysis'!$E$4</f>
        <v>141.61688277296687</v>
      </c>
      <c r="BD40" s="10">
        <f>P40*VLOOKUP($A40,'VKT US'!$F$5:$S$56,14,FALSE)/1000000*'Scenario analysis'!$E$4</f>
        <v>250.63096237710016</v>
      </c>
      <c r="BE40" s="79">
        <f>(VLOOKUP($A40,Data!$D$64:$M$114,4,FALSE)+VLOOKUP($A40,Data!$D$64:$M$114,7,FALSE)-(VLOOKUP($A40,Data!$D$64:$F$114,3,FALSE)+VLOOKUP($A40,Data!$D$64:$I$114,6,FALSE)))*VLOOKUP($A40,'VKT US'!$B$63:$AB$113,2,FALSE)*CONVERT(0.9072,"g","ton")*m2k*VLOOKUP($A40,'VKT US'!$F$5:$S$56,14,FALSE)/1000000*'Scenario analysis'!$E$4</f>
        <v>7.1819626509220109</v>
      </c>
      <c r="BF40" s="79">
        <f>(VLOOKUP($A40,Data!$D$64:$F$114,3,FALSE)+VLOOKUP($A40,Data!$D$64:$I$114,6,FALSE))*VLOOKUP($A40,'VKT US'!$B$63:$AB$113,2,FALSE)*CONVERT(0.9072,"g","ton")*m2k*VLOOKUP($A40,'VKT US'!$F$5:$S$56,14,FALSE)/1000000*'Scenario analysis'!$E$4</f>
        <v>26.490885786529436</v>
      </c>
      <c r="BG40" s="79">
        <f>(VLOOKUP($A40,Data!$D$64:$M$114,4,FALSE)+VLOOKUP($A40,Data!$D$64:$M$114,7,FALSE))*VLOOKUP($A40,'VKT US'!$B$63:$AB$113,2,FALSE)*CONVERT(0.9072,"g","ton")*m2k*VLOOKUP($A40,'VKT US'!$F$5:$S$56,14,FALSE)/1000000*'Scenario analysis'!$E$4</f>
        <v>33.672848437451449</v>
      </c>
      <c r="BH40" s="79">
        <f t="shared" si="16"/>
        <v>13.86905129497276</v>
      </c>
      <c r="BI40" s="96">
        <f t="shared" si="17"/>
        <v>1234.5160855805668</v>
      </c>
      <c r="BJ40" s="191">
        <f t="shared" si="18"/>
        <v>17121.566915385862</v>
      </c>
      <c r="BK40" s="191">
        <f>(VLOOKUP($A40,'US Grid mix, emissions&amp;prices'!$H$169:$AK$219,30,FALSE)+VLOOKUP($A40,Data!$D$64:$F$114,3,FALSE)*VLOOKUP($A40,'VKT US'!$B$63:$AB$113,27,FALSE)*m2k*CONVERT(0.9072,"g","ton"))*VLOOKUP($A40,'VKT US'!$F$5:$S$56,14,FALSE)/1000000</f>
        <v>250.63096237710016</v>
      </c>
      <c r="BL40" s="191">
        <f>P40*VLOOKUP($A40,'VKT US'!$F$5:$S$56,14,FALSE)/1000000-BK40</f>
        <v>0</v>
      </c>
      <c r="BM40" s="191">
        <v>23.640253812473389</v>
      </c>
      <c r="BN40" s="191">
        <v>3.4084590353139674</v>
      </c>
      <c r="BO40" s="191" cm="1">
        <f t="array" ref="BO40">_xlfn.IFS(AND(Q40&gt;0,R40&gt;0),R40/Q40,AND(Q40&gt;0,R40&lt;=0),-R40/Q40,Q40&lt;=0,0)</f>
        <v>360.52954426216343</v>
      </c>
      <c r="BP40" s="212" cm="1">
        <f t="array" ref="BP40">_xlfn.IFS(AND(Z40&gt;0,AA40&gt;0),AA40/Z40,AND(Z40&gt;0,AA40&lt;=0),AA40/Z40,Z40&lt;=0,0)</f>
        <v>-250.03345711231492</v>
      </c>
      <c r="BQ40" s="191">
        <f>P40*1000000/(VLOOKUP($A40,'VKT US'!$B$63:$AB$113,27,FALSE)*m2k)</f>
        <v>101.4493939149056</v>
      </c>
      <c r="BR40" s="191">
        <f>Y40*1000000/(VLOOKUP($A40,'VKT US'!$B$63:$AB$113,27,FALSE)*m2k)</f>
        <v>158.77250670660916</v>
      </c>
      <c r="BS40" s="191">
        <f>H40*1000000/(VLOOKUP($A40,'VKT US'!$B$63:$AB$113,27,FALSE)*m2k)</f>
        <v>240.82731345651567</v>
      </c>
      <c r="BT40" s="95"/>
      <c r="BU40" s="10">
        <f t="shared" si="10"/>
        <v>98050.523542576251</v>
      </c>
      <c r="BV40" s="10">
        <f t="shared" si="11"/>
        <v>107341.56748661415</v>
      </c>
      <c r="BW40" s="10">
        <f t="shared" si="12"/>
        <v>91222.648207705992</v>
      </c>
      <c r="BX40" s="10">
        <f t="shared" si="13"/>
        <v>99790.149589169916</v>
      </c>
      <c r="BY40" s="53">
        <f t="shared" si="14"/>
        <v>101100.40929383134</v>
      </c>
      <c r="BZ40" s="79">
        <f t="shared" si="15"/>
        <v>38.44404962980262</v>
      </c>
      <c r="CA40" s="96">
        <f>VLOOKUP($A40,'TCO Inputs'!$Y$114:$AT$164,22,FALSE)</f>
        <v>58001.838018898758</v>
      </c>
      <c r="CB40" s="211">
        <f>CA40*VLOOKUP($A40,'VKT US'!$F$5:$S$56,14,FALSE)/(10^9)</f>
        <v>592.25676801097518</v>
      </c>
    </row>
    <row r="41" spans="1:80" x14ac:dyDescent="0.25">
      <c r="A41" s="83" t="s">
        <v>221</v>
      </c>
      <c r="B41" s="150">
        <f>VLOOKUP($A41,'TCO Inputs'!$A$3:$AG$53,10,FALSE)</f>
        <v>23731.611795719989</v>
      </c>
      <c r="C41" s="71">
        <f>VLOOKUP($A41,'TCO Inputs'!$A$3:$AG$53,14,FALSE)</f>
        <v>13557.157430748486</v>
      </c>
      <c r="D41" s="71">
        <f>VLOOKUP($A41,'TCO Inputs'!$A$3:$AG$53,18,FALSE)</f>
        <v>16983.804077926521</v>
      </c>
      <c r="E41" s="71">
        <f>VLOOKUP($A41,'TCO Inputs'!$A$3:$AG$53,22,FALSE)</f>
        <v>34392.912027481972</v>
      </c>
      <c r="F41" s="71">
        <f>VLOOKUP($A41,'TCO Inputs'!$A$3:$AG$53,26,FALSE)</f>
        <v>0</v>
      </c>
      <c r="G41" s="65">
        <f>VLOOKUP($A41,'TCO Inputs'!$A$3:$AG$53,30,FALSE)</f>
        <v>88665.48533187696</v>
      </c>
      <c r="H41" s="95">
        <f>(VLOOKUP($A41,Data!$D$64:$M$112,5,FALSE)+VLOOKUP($A41,Data!$D$64:$M$112,8,FALSE))*VLOOKUP($A41,'VKT US'!$B$63:$AB$113,27,FALSE)*CONVERT(0.9072,"g","ton")*m2k</f>
        <v>50.537610474226824</v>
      </c>
      <c r="I41" s="92"/>
      <c r="J41" s="144">
        <f>VLOOKUP($A41,'TCO Inputs'!$A$3:$AG$53,11,FALSE)</f>
        <v>40967.546942691188</v>
      </c>
      <c r="K41" s="65">
        <f>VLOOKUP($A41,'TCO Inputs'!$A$3:$AG$53,15,FALSE)</f>
        <v>13607.002010605915</v>
      </c>
      <c r="L41" s="65">
        <f>VLOOKUP($A41,'TCO Inputs'!$A$3:$AG$53,19,FALSE)</f>
        <v>10575.730482567009</v>
      </c>
      <c r="M41" s="65">
        <f>VLOOKUP($A41,'TCO Inputs'!$A$3:$AG$53,23,FALSE)</f>
        <v>43925.331508948533</v>
      </c>
      <c r="N41" s="65">
        <f>VLOOKUP($A41,'TCO Inputs'!$A$3:$AG$53,27,FALSE)</f>
        <v>0</v>
      </c>
      <c r="O41" s="65">
        <f>VLOOKUP($A41,'TCO Inputs'!$A$3:$AG$53,31,FALSE)</f>
        <v>109075.61094481265</v>
      </c>
      <c r="P41" s="7">
        <f>VLOOKUP($A41,_xlfn.IFS('Scenario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analysis'!$Q$121:$R$126),2,FALSE)+VLOOKUP($A41,Data!$D$64:$F$114,3,FALSE)*VLOOKUP($A41,'VKT US'!$B$63:$AB$113,27,FALSE)*m2k*CONVERT(0.9072,"g","ton")</f>
        <v>25.10796855540346</v>
      </c>
      <c r="Q41" s="95">
        <f t="shared" si="3"/>
        <v>25.429641918823364</v>
      </c>
      <c r="R41" s="60">
        <f t="shared" si="4"/>
        <v>20410.125612935692</v>
      </c>
      <c r="S41" s="144">
        <f>VLOOKUP($A41,'TCO Inputs'!$A$3:$AG$53,12,FALSE)</f>
        <v>25202.087524607668</v>
      </c>
      <c r="T41" s="65">
        <f>VLOOKUP($A41,'TCO Inputs'!$A$3:$AG$53,16,FALSE)</f>
        <v>8342.866111229836</v>
      </c>
      <c r="U41" s="65">
        <f>VLOOKUP($A41,'TCO Inputs'!$A$3:$AG$53,20,FALSE)</f>
        <v>15610.645450349479</v>
      </c>
      <c r="V41" s="65">
        <f>VLOOKUP($A41,'TCO Inputs'!$A$3:$AG$53,24,FALSE)</f>
        <v>35839.923313578634</v>
      </c>
      <c r="W41" s="65">
        <f>VLOOKUP($A41,'TCO Inputs'!$A$3:$AG$53,28,FALSE)</f>
        <v>0</v>
      </c>
      <c r="X41" s="65">
        <f>VLOOKUP($A41,'TCO Inputs'!$A$3:$AG$53,32,FALSE)</f>
        <v>84995.522399765614</v>
      </c>
      <c r="Y41" s="7">
        <f>(VLOOKUP($A41,Data!$D$64:$M$112,4,FALSE)+VLOOKUP($A41,Data!$D$64:$M$112,7,FALSE))*VLOOKUP($A41,'VKT US'!$B$63:$AB$113,27,FALSE)*CONVERT(0.9072,"g","ton")*m2k</f>
        <v>33.325806671433661</v>
      </c>
      <c r="Z41" s="95">
        <f t="shared" si="5"/>
        <v>17.211803802793163</v>
      </c>
      <c r="AA41" s="118">
        <f t="shared" si="6"/>
        <v>-3669.9629321113462</v>
      </c>
      <c r="AB41" s="144">
        <f>VLOOKUP($A41,'TCO Inputs'!$A$3:$AG$53,13,FALSE)</f>
        <v>28460.759801658827</v>
      </c>
      <c r="AC41" s="65">
        <f>VLOOKUP($A41,'TCO Inputs'!$A$3:$AG$53,17,FALSE)</f>
        <v>12022.087174637021</v>
      </c>
      <c r="AD41" s="65">
        <f>VLOOKUP($A41,'TCO Inputs'!$A$3:$AG$53,21,FALSE)</f>
        <v>15610.645450349479</v>
      </c>
      <c r="AE41" s="65">
        <f>VLOOKUP($A41,'TCO Inputs'!$A$3:$AG$53,25,FALSE)</f>
        <v>36101.093313578633</v>
      </c>
      <c r="AF41" s="65">
        <f>VLOOKUP($A41,'TCO Inputs'!$A$3:$AG$53,29,FALSE)</f>
        <v>0</v>
      </c>
      <c r="AG41" s="65">
        <f>VLOOKUP($A41,'TCO Inputs'!$A$3:$AG$53,33,FALSE)</f>
        <v>92194.585740223964</v>
      </c>
      <c r="AH41" s="7">
        <f>(VLOOKUP($A41,Data!$D$64:$M$112,9,FALSE)+VLOOKUP($A41,Data!$D$64:$M$112,10,FALSE))*VLOOKUP($A41,'VKT US'!$B$63:$AB$113,27,FALSE)*CONVERT(0.9072,"g","ton")*m2k</f>
        <v>23.4189885968336</v>
      </c>
      <c r="AI41" s="95">
        <f t="shared" si="7"/>
        <v>27.118621877393224</v>
      </c>
      <c r="AJ41" s="186">
        <f t="shared" si="8"/>
        <v>3529.1004083470034</v>
      </c>
      <c r="AK41" s="188">
        <f>VLOOKUP($A41,'TCO Inputs'!$A$3:$AT$53,40,FALSE)</f>
        <v>30376.676612640622</v>
      </c>
      <c r="AL41" s="188">
        <f>VLOOKUP($A41,'TCO Inputs'!$A$3:$AT$53,41,FALSE)</f>
        <v>10370.343861627904</v>
      </c>
      <c r="AM41" s="188">
        <f>VLOOKUP($A41,'TCO Inputs'!$A$3:$AT$53,42,FALSE)</f>
        <v>15042.008687398304</v>
      </c>
      <c r="AN41" s="188">
        <f>VLOOKUP($A41,'TCO Inputs'!$A$3:$AT$53,43,FALSE)</f>
        <v>43218.681508948532</v>
      </c>
      <c r="AO41" s="188">
        <f>VLOOKUP($A41,'TCO Inputs'!$A$3:$AT$53,44,FALSE)</f>
        <v>0</v>
      </c>
      <c r="AP41" s="188">
        <f>VLOOKUP($A41,'TCO Inputs'!$A$3:$AT$53,45,FALSE)</f>
        <v>99007.710670615357</v>
      </c>
      <c r="AQ41" s="96">
        <f>(VLOOKUP($A41,Data!$D$64:$O$114,11,FALSE)+VLOOKUP($A41,'Fuel economy adjusted factor'!$A$2:$L$52,12,FALSE)*(1-'TCO Inputs'!$BD$9))*VLOOKUP($A41,'VKT US'!$B$63:$AB$113,27,FALSE)*CONVERT(0.9072,"g","ton")*m2k+VLOOKUP($A41,'US Grid mix, emissions&amp;prices'!$H$224:$AK$274,30,FALSE)</f>
        <v>27.977907705379081</v>
      </c>
      <c r="AR41" s="96">
        <f t="shared" si="9"/>
        <v>22.559702768847743</v>
      </c>
      <c r="AS41" s="60">
        <f>VLOOKUP($A41,'TCO Inputs'!$A$3:$AT$53,46,FALSE)</f>
        <v>10342.225338738397</v>
      </c>
      <c r="AT41" s="98">
        <f>(VLOOKUP($A41,Data!$D$64:$M$112,5,FALSE)+VLOOKUP($A41,Data!$D$64:$M$112,8,FALSE))*VLOOKUP($A41,'VKT US'!$B$63:$AB$113,2,FALSE)*CONVERT(0.9072,"g","ton")*m2k*VLOOKUP($A41,'VKT US'!$F$5:$S$56,11,FALSE)/1000000</f>
        <v>3.3926631832497112</v>
      </c>
      <c r="AU41" s="98">
        <f>(VLOOKUP($A41,Data!$D$64:$F$114,3,FALSE)+VLOOKUP($A41,Data!$D$64:$I$114,6,FALSE))*VLOOKUP($A41,'VKT US'!$B$63:$AB$113,2,FALSE)*m2k*CONVERT(0.9072,"g","ton")*VLOOKUP($A41,'VKT US'!$F$5:$S$56,2,FALSE)/1000000</f>
        <v>1.7238455856557689E-2</v>
      </c>
      <c r="AV41" s="98">
        <f>(VLOOKUP($A41,Data!$D$64:$M$112,4,FALSE)+VLOOKUP($A41,Data!$D$64:$M$112,7,FALSE))*VLOOKUP($A41,'VKT US'!$B$63:$AB$113,2,FALSE)*CONVERT(0.9072,"g","ton")*m2k*VLOOKUP($A41,'VKT US'!$F$5:$S$56,4,FALSE)/1000000</f>
        <v>6.3225494305744631E-2</v>
      </c>
      <c r="AW41" s="98">
        <f>(VLOOKUP($A41,Data!$D$64:$M$112,9,FALSE)+VLOOKUP($A41,Data!$D$64:$M$112,10,FALSE))*VLOOKUP($A41,'VKT US'!$B$63:$AB$113,2,FALSE)*CONVERT(0.9072,"g","ton")*m2k*VLOOKUP($A41,'VKT US'!$F$5:$S$56,9,FALSE)/1000000</f>
        <v>0</v>
      </c>
      <c r="AX41" s="98">
        <f>H41*VLOOKUP($A41,'VKT US'!$F$5:$S$56,11,FALSE)/1000000</f>
        <v>39.520411390845375</v>
      </c>
      <c r="AY41" s="98">
        <f>P41*VLOOKUP($A41,'VKT US'!$F$5:$S$56,2,FALSE)/1000000</f>
        <v>0.16069099875458215</v>
      </c>
      <c r="AZ41" s="98">
        <f>Y41*VLOOKUP($A41,'VKT US'!$F$5:$S$56,4,FALSE)/1000000</f>
        <v>0.73650032743868399</v>
      </c>
      <c r="BA41" s="98">
        <f>AH41*VLOOKUP($A41,'VKT US'!$F$5:$S$56,9,FALSE)/1000000</f>
        <v>0</v>
      </c>
      <c r="BB41" s="79">
        <f>VLOOKUP($A41,Data!$D$64:$M$112,4,FALSE)+VLOOKUP($A41,Data!$D$64:$M$112,7,FALSE)-(VLOOKUP($A41,Data!$D$64:$F$114,3,FALSE)+VLOOKUP($A41,Data!$D$64:$I$114,6,FALSE))</f>
        <v>9.2588197272065713</v>
      </c>
      <c r="BC41" s="10">
        <f>(Y41-P41)*VLOOKUP($A41,'VKT US'!$F$5:$S$56,14,FALSE)/1000000*'Scenario analysis'!$E$4</f>
        <v>7.2119747306281043</v>
      </c>
      <c r="BD41" s="10">
        <f>P41*VLOOKUP($A41,'VKT US'!$F$5:$S$56,14,FALSE)/1000000*'Scenario analysis'!$E$4</f>
        <v>22.034753204222074</v>
      </c>
      <c r="BE41" s="79">
        <f>(VLOOKUP($A41,Data!$D$64:$M$114,4,FALSE)+VLOOKUP($A41,Data!$D$64:$M$114,7,FALSE)-(VLOOKUP($A41,Data!$D$64:$F$114,3,FALSE)+VLOOKUP($A41,Data!$D$64:$I$114,6,FALSE)))*VLOOKUP($A41,'VKT US'!$B$63:$AB$113,2,FALSE)*CONVERT(0.9072,"g","ton")*m2k*VLOOKUP($A41,'VKT US'!$F$5:$S$56,14,FALSE)/1000000*'Scenario analysis'!$E$4</f>
        <v>0.14688686748950408</v>
      </c>
      <c r="BF41" s="79">
        <f>(VLOOKUP($A41,Data!$D$64:$F$114,3,FALSE)+VLOOKUP($A41,Data!$D$64:$I$114,6,FALSE))*VLOOKUP($A41,'VKT US'!$B$63:$AB$113,2,FALSE)*CONVERT(0.9072,"g","ton")*m2k*VLOOKUP($A41,'VKT US'!$F$5:$S$56,14,FALSE)/1000000*'Scenario analysis'!$E$4</f>
        <v>2.3638232593304731</v>
      </c>
      <c r="BG41" s="79">
        <f>(VLOOKUP($A41,Data!$D$64:$M$114,4,FALSE)+VLOOKUP($A41,Data!$D$64:$M$114,7,FALSE))*VLOOKUP($A41,'VKT US'!$B$63:$AB$113,2,FALSE)*CONVERT(0.9072,"g","ton")*m2k*VLOOKUP($A41,'VKT US'!$F$5:$S$56,14,FALSE)/1000000*'Scenario analysis'!$E$4</f>
        <v>2.5107101268199772</v>
      </c>
      <c r="BH41" s="79">
        <f t="shared" si="16"/>
        <v>8.217838116030201</v>
      </c>
      <c r="BI41" s="96">
        <f t="shared" si="17"/>
        <v>2930.2218180807181</v>
      </c>
      <c r="BJ41" s="191">
        <f t="shared" si="18"/>
        <v>24080.088545047038</v>
      </c>
      <c r="BK41" s="191">
        <f>(VLOOKUP($A41,'US Grid mix, emissions&amp;prices'!$H$169:$AK$219,30,FALSE)+VLOOKUP($A41,Data!$D$64:$F$114,3,FALSE)*VLOOKUP($A41,'VKT US'!$B$63:$AB$113,27,FALSE)*m2k*CONVERT(0.9072,"g","ton"))*VLOOKUP($A41,'VKT US'!$F$5:$S$56,14,FALSE)/1000000</f>
        <v>22.034753204222074</v>
      </c>
      <c r="BL41" s="191">
        <f>P41*VLOOKUP($A41,'VKT US'!$F$5:$S$56,14,FALSE)/1000000-BK41</f>
        <v>0</v>
      </c>
      <c r="BM41" s="191">
        <v>2.093252922680136</v>
      </c>
      <c r="BN41" s="191">
        <v>0.3235170015060147</v>
      </c>
      <c r="BO41" s="191" cm="1">
        <f t="array" ref="BO41">_xlfn.IFS(AND(Q41&gt;0,R41&gt;0),R41/Q41,AND(Q41&gt;0,R41&lt;=0),-R41/Q41,Q41&lt;=0,0)</f>
        <v>802.61160098474852</v>
      </c>
      <c r="BP41" s="212" cm="1">
        <f t="array" ref="BP41">_xlfn.IFS(AND(Z41&gt;0,AA41&gt;0),AA41/Z41,AND(Z41&gt;0,AA41&lt;=0),AA41/Z41,Z41&lt;=0,0)</f>
        <v>-213.22360945781742</v>
      </c>
      <c r="BQ41" s="191">
        <f>P41*1000000/(VLOOKUP($A41,'VKT US'!$B$63:$AB$113,27,FALSE)*m2k)</f>
        <v>119.23601259808535</v>
      </c>
      <c r="BR41" s="191">
        <f>Y41*1000000/(VLOOKUP($A41,'VKT US'!$B$63:$AB$113,27,FALSE)*m2k)</f>
        <v>158.26195955870188</v>
      </c>
      <c r="BS41" s="191">
        <f>H41*1000000/(VLOOKUP($A41,'VKT US'!$B$63:$AB$113,27,FALSE)*m2k)</f>
        <v>239.99962983405965</v>
      </c>
      <c r="BT41" s="95"/>
      <c r="BU41" s="10">
        <f t="shared" si="10"/>
        <v>98050.523542576251</v>
      </c>
      <c r="BV41" s="10">
        <f t="shared" si="11"/>
        <v>107341.56748661415</v>
      </c>
      <c r="BW41" s="10">
        <f t="shared" si="12"/>
        <v>91222.648207705992</v>
      </c>
      <c r="BX41" s="10">
        <f t="shared" si="13"/>
        <v>99790.149589169916</v>
      </c>
      <c r="BY41" s="53">
        <f t="shared" si="14"/>
        <v>101100.40929383134</v>
      </c>
      <c r="BZ41" s="79">
        <f t="shared" si="15"/>
        <v>38.44404962980262</v>
      </c>
      <c r="CA41" s="96">
        <f>VLOOKUP($A41,'TCO Inputs'!$Y$114:$AT$164,22,FALSE)</f>
        <v>49827.21000434189</v>
      </c>
      <c r="CB41" s="211">
        <f>CA41*VLOOKUP($A41,'VKT US'!$F$5:$S$56,14,FALSE)/(10^9)</f>
        <v>43.728359499810438</v>
      </c>
    </row>
    <row r="42" spans="1:80" x14ac:dyDescent="0.25">
      <c r="A42" s="83" t="s">
        <v>222</v>
      </c>
      <c r="B42" s="150">
        <f>VLOOKUP($A42,'TCO Inputs'!$A$3:$AG$53,10,FALSE)</f>
        <v>23731.611795719989</v>
      </c>
      <c r="C42" s="71">
        <f>VLOOKUP($A42,'TCO Inputs'!$A$3:$AG$53,14,FALSE)</f>
        <v>18843.673552606928</v>
      </c>
      <c r="D42" s="71">
        <f>VLOOKUP($A42,'TCO Inputs'!$A$3:$AG$53,18,FALSE)</f>
        <v>25474.853601877334</v>
      </c>
      <c r="E42" s="71">
        <f>VLOOKUP($A42,'TCO Inputs'!$A$3:$AG$53,22,FALSE)</f>
        <v>34004.912409471515</v>
      </c>
      <c r="F42" s="71">
        <f>VLOOKUP($A42,'TCO Inputs'!$A$3:$AG$53,26,FALSE)</f>
        <v>0</v>
      </c>
      <c r="G42" s="65">
        <f>VLOOKUP($A42,'TCO Inputs'!$A$3:$AG$53,30,FALSE)</f>
        <v>102055.05135967577</v>
      </c>
      <c r="H42" s="95">
        <f>(VLOOKUP($A42,Data!$D$64:$M$112,5,FALSE)+VLOOKUP($A42,Data!$D$64:$M$112,8,FALSE))*VLOOKUP($A42,'VKT US'!$B$63:$AB$113,27,FALSE)*CONVERT(0.9072,"g","ton")*m2k</f>
        <v>74.496759648120431</v>
      </c>
      <c r="I42" s="92"/>
      <c r="J42" s="144">
        <f>VLOOKUP($A42,'TCO Inputs'!$A$3:$AG$53,11,FALSE)</f>
        <v>40967.546942691188</v>
      </c>
      <c r="K42" s="65">
        <f>VLOOKUP($A42,'TCO Inputs'!$A$3:$AG$53,15,FALSE)</f>
        <v>12015.173264349492</v>
      </c>
      <c r="L42" s="65">
        <f>VLOOKUP($A42,'TCO Inputs'!$A$3:$AG$53,19,FALSE)</f>
        <v>15863.06486698461</v>
      </c>
      <c r="M42" s="65">
        <f>VLOOKUP($A42,'TCO Inputs'!$A$3:$AG$53,23,FALSE)</f>
        <v>40742.726161094964</v>
      </c>
      <c r="N42" s="65">
        <f>VLOOKUP($A42,'TCO Inputs'!$A$3:$AG$53,27,FALSE)</f>
        <v>0</v>
      </c>
      <c r="O42" s="65">
        <f>VLOOKUP($A42,'TCO Inputs'!$A$3:$AG$53,31,FALSE)</f>
        <v>109588.51123512026</v>
      </c>
      <c r="P42" s="7">
        <f>VLOOKUP($A42,_xlfn.IFS('Scenario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analysis'!$Q$121:$R$126),2,FALSE)+VLOOKUP($A42,Data!$D$64:$F$114,3,FALSE)*VLOOKUP($A42,'VKT US'!$B$63:$AB$113,27,FALSE)*m2k*CONVERT(0.9072,"g","ton")</f>
        <v>26.279526812390046</v>
      </c>
      <c r="Q42" s="95">
        <f t="shared" si="3"/>
        <v>48.217232835730385</v>
      </c>
      <c r="R42" s="60">
        <f t="shared" si="4"/>
        <v>7533.4598754444887</v>
      </c>
      <c r="S42" s="144">
        <f>VLOOKUP($A42,'TCO Inputs'!$A$3:$AG$53,12,FALSE)</f>
        <v>25202.087524607668</v>
      </c>
      <c r="T42" s="65">
        <f>VLOOKUP($A42,'TCO Inputs'!$A$3:$AG$53,16,FALSE)</f>
        <v>11596.106801604263</v>
      </c>
      <c r="U42" s="65">
        <f>VLOOKUP($A42,'TCO Inputs'!$A$3:$AG$53,20,FALSE)</f>
        <v>23415.184587257463</v>
      </c>
      <c r="V42" s="65">
        <f>VLOOKUP($A42,'TCO Inputs'!$A$3:$AG$53,24,FALSE)</f>
        <v>35435.599406836423</v>
      </c>
      <c r="W42" s="65">
        <f>VLOOKUP($A42,'TCO Inputs'!$A$3:$AG$53,28,FALSE)</f>
        <v>0</v>
      </c>
      <c r="X42" s="65">
        <f>VLOOKUP($A42,'TCO Inputs'!$A$3:$AG$53,32,FALSE)</f>
        <v>95648.978320305818</v>
      </c>
      <c r="Y42" s="7">
        <f>(VLOOKUP($A42,Data!$D$64:$M$112,4,FALSE)+VLOOKUP($A42,Data!$D$64:$M$112,7,FALSE))*VLOOKUP($A42,'VKT US'!$B$63:$AB$113,27,FALSE)*CONVERT(0.9072,"g","ton")*m2k</f>
        <v>49.180755653603825</v>
      </c>
      <c r="Z42" s="95">
        <f t="shared" si="5"/>
        <v>25.316003994516606</v>
      </c>
      <c r="AA42" s="118">
        <f t="shared" si="6"/>
        <v>-6406.0730393699487</v>
      </c>
      <c r="AB42" s="144">
        <f>VLOOKUP($A42,'TCO Inputs'!$A$3:$AG$53,13,FALSE)</f>
        <v>28460.759801658827</v>
      </c>
      <c r="AC42" s="65">
        <f>VLOOKUP($A42,'TCO Inputs'!$A$3:$AG$53,17,FALSE)</f>
        <v>17685.079764532959</v>
      </c>
      <c r="AD42" s="65">
        <f>VLOOKUP($A42,'TCO Inputs'!$A$3:$AG$53,21,FALSE)</f>
        <v>23415.184587257463</v>
      </c>
      <c r="AE42" s="65">
        <f>VLOOKUP($A42,'TCO Inputs'!$A$3:$AG$53,25,FALSE)</f>
        <v>35622.149406836426</v>
      </c>
      <c r="AF42" s="65">
        <f>VLOOKUP($A42,'TCO Inputs'!$A$3:$AG$53,29,FALSE)</f>
        <v>0</v>
      </c>
      <c r="AG42" s="65">
        <f>VLOOKUP($A42,'TCO Inputs'!$A$3:$AG$53,33,FALSE)</f>
        <v>105183.17356028568</v>
      </c>
      <c r="AH42" s="7">
        <f>(VLOOKUP($A42,Data!$D$64:$M$112,9,FALSE)+VLOOKUP($A42,Data!$D$64:$M$112,10,FALSE))*VLOOKUP($A42,'VKT US'!$B$63:$AB$113,27,FALSE)*CONVERT(0.9072,"g","ton")*m2k</f>
        <v>35.127307361237904</v>
      </c>
      <c r="AI42" s="95">
        <f t="shared" si="7"/>
        <v>39.369452286882527</v>
      </c>
      <c r="AJ42" s="186">
        <f t="shared" si="8"/>
        <v>3128.1222006099124</v>
      </c>
      <c r="AK42" s="188">
        <f>VLOOKUP($A42,'TCO Inputs'!$A$3:$AT$53,40,FALSE)</f>
        <v>30376.676612640622</v>
      </c>
      <c r="AL42" s="188">
        <f>VLOOKUP($A42,'TCO Inputs'!$A$3:$AT$53,41,FALSE)</f>
        <v>11142.494006671193</v>
      </c>
      <c r="AM42" s="188">
        <f>VLOOKUP($A42,'TCO Inputs'!$A$3:$AT$53,42,FALSE)</f>
        <v>22562.257985987158</v>
      </c>
      <c r="AN42" s="188">
        <f>VLOOKUP($A42,'TCO Inputs'!$A$3:$AT$53,43,FALSE)</f>
        <v>40237.976161094964</v>
      </c>
      <c r="AO42" s="188">
        <f>VLOOKUP($A42,'TCO Inputs'!$A$3:$AT$53,44,FALSE)</f>
        <v>0</v>
      </c>
      <c r="AP42" s="188">
        <f>VLOOKUP($A42,'TCO Inputs'!$A$3:$AT$53,45,FALSE)</f>
        <v>104319.40476639394</v>
      </c>
      <c r="AQ42" s="96">
        <f>(VLOOKUP($A42,Data!$D$64:$O$114,11,FALSE)+VLOOKUP($A42,'Fuel economy adjusted factor'!$A$2:$L$52,12,FALSE)*(1-'TCO Inputs'!$BD$9))*VLOOKUP($A42,'VKT US'!$B$63:$AB$113,27,FALSE)*CONVERT(0.9072,"g","ton")*m2k+VLOOKUP($A42,'US Grid mix, emissions&amp;prices'!$H$224:$AK$274,30,FALSE)</f>
        <v>35.661148089432388</v>
      </c>
      <c r="AR42" s="96">
        <f t="shared" si="9"/>
        <v>38.835611558688043</v>
      </c>
      <c r="AS42" s="60">
        <f>VLOOKUP($A42,'TCO Inputs'!$A$3:$AT$53,46,FALSE)</f>
        <v>2264.3534067181754</v>
      </c>
      <c r="AT42" s="98">
        <f>(VLOOKUP($A42,Data!$D$64:$M$112,5,FALSE)+VLOOKUP($A42,Data!$D$64:$M$112,8,FALSE))*VLOOKUP($A42,'VKT US'!$B$63:$AB$113,2,FALSE)*CONVERT(0.9072,"g","ton")*m2k*VLOOKUP($A42,'VKT US'!$F$5:$S$56,11,FALSE)/1000000</f>
        <v>27.659401835924434</v>
      </c>
      <c r="AU42" s="98">
        <f>(VLOOKUP($A42,Data!$D$64:$F$114,3,FALSE)+VLOOKUP($A42,Data!$D$64:$I$114,6,FALSE))*VLOOKUP($A42,'VKT US'!$B$63:$AB$113,2,FALSE)*m2k*CONVERT(0.9072,"g","ton")*VLOOKUP($A42,'VKT US'!$F$5:$S$56,2,FALSE)/1000000</f>
        <v>5.6777097794673881E-2</v>
      </c>
      <c r="AV42" s="98">
        <f>(VLOOKUP($A42,Data!$D$64:$M$112,4,FALSE)+VLOOKUP($A42,Data!$D$64:$M$112,7,FALSE))*VLOOKUP($A42,'VKT US'!$B$63:$AB$113,2,FALSE)*CONVERT(0.9072,"g","ton")*m2k*VLOOKUP($A42,'VKT US'!$F$5:$S$56,4,FALSE)/1000000</f>
        <v>0.35084517659238185</v>
      </c>
      <c r="AW42" s="98">
        <f>(VLOOKUP($A42,Data!$D$64:$M$112,9,FALSE)+VLOOKUP($A42,Data!$D$64:$M$112,10,FALSE))*VLOOKUP($A42,'VKT US'!$B$63:$AB$113,2,FALSE)*CONVERT(0.9072,"g","ton")*m2k*VLOOKUP($A42,'VKT US'!$F$5:$S$56,9,FALSE)/1000000</f>
        <v>0</v>
      </c>
      <c r="AX42" s="98">
        <f>H42*VLOOKUP($A42,'VKT US'!$F$5:$S$56,11,FALSE)/1000000</f>
        <v>322.19848547812086</v>
      </c>
      <c r="AY42" s="98">
        <f>P42*VLOOKUP($A42,'VKT US'!$F$5:$S$56,2,FALSE)/1000000</f>
        <v>0.54924211037895199</v>
      </c>
      <c r="AZ42" s="98">
        <f>Y42*VLOOKUP($A42,'VKT US'!$F$5:$S$56,4,FALSE)/1000000</f>
        <v>4.0869207948144775</v>
      </c>
      <c r="BA42" s="98">
        <f>AH42*VLOOKUP($A42,'VKT US'!$F$5:$S$56,9,FALSE)/1000000</f>
        <v>0</v>
      </c>
      <c r="BB42" s="79">
        <f>VLOOKUP($A42,Data!$D$64:$M$112,4,FALSE)+VLOOKUP($A42,Data!$D$64:$M$112,7,FALSE)-(VLOOKUP($A42,Data!$D$64:$F$114,3,FALSE)+VLOOKUP($A42,Data!$D$64:$I$114,6,FALSE))</f>
        <v>55.51774085486727</v>
      </c>
      <c r="BC42" s="10">
        <f>(Y42-P42)*VLOOKUP($A42,'VKT US'!$F$5:$S$56,14,FALSE)/1000000*'Scenario analysis'!$E$4</f>
        <v>115.47715630893636</v>
      </c>
      <c r="BD42" s="10">
        <f>P42*VLOOKUP($A42,'VKT US'!$F$5:$S$56,14,FALSE)/1000000*'Scenario analysis'!$E$4</f>
        <v>132.51188599879558</v>
      </c>
      <c r="BE42" s="79">
        <f>(VLOOKUP($A42,Data!$D$64:$M$114,4,FALSE)+VLOOKUP($A42,Data!$D$64:$M$114,7,FALSE)-(VLOOKUP($A42,Data!$D$64:$F$114,3,FALSE)+VLOOKUP($A42,Data!$D$64:$I$114,6,FALSE)))*VLOOKUP($A42,'VKT US'!$B$63:$AB$113,2,FALSE)*CONVERT(0.9072,"g","ton")*m2k*VLOOKUP($A42,'VKT US'!$F$5:$S$56,14,FALSE)/1000000*'Scenario analysis'!$E$4</f>
        <v>7.5906074335137514</v>
      </c>
      <c r="BF42" s="79">
        <f>(VLOOKUP($A42,Data!$D$64:$F$114,3,FALSE)+VLOOKUP($A42,Data!$D$64:$I$114,6,FALSE))*VLOOKUP($A42,'VKT US'!$B$63:$AB$113,2,FALSE)*CONVERT(0.9072,"g","ton")*m2k*VLOOKUP($A42,'VKT US'!$F$5:$S$56,14,FALSE)/1000000*'Scenario analysis'!$E$4</f>
        <v>13.698221910041319</v>
      </c>
      <c r="BG42" s="79">
        <f>(VLOOKUP($A42,Data!$D$64:$M$114,4,FALSE)+VLOOKUP($A42,Data!$D$64:$M$114,7,FALSE))*VLOOKUP($A42,'VKT US'!$B$63:$AB$113,2,FALSE)*CONVERT(0.9072,"g","ton")*m2k*VLOOKUP($A42,'VKT US'!$F$5:$S$56,14,FALSE)/1000000*'Scenario analysis'!$E$4</f>
        <v>21.288829343555072</v>
      </c>
      <c r="BH42" s="79">
        <f t="shared" si="16"/>
        <v>22.901228841213779</v>
      </c>
      <c r="BI42" s="96">
        <f t="shared" si="17"/>
        <v>608.68056519868537</v>
      </c>
      <c r="BJ42" s="191">
        <f t="shared" si="18"/>
        <v>13939.532914814437</v>
      </c>
      <c r="BK42" s="191">
        <f>(VLOOKUP($A42,'US Grid mix, emissions&amp;prices'!$H$169:$AK$219,30,FALSE)+VLOOKUP($A42,Data!$D$64:$F$114,3,FALSE)*VLOOKUP($A42,'VKT US'!$B$63:$AB$113,27,FALSE)*m2k*CONVERT(0.9072,"g","ton"))*VLOOKUP($A42,'VKT US'!$F$5:$S$56,14,FALSE)/1000000</f>
        <v>132.51188599879558</v>
      </c>
      <c r="BL42" s="191">
        <f>P42*VLOOKUP($A42,'VKT US'!$F$5:$S$56,14,FALSE)/1000000-BK42</f>
        <v>0</v>
      </c>
      <c r="BM42" s="191">
        <v>12.367445985153802</v>
      </c>
      <c r="BN42" s="191">
        <v>1.5911893455356214</v>
      </c>
      <c r="BO42" s="191" cm="1">
        <f t="array" ref="BO42">_xlfn.IFS(AND(Q42&gt;0,R42&gt;0),R42/Q42,AND(Q42&gt;0,R42&lt;=0),-R42/Q42,Q42&lt;=0,0)</f>
        <v>156.23998791282716</v>
      </c>
      <c r="BP42" s="212" cm="1">
        <f t="array" ref="BP42">_xlfn.IFS(AND(Z42&gt;0,AA42&gt;0),AA42/Z42,AND(Z42&gt;0,AA42&lt;=0),AA42/Z42,Z42&lt;=0,0)</f>
        <v>-253.04439992810441</v>
      </c>
      <c r="BQ42" s="191">
        <f>P42*1000000/(VLOOKUP($A42,'VKT US'!$B$63:$AB$113,27,FALSE)*m2k)</f>
        <v>83.2025589666261</v>
      </c>
      <c r="BR42" s="191">
        <f>Y42*1000000/(VLOOKUP($A42,'VKT US'!$B$63:$AB$113,27,FALSE)*m2k)</f>
        <v>155.70922381916549</v>
      </c>
      <c r="BS42" s="191">
        <f>H42*1000000/(VLOOKUP($A42,'VKT US'!$B$63:$AB$113,27,FALSE)*m2k)</f>
        <v>235.86121172177963</v>
      </c>
      <c r="BT42" s="95"/>
      <c r="BU42" s="10">
        <f t="shared" si="10"/>
        <v>98050.523542576251</v>
      </c>
      <c r="BV42" s="10">
        <f t="shared" si="11"/>
        <v>107341.56748661415</v>
      </c>
      <c r="BW42" s="10">
        <f t="shared" si="12"/>
        <v>91222.648207705992</v>
      </c>
      <c r="BX42" s="10">
        <f t="shared" si="13"/>
        <v>99790.149589169916</v>
      </c>
      <c r="BY42" s="53">
        <f t="shared" si="14"/>
        <v>101100.40929383134</v>
      </c>
      <c r="BZ42" s="79">
        <f t="shared" si="15"/>
        <v>38.44404962980262</v>
      </c>
      <c r="CA42" s="96">
        <f>VLOOKUP($A42,'TCO Inputs'!$Y$114:$AT$164,22,FALSE)</f>
        <v>68722.6315836742</v>
      </c>
      <c r="CB42" s="211">
        <f>CA42*VLOOKUP($A42,'VKT US'!$F$5:$S$56,14,FALSE)/(10^9)</f>
        <v>346.52699749751878</v>
      </c>
    </row>
    <row r="43" spans="1:80" x14ac:dyDescent="0.25">
      <c r="A43" s="83" t="s">
        <v>223</v>
      </c>
      <c r="B43" s="150">
        <f>VLOOKUP($A43,'TCO Inputs'!$A$3:$AG$53,10,FALSE)</f>
        <v>23731.611795719989</v>
      </c>
      <c r="C43" s="71">
        <f>VLOOKUP($A43,'TCO Inputs'!$A$3:$AG$53,14,FALSE)</f>
        <v>20896.775131960676</v>
      </c>
      <c r="D43" s="71">
        <f>VLOOKUP($A43,'TCO Inputs'!$A$3:$AG$53,18,FALSE)</f>
        <v>26497.871616811171</v>
      </c>
      <c r="E43" s="71">
        <f>VLOOKUP($A43,'TCO Inputs'!$A$3:$AG$53,22,FALSE)</f>
        <v>29748.803241722548</v>
      </c>
      <c r="F43" s="71">
        <f>VLOOKUP($A43,'TCO Inputs'!$A$3:$AG$53,26,FALSE)</f>
        <v>0</v>
      </c>
      <c r="G43" s="65">
        <f>VLOOKUP($A43,'TCO Inputs'!$A$3:$AG$53,30,FALSE)</f>
        <v>100875.06178621438</v>
      </c>
      <c r="H43" s="95">
        <f>(VLOOKUP($A43,Data!$D$64:$M$112,5,FALSE)+VLOOKUP($A43,Data!$D$64:$M$112,8,FALSE))*VLOOKUP($A43,'VKT US'!$B$63:$AB$113,27,FALSE)*CONVERT(0.9072,"g","ton")*m2k</f>
        <v>80.207618194282119</v>
      </c>
      <c r="I43" s="92"/>
      <c r="J43" s="144">
        <f>VLOOKUP($A43,'TCO Inputs'!$A$3:$AG$53,11,FALSE)</f>
        <v>40967.546942691188</v>
      </c>
      <c r="K43" s="65">
        <f>VLOOKUP($A43,'TCO Inputs'!$A$3:$AG$53,15,FALSE)</f>
        <v>13354.516341819499</v>
      </c>
      <c r="L43" s="65">
        <f>VLOOKUP($A43,'TCO Inputs'!$A$3:$AG$53,19,FALSE)</f>
        <v>16500.093106071068</v>
      </c>
      <c r="M43" s="65">
        <f>VLOOKUP($A43,'TCO Inputs'!$A$3:$AG$53,23,FALSE)</f>
        <v>36001.216229366917</v>
      </c>
      <c r="N43" s="65">
        <f>VLOOKUP($A43,'TCO Inputs'!$A$3:$AG$53,27,FALSE)</f>
        <v>0</v>
      </c>
      <c r="O43" s="65">
        <f>VLOOKUP($A43,'TCO Inputs'!$A$3:$AG$53,31,FALSE)</f>
        <v>106823.37261994867</v>
      </c>
      <c r="P43" s="7">
        <f>VLOOKUP($A43,_xlfn.IFS('Scenario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analysis'!$Q$121:$R$126),2,FALSE)+VLOOKUP($A43,Data!$D$64:$F$114,3,FALSE)*VLOOKUP($A43,'VKT US'!$B$63:$AB$113,27,FALSE)*m2k*CONVERT(0.9072,"g","ton")</f>
        <v>22.871602959817281</v>
      </c>
      <c r="Q43" s="95">
        <f t="shared" si="3"/>
        <v>57.336015234464838</v>
      </c>
      <c r="R43" s="60">
        <f t="shared" si="4"/>
        <v>5948.3108337342856</v>
      </c>
      <c r="S43" s="144">
        <f>VLOOKUP($A43,'TCO Inputs'!$A$3:$AG$53,12,FALSE)</f>
        <v>25202.087524607668</v>
      </c>
      <c r="T43" s="65">
        <f>VLOOKUP($A43,'TCO Inputs'!$A$3:$AG$53,16,FALSE)</f>
        <v>12859.553927360415</v>
      </c>
      <c r="U43" s="65">
        <f>VLOOKUP($A43,'TCO Inputs'!$A$3:$AG$53,20,FALSE)</f>
        <v>24355.49050736686</v>
      </c>
      <c r="V43" s="65">
        <f>VLOOKUP($A43,'TCO Inputs'!$A$3:$AG$53,24,FALSE)</f>
        <v>31000.423168649482</v>
      </c>
      <c r="W43" s="65">
        <f>VLOOKUP($A43,'TCO Inputs'!$A$3:$AG$53,28,FALSE)</f>
        <v>0</v>
      </c>
      <c r="X43" s="65">
        <f>VLOOKUP($A43,'TCO Inputs'!$A$3:$AG$53,32,FALSE)</f>
        <v>93417.555127984437</v>
      </c>
      <c r="Y43" s="7">
        <f>(VLOOKUP($A43,Data!$D$64:$M$112,4,FALSE)+VLOOKUP($A43,Data!$D$64:$M$112,7,FALSE))*VLOOKUP($A43,'VKT US'!$B$63:$AB$113,27,FALSE)*CONVERT(0.9072,"g","ton")*m2k</f>
        <v>52.833074520797147</v>
      </c>
      <c r="Z43" s="95">
        <f t="shared" si="5"/>
        <v>27.374543673484972</v>
      </c>
      <c r="AA43" s="118">
        <f t="shared" si="6"/>
        <v>-7457.5066582299478</v>
      </c>
      <c r="AB43" s="144">
        <f>VLOOKUP($A43,'TCO Inputs'!$A$3:$AG$53,13,FALSE)</f>
        <v>28460.759801658827</v>
      </c>
      <c r="AC43" s="65">
        <f>VLOOKUP($A43,'TCO Inputs'!$A$3:$AG$53,17,FALSE)</f>
        <v>19118.077039406853</v>
      </c>
      <c r="AD43" s="65">
        <f>VLOOKUP($A43,'TCO Inputs'!$A$3:$AG$53,21,FALSE)</f>
        <v>24355.49050736686</v>
      </c>
      <c r="AE43" s="65">
        <f>VLOOKUP($A43,'TCO Inputs'!$A$3:$AG$53,25,FALSE)</f>
        <v>31149.66316864948</v>
      </c>
      <c r="AF43" s="65">
        <f>VLOOKUP($A43,'TCO Inputs'!$A$3:$AG$53,29,FALSE)</f>
        <v>0</v>
      </c>
      <c r="AG43" s="65">
        <f>VLOOKUP($A43,'TCO Inputs'!$A$3:$AG$53,33,FALSE)</f>
        <v>103083.99051708203</v>
      </c>
      <c r="AH43" s="7">
        <f>(VLOOKUP($A43,Data!$D$64:$M$112,9,FALSE)+VLOOKUP($A43,Data!$D$64:$M$112,10,FALSE))*VLOOKUP($A43,'VKT US'!$B$63:$AB$113,27,FALSE)*CONVERT(0.9072,"g","ton")*m2k</f>
        <v>36.537948176226365</v>
      </c>
      <c r="AI43" s="95">
        <f t="shared" si="7"/>
        <v>43.669670018055754</v>
      </c>
      <c r="AJ43" s="186">
        <f t="shared" si="8"/>
        <v>2208.928730867643</v>
      </c>
      <c r="AK43" s="188">
        <f>VLOOKUP($A43,'TCO Inputs'!$A$3:$AT$53,40,FALSE)</f>
        <v>30376.676612640622</v>
      </c>
      <c r="AL43" s="188">
        <f>VLOOKUP($A43,'TCO Inputs'!$A$3:$AT$53,41,FALSE)</f>
        <v>12357.907738199219</v>
      </c>
      <c r="AM43" s="188">
        <f>VLOOKUP($A43,'TCO Inputs'!$A$3:$AT$53,42,FALSE)</f>
        <v>23468.312118347261</v>
      </c>
      <c r="AN43" s="188">
        <f>VLOOKUP($A43,'TCO Inputs'!$A$3:$AT$53,43,FALSE)</f>
        <v>35597.416229366914</v>
      </c>
      <c r="AO43" s="188">
        <f>VLOOKUP($A43,'TCO Inputs'!$A$3:$AT$53,44,FALSE)</f>
        <v>0</v>
      </c>
      <c r="AP43" s="188">
        <f>VLOOKUP($A43,'TCO Inputs'!$A$3:$AT$53,45,FALSE)</f>
        <v>101800.31269855401</v>
      </c>
      <c r="AQ43" s="96">
        <f>(VLOOKUP($A43,Data!$D$64:$O$114,11,FALSE)+VLOOKUP($A43,'Fuel economy adjusted factor'!$A$2:$L$52,12,FALSE)*(1-'TCO Inputs'!$BD$9))*VLOOKUP($A43,'VKT US'!$B$63:$AB$113,27,FALSE)*CONVERT(0.9072,"g","ton")*m2k+VLOOKUP($A43,'US Grid mix, emissions&amp;prices'!$H$224:$AK$274,30,FALSE)</f>
        <v>35.575549854129569</v>
      </c>
      <c r="AR43" s="96">
        <f t="shared" si="9"/>
        <v>44.63206834015255</v>
      </c>
      <c r="AS43" s="60">
        <f>VLOOKUP($A43,'TCO Inputs'!$A$3:$AT$53,46,FALSE)</f>
        <v>925.2509123396303</v>
      </c>
      <c r="AT43" s="98">
        <f>(VLOOKUP($A43,Data!$D$64:$M$112,5,FALSE)+VLOOKUP($A43,Data!$D$64:$M$112,8,FALSE))*VLOOKUP($A43,'VKT US'!$B$63:$AB$113,2,FALSE)*CONVERT(0.9072,"g","ton")*m2k*VLOOKUP($A43,'VKT US'!$F$5:$S$56,11,FALSE)/1000000</f>
        <v>4.9458481183404395</v>
      </c>
      <c r="AU43" s="98">
        <f>(VLOOKUP($A43,Data!$D$64:$F$114,3,FALSE)+VLOOKUP($A43,Data!$D$64:$I$114,6,FALSE))*VLOOKUP($A43,'VKT US'!$B$63:$AB$113,2,FALSE)*m2k*CONVERT(0.9072,"g","ton")*VLOOKUP($A43,'VKT US'!$F$5:$S$56,2,FALSE)/1000000</f>
        <v>3.921334118958948E-3</v>
      </c>
      <c r="AV43" s="98">
        <f>(VLOOKUP($A43,Data!$D$64:$M$112,4,FALSE)+VLOOKUP($A43,Data!$D$64:$M$112,7,FALSE))*VLOOKUP($A43,'VKT US'!$B$63:$AB$113,2,FALSE)*CONVERT(0.9072,"g","ton")*m2k*VLOOKUP($A43,'VKT US'!$F$5:$S$56,4,FALSE)/1000000</f>
        <v>5.3972450277448285E-2</v>
      </c>
      <c r="AW43" s="98">
        <f>(VLOOKUP($A43,Data!$D$64:$M$112,9,FALSE)+VLOOKUP($A43,Data!$D$64:$M$112,10,FALSE))*VLOOKUP($A43,'VKT US'!$B$63:$AB$113,2,FALSE)*CONVERT(0.9072,"g","ton")*m2k*VLOOKUP($A43,'VKT US'!$F$5:$S$56,9,FALSE)/1000000</f>
        <v>0</v>
      </c>
      <c r="AX43" s="98">
        <f>H43*VLOOKUP($A43,'VKT US'!$F$5:$S$56,11,FALSE)/1000000</f>
        <v>57.61313214895285</v>
      </c>
      <c r="AY43" s="98">
        <f>P43*VLOOKUP($A43,'VKT US'!$F$5:$S$56,2,FALSE)/1000000</f>
        <v>3.8881725031689379E-2</v>
      </c>
      <c r="AZ43" s="98">
        <f>Y43*VLOOKUP($A43,'VKT US'!$F$5:$S$56,4,FALSE)/1000000</f>
        <v>0.62871358679748601</v>
      </c>
      <c r="BA43" s="98">
        <f>AH43*VLOOKUP($A43,'VKT US'!$F$5:$S$56,9,FALSE)/1000000</f>
        <v>0</v>
      </c>
      <c r="BB43" s="79">
        <f>VLOOKUP($A43,Data!$D$64:$M$112,4,FALSE)+VLOOKUP($A43,Data!$D$64:$M$112,7,FALSE)-(VLOOKUP($A43,Data!$D$64:$F$114,3,FALSE)+VLOOKUP($A43,Data!$D$64:$I$114,6,FALSE))</f>
        <v>79.02613864591487</v>
      </c>
      <c r="BC43" s="10">
        <f>(Y43-P43)*VLOOKUP($A43,'VKT US'!$F$5:$S$56,14,FALSE)/1000000*'Scenario analysis'!$E$4</f>
        <v>27.504630892979517</v>
      </c>
      <c r="BD43" s="10">
        <f>P43*VLOOKUP($A43,'VKT US'!$F$5:$S$56,14,FALSE)/1000000*'Scenario analysis'!$E$4</f>
        <v>20.996131517112264</v>
      </c>
      <c r="BE43" s="79">
        <f>(VLOOKUP($A43,Data!$D$64:$M$114,4,FALSE)+VLOOKUP($A43,Data!$D$64:$M$114,7,FALSE)-(VLOOKUP($A43,Data!$D$64:$F$114,3,FALSE)+VLOOKUP($A43,Data!$D$64:$I$114,6,FALSE)))*VLOOKUP($A43,'VKT US'!$B$63:$AB$113,2,FALSE)*CONVERT(0.9072,"g","ton")*m2k*VLOOKUP($A43,'VKT US'!$F$5:$S$56,14,FALSE)/1000000*'Scenario analysis'!$E$4</f>
        <v>2.0460685971653216</v>
      </c>
      <c r="BF43" s="79">
        <f>(VLOOKUP($A43,Data!$D$64:$F$114,3,FALSE)+VLOOKUP($A43,Data!$D$64:$I$114,6,FALSE))*VLOOKUP($A43,'VKT US'!$B$63:$AB$113,2,FALSE)*CONVERT(0.9072,"g","ton")*m2k*VLOOKUP($A43,'VKT US'!$F$5:$S$56,14,FALSE)/1000000*'Scenario analysis'!$E$4</f>
        <v>2.1175204242378318</v>
      </c>
      <c r="BG43" s="79">
        <f>(VLOOKUP($A43,Data!$D$64:$M$114,4,FALSE)+VLOOKUP($A43,Data!$D$64:$M$114,7,FALSE))*VLOOKUP($A43,'VKT US'!$B$63:$AB$113,2,FALSE)*CONVERT(0.9072,"g","ton")*m2k*VLOOKUP($A43,'VKT US'!$F$5:$S$56,14,FALSE)/1000000*'Scenario analysis'!$E$4</f>
        <v>4.163589021403153</v>
      </c>
      <c r="BH43" s="79">
        <f t="shared" si="16"/>
        <v>29.961471560979867</v>
      </c>
      <c r="BI43" s="96">
        <f t="shared" si="17"/>
        <v>447.43521574631922</v>
      </c>
      <c r="BJ43" s="191">
        <f t="shared" si="18"/>
        <v>13405.817491964233</v>
      </c>
      <c r="BK43" s="191">
        <f>(VLOOKUP($A43,'US Grid mix, emissions&amp;prices'!$H$169:$AK$219,30,FALSE)+VLOOKUP($A43,Data!$D$64:$F$114,3,FALSE)*VLOOKUP($A43,'VKT US'!$B$63:$AB$113,27,FALSE)*m2k*CONVERT(0.9072,"g","ton"))*VLOOKUP($A43,'VKT US'!$F$5:$S$56,14,FALSE)/1000000</f>
        <v>20.996131517112264</v>
      </c>
      <c r="BL43" s="191">
        <f>P43*VLOOKUP($A43,'VKT US'!$F$5:$S$56,14,FALSE)/1000000-BK43</f>
        <v>0</v>
      </c>
      <c r="BM43" s="191">
        <v>1.9369861151234034</v>
      </c>
      <c r="BN43" s="191">
        <v>0.21586223780746128</v>
      </c>
      <c r="BO43" s="191" cm="1">
        <f t="array" ref="BO43">_xlfn.IFS(AND(Q43&gt;0,R43&gt;0),R43/Q43,AND(Q43&gt;0,R43&lt;=0),-R43/Q43,Q43&lt;=0,0)</f>
        <v>103.7447546609193</v>
      </c>
      <c r="BP43" s="212" cm="1">
        <f t="array" ref="BP43">_xlfn.IFS(AND(Z43&gt;0,AA43&gt;0),AA43/Z43,AND(Z43&gt;0,AA43&lt;=0),AA43/Z43,Z43&lt;=0,0)</f>
        <v>-272.42487572325456</v>
      </c>
      <c r="BQ43" s="191">
        <f>P43*1000000/(VLOOKUP($A43,'VKT US'!$B$63:$AB$113,27,FALSE)*m2k)</f>
        <v>69.617183825208969</v>
      </c>
      <c r="BR43" s="191">
        <f>Y43*1000000/(VLOOKUP($A43,'VKT US'!$B$63:$AB$113,27,FALSE)*m2k)</f>
        <v>160.81469529823823</v>
      </c>
      <c r="BS43" s="191">
        <f>H43*1000000/(VLOOKUP($A43,'VKT US'!$B$63:$AB$113,27,FALSE)*m2k)</f>
        <v>244.13804794633961</v>
      </c>
      <c r="BT43" s="95"/>
      <c r="BU43" s="10">
        <f t="shared" si="10"/>
        <v>98050.523542576251</v>
      </c>
      <c r="BV43" s="10">
        <f t="shared" si="11"/>
        <v>107341.56748661415</v>
      </c>
      <c r="BW43" s="10">
        <f t="shared" si="12"/>
        <v>91222.648207705992</v>
      </c>
      <c r="BX43" s="10">
        <f t="shared" si="13"/>
        <v>99790.149589169916</v>
      </c>
      <c r="BY43" s="53">
        <f t="shared" si="14"/>
        <v>101100.40929383134</v>
      </c>
      <c r="BZ43" s="79">
        <f t="shared" si="15"/>
        <v>38.44404962980262</v>
      </c>
      <c r="CA43" s="96">
        <f>VLOOKUP($A43,'TCO Inputs'!$Y$114:$AT$164,22,FALSE)</f>
        <v>82840.6787244679</v>
      </c>
      <c r="CB43" s="211">
        <f>CA43*VLOOKUP($A43,'VKT US'!$F$5:$S$56,14,FALSE)/(10^9)</f>
        <v>76.047743069061539</v>
      </c>
    </row>
    <row r="44" spans="1:80" x14ac:dyDescent="0.25">
      <c r="A44" s="83" t="s">
        <v>224</v>
      </c>
      <c r="B44" s="150">
        <f>VLOOKUP($A44,'TCO Inputs'!$A$3:$AG$53,10,FALSE)</f>
        <v>23731.611795719989</v>
      </c>
      <c r="C44" s="71">
        <f>VLOOKUP($A44,'TCO Inputs'!$A$3:$AG$53,14,FALSE)</f>
        <v>19914.104059542962</v>
      </c>
      <c r="D44" s="71">
        <f>VLOOKUP($A44,'TCO Inputs'!$A$3:$AG$53,18,FALSE)</f>
        <v>26064.793990489179</v>
      </c>
      <c r="E44" s="71">
        <f>VLOOKUP($A44,'TCO Inputs'!$A$3:$AG$53,22,FALSE)</f>
        <v>26268.693309994498</v>
      </c>
      <c r="F44" s="71">
        <f>VLOOKUP($A44,'TCO Inputs'!$A$3:$AG$53,26,FALSE)</f>
        <v>0</v>
      </c>
      <c r="G44" s="65">
        <f>VLOOKUP($A44,'TCO Inputs'!$A$3:$AG$53,30,FALSE)</f>
        <v>95979.20315574664</v>
      </c>
      <c r="H44" s="95">
        <f>(VLOOKUP($A44,Data!$D$64:$M$112,5,FALSE)+VLOOKUP($A44,Data!$D$64:$M$112,8,FALSE))*VLOOKUP($A44,'VKT US'!$B$63:$AB$113,27,FALSE)*CONVERT(0.9072,"g","ton")*m2k</f>
        <v>76.6900235019164</v>
      </c>
      <c r="I44" s="92"/>
      <c r="J44" s="144">
        <f>VLOOKUP($A44,'TCO Inputs'!$A$3:$AG$53,11,FALSE)</f>
        <v>40967.546942691188</v>
      </c>
      <c r="K44" s="65">
        <f>VLOOKUP($A44,'TCO Inputs'!$A$3:$AG$53,15,FALSE)</f>
        <v>11910.806215762674</v>
      </c>
      <c r="L44" s="65">
        <f>VLOOKUP($A44,'TCO Inputs'!$A$3:$AG$53,19,FALSE)</f>
        <v>16230.417818191134</v>
      </c>
      <c r="M44" s="65">
        <f>VLOOKUP($A44,'TCO Inputs'!$A$3:$AG$53,23,FALSE)</f>
        <v>33645.707825597034</v>
      </c>
      <c r="N44" s="65">
        <f>VLOOKUP($A44,'TCO Inputs'!$A$3:$AG$53,27,FALSE)</f>
        <v>0</v>
      </c>
      <c r="O44" s="65">
        <f>VLOOKUP($A44,'TCO Inputs'!$A$3:$AG$53,31,FALSE)</f>
        <v>102754.47880224203</v>
      </c>
      <c r="P44" s="7">
        <f>VLOOKUP($A44,_xlfn.IFS('Scenario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analysis'!$Q$121:$R$126),2,FALSE)+VLOOKUP($A44,Data!$D$64:$F$114,3,FALSE)*VLOOKUP($A44,'VKT US'!$B$63:$AB$113,27,FALSE)*m2k*CONVERT(0.9072,"g","ton")</f>
        <v>28.714900440302152</v>
      </c>
      <c r="Q44" s="95">
        <f t="shared" si="3"/>
        <v>47.975123061614248</v>
      </c>
      <c r="R44" s="60">
        <f t="shared" si="4"/>
        <v>6775.2756464953854</v>
      </c>
      <c r="S44" s="144">
        <f>VLOOKUP($A44,'TCO Inputs'!$A$3:$AG$53,12,FALSE)</f>
        <v>25202.087524607668</v>
      </c>
      <c r="T44" s="65">
        <f>VLOOKUP($A44,'TCO Inputs'!$A$3:$AG$53,16,FALSE)</f>
        <v>12254.833267411052</v>
      </c>
      <c r="U44" s="65">
        <f>VLOOKUP($A44,'TCO Inputs'!$A$3:$AG$53,20,FALSE)</f>
        <v>23957.427667853881</v>
      </c>
      <c r="V44" s="65">
        <f>VLOOKUP($A44,'TCO Inputs'!$A$3:$AG$53,24,FALSE)</f>
        <v>27373.894743946959</v>
      </c>
      <c r="W44" s="65">
        <f>VLOOKUP($A44,'TCO Inputs'!$A$3:$AG$53,28,FALSE)</f>
        <v>0</v>
      </c>
      <c r="X44" s="65">
        <f>VLOOKUP($A44,'TCO Inputs'!$A$3:$AG$53,32,FALSE)</f>
        <v>88788.243203819555</v>
      </c>
      <c r="Y44" s="7">
        <f>(VLOOKUP($A44,Data!$D$64:$M$112,4,FALSE)+VLOOKUP($A44,Data!$D$64:$M$112,7,FALSE))*VLOOKUP($A44,'VKT US'!$B$63:$AB$113,27,FALSE)*CONVERT(0.9072,"g","ton")*m2k</f>
        <v>50.608405109313544</v>
      </c>
      <c r="Z44" s="95">
        <f t="shared" si="5"/>
        <v>26.081618392602856</v>
      </c>
      <c r="AA44" s="118">
        <f t="shared" si="6"/>
        <v>-7190.9599519270851</v>
      </c>
      <c r="AB44" s="144">
        <f>VLOOKUP($A44,'TCO Inputs'!$A$3:$AG$53,13,FALSE)</f>
        <v>28460.759801658827</v>
      </c>
      <c r="AC44" s="65">
        <f>VLOOKUP($A44,'TCO Inputs'!$A$3:$AG$53,17,FALSE)</f>
        <v>18219.0492636739</v>
      </c>
      <c r="AD44" s="65">
        <f>VLOOKUP($A44,'TCO Inputs'!$A$3:$AG$53,21,FALSE)</f>
        <v>23957.427667853881</v>
      </c>
      <c r="AE44" s="65">
        <f>VLOOKUP($A44,'TCO Inputs'!$A$3:$AG$53,25,FALSE)</f>
        <v>27635.064743946961</v>
      </c>
      <c r="AF44" s="65">
        <f>VLOOKUP($A44,'TCO Inputs'!$A$3:$AG$53,29,FALSE)</f>
        <v>0</v>
      </c>
      <c r="AG44" s="65">
        <f>VLOOKUP($A44,'TCO Inputs'!$A$3:$AG$53,33,FALSE)</f>
        <v>98272.301477133573</v>
      </c>
      <c r="AH44" s="7">
        <f>(VLOOKUP($A44,Data!$D$64:$M$112,9,FALSE)+VLOOKUP($A44,Data!$D$64:$M$112,10,FALSE))*VLOOKUP($A44,'VKT US'!$B$63:$AB$113,27,FALSE)*CONVERT(0.9072,"g","ton")*m2k</f>
        <v>35.94077689788125</v>
      </c>
      <c r="AI44" s="95">
        <f t="shared" si="7"/>
        <v>40.74924660403515</v>
      </c>
      <c r="AJ44" s="186">
        <f t="shared" si="8"/>
        <v>2293.0983213869331</v>
      </c>
      <c r="AK44" s="188">
        <f>VLOOKUP($A44,'TCO Inputs'!$A$3:$AT$53,40,FALSE)</f>
        <v>30376.676612640622</v>
      </c>
      <c r="AL44" s="188">
        <f>VLOOKUP($A44,'TCO Inputs'!$A$3:$AT$53,41,FALSE)</f>
        <v>11405.324891714352</v>
      </c>
      <c r="AM44" s="188">
        <f>VLOOKUP($A44,'TCO Inputs'!$A$3:$AT$53,42,FALSE)</f>
        <v>23084.749202314815</v>
      </c>
      <c r="AN44" s="188">
        <f>VLOOKUP($A44,'TCO Inputs'!$A$3:$AT$53,43,FALSE)</f>
        <v>32939.057825597032</v>
      </c>
      <c r="AO44" s="188">
        <f>VLOOKUP($A44,'TCO Inputs'!$A$3:$AT$53,44,FALSE)</f>
        <v>0</v>
      </c>
      <c r="AP44" s="188">
        <f>VLOOKUP($A44,'TCO Inputs'!$A$3:$AT$53,45,FALSE)</f>
        <v>97805.808532266819</v>
      </c>
      <c r="AQ44" s="96">
        <f>(VLOOKUP($A44,Data!$D$64:$O$114,11,FALSE)+VLOOKUP($A44,'Fuel economy adjusted factor'!$A$2:$L$52,12,FALSE)*(1-'TCO Inputs'!$BD$9))*VLOOKUP($A44,'VKT US'!$B$63:$AB$113,27,FALSE)*CONVERT(0.9072,"g","ton")*m2k+VLOOKUP($A44,'US Grid mix, emissions&amp;prices'!$H$224:$AK$274,30,FALSE)</f>
        <v>37.575181033920423</v>
      </c>
      <c r="AR44" s="96">
        <f t="shared" si="9"/>
        <v>39.114842467995977</v>
      </c>
      <c r="AS44" s="60">
        <f>VLOOKUP($A44,'TCO Inputs'!$A$3:$AT$53,46,FALSE)</f>
        <v>1826.6053765201796</v>
      </c>
      <c r="AT44" s="98">
        <f>(VLOOKUP($A44,Data!$D$64:$M$112,5,FALSE)+VLOOKUP($A44,Data!$D$64:$M$112,8,FALSE))*VLOOKUP($A44,'VKT US'!$B$63:$AB$113,2,FALSE)*CONVERT(0.9072,"g","ton")*m2k*VLOOKUP($A44,'VKT US'!$F$5:$S$56,11,FALSE)/1000000</f>
        <v>37.002674225085698</v>
      </c>
      <c r="AU44" s="98">
        <f>(VLOOKUP($A44,Data!$D$64:$F$114,3,FALSE)+VLOOKUP($A44,Data!$D$64:$I$114,6,FALSE))*VLOOKUP($A44,'VKT US'!$B$63:$AB$113,2,FALSE)*m2k*CONVERT(0.9072,"g","ton")*VLOOKUP($A44,'VKT US'!$F$5:$S$56,2,FALSE)/1000000</f>
        <v>9.9332980634086451E-2</v>
      </c>
      <c r="AV44" s="98">
        <f>(VLOOKUP($A44,Data!$D$64:$M$112,4,FALSE)+VLOOKUP($A44,Data!$D$64:$M$112,7,FALSE))*VLOOKUP($A44,'VKT US'!$B$63:$AB$113,2,FALSE)*CONVERT(0.9072,"g","ton")*m2k*VLOOKUP($A44,'VKT US'!$F$5:$S$56,4,FALSE)/1000000</f>
        <v>0.49223427391194879</v>
      </c>
      <c r="AW44" s="98">
        <f>(VLOOKUP($A44,Data!$D$64:$M$112,9,FALSE)+VLOOKUP($A44,Data!$D$64:$M$112,10,FALSE))*VLOOKUP($A44,'VKT US'!$B$63:$AB$113,2,FALSE)*CONVERT(0.9072,"g","ton")*m2k*VLOOKUP($A44,'VKT US'!$F$5:$S$56,9,FALSE)/1000000</f>
        <v>0</v>
      </c>
      <c r="AX44" s="98">
        <f>H44*VLOOKUP($A44,'VKT US'!$F$5:$S$56,11,FALSE)/1000000</f>
        <v>431.03627709252112</v>
      </c>
      <c r="AY44" s="98">
        <f>P44*VLOOKUP($A44,'VKT US'!$F$5:$S$56,2,FALSE)/1000000</f>
        <v>0.95333469461803155</v>
      </c>
      <c r="AZ44" s="98">
        <f>Y44*VLOOKUP($A44,'VKT US'!$F$5:$S$56,4,FALSE)/1000000</f>
        <v>5.7339322988852244</v>
      </c>
      <c r="BA44" s="98">
        <f>AH44*VLOOKUP($A44,'VKT US'!$F$5:$S$56,9,FALSE)/1000000</f>
        <v>0</v>
      </c>
      <c r="BB44" s="79">
        <f>VLOOKUP($A44,Data!$D$64:$M$112,4,FALSE)+VLOOKUP($A44,Data!$D$64:$M$112,7,FALSE)-(VLOOKUP($A44,Data!$D$64:$F$114,3,FALSE)+VLOOKUP($A44,Data!$D$64:$I$114,6,FALSE))</f>
        <v>48.753726763704123</v>
      </c>
      <c r="BC44" s="10">
        <f>(Y44-P44)*VLOOKUP($A44,'VKT US'!$F$5:$S$56,14,FALSE)/1000000*'Scenario analysis'!$E$4</f>
        <v>143.15724832973171</v>
      </c>
      <c r="BD44" s="10">
        <f>P44*VLOOKUP($A44,'VKT US'!$F$5:$S$56,14,FALSE)/1000000*'Scenario analysis'!$E$4</f>
        <v>187.76099099904772</v>
      </c>
      <c r="BE44" s="79">
        <f>(VLOOKUP($A44,Data!$D$64:$M$114,4,FALSE)+VLOOKUP($A44,Data!$D$64:$M$114,7,FALSE)-(VLOOKUP($A44,Data!$D$64:$F$114,3,FALSE)+VLOOKUP($A44,Data!$D$64:$I$114,6,FALSE)))*VLOOKUP($A44,'VKT US'!$B$63:$AB$113,2,FALSE)*CONVERT(0.9072,"g","ton")*m2k*VLOOKUP($A44,'VKT US'!$F$5:$S$56,14,FALSE)/1000000*'Scenario analysis'!$E$4</f>
        <v>8.8441464361385531</v>
      </c>
      <c r="BF44" s="79">
        <f>(VLOOKUP($A44,Data!$D$64:$F$114,3,FALSE)+VLOOKUP($A44,Data!$D$64:$I$114,6,FALSE))*VLOOKUP($A44,'VKT US'!$B$63:$AB$113,2,FALSE)*CONVERT(0.9072,"g","ton")*m2k*VLOOKUP($A44,'VKT US'!$F$5:$S$56,14,FALSE)/1000000*'Scenario analysis'!$E$4</f>
        <v>19.563810053318207</v>
      </c>
      <c r="BG44" s="79">
        <f>(VLOOKUP($A44,Data!$D$64:$M$114,4,FALSE)+VLOOKUP($A44,Data!$D$64:$M$114,7,FALSE))*VLOOKUP($A44,'VKT US'!$B$63:$AB$113,2,FALSE)*CONVERT(0.9072,"g","ton")*m2k*VLOOKUP($A44,'VKT US'!$F$5:$S$56,14,FALSE)/1000000*'Scenario analysis'!$E$4</f>
        <v>28.407956489456758</v>
      </c>
      <c r="BH44" s="79">
        <f t="shared" si="16"/>
        <v>21.893504669011392</v>
      </c>
      <c r="BI44" s="96">
        <f t="shared" si="17"/>
        <v>637.91685294637296</v>
      </c>
      <c r="BJ44" s="191">
        <f t="shared" si="18"/>
        <v>13966.235598422471</v>
      </c>
      <c r="BK44" s="191">
        <f>(VLOOKUP($A44,'US Grid mix, emissions&amp;prices'!$H$169:$AK$219,30,FALSE)+VLOOKUP($A44,Data!$D$64:$F$114,3,FALSE)*VLOOKUP($A44,'VKT US'!$B$63:$AB$113,27,FALSE)*m2k*CONVERT(0.9072,"g","ton"))*VLOOKUP($A44,'VKT US'!$F$5:$S$56,14,FALSE)/1000000</f>
        <v>187.76099099904772</v>
      </c>
      <c r="BL44" s="191">
        <f>P44*VLOOKUP($A44,'VKT US'!$F$5:$S$56,14,FALSE)/1000000-BK44</f>
        <v>0</v>
      </c>
      <c r="BM44" s="191">
        <v>17.589780521028072</v>
      </c>
      <c r="BN44" s="191">
        <v>2.3603182931177713</v>
      </c>
      <c r="BO44" s="191" cm="1">
        <f t="array" ref="BO44">_xlfn.IFS(AND(Q44&gt;0,R44&gt;0),R44/Q44,AND(Q44&gt;0,R44&lt;=0),-R44/Q44,Q44&lt;=0,0)</f>
        <v>141.22476846581358</v>
      </c>
      <c r="BP44" s="212" cm="1">
        <f t="array" ref="BP44">_xlfn.IFS(AND(Z44&gt;0,AA44&gt;0),AA44/Z44,AND(Z44&gt;0,AA44&lt;=0),AA44/Z44,Z44&lt;=0,0)</f>
        <v>-275.70988286396181</v>
      </c>
      <c r="BQ44" s="191">
        <f>P44*1000000/(VLOOKUP($A44,'VKT US'!$B$63:$AB$113,27,FALSE)*m2k)</f>
        <v>88.855406395536036</v>
      </c>
      <c r="BR44" s="191">
        <f>Y44*1000000/(VLOOKUP($A44,'VKT US'!$B$63:$AB$113,27,FALSE)*m2k)</f>
        <v>156.60268132800323</v>
      </c>
      <c r="BS44" s="191">
        <f>H44*1000000/(VLOOKUP($A44,'VKT US'!$B$63:$AB$113,27,FALSE)*m2k)</f>
        <v>237.30965806107764</v>
      </c>
      <c r="BT44" s="95"/>
      <c r="BU44" s="10">
        <f t="shared" si="10"/>
        <v>98050.523542576251</v>
      </c>
      <c r="BV44" s="10">
        <f t="shared" si="11"/>
        <v>107341.56748661415</v>
      </c>
      <c r="BW44" s="10">
        <f t="shared" si="12"/>
        <v>91222.648207705992</v>
      </c>
      <c r="BX44" s="10">
        <f t="shared" si="13"/>
        <v>99790.149589169916</v>
      </c>
      <c r="BY44" s="53">
        <f t="shared" si="14"/>
        <v>101100.40929383134</v>
      </c>
      <c r="BZ44" s="79">
        <f t="shared" si="15"/>
        <v>38.44404962980262</v>
      </c>
      <c r="CA44" s="96">
        <f>VLOOKUP($A44,'TCO Inputs'!$Y$114:$AT$164,22,FALSE)</f>
        <v>72655.666411278929</v>
      </c>
      <c r="CB44" s="211">
        <f>CA44*VLOOKUP($A44,'VKT US'!$F$5:$S$56,14,FALSE)/(10^9)</f>
        <v>475.08087153007068</v>
      </c>
    </row>
    <row r="45" spans="1:80" x14ac:dyDescent="0.25">
      <c r="A45" s="83" t="s">
        <v>225</v>
      </c>
      <c r="B45" s="150">
        <f>VLOOKUP($A45,'TCO Inputs'!$A$3:$AG$53,10,FALSE)</f>
        <v>23731.611795719989</v>
      </c>
      <c r="C45" s="71">
        <f>VLOOKUP($A45,'TCO Inputs'!$A$3:$AG$53,14,FALSE)</f>
        <v>19339.951355678299</v>
      </c>
      <c r="D45" s="71">
        <f>VLOOKUP($A45,'TCO Inputs'!$A$3:$AG$53,18,FALSE)</f>
        <v>27573.745562516582</v>
      </c>
      <c r="E45" s="71">
        <f>VLOOKUP($A45,'TCO Inputs'!$A$3:$AG$53,22,FALSE)</f>
        <v>33024.634353555193</v>
      </c>
      <c r="F45" s="71">
        <f>VLOOKUP($A45,'TCO Inputs'!$A$3:$AG$53,26,FALSE)</f>
        <v>0</v>
      </c>
      <c r="G45" s="65">
        <f>VLOOKUP($A45,'TCO Inputs'!$A$3:$AG$53,30,FALSE)</f>
        <v>103669.94306747007</v>
      </c>
      <c r="H45" s="95">
        <f>(VLOOKUP($A45,Data!$D$64:$M$112,5,FALSE)+VLOOKUP($A45,Data!$D$64:$M$112,8,FALSE))*VLOOKUP($A45,'VKT US'!$B$63:$AB$113,27,FALSE)*CONVERT(0.9072,"g","ton")*m2k</f>
        <v>81.05904671529774</v>
      </c>
      <c r="I45" s="92"/>
      <c r="J45" s="144">
        <f>VLOOKUP($A45,'TCO Inputs'!$A$3:$AG$53,11,FALSE)</f>
        <v>40967.546942691188</v>
      </c>
      <c r="K45" s="65">
        <f>VLOOKUP($A45,'TCO Inputs'!$A$3:$AG$53,15,FALSE)</f>
        <v>12739.392772603383</v>
      </c>
      <c r="L45" s="65">
        <f>VLOOKUP($A45,'TCO Inputs'!$A$3:$AG$53,19,FALSE)</f>
        <v>17170.034470843657</v>
      </c>
      <c r="M45" s="65">
        <f>VLOOKUP($A45,'TCO Inputs'!$A$3:$AG$53,23,FALSE)</f>
        <v>38959.895813241405</v>
      </c>
      <c r="N45" s="65">
        <f>VLOOKUP($A45,'TCO Inputs'!$A$3:$AG$53,27,FALSE)</f>
        <v>0</v>
      </c>
      <c r="O45" s="65">
        <f>VLOOKUP($A45,'TCO Inputs'!$A$3:$AG$53,31,FALSE)</f>
        <v>109836.86999937965</v>
      </c>
      <c r="P45" s="7">
        <f>VLOOKUP($A45,_xlfn.IFS('Scenario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analysis'!$Q$121:$R$126),2,FALSE)+VLOOKUP($A45,Data!$D$64:$F$114,3,FALSE)*VLOOKUP($A45,'VKT US'!$B$63:$AB$113,27,FALSE)*m2k*CONVERT(0.9072,"g","ton")</f>
        <v>34.919648521711167</v>
      </c>
      <c r="Q45" s="95">
        <f t="shared" si="3"/>
        <v>46.139398193586572</v>
      </c>
      <c r="R45" s="60">
        <f t="shared" si="4"/>
        <v>6166.9269319095765</v>
      </c>
      <c r="S45" s="144">
        <f>VLOOKUP($A45,'TCO Inputs'!$A$3:$AG$53,12,FALSE)</f>
        <v>25202.087524607668</v>
      </c>
      <c r="T45" s="65">
        <f>VLOOKUP($A45,'TCO Inputs'!$A$3:$AG$53,16,FALSE)</f>
        <v>11901.508526571259</v>
      </c>
      <c r="U45" s="65">
        <f>VLOOKUP($A45,'TCO Inputs'!$A$3:$AG$53,20,FALSE)</f>
        <v>25344.378900015236</v>
      </c>
      <c r="V45" s="65">
        <f>VLOOKUP($A45,'TCO Inputs'!$A$3:$AG$53,24,FALSE)</f>
        <v>34414.078160774108</v>
      </c>
      <c r="W45" s="65">
        <f>VLOOKUP($A45,'TCO Inputs'!$A$3:$AG$53,28,FALSE)</f>
        <v>0</v>
      </c>
      <c r="X45" s="65">
        <f>VLOOKUP($A45,'TCO Inputs'!$A$3:$AG$53,32,FALSE)</f>
        <v>96862.053111968271</v>
      </c>
      <c r="Y45" s="7">
        <f>(VLOOKUP($A45,Data!$D$64:$M$112,4,FALSE)+VLOOKUP($A45,Data!$D$64:$M$112,7,FALSE))*VLOOKUP($A45,'VKT US'!$B$63:$AB$113,27,FALSE)*CONVERT(0.9072,"g","ton")*m2k</f>
        <v>53.494607853948516</v>
      </c>
      <c r="Z45" s="95">
        <f t="shared" si="5"/>
        <v>27.564438861349224</v>
      </c>
      <c r="AA45" s="118">
        <f t="shared" si="6"/>
        <v>-6807.8899555017997</v>
      </c>
      <c r="AB45" s="144">
        <f>VLOOKUP($A45,'TCO Inputs'!$A$3:$AG$53,13,FALSE)</f>
        <v>28460.759801658827</v>
      </c>
      <c r="AC45" s="65">
        <f>VLOOKUP($A45,'TCO Inputs'!$A$3:$AG$53,17,FALSE)</f>
        <v>19254.988717960296</v>
      </c>
      <c r="AD45" s="65">
        <f>VLOOKUP($A45,'TCO Inputs'!$A$3:$AG$53,21,FALSE)</f>
        <v>25344.378900015236</v>
      </c>
      <c r="AE45" s="65">
        <f>VLOOKUP($A45,'TCO Inputs'!$A$3:$AG$53,25,FALSE)</f>
        <v>34647.265660774108</v>
      </c>
      <c r="AF45" s="65">
        <f>VLOOKUP($A45,'TCO Inputs'!$A$3:$AG$53,29,FALSE)</f>
        <v>0</v>
      </c>
      <c r="AG45" s="65">
        <f>VLOOKUP($A45,'TCO Inputs'!$A$3:$AG$53,33,FALSE)</f>
        <v>107707.39308040847</v>
      </c>
      <c r="AH45" s="7">
        <f>(VLOOKUP($A45,Data!$D$64:$M$112,9,FALSE)+VLOOKUP($A45,Data!$D$64:$M$112,10,FALSE))*VLOOKUP($A45,'VKT US'!$B$63:$AB$113,27,FALSE)*CONVERT(0.9072,"g","ton")*m2k</f>
        <v>38.021472099989253</v>
      </c>
      <c r="AI45" s="95">
        <f t="shared" si="7"/>
        <v>43.037574615308486</v>
      </c>
      <c r="AJ45" s="186">
        <f t="shared" si="8"/>
        <v>4037.450012938396</v>
      </c>
      <c r="AK45" s="188">
        <f>VLOOKUP($A45,'TCO Inputs'!$A$3:$AT$53,40,FALSE)</f>
        <v>30376.676612640622</v>
      </c>
      <c r="AL45" s="188">
        <f>VLOOKUP($A45,'TCO Inputs'!$A$3:$AT$53,41,FALSE)</f>
        <v>11610.878097788283</v>
      </c>
      <c r="AM45" s="188">
        <f>VLOOKUP($A45,'TCO Inputs'!$A$3:$AT$53,42,FALSE)</f>
        <v>24421.179047545971</v>
      </c>
      <c r="AN45" s="188">
        <f>VLOOKUP($A45,'TCO Inputs'!$A$3:$AT$53,43,FALSE)</f>
        <v>38328.958313241405</v>
      </c>
      <c r="AO45" s="188">
        <f>VLOOKUP($A45,'TCO Inputs'!$A$3:$AT$53,44,FALSE)</f>
        <v>0</v>
      </c>
      <c r="AP45" s="188">
        <f>VLOOKUP($A45,'TCO Inputs'!$A$3:$AT$53,45,FALSE)</f>
        <v>104737.69207121627</v>
      </c>
      <c r="AQ45" s="96">
        <f>(VLOOKUP($A45,Data!$D$64:$O$114,11,FALSE)+VLOOKUP($A45,'Fuel economy adjusted factor'!$A$2:$L$52,12,FALSE)*(1-'TCO Inputs'!$BD$9))*VLOOKUP($A45,'VKT US'!$B$63:$AB$113,27,FALSE)*CONVERT(0.9072,"g","ton")*m2k+VLOOKUP($A45,'US Grid mix, emissions&amp;prices'!$H$224:$AK$274,30,FALSE)</f>
        <v>42.091635336714326</v>
      </c>
      <c r="AR45" s="96">
        <f t="shared" si="9"/>
        <v>38.967411378583414</v>
      </c>
      <c r="AS45" s="60">
        <f>VLOOKUP($A45,'TCO Inputs'!$A$3:$AT$53,46,FALSE)</f>
        <v>1067.7490037461976</v>
      </c>
      <c r="AT45" s="98">
        <f>(VLOOKUP($A45,Data!$D$64:$M$112,5,FALSE)+VLOOKUP($A45,Data!$D$64:$M$112,8,FALSE))*VLOOKUP($A45,'VKT US'!$B$63:$AB$113,2,FALSE)*CONVERT(0.9072,"g","ton")*m2k*VLOOKUP($A45,'VKT US'!$F$5:$S$56,11,FALSE)/1000000</f>
        <v>148.86356390258857</v>
      </c>
      <c r="AU45" s="98">
        <f>(VLOOKUP($A45,Data!$D$64:$F$114,3,FALSE)+VLOOKUP($A45,Data!$D$64:$I$114,6,FALSE))*VLOOKUP($A45,'VKT US'!$B$63:$AB$113,2,FALSE)*m2k*CONVERT(0.9072,"g","ton")*VLOOKUP($A45,'VKT US'!$F$5:$S$56,2,FALSE)/1000000</f>
        <v>0.84985210165769964</v>
      </c>
      <c r="AV45" s="98">
        <f>(VLOOKUP($A45,Data!$D$64:$M$112,4,FALSE)+VLOOKUP($A45,Data!$D$64:$M$112,7,FALSE))*VLOOKUP($A45,'VKT US'!$B$63:$AB$113,2,FALSE)*CONVERT(0.9072,"g","ton")*m2k*VLOOKUP($A45,'VKT US'!$F$5:$S$56,4,FALSE)/1000000</f>
        <v>2.0440282400587346</v>
      </c>
      <c r="AW45" s="98">
        <f>(VLOOKUP($A45,Data!$D$64:$M$112,9,FALSE)+VLOOKUP($A45,Data!$D$64:$M$112,10,FALSE))*VLOOKUP($A45,'VKT US'!$B$63:$AB$113,2,FALSE)*CONVERT(0.9072,"g","ton")*m2k*VLOOKUP($A45,'VKT US'!$F$5:$S$56,9,FALSE)/1000000</f>
        <v>0</v>
      </c>
      <c r="AX45" s="98">
        <f>H45*VLOOKUP($A45,'VKT US'!$F$5:$S$56,11,FALSE)/1000000</f>
        <v>1734.0799745710215</v>
      </c>
      <c r="AY45" s="98">
        <f>P45*VLOOKUP($A45,'VKT US'!$F$5:$S$56,2,FALSE)/1000000</f>
        <v>8.0350111248457399</v>
      </c>
      <c r="AZ45" s="98">
        <f>Y45*VLOOKUP($A45,'VKT US'!$F$5:$S$56,4,FALSE)/1000000</f>
        <v>23.810449955792482</v>
      </c>
      <c r="BA45" s="98">
        <f>AH45*VLOOKUP($A45,'VKT US'!$F$5:$S$56,9,FALSE)/1000000</f>
        <v>0</v>
      </c>
      <c r="BB45" s="79">
        <f>VLOOKUP($A45,Data!$D$64:$M$112,4,FALSE)+VLOOKUP($A45,Data!$D$64:$M$112,7,FALSE)-(VLOOKUP($A45,Data!$D$64:$F$114,3,FALSE)+VLOOKUP($A45,Data!$D$64:$I$114,6,FALSE))</f>
        <v>30.627629766175772</v>
      </c>
      <c r="BC45" s="10">
        <f>(Y45-P45)*VLOOKUP($A45,'VKT US'!$F$5:$S$56,14,FALSE)/1000000*'Scenario analysis'!$E$4</f>
        <v>479.17079590999401</v>
      </c>
      <c r="BD45" s="10">
        <f>P45*VLOOKUP($A45,'VKT US'!$F$5:$S$56,14,FALSE)/1000000*'Scenario analysis'!$E$4</f>
        <v>900.80820505517431</v>
      </c>
      <c r="BE45" s="79">
        <f>(VLOOKUP($A45,Data!$D$64:$M$114,4,FALSE)+VLOOKUP($A45,Data!$D$64:$M$114,7,FALSE)-(VLOOKUP($A45,Data!$D$64:$F$114,3,FALSE)+VLOOKUP($A45,Data!$D$64:$I$114,6,FALSE)))*VLOOKUP($A45,'VKT US'!$B$63:$AB$113,2,FALSE)*CONVERT(0.9072,"g","ton")*m2k*VLOOKUP($A45,'VKT US'!$F$5:$S$56,14,FALSE)/1000000*'Scenario analysis'!$E$4</f>
        <v>23.18821812734711</v>
      </c>
      <c r="BF45" s="79">
        <f>(VLOOKUP($A45,Data!$D$64:$F$114,3,FALSE)+VLOOKUP($A45,Data!$D$64:$I$114,6,FALSE))*VLOOKUP($A45,'VKT US'!$B$63:$AB$113,2,FALSE)*CONVERT(0.9072,"g","ton")*m2k*VLOOKUP($A45,'VKT US'!$F$5:$S$56,14,FALSE)/1000000*'Scenario analysis'!$E$4</f>
        <v>95.277247829739323</v>
      </c>
      <c r="BG45" s="79">
        <f>(VLOOKUP($A45,Data!$D$64:$M$114,4,FALSE)+VLOOKUP($A45,Data!$D$64:$M$114,7,FALSE))*VLOOKUP($A45,'VKT US'!$B$63:$AB$113,2,FALSE)*CONVERT(0.9072,"g","ton")*m2k*VLOOKUP($A45,'VKT US'!$F$5:$S$56,14,FALSE)/1000000*'Scenario analysis'!$E$4</f>
        <v>118.46546595708639</v>
      </c>
      <c r="BH45" s="79">
        <f t="shared" si="16"/>
        <v>18.574959332237349</v>
      </c>
      <c r="BI45" s="96">
        <f t="shared" si="17"/>
        <v>698.51118677246461</v>
      </c>
      <c r="BJ45" s="191">
        <f t="shared" si="18"/>
        <v>12974.816887411376</v>
      </c>
      <c r="BK45" s="191">
        <f>(VLOOKUP($A45,'US Grid mix, emissions&amp;prices'!$H$169:$AK$219,30,FALSE)+VLOOKUP($A45,Data!$D$64:$F$114,3,FALSE)*VLOOKUP($A45,'VKT US'!$B$63:$AB$113,27,FALSE)*m2k*CONVERT(0.9072,"g","ton"))*VLOOKUP($A45,'VKT US'!$F$5:$S$56,14,FALSE)/1000000</f>
        <v>900.80820505517431</v>
      </c>
      <c r="BL45" s="191">
        <f>P45*VLOOKUP($A45,'VKT US'!$F$5:$S$56,14,FALSE)/1000000-BK45</f>
        <v>0</v>
      </c>
      <c r="BM45" s="191">
        <v>84.994533035635996</v>
      </c>
      <c r="BN45" s="191">
        <v>12.29489196307911</v>
      </c>
      <c r="BO45" s="191" cm="1">
        <f t="array" ref="BO45">_xlfn.IFS(AND(Q45&gt;0,R45&gt;0),R45/Q45,AND(Q45&gt;0,R45&lt;=0),-R45/Q45,Q45&lt;=0,0)</f>
        <v>133.65859056147781</v>
      </c>
      <c r="BP45" s="212" cm="1">
        <f t="array" ref="BP45">_xlfn.IFS(AND(Z45&gt;0,AA45&gt;0),AA45/Z45,AND(Z45&gt;0,AA45&lt;=0),AA45/Z45,Z45&lt;=0,0)</f>
        <v>-246.98090136156566</v>
      </c>
      <c r="BQ45" s="191">
        <f>P45*1000000/(VLOOKUP($A45,'VKT US'!$B$63:$AB$113,27,FALSE)*m2k)</f>
        <v>102.14213688059465</v>
      </c>
      <c r="BR45" s="191">
        <f>Y45*1000000/(VLOOKUP($A45,'VKT US'!$B$63:$AB$113,27,FALSE)*m2k)</f>
        <v>156.47504454102645</v>
      </c>
      <c r="BS45" s="191">
        <f>H45*1000000/(VLOOKUP($A45,'VKT US'!$B$63:$AB$113,27,FALSE)*m2k)</f>
        <v>237.10273715546364</v>
      </c>
      <c r="BT45" s="95"/>
      <c r="BU45" s="10">
        <f t="shared" si="10"/>
        <v>98050.523542576251</v>
      </c>
      <c r="BV45" s="10">
        <f t="shared" si="11"/>
        <v>107341.56748661415</v>
      </c>
      <c r="BW45" s="10">
        <f t="shared" si="12"/>
        <v>91222.648207705992</v>
      </c>
      <c r="BX45" s="10">
        <f t="shared" si="13"/>
        <v>99790.149589169916</v>
      </c>
      <c r="BY45" s="53">
        <f t="shared" si="14"/>
        <v>101100.40929383134</v>
      </c>
      <c r="BZ45" s="79">
        <f t="shared" si="15"/>
        <v>38.44404962980262</v>
      </c>
      <c r="CA45" s="96">
        <f>VLOOKUP($A45,'TCO Inputs'!$Y$114:$AT$164,22,FALSE)</f>
        <v>74950.941476784821</v>
      </c>
      <c r="CB45" s="211">
        <f>CA45*VLOOKUP($A45,'VKT US'!$F$5:$S$56,14,FALSE)/(10^9)</f>
        <v>1933.4794569000273</v>
      </c>
    </row>
    <row r="46" spans="1:80" x14ac:dyDescent="0.25">
      <c r="A46" s="83" t="s">
        <v>226</v>
      </c>
      <c r="B46" s="150">
        <f>VLOOKUP($A46,'TCO Inputs'!$A$3:$AG$53,10,FALSE)</f>
        <v>23731.611795719989</v>
      </c>
      <c r="C46" s="71">
        <f>VLOOKUP($A46,'TCO Inputs'!$A$3:$AG$53,14,FALSE)</f>
        <v>22060.001915427776</v>
      </c>
      <c r="D46" s="71">
        <f>VLOOKUP($A46,'TCO Inputs'!$A$3:$AG$53,18,FALSE)</f>
        <v>26455.245866188925</v>
      </c>
      <c r="E46" s="71">
        <f>VLOOKUP($A46,'TCO Inputs'!$A$3:$AG$53,22,FALSE)</f>
        <v>28714.164039837604</v>
      </c>
      <c r="F46" s="71">
        <f>VLOOKUP($A46,'TCO Inputs'!$A$3:$AG$53,26,FALSE)</f>
        <v>0</v>
      </c>
      <c r="G46" s="65">
        <f>VLOOKUP($A46,'TCO Inputs'!$A$3:$AG$53,30,FALSE)</f>
        <v>100961.0236171743</v>
      </c>
      <c r="H46" s="95">
        <f>(VLOOKUP($A46,Data!$D$64:$M$112,5,FALSE)+VLOOKUP($A46,Data!$D$64:$M$112,8,FALSE))*VLOOKUP($A46,'VKT US'!$B$63:$AB$113,27,FALSE)*CONVERT(0.9072,"g","ton")*m2k</f>
        <v>79.264138327397276</v>
      </c>
      <c r="I46" s="92"/>
      <c r="J46" s="144">
        <f>VLOOKUP($A46,'TCO Inputs'!$A$3:$AG$53,11,FALSE)</f>
        <v>40967.546942691188</v>
      </c>
      <c r="K46" s="65">
        <f>VLOOKUP($A46,'TCO Inputs'!$A$3:$AG$53,15,FALSE)</f>
        <v>12073.862605143129</v>
      </c>
      <c r="L46" s="65">
        <f>VLOOKUP($A46,'TCO Inputs'!$A$3:$AG$53,19,FALSE)</f>
        <v>16473.5502627758</v>
      </c>
      <c r="M46" s="65">
        <f>VLOOKUP($A46,'TCO Inputs'!$A$3:$AG$53,23,FALSE)</f>
        <v>35239.106645492437</v>
      </c>
      <c r="N46" s="65">
        <f>VLOOKUP($A46,'TCO Inputs'!$A$3:$AG$53,27,FALSE)</f>
        <v>0</v>
      </c>
      <c r="O46" s="65">
        <f>VLOOKUP($A46,'TCO Inputs'!$A$3:$AG$53,31,FALSE)</f>
        <v>104754.06645610256</v>
      </c>
      <c r="P46" s="7">
        <f>VLOOKUP($A46,_xlfn.IFS('Scenario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analysis'!$Q$121:$R$126),2,FALSE)+VLOOKUP($A46,Data!$D$64:$F$114,3,FALSE)*VLOOKUP($A46,'VKT US'!$B$63:$AB$113,27,FALSE)*m2k*CONVERT(0.9072,"g","ton")</f>
        <v>54.194105232111355</v>
      </c>
      <c r="Q46" s="95">
        <f t="shared" si="3"/>
        <v>25.070033095285922</v>
      </c>
      <c r="R46" s="60">
        <f t="shared" si="4"/>
        <v>3793.0428389282606</v>
      </c>
      <c r="S46" s="144">
        <f>VLOOKUP($A46,'TCO Inputs'!$A$3:$AG$53,12,FALSE)</f>
        <v>25202.087524607668</v>
      </c>
      <c r="T46" s="65">
        <f>VLOOKUP($A46,'TCO Inputs'!$A$3:$AG$53,16,FALSE)</f>
        <v>13575.385794109399</v>
      </c>
      <c r="U46" s="65">
        <f>VLOOKUP($A46,'TCO Inputs'!$A$3:$AG$53,20,FALSE)</f>
        <v>24316.31109402897</v>
      </c>
      <c r="V46" s="65">
        <f>VLOOKUP($A46,'TCO Inputs'!$A$3:$AG$53,24,FALSE)</f>
        <v>29922.253642813801</v>
      </c>
      <c r="W46" s="65">
        <f>VLOOKUP($A46,'TCO Inputs'!$A$3:$AG$53,28,FALSE)</f>
        <v>0</v>
      </c>
      <c r="X46" s="65">
        <f>VLOOKUP($A46,'TCO Inputs'!$A$3:$AG$53,32,FALSE)</f>
        <v>93016.038055559839</v>
      </c>
      <c r="Y46" s="7">
        <f>(VLOOKUP($A46,Data!$D$64:$M$112,4,FALSE)+VLOOKUP($A46,Data!$D$64:$M$112,7,FALSE))*VLOOKUP($A46,'VKT US'!$B$63:$AB$113,27,FALSE)*CONVERT(0.9072,"g","ton")*m2k</f>
        <v>52.245698067682547</v>
      </c>
      <c r="Z46" s="95">
        <f t="shared" si="5"/>
        <v>27.01844025971473</v>
      </c>
      <c r="AA46" s="118">
        <f t="shared" si="6"/>
        <v>-7944.9855616144632</v>
      </c>
      <c r="AB46" s="144">
        <f>VLOOKUP($A46,'TCO Inputs'!$A$3:$AG$53,13,FALSE)</f>
        <v>28460.759801658827</v>
      </c>
      <c r="AC46" s="65">
        <f>VLOOKUP($A46,'TCO Inputs'!$A$3:$AG$53,17,FALSE)</f>
        <v>18870.831407551566</v>
      </c>
      <c r="AD46" s="65">
        <f>VLOOKUP($A46,'TCO Inputs'!$A$3:$AG$53,21,FALSE)</f>
        <v>24316.31109402897</v>
      </c>
      <c r="AE46" s="65">
        <f>VLOOKUP($A46,'TCO Inputs'!$A$3:$AG$53,25,FALSE)</f>
        <v>30177.8271428138</v>
      </c>
      <c r="AF46" s="65">
        <f>VLOOKUP($A46,'TCO Inputs'!$A$3:$AG$53,29,FALSE)</f>
        <v>0</v>
      </c>
      <c r="AG46" s="65">
        <f>VLOOKUP($A46,'TCO Inputs'!$A$3:$AG$53,33,FALSE)</f>
        <v>101825.72944605316</v>
      </c>
      <c r="AH46" s="7">
        <f>(VLOOKUP($A46,Data!$D$64:$M$112,9,FALSE)+VLOOKUP($A46,Data!$D$64:$M$112,10,FALSE))*VLOOKUP($A46,'VKT US'!$B$63:$AB$113,27,FALSE)*CONVERT(0.9072,"g","ton")*m2k</f>
        <v>36.479171475601859</v>
      </c>
      <c r="AI46" s="95">
        <f t="shared" si="7"/>
        <v>42.784966851795417</v>
      </c>
      <c r="AJ46" s="186">
        <f t="shared" si="8"/>
        <v>864.70582887885394</v>
      </c>
      <c r="AK46" s="188">
        <f>VLOOKUP($A46,'TCO Inputs'!$A$3:$AT$53,40,FALSE)</f>
        <v>30376.676612640622</v>
      </c>
      <c r="AL46" s="188">
        <f>VLOOKUP($A46,'TCO Inputs'!$A$3:$AT$53,41,FALSE)</f>
        <v>12095.875227551911</v>
      </c>
      <c r="AM46" s="188">
        <f>VLOOKUP($A46,'TCO Inputs'!$A$3:$AT$53,42,FALSE)</f>
        <v>23430.559862832259</v>
      </c>
      <c r="AN46" s="188">
        <f>VLOOKUP($A46,'TCO Inputs'!$A$3:$AT$53,43,FALSE)</f>
        <v>34547.599145492437</v>
      </c>
      <c r="AO46" s="188">
        <f>VLOOKUP($A46,'TCO Inputs'!$A$3:$AT$53,44,FALSE)</f>
        <v>0</v>
      </c>
      <c r="AP46" s="188">
        <f>VLOOKUP($A46,'TCO Inputs'!$A$3:$AT$53,45,FALSE)</f>
        <v>100450.71084851724</v>
      </c>
      <c r="AQ46" s="96">
        <f>(VLOOKUP($A46,Data!$D$64:$O$114,11,FALSE)+VLOOKUP($A46,'Fuel economy adjusted factor'!$A$2:$L$52,12,FALSE)*(1-'TCO Inputs'!$BD$9))*VLOOKUP($A46,'VKT US'!$B$63:$AB$113,27,FALSE)*CONVERT(0.9072,"g","ton")*m2k+VLOOKUP($A46,'US Grid mix, emissions&amp;prices'!$H$224:$AK$274,30,FALSE)</f>
        <v>51.584577330917035</v>
      </c>
      <c r="AR46" s="96">
        <f t="shared" si="9"/>
        <v>27.679560996480241</v>
      </c>
      <c r="AS46" s="60">
        <f>VLOOKUP($A46,'TCO Inputs'!$A$3:$AT$53,46,FALSE)</f>
        <v>-510.31276865706604</v>
      </c>
      <c r="AT46" s="98">
        <f>(VLOOKUP($A46,Data!$D$64:$M$112,5,FALSE)+VLOOKUP($A46,Data!$D$64:$M$112,8,FALSE))*VLOOKUP($A46,'VKT US'!$B$63:$AB$113,2,FALSE)*CONVERT(0.9072,"g","ton")*m2k*VLOOKUP($A46,'VKT US'!$F$5:$S$56,11,FALSE)/1000000</f>
        <v>17.008520897750504</v>
      </c>
      <c r="AU46" s="98">
        <f>(VLOOKUP($A46,Data!$D$64:$F$114,3,FALSE)+VLOOKUP($A46,Data!$D$64:$I$114,6,FALSE))*VLOOKUP($A46,'VKT US'!$B$63:$AB$113,2,FALSE)*m2k*CONVERT(0.9072,"g","ton")*VLOOKUP($A46,'VKT US'!$F$5:$S$56,2,FALSE)/1000000</f>
        <v>0.23798966006714387</v>
      </c>
      <c r="AV46" s="98">
        <f>(VLOOKUP($A46,Data!$D$64:$M$112,4,FALSE)+VLOOKUP($A46,Data!$D$64:$M$112,7,FALSE))*VLOOKUP($A46,'VKT US'!$B$63:$AB$113,2,FALSE)*CONVERT(0.9072,"g","ton")*m2k*VLOOKUP($A46,'VKT US'!$F$5:$S$56,4,FALSE)/1000000</f>
        <v>0.37315833936446324</v>
      </c>
      <c r="AW46" s="98">
        <f>(VLOOKUP($A46,Data!$D$64:$M$112,9,FALSE)+VLOOKUP($A46,Data!$D$64:$M$112,10,FALSE))*VLOOKUP($A46,'VKT US'!$B$63:$AB$113,2,FALSE)*CONVERT(0.9072,"g","ton")*m2k*VLOOKUP($A46,'VKT US'!$F$5:$S$56,9,FALSE)/1000000</f>
        <v>0</v>
      </c>
      <c r="AX46" s="98">
        <f>H46*VLOOKUP($A46,'VKT US'!$F$5:$S$56,11,FALSE)/1000000</f>
        <v>198.12864016316223</v>
      </c>
      <c r="AY46" s="98">
        <f>P46*VLOOKUP($A46,'VKT US'!$F$5:$S$56,2,FALSE)/1000000</f>
        <v>2.1677642092844542</v>
      </c>
      <c r="AZ46" s="98">
        <f>Y46*VLOOKUP($A46,'VKT US'!$F$5:$S$56,4,FALSE)/1000000</f>
        <v>4.3468420792311875</v>
      </c>
      <c r="BA46" s="98">
        <f>AH46*VLOOKUP($A46,'VKT US'!$F$5:$S$56,9,FALSE)/1000000</f>
        <v>0</v>
      </c>
      <c r="BB46" s="79">
        <f>VLOOKUP($A46,Data!$D$64:$M$112,4,FALSE)+VLOOKUP($A46,Data!$D$64:$M$112,7,FALSE)-(VLOOKUP($A46,Data!$D$64:$F$114,3,FALSE)+VLOOKUP($A46,Data!$D$64:$I$114,6,FALSE))</f>
        <v>-52.015267668933916</v>
      </c>
      <c r="BC46" s="10">
        <f>(Y46-P46)*VLOOKUP($A46,'VKT US'!$F$5:$S$56,14,FALSE)/1000000*'Scenario analysis'!$E$4</f>
        <v>-5.9936901192158993</v>
      </c>
      <c r="BD46" s="10">
        <f>P46*VLOOKUP($A46,'VKT US'!$F$5:$S$56,14,FALSE)/1000000*'Scenario analysis'!$E$4</f>
        <v>166.71190651502093</v>
      </c>
      <c r="BE46" s="79">
        <f>(VLOOKUP($A46,Data!$D$64:$M$114,4,FALSE)+VLOOKUP($A46,Data!$D$64:$M$114,7,FALSE)-(VLOOKUP($A46,Data!$D$64:$F$114,3,FALSE)+VLOOKUP($A46,Data!$D$64:$I$114,6,FALSE)))*VLOOKUP($A46,'VKT US'!$B$63:$AB$113,2,FALSE)*CONVERT(0.9072,"g","ton")*m2k*VLOOKUP($A46,'VKT US'!$F$5:$S$56,14,FALSE)/1000000*'Scenario analysis'!$E$4</f>
        <v>-4.5056034186059888</v>
      </c>
      <c r="BF46" s="79">
        <f>(VLOOKUP($A46,Data!$D$64:$F$114,3,FALSE)+VLOOKUP($A46,Data!$D$64:$I$114,6,FALSE))*VLOOKUP($A46,'VKT US'!$B$63:$AB$113,2,FALSE)*CONVERT(0.9072,"g","ton")*m2k*VLOOKUP($A46,'VKT US'!$F$5:$S$56,14,FALSE)/1000000*'Scenario analysis'!$E$4</f>
        <v>18.302594807463702</v>
      </c>
      <c r="BG46" s="79">
        <f>(VLOOKUP($A46,Data!$D$64:$M$114,4,FALSE)+VLOOKUP($A46,Data!$D$64:$M$114,7,FALSE))*VLOOKUP($A46,'VKT US'!$B$63:$AB$113,2,FALSE)*CONVERT(0.9072,"g","ton")*m2k*VLOOKUP($A46,'VKT US'!$F$5:$S$56,14,FALSE)/1000000*'Scenario analysis'!$E$4</f>
        <v>13.796991388857712</v>
      </c>
      <c r="BH46" s="79">
        <f t="shared" si="16"/>
        <v>-1.9484071644288079</v>
      </c>
      <c r="BI46" s="96">
        <f t="shared" si="17"/>
        <v>-6024.4227258237506</v>
      </c>
      <c r="BJ46" s="191">
        <f t="shared" si="18"/>
        <v>11738.028400542724</v>
      </c>
      <c r="BK46" s="191">
        <f>(VLOOKUP($A46,'US Grid mix, emissions&amp;prices'!$H$169:$AK$219,30,FALSE)+VLOOKUP($A46,Data!$D$64:$F$114,3,FALSE)*VLOOKUP($A46,'VKT US'!$B$63:$AB$113,27,FALSE)*m2k*CONVERT(0.9072,"g","ton"))*VLOOKUP($A46,'VKT US'!$F$5:$S$56,14,FALSE)/1000000</f>
        <v>166.71190651502093</v>
      </c>
      <c r="BL46" s="191">
        <f>P46*VLOOKUP($A46,'VKT US'!$F$5:$S$56,14,FALSE)/1000000-BK46</f>
        <v>0</v>
      </c>
      <c r="BM46" s="191">
        <v>16.015865059138335</v>
      </c>
      <c r="BN46" s="191">
        <v>2.7342093763548014</v>
      </c>
      <c r="BO46" s="191" cm="1">
        <f t="array" ref="BO46">_xlfn.IFS(AND(Q46&gt;0,R46&gt;0),R46/Q46,AND(Q46&gt;0,R46&lt;=0),-R46/Q46,Q46&lt;=0,0)</f>
        <v>151.29787920549217</v>
      </c>
      <c r="BP46" s="212" cm="1">
        <f t="array" ref="BP46">_xlfn.IFS(AND(Z46&gt;0,AA46&gt;0),AA46/Z46,AND(Z46&gt;0,AA46&lt;=0),AA46/Z46,Z46&lt;=0,0)</f>
        <v>-294.05789102713914</v>
      </c>
      <c r="BQ46" s="191">
        <f>P46*1000000/(VLOOKUP($A46,'VKT US'!$B$63:$AB$113,27,FALSE)*m2k)</f>
        <v>165.22322222780898</v>
      </c>
      <c r="BR46" s="191">
        <f>Y46*1000000/(VLOOKUP($A46,'VKT US'!$B$63:$AB$113,27,FALSE)*m2k)</f>
        <v>159.28305385451642</v>
      </c>
      <c r="BS46" s="191">
        <f>H46*1000000/(VLOOKUP($A46,'VKT US'!$B$63:$AB$113,27,FALSE)*m2k)</f>
        <v>241.6549970789716</v>
      </c>
      <c r="BT46" s="95"/>
      <c r="BU46" s="10">
        <f t="shared" si="10"/>
        <v>98050.523542576251</v>
      </c>
      <c r="BV46" s="10">
        <f t="shared" si="11"/>
        <v>107341.56748661415</v>
      </c>
      <c r="BW46" s="10">
        <f t="shared" si="12"/>
        <v>91222.648207705992</v>
      </c>
      <c r="BX46" s="10">
        <f t="shared" si="13"/>
        <v>99790.149589169916</v>
      </c>
      <c r="BY46" s="53">
        <f t="shared" si="14"/>
        <v>101100.40929383134</v>
      </c>
      <c r="BZ46" s="79">
        <f t="shared" si="15"/>
        <v>38.44404962980262</v>
      </c>
      <c r="CA46" s="96">
        <f>VLOOKUP($A46,'TCO Inputs'!$Y$114:$AT$164,22,FALSE)</f>
        <v>79651.724470079294</v>
      </c>
      <c r="CB46" s="211">
        <f>CA46*VLOOKUP($A46,'VKT US'!$F$5:$S$56,14,FALSE)/(10^9)</f>
        <v>245.02463481485793</v>
      </c>
    </row>
    <row r="47" spans="1:80" x14ac:dyDescent="0.25">
      <c r="A47" s="83" t="s">
        <v>228</v>
      </c>
      <c r="B47" s="150">
        <f>VLOOKUP($A47,'TCO Inputs'!$A$3:$AG$53,10,FALSE)</f>
        <v>23731.611795719989</v>
      </c>
      <c r="C47" s="71">
        <f>VLOOKUP($A47,'TCO Inputs'!$A$3:$AG$53,14,FALSE)</f>
        <v>18056.819908625432</v>
      </c>
      <c r="D47" s="71">
        <f>VLOOKUP($A47,'TCO Inputs'!$A$3:$AG$53,18,FALSE)</f>
        <v>22172.210443665947</v>
      </c>
      <c r="E47" s="71">
        <f>VLOOKUP($A47,'TCO Inputs'!$A$3:$AG$53,22,FALSE)</f>
        <v>23504.787580151398</v>
      </c>
      <c r="F47" s="71">
        <f>VLOOKUP($A47,'TCO Inputs'!$A$3:$AG$53,26,FALSE)</f>
        <v>0</v>
      </c>
      <c r="G47" s="65">
        <f>VLOOKUP($A47,'TCO Inputs'!$A$3:$AG$53,30,FALSE)</f>
        <v>87465.429728162766</v>
      </c>
      <c r="H47" s="95">
        <f>(VLOOKUP($A47,Data!$D$64:$M$112,5,FALSE)+VLOOKUP($A47,Data!$D$64:$M$112,8,FALSE))*VLOOKUP($A47,'VKT US'!$B$63:$AB$113,27,FALSE)*CONVERT(0.9072,"g","ton")*m2k</f>
        <v>67.170959768528263</v>
      </c>
      <c r="I47" s="92"/>
      <c r="J47" s="144">
        <f>VLOOKUP($A47,'TCO Inputs'!$A$3:$AG$53,11,FALSE)</f>
        <v>40967.546942691188</v>
      </c>
      <c r="K47" s="65">
        <f>VLOOKUP($A47,'TCO Inputs'!$A$3:$AG$53,15,FALSE)</f>
        <v>15932.079571720024</v>
      </c>
      <c r="L47" s="65">
        <f>VLOOKUP($A47,'TCO Inputs'!$A$3:$AG$53,19,FALSE)</f>
        <v>13806.525368467162</v>
      </c>
      <c r="M47" s="65">
        <f>VLOOKUP($A47,'TCO Inputs'!$A$3:$AG$53,23,FALSE)</f>
        <v>29733.199803816686</v>
      </c>
      <c r="N47" s="65">
        <f>VLOOKUP($A47,'TCO Inputs'!$A$3:$AG$53,27,FALSE)</f>
        <v>0</v>
      </c>
      <c r="O47" s="65">
        <f>VLOOKUP($A47,'TCO Inputs'!$A$3:$AG$53,31,FALSE)</f>
        <v>100439.35168669507</v>
      </c>
      <c r="P47" s="7">
        <f>VLOOKUP($A47,_xlfn.IFS('Scenario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analysis'!$Q$121:$R$126),2,FALSE)+VLOOKUP($A47,Data!$D$64:$F$114,3,FALSE)*VLOOKUP($A47,'VKT US'!$B$63:$AB$113,27,FALSE)*m2k*CONVERT(0.9072,"g","ton")</f>
        <v>10.813366064288488</v>
      </c>
      <c r="Q47" s="95">
        <f t="shared" si="3"/>
        <v>56.357593704239775</v>
      </c>
      <c r="R47" s="60">
        <f t="shared" si="4"/>
        <v>12973.921958532301</v>
      </c>
      <c r="S47" s="144">
        <f>VLOOKUP($A47,'TCO Inputs'!$A$3:$AG$53,12,FALSE)</f>
        <v>25202.087524607668</v>
      </c>
      <c r="T47" s="65">
        <f>VLOOKUP($A47,'TCO Inputs'!$A$3:$AG$53,16,FALSE)</f>
        <v>11111.88917453873</v>
      </c>
      <c r="U47" s="65">
        <f>VLOOKUP($A47,'TCO Inputs'!$A$3:$AG$53,20,FALSE)</f>
        <v>20379.563641837634</v>
      </c>
      <c r="V47" s="65">
        <f>VLOOKUP($A47,'TCO Inputs'!$A$3:$AG$53,24,FALSE)</f>
        <v>24493.703345080121</v>
      </c>
      <c r="W47" s="65">
        <f>VLOOKUP($A47,'TCO Inputs'!$A$3:$AG$53,28,FALSE)</f>
        <v>0</v>
      </c>
      <c r="X47" s="65">
        <f>VLOOKUP($A47,'TCO Inputs'!$A$3:$AG$53,32,FALSE)</f>
        <v>81187.243686064161</v>
      </c>
      <c r="Y47" s="7">
        <f>(VLOOKUP($A47,Data!$D$64:$M$112,4,FALSE)+VLOOKUP($A47,Data!$D$64:$M$112,7,FALSE))*VLOOKUP($A47,'VKT US'!$B$63:$AB$113,27,FALSE)*CONVERT(0.9072,"g","ton")*m2k</f>
        <v>44.243394755957389</v>
      </c>
      <c r="Z47" s="95">
        <f t="shared" si="5"/>
        <v>22.927565012570874</v>
      </c>
      <c r="AA47" s="118">
        <f t="shared" si="6"/>
        <v>-6278.186042098605</v>
      </c>
      <c r="AB47" s="144">
        <f>VLOOKUP($A47,'TCO Inputs'!$A$3:$AG$53,13,FALSE)</f>
        <v>28460.759801658827</v>
      </c>
      <c r="AC47" s="65">
        <f>VLOOKUP($A47,'TCO Inputs'!$A$3:$AG$53,17,FALSE)</f>
        <v>16012.255087181007</v>
      </c>
      <c r="AD47" s="65">
        <f>VLOOKUP($A47,'TCO Inputs'!$A$3:$AG$53,21,FALSE)</f>
        <v>20379.563641837634</v>
      </c>
      <c r="AE47" s="65">
        <f>VLOOKUP($A47,'TCO Inputs'!$A$3:$AG$53,25,FALSE)</f>
        <v>24717.563345080122</v>
      </c>
      <c r="AF47" s="65">
        <f>VLOOKUP($A47,'TCO Inputs'!$A$3:$AG$53,29,FALSE)</f>
        <v>0</v>
      </c>
      <c r="AG47" s="65">
        <f>VLOOKUP($A47,'TCO Inputs'!$A$3:$AG$53,33,FALSE)</f>
        <v>89570.141875757588</v>
      </c>
      <c r="AH47" s="7">
        <f>(VLOOKUP($A47,Data!$D$64:$M$112,9,FALSE)+VLOOKUP($A47,Data!$D$64:$M$112,10,FALSE))*VLOOKUP($A47,'VKT US'!$B$63:$AB$113,27,FALSE)*CONVERT(0.9072,"g","ton")*m2k</f>
        <v>30.573288596850123</v>
      </c>
      <c r="AI47" s="95">
        <f t="shared" si="7"/>
        <v>36.597671171678144</v>
      </c>
      <c r="AJ47" s="186">
        <f t="shared" si="8"/>
        <v>2104.7121475948225</v>
      </c>
      <c r="AK47" s="188">
        <f>VLOOKUP($A47,'TCO Inputs'!$A$3:$AT$53,40,FALSE)</f>
        <v>30376.676612640622</v>
      </c>
      <c r="AL47" s="188">
        <f>VLOOKUP($A47,'TCO Inputs'!$A$3:$AT$53,41,FALSE)</f>
        <v>12776.506159721119</v>
      </c>
      <c r="AM47" s="188">
        <f>VLOOKUP($A47,'TCO Inputs'!$A$3:$AT$53,42,FALSE)</f>
        <v>19637.213228684624</v>
      </c>
      <c r="AN47" s="188">
        <f>VLOOKUP($A47,'TCO Inputs'!$A$3:$AT$53,43,FALSE)</f>
        <v>29127.499803816685</v>
      </c>
      <c r="AO47" s="188">
        <f>VLOOKUP($A47,'TCO Inputs'!$A$3:$AT$53,44,FALSE)</f>
        <v>0</v>
      </c>
      <c r="AP47" s="188">
        <f>VLOOKUP($A47,'TCO Inputs'!$A$3:$AT$53,45,FALSE)</f>
        <v>91917.895804863045</v>
      </c>
      <c r="AQ47" s="96">
        <f>(VLOOKUP($A47,Data!$D$64:$O$114,11,FALSE)+VLOOKUP($A47,'Fuel economy adjusted factor'!$A$2:$L$52,12,FALSE)*(1-'TCO Inputs'!$BD$9))*VLOOKUP($A47,'VKT US'!$B$63:$AB$113,27,FALSE)*CONVERT(0.9072,"g","ton")*m2k+VLOOKUP($A47,'US Grid mix, emissions&amp;prices'!$H$224:$AK$274,30,FALSE)</f>
        <v>25.456034897748346</v>
      </c>
      <c r="AR47" s="96">
        <f t="shared" si="9"/>
        <v>41.714924870779917</v>
      </c>
      <c r="AS47" s="60">
        <f>VLOOKUP($A47,'TCO Inputs'!$A$3:$AT$53,46,FALSE)</f>
        <v>4452.4660767002788</v>
      </c>
      <c r="AT47" s="98">
        <f>(VLOOKUP($A47,Data!$D$64:$M$112,5,FALSE)+VLOOKUP($A47,Data!$D$64:$M$112,8,FALSE))*VLOOKUP($A47,'VKT US'!$B$63:$AB$113,2,FALSE)*CONVERT(0.9072,"g","ton")*m2k*VLOOKUP($A47,'VKT US'!$F$5:$S$56,11,FALSE)/1000000</f>
        <v>2.8601085704421334</v>
      </c>
      <c r="AU47" s="98">
        <f>(VLOOKUP($A47,Data!$D$64:$F$114,3,FALSE)+VLOOKUP($A47,Data!$D$64:$I$114,6,FALSE))*VLOOKUP($A47,'VKT US'!$B$63:$AB$113,2,FALSE)*m2k*CONVERT(0.9072,"g","ton")*VLOOKUP($A47,'VKT US'!$F$5:$S$56,2,FALSE)/1000000</f>
        <v>7.5039806093623283E-3</v>
      </c>
      <c r="AV47" s="98">
        <f>(VLOOKUP($A47,Data!$D$64:$M$112,4,FALSE)+VLOOKUP($A47,Data!$D$64:$M$112,7,FALSE))*VLOOKUP($A47,'VKT US'!$B$63:$AB$113,2,FALSE)*CONVERT(0.9072,"g","ton")*m2k*VLOOKUP($A47,'VKT US'!$F$5:$S$56,4,FALSE)/1000000</f>
        <v>7.7101667303579563E-2</v>
      </c>
      <c r="AW47" s="98">
        <f>(VLOOKUP($A47,Data!$D$64:$M$112,9,FALSE)+VLOOKUP($A47,Data!$D$64:$M$112,10,FALSE))*VLOOKUP($A47,'VKT US'!$B$63:$AB$113,2,FALSE)*CONVERT(0.9072,"g","ton")*m2k*VLOOKUP($A47,'VKT US'!$F$5:$S$56,9,FALSE)/1000000</f>
        <v>0</v>
      </c>
      <c r="AX47" s="98">
        <f>H47*VLOOKUP($A47,'VKT US'!$F$5:$S$56,11,FALSE)/1000000</f>
        <v>33.316796045190017</v>
      </c>
      <c r="AY47" s="98">
        <f>P47*VLOOKUP($A47,'VKT US'!$F$5:$S$56,2,FALSE)/1000000</f>
        <v>8.4344255301450205E-2</v>
      </c>
      <c r="AZ47" s="98">
        <f>Y47*VLOOKUP($A47,'VKT US'!$F$5:$S$56,4,FALSE)/1000000</f>
        <v>0.89814091354593495</v>
      </c>
      <c r="BA47" s="98">
        <f>AH47*VLOOKUP($A47,'VKT US'!$F$5:$S$56,9,FALSE)/1000000</f>
        <v>0</v>
      </c>
      <c r="BB47" s="79">
        <f>VLOOKUP($A47,Data!$D$64:$M$112,4,FALSE)+VLOOKUP($A47,Data!$D$64:$M$112,7,FALSE)-(VLOOKUP($A47,Data!$D$64:$F$114,3,FALSE)+VLOOKUP($A47,Data!$D$64:$I$114,6,FALSE))</f>
        <v>120.1741643009174</v>
      </c>
      <c r="BC47" s="10">
        <f>(Y47-P47)*VLOOKUP($A47,'VKT US'!$F$5:$S$56,14,FALSE)/1000000*'Scenario analysis'!$E$4</f>
        <v>19.827350017028827</v>
      </c>
      <c r="BD47" s="10">
        <f>P47*VLOOKUP($A47,'VKT US'!$F$5:$S$56,14,FALSE)/1000000*'Scenario analysis'!$E$4</f>
        <v>6.4134074127295015</v>
      </c>
      <c r="BE47" s="79">
        <f>(VLOOKUP($A47,Data!$D$64:$M$114,4,FALSE)+VLOOKUP($A47,Data!$D$64:$M$114,7,FALSE)-(VLOOKUP($A47,Data!$D$64:$F$114,3,FALSE)+VLOOKUP($A47,Data!$D$64:$I$114,6,FALSE)))*VLOOKUP($A47,'VKT US'!$B$63:$AB$113,2,FALSE)*CONVERT(0.9072,"g","ton")*m2k*VLOOKUP($A47,'VKT US'!$F$5:$S$56,14,FALSE)/1000000*'Scenario analysis'!$E$4</f>
        <v>1.6820689022887072</v>
      </c>
      <c r="BF47" s="79">
        <f>(VLOOKUP($A47,Data!$D$64:$F$114,3,FALSE)+VLOOKUP($A47,Data!$D$64:$I$114,6,FALSE))*VLOOKUP($A47,'VKT US'!$B$63:$AB$113,2,FALSE)*CONVERT(0.9072,"g","ton")*m2k*VLOOKUP($A47,'VKT US'!$F$5:$S$56,14,FALSE)/1000000*'Scenario analysis'!$E$4</f>
        <v>0.57059114095035857</v>
      </c>
      <c r="BG47" s="79">
        <f>(VLOOKUP($A47,Data!$D$64:$M$114,4,FALSE)+VLOOKUP($A47,Data!$D$64:$M$114,7,FALSE))*VLOOKUP($A47,'VKT US'!$B$63:$AB$113,2,FALSE)*CONVERT(0.9072,"g","ton")*m2k*VLOOKUP($A47,'VKT US'!$F$5:$S$56,14,FALSE)/1000000*'Scenario analysis'!$E$4</f>
        <v>2.2526600432390658</v>
      </c>
      <c r="BH47" s="79">
        <f t="shared" si="16"/>
        <v>33.430028691668902</v>
      </c>
      <c r="BI47" s="96">
        <f t="shared" si="17"/>
        <v>575.892655617993</v>
      </c>
      <c r="BJ47" s="191">
        <f t="shared" si="18"/>
        <v>19252.108000630906</v>
      </c>
      <c r="BK47" s="191">
        <f>(VLOOKUP($A47,'US Grid mix, emissions&amp;prices'!$H$169:$AK$219,30,FALSE)+VLOOKUP($A47,Data!$D$64:$F$114,3,FALSE)*VLOOKUP($A47,'VKT US'!$B$63:$AB$113,27,FALSE)*m2k*CONVERT(0.9072,"g","ton"))*VLOOKUP($A47,'VKT US'!$F$5:$S$56,14,FALSE)/1000000</f>
        <v>6.4134074127295015</v>
      </c>
      <c r="BL47" s="191">
        <f>P47*VLOOKUP($A47,'VKT US'!$F$5:$S$56,14,FALSE)/1000000-BK47</f>
        <v>0</v>
      </c>
      <c r="BM47" s="191">
        <v>0.55911658251665641</v>
      </c>
      <c r="BN47" s="191">
        <v>1.3719962003352459E-2</v>
      </c>
      <c r="BO47" s="191" cm="1">
        <f t="array" ref="BO47">_xlfn.IFS(AND(Q47&gt;0,R47&gt;0),R47/Q47,AND(Q47&gt;0,R47&lt;=0),-R47/Q47,Q47&lt;=0,0)</f>
        <v>230.20716651989125</v>
      </c>
      <c r="BP47" s="212" cm="1">
        <f t="array" ref="BP47">_xlfn.IFS(AND(Z47&gt;0,AA47&gt;0),AA47/Z47,AND(Z47&gt;0,AA47&lt;=0),AA47/Z47,Z47&lt;=0,0)</f>
        <v>-273.82698680197223</v>
      </c>
      <c r="BQ47" s="191">
        <f>P47*1000000/(VLOOKUP($A47,'VKT US'!$B$63:$AB$113,27,FALSE)*m2k)</f>
        <v>39.335325909713937</v>
      </c>
      <c r="BR47" s="191">
        <f>Y47*1000000/(VLOOKUP($A47,'VKT US'!$B$63:$AB$113,27,FALSE)*m2k)</f>
        <v>160.94233208521501</v>
      </c>
      <c r="BS47" s="191">
        <f>H47*1000000/(VLOOKUP($A47,'VKT US'!$B$63:$AB$113,27,FALSE)*m2k)</f>
        <v>244.34496885195358</v>
      </c>
      <c r="BT47" s="95"/>
      <c r="BU47" s="10">
        <f t="shared" si="10"/>
        <v>98050.523542576251</v>
      </c>
      <c r="BV47" s="10">
        <f t="shared" si="11"/>
        <v>107341.56748661415</v>
      </c>
      <c r="BW47" s="10">
        <f t="shared" si="12"/>
        <v>91222.648207705992</v>
      </c>
      <c r="BX47" s="10">
        <f t="shared" si="13"/>
        <v>99790.149589169916</v>
      </c>
      <c r="BY47" s="53">
        <f t="shared" si="14"/>
        <v>101100.40929383134</v>
      </c>
      <c r="BZ47" s="79">
        <f t="shared" si="15"/>
        <v>38.44404962980262</v>
      </c>
      <c r="CA47" s="96">
        <f>VLOOKUP($A47,'TCO Inputs'!$Y$114:$AT$164,22,FALSE)</f>
        <v>69658.766267118001</v>
      </c>
      <c r="CB47" s="211">
        <f>CA47*VLOOKUP($A47,'VKT US'!$F$5:$S$56,14,FALSE)/(10^9)</f>
        <v>41.314614273027686</v>
      </c>
    </row>
    <row r="48" spans="1:80" x14ac:dyDescent="0.25">
      <c r="A48" s="83" t="s">
        <v>227</v>
      </c>
      <c r="B48" s="150">
        <f>VLOOKUP($A48,'TCO Inputs'!$A$3:$AG$53,10,FALSE)</f>
        <v>23731.611795719989</v>
      </c>
      <c r="C48" s="71">
        <f>VLOOKUP($A48,'TCO Inputs'!$A$3:$AG$53,14,FALSE)</f>
        <v>19140.205652477536</v>
      </c>
      <c r="D48" s="71">
        <f>VLOOKUP($A48,'TCO Inputs'!$A$3:$AG$53,18,FALSE)</f>
        <v>24738.280631124973</v>
      </c>
      <c r="E48" s="71">
        <f>VLOOKUP($A48,'TCO Inputs'!$A$3:$AG$53,22,FALSE)</f>
        <v>25645.328691984039</v>
      </c>
      <c r="F48" s="71">
        <f>VLOOKUP($A48,'TCO Inputs'!$A$3:$AG$53,26,FALSE)</f>
        <v>0</v>
      </c>
      <c r="G48" s="65">
        <f>VLOOKUP($A48,'TCO Inputs'!$A$3:$AG$53,30,FALSE)</f>
        <v>93255.426771306549</v>
      </c>
      <c r="H48" s="95">
        <f>(VLOOKUP($A48,Data!$D$64:$M$112,5,FALSE)+VLOOKUP($A48,Data!$D$64:$M$112,8,FALSE))*VLOOKUP($A48,'VKT US'!$B$63:$AB$113,27,FALSE)*CONVERT(0.9072,"g","ton")*m2k</f>
        <v>72.913977172226623</v>
      </c>
      <c r="I48" s="92"/>
      <c r="J48" s="144">
        <f>VLOOKUP($A48,'TCO Inputs'!$A$3:$AG$53,11,FALSE)</f>
        <v>40967.546942691188</v>
      </c>
      <c r="K48" s="65">
        <f>VLOOKUP($A48,'TCO Inputs'!$A$3:$AG$53,15,FALSE)</f>
        <v>11868.479420502354</v>
      </c>
      <c r="L48" s="65">
        <f>VLOOKUP($A48,'TCO Inputs'!$A$3:$AG$53,19,FALSE)</f>
        <v>15404.404534842361</v>
      </c>
      <c r="M48" s="65">
        <f>VLOOKUP($A48,'TCO Inputs'!$A$3:$AG$53,23,FALSE)</f>
        <v>37558.024667272781</v>
      </c>
      <c r="N48" s="65">
        <f>VLOOKUP($A48,'TCO Inputs'!$A$3:$AG$53,27,FALSE)</f>
        <v>0</v>
      </c>
      <c r="O48" s="65">
        <f>VLOOKUP($A48,'TCO Inputs'!$A$3:$AG$53,31,FALSE)</f>
        <v>105798.45556530869</v>
      </c>
      <c r="P48" s="7">
        <f>VLOOKUP($A48,_xlfn.IFS('Scenario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analysis'!$Q$121:$R$126),2,FALSE)+VLOOKUP($A48,Data!$D$64:$F$114,3,FALSE)*VLOOKUP($A48,'VKT US'!$B$63:$AB$113,27,FALSE)*m2k*CONVERT(0.9072,"g","ton")</f>
        <v>27.291810198026717</v>
      </c>
      <c r="Q48" s="95">
        <f t="shared" si="3"/>
        <v>45.622166974199907</v>
      </c>
      <c r="R48" s="60">
        <f t="shared" si="4"/>
        <v>12543.028794002137</v>
      </c>
      <c r="S48" s="144">
        <f>VLOOKUP($A48,'TCO Inputs'!$A$3:$AG$53,12,FALSE)</f>
        <v>25202.087524607668</v>
      </c>
      <c r="T48" s="65">
        <f>VLOOKUP($A48,'TCO Inputs'!$A$3:$AG$53,16,FALSE)</f>
        <v>11778.58809383233</v>
      </c>
      <c r="U48" s="65">
        <f>VLOOKUP($A48,'TCO Inputs'!$A$3:$AG$53,20,FALSE)</f>
        <v>22738.164324778692</v>
      </c>
      <c r="V48" s="65">
        <f>VLOOKUP($A48,'TCO Inputs'!$A$3:$AG$53,24,FALSE)</f>
        <v>26724.30333720475</v>
      </c>
      <c r="W48" s="65">
        <f>VLOOKUP($A48,'TCO Inputs'!$A$3:$AG$53,28,FALSE)</f>
        <v>0</v>
      </c>
      <c r="X48" s="65">
        <f>VLOOKUP($A48,'TCO Inputs'!$A$3:$AG$53,32,FALSE)</f>
        <v>86443.14328042345</v>
      </c>
      <c r="Y48" s="7">
        <f>(VLOOKUP($A48,Data!$D$64:$M$112,4,FALSE)+VLOOKUP($A48,Data!$D$64:$M$112,7,FALSE))*VLOOKUP($A48,'VKT US'!$B$63:$AB$113,27,FALSE)*CONVERT(0.9072,"g","ton")*m2k</f>
        <v>48.111092715473866</v>
      </c>
      <c r="Z48" s="95">
        <f t="shared" si="5"/>
        <v>24.802884456752757</v>
      </c>
      <c r="AA48" s="118">
        <f t="shared" si="6"/>
        <v>-6812.2834908830991</v>
      </c>
      <c r="AB48" s="144">
        <f>VLOOKUP($A48,'TCO Inputs'!$A$3:$AG$53,13,FALSE)</f>
        <v>28460.759801658827</v>
      </c>
      <c r="AC48" s="65">
        <f>VLOOKUP($A48,'TCO Inputs'!$A$3:$AG$53,17,FALSE)</f>
        <v>17325.568881727595</v>
      </c>
      <c r="AD48" s="65">
        <f>VLOOKUP($A48,'TCO Inputs'!$A$3:$AG$53,21,FALSE)</f>
        <v>22738.164324778692</v>
      </c>
      <c r="AE48" s="65">
        <f>VLOOKUP($A48,'TCO Inputs'!$A$3:$AG$53,25,FALSE)</f>
        <v>26879.139837204748</v>
      </c>
      <c r="AF48" s="65">
        <f>VLOOKUP($A48,'TCO Inputs'!$A$3:$AG$53,29,FALSE)</f>
        <v>0</v>
      </c>
      <c r="AG48" s="65">
        <f>VLOOKUP($A48,'TCO Inputs'!$A$3:$AG$53,33,FALSE)</f>
        <v>95403.632845369866</v>
      </c>
      <c r="AH48" s="7">
        <f>(VLOOKUP($A48,Data!$D$64:$M$112,9,FALSE)+VLOOKUP($A48,Data!$D$64:$M$112,10,FALSE))*VLOOKUP($A48,'VKT US'!$B$63:$AB$113,27,FALSE)*CONVERT(0.9072,"g","ton")*m2k</f>
        <v>34.111645974446205</v>
      </c>
      <c r="AI48" s="95">
        <f t="shared" si="7"/>
        <v>38.802331197780418</v>
      </c>
      <c r="AJ48" s="186">
        <f t="shared" si="8"/>
        <v>2148.2060740633169</v>
      </c>
      <c r="AK48" s="188">
        <f>VLOOKUP($A48,'TCO Inputs'!$A$3:$AT$53,40,FALSE)</f>
        <v>30376.676612640622</v>
      </c>
      <c r="AL48" s="188">
        <f>VLOOKUP($A48,'TCO Inputs'!$A$3:$AT$53,41,FALSE)</f>
        <v>11149.407652291096</v>
      </c>
      <c r="AM48" s="188">
        <f>VLOOKUP($A48,'TCO Inputs'!$A$3:$AT$53,42,FALSE)</f>
        <v>21909.899010687885</v>
      </c>
      <c r="AN48" s="188">
        <f>VLOOKUP($A48,'TCO Inputs'!$A$3:$AT$53,43,FALSE)</f>
        <v>37139.082167272783</v>
      </c>
      <c r="AO48" s="188">
        <f>VLOOKUP($A48,'TCO Inputs'!$A$3:$AT$53,44,FALSE)</f>
        <v>0</v>
      </c>
      <c r="AP48" s="188">
        <f>VLOOKUP($A48,'TCO Inputs'!$A$3:$AT$53,45,FALSE)</f>
        <v>100575.06544289239</v>
      </c>
      <c r="AQ48" s="96">
        <f>(VLOOKUP($A48,Data!$D$64:$O$114,11,FALSE)+VLOOKUP($A48,'Fuel economy adjusted factor'!$A$2:$L$52,12,FALSE)*(1-'TCO Inputs'!$BD$9))*VLOOKUP($A48,'VKT US'!$B$63:$AB$113,27,FALSE)*CONVERT(0.9072,"g","ton")*m2k+VLOOKUP($A48,'US Grid mix, emissions&amp;prices'!$H$224:$AK$274,30,FALSE)</f>
        <v>35.720277719824068</v>
      </c>
      <c r="AR48" s="96">
        <f t="shared" si="9"/>
        <v>37.193699452402555</v>
      </c>
      <c r="AS48" s="60">
        <f>VLOOKUP($A48,'TCO Inputs'!$A$3:$AT$53,46,FALSE)</f>
        <v>7319.6386715858389</v>
      </c>
      <c r="AT48" s="98">
        <f>(VLOOKUP($A48,Data!$D$64:$M$112,5,FALSE)+VLOOKUP($A48,Data!$D$64:$M$112,8,FALSE))*VLOOKUP($A48,'VKT US'!$B$63:$AB$113,2,FALSE)*CONVERT(0.9072,"g","ton")*m2k*VLOOKUP($A48,'VKT US'!$F$5:$S$56,11,FALSE)/1000000</f>
        <v>41.749945318433973</v>
      </c>
      <c r="AU48" s="98">
        <f>(VLOOKUP($A48,Data!$D$64:$F$114,3,FALSE)+VLOOKUP($A48,Data!$D$64:$I$114,6,FALSE))*VLOOKUP($A48,'VKT US'!$B$63:$AB$113,2,FALSE)*m2k*CONVERT(0.9072,"g","ton")*VLOOKUP($A48,'VKT US'!$F$5:$S$56,2,FALSE)/1000000</f>
        <v>0.2414675822433289</v>
      </c>
      <c r="AV48" s="98">
        <f>(VLOOKUP($A48,Data!$D$64:$M$112,4,FALSE)+VLOOKUP($A48,Data!$D$64:$M$112,7,FALSE))*VLOOKUP($A48,'VKT US'!$B$63:$AB$113,2,FALSE)*CONVERT(0.9072,"g","ton")*m2k*VLOOKUP($A48,'VKT US'!$F$5:$S$56,4,FALSE)/1000000</f>
        <v>0.9474535416928358</v>
      </c>
      <c r="AW48" s="98">
        <f>(VLOOKUP($A48,Data!$D$64:$M$112,9,FALSE)+VLOOKUP($A48,Data!$D$64:$M$112,10,FALSE))*VLOOKUP($A48,'VKT US'!$B$63:$AB$113,2,FALSE)*CONVERT(0.9072,"g","ton")*m2k*VLOOKUP($A48,'VKT US'!$F$5:$S$56,9,FALSE)/1000000</f>
        <v>0</v>
      </c>
      <c r="AX48" s="98">
        <f>H48*VLOOKUP($A48,'VKT US'!$F$5:$S$56,11,FALSE)/1000000</f>
        <v>486.33622773875157</v>
      </c>
      <c r="AY48" s="98">
        <f>P48*VLOOKUP($A48,'VKT US'!$F$5:$S$56,2,FALSE)/1000000</f>
        <v>2.317074685812468</v>
      </c>
      <c r="AZ48" s="98">
        <f>Y48*VLOOKUP($A48,'VKT US'!$F$5:$S$56,4,FALSE)/1000000</f>
        <v>11.036684668929706</v>
      </c>
      <c r="BA48" s="98">
        <f>AH48*VLOOKUP($A48,'VKT US'!$F$5:$S$56,9,FALSE)/1000000</f>
        <v>0</v>
      </c>
      <c r="BB48" s="79">
        <f>VLOOKUP($A48,Data!$D$64:$M$112,4,FALSE)+VLOOKUP($A48,Data!$D$64:$M$112,7,FALSE)-(VLOOKUP($A48,Data!$D$64:$F$114,3,FALSE)+VLOOKUP($A48,Data!$D$64:$I$114,6,FALSE))</f>
        <v>48.839867087898284</v>
      </c>
      <c r="BC48" s="10">
        <f>(Y48-P48)*VLOOKUP($A48,'VKT US'!$F$5:$S$56,14,FALSE)/1000000*'Scenario analysis'!$E$4</f>
        <v>160.79772852350305</v>
      </c>
      <c r="BD48" s="10">
        <f>P48*VLOOKUP($A48,'VKT US'!$F$5:$S$56,14,FALSE)/1000000*'Scenario analysis'!$E$4</f>
        <v>210.78829606445936</v>
      </c>
      <c r="BE48" s="79">
        <f>(VLOOKUP($A48,Data!$D$64:$M$114,4,FALSE)+VLOOKUP($A48,Data!$D$64:$M$114,7,FALSE)-(VLOOKUP($A48,Data!$D$64:$F$114,3,FALSE)+VLOOKUP($A48,Data!$D$64:$I$114,6,FALSE)))*VLOOKUP($A48,'VKT US'!$B$63:$AB$113,2,FALSE)*CONVERT(0.9072,"g","ton")*m2k*VLOOKUP($A48,'VKT US'!$F$5:$S$56,14,FALSE)/1000000*'Scenario analysis'!$E$4</f>
        <v>9.9323929086519076</v>
      </c>
      <c r="BF48" s="79">
        <f>(VLOOKUP($A48,Data!$D$64:$F$114,3,FALSE)+VLOOKUP($A48,Data!$D$64:$I$114,6,FALSE))*VLOOKUP($A48,'VKT US'!$B$63:$AB$113,2,FALSE)*CONVERT(0.9072,"g","ton")*m2k*VLOOKUP($A48,'VKT US'!$F$5:$S$56,14,FALSE)/1000000*'Scenario analysis'!$E$4</f>
        <v>21.966724045422271</v>
      </c>
      <c r="BG48" s="79">
        <f>(VLOOKUP($A48,Data!$D$64:$M$114,4,FALSE)+VLOOKUP($A48,Data!$D$64:$M$114,7,FALSE))*VLOOKUP($A48,'VKT US'!$B$63:$AB$113,2,FALSE)*CONVERT(0.9072,"g","ton")*m2k*VLOOKUP($A48,'VKT US'!$F$5:$S$56,14,FALSE)/1000000*'Scenario analysis'!$E$4</f>
        <v>31.899116954074177</v>
      </c>
      <c r="BH48" s="79">
        <f t="shared" si="16"/>
        <v>20.819282517447149</v>
      </c>
      <c r="BI48" s="96">
        <f t="shared" si="17"/>
        <v>929.68200362644268</v>
      </c>
      <c r="BJ48" s="191">
        <f t="shared" si="18"/>
        <v>19355.312284885236</v>
      </c>
      <c r="BK48" s="191">
        <f>(VLOOKUP($A48,'US Grid mix, emissions&amp;prices'!$H$169:$AK$219,30,FALSE)+VLOOKUP($A48,Data!$D$64:$F$114,3,FALSE)*VLOOKUP($A48,'VKT US'!$B$63:$AB$113,27,FALSE)*m2k*CONVERT(0.9072,"g","ton"))*VLOOKUP($A48,'VKT US'!$F$5:$S$56,14,FALSE)/1000000</f>
        <v>210.78829606445936</v>
      </c>
      <c r="BL48" s="191">
        <f>P48*VLOOKUP($A48,'VKT US'!$F$5:$S$56,14,FALSE)/1000000-BK48</f>
        <v>0</v>
      </c>
      <c r="BM48" s="191">
        <v>19.748546713199875</v>
      </c>
      <c r="BN48" s="191">
        <v>2.6522422532097103</v>
      </c>
      <c r="BO48" s="191" cm="1">
        <f t="array" ref="BO48">_xlfn.IFS(AND(Q48&gt;0,R48&gt;0),R48/Q48,AND(Q48&gt;0,R48&lt;=0),-R48/Q48,Q48&lt;=0,0)</f>
        <v>274.93277119202662</v>
      </c>
      <c r="BP48" s="212" cm="1">
        <f t="array" ref="BP48">_xlfn.IFS(AND(Z48&gt;0,AA48&gt;0),AA48/Z48,AND(Z48&gt;0,AA48&lt;=0),AA48/Z48,Z48&lt;=0,0)</f>
        <v>-274.6569054402222</v>
      </c>
      <c r="BQ48" s="191">
        <f>P48*1000000/(VLOOKUP($A48,'VKT US'!$B$63:$AB$113,27,FALSE)*m2k)</f>
        <v>88.980259886260555</v>
      </c>
      <c r="BR48" s="191">
        <f>Y48*1000000/(VLOOKUP($A48,'VKT US'!$B$63:$AB$113,27,FALSE)*m2k)</f>
        <v>156.8579549019569</v>
      </c>
      <c r="BS48" s="191">
        <f>H48*1000000/(VLOOKUP($A48,'VKT US'!$B$63:$AB$113,27,FALSE)*m2k)</f>
        <v>237.72349987230567</v>
      </c>
      <c r="BT48" s="95"/>
      <c r="BU48" s="10">
        <f t="shared" si="10"/>
        <v>98050.523542576251</v>
      </c>
      <c r="BV48" s="10">
        <f t="shared" si="11"/>
        <v>107341.56748661415</v>
      </c>
      <c r="BW48" s="10">
        <f t="shared" si="12"/>
        <v>91222.648207705992</v>
      </c>
      <c r="BX48" s="10">
        <f t="shared" si="13"/>
        <v>99790.149589169916</v>
      </c>
      <c r="BY48" s="53">
        <f t="shared" si="14"/>
        <v>101100.40929383134</v>
      </c>
      <c r="BZ48" s="79">
        <f t="shared" si="15"/>
        <v>38.44404962980262</v>
      </c>
      <c r="CA48" s="96">
        <f>VLOOKUP($A48,'TCO Inputs'!$Y$114:$AT$164,22,FALSE)</f>
        <v>69656.477407860657</v>
      </c>
      <c r="CB48" s="211">
        <f>CA48*VLOOKUP($A48,'VKT US'!$F$5:$S$56,14,FALSE)/(10^9)</f>
        <v>537.99180325961174</v>
      </c>
    </row>
    <row r="49" spans="1:80" x14ac:dyDescent="0.25">
      <c r="A49" s="83" t="s">
        <v>229</v>
      </c>
      <c r="B49" s="150">
        <f>VLOOKUP($A49,'TCO Inputs'!$A$3:$AG$53,10,FALSE)</f>
        <v>23731.611795719989</v>
      </c>
      <c r="C49" s="71">
        <f>VLOOKUP($A49,'TCO Inputs'!$A$3:$AG$53,14,FALSE)</f>
        <v>19533.028072035126</v>
      </c>
      <c r="D49" s="71">
        <f>VLOOKUP($A49,'TCO Inputs'!$A$3:$AG$53,18,FALSE)</f>
        <v>18668.373742517571</v>
      </c>
      <c r="E49" s="71">
        <f>VLOOKUP($A49,'TCO Inputs'!$A$3:$AG$53,22,FALSE)</f>
        <v>29777.851713764387</v>
      </c>
      <c r="F49" s="71">
        <f>VLOOKUP($A49,'TCO Inputs'!$A$3:$AG$53,26,FALSE)</f>
        <v>0</v>
      </c>
      <c r="G49" s="65">
        <f>VLOOKUP($A49,'TCO Inputs'!$A$3:$AG$53,30,FALSE)</f>
        <v>91710.865324037077</v>
      </c>
      <c r="H49" s="95">
        <f>(VLOOKUP($A49,Data!$D$64:$M$112,5,FALSE)+VLOOKUP($A49,Data!$D$64:$M$112,8,FALSE))*VLOOKUP($A49,'VKT US'!$B$63:$AB$113,27,FALSE)*CONVERT(0.9072,"g","ton")*m2k</f>
        <v>55.933426820486787</v>
      </c>
      <c r="I49" s="92"/>
      <c r="J49" s="144">
        <f>VLOOKUP($A49,'TCO Inputs'!$A$3:$AG$53,11,FALSE)</f>
        <v>40967.546942691188</v>
      </c>
      <c r="K49" s="65">
        <f>VLOOKUP($A49,'TCO Inputs'!$A$3:$AG$53,15,FALSE)</f>
        <v>8505.6772639848987</v>
      </c>
      <c r="L49" s="65">
        <f>VLOOKUP($A49,'TCO Inputs'!$A$3:$AG$53,19,FALSE)</f>
        <v>11624.703649596044</v>
      </c>
      <c r="M49" s="65">
        <f>VLOOKUP($A49,'TCO Inputs'!$A$3:$AG$53,23,FALSE)</f>
        <v>36414.764701408756</v>
      </c>
      <c r="N49" s="65">
        <f>VLOOKUP($A49,'TCO Inputs'!$A$3:$AG$53,27,FALSE)</f>
        <v>0</v>
      </c>
      <c r="O49" s="65">
        <f>VLOOKUP($A49,'TCO Inputs'!$A$3:$AG$53,31,FALSE)</f>
        <v>97512.692557680886</v>
      </c>
      <c r="P49" s="7">
        <f>VLOOKUP($A49,_xlfn.IFS('Scenario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analysis'!$Q$121:$R$126),2,FALSE)+VLOOKUP($A49,Data!$D$64:$F$114,3,FALSE)*VLOOKUP($A49,'VKT US'!$B$63:$AB$113,27,FALSE)*m2k*CONVERT(0.9072,"g","ton")</f>
        <v>14.24567275305758</v>
      </c>
      <c r="Q49" s="95">
        <f t="shared" si="3"/>
        <v>41.687754067429211</v>
      </c>
      <c r="R49" s="60">
        <f t="shared" si="4"/>
        <v>5801.8272336438094</v>
      </c>
      <c r="S49" s="144">
        <f>VLOOKUP($A49,'TCO Inputs'!$A$3:$AG$53,12,FALSE)</f>
        <v>25202.087524607668</v>
      </c>
      <c r="T49" s="65">
        <f>VLOOKUP($A49,'TCO Inputs'!$A$3:$AG$53,16,FALSE)</f>
        <v>12020.324967406232</v>
      </c>
      <c r="U49" s="65">
        <f>VLOOKUP($A49,'TCO Inputs'!$A$3:$AG$53,20,FALSE)</f>
        <v>17159.015865462952</v>
      </c>
      <c r="V49" s="65">
        <f>VLOOKUP($A49,'TCO Inputs'!$A$3:$AG$53,24,FALSE)</f>
        <v>31030.693795618325</v>
      </c>
      <c r="W49" s="65">
        <f>VLOOKUP($A49,'TCO Inputs'!$A$3:$AG$53,28,FALSE)</f>
        <v>0</v>
      </c>
      <c r="X49" s="65">
        <f>VLOOKUP($A49,'TCO Inputs'!$A$3:$AG$53,32,FALSE)</f>
        <v>85412.122153095173</v>
      </c>
      <c r="Y49" s="7">
        <f>(VLOOKUP($A49,Data!$D$64:$M$112,4,FALSE)+VLOOKUP($A49,Data!$D$64:$M$112,7,FALSE))*VLOOKUP($A49,'VKT US'!$B$63:$AB$113,27,FALSE)*CONVERT(0.9072,"g","ton")*m2k</f>
        <v>36.867630068513549</v>
      </c>
      <c r="Z49" s="95">
        <f t="shared" si="5"/>
        <v>19.065796751973238</v>
      </c>
      <c r="AA49" s="118">
        <f t="shared" si="6"/>
        <v>-6298.7431709419034</v>
      </c>
      <c r="AB49" s="144">
        <f>VLOOKUP($A49,'TCO Inputs'!$A$3:$AG$53,13,FALSE)</f>
        <v>28460.759801658827</v>
      </c>
      <c r="AC49" s="65">
        <f>VLOOKUP($A49,'TCO Inputs'!$A$3:$AG$53,17,FALSE)</f>
        <v>13316.365885620138</v>
      </c>
      <c r="AD49" s="65">
        <f>VLOOKUP($A49,'TCO Inputs'!$A$3:$AG$53,21,FALSE)</f>
        <v>17159.015865462952</v>
      </c>
      <c r="AE49" s="65">
        <f>VLOOKUP($A49,'TCO Inputs'!$A$3:$AG$53,25,FALSE)</f>
        <v>31273.208795618324</v>
      </c>
      <c r="AF49" s="65">
        <f>VLOOKUP($A49,'TCO Inputs'!$A$3:$AG$53,29,FALSE)</f>
        <v>0</v>
      </c>
      <c r="AG49" s="65">
        <f>VLOOKUP($A49,'TCO Inputs'!$A$3:$AG$53,33,FALSE)</f>
        <v>90209.35034836024</v>
      </c>
      <c r="AH49" s="7">
        <f>(VLOOKUP($A49,Data!$D$64:$M$112,9,FALSE)+VLOOKUP($A49,Data!$D$64:$M$112,10,FALSE))*VLOOKUP($A49,'VKT US'!$B$63:$AB$113,27,FALSE)*CONVERT(0.9072,"g","ton")*m2k</f>
        <v>25.741843805514616</v>
      </c>
      <c r="AI49" s="95">
        <f t="shared" si="7"/>
        <v>30.191583014972171</v>
      </c>
      <c r="AJ49" s="186">
        <f t="shared" si="8"/>
        <v>-1501.5149756768369</v>
      </c>
      <c r="AK49" s="188">
        <f>VLOOKUP($A49,'TCO Inputs'!$A$3:$AT$53,40,FALSE)</f>
        <v>30376.676612640622</v>
      </c>
      <c r="AL49" s="188">
        <f>VLOOKUP($A49,'TCO Inputs'!$A$3:$AT$53,41,FALSE)</f>
        <v>9702.1564581273742</v>
      </c>
      <c r="AM49" s="188">
        <f>VLOOKUP($A49,'TCO Inputs'!$A$3:$AT$53,42,FALSE)</f>
        <v>16533.977825351274</v>
      </c>
      <c r="AN49" s="188">
        <f>VLOOKUP($A49,'TCO Inputs'!$A$3:$AT$53,43,FALSE)</f>
        <v>35758.589701408753</v>
      </c>
      <c r="AO49" s="188">
        <f>VLOOKUP($A49,'TCO Inputs'!$A$3:$AT$53,44,FALSE)</f>
        <v>0</v>
      </c>
      <c r="AP49" s="188">
        <f>VLOOKUP($A49,'TCO Inputs'!$A$3:$AT$53,45,FALSE)</f>
        <v>92371.400597528031</v>
      </c>
      <c r="AQ49" s="96">
        <f>(VLOOKUP($A49,Data!$D$64:$O$114,11,FALSE)+VLOOKUP($A49,'Fuel economy adjusted factor'!$A$2:$L$52,12,FALSE)*(1-'TCO Inputs'!$BD$9))*VLOOKUP($A49,'VKT US'!$B$63:$AB$113,27,FALSE)*CONVERT(0.9072,"g","ton")*m2k+VLOOKUP($A49,'US Grid mix, emissions&amp;prices'!$H$224:$AK$274,30,FALSE)</f>
        <v>23.922733264129853</v>
      </c>
      <c r="AR49" s="96">
        <f t="shared" si="9"/>
        <v>32.010693556356934</v>
      </c>
      <c r="AS49" s="60">
        <f>VLOOKUP($A49,'TCO Inputs'!$A$3:$AT$53,46,FALSE)</f>
        <v>660.53527349095384</v>
      </c>
      <c r="AT49" s="98">
        <f>(VLOOKUP($A49,Data!$D$64:$M$112,5,FALSE)+VLOOKUP($A49,Data!$D$64:$M$112,8,FALSE))*VLOOKUP($A49,'VKT US'!$B$63:$AB$113,2,FALSE)*CONVERT(0.9072,"g","ton")*m2k*VLOOKUP($A49,'VKT US'!$F$5:$S$56,11,FALSE)/1000000</f>
        <v>26.807625304420252</v>
      </c>
      <c r="AU49" s="98">
        <f>(VLOOKUP($A49,Data!$D$64:$F$114,3,FALSE)+VLOOKUP($A49,Data!$D$64:$I$114,6,FALSE))*VLOOKUP($A49,'VKT US'!$B$63:$AB$113,2,FALSE)*m2k*CONVERT(0.9072,"g","ton")*VLOOKUP($A49,'VKT US'!$F$5:$S$56,2,FALSE)/1000000</f>
        <v>0.21413874597704768</v>
      </c>
      <c r="AV49" s="98">
        <f>(VLOOKUP($A49,Data!$D$64:$M$112,4,FALSE)+VLOOKUP($A49,Data!$D$64:$M$112,7,FALSE))*VLOOKUP($A49,'VKT US'!$B$63:$AB$113,2,FALSE)*CONVERT(0.9072,"g","ton")*m2k*VLOOKUP($A49,'VKT US'!$F$5:$S$56,4,FALSE)/1000000</f>
        <v>0.97226739430103104</v>
      </c>
      <c r="AW49" s="98">
        <f>(VLOOKUP($A49,Data!$D$64:$M$112,9,FALSE)+VLOOKUP($A49,Data!$D$64:$M$112,10,FALSE))*VLOOKUP($A49,'VKT US'!$B$63:$AB$113,2,FALSE)*CONVERT(0.9072,"g","ton")*m2k*VLOOKUP($A49,'VKT US'!$F$5:$S$56,9,FALSE)/1000000</f>
        <v>0</v>
      </c>
      <c r="AX49" s="98">
        <f>H49*VLOOKUP($A49,'VKT US'!$F$5:$S$56,11,FALSE)/1000000</f>
        <v>312.27632193877776</v>
      </c>
      <c r="AY49" s="98">
        <f>P49*VLOOKUP($A49,'VKT US'!$F$5:$S$56,2,FALSE)/1000000</f>
        <v>2.1667668257400581</v>
      </c>
      <c r="AZ49" s="98">
        <f>Y49*VLOOKUP($A49,'VKT US'!$F$5:$S$56,4,FALSE)/1000000</f>
        <v>11.325735957047362</v>
      </c>
      <c r="BA49" s="98">
        <f>AH49*VLOOKUP($A49,'VKT US'!$F$5:$S$56,9,FALSE)/1000000</f>
        <v>0</v>
      </c>
      <c r="BB49" s="79">
        <f>VLOOKUP($A49,Data!$D$64:$M$112,4,FALSE)+VLOOKUP($A49,Data!$D$64:$M$112,7,FALSE)-(VLOOKUP($A49,Data!$D$64:$F$114,3,FALSE)+VLOOKUP($A49,Data!$D$64:$I$114,6,FALSE))</f>
        <v>88.426468193223869</v>
      </c>
      <c r="BC49" s="10">
        <f>(Y49-P49)*VLOOKUP($A49,'VKT US'!$F$5:$S$56,14,FALSE)/1000000*'Scenario analysis'!$E$4</f>
        <v>154.19352325787943</v>
      </c>
      <c r="BD49" s="10">
        <f>P49*VLOOKUP($A49,'VKT US'!$F$5:$S$56,14,FALSE)/1000000*'Scenario analysis'!$E$4</f>
        <v>97.099930052115766</v>
      </c>
      <c r="BE49" s="79">
        <f>(VLOOKUP($A49,Data!$D$64:$M$114,4,FALSE)+VLOOKUP($A49,Data!$D$64:$M$114,7,FALSE)-(VLOOKUP($A49,Data!$D$64:$F$114,3,FALSE)+VLOOKUP($A49,Data!$D$64:$I$114,6,FALSE)))*VLOOKUP($A49,'VKT US'!$B$63:$AB$113,2,FALSE)*CONVERT(0.9072,"g","ton")*m2k*VLOOKUP($A49,'VKT US'!$F$5:$S$56,14,FALSE)/1000000*'Scenario analysis'!$E$4</f>
        <v>11.976239564345521</v>
      </c>
      <c r="BF49" s="79">
        <f>(VLOOKUP($A49,Data!$D$64:$F$114,3,FALSE)+VLOOKUP($A49,Data!$D$64:$I$114,6,FALSE))*VLOOKUP($A49,'VKT US'!$B$63:$AB$113,2,FALSE)*CONVERT(0.9072,"g","ton")*m2k*VLOOKUP($A49,'VKT US'!$F$5:$S$56,14,FALSE)/1000000*'Scenario analysis'!$E$4</f>
        <v>9.5962597400010186</v>
      </c>
      <c r="BG49" s="79">
        <f>(VLOOKUP($A49,Data!$D$64:$M$114,4,FALSE)+VLOOKUP($A49,Data!$D$64:$M$114,7,FALSE))*VLOOKUP($A49,'VKT US'!$B$63:$AB$113,2,FALSE)*CONVERT(0.9072,"g","ton")*m2k*VLOOKUP($A49,'VKT US'!$F$5:$S$56,14,FALSE)/1000000*'Scenario analysis'!$E$4</f>
        <v>21.57249930434654</v>
      </c>
      <c r="BH49" s="79">
        <f t="shared" si="16"/>
        <v>22.621957315455969</v>
      </c>
      <c r="BI49" s="96">
        <f t="shared" si="17"/>
        <v>534.90377670893474</v>
      </c>
      <c r="BJ49" s="191">
        <f t="shared" si="18"/>
        <v>12100.570404585713</v>
      </c>
      <c r="BK49" s="191">
        <f>(VLOOKUP($A49,'US Grid mix, emissions&amp;prices'!$H$169:$AK$219,30,FALSE)+VLOOKUP($A49,Data!$D$64:$F$114,3,FALSE)*VLOOKUP($A49,'VKT US'!$B$63:$AB$113,27,FALSE)*m2k*CONVERT(0.9072,"g","ton"))*VLOOKUP($A49,'VKT US'!$F$5:$S$56,14,FALSE)/1000000</f>
        <v>97.099930052115766</v>
      </c>
      <c r="BL49" s="191">
        <f>P49*VLOOKUP($A49,'VKT US'!$F$5:$S$56,14,FALSE)/1000000-BK49</f>
        <v>0</v>
      </c>
      <c r="BM49" s="191">
        <v>8.8739648924468693</v>
      </c>
      <c r="BN49" s="191">
        <v>0.86363740451690418</v>
      </c>
      <c r="BO49" s="191" cm="1">
        <f t="array" ref="BO49">_xlfn.IFS(AND(Q49&gt;0,R49&gt;0),R49/Q49,AND(Q49&gt;0,R49&lt;=0),-R49/Q49,Q49&lt;=0,0)</f>
        <v>139.17341827193317</v>
      </c>
      <c r="BP49" s="212" cm="1">
        <f t="array" ref="BP49">_xlfn.IFS(AND(Z49&gt;0,AA49&gt;0),AA49/Z49,AND(Z49&gt;0,AA49&lt;=0),AA49/Z49,Z49&lt;=0,0)</f>
        <v>-330.36873585102114</v>
      </c>
      <c r="BQ49" s="191">
        <f>P49*1000000/(VLOOKUP($A49,'VKT US'!$B$63:$AB$113,27,FALSE)*m2k)</f>
        <v>61.547060554266167</v>
      </c>
      <c r="BR49" s="191">
        <f>Y49*1000000/(VLOOKUP($A49,'VKT US'!$B$63:$AB$113,27,FALSE)*m2k)</f>
        <v>159.2830538545164</v>
      </c>
      <c r="BS49" s="191">
        <f>H49*1000000/(VLOOKUP($A49,'VKT US'!$B$63:$AB$113,27,FALSE)*m2k)</f>
        <v>241.65499707897163</v>
      </c>
      <c r="BT49" s="95"/>
      <c r="BU49" s="10">
        <f t="shared" si="10"/>
        <v>98050.523542576251</v>
      </c>
      <c r="BV49" s="10">
        <f t="shared" si="11"/>
        <v>107341.56748661415</v>
      </c>
      <c r="BW49" s="10">
        <f t="shared" si="12"/>
        <v>91222.648207705992</v>
      </c>
      <c r="BX49" s="10">
        <f t="shared" si="13"/>
        <v>99790.149589169916</v>
      </c>
      <c r="BY49" s="53">
        <f t="shared" si="14"/>
        <v>101100.40929383134</v>
      </c>
      <c r="BZ49" s="79">
        <f t="shared" si="15"/>
        <v>38.44404962980262</v>
      </c>
      <c r="CA49" s="96">
        <f>VLOOKUP($A49,'TCO Inputs'!$Y$114:$AT$164,22,FALSE)</f>
        <v>56159.013097677271</v>
      </c>
      <c r="CB49" s="211">
        <f>CA49*VLOOKUP($A49,'VKT US'!$F$5:$S$56,14,FALSE)/(10^9)</f>
        <v>382.78544917507804</v>
      </c>
    </row>
    <row r="50" spans="1:80" x14ac:dyDescent="0.25">
      <c r="A50" s="83" t="s">
        <v>159</v>
      </c>
      <c r="B50" s="150">
        <f>VLOOKUP($A50,'TCO Inputs'!$A$3:$AG$53,10,FALSE)</f>
        <v>23731.611795719989</v>
      </c>
      <c r="C50" s="71">
        <f>VLOOKUP($A50,'TCO Inputs'!$A$3:$AG$53,14,FALSE)</f>
        <v>21618.630743892809</v>
      </c>
      <c r="D50" s="71">
        <f>VLOOKUP($A50,'TCO Inputs'!$A$3:$AG$53,18,FALSE)</f>
        <v>28774.086700038948</v>
      </c>
      <c r="E50" s="71">
        <f>VLOOKUP($A50,'TCO Inputs'!$A$3:$AG$53,22,FALSE)</f>
        <v>31131.60515167025</v>
      </c>
      <c r="F50" s="71">
        <f>VLOOKUP($A50,'TCO Inputs'!$A$3:$AG$53,26,FALSE)</f>
        <v>0</v>
      </c>
      <c r="G50" s="65">
        <f>VLOOKUP($A50,'TCO Inputs'!$A$3:$AG$53,30,FALSE)</f>
        <v>105255.93439132199</v>
      </c>
      <c r="H50" s="95">
        <f>(VLOOKUP($A50,Data!$D$64:$M$112,5,FALSE)+VLOOKUP($A50,Data!$D$64:$M$112,8,FALSE))*VLOOKUP($A50,'VKT US'!$B$63:$AB$113,27,FALSE)*CONVERT(0.9072,"g","ton")*m2k</f>
        <v>85.325913387481492</v>
      </c>
      <c r="I50" s="92"/>
      <c r="J50" s="144">
        <f>VLOOKUP($A50,'TCO Inputs'!$A$3:$AG$53,11,FALSE)</f>
        <v>40967.546942691188</v>
      </c>
      <c r="K50" s="65">
        <f>VLOOKUP($A50,'TCO Inputs'!$A$3:$AG$53,15,FALSE)</f>
        <v>14234.201221789541</v>
      </c>
      <c r="L50" s="65">
        <f>VLOOKUP($A50,'TCO Inputs'!$A$3:$AG$53,19,FALSE)</f>
        <v>17917.480938038439</v>
      </c>
      <c r="M50" s="65">
        <f>VLOOKUP($A50,'TCO Inputs'!$A$3:$AG$53,23,FALSE)</f>
        <v>39349.621959210017</v>
      </c>
      <c r="N50" s="65">
        <f>VLOOKUP($A50,'TCO Inputs'!$A$3:$AG$53,27,FALSE)</f>
        <v>0</v>
      </c>
      <c r="O50" s="65">
        <f>VLOOKUP($A50,'TCO Inputs'!$A$3:$AG$53,31,FALSE)</f>
        <v>112468.85106172919</v>
      </c>
      <c r="P50" s="7">
        <f>VLOOKUP($A50,_xlfn.IFS('Scenario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analysis'!$Q$121:$R$126),2,FALSE)+VLOOKUP($A50,Data!$D$64:$F$114,3,FALSE)*VLOOKUP($A50,'VKT US'!$B$63:$AB$113,27,FALSE)*m2k*CONVERT(0.9072,"g","ton")</f>
        <v>74.76677664111584</v>
      </c>
      <c r="Q50" s="95">
        <f t="shared" si="3"/>
        <v>10.559136746365652</v>
      </c>
      <c r="R50" s="60">
        <f t="shared" si="4"/>
        <v>7212.9166704071977</v>
      </c>
      <c r="S50" s="144">
        <f>VLOOKUP($A50,'TCO Inputs'!$A$3:$AG$53,12,FALSE)</f>
        <v>25202.087524607668</v>
      </c>
      <c r="T50" s="65">
        <f>VLOOKUP($A50,'TCO Inputs'!$A$3:$AG$53,16,FALSE)</f>
        <v>13303.772765472499</v>
      </c>
      <c r="U50" s="65">
        <f>VLOOKUP($A50,'TCO Inputs'!$A$3:$AG$53,20,FALSE)</f>
        <v>26447.671179610272</v>
      </c>
      <c r="V50" s="65">
        <f>VLOOKUP($A50,'TCO Inputs'!$A$3:$AG$53,24,FALSE)</f>
        <v>32441.403634938422</v>
      </c>
      <c r="W50" s="65">
        <f>VLOOKUP($A50,'TCO Inputs'!$A$3:$AG$53,28,FALSE)</f>
        <v>0</v>
      </c>
      <c r="X50" s="65">
        <f>VLOOKUP($A50,'TCO Inputs'!$A$3:$AG$53,32,FALSE)</f>
        <v>97394.935104628865</v>
      </c>
      <c r="Y50" s="7">
        <f>(VLOOKUP($A50,Data!$D$64:$M$112,4,FALSE)+VLOOKUP($A50,Data!$D$64:$M$112,7,FALSE))*VLOOKUP($A50,'VKT US'!$B$63:$AB$113,27,FALSE)*CONVERT(0.9072,"g","ton")*m2k</f>
        <v>56.278688054022673</v>
      </c>
      <c r="Z50" s="95">
        <f t="shared" si="5"/>
        <v>29.047225333458819</v>
      </c>
      <c r="AA50" s="118">
        <f t="shared" si="6"/>
        <v>-7860.9992866931279</v>
      </c>
      <c r="AB50" s="144">
        <f>VLOOKUP($A50,'TCO Inputs'!$A$3:$AG$53,13,FALSE)</f>
        <v>28460.759801658827</v>
      </c>
      <c r="AC50" s="65">
        <f>VLOOKUP($A50,'TCO Inputs'!$A$3:$AG$53,17,FALSE)</f>
        <v>20289.420109001821</v>
      </c>
      <c r="AD50" s="65">
        <f>VLOOKUP($A50,'TCO Inputs'!$A$3:$AG$53,21,FALSE)</f>
        <v>26447.671179610272</v>
      </c>
      <c r="AE50" s="65">
        <f>VLOOKUP($A50,'TCO Inputs'!$A$3:$AG$53,25,FALSE)</f>
        <v>32665.263634938423</v>
      </c>
      <c r="AF50" s="65">
        <f>VLOOKUP($A50,'TCO Inputs'!$A$3:$AG$53,29,FALSE)</f>
        <v>0</v>
      </c>
      <c r="AG50" s="65">
        <f>VLOOKUP($A50,'TCO Inputs'!$A$3:$AG$53,33,FALSE)</f>
        <v>107863.11472520935</v>
      </c>
      <c r="AH50" s="7">
        <f>(VLOOKUP($A50,Data!$D$64:$M$112,9,FALSE)+VLOOKUP($A50,Data!$D$64:$M$112,10,FALSE))*VLOOKUP($A50,'VKT US'!$B$63:$AB$113,27,FALSE)*CONVERT(0.9072,"g","ton")*m2k</f>
        <v>39.676623989575724</v>
      </c>
      <c r="AI50" s="95">
        <f t="shared" si="7"/>
        <v>45.649289397905768</v>
      </c>
      <c r="AJ50" s="186">
        <f t="shared" si="8"/>
        <v>2607.1803338873578</v>
      </c>
      <c r="AK50" s="188">
        <f>VLOOKUP($A50,'TCO Inputs'!$A$3:$AT$53,40,FALSE)</f>
        <v>30376.676612640622</v>
      </c>
      <c r="AL50" s="188">
        <f>VLOOKUP($A50,'TCO Inputs'!$A$3:$AT$53,41,FALSE)</f>
        <v>12982.577038776237</v>
      </c>
      <c r="AM50" s="188">
        <f>VLOOKUP($A50,'TCO Inputs'!$A$3:$AT$53,42,FALSE)</f>
        <v>25484.282562848479</v>
      </c>
      <c r="AN50" s="188">
        <f>VLOOKUP($A50,'TCO Inputs'!$A$3:$AT$53,43,FALSE)</f>
        <v>38743.92195921002</v>
      </c>
      <c r="AO50" s="188">
        <f>VLOOKUP($A50,'TCO Inputs'!$A$3:$AT$53,44,FALSE)</f>
        <v>0</v>
      </c>
      <c r="AP50" s="188">
        <f>VLOOKUP($A50,'TCO Inputs'!$A$3:$AT$53,45,FALSE)</f>
        <v>107587.45817347534</v>
      </c>
      <c r="AQ50" s="96">
        <f>(VLOOKUP($A50,Data!$D$64:$O$114,11,FALSE)+VLOOKUP($A50,'Fuel economy adjusted factor'!$A$2:$L$52,12,FALSE)*(1-'TCO Inputs'!$BD$9))*VLOOKUP($A50,'VKT US'!$B$63:$AB$113,27,FALSE)*CONVERT(0.9072,"g","ton")*m2k+VLOOKUP($A50,'US Grid mix, emissions&amp;prices'!$H$224:$AK$274,30,FALSE)</f>
        <v>64.072065694088877</v>
      </c>
      <c r="AR50" s="96">
        <f t="shared" si="9"/>
        <v>21.253847693392615</v>
      </c>
      <c r="AS50" s="60">
        <f>VLOOKUP($A50,'TCO Inputs'!$A$3:$AT$53,46,FALSE)</f>
        <v>2331.5237821533519</v>
      </c>
      <c r="AT50" s="98">
        <f>(VLOOKUP($A50,Data!$D$64:$M$112,5,FALSE)+VLOOKUP($A50,Data!$D$64:$M$112,8,FALSE))*VLOOKUP($A50,'VKT US'!$B$63:$AB$113,2,FALSE)*CONVERT(0.9072,"g","ton")*m2k*VLOOKUP($A50,'VKT US'!$F$5:$S$56,11,FALSE)/1000000</f>
        <v>9.3868276867104345</v>
      </c>
      <c r="AU50" s="98">
        <f>(VLOOKUP($A50,Data!$D$64:$F$114,3,FALSE)+VLOOKUP($A50,Data!$D$64:$I$114,6,FALSE))*VLOOKUP($A50,'VKT US'!$B$63:$AB$113,2,FALSE)*m2k*CONVERT(0.9072,"g","ton")*VLOOKUP($A50,'VKT US'!$F$5:$S$56,2,FALSE)/1000000</f>
        <v>2.3271492932645538E-2</v>
      </c>
      <c r="AV50" s="98">
        <f>(VLOOKUP($A50,Data!$D$64:$M$112,4,FALSE)+VLOOKUP($A50,Data!$D$64:$M$112,7,FALSE))*VLOOKUP($A50,'VKT US'!$B$63:$AB$113,2,FALSE)*CONVERT(0.9072,"g","ton")*m2k*VLOOKUP($A50,'VKT US'!$F$5:$S$56,4,FALSE)/1000000</f>
        <v>0.108220932622939</v>
      </c>
      <c r="AW50" s="98">
        <f>(VLOOKUP($A50,Data!$D$64:$M$112,9,FALSE)+VLOOKUP($A50,Data!$D$64:$M$112,10,FALSE))*VLOOKUP($A50,'VKT US'!$B$63:$AB$113,2,FALSE)*CONVERT(0.9072,"g","ton")*m2k*VLOOKUP($A50,'VKT US'!$F$5:$S$56,9,FALSE)/1000000</f>
        <v>0</v>
      </c>
      <c r="AX50" s="98">
        <f>H50*VLOOKUP($A50,'VKT US'!$F$5:$S$56,11,FALSE)/1000000</f>
        <v>109.34515800605753</v>
      </c>
      <c r="AY50" s="98">
        <f>P50*VLOOKUP($A50,'VKT US'!$F$5:$S$56,2,FALSE)/1000000</f>
        <v>0.20934697459512433</v>
      </c>
      <c r="AZ50" s="98">
        <f>Y50*VLOOKUP($A50,'VKT US'!$F$5:$S$56,4,FALSE)/1000000</f>
        <v>1.2606426124101078</v>
      </c>
      <c r="BA50" s="98">
        <f>AH50*VLOOKUP($A50,'VKT US'!$F$5:$S$56,9,FALSE)/1000000</f>
        <v>0</v>
      </c>
      <c r="BB50" s="79">
        <f>VLOOKUP($A50,Data!$D$64:$M$112,4,FALSE)+VLOOKUP($A50,Data!$D$64:$M$112,7,FALSE)-(VLOOKUP($A50,Data!$D$64:$F$114,3,FALSE)+VLOOKUP($A50,Data!$D$64:$I$114,6,FALSE))</f>
        <v>-113.62566293640907</v>
      </c>
      <c r="BC50" s="10">
        <f>(Y50-P50)*VLOOKUP($A50,'VKT US'!$F$5:$S$56,14,FALSE)/1000000*'Scenario analysis'!$E$4</f>
        <v>-27.933653046239066</v>
      </c>
      <c r="BD50" s="10">
        <f>P50*VLOOKUP($A50,'VKT US'!$F$5:$S$56,14,FALSE)/1000000*'Scenario analysis'!$E$4</f>
        <v>112.96512282706192</v>
      </c>
      <c r="BE50" s="79">
        <f>(VLOOKUP($A50,Data!$D$64:$M$114,4,FALSE)+VLOOKUP($A50,Data!$D$64:$M$114,7,FALSE)-(VLOOKUP($A50,Data!$D$64:$F$114,3,FALSE)+VLOOKUP($A50,Data!$D$64:$I$114,6,FALSE)))*VLOOKUP($A50,'VKT US'!$B$63:$AB$113,2,FALSE)*CONVERT(0.9072,"g","ton")*m2k*VLOOKUP($A50,'VKT US'!$F$5:$S$56,14,FALSE)/1000000*'Scenario analysis'!$E$4</f>
        <v>-5.2578652801551158</v>
      </c>
      <c r="BF50" s="79">
        <f>(VLOOKUP($A50,Data!$D$64:$F$114,3,FALSE)+VLOOKUP($A50,Data!$D$64:$I$114,6,FALSE))*VLOOKUP($A50,'VKT US'!$B$63:$AB$113,2,FALSE)*CONVERT(0.9072,"g","ton")*m2k*VLOOKUP($A50,'VKT US'!$F$5:$S$56,14,FALSE)/1000000*'Scenario analysis'!$E$4</f>
        <v>12.557463811405052</v>
      </c>
      <c r="BG50" s="79">
        <f>(VLOOKUP($A50,Data!$D$64:$M$114,4,FALSE)+VLOOKUP($A50,Data!$D$64:$M$114,7,FALSE))*VLOOKUP($A50,'VKT US'!$B$63:$AB$113,2,FALSE)*CONVERT(0.9072,"g","ton")*m2k*VLOOKUP($A50,'VKT US'!$F$5:$S$56,14,FALSE)/1000000*'Scenario analysis'!$E$4</f>
        <v>7.2995985312499352</v>
      </c>
      <c r="BH50" s="79">
        <f t="shared" si="16"/>
        <v>-18.488088587093166</v>
      </c>
      <c r="BI50" s="96">
        <f t="shared" si="17"/>
        <v>-815.33122724345174</v>
      </c>
      <c r="BJ50" s="191">
        <f t="shared" si="18"/>
        <v>15073.915957100326</v>
      </c>
      <c r="BK50" s="191">
        <f>(VLOOKUP($A50,'US Grid mix, emissions&amp;prices'!$H$169:$AK$219,30,FALSE)+VLOOKUP($A50,Data!$D$64:$F$114,3,FALSE)*VLOOKUP($A50,'VKT US'!$B$63:$AB$113,27,FALSE)*m2k*CONVERT(0.9072,"g","ton"))*VLOOKUP($A50,'VKT US'!$F$5:$S$56,14,FALSE)/1000000</f>
        <v>112.96512282706192</v>
      </c>
      <c r="BL50" s="191">
        <f>P50*VLOOKUP($A50,'VKT US'!$F$5:$S$56,14,FALSE)/1000000-BK50</f>
        <v>0</v>
      </c>
      <c r="BM50" s="191">
        <v>10.918864088010693</v>
      </c>
      <c r="BN50" s="191">
        <v>1.9592497675242431</v>
      </c>
      <c r="BO50" s="191" cm="1">
        <f t="array" ref="BO50">_xlfn.IFS(AND(Q50&gt;0,R50&gt;0),R50/Q50,AND(Q50&gt;0,R50&lt;=0),-R50/Q50,Q50&lt;=0,0)</f>
        <v>683.09719285431265</v>
      </c>
      <c r="BP50" s="212" cm="1">
        <f t="array" ref="BP50">_xlfn.IFS(AND(Z50&gt;0,AA50&gt;0),AA50/Z50,AND(Z50&gt;0,AA50&lt;=0),AA50/Z50,Z50&lt;=0,0)</f>
        <v>-270.62823372799835</v>
      </c>
      <c r="BQ50" s="191">
        <f>P50*1000000/(VLOOKUP($A50,'VKT US'!$B$63:$AB$113,27,FALSE)*m2k)</f>
        <v>209.57426379976494</v>
      </c>
      <c r="BR50" s="191">
        <f>Y50*1000000/(VLOOKUP($A50,'VKT US'!$B$63:$AB$113,27,FALSE)*m2k)</f>
        <v>157.75141241079456</v>
      </c>
      <c r="BS50" s="191">
        <f>H50*1000000/(VLOOKUP($A50,'VKT US'!$B$63:$AB$113,27,FALSE)*m2k)</f>
        <v>239.17194621160365</v>
      </c>
      <c r="BT50" s="95"/>
      <c r="BU50" s="10">
        <f t="shared" si="10"/>
        <v>98050.523542576251</v>
      </c>
      <c r="BV50" s="10">
        <f t="shared" si="11"/>
        <v>107341.56748661415</v>
      </c>
      <c r="BW50" s="10">
        <f t="shared" si="12"/>
        <v>91222.648207705992</v>
      </c>
      <c r="BX50" s="10">
        <f t="shared" si="13"/>
        <v>99790.149589169916</v>
      </c>
      <c r="BY50" s="53">
        <f t="shared" si="14"/>
        <v>101100.40929383134</v>
      </c>
      <c r="BZ50" s="79">
        <f t="shared" si="15"/>
        <v>38.44404962980262</v>
      </c>
      <c r="CA50" s="96">
        <f>VLOOKUP($A50,'TCO Inputs'!$Y$114:$AT$164,22,FALSE)</f>
        <v>83162.073076552886</v>
      </c>
      <c r="CB50" s="211">
        <f>CA50*VLOOKUP($A50,'VKT US'!$F$5:$S$56,14,FALSE)/(10^9)</f>
        <v>125.64957621136375</v>
      </c>
    </row>
    <row r="51" spans="1:80" x14ac:dyDescent="0.25">
      <c r="A51" s="83" t="s">
        <v>158</v>
      </c>
      <c r="B51" s="150">
        <f>VLOOKUP($A51,'TCO Inputs'!$A$3:$AG$53,10,FALSE)</f>
        <v>23731.611795719989</v>
      </c>
      <c r="C51" s="71">
        <f>VLOOKUP($A51,'TCO Inputs'!$A$3:$AG$53,14,FALSE)</f>
        <v>20842.159065201908</v>
      </c>
      <c r="D51" s="71">
        <f>VLOOKUP($A51,'TCO Inputs'!$A$3:$AG$53,18,FALSE)</f>
        <v>26329.073644347081</v>
      </c>
      <c r="E51" s="71">
        <f>VLOOKUP($A51,'TCO Inputs'!$A$3:$AG$53,22,FALSE)</f>
        <v>23062.087198161855</v>
      </c>
      <c r="F51" s="71">
        <f>VLOOKUP($A51,'TCO Inputs'!$A$3:$AG$53,26,FALSE)</f>
        <v>0</v>
      </c>
      <c r="G51" s="65">
        <f>VLOOKUP($A51,'TCO Inputs'!$A$3:$AG$53,30,FALSE)</f>
        <v>93964.931703430833</v>
      </c>
      <c r="H51" s="95">
        <f>(VLOOKUP($A51,Data!$D$64:$M$112,5,FALSE)+VLOOKUP($A51,Data!$D$64:$M$112,8,FALSE))*VLOOKUP($A51,'VKT US'!$B$63:$AB$113,27,FALSE)*CONVERT(0.9072,"g","ton")*m2k</f>
        <v>79.966865794078956</v>
      </c>
      <c r="I51" s="92"/>
      <c r="J51" s="144">
        <f>VLOOKUP($A51,'TCO Inputs'!$A$3:$AG$53,11,FALSE)</f>
        <v>40967.546942691188</v>
      </c>
      <c r="K51" s="65">
        <f>VLOOKUP($A51,'TCO Inputs'!$A$3:$AG$53,15,FALSE)</f>
        <v>15943.357962817798</v>
      </c>
      <c r="L51" s="65">
        <f>VLOOKUP($A51,'TCO Inputs'!$A$3:$AG$53,19,FALSE)</f>
        <v>16394.983446621802</v>
      </c>
      <c r="M51" s="65">
        <f>VLOOKUP($A51,'TCO Inputs'!$A$3:$AG$53,23,FALSE)</f>
        <v>27810.296365910825</v>
      </c>
      <c r="N51" s="65">
        <f>VLOOKUP($A51,'TCO Inputs'!$A$3:$AG$53,27,FALSE)</f>
        <v>0</v>
      </c>
      <c r="O51" s="65">
        <f>VLOOKUP($A51,'TCO Inputs'!$A$3:$AG$53,31,FALSE)</f>
        <v>101116.18471804161</v>
      </c>
      <c r="P51" s="7">
        <f>VLOOKUP($A51,_xlfn.IFS('Scenario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analysis'!$Q$121:$R$126),2,FALSE)+VLOOKUP($A51,Data!$D$64:$F$114,3,FALSE)*VLOOKUP($A51,'VKT US'!$B$63:$AB$113,27,FALSE)*m2k*CONVERT(0.9072,"g","ton")</f>
        <v>48.452607939322121</v>
      </c>
      <c r="Q51" s="95">
        <f t="shared" si="3"/>
        <v>31.514257854756835</v>
      </c>
      <c r="R51" s="60">
        <f t="shared" si="4"/>
        <v>7151.2530146107747</v>
      </c>
      <c r="S51" s="144">
        <f>VLOOKUP($A51,'TCO Inputs'!$A$3:$AG$53,12,FALSE)</f>
        <v>25202.087524607668</v>
      </c>
      <c r="T51" s="65">
        <f>VLOOKUP($A51,'TCO Inputs'!$A$3:$AG$53,16,FALSE)</f>
        <v>12825.94404012425</v>
      </c>
      <c r="U51" s="65">
        <f>VLOOKUP($A51,'TCO Inputs'!$A$3:$AG$53,20,FALSE)</f>
        <v>24200.34003054881</v>
      </c>
      <c r="V51" s="65">
        <f>VLOOKUP($A51,'TCO Inputs'!$A$3:$AG$53,24,FALSE)</f>
        <v>24032.37725182233</v>
      </c>
      <c r="W51" s="65">
        <f>VLOOKUP($A51,'TCO Inputs'!$A$3:$AG$53,28,FALSE)</f>
        <v>0</v>
      </c>
      <c r="X51" s="65">
        <f>VLOOKUP($A51,'TCO Inputs'!$A$3:$AG$53,32,FALSE)</f>
        <v>86260.748847103067</v>
      </c>
      <c r="Y51" s="7">
        <f>(VLOOKUP($A51,Data!$D$64:$M$112,4,FALSE)+VLOOKUP($A51,Data!$D$64:$M$112,7,FALSE))*VLOOKUP($A51,'VKT US'!$B$63:$AB$113,27,FALSE)*CONVERT(0.9072,"g","ton")*m2k</f>
        <v>52.663178352622644</v>
      </c>
      <c r="Z51" s="95">
        <f t="shared" si="5"/>
        <v>27.303687441456312</v>
      </c>
      <c r="AA51" s="118">
        <f t="shared" si="6"/>
        <v>-7704.1828563277668</v>
      </c>
      <c r="AB51" s="144">
        <f>VLOOKUP($A51,'TCO Inputs'!$A$3:$AG$53,13,FALSE)</f>
        <v>28460.759801658827</v>
      </c>
      <c r="AC51" s="65">
        <f>VLOOKUP($A51,'TCO Inputs'!$A$3:$AG$53,17,FALSE)</f>
        <v>19068.109799711267</v>
      </c>
      <c r="AD51" s="65">
        <f>VLOOKUP($A51,'TCO Inputs'!$A$3:$AG$53,21,FALSE)</f>
        <v>24200.34003054881</v>
      </c>
      <c r="AE51" s="65">
        <f>VLOOKUP($A51,'TCO Inputs'!$A$3:$AG$53,25,FALSE)</f>
        <v>24218.92725182233</v>
      </c>
      <c r="AF51" s="65">
        <f>VLOOKUP($A51,'TCO Inputs'!$A$3:$AG$53,29,FALSE)</f>
        <v>0</v>
      </c>
      <c r="AG51" s="65">
        <f>VLOOKUP($A51,'TCO Inputs'!$A$3:$AG$53,33,FALSE)</f>
        <v>95948.13688374123</v>
      </c>
      <c r="AH51" s="7">
        <f>(VLOOKUP($A51,Data!$D$64:$M$112,9,FALSE)+VLOOKUP($A51,Data!$D$64:$M$112,10,FALSE))*VLOOKUP($A51,'VKT US'!$B$63:$AB$113,27,FALSE)*CONVERT(0.9072,"g","ton")*m2k</f>
        <v>36.305192441753277</v>
      </c>
      <c r="AI51" s="95">
        <f t="shared" si="7"/>
        <v>43.661673352325678</v>
      </c>
      <c r="AJ51" s="186">
        <f t="shared" si="8"/>
        <v>1983.2051803103968</v>
      </c>
      <c r="AK51" s="188">
        <f>VLOOKUP($A51,'TCO Inputs'!$A$3:$AT$53,40,FALSE)</f>
        <v>30376.676612640622</v>
      </c>
      <c r="AL51" s="188">
        <f>VLOOKUP($A51,'TCO Inputs'!$A$3:$AT$53,41,FALSE)</f>
        <v>13565.759467390577</v>
      </c>
      <c r="AM51" s="188">
        <f>VLOOKUP($A51,'TCO Inputs'!$A$3:$AT$53,42,FALSE)</f>
        <v>23318.813186507843</v>
      </c>
      <c r="AN51" s="188">
        <f>VLOOKUP($A51,'TCO Inputs'!$A$3:$AT$53,43,FALSE)</f>
        <v>27305.546365910825</v>
      </c>
      <c r="AO51" s="188">
        <f>VLOOKUP($A51,'TCO Inputs'!$A$3:$AT$53,44,FALSE)</f>
        <v>0</v>
      </c>
      <c r="AP51" s="188">
        <f>VLOOKUP($A51,'TCO Inputs'!$A$3:$AT$53,45,FALSE)</f>
        <v>94566.795632449866</v>
      </c>
      <c r="AQ51" s="96">
        <f>(VLOOKUP($A51,Data!$D$64:$O$114,11,FALSE)+VLOOKUP($A51,'Fuel economy adjusted factor'!$A$2:$L$52,12,FALSE)*(1-'TCO Inputs'!$BD$9))*VLOOKUP($A51,'VKT US'!$B$63:$AB$113,27,FALSE)*CONVERT(0.9072,"g","ton")*m2k+VLOOKUP($A51,'US Grid mix, emissions&amp;prices'!$H$224:$AK$274,30,FALSE)</f>
        <v>48.806620190213067</v>
      </c>
      <c r="AR51" s="96">
        <f t="shared" si="9"/>
        <v>31.160245603865889</v>
      </c>
      <c r="AS51" s="60">
        <f>VLOOKUP($A51,'TCO Inputs'!$A$3:$AT$53,46,FALSE)</f>
        <v>601.86392901903309</v>
      </c>
      <c r="AT51" s="98">
        <f>(VLOOKUP($A51,Data!$D$64:$M$112,5,FALSE)+VLOOKUP($A51,Data!$D$64:$M$112,8,FALSE))*VLOOKUP($A51,'VKT US'!$B$63:$AB$113,2,FALSE)*CONVERT(0.9072,"g","ton")*m2k*VLOOKUP($A51,'VKT US'!$F$5:$S$56,11,FALSE)/1000000</f>
        <v>31.610451909862356</v>
      </c>
      <c r="AU51" s="98">
        <f>(VLOOKUP($A51,Data!$D$64:$F$114,3,FALSE)+VLOOKUP($A51,Data!$D$64:$I$114,6,FALSE))*VLOOKUP($A51,'VKT US'!$B$63:$AB$113,2,FALSE)*m2k*CONVERT(0.9072,"g","ton")*VLOOKUP($A51,'VKT US'!$F$5:$S$56,2,FALSE)/1000000</f>
        <v>0.13156516834451931</v>
      </c>
      <c r="AV51" s="98">
        <f>(VLOOKUP($A51,Data!$D$64:$M$112,4,FALSE)+VLOOKUP($A51,Data!$D$64:$M$112,7,FALSE))*VLOOKUP($A51,'VKT US'!$B$63:$AB$113,2,FALSE)*CONVERT(0.9072,"g","ton")*m2k*VLOOKUP($A51,'VKT US'!$F$5:$S$56,4,FALSE)/1000000</f>
        <v>0.55878511166039324</v>
      </c>
      <c r="AW51" s="98">
        <f>(VLOOKUP($A51,Data!$D$64:$M$112,9,FALSE)+VLOOKUP($A51,Data!$D$64:$M$112,10,FALSE))*VLOOKUP($A51,'VKT US'!$B$63:$AB$113,2,FALSE)*CONVERT(0.9072,"g","ton")*m2k*VLOOKUP($A51,'VKT US'!$F$5:$S$56,9,FALSE)/1000000</f>
        <v>0</v>
      </c>
      <c r="AX51" s="98">
        <f>H51*VLOOKUP($A51,'VKT US'!$F$5:$S$56,11,FALSE)/1000000</f>
        <v>368.22342692199533</v>
      </c>
      <c r="AY51" s="98">
        <f>P51*VLOOKUP($A51,'VKT US'!$F$5:$S$56,2,FALSE)/1000000</f>
        <v>1.2064699376891208</v>
      </c>
      <c r="AZ51" s="98">
        <f>Y51*VLOOKUP($A51,'VKT US'!$F$5:$S$56,4,FALSE)/1000000</f>
        <v>6.5091688443841589</v>
      </c>
      <c r="BA51" s="98">
        <f>AH51*VLOOKUP($A51,'VKT US'!$F$5:$S$56,9,FALSE)/1000000</f>
        <v>0</v>
      </c>
      <c r="BB51" s="79">
        <f>VLOOKUP($A51,Data!$D$64:$M$112,4,FALSE)+VLOOKUP($A51,Data!$D$64:$M$112,7,FALSE)-(VLOOKUP($A51,Data!$D$64:$F$114,3,FALSE)+VLOOKUP($A51,Data!$D$64:$I$114,6,FALSE))</f>
        <v>-27.220397957425007</v>
      </c>
      <c r="BC51" s="10">
        <f>(Y51-P51)*VLOOKUP($A51,'VKT US'!$F$5:$S$56,14,FALSE)/1000000*'Scenario analysis'!$E$4</f>
        <v>23.280243815138594</v>
      </c>
      <c r="BD51" s="10">
        <f>P51*VLOOKUP($A51,'VKT US'!$F$5:$S$56,14,FALSE)/1000000*'Scenario analysis'!$E$4</f>
        <v>267.894469296512</v>
      </c>
      <c r="BE51" s="79">
        <f>(VLOOKUP($A51,Data!$D$64:$M$114,4,FALSE)+VLOOKUP($A51,Data!$D$64:$M$114,7,FALSE)-(VLOOKUP($A51,Data!$D$64:$F$114,3,FALSE)+VLOOKUP($A51,Data!$D$64:$I$114,6,FALSE)))*VLOOKUP($A51,'VKT US'!$B$63:$AB$113,2,FALSE)*CONVERT(0.9072,"g","ton")*m2k*VLOOKUP($A51,'VKT US'!$F$5:$S$56,14,FALSE)/1000000*'Scenario analysis'!$E$4</f>
        <v>-4.2176680375214444</v>
      </c>
      <c r="BF51" s="79">
        <f>(VLOOKUP($A51,Data!$D$64:$F$114,3,FALSE)+VLOOKUP($A51,Data!$D$64:$I$114,6,FALSE))*VLOOKUP($A51,'VKT US'!$B$63:$AB$113,2,FALSE)*CONVERT(0.9072,"g","ton")*m2k*VLOOKUP($A51,'VKT US'!$F$5:$S$56,14,FALSE)/1000000*'Scenario analysis'!$E$4</f>
        <v>29.213807862523986</v>
      </c>
      <c r="BG51" s="79">
        <f>(VLOOKUP($A51,Data!$D$64:$M$114,4,FALSE)+VLOOKUP($A51,Data!$D$64:$M$114,7,FALSE))*VLOOKUP($A51,'VKT US'!$B$63:$AB$113,2,FALSE)*CONVERT(0.9072,"g","ton")*m2k*VLOOKUP($A51,'VKT US'!$F$5:$S$56,14,FALSE)/1000000*'Scenario analysis'!$E$4</f>
        <v>24.99613982500254</v>
      </c>
      <c r="BH51" s="79">
        <f t="shared" si="16"/>
        <v>4.2105704133005233</v>
      </c>
      <c r="BI51" s="96">
        <f t="shared" si="17"/>
        <v>3528.1290686916382</v>
      </c>
      <c r="BJ51" s="191">
        <f t="shared" si="18"/>
        <v>14855.435870938541</v>
      </c>
      <c r="BK51" s="191">
        <f>(VLOOKUP($A51,'US Grid mix, emissions&amp;prices'!$H$169:$AK$219,30,FALSE)+VLOOKUP($A51,Data!$D$64:$F$114,3,FALSE)*VLOOKUP($A51,'VKT US'!$B$63:$AB$113,27,FALSE)*m2k*CONVERT(0.9072,"g","ton"))*VLOOKUP($A51,'VKT US'!$F$5:$S$56,14,FALSE)/1000000</f>
        <v>267.894469296512</v>
      </c>
      <c r="BL51" s="191">
        <f>P51*VLOOKUP($A51,'VKT US'!$F$5:$S$56,14,FALSE)/1000000-BK51</f>
        <v>0</v>
      </c>
      <c r="BM51" s="191">
        <v>25.652175437966676</v>
      </c>
      <c r="BN51" s="191">
        <v>4.2585918941604071</v>
      </c>
      <c r="BO51" s="191" cm="1">
        <f t="array" ref="BO51">_xlfn.IFS(AND(Q51&gt;0,R51&gt;0),R51/Q51,AND(Q51&gt;0,R51&lt;=0),-R51/Q51,Q51&lt;=0,0)</f>
        <v>226.92119381549543</v>
      </c>
      <c r="BP51" s="212" cm="1">
        <f t="array" ref="BP51">_xlfn.IFS(AND(Z51&gt;0,AA51&gt;0),AA51/Z51,AND(Z51&gt;0,AA51&lt;=0),AA51/Z51,Z51&lt;=0,0)</f>
        <v>-282.16638770301</v>
      </c>
      <c r="BQ51" s="191">
        <f>P51*1000000/(VLOOKUP($A51,'VKT US'!$B$63:$AB$113,27,FALSE)*m2k)</f>
        <v>148.4268319435738</v>
      </c>
      <c r="BR51" s="191">
        <f>Y51*1000000/(VLOOKUP($A51,'VKT US'!$B$63:$AB$113,27,FALSE)*m2k)</f>
        <v>161.3252424461455</v>
      </c>
      <c r="BS51" s="191">
        <f>H51*1000000/(VLOOKUP($A51,'VKT US'!$B$63:$AB$113,27,FALSE)*m2k)</f>
        <v>244.96573156879563</v>
      </c>
      <c r="BT51" s="95"/>
      <c r="BU51" s="10">
        <f t="shared" si="10"/>
        <v>98050.523542576251</v>
      </c>
      <c r="BV51" s="10">
        <f t="shared" si="11"/>
        <v>107341.56748661415</v>
      </c>
      <c r="BW51" s="10">
        <f t="shared" si="12"/>
        <v>91222.648207705992</v>
      </c>
      <c r="BX51" s="10">
        <f t="shared" si="13"/>
        <v>99790.149589169916</v>
      </c>
      <c r="BY51" s="53">
        <f t="shared" si="14"/>
        <v>101100.40929383134</v>
      </c>
      <c r="BZ51" s="79">
        <f t="shared" si="15"/>
        <v>38.44404962980262</v>
      </c>
      <c r="CA51" s="96">
        <f>VLOOKUP($A51,'TCO Inputs'!$Y$114:$AT$164,22,FALSE)</f>
        <v>83326.669628500371</v>
      </c>
      <c r="CB51" s="211">
        <f>CA51*VLOOKUP($A51,'VKT US'!$F$5:$S$56,14,FALSE)/(10^9)</f>
        <v>460.7131563759786</v>
      </c>
    </row>
    <row r="52" spans="1:80" x14ac:dyDescent="0.25">
      <c r="A52" s="83" t="s">
        <v>160</v>
      </c>
      <c r="B52" s="150">
        <f>VLOOKUP($A52,'TCO Inputs'!$A$3:$AG$53,10,FALSE)</f>
        <v>23731.611795719989</v>
      </c>
      <c r="C52" s="71">
        <f>VLOOKUP($A52,'TCO Inputs'!$A$3:$AG$53,14,FALSE)</f>
        <v>34841.893189087554</v>
      </c>
      <c r="D52" s="71">
        <f>VLOOKUP($A52,'TCO Inputs'!$A$3:$AG$53,18,FALSE)</f>
        <v>41038.367669070722</v>
      </c>
      <c r="E52" s="71">
        <f>VLOOKUP($A52,'TCO Inputs'!$A$3:$AG$53,22,FALSE)</f>
        <v>28256.599803816684</v>
      </c>
      <c r="F52" s="71">
        <f>VLOOKUP($A52,'TCO Inputs'!$A$3:$AG$53,26,FALSE)</f>
        <v>0</v>
      </c>
      <c r="G52" s="65">
        <f>VLOOKUP($A52,'TCO Inputs'!$A$3:$AG$53,30,FALSE)</f>
        <v>127868.47245769495</v>
      </c>
      <c r="H52" s="95">
        <f>(VLOOKUP($A52,Data!$D$64:$M$112,5,FALSE)+VLOOKUP($A52,Data!$D$64:$M$112,8,FALSE))*VLOOKUP($A52,'VKT US'!$B$63:$AB$113,27,FALSE)*CONVERT(0.9072,"g","ton")*m2k</f>
        <v>124.95790009227156</v>
      </c>
      <c r="I52" s="92"/>
      <c r="J52" s="144">
        <f>VLOOKUP($A52,'TCO Inputs'!$A$3:$AG$53,11,FALSE)</f>
        <v>40967.546942691188</v>
      </c>
      <c r="K52" s="65">
        <f>VLOOKUP($A52,'TCO Inputs'!$A$3:$AG$53,15,FALSE)</f>
        <v>20555.465256071479</v>
      </c>
      <c r="L52" s="65">
        <f>VLOOKUP($A52,'TCO Inputs'!$A$3:$AG$53,19,FALSE)</f>
        <v>25554.387810953252</v>
      </c>
      <c r="M52" s="65">
        <f>VLOOKUP($A52,'TCO Inputs'!$A$3:$AG$53,23,FALSE)</f>
        <v>33680.010881513357</v>
      </c>
      <c r="N52" s="65">
        <f>VLOOKUP($A52,'TCO Inputs'!$A$3:$AG$53,27,FALSE)</f>
        <v>0</v>
      </c>
      <c r="O52" s="65">
        <f>VLOOKUP($A52,'TCO Inputs'!$A$3:$AG$53,31,FALSE)</f>
        <v>120757.41089122927</v>
      </c>
      <c r="P52" s="7">
        <f>VLOOKUP($A52,_xlfn.IFS('Scenario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analysis'!$Q$121:$R$126),2,FALSE)+VLOOKUP($A52,Data!$D$64:$F$114,3,FALSE)*VLOOKUP($A52,'VKT US'!$B$63:$AB$113,27,FALSE)*m2k*CONVERT(0.9072,"g","ton")</f>
        <v>99.177438824284408</v>
      </c>
      <c r="Q52" s="95">
        <f t="shared" si="3"/>
        <v>25.78046126798715</v>
      </c>
      <c r="R52" s="60">
        <f t="shared" si="4"/>
        <v>-7111.0615664656798</v>
      </c>
      <c r="S52" s="144">
        <f>VLOOKUP($A52,'TCO Inputs'!$A$3:$AG$53,12,FALSE)</f>
        <v>25202.087524607668</v>
      </c>
      <c r="T52" s="65">
        <f>VLOOKUP($A52,'TCO Inputs'!$A$3:$AG$53,16,FALSE)</f>
        <v>21441.165039438496</v>
      </c>
      <c r="U52" s="65">
        <f>VLOOKUP($A52,'TCO Inputs'!$A$3:$AG$53,20,FALSE)</f>
        <v>37720.371985188394</v>
      </c>
      <c r="V52" s="65">
        <f>VLOOKUP($A52,'TCO Inputs'!$A$3:$AG$53,24,FALSE)</f>
        <v>29445.438329329376</v>
      </c>
      <c r="W52" s="65">
        <f>VLOOKUP($A52,'TCO Inputs'!$A$3:$AG$53,28,FALSE)</f>
        <v>0</v>
      </c>
      <c r="X52" s="65">
        <f>VLOOKUP($A52,'TCO Inputs'!$A$3:$AG$53,32,FALSE)</f>
        <v>113809.06287856394</v>
      </c>
      <c r="Y52" s="7">
        <f>(VLOOKUP($A52,Data!$D$64:$M$112,4,FALSE)+VLOOKUP($A52,Data!$D$64:$M$112,7,FALSE))*VLOOKUP($A52,'VKT US'!$B$63:$AB$113,27,FALSE)*CONVERT(0.9072,"g","ton")*m2k</f>
        <v>82.279407348314066</v>
      </c>
      <c r="Z52" s="95">
        <f t="shared" si="5"/>
        <v>42.678492743957491</v>
      </c>
      <c r="AA52" s="118">
        <f t="shared" si="6"/>
        <v>-14059.40957913101</v>
      </c>
      <c r="AB52" s="144">
        <f>VLOOKUP($A52,'TCO Inputs'!$A$3:$AG$53,13,FALSE)</f>
        <v>28460.759801658827</v>
      </c>
      <c r="AC52" s="65">
        <f>VLOOKUP($A52,'TCO Inputs'!$A$3:$AG$53,17,FALSE)</f>
        <v>29804.87013608859</v>
      </c>
      <c r="AD52" s="65">
        <f>VLOOKUP($A52,'TCO Inputs'!$A$3:$AG$53,21,FALSE)</f>
        <v>37720.371985188394</v>
      </c>
      <c r="AE52" s="65">
        <f>VLOOKUP($A52,'TCO Inputs'!$A$3:$AG$53,25,FALSE)</f>
        <v>29594.678329329374</v>
      </c>
      <c r="AF52" s="65">
        <f>VLOOKUP($A52,'TCO Inputs'!$A$3:$AG$53,29,FALSE)</f>
        <v>0</v>
      </c>
      <c r="AG52" s="65">
        <f>VLOOKUP($A52,'TCO Inputs'!$A$3:$AG$53,33,FALSE)</f>
        <v>125580.68025226519</v>
      </c>
      <c r="AH52" s="7">
        <f>(VLOOKUP($A52,Data!$D$64:$M$112,9,FALSE)+VLOOKUP($A52,Data!$D$64:$M$112,10,FALSE))*VLOOKUP($A52,'VKT US'!$B$63:$AB$113,27,FALSE)*CONVERT(0.9072,"g","ton")*m2k</f>
        <v>56.587856293262504</v>
      </c>
      <c r="AI52" s="95">
        <f t="shared" si="7"/>
        <v>68.370043799009053</v>
      </c>
      <c r="AJ52" s="186">
        <f t="shared" si="8"/>
        <v>-2287.7922054297669</v>
      </c>
      <c r="AK52" s="188">
        <f>VLOOKUP($A52,'TCO Inputs'!$A$3:$AT$53,40,FALSE)</f>
        <v>30376.676612640622</v>
      </c>
      <c r="AL52" s="188">
        <f>VLOOKUP($A52,'TCO Inputs'!$A$3:$AT$53,41,FALSE)</f>
        <v>19808.023359571842</v>
      </c>
      <c r="AM52" s="188">
        <f>VLOOKUP($A52,'TCO Inputs'!$A$3:$AT$53,42,FALSE)</f>
        <v>36346.361519625512</v>
      </c>
      <c r="AN52" s="188">
        <f>VLOOKUP($A52,'TCO Inputs'!$A$3:$AT$53,43,FALSE)</f>
        <v>33276.210881513354</v>
      </c>
      <c r="AO52" s="188">
        <f>VLOOKUP($A52,'TCO Inputs'!$A$3:$AT$53,44,FALSE)</f>
        <v>0</v>
      </c>
      <c r="AP52" s="188">
        <f>VLOOKUP($A52,'TCO Inputs'!$A$3:$AT$53,45,FALSE)</f>
        <v>119807.27237335133</v>
      </c>
      <c r="AQ52" s="191">
        <f>(VLOOKUP($A52,Data!$D$64:$O$114,11,FALSE)+VLOOKUP($A52,'Fuel economy adjusted factor'!$A$2:$L$52,12,FALSE)*(1-'TCO Inputs'!$BD$9))*VLOOKUP($A52,'VKT US'!$B$63:$AB$113,27,FALSE)*CONVERT(0.9072,"g","ton")*m2k+VLOOKUP($A52,'US Grid mix, emissions&amp;prices'!$H$224:$AK$274,30,FALSE)</f>
        <v>88.46776253857557</v>
      </c>
      <c r="AR52" s="96">
        <f t="shared" si="9"/>
        <v>36.490137553695988</v>
      </c>
      <c r="AS52" s="60">
        <f>VLOOKUP($A52,'TCO Inputs'!$A$3:$AT$53,46,FALSE)</f>
        <v>-8061.2000843436253</v>
      </c>
      <c r="AT52" s="98">
        <f>(VLOOKUP($A52,Data!$D$64:$M$112,5,FALSE)+VLOOKUP($A52,Data!$D$64:$M$112,8,FALSE))*VLOOKUP($A52,'VKT US'!$B$63:$AB$113,2,FALSE)*CONVERT(0.9072,"g","ton")*m2k*VLOOKUP($A52,'VKT US'!$F$5:$S$56,11,FALSE)/1000000</f>
        <v>5.2466328036826031</v>
      </c>
      <c r="AU52" s="98">
        <f>(VLOOKUP($A52,Data!$D$64:$F$114,3,FALSE)+VLOOKUP($A52,Data!$D$64:$I$114,6,FALSE))*VLOOKUP($A52,'VKT US'!$B$63:$AB$113,2,FALSE)*m2k*CONVERT(0.9072,"g","ton")*VLOOKUP($A52,'VKT US'!$F$5:$S$56,2,FALSE)/1000000</f>
        <v>1.2085208533400831E-2</v>
      </c>
      <c r="AV52" s="98">
        <f>(VLOOKUP($A52,Data!$D$64:$M$112,4,FALSE)+VLOOKUP($A52,Data!$D$64:$M$112,7,FALSE))*VLOOKUP($A52,'VKT US'!$B$63:$AB$113,2,FALSE)*CONVERT(0.9072,"g","ton")*m2k*VLOOKUP($A52,'VKT US'!$F$5:$S$56,4,FALSE)/1000000</f>
        <v>5.9332101369903821E-2</v>
      </c>
      <c r="AW52" s="98">
        <f>(VLOOKUP($A52,Data!$D$64:$M$112,9,FALSE)+VLOOKUP($A52,Data!$D$64:$M$112,10,FALSE))*VLOOKUP($A52,'VKT US'!$B$63:$AB$113,2,FALSE)*CONVERT(0.9072,"g","ton")*m2k*VLOOKUP($A52,'VKT US'!$F$5:$S$56,9,FALSE)/1000000</f>
        <v>0</v>
      </c>
      <c r="AX52" s="98">
        <f>H52*VLOOKUP($A52,'VKT US'!$F$5:$S$56,11,FALSE)/1000000</f>
        <v>61.11690893513002</v>
      </c>
      <c r="AY52" s="98">
        <f>P52*VLOOKUP($A52,'VKT US'!$F$5:$S$56,2,FALSE)/1000000</f>
        <v>0.10909518270671285</v>
      </c>
      <c r="AZ52" s="98">
        <f>Y52*VLOOKUP($A52,'VKT US'!$F$5:$S$56,4,FALSE)/1000000</f>
        <v>0.6911470217258382</v>
      </c>
      <c r="BA52" s="98">
        <f>AH52*VLOOKUP($A52,'VKT US'!$F$5:$S$56,9,FALSE)/1000000</f>
        <v>0</v>
      </c>
      <c r="BB52" s="79">
        <f>VLOOKUP($A52,Data!$D$64:$M$112,4,FALSE)+VLOOKUP($A52,Data!$D$64:$M$112,7,FALSE)-(VLOOKUP($A52,Data!$D$64:$F$114,3,FALSE)+VLOOKUP($A52,Data!$D$64:$I$114,6,FALSE))</f>
        <v>-89.816366138365765</v>
      </c>
      <c r="BC52" s="10">
        <f>(Y52-P52)*VLOOKUP($A52,'VKT US'!$F$5:$S$56,14,FALSE)/1000000*'Scenario analysis'!$E$4</f>
        <v>-11.032724750661036</v>
      </c>
      <c r="BD52" s="10">
        <f>P52*VLOOKUP($A52,'VKT US'!$F$5:$S$56,14,FALSE)/1000000*'Scenario analysis'!$E$4</f>
        <v>64.752949808375291</v>
      </c>
      <c r="BE52" s="79">
        <f>(VLOOKUP($A52,Data!$D$64:$M$114,4,FALSE)+VLOOKUP($A52,Data!$D$64:$M$114,7,FALSE)-(VLOOKUP($A52,Data!$D$64:$F$114,3,FALSE)+VLOOKUP($A52,Data!$D$64:$I$114,6,FALSE)))*VLOOKUP($A52,'VKT US'!$B$63:$AB$113,2,FALSE)*CONVERT(0.9072,"g","ton")*m2k*VLOOKUP($A52,'VKT US'!$F$5:$S$56,14,FALSE)/1000000*'Scenario analysis'!$E$4</f>
        <v>-2.5614623798042153</v>
      </c>
      <c r="BF52" s="79">
        <f>(VLOOKUP($A52,Data!$D$64:$F$114,3,FALSE)+VLOOKUP($A52,Data!$D$64:$I$114,6,FALSE))*VLOOKUP($A52,'VKT US'!$B$63:$AB$113,2,FALSE)*CONVERT(0.9072,"g","ton")*m2k*VLOOKUP($A52,'VKT US'!$F$5:$S$56,14,FALSE)/1000000*'Scenario analysis'!$E$4</f>
        <v>7.1731205922340013</v>
      </c>
      <c r="BG52" s="79">
        <f>(VLOOKUP($A52,Data!$D$64:$M$114,4,FALSE)+VLOOKUP($A52,Data!$D$64:$M$114,7,FALSE))*VLOOKUP($A52,'VKT US'!$B$63:$AB$113,2,FALSE)*CONVERT(0.9072,"g","ton")*m2k*VLOOKUP($A52,'VKT US'!$F$5:$S$56,14,FALSE)/1000000*'Scenario analysis'!$E$4</f>
        <v>4.6116582124297869</v>
      </c>
      <c r="BH52" s="79">
        <f t="shared" si="16"/>
        <v>-16.898031475970342</v>
      </c>
      <c r="BI52" s="96">
        <f t="shared" si="17"/>
        <v>-411.19274884451193</v>
      </c>
      <c r="BJ52" s="191">
        <f t="shared" si="18"/>
        <v>6948.3480126653303</v>
      </c>
      <c r="BK52" s="191">
        <f>(VLOOKUP($A52,'US Grid mix, emissions&amp;prices'!$H$169:$AK$219,30,FALSE)+VLOOKUP($A52,Data!$D$64:$F$114,3,FALSE)*VLOOKUP($A52,'VKT US'!$B$63:$AB$113,27,FALSE)*m2k*CONVERT(0.9072,"g","ton"))*VLOOKUP($A52,'VKT US'!$F$5:$S$56,14,FALSE)/1000000</f>
        <v>64.752949808375291</v>
      </c>
      <c r="BL52" s="191">
        <f>P52*VLOOKUP($A52,'VKT US'!$F$5:$S$56,14,FALSE)/1000000-BK52</f>
        <v>0</v>
      </c>
      <c r="BM52" s="191">
        <v>6.248160777611556</v>
      </c>
      <c r="BN52" s="191">
        <v>1.1059609469567464</v>
      </c>
      <c r="BO52" s="191" cm="1">
        <f t="array" ref="BO52">_xlfn.IFS(AND(Q52&gt;0,R52&gt;0),R52/Q52,AND(Q52&gt;0,R52&lt;=0),-R52/Q52,Q52&lt;=0,0)</f>
        <v>275.83143267090531</v>
      </c>
      <c r="BP52" s="212" cm="1">
        <f t="array" ref="BP52">_xlfn.IFS(AND(Z52&gt;0,AA52&gt;0),AA52/Z52,AND(Z52&gt;0,AA52&lt;=0),AA52/Z52,Z52&lt;=0,0)</f>
        <v>-329.42610376327241</v>
      </c>
      <c r="BQ52" s="191">
        <f>P52*1000000/(VLOOKUP($A52,'VKT US'!$B$63:$AB$113,27,FALSE)*m2k)</f>
        <v>194.91876460070819</v>
      </c>
      <c r="BR52" s="191">
        <f>Y52*1000000/(VLOOKUP($A52,'VKT US'!$B$63:$AB$113,27,FALSE)*m2k)</f>
        <v>161.70815280707595</v>
      </c>
      <c r="BS52" s="191">
        <f>H52*1000000/(VLOOKUP($A52,'VKT US'!$B$63:$AB$113,27,FALSE)*m2k)</f>
        <v>245.58649428563757</v>
      </c>
      <c r="BT52" s="95"/>
      <c r="BU52" s="10">
        <f t="shared" si="10"/>
        <v>98050.523542576251</v>
      </c>
      <c r="BV52" s="10">
        <f t="shared" si="11"/>
        <v>107341.56748661415</v>
      </c>
      <c r="BW52" s="10">
        <f t="shared" si="12"/>
        <v>91222.648207705992</v>
      </c>
      <c r="BX52" s="10">
        <f t="shared" si="13"/>
        <v>99790.149589169916</v>
      </c>
      <c r="BY52" s="53">
        <f t="shared" si="14"/>
        <v>101100.40929383134</v>
      </c>
      <c r="BZ52" s="79">
        <f t="shared" si="15"/>
        <v>38.44404962980262</v>
      </c>
      <c r="CA52" s="96">
        <f>VLOOKUP($A52,'TCO Inputs'!$Y$114:$AT$164,22,FALSE)</f>
        <v>131353.57585224087</v>
      </c>
      <c r="CB52" s="211">
        <f>CA52*VLOOKUP($A52,'VKT US'!$F$5:$S$56,14,FALSE)/(10^9)</f>
        <v>85.760749673928075</v>
      </c>
    </row>
    <row r="53" spans="1:80" x14ac:dyDescent="0.25">
      <c r="A53" s="83" t="s">
        <v>134</v>
      </c>
      <c r="B53" s="151">
        <f>VLOOKUP($A53,'TCO Inputs'!$A$3:$AG$53,10,FALSE)</f>
        <v>23731.611795719989</v>
      </c>
      <c r="C53" s="152">
        <f>VLOOKUP($A53,'TCO Inputs'!$A$3:$AG$53,14,FALSE)</f>
        <v>19771.590550195309</v>
      </c>
      <c r="D53" s="152">
        <f>VLOOKUP($A53,'TCO Inputs'!$A$3:$AG$53,18,FALSE)</f>
        <v>24314.694906951539</v>
      </c>
      <c r="E53" s="152">
        <f>VLOOKUP($A53,'TCO Inputs'!$A$3:$AG$53,22,FALSE)</f>
        <v>30232.626289709417</v>
      </c>
      <c r="F53" s="152">
        <f>VLOOKUP($A53,'TCO Inputs'!$A$3:$AG$53,26,FALSE)</f>
        <v>0</v>
      </c>
      <c r="G53" s="145">
        <f>VLOOKUP($A53,'TCO Inputs'!$A$3:$AG$53,30,FALSE)</f>
        <v>98050.523542576251</v>
      </c>
      <c r="H53" s="160">
        <f>(VLOOKUP($A53,Data!$D$64:$M$112,5,FALSE)+VLOOKUP($A53,Data!$D$64:$M$112,8,FALSE))*VLOOKUP($A53,'VKT US'!$B$63:$AB$113,27,FALSE)*CONVERT(0.9072,"g","ton")*m2k</f>
        <v>72.646101086022668</v>
      </c>
      <c r="I53" s="93"/>
      <c r="J53" s="161">
        <f>VLOOKUP($A53,'TCO Inputs'!$A$3:$AG$53,11,FALSE)</f>
        <v>40967.546942691188</v>
      </c>
      <c r="K53" s="145">
        <f>VLOOKUP($A53,'TCO Inputs'!$A$3:$AG$53,15,FALSE)</f>
        <v>13805.184698017487</v>
      </c>
      <c r="L53" s="145">
        <f>VLOOKUP($A53,'TCO Inputs'!$A$3:$AG$53,19,FALSE)</f>
        <v>15140.639807307416</v>
      </c>
      <c r="M53" s="145">
        <f>VLOOKUP($A53,'TCO Inputs'!$A$3:$AG$53,23,FALSE)</f>
        <v>37428.196038598064</v>
      </c>
      <c r="N53" s="145">
        <f>VLOOKUP($A53,'TCO Inputs'!$A$3:$AG$53,27,FALSE)</f>
        <v>0</v>
      </c>
      <c r="O53" s="145">
        <f>VLOOKUP($A53,'TCO Inputs'!$A$3:$AG$53,31,FALSE)</f>
        <v>107341.56748661415</v>
      </c>
      <c r="P53" s="7">
        <f>VLOOKUP($A53,_xlfn.IFS('Scenario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analysis'!$GH$173:$HK$223),30,FALSE)*VLOOKUP('Scenario analysis'!$I$4,IF('Scenario analysis'!$A$4="100%NG",'Scenario analysis'!$Q$129:$R$134,'Scenario analysis'!$Q$121:$R$126),2,FALSE)+VLOOKUP($A53,Data!$D$64:$F$114,3,FALSE)*VLOOKUP($A53,'VKT US'!$B$63:$AB$113,27,FALSE)*m2k*CONVERT(0.9072,"g","ton")</f>
        <v>34.202051456220047</v>
      </c>
      <c r="Q53" s="160">
        <f t="shared" si="3"/>
        <v>38.44404962980262</v>
      </c>
      <c r="R53" s="146">
        <f t="shared" si="4"/>
        <v>9291.0439440378977</v>
      </c>
      <c r="S53" s="161">
        <f>VLOOKUP($A53,'TCO Inputs'!$A$3:$AG$53,12,FALSE)</f>
        <v>25202.087524607668</v>
      </c>
      <c r="T53" s="145">
        <f>VLOOKUP($A53,'TCO Inputs'!$A$3:$AG$53,16,FALSE)</f>
        <v>12167.132646274036</v>
      </c>
      <c r="U53" s="145">
        <f>VLOOKUP($A53,'TCO Inputs'!$A$3:$AG$53,20,FALSE)</f>
        <v>22348.825957027795</v>
      </c>
      <c r="V53" s="145">
        <f>VLOOKUP($A53,'TCO Inputs'!$A$3:$AG$53,24,FALSE)</f>
        <v>31504.602079796503</v>
      </c>
      <c r="W53" s="145">
        <f>VLOOKUP($A53,'TCO Inputs'!$A$3:$AG$53,28,FALSE)</f>
        <v>0</v>
      </c>
      <c r="X53" s="145">
        <f>VLOOKUP($A53,'TCO Inputs'!$A$3:$AG$53,32,FALSE)</f>
        <v>91222.648207705992</v>
      </c>
      <c r="Y53" s="162">
        <f>(VLOOKUP($A53,Data!$D$64:$M$112,4,FALSE)+VLOOKUP($A53,Data!$D$64:$M$112,7,FALSE))*VLOOKUP($A53,'VKT US'!$B$63:$AB$113,27,FALSE)*CONVERT(0.9072,"g","ton")*m2k</f>
        <v>47.892177802759861</v>
      </c>
      <c r="Z53" s="160">
        <f t="shared" si="5"/>
        <v>24.753923283262807</v>
      </c>
      <c r="AA53" s="163">
        <f t="shared" si="6"/>
        <v>-6827.8753348702594</v>
      </c>
      <c r="AB53" s="161">
        <f>VLOOKUP($A53,'TCO Inputs'!$A$3:$AG$53,13,FALSE)</f>
        <v>28460.759801658827</v>
      </c>
      <c r="AC53" s="145">
        <f>VLOOKUP($A53,'TCO Inputs'!$A$3:$AG$53,17,FALSE)</f>
        <v>17289.565380098546</v>
      </c>
      <c r="AD53" s="145">
        <f>VLOOKUP($A53,'TCO Inputs'!$A$3:$AG$53,21,FALSE)</f>
        <v>22348.825957027795</v>
      </c>
      <c r="AE53" s="145">
        <f>VLOOKUP($A53,'TCO Inputs'!$A$3:$AG$53,25,FALSE)</f>
        <v>31690.998450384737</v>
      </c>
      <c r="AF53" s="145">
        <f>VLOOKUP($A53,'TCO Inputs'!$A$3:$AG$53,29,FALSE)</f>
        <v>0</v>
      </c>
      <c r="AG53" s="145">
        <f>VLOOKUP($A53,'TCO Inputs'!$A$3:$AG$53,33,FALSE)</f>
        <v>99790.149589169916</v>
      </c>
      <c r="AH53" s="162">
        <f>(VLOOKUP($A53,Data!$D$64:$M$112,9,FALSE)+VLOOKUP($A53,Data!$D$64:$M$112,10,FALSE))*VLOOKUP($A53,'VKT US'!$B$63:$AB$113,27,FALSE)*CONVERT(0.9072,"g","ton")*m2k</f>
        <v>33.527563091796139</v>
      </c>
      <c r="AI53" s="160">
        <f t="shared" si="7"/>
        <v>39.118537994226529</v>
      </c>
      <c r="AJ53" s="187">
        <f t="shared" si="8"/>
        <v>1739.6260465936648</v>
      </c>
      <c r="AK53" s="189">
        <f>VLOOKUP($A53,'TCO Inputs'!$A$3:$AT$53,40,FALSE)</f>
        <v>30376.676612640622</v>
      </c>
      <c r="AL53" s="190">
        <f>VLOOKUP($A53,'TCO Inputs'!$A$3:$AT$53,41,FALSE)</f>
        <v>12265.128199208546</v>
      </c>
      <c r="AM53" s="190">
        <f>VLOOKUP($A53,'TCO Inputs'!$A$3:$AT$53,42,FALSE)</f>
        <v>21534.742766913518</v>
      </c>
      <c r="AN53" s="190">
        <f>VLOOKUP($A53,'TCO Inputs'!$A$3:$AT$53,43,FALSE)</f>
        <v>36923.861715068648</v>
      </c>
      <c r="AO53" s="190">
        <f>VLOOKUP($A53,'TCO Inputs'!$A$3:$AT$53,44,FALSE)</f>
        <v>0</v>
      </c>
      <c r="AP53" s="190">
        <f>VLOOKUP($A53,'TCO Inputs'!$A$3:$AT$53,45,FALSE)</f>
        <v>101100.40929383134</v>
      </c>
      <c r="AQ53" s="192">
        <f>(VLOOKUP($A53,Data!$D$64:$O$114,11,FALSE)+VLOOKUP($A53,'Fuel economy adjusted factor'!$A$2:$L$52,12,FALSE)*(1-'TCO Inputs'!$BD$9))*VLOOKUP($A53,'VKT US'!$B$63:$AB$113,27,FALSE)*CONVERT(0.9072,"g","ton")*m2k+VLOOKUP($A53,'US Grid mix, emissions&amp;prices'!$H$224:$AK$274,30,FALSE)</f>
        <v>39.234633041233302</v>
      </c>
      <c r="AR53" s="126">
        <f t="shared" si="9"/>
        <v>33.411468044789366</v>
      </c>
      <c r="AS53" s="146">
        <f>VLOOKUP($A53,'TCO Inputs'!$A$3:$AT$53,46,FALSE)</f>
        <v>3049.8857512550894</v>
      </c>
      <c r="AT53" s="98"/>
      <c r="AU53" s="35"/>
      <c r="AV53" s="35"/>
      <c r="AW53" s="35"/>
      <c r="AX53" s="35"/>
      <c r="AY53" s="35"/>
      <c r="AZ53" s="35"/>
      <c r="BA53" s="35"/>
      <c r="BB53" s="164">
        <f>VLOOKUP($A53,Data!$D$64:$M$112,4,FALSE)+VLOOKUP($A53,Data!$D$64:$M$112,7,FALSE)-(VLOOKUP($A53,Data!$D$64:$F$114,3,FALSE)+VLOOKUP($A53,Data!$D$64:$I$114,6,FALSE))</f>
        <v>17.695677761881427</v>
      </c>
      <c r="BC53" s="162">
        <f>SUM(BC3,BC5:BC12,BC14:BC52)</f>
        <v>4599.1497935483994</v>
      </c>
      <c r="BD53" s="162">
        <f>SUM(BD3,BD5:BD12,BD14:BD52)</f>
        <v>9126.7290894834041</v>
      </c>
      <c r="BE53" s="162">
        <f>SUM(BE3,BE5:BE12,BE14:BE52)</f>
        <v>210.53906136702827</v>
      </c>
      <c r="BF53" s="162">
        <f>SUM(BF3,BF5:BF12,BF14:BF52)</f>
        <v>967.77063494837137</v>
      </c>
      <c r="BG53" s="162">
        <f>SUM(BG3,BG5:BG12,BG14:BG52)</f>
        <v>1178.3096963153994</v>
      </c>
      <c r="BH53" s="160">
        <f t="shared" si="16"/>
        <v>13.690126346539813</v>
      </c>
      <c r="BI53" s="126">
        <f t="shared" si="17"/>
        <v>1177.4120173099952</v>
      </c>
      <c r="BJ53" s="192">
        <f t="shared" si="18"/>
        <v>16118.919278908157</v>
      </c>
      <c r="BK53" s="162">
        <f>SUM(BK3,BK5:BK12,BK14:BK52)</f>
        <v>9126.7290894834041</v>
      </c>
      <c r="BL53" s="162">
        <f>SUM(BL3,BL5:BL12,BL14:BL52)</f>
        <v>0</v>
      </c>
      <c r="BM53" s="162">
        <f>SUM(BM3,BM5:BM12,BM14:BM52)</f>
        <v>862.18593691393517</v>
      </c>
      <c r="BN53" s="162">
        <f>SUM(BN3,BN5:BN12,BN14:BN52)</f>
        <v>126.24608202030039</v>
      </c>
      <c r="BO53" s="191" cm="1">
        <f t="array" ref="BO53">_xlfn.IFS(AND(Q53&gt;0,R53&gt;0),R53/Q53,AND(Q53&gt;0,R53&lt;=0),-R53/Q53,Q53&lt;=0,0)</f>
        <v>241.67703541916376</v>
      </c>
      <c r="BP53" s="212" cm="1">
        <f t="array" ref="BP53">_xlfn.IFS(AND(Z53&gt;0,AA53&gt;0),AA53/Z53,AND(Z53&gt;0,AA53&lt;=0),AA53/Z53,Z53&lt;=0,0)</f>
        <v>-275.83002729457758</v>
      </c>
      <c r="BQ53" s="192">
        <f>P53*1000000/(VLOOKUP($A53,'VKT US'!$B$63:$AB$113,27,FALSE)*m2k)</f>
        <v>113.45252628431555</v>
      </c>
      <c r="BR53" s="192">
        <f>Y53*1000000/(VLOOKUP($A53,'VKT US'!$B$63:$AB$113,27,FALSE)*m2k)</f>
        <v>158.86440519323244</v>
      </c>
      <c r="BS53" s="192">
        <f>H53*1000000/(VLOOKUP($A53,'VKT US'!$B$63:$AB$113,27,FALSE)*m2k)</f>
        <v>240.97629650855777</v>
      </c>
      <c r="BT53" s="95"/>
      <c r="BU53" s="10">
        <f t="shared" si="10"/>
        <v>98050.523542576251</v>
      </c>
      <c r="BV53" s="10">
        <f t="shared" si="11"/>
        <v>107341.56748661415</v>
      </c>
      <c r="BW53" s="10">
        <f t="shared" si="12"/>
        <v>91222.648207705992</v>
      </c>
      <c r="BX53" s="10">
        <f t="shared" si="13"/>
        <v>99790.149589169916</v>
      </c>
      <c r="BY53" s="53">
        <f t="shared" si="14"/>
        <v>101100.40929383134</v>
      </c>
      <c r="BZ53" s="79">
        <f t="shared" si="15"/>
        <v>38.44404962980262</v>
      </c>
      <c r="CA53" s="126">
        <f>VLOOKUP($A53,'TCO Inputs'!$Y$114:$AT$164,22,FALSE)</f>
        <v>72081.055350887546</v>
      </c>
      <c r="CB53" s="162">
        <f>SUM(CB3,CB5:CB12,CB14:CB52)</f>
        <v>20075.947104952262</v>
      </c>
    </row>
    <row r="54" spans="1:80" x14ac:dyDescent="0.25">
      <c r="P54" s="99"/>
      <c r="Q54" s="79">
        <f>Y53-P53</f>
        <v>13.690126346539813</v>
      </c>
      <c r="BO54" s="79">
        <f>MAX(BO3:BO52)</f>
        <v>932.29439522486564</v>
      </c>
      <c r="BY54" s="94" t="s">
        <v>573</v>
      </c>
      <c r="BZ54" s="205">
        <f>H53-(VLOOKUP($A53,'US Grid mix, emissions&amp;prices'!$H$169:$AK$219,30,FALSE)+VLOOKUP($A53,Data!$D$64:$F$114,3,FALSE)*VLOOKUP($A53,'VKT US'!$B$63:$AB$113,27,FALSE)*m2k*CONVERT(0.9072,"g","ton"))</f>
        <v>38.44404962980262</v>
      </c>
      <c r="CA54" s="79"/>
    </row>
    <row r="55" spans="1:80" x14ac:dyDescent="0.25">
      <c r="BC55" s="10"/>
      <c r="BD55" s="94" t="s">
        <v>486</v>
      </c>
      <c r="BE55" s="89">
        <f>BE53</f>
        <v>210.53906136702827</v>
      </c>
      <c r="BF55" s="79">
        <f>BF53</f>
        <v>967.77063494837137</v>
      </c>
      <c r="BG55" s="79">
        <f>BG53</f>
        <v>1178.3096963153994</v>
      </c>
      <c r="BH55" s="79"/>
      <c r="BK55" s="79"/>
      <c r="BL55" s="79"/>
      <c r="BO55" s="79">
        <f>MIN(BO3:BO52)</f>
        <v>26.413673158295413</v>
      </c>
    </row>
    <row r="56" spans="1:80" x14ac:dyDescent="0.25">
      <c r="BD56" s="94" t="s">
        <v>572</v>
      </c>
      <c r="BE56" s="36">
        <f>BN53/BE55</f>
        <v>0.59963258694413135</v>
      </c>
      <c r="BI56" s="79">
        <f>MAX(BI3,BI5:BI12,BI14:BI52)</f>
        <v>13813.387407203305</v>
      </c>
      <c r="BL56" s="94" t="s">
        <v>576</v>
      </c>
      <c r="BM56" s="35">
        <v>1477</v>
      </c>
      <c r="BN56" s="36">
        <f>$BN$53/BM56</f>
        <v>8.5474666229045634E-2</v>
      </c>
    </row>
    <row r="57" spans="1:80" x14ac:dyDescent="0.25">
      <c r="BI57" s="79">
        <f>MIN(BI3,BI5:BI12,BI14:BI52)</f>
        <v>-7360.3992132788426</v>
      </c>
      <c r="BL57" s="94" t="s">
        <v>598</v>
      </c>
      <c r="BM57" s="35">
        <v>1030</v>
      </c>
      <c r="BN57" s="36">
        <f>$BN$53/BM57</f>
        <v>0.12256901167019456</v>
      </c>
    </row>
    <row r="58" spans="1:80" x14ac:dyDescent="0.25">
      <c r="BL58" s="94" t="s">
        <v>577</v>
      </c>
      <c r="BM58" s="35">
        <v>6343</v>
      </c>
    </row>
    <row r="59" spans="1:80" x14ac:dyDescent="0.25">
      <c r="BL59" s="94" t="s">
        <v>616</v>
      </c>
      <c r="BM59" s="35">
        <v>37790</v>
      </c>
    </row>
    <row r="60" spans="1:80" x14ac:dyDescent="0.25">
      <c r="BL60" s="94" t="s">
        <v>617</v>
      </c>
      <c r="BM60" s="35">
        <v>41420</v>
      </c>
    </row>
  </sheetData>
  <mergeCells count="9">
    <mergeCell ref="BB1:BS1"/>
    <mergeCell ref="AX1:BA1"/>
    <mergeCell ref="A1:A2"/>
    <mergeCell ref="AT1:AW1"/>
    <mergeCell ref="B1:I1"/>
    <mergeCell ref="J1:R1"/>
    <mergeCell ref="S1:AA1"/>
    <mergeCell ref="AB1:AJ1"/>
    <mergeCell ref="AK1:AS1"/>
  </mergeCells>
  <pageMargins left="0.7" right="0.7" top="0.75" bottom="0.75" header="0.3" footer="0.3"/>
  <pageSetup scale="20" fitToWidth="0" fitToHeight="0"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76DD1-7DB0-4040-B6C8-4919B326CA38}">
  <sheetPr codeName="Sheet1">
    <tabColor theme="5"/>
  </sheetPr>
  <dimension ref="A1:HK223"/>
  <sheetViews>
    <sheetView showGridLines="0" tabSelected="1" topLeftCell="A10" workbookViewId="0">
      <selection activeCell="A4" sqref="A4:B4"/>
    </sheetView>
  </sheetViews>
  <sheetFormatPr defaultRowHeight="15" x14ac:dyDescent="0.25"/>
  <cols>
    <col min="1" max="1" width="44.85546875" customWidth="1"/>
    <col min="4" max="4" width="11.140625" customWidth="1"/>
    <col min="9" max="9" width="29.5703125" customWidth="1"/>
    <col min="10" max="10" width="9.140625" customWidth="1"/>
    <col min="16" max="16" width="29.28515625" customWidth="1"/>
    <col min="17" max="17" width="15.28515625" customWidth="1"/>
    <col min="18" max="18" width="16.42578125" customWidth="1"/>
    <col min="19" max="19" width="13.42578125" customWidth="1"/>
    <col min="20" max="25" width="9.140625" customWidth="1"/>
    <col min="26" max="26" width="13.140625" customWidth="1"/>
    <col min="27" max="53" width="9.140625" customWidth="1"/>
    <col min="54" max="54" width="8.5703125" customWidth="1"/>
    <col min="55" max="55" width="20.140625" customWidth="1"/>
    <col min="56" max="64" width="9.140625" customWidth="1"/>
    <col min="65" max="65" width="12.5703125" customWidth="1"/>
    <col min="66" max="93" width="9.140625" customWidth="1"/>
    <col min="94" max="94" width="16.7109375" customWidth="1"/>
    <col min="95" max="95" width="12.28515625" customWidth="1"/>
    <col min="96" max="126" width="9.140625" customWidth="1"/>
    <col min="127" max="127" width="10.42578125" customWidth="1"/>
    <col min="128" max="157" width="9.140625" customWidth="1"/>
    <col min="158" max="158" width="13.85546875" customWidth="1"/>
    <col min="159" max="219" width="9.140625" customWidth="1"/>
  </cols>
  <sheetData>
    <row r="1" spans="1:218" x14ac:dyDescent="0.25">
      <c r="A1" s="237" t="s">
        <v>473</v>
      </c>
      <c r="B1" s="238"/>
      <c r="C1" s="238"/>
      <c r="D1" s="238"/>
      <c r="E1" s="238"/>
      <c r="F1" s="238"/>
      <c r="G1" s="238"/>
      <c r="H1" s="238"/>
      <c r="I1" s="238"/>
      <c r="J1" s="238"/>
      <c r="K1" s="238"/>
      <c r="L1" s="238"/>
      <c r="M1" s="238"/>
      <c r="N1" s="238"/>
      <c r="O1" s="239"/>
    </row>
    <row r="3" spans="1:218" x14ac:dyDescent="0.25">
      <c r="A3" s="213" t="s">
        <v>502</v>
      </c>
      <c r="B3" s="213"/>
      <c r="D3" s="256" t="s">
        <v>505</v>
      </c>
      <c r="E3" s="244"/>
      <c r="F3" s="244"/>
      <c r="G3" s="244"/>
      <c r="I3" s="213" t="s">
        <v>538</v>
      </c>
      <c r="J3" s="213"/>
      <c r="Q3" s="237" t="s">
        <v>503</v>
      </c>
      <c r="R3" s="238"/>
      <c r="S3" s="238"/>
      <c r="T3" s="238"/>
      <c r="U3" s="238"/>
      <c r="V3" s="238"/>
      <c r="W3" s="238"/>
      <c r="X3" s="239"/>
    </row>
    <row r="4" spans="1:218" x14ac:dyDescent="0.25">
      <c r="A4" s="252" t="s">
        <v>615</v>
      </c>
      <c r="B4" s="252"/>
      <c r="D4" s="51" t="s">
        <v>506</v>
      </c>
      <c r="E4" s="178">
        <f>F5/100</f>
        <v>1</v>
      </c>
      <c r="I4" s="257" t="s">
        <v>546</v>
      </c>
      <c r="J4" s="257"/>
      <c r="Q4" s="253" t="s">
        <v>504</v>
      </c>
      <c r="R4" s="254"/>
      <c r="S4" s="254"/>
      <c r="T4" s="254"/>
      <c r="U4" s="254"/>
      <c r="V4" s="254"/>
      <c r="W4" s="254"/>
      <c r="X4" s="255"/>
      <c r="Z4" s="248" t="s">
        <v>462</v>
      </c>
      <c r="AA4" s="249"/>
      <c r="AB4" s="249"/>
      <c r="AC4" s="250"/>
      <c r="AD4" s="248" t="s">
        <v>476</v>
      </c>
      <c r="AE4" s="249"/>
      <c r="AF4" s="249"/>
      <c r="AG4" s="249"/>
      <c r="AH4" s="249"/>
      <c r="AI4" s="249"/>
      <c r="AJ4" s="249"/>
      <c r="AK4" s="250"/>
      <c r="BM4" s="104" t="s">
        <v>462</v>
      </c>
      <c r="BN4" s="104"/>
      <c r="BO4" s="104"/>
      <c r="BP4" s="104"/>
      <c r="BQ4" s="248" t="s">
        <v>480</v>
      </c>
      <c r="BR4" s="249"/>
      <c r="BS4" s="249"/>
      <c r="BT4" s="249"/>
      <c r="BU4" s="249"/>
      <c r="BV4" s="249"/>
      <c r="BW4" s="249"/>
      <c r="BX4" s="250"/>
      <c r="CR4" s="104" t="s">
        <v>462</v>
      </c>
      <c r="CS4" s="104"/>
      <c r="CT4" s="104"/>
      <c r="CU4" s="104"/>
      <c r="CV4" s="248" t="s">
        <v>535</v>
      </c>
      <c r="CW4" s="249"/>
      <c r="CX4" s="249"/>
      <c r="CY4" s="249"/>
      <c r="CZ4" s="249"/>
      <c r="DA4" s="249"/>
      <c r="DB4" s="249"/>
      <c r="DC4" s="250"/>
      <c r="DW4" s="104" t="s">
        <v>462</v>
      </c>
      <c r="DX4" s="104"/>
      <c r="DY4" s="104"/>
      <c r="DZ4" s="104"/>
      <c r="EA4" s="248" t="s">
        <v>539</v>
      </c>
      <c r="EB4" s="249"/>
      <c r="EC4" s="249"/>
      <c r="ED4" s="249"/>
      <c r="EE4" s="249"/>
      <c r="EF4" s="249"/>
      <c r="EG4" s="249"/>
      <c r="EH4" s="250"/>
      <c r="FB4" s="104" t="s">
        <v>462</v>
      </c>
      <c r="FC4" s="104"/>
      <c r="FD4" s="104"/>
      <c r="FE4" s="104"/>
      <c r="FF4" s="248" t="s">
        <v>541</v>
      </c>
      <c r="FG4" s="249"/>
      <c r="FH4" s="249"/>
      <c r="FI4" s="249"/>
      <c r="FJ4" s="249"/>
      <c r="FK4" s="249"/>
      <c r="FL4" s="249"/>
      <c r="FM4" s="250"/>
      <c r="GH4" s="104" t="s">
        <v>462</v>
      </c>
      <c r="GI4" s="104"/>
      <c r="GJ4" s="104"/>
      <c r="GK4" s="104"/>
      <c r="GL4" s="248" t="s">
        <v>543</v>
      </c>
      <c r="GM4" s="249"/>
      <c r="GN4" s="249"/>
      <c r="GO4" s="249"/>
      <c r="GP4" s="249"/>
      <c r="GQ4" s="249"/>
      <c r="GR4" s="249"/>
      <c r="GS4" s="250"/>
    </row>
    <row r="5" spans="1:218" x14ac:dyDescent="0.25">
      <c r="A5" s="154" t="s">
        <v>518</v>
      </c>
      <c r="B5" s="204">
        <f>US_Results!BZ54</f>
        <v>38.44404962980262</v>
      </c>
      <c r="D5" s="51" t="s">
        <v>507</v>
      </c>
      <c r="E5" s="170">
        <f>1-E4</f>
        <v>0</v>
      </c>
      <c r="F5" s="149">
        <v>100</v>
      </c>
      <c r="I5" s="154" t="s">
        <v>518</v>
      </c>
      <c r="J5" s="204">
        <f>B5</f>
        <v>38.44404962980262</v>
      </c>
      <c r="Q5" s="213" t="s">
        <v>472</v>
      </c>
      <c r="R5" s="243"/>
      <c r="S5" s="243"/>
      <c r="T5" s="243"/>
      <c r="U5" s="243"/>
      <c r="V5" s="243"/>
      <c r="W5" s="243"/>
      <c r="X5" s="243"/>
      <c r="Z5" s="37" t="s">
        <v>3</v>
      </c>
      <c r="AA5" s="37">
        <v>2023</v>
      </c>
      <c r="AB5" s="37">
        <v>2024</v>
      </c>
      <c r="AC5" s="37">
        <v>2025</v>
      </c>
      <c r="AD5" s="37">
        <v>2026</v>
      </c>
      <c r="AE5" s="37">
        <v>2027</v>
      </c>
      <c r="AF5" s="37">
        <v>2028</v>
      </c>
      <c r="AG5" s="37">
        <v>2029</v>
      </c>
      <c r="AH5" s="37">
        <v>2030</v>
      </c>
      <c r="AI5" s="37">
        <v>2031</v>
      </c>
      <c r="AJ5" s="37">
        <v>2032</v>
      </c>
      <c r="AK5" s="37">
        <v>2033</v>
      </c>
      <c r="AL5" s="37">
        <v>2034</v>
      </c>
      <c r="AM5" s="37">
        <v>2035</v>
      </c>
      <c r="AN5" s="37">
        <v>2036</v>
      </c>
      <c r="AO5" s="37">
        <v>2037</v>
      </c>
      <c r="AP5" s="37">
        <v>2038</v>
      </c>
      <c r="AQ5" s="37">
        <v>2039</v>
      </c>
      <c r="AR5" s="37">
        <v>2040</v>
      </c>
      <c r="AS5" s="37">
        <v>2041</v>
      </c>
      <c r="AT5" s="37">
        <v>2042</v>
      </c>
      <c r="AU5" s="37">
        <v>2043</v>
      </c>
      <c r="AV5" s="37">
        <v>2044</v>
      </c>
      <c r="AW5" s="37">
        <v>2045</v>
      </c>
      <c r="AX5" s="37">
        <v>2046</v>
      </c>
      <c r="AY5" s="37">
        <v>2047</v>
      </c>
      <c r="AZ5" s="37">
        <v>2048</v>
      </c>
      <c r="BA5" s="37">
        <v>2049</v>
      </c>
      <c r="BB5" s="37">
        <v>2050</v>
      </c>
      <c r="BM5" s="122" t="s">
        <v>3</v>
      </c>
      <c r="BN5" s="148">
        <v>2023</v>
      </c>
      <c r="BO5" s="148">
        <v>2024</v>
      </c>
      <c r="BP5" s="148">
        <v>2025</v>
      </c>
      <c r="BQ5" s="148">
        <v>2026</v>
      </c>
      <c r="BR5" s="148">
        <v>2027</v>
      </c>
      <c r="BS5" s="148">
        <v>2028</v>
      </c>
      <c r="BT5" s="148">
        <v>2029</v>
      </c>
      <c r="BU5" s="148">
        <v>2030</v>
      </c>
      <c r="BV5" s="148">
        <v>2031</v>
      </c>
      <c r="BW5" s="148">
        <v>2032</v>
      </c>
      <c r="BX5" s="148">
        <v>2033</v>
      </c>
      <c r="BY5" s="148">
        <v>2034</v>
      </c>
      <c r="BZ5" s="148">
        <v>2035</v>
      </c>
      <c r="CA5" s="148">
        <v>2036</v>
      </c>
      <c r="CB5" s="148">
        <v>2037</v>
      </c>
      <c r="CC5" s="148">
        <v>2038</v>
      </c>
      <c r="CD5" s="148">
        <v>2039</v>
      </c>
      <c r="CE5" s="148">
        <v>2040</v>
      </c>
      <c r="CF5" s="148">
        <v>2041</v>
      </c>
      <c r="CG5" s="148">
        <v>2042</v>
      </c>
      <c r="CH5" s="148">
        <v>2043</v>
      </c>
      <c r="CI5" s="148">
        <v>2044</v>
      </c>
      <c r="CJ5" s="148">
        <v>2045</v>
      </c>
      <c r="CK5" s="148">
        <v>2046</v>
      </c>
      <c r="CL5" s="148">
        <v>2047</v>
      </c>
      <c r="CM5" s="148">
        <v>2048</v>
      </c>
      <c r="CN5" s="148">
        <v>2049</v>
      </c>
      <c r="CO5" s="153">
        <v>2050</v>
      </c>
      <c r="CR5" s="122" t="s">
        <v>3</v>
      </c>
      <c r="CS5" s="148">
        <v>2023</v>
      </c>
      <c r="CT5" s="148">
        <v>2024</v>
      </c>
      <c r="CU5" s="148">
        <v>2025</v>
      </c>
      <c r="CV5" s="148">
        <v>2026</v>
      </c>
      <c r="CW5" s="148">
        <v>2027</v>
      </c>
      <c r="CX5" s="148">
        <v>2028</v>
      </c>
      <c r="CY5" s="148">
        <v>2029</v>
      </c>
      <c r="CZ5" s="148">
        <v>2030</v>
      </c>
      <c r="DA5" s="148">
        <v>2031</v>
      </c>
      <c r="DB5" s="148">
        <v>2032</v>
      </c>
      <c r="DC5" s="148">
        <v>2033</v>
      </c>
      <c r="DD5" s="148">
        <v>2034</v>
      </c>
      <c r="DE5" s="148">
        <v>2035</v>
      </c>
      <c r="DF5" s="148">
        <v>2036</v>
      </c>
      <c r="DG5" s="148">
        <v>2037</v>
      </c>
      <c r="DH5" s="148">
        <v>2038</v>
      </c>
      <c r="DI5" s="148">
        <v>2039</v>
      </c>
      <c r="DJ5" s="148">
        <v>2040</v>
      </c>
      <c r="DK5" s="148">
        <v>2041</v>
      </c>
      <c r="DL5" s="148">
        <v>2042</v>
      </c>
      <c r="DM5" s="148">
        <v>2043</v>
      </c>
      <c r="DN5" s="148">
        <v>2044</v>
      </c>
      <c r="DO5" s="148">
        <v>2045</v>
      </c>
      <c r="DP5" s="148">
        <v>2046</v>
      </c>
      <c r="DQ5" s="148">
        <v>2047</v>
      </c>
      <c r="DR5" s="148">
        <v>2048</v>
      </c>
      <c r="DS5" s="148">
        <v>2049</v>
      </c>
      <c r="DT5" s="153">
        <v>2050</v>
      </c>
      <c r="DW5" s="122" t="s">
        <v>3</v>
      </c>
      <c r="DX5" s="148">
        <v>2023</v>
      </c>
      <c r="DY5" s="148">
        <v>2024</v>
      </c>
      <c r="DZ5" s="148">
        <v>2025</v>
      </c>
      <c r="EA5" s="148">
        <v>2026</v>
      </c>
      <c r="EB5" s="148">
        <v>2027</v>
      </c>
      <c r="EC5" s="148">
        <v>2028</v>
      </c>
      <c r="ED5" s="148">
        <v>2029</v>
      </c>
      <c r="EE5" s="148">
        <v>2030</v>
      </c>
      <c r="EF5" s="148">
        <v>2031</v>
      </c>
      <c r="EG5" s="148">
        <v>2032</v>
      </c>
      <c r="EH5" s="148">
        <v>2033</v>
      </c>
      <c r="EI5" s="148">
        <v>2034</v>
      </c>
      <c r="EJ5" s="148">
        <v>2035</v>
      </c>
      <c r="EK5" s="148">
        <v>2036</v>
      </c>
      <c r="EL5" s="148">
        <v>2037</v>
      </c>
      <c r="EM5" s="148">
        <v>2038</v>
      </c>
      <c r="EN5" s="148">
        <v>2039</v>
      </c>
      <c r="EO5" s="148">
        <v>2040</v>
      </c>
      <c r="EP5" s="148">
        <v>2041</v>
      </c>
      <c r="EQ5" s="148">
        <v>2042</v>
      </c>
      <c r="ER5" s="148">
        <v>2043</v>
      </c>
      <c r="ES5" s="148">
        <v>2044</v>
      </c>
      <c r="ET5" s="148">
        <v>2045</v>
      </c>
      <c r="EU5" s="148">
        <v>2046</v>
      </c>
      <c r="EV5" s="148">
        <v>2047</v>
      </c>
      <c r="EW5" s="148">
        <v>2048</v>
      </c>
      <c r="EX5" s="148">
        <v>2049</v>
      </c>
      <c r="EY5" s="153">
        <v>2050</v>
      </c>
      <c r="FB5" s="122" t="s">
        <v>3</v>
      </c>
      <c r="FC5" s="148">
        <v>2023</v>
      </c>
      <c r="FD5" s="148">
        <v>2024</v>
      </c>
      <c r="FE5" s="148">
        <v>2025</v>
      </c>
      <c r="FF5" s="148">
        <v>2026</v>
      </c>
      <c r="FG5" s="148">
        <v>2027</v>
      </c>
      <c r="FH5" s="148">
        <v>2028</v>
      </c>
      <c r="FI5" s="148">
        <v>2029</v>
      </c>
      <c r="FJ5" s="148">
        <v>2030</v>
      </c>
      <c r="FK5" s="148">
        <v>2031</v>
      </c>
      <c r="FL5" s="148">
        <v>2032</v>
      </c>
      <c r="FM5" s="148">
        <v>2033</v>
      </c>
      <c r="FN5" s="148">
        <v>2034</v>
      </c>
      <c r="FO5" s="148">
        <v>2035</v>
      </c>
      <c r="FP5" s="148">
        <v>2036</v>
      </c>
      <c r="FQ5" s="148">
        <v>2037</v>
      </c>
      <c r="FR5" s="148">
        <v>2038</v>
      </c>
      <c r="FS5" s="148">
        <v>2039</v>
      </c>
      <c r="FT5" s="148">
        <v>2040</v>
      </c>
      <c r="FU5" s="148">
        <v>2041</v>
      </c>
      <c r="FV5" s="148">
        <v>2042</v>
      </c>
      <c r="FW5" s="148">
        <v>2043</v>
      </c>
      <c r="FX5" s="148">
        <v>2044</v>
      </c>
      <c r="FY5" s="148">
        <v>2045</v>
      </c>
      <c r="FZ5" s="148">
        <v>2046</v>
      </c>
      <c r="GA5" s="148">
        <v>2047</v>
      </c>
      <c r="GB5" s="148">
        <v>2048</v>
      </c>
      <c r="GC5" s="148">
        <v>2049</v>
      </c>
      <c r="GD5" s="153">
        <v>2050</v>
      </c>
      <c r="GH5" s="122" t="s">
        <v>3</v>
      </c>
      <c r="GI5" s="148">
        <v>2023</v>
      </c>
      <c r="GJ5" s="148">
        <v>2024</v>
      </c>
      <c r="GK5" s="148">
        <v>2025</v>
      </c>
      <c r="GL5" s="148">
        <v>2026</v>
      </c>
      <c r="GM5" s="148">
        <v>2027</v>
      </c>
      <c r="GN5" s="148">
        <v>2028</v>
      </c>
      <c r="GO5" s="148">
        <v>2029</v>
      </c>
      <c r="GP5" s="148">
        <v>2030</v>
      </c>
      <c r="GQ5" s="148">
        <v>2031</v>
      </c>
      <c r="GR5" s="148">
        <v>2032</v>
      </c>
      <c r="GS5" s="148">
        <v>2033</v>
      </c>
      <c r="GT5" s="148">
        <v>2034</v>
      </c>
      <c r="GU5" s="148">
        <v>2035</v>
      </c>
      <c r="GV5" s="148">
        <v>2036</v>
      </c>
      <c r="GW5" s="148">
        <v>2037</v>
      </c>
      <c r="GX5" s="148">
        <v>2038</v>
      </c>
      <c r="GY5" s="148">
        <v>2039</v>
      </c>
      <c r="GZ5" s="148">
        <v>2040</v>
      </c>
      <c r="HA5" s="148">
        <v>2041</v>
      </c>
      <c r="HB5" s="148">
        <v>2042</v>
      </c>
      <c r="HC5" s="148">
        <v>2043</v>
      </c>
      <c r="HD5" s="148">
        <v>2044</v>
      </c>
      <c r="HE5" s="148">
        <v>2045</v>
      </c>
      <c r="HF5" s="148">
        <v>2046</v>
      </c>
      <c r="HG5" s="148">
        <v>2047</v>
      </c>
      <c r="HH5" s="148">
        <v>2048</v>
      </c>
      <c r="HI5" s="148">
        <v>2049</v>
      </c>
      <c r="HJ5" s="153">
        <v>2050</v>
      </c>
    </row>
    <row r="6" spans="1:218" x14ac:dyDescent="0.25">
      <c r="A6" s="154" t="s">
        <v>487</v>
      </c>
      <c r="B6" s="195">
        <f>US_Results!BZ3/B5-1</f>
        <v>0</v>
      </c>
      <c r="I6" s="154" t="s">
        <v>487</v>
      </c>
      <c r="J6" s="195">
        <f>US_Results!BZ3/J5-1</f>
        <v>0</v>
      </c>
      <c r="Q6" s="127"/>
      <c r="R6" s="173" t="s">
        <v>467</v>
      </c>
      <c r="S6" s="173" t="s">
        <v>468</v>
      </c>
      <c r="T6" s="173" t="s">
        <v>469</v>
      </c>
      <c r="U6" s="173" t="s">
        <v>470</v>
      </c>
      <c r="V6" s="173" t="s">
        <v>261</v>
      </c>
      <c r="W6" s="173" t="s">
        <v>471</v>
      </c>
      <c r="X6" s="127" t="s">
        <v>453</v>
      </c>
      <c r="Z6" s="83" t="s">
        <v>187</v>
      </c>
      <c r="AA6" s="114">
        <f>'US Grid mix, emissions&amp;prices'!O58</f>
        <v>115538</v>
      </c>
      <c r="AB6" s="115">
        <f>$AA6*AB$57</f>
        <v>115538</v>
      </c>
      <c r="AC6" s="115">
        <f>$AA6*AC$57</f>
        <v>101614.95913255909</v>
      </c>
      <c r="AD6" s="115">
        <f>$AA6*AD57</f>
        <v>101614.95913255909</v>
      </c>
      <c r="AE6" s="115">
        <f>$AA6*AE57</f>
        <v>101614.95913255909</v>
      </c>
      <c r="AF6" s="115">
        <f>$AA6*AF57</f>
        <v>101614.95913255909</v>
      </c>
      <c r="AG6" s="115">
        <f t="shared" ref="AG6:BB6" si="0">$AA6*AG57</f>
        <v>101614.95913255909</v>
      </c>
      <c r="AH6" s="115">
        <f t="shared" si="0"/>
        <v>61054.096839574289</v>
      </c>
      <c r="AI6" s="115">
        <f t="shared" si="0"/>
        <v>61054.096839574289</v>
      </c>
      <c r="AJ6" s="115">
        <f t="shared" si="0"/>
        <v>61054.096839574289</v>
      </c>
      <c r="AK6" s="115">
        <f t="shared" si="0"/>
        <v>61054.096839574289</v>
      </c>
      <c r="AL6" s="115">
        <f t="shared" si="0"/>
        <v>61054.096839574289</v>
      </c>
      <c r="AM6" s="115">
        <f t="shared" si="0"/>
        <v>63891.772304467442</v>
      </c>
      <c r="AN6" s="115">
        <f t="shared" si="0"/>
        <v>63891.772304467442</v>
      </c>
      <c r="AO6" s="115">
        <f t="shared" si="0"/>
        <v>63891.772304467442</v>
      </c>
      <c r="AP6" s="115">
        <f t="shared" si="0"/>
        <v>63891.772304467442</v>
      </c>
      <c r="AQ6" s="115">
        <f t="shared" si="0"/>
        <v>63891.772304467442</v>
      </c>
      <c r="AR6" s="115">
        <f t="shared" si="0"/>
        <v>66789.103952651407</v>
      </c>
      <c r="AS6" s="115">
        <f t="shared" si="0"/>
        <v>66789.103952651407</v>
      </c>
      <c r="AT6" s="115">
        <f t="shared" si="0"/>
        <v>66789.103952651407</v>
      </c>
      <c r="AU6" s="115">
        <f t="shared" si="0"/>
        <v>66789.103952651407</v>
      </c>
      <c r="AV6" s="115">
        <f t="shared" si="0"/>
        <v>66789.103952651407</v>
      </c>
      <c r="AW6" s="115">
        <f t="shared" si="0"/>
        <v>68254.687201855719</v>
      </c>
      <c r="AX6" s="115">
        <f t="shared" si="0"/>
        <v>68254.687201855719</v>
      </c>
      <c r="AY6" s="115">
        <f t="shared" si="0"/>
        <v>68254.687201855719</v>
      </c>
      <c r="AZ6" s="115">
        <f t="shared" si="0"/>
        <v>68254.687201855719</v>
      </c>
      <c r="BA6" s="115">
        <f t="shared" si="0"/>
        <v>68254.687201855719</v>
      </c>
      <c r="BB6" s="115">
        <f t="shared" si="0"/>
        <v>68347.287844575796</v>
      </c>
      <c r="BM6" s="123" t="s">
        <v>187</v>
      </c>
      <c r="BN6" s="103">
        <f t="shared" ref="BN6:BN13" si="1">AA6</f>
        <v>115538</v>
      </c>
      <c r="BO6" s="119">
        <f>$BN6*BO$57</f>
        <v>115538</v>
      </c>
      <c r="BP6" s="119">
        <f t="shared" ref="BP6:CO15" si="2">$BN6*BP$57</f>
        <v>101482.29090404666</v>
      </c>
      <c r="BQ6" s="119">
        <f t="shared" si="2"/>
        <v>101482.29090404666</v>
      </c>
      <c r="BR6" s="119">
        <f t="shared" si="2"/>
        <v>101482.29090404666</v>
      </c>
      <c r="BS6" s="119">
        <f t="shared" si="2"/>
        <v>101482.29090404666</v>
      </c>
      <c r="BT6" s="119">
        <f t="shared" si="2"/>
        <v>101482.29090404666</v>
      </c>
      <c r="BU6" s="119">
        <f t="shared" si="2"/>
        <v>115036.70998219804</v>
      </c>
      <c r="BV6" s="119">
        <f t="shared" si="2"/>
        <v>115036.70998219804</v>
      </c>
      <c r="BW6" s="119">
        <f t="shared" si="2"/>
        <v>115036.70998219804</v>
      </c>
      <c r="BX6" s="119">
        <f t="shared" si="2"/>
        <v>115036.70998219804</v>
      </c>
      <c r="BY6" s="119">
        <f t="shared" si="2"/>
        <v>115036.70998219804</v>
      </c>
      <c r="BZ6" s="119">
        <f t="shared" si="2"/>
        <v>117803.15418346036</v>
      </c>
      <c r="CA6" s="119">
        <f t="shared" si="2"/>
        <v>117803.15418346036</v>
      </c>
      <c r="CB6" s="119">
        <f t="shared" si="2"/>
        <v>117803.15418346036</v>
      </c>
      <c r="CC6" s="119">
        <f t="shared" si="2"/>
        <v>117803.15418346036</v>
      </c>
      <c r="CD6" s="119">
        <f t="shared" si="2"/>
        <v>117803.15418346036</v>
      </c>
      <c r="CE6" s="119">
        <f t="shared" si="2"/>
        <v>120714.73208437049</v>
      </c>
      <c r="CF6" s="119">
        <f t="shared" si="2"/>
        <v>120714.73208437049</v>
      </c>
      <c r="CG6" s="119">
        <f t="shared" si="2"/>
        <v>120714.73208437049</v>
      </c>
      <c r="CH6" s="119">
        <f t="shared" si="2"/>
        <v>120714.73208437049</v>
      </c>
      <c r="CI6" s="119">
        <f t="shared" si="2"/>
        <v>120714.73208437049</v>
      </c>
      <c r="CJ6" s="119">
        <f t="shared" si="2"/>
        <v>121405.67534158955</v>
      </c>
      <c r="CK6" s="119">
        <f t="shared" si="2"/>
        <v>121405.67534158955</v>
      </c>
      <c r="CL6" s="119">
        <f t="shared" si="2"/>
        <v>121405.67534158955</v>
      </c>
      <c r="CM6" s="119">
        <f t="shared" si="2"/>
        <v>121405.67534158955</v>
      </c>
      <c r="CN6" s="119">
        <f t="shared" si="2"/>
        <v>121405.67534158955</v>
      </c>
      <c r="CO6" s="119">
        <f t="shared" si="2"/>
        <v>122231.06760891176</v>
      </c>
      <c r="CR6" s="123" t="s">
        <v>187</v>
      </c>
      <c r="CS6" s="103">
        <f>$AA6*CS$56/$AA$56</f>
        <v>139885.73629981274</v>
      </c>
      <c r="CT6" s="119">
        <f>$BN6*CT$57</f>
        <v>139885.73629981274</v>
      </c>
      <c r="CU6" s="119">
        <f t="shared" ref="CU6:DT15" si="3">$BN6*CU$57</f>
        <v>139885.73629981274</v>
      </c>
      <c r="CV6" s="119">
        <f t="shared" si="3"/>
        <v>139885.73629981274</v>
      </c>
      <c r="CW6" s="119">
        <f t="shared" si="3"/>
        <v>139885.73629981274</v>
      </c>
      <c r="CX6" s="119">
        <f t="shared" si="3"/>
        <v>139885.73629981274</v>
      </c>
      <c r="CY6" s="119">
        <f t="shared" si="3"/>
        <v>139885.73629981274</v>
      </c>
      <c r="CZ6" s="119">
        <f t="shared" si="3"/>
        <v>139916.89997765122</v>
      </c>
      <c r="DA6" s="119">
        <f t="shared" si="3"/>
        <v>139916.89997765122</v>
      </c>
      <c r="DB6" s="119">
        <f t="shared" si="3"/>
        <v>139916.89997765122</v>
      </c>
      <c r="DC6" s="119">
        <f t="shared" si="3"/>
        <v>139916.89997765122</v>
      </c>
      <c r="DD6" s="119">
        <f t="shared" si="3"/>
        <v>139916.89997765122</v>
      </c>
      <c r="DE6" s="119">
        <f t="shared" si="3"/>
        <v>139899.09216174352</v>
      </c>
      <c r="DF6" s="119">
        <f t="shared" si="3"/>
        <v>139899.09216174352</v>
      </c>
      <c r="DG6" s="119">
        <f t="shared" si="3"/>
        <v>139899.09216174352</v>
      </c>
      <c r="DH6" s="119">
        <f t="shared" si="3"/>
        <v>139899.09216174352</v>
      </c>
      <c r="DI6" s="119">
        <f t="shared" si="3"/>
        <v>139899.09216174352</v>
      </c>
      <c r="DJ6" s="119">
        <f t="shared" si="3"/>
        <v>139894.64020776658</v>
      </c>
      <c r="DK6" s="119">
        <f t="shared" si="3"/>
        <v>139894.64020776658</v>
      </c>
      <c r="DL6" s="119">
        <f t="shared" si="3"/>
        <v>139894.64020776658</v>
      </c>
      <c r="DM6" s="119">
        <f t="shared" si="3"/>
        <v>139894.64020776658</v>
      </c>
      <c r="DN6" s="119">
        <f t="shared" si="3"/>
        <v>139894.64020776658</v>
      </c>
      <c r="DO6" s="119">
        <f t="shared" si="3"/>
        <v>139808.27230061422</v>
      </c>
      <c r="DP6" s="119">
        <f t="shared" si="3"/>
        <v>139808.27230061422</v>
      </c>
      <c r="DQ6" s="119">
        <f t="shared" si="3"/>
        <v>139808.27230061422</v>
      </c>
      <c r="DR6" s="119">
        <f t="shared" si="3"/>
        <v>139808.27230061422</v>
      </c>
      <c r="DS6" s="119">
        <f t="shared" si="3"/>
        <v>139808.27230061422</v>
      </c>
      <c r="DT6" s="93">
        <f t="shared" si="3"/>
        <v>139880.39395504043</v>
      </c>
      <c r="DW6" s="123" t="s">
        <v>187</v>
      </c>
      <c r="DX6" s="103">
        <f>CS6*$DX$56/$BN$56</f>
        <v>146433.6664351004</v>
      </c>
      <c r="DY6" s="119">
        <f>$DX6*DY$57</f>
        <v>146433.6664351004</v>
      </c>
      <c r="DZ6" s="119">
        <f t="shared" ref="DZ6:EY15" si="4">$DX6*DZ$57</f>
        <v>128363.79404002437</v>
      </c>
      <c r="EA6" s="119">
        <f t="shared" si="4"/>
        <v>128363.79404002437</v>
      </c>
      <c r="EB6" s="119">
        <f t="shared" si="4"/>
        <v>128363.79404002437</v>
      </c>
      <c r="EC6" s="119">
        <f t="shared" si="4"/>
        <v>128363.79404002437</v>
      </c>
      <c r="ED6" s="119">
        <f t="shared" si="4"/>
        <v>128363.79404002437</v>
      </c>
      <c r="EE6" s="119">
        <f t="shared" si="4"/>
        <v>79115.252666879547</v>
      </c>
      <c r="EF6" s="119">
        <f t="shared" si="4"/>
        <v>79115.252666879547</v>
      </c>
      <c r="EG6" s="119">
        <f t="shared" si="4"/>
        <v>79115.252666879547</v>
      </c>
      <c r="EH6" s="119">
        <f t="shared" si="4"/>
        <v>79115.252666879547</v>
      </c>
      <c r="EI6" s="119">
        <f t="shared" si="4"/>
        <v>79115.252666879547</v>
      </c>
      <c r="EJ6" s="119">
        <f t="shared" si="4"/>
        <v>70659.216450021398</v>
      </c>
      <c r="EK6" s="119">
        <f t="shared" si="4"/>
        <v>70659.216450021398</v>
      </c>
      <c r="EL6" s="119">
        <f t="shared" si="4"/>
        <v>70659.216450021398</v>
      </c>
      <c r="EM6" s="119">
        <f t="shared" si="4"/>
        <v>70659.216450021398</v>
      </c>
      <c r="EN6" s="119">
        <f t="shared" si="4"/>
        <v>70659.216450021398</v>
      </c>
      <c r="EO6" s="119">
        <f t="shared" si="4"/>
        <v>68435.248740258714</v>
      </c>
      <c r="EP6" s="119">
        <f t="shared" si="4"/>
        <v>68435.248740258714</v>
      </c>
      <c r="EQ6" s="119">
        <f t="shared" si="4"/>
        <v>68435.248740258714</v>
      </c>
      <c r="ER6" s="119">
        <f t="shared" si="4"/>
        <v>68435.248740258714</v>
      </c>
      <c r="ES6" s="119">
        <f t="shared" si="4"/>
        <v>68435.248740258714</v>
      </c>
      <c r="ET6" s="119">
        <f t="shared" si="4"/>
        <v>65894.341376269091</v>
      </c>
      <c r="EU6" s="119">
        <f t="shared" si="4"/>
        <v>65894.341376269091</v>
      </c>
      <c r="EV6" s="119">
        <f t="shared" si="4"/>
        <v>65894.341376269091</v>
      </c>
      <c r="EW6" s="119">
        <f t="shared" si="4"/>
        <v>65894.341376269091</v>
      </c>
      <c r="EX6" s="119">
        <f t="shared" si="4"/>
        <v>65894.341376269091</v>
      </c>
      <c r="EY6" s="119">
        <f t="shared" si="4"/>
        <v>61909.957151701557</v>
      </c>
      <c r="FB6" s="123" t="s">
        <v>187</v>
      </c>
      <c r="FC6" s="103">
        <f>CS6*$FC$56/$BN$56</f>
        <v>158828.80978306511</v>
      </c>
      <c r="FD6" s="119">
        <f>$FC6*FD$57</f>
        <v>158828.80978306511</v>
      </c>
      <c r="FE6" s="119">
        <f t="shared" ref="FE6:GD15" si="5">$FC6*FE$57</f>
        <v>138705.29779172252</v>
      </c>
      <c r="FF6" s="119">
        <f t="shared" si="5"/>
        <v>138705.29779172252</v>
      </c>
      <c r="FG6" s="119">
        <f t="shared" si="5"/>
        <v>138705.29779172252</v>
      </c>
      <c r="FH6" s="119">
        <f t="shared" si="5"/>
        <v>138705.29779172252</v>
      </c>
      <c r="FI6" s="119">
        <f t="shared" si="5"/>
        <v>138705.29779172252</v>
      </c>
      <c r="FJ6" s="119">
        <f t="shared" si="5"/>
        <v>87040.90007462319</v>
      </c>
      <c r="FK6" s="119">
        <f t="shared" si="5"/>
        <v>87040.90007462319</v>
      </c>
      <c r="FL6" s="119">
        <f t="shared" si="5"/>
        <v>87040.90007462319</v>
      </c>
      <c r="FM6" s="119">
        <f t="shared" si="5"/>
        <v>87040.90007462319</v>
      </c>
      <c r="FN6" s="119">
        <f t="shared" si="5"/>
        <v>87040.90007462319</v>
      </c>
      <c r="FO6" s="119">
        <f t="shared" si="5"/>
        <v>77287.998537917985</v>
      </c>
      <c r="FP6" s="119">
        <f t="shared" si="5"/>
        <v>77287.998537917985</v>
      </c>
      <c r="FQ6" s="119">
        <f t="shared" si="5"/>
        <v>77287.998537917985</v>
      </c>
      <c r="FR6" s="119">
        <f t="shared" si="5"/>
        <v>77287.998537917985</v>
      </c>
      <c r="FS6" s="119">
        <f t="shared" si="5"/>
        <v>77287.998537917985</v>
      </c>
      <c r="FT6" s="119">
        <f t="shared" si="5"/>
        <v>75320.601024434276</v>
      </c>
      <c r="FU6" s="119">
        <f t="shared" si="5"/>
        <v>75320.601024434276</v>
      </c>
      <c r="FV6" s="119">
        <f t="shared" si="5"/>
        <v>75320.601024434276</v>
      </c>
      <c r="FW6" s="119">
        <f t="shared" si="5"/>
        <v>75320.601024434276</v>
      </c>
      <c r="FX6" s="119">
        <f t="shared" si="5"/>
        <v>75320.601024434276</v>
      </c>
      <c r="FY6" s="119">
        <f t="shared" si="5"/>
        <v>72774.303530270714</v>
      </c>
      <c r="FZ6" s="119">
        <f t="shared" si="5"/>
        <v>72774.303530270714</v>
      </c>
      <c r="GA6" s="119">
        <f t="shared" si="5"/>
        <v>72774.303530270714</v>
      </c>
      <c r="GB6" s="119">
        <f t="shared" si="5"/>
        <v>72774.303530270714</v>
      </c>
      <c r="GC6" s="119">
        <f t="shared" si="5"/>
        <v>72774.303530270714</v>
      </c>
      <c r="GD6" s="119">
        <f t="shared" si="5"/>
        <v>68651.931973250626</v>
      </c>
      <c r="GH6" s="123" t="s">
        <v>187</v>
      </c>
      <c r="GI6" s="103">
        <f>CS6*$GI$56/$BN$56</f>
        <v>137997.03468686837</v>
      </c>
      <c r="GJ6" s="119">
        <f>$GI6*GJ$57</f>
        <v>137997.03468686837</v>
      </c>
      <c r="GK6" s="119">
        <f t="shared" ref="GK6:HJ15" si="6">$GI6*GK$57</f>
        <v>121325.36205890925</v>
      </c>
      <c r="GL6" s="119">
        <f t="shared" si="6"/>
        <v>121325.36205890925</v>
      </c>
      <c r="GM6" s="119">
        <f t="shared" si="6"/>
        <v>121325.36205890925</v>
      </c>
      <c r="GN6" s="119">
        <f t="shared" si="6"/>
        <v>121325.36205890925</v>
      </c>
      <c r="GO6" s="119">
        <f t="shared" si="6"/>
        <v>121325.36205890925</v>
      </c>
      <c r="GP6" s="119">
        <f t="shared" si="6"/>
        <v>73720.810388812461</v>
      </c>
      <c r="GQ6" s="119">
        <f t="shared" si="6"/>
        <v>73720.810388812461</v>
      </c>
      <c r="GR6" s="119">
        <f t="shared" si="6"/>
        <v>73720.810388812461</v>
      </c>
      <c r="GS6" s="119">
        <f t="shared" si="6"/>
        <v>73720.810388812461</v>
      </c>
      <c r="GT6" s="119">
        <f t="shared" si="6"/>
        <v>73720.810388812461</v>
      </c>
      <c r="GU6" s="119">
        <f t="shared" si="6"/>
        <v>66147.677494443706</v>
      </c>
      <c r="GV6" s="119">
        <f t="shared" si="6"/>
        <v>66147.677494443706</v>
      </c>
      <c r="GW6" s="119">
        <f t="shared" si="6"/>
        <v>66147.677494443706</v>
      </c>
      <c r="GX6" s="119">
        <f t="shared" si="6"/>
        <v>66147.677494443706</v>
      </c>
      <c r="GY6" s="119">
        <f t="shared" si="6"/>
        <v>66147.677494443706</v>
      </c>
      <c r="GZ6" s="119">
        <f t="shared" si="6"/>
        <v>63749.069567045764</v>
      </c>
      <c r="HA6" s="119">
        <f t="shared" si="6"/>
        <v>63749.069567045764</v>
      </c>
      <c r="HB6" s="119">
        <f t="shared" si="6"/>
        <v>63749.069567045764</v>
      </c>
      <c r="HC6" s="119">
        <f t="shared" si="6"/>
        <v>63749.069567045764</v>
      </c>
      <c r="HD6" s="119">
        <f t="shared" si="6"/>
        <v>63749.069567045764</v>
      </c>
      <c r="HE6" s="119">
        <f t="shared" si="6"/>
        <v>61211.396281160487</v>
      </c>
      <c r="HF6" s="119">
        <f t="shared" si="6"/>
        <v>61211.396281160487</v>
      </c>
      <c r="HG6" s="119">
        <f t="shared" si="6"/>
        <v>61211.396281160487</v>
      </c>
      <c r="HH6" s="119">
        <f t="shared" si="6"/>
        <v>61211.396281160487</v>
      </c>
      <c r="HI6" s="119">
        <f t="shared" si="6"/>
        <v>61211.396281160487</v>
      </c>
      <c r="HJ6" s="119">
        <f t="shared" si="6"/>
        <v>57321.878347654085</v>
      </c>
    </row>
    <row r="7" spans="1:218" x14ac:dyDescent="0.25">
      <c r="A7" s="200" t="s">
        <v>558</v>
      </c>
      <c r="B7" s="201">
        <f>US_Results!BC53</f>
        <v>4599.1497935483994</v>
      </c>
      <c r="Q7" s="127">
        <v>2020</v>
      </c>
      <c r="R7" s="129">
        <v>4.0000000000000001E-3</v>
      </c>
      <c r="S7" s="130">
        <v>0.39600000000000002</v>
      </c>
      <c r="T7" s="130">
        <v>0.2</v>
      </c>
      <c r="U7" s="130">
        <v>0.20399999999999999</v>
      </c>
      <c r="V7" s="130">
        <v>3.0000000000000001E-3</v>
      </c>
      <c r="W7" s="130">
        <v>0.19400000000000001</v>
      </c>
      <c r="X7" s="131">
        <f t="shared" ref="X7:X14" si="7">SUM(R7:W7)</f>
        <v>1.0010000000000001</v>
      </c>
      <c r="Z7" s="83" t="s">
        <v>231</v>
      </c>
      <c r="AA7" s="114">
        <f>'US Grid mix, emissions&amp;prices'!O59</f>
        <v>161173</v>
      </c>
      <c r="AB7" s="115">
        <f>AA7*AB57</f>
        <v>161173</v>
      </c>
      <c r="AC7" s="115">
        <f>$AA7*AC$57</f>
        <v>141750.66046038485</v>
      </c>
      <c r="AD7" s="115">
        <f>$AA7*AD$57</f>
        <v>141750.66046038485</v>
      </c>
      <c r="AE7" s="115">
        <f>$AA7*AE$57</f>
        <v>141750.66046038485</v>
      </c>
      <c r="AF7" s="115">
        <f>$AA7*AF$57</f>
        <v>141750.66046038485</v>
      </c>
      <c r="AG7" s="115">
        <f t="shared" ref="AG7:AP13" si="8">$AA7*AG$57</f>
        <v>141750.66046038485</v>
      </c>
      <c r="AH7" s="115">
        <f t="shared" si="8"/>
        <v>85169.13872427</v>
      </c>
      <c r="AI7" s="115">
        <f t="shared" si="8"/>
        <v>85169.13872427</v>
      </c>
      <c r="AJ7" s="115">
        <f t="shared" si="8"/>
        <v>85169.13872427</v>
      </c>
      <c r="AK7" s="115">
        <f t="shared" si="8"/>
        <v>85169.13872427</v>
      </c>
      <c r="AL7" s="115">
        <f t="shared" si="8"/>
        <v>85169.13872427</v>
      </c>
      <c r="AM7" s="115">
        <f t="shared" si="8"/>
        <v>89127.634350845008</v>
      </c>
      <c r="AN7" s="115">
        <f t="shared" si="8"/>
        <v>89127.634350845008</v>
      </c>
      <c r="AO7" s="115">
        <f t="shared" si="8"/>
        <v>89127.634350845008</v>
      </c>
      <c r="AP7" s="115">
        <f t="shared" si="8"/>
        <v>89127.634350845008</v>
      </c>
      <c r="AQ7" s="115">
        <f t="shared" ref="AQ7:BB13" si="9">$AA7*AQ$57</f>
        <v>89127.634350845008</v>
      </c>
      <c r="AR7" s="115">
        <f t="shared" si="9"/>
        <v>93169.349057112689</v>
      </c>
      <c r="AS7" s="115">
        <f t="shared" si="9"/>
        <v>93169.349057112689</v>
      </c>
      <c r="AT7" s="115">
        <f t="shared" si="9"/>
        <v>93169.349057112689</v>
      </c>
      <c r="AU7" s="115">
        <f t="shared" si="9"/>
        <v>93169.349057112689</v>
      </c>
      <c r="AV7" s="115">
        <f t="shared" si="9"/>
        <v>93169.349057112689</v>
      </c>
      <c r="AW7" s="115">
        <f t="shared" si="9"/>
        <v>95213.805850756398</v>
      </c>
      <c r="AX7" s="115">
        <f t="shared" si="9"/>
        <v>95213.805850756398</v>
      </c>
      <c r="AY7" s="115">
        <f t="shared" si="9"/>
        <v>95213.805850756398</v>
      </c>
      <c r="AZ7" s="115">
        <f t="shared" si="9"/>
        <v>95213.805850756398</v>
      </c>
      <c r="BA7" s="115">
        <f t="shared" si="9"/>
        <v>95213.805850756398</v>
      </c>
      <c r="BB7" s="115">
        <f t="shared" si="9"/>
        <v>95342.981735652473</v>
      </c>
      <c r="BM7" s="123" t="s">
        <v>231</v>
      </c>
      <c r="BN7" s="103">
        <f t="shared" si="1"/>
        <v>161173</v>
      </c>
      <c r="BO7" s="119">
        <f t="shared" ref="BO7:CD31" si="10">$BN7*BO$57</f>
        <v>161173</v>
      </c>
      <c r="BP7" s="119">
        <f t="shared" si="2"/>
        <v>141565.5911637549</v>
      </c>
      <c r="BQ7" s="119">
        <f t="shared" si="2"/>
        <v>141565.5911637549</v>
      </c>
      <c r="BR7" s="119">
        <f t="shared" si="2"/>
        <v>141565.5911637549</v>
      </c>
      <c r="BS7" s="119">
        <f t="shared" si="2"/>
        <v>141565.5911637549</v>
      </c>
      <c r="BT7" s="119">
        <f t="shared" si="2"/>
        <v>141565.5911637549</v>
      </c>
      <c r="BU7" s="119">
        <f t="shared" si="2"/>
        <v>160473.71131541833</v>
      </c>
      <c r="BV7" s="119">
        <f t="shared" si="2"/>
        <v>160473.71131541833</v>
      </c>
      <c r="BW7" s="119">
        <f t="shared" si="2"/>
        <v>160473.71131541833</v>
      </c>
      <c r="BX7" s="119">
        <f t="shared" si="2"/>
        <v>160473.71131541833</v>
      </c>
      <c r="BY7" s="119">
        <f t="shared" si="2"/>
        <v>160473.71131541833</v>
      </c>
      <c r="BZ7" s="119">
        <f t="shared" si="2"/>
        <v>164332.84087668869</v>
      </c>
      <c r="CA7" s="119">
        <f t="shared" si="2"/>
        <v>164332.84087668869</v>
      </c>
      <c r="CB7" s="119">
        <f t="shared" si="2"/>
        <v>164332.84087668869</v>
      </c>
      <c r="CC7" s="119">
        <f t="shared" si="2"/>
        <v>164332.84087668869</v>
      </c>
      <c r="CD7" s="119">
        <f t="shared" si="2"/>
        <v>164332.84087668869</v>
      </c>
      <c r="CE7" s="119">
        <f t="shared" si="2"/>
        <v>168394.42879601731</v>
      </c>
      <c r="CF7" s="119">
        <f t="shared" si="2"/>
        <v>168394.42879601731</v>
      </c>
      <c r="CG7" s="119">
        <f t="shared" si="2"/>
        <v>168394.42879601731</v>
      </c>
      <c r="CH7" s="119">
        <f t="shared" si="2"/>
        <v>168394.42879601731</v>
      </c>
      <c r="CI7" s="119">
        <f t="shared" si="2"/>
        <v>168394.42879601731</v>
      </c>
      <c r="CJ7" s="119">
        <f t="shared" si="2"/>
        <v>169358.27962947264</v>
      </c>
      <c r="CK7" s="119">
        <f t="shared" si="2"/>
        <v>169358.27962947264</v>
      </c>
      <c r="CL7" s="119">
        <f t="shared" si="2"/>
        <v>169358.27962947264</v>
      </c>
      <c r="CM7" s="119">
        <f t="shared" si="2"/>
        <v>169358.27962947264</v>
      </c>
      <c r="CN7" s="119">
        <f t="shared" si="2"/>
        <v>169358.27962947264</v>
      </c>
      <c r="CO7" s="119">
        <f t="shared" si="2"/>
        <v>170509.68391119057</v>
      </c>
      <c r="CR7" s="123" t="s">
        <v>231</v>
      </c>
      <c r="CS7" s="103">
        <f t="shared" ref="CS7:CS55" si="11">$AA7*CS$56/$AA$56</f>
        <v>195137.5631969544</v>
      </c>
      <c r="CT7" s="119">
        <f t="shared" ref="CT7:DI31" si="12">$BN7*CT$57</f>
        <v>195137.5631969544</v>
      </c>
      <c r="CU7" s="119">
        <f t="shared" si="3"/>
        <v>195137.5631969544</v>
      </c>
      <c r="CV7" s="119">
        <f t="shared" si="3"/>
        <v>195137.5631969544</v>
      </c>
      <c r="CW7" s="119">
        <f t="shared" si="3"/>
        <v>195137.5631969544</v>
      </c>
      <c r="CX7" s="119">
        <f t="shared" si="3"/>
        <v>195137.5631969544</v>
      </c>
      <c r="CY7" s="119">
        <f t="shared" si="3"/>
        <v>195137.5631969544</v>
      </c>
      <c r="CZ7" s="119">
        <f t="shared" si="3"/>
        <v>195181.03585052519</v>
      </c>
      <c r="DA7" s="119">
        <f t="shared" si="3"/>
        <v>195181.03585052519</v>
      </c>
      <c r="DB7" s="119">
        <f t="shared" si="3"/>
        <v>195181.03585052519</v>
      </c>
      <c r="DC7" s="119">
        <f t="shared" si="3"/>
        <v>195181.03585052519</v>
      </c>
      <c r="DD7" s="119">
        <f t="shared" si="3"/>
        <v>195181.03585052519</v>
      </c>
      <c r="DE7" s="119">
        <f t="shared" si="3"/>
        <v>195156.19433419904</v>
      </c>
      <c r="DF7" s="119">
        <f t="shared" si="3"/>
        <v>195156.19433419904</v>
      </c>
      <c r="DG7" s="119">
        <f t="shared" si="3"/>
        <v>195156.19433419904</v>
      </c>
      <c r="DH7" s="119">
        <f t="shared" si="3"/>
        <v>195156.19433419904</v>
      </c>
      <c r="DI7" s="119">
        <f t="shared" si="3"/>
        <v>195156.19433419904</v>
      </c>
      <c r="DJ7" s="119">
        <f t="shared" si="3"/>
        <v>195149.9839551175</v>
      </c>
      <c r="DK7" s="119">
        <f t="shared" si="3"/>
        <v>195149.9839551175</v>
      </c>
      <c r="DL7" s="119">
        <f t="shared" si="3"/>
        <v>195149.9839551175</v>
      </c>
      <c r="DM7" s="119">
        <f t="shared" si="3"/>
        <v>195149.9839551175</v>
      </c>
      <c r="DN7" s="119">
        <f t="shared" si="3"/>
        <v>195149.9839551175</v>
      </c>
      <c r="DO7" s="119">
        <f t="shared" si="3"/>
        <v>195029.50260093558</v>
      </c>
      <c r="DP7" s="119">
        <f t="shared" si="3"/>
        <v>195029.50260093558</v>
      </c>
      <c r="DQ7" s="119">
        <f t="shared" si="3"/>
        <v>195029.50260093558</v>
      </c>
      <c r="DR7" s="119">
        <f t="shared" si="3"/>
        <v>195029.50260093558</v>
      </c>
      <c r="DS7" s="119">
        <f t="shared" si="3"/>
        <v>195029.50260093558</v>
      </c>
      <c r="DT7" s="93">
        <f t="shared" si="3"/>
        <v>195130.11074205654</v>
      </c>
      <c r="DW7" s="123" t="s">
        <v>231</v>
      </c>
      <c r="DX7" s="103">
        <f t="shared" ref="DX7:DX55" si="13">CS7*$DX$56/$BN$56</f>
        <v>204271.78348547177</v>
      </c>
      <c r="DY7" s="119">
        <f t="shared" ref="DY7:EN31" si="14">$DX7*DY$57</f>
        <v>204271.78348547177</v>
      </c>
      <c r="DZ7" s="119">
        <f t="shared" si="4"/>
        <v>179064.70405245762</v>
      </c>
      <c r="EA7" s="119">
        <f t="shared" si="4"/>
        <v>179064.70405245762</v>
      </c>
      <c r="EB7" s="119">
        <f t="shared" si="4"/>
        <v>179064.70405245762</v>
      </c>
      <c r="EC7" s="119">
        <f t="shared" si="4"/>
        <v>179064.70405245762</v>
      </c>
      <c r="ED7" s="119">
        <f t="shared" si="4"/>
        <v>179064.70405245762</v>
      </c>
      <c r="EE7" s="119">
        <f t="shared" si="4"/>
        <v>110364.05873460659</v>
      </c>
      <c r="EF7" s="119">
        <f t="shared" si="4"/>
        <v>110364.05873460659</v>
      </c>
      <c r="EG7" s="119">
        <f t="shared" si="4"/>
        <v>110364.05873460659</v>
      </c>
      <c r="EH7" s="119">
        <f t="shared" si="4"/>
        <v>110364.05873460659</v>
      </c>
      <c r="EI7" s="119">
        <f t="shared" si="4"/>
        <v>110364.05873460659</v>
      </c>
      <c r="EJ7" s="119">
        <f t="shared" si="4"/>
        <v>98568.071914861765</v>
      </c>
      <c r="EK7" s="119">
        <f t="shared" si="4"/>
        <v>98568.071914861765</v>
      </c>
      <c r="EL7" s="119">
        <f t="shared" si="4"/>
        <v>98568.071914861765</v>
      </c>
      <c r="EM7" s="119">
        <f t="shared" si="4"/>
        <v>98568.071914861765</v>
      </c>
      <c r="EN7" s="119">
        <f t="shared" si="4"/>
        <v>98568.071914861765</v>
      </c>
      <c r="EO7" s="119">
        <f t="shared" si="4"/>
        <v>95465.685274227682</v>
      </c>
      <c r="EP7" s="119">
        <f t="shared" si="4"/>
        <v>95465.685274227682</v>
      </c>
      <c r="EQ7" s="119">
        <f t="shared" si="4"/>
        <v>95465.685274227682</v>
      </c>
      <c r="ER7" s="119">
        <f t="shared" si="4"/>
        <v>95465.685274227682</v>
      </c>
      <c r="ES7" s="119">
        <f t="shared" si="4"/>
        <v>95465.685274227682</v>
      </c>
      <c r="ET7" s="119">
        <f t="shared" si="4"/>
        <v>91921.174701288051</v>
      </c>
      <c r="EU7" s="119">
        <f t="shared" si="4"/>
        <v>91921.174701288051</v>
      </c>
      <c r="EV7" s="119">
        <f t="shared" si="4"/>
        <v>91921.174701288051</v>
      </c>
      <c r="EW7" s="119">
        <f t="shared" si="4"/>
        <v>91921.174701288051</v>
      </c>
      <c r="EX7" s="119">
        <f t="shared" si="4"/>
        <v>91921.174701288051</v>
      </c>
      <c r="EY7" s="119">
        <f t="shared" si="4"/>
        <v>86363.04526658931</v>
      </c>
      <c r="FB7" s="123" t="s">
        <v>231</v>
      </c>
      <c r="FC7" s="103">
        <f t="shared" ref="FC7:FC55" si="15">CS7*$FC$56/$BN$56</f>
        <v>221562.73917815741</v>
      </c>
      <c r="FD7" s="119">
        <f t="shared" ref="FD7:FS31" si="16">$FC7*FD$57</f>
        <v>221562.73917815741</v>
      </c>
      <c r="FE7" s="119">
        <f t="shared" si="5"/>
        <v>193490.87712255097</v>
      </c>
      <c r="FF7" s="119">
        <f t="shared" si="5"/>
        <v>193490.87712255097</v>
      </c>
      <c r="FG7" s="119">
        <f t="shared" si="5"/>
        <v>193490.87712255097</v>
      </c>
      <c r="FH7" s="119">
        <f t="shared" si="5"/>
        <v>193490.87712255097</v>
      </c>
      <c r="FI7" s="119">
        <f t="shared" si="5"/>
        <v>193490.87712255097</v>
      </c>
      <c r="FJ7" s="119">
        <f t="shared" si="5"/>
        <v>121420.16468804413</v>
      </c>
      <c r="FK7" s="119">
        <f t="shared" si="5"/>
        <v>121420.16468804413</v>
      </c>
      <c r="FL7" s="119">
        <f t="shared" si="5"/>
        <v>121420.16468804413</v>
      </c>
      <c r="FM7" s="119">
        <f t="shared" si="5"/>
        <v>121420.16468804413</v>
      </c>
      <c r="FN7" s="119">
        <f t="shared" si="5"/>
        <v>121420.16468804413</v>
      </c>
      <c r="FO7" s="119">
        <f t="shared" si="5"/>
        <v>107815.07892080401</v>
      </c>
      <c r="FP7" s="119">
        <f t="shared" si="5"/>
        <v>107815.07892080401</v>
      </c>
      <c r="FQ7" s="119">
        <f t="shared" si="5"/>
        <v>107815.07892080401</v>
      </c>
      <c r="FR7" s="119">
        <f t="shared" si="5"/>
        <v>107815.07892080401</v>
      </c>
      <c r="FS7" s="119">
        <f t="shared" si="5"/>
        <v>107815.07892080401</v>
      </c>
      <c r="FT7" s="119">
        <f t="shared" si="5"/>
        <v>105070.60213013161</v>
      </c>
      <c r="FU7" s="119">
        <f t="shared" si="5"/>
        <v>105070.60213013161</v>
      </c>
      <c r="FV7" s="119">
        <f t="shared" si="5"/>
        <v>105070.60213013161</v>
      </c>
      <c r="FW7" s="119">
        <f t="shared" si="5"/>
        <v>105070.60213013161</v>
      </c>
      <c r="FX7" s="119">
        <f t="shared" si="5"/>
        <v>105070.60213013161</v>
      </c>
      <c r="FY7" s="119">
        <f t="shared" si="5"/>
        <v>101518.57244269697</v>
      </c>
      <c r="FZ7" s="119">
        <f t="shared" si="5"/>
        <v>101518.57244269697</v>
      </c>
      <c r="GA7" s="119">
        <f t="shared" si="5"/>
        <v>101518.57244269697</v>
      </c>
      <c r="GB7" s="119">
        <f t="shared" si="5"/>
        <v>101518.57244269697</v>
      </c>
      <c r="GC7" s="119">
        <f t="shared" si="5"/>
        <v>101518.57244269697</v>
      </c>
      <c r="GD7" s="119">
        <f t="shared" si="5"/>
        <v>95767.953676926409</v>
      </c>
      <c r="GH7" s="123" t="s">
        <v>231</v>
      </c>
      <c r="GI7" s="103">
        <f t="shared" ref="GI7:GI55" si="17">CS7*$GI$56/$BN$56</f>
        <v>192502.8654779089</v>
      </c>
      <c r="GJ7" s="119">
        <f t="shared" ref="GJ7:GY31" si="18">$GI7*GJ$57</f>
        <v>192502.8654779089</v>
      </c>
      <c r="GK7" s="119">
        <f t="shared" si="6"/>
        <v>169246.24434489588</v>
      </c>
      <c r="GL7" s="119">
        <f t="shared" si="6"/>
        <v>169246.24434489588</v>
      </c>
      <c r="GM7" s="119">
        <f t="shared" si="6"/>
        <v>169246.24434489588</v>
      </c>
      <c r="GN7" s="119">
        <f t="shared" si="6"/>
        <v>169246.24434489588</v>
      </c>
      <c r="GO7" s="119">
        <f t="shared" si="6"/>
        <v>169246.24434489588</v>
      </c>
      <c r="GP7" s="119">
        <f t="shared" si="6"/>
        <v>102838.92894801772</v>
      </c>
      <c r="GQ7" s="119">
        <f t="shared" si="6"/>
        <v>102838.92894801772</v>
      </c>
      <c r="GR7" s="119">
        <f t="shared" si="6"/>
        <v>102838.92894801772</v>
      </c>
      <c r="GS7" s="119">
        <f t="shared" si="6"/>
        <v>102838.92894801772</v>
      </c>
      <c r="GT7" s="119">
        <f t="shared" si="6"/>
        <v>102838.92894801772</v>
      </c>
      <c r="GU7" s="119">
        <f t="shared" si="6"/>
        <v>92274.573082552713</v>
      </c>
      <c r="GV7" s="119">
        <f t="shared" si="6"/>
        <v>92274.573082552713</v>
      </c>
      <c r="GW7" s="119">
        <f t="shared" si="6"/>
        <v>92274.573082552713</v>
      </c>
      <c r="GX7" s="119">
        <f t="shared" si="6"/>
        <v>92274.573082552713</v>
      </c>
      <c r="GY7" s="119">
        <f t="shared" si="6"/>
        <v>92274.573082552713</v>
      </c>
      <c r="GZ7" s="119">
        <f t="shared" si="6"/>
        <v>88928.567132280878</v>
      </c>
      <c r="HA7" s="119">
        <f t="shared" si="6"/>
        <v>88928.567132280878</v>
      </c>
      <c r="HB7" s="119">
        <f t="shared" si="6"/>
        <v>88928.567132280878</v>
      </c>
      <c r="HC7" s="119">
        <f t="shared" si="6"/>
        <v>88928.567132280878</v>
      </c>
      <c r="HD7" s="119">
        <f t="shared" si="6"/>
        <v>88928.567132280878</v>
      </c>
      <c r="HE7" s="119">
        <f t="shared" si="6"/>
        <v>85388.568028038222</v>
      </c>
      <c r="HF7" s="119">
        <f t="shared" si="6"/>
        <v>85388.568028038222</v>
      </c>
      <c r="HG7" s="119">
        <f t="shared" si="6"/>
        <v>85388.568028038222</v>
      </c>
      <c r="HH7" s="119">
        <f t="shared" si="6"/>
        <v>85388.568028038222</v>
      </c>
      <c r="HI7" s="119">
        <f t="shared" si="6"/>
        <v>85388.568028038222</v>
      </c>
      <c r="HJ7" s="119">
        <f t="shared" si="6"/>
        <v>79962.775008451354</v>
      </c>
    </row>
    <row r="8" spans="1:218" x14ac:dyDescent="0.25">
      <c r="A8" s="203" t="s">
        <v>607</v>
      </c>
      <c r="B8" s="202">
        <f>US_Results!BL53</f>
        <v>0</v>
      </c>
      <c r="Q8" s="37">
        <v>2023</v>
      </c>
      <c r="R8" s="171">
        <v>0</v>
      </c>
      <c r="S8" s="172">
        <v>0.42</v>
      </c>
      <c r="T8" s="172">
        <v>0.17</v>
      </c>
      <c r="U8" s="172">
        <v>0.19</v>
      </c>
      <c r="V8" s="172">
        <v>0</v>
      </c>
      <c r="W8" s="172">
        <v>0.21999999999999997</v>
      </c>
      <c r="X8" s="134">
        <f t="shared" si="7"/>
        <v>1</v>
      </c>
      <c r="Z8" s="83" t="s">
        <v>189</v>
      </c>
      <c r="AA8" s="114">
        <f>'US Grid mix, emissions&amp;prices'!O60</f>
        <v>110023</v>
      </c>
      <c r="AB8" s="116">
        <f t="shared" ref="AB8:AF9" si="19">$AA8*AB$57</f>
        <v>110023</v>
      </c>
      <c r="AC8" s="116">
        <f t="shared" si="19"/>
        <v>96764.550612279505</v>
      </c>
      <c r="AD8" s="116">
        <f t="shared" si="19"/>
        <v>96764.550612279505</v>
      </c>
      <c r="AE8" s="116">
        <f t="shared" si="19"/>
        <v>96764.550612279505</v>
      </c>
      <c r="AF8" s="116">
        <f t="shared" si="19"/>
        <v>96764.550612279505</v>
      </c>
      <c r="AG8" s="116">
        <f t="shared" si="8"/>
        <v>96764.550612279505</v>
      </c>
      <c r="AH8" s="116">
        <f t="shared" si="8"/>
        <v>58139.788611370132</v>
      </c>
      <c r="AI8" s="116">
        <f t="shared" si="8"/>
        <v>58139.788611370132</v>
      </c>
      <c r="AJ8" s="116">
        <f t="shared" si="8"/>
        <v>58139.788611370132</v>
      </c>
      <c r="AK8" s="116">
        <f t="shared" si="8"/>
        <v>58139.788611370132</v>
      </c>
      <c r="AL8" s="116">
        <f t="shared" si="8"/>
        <v>58139.788611370132</v>
      </c>
      <c r="AM8" s="116">
        <f t="shared" si="8"/>
        <v>60842.012707978509</v>
      </c>
      <c r="AN8" s="116">
        <f t="shared" si="8"/>
        <v>60842.012707978509</v>
      </c>
      <c r="AO8" s="116">
        <f t="shared" si="8"/>
        <v>60842.012707978509</v>
      </c>
      <c r="AP8" s="116">
        <f t="shared" si="8"/>
        <v>60842.012707978509</v>
      </c>
      <c r="AQ8" s="116">
        <f t="shared" si="9"/>
        <v>60842.012707978509</v>
      </c>
      <c r="AR8" s="116">
        <f t="shared" si="9"/>
        <v>63601.045406555124</v>
      </c>
      <c r="AS8" s="116">
        <f t="shared" si="9"/>
        <v>63601.045406555124</v>
      </c>
      <c r="AT8" s="116">
        <f t="shared" si="9"/>
        <v>63601.045406555124</v>
      </c>
      <c r="AU8" s="116">
        <f t="shared" si="9"/>
        <v>63601.045406555124</v>
      </c>
      <c r="AV8" s="116">
        <f t="shared" si="9"/>
        <v>63601.045406555124</v>
      </c>
      <c r="AW8" s="116">
        <f t="shared" si="9"/>
        <v>64996.671657894127</v>
      </c>
      <c r="AX8" s="116">
        <f t="shared" si="9"/>
        <v>64996.671657894127</v>
      </c>
      <c r="AY8" s="116">
        <f t="shared" si="9"/>
        <v>64996.671657894127</v>
      </c>
      <c r="AZ8" s="116">
        <f t="shared" si="9"/>
        <v>64996.671657894127</v>
      </c>
      <c r="BA8" s="116">
        <f t="shared" si="9"/>
        <v>64996.671657894127</v>
      </c>
      <c r="BB8" s="116">
        <f t="shared" si="9"/>
        <v>65084.85217438214</v>
      </c>
      <c r="BM8" s="123" t="s">
        <v>189</v>
      </c>
      <c r="BN8" s="103">
        <f t="shared" si="1"/>
        <v>110023</v>
      </c>
      <c r="BO8" s="119">
        <f t="shared" si="10"/>
        <v>110023</v>
      </c>
      <c r="BP8" s="119">
        <f t="shared" si="2"/>
        <v>96638.215064618795</v>
      </c>
      <c r="BQ8" s="119">
        <f t="shared" si="2"/>
        <v>96638.215064618795</v>
      </c>
      <c r="BR8" s="119">
        <f t="shared" si="2"/>
        <v>96638.215064618795</v>
      </c>
      <c r="BS8" s="119">
        <f t="shared" si="2"/>
        <v>96638.215064618795</v>
      </c>
      <c r="BT8" s="119">
        <f t="shared" si="2"/>
        <v>96638.215064618795</v>
      </c>
      <c r="BU8" s="119">
        <f t="shared" si="2"/>
        <v>109545.63816555051</v>
      </c>
      <c r="BV8" s="119">
        <f t="shared" si="2"/>
        <v>109545.63816555051</v>
      </c>
      <c r="BW8" s="119">
        <f t="shared" si="2"/>
        <v>109545.63816555051</v>
      </c>
      <c r="BX8" s="119">
        <f t="shared" si="2"/>
        <v>109545.63816555051</v>
      </c>
      <c r="BY8" s="119">
        <f t="shared" si="2"/>
        <v>109545.63816555051</v>
      </c>
      <c r="BZ8" s="119">
        <f t="shared" si="2"/>
        <v>112180.03109562965</v>
      </c>
      <c r="CA8" s="119">
        <f t="shared" si="2"/>
        <v>112180.03109562965</v>
      </c>
      <c r="CB8" s="119">
        <f t="shared" si="2"/>
        <v>112180.03109562965</v>
      </c>
      <c r="CC8" s="119">
        <f t="shared" si="2"/>
        <v>112180.03109562965</v>
      </c>
      <c r="CD8" s="119">
        <f t="shared" si="2"/>
        <v>112180.03109562965</v>
      </c>
      <c r="CE8" s="119">
        <f t="shared" si="2"/>
        <v>114952.63002751212</v>
      </c>
      <c r="CF8" s="119">
        <f t="shared" si="2"/>
        <v>114952.63002751212</v>
      </c>
      <c r="CG8" s="119">
        <f t="shared" si="2"/>
        <v>114952.63002751212</v>
      </c>
      <c r="CH8" s="119">
        <f t="shared" si="2"/>
        <v>114952.63002751212</v>
      </c>
      <c r="CI8" s="119">
        <f t="shared" si="2"/>
        <v>114952.63002751212</v>
      </c>
      <c r="CJ8" s="119">
        <f t="shared" si="2"/>
        <v>115610.5923428457</v>
      </c>
      <c r="CK8" s="119">
        <f t="shared" si="2"/>
        <v>115610.5923428457</v>
      </c>
      <c r="CL8" s="119">
        <f t="shared" si="2"/>
        <v>115610.5923428457</v>
      </c>
      <c r="CM8" s="119">
        <f t="shared" si="2"/>
        <v>115610.5923428457</v>
      </c>
      <c r="CN8" s="119">
        <f t="shared" si="2"/>
        <v>115610.5923428457</v>
      </c>
      <c r="CO8" s="119">
        <f t="shared" si="2"/>
        <v>116396.5859850032</v>
      </c>
      <c r="CR8" s="123" t="s">
        <v>189</v>
      </c>
      <c r="CS8" s="103">
        <f t="shared" si="11"/>
        <v>133208.54060927397</v>
      </c>
      <c r="CT8" s="119">
        <f t="shared" si="12"/>
        <v>133208.54060927397</v>
      </c>
      <c r="CU8" s="119">
        <f t="shared" si="3"/>
        <v>133208.54060927397</v>
      </c>
      <c r="CV8" s="119">
        <f t="shared" si="3"/>
        <v>133208.54060927397</v>
      </c>
      <c r="CW8" s="119">
        <f t="shared" si="3"/>
        <v>133208.54060927397</v>
      </c>
      <c r="CX8" s="119">
        <f t="shared" si="3"/>
        <v>133208.54060927397</v>
      </c>
      <c r="CY8" s="119">
        <f t="shared" si="3"/>
        <v>133208.54060927397</v>
      </c>
      <c r="CZ8" s="119">
        <f t="shared" si="3"/>
        <v>133238.21674463051</v>
      </c>
      <c r="DA8" s="119">
        <f t="shared" si="3"/>
        <v>133238.21674463051</v>
      </c>
      <c r="DB8" s="119">
        <f t="shared" si="3"/>
        <v>133238.21674463051</v>
      </c>
      <c r="DC8" s="119">
        <f t="shared" si="3"/>
        <v>133238.21674463051</v>
      </c>
      <c r="DD8" s="119">
        <f t="shared" si="3"/>
        <v>133238.21674463051</v>
      </c>
      <c r="DE8" s="119">
        <f t="shared" si="3"/>
        <v>133221.25895299821</v>
      </c>
      <c r="DF8" s="119">
        <f t="shared" si="3"/>
        <v>133221.25895299821</v>
      </c>
      <c r="DG8" s="119">
        <f t="shared" si="3"/>
        <v>133221.25895299821</v>
      </c>
      <c r="DH8" s="119">
        <f t="shared" si="3"/>
        <v>133221.25895299821</v>
      </c>
      <c r="DI8" s="119">
        <f t="shared" si="3"/>
        <v>133221.25895299821</v>
      </c>
      <c r="DJ8" s="119">
        <f t="shared" si="3"/>
        <v>133217.01950509014</v>
      </c>
      <c r="DK8" s="119">
        <f t="shared" si="3"/>
        <v>133217.01950509014</v>
      </c>
      <c r="DL8" s="119">
        <f t="shared" si="3"/>
        <v>133217.01950509014</v>
      </c>
      <c r="DM8" s="119">
        <f t="shared" si="3"/>
        <v>133217.01950509014</v>
      </c>
      <c r="DN8" s="119">
        <f t="shared" si="3"/>
        <v>133217.01950509014</v>
      </c>
      <c r="DO8" s="119">
        <f t="shared" si="3"/>
        <v>133134.77421567345</v>
      </c>
      <c r="DP8" s="119">
        <f t="shared" si="3"/>
        <v>133134.77421567345</v>
      </c>
      <c r="DQ8" s="119">
        <f t="shared" si="3"/>
        <v>133134.77421567345</v>
      </c>
      <c r="DR8" s="119">
        <f t="shared" si="3"/>
        <v>133134.77421567345</v>
      </c>
      <c r="DS8" s="119">
        <f t="shared" si="3"/>
        <v>133134.77421567345</v>
      </c>
      <c r="DT8" s="93">
        <f t="shared" si="3"/>
        <v>133203.45327178427</v>
      </c>
      <c r="DW8" s="123" t="s">
        <v>189</v>
      </c>
      <c r="DX8" s="103">
        <f t="shared" si="13"/>
        <v>139443.91699864157</v>
      </c>
      <c r="DY8" s="119">
        <f t="shared" si="14"/>
        <v>139443.91699864157</v>
      </c>
      <c r="DZ8" s="119">
        <f t="shared" si="4"/>
        <v>122236.57767717633</v>
      </c>
      <c r="EA8" s="119">
        <f t="shared" si="4"/>
        <v>122236.57767717633</v>
      </c>
      <c r="EB8" s="119">
        <f t="shared" si="4"/>
        <v>122236.57767717633</v>
      </c>
      <c r="EC8" s="119">
        <f t="shared" si="4"/>
        <v>122236.57767717633</v>
      </c>
      <c r="ED8" s="119">
        <f t="shared" si="4"/>
        <v>122236.57767717633</v>
      </c>
      <c r="EE8" s="119">
        <f t="shared" si="4"/>
        <v>75338.82743485336</v>
      </c>
      <c r="EF8" s="119">
        <f t="shared" si="4"/>
        <v>75338.82743485336</v>
      </c>
      <c r="EG8" s="119">
        <f t="shared" si="4"/>
        <v>75338.82743485336</v>
      </c>
      <c r="EH8" s="119">
        <f t="shared" si="4"/>
        <v>75338.82743485336</v>
      </c>
      <c r="EI8" s="119">
        <f t="shared" si="4"/>
        <v>75338.82743485336</v>
      </c>
      <c r="EJ8" s="119">
        <f t="shared" si="4"/>
        <v>67286.424998534698</v>
      </c>
      <c r="EK8" s="119">
        <f t="shared" si="4"/>
        <v>67286.424998534698</v>
      </c>
      <c r="EL8" s="119">
        <f t="shared" si="4"/>
        <v>67286.424998534698</v>
      </c>
      <c r="EM8" s="119">
        <f t="shared" si="4"/>
        <v>67286.424998534698</v>
      </c>
      <c r="EN8" s="119">
        <f t="shared" si="4"/>
        <v>67286.424998534698</v>
      </c>
      <c r="EO8" s="119">
        <f t="shared" si="4"/>
        <v>65168.614413868025</v>
      </c>
      <c r="EP8" s="119">
        <f t="shared" si="4"/>
        <v>65168.614413868025</v>
      </c>
      <c r="EQ8" s="119">
        <f t="shared" si="4"/>
        <v>65168.614413868025</v>
      </c>
      <c r="ER8" s="119">
        <f t="shared" si="4"/>
        <v>65168.614413868025</v>
      </c>
      <c r="ES8" s="119">
        <f t="shared" si="4"/>
        <v>65168.614413868025</v>
      </c>
      <c r="ET8" s="119">
        <f t="shared" si="4"/>
        <v>62748.992723097625</v>
      </c>
      <c r="EU8" s="119">
        <f t="shared" si="4"/>
        <v>62748.992723097625</v>
      </c>
      <c r="EV8" s="119">
        <f t="shared" si="4"/>
        <v>62748.992723097625</v>
      </c>
      <c r="EW8" s="119">
        <f t="shared" si="4"/>
        <v>62748.992723097625</v>
      </c>
      <c r="EX8" s="119">
        <f t="shared" si="4"/>
        <v>62748.992723097625</v>
      </c>
      <c r="EY8" s="119">
        <f t="shared" si="4"/>
        <v>58954.795960650692</v>
      </c>
      <c r="FB8" s="123" t="s">
        <v>189</v>
      </c>
      <c r="FC8" s="103">
        <f t="shared" si="15"/>
        <v>151247.40032510663</v>
      </c>
      <c r="FD8" s="119">
        <f t="shared" si="16"/>
        <v>151247.40032510663</v>
      </c>
      <c r="FE8" s="119">
        <f t="shared" si="5"/>
        <v>132084.44822429577</v>
      </c>
      <c r="FF8" s="119">
        <f t="shared" si="5"/>
        <v>132084.44822429577</v>
      </c>
      <c r="FG8" s="119">
        <f t="shared" si="5"/>
        <v>132084.44822429577</v>
      </c>
      <c r="FH8" s="119">
        <f t="shared" si="5"/>
        <v>132084.44822429577</v>
      </c>
      <c r="FI8" s="119">
        <f t="shared" si="5"/>
        <v>132084.44822429577</v>
      </c>
      <c r="FJ8" s="119">
        <f t="shared" si="5"/>
        <v>82886.158224222905</v>
      </c>
      <c r="FK8" s="119">
        <f t="shared" si="5"/>
        <v>82886.158224222905</v>
      </c>
      <c r="FL8" s="119">
        <f t="shared" si="5"/>
        <v>82886.158224222905</v>
      </c>
      <c r="FM8" s="119">
        <f t="shared" si="5"/>
        <v>82886.158224222905</v>
      </c>
      <c r="FN8" s="119">
        <f t="shared" si="5"/>
        <v>82886.158224222905</v>
      </c>
      <c r="FO8" s="119">
        <f t="shared" si="5"/>
        <v>73598.794017010412</v>
      </c>
      <c r="FP8" s="119">
        <f t="shared" si="5"/>
        <v>73598.794017010412</v>
      </c>
      <c r="FQ8" s="119">
        <f t="shared" si="5"/>
        <v>73598.794017010412</v>
      </c>
      <c r="FR8" s="119">
        <f t="shared" si="5"/>
        <v>73598.794017010412</v>
      </c>
      <c r="FS8" s="119">
        <f t="shared" si="5"/>
        <v>73598.794017010412</v>
      </c>
      <c r="FT8" s="119">
        <f t="shared" si="5"/>
        <v>71725.306708713426</v>
      </c>
      <c r="FU8" s="119">
        <f t="shared" si="5"/>
        <v>71725.306708713426</v>
      </c>
      <c r="FV8" s="119">
        <f t="shared" si="5"/>
        <v>71725.306708713426</v>
      </c>
      <c r="FW8" s="119">
        <f t="shared" si="5"/>
        <v>71725.306708713426</v>
      </c>
      <c r="FX8" s="119">
        <f t="shared" si="5"/>
        <v>71725.306708713426</v>
      </c>
      <c r="FY8" s="119">
        <f t="shared" si="5"/>
        <v>69300.552176002471</v>
      </c>
      <c r="FZ8" s="119">
        <f t="shared" si="5"/>
        <v>69300.552176002471</v>
      </c>
      <c r="GA8" s="119">
        <f t="shared" si="5"/>
        <v>69300.552176002471</v>
      </c>
      <c r="GB8" s="119">
        <f t="shared" si="5"/>
        <v>69300.552176002471</v>
      </c>
      <c r="GC8" s="119">
        <f t="shared" si="5"/>
        <v>69300.552176002471</v>
      </c>
      <c r="GD8" s="119">
        <f t="shared" si="5"/>
        <v>65374.954659877723</v>
      </c>
      <c r="GH8" s="123" t="s">
        <v>189</v>
      </c>
      <c r="GI8" s="103">
        <f t="shared" si="17"/>
        <v>131409.99279330886</v>
      </c>
      <c r="GJ8" s="119">
        <f t="shared" si="18"/>
        <v>131409.99279330886</v>
      </c>
      <c r="GK8" s="119">
        <f t="shared" si="6"/>
        <v>115534.11267121961</v>
      </c>
      <c r="GL8" s="119">
        <f t="shared" si="6"/>
        <v>115534.11267121961</v>
      </c>
      <c r="GM8" s="119">
        <f t="shared" si="6"/>
        <v>115534.11267121961</v>
      </c>
      <c r="GN8" s="119">
        <f t="shared" si="6"/>
        <v>115534.11267121961</v>
      </c>
      <c r="GO8" s="119">
        <f t="shared" si="6"/>
        <v>115534.11267121961</v>
      </c>
      <c r="GP8" s="119">
        <f t="shared" si="6"/>
        <v>70201.879220761257</v>
      </c>
      <c r="GQ8" s="119">
        <f t="shared" si="6"/>
        <v>70201.879220761257</v>
      </c>
      <c r="GR8" s="119">
        <f t="shared" si="6"/>
        <v>70201.879220761257</v>
      </c>
      <c r="GS8" s="119">
        <f t="shared" si="6"/>
        <v>70201.879220761257</v>
      </c>
      <c r="GT8" s="119">
        <f t="shared" si="6"/>
        <v>70201.879220761257</v>
      </c>
      <c r="GU8" s="119">
        <f t="shared" si="6"/>
        <v>62990.236294302995</v>
      </c>
      <c r="GV8" s="119">
        <f t="shared" si="6"/>
        <v>62990.236294302995</v>
      </c>
      <c r="GW8" s="119">
        <f t="shared" si="6"/>
        <v>62990.236294302995</v>
      </c>
      <c r="GX8" s="119">
        <f t="shared" si="6"/>
        <v>62990.236294302995</v>
      </c>
      <c r="GY8" s="119">
        <f t="shared" si="6"/>
        <v>62990.236294302995</v>
      </c>
      <c r="GZ8" s="119">
        <f t="shared" si="6"/>
        <v>60706.121630762835</v>
      </c>
      <c r="HA8" s="119">
        <f t="shared" si="6"/>
        <v>60706.121630762835</v>
      </c>
      <c r="HB8" s="119">
        <f t="shared" si="6"/>
        <v>60706.121630762835</v>
      </c>
      <c r="HC8" s="119">
        <f t="shared" si="6"/>
        <v>60706.121630762835</v>
      </c>
      <c r="HD8" s="119">
        <f t="shared" si="6"/>
        <v>60706.121630762835</v>
      </c>
      <c r="HE8" s="119">
        <f t="shared" si="6"/>
        <v>58289.579645156751</v>
      </c>
      <c r="HF8" s="119">
        <f t="shared" si="6"/>
        <v>58289.579645156751</v>
      </c>
      <c r="HG8" s="119">
        <f t="shared" si="6"/>
        <v>58289.579645156751</v>
      </c>
      <c r="HH8" s="119">
        <f t="shared" si="6"/>
        <v>58289.579645156751</v>
      </c>
      <c r="HI8" s="119">
        <f t="shared" si="6"/>
        <v>58289.579645156751</v>
      </c>
      <c r="HJ8" s="119">
        <f t="shared" si="6"/>
        <v>54585.720900863314</v>
      </c>
    </row>
    <row r="9" spans="1:218" x14ac:dyDescent="0.25">
      <c r="Q9" s="37">
        <v>2025</v>
      </c>
      <c r="R9" s="135">
        <v>2E-3</v>
      </c>
      <c r="S9" s="128">
        <v>0.32100000000000001</v>
      </c>
      <c r="T9" s="128">
        <v>0.187</v>
      </c>
      <c r="U9" s="128">
        <v>0.191</v>
      </c>
      <c r="V9" s="128">
        <v>3.0000000000000001E-3</v>
      </c>
      <c r="W9" s="128">
        <v>0.29599999999999999</v>
      </c>
      <c r="X9" s="134">
        <f t="shared" si="7"/>
        <v>1</v>
      </c>
      <c r="Z9" s="83" t="s">
        <v>188</v>
      </c>
      <c r="AA9" s="114">
        <f>'US Grid mix, emissions&amp;prices'!O61</f>
        <v>154383</v>
      </c>
      <c r="AB9" s="116">
        <f t="shared" si="19"/>
        <v>154383</v>
      </c>
      <c r="AC9" s="116">
        <f t="shared" si="19"/>
        <v>135778.89729579765</v>
      </c>
      <c r="AD9" s="116">
        <f t="shared" si="19"/>
        <v>135778.89729579765</v>
      </c>
      <c r="AE9" s="116">
        <f t="shared" si="19"/>
        <v>135778.89729579765</v>
      </c>
      <c r="AF9" s="116">
        <f t="shared" si="19"/>
        <v>135778.89729579765</v>
      </c>
      <c r="AG9" s="116">
        <f t="shared" si="8"/>
        <v>135778.89729579765</v>
      </c>
      <c r="AH9" s="116">
        <f t="shared" si="8"/>
        <v>81581.078367151917</v>
      </c>
      <c r="AI9" s="116">
        <f t="shared" si="8"/>
        <v>81581.078367151917</v>
      </c>
      <c r="AJ9" s="116">
        <f t="shared" si="8"/>
        <v>81581.078367151917</v>
      </c>
      <c r="AK9" s="116">
        <f t="shared" si="8"/>
        <v>81581.078367151917</v>
      </c>
      <c r="AL9" s="116">
        <f t="shared" si="8"/>
        <v>81581.078367151917</v>
      </c>
      <c r="AM9" s="116">
        <f t="shared" si="8"/>
        <v>85372.807939211314</v>
      </c>
      <c r="AN9" s="116">
        <f t="shared" si="8"/>
        <v>85372.807939211314</v>
      </c>
      <c r="AO9" s="116">
        <f t="shared" si="8"/>
        <v>85372.807939211314</v>
      </c>
      <c r="AP9" s="116">
        <f t="shared" si="8"/>
        <v>85372.807939211314</v>
      </c>
      <c r="AQ9" s="116">
        <f t="shared" si="9"/>
        <v>85372.807939211314</v>
      </c>
      <c r="AR9" s="116">
        <f t="shared" si="9"/>
        <v>89244.250683949722</v>
      </c>
      <c r="AS9" s="116">
        <f t="shared" si="9"/>
        <v>89244.250683949722</v>
      </c>
      <c r="AT9" s="116">
        <f t="shared" si="9"/>
        <v>89244.250683949722</v>
      </c>
      <c r="AU9" s="116">
        <f t="shared" si="9"/>
        <v>89244.250683949722</v>
      </c>
      <c r="AV9" s="116">
        <f t="shared" si="9"/>
        <v>89244.250683949722</v>
      </c>
      <c r="AW9" s="116">
        <f t="shared" si="9"/>
        <v>91202.577284392071</v>
      </c>
      <c r="AX9" s="116">
        <f t="shared" si="9"/>
        <v>91202.577284392071</v>
      </c>
      <c r="AY9" s="116">
        <f t="shared" si="9"/>
        <v>91202.577284392071</v>
      </c>
      <c r="AZ9" s="116">
        <f t="shared" si="9"/>
        <v>91202.577284392071</v>
      </c>
      <c r="BA9" s="116">
        <f t="shared" si="9"/>
        <v>91202.577284392071</v>
      </c>
      <c r="BB9" s="116">
        <f t="shared" si="9"/>
        <v>91326.311164371422</v>
      </c>
      <c r="BM9" s="123" t="s">
        <v>188</v>
      </c>
      <c r="BN9" s="103">
        <f t="shared" si="1"/>
        <v>154383</v>
      </c>
      <c r="BO9" s="119">
        <f t="shared" si="10"/>
        <v>154383</v>
      </c>
      <c r="BP9" s="119">
        <f t="shared" si="2"/>
        <v>135601.62471775032</v>
      </c>
      <c r="BQ9" s="119">
        <f t="shared" si="2"/>
        <v>135601.62471775032</v>
      </c>
      <c r="BR9" s="119">
        <f t="shared" si="2"/>
        <v>135601.62471775032</v>
      </c>
      <c r="BS9" s="119">
        <f t="shared" si="2"/>
        <v>135601.62471775032</v>
      </c>
      <c r="BT9" s="119">
        <f t="shared" si="2"/>
        <v>135601.62471775032</v>
      </c>
      <c r="BU9" s="119">
        <f t="shared" si="2"/>
        <v>153713.1713997272</v>
      </c>
      <c r="BV9" s="119">
        <f t="shared" si="2"/>
        <v>153713.1713997272</v>
      </c>
      <c r="BW9" s="119">
        <f t="shared" si="2"/>
        <v>153713.1713997272</v>
      </c>
      <c r="BX9" s="119">
        <f t="shared" si="2"/>
        <v>153713.1713997272</v>
      </c>
      <c r="BY9" s="119">
        <f t="shared" si="2"/>
        <v>153713.1713997272</v>
      </c>
      <c r="BZ9" s="119">
        <f t="shared" si="2"/>
        <v>157409.72106411017</v>
      </c>
      <c r="CA9" s="119">
        <f t="shared" si="2"/>
        <v>157409.72106411017</v>
      </c>
      <c r="CB9" s="119">
        <f t="shared" si="2"/>
        <v>157409.72106411017</v>
      </c>
      <c r="CC9" s="119">
        <f t="shared" si="2"/>
        <v>157409.72106411017</v>
      </c>
      <c r="CD9" s="119">
        <f t="shared" si="2"/>
        <v>157409.72106411017</v>
      </c>
      <c r="CE9" s="119">
        <f t="shared" si="2"/>
        <v>161300.19979038386</v>
      </c>
      <c r="CF9" s="119">
        <f t="shared" si="2"/>
        <v>161300.19979038386</v>
      </c>
      <c r="CG9" s="119">
        <f t="shared" si="2"/>
        <v>161300.19979038386</v>
      </c>
      <c r="CH9" s="119">
        <f t="shared" si="2"/>
        <v>161300.19979038386</v>
      </c>
      <c r="CI9" s="119">
        <f t="shared" si="2"/>
        <v>161300.19979038386</v>
      </c>
      <c r="CJ9" s="119">
        <f t="shared" si="2"/>
        <v>162223.44489484516</v>
      </c>
      <c r="CK9" s="119">
        <f t="shared" si="2"/>
        <v>162223.44489484516</v>
      </c>
      <c r="CL9" s="119">
        <f t="shared" si="2"/>
        <v>162223.44489484516</v>
      </c>
      <c r="CM9" s="119">
        <f t="shared" si="2"/>
        <v>162223.44489484516</v>
      </c>
      <c r="CN9" s="119">
        <f t="shared" si="2"/>
        <v>162223.44489484516</v>
      </c>
      <c r="CO9" s="119">
        <f t="shared" si="2"/>
        <v>163326.34207504566</v>
      </c>
      <c r="CR9" s="123" t="s">
        <v>188</v>
      </c>
      <c r="CS9" s="103">
        <f t="shared" si="11"/>
        <v>186916.68219264649</v>
      </c>
      <c r="CT9" s="119">
        <f t="shared" si="12"/>
        <v>186916.68219264649</v>
      </c>
      <c r="CU9" s="119">
        <f t="shared" si="3"/>
        <v>186916.68219264649</v>
      </c>
      <c r="CV9" s="119">
        <f t="shared" si="3"/>
        <v>186916.68219264649</v>
      </c>
      <c r="CW9" s="119">
        <f t="shared" si="3"/>
        <v>186916.68219264649</v>
      </c>
      <c r="CX9" s="119">
        <f t="shared" si="3"/>
        <v>186916.68219264649</v>
      </c>
      <c r="CY9" s="119">
        <f t="shared" si="3"/>
        <v>186916.68219264649</v>
      </c>
      <c r="CZ9" s="119">
        <f t="shared" si="3"/>
        <v>186958.3234022549</v>
      </c>
      <c r="DA9" s="119">
        <f t="shared" si="3"/>
        <v>186958.3234022549</v>
      </c>
      <c r="DB9" s="119">
        <f t="shared" si="3"/>
        <v>186958.3234022549</v>
      </c>
      <c r="DC9" s="119">
        <f t="shared" si="3"/>
        <v>186958.3234022549</v>
      </c>
      <c r="DD9" s="119">
        <f t="shared" si="3"/>
        <v>186958.3234022549</v>
      </c>
      <c r="DE9" s="119">
        <f t="shared" si="3"/>
        <v>186934.52842533583</v>
      </c>
      <c r="DF9" s="119">
        <f t="shared" si="3"/>
        <v>186934.52842533583</v>
      </c>
      <c r="DG9" s="119">
        <f t="shared" si="3"/>
        <v>186934.52842533583</v>
      </c>
      <c r="DH9" s="119">
        <f t="shared" si="3"/>
        <v>186934.52842533583</v>
      </c>
      <c r="DI9" s="119">
        <f t="shared" si="3"/>
        <v>186934.52842533583</v>
      </c>
      <c r="DJ9" s="119">
        <f t="shared" si="3"/>
        <v>186928.57968110603</v>
      </c>
      <c r="DK9" s="119">
        <f t="shared" si="3"/>
        <v>186928.57968110603</v>
      </c>
      <c r="DL9" s="119">
        <f t="shared" si="3"/>
        <v>186928.57968110603</v>
      </c>
      <c r="DM9" s="119">
        <f t="shared" si="3"/>
        <v>186928.57968110603</v>
      </c>
      <c r="DN9" s="119">
        <f t="shared" si="3"/>
        <v>186928.57968110603</v>
      </c>
      <c r="DO9" s="119">
        <f t="shared" si="3"/>
        <v>186813.17404304838</v>
      </c>
      <c r="DP9" s="119">
        <f t="shared" si="3"/>
        <v>186813.17404304838</v>
      </c>
      <c r="DQ9" s="119">
        <f t="shared" si="3"/>
        <v>186813.17404304838</v>
      </c>
      <c r="DR9" s="119">
        <f t="shared" si="3"/>
        <v>186813.17404304838</v>
      </c>
      <c r="DS9" s="119">
        <f t="shared" si="3"/>
        <v>186813.17404304838</v>
      </c>
      <c r="DT9" s="93">
        <f t="shared" si="3"/>
        <v>186909.54369957076</v>
      </c>
      <c r="DW9" s="123" t="s">
        <v>188</v>
      </c>
      <c r="DX9" s="103">
        <f t="shared" si="13"/>
        <v>195666.09016297761</v>
      </c>
      <c r="DY9" s="119">
        <f t="shared" si="14"/>
        <v>195666.09016297761</v>
      </c>
      <c r="DZ9" s="119">
        <f t="shared" si="4"/>
        <v>171520.95081515246</v>
      </c>
      <c r="EA9" s="119">
        <f t="shared" si="4"/>
        <v>171520.95081515246</v>
      </c>
      <c r="EB9" s="119">
        <f t="shared" si="4"/>
        <v>171520.95081515246</v>
      </c>
      <c r="EC9" s="119">
        <f t="shared" si="4"/>
        <v>171520.95081515246</v>
      </c>
      <c r="ED9" s="119">
        <f t="shared" si="4"/>
        <v>171520.95081515246</v>
      </c>
      <c r="EE9" s="119">
        <f t="shared" si="4"/>
        <v>105714.57055229331</v>
      </c>
      <c r="EF9" s="119">
        <f t="shared" si="4"/>
        <v>105714.57055229331</v>
      </c>
      <c r="EG9" s="119">
        <f t="shared" si="4"/>
        <v>105714.57055229331</v>
      </c>
      <c r="EH9" s="119">
        <f t="shared" si="4"/>
        <v>105714.57055229331</v>
      </c>
      <c r="EI9" s="119">
        <f t="shared" si="4"/>
        <v>105714.57055229331</v>
      </c>
      <c r="EJ9" s="119">
        <f t="shared" si="4"/>
        <v>94415.532666340543</v>
      </c>
      <c r="EK9" s="119">
        <f t="shared" si="4"/>
        <v>94415.532666340543</v>
      </c>
      <c r="EL9" s="119">
        <f t="shared" si="4"/>
        <v>94415.532666340543</v>
      </c>
      <c r="EM9" s="119">
        <f t="shared" si="4"/>
        <v>94415.532666340543</v>
      </c>
      <c r="EN9" s="119">
        <f t="shared" si="4"/>
        <v>94415.532666340543</v>
      </c>
      <c r="EO9" s="119">
        <f t="shared" si="4"/>
        <v>91443.845369206349</v>
      </c>
      <c r="EP9" s="119">
        <f t="shared" si="4"/>
        <v>91443.845369206349</v>
      </c>
      <c r="EQ9" s="119">
        <f t="shared" si="4"/>
        <v>91443.845369206349</v>
      </c>
      <c r="ER9" s="119">
        <f t="shared" si="4"/>
        <v>91443.845369206349</v>
      </c>
      <c r="ES9" s="119">
        <f t="shared" si="4"/>
        <v>91443.845369206349</v>
      </c>
      <c r="ET9" s="119">
        <f t="shared" si="4"/>
        <v>88048.660221680766</v>
      </c>
      <c r="EU9" s="119">
        <f t="shared" si="4"/>
        <v>88048.660221680766</v>
      </c>
      <c r="EV9" s="119">
        <f t="shared" si="4"/>
        <v>88048.660221680766</v>
      </c>
      <c r="EW9" s="119">
        <f t="shared" si="4"/>
        <v>88048.660221680766</v>
      </c>
      <c r="EX9" s="119">
        <f t="shared" si="4"/>
        <v>88048.660221680766</v>
      </c>
      <c r="EY9" s="119">
        <f t="shared" si="4"/>
        <v>82724.687245331777</v>
      </c>
      <c r="FB9" s="123" t="s">
        <v>188</v>
      </c>
      <c r="FC9" s="103">
        <f t="shared" si="15"/>
        <v>212228.60133236632</v>
      </c>
      <c r="FD9" s="119">
        <f t="shared" si="16"/>
        <v>212228.60133236632</v>
      </c>
      <c r="FE9" s="119">
        <f t="shared" si="5"/>
        <v>185339.36877027038</v>
      </c>
      <c r="FF9" s="119">
        <f t="shared" si="5"/>
        <v>185339.36877027038</v>
      </c>
      <c r="FG9" s="119">
        <f t="shared" si="5"/>
        <v>185339.36877027038</v>
      </c>
      <c r="FH9" s="119">
        <f t="shared" si="5"/>
        <v>185339.36877027038</v>
      </c>
      <c r="FI9" s="119">
        <f t="shared" si="5"/>
        <v>185339.36877027038</v>
      </c>
      <c r="FJ9" s="119">
        <f t="shared" si="5"/>
        <v>116304.897749836</v>
      </c>
      <c r="FK9" s="119">
        <f t="shared" si="5"/>
        <v>116304.897749836</v>
      </c>
      <c r="FL9" s="119">
        <f t="shared" si="5"/>
        <v>116304.897749836</v>
      </c>
      <c r="FM9" s="119">
        <f t="shared" si="5"/>
        <v>116304.897749836</v>
      </c>
      <c r="FN9" s="119">
        <f t="shared" si="5"/>
        <v>116304.897749836</v>
      </c>
      <c r="FO9" s="119">
        <f t="shared" si="5"/>
        <v>103272.97580258781</v>
      </c>
      <c r="FP9" s="119">
        <f t="shared" si="5"/>
        <v>103272.97580258781</v>
      </c>
      <c r="FQ9" s="119">
        <f t="shared" si="5"/>
        <v>103272.97580258781</v>
      </c>
      <c r="FR9" s="119">
        <f t="shared" si="5"/>
        <v>103272.97580258781</v>
      </c>
      <c r="FS9" s="119">
        <f t="shared" si="5"/>
        <v>103272.97580258781</v>
      </c>
      <c r="FT9" s="119">
        <f t="shared" si="5"/>
        <v>100644.12009862761</v>
      </c>
      <c r="FU9" s="119">
        <f t="shared" si="5"/>
        <v>100644.12009862761</v>
      </c>
      <c r="FV9" s="119">
        <f t="shared" si="5"/>
        <v>100644.12009862761</v>
      </c>
      <c r="FW9" s="119">
        <f t="shared" si="5"/>
        <v>100644.12009862761</v>
      </c>
      <c r="FX9" s="119">
        <f t="shared" si="5"/>
        <v>100644.12009862761</v>
      </c>
      <c r="FY9" s="119">
        <f t="shared" si="5"/>
        <v>97241.732606707606</v>
      </c>
      <c r="FZ9" s="119">
        <f t="shared" si="5"/>
        <v>97241.732606707606</v>
      </c>
      <c r="GA9" s="119">
        <f t="shared" si="5"/>
        <v>97241.732606707606</v>
      </c>
      <c r="GB9" s="119">
        <f t="shared" si="5"/>
        <v>97241.732606707606</v>
      </c>
      <c r="GC9" s="119">
        <f t="shared" si="5"/>
        <v>97241.732606707606</v>
      </c>
      <c r="GD9" s="119">
        <f t="shared" si="5"/>
        <v>91733.379613861689</v>
      </c>
      <c r="GH9" s="123" t="s">
        <v>188</v>
      </c>
      <c r="GI9" s="103">
        <f t="shared" si="17"/>
        <v>184392.9807168447</v>
      </c>
      <c r="GJ9" s="119">
        <f t="shared" si="18"/>
        <v>184392.9807168447</v>
      </c>
      <c r="GK9" s="119">
        <f t="shared" si="6"/>
        <v>162116.12950492988</v>
      </c>
      <c r="GL9" s="119">
        <f t="shared" si="6"/>
        <v>162116.12950492988</v>
      </c>
      <c r="GM9" s="119">
        <f t="shared" si="6"/>
        <v>162116.12950492988</v>
      </c>
      <c r="GN9" s="119">
        <f t="shared" si="6"/>
        <v>162116.12950492988</v>
      </c>
      <c r="GO9" s="119">
        <f t="shared" si="6"/>
        <v>162116.12950492988</v>
      </c>
      <c r="GP9" s="119">
        <f t="shared" si="6"/>
        <v>98506.464282366287</v>
      </c>
      <c r="GQ9" s="119">
        <f t="shared" si="6"/>
        <v>98506.464282366287</v>
      </c>
      <c r="GR9" s="119">
        <f t="shared" si="6"/>
        <v>98506.464282366287</v>
      </c>
      <c r="GS9" s="119">
        <f t="shared" si="6"/>
        <v>98506.464282366287</v>
      </c>
      <c r="GT9" s="119">
        <f t="shared" si="6"/>
        <v>98506.464282366287</v>
      </c>
      <c r="GU9" s="119">
        <f t="shared" si="6"/>
        <v>88387.17040821811</v>
      </c>
      <c r="GV9" s="119">
        <f t="shared" si="6"/>
        <v>88387.17040821811</v>
      </c>
      <c r="GW9" s="119">
        <f t="shared" si="6"/>
        <v>88387.17040821811</v>
      </c>
      <c r="GX9" s="119">
        <f t="shared" si="6"/>
        <v>88387.17040821811</v>
      </c>
      <c r="GY9" s="119">
        <f t="shared" si="6"/>
        <v>88387.17040821811</v>
      </c>
      <c r="GZ9" s="119">
        <f t="shared" si="6"/>
        <v>85182.127152704983</v>
      </c>
      <c r="HA9" s="119">
        <f t="shared" si="6"/>
        <v>85182.127152704983</v>
      </c>
      <c r="HB9" s="119">
        <f t="shared" si="6"/>
        <v>85182.127152704983</v>
      </c>
      <c r="HC9" s="119">
        <f t="shared" si="6"/>
        <v>85182.127152704983</v>
      </c>
      <c r="HD9" s="119">
        <f t="shared" si="6"/>
        <v>85182.127152704983</v>
      </c>
      <c r="HE9" s="119">
        <f t="shared" si="6"/>
        <v>81791.263411816035</v>
      </c>
      <c r="HF9" s="119">
        <f t="shared" si="6"/>
        <v>81791.263411816035</v>
      </c>
      <c r="HG9" s="119">
        <f t="shared" si="6"/>
        <v>81791.263411816035</v>
      </c>
      <c r="HH9" s="119">
        <f t="shared" si="6"/>
        <v>81791.263411816035</v>
      </c>
      <c r="HI9" s="119">
        <f t="shared" si="6"/>
        <v>81791.263411816035</v>
      </c>
      <c r="HJ9" s="119">
        <f t="shared" si="6"/>
        <v>76594.051696808689</v>
      </c>
    </row>
    <row r="10" spans="1:218" x14ac:dyDescent="0.25">
      <c r="Q10" s="37">
        <v>2030</v>
      </c>
      <c r="R10" s="135">
        <v>2E-3</v>
      </c>
      <c r="S10" s="128">
        <v>0.247</v>
      </c>
      <c r="T10" s="128">
        <v>8.3000000000000004E-2</v>
      </c>
      <c r="U10" s="128">
        <v>0.17899999999999999</v>
      </c>
      <c r="V10" s="128">
        <v>2E-3</v>
      </c>
      <c r="W10" s="128">
        <v>0.48799999999999999</v>
      </c>
      <c r="X10" s="134">
        <f t="shared" si="7"/>
        <v>1.0009999999999999</v>
      </c>
      <c r="Z10" s="83" t="s">
        <v>149</v>
      </c>
      <c r="AA10" s="114">
        <f>'US Grid mix, emissions&amp;prices'!O62</f>
        <v>66625</v>
      </c>
      <c r="AB10" s="116">
        <f t="shared" ref="AB10:AQ25" si="20">$AA10*AB$57</f>
        <v>66625</v>
      </c>
      <c r="AC10" s="116">
        <f t="shared" si="20"/>
        <v>58596.277001564413</v>
      </c>
      <c r="AD10" s="116">
        <f t="shared" si="20"/>
        <v>58596.277001564413</v>
      </c>
      <c r="AE10" s="116">
        <f t="shared" si="20"/>
        <v>58596.277001564413</v>
      </c>
      <c r="AF10" s="116">
        <f t="shared" si="20"/>
        <v>58596.277001564413</v>
      </c>
      <c r="AG10" s="116">
        <f t="shared" si="8"/>
        <v>58596.277001564413</v>
      </c>
      <c r="AH10" s="116">
        <f t="shared" si="8"/>
        <v>35206.851442266932</v>
      </c>
      <c r="AI10" s="116">
        <f t="shared" si="8"/>
        <v>35206.851442266932</v>
      </c>
      <c r="AJ10" s="116">
        <f t="shared" si="8"/>
        <v>35206.851442266932</v>
      </c>
      <c r="AK10" s="116">
        <f t="shared" si="8"/>
        <v>35206.851442266932</v>
      </c>
      <c r="AL10" s="116">
        <f t="shared" si="8"/>
        <v>35206.851442266932</v>
      </c>
      <c r="AM10" s="116">
        <f t="shared" si="8"/>
        <v>36843.197301192187</v>
      </c>
      <c r="AN10" s="116">
        <f t="shared" si="8"/>
        <v>36843.197301192187</v>
      </c>
      <c r="AO10" s="116">
        <f t="shared" si="8"/>
        <v>36843.197301192187</v>
      </c>
      <c r="AP10" s="116">
        <f t="shared" si="8"/>
        <v>36843.197301192187</v>
      </c>
      <c r="AQ10" s="116">
        <f t="shared" si="9"/>
        <v>36843.197301192187</v>
      </c>
      <c r="AR10" s="116">
        <f t="shared" si="9"/>
        <v>38513.943904562999</v>
      </c>
      <c r="AS10" s="116">
        <f t="shared" si="9"/>
        <v>38513.943904562999</v>
      </c>
      <c r="AT10" s="116">
        <f t="shared" si="9"/>
        <v>38513.943904562999</v>
      </c>
      <c r="AU10" s="116">
        <f t="shared" si="9"/>
        <v>38513.943904562999</v>
      </c>
      <c r="AV10" s="116">
        <f t="shared" si="9"/>
        <v>38513.943904562999</v>
      </c>
      <c r="AW10" s="116">
        <f t="shared" si="9"/>
        <v>39359.072641240433</v>
      </c>
      <c r="AX10" s="116">
        <f t="shared" si="9"/>
        <v>39359.072641240433</v>
      </c>
      <c r="AY10" s="116">
        <f t="shared" si="9"/>
        <v>39359.072641240433</v>
      </c>
      <c r="AZ10" s="116">
        <f t="shared" si="9"/>
        <v>39359.072641240433</v>
      </c>
      <c r="BA10" s="116">
        <f t="shared" si="9"/>
        <v>39359.072641240433</v>
      </c>
      <c r="BB10" s="116">
        <f t="shared" si="9"/>
        <v>39412.470811723091</v>
      </c>
      <c r="BM10" s="123" t="s">
        <v>149</v>
      </c>
      <c r="BN10" s="103">
        <f t="shared" si="1"/>
        <v>66625</v>
      </c>
      <c r="BO10" s="119">
        <f t="shared" si="10"/>
        <v>66625</v>
      </c>
      <c r="BP10" s="119">
        <f t="shared" si="2"/>
        <v>58519.773853469065</v>
      </c>
      <c r="BQ10" s="119">
        <f t="shared" si="2"/>
        <v>58519.773853469065</v>
      </c>
      <c r="BR10" s="119">
        <f t="shared" si="2"/>
        <v>58519.773853469065</v>
      </c>
      <c r="BS10" s="119">
        <f t="shared" si="2"/>
        <v>58519.773853469065</v>
      </c>
      <c r="BT10" s="119">
        <f t="shared" si="2"/>
        <v>58519.773853469065</v>
      </c>
      <c r="BU10" s="119">
        <f t="shared" si="2"/>
        <v>66335.931057867929</v>
      </c>
      <c r="BV10" s="119">
        <f t="shared" si="2"/>
        <v>66335.931057867929</v>
      </c>
      <c r="BW10" s="119">
        <f t="shared" si="2"/>
        <v>66335.931057867929</v>
      </c>
      <c r="BX10" s="119">
        <f t="shared" si="2"/>
        <v>66335.931057867929</v>
      </c>
      <c r="BY10" s="119">
        <f t="shared" si="2"/>
        <v>66335.931057867929</v>
      </c>
      <c r="BZ10" s="119">
        <f t="shared" si="2"/>
        <v>67931.20140103728</v>
      </c>
      <c r="CA10" s="119">
        <f t="shared" si="2"/>
        <v>67931.20140103728</v>
      </c>
      <c r="CB10" s="119">
        <f t="shared" si="2"/>
        <v>67931.20140103728</v>
      </c>
      <c r="CC10" s="119">
        <f t="shared" si="2"/>
        <v>67931.20140103728</v>
      </c>
      <c r="CD10" s="119">
        <f t="shared" si="2"/>
        <v>67931.20140103728</v>
      </c>
      <c r="CE10" s="119">
        <f t="shared" si="2"/>
        <v>69610.163107559289</v>
      </c>
      <c r="CF10" s="119">
        <f t="shared" si="2"/>
        <v>69610.163107559289</v>
      </c>
      <c r="CG10" s="119">
        <f t="shared" si="2"/>
        <v>69610.163107559289</v>
      </c>
      <c r="CH10" s="119">
        <f t="shared" si="2"/>
        <v>69610.163107559289</v>
      </c>
      <c r="CI10" s="119">
        <f t="shared" si="2"/>
        <v>69610.163107559289</v>
      </c>
      <c r="CJ10" s="119">
        <f t="shared" si="2"/>
        <v>70008.595610391421</v>
      </c>
      <c r="CK10" s="119">
        <f t="shared" si="2"/>
        <v>70008.595610391421</v>
      </c>
      <c r="CL10" s="119">
        <f t="shared" si="2"/>
        <v>70008.595610391421</v>
      </c>
      <c r="CM10" s="119">
        <f t="shared" si="2"/>
        <v>70008.595610391421</v>
      </c>
      <c r="CN10" s="119">
        <f t="shared" si="2"/>
        <v>70008.595610391421</v>
      </c>
      <c r="CO10" s="119">
        <f t="shared" si="2"/>
        <v>70484.558149212782</v>
      </c>
      <c r="CR10" s="123" t="s">
        <v>149</v>
      </c>
      <c r="CS10" s="103">
        <f t="shared" si="11"/>
        <v>80665.124729310046</v>
      </c>
      <c r="CT10" s="119">
        <f t="shared" si="12"/>
        <v>80665.124729310046</v>
      </c>
      <c r="CU10" s="119">
        <f t="shared" si="3"/>
        <v>80665.124729310046</v>
      </c>
      <c r="CV10" s="119">
        <f t="shared" si="3"/>
        <v>80665.124729310046</v>
      </c>
      <c r="CW10" s="119">
        <f t="shared" si="3"/>
        <v>80665.124729310046</v>
      </c>
      <c r="CX10" s="119">
        <f t="shared" si="3"/>
        <v>80665.124729310046</v>
      </c>
      <c r="CY10" s="119">
        <f t="shared" si="3"/>
        <v>80665.124729310046</v>
      </c>
      <c r="CZ10" s="119">
        <f t="shared" si="3"/>
        <v>80683.095267453231</v>
      </c>
      <c r="DA10" s="119">
        <f t="shared" si="3"/>
        <v>80683.095267453231</v>
      </c>
      <c r="DB10" s="119">
        <f t="shared" si="3"/>
        <v>80683.095267453231</v>
      </c>
      <c r="DC10" s="119">
        <f t="shared" si="3"/>
        <v>80683.095267453231</v>
      </c>
      <c r="DD10" s="119">
        <f t="shared" si="3"/>
        <v>80683.095267453231</v>
      </c>
      <c r="DE10" s="119">
        <f t="shared" si="3"/>
        <v>80672.826388514266</v>
      </c>
      <c r="DF10" s="119">
        <f t="shared" si="3"/>
        <v>80672.826388514266</v>
      </c>
      <c r="DG10" s="119">
        <f t="shared" si="3"/>
        <v>80672.826388514266</v>
      </c>
      <c r="DH10" s="119">
        <f t="shared" si="3"/>
        <v>80672.826388514266</v>
      </c>
      <c r="DI10" s="119">
        <f t="shared" si="3"/>
        <v>80672.826388514266</v>
      </c>
      <c r="DJ10" s="119">
        <f t="shared" si="3"/>
        <v>80670.259168779521</v>
      </c>
      <c r="DK10" s="119">
        <f t="shared" si="3"/>
        <v>80670.259168779521</v>
      </c>
      <c r="DL10" s="119">
        <f t="shared" si="3"/>
        <v>80670.259168779521</v>
      </c>
      <c r="DM10" s="119">
        <f t="shared" si="3"/>
        <v>80670.259168779521</v>
      </c>
      <c r="DN10" s="119">
        <f t="shared" si="3"/>
        <v>80670.259168779521</v>
      </c>
      <c r="DO10" s="119">
        <f t="shared" si="3"/>
        <v>80620.455105925517</v>
      </c>
      <c r="DP10" s="119">
        <f t="shared" si="3"/>
        <v>80620.455105925517</v>
      </c>
      <c r="DQ10" s="119">
        <f t="shared" si="3"/>
        <v>80620.455105925517</v>
      </c>
      <c r="DR10" s="119">
        <f t="shared" si="3"/>
        <v>80620.455105925517</v>
      </c>
      <c r="DS10" s="119">
        <f t="shared" si="3"/>
        <v>80620.455105925517</v>
      </c>
      <c r="DT10" s="93">
        <f t="shared" si="3"/>
        <v>80662.044065628346</v>
      </c>
      <c r="DW10" s="123" t="s">
        <v>149</v>
      </c>
      <c r="DX10" s="103">
        <f t="shared" si="13"/>
        <v>84440.989338906365</v>
      </c>
      <c r="DY10" s="119">
        <f t="shared" si="14"/>
        <v>84440.989338906365</v>
      </c>
      <c r="DZ10" s="119">
        <f t="shared" si="4"/>
        <v>74020.99549859461</v>
      </c>
      <c r="EA10" s="119">
        <f t="shared" si="4"/>
        <v>74020.99549859461</v>
      </c>
      <c r="EB10" s="119">
        <f t="shared" si="4"/>
        <v>74020.99549859461</v>
      </c>
      <c r="EC10" s="119">
        <f t="shared" si="4"/>
        <v>74020.99549859461</v>
      </c>
      <c r="ED10" s="119">
        <f t="shared" si="4"/>
        <v>74020.99549859461</v>
      </c>
      <c r="EE10" s="119">
        <f t="shared" si="4"/>
        <v>45621.818872845724</v>
      </c>
      <c r="EF10" s="119">
        <f t="shared" si="4"/>
        <v>45621.818872845724</v>
      </c>
      <c r="EG10" s="119">
        <f t="shared" si="4"/>
        <v>45621.818872845724</v>
      </c>
      <c r="EH10" s="119">
        <f t="shared" si="4"/>
        <v>45621.818872845724</v>
      </c>
      <c r="EI10" s="119">
        <f t="shared" si="4"/>
        <v>45621.818872845724</v>
      </c>
      <c r="EJ10" s="119">
        <f t="shared" si="4"/>
        <v>40745.644688177701</v>
      </c>
      <c r="EK10" s="119">
        <f t="shared" si="4"/>
        <v>40745.644688177701</v>
      </c>
      <c r="EL10" s="119">
        <f t="shared" si="4"/>
        <v>40745.644688177701</v>
      </c>
      <c r="EM10" s="119">
        <f t="shared" si="4"/>
        <v>40745.644688177701</v>
      </c>
      <c r="EN10" s="119">
        <f t="shared" si="4"/>
        <v>40745.644688177701</v>
      </c>
      <c r="EO10" s="119">
        <f t="shared" si="4"/>
        <v>39463.193471582832</v>
      </c>
      <c r="EP10" s="119">
        <f t="shared" si="4"/>
        <v>39463.193471582832</v>
      </c>
      <c r="EQ10" s="119">
        <f t="shared" si="4"/>
        <v>39463.193471582832</v>
      </c>
      <c r="ER10" s="119">
        <f t="shared" si="4"/>
        <v>39463.193471582832</v>
      </c>
      <c r="ES10" s="119">
        <f t="shared" si="4"/>
        <v>39463.193471582832</v>
      </c>
      <c r="ET10" s="119">
        <f t="shared" si="4"/>
        <v>37997.978969637072</v>
      </c>
      <c r="EU10" s="119">
        <f t="shared" si="4"/>
        <v>37997.978969637072</v>
      </c>
      <c r="EV10" s="119">
        <f t="shared" si="4"/>
        <v>37997.978969637072</v>
      </c>
      <c r="EW10" s="119">
        <f t="shared" si="4"/>
        <v>37997.978969637072</v>
      </c>
      <c r="EX10" s="119">
        <f t="shared" si="4"/>
        <v>37997.978969637072</v>
      </c>
      <c r="EY10" s="119">
        <f t="shared" si="4"/>
        <v>35700.383382368709</v>
      </c>
      <c r="FB10" s="123" t="s">
        <v>149</v>
      </c>
      <c r="FC10" s="103">
        <f t="shared" si="15"/>
        <v>91588.650070078351</v>
      </c>
      <c r="FD10" s="119">
        <f t="shared" si="16"/>
        <v>91588.650070078351</v>
      </c>
      <c r="FE10" s="119">
        <f t="shared" si="5"/>
        <v>79984.424737952126</v>
      </c>
      <c r="FF10" s="119">
        <f t="shared" si="5"/>
        <v>79984.424737952126</v>
      </c>
      <c r="FG10" s="119">
        <f t="shared" si="5"/>
        <v>79984.424737952126</v>
      </c>
      <c r="FH10" s="119">
        <f t="shared" si="5"/>
        <v>79984.424737952126</v>
      </c>
      <c r="FI10" s="119">
        <f t="shared" si="5"/>
        <v>79984.424737952126</v>
      </c>
      <c r="FJ10" s="119">
        <f t="shared" si="5"/>
        <v>50192.144294273487</v>
      </c>
      <c r="FK10" s="119">
        <f t="shared" si="5"/>
        <v>50192.144294273487</v>
      </c>
      <c r="FL10" s="119">
        <f t="shared" si="5"/>
        <v>50192.144294273487</v>
      </c>
      <c r="FM10" s="119">
        <f t="shared" si="5"/>
        <v>50192.144294273487</v>
      </c>
      <c r="FN10" s="119">
        <f t="shared" si="5"/>
        <v>50192.144294273487</v>
      </c>
      <c r="FO10" s="119">
        <f t="shared" si="5"/>
        <v>44568.132584853338</v>
      </c>
      <c r="FP10" s="119">
        <f t="shared" si="5"/>
        <v>44568.132584853338</v>
      </c>
      <c r="FQ10" s="119">
        <f t="shared" si="5"/>
        <v>44568.132584853338</v>
      </c>
      <c r="FR10" s="119">
        <f t="shared" si="5"/>
        <v>44568.132584853338</v>
      </c>
      <c r="FS10" s="119">
        <f t="shared" si="5"/>
        <v>44568.132584853338</v>
      </c>
      <c r="FT10" s="119">
        <f t="shared" si="5"/>
        <v>43433.632599256816</v>
      </c>
      <c r="FU10" s="119">
        <f t="shared" si="5"/>
        <v>43433.632599256816</v>
      </c>
      <c r="FV10" s="119">
        <f t="shared" si="5"/>
        <v>43433.632599256816</v>
      </c>
      <c r="FW10" s="119">
        <f t="shared" si="5"/>
        <v>43433.632599256816</v>
      </c>
      <c r="FX10" s="119">
        <f t="shared" si="5"/>
        <v>43433.632599256816</v>
      </c>
      <c r="FY10" s="119">
        <f t="shared" si="5"/>
        <v>41965.309878172433</v>
      </c>
      <c r="FZ10" s="119">
        <f t="shared" si="5"/>
        <v>41965.309878172433</v>
      </c>
      <c r="GA10" s="119">
        <f t="shared" si="5"/>
        <v>41965.309878172433</v>
      </c>
      <c r="GB10" s="119">
        <f t="shared" si="5"/>
        <v>41965.309878172433</v>
      </c>
      <c r="GC10" s="119">
        <f t="shared" si="5"/>
        <v>41965.309878172433</v>
      </c>
      <c r="GD10" s="119">
        <f t="shared" si="5"/>
        <v>39588.14388095538</v>
      </c>
      <c r="GH10" s="123" t="s">
        <v>149</v>
      </c>
      <c r="GI10" s="103">
        <f t="shared" si="17"/>
        <v>79576.004743137368</v>
      </c>
      <c r="GJ10" s="119">
        <f t="shared" si="18"/>
        <v>79576.004743137368</v>
      </c>
      <c r="GK10" s="119">
        <f t="shared" si="6"/>
        <v>69962.282947383792</v>
      </c>
      <c r="GL10" s="119">
        <f t="shared" si="6"/>
        <v>69962.282947383792</v>
      </c>
      <c r="GM10" s="119">
        <f t="shared" si="6"/>
        <v>69962.282947383792</v>
      </c>
      <c r="GN10" s="119">
        <f t="shared" si="6"/>
        <v>69962.282947383792</v>
      </c>
      <c r="GO10" s="119">
        <f t="shared" si="6"/>
        <v>69962.282947383792</v>
      </c>
      <c r="GP10" s="119">
        <f t="shared" si="6"/>
        <v>42511.11315891421</v>
      </c>
      <c r="GQ10" s="119">
        <f t="shared" si="6"/>
        <v>42511.11315891421</v>
      </c>
      <c r="GR10" s="119">
        <f t="shared" si="6"/>
        <v>42511.11315891421</v>
      </c>
      <c r="GS10" s="119">
        <f t="shared" si="6"/>
        <v>42511.11315891421</v>
      </c>
      <c r="GT10" s="119">
        <f t="shared" si="6"/>
        <v>42511.11315891421</v>
      </c>
      <c r="GU10" s="119">
        <f t="shared" si="6"/>
        <v>38144.065269152241</v>
      </c>
      <c r="GV10" s="119">
        <f t="shared" si="6"/>
        <v>38144.065269152241</v>
      </c>
      <c r="GW10" s="119">
        <f t="shared" si="6"/>
        <v>38144.065269152241</v>
      </c>
      <c r="GX10" s="119">
        <f t="shared" si="6"/>
        <v>38144.065269152241</v>
      </c>
      <c r="GY10" s="119">
        <f t="shared" si="6"/>
        <v>38144.065269152241</v>
      </c>
      <c r="GZ10" s="119">
        <f t="shared" si="6"/>
        <v>36760.907752466061</v>
      </c>
      <c r="HA10" s="119">
        <f t="shared" si="6"/>
        <v>36760.907752466061</v>
      </c>
      <c r="HB10" s="119">
        <f t="shared" si="6"/>
        <v>36760.907752466061</v>
      </c>
      <c r="HC10" s="119">
        <f t="shared" si="6"/>
        <v>36760.907752466061</v>
      </c>
      <c r="HD10" s="119">
        <f t="shared" si="6"/>
        <v>36760.907752466061</v>
      </c>
      <c r="HE10" s="119">
        <f t="shared" si="6"/>
        <v>35297.558182003479</v>
      </c>
      <c r="HF10" s="119">
        <f t="shared" si="6"/>
        <v>35297.558182003479</v>
      </c>
      <c r="HG10" s="119">
        <f t="shared" si="6"/>
        <v>35297.558182003479</v>
      </c>
      <c r="HH10" s="119">
        <f t="shared" si="6"/>
        <v>35297.558182003479</v>
      </c>
      <c r="HI10" s="119">
        <f t="shared" si="6"/>
        <v>35297.558182003479</v>
      </c>
      <c r="HJ10" s="119">
        <f t="shared" si="6"/>
        <v>33054.667251574836</v>
      </c>
    </row>
    <row r="11" spans="1:218" x14ac:dyDescent="0.25">
      <c r="Q11" s="37">
        <v>2035</v>
      </c>
      <c r="R11" s="135">
        <v>2E-3</v>
      </c>
      <c r="S11" s="128">
        <v>0.20599999999999999</v>
      </c>
      <c r="T11" s="128">
        <v>7.9000000000000001E-2</v>
      </c>
      <c r="U11" s="128">
        <v>0.159</v>
      </c>
      <c r="V11" s="128">
        <v>2E-3</v>
      </c>
      <c r="W11" s="128">
        <v>0.55200000000000005</v>
      </c>
      <c r="X11" s="134">
        <f t="shared" si="7"/>
        <v>1</v>
      </c>
      <c r="Z11" s="83" t="s">
        <v>190</v>
      </c>
      <c r="AA11" s="114">
        <f>'US Grid mix, emissions&amp;prices'!O63</f>
        <v>154913</v>
      </c>
      <c r="AB11" s="116">
        <f t="shared" si="20"/>
        <v>154913</v>
      </c>
      <c r="AC11" s="116">
        <f t="shared" si="20"/>
        <v>136245.02903029416</v>
      </c>
      <c r="AD11" s="116">
        <f t="shared" si="20"/>
        <v>136245.02903029416</v>
      </c>
      <c r="AE11" s="116">
        <f t="shared" si="20"/>
        <v>136245.02903029416</v>
      </c>
      <c r="AF11" s="116">
        <f t="shared" si="20"/>
        <v>136245.02903029416</v>
      </c>
      <c r="AG11" s="116">
        <f t="shared" si="8"/>
        <v>136245.02903029416</v>
      </c>
      <c r="AH11" s="116">
        <f t="shared" si="8"/>
        <v>81861.147879563199</v>
      </c>
      <c r="AI11" s="116">
        <f t="shared" si="8"/>
        <v>81861.147879563199</v>
      </c>
      <c r="AJ11" s="116">
        <f t="shared" si="8"/>
        <v>81861.147879563199</v>
      </c>
      <c r="AK11" s="116">
        <f t="shared" si="8"/>
        <v>81861.147879563199</v>
      </c>
      <c r="AL11" s="116">
        <f t="shared" si="8"/>
        <v>81861.147879563199</v>
      </c>
      <c r="AM11" s="116">
        <f t="shared" si="8"/>
        <v>85665.894536879336</v>
      </c>
      <c r="AN11" s="116">
        <f t="shared" si="8"/>
        <v>85665.894536879336</v>
      </c>
      <c r="AO11" s="116">
        <f t="shared" si="8"/>
        <v>85665.894536879336</v>
      </c>
      <c r="AP11" s="116">
        <f t="shared" si="8"/>
        <v>85665.894536879336</v>
      </c>
      <c r="AQ11" s="116">
        <f t="shared" si="9"/>
        <v>85665.894536879336</v>
      </c>
      <c r="AR11" s="116">
        <f t="shared" si="9"/>
        <v>89550.628023828409</v>
      </c>
      <c r="AS11" s="116">
        <f t="shared" si="9"/>
        <v>89550.628023828409</v>
      </c>
      <c r="AT11" s="116">
        <f t="shared" si="9"/>
        <v>89550.628023828409</v>
      </c>
      <c r="AU11" s="116">
        <f t="shared" si="9"/>
        <v>89550.628023828409</v>
      </c>
      <c r="AV11" s="116">
        <f t="shared" si="9"/>
        <v>89550.628023828409</v>
      </c>
      <c r="AW11" s="116">
        <f t="shared" si="9"/>
        <v>91515.677599586939</v>
      </c>
      <c r="AX11" s="116">
        <f t="shared" si="9"/>
        <v>91515.677599586939</v>
      </c>
      <c r="AY11" s="116">
        <f t="shared" si="9"/>
        <v>91515.677599586939</v>
      </c>
      <c r="AZ11" s="116">
        <f t="shared" si="9"/>
        <v>91515.677599586939</v>
      </c>
      <c r="BA11" s="116">
        <f t="shared" si="9"/>
        <v>91515.677599586939</v>
      </c>
      <c r="BB11" s="116">
        <f t="shared" si="9"/>
        <v>91639.836260509706</v>
      </c>
      <c r="BM11" s="123" t="s">
        <v>190</v>
      </c>
      <c r="BN11" s="103">
        <f t="shared" si="1"/>
        <v>154913</v>
      </c>
      <c r="BO11" s="119">
        <f t="shared" si="10"/>
        <v>154913</v>
      </c>
      <c r="BP11" s="119">
        <f t="shared" si="2"/>
        <v>136067.14787185672</v>
      </c>
      <c r="BQ11" s="119">
        <f t="shared" si="2"/>
        <v>136067.14787185672</v>
      </c>
      <c r="BR11" s="119">
        <f t="shared" si="2"/>
        <v>136067.14787185672</v>
      </c>
      <c r="BS11" s="119">
        <f t="shared" si="2"/>
        <v>136067.14787185672</v>
      </c>
      <c r="BT11" s="119">
        <f t="shared" si="2"/>
        <v>136067.14787185672</v>
      </c>
      <c r="BU11" s="119">
        <f t="shared" si="2"/>
        <v>154240.87186442767</v>
      </c>
      <c r="BV11" s="119">
        <f t="shared" si="2"/>
        <v>154240.87186442767</v>
      </c>
      <c r="BW11" s="119">
        <f t="shared" si="2"/>
        <v>154240.87186442767</v>
      </c>
      <c r="BX11" s="119">
        <f t="shared" si="2"/>
        <v>154240.87186442767</v>
      </c>
      <c r="BY11" s="119">
        <f t="shared" si="2"/>
        <v>154240.87186442767</v>
      </c>
      <c r="BZ11" s="119">
        <f t="shared" si="2"/>
        <v>157950.11185949552</v>
      </c>
      <c r="CA11" s="119">
        <f t="shared" si="2"/>
        <v>157950.11185949552</v>
      </c>
      <c r="CB11" s="119">
        <f t="shared" si="2"/>
        <v>157950.11185949552</v>
      </c>
      <c r="CC11" s="119">
        <f t="shared" si="2"/>
        <v>157950.11185949552</v>
      </c>
      <c r="CD11" s="119">
        <f t="shared" si="2"/>
        <v>157950.11185949552</v>
      </c>
      <c r="CE11" s="119">
        <f t="shared" si="2"/>
        <v>161853.94667889428</v>
      </c>
      <c r="CF11" s="119">
        <f t="shared" si="2"/>
        <v>161853.94667889428</v>
      </c>
      <c r="CG11" s="119">
        <f t="shared" si="2"/>
        <v>161853.94667889428</v>
      </c>
      <c r="CH11" s="119">
        <f t="shared" si="2"/>
        <v>161853.94667889428</v>
      </c>
      <c r="CI11" s="119">
        <f t="shared" si="2"/>
        <v>161853.94667889428</v>
      </c>
      <c r="CJ11" s="119">
        <f t="shared" si="2"/>
        <v>162780.36130270266</v>
      </c>
      <c r="CK11" s="119">
        <f t="shared" si="2"/>
        <v>162780.36130270266</v>
      </c>
      <c r="CL11" s="119">
        <f t="shared" si="2"/>
        <v>162780.36130270266</v>
      </c>
      <c r="CM11" s="119">
        <f t="shared" si="2"/>
        <v>162780.36130270266</v>
      </c>
      <c r="CN11" s="119">
        <f t="shared" si="2"/>
        <v>162780.36130270266</v>
      </c>
      <c r="CO11" s="119">
        <f t="shared" si="2"/>
        <v>163887.0447515047</v>
      </c>
      <c r="CR11" s="123" t="s">
        <v>190</v>
      </c>
      <c r="CS11" s="103">
        <f t="shared" si="11"/>
        <v>187558.37098974269</v>
      </c>
      <c r="CT11" s="119">
        <f t="shared" si="12"/>
        <v>187558.37098974269</v>
      </c>
      <c r="CU11" s="119">
        <f t="shared" si="3"/>
        <v>187558.37098974269</v>
      </c>
      <c r="CV11" s="119">
        <f t="shared" si="3"/>
        <v>187558.37098974269</v>
      </c>
      <c r="CW11" s="119">
        <f t="shared" si="3"/>
        <v>187558.37098974269</v>
      </c>
      <c r="CX11" s="119">
        <f t="shared" si="3"/>
        <v>187558.37098974269</v>
      </c>
      <c r="CY11" s="119">
        <f t="shared" si="3"/>
        <v>187558.37098974269</v>
      </c>
      <c r="CZ11" s="119">
        <f t="shared" si="3"/>
        <v>187600.15515447629</v>
      </c>
      <c r="DA11" s="119">
        <f t="shared" si="3"/>
        <v>187600.15515447629</v>
      </c>
      <c r="DB11" s="119">
        <f t="shared" si="3"/>
        <v>187600.15515447629</v>
      </c>
      <c r="DC11" s="119">
        <f t="shared" si="3"/>
        <v>187600.15515447629</v>
      </c>
      <c r="DD11" s="119">
        <f t="shared" si="3"/>
        <v>187600.15515447629</v>
      </c>
      <c r="DE11" s="119">
        <f t="shared" si="3"/>
        <v>187576.27848891425</v>
      </c>
      <c r="DF11" s="119">
        <f t="shared" si="3"/>
        <v>187576.27848891425</v>
      </c>
      <c r="DG11" s="119">
        <f t="shared" si="3"/>
        <v>187576.27848891425</v>
      </c>
      <c r="DH11" s="119">
        <f t="shared" si="3"/>
        <v>187576.27848891425</v>
      </c>
      <c r="DI11" s="119">
        <f t="shared" si="3"/>
        <v>187576.27848891425</v>
      </c>
      <c r="DJ11" s="119">
        <f t="shared" si="3"/>
        <v>187570.30932252371</v>
      </c>
      <c r="DK11" s="119">
        <f t="shared" si="3"/>
        <v>187570.30932252371</v>
      </c>
      <c r="DL11" s="119">
        <f t="shared" si="3"/>
        <v>187570.30932252371</v>
      </c>
      <c r="DM11" s="119">
        <f t="shared" si="3"/>
        <v>187570.30932252371</v>
      </c>
      <c r="DN11" s="119">
        <f t="shared" si="3"/>
        <v>187570.30932252371</v>
      </c>
      <c r="DO11" s="119">
        <f t="shared" si="3"/>
        <v>187454.5074945477</v>
      </c>
      <c r="DP11" s="119">
        <f t="shared" si="3"/>
        <v>187454.5074945477</v>
      </c>
      <c r="DQ11" s="119">
        <f t="shared" si="3"/>
        <v>187454.5074945477</v>
      </c>
      <c r="DR11" s="119">
        <f t="shared" si="3"/>
        <v>187454.5074945477</v>
      </c>
      <c r="DS11" s="119">
        <f t="shared" si="3"/>
        <v>187454.5074945477</v>
      </c>
      <c r="DT11" s="93">
        <f t="shared" si="3"/>
        <v>187551.20799007406</v>
      </c>
      <c r="DW11" s="123" t="s">
        <v>190</v>
      </c>
      <c r="DX11" s="103">
        <f t="shared" si="13"/>
        <v>196337.81585678051</v>
      </c>
      <c r="DY11" s="119">
        <f t="shared" si="14"/>
        <v>196337.81585678051</v>
      </c>
      <c r="DZ11" s="119">
        <f t="shared" si="4"/>
        <v>172109.7857512013</v>
      </c>
      <c r="EA11" s="119">
        <f t="shared" si="4"/>
        <v>172109.7857512013</v>
      </c>
      <c r="EB11" s="119">
        <f t="shared" si="4"/>
        <v>172109.7857512013</v>
      </c>
      <c r="EC11" s="119">
        <f t="shared" si="4"/>
        <v>172109.7857512013</v>
      </c>
      <c r="ED11" s="119">
        <f t="shared" si="4"/>
        <v>172109.7857512013</v>
      </c>
      <c r="EE11" s="119">
        <f t="shared" si="4"/>
        <v>106077.49083751069</v>
      </c>
      <c r="EF11" s="119">
        <f t="shared" si="4"/>
        <v>106077.49083751069</v>
      </c>
      <c r="EG11" s="119">
        <f t="shared" si="4"/>
        <v>106077.49083751069</v>
      </c>
      <c r="EH11" s="119">
        <f t="shared" si="4"/>
        <v>106077.49083751069</v>
      </c>
      <c r="EI11" s="119">
        <f t="shared" si="4"/>
        <v>106077.49083751069</v>
      </c>
      <c r="EJ11" s="119">
        <f t="shared" si="4"/>
        <v>94739.663123147038</v>
      </c>
      <c r="EK11" s="119">
        <f t="shared" si="4"/>
        <v>94739.663123147038</v>
      </c>
      <c r="EL11" s="119">
        <f t="shared" si="4"/>
        <v>94739.663123147038</v>
      </c>
      <c r="EM11" s="119">
        <f t="shared" si="4"/>
        <v>94739.663123147038</v>
      </c>
      <c r="EN11" s="119">
        <f t="shared" si="4"/>
        <v>94739.663123147038</v>
      </c>
      <c r="EO11" s="119">
        <f t="shared" si="4"/>
        <v>91757.773962676336</v>
      </c>
      <c r="EP11" s="119">
        <f t="shared" si="4"/>
        <v>91757.773962676336</v>
      </c>
      <c r="EQ11" s="119">
        <f t="shared" si="4"/>
        <v>91757.773962676336</v>
      </c>
      <c r="ER11" s="119">
        <f t="shared" si="4"/>
        <v>91757.773962676336</v>
      </c>
      <c r="ES11" s="119">
        <f t="shared" si="4"/>
        <v>91757.773962676336</v>
      </c>
      <c r="ET11" s="119">
        <f t="shared" si="4"/>
        <v>88350.933075022709</v>
      </c>
      <c r="EU11" s="119">
        <f t="shared" si="4"/>
        <v>88350.933075022709</v>
      </c>
      <c r="EV11" s="119">
        <f t="shared" si="4"/>
        <v>88350.933075022709</v>
      </c>
      <c r="EW11" s="119">
        <f t="shared" si="4"/>
        <v>88350.933075022709</v>
      </c>
      <c r="EX11" s="119">
        <f t="shared" si="4"/>
        <v>88350.933075022709</v>
      </c>
      <c r="EY11" s="119">
        <f t="shared" si="4"/>
        <v>83008.682790437277</v>
      </c>
      <c r="FB11" s="123" t="s">
        <v>190</v>
      </c>
      <c r="FC11" s="103">
        <f t="shared" si="15"/>
        <v>212957.18646613206</v>
      </c>
      <c r="FD11" s="119">
        <f t="shared" si="16"/>
        <v>212957.18646613206</v>
      </c>
      <c r="FE11" s="119">
        <f t="shared" si="5"/>
        <v>185975.64261809198</v>
      </c>
      <c r="FF11" s="119">
        <f t="shared" si="5"/>
        <v>185975.64261809198</v>
      </c>
      <c r="FG11" s="119">
        <f t="shared" si="5"/>
        <v>185975.64261809198</v>
      </c>
      <c r="FH11" s="119">
        <f t="shared" si="5"/>
        <v>185975.64261809198</v>
      </c>
      <c r="FI11" s="119">
        <f t="shared" si="5"/>
        <v>185975.64261809198</v>
      </c>
      <c r="FJ11" s="119">
        <f t="shared" si="5"/>
        <v>116704.17484516006</v>
      </c>
      <c r="FK11" s="119">
        <f t="shared" si="5"/>
        <v>116704.17484516006</v>
      </c>
      <c r="FL11" s="119">
        <f t="shared" si="5"/>
        <v>116704.17484516006</v>
      </c>
      <c r="FM11" s="119">
        <f t="shared" si="5"/>
        <v>116704.17484516006</v>
      </c>
      <c r="FN11" s="119">
        <f t="shared" si="5"/>
        <v>116704.17484516006</v>
      </c>
      <c r="FO11" s="119">
        <f t="shared" si="5"/>
        <v>103627.51404303768</v>
      </c>
      <c r="FP11" s="119">
        <f t="shared" si="5"/>
        <v>103627.51404303768</v>
      </c>
      <c r="FQ11" s="119">
        <f t="shared" si="5"/>
        <v>103627.51404303768</v>
      </c>
      <c r="FR11" s="119">
        <f t="shared" si="5"/>
        <v>103627.51404303768</v>
      </c>
      <c r="FS11" s="119">
        <f t="shared" si="5"/>
        <v>103627.51404303768</v>
      </c>
      <c r="FT11" s="119">
        <f t="shared" si="5"/>
        <v>100989.63342361983</v>
      </c>
      <c r="FU11" s="119">
        <f t="shared" si="5"/>
        <v>100989.63342361983</v>
      </c>
      <c r="FV11" s="119">
        <f t="shared" si="5"/>
        <v>100989.63342361983</v>
      </c>
      <c r="FW11" s="119">
        <f t="shared" si="5"/>
        <v>100989.63342361983</v>
      </c>
      <c r="FX11" s="119">
        <f t="shared" si="5"/>
        <v>100989.63342361983</v>
      </c>
      <c r="FY11" s="119">
        <f t="shared" si="5"/>
        <v>97575.565465776002</v>
      </c>
      <c r="FZ11" s="119">
        <f t="shared" si="5"/>
        <v>97575.565465776002</v>
      </c>
      <c r="GA11" s="119">
        <f t="shared" si="5"/>
        <v>97575.565465776002</v>
      </c>
      <c r="GB11" s="119">
        <f t="shared" si="5"/>
        <v>97575.565465776002</v>
      </c>
      <c r="GC11" s="119">
        <f t="shared" si="5"/>
        <v>97575.565465776002</v>
      </c>
      <c r="GD11" s="119">
        <f t="shared" si="5"/>
        <v>92048.302184321816</v>
      </c>
      <c r="GH11" s="123" t="s">
        <v>190</v>
      </c>
      <c r="GI11" s="103">
        <f t="shared" si="17"/>
        <v>185026.00559510154</v>
      </c>
      <c r="GJ11" s="119">
        <f t="shared" si="18"/>
        <v>185026.00559510154</v>
      </c>
      <c r="GK11" s="119">
        <f t="shared" si="6"/>
        <v>162672.67749685652</v>
      </c>
      <c r="GL11" s="119">
        <f t="shared" si="6"/>
        <v>162672.67749685652</v>
      </c>
      <c r="GM11" s="119">
        <f t="shared" si="6"/>
        <v>162672.67749685652</v>
      </c>
      <c r="GN11" s="119">
        <f t="shared" si="6"/>
        <v>162672.67749685652</v>
      </c>
      <c r="GO11" s="119">
        <f t="shared" si="6"/>
        <v>162672.67749685652</v>
      </c>
      <c r="GP11" s="119">
        <f t="shared" si="6"/>
        <v>98844.638991172644</v>
      </c>
      <c r="GQ11" s="119">
        <f t="shared" si="6"/>
        <v>98844.638991172644</v>
      </c>
      <c r="GR11" s="119">
        <f t="shared" si="6"/>
        <v>98844.638991172644</v>
      </c>
      <c r="GS11" s="119">
        <f t="shared" si="6"/>
        <v>98844.638991172644</v>
      </c>
      <c r="GT11" s="119">
        <f t="shared" si="6"/>
        <v>98844.638991172644</v>
      </c>
      <c r="GU11" s="119">
        <f t="shared" si="6"/>
        <v>88690.605373961444</v>
      </c>
      <c r="GV11" s="119">
        <f t="shared" si="6"/>
        <v>88690.605373961444</v>
      </c>
      <c r="GW11" s="119">
        <f t="shared" si="6"/>
        <v>88690.605373961444</v>
      </c>
      <c r="GX11" s="119">
        <f t="shared" si="6"/>
        <v>88690.605373961444</v>
      </c>
      <c r="GY11" s="119">
        <f t="shared" si="6"/>
        <v>88690.605373961444</v>
      </c>
      <c r="GZ11" s="119">
        <f t="shared" si="6"/>
        <v>85474.559139328718</v>
      </c>
      <c r="HA11" s="119">
        <f t="shared" si="6"/>
        <v>85474.559139328718</v>
      </c>
      <c r="HB11" s="119">
        <f t="shared" si="6"/>
        <v>85474.559139328718</v>
      </c>
      <c r="HC11" s="119">
        <f t="shared" si="6"/>
        <v>85474.559139328718</v>
      </c>
      <c r="HD11" s="119">
        <f t="shared" si="6"/>
        <v>85474.559139328718</v>
      </c>
      <c r="HE11" s="119">
        <f t="shared" si="6"/>
        <v>82072.054493789197</v>
      </c>
      <c r="HF11" s="119">
        <f t="shared" si="6"/>
        <v>82072.054493789197</v>
      </c>
      <c r="HG11" s="119">
        <f t="shared" si="6"/>
        <v>82072.054493789197</v>
      </c>
      <c r="HH11" s="119">
        <f t="shared" si="6"/>
        <v>82072.054493789197</v>
      </c>
      <c r="HI11" s="119">
        <f t="shared" si="6"/>
        <v>82072.054493789197</v>
      </c>
      <c r="HJ11" s="119">
        <f t="shared" si="6"/>
        <v>76857.000644551037</v>
      </c>
    </row>
    <row r="12" spans="1:218" x14ac:dyDescent="0.25">
      <c r="Q12" s="37">
        <v>2040</v>
      </c>
      <c r="R12" s="135">
        <v>1E-3</v>
      </c>
      <c r="S12" s="128">
        <v>0.214</v>
      </c>
      <c r="T12" s="128">
        <v>6.8000000000000005E-2</v>
      </c>
      <c r="U12" s="128">
        <v>0.13700000000000001</v>
      </c>
      <c r="V12" s="128">
        <v>2E-3</v>
      </c>
      <c r="W12" s="128">
        <v>0.57699999999999996</v>
      </c>
      <c r="X12" s="134">
        <f t="shared" si="7"/>
        <v>0.999</v>
      </c>
      <c r="Z12" s="83" t="s">
        <v>191</v>
      </c>
      <c r="AA12" s="114">
        <f>'US Grid mix, emissions&amp;prices'!O64</f>
        <v>94756</v>
      </c>
      <c r="AB12" s="116">
        <f t="shared" si="20"/>
        <v>94756</v>
      </c>
      <c r="AC12" s="116">
        <f t="shared" si="20"/>
        <v>83337.318177264358</v>
      </c>
      <c r="AD12" s="116">
        <f t="shared" si="20"/>
        <v>83337.318177264358</v>
      </c>
      <c r="AE12" s="116">
        <f t="shared" si="20"/>
        <v>83337.318177264358</v>
      </c>
      <c r="AF12" s="116">
        <f t="shared" si="20"/>
        <v>83337.318177264358</v>
      </c>
      <c r="AG12" s="116">
        <f t="shared" si="8"/>
        <v>83337.318177264358</v>
      </c>
      <c r="AH12" s="116">
        <f t="shared" si="8"/>
        <v>50072.201354798432</v>
      </c>
      <c r="AI12" s="116">
        <f t="shared" si="8"/>
        <v>50072.201354798432</v>
      </c>
      <c r="AJ12" s="116">
        <f t="shared" si="8"/>
        <v>50072.201354798432</v>
      </c>
      <c r="AK12" s="116">
        <f t="shared" si="8"/>
        <v>50072.201354798432</v>
      </c>
      <c r="AL12" s="116">
        <f t="shared" si="8"/>
        <v>50072.201354798432</v>
      </c>
      <c r="AM12" s="116">
        <f t="shared" si="8"/>
        <v>52399.459714398006</v>
      </c>
      <c r="AN12" s="116">
        <f t="shared" si="8"/>
        <v>52399.459714398006</v>
      </c>
      <c r="AO12" s="116">
        <f t="shared" si="8"/>
        <v>52399.459714398006</v>
      </c>
      <c r="AP12" s="116">
        <f t="shared" si="8"/>
        <v>52399.459714398006</v>
      </c>
      <c r="AQ12" s="116">
        <f t="shared" si="9"/>
        <v>52399.459714398006</v>
      </c>
      <c r="AR12" s="116">
        <f t="shared" si="9"/>
        <v>54775.643806690758</v>
      </c>
      <c r="AS12" s="116">
        <f t="shared" si="9"/>
        <v>54775.643806690758</v>
      </c>
      <c r="AT12" s="116">
        <f t="shared" si="9"/>
        <v>54775.643806690758</v>
      </c>
      <c r="AU12" s="116">
        <f t="shared" si="9"/>
        <v>54775.643806690758</v>
      </c>
      <c r="AV12" s="116">
        <f t="shared" si="9"/>
        <v>54775.643806690758</v>
      </c>
      <c r="AW12" s="116">
        <f t="shared" si="9"/>
        <v>55977.610314347148</v>
      </c>
      <c r="AX12" s="116">
        <f t="shared" si="9"/>
        <v>55977.610314347148</v>
      </c>
      <c r="AY12" s="116">
        <f t="shared" si="9"/>
        <v>55977.610314347148</v>
      </c>
      <c r="AZ12" s="116">
        <f t="shared" si="9"/>
        <v>55977.610314347148</v>
      </c>
      <c r="BA12" s="116">
        <f t="shared" si="9"/>
        <v>55977.610314347148</v>
      </c>
      <c r="BB12" s="116">
        <f t="shared" si="9"/>
        <v>56053.554735244026</v>
      </c>
      <c r="BM12" s="123" t="s">
        <v>191</v>
      </c>
      <c r="BN12" s="103">
        <f t="shared" si="1"/>
        <v>94756</v>
      </c>
      <c r="BO12" s="119">
        <f t="shared" si="10"/>
        <v>94756</v>
      </c>
      <c r="BP12" s="119">
        <f t="shared" si="2"/>
        <v>83228.513189633246</v>
      </c>
      <c r="BQ12" s="119">
        <f t="shared" si="2"/>
        <v>83228.513189633246</v>
      </c>
      <c r="BR12" s="119">
        <f t="shared" si="2"/>
        <v>83228.513189633246</v>
      </c>
      <c r="BS12" s="119">
        <f t="shared" si="2"/>
        <v>83228.513189633246</v>
      </c>
      <c r="BT12" s="119">
        <f t="shared" si="2"/>
        <v>83228.513189633246</v>
      </c>
      <c r="BU12" s="119">
        <f t="shared" si="2"/>
        <v>94344.877798414003</v>
      </c>
      <c r="BV12" s="119">
        <f t="shared" si="2"/>
        <v>94344.877798414003</v>
      </c>
      <c r="BW12" s="119">
        <f t="shared" si="2"/>
        <v>94344.877798414003</v>
      </c>
      <c r="BX12" s="119">
        <f t="shared" si="2"/>
        <v>94344.877798414003</v>
      </c>
      <c r="BY12" s="119">
        <f t="shared" si="2"/>
        <v>94344.877798414003</v>
      </c>
      <c r="BZ12" s="119">
        <f t="shared" si="2"/>
        <v>96613.717372708285</v>
      </c>
      <c r="CA12" s="119">
        <f t="shared" si="2"/>
        <v>96613.717372708285</v>
      </c>
      <c r="CB12" s="119">
        <f t="shared" si="2"/>
        <v>96613.717372708285</v>
      </c>
      <c r="CC12" s="119">
        <f t="shared" si="2"/>
        <v>96613.717372708285</v>
      </c>
      <c r="CD12" s="119">
        <f t="shared" si="2"/>
        <v>96613.717372708285</v>
      </c>
      <c r="CE12" s="119">
        <f t="shared" si="2"/>
        <v>99001.585222062102</v>
      </c>
      <c r="CF12" s="119">
        <f t="shared" si="2"/>
        <v>99001.585222062102</v>
      </c>
      <c r="CG12" s="119">
        <f t="shared" si="2"/>
        <v>99001.585222062102</v>
      </c>
      <c r="CH12" s="119">
        <f t="shared" si="2"/>
        <v>99001.585222062102</v>
      </c>
      <c r="CI12" s="119">
        <f t="shared" si="2"/>
        <v>99001.585222062102</v>
      </c>
      <c r="CJ12" s="119">
        <f t="shared" si="2"/>
        <v>99568.247439523431</v>
      </c>
      <c r="CK12" s="119">
        <f t="shared" si="2"/>
        <v>99568.247439523431</v>
      </c>
      <c r="CL12" s="119">
        <f t="shared" si="2"/>
        <v>99568.247439523431</v>
      </c>
      <c r="CM12" s="119">
        <f t="shared" si="2"/>
        <v>99568.247439523431</v>
      </c>
      <c r="CN12" s="119">
        <f t="shared" si="2"/>
        <v>99568.247439523431</v>
      </c>
      <c r="CO12" s="119">
        <f t="shared" si="2"/>
        <v>100245.1751142485</v>
      </c>
      <c r="CR12" s="123" t="s">
        <v>191</v>
      </c>
      <c r="CS12" s="103">
        <f t="shared" si="11"/>
        <v>114724.27105216513</v>
      </c>
      <c r="CT12" s="119">
        <f t="shared" si="12"/>
        <v>114724.27105216515</v>
      </c>
      <c r="CU12" s="119">
        <f t="shared" si="3"/>
        <v>114724.27105216515</v>
      </c>
      <c r="CV12" s="119">
        <f t="shared" si="3"/>
        <v>114724.27105216515</v>
      </c>
      <c r="CW12" s="119">
        <f t="shared" si="3"/>
        <v>114724.27105216515</v>
      </c>
      <c r="CX12" s="119">
        <f t="shared" si="3"/>
        <v>114724.27105216515</v>
      </c>
      <c r="CY12" s="119">
        <f t="shared" si="3"/>
        <v>114724.27105216515</v>
      </c>
      <c r="CZ12" s="119">
        <f t="shared" si="3"/>
        <v>114749.8292707362</v>
      </c>
      <c r="DA12" s="119">
        <f t="shared" si="3"/>
        <v>114749.8292707362</v>
      </c>
      <c r="DB12" s="119">
        <f t="shared" si="3"/>
        <v>114749.8292707362</v>
      </c>
      <c r="DC12" s="119">
        <f t="shared" si="3"/>
        <v>114749.8292707362</v>
      </c>
      <c r="DD12" s="119">
        <f t="shared" si="3"/>
        <v>114749.8292707362</v>
      </c>
      <c r="DE12" s="119">
        <f t="shared" si="3"/>
        <v>114735.22457440988</v>
      </c>
      <c r="DF12" s="119">
        <f t="shared" si="3"/>
        <v>114735.22457440988</v>
      </c>
      <c r="DG12" s="119">
        <f t="shared" si="3"/>
        <v>114735.22457440988</v>
      </c>
      <c r="DH12" s="119">
        <f t="shared" si="3"/>
        <v>114735.22457440988</v>
      </c>
      <c r="DI12" s="119">
        <f t="shared" si="3"/>
        <v>114735.22457440988</v>
      </c>
      <c r="DJ12" s="119">
        <f t="shared" si="3"/>
        <v>114731.5734003283</v>
      </c>
      <c r="DK12" s="119">
        <f t="shared" si="3"/>
        <v>114731.5734003283</v>
      </c>
      <c r="DL12" s="119">
        <f t="shared" si="3"/>
        <v>114731.5734003283</v>
      </c>
      <c r="DM12" s="119">
        <f t="shared" si="3"/>
        <v>114731.5734003283</v>
      </c>
      <c r="DN12" s="119">
        <f t="shared" si="3"/>
        <v>114731.5734003283</v>
      </c>
      <c r="DO12" s="119">
        <f t="shared" si="3"/>
        <v>114660.74062314564</v>
      </c>
      <c r="DP12" s="119">
        <f t="shared" si="3"/>
        <v>114660.74062314564</v>
      </c>
      <c r="DQ12" s="119">
        <f t="shared" si="3"/>
        <v>114660.74062314564</v>
      </c>
      <c r="DR12" s="119">
        <f t="shared" si="3"/>
        <v>114660.74062314564</v>
      </c>
      <c r="DS12" s="119">
        <f t="shared" si="3"/>
        <v>114660.74062314564</v>
      </c>
      <c r="DT12" s="93">
        <f t="shared" si="3"/>
        <v>114719.88964326723</v>
      </c>
      <c r="DW12" s="123" t="s">
        <v>191</v>
      </c>
      <c r="DX12" s="103">
        <f t="shared" si="13"/>
        <v>120094.41479620882</v>
      </c>
      <c r="DY12" s="119">
        <f t="shared" si="14"/>
        <v>120094.41479620882</v>
      </c>
      <c r="DZ12" s="119">
        <f t="shared" si="4"/>
        <v>105274.79849102936</v>
      </c>
      <c r="EA12" s="119">
        <f t="shared" si="4"/>
        <v>105274.79849102936</v>
      </c>
      <c r="EB12" s="119">
        <f t="shared" si="4"/>
        <v>105274.79849102936</v>
      </c>
      <c r="EC12" s="119">
        <f t="shared" si="4"/>
        <v>105274.79849102936</v>
      </c>
      <c r="ED12" s="119">
        <f t="shared" si="4"/>
        <v>105274.79849102936</v>
      </c>
      <c r="EE12" s="119">
        <f t="shared" si="4"/>
        <v>64884.668954827313</v>
      </c>
      <c r="EF12" s="119">
        <f t="shared" si="4"/>
        <v>64884.668954827313</v>
      </c>
      <c r="EG12" s="119">
        <f t="shared" si="4"/>
        <v>64884.668954827313</v>
      </c>
      <c r="EH12" s="119">
        <f t="shared" si="4"/>
        <v>64884.668954827313</v>
      </c>
      <c r="EI12" s="119">
        <f t="shared" si="4"/>
        <v>64884.668954827313</v>
      </c>
      <c r="EJ12" s="119">
        <f t="shared" si="4"/>
        <v>57949.633141808124</v>
      </c>
      <c r="EK12" s="119">
        <f t="shared" si="4"/>
        <v>57949.633141808124</v>
      </c>
      <c r="EL12" s="119">
        <f t="shared" si="4"/>
        <v>57949.633141808124</v>
      </c>
      <c r="EM12" s="119">
        <f t="shared" si="4"/>
        <v>57949.633141808124</v>
      </c>
      <c r="EN12" s="119">
        <f t="shared" si="4"/>
        <v>57949.633141808124</v>
      </c>
      <c r="EO12" s="119">
        <f t="shared" si="4"/>
        <v>56125.693967629311</v>
      </c>
      <c r="EP12" s="119">
        <f t="shared" si="4"/>
        <v>56125.693967629311</v>
      </c>
      <c r="EQ12" s="119">
        <f t="shared" si="4"/>
        <v>56125.693967629311</v>
      </c>
      <c r="ER12" s="119">
        <f t="shared" si="4"/>
        <v>56125.693967629311</v>
      </c>
      <c r="ES12" s="119">
        <f t="shared" si="4"/>
        <v>56125.693967629311</v>
      </c>
      <c r="ET12" s="119">
        <f t="shared" si="4"/>
        <v>54041.823568434236</v>
      </c>
      <c r="EU12" s="119">
        <f t="shared" si="4"/>
        <v>54041.823568434236</v>
      </c>
      <c r="EV12" s="119">
        <f t="shared" si="4"/>
        <v>54041.823568434236</v>
      </c>
      <c r="EW12" s="119">
        <f t="shared" si="4"/>
        <v>54041.823568434236</v>
      </c>
      <c r="EX12" s="119">
        <f t="shared" si="4"/>
        <v>54041.823568434236</v>
      </c>
      <c r="EY12" s="119">
        <f t="shared" si="4"/>
        <v>50774.116739658239</v>
      </c>
      <c r="FB12" s="123" t="s">
        <v>191</v>
      </c>
      <c r="FC12" s="103">
        <f t="shared" si="15"/>
        <v>130260.02440585881</v>
      </c>
      <c r="FD12" s="119">
        <f t="shared" si="16"/>
        <v>130260.02440585881</v>
      </c>
      <c r="FE12" s="119">
        <f t="shared" si="5"/>
        <v>113756.15985695146</v>
      </c>
      <c r="FF12" s="119">
        <f t="shared" si="5"/>
        <v>113756.15985695146</v>
      </c>
      <c r="FG12" s="119">
        <f t="shared" si="5"/>
        <v>113756.15985695146</v>
      </c>
      <c r="FH12" s="119">
        <f t="shared" si="5"/>
        <v>113756.15985695146</v>
      </c>
      <c r="FI12" s="119">
        <f t="shared" si="5"/>
        <v>113756.15985695146</v>
      </c>
      <c r="FJ12" s="119">
        <f t="shared" si="5"/>
        <v>71384.717819860089</v>
      </c>
      <c r="FK12" s="119">
        <f t="shared" si="5"/>
        <v>71384.717819860089</v>
      </c>
      <c r="FL12" s="119">
        <f t="shared" si="5"/>
        <v>71384.717819860089</v>
      </c>
      <c r="FM12" s="119">
        <f t="shared" si="5"/>
        <v>71384.717819860089</v>
      </c>
      <c r="FN12" s="119">
        <f t="shared" si="5"/>
        <v>71384.717819860089</v>
      </c>
      <c r="FO12" s="119">
        <f t="shared" si="5"/>
        <v>63386.085871825329</v>
      </c>
      <c r="FP12" s="119">
        <f t="shared" si="5"/>
        <v>63386.085871825329</v>
      </c>
      <c r="FQ12" s="119">
        <f t="shared" si="5"/>
        <v>63386.085871825329</v>
      </c>
      <c r="FR12" s="119">
        <f t="shared" si="5"/>
        <v>63386.085871825329</v>
      </c>
      <c r="FS12" s="119">
        <f t="shared" si="5"/>
        <v>63386.085871825329</v>
      </c>
      <c r="FT12" s="119">
        <f t="shared" si="5"/>
        <v>61772.567213135881</v>
      </c>
      <c r="FU12" s="119">
        <f t="shared" si="5"/>
        <v>61772.567213135881</v>
      </c>
      <c r="FV12" s="119">
        <f t="shared" si="5"/>
        <v>61772.567213135881</v>
      </c>
      <c r="FW12" s="119">
        <f t="shared" si="5"/>
        <v>61772.567213135881</v>
      </c>
      <c r="FX12" s="119">
        <f t="shared" si="5"/>
        <v>61772.567213135881</v>
      </c>
      <c r="FY12" s="119">
        <f t="shared" si="5"/>
        <v>59684.276214875899</v>
      </c>
      <c r="FZ12" s="119">
        <f t="shared" si="5"/>
        <v>59684.276214875899</v>
      </c>
      <c r="GA12" s="119">
        <f t="shared" si="5"/>
        <v>59684.276214875899</v>
      </c>
      <c r="GB12" s="119">
        <f t="shared" si="5"/>
        <v>59684.276214875899</v>
      </c>
      <c r="GC12" s="119">
        <f t="shared" si="5"/>
        <v>59684.276214875899</v>
      </c>
      <c r="GD12" s="119">
        <f t="shared" si="5"/>
        <v>56303.402050038392</v>
      </c>
      <c r="GH12" s="123" t="s">
        <v>191</v>
      </c>
      <c r="GI12" s="103">
        <f t="shared" si="17"/>
        <v>113175.29313982326</v>
      </c>
      <c r="GJ12" s="119">
        <f t="shared" si="18"/>
        <v>113175.29313982326</v>
      </c>
      <c r="GK12" s="119">
        <f t="shared" si="6"/>
        <v>99502.380232079537</v>
      </c>
      <c r="GL12" s="119">
        <f t="shared" si="6"/>
        <v>99502.380232079537</v>
      </c>
      <c r="GM12" s="119">
        <f t="shared" si="6"/>
        <v>99502.380232079537</v>
      </c>
      <c r="GN12" s="119">
        <f t="shared" si="6"/>
        <v>99502.380232079537</v>
      </c>
      <c r="GO12" s="119">
        <f t="shared" si="6"/>
        <v>99502.380232079537</v>
      </c>
      <c r="GP12" s="119">
        <f t="shared" si="6"/>
        <v>60460.533410672797</v>
      </c>
      <c r="GQ12" s="119">
        <f t="shared" si="6"/>
        <v>60460.533410672797</v>
      </c>
      <c r="GR12" s="119">
        <f t="shared" si="6"/>
        <v>60460.533410672797</v>
      </c>
      <c r="GS12" s="119">
        <f t="shared" si="6"/>
        <v>60460.533410672797</v>
      </c>
      <c r="GT12" s="119">
        <f t="shared" si="6"/>
        <v>60460.533410672797</v>
      </c>
      <c r="GU12" s="119">
        <f t="shared" si="6"/>
        <v>54249.59172448465</v>
      </c>
      <c r="GV12" s="119">
        <f t="shared" si="6"/>
        <v>54249.59172448465</v>
      </c>
      <c r="GW12" s="119">
        <f t="shared" si="6"/>
        <v>54249.59172448465</v>
      </c>
      <c r="GX12" s="119">
        <f t="shared" si="6"/>
        <v>54249.59172448465</v>
      </c>
      <c r="GY12" s="119">
        <f t="shared" si="6"/>
        <v>54249.59172448465</v>
      </c>
      <c r="GZ12" s="119">
        <f t="shared" si="6"/>
        <v>52282.425140602994</v>
      </c>
      <c r="HA12" s="119">
        <f t="shared" si="6"/>
        <v>52282.425140602994</v>
      </c>
      <c r="HB12" s="119">
        <f t="shared" si="6"/>
        <v>52282.425140602994</v>
      </c>
      <c r="HC12" s="119">
        <f t="shared" si="6"/>
        <v>52282.425140602994</v>
      </c>
      <c r="HD12" s="119">
        <f t="shared" si="6"/>
        <v>52282.425140602994</v>
      </c>
      <c r="HE12" s="119">
        <f t="shared" si="6"/>
        <v>50201.207100846848</v>
      </c>
      <c r="HF12" s="119">
        <f t="shared" si="6"/>
        <v>50201.207100846848</v>
      </c>
      <c r="HG12" s="119">
        <f t="shared" si="6"/>
        <v>50201.207100846848</v>
      </c>
      <c r="HH12" s="119">
        <f t="shared" si="6"/>
        <v>50201.207100846848</v>
      </c>
      <c r="HI12" s="119">
        <f t="shared" si="6"/>
        <v>50201.207100846848</v>
      </c>
      <c r="HJ12" s="119">
        <f t="shared" si="6"/>
        <v>47011.30281561314</v>
      </c>
    </row>
    <row r="13" spans="1:218" x14ac:dyDescent="0.25">
      <c r="Q13" s="37">
        <v>2045</v>
      </c>
      <c r="R13" s="135">
        <v>1E-3</v>
      </c>
      <c r="S13" s="128">
        <v>0.214</v>
      </c>
      <c r="T13" s="128">
        <v>0.06</v>
      </c>
      <c r="U13" s="128">
        <v>0.13200000000000001</v>
      </c>
      <c r="V13" s="128">
        <v>2E-3</v>
      </c>
      <c r="W13" s="128">
        <v>0.59099999999999997</v>
      </c>
      <c r="X13" s="134">
        <f t="shared" si="7"/>
        <v>1</v>
      </c>
      <c r="Z13" s="83" t="s">
        <v>192</v>
      </c>
      <c r="AA13" s="114">
        <f>'US Grid mix, emissions&amp;prices'!O65</f>
        <v>148353</v>
      </c>
      <c r="AB13" s="116">
        <f t="shared" si="20"/>
        <v>148353</v>
      </c>
      <c r="AC13" s="116">
        <f t="shared" si="20"/>
        <v>130475.54944860167</v>
      </c>
      <c r="AD13" s="116">
        <f t="shared" si="20"/>
        <v>130475.54944860167</v>
      </c>
      <c r="AE13" s="116">
        <f t="shared" si="20"/>
        <v>130475.54944860167</v>
      </c>
      <c r="AF13" s="116">
        <f t="shared" si="20"/>
        <v>130475.54944860167</v>
      </c>
      <c r="AG13" s="116">
        <f t="shared" si="8"/>
        <v>130475.54944860167</v>
      </c>
      <c r="AH13" s="116">
        <f t="shared" si="8"/>
        <v>78394.627122170758</v>
      </c>
      <c r="AI13" s="116">
        <f t="shared" si="8"/>
        <v>78394.627122170758</v>
      </c>
      <c r="AJ13" s="116">
        <f t="shared" si="8"/>
        <v>78394.627122170758</v>
      </c>
      <c r="AK13" s="116">
        <f t="shared" si="8"/>
        <v>78394.627122170758</v>
      </c>
      <c r="AL13" s="116">
        <f t="shared" si="8"/>
        <v>78394.627122170758</v>
      </c>
      <c r="AM13" s="116">
        <f t="shared" si="8"/>
        <v>82038.256648761948</v>
      </c>
      <c r="AN13" s="116">
        <f t="shared" si="8"/>
        <v>82038.256648761948</v>
      </c>
      <c r="AO13" s="116">
        <f t="shared" si="8"/>
        <v>82038.256648761948</v>
      </c>
      <c r="AP13" s="116">
        <f t="shared" si="8"/>
        <v>82038.256648761948</v>
      </c>
      <c r="AQ13" s="116">
        <f t="shared" si="9"/>
        <v>82038.256648761948</v>
      </c>
      <c r="AR13" s="116">
        <f t="shared" si="9"/>
        <v>85758.485854763756</v>
      </c>
      <c r="AS13" s="116">
        <f t="shared" si="9"/>
        <v>85758.485854763756</v>
      </c>
      <c r="AT13" s="116">
        <f t="shared" si="9"/>
        <v>85758.485854763756</v>
      </c>
      <c r="AU13" s="116">
        <f t="shared" si="9"/>
        <v>85758.485854763756</v>
      </c>
      <c r="AV13" s="116">
        <f t="shared" si="9"/>
        <v>85758.485854763756</v>
      </c>
      <c r="AW13" s="116">
        <f t="shared" si="9"/>
        <v>87640.322754910958</v>
      </c>
      <c r="AX13" s="116">
        <f t="shared" si="9"/>
        <v>87640.322754910958</v>
      </c>
      <c r="AY13" s="116">
        <f t="shared" si="9"/>
        <v>87640.322754910958</v>
      </c>
      <c r="AZ13" s="116">
        <f t="shared" si="9"/>
        <v>87640.322754910958</v>
      </c>
      <c r="BA13" s="116">
        <f t="shared" si="9"/>
        <v>87640.322754910958</v>
      </c>
      <c r="BB13" s="116">
        <f t="shared" si="9"/>
        <v>87759.223749816971</v>
      </c>
      <c r="BM13" s="123" t="s">
        <v>192</v>
      </c>
      <c r="BN13" s="103">
        <f t="shared" si="1"/>
        <v>148353</v>
      </c>
      <c r="BO13" s="119">
        <f t="shared" si="10"/>
        <v>148353</v>
      </c>
      <c r="BP13" s="119">
        <f t="shared" si="2"/>
        <v>130305.20090782283</v>
      </c>
      <c r="BQ13" s="119">
        <f t="shared" si="2"/>
        <v>130305.20090782283</v>
      </c>
      <c r="BR13" s="119">
        <f t="shared" si="2"/>
        <v>130305.20090782283</v>
      </c>
      <c r="BS13" s="119">
        <f t="shared" si="2"/>
        <v>130305.20090782283</v>
      </c>
      <c r="BT13" s="119">
        <f t="shared" si="2"/>
        <v>130305.20090782283</v>
      </c>
      <c r="BU13" s="119">
        <f t="shared" si="2"/>
        <v>147709.33403719144</v>
      </c>
      <c r="BV13" s="119">
        <f t="shared" si="2"/>
        <v>147709.33403719144</v>
      </c>
      <c r="BW13" s="119">
        <f t="shared" si="2"/>
        <v>147709.33403719144</v>
      </c>
      <c r="BX13" s="119">
        <f t="shared" si="2"/>
        <v>147709.33403719144</v>
      </c>
      <c r="BY13" s="119">
        <f t="shared" si="2"/>
        <v>147709.33403719144</v>
      </c>
      <c r="BZ13" s="119">
        <f t="shared" si="2"/>
        <v>151261.50126000878</v>
      </c>
      <c r="CA13" s="119">
        <f t="shared" si="2"/>
        <v>151261.50126000878</v>
      </c>
      <c r="CB13" s="119">
        <f t="shared" si="2"/>
        <v>151261.50126000878</v>
      </c>
      <c r="CC13" s="119">
        <f t="shared" si="2"/>
        <v>151261.50126000878</v>
      </c>
      <c r="CD13" s="119">
        <f t="shared" si="2"/>
        <v>151261.50126000878</v>
      </c>
      <c r="CE13" s="119">
        <f t="shared" si="2"/>
        <v>155000.02292676535</v>
      </c>
      <c r="CF13" s="119">
        <f t="shared" si="2"/>
        <v>155000.02292676535</v>
      </c>
      <c r="CG13" s="119">
        <f t="shared" si="2"/>
        <v>155000.02292676535</v>
      </c>
      <c r="CH13" s="119">
        <f t="shared" si="2"/>
        <v>155000.02292676535</v>
      </c>
      <c r="CI13" s="119">
        <f t="shared" si="2"/>
        <v>155000.02292676535</v>
      </c>
      <c r="CJ13" s="119">
        <f t="shared" si="2"/>
        <v>155887.20727337181</v>
      </c>
      <c r="CK13" s="119">
        <f t="shared" si="2"/>
        <v>155887.20727337181</v>
      </c>
      <c r="CL13" s="119">
        <f t="shared" si="2"/>
        <v>155887.20727337181</v>
      </c>
      <c r="CM13" s="119">
        <f t="shared" si="2"/>
        <v>155887.20727337181</v>
      </c>
      <c r="CN13" s="119">
        <f t="shared" si="2"/>
        <v>155887.20727337181</v>
      </c>
      <c r="CO13" s="119">
        <f t="shared" si="2"/>
        <v>156947.02671835144</v>
      </c>
      <c r="CR13" s="123" t="s">
        <v>192</v>
      </c>
      <c r="CS13" s="103">
        <f t="shared" si="11"/>
        <v>179615.95870870294</v>
      </c>
      <c r="CT13" s="119">
        <f t="shared" si="12"/>
        <v>179615.95870870294</v>
      </c>
      <c r="CU13" s="119">
        <f t="shared" si="3"/>
        <v>179615.95870870294</v>
      </c>
      <c r="CV13" s="119">
        <f t="shared" si="3"/>
        <v>179615.95870870294</v>
      </c>
      <c r="CW13" s="119">
        <f t="shared" si="3"/>
        <v>179615.95870870294</v>
      </c>
      <c r="CX13" s="119">
        <f t="shared" si="3"/>
        <v>179615.95870870294</v>
      </c>
      <c r="CY13" s="119">
        <f t="shared" si="3"/>
        <v>179615.95870870294</v>
      </c>
      <c r="CZ13" s="119">
        <f t="shared" si="3"/>
        <v>179655.97346660399</v>
      </c>
      <c r="DA13" s="119">
        <f t="shared" si="3"/>
        <v>179655.97346660399</v>
      </c>
      <c r="DB13" s="119">
        <f t="shared" si="3"/>
        <v>179655.97346660399</v>
      </c>
      <c r="DC13" s="119">
        <f t="shared" si="3"/>
        <v>179655.97346660399</v>
      </c>
      <c r="DD13" s="119">
        <f t="shared" si="3"/>
        <v>179655.97346660399</v>
      </c>
      <c r="DE13" s="119">
        <f t="shared" si="3"/>
        <v>179633.10789066053</v>
      </c>
      <c r="DF13" s="119">
        <f t="shared" si="3"/>
        <v>179633.10789066053</v>
      </c>
      <c r="DG13" s="119">
        <f t="shared" si="3"/>
        <v>179633.10789066053</v>
      </c>
      <c r="DH13" s="119">
        <f t="shared" si="3"/>
        <v>179633.10789066053</v>
      </c>
      <c r="DI13" s="119">
        <f t="shared" si="3"/>
        <v>179633.10789066053</v>
      </c>
      <c r="DJ13" s="119">
        <f t="shared" si="3"/>
        <v>179627.39149667465</v>
      </c>
      <c r="DK13" s="119">
        <f t="shared" si="3"/>
        <v>179627.39149667465</v>
      </c>
      <c r="DL13" s="119">
        <f t="shared" si="3"/>
        <v>179627.39149667465</v>
      </c>
      <c r="DM13" s="119">
        <f t="shared" si="3"/>
        <v>179627.39149667465</v>
      </c>
      <c r="DN13" s="119">
        <f t="shared" si="3"/>
        <v>179627.39149667465</v>
      </c>
      <c r="DO13" s="119">
        <f t="shared" si="3"/>
        <v>179516.49345334887</v>
      </c>
      <c r="DP13" s="119">
        <f t="shared" si="3"/>
        <v>179516.49345334887</v>
      </c>
      <c r="DQ13" s="119">
        <f t="shared" si="3"/>
        <v>179516.49345334887</v>
      </c>
      <c r="DR13" s="119">
        <f t="shared" si="3"/>
        <v>179516.49345334887</v>
      </c>
      <c r="DS13" s="119">
        <f t="shared" si="3"/>
        <v>179516.49345334887</v>
      </c>
      <c r="DT13" s="93">
        <f t="shared" si="3"/>
        <v>179609.09903591988</v>
      </c>
      <c r="DW13" s="123" t="s">
        <v>192</v>
      </c>
      <c r="DX13" s="103">
        <f t="shared" si="13"/>
        <v>188023.62613725744</v>
      </c>
      <c r="DY13" s="119">
        <f t="shared" si="14"/>
        <v>188023.62613725744</v>
      </c>
      <c r="DZ13" s="119">
        <f t="shared" si="4"/>
        <v>164821.56465595507</v>
      </c>
      <c r="EA13" s="119">
        <f t="shared" si="4"/>
        <v>164821.56465595507</v>
      </c>
      <c r="EB13" s="119">
        <f t="shared" si="4"/>
        <v>164821.56465595507</v>
      </c>
      <c r="EC13" s="119">
        <f t="shared" si="4"/>
        <v>164821.56465595507</v>
      </c>
      <c r="ED13" s="119">
        <f t="shared" si="4"/>
        <v>164821.56465595507</v>
      </c>
      <c r="EE13" s="119">
        <f t="shared" si="4"/>
        <v>101585.49636387665</v>
      </c>
      <c r="EF13" s="119">
        <f t="shared" si="4"/>
        <v>101585.49636387665</v>
      </c>
      <c r="EG13" s="119">
        <f t="shared" si="4"/>
        <v>101585.49636387665</v>
      </c>
      <c r="EH13" s="119">
        <f t="shared" si="4"/>
        <v>101585.49636387665</v>
      </c>
      <c r="EI13" s="119">
        <f t="shared" si="4"/>
        <v>101585.49636387665</v>
      </c>
      <c r="EJ13" s="119">
        <f t="shared" si="4"/>
        <v>90727.784261541863</v>
      </c>
      <c r="EK13" s="119">
        <f t="shared" si="4"/>
        <v>90727.784261541863</v>
      </c>
      <c r="EL13" s="119">
        <f t="shared" si="4"/>
        <v>90727.784261541863</v>
      </c>
      <c r="EM13" s="119">
        <f t="shared" si="4"/>
        <v>90727.784261541863</v>
      </c>
      <c r="EN13" s="119">
        <f t="shared" si="4"/>
        <v>90727.784261541863</v>
      </c>
      <c r="EO13" s="119">
        <f t="shared" si="4"/>
        <v>87872.167220858959</v>
      </c>
      <c r="EP13" s="119">
        <f t="shared" si="4"/>
        <v>87872.167220858959</v>
      </c>
      <c r="EQ13" s="119">
        <f t="shared" si="4"/>
        <v>87872.167220858959</v>
      </c>
      <c r="ER13" s="119">
        <f t="shared" si="4"/>
        <v>87872.167220858959</v>
      </c>
      <c r="ES13" s="119">
        <f t="shared" si="4"/>
        <v>87872.167220858959</v>
      </c>
      <c r="ET13" s="119">
        <f t="shared" si="4"/>
        <v>84609.593607243063</v>
      </c>
      <c r="EU13" s="119">
        <f t="shared" si="4"/>
        <v>84609.593607243063</v>
      </c>
      <c r="EV13" s="119">
        <f t="shared" si="4"/>
        <v>84609.593607243063</v>
      </c>
      <c r="EW13" s="119">
        <f t="shared" si="4"/>
        <v>84609.593607243063</v>
      </c>
      <c r="EX13" s="119">
        <f t="shared" si="4"/>
        <v>84609.593607243063</v>
      </c>
      <c r="EY13" s="119">
        <f t="shared" si="4"/>
        <v>79493.568118942523</v>
      </c>
      <c r="FB13" s="123" t="s">
        <v>192</v>
      </c>
      <c r="FC13" s="103">
        <f t="shared" si="15"/>
        <v>203939.22707461665</v>
      </c>
      <c r="FD13" s="119">
        <f t="shared" si="16"/>
        <v>203939.22707461665</v>
      </c>
      <c r="FE13" s="119">
        <f t="shared" si="5"/>
        <v>178100.25310543209</v>
      </c>
      <c r="FF13" s="119">
        <f t="shared" si="5"/>
        <v>178100.25310543209</v>
      </c>
      <c r="FG13" s="119">
        <f t="shared" si="5"/>
        <v>178100.25310543209</v>
      </c>
      <c r="FH13" s="119">
        <f t="shared" si="5"/>
        <v>178100.25310543209</v>
      </c>
      <c r="FI13" s="119">
        <f t="shared" si="5"/>
        <v>178100.25310543209</v>
      </c>
      <c r="FJ13" s="119">
        <f t="shared" si="5"/>
        <v>111762.17909926236</v>
      </c>
      <c r="FK13" s="119">
        <f t="shared" si="5"/>
        <v>111762.17909926236</v>
      </c>
      <c r="FL13" s="119">
        <f t="shared" si="5"/>
        <v>111762.17909926236</v>
      </c>
      <c r="FM13" s="119">
        <f t="shared" si="5"/>
        <v>111762.17909926236</v>
      </c>
      <c r="FN13" s="119">
        <f t="shared" si="5"/>
        <v>111762.17909926236</v>
      </c>
      <c r="FO13" s="119">
        <f t="shared" si="5"/>
        <v>99239.267142375204</v>
      </c>
      <c r="FP13" s="119">
        <f t="shared" si="5"/>
        <v>99239.267142375204</v>
      </c>
      <c r="FQ13" s="119">
        <f t="shared" si="5"/>
        <v>99239.267142375204</v>
      </c>
      <c r="FR13" s="119">
        <f t="shared" si="5"/>
        <v>99239.267142375204</v>
      </c>
      <c r="FS13" s="119">
        <f t="shared" si="5"/>
        <v>99239.267142375204</v>
      </c>
      <c r="FT13" s="119">
        <f t="shared" si="5"/>
        <v>96713.091136923773</v>
      </c>
      <c r="FU13" s="119">
        <f t="shared" si="5"/>
        <v>96713.091136923773</v>
      </c>
      <c r="FV13" s="119">
        <f t="shared" si="5"/>
        <v>96713.091136923773</v>
      </c>
      <c r="FW13" s="119">
        <f t="shared" si="5"/>
        <v>96713.091136923773</v>
      </c>
      <c r="FX13" s="119">
        <f t="shared" si="5"/>
        <v>96713.091136923773</v>
      </c>
      <c r="FY13" s="119">
        <f t="shared" si="5"/>
        <v>93443.596493155943</v>
      </c>
      <c r="FZ13" s="119">
        <f t="shared" si="5"/>
        <v>93443.596493155943</v>
      </c>
      <c r="GA13" s="119">
        <f t="shared" si="5"/>
        <v>93443.596493155943</v>
      </c>
      <c r="GB13" s="119">
        <f t="shared" si="5"/>
        <v>93443.596493155943</v>
      </c>
      <c r="GC13" s="119">
        <f t="shared" si="5"/>
        <v>93443.596493155943</v>
      </c>
      <c r="GD13" s="119">
        <f t="shared" si="5"/>
        <v>88150.392632966221</v>
      </c>
      <c r="GH13" s="123" t="s">
        <v>192</v>
      </c>
      <c r="GI13" s="103">
        <f t="shared" si="17"/>
        <v>177190.82974346957</v>
      </c>
      <c r="GJ13" s="119">
        <f t="shared" si="18"/>
        <v>177190.82974346957</v>
      </c>
      <c r="GK13" s="119">
        <f t="shared" si="6"/>
        <v>155784.08348357567</v>
      </c>
      <c r="GL13" s="119">
        <f t="shared" si="6"/>
        <v>155784.08348357567</v>
      </c>
      <c r="GM13" s="119">
        <f t="shared" si="6"/>
        <v>155784.08348357567</v>
      </c>
      <c r="GN13" s="119">
        <f t="shared" si="6"/>
        <v>155784.08348357567</v>
      </c>
      <c r="GO13" s="119">
        <f t="shared" si="6"/>
        <v>155784.08348357567</v>
      </c>
      <c r="GP13" s="119">
        <f t="shared" si="6"/>
        <v>94658.929387833414</v>
      </c>
      <c r="GQ13" s="119">
        <f t="shared" si="6"/>
        <v>94658.929387833414</v>
      </c>
      <c r="GR13" s="119">
        <f t="shared" si="6"/>
        <v>94658.929387833414</v>
      </c>
      <c r="GS13" s="119">
        <f t="shared" si="6"/>
        <v>94658.929387833414</v>
      </c>
      <c r="GT13" s="119">
        <f t="shared" si="6"/>
        <v>94658.929387833414</v>
      </c>
      <c r="GU13" s="119">
        <f t="shared" si="6"/>
        <v>84934.882024383391</v>
      </c>
      <c r="GV13" s="119">
        <f t="shared" si="6"/>
        <v>84934.882024383391</v>
      </c>
      <c r="GW13" s="119">
        <f t="shared" si="6"/>
        <v>84934.882024383391</v>
      </c>
      <c r="GX13" s="119">
        <f t="shared" si="6"/>
        <v>84934.882024383391</v>
      </c>
      <c r="GY13" s="119">
        <f t="shared" si="6"/>
        <v>84934.882024383391</v>
      </c>
      <c r="GZ13" s="119">
        <f t="shared" si="6"/>
        <v>81855.023606778224</v>
      </c>
      <c r="HA13" s="119">
        <f t="shared" si="6"/>
        <v>81855.023606778224</v>
      </c>
      <c r="HB13" s="119">
        <f t="shared" si="6"/>
        <v>81855.023606778224</v>
      </c>
      <c r="HC13" s="119">
        <f t="shared" si="6"/>
        <v>81855.023606778224</v>
      </c>
      <c r="HD13" s="119">
        <f t="shared" si="6"/>
        <v>81855.023606778224</v>
      </c>
      <c r="HE13" s="119">
        <f t="shared" si="6"/>
        <v>78596.602611253475</v>
      </c>
      <c r="HF13" s="119">
        <f t="shared" si="6"/>
        <v>78596.602611253475</v>
      </c>
      <c r="HG13" s="119">
        <f t="shared" si="6"/>
        <v>78596.602611253475</v>
      </c>
      <c r="HH13" s="119">
        <f t="shared" si="6"/>
        <v>78596.602611253475</v>
      </c>
      <c r="HI13" s="119">
        <f t="shared" si="6"/>
        <v>78596.602611253475</v>
      </c>
      <c r="HJ13" s="119">
        <f t="shared" si="6"/>
        <v>73602.387253626759</v>
      </c>
    </row>
    <row r="14" spans="1:218" x14ac:dyDescent="0.25">
      <c r="Q14" s="37">
        <v>2050</v>
      </c>
      <c r="R14" s="136">
        <v>1E-3</v>
      </c>
      <c r="S14" s="137">
        <v>0.21</v>
      </c>
      <c r="T14" s="137">
        <v>0.05</v>
      </c>
      <c r="U14" s="137">
        <v>0.126</v>
      </c>
      <c r="V14" s="137">
        <v>2E-3</v>
      </c>
      <c r="W14" s="137">
        <v>0.61099999999999999</v>
      </c>
      <c r="X14" s="138">
        <f t="shared" si="7"/>
        <v>1</v>
      </c>
      <c r="Z14" s="83" t="s">
        <v>193</v>
      </c>
      <c r="AA14" s="114">
        <f>'US Grid mix, emissions&amp;prices'!O66</f>
        <v>137917</v>
      </c>
      <c r="AB14" s="116">
        <f t="shared" si="20"/>
        <v>137917</v>
      </c>
      <c r="AC14" s="116">
        <f t="shared" si="20"/>
        <v>121297.15174821403</v>
      </c>
      <c r="AD14" s="116">
        <f t="shared" si="20"/>
        <v>121297.15174821403</v>
      </c>
      <c r="AE14" s="116">
        <f t="shared" si="20"/>
        <v>121297.15174821403</v>
      </c>
      <c r="AF14" s="116">
        <f t="shared" si="20"/>
        <v>121297.15174821403</v>
      </c>
      <c r="AG14" s="116">
        <f t="shared" si="20"/>
        <v>121297.15174821403</v>
      </c>
      <c r="AH14" s="116">
        <f t="shared" si="20"/>
        <v>72879.899892879985</v>
      </c>
      <c r="AI14" s="116">
        <f t="shared" si="20"/>
        <v>72879.899892879985</v>
      </c>
      <c r="AJ14" s="116">
        <f t="shared" si="20"/>
        <v>72879.899892879985</v>
      </c>
      <c r="AK14" s="116">
        <f t="shared" si="20"/>
        <v>72879.899892879985</v>
      </c>
      <c r="AL14" s="116">
        <f t="shared" si="20"/>
        <v>72879.899892879985</v>
      </c>
      <c r="AM14" s="116">
        <f t="shared" si="20"/>
        <v>76267.215642604482</v>
      </c>
      <c r="AN14" s="116">
        <f t="shared" si="20"/>
        <v>76267.215642604482</v>
      </c>
      <c r="AO14" s="116">
        <f t="shared" si="20"/>
        <v>76267.215642604482</v>
      </c>
      <c r="AP14" s="116">
        <f t="shared" si="20"/>
        <v>76267.215642604482</v>
      </c>
      <c r="AQ14" s="116">
        <f t="shared" si="20"/>
        <v>76267.215642604482</v>
      </c>
      <c r="AR14" s="116">
        <f t="shared" ref="AR14:AZ14" si="21">$AA14*AR$57</f>
        <v>79725.742611416368</v>
      </c>
      <c r="AS14" s="116">
        <f t="shared" si="21"/>
        <v>79725.742611416368</v>
      </c>
      <c r="AT14" s="116">
        <f t="shared" si="21"/>
        <v>79725.742611416368</v>
      </c>
      <c r="AU14" s="116">
        <f t="shared" si="21"/>
        <v>79725.742611416368</v>
      </c>
      <c r="AV14" s="116">
        <f t="shared" si="21"/>
        <v>79725.742611416368</v>
      </c>
      <c r="AW14" s="116">
        <f t="shared" si="21"/>
        <v>81475.20032213068</v>
      </c>
      <c r="AX14" s="116">
        <f t="shared" si="21"/>
        <v>81475.20032213068</v>
      </c>
      <c r="AY14" s="116">
        <f t="shared" si="21"/>
        <v>81475.20032213068</v>
      </c>
      <c r="AZ14" s="116">
        <f t="shared" si="21"/>
        <v>81475.20032213068</v>
      </c>
      <c r="BA14" s="116">
        <f t="shared" ref="AR14:BB37" si="22">$AA14*BA$57</f>
        <v>81475.20032213068</v>
      </c>
      <c r="BB14" s="116">
        <f t="shared" si="22"/>
        <v>81585.737139818593</v>
      </c>
      <c r="BM14" s="123" t="s">
        <v>193</v>
      </c>
      <c r="BN14" s="103">
        <f t="shared" ref="BN14:BN56" si="23">AA14</f>
        <v>137917</v>
      </c>
      <c r="BO14" s="119">
        <f t="shared" si="10"/>
        <v>137917</v>
      </c>
      <c r="BP14" s="119">
        <f t="shared" si="2"/>
        <v>121138.78649979577</v>
      </c>
      <c r="BQ14" s="119">
        <f t="shared" si="2"/>
        <v>121138.78649979577</v>
      </c>
      <c r="BR14" s="119">
        <f t="shared" si="2"/>
        <v>121138.78649979577</v>
      </c>
      <c r="BS14" s="119">
        <f t="shared" si="2"/>
        <v>121138.78649979577</v>
      </c>
      <c r="BT14" s="119">
        <f t="shared" si="2"/>
        <v>121138.78649979577</v>
      </c>
      <c r="BU14" s="119">
        <f t="shared" si="2"/>
        <v>137318.6131888626</v>
      </c>
      <c r="BV14" s="119">
        <f t="shared" si="2"/>
        <v>137318.6131888626</v>
      </c>
      <c r="BW14" s="119">
        <f t="shared" si="2"/>
        <v>137318.6131888626</v>
      </c>
      <c r="BX14" s="119">
        <f t="shared" si="2"/>
        <v>137318.6131888626</v>
      </c>
      <c r="BY14" s="119">
        <f t="shared" si="2"/>
        <v>137318.6131888626</v>
      </c>
      <c r="BZ14" s="119">
        <f t="shared" si="2"/>
        <v>140620.90061728869</v>
      </c>
      <c r="CA14" s="119">
        <f t="shared" si="2"/>
        <v>140620.90061728869</v>
      </c>
      <c r="CB14" s="119">
        <f t="shared" si="2"/>
        <v>140620.90061728869</v>
      </c>
      <c r="CC14" s="119">
        <f t="shared" si="2"/>
        <v>140620.90061728869</v>
      </c>
      <c r="CD14" s="119">
        <f t="shared" si="2"/>
        <v>140620.90061728869</v>
      </c>
      <c r="CE14" s="119">
        <f t="shared" si="2"/>
        <v>144096.43325036028</v>
      </c>
      <c r="CF14" s="119">
        <f t="shared" si="2"/>
        <v>144096.43325036028</v>
      </c>
      <c r="CG14" s="119">
        <f t="shared" si="2"/>
        <v>144096.43325036028</v>
      </c>
      <c r="CH14" s="119">
        <f t="shared" si="2"/>
        <v>144096.43325036028</v>
      </c>
      <c r="CI14" s="119">
        <f t="shared" si="2"/>
        <v>144096.43325036028</v>
      </c>
      <c r="CJ14" s="119">
        <f t="shared" si="2"/>
        <v>144921.20796695465</v>
      </c>
      <c r="CK14" s="119">
        <f t="shared" si="2"/>
        <v>144921.20796695465</v>
      </c>
      <c r="CL14" s="119">
        <f t="shared" si="2"/>
        <v>144921.20796695465</v>
      </c>
      <c r="CM14" s="119">
        <f t="shared" si="2"/>
        <v>144921.20796695465</v>
      </c>
      <c r="CN14" s="119">
        <f t="shared" si="2"/>
        <v>144921.20796695465</v>
      </c>
      <c r="CO14" s="119">
        <f t="shared" si="2"/>
        <v>145906.47363999969</v>
      </c>
      <c r="CR14" s="123" t="s">
        <v>193</v>
      </c>
      <c r="CS14" s="103">
        <f t="shared" si="11"/>
        <v>166980.74307380492</v>
      </c>
      <c r="CT14" s="119">
        <f t="shared" si="12"/>
        <v>166980.74307380492</v>
      </c>
      <c r="CU14" s="119">
        <f t="shared" si="3"/>
        <v>166980.74307380492</v>
      </c>
      <c r="CV14" s="119">
        <f t="shared" si="3"/>
        <v>166980.74307380492</v>
      </c>
      <c r="CW14" s="119">
        <f t="shared" si="3"/>
        <v>166980.74307380492</v>
      </c>
      <c r="CX14" s="119">
        <f t="shared" si="3"/>
        <v>166980.74307380492</v>
      </c>
      <c r="CY14" s="119">
        <f t="shared" si="3"/>
        <v>166980.74307380492</v>
      </c>
      <c r="CZ14" s="119">
        <f t="shared" si="3"/>
        <v>167017.94296437295</v>
      </c>
      <c r="DA14" s="119">
        <f t="shared" si="3"/>
        <v>167017.94296437295</v>
      </c>
      <c r="DB14" s="119">
        <f t="shared" si="3"/>
        <v>167017.94296437295</v>
      </c>
      <c r="DC14" s="119">
        <f t="shared" si="3"/>
        <v>167017.94296437295</v>
      </c>
      <c r="DD14" s="119">
        <f t="shared" si="3"/>
        <v>167017.94296437295</v>
      </c>
      <c r="DE14" s="119">
        <f t="shared" si="3"/>
        <v>166996.68588404838</v>
      </c>
      <c r="DF14" s="119">
        <f t="shared" si="3"/>
        <v>166996.68588404838</v>
      </c>
      <c r="DG14" s="119">
        <f t="shared" si="3"/>
        <v>166996.68588404838</v>
      </c>
      <c r="DH14" s="119">
        <f t="shared" si="3"/>
        <v>166996.68588404838</v>
      </c>
      <c r="DI14" s="119">
        <f t="shared" si="3"/>
        <v>166996.68588404838</v>
      </c>
      <c r="DJ14" s="119">
        <f t="shared" si="3"/>
        <v>166991.3716139672</v>
      </c>
      <c r="DK14" s="119">
        <f t="shared" si="3"/>
        <v>166991.3716139672</v>
      </c>
      <c r="DL14" s="119">
        <f t="shared" si="3"/>
        <v>166991.3716139672</v>
      </c>
      <c r="DM14" s="119">
        <f t="shared" si="3"/>
        <v>166991.3716139672</v>
      </c>
      <c r="DN14" s="119">
        <f t="shared" si="3"/>
        <v>166991.3716139672</v>
      </c>
      <c r="DO14" s="119">
        <f t="shared" si="3"/>
        <v>166888.27477439292</v>
      </c>
      <c r="DP14" s="119">
        <f t="shared" si="3"/>
        <v>166888.27477439292</v>
      </c>
      <c r="DQ14" s="119">
        <f t="shared" si="3"/>
        <v>166888.27477439292</v>
      </c>
      <c r="DR14" s="119">
        <f t="shared" si="3"/>
        <v>166888.27477439292</v>
      </c>
      <c r="DS14" s="119">
        <f t="shared" si="3"/>
        <v>166888.27477439292</v>
      </c>
      <c r="DT14" s="93">
        <f t="shared" si="3"/>
        <v>166974.36594970754</v>
      </c>
      <c r="DW14" s="123" t="s">
        <v>193</v>
      </c>
      <c r="DX14" s="103">
        <f t="shared" si="13"/>
        <v>174796.96700418685</v>
      </c>
      <c r="DY14" s="119">
        <f t="shared" si="14"/>
        <v>174796.96700418685</v>
      </c>
      <c r="DZ14" s="119">
        <f t="shared" si="4"/>
        <v>153227.07146235905</v>
      </c>
      <c r="EA14" s="119">
        <f t="shared" si="4"/>
        <v>153227.07146235905</v>
      </c>
      <c r="EB14" s="119">
        <f t="shared" si="4"/>
        <v>153227.07146235905</v>
      </c>
      <c r="EC14" s="119">
        <f t="shared" si="4"/>
        <v>153227.07146235905</v>
      </c>
      <c r="ED14" s="119">
        <f t="shared" si="4"/>
        <v>153227.07146235905</v>
      </c>
      <c r="EE14" s="119">
        <f t="shared" si="4"/>
        <v>94439.390521369816</v>
      </c>
      <c r="EF14" s="119">
        <f t="shared" si="4"/>
        <v>94439.390521369816</v>
      </c>
      <c r="EG14" s="119">
        <f t="shared" si="4"/>
        <v>94439.390521369816</v>
      </c>
      <c r="EH14" s="119">
        <f t="shared" si="4"/>
        <v>94439.390521369816</v>
      </c>
      <c r="EI14" s="119">
        <f t="shared" si="4"/>
        <v>94439.390521369816</v>
      </c>
      <c r="EJ14" s="119">
        <f t="shared" si="4"/>
        <v>84345.472096951649</v>
      </c>
      <c r="EK14" s="119">
        <f t="shared" si="4"/>
        <v>84345.472096951649</v>
      </c>
      <c r="EL14" s="119">
        <f t="shared" si="4"/>
        <v>84345.472096951649</v>
      </c>
      <c r="EM14" s="119">
        <f t="shared" si="4"/>
        <v>84345.472096951649</v>
      </c>
      <c r="EN14" s="119">
        <f t="shared" si="4"/>
        <v>84345.472096951649</v>
      </c>
      <c r="EO14" s="119">
        <f t="shared" si="4"/>
        <v>81690.735520004338</v>
      </c>
      <c r="EP14" s="119">
        <f t="shared" si="4"/>
        <v>81690.735520004338</v>
      </c>
      <c r="EQ14" s="119">
        <f t="shared" si="4"/>
        <v>81690.735520004338</v>
      </c>
      <c r="ER14" s="119">
        <f t="shared" si="4"/>
        <v>81690.735520004338</v>
      </c>
      <c r="ES14" s="119">
        <f t="shared" si="4"/>
        <v>81690.735520004338</v>
      </c>
      <c r="ET14" s="119">
        <f t="shared" si="4"/>
        <v>78657.670027098473</v>
      </c>
      <c r="EU14" s="119">
        <f t="shared" si="4"/>
        <v>78657.670027098473</v>
      </c>
      <c r="EV14" s="119">
        <f t="shared" si="4"/>
        <v>78657.670027098473</v>
      </c>
      <c r="EW14" s="119">
        <f t="shared" si="4"/>
        <v>78657.670027098473</v>
      </c>
      <c r="EX14" s="119">
        <f t="shared" si="4"/>
        <v>78657.670027098473</v>
      </c>
      <c r="EY14" s="119">
        <f t="shared" si="4"/>
        <v>73901.535083619441</v>
      </c>
      <c r="FB14" s="123" t="s">
        <v>193</v>
      </c>
      <c r="FC14" s="103">
        <f t="shared" si="15"/>
        <v>189592.97338408997</v>
      </c>
      <c r="FD14" s="119">
        <f t="shared" si="16"/>
        <v>189592.97338408997</v>
      </c>
      <c r="FE14" s="119">
        <f t="shared" si="5"/>
        <v>165571.66088681639</v>
      </c>
      <c r="FF14" s="119">
        <f t="shared" si="5"/>
        <v>165571.66088681639</v>
      </c>
      <c r="FG14" s="119">
        <f t="shared" si="5"/>
        <v>165571.66088681639</v>
      </c>
      <c r="FH14" s="119">
        <f t="shared" si="5"/>
        <v>165571.66088681639</v>
      </c>
      <c r="FI14" s="119">
        <f t="shared" si="5"/>
        <v>165571.66088681639</v>
      </c>
      <c r="FJ14" s="119">
        <f t="shared" si="5"/>
        <v>103900.18708642875</v>
      </c>
      <c r="FK14" s="119">
        <f t="shared" si="5"/>
        <v>103900.18708642875</v>
      </c>
      <c r="FL14" s="119">
        <f t="shared" si="5"/>
        <v>103900.18708642875</v>
      </c>
      <c r="FM14" s="119">
        <f t="shared" si="5"/>
        <v>103900.18708642875</v>
      </c>
      <c r="FN14" s="119">
        <f t="shared" si="5"/>
        <v>103900.18708642875</v>
      </c>
      <c r="FO14" s="119">
        <f t="shared" si="5"/>
        <v>92258.208505894436</v>
      </c>
      <c r="FP14" s="119">
        <f t="shared" si="5"/>
        <v>92258.208505894436</v>
      </c>
      <c r="FQ14" s="119">
        <f t="shared" si="5"/>
        <v>92258.208505894436</v>
      </c>
      <c r="FR14" s="119">
        <f t="shared" si="5"/>
        <v>92258.208505894436</v>
      </c>
      <c r="FS14" s="119">
        <f t="shared" si="5"/>
        <v>92258.208505894436</v>
      </c>
      <c r="FT14" s="119">
        <f t="shared" si="5"/>
        <v>89909.738194246922</v>
      </c>
      <c r="FU14" s="119">
        <f t="shared" si="5"/>
        <v>89909.738194246922</v>
      </c>
      <c r="FV14" s="119">
        <f t="shared" si="5"/>
        <v>89909.738194246922</v>
      </c>
      <c r="FW14" s="119">
        <f t="shared" si="5"/>
        <v>89909.738194246922</v>
      </c>
      <c r="FX14" s="119">
        <f t="shared" si="5"/>
        <v>89909.738194246922</v>
      </c>
      <c r="FY14" s="119">
        <f t="shared" si="5"/>
        <v>86870.238536103658</v>
      </c>
      <c r="FZ14" s="119">
        <f t="shared" si="5"/>
        <v>86870.238536103658</v>
      </c>
      <c r="GA14" s="119">
        <f t="shared" si="5"/>
        <v>86870.238536103658</v>
      </c>
      <c r="GB14" s="119">
        <f t="shared" si="5"/>
        <v>86870.238536103658</v>
      </c>
      <c r="GC14" s="119">
        <f t="shared" si="5"/>
        <v>86870.238536103658</v>
      </c>
      <c r="GD14" s="119">
        <f t="shared" si="5"/>
        <v>81949.38896254744</v>
      </c>
      <c r="GH14" s="123" t="s">
        <v>193</v>
      </c>
      <c r="GI14" s="103">
        <f t="shared" si="17"/>
        <v>164726.2115746233</v>
      </c>
      <c r="GJ14" s="119">
        <f t="shared" si="18"/>
        <v>164726.2115746233</v>
      </c>
      <c r="GK14" s="119">
        <f t="shared" si="6"/>
        <v>144825.33849537457</v>
      </c>
      <c r="GL14" s="119">
        <f t="shared" si="6"/>
        <v>144825.33849537457</v>
      </c>
      <c r="GM14" s="119">
        <f t="shared" si="6"/>
        <v>144825.33849537457</v>
      </c>
      <c r="GN14" s="119">
        <f t="shared" si="6"/>
        <v>144825.33849537457</v>
      </c>
      <c r="GO14" s="119">
        <f t="shared" si="6"/>
        <v>144825.33849537457</v>
      </c>
      <c r="GP14" s="119">
        <f t="shared" si="6"/>
        <v>88000.077951789441</v>
      </c>
      <c r="GQ14" s="119">
        <f t="shared" si="6"/>
        <v>88000.077951789441</v>
      </c>
      <c r="GR14" s="119">
        <f t="shared" si="6"/>
        <v>88000.077951789441</v>
      </c>
      <c r="GS14" s="119">
        <f t="shared" si="6"/>
        <v>88000.077951789441</v>
      </c>
      <c r="GT14" s="119">
        <f t="shared" si="6"/>
        <v>88000.077951789441</v>
      </c>
      <c r="GU14" s="119">
        <f t="shared" si="6"/>
        <v>78960.075793255834</v>
      </c>
      <c r="GV14" s="119">
        <f t="shared" si="6"/>
        <v>78960.075793255834</v>
      </c>
      <c r="GW14" s="119">
        <f t="shared" si="6"/>
        <v>78960.075793255834</v>
      </c>
      <c r="GX14" s="119">
        <f t="shared" si="6"/>
        <v>78960.075793255834</v>
      </c>
      <c r="GY14" s="119">
        <f t="shared" si="6"/>
        <v>78960.075793255834</v>
      </c>
      <c r="GZ14" s="119">
        <f t="shared" si="6"/>
        <v>76096.872262617078</v>
      </c>
      <c r="HA14" s="119">
        <f t="shared" si="6"/>
        <v>76096.872262617078</v>
      </c>
      <c r="HB14" s="119">
        <f t="shared" si="6"/>
        <v>76096.872262617078</v>
      </c>
      <c r="HC14" s="119">
        <f t="shared" si="6"/>
        <v>76096.872262617078</v>
      </c>
      <c r="HD14" s="119">
        <f t="shared" si="6"/>
        <v>76096.872262617078</v>
      </c>
      <c r="HE14" s="119">
        <f t="shared" si="6"/>
        <v>73067.667268853649</v>
      </c>
      <c r="HF14" s="119">
        <f t="shared" si="6"/>
        <v>73067.667268853649</v>
      </c>
      <c r="HG14" s="119">
        <f t="shared" si="6"/>
        <v>73067.667268853649</v>
      </c>
      <c r="HH14" s="119">
        <f t="shared" si="6"/>
        <v>73067.667268853649</v>
      </c>
      <c r="HI14" s="119">
        <f t="shared" si="6"/>
        <v>73067.667268853649</v>
      </c>
      <c r="HJ14" s="119">
        <f t="shared" si="6"/>
        <v>68424.773633552686</v>
      </c>
    </row>
    <row r="15" spans="1:218" x14ac:dyDescent="0.25">
      <c r="Q15" s="248" t="s">
        <v>476</v>
      </c>
      <c r="R15" s="249"/>
      <c r="S15" s="249"/>
      <c r="T15" s="249"/>
      <c r="U15" s="249"/>
      <c r="V15" s="249"/>
      <c r="W15" s="249"/>
      <c r="X15" s="250"/>
      <c r="Z15" s="83" t="s">
        <v>194</v>
      </c>
      <c r="AA15" s="114">
        <f>'US Grid mix, emissions&amp;prices'!O67</f>
        <v>118690</v>
      </c>
      <c r="AB15" s="116">
        <f t="shared" si="20"/>
        <v>118690</v>
      </c>
      <c r="AC15" s="116">
        <f t="shared" si="20"/>
        <v>104387.12371205524</v>
      </c>
      <c r="AD15" s="116">
        <f t="shared" si="20"/>
        <v>104387.12371205524</v>
      </c>
      <c r="AE15" s="116">
        <f t="shared" si="20"/>
        <v>104387.12371205524</v>
      </c>
      <c r="AF15" s="116">
        <f t="shared" si="20"/>
        <v>104387.12371205524</v>
      </c>
      <c r="AG15" s="116">
        <f t="shared" si="20"/>
        <v>104387.12371205524</v>
      </c>
      <c r="AH15" s="116">
        <f t="shared" si="20"/>
        <v>62719.717788857975</v>
      </c>
      <c r="AI15" s="116">
        <f t="shared" si="20"/>
        <v>62719.717788857975</v>
      </c>
      <c r="AJ15" s="116">
        <f t="shared" si="20"/>
        <v>62719.717788857975</v>
      </c>
      <c r="AK15" s="116">
        <f t="shared" si="20"/>
        <v>62719.717788857975</v>
      </c>
      <c r="AL15" s="116">
        <f t="shared" si="20"/>
        <v>62719.717788857975</v>
      </c>
      <c r="AM15" s="116">
        <f t="shared" si="20"/>
        <v>65634.808070221407</v>
      </c>
      <c r="AN15" s="116">
        <f t="shared" si="20"/>
        <v>65634.808070221407</v>
      </c>
      <c r="AO15" s="116">
        <f t="shared" si="20"/>
        <v>65634.808070221407</v>
      </c>
      <c r="AP15" s="116">
        <f t="shared" si="20"/>
        <v>65634.808070221407</v>
      </c>
      <c r="AQ15" s="116">
        <f t="shared" si="20"/>
        <v>65634.808070221407</v>
      </c>
      <c r="AR15" s="116">
        <f t="shared" si="22"/>
        <v>68611.182019250773</v>
      </c>
      <c r="AS15" s="116">
        <f t="shared" si="22"/>
        <v>68611.182019250773</v>
      </c>
      <c r="AT15" s="116">
        <f t="shared" si="22"/>
        <v>68611.182019250773</v>
      </c>
      <c r="AU15" s="116">
        <f t="shared" si="22"/>
        <v>68611.182019250773</v>
      </c>
      <c r="AV15" s="116">
        <f t="shared" si="22"/>
        <v>68611.182019250773</v>
      </c>
      <c r="AW15" s="116">
        <f t="shared" si="22"/>
        <v>70116.747944297589</v>
      </c>
      <c r="AX15" s="116">
        <f t="shared" si="22"/>
        <v>70116.747944297589</v>
      </c>
      <c r="AY15" s="116">
        <f t="shared" si="22"/>
        <v>70116.747944297589</v>
      </c>
      <c r="AZ15" s="116">
        <f t="shared" si="22"/>
        <v>70116.747944297589</v>
      </c>
      <c r="BA15" s="116">
        <f t="shared" si="22"/>
        <v>70116.747944297589</v>
      </c>
      <c r="BB15" s="116">
        <f t="shared" si="22"/>
        <v>70211.87483142085</v>
      </c>
      <c r="BM15" s="123" t="s">
        <v>194</v>
      </c>
      <c r="BN15" s="103">
        <f t="shared" si="23"/>
        <v>118690</v>
      </c>
      <c r="BO15" s="119">
        <f t="shared" si="10"/>
        <v>118690</v>
      </c>
      <c r="BP15" s="119">
        <f t="shared" si="2"/>
        <v>104250.83615261904</v>
      </c>
      <c r="BQ15" s="119">
        <f t="shared" si="2"/>
        <v>104250.83615261904</v>
      </c>
      <c r="BR15" s="119">
        <f t="shared" si="2"/>
        <v>104250.83615261904</v>
      </c>
      <c r="BS15" s="119">
        <f t="shared" si="2"/>
        <v>104250.83615261904</v>
      </c>
      <c r="BT15" s="119">
        <f t="shared" si="2"/>
        <v>104250.83615261904</v>
      </c>
      <c r="BU15" s="119">
        <f t="shared" si="2"/>
        <v>118175.03425528471</v>
      </c>
      <c r="BV15" s="119">
        <f t="shared" si="2"/>
        <v>118175.03425528471</v>
      </c>
      <c r="BW15" s="119">
        <f t="shared" si="2"/>
        <v>118175.03425528471</v>
      </c>
      <c r="BX15" s="119">
        <f t="shared" si="2"/>
        <v>118175.03425528471</v>
      </c>
      <c r="BY15" s="119">
        <f t="shared" si="2"/>
        <v>118175.03425528471</v>
      </c>
      <c r="BZ15" s="119">
        <f t="shared" si="2"/>
        <v>121016.95000809179</v>
      </c>
      <c r="CA15" s="119">
        <f t="shared" si="2"/>
        <v>121016.95000809179</v>
      </c>
      <c r="CB15" s="119">
        <f t="shared" si="2"/>
        <v>121016.95000809179</v>
      </c>
      <c r="CC15" s="119">
        <f t="shared" si="2"/>
        <v>121016.95000809179</v>
      </c>
      <c r="CD15" s="119">
        <f t="shared" si="2"/>
        <v>121016.95000809179</v>
      </c>
      <c r="CE15" s="119">
        <f t="shared" si="2"/>
        <v>124007.95886283244</v>
      </c>
      <c r="CF15" s="119">
        <f t="shared" si="2"/>
        <v>124007.95886283244</v>
      </c>
      <c r="CG15" s="119">
        <f t="shared" si="2"/>
        <v>124007.95886283244</v>
      </c>
      <c r="CH15" s="119">
        <f t="shared" si="2"/>
        <v>124007.95886283244</v>
      </c>
      <c r="CI15" s="119">
        <f t="shared" si="2"/>
        <v>124007.95886283244</v>
      </c>
      <c r="CJ15" s="119">
        <f t="shared" si="2"/>
        <v>124717.751789829</v>
      </c>
      <c r="CK15" s="119">
        <f>$BN15*CK$57</f>
        <v>124717.751789829</v>
      </c>
      <c r="CL15" s="119">
        <f>$BN15*CL$57</f>
        <v>124717.751789829</v>
      </c>
      <c r="CM15" s="119">
        <f>$BN15*CM$57</f>
        <v>124717.751789829</v>
      </c>
      <c r="CN15" s="119">
        <f>$BN15*CN$57</f>
        <v>124717.751789829</v>
      </c>
      <c r="CO15" s="119">
        <f>$BN15*CO$57</f>
        <v>125565.66163947566</v>
      </c>
      <c r="CR15" s="123" t="s">
        <v>194</v>
      </c>
      <c r="CS15" s="103">
        <f t="shared" si="11"/>
        <v>143701.968542166</v>
      </c>
      <c r="CT15" s="119">
        <f t="shared" si="12"/>
        <v>143701.968542166</v>
      </c>
      <c r="CU15" s="119">
        <f t="shared" si="3"/>
        <v>143701.968542166</v>
      </c>
      <c r="CV15" s="119">
        <f t="shared" si="3"/>
        <v>143701.968542166</v>
      </c>
      <c r="CW15" s="119">
        <f t="shared" si="3"/>
        <v>143701.968542166</v>
      </c>
      <c r="CX15" s="119">
        <f t="shared" si="3"/>
        <v>143701.968542166</v>
      </c>
      <c r="CY15" s="119">
        <f t="shared" si="3"/>
        <v>143701.968542166</v>
      </c>
      <c r="CZ15" s="119">
        <f t="shared" si="3"/>
        <v>143733.98239840937</v>
      </c>
      <c r="DA15" s="119">
        <f t="shared" si="3"/>
        <v>143733.98239840937</v>
      </c>
      <c r="DB15" s="119">
        <f t="shared" si="3"/>
        <v>143733.98239840937</v>
      </c>
      <c r="DC15" s="119">
        <f t="shared" si="3"/>
        <v>143733.98239840937</v>
      </c>
      <c r="DD15" s="119">
        <f t="shared" si="3"/>
        <v>143733.98239840937</v>
      </c>
      <c r="DE15" s="119">
        <f t="shared" si="3"/>
        <v>143715.68876627029</v>
      </c>
      <c r="DF15" s="119">
        <f t="shared" si="3"/>
        <v>143715.68876627029</v>
      </c>
      <c r="DG15" s="119">
        <f t="shared" si="3"/>
        <v>143715.68876627029</v>
      </c>
      <c r="DH15" s="119">
        <f t="shared" si="3"/>
        <v>143715.68876627029</v>
      </c>
      <c r="DI15" s="119">
        <f t="shared" si="3"/>
        <v>143715.68876627029</v>
      </c>
      <c r="DJ15" s="119">
        <f t="shared" si="3"/>
        <v>143711.11535823552</v>
      </c>
      <c r="DK15" s="119">
        <f t="shared" si="3"/>
        <v>143711.11535823552</v>
      </c>
      <c r="DL15" s="119">
        <f t="shared" si="3"/>
        <v>143711.11535823552</v>
      </c>
      <c r="DM15" s="119">
        <f t="shared" si="3"/>
        <v>143711.11535823552</v>
      </c>
      <c r="DN15" s="119">
        <f t="shared" si="3"/>
        <v>143711.11535823552</v>
      </c>
      <c r="DO15" s="119">
        <f t="shared" si="3"/>
        <v>143622.39124236096</v>
      </c>
      <c r="DP15" s="119">
        <f>$BN15*DP$57</f>
        <v>143622.39124236096</v>
      </c>
      <c r="DQ15" s="119">
        <f>$BN15*DQ$57</f>
        <v>143622.39124236096</v>
      </c>
      <c r="DR15" s="119">
        <f>$BN15*DR$57</f>
        <v>143622.39124236096</v>
      </c>
      <c r="DS15" s="119">
        <f>$BN15*DS$57</f>
        <v>143622.39124236096</v>
      </c>
      <c r="DT15" s="93">
        <f>$BN15*DT$57</f>
        <v>143696.48045252427</v>
      </c>
      <c r="DW15" s="123" t="s">
        <v>194</v>
      </c>
      <c r="DX15" s="103">
        <f t="shared" si="13"/>
        <v>150428.53320277369</v>
      </c>
      <c r="DY15" s="119">
        <f t="shared" si="14"/>
        <v>150428.53320277369</v>
      </c>
      <c r="DZ15" s="119">
        <f t="shared" si="4"/>
        <v>131865.69539554513</v>
      </c>
      <c r="EA15" s="119">
        <f t="shared" si="4"/>
        <v>131865.69539554513</v>
      </c>
      <c r="EB15" s="119">
        <f t="shared" si="4"/>
        <v>131865.69539554513</v>
      </c>
      <c r="EC15" s="119">
        <f t="shared" si="4"/>
        <v>131865.69539554513</v>
      </c>
      <c r="ED15" s="119">
        <f t="shared" si="4"/>
        <v>131865.69539554513</v>
      </c>
      <c r="EE15" s="119">
        <f t="shared" si="4"/>
        <v>81273.601231040288</v>
      </c>
      <c r="EF15" s="119">
        <f t="shared" si="4"/>
        <v>81273.601231040288</v>
      </c>
      <c r="EG15" s="119">
        <f t="shared" si="4"/>
        <v>81273.601231040288</v>
      </c>
      <c r="EH15" s="119">
        <f t="shared" si="4"/>
        <v>81273.601231040288</v>
      </c>
      <c r="EI15" s="119">
        <f t="shared" si="4"/>
        <v>81273.601231040288</v>
      </c>
      <c r="EJ15" s="119">
        <f t="shared" si="4"/>
        <v>72586.875317670711</v>
      </c>
      <c r="EK15" s="119">
        <f t="shared" si="4"/>
        <v>72586.875317670711</v>
      </c>
      <c r="EL15" s="119">
        <f t="shared" si="4"/>
        <v>72586.875317670711</v>
      </c>
      <c r="EM15" s="119">
        <f t="shared" si="4"/>
        <v>72586.875317670711</v>
      </c>
      <c r="EN15" s="119">
        <f t="shared" si="4"/>
        <v>72586.875317670711</v>
      </c>
      <c r="EO15" s="119">
        <f t="shared" si="4"/>
        <v>70302.235394253905</v>
      </c>
      <c r="EP15" s="119">
        <f t="shared" si="4"/>
        <v>70302.235394253905</v>
      </c>
      <c r="EQ15" s="119">
        <f t="shared" si="4"/>
        <v>70302.235394253905</v>
      </c>
      <c r="ER15" s="119">
        <f t="shared" si="4"/>
        <v>70302.235394253905</v>
      </c>
      <c r="ES15" s="119">
        <f t="shared" si="4"/>
        <v>70302.235394253905</v>
      </c>
      <c r="ET15" s="119">
        <f t="shared" si="4"/>
        <v>67692.009364446145</v>
      </c>
      <c r="EU15" s="119">
        <f>$DX15*EU$57</f>
        <v>67692.009364446145</v>
      </c>
      <c r="EV15" s="119">
        <f>$DX15*EV$57</f>
        <v>67692.009364446145</v>
      </c>
      <c r="EW15" s="119">
        <f>$DX15*EW$57</f>
        <v>67692.009364446145</v>
      </c>
      <c r="EX15" s="119">
        <f>$DX15*EX$57</f>
        <v>67692.009364446145</v>
      </c>
      <c r="EY15" s="119">
        <f>$DX15*EY$57</f>
        <v>63598.926884102701</v>
      </c>
      <c r="FB15" s="123" t="s">
        <v>194</v>
      </c>
      <c r="FC15" s="103">
        <f t="shared" si="15"/>
        <v>163161.82929557373</v>
      </c>
      <c r="FD15" s="119">
        <f t="shared" si="16"/>
        <v>163161.82929557373</v>
      </c>
      <c r="FE15" s="119">
        <f t="shared" si="5"/>
        <v>142489.32641122007</v>
      </c>
      <c r="FF15" s="119">
        <f t="shared" si="5"/>
        <v>142489.32641122007</v>
      </c>
      <c r="FG15" s="119">
        <f t="shared" si="5"/>
        <v>142489.32641122007</v>
      </c>
      <c r="FH15" s="119">
        <f t="shared" si="5"/>
        <v>142489.32641122007</v>
      </c>
      <c r="FI15" s="119">
        <f t="shared" si="5"/>
        <v>142489.32641122007</v>
      </c>
      <c r="FJ15" s="119">
        <f t="shared" si="5"/>
        <v>89415.468762286226</v>
      </c>
      <c r="FK15" s="119">
        <f t="shared" si="5"/>
        <v>89415.468762286226</v>
      </c>
      <c r="FL15" s="119">
        <f t="shared" si="5"/>
        <v>89415.468762286226</v>
      </c>
      <c r="FM15" s="119">
        <f t="shared" si="5"/>
        <v>89415.468762286226</v>
      </c>
      <c r="FN15" s="119">
        <f t="shared" si="5"/>
        <v>89415.468762286226</v>
      </c>
      <c r="FO15" s="119">
        <f t="shared" si="5"/>
        <v>79396.497658480192</v>
      </c>
      <c r="FP15" s="119">
        <f t="shared" si="5"/>
        <v>79396.497658480192</v>
      </c>
      <c r="FQ15" s="119">
        <f t="shared" si="5"/>
        <v>79396.497658480192</v>
      </c>
      <c r="FR15" s="119">
        <f t="shared" si="5"/>
        <v>79396.497658480192</v>
      </c>
      <c r="FS15" s="119">
        <f t="shared" si="5"/>
        <v>79396.497658480192</v>
      </c>
      <c r="FT15" s="119">
        <f t="shared" si="5"/>
        <v>77375.427440237021</v>
      </c>
      <c r="FU15" s="119">
        <f t="shared" si="5"/>
        <v>77375.427440237021</v>
      </c>
      <c r="FV15" s="119">
        <f t="shared" si="5"/>
        <v>77375.427440237021</v>
      </c>
      <c r="FW15" s="119">
        <f t="shared" si="5"/>
        <v>77375.427440237021</v>
      </c>
      <c r="FX15" s="119">
        <f t="shared" si="5"/>
        <v>77375.427440237021</v>
      </c>
      <c r="FY15" s="119">
        <f t="shared" si="5"/>
        <v>74759.664231749135</v>
      </c>
      <c r="FZ15" s="119">
        <f>$FC15*FZ$57</f>
        <v>74759.664231749135</v>
      </c>
      <c r="GA15" s="119">
        <f>$FC15*GA$57</f>
        <v>74759.664231749135</v>
      </c>
      <c r="GB15" s="119">
        <f>$FC15*GB$57</f>
        <v>74759.664231749135</v>
      </c>
      <c r="GC15" s="119">
        <f>$FC15*GC$57</f>
        <v>74759.664231749135</v>
      </c>
      <c r="GD15" s="119">
        <f>$FC15*GD$57</f>
        <v>70524.829977194662</v>
      </c>
      <c r="GH15" s="123" t="s">
        <v>194</v>
      </c>
      <c r="GI15" s="103">
        <f t="shared" si="17"/>
        <v>141761.74113265256</v>
      </c>
      <c r="GJ15" s="119">
        <f t="shared" si="18"/>
        <v>141761.74113265256</v>
      </c>
      <c r="GK15" s="119">
        <f t="shared" si="6"/>
        <v>124635.24747504666</v>
      </c>
      <c r="GL15" s="119">
        <f t="shared" si="6"/>
        <v>124635.24747504666</v>
      </c>
      <c r="GM15" s="119">
        <f t="shared" si="6"/>
        <v>124635.24747504666</v>
      </c>
      <c r="GN15" s="119">
        <f t="shared" si="6"/>
        <v>124635.24747504666</v>
      </c>
      <c r="GO15" s="119">
        <f t="shared" si="6"/>
        <v>124635.24747504666</v>
      </c>
      <c r="GP15" s="119">
        <f t="shared" si="6"/>
        <v>75731.99280797792</v>
      </c>
      <c r="GQ15" s="119">
        <f t="shared" si="6"/>
        <v>75731.99280797792</v>
      </c>
      <c r="GR15" s="119">
        <f t="shared" si="6"/>
        <v>75731.99280797792</v>
      </c>
      <c r="GS15" s="119">
        <f t="shared" si="6"/>
        <v>75731.99280797792</v>
      </c>
      <c r="GT15" s="119">
        <f t="shared" si="6"/>
        <v>75731.99280797792</v>
      </c>
      <c r="GU15" s="119">
        <f t="shared" si="6"/>
        <v>67952.256762411722</v>
      </c>
      <c r="GV15" s="119">
        <f t="shared" si="6"/>
        <v>67952.256762411722</v>
      </c>
      <c r="GW15" s="119">
        <f t="shared" si="6"/>
        <v>67952.256762411722</v>
      </c>
      <c r="GX15" s="119">
        <f t="shared" si="6"/>
        <v>67952.256762411722</v>
      </c>
      <c r="GY15" s="119">
        <f t="shared" si="6"/>
        <v>67952.256762411722</v>
      </c>
      <c r="GZ15" s="119">
        <f t="shared" si="6"/>
        <v>65488.212249759075</v>
      </c>
      <c r="HA15" s="119">
        <f t="shared" si="6"/>
        <v>65488.212249759075</v>
      </c>
      <c r="HB15" s="119">
        <f t="shared" si="6"/>
        <v>65488.212249759075</v>
      </c>
      <c r="HC15" s="119">
        <f t="shared" si="6"/>
        <v>65488.212249759075</v>
      </c>
      <c r="HD15" s="119">
        <f t="shared" si="6"/>
        <v>65488.212249759075</v>
      </c>
      <c r="HE15" s="119">
        <f t="shared" si="6"/>
        <v>62881.308527159381</v>
      </c>
      <c r="HF15" s="119">
        <f>$GI15*HF$57</f>
        <v>62881.308527159381</v>
      </c>
      <c r="HG15" s="119">
        <f>$GI15*HG$57</f>
        <v>62881.308527159381</v>
      </c>
      <c r="HH15" s="119">
        <f>$GI15*HH$57</f>
        <v>62881.308527159381</v>
      </c>
      <c r="HI15" s="119">
        <f>$GI15*HI$57</f>
        <v>62881.308527159381</v>
      </c>
      <c r="HJ15" s="119">
        <f>$GI15*HJ$57</f>
        <v>58885.680391586022</v>
      </c>
    </row>
    <row r="16" spans="1:218" x14ac:dyDescent="0.25">
      <c r="Q16" s="237" t="s">
        <v>472</v>
      </c>
      <c r="R16" s="246"/>
      <c r="S16" s="246"/>
      <c r="T16" s="246"/>
      <c r="U16" s="246"/>
      <c r="V16" s="246"/>
      <c r="W16" s="246"/>
      <c r="X16" s="247"/>
      <c r="Z16" s="83" t="s">
        <v>233</v>
      </c>
      <c r="AA16" s="114">
        <f>'US Grid mix, emissions&amp;prices'!O68</f>
        <v>260072</v>
      </c>
      <c r="AB16" s="116">
        <f t="shared" si="20"/>
        <v>260072</v>
      </c>
      <c r="AC16" s="116">
        <f t="shared" si="20"/>
        <v>228731.72161126995</v>
      </c>
      <c r="AD16" s="116">
        <f t="shared" si="20"/>
        <v>228731.72161126995</v>
      </c>
      <c r="AE16" s="116">
        <f t="shared" si="20"/>
        <v>228731.72161126995</v>
      </c>
      <c r="AF16" s="116">
        <f t="shared" si="20"/>
        <v>228731.72161126995</v>
      </c>
      <c r="AG16" s="116">
        <f t="shared" si="20"/>
        <v>228731.72161126995</v>
      </c>
      <c r="AH16" s="116">
        <f t="shared" si="20"/>
        <v>137430.63817325697</v>
      </c>
      <c r="AI16" s="116">
        <f t="shared" si="20"/>
        <v>137430.63817325697</v>
      </c>
      <c r="AJ16" s="116">
        <f t="shared" si="20"/>
        <v>137430.63817325697</v>
      </c>
      <c r="AK16" s="116">
        <f t="shared" si="20"/>
        <v>137430.63817325697</v>
      </c>
      <c r="AL16" s="116">
        <f t="shared" si="20"/>
        <v>137430.63817325697</v>
      </c>
      <c r="AM16" s="116">
        <f t="shared" si="20"/>
        <v>143818.14646927812</v>
      </c>
      <c r="AN16" s="116">
        <f t="shared" si="20"/>
        <v>143818.14646927812</v>
      </c>
      <c r="AO16" s="116">
        <f t="shared" si="20"/>
        <v>143818.14646927812</v>
      </c>
      <c r="AP16" s="116">
        <f t="shared" si="20"/>
        <v>143818.14646927812</v>
      </c>
      <c r="AQ16" s="116">
        <f t="shared" si="20"/>
        <v>143818.14646927812</v>
      </c>
      <c r="AR16" s="116">
        <f t="shared" si="22"/>
        <v>150339.93874893073</v>
      </c>
      <c r="AS16" s="116">
        <f t="shared" si="22"/>
        <v>150339.93874893073</v>
      </c>
      <c r="AT16" s="116">
        <f t="shared" si="22"/>
        <v>150339.93874893073</v>
      </c>
      <c r="AU16" s="116">
        <f t="shared" si="22"/>
        <v>150339.93874893073</v>
      </c>
      <c r="AV16" s="116">
        <f t="shared" si="22"/>
        <v>150339.93874893073</v>
      </c>
      <c r="AW16" s="116">
        <f t="shared" si="22"/>
        <v>153638.91542142862</v>
      </c>
      <c r="AX16" s="116">
        <f t="shared" si="22"/>
        <v>153638.91542142862</v>
      </c>
      <c r="AY16" s="116">
        <f t="shared" si="22"/>
        <v>153638.91542142862</v>
      </c>
      <c r="AZ16" s="116">
        <f t="shared" si="22"/>
        <v>153638.91542142862</v>
      </c>
      <c r="BA16" s="116">
        <f t="shared" si="22"/>
        <v>153638.91542142862</v>
      </c>
      <c r="BB16" s="116">
        <f t="shared" si="22"/>
        <v>153847.35623184164</v>
      </c>
      <c r="BM16" s="123" t="s">
        <v>233</v>
      </c>
      <c r="BN16" s="103">
        <f t="shared" si="23"/>
        <v>260072</v>
      </c>
      <c r="BO16" s="119">
        <f t="shared" si="10"/>
        <v>260072</v>
      </c>
      <c r="BP16" s="119">
        <f t="shared" si="10"/>
        <v>228433.0900655821</v>
      </c>
      <c r="BQ16" s="119">
        <f t="shared" si="10"/>
        <v>228433.0900655821</v>
      </c>
      <c r="BR16" s="119">
        <f t="shared" si="10"/>
        <v>228433.0900655821</v>
      </c>
      <c r="BS16" s="119">
        <f t="shared" si="10"/>
        <v>228433.0900655821</v>
      </c>
      <c r="BT16" s="119">
        <f t="shared" si="10"/>
        <v>228433.0900655821</v>
      </c>
      <c r="BU16" s="119">
        <f t="shared" si="10"/>
        <v>258943.61368978352</v>
      </c>
      <c r="BV16" s="119">
        <f t="shared" si="10"/>
        <v>258943.61368978352</v>
      </c>
      <c r="BW16" s="119">
        <f t="shared" si="10"/>
        <v>258943.61368978352</v>
      </c>
      <c r="BX16" s="119">
        <f t="shared" si="10"/>
        <v>258943.61368978352</v>
      </c>
      <c r="BY16" s="119">
        <f t="shared" si="10"/>
        <v>258943.61368978352</v>
      </c>
      <c r="BZ16" s="119">
        <f t="shared" si="10"/>
        <v>265170.78290087159</v>
      </c>
      <c r="CA16" s="119">
        <f t="shared" si="10"/>
        <v>265170.78290087159</v>
      </c>
      <c r="CB16" s="119">
        <f t="shared" si="10"/>
        <v>265170.78290087159</v>
      </c>
      <c r="CC16" s="119">
        <f t="shared" si="10"/>
        <v>265170.78290087159</v>
      </c>
      <c r="CD16" s="119">
        <f t="shared" si="10"/>
        <v>265170.78290087159</v>
      </c>
      <c r="CE16" s="119">
        <f t="shared" ref="CE16:CO46" si="24">$BN16*CE$57</f>
        <v>271724.64299751079</v>
      </c>
      <c r="CF16" s="119">
        <f t="shared" si="24"/>
        <v>271724.64299751079</v>
      </c>
      <c r="CG16" s="119">
        <f t="shared" si="24"/>
        <v>271724.64299751079</v>
      </c>
      <c r="CH16" s="119">
        <f t="shared" si="24"/>
        <v>271724.64299751079</v>
      </c>
      <c r="CI16" s="119">
        <f t="shared" si="24"/>
        <v>271724.64299751079</v>
      </c>
      <c r="CJ16" s="119">
        <f t="shared" si="24"/>
        <v>273279.93212136161</v>
      </c>
      <c r="CK16" s="119">
        <f t="shared" si="24"/>
        <v>273279.93212136161</v>
      </c>
      <c r="CL16" s="119">
        <f t="shared" si="24"/>
        <v>273279.93212136161</v>
      </c>
      <c r="CM16" s="119">
        <f t="shared" si="24"/>
        <v>273279.93212136161</v>
      </c>
      <c r="CN16" s="119">
        <f t="shared" si="24"/>
        <v>273279.93212136161</v>
      </c>
      <c r="CO16" s="119">
        <f t="shared" si="24"/>
        <v>275137.86126802349</v>
      </c>
      <c r="CR16" s="123" t="s">
        <v>233</v>
      </c>
      <c r="CS16" s="103">
        <f t="shared" si="11"/>
        <v>314877.90346868476</v>
      </c>
      <c r="CT16" s="119">
        <f t="shared" si="12"/>
        <v>314877.90346868476</v>
      </c>
      <c r="CU16" s="119">
        <f t="shared" si="12"/>
        <v>314877.90346868476</v>
      </c>
      <c r="CV16" s="119">
        <f t="shared" si="12"/>
        <v>314877.90346868476</v>
      </c>
      <c r="CW16" s="119">
        <f t="shared" si="12"/>
        <v>314877.90346868476</v>
      </c>
      <c r="CX16" s="119">
        <f t="shared" si="12"/>
        <v>314877.90346868476</v>
      </c>
      <c r="CY16" s="119">
        <f t="shared" si="12"/>
        <v>314877.90346868476</v>
      </c>
      <c r="CZ16" s="119">
        <f t="shared" si="12"/>
        <v>314948.05181834294</v>
      </c>
      <c r="DA16" s="119">
        <f t="shared" si="12"/>
        <v>314948.05181834294</v>
      </c>
      <c r="DB16" s="119">
        <f t="shared" si="12"/>
        <v>314948.05181834294</v>
      </c>
      <c r="DC16" s="119">
        <f t="shared" si="12"/>
        <v>314948.05181834294</v>
      </c>
      <c r="DD16" s="119">
        <f t="shared" si="12"/>
        <v>314948.05181834294</v>
      </c>
      <c r="DE16" s="119">
        <f t="shared" si="12"/>
        <v>314907.96704710968</v>
      </c>
      <c r="DF16" s="119">
        <f t="shared" si="12"/>
        <v>314907.96704710968</v>
      </c>
      <c r="DG16" s="119">
        <f t="shared" si="12"/>
        <v>314907.96704710968</v>
      </c>
      <c r="DH16" s="119">
        <f t="shared" si="12"/>
        <v>314907.96704710968</v>
      </c>
      <c r="DI16" s="119">
        <f t="shared" si="12"/>
        <v>314907.96704710968</v>
      </c>
      <c r="DJ16" s="119">
        <f t="shared" ref="DJ16:DT46" si="25">$BN16*DJ$57</f>
        <v>314897.94585430139</v>
      </c>
      <c r="DK16" s="119">
        <f t="shared" si="25"/>
        <v>314897.94585430139</v>
      </c>
      <c r="DL16" s="119">
        <f t="shared" si="25"/>
        <v>314897.94585430139</v>
      </c>
      <c r="DM16" s="119">
        <f t="shared" si="25"/>
        <v>314897.94585430139</v>
      </c>
      <c r="DN16" s="119">
        <f t="shared" si="25"/>
        <v>314897.94585430139</v>
      </c>
      <c r="DO16" s="119">
        <f t="shared" si="25"/>
        <v>314703.53471382003</v>
      </c>
      <c r="DP16" s="119">
        <f t="shared" si="25"/>
        <v>314703.53471382003</v>
      </c>
      <c r="DQ16" s="119">
        <f t="shared" si="25"/>
        <v>314703.53471382003</v>
      </c>
      <c r="DR16" s="119">
        <f t="shared" si="25"/>
        <v>314703.53471382003</v>
      </c>
      <c r="DS16" s="119">
        <f t="shared" si="25"/>
        <v>314703.53471382003</v>
      </c>
      <c r="DT16" s="93">
        <f t="shared" si="25"/>
        <v>314865.87803731475</v>
      </c>
      <c r="DW16" s="123" t="s">
        <v>233</v>
      </c>
      <c r="DX16" s="103">
        <f t="shared" si="13"/>
        <v>329617.06535606843</v>
      </c>
      <c r="DY16" s="119">
        <f t="shared" si="14"/>
        <v>329617.06535606843</v>
      </c>
      <c r="DZ16" s="119">
        <f t="shared" si="14"/>
        <v>288942.41412848781</v>
      </c>
      <c r="EA16" s="119">
        <f t="shared" si="14"/>
        <v>288942.41412848781</v>
      </c>
      <c r="EB16" s="119">
        <f t="shared" si="14"/>
        <v>288942.41412848781</v>
      </c>
      <c r="EC16" s="119">
        <f t="shared" si="14"/>
        <v>288942.41412848781</v>
      </c>
      <c r="ED16" s="119">
        <f t="shared" si="14"/>
        <v>288942.41412848781</v>
      </c>
      <c r="EE16" s="119">
        <f t="shared" si="14"/>
        <v>178085.66871142565</v>
      </c>
      <c r="EF16" s="119">
        <f t="shared" si="14"/>
        <v>178085.66871142565</v>
      </c>
      <c r="EG16" s="119">
        <f t="shared" si="14"/>
        <v>178085.66871142565</v>
      </c>
      <c r="EH16" s="119">
        <f t="shared" si="14"/>
        <v>178085.66871142565</v>
      </c>
      <c r="EI16" s="119">
        <f t="shared" si="14"/>
        <v>178085.66871142565</v>
      </c>
      <c r="EJ16" s="119">
        <f t="shared" si="14"/>
        <v>159051.42672185742</v>
      </c>
      <c r="EK16" s="119">
        <f t="shared" si="14"/>
        <v>159051.42672185742</v>
      </c>
      <c r="EL16" s="119">
        <f t="shared" si="14"/>
        <v>159051.42672185742</v>
      </c>
      <c r="EM16" s="119">
        <f t="shared" si="14"/>
        <v>159051.42672185742</v>
      </c>
      <c r="EN16" s="119">
        <f t="shared" si="14"/>
        <v>159051.42672185742</v>
      </c>
      <c r="EO16" s="119">
        <f t="shared" ref="EO16:EY46" si="26">$DX16*EO$57</f>
        <v>154045.353133831</v>
      </c>
      <c r="EP16" s="119">
        <f t="shared" si="26"/>
        <v>154045.353133831</v>
      </c>
      <c r="EQ16" s="119">
        <f t="shared" si="26"/>
        <v>154045.353133831</v>
      </c>
      <c r="ER16" s="119">
        <f t="shared" si="26"/>
        <v>154045.353133831</v>
      </c>
      <c r="ES16" s="119">
        <f t="shared" si="26"/>
        <v>154045.353133831</v>
      </c>
      <c r="ET16" s="119">
        <f t="shared" si="26"/>
        <v>148325.85946103497</v>
      </c>
      <c r="EU16" s="119">
        <f t="shared" si="26"/>
        <v>148325.85946103497</v>
      </c>
      <c r="EV16" s="119">
        <f t="shared" si="26"/>
        <v>148325.85946103497</v>
      </c>
      <c r="EW16" s="119">
        <f t="shared" si="26"/>
        <v>148325.85946103497</v>
      </c>
      <c r="EX16" s="119">
        <f t="shared" si="26"/>
        <v>148325.85946103497</v>
      </c>
      <c r="EY16" s="119">
        <f t="shared" si="26"/>
        <v>139357.1498239309</v>
      </c>
      <c r="FB16" s="123" t="s">
        <v>233</v>
      </c>
      <c r="FC16" s="103">
        <f t="shared" si="15"/>
        <v>357518.09982777364</v>
      </c>
      <c r="FD16" s="119">
        <f t="shared" si="16"/>
        <v>357518.09982777364</v>
      </c>
      <c r="FE16" s="119">
        <f t="shared" si="16"/>
        <v>312220.77764275705</v>
      </c>
      <c r="FF16" s="119">
        <f t="shared" si="16"/>
        <v>312220.77764275705</v>
      </c>
      <c r="FG16" s="119">
        <f t="shared" si="16"/>
        <v>312220.77764275705</v>
      </c>
      <c r="FH16" s="119">
        <f t="shared" si="16"/>
        <v>312220.77764275705</v>
      </c>
      <c r="FI16" s="119">
        <f t="shared" si="16"/>
        <v>312220.77764275705</v>
      </c>
      <c r="FJ16" s="119">
        <f t="shared" si="16"/>
        <v>195926.02402852225</v>
      </c>
      <c r="FK16" s="119">
        <f t="shared" si="16"/>
        <v>195926.02402852225</v>
      </c>
      <c r="FL16" s="119">
        <f t="shared" si="16"/>
        <v>195926.02402852225</v>
      </c>
      <c r="FM16" s="119">
        <f t="shared" si="16"/>
        <v>195926.02402852225</v>
      </c>
      <c r="FN16" s="119">
        <f t="shared" si="16"/>
        <v>195926.02402852225</v>
      </c>
      <c r="FO16" s="119">
        <f t="shared" si="16"/>
        <v>173972.5835288252</v>
      </c>
      <c r="FP16" s="119">
        <f t="shared" si="16"/>
        <v>173972.5835288252</v>
      </c>
      <c r="FQ16" s="119">
        <f t="shared" si="16"/>
        <v>173972.5835288252</v>
      </c>
      <c r="FR16" s="119">
        <f t="shared" si="16"/>
        <v>173972.5835288252</v>
      </c>
      <c r="FS16" s="119">
        <f t="shared" si="16"/>
        <v>173972.5835288252</v>
      </c>
      <c r="FT16" s="119">
        <f t="shared" ref="FT16:GD46" si="27">$FC16*FT$57</f>
        <v>169544.04048561229</v>
      </c>
      <c r="FU16" s="119">
        <f t="shared" si="27"/>
        <v>169544.04048561229</v>
      </c>
      <c r="FV16" s="119">
        <f t="shared" si="27"/>
        <v>169544.04048561229</v>
      </c>
      <c r="FW16" s="119">
        <f t="shared" si="27"/>
        <v>169544.04048561229</v>
      </c>
      <c r="FX16" s="119">
        <f t="shared" si="27"/>
        <v>169544.04048561229</v>
      </c>
      <c r="FY16" s="119">
        <f t="shared" si="27"/>
        <v>163812.41381817727</v>
      </c>
      <c r="FZ16" s="119">
        <f t="shared" si="27"/>
        <v>163812.41381817727</v>
      </c>
      <c r="GA16" s="119">
        <f t="shared" si="27"/>
        <v>163812.41381817727</v>
      </c>
      <c r="GB16" s="119">
        <f t="shared" si="27"/>
        <v>163812.41381817727</v>
      </c>
      <c r="GC16" s="119">
        <f t="shared" si="27"/>
        <v>163812.41381817727</v>
      </c>
      <c r="GD16" s="119">
        <f t="shared" si="27"/>
        <v>154533.09951831639</v>
      </c>
      <c r="GH16" s="123" t="s">
        <v>233</v>
      </c>
      <c r="GI16" s="103">
        <f t="shared" si="17"/>
        <v>310626.50214720034</v>
      </c>
      <c r="GJ16" s="119">
        <f t="shared" si="18"/>
        <v>310626.50214720034</v>
      </c>
      <c r="GK16" s="119">
        <f t="shared" si="18"/>
        <v>273099.14972896059</v>
      </c>
      <c r="GL16" s="119">
        <f t="shared" si="18"/>
        <v>273099.14972896059</v>
      </c>
      <c r="GM16" s="119">
        <f t="shared" si="18"/>
        <v>273099.14972896059</v>
      </c>
      <c r="GN16" s="119">
        <f t="shared" si="18"/>
        <v>273099.14972896059</v>
      </c>
      <c r="GO16" s="119">
        <f t="shared" si="18"/>
        <v>273099.14972896059</v>
      </c>
      <c r="GP16" s="119">
        <f t="shared" si="18"/>
        <v>165942.96767677504</v>
      </c>
      <c r="GQ16" s="119">
        <f t="shared" si="18"/>
        <v>165942.96767677504</v>
      </c>
      <c r="GR16" s="119">
        <f t="shared" si="18"/>
        <v>165942.96767677504</v>
      </c>
      <c r="GS16" s="119">
        <f t="shared" si="18"/>
        <v>165942.96767677504</v>
      </c>
      <c r="GT16" s="119">
        <f t="shared" si="18"/>
        <v>165942.96767677504</v>
      </c>
      <c r="GU16" s="119">
        <f t="shared" si="18"/>
        <v>148896.11020906508</v>
      </c>
      <c r="GV16" s="119">
        <f t="shared" si="18"/>
        <v>148896.11020906508</v>
      </c>
      <c r="GW16" s="119">
        <f t="shared" si="18"/>
        <v>148896.11020906508</v>
      </c>
      <c r="GX16" s="119">
        <f t="shared" si="18"/>
        <v>148896.11020906508</v>
      </c>
      <c r="GY16" s="119">
        <f t="shared" si="18"/>
        <v>148896.11020906508</v>
      </c>
      <c r="GZ16" s="119">
        <f t="shared" ref="GZ16:HJ46" si="28">$GI16*GZ$57</f>
        <v>143496.92759473703</v>
      </c>
      <c r="HA16" s="119">
        <f t="shared" si="28"/>
        <v>143496.92759473703</v>
      </c>
      <c r="HB16" s="119">
        <f t="shared" si="28"/>
        <v>143496.92759473703</v>
      </c>
      <c r="HC16" s="119">
        <f t="shared" si="28"/>
        <v>143496.92759473703</v>
      </c>
      <c r="HD16" s="119">
        <f t="shared" si="28"/>
        <v>143496.92759473703</v>
      </c>
      <c r="HE16" s="119">
        <f t="shared" si="28"/>
        <v>137784.71371872432</v>
      </c>
      <c r="HF16" s="119">
        <f t="shared" si="28"/>
        <v>137784.71371872432</v>
      </c>
      <c r="HG16" s="119">
        <f t="shared" si="28"/>
        <v>137784.71371872432</v>
      </c>
      <c r="HH16" s="119">
        <f t="shared" si="28"/>
        <v>137784.71371872432</v>
      </c>
      <c r="HI16" s="119">
        <f t="shared" si="28"/>
        <v>137784.71371872432</v>
      </c>
      <c r="HJ16" s="119">
        <f t="shared" si="28"/>
        <v>129029.54478726561</v>
      </c>
    </row>
    <row r="17" spans="17:218" x14ac:dyDescent="0.25">
      <c r="Q17" s="37"/>
      <c r="R17" s="122" t="s">
        <v>467</v>
      </c>
      <c r="S17" s="122" t="s">
        <v>468</v>
      </c>
      <c r="T17" s="122" t="s">
        <v>469</v>
      </c>
      <c r="U17" s="122" t="s">
        <v>470</v>
      </c>
      <c r="V17" s="122" t="s">
        <v>261</v>
      </c>
      <c r="W17" s="122" t="s">
        <v>471</v>
      </c>
      <c r="X17" s="37" t="s">
        <v>453</v>
      </c>
      <c r="Z17" s="83" t="s">
        <v>196</v>
      </c>
      <c r="AA17" s="114">
        <f>'US Grid mix, emissions&amp;prices'!O69</f>
        <v>53436</v>
      </c>
      <c r="AB17" s="116">
        <f t="shared" si="20"/>
        <v>53436</v>
      </c>
      <c r="AC17" s="116">
        <f t="shared" si="20"/>
        <v>46996.632763311012</v>
      </c>
      <c r="AD17" s="116">
        <f t="shared" si="20"/>
        <v>46996.632763311012</v>
      </c>
      <c r="AE17" s="116">
        <f t="shared" si="20"/>
        <v>46996.632763311012</v>
      </c>
      <c r="AF17" s="116">
        <f t="shared" si="20"/>
        <v>46996.632763311012</v>
      </c>
      <c r="AG17" s="116">
        <f t="shared" si="20"/>
        <v>46996.632763311012</v>
      </c>
      <c r="AH17" s="116">
        <f t="shared" si="20"/>
        <v>28237.348047564366</v>
      </c>
      <c r="AI17" s="116">
        <f t="shared" si="20"/>
        <v>28237.348047564366</v>
      </c>
      <c r="AJ17" s="116">
        <f t="shared" si="20"/>
        <v>28237.348047564366</v>
      </c>
      <c r="AK17" s="116">
        <f t="shared" si="20"/>
        <v>28237.348047564366</v>
      </c>
      <c r="AL17" s="116">
        <f t="shared" si="20"/>
        <v>28237.348047564366</v>
      </c>
      <c r="AM17" s="116">
        <f t="shared" si="20"/>
        <v>29549.764967902527</v>
      </c>
      <c r="AN17" s="116">
        <f t="shared" si="20"/>
        <v>29549.764967902527</v>
      </c>
      <c r="AO17" s="116">
        <f t="shared" si="20"/>
        <v>29549.764967902527</v>
      </c>
      <c r="AP17" s="116">
        <f t="shared" si="20"/>
        <v>29549.764967902527</v>
      </c>
      <c r="AQ17" s="116">
        <f t="shared" si="20"/>
        <v>29549.764967902527</v>
      </c>
      <c r="AR17" s="116">
        <f t="shared" si="22"/>
        <v>30889.772705204181</v>
      </c>
      <c r="AS17" s="116">
        <f t="shared" si="22"/>
        <v>30889.772705204181</v>
      </c>
      <c r="AT17" s="116">
        <f t="shared" si="22"/>
        <v>30889.772705204181</v>
      </c>
      <c r="AU17" s="116">
        <f t="shared" si="22"/>
        <v>30889.772705204181</v>
      </c>
      <c r="AV17" s="116">
        <f t="shared" si="22"/>
        <v>30889.772705204181</v>
      </c>
      <c r="AW17" s="116">
        <f t="shared" si="22"/>
        <v>31567.600835381971</v>
      </c>
      <c r="AX17" s="116">
        <f t="shared" si="22"/>
        <v>31567.600835381971</v>
      </c>
      <c r="AY17" s="116">
        <f t="shared" si="22"/>
        <v>31567.600835381971</v>
      </c>
      <c r="AZ17" s="116">
        <f t="shared" si="22"/>
        <v>31567.600835381971</v>
      </c>
      <c r="BA17" s="116">
        <f t="shared" si="22"/>
        <v>31567.600835381971</v>
      </c>
      <c r="BB17" s="116">
        <f t="shared" si="22"/>
        <v>31610.428372161128</v>
      </c>
      <c r="BM17" s="123" t="s">
        <v>196</v>
      </c>
      <c r="BN17" s="103">
        <f t="shared" si="23"/>
        <v>53436</v>
      </c>
      <c r="BO17" s="119">
        <f t="shared" si="10"/>
        <v>53436</v>
      </c>
      <c r="BP17" s="119">
        <f t="shared" si="10"/>
        <v>46935.274080810101</v>
      </c>
      <c r="BQ17" s="119">
        <f t="shared" si="10"/>
        <v>46935.274080810101</v>
      </c>
      <c r="BR17" s="119">
        <f t="shared" si="10"/>
        <v>46935.274080810101</v>
      </c>
      <c r="BS17" s="119">
        <f t="shared" si="10"/>
        <v>46935.274080810101</v>
      </c>
      <c r="BT17" s="119">
        <f t="shared" si="10"/>
        <v>46935.274080810101</v>
      </c>
      <c r="BU17" s="119">
        <f t="shared" si="10"/>
        <v>53204.154776858995</v>
      </c>
      <c r="BV17" s="119">
        <f t="shared" si="10"/>
        <v>53204.154776858995</v>
      </c>
      <c r="BW17" s="119">
        <f t="shared" si="10"/>
        <v>53204.154776858995</v>
      </c>
      <c r="BX17" s="119">
        <f t="shared" si="10"/>
        <v>53204.154776858995</v>
      </c>
      <c r="BY17" s="119">
        <f t="shared" si="10"/>
        <v>53204.154776858995</v>
      </c>
      <c r="BZ17" s="119">
        <f t="shared" si="10"/>
        <v>54483.62743813626</v>
      </c>
      <c r="CA17" s="119">
        <f t="shared" si="10"/>
        <v>54483.62743813626</v>
      </c>
      <c r="CB17" s="119">
        <f t="shared" si="10"/>
        <v>54483.62743813626</v>
      </c>
      <c r="CC17" s="119">
        <f t="shared" si="10"/>
        <v>54483.62743813626</v>
      </c>
      <c r="CD17" s="119">
        <f t="shared" si="10"/>
        <v>54483.62743813626</v>
      </c>
      <c r="CE17" s="119">
        <f t="shared" si="24"/>
        <v>55830.2240272501</v>
      </c>
      <c r="CF17" s="119">
        <f t="shared" si="24"/>
        <v>55830.2240272501</v>
      </c>
      <c r="CG17" s="119">
        <f t="shared" si="24"/>
        <v>55830.2240272501</v>
      </c>
      <c r="CH17" s="119">
        <f t="shared" si="24"/>
        <v>55830.2240272501</v>
      </c>
      <c r="CI17" s="119">
        <f t="shared" si="24"/>
        <v>55830.2240272501</v>
      </c>
      <c r="CJ17" s="119">
        <f t="shared" si="24"/>
        <v>56149.783340140726</v>
      </c>
      <c r="CK17" s="119">
        <f t="shared" si="24"/>
        <v>56149.783340140726</v>
      </c>
      <c r="CL17" s="119">
        <f t="shared" si="24"/>
        <v>56149.783340140726</v>
      </c>
      <c r="CM17" s="119">
        <f t="shared" si="24"/>
        <v>56149.783340140726</v>
      </c>
      <c r="CN17" s="119">
        <f t="shared" si="24"/>
        <v>56149.783340140726</v>
      </c>
      <c r="CO17" s="119">
        <f t="shared" si="24"/>
        <v>56531.524942008771</v>
      </c>
      <c r="CR17" s="123" t="s">
        <v>196</v>
      </c>
      <c r="CS17" s="103">
        <f t="shared" si="11"/>
        <v>64696.759550250077</v>
      </c>
      <c r="CT17" s="119">
        <f t="shared" si="12"/>
        <v>64696.759550250077</v>
      </c>
      <c r="CU17" s="119">
        <f t="shared" si="12"/>
        <v>64696.759550250077</v>
      </c>
      <c r="CV17" s="119">
        <f t="shared" si="12"/>
        <v>64696.759550250077</v>
      </c>
      <c r="CW17" s="119">
        <f t="shared" si="12"/>
        <v>64696.759550250077</v>
      </c>
      <c r="CX17" s="119">
        <f t="shared" si="12"/>
        <v>64696.759550250077</v>
      </c>
      <c r="CY17" s="119">
        <f t="shared" si="12"/>
        <v>64696.759550250077</v>
      </c>
      <c r="CZ17" s="119">
        <f t="shared" si="12"/>
        <v>64711.172663589212</v>
      </c>
      <c r="DA17" s="119">
        <f t="shared" si="12"/>
        <v>64711.172663589212</v>
      </c>
      <c r="DB17" s="119">
        <f t="shared" si="12"/>
        <v>64711.172663589212</v>
      </c>
      <c r="DC17" s="119">
        <f t="shared" si="12"/>
        <v>64711.172663589212</v>
      </c>
      <c r="DD17" s="119">
        <f t="shared" si="12"/>
        <v>64711.172663589212</v>
      </c>
      <c r="DE17" s="119">
        <f t="shared" si="12"/>
        <v>64702.936598823995</v>
      </c>
      <c r="DF17" s="119">
        <f t="shared" si="12"/>
        <v>64702.936598823995</v>
      </c>
      <c r="DG17" s="119">
        <f t="shared" si="12"/>
        <v>64702.936598823995</v>
      </c>
      <c r="DH17" s="119">
        <f t="shared" si="12"/>
        <v>64702.936598823995</v>
      </c>
      <c r="DI17" s="119">
        <f t="shared" si="12"/>
        <v>64702.936598823995</v>
      </c>
      <c r="DJ17" s="119">
        <f t="shared" si="25"/>
        <v>64700.877582632682</v>
      </c>
      <c r="DK17" s="119">
        <f t="shared" si="25"/>
        <v>64700.877582632682</v>
      </c>
      <c r="DL17" s="119">
        <f t="shared" si="25"/>
        <v>64700.877582632682</v>
      </c>
      <c r="DM17" s="119">
        <f t="shared" si="25"/>
        <v>64700.877582632682</v>
      </c>
      <c r="DN17" s="119">
        <f t="shared" si="25"/>
        <v>64700.877582632682</v>
      </c>
      <c r="DO17" s="119">
        <f t="shared" si="25"/>
        <v>64660.93266852136</v>
      </c>
      <c r="DP17" s="119">
        <f t="shared" si="25"/>
        <v>64660.93266852136</v>
      </c>
      <c r="DQ17" s="119">
        <f t="shared" si="25"/>
        <v>64660.93266852136</v>
      </c>
      <c r="DR17" s="119">
        <f t="shared" si="25"/>
        <v>64660.93266852136</v>
      </c>
      <c r="DS17" s="119">
        <f t="shared" si="25"/>
        <v>64660.93266852136</v>
      </c>
      <c r="DT17" s="93">
        <f t="shared" si="25"/>
        <v>64694.28873082051</v>
      </c>
      <c r="DW17" s="123" t="s">
        <v>196</v>
      </c>
      <c r="DX17" s="103">
        <f t="shared" si="13"/>
        <v>67725.158818968863</v>
      </c>
      <c r="DY17" s="119">
        <f t="shared" si="14"/>
        <v>67725.158818968863</v>
      </c>
      <c r="DZ17" s="119">
        <f t="shared" si="14"/>
        <v>59367.893665484444</v>
      </c>
      <c r="EA17" s="119">
        <f t="shared" si="14"/>
        <v>59367.893665484444</v>
      </c>
      <c r="EB17" s="119">
        <f t="shared" si="14"/>
        <v>59367.893665484444</v>
      </c>
      <c r="EC17" s="119">
        <f t="shared" si="14"/>
        <v>59367.893665484444</v>
      </c>
      <c r="ED17" s="119">
        <f t="shared" si="14"/>
        <v>59367.893665484444</v>
      </c>
      <c r="EE17" s="119">
        <f t="shared" si="14"/>
        <v>36590.581812973869</v>
      </c>
      <c r="EF17" s="119">
        <f t="shared" si="14"/>
        <v>36590.581812973869</v>
      </c>
      <c r="EG17" s="119">
        <f t="shared" si="14"/>
        <v>36590.581812973869</v>
      </c>
      <c r="EH17" s="119">
        <f t="shared" si="14"/>
        <v>36590.581812973869</v>
      </c>
      <c r="EI17" s="119">
        <f t="shared" si="14"/>
        <v>36590.581812973869</v>
      </c>
      <c r="EJ17" s="119">
        <f t="shared" si="14"/>
        <v>32679.688848892511</v>
      </c>
      <c r="EK17" s="119">
        <f t="shared" si="14"/>
        <v>32679.688848892511</v>
      </c>
      <c r="EL17" s="119">
        <f t="shared" si="14"/>
        <v>32679.688848892511</v>
      </c>
      <c r="EM17" s="119">
        <f t="shared" si="14"/>
        <v>32679.688848892511</v>
      </c>
      <c r="EN17" s="119">
        <f t="shared" si="14"/>
        <v>32679.688848892511</v>
      </c>
      <c r="EO17" s="119">
        <f t="shared" si="26"/>
        <v>31651.110038986866</v>
      </c>
      <c r="EP17" s="119">
        <f t="shared" si="26"/>
        <v>31651.110038986866</v>
      </c>
      <c r="EQ17" s="119">
        <f t="shared" si="26"/>
        <v>31651.110038986866</v>
      </c>
      <c r="ER17" s="119">
        <f t="shared" si="26"/>
        <v>31651.110038986866</v>
      </c>
      <c r="ES17" s="119">
        <f t="shared" si="26"/>
        <v>31651.110038986866</v>
      </c>
      <c r="ET17" s="119">
        <f t="shared" si="26"/>
        <v>30475.94753052948</v>
      </c>
      <c r="EU17" s="119">
        <f t="shared" si="26"/>
        <v>30475.94753052948</v>
      </c>
      <c r="EV17" s="119">
        <f t="shared" si="26"/>
        <v>30475.94753052948</v>
      </c>
      <c r="EW17" s="119">
        <f t="shared" si="26"/>
        <v>30475.94753052948</v>
      </c>
      <c r="EX17" s="119">
        <f t="shared" si="26"/>
        <v>30475.94753052948</v>
      </c>
      <c r="EY17" s="119">
        <f t="shared" si="26"/>
        <v>28633.181034450346</v>
      </c>
      <c r="FB17" s="123" t="s">
        <v>196</v>
      </c>
      <c r="FC17" s="103">
        <f t="shared" si="15"/>
        <v>73457.877750764819</v>
      </c>
      <c r="FD17" s="119">
        <f t="shared" si="16"/>
        <v>73457.877750764819</v>
      </c>
      <c r="FE17" s="119">
        <f t="shared" si="16"/>
        <v>64150.810060746102</v>
      </c>
      <c r="FF17" s="119">
        <f t="shared" si="16"/>
        <v>64150.810060746102</v>
      </c>
      <c r="FG17" s="119">
        <f t="shared" si="16"/>
        <v>64150.810060746102</v>
      </c>
      <c r="FH17" s="119">
        <f t="shared" si="16"/>
        <v>64150.810060746102</v>
      </c>
      <c r="FI17" s="119">
        <f t="shared" si="16"/>
        <v>64150.810060746102</v>
      </c>
      <c r="FJ17" s="119">
        <f t="shared" si="16"/>
        <v>40256.171444784952</v>
      </c>
      <c r="FK17" s="119">
        <f t="shared" si="16"/>
        <v>40256.171444784952</v>
      </c>
      <c r="FL17" s="119">
        <f t="shared" si="16"/>
        <v>40256.171444784952</v>
      </c>
      <c r="FM17" s="119">
        <f t="shared" si="16"/>
        <v>40256.171444784952</v>
      </c>
      <c r="FN17" s="119">
        <f t="shared" si="16"/>
        <v>40256.171444784952</v>
      </c>
      <c r="FO17" s="119">
        <f t="shared" si="16"/>
        <v>35745.481918262252</v>
      </c>
      <c r="FP17" s="119">
        <f t="shared" si="16"/>
        <v>35745.481918262252</v>
      </c>
      <c r="FQ17" s="119">
        <f t="shared" si="16"/>
        <v>35745.481918262252</v>
      </c>
      <c r="FR17" s="119">
        <f t="shared" si="16"/>
        <v>35745.481918262252</v>
      </c>
      <c r="FS17" s="119">
        <f t="shared" si="16"/>
        <v>35745.481918262252</v>
      </c>
      <c r="FT17" s="119">
        <f t="shared" si="27"/>
        <v>34835.566102422315</v>
      </c>
      <c r="FU17" s="119">
        <f t="shared" si="27"/>
        <v>34835.566102422315</v>
      </c>
      <c r="FV17" s="119">
        <f t="shared" si="27"/>
        <v>34835.566102422315</v>
      </c>
      <c r="FW17" s="119">
        <f t="shared" si="27"/>
        <v>34835.566102422315</v>
      </c>
      <c r="FX17" s="119">
        <f t="shared" si="27"/>
        <v>34835.566102422315</v>
      </c>
      <c r="FY17" s="119">
        <f t="shared" si="27"/>
        <v>33657.910673921528</v>
      </c>
      <c r="FZ17" s="119">
        <f t="shared" si="27"/>
        <v>33657.910673921528</v>
      </c>
      <c r="GA17" s="119">
        <f t="shared" si="27"/>
        <v>33657.910673921528</v>
      </c>
      <c r="GB17" s="119">
        <f t="shared" si="27"/>
        <v>33657.910673921528</v>
      </c>
      <c r="GC17" s="119">
        <f t="shared" si="27"/>
        <v>33657.910673921528</v>
      </c>
      <c r="GD17" s="119">
        <f t="shared" si="27"/>
        <v>31751.325424731429</v>
      </c>
      <c r="GH17" s="123" t="s">
        <v>196</v>
      </c>
      <c r="GI17" s="103">
        <f t="shared" si="17"/>
        <v>63823.240367043734</v>
      </c>
      <c r="GJ17" s="119">
        <f t="shared" si="18"/>
        <v>63823.240367043734</v>
      </c>
      <c r="GK17" s="119">
        <f t="shared" si="18"/>
        <v>56112.638672816516</v>
      </c>
      <c r="GL17" s="119">
        <f t="shared" si="18"/>
        <v>56112.638672816516</v>
      </c>
      <c r="GM17" s="119">
        <f t="shared" si="18"/>
        <v>56112.638672816516</v>
      </c>
      <c r="GN17" s="119">
        <f t="shared" si="18"/>
        <v>56112.638672816516</v>
      </c>
      <c r="GO17" s="119">
        <f t="shared" si="18"/>
        <v>56112.638672816516</v>
      </c>
      <c r="GP17" s="119">
        <f t="shared" si="18"/>
        <v>34095.667433542061</v>
      </c>
      <c r="GQ17" s="119">
        <f t="shared" si="18"/>
        <v>34095.667433542061</v>
      </c>
      <c r="GR17" s="119">
        <f t="shared" si="18"/>
        <v>34095.667433542061</v>
      </c>
      <c r="GS17" s="119">
        <f t="shared" si="18"/>
        <v>34095.667433542061</v>
      </c>
      <c r="GT17" s="119">
        <f t="shared" si="18"/>
        <v>34095.667433542061</v>
      </c>
      <c r="GU17" s="119">
        <f t="shared" si="18"/>
        <v>30593.114772569144</v>
      </c>
      <c r="GV17" s="119">
        <f t="shared" si="18"/>
        <v>30593.114772569144</v>
      </c>
      <c r="GW17" s="119">
        <f t="shared" si="18"/>
        <v>30593.114772569144</v>
      </c>
      <c r="GX17" s="119">
        <f t="shared" si="18"/>
        <v>30593.114772569144</v>
      </c>
      <c r="GY17" s="119">
        <f t="shared" si="18"/>
        <v>30593.114772569144</v>
      </c>
      <c r="GZ17" s="119">
        <f t="shared" si="28"/>
        <v>29483.765353257437</v>
      </c>
      <c r="HA17" s="119">
        <f t="shared" si="28"/>
        <v>29483.765353257437</v>
      </c>
      <c r="HB17" s="119">
        <f t="shared" si="28"/>
        <v>29483.765353257437</v>
      </c>
      <c r="HC17" s="119">
        <f t="shared" si="28"/>
        <v>29483.765353257437</v>
      </c>
      <c r="HD17" s="119">
        <f t="shared" si="28"/>
        <v>29483.765353257437</v>
      </c>
      <c r="HE17" s="119">
        <f t="shared" si="28"/>
        <v>28310.098596826087</v>
      </c>
      <c r="HF17" s="119">
        <f t="shared" si="28"/>
        <v>28310.098596826087</v>
      </c>
      <c r="HG17" s="119">
        <f t="shared" si="28"/>
        <v>28310.098596826087</v>
      </c>
      <c r="HH17" s="119">
        <f t="shared" si="28"/>
        <v>28310.098596826087</v>
      </c>
      <c r="HI17" s="119">
        <f t="shared" si="28"/>
        <v>28310.098596826087</v>
      </c>
      <c r="HJ17" s="119">
        <f t="shared" si="28"/>
        <v>26511.207493510741</v>
      </c>
    </row>
    <row r="18" spans="17:218" x14ac:dyDescent="0.25">
      <c r="Q18" s="127">
        <v>2020</v>
      </c>
      <c r="R18" s="129">
        <v>4.0000000000000001E-3</v>
      </c>
      <c r="S18" s="130">
        <v>0.39600000000000002</v>
      </c>
      <c r="T18" s="130">
        <v>0.2</v>
      </c>
      <c r="U18" s="130">
        <v>0.20399999999999999</v>
      </c>
      <c r="V18" s="130">
        <v>3.0000000000000001E-3</v>
      </c>
      <c r="W18" s="130">
        <v>0.19400000000000001</v>
      </c>
      <c r="X18" s="131">
        <f t="shared" ref="X18:X25" si="29">SUM(R18:W18)</f>
        <v>1.0010000000000001</v>
      </c>
      <c r="Z18" s="83" t="s">
        <v>197</v>
      </c>
      <c r="AA18" s="114">
        <f>'US Grid mix, emissions&amp;prices'!O70</f>
        <v>73641</v>
      </c>
      <c r="AB18" s="116">
        <f t="shared" si="20"/>
        <v>73641</v>
      </c>
      <c r="AC18" s="116">
        <f t="shared" si="20"/>
        <v>64766.805773691638</v>
      </c>
      <c r="AD18" s="116">
        <f t="shared" si="20"/>
        <v>64766.805773691638</v>
      </c>
      <c r="AE18" s="116">
        <f t="shared" si="20"/>
        <v>64766.805773691638</v>
      </c>
      <c r="AF18" s="116">
        <f t="shared" si="20"/>
        <v>64766.805773691638</v>
      </c>
      <c r="AG18" s="116">
        <f t="shared" si="20"/>
        <v>64766.805773691638</v>
      </c>
      <c r="AH18" s="116">
        <f t="shared" si="20"/>
        <v>38914.33766694153</v>
      </c>
      <c r="AI18" s="116">
        <f t="shared" si="20"/>
        <v>38914.33766694153</v>
      </c>
      <c r="AJ18" s="116">
        <f t="shared" si="20"/>
        <v>38914.33766694153</v>
      </c>
      <c r="AK18" s="116">
        <f t="shared" si="20"/>
        <v>38914.33766694153</v>
      </c>
      <c r="AL18" s="116">
        <f t="shared" si="20"/>
        <v>38914.33766694153</v>
      </c>
      <c r="AM18" s="116">
        <f t="shared" si="20"/>
        <v>40723.00026202017</v>
      </c>
      <c r="AN18" s="116">
        <f t="shared" si="20"/>
        <v>40723.00026202017</v>
      </c>
      <c r="AO18" s="116">
        <f t="shared" si="20"/>
        <v>40723.00026202017</v>
      </c>
      <c r="AP18" s="116">
        <f t="shared" si="20"/>
        <v>40723.00026202017</v>
      </c>
      <c r="AQ18" s="116">
        <f t="shared" si="20"/>
        <v>40723.00026202017</v>
      </c>
      <c r="AR18" s="116">
        <f t="shared" si="22"/>
        <v>42569.686200013864</v>
      </c>
      <c r="AS18" s="116">
        <f t="shared" si="22"/>
        <v>42569.686200013864</v>
      </c>
      <c r="AT18" s="116">
        <f t="shared" si="22"/>
        <v>42569.686200013864</v>
      </c>
      <c r="AU18" s="116">
        <f t="shared" si="22"/>
        <v>42569.686200013864</v>
      </c>
      <c r="AV18" s="116">
        <f t="shared" si="22"/>
        <v>42569.686200013864</v>
      </c>
      <c r="AW18" s="116">
        <f t="shared" si="22"/>
        <v>43503.811908046329</v>
      </c>
      <c r="AX18" s="116">
        <f t="shared" si="22"/>
        <v>43503.811908046329</v>
      </c>
      <c r="AY18" s="116">
        <f t="shared" si="22"/>
        <v>43503.811908046329</v>
      </c>
      <c r="AZ18" s="116">
        <f t="shared" si="22"/>
        <v>43503.811908046329</v>
      </c>
      <c r="BA18" s="116">
        <f t="shared" si="22"/>
        <v>43503.811908046329</v>
      </c>
      <c r="BB18" s="116">
        <f t="shared" si="22"/>
        <v>43562.833216451785</v>
      </c>
      <c r="BM18" s="123" t="s">
        <v>197</v>
      </c>
      <c r="BN18" s="103">
        <f t="shared" si="23"/>
        <v>73641</v>
      </c>
      <c r="BO18" s="119">
        <f t="shared" si="10"/>
        <v>73641</v>
      </c>
      <c r="BP18" s="119">
        <f t="shared" si="10"/>
        <v>64682.246399149204</v>
      </c>
      <c r="BQ18" s="119">
        <f t="shared" si="10"/>
        <v>64682.246399149204</v>
      </c>
      <c r="BR18" s="119">
        <f t="shared" si="10"/>
        <v>64682.246399149204</v>
      </c>
      <c r="BS18" s="119">
        <f t="shared" si="10"/>
        <v>64682.246399149204</v>
      </c>
      <c r="BT18" s="119">
        <f t="shared" si="10"/>
        <v>64682.246399149204</v>
      </c>
      <c r="BU18" s="119">
        <f t="shared" si="10"/>
        <v>73321.490416997403</v>
      </c>
      <c r="BV18" s="119">
        <f t="shared" si="10"/>
        <v>73321.490416997403</v>
      </c>
      <c r="BW18" s="119">
        <f t="shared" si="10"/>
        <v>73321.490416997403</v>
      </c>
      <c r="BX18" s="119">
        <f t="shared" si="10"/>
        <v>73321.490416997403</v>
      </c>
      <c r="BY18" s="119">
        <f t="shared" si="10"/>
        <v>73321.490416997403</v>
      </c>
      <c r="BZ18" s="119">
        <f t="shared" si="10"/>
        <v>75084.752005610309</v>
      </c>
      <c r="CA18" s="119">
        <f t="shared" si="10"/>
        <v>75084.752005610309</v>
      </c>
      <c r="CB18" s="119">
        <f t="shared" si="10"/>
        <v>75084.752005610309</v>
      </c>
      <c r="CC18" s="119">
        <f t="shared" si="10"/>
        <v>75084.752005610309</v>
      </c>
      <c r="CD18" s="119">
        <f t="shared" si="10"/>
        <v>75084.752005610309</v>
      </c>
      <c r="CE18" s="119">
        <f t="shared" si="24"/>
        <v>76940.518144897156</v>
      </c>
      <c r="CF18" s="119">
        <f t="shared" si="24"/>
        <v>76940.518144897156</v>
      </c>
      <c r="CG18" s="119">
        <f t="shared" si="24"/>
        <v>76940.518144897156</v>
      </c>
      <c r="CH18" s="119">
        <f t="shared" si="24"/>
        <v>76940.518144897156</v>
      </c>
      <c r="CI18" s="119">
        <f t="shared" si="24"/>
        <v>76940.518144897156</v>
      </c>
      <c r="CJ18" s="119">
        <f t="shared" si="24"/>
        <v>77380.907907614775</v>
      </c>
      <c r="CK18" s="119">
        <f t="shared" si="24"/>
        <v>77380.907907614775</v>
      </c>
      <c r="CL18" s="119">
        <f t="shared" si="24"/>
        <v>77380.907907614775</v>
      </c>
      <c r="CM18" s="119">
        <f t="shared" si="24"/>
        <v>77380.907907614775</v>
      </c>
      <c r="CN18" s="119">
        <f t="shared" si="24"/>
        <v>77380.907907614775</v>
      </c>
      <c r="CO18" s="119">
        <f t="shared" si="24"/>
        <v>77906.992070036446</v>
      </c>
      <c r="CR18" s="123" t="s">
        <v>197</v>
      </c>
      <c r="CS18" s="103">
        <f t="shared" si="11"/>
        <v>89159.631522568408</v>
      </c>
      <c r="CT18" s="119">
        <f t="shared" si="12"/>
        <v>89159.631522568423</v>
      </c>
      <c r="CU18" s="119">
        <f t="shared" si="12"/>
        <v>89159.631522568423</v>
      </c>
      <c r="CV18" s="119">
        <f t="shared" si="12"/>
        <v>89159.631522568423</v>
      </c>
      <c r="CW18" s="119">
        <f t="shared" si="12"/>
        <v>89159.631522568423</v>
      </c>
      <c r="CX18" s="119">
        <f t="shared" si="12"/>
        <v>89159.631522568423</v>
      </c>
      <c r="CY18" s="119">
        <f t="shared" si="12"/>
        <v>89159.631522568423</v>
      </c>
      <c r="CZ18" s="119">
        <f t="shared" si="12"/>
        <v>89179.494462897172</v>
      </c>
      <c r="DA18" s="119">
        <f t="shared" si="12"/>
        <v>89179.494462897172</v>
      </c>
      <c r="DB18" s="119">
        <f t="shared" si="12"/>
        <v>89179.494462897172</v>
      </c>
      <c r="DC18" s="119">
        <f t="shared" si="12"/>
        <v>89179.494462897172</v>
      </c>
      <c r="DD18" s="119">
        <f t="shared" si="12"/>
        <v>89179.494462897172</v>
      </c>
      <c r="DE18" s="119">
        <f t="shared" si="12"/>
        <v>89168.144211280742</v>
      </c>
      <c r="DF18" s="119">
        <f t="shared" si="12"/>
        <v>89168.144211280742</v>
      </c>
      <c r="DG18" s="119">
        <f t="shared" si="12"/>
        <v>89168.144211280742</v>
      </c>
      <c r="DH18" s="119">
        <f t="shared" si="12"/>
        <v>89168.144211280742</v>
      </c>
      <c r="DI18" s="119">
        <f t="shared" si="12"/>
        <v>89168.144211280742</v>
      </c>
      <c r="DJ18" s="119">
        <f t="shared" si="25"/>
        <v>89165.306648376631</v>
      </c>
      <c r="DK18" s="119">
        <f t="shared" si="25"/>
        <v>89165.306648376631</v>
      </c>
      <c r="DL18" s="119">
        <f t="shared" si="25"/>
        <v>89165.306648376631</v>
      </c>
      <c r="DM18" s="119">
        <f t="shared" si="25"/>
        <v>89165.306648376631</v>
      </c>
      <c r="DN18" s="119">
        <f t="shared" si="25"/>
        <v>89165.306648376631</v>
      </c>
      <c r="DO18" s="119">
        <f t="shared" si="25"/>
        <v>89110.257928036939</v>
      </c>
      <c r="DP18" s="119">
        <f t="shared" si="25"/>
        <v>89110.257928036939</v>
      </c>
      <c r="DQ18" s="119">
        <f t="shared" si="25"/>
        <v>89110.257928036939</v>
      </c>
      <c r="DR18" s="119">
        <f t="shared" si="25"/>
        <v>89110.257928036939</v>
      </c>
      <c r="DS18" s="119">
        <f t="shared" si="25"/>
        <v>89110.257928036939</v>
      </c>
      <c r="DT18" s="93">
        <f t="shared" si="25"/>
        <v>89156.226447083478</v>
      </c>
      <c r="DW18" s="123" t="s">
        <v>197</v>
      </c>
      <c r="DX18" s="103">
        <f t="shared" si="13"/>
        <v>93333.116636493869</v>
      </c>
      <c r="DY18" s="119">
        <f t="shared" si="14"/>
        <v>93333.116636493869</v>
      </c>
      <c r="DZ18" s="119">
        <f t="shared" si="14"/>
        <v>81815.836840705524</v>
      </c>
      <c r="EA18" s="119">
        <f t="shared" si="14"/>
        <v>81815.836840705524</v>
      </c>
      <c r="EB18" s="119">
        <f t="shared" si="14"/>
        <v>81815.836840705524</v>
      </c>
      <c r="EC18" s="119">
        <f t="shared" si="14"/>
        <v>81815.836840705524</v>
      </c>
      <c r="ED18" s="119">
        <f t="shared" si="14"/>
        <v>81815.836840705524</v>
      </c>
      <c r="EE18" s="119">
        <f t="shared" si="14"/>
        <v>50426.061742817743</v>
      </c>
      <c r="EF18" s="119">
        <f t="shared" si="14"/>
        <v>50426.061742817743</v>
      </c>
      <c r="EG18" s="119">
        <f t="shared" si="14"/>
        <v>50426.061742817743</v>
      </c>
      <c r="EH18" s="119">
        <f t="shared" si="14"/>
        <v>50426.061742817743</v>
      </c>
      <c r="EI18" s="119">
        <f t="shared" si="14"/>
        <v>50426.061742817743</v>
      </c>
      <c r="EJ18" s="119">
        <f t="shared" si="14"/>
        <v>45036.39805601642</v>
      </c>
      <c r="EK18" s="119">
        <f t="shared" si="14"/>
        <v>45036.39805601642</v>
      </c>
      <c r="EL18" s="119">
        <f t="shared" si="14"/>
        <v>45036.39805601642</v>
      </c>
      <c r="EM18" s="119">
        <f t="shared" si="14"/>
        <v>45036.39805601642</v>
      </c>
      <c r="EN18" s="119">
        <f t="shared" si="14"/>
        <v>45036.39805601642</v>
      </c>
      <c r="EO18" s="119">
        <f t="shared" si="26"/>
        <v>43618.897267404594</v>
      </c>
      <c r="EP18" s="119">
        <f t="shared" si="26"/>
        <v>43618.897267404594</v>
      </c>
      <c r="EQ18" s="119">
        <f t="shared" si="26"/>
        <v>43618.897267404594</v>
      </c>
      <c r="ER18" s="119">
        <f t="shared" si="26"/>
        <v>43618.897267404594</v>
      </c>
      <c r="ES18" s="119">
        <f t="shared" si="26"/>
        <v>43618.897267404594</v>
      </c>
      <c r="ET18" s="119">
        <f t="shared" si="26"/>
        <v>41999.387156518482</v>
      </c>
      <c r="EU18" s="119">
        <f t="shared" si="26"/>
        <v>41999.387156518482</v>
      </c>
      <c r="EV18" s="119">
        <f t="shared" si="26"/>
        <v>41999.387156518482</v>
      </c>
      <c r="EW18" s="119">
        <f t="shared" si="26"/>
        <v>41999.387156518482</v>
      </c>
      <c r="EX18" s="119">
        <f t="shared" si="26"/>
        <v>41999.387156518482</v>
      </c>
      <c r="EY18" s="119">
        <f t="shared" si="26"/>
        <v>39459.841390784459</v>
      </c>
      <c r="FB18" s="123" t="s">
        <v>197</v>
      </c>
      <c r="FC18" s="103">
        <f t="shared" si="15"/>
        <v>101233.46761441859</v>
      </c>
      <c r="FD18" s="119">
        <f t="shared" si="16"/>
        <v>101233.46761441859</v>
      </c>
      <c r="FE18" s="119">
        <f t="shared" si="16"/>
        <v>88407.249863077392</v>
      </c>
      <c r="FF18" s="119">
        <f t="shared" si="16"/>
        <v>88407.249863077392</v>
      </c>
      <c r="FG18" s="119">
        <f t="shared" si="16"/>
        <v>88407.249863077392</v>
      </c>
      <c r="FH18" s="119">
        <f t="shared" si="16"/>
        <v>88407.249863077392</v>
      </c>
      <c r="FI18" s="119">
        <f t="shared" si="16"/>
        <v>88407.249863077392</v>
      </c>
      <c r="FJ18" s="119">
        <f t="shared" si="16"/>
        <v>55477.669012751867</v>
      </c>
      <c r="FK18" s="119">
        <f t="shared" si="16"/>
        <v>55477.669012751867</v>
      </c>
      <c r="FL18" s="119">
        <f t="shared" si="16"/>
        <v>55477.669012751867</v>
      </c>
      <c r="FM18" s="119">
        <f t="shared" si="16"/>
        <v>55477.669012751867</v>
      </c>
      <c r="FN18" s="119">
        <f t="shared" si="16"/>
        <v>55477.669012751867</v>
      </c>
      <c r="FO18" s="119">
        <f t="shared" si="16"/>
        <v>49261.41616031796</v>
      </c>
      <c r="FP18" s="119">
        <f t="shared" si="16"/>
        <v>49261.41616031796</v>
      </c>
      <c r="FQ18" s="119">
        <f t="shared" si="16"/>
        <v>49261.41616031796</v>
      </c>
      <c r="FR18" s="119">
        <f t="shared" si="16"/>
        <v>49261.41616031796</v>
      </c>
      <c r="FS18" s="119">
        <f t="shared" si="16"/>
        <v>49261.41616031796</v>
      </c>
      <c r="FT18" s="119">
        <f t="shared" si="27"/>
        <v>48007.446727832954</v>
      </c>
      <c r="FU18" s="119">
        <f t="shared" si="27"/>
        <v>48007.446727832954</v>
      </c>
      <c r="FV18" s="119">
        <f t="shared" si="27"/>
        <v>48007.446727832954</v>
      </c>
      <c r="FW18" s="119">
        <f t="shared" si="27"/>
        <v>48007.446727832954</v>
      </c>
      <c r="FX18" s="119">
        <f t="shared" si="27"/>
        <v>48007.446727832954</v>
      </c>
      <c r="FY18" s="119">
        <f t="shared" si="27"/>
        <v>46384.501084255091</v>
      </c>
      <c r="FZ18" s="119">
        <f t="shared" si="27"/>
        <v>46384.501084255091</v>
      </c>
      <c r="GA18" s="119">
        <f t="shared" si="27"/>
        <v>46384.501084255091</v>
      </c>
      <c r="GB18" s="119">
        <f t="shared" si="27"/>
        <v>46384.501084255091</v>
      </c>
      <c r="GC18" s="119">
        <f t="shared" si="27"/>
        <v>46384.501084255091</v>
      </c>
      <c r="GD18" s="119">
        <f t="shared" si="27"/>
        <v>43757.005681612529</v>
      </c>
      <c r="GH18" s="123" t="s">
        <v>197</v>
      </c>
      <c r="GI18" s="103">
        <f t="shared" si="17"/>
        <v>87955.820867382805</v>
      </c>
      <c r="GJ18" s="119">
        <f t="shared" si="18"/>
        <v>87955.820867382805</v>
      </c>
      <c r="GK18" s="119">
        <f t="shared" si="18"/>
        <v>77329.718251831742</v>
      </c>
      <c r="GL18" s="119">
        <f t="shared" si="18"/>
        <v>77329.718251831742</v>
      </c>
      <c r="GM18" s="119">
        <f t="shared" si="18"/>
        <v>77329.718251831742</v>
      </c>
      <c r="GN18" s="119">
        <f t="shared" si="18"/>
        <v>77329.718251831742</v>
      </c>
      <c r="GO18" s="119">
        <f t="shared" si="18"/>
        <v>77329.718251831742</v>
      </c>
      <c r="GP18" s="119">
        <f t="shared" si="18"/>
        <v>46987.780624924599</v>
      </c>
      <c r="GQ18" s="119">
        <f t="shared" si="18"/>
        <v>46987.780624924599</v>
      </c>
      <c r="GR18" s="119">
        <f t="shared" si="18"/>
        <v>46987.780624924599</v>
      </c>
      <c r="GS18" s="119">
        <f t="shared" si="18"/>
        <v>46987.780624924599</v>
      </c>
      <c r="GT18" s="119">
        <f t="shared" si="18"/>
        <v>46987.780624924599</v>
      </c>
      <c r="GU18" s="119">
        <f t="shared" si="18"/>
        <v>42160.85719303025</v>
      </c>
      <c r="GV18" s="119">
        <f t="shared" si="18"/>
        <v>42160.85719303025</v>
      </c>
      <c r="GW18" s="119">
        <f t="shared" si="18"/>
        <v>42160.85719303025</v>
      </c>
      <c r="GX18" s="119">
        <f t="shared" si="18"/>
        <v>42160.85719303025</v>
      </c>
      <c r="GY18" s="119">
        <f t="shared" si="18"/>
        <v>42160.85719303025</v>
      </c>
      <c r="GZ18" s="119">
        <f t="shared" si="28"/>
        <v>40632.045145206059</v>
      </c>
      <c r="HA18" s="119">
        <f t="shared" si="28"/>
        <v>40632.045145206059</v>
      </c>
      <c r="HB18" s="119">
        <f t="shared" si="28"/>
        <v>40632.045145206059</v>
      </c>
      <c r="HC18" s="119">
        <f t="shared" si="28"/>
        <v>40632.045145206059</v>
      </c>
      <c r="HD18" s="119">
        <f t="shared" si="28"/>
        <v>40632.045145206059</v>
      </c>
      <c r="HE18" s="119">
        <f t="shared" si="28"/>
        <v>39014.596353934983</v>
      </c>
      <c r="HF18" s="119">
        <f t="shared" si="28"/>
        <v>39014.596353934983</v>
      </c>
      <c r="HG18" s="119">
        <f t="shared" si="28"/>
        <v>39014.596353934983</v>
      </c>
      <c r="HH18" s="119">
        <f t="shared" si="28"/>
        <v>39014.596353934983</v>
      </c>
      <c r="HI18" s="119">
        <f t="shared" si="28"/>
        <v>39014.596353934983</v>
      </c>
      <c r="HJ18" s="119">
        <f t="shared" si="28"/>
        <v>36535.515963575577</v>
      </c>
    </row>
    <row r="19" spans="17:218" x14ac:dyDescent="0.25">
      <c r="Q19" s="37">
        <v>2023</v>
      </c>
      <c r="R19" s="171">
        <v>0</v>
      </c>
      <c r="S19" s="172">
        <v>0.42</v>
      </c>
      <c r="T19" s="172">
        <v>0.17</v>
      </c>
      <c r="U19" s="172">
        <v>0.19</v>
      </c>
      <c r="V19" s="172">
        <v>0</v>
      </c>
      <c r="W19" s="172">
        <v>0.21999999999999997</v>
      </c>
      <c r="X19" s="134">
        <f t="shared" si="29"/>
        <v>1</v>
      </c>
      <c r="Z19" s="83" t="s">
        <v>198</v>
      </c>
      <c r="AA19" s="114">
        <f>'US Grid mix, emissions&amp;prices'!O71</f>
        <v>216989</v>
      </c>
      <c r="AB19" s="116">
        <f t="shared" si="20"/>
        <v>216989</v>
      </c>
      <c r="AC19" s="116">
        <f t="shared" si="20"/>
        <v>190840.48855973675</v>
      </c>
      <c r="AD19" s="116">
        <f t="shared" si="20"/>
        <v>190840.48855973675</v>
      </c>
      <c r="AE19" s="116">
        <f t="shared" si="20"/>
        <v>190840.48855973675</v>
      </c>
      <c r="AF19" s="116">
        <f t="shared" si="20"/>
        <v>190840.48855973675</v>
      </c>
      <c r="AG19" s="116">
        <f t="shared" si="20"/>
        <v>190840.48855973675</v>
      </c>
      <c r="AH19" s="116">
        <f t="shared" si="20"/>
        <v>114664.15741247369</v>
      </c>
      <c r="AI19" s="116">
        <f t="shared" si="20"/>
        <v>114664.15741247369</v>
      </c>
      <c r="AJ19" s="116">
        <f t="shared" si="20"/>
        <v>114664.15741247369</v>
      </c>
      <c r="AK19" s="116">
        <f t="shared" si="20"/>
        <v>114664.15741247369</v>
      </c>
      <c r="AL19" s="116">
        <f t="shared" si="20"/>
        <v>114664.15741247369</v>
      </c>
      <c r="AM19" s="116">
        <f t="shared" si="20"/>
        <v>119993.5240403511</v>
      </c>
      <c r="AN19" s="116">
        <f t="shared" si="20"/>
        <v>119993.5240403511</v>
      </c>
      <c r="AO19" s="116">
        <f t="shared" si="20"/>
        <v>119993.5240403511</v>
      </c>
      <c r="AP19" s="116">
        <f t="shared" si="20"/>
        <v>119993.5240403511</v>
      </c>
      <c r="AQ19" s="116">
        <f t="shared" si="20"/>
        <v>119993.5240403511</v>
      </c>
      <c r="AR19" s="116">
        <f t="shared" si="22"/>
        <v>125434.92943950801</v>
      </c>
      <c r="AS19" s="116">
        <f t="shared" si="22"/>
        <v>125434.92943950801</v>
      </c>
      <c r="AT19" s="116">
        <f t="shared" si="22"/>
        <v>125434.92943950801</v>
      </c>
      <c r="AU19" s="116">
        <f t="shared" si="22"/>
        <v>125434.92943950801</v>
      </c>
      <c r="AV19" s="116">
        <f t="shared" si="22"/>
        <v>125434.92943950801</v>
      </c>
      <c r="AW19" s="116">
        <f t="shared" si="22"/>
        <v>128187.40432795678</v>
      </c>
      <c r="AX19" s="116">
        <f t="shared" si="22"/>
        <v>128187.40432795678</v>
      </c>
      <c r="AY19" s="116">
        <f t="shared" si="22"/>
        <v>128187.40432795678</v>
      </c>
      <c r="AZ19" s="116">
        <f t="shared" si="22"/>
        <v>128187.40432795678</v>
      </c>
      <c r="BA19" s="116">
        <f t="shared" si="22"/>
        <v>128187.40432795678</v>
      </c>
      <c r="BB19" s="116">
        <f t="shared" si="22"/>
        <v>128361.31525651005</v>
      </c>
      <c r="BM19" s="123" t="s">
        <v>198</v>
      </c>
      <c r="BN19" s="103">
        <f t="shared" si="23"/>
        <v>216989</v>
      </c>
      <c r="BO19" s="119">
        <f t="shared" si="10"/>
        <v>216989</v>
      </c>
      <c r="BP19" s="119">
        <f t="shared" si="10"/>
        <v>190591.32771017484</v>
      </c>
      <c r="BQ19" s="119">
        <f t="shared" si="10"/>
        <v>190591.32771017484</v>
      </c>
      <c r="BR19" s="119">
        <f t="shared" si="10"/>
        <v>190591.32771017484</v>
      </c>
      <c r="BS19" s="119">
        <f t="shared" si="10"/>
        <v>190591.32771017484</v>
      </c>
      <c r="BT19" s="119">
        <f t="shared" si="10"/>
        <v>190591.32771017484</v>
      </c>
      <c r="BU19" s="119">
        <f t="shared" si="10"/>
        <v>216047.53987715876</v>
      </c>
      <c r="BV19" s="119">
        <f t="shared" si="10"/>
        <v>216047.53987715876</v>
      </c>
      <c r="BW19" s="119">
        <f t="shared" si="10"/>
        <v>216047.53987715876</v>
      </c>
      <c r="BX19" s="119">
        <f t="shared" si="10"/>
        <v>216047.53987715876</v>
      </c>
      <c r="BY19" s="119">
        <f t="shared" si="10"/>
        <v>216047.53987715876</v>
      </c>
      <c r="BZ19" s="119">
        <f t="shared" si="10"/>
        <v>221243.12886768751</v>
      </c>
      <c r="CA19" s="119">
        <f t="shared" si="10"/>
        <v>221243.12886768751</v>
      </c>
      <c r="CB19" s="119">
        <f t="shared" si="10"/>
        <v>221243.12886768751</v>
      </c>
      <c r="CC19" s="119">
        <f t="shared" si="10"/>
        <v>221243.12886768751</v>
      </c>
      <c r="CD19" s="119">
        <f t="shared" si="10"/>
        <v>221243.12886768751</v>
      </c>
      <c r="CE19" s="119">
        <f t="shared" si="24"/>
        <v>226711.28979431416</v>
      </c>
      <c r="CF19" s="119">
        <f t="shared" si="24"/>
        <v>226711.28979431416</v>
      </c>
      <c r="CG19" s="119">
        <f t="shared" si="24"/>
        <v>226711.28979431416</v>
      </c>
      <c r="CH19" s="119">
        <f t="shared" si="24"/>
        <v>226711.28979431416</v>
      </c>
      <c r="CI19" s="119">
        <f t="shared" si="24"/>
        <v>226711.28979431416</v>
      </c>
      <c r="CJ19" s="119">
        <f t="shared" si="24"/>
        <v>228008.93287659623</v>
      </c>
      <c r="CK19" s="119">
        <f t="shared" si="24"/>
        <v>228008.93287659623</v>
      </c>
      <c r="CL19" s="119">
        <f t="shared" si="24"/>
        <v>228008.93287659623</v>
      </c>
      <c r="CM19" s="119">
        <f t="shared" si="24"/>
        <v>228008.93287659623</v>
      </c>
      <c r="CN19" s="119">
        <f t="shared" si="24"/>
        <v>228008.93287659623</v>
      </c>
      <c r="CO19" s="119">
        <f t="shared" si="24"/>
        <v>229559.08124937385</v>
      </c>
      <c r="CR19" s="123" t="s">
        <v>198</v>
      </c>
      <c r="CS19" s="103">
        <f t="shared" si="11"/>
        <v>262715.86866624025</v>
      </c>
      <c r="CT19" s="119">
        <f t="shared" si="12"/>
        <v>262715.86866624025</v>
      </c>
      <c r="CU19" s="119">
        <f t="shared" si="12"/>
        <v>262715.86866624025</v>
      </c>
      <c r="CV19" s="119">
        <f t="shared" si="12"/>
        <v>262715.86866624025</v>
      </c>
      <c r="CW19" s="119">
        <f t="shared" si="12"/>
        <v>262715.86866624025</v>
      </c>
      <c r="CX19" s="119">
        <f t="shared" si="12"/>
        <v>262715.86866624025</v>
      </c>
      <c r="CY19" s="119">
        <f t="shared" si="12"/>
        <v>262715.86866624025</v>
      </c>
      <c r="CZ19" s="119">
        <f t="shared" si="12"/>
        <v>262774.39638258028</v>
      </c>
      <c r="DA19" s="119">
        <f t="shared" si="12"/>
        <v>262774.39638258028</v>
      </c>
      <c r="DB19" s="119">
        <f t="shared" si="12"/>
        <v>262774.39638258028</v>
      </c>
      <c r="DC19" s="119">
        <f t="shared" si="12"/>
        <v>262774.39638258028</v>
      </c>
      <c r="DD19" s="119">
        <f t="shared" si="12"/>
        <v>262774.39638258028</v>
      </c>
      <c r="DE19" s="119">
        <f t="shared" si="12"/>
        <v>262740.95197324315</v>
      </c>
      <c r="DF19" s="119">
        <f t="shared" si="12"/>
        <v>262740.95197324315</v>
      </c>
      <c r="DG19" s="119">
        <f t="shared" si="12"/>
        <v>262740.95197324315</v>
      </c>
      <c r="DH19" s="119">
        <f t="shared" si="12"/>
        <v>262740.95197324315</v>
      </c>
      <c r="DI19" s="119">
        <f t="shared" si="12"/>
        <v>262740.95197324315</v>
      </c>
      <c r="DJ19" s="119">
        <f t="shared" si="25"/>
        <v>262732.59087090881</v>
      </c>
      <c r="DK19" s="119">
        <f t="shared" si="25"/>
        <v>262732.59087090881</v>
      </c>
      <c r="DL19" s="119">
        <f t="shared" si="25"/>
        <v>262732.59087090881</v>
      </c>
      <c r="DM19" s="119">
        <f t="shared" si="25"/>
        <v>262732.59087090881</v>
      </c>
      <c r="DN19" s="119">
        <f t="shared" si="25"/>
        <v>262732.59087090881</v>
      </c>
      <c r="DO19" s="119">
        <f t="shared" si="25"/>
        <v>262570.38548562361</v>
      </c>
      <c r="DP19" s="119">
        <f t="shared" si="25"/>
        <v>262570.38548562361</v>
      </c>
      <c r="DQ19" s="119">
        <f t="shared" si="25"/>
        <v>262570.38548562361</v>
      </c>
      <c r="DR19" s="119">
        <f t="shared" si="25"/>
        <v>262570.38548562361</v>
      </c>
      <c r="DS19" s="119">
        <f t="shared" si="25"/>
        <v>262570.38548562361</v>
      </c>
      <c r="DT19" s="93">
        <f t="shared" si="25"/>
        <v>262705.83534343907</v>
      </c>
      <c r="DW19" s="123" t="s">
        <v>198</v>
      </c>
      <c r="DX19" s="103">
        <f t="shared" si="13"/>
        <v>275013.37089170667</v>
      </c>
      <c r="DY19" s="119">
        <f t="shared" si="14"/>
        <v>275013.37089170667</v>
      </c>
      <c r="DZ19" s="119">
        <f t="shared" si="14"/>
        <v>241076.79988359546</v>
      </c>
      <c r="EA19" s="119">
        <f t="shared" si="14"/>
        <v>241076.79988359546</v>
      </c>
      <c r="EB19" s="119">
        <f t="shared" si="14"/>
        <v>241076.79988359546</v>
      </c>
      <c r="EC19" s="119">
        <f t="shared" si="14"/>
        <v>241076.79988359546</v>
      </c>
      <c r="ED19" s="119">
        <f t="shared" si="14"/>
        <v>241076.79988359546</v>
      </c>
      <c r="EE19" s="119">
        <f t="shared" si="14"/>
        <v>148584.35805478308</v>
      </c>
      <c r="EF19" s="119">
        <f t="shared" si="14"/>
        <v>148584.35805478308</v>
      </c>
      <c r="EG19" s="119">
        <f t="shared" si="14"/>
        <v>148584.35805478308</v>
      </c>
      <c r="EH19" s="119">
        <f t="shared" si="14"/>
        <v>148584.35805478308</v>
      </c>
      <c r="EI19" s="119">
        <f t="shared" si="14"/>
        <v>148584.35805478308</v>
      </c>
      <c r="EJ19" s="119">
        <f t="shared" si="14"/>
        <v>132703.28998488543</v>
      </c>
      <c r="EK19" s="119">
        <f t="shared" si="14"/>
        <v>132703.28998488543</v>
      </c>
      <c r="EL19" s="119">
        <f t="shared" si="14"/>
        <v>132703.28998488543</v>
      </c>
      <c r="EM19" s="119">
        <f t="shared" si="14"/>
        <v>132703.28998488543</v>
      </c>
      <c r="EN19" s="119">
        <f t="shared" si="14"/>
        <v>132703.28998488543</v>
      </c>
      <c r="EO19" s="119">
        <f t="shared" si="26"/>
        <v>128526.51239332515</v>
      </c>
      <c r="EP19" s="119">
        <f t="shared" si="26"/>
        <v>128526.51239332515</v>
      </c>
      <c r="EQ19" s="119">
        <f t="shared" si="26"/>
        <v>128526.51239332515</v>
      </c>
      <c r="ER19" s="119">
        <f t="shared" si="26"/>
        <v>128526.51239332515</v>
      </c>
      <c r="ES19" s="119">
        <f t="shared" si="26"/>
        <v>128526.51239332515</v>
      </c>
      <c r="ET19" s="119">
        <f t="shared" si="26"/>
        <v>123754.49844116444</v>
      </c>
      <c r="EU19" s="119">
        <f t="shared" si="26"/>
        <v>123754.49844116444</v>
      </c>
      <c r="EV19" s="119">
        <f t="shared" si="26"/>
        <v>123754.49844116444</v>
      </c>
      <c r="EW19" s="119">
        <f t="shared" si="26"/>
        <v>123754.49844116444</v>
      </c>
      <c r="EX19" s="119">
        <f t="shared" si="26"/>
        <v>123754.49844116444</v>
      </c>
      <c r="EY19" s="119">
        <f t="shared" si="26"/>
        <v>116271.52705075881</v>
      </c>
      <c r="FB19" s="123" t="s">
        <v>198</v>
      </c>
      <c r="FC19" s="103">
        <f t="shared" si="15"/>
        <v>298292.37658620981</v>
      </c>
      <c r="FD19" s="119">
        <f t="shared" si="16"/>
        <v>298292.37658620981</v>
      </c>
      <c r="FE19" s="119">
        <f t="shared" si="16"/>
        <v>260498.91691502425</v>
      </c>
      <c r="FF19" s="119">
        <f t="shared" si="16"/>
        <v>260498.91691502425</v>
      </c>
      <c r="FG19" s="119">
        <f t="shared" si="16"/>
        <v>260498.91691502425</v>
      </c>
      <c r="FH19" s="119">
        <f t="shared" si="16"/>
        <v>260498.91691502425</v>
      </c>
      <c r="FI19" s="119">
        <f t="shared" si="16"/>
        <v>260498.91691502425</v>
      </c>
      <c r="FJ19" s="119">
        <f t="shared" si="16"/>
        <v>163469.31629673709</v>
      </c>
      <c r="FK19" s="119">
        <f t="shared" si="16"/>
        <v>163469.31629673709</v>
      </c>
      <c r="FL19" s="119">
        <f t="shared" si="16"/>
        <v>163469.31629673709</v>
      </c>
      <c r="FM19" s="119">
        <f t="shared" si="16"/>
        <v>163469.31629673709</v>
      </c>
      <c r="FN19" s="119">
        <f t="shared" si="16"/>
        <v>163469.31629673709</v>
      </c>
      <c r="FO19" s="119">
        <f t="shared" si="16"/>
        <v>145152.63822070905</v>
      </c>
      <c r="FP19" s="119">
        <f t="shared" si="16"/>
        <v>145152.63822070905</v>
      </c>
      <c r="FQ19" s="119">
        <f t="shared" si="16"/>
        <v>145152.63822070905</v>
      </c>
      <c r="FR19" s="119">
        <f t="shared" si="16"/>
        <v>145152.63822070905</v>
      </c>
      <c r="FS19" s="119">
        <f t="shared" si="16"/>
        <v>145152.63822070905</v>
      </c>
      <c r="FT19" s="119">
        <f t="shared" si="27"/>
        <v>141457.71863534913</v>
      </c>
      <c r="FU19" s="119">
        <f t="shared" si="27"/>
        <v>141457.71863534913</v>
      </c>
      <c r="FV19" s="119">
        <f t="shared" si="27"/>
        <v>141457.71863534913</v>
      </c>
      <c r="FW19" s="119">
        <f t="shared" si="27"/>
        <v>141457.71863534913</v>
      </c>
      <c r="FX19" s="119">
        <f t="shared" si="27"/>
        <v>141457.71863534913</v>
      </c>
      <c r="FY19" s="119">
        <f t="shared" si="27"/>
        <v>136675.58161583124</v>
      </c>
      <c r="FZ19" s="119">
        <f t="shared" si="27"/>
        <v>136675.58161583124</v>
      </c>
      <c r="GA19" s="119">
        <f t="shared" si="27"/>
        <v>136675.58161583124</v>
      </c>
      <c r="GB19" s="119">
        <f t="shared" si="27"/>
        <v>136675.58161583124</v>
      </c>
      <c r="GC19" s="119">
        <f t="shared" si="27"/>
        <v>136675.58161583124</v>
      </c>
      <c r="GD19" s="119">
        <f t="shared" si="27"/>
        <v>128933.45970108257</v>
      </c>
      <c r="GH19" s="123" t="s">
        <v>198</v>
      </c>
      <c r="GI19" s="103">
        <f t="shared" si="17"/>
        <v>259168.74586429473</v>
      </c>
      <c r="GJ19" s="119">
        <f t="shared" si="18"/>
        <v>259168.74586429473</v>
      </c>
      <c r="GK19" s="119">
        <f t="shared" si="18"/>
        <v>227858.09852862835</v>
      </c>
      <c r="GL19" s="119">
        <f t="shared" si="18"/>
        <v>227858.09852862835</v>
      </c>
      <c r="GM19" s="119">
        <f t="shared" si="18"/>
        <v>227858.09852862835</v>
      </c>
      <c r="GN19" s="119">
        <f t="shared" si="18"/>
        <v>227858.09852862835</v>
      </c>
      <c r="GO19" s="119">
        <f t="shared" si="18"/>
        <v>227858.09852862835</v>
      </c>
      <c r="GP19" s="119">
        <f t="shared" si="18"/>
        <v>138453.19224374689</v>
      </c>
      <c r="GQ19" s="119">
        <f t="shared" si="18"/>
        <v>138453.19224374689</v>
      </c>
      <c r="GR19" s="119">
        <f t="shared" si="18"/>
        <v>138453.19224374689</v>
      </c>
      <c r="GS19" s="119">
        <f t="shared" si="18"/>
        <v>138453.19224374689</v>
      </c>
      <c r="GT19" s="119">
        <f t="shared" si="18"/>
        <v>138453.19224374689</v>
      </c>
      <c r="GU19" s="119">
        <f t="shared" si="18"/>
        <v>124230.2826069505</v>
      </c>
      <c r="GV19" s="119">
        <f t="shared" si="18"/>
        <v>124230.2826069505</v>
      </c>
      <c r="GW19" s="119">
        <f t="shared" si="18"/>
        <v>124230.2826069505</v>
      </c>
      <c r="GX19" s="119">
        <f t="shared" si="18"/>
        <v>124230.2826069505</v>
      </c>
      <c r="GY19" s="119">
        <f t="shared" si="18"/>
        <v>124230.2826069505</v>
      </c>
      <c r="GZ19" s="119">
        <f t="shared" si="28"/>
        <v>119725.51763301853</v>
      </c>
      <c r="HA19" s="119">
        <f t="shared" si="28"/>
        <v>119725.51763301853</v>
      </c>
      <c r="HB19" s="119">
        <f t="shared" si="28"/>
        <v>119725.51763301853</v>
      </c>
      <c r="HC19" s="119">
        <f t="shared" si="28"/>
        <v>119725.51763301853</v>
      </c>
      <c r="HD19" s="119">
        <f t="shared" si="28"/>
        <v>119725.51763301853</v>
      </c>
      <c r="HE19" s="119">
        <f t="shared" si="28"/>
        <v>114959.57752127209</v>
      </c>
      <c r="HF19" s="119">
        <f t="shared" si="28"/>
        <v>114959.57752127209</v>
      </c>
      <c r="HG19" s="119">
        <f t="shared" si="28"/>
        <v>114959.57752127209</v>
      </c>
      <c r="HH19" s="119">
        <f t="shared" si="28"/>
        <v>114959.57752127209</v>
      </c>
      <c r="HI19" s="119">
        <f t="shared" si="28"/>
        <v>114959.57752127209</v>
      </c>
      <c r="HJ19" s="119">
        <f t="shared" si="28"/>
        <v>107654.77211635232</v>
      </c>
    </row>
    <row r="20" spans="17:218" x14ac:dyDescent="0.25">
      <c r="Q20" s="37">
        <v>2025</v>
      </c>
      <c r="R20" s="135">
        <v>2E-3</v>
      </c>
      <c r="S20" s="128">
        <v>0.32100000000000001</v>
      </c>
      <c r="T20" s="128">
        <v>0.187</v>
      </c>
      <c r="U20" s="128">
        <v>0.191</v>
      </c>
      <c r="V20" s="128">
        <v>3.0000000000000001E-3</v>
      </c>
      <c r="W20" s="128">
        <v>0.29599999999999999</v>
      </c>
      <c r="X20" s="134">
        <f t="shared" si="29"/>
        <v>1</v>
      </c>
      <c r="Z20" s="83" t="s">
        <v>195</v>
      </c>
      <c r="AA20" s="114">
        <f>'US Grid mix, emissions&amp;prices'!O72</f>
        <v>96608</v>
      </c>
      <c r="AB20" s="116">
        <f t="shared" si="20"/>
        <v>96608</v>
      </c>
      <c r="AC20" s="116">
        <f t="shared" si="20"/>
        <v>84966.140766486074</v>
      </c>
      <c r="AD20" s="116">
        <f t="shared" si="20"/>
        <v>84966.140766486074</v>
      </c>
      <c r="AE20" s="116">
        <f t="shared" si="20"/>
        <v>84966.140766486074</v>
      </c>
      <c r="AF20" s="116">
        <f t="shared" si="20"/>
        <v>84966.140766486074</v>
      </c>
      <c r="AG20" s="116">
        <f t="shared" si="20"/>
        <v>84966.140766486074</v>
      </c>
      <c r="AH20" s="116">
        <f t="shared" si="20"/>
        <v>51050.859349111059</v>
      </c>
      <c r="AI20" s="116">
        <f t="shared" si="20"/>
        <v>51050.859349111059</v>
      </c>
      <c r="AJ20" s="116">
        <f t="shared" si="20"/>
        <v>51050.859349111059</v>
      </c>
      <c r="AK20" s="116">
        <f t="shared" si="20"/>
        <v>51050.859349111059</v>
      </c>
      <c r="AL20" s="116">
        <f t="shared" si="20"/>
        <v>51050.859349111059</v>
      </c>
      <c r="AM20" s="116">
        <f t="shared" si="20"/>
        <v>53423.60382549456</v>
      </c>
      <c r="AN20" s="116">
        <f t="shared" si="20"/>
        <v>53423.60382549456</v>
      </c>
      <c r="AO20" s="116">
        <f t="shared" si="20"/>
        <v>53423.60382549456</v>
      </c>
      <c r="AP20" s="116">
        <f t="shared" si="20"/>
        <v>53423.60382549456</v>
      </c>
      <c r="AQ20" s="116">
        <f t="shared" si="20"/>
        <v>53423.60382549456</v>
      </c>
      <c r="AR20" s="116">
        <f t="shared" si="22"/>
        <v>55846.230284908401</v>
      </c>
      <c r="AS20" s="116">
        <f t="shared" si="22"/>
        <v>55846.230284908401</v>
      </c>
      <c r="AT20" s="116">
        <f t="shared" si="22"/>
        <v>55846.230284908401</v>
      </c>
      <c r="AU20" s="116">
        <f t="shared" si="22"/>
        <v>55846.230284908401</v>
      </c>
      <c r="AV20" s="116">
        <f t="shared" si="22"/>
        <v>55846.230284908401</v>
      </c>
      <c r="AW20" s="116">
        <f t="shared" si="22"/>
        <v>57071.689151594088</v>
      </c>
      <c r="AX20" s="116">
        <f t="shared" si="22"/>
        <v>57071.689151594088</v>
      </c>
      <c r="AY20" s="116">
        <f t="shared" si="22"/>
        <v>57071.689151594088</v>
      </c>
      <c r="AZ20" s="116">
        <f t="shared" si="22"/>
        <v>57071.689151594088</v>
      </c>
      <c r="BA20" s="116">
        <f t="shared" si="22"/>
        <v>57071.689151594088</v>
      </c>
      <c r="BB20" s="116">
        <f t="shared" si="22"/>
        <v>57149.117901372527</v>
      </c>
      <c r="BM20" s="123" t="s">
        <v>195</v>
      </c>
      <c r="BN20" s="103">
        <f t="shared" si="23"/>
        <v>96608</v>
      </c>
      <c r="BO20" s="119">
        <f t="shared" si="10"/>
        <v>96608</v>
      </c>
      <c r="BP20" s="119">
        <f t="shared" si="10"/>
        <v>84855.209192284266</v>
      </c>
      <c r="BQ20" s="119">
        <f t="shared" si="10"/>
        <v>84855.209192284266</v>
      </c>
      <c r="BR20" s="119">
        <f t="shared" si="10"/>
        <v>84855.209192284266</v>
      </c>
      <c r="BS20" s="119">
        <f t="shared" si="10"/>
        <v>84855.209192284266</v>
      </c>
      <c r="BT20" s="119">
        <f t="shared" si="10"/>
        <v>84855.209192284266</v>
      </c>
      <c r="BU20" s="119">
        <f t="shared" si="10"/>
        <v>96188.842441103261</v>
      </c>
      <c r="BV20" s="119">
        <f t="shared" si="10"/>
        <v>96188.842441103261</v>
      </c>
      <c r="BW20" s="119">
        <f t="shared" si="10"/>
        <v>96188.842441103261</v>
      </c>
      <c r="BX20" s="119">
        <f t="shared" si="10"/>
        <v>96188.842441103261</v>
      </c>
      <c r="BY20" s="119">
        <f t="shared" si="10"/>
        <v>96188.842441103261</v>
      </c>
      <c r="BZ20" s="119">
        <f t="shared" si="10"/>
        <v>98502.026340734112</v>
      </c>
      <c r="CA20" s="119">
        <f t="shared" si="10"/>
        <v>98502.026340734112</v>
      </c>
      <c r="CB20" s="119">
        <f t="shared" si="10"/>
        <v>98502.026340734112</v>
      </c>
      <c r="CC20" s="119">
        <f t="shared" si="10"/>
        <v>98502.026340734112</v>
      </c>
      <c r="CD20" s="119">
        <f t="shared" si="10"/>
        <v>98502.026340734112</v>
      </c>
      <c r="CE20" s="119">
        <f t="shared" si="24"/>
        <v>100936.5649154985</v>
      </c>
      <c r="CF20" s="119">
        <f t="shared" si="24"/>
        <v>100936.5649154985</v>
      </c>
      <c r="CG20" s="119">
        <f t="shared" si="24"/>
        <v>100936.5649154985</v>
      </c>
      <c r="CH20" s="119">
        <f t="shared" si="24"/>
        <v>100936.5649154985</v>
      </c>
      <c r="CI20" s="119">
        <f t="shared" si="24"/>
        <v>100936.5649154985</v>
      </c>
      <c r="CJ20" s="119">
        <f t="shared" si="24"/>
        <v>101514.30250999915</v>
      </c>
      <c r="CK20" s="119">
        <f t="shared" si="24"/>
        <v>101514.30250999915</v>
      </c>
      <c r="CL20" s="119">
        <f t="shared" si="24"/>
        <v>101514.30250999915</v>
      </c>
      <c r="CM20" s="119">
        <f t="shared" si="24"/>
        <v>101514.30250999915</v>
      </c>
      <c r="CN20" s="119">
        <f t="shared" si="24"/>
        <v>101514.30250999915</v>
      </c>
      <c r="CO20" s="119">
        <f t="shared" si="24"/>
        <v>102204.46069312043</v>
      </c>
      <c r="CR20" s="123" t="s">
        <v>195</v>
      </c>
      <c r="CS20" s="103">
        <f t="shared" si="11"/>
        <v>116966.54964126355</v>
      </c>
      <c r="CT20" s="119">
        <f t="shared" si="12"/>
        <v>116966.54964126355</v>
      </c>
      <c r="CU20" s="119">
        <f t="shared" si="12"/>
        <v>116966.54964126355</v>
      </c>
      <c r="CV20" s="119">
        <f t="shared" si="12"/>
        <v>116966.54964126355</v>
      </c>
      <c r="CW20" s="119">
        <f t="shared" si="12"/>
        <v>116966.54964126355</v>
      </c>
      <c r="CX20" s="119">
        <f t="shared" si="12"/>
        <v>116966.54964126355</v>
      </c>
      <c r="CY20" s="119">
        <f t="shared" si="12"/>
        <v>116966.54964126355</v>
      </c>
      <c r="CZ20" s="119">
        <f t="shared" si="12"/>
        <v>116992.60739359283</v>
      </c>
      <c r="DA20" s="119">
        <f t="shared" si="12"/>
        <v>116992.60739359283</v>
      </c>
      <c r="DB20" s="119">
        <f t="shared" si="12"/>
        <v>116992.60739359283</v>
      </c>
      <c r="DC20" s="119">
        <f t="shared" si="12"/>
        <v>116992.60739359283</v>
      </c>
      <c r="DD20" s="119">
        <f t="shared" si="12"/>
        <v>116992.60739359283</v>
      </c>
      <c r="DE20" s="119">
        <f t="shared" si="12"/>
        <v>116977.71724940468</v>
      </c>
      <c r="DF20" s="119">
        <f t="shared" si="12"/>
        <v>116977.71724940468</v>
      </c>
      <c r="DG20" s="119">
        <f t="shared" si="12"/>
        <v>116977.71724940468</v>
      </c>
      <c r="DH20" s="119">
        <f t="shared" si="12"/>
        <v>116977.71724940468</v>
      </c>
      <c r="DI20" s="119">
        <f t="shared" si="12"/>
        <v>116977.71724940468</v>
      </c>
      <c r="DJ20" s="119">
        <f t="shared" si="25"/>
        <v>116973.99471335764</v>
      </c>
      <c r="DK20" s="119">
        <f t="shared" si="25"/>
        <v>116973.99471335764</v>
      </c>
      <c r="DL20" s="119">
        <f t="shared" si="25"/>
        <v>116973.99471335764</v>
      </c>
      <c r="DM20" s="119">
        <f t="shared" si="25"/>
        <v>116973.99471335764</v>
      </c>
      <c r="DN20" s="119">
        <f t="shared" si="25"/>
        <v>116973.99471335764</v>
      </c>
      <c r="DO20" s="119">
        <f t="shared" si="25"/>
        <v>116901.77751404505</v>
      </c>
      <c r="DP20" s="119">
        <f t="shared" si="25"/>
        <v>116901.77751404505</v>
      </c>
      <c r="DQ20" s="119">
        <f t="shared" si="25"/>
        <v>116901.77751404505</v>
      </c>
      <c r="DR20" s="119">
        <f t="shared" si="25"/>
        <v>116901.77751404505</v>
      </c>
      <c r="DS20" s="119">
        <f t="shared" si="25"/>
        <v>116901.77751404505</v>
      </c>
      <c r="DT20" s="93">
        <f t="shared" si="25"/>
        <v>116962.08259800711</v>
      </c>
      <c r="DW20" s="123" t="s">
        <v>195</v>
      </c>
      <c r="DX20" s="103">
        <f t="shared" si="13"/>
        <v>122441.65250361075</v>
      </c>
      <c r="DY20" s="119">
        <f t="shared" si="14"/>
        <v>122441.65250361075</v>
      </c>
      <c r="DZ20" s="119">
        <f t="shared" si="14"/>
        <v>107332.38773926045</v>
      </c>
      <c r="EA20" s="119">
        <f t="shared" si="14"/>
        <v>107332.38773926045</v>
      </c>
      <c r="EB20" s="119">
        <f t="shared" si="14"/>
        <v>107332.38773926045</v>
      </c>
      <c r="EC20" s="119">
        <f t="shared" si="14"/>
        <v>107332.38773926045</v>
      </c>
      <c r="ED20" s="119">
        <f t="shared" si="14"/>
        <v>107332.38773926045</v>
      </c>
      <c r="EE20" s="119">
        <f t="shared" si="14"/>
        <v>66152.835687322775</v>
      </c>
      <c r="EF20" s="119">
        <f t="shared" si="14"/>
        <v>66152.835687322775</v>
      </c>
      <c r="EG20" s="119">
        <f t="shared" si="14"/>
        <v>66152.835687322775</v>
      </c>
      <c r="EH20" s="119">
        <f t="shared" si="14"/>
        <v>66152.835687322775</v>
      </c>
      <c r="EI20" s="119">
        <f t="shared" si="14"/>
        <v>66152.835687322775</v>
      </c>
      <c r="EJ20" s="119">
        <f t="shared" si="14"/>
        <v>59082.255039932024</v>
      </c>
      <c r="EK20" s="119">
        <f t="shared" si="14"/>
        <v>59082.255039932024</v>
      </c>
      <c r="EL20" s="119">
        <f t="shared" si="14"/>
        <v>59082.255039932024</v>
      </c>
      <c r="EM20" s="119">
        <f t="shared" si="14"/>
        <v>59082.255039932024</v>
      </c>
      <c r="EN20" s="119">
        <f t="shared" si="14"/>
        <v>59082.255039932024</v>
      </c>
      <c r="EO20" s="119">
        <f t="shared" si="26"/>
        <v>57222.667090471652</v>
      </c>
      <c r="EP20" s="119">
        <f t="shared" si="26"/>
        <v>57222.667090471652</v>
      </c>
      <c r="EQ20" s="119">
        <f t="shared" si="26"/>
        <v>57222.667090471652</v>
      </c>
      <c r="ER20" s="119">
        <f t="shared" si="26"/>
        <v>57222.667090471652</v>
      </c>
      <c r="ES20" s="119">
        <f t="shared" si="26"/>
        <v>57222.667090471652</v>
      </c>
      <c r="ET20" s="119">
        <f t="shared" si="26"/>
        <v>55098.067576715926</v>
      </c>
      <c r="EU20" s="119">
        <f t="shared" si="26"/>
        <v>55098.067576715926</v>
      </c>
      <c r="EV20" s="119">
        <f t="shared" si="26"/>
        <v>55098.067576715926</v>
      </c>
      <c r="EW20" s="119">
        <f t="shared" si="26"/>
        <v>55098.067576715926</v>
      </c>
      <c r="EX20" s="119">
        <f t="shared" si="26"/>
        <v>55098.067576715926</v>
      </c>
      <c r="EY20" s="119">
        <f t="shared" si="26"/>
        <v>51766.493625574134</v>
      </c>
      <c r="FB20" s="123" t="s">
        <v>195</v>
      </c>
      <c r="FC20" s="103">
        <f t="shared" si="15"/>
        <v>132805.94830724396</v>
      </c>
      <c r="FD20" s="119">
        <f t="shared" si="16"/>
        <v>132805.94830724396</v>
      </c>
      <c r="FE20" s="119">
        <f t="shared" si="16"/>
        <v>115979.51677424509</v>
      </c>
      <c r="FF20" s="119">
        <f t="shared" si="16"/>
        <v>115979.51677424509</v>
      </c>
      <c r="FG20" s="119">
        <f t="shared" si="16"/>
        <v>115979.51677424509</v>
      </c>
      <c r="FH20" s="119">
        <f t="shared" si="16"/>
        <v>115979.51677424509</v>
      </c>
      <c r="FI20" s="119">
        <f t="shared" si="16"/>
        <v>115979.51677424509</v>
      </c>
      <c r="FJ20" s="119">
        <f t="shared" si="16"/>
        <v>72779.927594464127</v>
      </c>
      <c r="FK20" s="119">
        <f t="shared" si="16"/>
        <v>72779.927594464127</v>
      </c>
      <c r="FL20" s="119">
        <f t="shared" si="16"/>
        <v>72779.927594464127</v>
      </c>
      <c r="FM20" s="119">
        <f t="shared" si="16"/>
        <v>72779.927594464127</v>
      </c>
      <c r="FN20" s="119">
        <f t="shared" si="16"/>
        <v>72779.927594464127</v>
      </c>
      <c r="FO20" s="119">
        <f t="shared" si="16"/>
        <v>64624.962893170901</v>
      </c>
      <c r="FP20" s="119">
        <f t="shared" si="16"/>
        <v>64624.962893170901</v>
      </c>
      <c r="FQ20" s="119">
        <f t="shared" si="16"/>
        <v>64624.962893170901</v>
      </c>
      <c r="FR20" s="119">
        <f t="shared" si="16"/>
        <v>64624.962893170901</v>
      </c>
      <c r="FS20" s="119">
        <f t="shared" si="16"/>
        <v>64624.962893170901</v>
      </c>
      <c r="FT20" s="119">
        <f t="shared" si="27"/>
        <v>62979.908114806785</v>
      </c>
      <c r="FU20" s="119">
        <f t="shared" si="27"/>
        <v>62979.908114806785</v>
      </c>
      <c r="FV20" s="119">
        <f t="shared" si="27"/>
        <v>62979.908114806785</v>
      </c>
      <c r="FW20" s="119">
        <f t="shared" si="27"/>
        <v>62979.908114806785</v>
      </c>
      <c r="FX20" s="119">
        <f t="shared" si="27"/>
        <v>62979.908114806785</v>
      </c>
      <c r="FY20" s="119">
        <f t="shared" si="27"/>
        <v>60850.80160165827</v>
      </c>
      <c r="FZ20" s="119">
        <f t="shared" si="27"/>
        <v>60850.80160165827</v>
      </c>
      <c r="GA20" s="119">
        <f t="shared" si="27"/>
        <v>60850.80160165827</v>
      </c>
      <c r="GB20" s="119">
        <f t="shared" si="27"/>
        <v>60850.80160165827</v>
      </c>
      <c r="GC20" s="119">
        <f t="shared" si="27"/>
        <v>60850.80160165827</v>
      </c>
      <c r="GD20" s="119">
        <f t="shared" si="27"/>
        <v>57403.848466061347</v>
      </c>
      <c r="GH20" s="123" t="s">
        <v>195</v>
      </c>
      <c r="GI20" s="103">
        <f t="shared" si="17"/>
        <v>115387.29705403402</v>
      </c>
      <c r="GJ20" s="119">
        <f t="shared" si="18"/>
        <v>115387.29705403402</v>
      </c>
      <c r="GK20" s="119">
        <f t="shared" si="18"/>
        <v>101447.14793217042</v>
      </c>
      <c r="GL20" s="119">
        <f t="shared" si="18"/>
        <v>101447.14793217042</v>
      </c>
      <c r="GM20" s="119">
        <f t="shared" si="18"/>
        <v>101447.14793217042</v>
      </c>
      <c r="GN20" s="119">
        <f t="shared" si="18"/>
        <v>101447.14793217042</v>
      </c>
      <c r="GO20" s="119">
        <f t="shared" si="18"/>
        <v>101447.14793217042</v>
      </c>
      <c r="GP20" s="119">
        <f t="shared" si="18"/>
        <v>61642.230695030164</v>
      </c>
      <c r="GQ20" s="119">
        <f t="shared" si="18"/>
        <v>61642.230695030164</v>
      </c>
      <c r="GR20" s="119">
        <f t="shared" si="18"/>
        <v>61642.230695030164</v>
      </c>
      <c r="GS20" s="119">
        <f t="shared" si="18"/>
        <v>61642.230695030164</v>
      </c>
      <c r="GT20" s="119">
        <f t="shared" si="18"/>
        <v>61642.230695030164</v>
      </c>
      <c r="GU20" s="119">
        <f t="shared" si="18"/>
        <v>55309.896548176512</v>
      </c>
      <c r="GV20" s="119">
        <f t="shared" si="18"/>
        <v>55309.896548176512</v>
      </c>
      <c r="GW20" s="119">
        <f t="shared" si="18"/>
        <v>55309.896548176512</v>
      </c>
      <c r="GX20" s="119">
        <f t="shared" si="18"/>
        <v>55309.896548176512</v>
      </c>
      <c r="GY20" s="119">
        <f t="shared" si="18"/>
        <v>55309.896548176512</v>
      </c>
      <c r="GZ20" s="119">
        <f t="shared" si="28"/>
        <v>53304.281818390125</v>
      </c>
      <c r="HA20" s="119">
        <f t="shared" si="28"/>
        <v>53304.281818390125</v>
      </c>
      <c r="HB20" s="119">
        <f t="shared" si="28"/>
        <v>53304.281818390125</v>
      </c>
      <c r="HC20" s="119">
        <f t="shared" si="28"/>
        <v>53304.281818390125</v>
      </c>
      <c r="HD20" s="119">
        <f t="shared" si="28"/>
        <v>53304.281818390125</v>
      </c>
      <c r="HE20" s="119">
        <f t="shared" si="28"/>
        <v>51182.386504270056</v>
      </c>
      <c r="HF20" s="119">
        <f t="shared" si="28"/>
        <v>51182.386504270056</v>
      </c>
      <c r="HG20" s="119">
        <f t="shared" si="28"/>
        <v>51182.386504270056</v>
      </c>
      <c r="HH20" s="119">
        <f t="shared" si="28"/>
        <v>51182.386504270056</v>
      </c>
      <c r="HI20" s="119">
        <f t="shared" si="28"/>
        <v>51182.386504270056</v>
      </c>
      <c r="HJ20" s="119">
        <f t="shared" si="28"/>
        <v>47930.135742441162</v>
      </c>
    </row>
    <row r="21" spans="17:218" x14ac:dyDescent="0.25">
      <c r="Q21" s="37">
        <v>2030</v>
      </c>
      <c r="R21" s="135">
        <v>2E-3</v>
      </c>
      <c r="S21" s="128">
        <f>1-SUM(R21,T21:W21)</f>
        <v>0.41700000000000004</v>
      </c>
      <c r="T21" s="128">
        <v>0</v>
      </c>
      <c r="U21" s="128">
        <v>0.17899999999999999</v>
      </c>
      <c r="V21" s="128">
        <v>2E-3</v>
      </c>
      <c r="W21" s="128">
        <v>0.4</v>
      </c>
      <c r="X21" s="134">
        <f t="shared" si="29"/>
        <v>1</v>
      </c>
      <c r="Z21" s="83" t="s">
        <v>199</v>
      </c>
      <c r="AA21" s="114">
        <f>'US Grid mix, emissions&amp;prices'!O73</f>
        <v>106113</v>
      </c>
      <c r="AB21" s="116">
        <f t="shared" si="20"/>
        <v>106113</v>
      </c>
      <c r="AC21" s="116">
        <f t="shared" si="20"/>
        <v>93325.72970306949</v>
      </c>
      <c r="AD21" s="116">
        <f t="shared" si="20"/>
        <v>93325.72970306949</v>
      </c>
      <c r="AE21" s="116">
        <f t="shared" si="20"/>
        <v>93325.72970306949</v>
      </c>
      <c r="AF21" s="116">
        <f t="shared" si="20"/>
        <v>93325.72970306949</v>
      </c>
      <c r="AG21" s="116">
        <f t="shared" si="20"/>
        <v>93325.72970306949</v>
      </c>
      <c r="AH21" s="116">
        <f t="shared" si="20"/>
        <v>56073.615416034088</v>
      </c>
      <c r="AI21" s="116">
        <f t="shared" si="20"/>
        <v>56073.615416034088</v>
      </c>
      <c r="AJ21" s="116">
        <f t="shared" si="20"/>
        <v>56073.615416034088</v>
      </c>
      <c r="AK21" s="116">
        <f t="shared" si="20"/>
        <v>56073.615416034088</v>
      </c>
      <c r="AL21" s="116">
        <f t="shared" si="20"/>
        <v>56073.615416034088</v>
      </c>
      <c r="AM21" s="116">
        <f t="shared" si="20"/>
        <v>58679.807808201229</v>
      </c>
      <c r="AN21" s="116">
        <f t="shared" si="20"/>
        <v>58679.807808201229</v>
      </c>
      <c r="AO21" s="116">
        <f t="shared" si="20"/>
        <v>58679.807808201229</v>
      </c>
      <c r="AP21" s="116">
        <f t="shared" si="20"/>
        <v>58679.807808201229</v>
      </c>
      <c r="AQ21" s="116">
        <f t="shared" si="20"/>
        <v>58679.807808201229</v>
      </c>
      <c r="AR21" s="116">
        <f t="shared" si="22"/>
        <v>61340.789936883957</v>
      </c>
      <c r="AS21" s="116">
        <f t="shared" si="22"/>
        <v>61340.789936883957</v>
      </c>
      <c r="AT21" s="116">
        <f t="shared" si="22"/>
        <v>61340.789936883957</v>
      </c>
      <c r="AU21" s="116">
        <f t="shared" si="22"/>
        <v>61340.789936883957</v>
      </c>
      <c r="AV21" s="116">
        <f t="shared" si="22"/>
        <v>61340.789936883957</v>
      </c>
      <c r="AW21" s="116">
        <f t="shared" si="22"/>
        <v>62686.818389192442</v>
      </c>
      <c r="AX21" s="116">
        <f t="shared" si="22"/>
        <v>62686.818389192442</v>
      </c>
      <c r="AY21" s="116">
        <f t="shared" si="22"/>
        <v>62686.818389192442</v>
      </c>
      <c r="AZ21" s="116">
        <f t="shared" si="22"/>
        <v>62686.818389192442</v>
      </c>
      <c r="BA21" s="116">
        <f t="shared" si="22"/>
        <v>62686.818389192442</v>
      </c>
      <c r="BB21" s="116">
        <f t="shared" si="22"/>
        <v>62771.865144380827</v>
      </c>
      <c r="BM21" s="123" t="s">
        <v>199</v>
      </c>
      <c r="BN21" s="103">
        <f t="shared" si="23"/>
        <v>106113</v>
      </c>
      <c r="BO21" s="119">
        <f t="shared" si="10"/>
        <v>106113</v>
      </c>
      <c r="BP21" s="119">
        <f t="shared" si="10"/>
        <v>93203.883871116894</v>
      </c>
      <c r="BQ21" s="119">
        <f t="shared" si="10"/>
        <v>93203.883871116894</v>
      </c>
      <c r="BR21" s="119">
        <f t="shared" si="10"/>
        <v>93203.883871116894</v>
      </c>
      <c r="BS21" s="119">
        <f t="shared" si="10"/>
        <v>93203.883871116894</v>
      </c>
      <c r="BT21" s="119">
        <f t="shared" si="10"/>
        <v>93203.883871116894</v>
      </c>
      <c r="BU21" s="119">
        <f t="shared" si="10"/>
        <v>105652.60266181672</v>
      </c>
      <c r="BV21" s="119">
        <f t="shared" si="10"/>
        <v>105652.60266181672</v>
      </c>
      <c r="BW21" s="119">
        <f t="shared" si="10"/>
        <v>105652.60266181672</v>
      </c>
      <c r="BX21" s="119">
        <f t="shared" si="10"/>
        <v>105652.60266181672</v>
      </c>
      <c r="BY21" s="119">
        <f t="shared" si="10"/>
        <v>105652.60266181672</v>
      </c>
      <c r="BZ21" s="119">
        <f t="shared" si="10"/>
        <v>108193.37447306971</v>
      </c>
      <c r="CA21" s="119">
        <f t="shared" si="10"/>
        <v>108193.37447306971</v>
      </c>
      <c r="CB21" s="119">
        <f t="shared" si="10"/>
        <v>108193.37447306971</v>
      </c>
      <c r="CC21" s="119">
        <f t="shared" si="10"/>
        <v>108193.37447306971</v>
      </c>
      <c r="CD21" s="119">
        <f t="shared" si="10"/>
        <v>108193.37447306971</v>
      </c>
      <c r="CE21" s="119">
        <f t="shared" si="24"/>
        <v>110867.44071793529</v>
      </c>
      <c r="CF21" s="119">
        <f t="shared" si="24"/>
        <v>110867.44071793529</v>
      </c>
      <c r="CG21" s="119">
        <f t="shared" si="24"/>
        <v>110867.44071793529</v>
      </c>
      <c r="CH21" s="119">
        <f t="shared" si="24"/>
        <v>110867.44071793529</v>
      </c>
      <c r="CI21" s="119">
        <f t="shared" si="24"/>
        <v>110867.44071793529</v>
      </c>
      <c r="CJ21" s="119">
        <f t="shared" si="24"/>
        <v>111502.02035280247</v>
      </c>
      <c r="CK21" s="119">
        <f t="shared" si="24"/>
        <v>111502.02035280247</v>
      </c>
      <c r="CL21" s="119">
        <f t="shared" si="24"/>
        <v>111502.02035280247</v>
      </c>
      <c r="CM21" s="119">
        <f t="shared" si="24"/>
        <v>111502.02035280247</v>
      </c>
      <c r="CN21" s="119">
        <f t="shared" si="24"/>
        <v>111502.02035280247</v>
      </c>
      <c r="CO21" s="119">
        <f t="shared" si="24"/>
        <v>112260.08133414508</v>
      </c>
      <c r="CR21" s="123" t="s">
        <v>199</v>
      </c>
      <c r="CS21" s="103">
        <f t="shared" si="11"/>
        <v>128474.57231371521</v>
      </c>
      <c r="CT21" s="119">
        <f t="shared" si="12"/>
        <v>128474.57231371522</v>
      </c>
      <c r="CU21" s="119">
        <f t="shared" si="12"/>
        <v>128474.57231371522</v>
      </c>
      <c r="CV21" s="119">
        <f t="shared" si="12"/>
        <v>128474.57231371522</v>
      </c>
      <c r="CW21" s="119">
        <f t="shared" si="12"/>
        <v>128474.57231371522</v>
      </c>
      <c r="CX21" s="119">
        <f t="shared" si="12"/>
        <v>128474.57231371522</v>
      </c>
      <c r="CY21" s="119">
        <f t="shared" si="12"/>
        <v>128474.57231371522</v>
      </c>
      <c r="CZ21" s="119">
        <f t="shared" si="12"/>
        <v>128503.19381786515</v>
      </c>
      <c r="DA21" s="119">
        <f t="shared" si="12"/>
        <v>128503.19381786515</v>
      </c>
      <c r="DB21" s="119">
        <f t="shared" si="12"/>
        <v>128503.19381786515</v>
      </c>
      <c r="DC21" s="119">
        <f t="shared" si="12"/>
        <v>128503.19381786515</v>
      </c>
      <c r="DD21" s="119">
        <f t="shared" si="12"/>
        <v>128503.19381786515</v>
      </c>
      <c r="DE21" s="119">
        <f t="shared" si="12"/>
        <v>128486.83867263663</v>
      </c>
      <c r="DF21" s="119">
        <f t="shared" si="12"/>
        <v>128486.83867263663</v>
      </c>
      <c r="DG21" s="119">
        <f t="shared" si="12"/>
        <v>128486.83867263663</v>
      </c>
      <c r="DH21" s="119">
        <f t="shared" si="12"/>
        <v>128486.83867263663</v>
      </c>
      <c r="DI21" s="119">
        <f t="shared" si="12"/>
        <v>128486.83867263663</v>
      </c>
      <c r="DJ21" s="119">
        <f t="shared" si="25"/>
        <v>128482.74988632947</v>
      </c>
      <c r="DK21" s="119">
        <f t="shared" si="25"/>
        <v>128482.74988632947</v>
      </c>
      <c r="DL21" s="119">
        <f t="shared" si="25"/>
        <v>128482.74988632947</v>
      </c>
      <c r="DM21" s="119">
        <f t="shared" si="25"/>
        <v>128482.74988632947</v>
      </c>
      <c r="DN21" s="119">
        <f t="shared" si="25"/>
        <v>128482.74988632947</v>
      </c>
      <c r="DO21" s="119">
        <f t="shared" si="25"/>
        <v>128403.4274319711</v>
      </c>
      <c r="DP21" s="119">
        <f t="shared" si="25"/>
        <v>128403.4274319711</v>
      </c>
      <c r="DQ21" s="119">
        <f t="shared" si="25"/>
        <v>128403.4274319711</v>
      </c>
      <c r="DR21" s="119">
        <f t="shared" si="25"/>
        <v>128403.4274319711</v>
      </c>
      <c r="DS21" s="119">
        <f t="shared" si="25"/>
        <v>128403.4274319711</v>
      </c>
      <c r="DT21" s="93">
        <f t="shared" si="25"/>
        <v>128469.66577014666</v>
      </c>
      <c r="DW21" s="123" t="s">
        <v>199</v>
      </c>
      <c r="DX21" s="103">
        <f t="shared" si="13"/>
        <v>134488.35574813315</v>
      </c>
      <c r="DY21" s="119">
        <f t="shared" si="14"/>
        <v>134488.35574813315</v>
      </c>
      <c r="DZ21" s="119">
        <f t="shared" si="14"/>
        <v>117892.53126217439</v>
      </c>
      <c r="EA21" s="119">
        <f t="shared" si="14"/>
        <v>117892.53126217439</v>
      </c>
      <c r="EB21" s="119">
        <f t="shared" si="14"/>
        <v>117892.53126217439</v>
      </c>
      <c r="EC21" s="119">
        <f t="shared" si="14"/>
        <v>117892.53126217439</v>
      </c>
      <c r="ED21" s="119">
        <f t="shared" si="14"/>
        <v>117892.53126217439</v>
      </c>
      <c r="EE21" s="119">
        <f t="shared" si="14"/>
        <v>72661.434387306246</v>
      </c>
      <c r="EF21" s="119">
        <f t="shared" si="14"/>
        <v>72661.434387306246</v>
      </c>
      <c r="EG21" s="119">
        <f t="shared" si="14"/>
        <v>72661.434387306246</v>
      </c>
      <c r="EH21" s="119">
        <f t="shared" si="14"/>
        <v>72661.434387306246</v>
      </c>
      <c r="EI21" s="119">
        <f t="shared" si="14"/>
        <v>72661.434387306246</v>
      </c>
      <c r="EJ21" s="119">
        <f t="shared" si="14"/>
        <v>64895.1984209621</v>
      </c>
      <c r="EK21" s="119">
        <f t="shared" si="14"/>
        <v>64895.1984209621</v>
      </c>
      <c r="EL21" s="119">
        <f t="shared" si="14"/>
        <v>64895.1984209621</v>
      </c>
      <c r="EM21" s="119">
        <f t="shared" si="14"/>
        <v>64895.1984209621</v>
      </c>
      <c r="EN21" s="119">
        <f t="shared" si="14"/>
        <v>64895.1984209621</v>
      </c>
      <c r="EO21" s="119">
        <f t="shared" si="26"/>
        <v>62852.650639400657</v>
      </c>
      <c r="EP21" s="119">
        <f t="shared" si="26"/>
        <v>62852.650639400657</v>
      </c>
      <c r="EQ21" s="119">
        <f t="shared" si="26"/>
        <v>62852.650639400657</v>
      </c>
      <c r="ER21" s="119">
        <f t="shared" si="26"/>
        <v>62852.650639400657</v>
      </c>
      <c r="ES21" s="119">
        <f t="shared" si="26"/>
        <v>62852.650639400657</v>
      </c>
      <c r="ET21" s="119">
        <f t="shared" si="26"/>
        <v>60519.017522027752</v>
      </c>
      <c r="EU21" s="119">
        <f t="shared" si="26"/>
        <v>60519.017522027752</v>
      </c>
      <c r="EV21" s="119">
        <f t="shared" si="26"/>
        <v>60519.017522027752</v>
      </c>
      <c r="EW21" s="119">
        <f t="shared" si="26"/>
        <v>60519.017522027752</v>
      </c>
      <c r="EX21" s="119">
        <f t="shared" si="26"/>
        <v>60519.017522027752</v>
      </c>
      <c r="EY21" s="119">
        <f t="shared" si="26"/>
        <v>56859.659014683544</v>
      </c>
      <c r="FB21" s="123" t="s">
        <v>199</v>
      </c>
      <c r="FC21" s="103">
        <f t="shared" si="15"/>
        <v>145872.36660241985</v>
      </c>
      <c r="FD21" s="119">
        <f t="shared" si="16"/>
        <v>145872.36660241985</v>
      </c>
      <c r="FE21" s="119">
        <f t="shared" si="16"/>
        <v>127390.42795074391</v>
      </c>
      <c r="FF21" s="119">
        <f t="shared" si="16"/>
        <v>127390.42795074391</v>
      </c>
      <c r="FG21" s="119">
        <f t="shared" si="16"/>
        <v>127390.42795074391</v>
      </c>
      <c r="FH21" s="119">
        <f t="shared" si="16"/>
        <v>127390.42795074391</v>
      </c>
      <c r="FI21" s="119">
        <f t="shared" si="16"/>
        <v>127390.42795074391</v>
      </c>
      <c r="FJ21" s="119">
        <f t="shared" si="16"/>
        <v>79940.547954945461</v>
      </c>
      <c r="FK21" s="119">
        <f t="shared" si="16"/>
        <v>79940.547954945461</v>
      </c>
      <c r="FL21" s="119">
        <f t="shared" si="16"/>
        <v>79940.547954945461</v>
      </c>
      <c r="FM21" s="119">
        <f t="shared" si="16"/>
        <v>79940.547954945461</v>
      </c>
      <c r="FN21" s="119">
        <f t="shared" si="16"/>
        <v>79940.547954945461</v>
      </c>
      <c r="FO21" s="119">
        <f t="shared" si="16"/>
        <v>70983.238318597243</v>
      </c>
      <c r="FP21" s="119">
        <f t="shared" si="16"/>
        <v>70983.238318597243</v>
      </c>
      <c r="FQ21" s="119">
        <f t="shared" si="16"/>
        <v>70983.238318597243</v>
      </c>
      <c r="FR21" s="119">
        <f t="shared" si="16"/>
        <v>70983.238318597243</v>
      </c>
      <c r="FS21" s="119">
        <f t="shared" si="16"/>
        <v>70983.238318597243</v>
      </c>
      <c r="FT21" s="119">
        <f t="shared" si="27"/>
        <v>69176.331046978419</v>
      </c>
      <c r="FU21" s="119">
        <f t="shared" si="27"/>
        <v>69176.331046978419</v>
      </c>
      <c r="FV21" s="119">
        <f t="shared" si="27"/>
        <v>69176.331046978419</v>
      </c>
      <c r="FW21" s="119">
        <f t="shared" si="27"/>
        <v>69176.331046978419</v>
      </c>
      <c r="FX21" s="119">
        <f t="shared" si="27"/>
        <v>69176.331046978419</v>
      </c>
      <c r="FY21" s="119">
        <f t="shared" si="27"/>
        <v>66837.747498724362</v>
      </c>
      <c r="FZ21" s="119">
        <f t="shared" si="27"/>
        <v>66837.747498724362</v>
      </c>
      <c r="GA21" s="119">
        <f t="shared" si="27"/>
        <v>66837.747498724362</v>
      </c>
      <c r="GB21" s="119">
        <f t="shared" si="27"/>
        <v>66837.747498724362</v>
      </c>
      <c r="GC21" s="119">
        <f t="shared" si="27"/>
        <v>66837.747498724362</v>
      </c>
      <c r="GD21" s="119">
        <f t="shared" si="27"/>
        <v>63051.657960822777</v>
      </c>
      <c r="GH21" s="123" t="s">
        <v>199</v>
      </c>
      <c r="GI21" s="103">
        <f t="shared" si="17"/>
        <v>126739.94133296114</v>
      </c>
      <c r="GJ21" s="119">
        <f t="shared" si="18"/>
        <v>126739.94133296114</v>
      </c>
      <c r="GK21" s="119">
        <f t="shared" si="18"/>
        <v>111428.25861757204</v>
      </c>
      <c r="GL21" s="119">
        <f t="shared" si="18"/>
        <v>111428.25861757204</v>
      </c>
      <c r="GM21" s="119">
        <f t="shared" si="18"/>
        <v>111428.25861757204</v>
      </c>
      <c r="GN21" s="119">
        <f t="shared" si="18"/>
        <v>111428.25861757204</v>
      </c>
      <c r="GO21" s="119">
        <f t="shared" si="18"/>
        <v>111428.25861757204</v>
      </c>
      <c r="GP21" s="119">
        <f t="shared" si="18"/>
        <v>67707.043161453868</v>
      </c>
      <c r="GQ21" s="119">
        <f t="shared" si="18"/>
        <v>67707.043161453868</v>
      </c>
      <c r="GR21" s="119">
        <f t="shared" si="18"/>
        <v>67707.043161453868</v>
      </c>
      <c r="GS21" s="119">
        <f t="shared" si="18"/>
        <v>67707.043161453868</v>
      </c>
      <c r="GT21" s="119">
        <f t="shared" si="18"/>
        <v>67707.043161453868</v>
      </c>
      <c r="GU21" s="119">
        <f t="shared" si="18"/>
        <v>60751.687773441678</v>
      </c>
      <c r="GV21" s="119">
        <f t="shared" si="18"/>
        <v>60751.687773441678</v>
      </c>
      <c r="GW21" s="119">
        <f t="shared" si="18"/>
        <v>60751.687773441678</v>
      </c>
      <c r="GX21" s="119">
        <f t="shared" si="18"/>
        <v>60751.687773441678</v>
      </c>
      <c r="GY21" s="119">
        <f t="shared" si="18"/>
        <v>60751.687773441678</v>
      </c>
      <c r="GZ21" s="119">
        <f t="shared" si="28"/>
        <v>58548.746031331058</v>
      </c>
      <c r="HA21" s="119">
        <f t="shared" si="28"/>
        <v>58548.746031331058</v>
      </c>
      <c r="HB21" s="119">
        <f t="shared" si="28"/>
        <v>58548.746031331058</v>
      </c>
      <c r="HC21" s="119">
        <f t="shared" si="28"/>
        <v>58548.746031331058</v>
      </c>
      <c r="HD21" s="119">
        <f t="shared" si="28"/>
        <v>58548.746031331058</v>
      </c>
      <c r="HE21" s="119">
        <f t="shared" si="28"/>
        <v>56218.083172486833</v>
      </c>
      <c r="HF21" s="119">
        <f t="shared" si="28"/>
        <v>56218.083172486833</v>
      </c>
      <c r="HG21" s="119">
        <f t="shared" si="28"/>
        <v>56218.083172486833</v>
      </c>
      <c r="HH21" s="119">
        <f t="shared" si="28"/>
        <v>56218.083172486833</v>
      </c>
      <c r="HI21" s="119">
        <f t="shared" si="28"/>
        <v>56218.083172486833</v>
      </c>
      <c r="HJ21" s="119">
        <f t="shared" si="28"/>
        <v>52645.852248650823</v>
      </c>
    </row>
    <row r="22" spans="17:218" x14ac:dyDescent="0.25">
      <c r="Q22" s="37">
        <v>2035</v>
      </c>
      <c r="R22" s="135">
        <v>2E-3</v>
      </c>
      <c r="S22" s="128">
        <f>1-SUM(R22,T22:W22)</f>
        <v>0.43699999999999994</v>
      </c>
      <c r="T22" s="128">
        <v>0</v>
      </c>
      <c r="U22" s="128">
        <v>0.159</v>
      </c>
      <c r="V22" s="128">
        <v>2E-3</v>
      </c>
      <c r="W22" s="128">
        <v>0.4</v>
      </c>
      <c r="X22" s="134">
        <f t="shared" si="29"/>
        <v>1</v>
      </c>
      <c r="Z22" s="83" t="s">
        <v>157</v>
      </c>
      <c r="AA22" s="114">
        <f>'US Grid mix, emissions&amp;prices'!O74</f>
        <v>261397</v>
      </c>
      <c r="AB22" s="116">
        <f t="shared" si="20"/>
        <v>261397</v>
      </c>
      <c r="AC22" s="116">
        <f t="shared" si="20"/>
        <v>229897.05094751119</v>
      </c>
      <c r="AD22" s="116">
        <f t="shared" si="20"/>
        <v>229897.05094751119</v>
      </c>
      <c r="AE22" s="116">
        <f t="shared" si="20"/>
        <v>229897.05094751119</v>
      </c>
      <c r="AF22" s="116">
        <f t="shared" si="20"/>
        <v>229897.05094751119</v>
      </c>
      <c r="AG22" s="116">
        <f t="shared" si="20"/>
        <v>229897.05094751119</v>
      </c>
      <c r="AH22" s="116">
        <f t="shared" si="20"/>
        <v>138130.81195428516</v>
      </c>
      <c r="AI22" s="116">
        <f t="shared" si="20"/>
        <v>138130.81195428516</v>
      </c>
      <c r="AJ22" s="116">
        <f t="shared" si="20"/>
        <v>138130.81195428516</v>
      </c>
      <c r="AK22" s="116">
        <f t="shared" si="20"/>
        <v>138130.81195428516</v>
      </c>
      <c r="AL22" s="116">
        <f t="shared" si="20"/>
        <v>138130.81195428516</v>
      </c>
      <c r="AM22" s="116">
        <f t="shared" si="20"/>
        <v>144550.86296344819</v>
      </c>
      <c r="AN22" s="116">
        <f t="shared" si="20"/>
        <v>144550.86296344819</v>
      </c>
      <c r="AO22" s="116">
        <f t="shared" si="20"/>
        <v>144550.86296344819</v>
      </c>
      <c r="AP22" s="116">
        <f t="shared" si="20"/>
        <v>144550.86296344819</v>
      </c>
      <c r="AQ22" s="116">
        <f t="shared" si="20"/>
        <v>144550.86296344819</v>
      </c>
      <c r="AR22" s="116">
        <f t="shared" si="22"/>
        <v>151105.88209862745</v>
      </c>
      <c r="AS22" s="116">
        <f t="shared" si="22"/>
        <v>151105.88209862745</v>
      </c>
      <c r="AT22" s="116">
        <f t="shared" si="22"/>
        <v>151105.88209862745</v>
      </c>
      <c r="AU22" s="116">
        <f t="shared" si="22"/>
        <v>151105.88209862745</v>
      </c>
      <c r="AV22" s="116">
        <f t="shared" si="22"/>
        <v>151105.88209862745</v>
      </c>
      <c r="AW22" s="116">
        <f t="shared" si="22"/>
        <v>154421.66620941577</v>
      </c>
      <c r="AX22" s="116">
        <f t="shared" si="22"/>
        <v>154421.66620941577</v>
      </c>
      <c r="AY22" s="116">
        <f t="shared" si="22"/>
        <v>154421.66620941577</v>
      </c>
      <c r="AZ22" s="116">
        <f t="shared" si="22"/>
        <v>154421.66620941577</v>
      </c>
      <c r="BA22" s="116">
        <f t="shared" si="22"/>
        <v>154421.66620941577</v>
      </c>
      <c r="BB22" s="116">
        <f t="shared" si="22"/>
        <v>154631.16897218733</v>
      </c>
      <c r="BM22" s="123" t="s">
        <v>157</v>
      </c>
      <c r="BN22" s="103">
        <f t="shared" si="23"/>
        <v>261397</v>
      </c>
      <c r="BO22" s="119">
        <f t="shared" si="10"/>
        <v>261397</v>
      </c>
      <c r="BP22" s="119">
        <f t="shared" si="10"/>
        <v>229596.8979508481</v>
      </c>
      <c r="BQ22" s="119">
        <f t="shared" si="10"/>
        <v>229596.8979508481</v>
      </c>
      <c r="BR22" s="119">
        <f t="shared" si="10"/>
        <v>229596.8979508481</v>
      </c>
      <c r="BS22" s="119">
        <f t="shared" si="10"/>
        <v>229596.8979508481</v>
      </c>
      <c r="BT22" s="119">
        <f t="shared" si="10"/>
        <v>229596.8979508481</v>
      </c>
      <c r="BU22" s="119">
        <f t="shared" si="10"/>
        <v>260262.86485153474</v>
      </c>
      <c r="BV22" s="119">
        <f t="shared" si="10"/>
        <v>260262.86485153474</v>
      </c>
      <c r="BW22" s="119">
        <f t="shared" si="10"/>
        <v>260262.86485153474</v>
      </c>
      <c r="BX22" s="119">
        <f t="shared" si="10"/>
        <v>260262.86485153474</v>
      </c>
      <c r="BY22" s="119">
        <f t="shared" si="10"/>
        <v>260262.86485153474</v>
      </c>
      <c r="BZ22" s="119">
        <f t="shared" si="10"/>
        <v>266521.75988933496</v>
      </c>
      <c r="CA22" s="119">
        <f t="shared" si="10"/>
        <v>266521.75988933496</v>
      </c>
      <c r="CB22" s="119">
        <f t="shared" si="10"/>
        <v>266521.75988933496</v>
      </c>
      <c r="CC22" s="119">
        <f t="shared" si="10"/>
        <v>266521.75988933496</v>
      </c>
      <c r="CD22" s="119">
        <f t="shared" si="10"/>
        <v>266521.75988933496</v>
      </c>
      <c r="CE22" s="119">
        <f t="shared" si="24"/>
        <v>273109.01021878683</v>
      </c>
      <c r="CF22" s="119">
        <f t="shared" si="24"/>
        <v>273109.01021878683</v>
      </c>
      <c r="CG22" s="119">
        <f t="shared" si="24"/>
        <v>273109.01021878683</v>
      </c>
      <c r="CH22" s="119">
        <f t="shared" si="24"/>
        <v>273109.01021878683</v>
      </c>
      <c r="CI22" s="119">
        <f t="shared" si="24"/>
        <v>273109.01021878683</v>
      </c>
      <c r="CJ22" s="119">
        <f t="shared" si="24"/>
        <v>274672.22314100538</v>
      </c>
      <c r="CK22" s="119">
        <f t="shared" si="24"/>
        <v>274672.22314100538</v>
      </c>
      <c r="CL22" s="119">
        <f t="shared" si="24"/>
        <v>274672.22314100538</v>
      </c>
      <c r="CM22" s="119">
        <f t="shared" si="24"/>
        <v>274672.22314100538</v>
      </c>
      <c r="CN22" s="119">
        <f t="shared" si="24"/>
        <v>274672.22314100538</v>
      </c>
      <c r="CO22" s="119">
        <f t="shared" si="24"/>
        <v>276539.61795917107</v>
      </c>
      <c r="CR22" s="123" t="s">
        <v>157</v>
      </c>
      <c r="CS22" s="103">
        <f t="shared" si="11"/>
        <v>316482.12546142522</v>
      </c>
      <c r="CT22" s="119">
        <f t="shared" si="12"/>
        <v>316482.12546142522</v>
      </c>
      <c r="CU22" s="119">
        <f t="shared" si="12"/>
        <v>316482.12546142522</v>
      </c>
      <c r="CV22" s="119">
        <f t="shared" si="12"/>
        <v>316482.12546142522</v>
      </c>
      <c r="CW22" s="119">
        <f t="shared" si="12"/>
        <v>316482.12546142522</v>
      </c>
      <c r="CX22" s="119">
        <f t="shared" si="12"/>
        <v>316482.12546142522</v>
      </c>
      <c r="CY22" s="119">
        <f t="shared" si="12"/>
        <v>316482.12546142522</v>
      </c>
      <c r="CZ22" s="119">
        <f t="shared" si="12"/>
        <v>316552.63119889644</v>
      </c>
      <c r="DA22" s="119">
        <f t="shared" si="12"/>
        <v>316552.63119889644</v>
      </c>
      <c r="DB22" s="119">
        <f t="shared" si="12"/>
        <v>316552.63119889644</v>
      </c>
      <c r="DC22" s="119">
        <f t="shared" si="12"/>
        <v>316552.63119889644</v>
      </c>
      <c r="DD22" s="119">
        <f t="shared" si="12"/>
        <v>316552.63119889644</v>
      </c>
      <c r="DE22" s="119">
        <f t="shared" si="12"/>
        <v>316512.34220605576</v>
      </c>
      <c r="DF22" s="119">
        <f t="shared" si="12"/>
        <v>316512.34220605576</v>
      </c>
      <c r="DG22" s="119">
        <f t="shared" si="12"/>
        <v>316512.34220605576</v>
      </c>
      <c r="DH22" s="119">
        <f t="shared" si="12"/>
        <v>316512.34220605576</v>
      </c>
      <c r="DI22" s="119">
        <f t="shared" si="12"/>
        <v>316512.34220605576</v>
      </c>
      <c r="DJ22" s="119">
        <f t="shared" si="25"/>
        <v>316502.26995784556</v>
      </c>
      <c r="DK22" s="119">
        <f t="shared" si="25"/>
        <v>316502.26995784556</v>
      </c>
      <c r="DL22" s="119">
        <f t="shared" si="25"/>
        <v>316502.26995784556</v>
      </c>
      <c r="DM22" s="119">
        <f t="shared" si="25"/>
        <v>316502.26995784556</v>
      </c>
      <c r="DN22" s="119">
        <f t="shared" si="25"/>
        <v>316502.26995784556</v>
      </c>
      <c r="DO22" s="119">
        <f t="shared" si="25"/>
        <v>316306.86834256828</v>
      </c>
      <c r="DP22" s="119">
        <f t="shared" si="25"/>
        <v>316306.86834256828</v>
      </c>
      <c r="DQ22" s="119">
        <f t="shared" si="25"/>
        <v>316306.86834256828</v>
      </c>
      <c r="DR22" s="119">
        <f t="shared" si="25"/>
        <v>316306.86834256828</v>
      </c>
      <c r="DS22" s="119">
        <f t="shared" si="25"/>
        <v>316306.86834256828</v>
      </c>
      <c r="DT22" s="93">
        <f t="shared" si="25"/>
        <v>316470.03876357304</v>
      </c>
      <c r="DW22" s="123" t="s">
        <v>157</v>
      </c>
      <c r="DX22" s="103">
        <f t="shared" si="13"/>
        <v>331296.3795905757</v>
      </c>
      <c r="DY22" s="119">
        <f t="shared" si="14"/>
        <v>331296.3795905757</v>
      </c>
      <c r="DZ22" s="119">
        <f t="shared" si="14"/>
        <v>290414.5014686099</v>
      </c>
      <c r="EA22" s="119">
        <f t="shared" si="14"/>
        <v>290414.5014686099</v>
      </c>
      <c r="EB22" s="119">
        <f t="shared" si="14"/>
        <v>290414.5014686099</v>
      </c>
      <c r="EC22" s="119">
        <f t="shared" si="14"/>
        <v>290414.5014686099</v>
      </c>
      <c r="ED22" s="119">
        <f t="shared" si="14"/>
        <v>290414.5014686099</v>
      </c>
      <c r="EE22" s="119">
        <f t="shared" si="14"/>
        <v>178992.96942446908</v>
      </c>
      <c r="EF22" s="119">
        <f t="shared" si="14"/>
        <v>178992.96942446908</v>
      </c>
      <c r="EG22" s="119">
        <f t="shared" si="14"/>
        <v>178992.96942446908</v>
      </c>
      <c r="EH22" s="119">
        <f t="shared" si="14"/>
        <v>178992.96942446908</v>
      </c>
      <c r="EI22" s="119">
        <f t="shared" si="14"/>
        <v>178992.96942446908</v>
      </c>
      <c r="EJ22" s="119">
        <f t="shared" si="14"/>
        <v>159861.7528638737</v>
      </c>
      <c r="EK22" s="119">
        <f t="shared" si="14"/>
        <v>159861.7528638737</v>
      </c>
      <c r="EL22" s="119">
        <f t="shared" si="14"/>
        <v>159861.7528638737</v>
      </c>
      <c r="EM22" s="119">
        <f t="shared" si="14"/>
        <v>159861.7528638737</v>
      </c>
      <c r="EN22" s="119">
        <f t="shared" si="14"/>
        <v>159861.7528638737</v>
      </c>
      <c r="EO22" s="119">
        <f t="shared" si="26"/>
        <v>154830.17461750598</v>
      </c>
      <c r="EP22" s="119">
        <f t="shared" si="26"/>
        <v>154830.17461750598</v>
      </c>
      <c r="EQ22" s="119">
        <f t="shared" si="26"/>
        <v>154830.17461750598</v>
      </c>
      <c r="ER22" s="119">
        <f t="shared" si="26"/>
        <v>154830.17461750598</v>
      </c>
      <c r="ES22" s="119">
        <f t="shared" si="26"/>
        <v>154830.17461750598</v>
      </c>
      <c r="ET22" s="119">
        <f t="shared" si="26"/>
        <v>149081.54159438983</v>
      </c>
      <c r="EU22" s="119">
        <f t="shared" si="26"/>
        <v>149081.54159438983</v>
      </c>
      <c r="EV22" s="119">
        <f t="shared" si="26"/>
        <v>149081.54159438983</v>
      </c>
      <c r="EW22" s="119">
        <f t="shared" si="26"/>
        <v>149081.54159438983</v>
      </c>
      <c r="EX22" s="119">
        <f t="shared" si="26"/>
        <v>149081.54159438983</v>
      </c>
      <c r="EY22" s="119">
        <f t="shared" si="26"/>
        <v>140067.1386866947</v>
      </c>
      <c r="FB22" s="123" t="s">
        <v>157</v>
      </c>
      <c r="FC22" s="103">
        <f t="shared" si="15"/>
        <v>359339.56266218791</v>
      </c>
      <c r="FD22" s="119">
        <f t="shared" si="16"/>
        <v>359339.56266218791</v>
      </c>
      <c r="FE22" s="119">
        <f t="shared" si="16"/>
        <v>313811.46226231102</v>
      </c>
      <c r="FF22" s="119">
        <f t="shared" si="16"/>
        <v>313811.46226231102</v>
      </c>
      <c r="FG22" s="119">
        <f t="shared" si="16"/>
        <v>313811.46226231102</v>
      </c>
      <c r="FH22" s="119">
        <f t="shared" si="16"/>
        <v>313811.46226231102</v>
      </c>
      <c r="FI22" s="119">
        <f t="shared" si="16"/>
        <v>313811.46226231102</v>
      </c>
      <c r="FJ22" s="119">
        <f t="shared" si="16"/>
        <v>196924.21676683237</v>
      </c>
      <c r="FK22" s="119">
        <f t="shared" si="16"/>
        <v>196924.21676683237</v>
      </c>
      <c r="FL22" s="119">
        <f t="shared" si="16"/>
        <v>196924.21676683237</v>
      </c>
      <c r="FM22" s="119">
        <f t="shared" si="16"/>
        <v>196924.21676683237</v>
      </c>
      <c r="FN22" s="119">
        <f t="shared" si="16"/>
        <v>196924.21676683237</v>
      </c>
      <c r="FO22" s="119">
        <f t="shared" si="16"/>
        <v>174858.92912994983</v>
      </c>
      <c r="FP22" s="119">
        <f t="shared" si="16"/>
        <v>174858.92912994983</v>
      </c>
      <c r="FQ22" s="119">
        <f t="shared" si="16"/>
        <v>174858.92912994983</v>
      </c>
      <c r="FR22" s="119">
        <f t="shared" si="16"/>
        <v>174858.92912994983</v>
      </c>
      <c r="FS22" s="119">
        <f t="shared" si="16"/>
        <v>174858.92912994983</v>
      </c>
      <c r="FT22" s="119">
        <f t="shared" si="27"/>
        <v>170407.82379809281</v>
      </c>
      <c r="FU22" s="119">
        <f t="shared" si="27"/>
        <v>170407.82379809281</v>
      </c>
      <c r="FV22" s="119">
        <f t="shared" si="27"/>
        <v>170407.82379809281</v>
      </c>
      <c r="FW22" s="119">
        <f t="shared" si="27"/>
        <v>170407.82379809281</v>
      </c>
      <c r="FX22" s="119">
        <f t="shared" si="27"/>
        <v>170407.82379809281</v>
      </c>
      <c r="FY22" s="119">
        <f t="shared" si="27"/>
        <v>164646.99596584824</v>
      </c>
      <c r="FZ22" s="119">
        <f t="shared" si="27"/>
        <v>164646.99596584824</v>
      </c>
      <c r="GA22" s="119">
        <f t="shared" si="27"/>
        <v>164646.99596584824</v>
      </c>
      <c r="GB22" s="119">
        <f t="shared" si="27"/>
        <v>164646.99596584824</v>
      </c>
      <c r="GC22" s="119">
        <f t="shared" si="27"/>
        <v>164646.99596584824</v>
      </c>
      <c r="GD22" s="119">
        <f t="shared" si="27"/>
        <v>155320.40594446668</v>
      </c>
      <c r="GH22" s="123" t="s">
        <v>157</v>
      </c>
      <c r="GI22" s="103">
        <f t="shared" si="17"/>
        <v>312209.0643428425</v>
      </c>
      <c r="GJ22" s="119">
        <f t="shared" si="18"/>
        <v>312209.0643428425</v>
      </c>
      <c r="GK22" s="119">
        <f t="shared" si="18"/>
        <v>274490.51970877725</v>
      </c>
      <c r="GL22" s="119">
        <f t="shared" si="18"/>
        <v>274490.51970877725</v>
      </c>
      <c r="GM22" s="119">
        <f t="shared" si="18"/>
        <v>274490.51970877725</v>
      </c>
      <c r="GN22" s="119">
        <f t="shared" si="18"/>
        <v>274490.51970877725</v>
      </c>
      <c r="GO22" s="119">
        <f t="shared" si="18"/>
        <v>274490.51970877725</v>
      </c>
      <c r="GP22" s="119">
        <f t="shared" si="18"/>
        <v>166788.40444879097</v>
      </c>
      <c r="GQ22" s="119">
        <f t="shared" si="18"/>
        <v>166788.40444879097</v>
      </c>
      <c r="GR22" s="119">
        <f t="shared" si="18"/>
        <v>166788.40444879097</v>
      </c>
      <c r="GS22" s="119">
        <f t="shared" si="18"/>
        <v>166788.40444879097</v>
      </c>
      <c r="GT22" s="119">
        <f t="shared" si="18"/>
        <v>166788.40444879097</v>
      </c>
      <c r="GU22" s="119">
        <f t="shared" si="18"/>
        <v>149654.69762342348</v>
      </c>
      <c r="GV22" s="119">
        <f t="shared" si="18"/>
        <v>149654.69762342348</v>
      </c>
      <c r="GW22" s="119">
        <f t="shared" si="18"/>
        <v>149654.69762342348</v>
      </c>
      <c r="GX22" s="119">
        <f t="shared" si="18"/>
        <v>149654.69762342348</v>
      </c>
      <c r="GY22" s="119">
        <f t="shared" si="18"/>
        <v>149654.69762342348</v>
      </c>
      <c r="GZ22" s="119">
        <f t="shared" si="28"/>
        <v>144228.0075612964</v>
      </c>
      <c r="HA22" s="119">
        <f t="shared" si="28"/>
        <v>144228.0075612964</v>
      </c>
      <c r="HB22" s="119">
        <f t="shared" si="28"/>
        <v>144228.0075612964</v>
      </c>
      <c r="HC22" s="119">
        <f t="shared" si="28"/>
        <v>144228.0075612964</v>
      </c>
      <c r="HD22" s="119">
        <f t="shared" si="28"/>
        <v>144228.0075612964</v>
      </c>
      <c r="HE22" s="119">
        <f t="shared" si="28"/>
        <v>138486.69142365723</v>
      </c>
      <c r="HF22" s="119">
        <f t="shared" si="28"/>
        <v>138486.69142365723</v>
      </c>
      <c r="HG22" s="119">
        <f t="shared" si="28"/>
        <v>138486.69142365723</v>
      </c>
      <c r="HH22" s="119">
        <f t="shared" si="28"/>
        <v>138486.69142365723</v>
      </c>
      <c r="HI22" s="119">
        <f t="shared" si="28"/>
        <v>138486.69142365723</v>
      </c>
      <c r="HJ22" s="119">
        <f t="shared" si="28"/>
        <v>129686.91715662152</v>
      </c>
    </row>
    <row r="23" spans="17:218" x14ac:dyDescent="0.25">
      <c r="Q23" s="37">
        <v>2040</v>
      </c>
      <c r="R23" s="135">
        <v>1E-3</v>
      </c>
      <c r="S23" s="128">
        <f>1-SUM(R23,T23:W23)</f>
        <v>0.45999999999999996</v>
      </c>
      <c r="T23" s="128">
        <v>0</v>
      </c>
      <c r="U23" s="128">
        <v>0.13700000000000001</v>
      </c>
      <c r="V23" s="128">
        <v>2E-3</v>
      </c>
      <c r="W23" s="128">
        <v>0.4</v>
      </c>
      <c r="X23" s="134">
        <f t="shared" si="29"/>
        <v>1</v>
      </c>
      <c r="Z23" s="83" t="s">
        <v>200</v>
      </c>
      <c r="AA23" s="114">
        <f>'US Grid mix, emissions&amp;prices'!O75</f>
        <v>139578</v>
      </c>
      <c r="AB23" s="116">
        <f t="shared" si="20"/>
        <v>139578</v>
      </c>
      <c r="AC23" s="116">
        <f t="shared" si="20"/>
        <v>122757.99101424927</v>
      </c>
      <c r="AD23" s="116">
        <f t="shared" si="20"/>
        <v>122757.99101424927</v>
      </c>
      <c r="AE23" s="116">
        <f t="shared" si="20"/>
        <v>122757.99101424927</v>
      </c>
      <c r="AF23" s="116">
        <f t="shared" si="20"/>
        <v>122757.99101424927</v>
      </c>
      <c r="AG23" s="116">
        <f t="shared" si="20"/>
        <v>122757.99101424927</v>
      </c>
      <c r="AH23" s="116">
        <f t="shared" si="20"/>
        <v>73757.62717611609</v>
      </c>
      <c r="AI23" s="116">
        <f t="shared" si="20"/>
        <v>73757.62717611609</v>
      </c>
      <c r="AJ23" s="116">
        <f t="shared" si="20"/>
        <v>73757.62717611609</v>
      </c>
      <c r="AK23" s="116">
        <f t="shared" si="20"/>
        <v>73757.62717611609</v>
      </c>
      <c r="AL23" s="116">
        <f t="shared" si="20"/>
        <v>73757.62717611609</v>
      </c>
      <c r="AM23" s="116">
        <f t="shared" si="20"/>
        <v>77185.737979824436</v>
      </c>
      <c r="AN23" s="116">
        <f t="shared" si="20"/>
        <v>77185.737979824436</v>
      </c>
      <c r="AO23" s="116">
        <f t="shared" si="20"/>
        <v>77185.737979824436</v>
      </c>
      <c r="AP23" s="116">
        <f t="shared" si="20"/>
        <v>77185.737979824436</v>
      </c>
      <c r="AQ23" s="116">
        <f t="shared" si="20"/>
        <v>77185.737979824436</v>
      </c>
      <c r="AR23" s="116">
        <f t="shared" si="22"/>
        <v>80685.917633187157</v>
      </c>
      <c r="AS23" s="116">
        <f t="shared" si="22"/>
        <v>80685.917633187157</v>
      </c>
      <c r="AT23" s="116">
        <f t="shared" si="22"/>
        <v>80685.917633187157</v>
      </c>
      <c r="AU23" s="116">
        <f t="shared" si="22"/>
        <v>80685.917633187157</v>
      </c>
      <c r="AV23" s="116">
        <f t="shared" si="22"/>
        <v>80685.917633187157</v>
      </c>
      <c r="AW23" s="116">
        <f t="shared" si="22"/>
        <v>82456.444894845132</v>
      </c>
      <c r="AX23" s="116">
        <f t="shared" si="22"/>
        <v>82456.444894845132</v>
      </c>
      <c r="AY23" s="116">
        <f t="shared" si="22"/>
        <v>82456.444894845132</v>
      </c>
      <c r="AZ23" s="116">
        <f t="shared" si="22"/>
        <v>82456.444894845132</v>
      </c>
      <c r="BA23" s="116">
        <f t="shared" si="22"/>
        <v>82456.444894845132</v>
      </c>
      <c r="BB23" s="116">
        <f t="shared" si="22"/>
        <v>82568.312959980278</v>
      </c>
      <c r="BM23" s="123" t="s">
        <v>200</v>
      </c>
      <c r="BN23" s="103">
        <f t="shared" si="23"/>
        <v>139578</v>
      </c>
      <c r="BO23" s="119">
        <f t="shared" si="10"/>
        <v>139578</v>
      </c>
      <c r="BP23" s="119">
        <f t="shared" si="10"/>
        <v>122597.71849785374</v>
      </c>
      <c r="BQ23" s="119">
        <f t="shared" si="10"/>
        <v>122597.71849785374</v>
      </c>
      <c r="BR23" s="119">
        <f t="shared" si="10"/>
        <v>122597.71849785374</v>
      </c>
      <c r="BS23" s="119">
        <f t="shared" si="10"/>
        <v>122597.71849785374</v>
      </c>
      <c r="BT23" s="119">
        <f t="shared" si="10"/>
        <v>122597.71849785374</v>
      </c>
      <c r="BU23" s="119">
        <f t="shared" si="10"/>
        <v>138972.40653200884</v>
      </c>
      <c r="BV23" s="119">
        <f t="shared" si="10"/>
        <v>138972.40653200884</v>
      </c>
      <c r="BW23" s="119">
        <f t="shared" si="10"/>
        <v>138972.40653200884</v>
      </c>
      <c r="BX23" s="119">
        <f t="shared" si="10"/>
        <v>138972.40653200884</v>
      </c>
      <c r="BY23" s="119">
        <f t="shared" si="10"/>
        <v>138972.40653200884</v>
      </c>
      <c r="BZ23" s="119">
        <f t="shared" si="10"/>
        <v>142314.46497792093</v>
      </c>
      <c r="CA23" s="119">
        <f t="shared" si="10"/>
        <v>142314.46497792093</v>
      </c>
      <c r="CB23" s="119">
        <f t="shared" si="10"/>
        <v>142314.46497792093</v>
      </c>
      <c r="CC23" s="119">
        <f t="shared" si="10"/>
        <v>142314.46497792093</v>
      </c>
      <c r="CD23" s="119">
        <f t="shared" si="10"/>
        <v>142314.46497792093</v>
      </c>
      <c r="CE23" s="119">
        <f t="shared" si="24"/>
        <v>145831.85510284291</v>
      </c>
      <c r="CF23" s="119">
        <f t="shared" si="24"/>
        <v>145831.85510284291</v>
      </c>
      <c r="CG23" s="119">
        <f t="shared" si="24"/>
        <v>145831.85510284291</v>
      </c>
      <c r="CH23" s="119">
        <f t="shared" si="24"/>
        <v>145831.85510284291</v>
      </c>
      <c r="CI23" s="119">
        <f t="shared" si="24"/>
        <v>145831.85510284291</v>
      </c>
      <c r="CJ23" s="119">
        <f t="shared" si="24"/>
        <v>146666.56297346661</v>
      </c>
      <c r="CK23" s="119">
        <f t="shared" si="24"/>
        <v>146666.56297346661</v>
      </c>
      <c r="CL23" s="119">
        <f t="shared" si="24"/>
        <v>146666.56297346661</v>
      </c>
      <c r="CM23" s="119">
        <f t="shared" si="24"/>
        <v>146666.56297346661</v>
      </c>
      <c r="CN23" s="119">
        <f t="shared" si="24"/>
        <v>146666.56297346661</v>
      </c>
      <c r="CO23" s="119">
        <f t="shared" si="24"/>
        <v>147663.69466943073</v>
      </c>
      <c r="CR23" s="123" t="s">
        <v>200</v>
      </c>
      <c r="CS23" s="103">
        <f t="shared" si="11"/>
        <v>168991.77154923283</v>
      </c>
      <c r="CT23" s="119">
        <f t="shared" si="12"/>
        <v>168991.77154923283</v>
      </c>
      <c r="CU23" s="119">
        <f t="shared" si="12"/>
        <v>168991.77154923283</v>
      </c>
      <c r="CV23" s="119">
        <f t="shared" si="12"/>
        <v>168991.77154923283</v>
      </c>
      <c r="CW23" s="119">
        <f t="shared" si="12"/>
        <v>168991.77154923283</v>
      </c>
      <c r="CX23" s="119">
        <f t="shared" si="12"/>
        <v>168991.77154923283</v>
      </c>
      <c r="CY23" s="119">
        <f t="shared" si="12"/>
        <v>168991.77154923283</v>
      </c>
      <c r="CZ23" s="119">
        <f t="shared" si="12"/>
        <v>169029.41945576869</v>
      </c>
      <c r="DA23" s="119">
        <f t="shared" si="12"/>
        <v>169029.41945576869</v>
      </c>
      <c r="DB23" s="119">
        <f t="shared" si="12"/>
        <v>169029.41945576869</v>
      </c>
      <c r="DC23" s="119">
        <f t="shared" si="12"/>
        <v>169029.41945576869</v>
      </c>
      <c r="DD23" s="119">
        <f t="shared" si="12"/>
        <v>169029.41945576869</v>
      </c>
      <c r="DE23" s="119">
        <f t="shared" si="12"/>
        <v>169007.90636631963</v>
      </c>
      <c r="DF23" s="119">
        <f t="shared" si="12"/>
        <v>169007.90636631963</v>
      </c>
      <c r="DG23" s="119">
        <f t="shared" si="12"/>
        <v>169007.90636631963</v>
      </c>
      <c r="DH23" s="119">
        <f t="shared" si="12"/>
        <v>169007.90636631963</v>
      </c>
      <c r="DI23" s="119">
        <f t="shared" si="12"/>
        <v>169007.90636631963</v>
      </c>
      <c r="DJ23" s="119">
        <f t="shared" si="25"/>
        <v>169002.52809395734</v>
      </c>
      <c r="DK23" s="119">
        <f t="shared" si="25"/>
        <v>169002.52809395734</v>
      </c>
      <c r="DL23" s="119">
        <f t="shared" si="25"/>
        <v>169002.52809395734</v>
      </c>
      <c r="DM23" s="119">
        <f t="shared" si="25"/>
        <v>169002.52809395734</v>
      </c>
      <c r="DN23" s="119">
        <f t="shared" si="25"/>
        <v>169002.52809395734</v>
      </c>
      <c r="DO23" s="119">
        <f t="shared" si="25"/>
        <v>168898.1896101294</v>
      </c>
      <c r="DP23" s="119">
        <f t="shared" si="25"/>
        <v>168898.1896101294</v>
      </c>
      <c r="DQ23" s="119">
        <f t="shared" si="25"/>
        <v>168898.1896101294</v>
      </c>
      <c r="DR23" s="119">
        <f t="shared" si="25"/>
        <v>168898.1896101294</v>
      </c>
      <c r="DS23" s="119">
        <f t="shared" si="25"/>
        <v>168898.1896101294</v>
      </c>
      <c r="DT23" s="93">
        <f t="shared" si="25"/>
        <v>168985.31762239811</v>
      </c>
      <c r="DW23" s="123" t="s">
        <v>200</v>
      </c>
      <c r="DX23" s="103">
        <f t="shared" si="13"/>
        <v>176902.12998042587</v>
      </c>
      <c r="DY23" s="119">
        <f t="shared" si="14"/>
        <v>176902.12998042587</v>
      </c>
      <c r="DZ23" s="119">
        <f t="shared" si="14"/>
        <v>155072.45793174993</v>
      </c>
      <c r="EA23" s="119">
        <f t="shared" si="14"/>
        <v>155072.45793174993</v>
      </c>
      <c r="EB23" s="119">
        <f t="shared" si="14"/>
        <v>155072.45793174993</v>
      </c>
      <c r="EC23" s="119">
        <f t="shared" si="14"/>
        <v>155072.45793174993</v>
      </c>
      <c r="ED23" s="119">
        <f t="shared" si="14"/>
        <v>155072.45793174993</v>
      </c>
      <c r="EE23" s="119">
        <f t="shared" si="14"/>
        <v>95576.769000136002</v>
      </c>
      <c r="EF23" s="119">
        <f t="shared" si="14"/>
        <v>95576.769000136002</v>
      </c>
      <c r="EG23" s="119">
        <f t="shared" si="14"/>
        <v>95576.769000136002</v>
      </c>
      <c r="EH23" s="119">
        <f t="shared" si="14"/>
        <v>95576.769000136002</v>
      </c>
      <c r="EI23" s="119">
        <f t="shared" si="14"/>
        <v>95576.769000136002</v>
      </c>
      <c r="EJ23" s="119">
        <f t="shared" si="14"/>
        <v>85361.284717245289</v>
      </c>
      <c r="EK23" s="119">
        <f t="shared" si="14"/>
        <v>85361.284717245289</v>
      </c>
      <c r="EL23" s="119">
        <f t="shared" si="14"/>
        <v>85361.284717245289</v>
      </c>
      <c r="EM23" s="119">
        <f t="shared" si="14"/>
        <v>85361.284717245289</v>
      </c>
      <c r="EN23" s="119">
        <f t="shared" si="14"/>
        <v>85361.284717245289</v>
      </c>
      <c r="EO23" s="119">
        <f t="shared" si="26"/>
        <v>82674.575885577317</v>
      </c>
      <c r="EP23" s="119">
        <f t="shared" si="26"/>
        <v>82674.575885577317</v>
      </c>
      <c r="EQ23" s="119">
        <f t="shared" si="26"/>
        <v>82674.575885577317</v>
      </c>
      <c r="ER23" s="119">
        <f t="shared" si="26"/>
        <v>82674.575885577317</v>
      </c>
      <c r="ES23" s="119">
        <f t="shared" si="26"/>
        <v>82674.575885577317</v>
      </c>
      <c r="ET23" s="119">
        <f t="shared" si="26"/>
        <v>79604.9817429494</v>
      </c>
      <c r="EU23" s="119">
        <f t="shared" si="26"/>
        <v>79604.9817429494</v>
      </c>
      <c r="EV23" s="119">
        <f t="shared" si="26"/>
        <v>79604.9817429494</v>
      </c>
      <c r="EW23" s="119">
        <f t="shared" si="26"/>
        <v>79604.9817429494</v>
      </c>
      <c r="EX23" s="119">
        <f t="shared" si="26"/>
        <v>79604.9817429494</v>
      </c>
      <c r="EY23" s="119">
        <f t="shared" si="26"/>
        <v>74791.566405167134</v>
      </c>
      <c r="FB23" s="123" t="s">
        <v>200</v>
      </c>
      <c r="FC23" s="103">
        <f t="shared" si="15"/>
        <v>191876.33169953316</v>
      </c>
      <c r="FD23" s="119">
        <f t="shared" si="16"/>
        <v>191876.33169953316</v>
      </c>
      <c r="FE23" s="119">
        <f t="shared" si="16"/>
        <v>167565.71911555546</v>
      </c>
      <c r="FF23" s="119">
        <f t="shared" si="16"/>
        <v>167565.71911555546</v>
      </c>
      <c r="FG23" s="119">
        <f t="shared" si="16"/>
        <v>167565.71911555546</v>
      </c>
      <c r="FH23" s="119">
        <f t="shared" si="16"/>
        <v>167565.71911555546</v>
      </c>
      <c r="FI23" s="119">
        <f t="shared" si="16"/>
        <v>167565.71911555546</v>
      </c>
      <c r="FJ23" s="119">
        <f t="shared" si="16"/>
        <v>105151.50643611414</v>
      </c>
      <c r="FK23" s="119">
        <f t="shared" si="16"/>
        <v>105151.50643611414</v>
      </c>
      <c r="FL23" s="119">
        <f t="shared" si="16"/>
        <v>105151.50643611414</v>
      </c>
      <c r="FM23" s="119">
        <f t="shared" si="16"/>
        <v>105151.50643611414</v>
      </c>
      <c r="FN23" s="119">
        <f t="shared" si="16"/>
        <v>105151.50643611414</v>
      </c>
      <c r="FO23" s="119">
        <f t="shared" si="16"/>
        <v>93369.317972662815</v>
      </c>
      <c r="FP23" s="119">
        <f t="shared" si="16"/>
        <v>93369.317972662815</v>
      </c>
      <c r="FQ23" s="119">
        <f t="shared" si="16"/>
        <v>93369.317972662815</v>
      </c>
      <c r="FR23" s="119">
        <f t="shared" si="16"/>
        <v>93369.317972662815</v>
      </c>
      <c r="FS23" s="119">
        <f t="shared" si="16"/>
        <v>93369.317972662815</v>
      </c>
      <c r="FT23" s="119">
        <f t="shared" si="27"/>
        <v>90992.563916533851</v>
      </c>
      <c r="FU23" s="119">
        <f t="shared" si="27"/>
        <v>90992.563916533851</v>
      </c>
      <c r="FV23" s="119">
        <f t="shared" si="27"/>
        <v>90992.563916533851</v>
      </c>
      <c r="FW23" s="119">
        <f t="shared" si="27"/>
        <v>90992.563916533851</v>
      </c>
      <c r="FX23" s="119">
        <f t="shared" si="27"/>
        <v>90992.563916533851</v>
      </c>
      <c r="FY23" s="119">
        <f t="shared" si="27"/>
        <v>87916.458118957627</v>
      </c>
      <c r="FZ23" s="119">
        <f t="shared" si="27"/>
        <v>87916.458118957627</v>
      </c>
      <c r="GA23" s="119">
        <f t="shared" si="27"/>
        <v>87916.458118957627</v>
      </c>
      <c r="GB23" s="119">
        <f t="shared" si="27"/>
        <v>87916.458118957627</v>
      </c>
      <c r="GC23" s="119">
        <f t="shared" si="27"/>
        <v>87916.458118957627</v>
      </c>
      <c r="GD23" s="119">
        <f t="shared" si="27"/>
        <v>82936.344414498919</v>
      </c>
      <c r="GH23" s="123" t="s">
        <v>200</v>
      </c>
      <c r="GI23" s="103">
        <f t="shared" si="17"/>
        <v>166710.08765534905</v>
      </c>
      <c r="GJ23" s="119">
        <f t="shared" si="18"/>
        <v>166710.08765534905</v>
      </c>
      <c r="GK23" s="119">
        <f t="shared" si="18"/>
        <v>146569.53890026172</v>
      </c>
      <c r="GL23" s="119">
        <f t="shared" si="18"/>
        <v>146569.53890026172</v>
      </c>
      <c r="GM23" s="119">
        <f t="shared" si="18"/>
        <v>146569.53890026172</v>
      </c>
      <c r="GN23" s="119">
        <f t="shared" si="18"/>
        <v>146569.53890026172</v>
      </c>
      <c r="GO23" s="119">
        <f t="shared" si="18"/>
        <v>146569.53890026172</v>
      </c>
      <c r="GP23" s="119">
        <f t="shared" si="18"/>
        <v>89059.904727878864</v>
      </c>
      <c r="GQ23" s="119">
        <f t="shared" si="18"/>
        <v>89059.904727878864</v>
      </c>
      <c r="GR23" s="119">
        <f t="shared" si="18"/>
        <v>89059.904727878864</v>
      </c>
      <c r="GS23" s="119">
        <f t="shared" si="18"/>
        <v>89059.904727878864</v>
      </c>
      <c r="GT23" s="119">
        <f t="shared" si="18"/>
        <v>89059.904727878864</v>
      </c>
      <c r="GU23" s="119">
        <f t="shared" si="18"/>
        <v>79911.029525519436</v>
      </c>
      <c r="GV23" s="119">
        <f t="shared" si="18"/>
        <v>79911.029525519436</v>
      </c>
      <c r="GW23" s="119">
        <f t="shared" si="18"/>
        <v>79911.029525519436</v>
      </c>
      <c r="GX23" s="119">
        <f t="shared" si="18"/>
        <v>79911.029525519436</v>
      </c>
      <c r="GY23" s="119">
        <f t="shared" si="18"/>
        <v>79911.029525519436</v>
      </c>
      <c r="GZ23" s="119">
        <f t="shared" si="28"/>
        <v>77013.343073526601</v>
      </c>
      <c r="HA23" s="119">
        <f t="shared" si="28"/>
        <v>77013.343073526601</v>
      </c>
      <c r="HB23" s="119">
        <f t="shared" si="28"/>
        <v>77013.343073526601</v>
      </c>
      <c r="HC23" s="119">
        <f t="shared" si="28"/>
        <v>77013.343073526601</v>
      </c>
      <c r="HD23" s="119">
        <f t="shared" si="28"/>
        <v>77013.343073526601</v>
      </c>
      <c r="HE23" s="119">
        <f t="shared" si="28"/>
        <v>73947.655923867656</v>
      </c>
      <c r="HF23" s="119">
        <f t="shared" si="28"/>
        <v>73947.655923867656</v>
      </c>
      <c r="HG23" s="119">
        <f t="shared" si="28"/>
        <v>73947.655923867656</v>
      </c>
      <c r="HH23" s="119">
        <f t="shared" si="28"/>
        <v>73947.655923867656</v>
      </c>
      <c r="HI23" s="119">
        <f t="shared" si="28"/>
        <v>73947.655923867656</v>
      </c>
      <c r="HJ23" s="119">
        <f t="shared" si="28"/>
        <v>69248.84571317544</v>
      </c>
    </row>
    <row r="24" spans="17:218" x14ac:dyDescent="0.25">
      <c r="Q24" s="37">
        <v>2045</v>
      </c>
      <c r="R24" s="135">
        <v>1E-3</v>
      </c>
      <c r="S24" s="128">
        <f>1-SUM(R24,T24:W24)</f>
        <v>0.46499999999999997</v>
      </c>
      <c r="T24" s="128">
        <v>0</v>
      </c>
      <c r="U24" s="128">
        <v>0.13200000000000001</v>
      </c>
      <c r="V24" s="128">
        <v>2E-3</v>
      </c>
      <c r="W24" s="128">
        <v>0.4</v>
      </c>
      <c r="X24" s="134">
        <f t="shared" si="29"/>
        <v>1</v>
      </c>
      <c r="Z24" s="83" t="s">
        <v>203</v>
      </c>
      <c r="AA24" s="114">
        <f>'US Grid mix, emissions&amp;prices'!O76</f>
        <v>54479</v>
      </c>
      <c r="AB24" s="116">
        <f t="shared" si="20"/>
        <v>54479</v>
      </c>
      <c r="AC24" s="116">
        <f t="shared" si="20"/>
        <v>47913.944837046569</v>
      </c>
      <c r="AD24" s="116">
        <f t="shared" si="20"/>
        <v>47913.944837046569</v>
      </c>
      <c r="AE24" s="116">
        <f t="shared" si="20"/>
        <v>47913.944837046569</v>
      </c>
      <c r="AF24" s="116">
        <f t="shared" si="20"/>
        <v>47913.944837046569</v>
      </c>
      <c r="AG24" s="116">
        <f t="shared" si="20"/>
        <v>47913.944837046569</v>
      </c>
      <c r="AH24" s="116">
        <f t="shared" si="20"/>
        <v>28788.503710668072</v>
      </c>
      <c r="AI24" s="116">
        <f t="shared" si="20"/>
        <v>28788.503710668072</v>
      </c>
      <c r="AJ24" s="116">
        <f t="shared" si="20"/>
        <v>28788.503710668072</v>
      </c>
      <c r="AK24" s="116">
        <f t="shared" si="20"/>
        <v>28788.503710668072</v>
      </c>
      <c r="AL24" s="116">
        <f t="shared" si="20"/>
        <v>28788.503710668072</v>
      </c>
      <c r="AM24" s="116">
        <f t="shared" si="20"/>
        <v>30126.537272369969</v>
      </c>
      <c r="AN24" s="116">
        <f t="shared" si="20"/>
        <v>30126.537272369969</v>
      </c>
      <c r="AO24" s="116">
        <f t="shared" si="20"/>
        <v>30126.537272369969</v>
      </c>
      <c r="AP24" s="116">
        <f t="shared" si="20"/>
        <v>30126.537272369969</v>
      </c>
      <c r="AQ24" s="116">
        <f t="shared" si="20"/>
        <v>30126.537272369969</v>
      </c>
      <c r="AR24" s="116">
        <f t="shared" si="22"/>
        <v>31492.700187267357</v>
      </c>
      <c r="AS24" s="116">
        <f t="shared" si="22"/>
        <v>31492.700187267357</v>
      </c>
      <c r="AT24" s="116">
        <f t="shared" si="22"/>
        <v>31492.700187267357</v>
      </c>
      <c r="AU24" s="116">
        <f t="shared" si="22"/>
        <v>31492.700187267357</v>
      </c>
      <c r="AV24" s="116">
        <f t="shared" si="22"/>
        <v>31492.700187267357</v>
      </c>
      <c r="AW24" s="116">
        <f t="shared" si="22"/>
        <v>32183.758625472987</v>
      </c>
      <c r="AX24" s="116">
        <f t="shared" si="22"/>
        <v>32183.758625472987</v>
      </c>
      <c r="AY24" s="116">
        <f t="shared" si="22"/>
        <v>32183.758625472987</v>
      </c>
      <c r="AZ24" s="116">
        <f t="shared" si="22"/>
        <v>32183.758625472987</v>
      </c>
      <c r="BA24" s="116">
        <f t="shared" si="22"/>
        <v>32183.758625472987</v>
      </c>
      <c r="BB24" s="116">
        <f t="shared" si="22"/>
        <v>32227.422099089868</v>
      </c>
      <c r="BM24" s="123" t="s">
        <v>203</v>
      </c>
      <c r="BN24" s="103">
        <f t="shared" si="23"/>
        <v>54479</v>
      </c>
      <c r="BO24" s="119">
        <f t="shared" si="10"/>
        <v>54479</v>
      </c>
      <c r="BP24" s="119">
        <f t="shared" si="10"/>
        <v>47851.388514268539</v>
      </c>
      <c r="BQ24" s="119">
        <f t="shared" si="10"/>
        <v>47851.388514268539</v>
      </c>
      <c r="BR24" s="119">
        <f t="shared" si="10"/>
        <v>47851.388514268539</v>
      </c>
      <c r="BS24" s="119">
        <f t="shared" si="10"/>
        <v>47851.388514268539</v>
      </c>
      <c r="BT24" s="119">
        <f t="shared" si="10"/>
        <v>47851.388514268539</v>
      </c>
      <c r="BU24" s="119">
        <f t="shared" si="10"/>
        <v>54242.629464939389</v>
      </c>
      <c r="BV24" s="119">
        <f t="shared" si="10"/>
        <v>54242.629464939389</v>
      </c>
      <c r="BW24" s="119">
        <f t="shared" si="10"/>
        <v>54242.629464939389</v>
      </c>
      <c r="BX24" s="119">
        <f t="shared" si="10"/>
        <v>54242.629464939389</v>
      </c>
      <c r="BY24" s="119">
        <f t="shared" si="10"/>
        <v>54242.629464939389</v>
      </c>
      <c r="BZ24" s="119">
        <f t="shared" si="10"/>
        <v>55547.075739243686</v>
      </c>
      <c r="CA24" s="119">
        <f t="shared" si="10"/>
        <v>55547.075739243686</v>
      </c>
      <c r="CB24" s="119">
        <f t="shared" si="10"/>
        <v>55547.075739243686</v>
      </c>
      <c r="CC24" s="119">
        <f t="shared" si="10"/>
        <v>55547.075739243686</v>
      </c>
      <c r="CD24" s="119">
        <f t="shared" si="10"/>
        <v>55547.075739243686</v>
      </c>
      <c r="CE24" s="119">
        <f t="shared" si="24"/>
        <v>56919.956111620595</v>
      </c>
      <c r="CF24" s="119">
        <f t="shared" si="24"/>
        <v>56919.956111620595</v>
      </c>
      <c r="CG24" s="119">
        <f t="shared" si="24"/>
        <v>56919.956111620595</v>
      </c>
      <c r="CH24" s="119">
        <f t="shared" si="24"/>
        <v>56919.956111620595</v>
      </c>
      <c r="CI24" s="119">
        <f t="shared" si="24"/>
        <v>56919.956111620595</v>
      </c>
      <c r="CJ24" s="119">
        <f t="shared" si="24"/>
        <v>57245.752799377318</v>
      </c>
      <c r="CK24" s="119">
        <f t="shared" si="24"/>
        <v>57245.752799377318</v>
      </c>
      <c r="CL24" s="119">
        <f t="shared" si="24"/>
        <v>57245.752799377318</v>
      </c>
      <c r="CM24" s="119">
        <f t="shared" si="24"/>
        <v>57245.752799377318</v>
      </c>
      <c r="CN24" s="119">
        <f t="shared" si="24"/>
        <v>57245.752799377318</v>
      </c>
      <c r="CO24" s="119">
        <f t="shared" si="24"/>
        <v>57634.945492097009</v>
      </c>
      <c r="CR24" s="123" t="s">
        <v>203</v>
      </c>
      <c r="CS24" s="103">
        <f t="shared" si="11"/>
        <v>65959.554673592225</v>
      </c>
      <c r="CT24" s="119">
        <f t="shared" si="12"/>
        <v>65959.554673592225</v>
      </c>
      <c r="CU24" s="119">
        <f t="shared" si="12"/>
        <v>65959.554673592225</v>
      </c>
      <c r="CV24" s="119">
        <f t="shared" si="12"/>
        <v>65959.554673592225</v>
      </c>
      <c r="CW24" s="119">
        <f t="shared" si="12"/>
        <v>65959.554673592225</v>
      </c>
      <c r="CX24" s="119">
        <f t="shared" si="12"/>
        <v>65959.554673592225</v>
      </c>
      <c r="CY24" s="119">
        <f t="shared" si="12"/>
        <v>65959.554673592225</v>
      </c>
      <c r="CZ24" s="119">
        <f t="shared" si="12"/>
        <v>65974.249111828671</v>
      </c>
      <c r="DA24" s="119">
        <f t="shared" si="12"/>
        <v>65974.249111828671</v>
      </c>
      <c r="DB24" s="119">
        <f t="shared" si="12"/>
        <v>65974.249111828671</v>
      </c>
      <c r="DC24" s="119">
        <f t="shared" si="12"/>
        <v>65974.249111828671</v>
      </c>
      <c r="DD24" s="119">
        <f t="shared" si="12"/>
        <v>65974.249111828671</v>
      </c>
      <c r="DE24" s="119">
        <f t="shared" si="12"/>
        <v>65965.852289979273</v>
      </c>
      <c r="DF24" s="119">
        <f t="shared" si="12"/>
        <v>65965.852289979273</v>
      </c>
      <c r="DG24" s="119">
        <f t="shared" si="12"/>
        <v>65965.852289979273</v>
      </c>
      <c r="DH24" s="119">
        <f t="shared" si="12"/>
        <v>65965.852289979273</v>
      </c>
      <c r="DI24" s="119">
        <f t="shared" si="12"/>
        <v>65965.852289979273</v>
      </c>
      <c r="DJ24" s="119">
        <f t="shared" si="25"/>
        <v>65963.753084516924</v>
      </c>
      <c r="DK24" s="119">
        <f t="shared" si="25"/>
        <v>65963.753084516924</v>
      </c>
      <c r="DL24" s="119">
        <f t="shared" si="25"/>
        <v>65963.753084516924</v>
      </c>
      <c r="DM24" s="119">
        <f t="shared" si="25"/>
        <v>65963.753084516924</v>
      </c>
      <c r="DN24" s="119">
        <f t="shared" si="25"/>
        <v>65963.753084516924</v>
      </c>
      <c r="DO24" s="119">
        <f t="shared" si="25"/>
        <v>65923.028498547341</v>
      </c>
      <c r="DP24" s="119">
        <f t="shared" si="25"/>
        <v>65923.028498547341</v>
      </c>
      <c r="DQ24" s="119">
        <f t="shared" si="25"/>
        <v>65923.028498547341</v>
      </c>
      <c r="DR24" s="119">
        <f t="shared" si="25"/>
        <v>65923.028498547341</v>
      </c>
      <c r="DS24" s="119">
        <f t="shared" si="25"/>
        <v>65923.028498547341</v>
      </c>
      <c r="DT24" s="93">
        <f t="shared" si="25"/>
        <v>65957.035627037403</v>
      </c>
      <c r="DW24" s="123" t="s">
        <v>203</v>
      </c>
      <c r="DX24" s="103">
        <f t="shared" si="13"/>
        <v>69047.064288094276</v>
      </c>
      <c r="DY24" s="119">
        <f t="shared" si="14"/>
        <v>69047.064288094276</v>
      </c>
      <c r="DZ24" s="119">
        <f t="shared" si="14"/>
        <v>60526.676379256081</v>
      </c>
      <c r="EA24" s="119">
        <f t="shared" si="14"/>
        <v>60526.676379256081</v>
      </c>
      <c r="EB24" s="119">
        <f t="shared" si="14"/>
        <v>60526.676379256081</v>
      </c>
      <c r="EC24" s="119">
        <f t="shared" si="14"/>
        <v>60526.676379256081</v>
      </c>
      <c r="ED24" s="119">
        <f t="shared" si="14"/>
        <v>60526.676379256081</v>
      </c>
      <c r="EE24" s="119">
        <f t="shared" si="14"/>
        <v>37304.781544071491</v>
      </c>
      <c r="EF24" s="119">
        <f t="shared" si="14"/>
        <v>37304.781544071491</v>
      </c>
      <c r="EG24" s="119">
        <f t="shared" si="14"/>
        <v>37304.781544071491</v>
      </c>
      <c r="EH24" s="119">
        <f t="shared" si="14"/>
        <v>37304.781544071491</v>
      </c>
      <c r="EI24" s="119">
        <f t="shared" si="14"/>
        <v>37304.781544071491</v>
      </c>
      <c r="EJ24" s="119">
        <f t="shared" si="14"/>
        <v>33317.553125211758</v>
      </c>
      <c r="EK24" s="119">
        <f t="shared" si="14"/>
        <v>33317.553125211758</v>
      </c>
      <c r="EL24" s="119">
        <f t="shared" si="14"/>
        <v>33317.553125211758</v>
      </c>
      <c r="EM24" s="119">
        <f t="shared" si="14"/>
        <v>33317.553125211758</v>
      </c>
      <c r="EN24" s="119">
        <f t="shared" si="14"/>
        <v>33317.553125211758</v>
      </c>
      <c r="EO24" s="119">
        <f t="shared" si="26"/>
        <v>32268.897818211804</v>
      </c>
      <c r="EP24" s="119">
        <f t="shared" si="26"/>
        <v>32268.897818211804</v>
      </c>
      <c r="EQ24" s="119">
        <f t="shared" si="26"/>
        <v>32268.897818211804</v>
      </c>
      <c r="ER24" s="119">
        <f t="shared" si="26"/>
        <v>32268.897818211804</v>
      </c>
      <c r="ES24" s="119">
        <f t="shared" si="26"/>
        <v>32268.897818211804</v>
      </c>
      <c r="ET24" s="119">
        <f t="shared" si="26"/>
        <v>31070.797692860917</v>
      </c>
      <c r="EU24" s="119">
        <f t="shared" si="26"/>
        <v>31070.797692860917</v>
      </c>
      <c r="EV24" s="119">
        <f t="shared" si="26"/>
        <v>31070.797692860917</v>
      </c>
      <c r="EW24" s="119">
        <f t="shared" si="26"/>
        <v>31070.797692860917</v>
      </c>
      <c r="EX24" s="119">
        <f t="shared" si="26"/>
        <v>31070.797692860917</v>
      </c>
      <c r="EY24" s="119">
        <f t="shared" si="26"/>
        <v>29192.062833591979</v>
      </c>
      <c r="FB24" s="123" t="s">
        <v>203</v>
      </c>
      <c r="FC24" s="103">
        <f t="shared" si="15"/>
        <v>74891.678306458518</v>
      </c>
      <c r="FD24" s="119">
        <f t="shared" si="16"/>
        <v>74891.678306458518</v>
      </c>
      <c r="FE24" s="119">
        <f t="shared" si="16"/>
        <v>65402.948972591279</v>
      </c>
      <c r="FF24" s="119">
        <f t="shared" si="16"/>
        <v>65402.948972591279</v>
      </c>
      <c r="FG24" s="119">
        <f t="shared" si="16"/>
        <v>65402.948972591279</v>
      </c>
      <c r="FH24" s="119">
        <f t="shared" si="16"/>
        <v>65402.948972591279</v>
      </c>
      <c r="FI24" s="119">
        <f t="shared" si="16"/>
        <v>65402.948972591279</v>
      </c>
      <c r="FJ24" s="119">
        <f t="shared" si="16"/>
        <v>41041.918634262292</v>
      </c>
      <c r="FK24" s="119">
        <f t="shared" si="16"/>
        <v>41041.918634262292</v>
      </c>
      <c r="FL24" s="119">
        <f t="shared" si="16"/>
        <v>41041.918634262292</v>
      </c>
      <c r="FM24" s="119">
        <f t="shared" si="16"/>
        <v>41041.918634262292</v>
      </c>
      <c r="FN24" s="119">
        <f t="shared" si="16"/>
        <v>41041.918634262292</v>
      </c>
      <c r="FO24" s="119">
        <f t="shared" si="16"/>
        <v>36443.186417864541</v>
      </c>
      <c r="FP24" s="119">
        <f t="shared" si="16"/>
        <v>36443.186417864541</v>
      </c>
      <c r="FQ24" s="119">
        <f t="shared" si="16"/>
        <v>36443.186417864541</v>
      </c>
      <c r="FR24" s="119">
        <f t="shared" si="16"/>
        <v>36443.186417864541</v>
      </c>
      <c r="FS24" s="119">
        <f t="shared" si="16"/>
        <v>36443.186417864541</v>
      </c>
      <c r="FT24" s="119">
        <f t="shared" si="27"/>
        <v>35515.510249529638</v>
      </c>
      <c r="FU24" s="119">
        <f t="shared" si="27"/>
        <v>35515.510249529638</v>
      </c>
      <c r="FV24" s="119">
        <f t="shared" si="27"/>
        <v>35515.510249529638</v>
      </c>
      <c r="FW24" s="119">
        <f t="shared" si="27"/>
        <v>35515.510249529638</v>
      </c>
      <c r="FX24" s="119">
        <f t="shared" si="27"/>
        <v>35515.510249529638</v>
      </c>
      <c r="FY24" s="119">
        <f t="shared" si="27"/>
        <v>34314.868545635363</v>
      </c>
      <c r="FZ24" s="119">
        <f t="shared" si="27"/>
        <v>34314.868545635363</v>
      </c>
      <c r="GA24" s="119">
        <f t="shared" si="27"/>
        <v>34314.868545635363</v>
      </c>
      <c r="GB24" s="119">
        <f t="shared" si="27"/>
        <v>34314.868545635363</v>
      </c>
      <c r="GC24" s="119">
        <f t="shared" si="27"/>
        <v>34314.868545635363</v>
      </c>
      <c r="GD24" s="119">
        <f t="shared" si="27"/>
        <v>32371.069275655809</v>
      </c>
      <c r="GH24" s="123" t="s">
        <v>203</v>
      </c>
      <c r="GI24" s="103">
        <f t="shared" si="17"/>
        <v>65068.985551990714</v>
      </c>
      <c r="GJ24" s="119">
        <f t="shared" si="18"/>
        <v>65068.985551990714</v>
      </c>
      <c r="GK24" s="119">
        <f t="shared" si="18"/>
        <v>57207.883117306148</v>
      </c>
      <c r="GL24" s="119">
        <f t="shared" si="18"/>
        <v>57207.883117306148</v>
      </c>
      <c r="GM24" s="119">
        <f t="shared" si="18"/>
        <v>57207.883117306148</v>
      </c>
      <c r="GN24" s="119">
        <f t="shared" si="18"/>
        <v>57207.883117306148</v>
      </c>
      <c r="GO24" s="119">
        <f t="shared" si="18"/>
        <v>57207.883117306148</v>
      </c>
      <c r="GP24" s="119">
        <f t="shared" si="18"/>
        <v>34761.169737853474</v>
      </c>
      <c r="GQ24" s="119">
        <f t="shared" si="18"/>
        <v>34761.169737853474</v>
      </c>
      <c r="GR24" s="119">
        <f t="shared" si="18"/>
        <v>34761.169737853474</v>
      </c>
      <c r="GS24" s="119">
        <f t="shared" si="18"/>
        <v>34761.169737853474</v>
      </c>
      <c r="GT24" s="119">
        <f t="shared" si="18"/>
        <v>34761.169737853474</v>
      </c>
      <c r="GU24" s="119">
        <f t="shared" si="18"/>
        <v>31190.251884399928</v>
      </c>
      <c r="GV24" s="119">
        <f t="shared" si="18"/>
        <v>31190.251884399928</v>
      </c>
      <c r="GW24" s="119">
        <f t="shared" si="18"/>
        <v>31190.251884399928</v>
      </c>
      <c r="GX24" s="119">
        <f t="shared" si="18"/>
        <v>31190.251884399928</v>
      </c>
      <c r="GY24" s="119">
        <f t="shared" si="18"/>
        <v>31190.251884399928</v>
      </c>
      <c r="GZ24" s="119">
        <f t="shared" si="28"/>
        <v>30059.249432594355</v>
      </c>
      <c r="HA24" s="119">
        <f t="shared" si="28"/>
        <v>30059.249432594355</v>
      </c>
      <c r="HB24" s="119">
        <f t="shared" si="28"/>
        <v>30059.249432594355</v>
      </c>
      <c r="HC24" s="119">
        <f t="shared" si="28"/>
        <v>30059.249432594355</v>
      </c>
      <c r="HD24" s="119">
        <f t="shared" si="28"/>
        <v>30059.249432594355</v>
      </c>
      <c r="HE24" s="119">
        <f t="shared" si="28"/>
        <v>28862.674254369496</v>
      </c>
      <c r="HF24" s="119">
        <f t="shared" si="28"/>
        <v>28862.674254369496</v>
      </c>
      <c r="HG24" s="119">
        <f t="shared" si="28"/>
        <v>28862.674254369496</v>
      </c>
      <c r="HH24" s="119">
        <f t="shared" si="28"/>
        <v>28862.674254369496</v>
      </c>
      <c r="HI24" s="119">
        <f t="shared" si="28"/>
        <v>28862.674254369496</v>
      </c>
      <c r="HJ24" s="119">
        <f t="shared" si="28"/>
        <v>27028.671177464101</v>
      </c>
    </row>
    <row r="25" spans="17:218" x14ac:dyDescent="0.25">
      <c r="Q25" s="37">
        <v>2050</v>
      </c>
      <c r="R25" s="136">
        <v>1E-3</v>
      </c>
      <c r="S25" s="137">
        <f>1-SUM(R25,T25:W25)</f>
        <v>0.47099999999999997</v>
      </c>
      <c r="T25" s="137">
        <v>0</v>
      </c>
      <c r="U25" s="137">
        <v>0.126</v>
      </c>
      <c r="V25" s="137">
        <v>2E-3</v>
      </c>
      <c r="W25" s="137">
        <v>0.4</v>
      </c>
      <c r="X25" s="138">
        <f t="shared" si="29"/>
        <v>1</v>
      </c>
      <c r="Z25" s="83" t="s">
        <v>202</v>
      </c>
      <c r="AA25" s="114">
        <f>'US Grid mix, emissions&amp;prices'!O77</f>
        <v>83345</v>
      </c>
      <c r="AB25" s="116">
        <f t="shared" si="20"/>
        <v>83345</v>
      </c>
      <c r="AC25" s="116">
        <f t="shared" si="20"/>
        <v>73301.413984170897</v>
      </c>
      <c r="AD25" s="116">
        <f t="shared" si="20"/>
        <v>73301.413984170897</v>
      </c>
      <c r="AE25" s="116">
        <f t="shared" si="20"/>
        <v>73301.413984170897</v>
      </c>
      <c r="AF25" s="116">
        <f t="shared" si="20"/>
        <v>73301.413984170897</v>
      </c>
      <c r="AG25" s="116">
        <f t="shared" si="20"/>
        <v>73301.413984170897</v>
      </c>
      <c r="AH25" s="116">
        <f t="shared" si="20"/>
        <v>44042.251909279366</v>
      </c>
      <c r="AI25" s="116">
        <f t="shared" si="20"/>
        <v>44042.251909279366</v>
      </c>
      <c r="AJ25" s="116">
        <f t="shared" ref="AB25:AQ41" si="30">$AA25*AJ$57</f>
        <v>44042.251909279366</v>
      </c>
      <c r="AK25" s="116">
        <f t="shared" si="30"/>
        <v>44042.251909279366</v>
      </c>
      <c r="AL25" s="116">
        <f t="shared" si="30"/>
        <v>44042.251909279366</v>
      </c>
      <c r="AM25" s="116">
        <f t="shared" si="30"/>
        <v>46089.249967247473</v>
      </c>
      <c r="AN25" s="116">
        <f t="shared" si="30"/>
        <v>46089.249967247473</v>
      </c>
      <c r="AO25" s="116">
        <f t="shared" si="30"/>
        <v>46089.249967247473</v>
      </c>
      <c r="AP25" s="116">
        <f t="shared" si="30"/>
        <v>46089.249967247473</v>
      </c>
      <c r="AQ25" s="116">
        <f t="shared" si="30"/>
        <v>46089.249967247473</v>
      </c>
      <c r="AR25" s="116">
        <f t="shared" si="22"/>
        <v>48179.281872057087</v>
      </c>
      <c r="AS25" s="116">
        <f t="shared" si="22"/>
        <v>48179.281872057087</v>
      </c>
      <c r="AT25" s="116">
        <f t="shared" si="22"/>
        <v>48179.281872057087</v>
      </c>
      <c r="AU25" s="116">
        <f t="shared" si="22"/>
        <v>48179.281872057087</v>
      </c>
      <c r="AV25" s="116">
        <f t="shared" si="22"/>
        <v>48179.281872057087</v>
      </c>
      <c r="AW25" s="116">
        <f t="shared" si="22"/>
        <v>49236.50145267068</v>
      </c>
      <c r="AX25" s="116">
        <f t="shared" si="22"/>
        <v>49236.50145267068</v>
      </c>
      <c r="AY25" s="116">
        <f t="shared" si="22"/>
        <v>49236.50145267068</v>
      </c>
      <c r="AZ25" s="116">
        <f t="shared" si="22"/>
        <v>49236.50145267068</v>
      </c>
      <c r="BA25" s="116">
        <f t="shared" si="22"/>
        <v>49236.50145267068</v>
      </c>
      <c r="BB25" s="116">
        <f t="shared" si="22"/>
        <v>49303.300259708238</v>
      </c>
      <c r="BM25" s="123" t="s">
        <v>202</v>
      </c>
      <c r="BN25" s="103">
        <f t="shared" si="23"/>
        <v>83345</v>
      </c>
      <c r="BO25" s="119">
        <f t="shared" si="10"/>
        <v>83345</v>
      </c>
      <c r="BP25" s="119">
        <f t="shared" si="10"/>
        <v>73205.711847165163</v>
      </c>
      <c r="BQ25" s="119">
        <f t="shared" si="10"/>
        <v>73205.711847165163</v>
      </c>
      <c r="BR25" s="119">
        <f t="shared" si="10"/>
        <v>73205.711847165163</v>
      </c>
      <c r="BS25" s="119">
        <f t="shared" si="10"/>
        <v>73205.711847165163</v>
      </c>
      <c r="BT25" s="119">
        <f t="shared" si="10"/>
        <v>73205.711847165163</v>
      </c>
      <c r="BU25" s="119">
        <f t="shared" si="10"/>
        <v>82983.387227287094</v>
      </c>
      <c r="BV25" s="119">
        <f t="shared" si="10"/>
        <v>82983.387227287094</v>
      </c>
      <c r="BW25" s="119">
        <f t="shared" si="10"/>
        <v>82983.387227287094</v>
      </c>
      <c r="BX25" s="119">
        <f t="shared" si="10"/>
        <v>82983.387227287094</v>
      </c>
      <c r="BY25" s="119">
        <f t="shared" si="10"/>
        <v>82983.387227287094</v>
      </c>
      <c r="BZ25" s="119">
        <f t="shared" si="10"/>
        <v>84979.001587534003</v>
      </c>
      <c r="CA25" s="119">
        <f t="shared" si="10"/>
        <v>84979.001587534003</v>
      </c>
      <c r="CB25" s="119">
        <f t="shared" si="10"/>
        <v>84979.001587534003</v>
      </c>
      <c r="CC25" s="119">
        <f t="shared" si="10"/>
        <v>84979.001587534003</v>
      </c>
      <c r="CD25" s="119">
        <f t="shared" si="10"/>
        <v>84979.001587534003</v>
      </c>
      <c r="CE25" s="119">
        <f t="shared" si="24"/>
        <v>87079.310231887852</v>
      </c>
      <c r="CF25" s="119">
        <f t="shared" si="24"/>
        <v>87079.310231887852</v>
      </c>
      <c r="CG25" s="119">
        <f t="shared" si="24"/>
        <v>87079.310231887852</v>
      </c>
      <c r="CH25" s="119">
        <f t="shared" si="24"/>
        <v>87079.310231887852</v>
      </c>
      <c r="CI25" s="119">
        <f t="shared" si="24"/>
        <v>87079.310231887852</v>
      </c>
      <c r="CJ25" s="119">
        <f t="shared" si="24"/>
        <v>87577.732099783447</v>
      </c>
      <c r="CK25" s="119">
        <f t="shared" si="24"/>
        <v>87577.732099783447</v>
      </c>
      <c r="CL25" s="119">
        <f t="shared" si="24"/>
        <v>87577.732099783447</v>
      </c>
      <c r="CM25" s="119">
        <f t="shared" si="24"/>
        <v>87577.732099783447</v>
      </c>
      <c r="CN25" s="119">
        <f t="shared" si="24"/>
        <v>87577.732099783447</v>
      </c>
      <c r="CO25" s="119">
        <f t="shared" si="24"/>
        <v>88173.14069712779</v>
      </c>
      <c r="CR25" s="123" t="s">
        <v>202</v>
      </c>
      <c r="CS25" s="103">
        <f t="shared" si="11"/>
        <v>100908.59017732601</v>
      </c>
      <c r="CT25" s="119">
        <f t="shared" si="12"/>
        <v>100908.59017732601</v>
      </c>
      <c r="CU25" s="119">
        <f t="shared" si="12"/>
        <v>100908.59017732601</v>
      </c>
      <c r="CV25" s="119">
        <f t="shared" si="12"/>
        <v>100908.59017732601</v>
      </c>
      <c r="CW25" s="119">
        <f t="shared" si="12"/>
        <v>100908.59017732601</v>
      </c>
      <c r="CX25" s="119">
        <f t="shared" si="12"/>
        <v>100908.59017732601</v>
      </c>
      <c r="CY25" s="119">
        <f t="shared" si="12"/>
        <v>100908.59017732601</v>
      </c>
      <c r="CZ25" s="119">
        <f t="shared" si="12"/>
        <v>100931.07054507903</v>
      </c>
      <c r="DA25" s="119">
        <f t="shared" si="12"/>
        <v>100931.07054507903</v>
      </c>
      <c r="DB25" s="119">
        <f t="shared" si="12"/>
        <v>100931.07054507903</v>
      </c>
      <c r="DC25" s="119">
        <f t="shared" si="12"/>
        <v>100931.07054507903</v>
      </c>
      <c r="DD25" s="119">
        <f t="shared" si="12"/>
        <v>100931.07054507903</v>
      </c>
      <c r="DE25" s="119">
        <f t="shared" si="12"/>
        <v>100918.22462064873</v>
      </c>
      <c r="DF25" s="119">
        <f t="shared" si="12"/>
        <v>100918.22462064873</v>
      </c>
      <c r="DG25" s="119">
        <f t="shared" si="12"/>
        <v>100918.22462064873</v>
      </c>
      <c r="DH25" s="119">
        <f t="shared" si="12"/>
        <v>100918.22462064873</v>
      </c>
      <c r="DI25" s="119">
        <f t="shared" si="12"/>
        <v>100918.22462064873</v>
      </c>
      <c r="DJ25" s="119">
        <f t="shared" si="25"/>
        <v>100915.01313954116</v>
      </c>
      <c r="DK25" s="119">
        <f t="shared" si="25"/>
        <v>100915.01313954116</v>
      </c>
      <c r="DL25" s="119">
        <f t="shared" si="25"/>
        <v>100915.01313954116</v>
      </c>
      <c r="DM25" s="119">
        <f t="shared" si="25"/>
        <v>100915.01313954116</v>
      </c>
      <c r="DN25" s="119">
        <f t="shared" si="25"/>
        <v>100915.01313954116</v>
      </c>
      <c r="DO25" s="119">
        <f t="shared" si="25"/>
        <v>100852.71040605422</v>
      </c>
      <c r="DP25" s="119">
        <f t="shared" si="25"/>
        <v>100852.71040605422</v>
      </c>
      <c r="DQ25" s="119">
        <f t="shared" si="25"/>
        <v>100852.71040605422</v>
      </c>
      <c r="DR25" s="119">
        <f t="shared" si="25"/>
        <v>100852.71040605422</v>
      </c>
      <c r="DS25" s="119">
        <f t="shared" si="25"/>
        <v>100852.71040605422</v>
      </c>
      <c r="DT25" s="93">
        <f t="shared" si="25"/>
        <v>100904.73639999692</v>
      </c>
      <c r="DW25" s="123" t="s">
        <v>202</v>
      </c>
      <c r="DX25" s="103">
        <f t="shared" si="13"/>
        <v>105632.03386793473</v>
      </c>
      <c r="DY25" s="119">
        <f t="shared" si="14"/>
        <v>105632.03386793473</v>
      </c>
      <c r="DZ25" s="119">
        <f t="shared" si="14"/>
        <v>92597.071216966127</v>
      </c>
      <c r="EA25" s="119">
        <f t="shared" si="14"/>
        <v>92597.071216966127</v>
      </c>
      <c r="EB25" s="119">
        <f t="shared" si="14"/>
        <v>92597.071216966127</v>
      </c>
      <c r="EC25" s="119">
        <f t="shared" si="14"/>
        <v>92597.071216966127</v>
      </c>
      <c r="ED25" s="119">
        <f t="shared" si="14"/>
        <v>92597.071216966127</v>
      </c>
      <c r="EE25" s="119">
        <f t="shared" si="14"/>
        <v>57070.926738571514</v>
      </c>
      <c r="EF25" s="119">
        <f t="shared" si="14"/>
        <v>57070.926738571514</v>
      </c>
      <c r="EG25" s="119">
        <f t="shared" si="14"/>
        <v>57070.926738571514</v>
      </c>
      <c r="EH25" s="119">
        <f t="shared" si="14"/>
        <v>57070.926738571514</v>
      </c>
      <c r="EI25" s="119">
        <f t="shared" si="14"/>
        <v>57070.926738571514</v>
      </c>
      <c r="EJ25" s="119">
        <f t="shared" si="14"/>
        <v>50971.043250073853</v>
      </c>
      <c r="EK25" s="119">
        <f t="shared" si="14"/>
        <v>50971.043250073853</v>
      </c>
      <c r="EL25" s="119">
        <f t="shared" si="14"/>
        <v>50971.043250073853</v>
      </c>
      <c r="EM25" s="119">
        <f t="shared" si="14"/>
        <v>50971.043250073853</v>
      </c>
      <c r="EN25" s="119">
        <f t="shared" si="14"/>
        <v>50971.043250073853</v>
      </c>
      <c r="EO25" s="119">
        <f t="shared" si="26"/>
        <v>49366.752118410077</v>
      </c>
      <c r="EP25" s="119">
        <f t="shared" si="26"/>
        <v>49366.752118410077</v>
      </c>
      <c r="EQ25" s="119">
        <f t="shared" si="26"/>
        <v>49366.752118410077</v>
      </c>
      <c r="ER25" s="119">
        <f t="shared" si="26"/>
        <v>49366.752118410077</v>
      </c>
      <c r="ES25" s="119">
        <f t="shared" si="26"/>
        <v>49366.752118410077</v>
      </c>
      <c r="ET25" s="119">
        <f t="shared" si="26"/>
        <v>47533.832003368138</v>
      </c>
      <c r="EU25" s="119">
        <f t="shared" si="26"/>
        <v>47533.832003368138</v>
      </c>
      <c r="EV25" s="119">
        <f t="shared" si="26"/>
        <v>47533.832003368138</v>
      </c>
      <c r="EW25" s="119">
        <f t="shared" si="26"/>
        <v>47533.832003368138</v>
      </c>
      <c r="EX25" s="119">
        <f t="shared" si="26"/>
        <v>47533.832003368138</v>
      </c>
      <c r="EY25" s="119">
        <f t="shared" si="26"/>
        <v>44659.639069471225</v>
      </c>
      <c r="FB25" s="123" t="s">
        <v>202</v>
      </c>
      <c r="FC25" s="103">
        <f t="shared" si="15"/>
        <v>114573.44900698957</v>
      </c>
      <c r="FD25" s="119">
        <f t="shared" si="16"/>
        <v>114573.44900698957</v>
      </c>
      <c r="FE25" s="119">
        <f t="shared" si="16"/>
        <v>100057.06386168285</v>
      </c>
      <c r="FF25" s="119">
        <f t="shared" si="16"/>
        <v>100057.06386168285</v>
      </c>
      <c r="FG25" s="119">
        <f t="shared" si="16"/>
        <v>100057.06386168285</v>
      </c>
      <c r="FH25" s="119">
        <f t="shared" si="16"/>
        <v>100057.06386168285</v>
      </c>
      <c r="FI25" s="119">
        <f t="shared" si="16"/>
        <v>100057.06386168285</v>
      </c>
      <c r="FJ25" s="119">
        <f t="shared" si="16"/>
        <v>62788.206622232246</v>
      </c>
      <c r="FK25" s="119">
        <f t="shared" si="16"/>
        <v>62788.206622232246</v>
      </c>
      <c r="FL25" s="119">
        <f t="shared" si="16"/>
        <v>62788.206622232246</v>
      </c>
      <c r="FM25" s="119">
        <f t="shared" si="16"/>
        <v>62788.206622232246</v>
      </c>
      <c r="FN25" s="119">
        <f t="shared" si="16"/>
        <v>62788.206622232246</v>
      </c>
      <c r="FO25" s="119">
        <f t="shared" si="16"/>
        <v>55752.810660932104</v>
      </c>
      <c r="FP25" s="119">
        <f t="shared" si="16"/>
        <v>55752.810660932104</v>
      </c>
      <c r="FQ25" s="119">
        <f t="shared" si="16"/>
        <v>55752.810660932104</v>
      </c>
      <c r="FR25" s="119">
        <f t="shared" si="16"/>
        <v>55752.810660932104</v>
      </c>
      <c r="FS25" s="119">
        <f t="shared" si="16"/>
        <v>55752.810660932104</v>
      </c>
      <c r="FT25" s="119">
        <f t="shared" si="27"/>
        <v>54333.600134860171</v>
      </c>
      <c r="FU25" s="119">
        <f t="shared" si="27"/>
        <v>54333.600134860171</v>
      </c>
      <c r="FV25" s="119">
        <f t="shared" si="27"/>
        <v>54333.600134860171</v>
      </c>
      <c r="FW25" s="119">
        <f t="shared" si="27"/>
        <v>54333.600134860171</v>
      </c>
      <c r="FX25" s="119">
        <f t="shared" si="27"/>
        <v>54333.600134860171</v>
      </c>
      <c r="FY25" s="119">
        <f t="shared" si="27"/>
        <v>52496.791771801596</v>
      </c>
      <c r="FZ25" s="119">
        <f t="shared" si="27"/>
        <v>52496.791771801596</v>
      </c>
      <c r="GA25" s="119">
        <f t="shared" si="27"/>
        <v>52496.791771801596</v>
      </c>
      <c r="GB25" s="119">
        <f t="shared" si="27"/>
        <v>52496.791771801596</v>
      </c>
      <c r="GC25" s="119">
        <f t="shared" si="27"/>
        <v>52496.791771801596</v>
      </c>
      <c r="GD25" s="119">
        <f t="shared" si="27"/>
        <v>49523.059688678819</v>
      </c>
      <c r="GH25" s="123" t="s">
        <v>202</v>
      </c>
      <c r="GI25" s="103">
        <f t="shared" si="17"/>
        <v>99546.148072296957</v>
      </c>
      <c r="GJ25" s="119">
        <f t="shared" si="18"/>
        <v>99546.148072296957</v>
      </c>
      <c r="GK25" s="119">
        <f t="shared" si="18"/>
        <v>87519.796956843566</v>
      </c>
      <c r="GL25" s="119">
        <f t="shared" si="18"/>
        <v>87519.796956843566</v>
      </c>
      <c r="GM25" s="119">
        <f t="shared" si="18"/>
        <v>87519.796956843566</v>
      </c>
      <c r="GN25" s="119">
        <f t="shared" si="18"/>
        <v>87519.796956843566</v>
      </c>
      <c r="GO25" s="119">
        <f t="shared" si="18"/>
        <v>87519.796956843566</v>
      </c>
      <c r="GP25" s="119">
        <f t="shared" si="18"/>
        <v>53179.568123522782</v>
      </c>
      <c r="GQ25" s="119">
        <f t="shared" si="18"/>
        <v>53179.568123522782</v>
      </c>
      <c r="GR25" s="119">
        <f t="shared" si="18"/>
        <v>53179.568123522782</v>
      </c>
      <c r="GS25" s="119">
        <f t="shared" si="18"/>
        <v>53179.568123522782</v>
      </c>
      <c r="GT25" s="119">
        <f t="shared" si="18"/>
        <v>53179.568123522782</v>
      </c>
      <c r="GU25" s="119">
        <f t="shared" si="18"/>
        <v>47716.579660150004</v>
      </c>
      <c r="GV25" s="119">
        <f t="shared" si="18"/>
        <v>47716.579660150004</v>
      </c>
      <c r="GW25" s="119">
        <f t="shared" si="18"/>
        <v>47716.579660150004</v>
      </c>
      <c r="GX25" s="119">
        <f t="shared" si="18"/>
        <v>47716.579660150004</v>
      </c>
      <c r="GY25" s="119">
        <f t="shared" si="18"/>
        <v>47716.579660150004</v>
      </c>
      <c r="GZ25" s="119">
        <f t="shared" si="28"/>
        <v>45986.309292747232</v>
      </c>
      <c r="HA25" s="119">
        <f t="shared" si="28"/>
        <v>45986.309292747232</v>
      </c>
      <c r="HB25" s="119">
        <f t="shared" si="28"/>
        <v>45986.309292747232</v>
      </c>
      <c r="HC25" s="119">
        <f t="shared" si="28"/>
        <v>45986.309292747232</v>
      </c>
      <c r="HD25" s="119">
        <f t="shared" si="28"/>
        <v>45986.309292747232</v>
      </c>
      <c r="HE25" s="119">
        <f t="shared" si="28"/>
        <v>44155.722126515277</v>
      </c>
      <c r="HF25" s="119">
        <f t="shared" si="28"/>
        <v>44155.722126515277</v>
      </c>
      <c r="HG25" s="119">
        <f t="shared" si="28"/>
        <v>44155.722126515277</v>
      </c>
      <c r="HH25" s="119">
        <f t="shared" si="28"/>
        <v>44155.722126515277</v>
      </c>
      <c r="HI25" s="119">
        <f t="shared" si="28"/>
        <v>44155.722126515277</v>
      </c>
      <c r="HJ25" s="119">
        <f t="shared" si="28"/>
        <v>41349.962357711149</v>
      </c>
    </row>
    <row r="26" spans="17:218" x14ac:dyDescent="0.25">
      <c r="Q26" s="248" t="s">
        <v>477</v>
      </c>
      <c r="R26" s="249"/>
      <c r="S26" s="249"/>
      <c r="T26" s="249"/>
      <c r="U26" s="249"/>
      <c r="V26" s="249"/>
      <c r="W26" s="249"/>
      <c r="X26" s="250"/>
      <c r="Z26" s="83" t="s">
        <v>201</v>
      </c>
      <c r="AA26" s="114">
        <f>'US Grid mix, emissions&amp;prices'!O78</f>
        <v>125531</v>
      </c>
      <c r="AB26" s="116">
        <f t="shared" si="30"/>
        <v>125531</v>
      </c>
      <c r="AC26" s="116">
        <f t="shared" si="30"/>
        <v>110403.74106241475</v>
      </c>
      <c r="AD26" s="116">
        <f t="shared" si="30"/>
        <v>110403.74106241475</v>
      </c>
      <c r="AE26" s="116">
        <f t="shared" si="30"/>
        <v>110403.74106241475</v>
      </c>
      <c r="AF26" s="116">
        <f t="shared" si="30"/>
        <v>110403.74106241475</v>
      </c>
      <c r="AG26" s="116">
        <f t="shared" si="30"/>
        <v>110403.74106241475</v>
      </c>
      <c r="AH26" s="116">
        <f t="shared" si="30"/>
        <v>66334.728231132613</v>
      </c>
      <c r="AI26" s="116">
        <f t="shared" si="30"/>
        <v>66334.728231132613</v>
      </c>
      <c r="AJ26" s="116">
        <f t="shared" si="30"/>
        <v>66334.728231132613</v>
      </c>
      <c r="AK26" s="116">
        <f t="shared" si="30"/>
        <v>66334.728231132613</v>
      </c>
      <c r="AL26" s="116">
        <f t="shared" si="30"/>
        <v>66334.728231132613</v>
      </c>
      <c r="AM26" s="116">
        <f t="shared" si="30"/>
        <v>69417.837154460896</v>
      </c>
      <c r="AN26" s="116">
        <f t="shared" si="30"/>
        <v>69417.837154460896</v>
      </c>
      <c r="AO26" s="116">
        <f t="shared" si="30"/>
        <v>69417.837154460896</v>
      </c>
      <c r="AP26" s="116">
        <f t="shared" si="30"/>
        <v>69417.837154460896</v>
      </c>
      <c r="AQ26" s="116">
        <f t="shared" si="30"/>
        <v>69417.837154460896</v>
      </c>
      <c r="AR26" s="116">
        <f t="shared" si="22"/>
        <v>72565.7619854964</v>
      </c>
      <c r="AS26" s="116">
        <f t="shared" si="22"/>
        <v>72565.7619854964</v>
      </c>
      <c r="AT26" s="116">
        <f t="shared" si="22"/>
        <v>72565.7619854964</v>
      </c>
      <c r="AU26" s="116">
        <f t="shared" si="22"/>
        <v>72565.7619854964</v>
      </c>
      <c r="AV26" s="116">
        <f t="shared" si="22"/>
        <v>72565.7619854964</v>
      </c>
      <c r="AW26" s="116">
        <f t="shared" si="22"/>
        <v>74158.105031558021</v>
      </c>
      <c r="AX26" s="116">
        <f t="shared" si="22"/>
        <v>74158.105031558021</v>
      </c>
      <c r="AY26" s="116">
        <f t="shared" si="22"/>
        <v>74158.105031558021</v>
      </c>
      <c r="AZ26" s="116">
        <f t="shared" si="22"/>
        <v>74158.105031558021</v>
      </c>
      <c r="BA26" s="116">
        <f t="shared" si="22"/>
        <v>74158.105031558021</v>
      </c>
      <c r="BB26" s="116">
        <f t="shared" si="22"/>
        <v>74258.714798745394</v>
      </c>
      <c r="BM26" s="123" t="s">
        <v>201</v>
      </c>
      <c r="BN26" s="103">
        <f t="shared" si="23"/>
        <v>125531</v>
      </c>
      <c r="BO26" s="119">
        <f t="shared" si="10"/>
        <v>125531</v>
      </c>
      <c r="BP26" s="119">
        <f t="shared" si="10"/>
        <v>110259.59822288669</v>
      </c>
      <c r="BQ26" s="119">
        <f t="shared" si="10"/>
        <v>110259.59822288669</v>
      </c>
      <c r="BR26" s="119">
        <f t="shared" si="10"/>
        <v>110259.59822288669</v>
      </c>
      <c r="BS26" s="119">
        <f t="shared" si="10"/>
        <v>110259.59822288669</v>
      </c>
      <c r="BT26" s="119">
        <f t="shared" si="10"/>
        <v>110259.59822288669</v>
      </c>
      <c r="BU26" s="119">
        <f t="shared" si="10"/>
        <v>124986.35289493762</v>
      </c>
      <c r="BV26" s="119">
        <f t="shared" si="10"/>
        <v>124986.35289493762</v>
      </c>
      <c r="BW26" s="119">
        <f t="shared" si="10"/>
        <v>124986.35289493762</v>
      </c>
      <c r="BX26" s="119">
        <f t="shared" si="10"/>
        <v>124986.35289493762</v>
      </c>
      <c r="BY26" s="119">
        <f t="shared" si="10"/>
        <v>124986.35289493762</v>
      </c>
      <c r="BZ26" s="119">
        <f t="shared" si="10"/>
        <v>127992.06968966022</v>
      </c>
      <c r="CA26" s="119">
        <f t="shared" si="10"/>
        <v>127992.06968966022</v>
      </c>
      <c r="CB26" s="119">
        <f t="shared" si="10"/>
        <v>127992.06968966022</v>
      </c>
      <c r="CC26" s="119">
        <f t="shared" si="10"/>
        <v>127992.06968966022</v>
      </c>
      <c r="CD26" s="119">
        <f t="shared" si="10"/>
        <v>127992.06968966022</v>
      </c>
      <c r="CE26" s="119">
        <f t="shared" si="24"/>
        <v>131155.47294641688</v>
      </c>
      <c r="CF26" s="119">
        <f t="shared" si="24"/>
        <v>131155.47294641688</v>
      </c>
      <c r="CG26" s="119">
        <f t="shared" si="24"/>
        <v>131155.47294641688</v>
      </c>
      <c r="CH26" s="119">
        <f t="shared" si="24"/>
        <v>131155.47294641688</v>
      </c>
      <c r="CI26" s="119">
        <f t="shared" si="24"/>
        <v>131155.47294641688</v>
      </c>
      <c r="CJ26" s="119">
        <f t="shared" si="24"/>
        <v>131906.17659389184</v>
      </c>
      <c r="CK26" s="119">
        <f t="shared" si="24"/>
        <v>131906.17659389184</v>
      </c>
      <c r="CL26" s="119">
        <f t="shared" si="24"/>
        <v>131906.17659389184</v>
      </c>
      <c r="CM26" s="119">
        <f t="shared" si="24"/>
        <v>131906.17659389184</v>
      </c>
      <c r="CN26" s="119">
        <f t="shared" si="24"/>
        <v>131906.17659389184</v>
      </c>
      <c r="CO26" s="119">
        <f t="shared" si="24"/>
        <v>132802.95788411002</v>
      </c>
      <c r="CR26" s="123" t="s">
        <v>201</v>
      </c>
      <c r="CS26" s="103">
        <f t="shared" si="11"/>
        <v>151984.59695902467</v>
      </c>
      <c r="CT26" s="119">
        <f t="shared" si="12"/>
        <v>151984.59695902467</v>
      </c>
      <c r="CU26" s="119">
        <f t="shared" si="12"/>
        <v>151984.59695902467</v>
      </c>
      <c r="CV26" s="119">
        <f t="shared" si="12"/>
        <v>151984.59695902467</v>
      </c>
      <c r="CW26" s="119">
        <f t="shared" si="12"/>
        <v>151984.59695902467</v>
      </c>
      <c r="CX26" s="119">
        <f t="shared" si="12"/>
        <v>151984.59695902467</v>
      </c>
      <c r="CY26" s="119">
        <f t="shared" si="12"/>
        <v>151984.59695902467</v>
      </c>
      <c r="CZ26" s="119">
        <f t="shared" si="12"/>
        <v>152018.45601528964</v>
      </c>
      <c r="DA26" s="119">
        <f t="shared" si="12"/>
        <v>152018.45601528964</v>
      </c>
      <c r="DB26" s="119">
        <f t="shared" si="12"/>
        <v>152018.45601528964</v>
      </c>
      <c r="DC26" s="119">
        <f t="shared" si="12"/>
        <v>152018.45601528964</v>
      </c>
      <c r="DD26" s="119">
        <f t="shared" si="12"/>
        <v>152018.45601528964</v>
      </c>
      <c r="DE26" s="119">
        <f t="shared" si="12"/>
        <v>151999.10798313824</v>
      </c>
      <c r="DF26" s="119">
        <f t="shared" si="12"/>
        <v>151999.10798313824</v>
      </c>
      <c r="DG26" s="119">
        <f t="shared" si="12"/>
        <v>151999.10798313824</v>
      </c>
      <c r="DH26" s="119">
        <f t="shared" si="12"/>
        <v>151999.10798313824</v>
      </c>
      <c r="DI26" s="119">
        <f t="shared" si="12"/>
        <v>151999.10798313824</v>
      </c>
      <c r="DJ26" s="119">
        <f t="shared" si="25"/>
        <v>151994.27097510037</v>
      </c>
      <c r="DK26" s="119">
        <f t="shared" si="25"/>
        <v>151994.27097510037</v>
      </c>
      <c r="DL26" s="119">
        <f t="shared" si="25"/>
        <v>151994.27097510037</v>
      </c>
      <c r="DM26" s="119">
        <f t="shared" si="25"/>
        <v>151994.27097510037</v>
      </c>
      <c r="DN26" s="119">
        <f t="shared" si="25"/>
        <v>151994.27097510037</v>
      </c>
      <c r="DO26" s="119">
        <f t="shared" si="25"/>
        <v>151900.43301916603</v>
      </c>
      <c r="DP26" s="119">
        <f t="shared" si="25"/>
        <v>151900.43301916603</v>
      </c>
      <c r="DQ26" s="119">
        <f t="shared" si="25"/>
        <v>151900.43301916603</v>
      </c>
      <c r="DR26" s="119">
        <f t="shared" si="25"/>
        <v>151900.43301916603</v>
      </c>
      <c r="DS26" s="119">
        <f t="shared" si="25"/>
        <v>151900.43301916603</v>
      </c>
      <c r="DT26" s="93">
        <f t="shared" si="25"/>
        <v>151978.79254937926</v>
      </c>
      <c r="DW26" s="123" t="s">
        <v>201</v>
      </c>
      <c r="DX26" s="103">
        <f t="shared" si="13"/>
        <v>159098.86428070927</v>
      </c>
      <c r="DY26" s="119">
        <f t="shared" si="14"/>
        <v>159098.86428070927</v>
      </c>
      <c r="DZ26" s="119">
        <f t="shared" si="14"/>
        <v>139466.11010782857</v>
      </c>
      <c r="EA26" s="119">
        <f t="shared" si="14"/>
        <v>139466.11010782857</v>
      </c>
      <c r="EB26" s="119">
        <f t="shared" si="14"/>
        <v>139466.11010782857</v>
      </c>
      <c r="EC26" s="119">
        <f t="shared" si="14"/>
        <v>139466.11010782857</v>
      </c>
      <c r="ED26" s="119">
        <f t="shared" si="14"/>
        <v>139466.11010782857</v>
      </c>
      <c r="EE26" s="119">
        <f t="shared" si="14"/>
        <v>85958.01193136505</v>
      </c>
      <c r="EF26" s="119">
        <f t="shared" si="14"/>
        <v>85958.01193136505</v>
      </c>
      <c r="EG26" s="119">
        <f t="shared" si="14"/>
        <v>85958.01193136505</v>
      </c>
      <c r="EH26" s="119">
        <f t="shared" si="14"/>
        <v>85958.01193136505</v>
      </c>
      <c r="EI26" s="119">
        <f t="shared" si="14"/>
        <v>85958.01193136505</v>
      </c>
      <c r="EJ26" s="119">
        <f t="shared" si="14"/>
        <v>76770.604478073321</v>
      </c>
      <c r="EK26" s="119">
        <f t="shared" si="14"/>
        <v>76770.604478073321</v>
      </c>
      <c r="EL26" s="119">
        <f t="shared" si="14"/>
        <v>76770.604478073321</v>
      </c>
      <c r="EM26" s="119">
        <f t="shared" si="14"/>
        <v>76770.604478073321</v>
      </c>
      <c r="EN26" s="119">
        <f t="shared" si="14"/>
        <v>76770.604478073321</v>
      </c>
      <c r="EO26" s="119">
        <f t="shared" si="26"/>
        <v>74354.283522420475</v>
      </c>
      <c r="EP26" s="119">
        <f t="shared" si="26"/>
        <v>74354.283522420475</v>
      </c>
      <c r="EQ26" s="119">
        <f t="shared" si="26"/>
        <v>74354.283522420475</v>
      </c>
      <c r="ER26" s="119">
        <f t="shared" si="26"/>
        <v>74354.283522420475</v>
      </c>
      <c r="ES26" s="119">
        <f t="shared" si="26"/>
        <v>74354.283522420475</v>
      </c>
      <c r="ET26" s="119">
        <f t="shared" si="26"/>
        <v>71593.610477110866</v>
      </c>
      <c r="EU26" s="119">
        <f t="shared" si="26"/>
        <v>71593.610477110866</v>
      </c>
      <c r="EV26" s="119">
        <f t="shared" si="26"/>
        <v>71593.610477110866</v>
      </c>
      <c r="EW26" s="119">
        <f t="shared" si="26"/>
        <v>71593.610477110866</v>
      </c>
      <c r="EX26" s="119">
        <f t="shared" si="26"/>
        <v>71593.610477110866</v>
      </c>
      <c r="EY26" s="119">
        <f t="shared" si="26"/>
        <v>67264.612778568509</v>
      </c>
      <c r="FB26" s="123" t="s">
        <v>201</v>
      </c>
      <c r="FC26" s="103">
        <f t="shared" si="15"/>
        <v>172566.07627687813</v>
      </c>
      <c r="FD26" s="119">
        <f t="shared" si="16"/>
        <v>172566.07627687813</v>
      </c>
      <c r="FE26" s="119">
        <f t="shared" si="16"/>
        <v>150702.06111489484</v>
      </c>
      <c r="FF26" s="119">
        <f t="shared" si="16"/>
        <v>150702.06111489484</v>
      </c>
      <c r="FG26" s="119">
        <f t="shared" si="16"/>
        <v>150702.06111489484</v>
      </c>
      <c r="FH26" s="119">
        <f t="shared" si="16"/>
        <v>150702.06111489484</v>
      </c>
      <c r="FI26" s="119">
        <f t="shared" si="16"/>
        <v>150702.06111489484</v>
      </c>
      <c r="FJ26" s="119">
        <f t="shared" si="16"/>
        <v>94569.156704006673</v>
      </c>
      <c r="FK26" s="119">
        <f t="shared" si="16"/>
        <v>94569.156704006673</v>
      </c>
      <c r="FL26" s="119">
        <f t="shared" si="16"/>
        <v>94569.156704006673</v>
      </c>
      <c r="FM26" s="119">
        <f t="shared" si="16"/>
        <v>94569.156704006673</v>
      </c>
      <c r="FN26" s="119">
        <f t="shared" si="16"/>
        <v>94569.156704006673</v>
      </c>
      <c r="FO26" s="119">
        <f t="shared" si="16"/>
        <v>83972.716720588738</v>
      </c>
      <c r="FP26" s="119">
        <f t="shared" si="16"/>
        <v>83972.716720588738</v>
      </c>
      <c r="FQ26" s="119">
        <f t="shared" si="16"/>
        <v>83972.716720588738</v>
      </c>
      <c r="FR26" s="119">
        <f t="shared" si="16"/>
        <v>83972.716720588738</v>
      </c>
      <c r="FS26" s="119">
        <f t="shared" si="16"/>
        <v>83972.716720588738</v>
      </c>
      <c r="FT26" s="119">
        <f t="shared" si="27"/>
        <v>81835.15698037234</v>
      </c>
      <c r="FU26" s="119">
        <f t="shared" si="27"/>
        <v>81835.15698037234</v>
      </c>
      <c r="FV26" s="119">
        <f t="shared" si="27"/>
        <v>81835.15698037234</v>
      </c>
      <c r="FW26" s="119">
        <f t="shared" si="27"/>
        <v>81835.15698037234</v>
      </c>
      <c r="FX26" s="119">
        <f t="shared" si="27"/>
        <v>81835.15698037234</v>
      </c>
      <c r="FY26" s="119">
        <f t="shared" si="27"/>
        <v>79068.627607007336</v>
      </c>
      <c r="FZ26" s="119">
        <f t="shared" si="27"/>
        <v>79068.627607007336</v>
      </c>
      <c r="GA26" s="119">
        <f t="shared" si="27"/>
        <v>79068.627607007336</v>
      </c>
      <c r="GB26" s="119">
        <f t="shared" si="27"/>
        <v>79068.627607007336</v>
      </c>
      <c r="GC26" s="119">
        <f t="shared" si="27"/>
        <v>79068.627607007336</v>
      </c>
      <c r="GD26" s="119">
        <f t="shared" si="27"/>
        <v>74589.70791024706</v>
      </c>
      <c r="GH26" s="123" t="s">
        <v>201</v>
      </c>
      <c r="GI26" s="103">
        <f t="shared" si="17"/>
        <v>149932.53960841693</v>
      </c>
      <c r="GJ26" s="119">
        <f t="shared" si="18"/>
        <v>149932.53960841693</v>
      </c>
      <c r="GK26" s="119">
        <f t="shared" si="18"/>
        <v>131818.91693310373</v>
      </c>
      <c r="GL26" s="119">
        <f t="shared" si="18"/>
        <v>131818.91693310373</v>
      </c>
      <c r="GM26" s="119">
        <f t="shared" si="18"/>
        <v>131818.91693310373</v>
      </c>
      <c r="GN26" s="119">
        <f t="shared" si="18"/>
        <v>131818.91693310373</v>
      </c>
      <c r="GO26" s="119">
        <f t="shared" si="18"/>
        <v>131818.91693310373</v>
      </c>
      <c r="GP26" s="119">
        <f t="shared" si="18"/>
        <v>80096.99881353337</v>
      </c>
      <c r="GQ26" s="119">
        <f t="shared" si="18"/>
        <v>80096.99881353337</v>
      </c>
      <c r="GR26" s="119">
        <f t="shared" si="18"/>
        <v>80096.99881353337</v>
      </c>
      <c r="GS26" s="119">
        <f t="shared" si="18"/>
        <v>80096.99881353337</v>
      </c>
      <c r="GT26" s="119">
        <f t="shared" si="18"/>
        <v>80096.99881353337</v>
      </c>
      <c r="GU26" s="119">
        <f t="shared" si="18"/>
        <v>71868.857895714071</v>
      </c>
      <c r="GV26" s="119">
        <f t="shared" si="18"/>
        <v>71868.857895714071</v>
      </c>
      <c r="GW26" s="119">
        <f t="shared" si="18"/>
        <v>71868.857895714071</v>
      </c>
      <c r="GX26" s="119">
        <f t="shared" si="18"/>
        <v>71868.857895714071</v>
      </c>
      <c r="GY26" s="119">
        <f t="shared" si="18"/>
        <v>71868.857895714071</v>
      </c>
      <c r="GZ26" s="119">
        <f t="shared" si="28"/>
        <v>69262.791911066684</v>
      </c>
      <c r="HA26" s="119">
        <f t="shared" si="28"/>
        <v>69262.791911066684</v>
      </c>
      <c r="HB26" s="119">
        <f t="shared" si="28"/>
        <v>69262.791911066684</v>
      </c>
      <c r="HC26" s="119">
        <f t="shared" si="28"/>
        <v>69262.791911066684</v>
      </c>
      <c r="HD26" s="119">
        <f t="shared" si="28"/>
        <v>69262.791911066684</v>
      </c>
      <c r="HE26" s="119">
        <f t="shared" si="28"/>
        <v>66505.632662590302</v>
      </c>
      <c r="HF26" s="119">
        <f t="shared" si="28"/>
        <v>66505.632662590302</v>
      </c>
      <c r="HG26" s="119">
        <f t="shared" si="28"/>
        <v>66505.632662590302</v>
      </c>
      <c r="HH26" s="119">
        <f t="shared" si="28"/>
        <v>66505.632662590302</v>
      </c>
      <c r="HI26" s="119">
        <f t="shared" si="28"/>
        <v>66505.632662590302</v>
      </c>
      <c r="HJ26" s="119">
        <f t="shared" si="28"/>
        <v>62279.706337822761</v>
      </c>
    </row>
    <row r="27" spans="17:218" x14ac:dyDescent="0.25">
      <c r="Q27" s="235" t="s">
        <v>472</v>
      </c>
      <c r="R27" s="251"/>
      <c r="S27" s="251"/>
      <c r="T27" s="251"/>
      <c r="U27" s="251"/>
      <c r="V27" s="251"/>
      <c r="W27" s="251"/>
      <c r="X27" s="251"/>
      <c r="Z27" s="83" t="s">
        <v>204</v>
      </c>
      <c r="AA27" s="114">
        <f>'US Grid mix, emissions&amp;prices'!O79</f>
        <v>140072</v>
      </c>
      <c r="AB27" s="116">
        <f t="shared" si="30"/>
        <v>140072</v>
      </c>
      <c r="AC27" s="116">
        <f t="shared" si="30"/>
        <v>123192.46097055355</v>
      </c>
      <c r="AD27" s="116">
        <f t="shared" si="30"/>
        <v>123192.46097055355</v>
      </c>
      <c r="AE27" s="116">
        <f t="shared" si="30"/>
        <v>123192.46097055355</v>
      </c>
      <c r="AF27" s="116">
        <f t="shared" si="30"/>
        <v>123192.46097055355</v>
      </c>
      <c r="AG27" s="116">
        <f t="shared" si="30"/>
        <v>123192.46097055355</v>
      </c>
      <c r="AH27" s="116">
        <f t="shared" si="30"/>
        <v>74018.673099005086</v>
      </c>
      <c r="AI27" s="116">
        <f t="shared" si="30"/>
        <v>74018.673099005086</v>
      </c>
      <c r="AJ27" s="116">
        <f t="shared" si="30"/>
        <v>74018.673099005086</v>
      </c>
      <c r="AK27" s="116">
        <f t="shared" si="30"/>
        <v>74018.673099005086</v>
      </c>
      <c r="AL27" s="116">
        <f t="shared" si="30"/>
        <v>74018.673099005086</v>
      </c>
      <c r="AM27" s="116">
        <f t="shared" si="30"/>
        <v>77458.916808594251</v>
      </c>
      <c r="AN27" s="116">
        <f t="shared" si="30"/>
        <v>77458.916808594251</v>
      </c>
      <c r="AO27" s="116">
        <f t="shared" si="30"/>
        <v>77458.916808594251</v>
      </c>
      <c r="AP27" s="116">
        <f t="shared" si="30"/>
        <v>77458.916808594251</v>
      </c>
      <c r="AQ27" s="116">
        <f t="shared" si="30"/>
        <v>77458.916808594251</v>
      </c>
      <c r="AR27" s="116">
        <f t="shared" si="22"/>
        <v>80971.484436772211</v>
      </c>
      <c r="AS27" s="116">
        <f t="shared" si="22"/>
        <v>80971.484436772211</v>
      </c>
      <c r="AT27" s="116">
        <f t="shared" si="22"/>
        <v>80971.484436772211</v>
      </c>
      <c r="AU27" s="116">
        <f t="shared" si="22"/>
        <v>80971.484436772211</v>
      </c>
      <c r="AV27" s="116">
        <f t="shared" si="22"/>
        <v>80971.484436772211</v>
      </c>
      <c r="AW27" s="116">
        <f t="shared" si="22"/>
        <v>82748.278018819212</v>
      </c>
      <c r="AX27" s="116">
        <f t="shared" si="22"/>
        <v>82748.278018819212</v>
      </c>
      <c r="AY27" s="116">
        <f t="shared" si="22"/>
        <v>82748.278018819212</v>
      </c>
      <c r="AZ27" s="116">
        <f t="shared" si="22"/>
        <v>82748.278018819212</v>
      </c>
      <c r="BA27" s="116">
        <f t="shared" si="22"/>
        <v>82748.278018819212</v>
      </c>
      <c r="BB27" s="116">
        <f t="shared" si="22"/>
        <v>82860.542011852565</v>
      </c>
      <c r="BM27" s="123" t="s">
        <v>204</v>
      </c>
      <c r="BN27" s="103">
        <f t="shared" si="23"/>
        <v>140072</v>
      </c>
      <c r="BO27" s="119">
        <f t="shared" si="10"/>
        <v>140072</v>
      </c>
      <c r="BP27" s="119">
        <f t="shared" si="10"/>
        <v>123031.62121130385</v>
      </c>
      <c r="BQ27" s="119">
        <f t="shared" si="10"/>
        <v>123031.62121130385</v>
      </c>
      <c r="BR27" s="119">
        <f t="shared" si="10"/>
        <v>123031.62121130385</v>
      </c>
      <c r="BS27" s="119">
        <f t="shared" si="10"/>
        <v>123031.62121130385</v>
      </c>
      <c r="BT27" s="119">
        <f t="shared" si="10"/>
        <v>123031.62121130385</v>
      </c>
      <c r="BU27" s="119">
        <f t="shared" si="10"/>
        <v>139464.26319155988</v>
      </c>
      <c r="BV27" s="119">
        <f t="shared" si="10"/>
        <v>139464.26319155988</v>
      </c>
      <c r="BW27" s="119">
        <f t="shared" si="10"/>
        <v>139464.26319155988</v>
      </c>
      <c r="BX27" s="119">
        <f t="shared" si="10"/>
        <v>139464.26319155988</v>
      </c>
      <c r="BY27" s="119">
        <f t="shared" si="10"/>
        <v>139464.26319155988</v>
      </c>
      <c r="BZ27" s="119">
        <f t="shared" si="10"/>
        <v>142818.14998343107</v>
      </c>
      <c r="CA27" s="119">
        <f t="shared" si="10"/>
        <v>142818.14998343107</v>
      </c>
      <c r="CB27" s="119">
        <f t="shared" si="10"/>
        <v>142818.14998343107</v>
      </c>
      <c r="CC27" s="119">
        <f t="shared" si="10"/>
        <v>142818.14998343107</v>
      </c>
      <c r="CD27" s="119">
        <f t="shared" si="10"/>
        <v>142818.14998343107</v>
      </c>
      <c r="CE27" s="119">
        <f t="shared" si="24"/>
        <v>146347.98899515264</v>
      </c>
      <c r="CF27" s="119">
        <f t="shared" si="24"/>
        <v>146347.98899515264</v>
      </c>
      <c r="CG27" s="119">
        <f t="shared" si="24"/>
        <v>146347.98899515264</v>
      </c>
      <c r="CH27" s="119">
        <f t="shared" si="24"/>
        <v>146347.98899515264</v>
      </c>
      <c r="CI27" s="119">
        <f t="shared" si="24"/>
        <v>146347.98899515264</v>
      </c>
      <c r="CJ27" s="119">
        <f t="shared" si="24"/>
        <v>147185.65109701682</v>
      </c>
      <c r="CK27" s="119">
        <f t="shared" si="24"/>
        <v>147185.65109701682</v>
      </c>
      <c r="CL27" s="119">
        <f t="shared" si="24"/>
        <v>147185.65109701682</v>
      </c>
      <c r="CM27" s="119">
        <f t="shared" si="24"/>
        <v>147185.65109701682</v>
      </c>
      <c r="CN27" s="119">
        <f t="shared" si="24"/>
        <v>147185.65109701682</v>
      </c>
      <c r="CO27" s="119">
        <f t="shared" si="24"/>
        <v>148186.31188107366</v>
      </c>
      <c r="CR27" s="123" t="s">
        <v>204</v>
      </c>
      <c r="CS27" s="103">
        <f t="shared" si="11"/>
        <v>169589.87393746965</v>
      </c>
      <c r="CT27" s="119">
        <f t="shared" si="12"/>
        <v>169589.87393746967</v>
      </c>
      <c r="CU27" s="119">
        <f t="shared" si="12"/>
        <v>169589.87393746967</v>
      </c>
      <c r="CV27" s="119">
        <f t="shared" si="12"/>
        <v>169589.87393746967</v>
      </c>
      <c r="CW27" s="119">
        <f t="shared" si="12"/>
        <v>169589.87393746967</v>
      </c>
      <c r="CX27" s="119">
        <f t="shared" si="12"/>
        <v>169589.87393746967</v>
      </c>
      <c r="CY27" s="119">
        <f t="shared" si="12"/>
        <v>169589.87393746967</v>
      </c>
      <c r="CZ27" s="119">
        <f t="shared" si="12"/>
        <v>169627.65508897125</v>
      </c>
      <c r="DA27" s="119">
        <f t="shared" si="12"/>
        <v>169627.65508897125</v>
      </c>
      <c r="DB27" s="119">
        <f t="shared" si="12"/>
        <v>169627.65508897125</v>
      </c>
      <c r="DC27" s="119">
        <f t="shared" si="12"/>
        <v>169627.65508897125</v>
      </c>
      <c r="DD27" s="119">
        <f t="shared" si="12"/>
        <v>169627.65508897125</v>
      </c>
      <c r="DE27" s="119">
        <f t="shared" si="12"/>
        <v>169606.06585954179</v>
      </c>
      <c r="DF27" s="119">
        <f t="shared" si="12"/>
        <v>169606.06585954179</v>
      </c>
      <c r="DG27" s="119">
        <f t="shared" si="12"/>
        <v>169606.06585954179</v>
      </c>
      <c r="DH27" s="119">
        <f t="shared" si="12"/>
        <v>169606.06585954179</v>
      </c>
      <c r="DI27" s="119">
        <f t="shared" si="12"/>
        <v>169606.06585954179</v>
      </c>
      <c r="DJ27" s="119">
        <f t="shared" si="25"/>
        <v>169600.66855218439</v>
      </c>
      <c r="DK27" s="119">
        <f t="shared" si="25"/>
        <v>169600.66855218439</v>
      </c>
      <c r="DL27" s="119">
        <f t="shared" si="25"/>
        <v>169600.66855218439</v>
      </c>
      <c r="DM27" s="119">
        <f t="shared" si="25"/>
        <v>169600.66855218439</v>
      </c>
      <c r="DN27" s="119">
        <f t="shared" si="25"/>
        <v>169600.66855218439</v>
      </c>
      <c r="DO27" s="119">
        <f t="shared" si="25"/>
        <v>169495.96078945138</v>
      </c>
      <c r="DP27" s="119">
        <f t="shared" si="25"/>
        <v>169495.96078945138</v>
      </c>
      <c r="DQ27" s="119">
        <f t="shared" si="25"/>
        <v>169495.96078945138</v>
      </c>
      <c r="DR27" s="119">
        <f t="shared" si="25"/>
        <v>169495.96078945138</v>
      </c>
      <c r="DS27" s="119">
        <f t="shared" si="25"/>
        <v>169495.96078945138</v>
      </c>
      <c r="DT27" s="93">
        <f t="shared" si="25"/>
        <v>169583.3971686408</v>
      </c>
      <c r="DW27" s="123" t="s">
        <v>204</v>
      </c>
      <c r="DX27" s="103">
        <f t="shared" si="13"/>
        <v>177528.22902332895</v>
      </c>
      <c r="DY27" s="119">
        <f t="shared" si="14"/>
        <v>177528.22902332895</v>
      </c>
      <c r="DZ27" s="119">
        <f t="shared" si="14"/>
        <v>155621.29653251998</v>
      </c>
      <c r="EA27" s="119">
        <f t="shared" si="14"/>
        <v>155621.29653251998</v>
      </c>
      <c r="EB27" s="119">
        <f t="shared" si="14"/>
        <v>155621.29653251998</v>
      </c>
      <c r="EC27" s="119">
        <f t="shared" si="14"/>
        <v>155621.29653251998</v>
      </c>
      <c r="ED27" s="119">
        <f t="shared" si="14"/>
        <v>155621.29653251998</v>
      </c>
      <c r="EE27" s="119">
        <f t="shared" si="14"/>
        <v>95915.038096168792</v>
      </c>
      <c r="EF27" s="119">
        <f t="shared" si="14"/>
        <v>95915.038096168792</v>
      </c>
      <c r="EG27" s="119">
        <f t="shared" si="14"/>
        <v>95915.038096168792</v>
      </c>
      <c r="EH27" s="119">
        <f t="shared" si="14"/>
        <v>95915.038096168792</v>
      </c>
      <c r="EI27" s="119">
        <f t="shared" si="14"/>
        <v>95915.038096168792</v>
      </c>
      <c r="EJ27" s="119">
        <f t="shared" si="14"/>
        <v>85663.398765664926</v>
      </c>
      <c r="EK27" s="119">
        <f t="shared" si="14"/>
        <v>85663.398765664926</v>
      </c>
      <c r="EL27" s="119">
        <f t="shared" si="14"/>
        <v>85663.398765664926</v>
      </c>
      <c r="EM27" s="119">
        <f t="shared" si="14"/>
        <v>85663.398765664926</v>
      </c>
      <c r="EN27" s="119">
        <f t="shared" si="14"/>
        <v>85663.398765664926</v>
      </c>
      <c r="EO27" s="119">
        <f t="shared" si="26"/>
        <v>82967.181027415383</v>
      </c>
      <c r="EP27" s="119">
        <f t="shared" si="26"/>
        <v>82967.181027415383</v>
      </c>
      <c r="EQ27" s="119">
        <f t="shared" si="26"/>
        <v>82967.181027415383</v>
      </c>
      <c r="ER27" s="119">
        <f t="shared" si="26"/>
        <v>82967.181027415383</v>
      </c>
      <c r="ES27" s="119">
        <f t="shared" si="26"/>
        <v>82967.181027415383</v>
      </c>
      <c r="ET27" s="119">
        <f t="shared" si="26"/>
        <v>79886.722855309621</v>
      </c>
      <c r="EU27" s="119">
        <f t="shared" si="26"/>
        <v>79886.722855309621</v>
      </c>
      <c r="EV27" s="119">
        <f t="shared" si="26"/>
        <v>79886.722855309621</v>
      </c>
      <c r="EW27" s="119">
        <f t="shared" si="26"/>
        <v>79886.722855309621</v>
      </c>
      <c r="EX27" s="119">
        <f t="shared" si="26"/>
        <v>79886.722855309621</v>
      </c>
      <c r="EY27" s="119">
        <f t="shared" si="26"/>
        <v>75056.271686831518</v>
      </c>
      <c r="FB27" s="123" t="s">
        <v>204</v>
      </c>
      <c r="FC27" s="103">
        <f t="shared" si="15"/>
        <v>192555.42803176006</v>
      </c>
      <c r="FD27" s="119">
        <f t="shared" si="16"/>
        <v>192555.42803176006</v>
      </c>
      <c r="FE27" s="119">
        <f t="shared" si="16"/>
        <v>168158.77436239296</v>
      </c>
      <c r="FF27" s="119">
        <f t="shared" si="16"/>
        <v>168158.77436239296</v>
      </c>
      <c r="FG27" s="119">
        <f t="shared" si="16"/>
        <v>168158.77436239296</v>
      </c>
      <c r="FH27" s="119">
        <f t="shared" si="16"/>
        <v>168158.77436239296</v>
      </c>
      <c r="FI27" s="119">
        <f t="shared" si="16"/>
        <v>168158.77436239296</v>
      </c>
      <c r="FJ27" s="119">
        <f t="shared" si="16"/>
        <v>105523.66282307655</v>
      </c>
      <c r="FK27" s="119">
        <f t="shared" si="16"/>
        <v>105523.66282307655</v>
      </c>
      <c r="FL27" s="119">
        <f t="shared" si="16"/>
        <v>105523.66282307655</v>
      </c>
      <c r="FM27" s="119">
        <f t="shared" si="16"/>
        <v>105523.66282307655</v>
      </c>
      <c r="FN27" s="119">
        <f t="shared" si="16"/>
        <v>105523.66282307655</v>
      </c>
      <c r="FO27" s="119">
        <f t="shared" si="16"/>
        <v>93699.774370365136</v>
      </c>
      <c r="FP27" s="119">
        <f t="shared" si="16"/>
        <v>93699.774370365136</v>
      </c>
      <c r="FQ27" s="119">
        <f t="shared" si="16"/>
        <v>93699.774370365136</v>
      </c>
      <c r="FR27" s="119">
        <f t="shared" si="16"/>
        <v>93699.774370365136</v>
      </c>
      <c r="FS27" s="119">
        <f t="shared" si="16"/>
        <v>93699.774370365136</v>
      </c>
      <c r="FT27" s="119">
        <f t="shared" si="27"/>
        <v>91314.608411903944</v>
      </c>
      <c r="FU27" s="119">
        <f t="shared" si="27"/>
        <v>91314.608411903944</v>
      </c>
      <c r="FV27" s="119">
        <f t="shared" si="27"/>
        <v>91314.608411903944</v>
      </c>
      <c r="FW27" s="119">
        <f t="shared" si="27"/>
        <v>91314.608411903944</v>
      </c>
      <c r="FX27" s="119">
        <f t="shared" si="27"/>
        <v>91314.608411903944</v>
      </c>
      <c r="FY27" s="119">
        <f t="shared" si="27"/>
        <v>88227.615538542115</v>
      </c>
      <c r="FZ27" s="119">
        <f t="shared" si="27"/>
        <v>88227.615538542115</v>
      </c>
      <c r="GA27" s="119">
        <f t="shared" si="27"/>
        <v>88227.615538542115</v>
      </c>
      <c r="GB27" s="119">
        <f t="shared" si="27"/>
        <v>88227.615538542115</v>
      </c>
      <c r="GC27" s="119">
        <f t="shared" si="27"/>
        <v>88227.615538542115</v>
      </c>
      <c r="GD27" s="119">
        <f t="shared" si="27"/>
        <v>83229.876017908929</v>
      </c>
      <c r="GH27" s="123" t="s">
        <v>204</v>
      </c>
      <c r="GI27" s="103">
        <f t="shared" si="17"/>
        <v>167300.1146173469</v>
      </c>
      <c r="GJ27" s="119">
        <f t="shared" si="18"/>
        <v>167300.1146173469</v>
      </c>
      <c r="GK27" s="119">
        <f t="shared" si="18"/>
        <v>147088.28363235935</v>
      </c>
      <c r="GL27" s="119">
        <f t="shared" si="18"/>
        <v>147088.28363235935</v>
      </c>
      <c r="GM27" s="119">
        <f t="shared" si="18"/>
        <v>147088.28363235935</v>
      </c>
      <c r="GN27" s="119">
        <f t="shared" si="18"/>
        <v>147088.28363235935</v>
      </c>
      <c r="GO27" s="119">
        <f t="shared" si="18"/>
        <v>147088.28363235935</v>
      </c>
      <c r="GP27" s="119">
        <f t="shared" si="18"/>
        <v>89375.10907910591</v>
      </c>
      <c r="GQ27" s="119">
        <f t="shared" si="18"/>
        <v>89375.10907910591</v>
      </c>
      <c r="GR27" s="119">
        <f t="shared" si="18"/>
        <v>89375.10907910591</v>
      </c>
      <c r="GS27" s="119">
        <f t="shared" si="18"/>
        <v>89375.10907910591</v>
      </c>
      <c r="GT27" s="119">
        <f t="shared" si="18"/>
        <v>89375.10907910591</v>
      </c>
      <c r="GU27" s="119">
        <f t="shared" si="18"/>
        <v>80193.853814344358</v>
      </c>
      <c r="GV27" s="119">
        <f t="shared" si="18"/>
        <v>80193.853814344358</v>
      </c>
      <c r="GW27" s="119">
        <f t="shared" si="18"/>
        <v>80193.853814344358</v>
      </c>
      <c r="GX27" s="119">
        <f t="shared" si="18"/>
        <v>80193.853814344358</v>
      </c>
      <c r="GY27" s="119">
        <f t="shared" si="18"/>
        <v>80193.853814344358</v>
      </c>
      <c r="GZ27" s="119">
        <f t="shared" si="28"/>
        <v>77285.911755398512</v>
      </c>
      <c r="HA27" s="119">
        <f t="shared" si="28"/>
        <v>77285.911755398512</v>
      </c>
      <c r="HB27" s="119">
        <f t="shared" si="28"/>
        <v>77285.911755398512</v>
      </c>
      <c r="HC27" s="119">
        <f t="shared" si="28"/>
        <v>77285.911755398512</v>
      </c>
      <c r="HD27" s="119">
        <f t="shared" si="28"/>
        <v>77285.911755398512</v>
      </c>
      <c r="HE27" s="119">
        <f t="shared" si="28"/>
        <v>74209.374404046393</v>
      </c>
      <c r="HF27" s="119">
        <f t="shared" si="28"/>
        <v>74209.374404046393</v>
      </c>
      <c r="HG27" s="119">
        <f t="shared" si="28"/>
        <v>74209.374404046393</v>
      </c>
      <c r="HH27" s="119">
        <f t="shared" si="28"/>
        <v>74209.374404046393</v>
      </c>
      <c r="HI27" s="119">
        <f t="shared" si="28"/>
        <v>74209.374404046393</v>
      </c>
      <c r="HJ27" s="119">
        <f t="shared" si="28"/>
        <v>69493.933977674911</v>
      </c>
    </row>
    <row r="28" spans="17:218" x14ac:dyDescent="0.25">
      <c r="Q28" s="37"/>
      <c r="R28" s="122" t="s">
        <v>467</v>
      </c>
      <c r="S28" s="122" t="s">
        <v>468</v>
      </c>
      <c r="T28" s="122" t="s">
        <v>469</v>
      </c>
      <c r="U28" s="122" t="s">
        <v>470</v>
      </c>
      <c r="V28" s="122" t="s">
        <v>261</v>
      </c>
      <c r="W28" s="122" t="s">
        <v>471</v>
      </c>
      <c r="X28" s="37" t="s">
        <v>453</v>
      </c>
      <c r="Z28" s="83" t="s">
        <v>205</v>
      </c>
      <c r="AA28" s="114">
        <f>'US Grid mix, emissions&amp;prices'!O80</f>
        <v>114494</v>
      </c>
      <c r="AB28" s="116">
        <f t="shared" si="30"/>
        <v>114494</v>
      </c>
      <c r="AC28" s="116">
        <f t="shared" si="30"/>
        <v>100696.76756498485</v>
      </c>
      <c r="AD28" s="116">
        <f t="shared" si="30"/>
        <v>100696.76756498485</v>
      </c>
      <c r="AE28" s="116">
        <f t="shared" si="30"/>
        <v>100696.76756498485</v>
      </c>
      <c r="AF28" s="116">
        <f t="shared" si="30"/>
        <v>100696.76756498485</v>
      </c>
      <c r="AG28" s="116">
        <f t="shared" si="30"/>
        <v>100696.76756498485</v>
      </c>
      <c r="AH28" s="116">
        <f t="shared" si="30"/>
        <v>60502.4127434283</v>
      </c>
      <c r="AI28" s="116">
        <f t="shared" si="30"/>
        <v>60502.4127434283</v>
      </c>
      <c r="AJ28" s="116">
        <f t="shared" si="30"/>
        <v>60502.4127434283</v>
      </c>
      <c r="AK28" s="116">
        <f t="shared" si="30"/>
        <v>60502.4127434283</v>
      </c>
      <c r="AL28" s="116">
        <f t="shared" si="30"/>
        <v>60502.4127434283</v>
      </c>
      <c r="AM28" s="116">
        <f t="shared" si="30"/>
        <v>63314.44700641949</v>
      </c>
      <c r="AN28" s="116">
        <f t="shared" si="30"/>
        <v>63314.44700641949</v>
      </c>
      <c r="AO28" s="116">
        <f t="shared" si="30"/>
        <v>63314.44700641949</v>
      </c>
      <c r="AP28" s="116">
        <f t="shared" si="30"/>
        <v>63314.44700641949</v>
      </c>
      <c r="AQ28" s="116">
        <f t="shared" si="30"/>
        <v>63314.44700641949</v>
      </c>
      <c r="AR28" s="116">
        <f t="shared" si="22"/>
        <v>66185.598400135626</v>
      </c>
      <c r="AS28" s="116">
        <f t="shared" si="22"/>
        <v>66185.598400135626</v>
      </c>
      <c r="AT28" s="116">
        <f t="shared" si="22"/>
        <v>66185.598400135626</v>
      </c>
      <c r="AU28" s="116">
        <f t="shared" si="22"/>
        <v>66185.598400135626</v>
      </c>
      <c r="AV28" s="116">
        <f t="shared" si="22"/>
        <v>66185.598400135626</v>
      </c>
      <c r="AW28" s="116">
        <f t="shared" si="22"/>
        <v>67637.938656453014</v>
      </c>
      <c r="AX28" s="116">
        <f t="shared" si="22"/>
        <v>67637.938656453014</v>
      </c>
      <c r="AY28" s="116">
        <f t="shared" si="22"/>
        <v>67637.938656453014</v>
      </c>
      <c r="AZ28" s="116">
        <f t="shared" si="22"/>
        <v>67637.938656453014</v>
      </c>
      <c r="BA28" s="116">
        <f t="shared" si="22"/>
        <v>67637.938656453014</v>
      </c>
      <c r="BB28" s="116">
        <f t="shared" si="22"/>
        <v>67729.702560861901</v>
      </c>
      <c r="BM28" s="123" t="s">
        <v>205</v>
      </c>
      <c r="BN28" s="103">
        <f t="shared" si="23"/>
        <v>114494</v>
      </c>
      <c r="BO28" s="119">
        <f t="shared" si="10"/>
        <v>114494</v>
      </c>
      <c r="BP28" s="119">
        <f t="shared" si="10"/>
        <v>100565.29812501445</v>
      </c>
      <c r="BQ28" s="119">
        <f t="shared" si="10"/>
        <v>100565.29812501445</v>
      </c>
      <c r="BR28" s="119">
        <f t="shared" si="10"/>
        <v>100565.29812501445</v>
      </c>
      <c r="BS28" s="119">
        <f t="shared" si="10"/>
        <v>100565.29812501445</v>
      </c>
      <c r="BT28" s="119">
        <f t="shared" si="10"/>
        <v>100565.29812501445</v>
      </c>
      <c r="BU28" s="119">
        <f t="shared" si="10"/>
        <v>113997.23963286349</v>
      </c>
      <c r="BV28" s="119">
        <f t="shared" si="10"/>
        <v>113997.23963286349</v>
      </c>
      <c r="BW28" s="119">
        <f t="shared" si="10"/>
        <v>113997.23963286349</v>
      </c>
      <c r="BX28" s="119">
        <f t="shared" si="10"/>
        <v>113997.23963286349</v>
      </c>
      <c r="BY28" s="119">
        <f t="shared" si="10"/>
        <v>113997.23963286349</v>
      </c>
      <c r="BZ28" s="119">
        <f t="shared" si="10"/>
        <v>116738.68627707862</v>
      </c>
      <c r="CA28" s="119">
        <f t="shared" si="10"/>
        <v>116738.68627707862</v>
      </c>
      <c r="CB28" s="119">
        <f t="shared" si="10"/>
        <v>116738.68627707862</v>
      </c>
      <c r="CC28" s="119">
        <f t="shared" si="10"/>
        <v>116738.68627707862</v>
      </c>
      <c r="CD28" s="119">
        <f t="shared" si="10"/>
        <v>116738.68627707862</v>
      </c>
      <c r="CE28" s="119">
        <f t="shared" si="24"/>
        <v>119623.95519454998</v>
      </c>
      <c r="CF28" s="119">
        <f t="shared" si="24"/>
        <v>119623.95519454998</v>
      </c>
      <c r="CG28" s="119">
        <f t="shared" si="24"/>
        <v>119623.95519454998</v>
      </c>
      <c r="CH28" s="119">
        <f t="shared" si="24"/>
        <v>119623.95519454998</v>
      </c>
      <c r="CI28" s="119">
        <f t="shared" si="24"/>
        <v>119623.95519454998</v>
      </c>
      <c r="CJ28" s="119">
        <f t="shared" si="24"/>
        <v>120308.65509667774</v>
      </c>
      <c r="CK28" s="119">
        <f t="shared" si="24"/>
        <v>120308.65509667774</v>
      </c>
      <c r="CL28" s="119">
        <f t="shared" si="24"/>
        <v>120308.65509667774</v>
      </c>
      <c r="CM28" s="119">
        <f t="shared" si="24"/>
        <v>120308.65509667774</v>
      </c>
      <c r="CN28" s="119">
        <f t="shared" si="24"/>
        <v>120308.65509667774</v>
      </c>
      <c r="CO28" s="119">
        <f t="shared" si="24"/>
        <v>121126.5891292453</v>
      </c>
      <c r="CR28" s="123" t="s">
        <v>205</v>
      </c>
      <c r="CS28" s="103">
        <f t="shared" si="11"/>
        <v>138621.73044289116</v>
      </c>
      <c r="CT28" s="119">
        <f t="shared" si="12"/>
        <v>138621.73044289116</v>
      </c>
      <c r="CU28" s="119">
        <f t="shared" si="12"/>
        <v>138621.73044289116</v>
      </c>
      <c r="CV28" s="119">
        <f t="shared" si="12"/>
        <v>138621.73044289116</v>
      </c>
      <c r="CW28" s="119">
        <f t="shared" si="12"/>
        <v>138621.73044289116</v>
      </c>
      <c r="CX28" s="119">
        <f t="shared" si="12"/>
        <v>138621.73044289116</v>
      </c>
      <c r="CY28" s="119">
        <f t="shared" si="12"/>
        <v>138621.73044289116</v>
      </c>
      <c r="CZ28" s="119">
        <f t="shared" si="12"/>
        <v>138652.61252610569</v>
      </c>
      <c r="DA28" s="119">
        <f t="shared" si="12"/>
        <v>138652.61252610569</v>
      </c>
      <c r="DB28" s="119">
        <f t="shared" si="12"/>
        <v>138652.61252610569</v>
      </c>
      <c r="DC28" s="119">
        <f t="shared" si="12"/>
        <v>138652.61252610569</v>
      </c>
      <c r="DD28" s="119">
        <f t="shared" si="12"/>
        <v>138652.61252610569</v>
      </c>
      <c r="DE28" s="119">
        <f t="shared" si="12"/>
        <v>138634.96562141168</v>
      </c>
      <c r="DF28" s="119">
        <f t="shared" si="12"/>
        <v>138634.96562141168</v>
      </c>
      <c r="DG28" s="119">
        <f t="shared" si="12"/>
        <v>138634.96562141168</v>
      </c>
      <c r="DH28" s="119">
        <f t="shared" si="12"/>
        <v>138634.96562141168</v>
      </c>
      <c r="DI28" s="119">
        <f t="shared" si="12"/>
        <v>138634.96562141168</v>
      </c>
      <c r="DJ28" s="119">
        <f t="shared" si="25"/>
        <v>138630.55389523818</v>
      </c>
      <c r="DK28" s="119">
        <f t="shared" si="25"/>
        <v>138630.55389523818</v>
      </c>
      <c r="DL28" s="119">
        <f t="shared" si="25"/>
        <v>138630.55389523818</v>
      </c>
      <c r="DM28" s="119">
        <f t="shared" si="25"/>
        <v>138630.55389523818</v>
      </c>
      <c r="DN28" s="119">
        <f t="shared" si="25"/>
        <v>138630.55389523818</v>
      </c>
      <c r="DO28" s="119">
        <f t="shared" si="25"/>
        <v>138544.96640747221</v>
      </c>
      <c r="DP28" s="119">
        <f t="shared" si="25"/>
        <v>138544.96640747221</v>
      </c>
      <c r="DQ28" s="119">
        <f t="shared" si="25"/>
        <v>138544.96640747221</v>
      </c>
      <c r="DR28" s="119">
        <f t="shared" si="25"/>
        <v>138544.96640747221</v>
      </c>
      <c r="DS28" s="119">
        <f t="shared" si="25"/>
        <v>138544.96640747221</v>
      </c>
      <c r="DT28" s="93">
        <f t="shared" si="25"/>
        <v>138616.43637148297</v>
      </c>
      <c r="DW28" s="123" t="s">
        <v>205</v>
      </c>
      <c r="DX28" s="103">
        <f t="shared" si="13"/>
        <v>145110.49355900555</v>
      </c>
      <c r="DY28" s="119">
        <f t="shared" si="14"/>
        <v>145110.49355900555</v>
      </c>
      <c r="DZ28" s="119">
        <f t="shared" si="14"/>
        <v>127203.90031693944</v>
      </c>
      <c r="EA28" s="119">
        <f t="shared" si="14"/>
        <v>127203.90031693944</v>
      </c>
      <c r="EB28" s="119">
        <f t="shared" si="14"/>
        <v>127203.90031693944</v>
      </c>
      <c r="EC28" s="119">
        <f t="shared" si="14"/>
        <v>127203.90031693944</v>
      </c>
      <c r="ED28" s="119">
        <f t="shared" si="14"/>
        <v>127203.90031693944</v>
      </c>
      <c r="EE28" s="119">
        <f t="shared" si="14"/>
        <v>78400.368180526799</v>
      </c>
      <c r="EF28" s="119">
        <f t="shared" si="14"/>
        <v>78400.368180526799</v>
      </c>
      <c r="EG28" s="119">
        <f t="shared" si="14"/>
        <v>78400.368180526799</v>
      </c>
      <c r="EH28" s="119">
        <f t="shared" si="14"/>
        <v>78400.368180526799</v>
      </c>
      <c r="EI28" s="119">
        <f t="shared" si="14"/>
        <v>78400.368180526799</v>
      </c>
      <c r="EJ28" s="119">
        <f t="shared" si="14"/>
        <v>70020.740606802516</v>
      </c>
      <c r="EK28" s="119">
        <f t="shared" si="14"/>
        <v>70020.740606802516</v>
      </c>
      <c r="EL28" s="119">
        <f t="shared" si="14"/>
        <v>70020.740606802516</v>
      </c>
      <c r="EM28" s="119">
        <f t="shared" si="14"/>
        <v>70020.740606802516</v>
      </c>
      <c r="EN28" s="119">
        <f t="shared" si="14"/>
        <v>70020.740606802516</v>
      </c>
      <c r="EO28" s="119">
        <f t="shared" si="26"/>
        <v>67816.868642932895</v>
      </c>
      <c r="EP28" s="119">
        <f t="shared" si="26"/>
        <v>67816.868642932895</v>
      </c>
      <c r="EQ28" s="119">
        <f t="shared" si="26"/>
        <v>67816.868642932895</v>
      </c>
      <c r="ER28" s="119">
        <f t="shared" si="26"/>
        <v>67816.868642932895</v>
      </c>
      <c r="ES28" s="119">
        <f t="shared" si="26"/>
        <v>67816.868642932895</v>
      </c>
      <c r="ET28" s="119">
        <f t="shared" si="26"/>
        <v>65298.920887799279</v>
      </c>
      <c r="EU28" s="119">
        <f t="shared" si="26"/>
        <v>65298.920887799279</v>
      </c>
      <c r="EV28" s="119">
        <f t="shared" si="26"/>
        <v>65298.920887799279</v>
      </c>
      <c r="EW28" s="119">
        <f t="shared" si="26"/>
        <v>65298.920887799279</v>
      </c>
      <c r="EX28" s="119">
        <f t="shared" si="26"/>
        <v>65298.920887799279</v>
      </c>
      <c r="EY28" s="119">
        <f t="shared" si="26"/>
        <v>61350.539511908792</v>
      </c>
      <c r="FB28" s="123" t="s">
        <v>205</v>
      </c>
      <c r="FC28" s="103">
        <f t="shared" si="15"/>
        <v>157393.63453843977</v>
      </c>
      <c r="FD28" s="119">
        <f t="shared" si="16"/>
        <v>157393.63453843977</v>
      </c>
      <c r="FE28" s="119">
        <f t="shared" si="16"/>
        <v>137451.95836318334</v>
      </c>
      <c r="FF28" s="119">
        <f t="shared" si="16"/>
        <v>137451.95836318334</v>
      </c>
      <c r="FG28" s="119">
        <f t="shared" si="16"/>
        <v>137451.95836318334</v>
      </c>
      <c r="FH28" s="119">
        <f t="shared" si="16"/>
        <v>137451.95836318334</v>
      </c>
      <c r="FI28" s="119">
        <f t="shared" si="16"/>
        <v>137451.95836318334</v>
      </c>
      <c r="FJ28" s="119">
        <f t="shared" si="16"/>
        <v>86254.399532135809</v>
      </c>
      <c r="FK28" s="119">
        <f t="shared" si="16"/>
        <v>86254.399532135809</v>
      </c>
      <c r="FL28" s="119">
        <f t="shared" si="16"/>
        <v>86254.399532135809</v>
      </c>
      <c r="FM28" s="119">
        <f t="shared" si="16"/>
        <v>86254.399532135809</v>
      </c>
      <c r="FN28" s="119">
        <f t="shared" si="16"/>
        <v>86254.399532135809</v>
      </c>
      <c r="FO28" s="119">
        <f t="shared" si="16"/>
        <v>76589.625098239369</v>
      </c>
      <c r="FP28" s="119">
        <f t="shared" si="16"/>
        <v>76589.625098239369</v>
      </c>
      <c r="FQ28" s="119">
        <f t="shared" si="16"/>
        <v>76589.625098239369</v>
      </c>
      <c r="FR28" s="119">
        <f t="shared" si="16"/>
        <v>76589.625098239369</v>
      </c>
      <c r="FS28" s="119">
        <f t="shared" si="16"/>
        <v>76589.625098239369</v>
      </c>
      <c r="FT28" s="119">
        <f t="shared" si="27"/>
        <v>74640.004965393004</v>
      </c>
      <c r="FU28" s="119">
        <f t="shared" si="27"/>
        <v>74640.004965393004</v>
      </c>
      <c r="FV28" s="119">
        <f t="shared" si="27"/>
        <v>74640.004965393004</v>
      </c>
      <c r="FW28" s="119">
        <f t="shared" si="27"/>
        <v>74640.004965393004</v>
      </c>
      <c r="FX28" s="119">
        <f t="shared" si="27"/>
        <v>74640.004965393004</v>
      </c>
      <c r="FY28" s="119">
        <f t="shared" si="27"/>
        <v>72116.715785237888</v>
      </c>
      <c r="FZ28" s="119">
        <f t="shared" si="27"/>
        <v>72116.715785237888</v>
      </c>
      <c r="GA28" s="119">
        <f t="shared" si="27"/>
        <v>72116.715785237888</v>
      </c>
      <c r="GB28" s="119">
        <f t="shared" si="27"/>
        <v>72116.715785237888</v>
      </c>
      <c r="GC28" s="119">
        <f t="shared" si="27"/>
        <v>72116.715785237888</v>
      </c>
      <c r="GD28" s="119">
        <f t="shared" si="27"/>
        <v>68031.593928797069</v>
      </c>
      <c r="GH28" s="123" t="s">
        <v>205</v>
      </c>
      <c r="GI28" s="103">
        <f t="shared" si="17"/>
        <v>136750.09511535865</v>
      </c>
      <c r="GJ28" s="119">
        <f t="shared" si="18"/>
        <v>136750.09511535865</v>
      </c>
      <c r="GK28" s="119">
        <f t="shared" si="18"/>
        <v>120229.06752386881</v>
      </c>
      <c r="GL28" s="119">
        <f t="shared" si="18"/>
        <v>120229.06752386881</v>
      </c>
      <c r="GM28" s="119">
        <f t="shared" si="18"/>
        <v>120229.06752386881</v>
      </c>
      <c r="GN28" s="119">
        <f t="shared" si="18"/>
        <v>120229.06752386881</v>
      </c>
      <c r="GO28" s="119">
        <f t="shared" si="18"/>
        <v>120229.06752386881</v>
      </c>
      <c r="GP28" s="119">
        <f t="shared" si="18"/>
        <v>73054.670019012745</v>
      </c>
      <c r="GQ28" s="119">
        <f t="shared" si="18"/>
        <v>73054.670019012745</v>
      </c>
      <c r="GR28" s="119">
        <f t="shared" si="18"/>
        <v>73054.670019012745</v>
      </c>
      <c r="GS28" s="119">
        <f t="shared" si="18"/>
        <v>73054.670019012745</v>
      </c>
      <c r="GT28" s="119">
        <f t="shared" si="18"/>
        <v>73054.670019012745</v>
      </c>
      <c r="GU28" s="119">
        <f t="shared" si="18"/>
        <v>65549.967863809637</v>
      </c>
      <c r="GV28" s="119">
        <f t="shared" si="18"/>
        <v>65549.967863809637</v>
      </c>
      <c r="GW28" s="119">
        <f t="shared" si="18"/>
        <v>65549.967863809637</v>
      </c>
      <c r="GX28" s="119">
        <f t="shared" si="18"/>
        <v>65549.967863809637</v>
      </c>
      <c r="GY28" s="119">
        <f t="shared" si="18"/>
        <v>65549.967863809637</v>
      </c>
      <c r="GZ28" s="119">
        <f t="shared" si="28"/>
        <v>63173.033729243522</v>
      </c>
      <c r="HA28" s="119">
        <f t="shared" si="28"/>
        <v>63173.033729243522</v>
      </c>
      <c r="HB28" s="119">
        <f t="shared" si="28"/>
        <v>63173.033729243522</v>
      </c>
      <c r="HC28" s="119">
        <f t="shared" si="28"/>
        <v>63173.033729243522</v>
      </c>
      <c r="HD28" s="119">
        <f t="shared" si="28"/>
        <v>63173.033729243522</v>
      </c>
      <c r="HE28" s="119">
        <f t="shared" si="28"/>
        <v>60658.290829122794</v>
      </c>
      <c r="HF28" s="119">
        <f t="shared" si="28"/>
        <v>60658.290829122794</v>
      </c>
      <c r="HG28" s="119">
        <f t="shared" si="28"/>
        <v>60658.290829122794</v>
      </c>
      <c r="HH28" s="119">
        <f t="shared" si="28"/>
        <v>60658.290829122794</v>
      </c>
      <c r="HI28" s="119">
        <f t="shared" si="28"/>
        <v>60658.290829122794</v>
      </c>
      <c r="HJ28" s="119">
        <f t="shared" si="28"/>
        <v>56803.918533610646</v>
      </c>
    </row>
    <row r="29" spans="17:218" x14ac:dyDescent="0.25">
      <c r="Q29" s="127">
        <v>2020</v>
      </c>
      <c r="R29" s="129">
        <v>4.0000000000000001E-3</v>
      </c>
      <c r="S29" s="130">
        <v>0.39600000000000002</v>
      </c>
      <c r="T29" s="130">
        <v>0.2</v>
      </c>
      <c r="U29" s="130">
        <v>0.20399999999999999</v>
      </c>
      <c r="V29" s="130">
        <v>3.0000000000000001E-3</v>
      </c>
      <c r="W29" s="130">
        <v>0.19400000000000001</v>
      </c>
      <c r="X29" s="131">
        <f t="shared" ref="X29:X36" si="31">SUM(R29:W29)</f>
        <v>1.0010000000000001</v>
      </c>
      <c r="Z29" s="83" t="s">
        <v>207</v>
      </c>
      <c r="AA29" s="114">
        <f>'US Grid mix, emissions&amp;prices'!O81</f>
        <v>140882</v>
      </c>
      <c r="AB29" s="116">
        <f t="shared" si="30"/>
        <v>140882</v>
      </c>
      <c r="AC29" s="116">
        <f t="shared" si="30"/>
        <v>123904.85097987839</v>
      </c>
      <c r="AD29" s="116">
        <f t="shared" si="30"/>
        <v>123904.85097987839</v>
      </c>
      <c r="AE29" s="116">
        <f t="shared" si="30"/>
        <v>123904.85097987839</v>
      </c>
      <c r="AF29" s="116">
        <f t="shared" si="30"/>
        <v>123904.85097987839</v>
      </c>
      <c r="AG29" s="116">
        <f t="shared" si="30"/>
        <v>123904.85097987839</v>
      </c>
      <c r="AH29" s="116">
        <f t="shared" si="30"/>
        <v>74446.703863256291</v>
      </c>
      <c r="AI29" s="116">
        <f t="shared" si="30"/>
        <v>74446.703863256291</v>
      </c>
      <c r="AJ29" s="116">
        <f t="shared" si="30"/>
        <v>74446.703863256291</v>
      </c>
      <c r="AK29" s="116">
        <f t="shared" si="30"/>
        <v>74446.703863256291</v>
      </c>
      <c r="AL29" s="116">
        <f t="shared" si="30"/>
        <v>74446.703863256291</v>
      </c>
      <c r="AM29" s="116">
        <f t="shared" si="30"/>
        <v>77906.841608803879</v>
      </c>
      <c r="AN29" s="116">
        <f t="shared" si="30"/>
        <v>77906.841608803879</v>
      </c>
      <c r="AO29" s="116">
        <f t="shared" si="30"/>
        <v>77906.841608803879</v>
      </c>
      <c r="AP29" s="116">
        <f t="shared" si="30"/>
        <v>77906.841608803879</v>
      </c>
      <c r="AQ29" s="116">
        <f t="shared" si="30"/>
        <v>77906.841608803879</v>
      </c>
      <c r="AR29" s="116">
        <f t="shared" si="22"/>
        <v>81439.721503379289</v>
      </c>
      <c r="AS29" s="116">
        <f t="shared" si="22"/>
        <v>81439.721503379289</v>
      </c>
      <c r="AT29" s="116">
        <f t="shared" si="22"/>
        <v>81439.721503379289</v>
      </c>
      <c r="AU29" s="116">
        <f t="shared" si="22"/>
        <v>81439.721503379289</v>
      </c>
      <c r="AV29" s="116">
        <f t="shared" si="22"/>
        <v>81439.721503379289</v>
      </c>
      <c r="AW29" s="116">
        <f t="shared" si="22"/>
        <v>83226.789821286831</v>
      </c>
      <c r="AX29" s="116">
        <f t="shared" si="22"/>
        <v>83226.789821286831</v>
      </c>
      <c r="AY29" s="116">
        <f t="shared" si="22"/>
        <v>83226.789821286831</v>
      </c>
      <c r="AZ29" s="116">
        <f t="shared" si="22"/>
        <v>83226.789821286831</v>
      </c>
      <c r="BA29" s="116">
        <f t="shared" si="22"/>
        <v>83226.789821286831</v>
      </c>
      <c r="BB29" s="116">
        <f t="shared" si="22"/>
        <v>83339.703007837496</v>
      </c>
      <c r="BM29" s="123" t="s">
        <v>207</v>
      </c>
      <c r="BN29" s="103">
        <f t="shared" si="23"/>
        <v>140882</v>
      </c>
      <c r="BO29" s="119">
        <f t="shared" si="10"/>
        <v>140882</v>
      </c>
      <c r="BP29" s="119">
        <f t="shared" si="10"/>
        <v>123743.08112607023</v>
      </c>
      <c r="BQ29" s="119">
        <f t="shared" si="10"/>
        <v>123743.08112607023</v>
      </c>
      <c r="BR29" s="119">
        <f t="shared" si="10"/>
        <v>123743.08112607023</v>
      </c>
      <c r="BS29" s="119">
        <f t="shared" si="10"/>
        <v>123743.08112607023</v>
      </c>
      <c r="BT29" s="119">
        <f t="shared" si="10"/>
        <v>123743.08112607023</v>
      </c>
      <c r="BU29" s="119">
        <f t="shared" si="10"/>
        <v>140270.74880742287</v>
      </c>
      <c r="BV29" s="119">
        <f t="shared" si="10"/>
        <v>140270.74880742287</v>
      </c>
      <c r="BW29" s="119">
        <f t="shared" si="10"/>
        <v>140270.74880742287</v>
      </c>
      <c r="BX29" s="119">
        <f t="shared" si="10"/>
        <v>140270.74880742287</v>
      </c>
      <c r="BY29" s="119">
        <f t="shared" si="10"/>
        <v>140270.74880742287</v>
      </c>
      <c r="BZ29" s="119">
        <f t="shared" si="10"/>
        <v>143644.0302556238</v>
      </c>
      <c r="CA29" s="119">
        <f t="shared" si="10"/>
        <v>143644.0302556238</v>
      </c>
      <c r="CB29" s="119">
        <f t="shared" si="10"/>
        <v>143644.0302556238</v>
      </c>
      <c r="CC29" s="119">
        <f t="shared" si="10"/>
        <v>143644.0302556238</v>
      </c>
      <c r="CD29" s="119">
        <f t="shared" si="10"/>
        <v>143644.0302556238</v>
      </c>
      <c r="CE29" s="119">
        <f t="shared" si="24"/>
        <v>147194.28140966853</v>
      </c>
      <c r="CF29" s="119">
        <f t="shared" si="24"/>
        <v>147194.28140966853</v>
      </c>
      <c r="CG29" s="119">
        <f t="shared" si="24"/>
        <v>147194.28140966853</v>
      </c>
      <c r="CH29" s="119">
        <f t="shared" si="24"/>
        <v>147194.28140966853</v>
      </c>
      <c r="CI29" s="119">
        <f t="shared" si="24"/>
        <v>147194.28140966853</v>
      </c>
      <c r="CJ29" s="119">
        <f t="shared" si="24"/>
        <v>148036.78749393116</v>
      </c>
      <c r="CK29" s="119">
        <f t="shared" si="24"/>
        <v>148036.78749393116</v>
      </c>
      <c r="CL29" s="119">
        <f t="shared" si="24"/>
        <v>148036.78749393116</v>
      </c>
      <c r="CM29" s="119">
        <f t="shared" si="24"/>
        <v>148036.78749393116</v>
      </c>
      <c r="CN29" s="119">
        <f t="shared" si="24"/>
        <v>148036.78749393116</v>
      </c>
      <c r="CO29" s="119">
        <f t="shared" si="24"/>
        <v>149043.23483943558</v>
      </c>
      <c r="CR29" s="123" t="s">
        <v>207</v>
      </c>
      <c r="CS29" s="103">
        <f t="shared" si="11"/>
        <v>170570.56813680535</v>
      </c>
      <c r="CT29" s="119">
        <f t="shared" si="12"/>
        <v>170570.56813680538</v>
      </c>
      <c r="CU29" s="119">
        <f t="shared" si="12"/>
        <v>170570.56813680538</v>
      </c>
      <c r="CV29" s="119">
        <f t="shared" si="12"/>
        <v>170570.56813680538</v>
      </c>
      <c r="CW29" s="119">
        <f t="shared" si="12"/>
        <v>170570.56813680538</v>
      </c>
      <c r="CX29" s="119">
        <f t="shared" si="12"/>
        <v>170570.56813680538</v>
      </c>
      <c r="CY29" s="119">
        <f t="shared" si="12"/>
        <v>170570.56813680538</v>
      </c>
      <c r="CZ29" s="119">
        <f t="shared" si="12"/>
        <v>170608.5677668945</v>
      </c>
      <c r="DA29" s="119">
        <f t="shared" si="12"/>
        <v>170608.5677668945</v>
      </c>
      <c r="DB29" s="119">
        <f t="shared" si="12"/>
        <v>170608.5677668945</v>
      </c>
      <c r="DC29" s="119">
        <f t="shared" si="12"/>
        <v>170608.5677668945</v>
      </c>
      <c r="DD29" s="119">
        <f t="shared" si="12"/>
        <v>170608.5677668945</v>
      </c>
      <c r="DE29" s="119">
        <f t="shared" si="12"/>
        <v>170586.85369255787</v>
      </c>
      <c r="DF29" s="119">
        <f t="shared" si="12"/>
        <v>170586.85369255787</v>
      </c>
      <c r="DG29" s="119">
        <f t="shared" si="12"/>
        <v>170586.85369255787</v>
      </c>
      <c r="DH29" s="119">
        <f t="shared" si="12"/>
        <v>170586.85369255787</v>
      </c>
      <c r="DI29" s="119">
        <f t="shared" si="12"/>
        <v>170586.85369255787</v>
      </c>
      <c r="DJ29" s="119">
        <f t="shared" si="25"/>
        <v>170581.42517397369</v>
      </c>
      <c r="DK29" s="119">
        <f t="shared" si="25"/>
        <v>170581.42517397369</v>
      </c>
      <c r="DL29" s="119">
        <f t="shared" si="25"/>
        <v>170581.42517397369</v>
      </c>
      <c r="DM29" s="119">
        <f t="shared" si="25"/>
        <v>170581.42517397369</v>
      </c>
      <c r="DN29" s="119">
        <f t="shared" si="25"/>
        <v>170581.42517397369</v>
      </c>
      <c r="DO29" s="119">
        <f t="shared" si="25"/>
        <v>170476.11191344087</v>
      </c>
      <c r="DP29" s="119">
        <f t="shared" si="25"/>
        <v>170476.11191344087</v>
      </c>
      <c r="DQ29" s="119">
        <f t="shared" si="25"/>
        <v>170476.11191344087</v>
      </c>
      <c r="DR29" s="119">
        <f t="shared" si="25"/>
        <v>170476.11191344087</v>
      </c>
      <c r="DS29" s="119">
        <f t="shared" si="25"/>
        <v>170476.11191344087</v>
      </c>
      <c r="DT29" s="93">
        <f t="shared" si="25"/>
        <v>170564.05391450436</v>
      </c>
      <c r="DW29" s="123" t="s">
        <v>207</v>
      </c>
      <c r="DX29" s="103">
        <f t="shared" si="13"/>
        <v>178554.82866857495</v>
      </c>
      <c r="DY29" s="119">
        <f t="shared" si="14"/>
        <v>178554.82866857495</v>
      </c>
      <c r="DZ29" s="119">
        <f t="shared" si="14"/>
        <v>156521.21407629276</v>
      </c>
      <c r="EA29" s="119">
        <f t="shared" si="14"/>
        <v>156521.21407629276</v>
      </c>
      <c r="EB29" s="119">
        <f t="shared" si="14"/>
        <v>156521.21407629276</v>
      </c>
      <c r="EC29" s="119">
        <f t="shared" si="14"/>
        <v>156521.21407629276</v>
      </c>
      <c r="ED29" s="119">
        <f t="shared" si="14"/>
        <v>156521.21407629276</v>
      </c>
      <c r="EE29" s="119">
        <f t="shared" si="14"/>
        <v>96469.689852821772</v>
      </c>
      <c r="EF29" s="119">
        <f t="shared" si="14"/>
        <v>96469.689852821772</v>
      </c>
      <c r="EG29" s="119">
        <f t="shared" si="14"/>
        <v>96469.689852821772</v>
      </c>
      <c r="EH29" s="119">
        <f t="shared" si="14"/>
        <v>96469.689852821772</v>
      </c>
      <c r="EI29" s="119">
        <f t="shared" si="14"/>
        <v>96469.689852821772</v>
      </c>
      <c r="EJ29" s="119">
        <f t="shared" si="14"/>
        <v>86158.767954369236</v>
      </c>
      <c r="EK29" s="119">
        <f t="shared" si="14"/>
        <v>86158.767954369236</v>
      </c>
      <c r="EL29" s="119">
        <f t="shared" si="14"/>
        <v>86158.767954369236</v>
      </c>
      <c r="EM29" s="119">
        <f t="shared" si="14"/>
        <v>86158.767954369236</v>
      </c>
      <c r="EN29" s="119">
        <f t="shared" si="14"/>
        <v>86158.767954369236</v>
      </c>
      <c r="EO29" s="119">
        <f t="shared" si="26"/>
        <v>83446.95868913368</v>
      </c>
      <c r="EP29" s="119">
        <f t="shared" si="26"/>
        <v>83446.95868913368</v>
      </c>
      <c r="EQ29" s="119">
        <f t="shared" si="26"/>
        <v>83446.95868913368</v>
      </c>
      <c r="ER29" s="119">
        <f t="shared" si="26"/>
        <v>83446.95868913368</v>
      </c>
      <c r="ES29" s="119">
        <f t="shared" si="26"/>
        <v>83446.95868913368</v>
      </c>
      <c r="ET29" s="119">
        <f t="shared" si="26"/>
        <v>80348.687027398279</v>
      </c>
      <c r="EU29" s="119">
        <f t="shared" si="26"/>
        <v>80348.687027398279</v>
      </c>
      <c r="EV29" s="119">
        <f t="shared" si="26"/>
        <v>80348.687027398279</v>
      </c>
      <c r="EW29" s="119">
        <f t="shared" si="26"/>
        <v>80348.687027398279</v>
      </c>
      <c r="EX29" s="119">
        <f t="shared" si="26"/>
        <v>80348.687027398279</v>
      </c>
      <c r="EY29" s="119">
        <f t="shared" si="26"/>
        <v>75490.302614256943</v>
      </c>
      <c r="FB29" s="123" t="s">
        <v>207</v>
      </c>
      <c r="FC29" s="103">
        <f t="shared" si="15"/>
        <v>193668.92606638314</v>
      </c>
      <c r="FD29" s="119">
        <f t="shared" si="16"/>
        <v>193668.92606638314</v>
      </c>
      <c r="FE29" s="119">
        <f t="shared" si="16"/>
        <v>169131.19288453538</v>
      </c>
      <c r="FF29" s="119">
        <f t="shared" si="16"/>
        <v>169131.19288453538</v>
      </c>
      <c r="FG29" s="119">
        <f t="shared" si="16"/>
        <v>169131.19288453538</v>
      </c>
      <c r="FH29" s="119">
        <f t="shared" si="16"/>
        <v>169131.19288453538</v>
      </c>
      <c r="FI29" s="119">
        <f t="shared" si="16"/>
        <v>169131.19288453538</v>
      </c>
      <c r="FJ29" s="119">
        <f t="shared" si="16"/>
        <v>106133.8787612133</v>
      </c>
      <c r="FK29" s="119">
        <f t="shared" si="16"/>
        <v>106133.8787612133</v>
      </c>
      <c r="FL29" s="119">
        <f t="shared" si="16"/>
        <v>106133.8787612133</v>
      </c>
      <c r="FM29" s="119">
        <f t="shared" si="16"/>
        <v>106133.8787612133</v>
      </c>
      <c r="FN29" s="119">
        <f t="shared" si="16"/>
        <v>106133.8787612133</v>
      </c>
      <c r="FO29" s="119">
        <f t="shared" si="16"/>
        <v>94241.615832184732</v>
      </c>
      <c r="FP29" s="119">
        <f t="shared" si="16"/>
        <v>94241.615832184732</v>
      </c>
      <c r="FQ29" s="119">
        <f t="shared" si="16"/>
        <v>94241.615832184732</v>
      </c>
      <c r="FR29" s="119">
        <f t="shared" si="16"/>
        <v>94241.615832184732</v>
      </c>
      <c r="FS29" s="119">
        <f t="shared" si="16"/>
        <v>94241.615832184732</v>
      </c>
      <c r="FT29" s="119">
        <f t="shared" si="27"/>
        <v>91842.657078401462</v>
      </c>
      <c r="FU29" s="119">
        <f t="shared" si="27"/>
        <v>91842.657078401462</v>
      </c>
      <c r="FV29" s="119">
        <f t="shared" si="27"/>
        <v>91842.657078401462</v>
      </c>
      <c r="FW29" s="119">
        <f t="shared" si="27"/>
        <v>91842.657078401462</v>
      </c>
      <c r="FX29" s="119">
        <f t="shared" si="27"/>
        <v>91842.657078401462</v>
      </c>
      <c r="FY29" s="119">
        <f t="shared" si="27"/>
        <v>88737.812926929648</v>
      </c>
      <c r="FZ29" s="119">
        <f t="shared" si="27"/>
        <v>88737.812926929648</v>
      </c>
      <c r="GA29" s="119">
        <f t="shared" si="27"/>
        <v>88737.812926929648</v>
      </c>
      <c r="GB29" s="119">
        <f t="shared" si="27"/>
        <v>88737.812926929648</v>
      </c>
      <c r="GC29" s="119">
        <f t="shared" si="27"/>
        <v>88737.812926929648</v>
      </c>
      <c r="GD29" s="119">
        <f t="shared" si="27"/>
        <v>83711.172776536667</v>
      </c>
      <c r="GH29" s="123" t="s">
        <v>207</v>
      </c>
      <c r="GI29" s="103">
        <f t="shared" si="17"/>
        <v>168267.56773317343</v>
      </c>
      <c r="GJ29" s="119">
        <f t="shared" si="18"/>
        <v>168267.56773317343</v>
      </c>
      <c r="GK29" s="119">
        <f t="shared" si="18"/>
        <v>147938.85697851144</v>
      </c>
      <c r="GL29" s="119">
        <f t="shared" si="18"/>
        <v>147938.85697851144</v>
      </c>
      <c r="GM29" s="119">
        <f t="shared" si="18"/>
        <v>147938.85697851144</v>
      </c>
      <c r="GN29" s="119">
        <f t="shared" si="18"/>
        <v>147938.85697851144</v>
      </c>
      <c r="GO29" s="119">
        <f t="shared" si="18"/>
        <v>147938.85697851144</v>
      </c>
      <c r="GP29" s="119">
        <f t="shared" si="18"/>
        <v>89891.942124640191</v>
      </c>
      <c r="GQ29" s="119">
        <f t="shared" si="18"/>
        <v>89891.942124640191</v>
      </c>
      <c r="GR29" s="119">
        <f t="shared" si="18"/>
        <v>89891.942124640191</v>
      </c>
      <c r="GS29" s="119">
        <f t="shared" si="18"/>
        <v>89891.942124640191</v>
      </c>
      <c r="GT29" s="119">
        <f t="shared" si="18"/>
        <v>89891.942124640191</v>
      </c>
      <c r="GU29" s="119">
        <f t="shared" si="18"/>
        <v>80657.594045008722</v>
      </c>
      <c r="GV29" s="119">
        <f t="shared" si="18"/>
        <v>80657.594045008722</v>
      </c>
      <c r="GW29" s="119">
        <f t="shared" si="18"/>
        <v>80657.594045008722</v>
      </c>
      <c r="GX29" s="119">
        <f t="shared" si="18"/>
        <v>80657.594045008722</v>
      </c>
      <c r="GY29" s="119">
        <f t="shared" si="18"/>
        <v>80657.594045008722</v>
      </c>
      <c r="GZ29" s="119">
        <f t="shared" si="28"/>
        <v>77732.836112314064</v>
      </c>
      <c r="HA29" s="119">
        <f t="shared" si="28"/>
        <v>77732.836112314064</v>
      </c>
      <c r="HB29" s="119">
        <f t="shared" si="28"/>
        <v>77732.836112314064</v>
      </c>
      <c r="HC29" s="119">
        <f t="shared" si="28"/>
        <v>77732.836112314064</v>
      </c>
      <c r="HD29" s="119">
        <f t="shared" si="28"/>
        <v>77732.836112314064</v>
      </c>
      <c r="HE29" s="119">
        <f t="shared" si="28"/>
        <v>74638.507944420475</v>
      </c>
      <c r="HF29" s="119">
        <f t="shared" si="28"/>
        <v>74638.507944420475</v>
      </c>
      <c r="HG29" s="119">
        <f t="shared" si="28"/>
        <v>74638.507944420475</v>
      </c>
      <c r="HH29" s="119">
        <f t="shared" si="28"/>
        <v>74638.507944420475</v>
      </c>
      <c r="HI29" s="119">
        <f t="shared" si="28"/>
        <v>74638.507944420475</v>
      </c>
      <c r="HJ29" s="119">
        <f t="shared" si="28"/>
        <v>69895.799350639645</v>
      </c>
    </row>
    <row r="30" spans="17:218" x14ac:dyDescent="0.25">
      <c r="Q30" s="37">
        <v>2023</v>
      </c>
      <c r="R30" s="171">
        <v>0</v>
      </c>
      <c r="S30" s="172">
        <v>0.42</v>
      </c>
      <c r="T30" s="172">
        <v>0.17</v>
      </c>
      <c r="U30" s="172">
        <v>0.19</v>
      </c>
      <c r="V30" s="172">
        <v>0</v>
      </c>
      <c r="W30" s="172">
        <v>0.21999999999999997</v>
      </c>
      <c r="X30" s="134">
        <f t="shared" si="31"/>
        <v>1</v>
      </c>
      <c r="Z30" s="83" t="s">
        <v>206</v>
      </c>
      <c r="AA30" s="114">
        <f>'US Grid mix, emissions&amp;prices'!O82</f>
        <v>216893</v>
      </c>
      <c r="AB30" s="116">
        <f t="shared" si="30"/>
        <v>216893</v>
      </c>
      <c r="AC30" s="116">
        <f t="shared" si="30"/>
        <v>190756.05715122417</v>
      </c>
      <c r="AD30" s="116">
        <f t="shared" si="30"/>
        <v>190756.05715122417</v>
      </c>
      <c r="AE30" s="116">
        <f t="shared" si="30"/>
        <v>190756.05715122417</v>
      </c>
      <c r="AF30" s="116">
        <f t="shared" si="30"/>
        <v>190756.05715122417</v>
      </c>
      <c r="AG30" s="116">
        <f t="shared" si="30"/>
        <v>190756.05715122417</v>
      </c>
      <c r="AH30" s="116">
        <f t="shared" si="30"/>
        <v>114613.4278404143</v>
      </c>
      <c r="AI30" s="116">
        <f t="shared" si="30"/>
        <v>114613.4278404143</v>
      </c>
      <c r="AJ30" s="116">
        <f t="shared" si="30"/>
        <v>114613.4278404143</v>
      </c>
      <c r="AK30" s="116">
        <f t="shared" si="30"/>
        <v>114613.4278404143</v>
      </c>
      <c r="AL30" s="116">
        <f t="shared" si="30"/>
        <v>114613.4278404143</v>
      </c>
      <c r="AM30" s="116">
        <f t="shared" si="30"/>
        <v>119940.43665662255</v>
      </c>
      <c r="AN30" s="116">
        <f t="shared" si="30"/>
        <v>119940.43665662255</v>
      </c>
      <c r="AO30" s="116">
        <f t="shared" si="30"/>
        <v>119940.43665662255</v>
      </c>
      <c r="AP30" s="116">
        <f t="shared" si="30"/>
        <v>119940.43665662255</v>
      </c>
      <c r="AQ30" s="116">
        <f t="shared" si="30"/>
        <v>119940.43665662255</v>
      </c>
      <c r="AR30" s="116">
        <f t="shared" si="22"/>
        <v>125379.43467605828</v>
      </c>
      <c r="AS30" s="116">
        <f t="shared" si="22"/>
        <v>125379.43467605828</v>
      </c>
      <c r="AT30" s="116">
        <f t="shared" si="22"/>
        <v>125379.43467605828</v>
      </c>
      <c r="AU30" s="116">
        <f t="shared" si="22"/>
        <v>125379.43467605828</v>
      </c>
      <c r="AV30" s="116">
        <f t="shared" si="22"/>
        <v>125379.43467605828</v>
      </c>
      <c r="AW30" s="116">
        <f t="shared" si="22"/>
        <v>128130.6918180347</v>
      </c>
      <c r="AX30" s="116">
        <f t="shared" si="22"/>
        <v>128130.6918180347</v>
      </c>
      <c r="AY30" s="116">
        <f t="shared" si="22"/>
        <v>128130.6918180347</v>
      </c>
      <c r="AZ30" s="116">
        <f t="shared" si="22"/>
        <v>128130.6918180347</v>
      </c>
      <c r="BA30" s="116">
        <f t="shared" si="22"/>
        <v>128130.6918180347</v>
      </c>
      <c r="BB30" s="116">
        <f t="shared" si="22"/>
        <v>128304.52580513406</v>
      </c>
      <c r="BM30" s="123" t="s">
        <v>206</v>
      </c>
      <c r="BN30" s="103">
        <f t="shared" si="23"/>
        <v>216893</v>
      </c>
      <c r="BO30" s="119">
        <f t="shared" si="10"/>
        <v>216893</v>
      </c>
      <c r="BP30" s="119">
        <f t="shared" si="10"/>
        <v>190507.00653509144</v>
      </c>
      <c r="BQ30" s="119">
        <f t="shared" si="10"/>
        <v>190507.00653509144</v>
      </c>
      <c r="BR30" s="119">
        <f t="shared" si="10"/>
        <v>190507.00653509144</v>
      </c>
      <c r="BS30" s="119">
        <f t="shared" si="10"/>
        <v>190507.00653509144</v>
      </c>
      <c r="BT30" s="119">
        <f t="shared" si="10"/>
        <v>190507.00653509144</v>
      </c>
      <c r="BU30" s="119">
        <f t="shared" si="10"/>
        <v>215951.95639676019</v>
      </c>
      <c r="BV30" s="119">
        <f t="shared" si="10"/>
        <v>215951.95639676019</v>
      </c>
      <c r="BW30" s="119">
        <f t="shared" si="10"/>
        <v>215951.95639676019</v>
      </c>
      <c r="BX30" s="119">
        <f t="shared" si="10"/>
        <v>215951.95639676019</v>
      </c>
      <c r="BY30" s="119">
        <f t="shared" si="10"/>
        <v>215951.95639676019</v>
      </c>
      <c r="BZ30" s="119">
        <f t="shared" si="10"/>
        <v>221145.24676135354</v>
      </c>
      <c r="CA30" s="119">
        <f t="shared" si="10"/>
        <v>221145.24676135354</v>
      </c>
      <c r="CB30" s="119">
        <f t="shared" si="10"/>
        <v>221145.24676135354</v>
      </c>
      <c r="CC30" s="119">
        <f t="shared" si="10"/>
        <v>221145.24676135354</v>
      </c>
      <c r="CD30" s="119">
        <f t="shared" si="10"/>
        <v>221145.24676135354</v>
      </c>
      <c r="CE30" s="119">
        <f t="shared" si="24"/>
        <v>226610.98847111227</v>
      </c>
      <c r="CF30" s="119">
        <f t="shared" si="24"/>
        <v>226610.98847111227</v>
      </c>
      <c r="CG30" s="119">
        <f t="shared" si="24"/>
        <v>226610.98847111227</v>
      </c>
      <c r="CH30" s="119">
        <f t="shared" si="24"/>
        <v>226610.98847111227</v>
      </c>
      <c r="CI30" s="119">
        <f t="shared" si="24"/>
        <v>226610.98847111227</v>
      </c>
      <c r="CJ30" s="119">
        <f t="shared" si="24"/>
        <v>227908.05745177675</v>
      </c>
      <c r="CK30" s="119">
        <f t="shared" si="24"/>
        <v>227908.05745177675</v>
      </c>
      <c r="CL30" s="119">
        <f t="shared" si="24"/>
        <v>227908.05745177675</v>
      </c>
      <c r="CM30" s="119">
        <f t="shared" si="24"/>
        <v>227908.05745177675</v>
      </c>
      <c r="CN30" s="119">
        <f t="shared" si="24"/>
        <v>227908.05745177675</v>
      </c>
      <c r="CO30" s="119">
        <f t="shared" si="24"/>
        <v>229457.5200098643</v>
      </c>
      <c r="CR30" s="123" t="s">
        <v>206</v>
      </c>
      <c r="CS30" s="103">
        <f t="shared" si="11"/>
        <v>262599.63824261527</v>
      </c>
      <c r="CT30" s="119">
        <f t="shared" si="12"/>
        <v>262599.63824261527</v>
      </c>
      <c r="CU30" s="119">
        <f t="shared" si="12"/>
        <v>262599.63824261527</v>
      </c>
      <c r="CV30" s="119">
        <f t="shared" si="12"/>
        <v>262599.63824261527</v>
      </c>
      <c r="CW30" s="119">
        <f t="shared" si="12"/>
        <v>262599.63824261527</v>
      </c>
      <c r="CX30" s="119">
        <f t="shared" si="12"/>
        <v>262599.63824261527</v>
      </c>
      <c r="CY30" s="119">
        <f t="shared" si="12"/>
        <v>262599.63824261527</v>
      </c>
      <c r="CZ30" s="119">
        <f t="shared" si="12"/>
        <v>262658.14006519679</v>
      </c>
      <c r="DA30" s="119">
        <f t="shared" si="12"/>
        <v>262658.14006519679</v>
      </c>
      <c r="DB30" s="119">
        <f t="shared" si="12"/>
        <v>262658.14006519679</v>
      </c>
      <c r="DC30" s="119">
        <f t="shared" si="12"/>
        <v>262658.14006519679</v>
      </c>
      <c r="DD30" s="119">
        <f t="shared" si="12"/>
        <v>262658.14006519679</v>
      </c>
      <c r="DE30" s="119">
        <f t="shared" si="12"/>
        <v>262624.7104522931</v>
      </c>
      <c r="DF30" s="119">
        <f t="shared" si="12"/>
        <v>262624.7104522931</v>
      </c>
      <c r="DG30" s="119">
        <f t="shared" si="12"/>
        <v>262624.7104522931</v>
      </c>
      <c r="DH30" s="119">
        <f t="shared" si="12"/>
        <v>262624.7104522931</v>
      </c>
      <c r="DI30" s="119">
        <f t="shared" si="12"/>
        <v>262624.7104522931</v>
      </c>
      <c r="DJ30" s="119">
        <f t="shared" si="25"/>
        <v>262616.35304906714</v>
      </c>
      <c r="DK30" s="119">
        <f t="shared" si="25"/>
        <v>262616.35304906714</v>
      </c>
      <c r="DL30" s="119">
        <f t="shared" si="25"/>
        <v>262616.35304906714</v>
      </c>
      <c r="DM30" s="119">
        <f t="shared" si="25"/>
        <v>262616.35304906714</v>
      </c>
      <c r="DN30" s="119">
        <f t="shared" si="25"/>
        <v>262616.35304906714</v>
      </c>
      <c r="DO30" s="119">
        <f t="shared" si="25"/>
        <v>262454.21942648408</v>
      </c>
      <c r="DP30" s="119">
        <f t="shared" si="25"/>
        <v>262454.21942648408</v>
      </c>
      <c r="DQ30" s="119">
        <f t="shared" si="25"/>
        <v>262454.21942648408</v>
      </c>
      <c r="DR30" s="119">
        <f t="shared" si="25"/>
        <v>262454.21942648408</v>
      </c>
      <c r="DS30" s="119">
        <f t="shared" si="25"/>
        <v>262454.21942648408</v>
      </c>
      <c r="DT30" s="93">
        <f t="shared" si="25"/>
        <v>262589.60935874417</v>
      </c>
      <c r="DW30" s="123" t="s">
        <v>206</v>
      </c>
      <c r="DX30" s="103">
        <f t="shared" si="13"/>
        <v>274891.69982264045</v>
      </c>
      <c r="DY30" s="119">
        <f t="shared" si="14"/>
        <v>274891.69982264045</v>
      </c>
      <c r="DZ30" s="119">
        <f t="shared" si="14"/>
        <v>240970.14298951867</v>
      </c>
      <c r="EA30" s="119">
        <f t="shared" si="14"/>
        <v>240970.14298951867</v>
      </c>
      <c r="EB30" s="119">
        <f t="shared" si="14"/>
        <v>240970.14298951867</v>
      </c>
      <c r="EC30" s="119">
        <f t="shared" si="14"/>
        <v>240970.14298951867</v>
      </c>
      <c r="ED30" s="119">
        <f t="shared" si="14"/>
        <v>240970.14298951867</v>
      </c>
      <c r="EE30" s="119">
        <f t="shared" si="14"/>
        <v>148518.62155029087</v>
      </c>
      <c r="EF30" s="119">
        <f t="shared" si="14"/>
        <v>148518.62155029087</v>
      </c>
      <c r="EG30" s="119">
        <f t="shared" si="14"/>
        <v>148518.62155029087</v>
      </c>
      <c r="EH30" s="119">
        <f t="shared" si="14"/>
        <v>148518.62155029087</v>
      </c>
      <c r="EI30" s="119">
        <f t="shared" si="14"/>
        <v>148518.62155029087</v>
      </c>
      <c r="EJ30" s="119">
        <f t="shared" si="14"/>
        <v>132644.57956252046</v>
      </c>
      <c r="EK30" s="119">
        <f t="shared" si="14"/>
        <v>132644.57956252046</v>
      </c>
      <c r="EL30" s="119">
        <f t="shared" si="14"/>
        <v>132644.57956252046</v>
      </c>
      <c r="EM30" s="119">
        <f t="shared" si="14"/>
        <v>132644.57956252046</v>
      </c>
      <c r="EN30" s="119">
        <f t="shared" si="14"/>
        <v>132644.57956252046</v>
      </c>
      <c r="EO30" s="119">
        <f t="shared" si="26"/>
        <v>128469.64985564</v>
      </c>
      <c r="EP30" s="119">
        <f t="shared" si="26"/>
        <v>128469.64985564</v>
      </c>
      <c r="EQ30" s="119">
        <f t="shared" si="26"/>
        <v>128469.64985564</v>
      </c>
      <c r="ER30" s="119">
        <f t="shared" si="26"/>
        <v>128469.64985564</v>
      </c>
      <c r="ES30" s="119">
        <f t="shared" si="26"/>
        <v>128469.64985564</v>
      </c>
      <c r="ET30" s="119">
        <f t="shared" si="26"/>
        <v>123699.74713187985</v>
      </c>
      <c r="EU30" s="119">
        <f t="shared" si="26"/>
        <v>123699.74713187985</v>
      </c>
      <c r="EV30" s="119">
        <f t="shared" si="26"/>
        <v>123699.74713187985</v>
      </c>
      <c r="EW30" s="119">
        <f t="shared" si="26"/>
        <v>123699.74713187985</v>
      </c>
      <c r="EX30" s="119">
        <f t="shared" si="26"/>
        <v>123699.74713187985</v>
      </c>
      <c r="EY30" s="119">
        <f t="shared" si="26"/>
        <v>116220.08634824913</v>
      </c>
      <c r="FB30" s="123" t="s">
        <v>206</v>
      </c>
      <c r="FC30" s="103">
        <f t="shared" si="15"/>
        <v>298160.40644877299</v>
      </c>
      <c r="FD30" s="119">
        <f t="shared" si="16"/>
        <v>298160.40644877299</v>
      </c>
      <c r="FE30" s="119">
        <f t="shared" si="16"/>
        <v>260383.66731239998</v>
      </c>
      <c r="FF30" s="119">
        <f t="shared" si="16"/>
        <v>260383.66731239998</v>
      </c>
      <c r="FG30" s="119">
        <f t="shared" si="16"/>
        <v>260383.66731239998</v>
      </c>
      <c r="FH30" s="119">
        <f t="shared" si="16"/>
        <v>260383.66731239998</v>
      </c>
      <c r="FI30" s="119">
        <f t="shared" si="16"/>
        <v>260383.66731239998</v>
      </c>
      <c r="FJ30" s="119">
        <f t="shared" si="16"/>
        <v>163396.99440777273</v>
      </c>
      <c r="FK30" s="119">
        <f t="shared" si="16"/>
        <v>163396.99440777273</v>
      </c>
      <c r="FL30" s="119">
        <f t="shared" si="16"/>
        <v>163396.99440777273</v>
      </c>
      <c r="FM30" s="119">
        <f t="shared" si="16"/>
        <v>163396.99440777273</v>
      </c>
      <c r="FN30" s="119">
        <f t="shared" si="16"/>
        <v>163396.99440777273</v>
      </c>
      <c r="FO30" s="119">
        <f t="shared" si="16"/>
        <v>145088.41997338226</v>
      </c>
      <c r="FP30" s="119">
        <f t="shared" si="16"/>
        <v>145088.41997338226</v>
      </c>
      <c r="FQ30" s="119">
        <f t="shared" si="16"/>
        <v>145088.41997338226</v>
      </c>
      <c r="FR30" s="119">
        <f t="shared" si="16"/>
        <v>145088.41997338226</v>
      </c>
      <c r="FS30" s="119">
        <f t="shared" si="16"/>
        <v>145088.41997338226</v>
      </c>
      <c r="FT30" s="119">
        <f t="shared" si="27"/>
        <v>141395.13508969016</v>
      </c>
      <c r="FU30" s="119">
        <f t="shared" si="27"/>
        <v>141395.13508969016</v>
      </c>
      <c r="FV30" s="119">
        <f t="shared" si="27"/>
        <v>141395.13508969016</v>
      </c>
      <c r="FW30" s="119">
        <f t="shared" si="27"/>
        <v>141395.13508969016</v>
      </c>
      <c r="FX30" s="119">
        <f t="shared" si="27"/>
        <v>141395.13508969016</v>
      </c>
      <c r="FY30" s="119">
        <f t="shared" si="27"/>
        <v>136615.11377720753</v>
      </c>
      <c r="FZ30" s="119">
        <f t="shared" si="27"/>
        <v>136615.11377720753</v>
      </c>
      <c r="GA30" s="119">
        <f t="shared" si="27"/>
        <v>136615.11377720753</v>
      </c>
      <c r="GB30" s="119">
        <f t="shared" si="27"/>
        <v>136615.11377720753</v>
      </c>
      <c r="GC30" s="119">
        <f t="shared" si="27"/>
        <v>136615.11377720753</v>
      </c>
      <c r="GD30" s="119">
        <f t="shared" si="27"/>
        <v>128876.41712228225</v>
      </c>
      <c r="GH30" s="123" t="s">
        <v>206</v>
      </c>
      <c r="GI30" s="103">
        <f t="shared" si="17"/>
        <v>259054.08475427085</v>
      </c>
      <c r="GJ30" s="119">
        <f t="shared" si="18"/>
        <v>259054.08475427085</v>
      </c>
      <c r="GK30" s="119">
        <f t="shared" si="18"/>
        <v>227757.28983575106</v>
      </c>
      <c r="GL30" s="119">
        <f t="shared" si="18"/>
        <v>227757.28983575106</v>
      </c>
      <c r="GM30" s="119">
        <f t="shared" si="18"/>
        <v>227757.28983575106</v>
      </c>
      <c r="GN30" s="119">
        <f t="shared" si="18"/>
        <v>227757.28983575106</v>
      </c>
      <c r="GO30" s="119">
        <f t="shared" si="18"/>
        <v>227757.28983575106</v>
      </c>
      <c r="GP30" s="119">
        <f t="shared" si="18"/>
        <v>138391.93795686876</v>
      </c>
      <c r="GQ30" s="119">
        <f t="shared" si="18"/>
        <v>138391.93795686876</v>
      </c>
      <c r="GR30" s="119">
        <f t="shared" si="18"/>
        <v>138391.93795686876</v>
      </c>
      <c r="GS30" s="119">
        <f t="shared" si="18"/>
        <v>138391.93795686876</v>
      </c>
      <c r="GT30" s="119">
        <f t="shared" si="18"/>
        <v>138391.93795686876</v>
      </c>
      <c r="GU30" s="119">
        <f t="shared" si="18"/>
        <v>124175.32080183472</v>
      </c>
      <c r="GV30" s="119">
        <f t="shared" si="18"/>
        <v>124175.32080183472</v>
      </c>
      <c r="GW30" s="119">
        <f t="shared" si="18"/>
        <v>124175.32080183472</v>
      </c>
      <c r="GX30" s="119">
        <f t="shared" si="18"/>
        <v>124175.32080183472</v>
      </c>
      <c r="GY30" s="119">
        <f t="shared" si="18"/>
        <v>124175.32080183472</v>
      </c>
      <c r="GZ30" s="119">
        <f t="shared" si="28"/>
        <v>119672.54882034706</v>
      </c>
      <c r="HA30" s="119">
        <f t="shared" si="28"/>
        <v>119672.54882034706</v>
      </c>
      <c r="HB30" s="119">
        <f t="shared" si="28"/>
        <v>119672.54882034706</v>
      </c>
      <c r="HC30" s="119">
        <f t="shared" si="28"/>
        <v>119672.54882034706</v>
      </c>
      <c r="HD30" s="119">
        <f t="shared" si="28"/>
        <v>119672.54882034706</v>
      </c>
      <c r="HE30" s="119">
        <f t="shared" si="28"/>
        <v>114908.71724982036</v>
      </c>
      <c r="HF30" s="119">
        <f t="shared" si="28"/>
        <v>114908.71724982036</v>
      </c>
      <c r="HG30" s="119">
        <f t="shared" si="28"/>
        <v>114908.71724982036</v>
      </c>
      <c r="HH30" s="119">
        <f t="shared" si="28"/>
        <v>114908.71724982036</v>
      </c>
      <c r="HI30" s="119">
        <f t="shared" si="28"/>
        <v>114908.71724982036</v>
      </c>
      <c r="HJ30" s="119">
        <f t="shared" si="28"/>
        <v>107607.14362770465</v>
      </c>
    </row>
    <row r="31" spans="17:218" x14ac:dyDescent="0.25">
      <c r="Q31" s="37">
        <v>2025</v>
      </c>
      <c r="R31" s="135">
        <v>2E-3</v>
      </c>
      <c r="S31" s="128">
        <v>0.32100000000000001</v>
      </c>
      <c r="T31" s="128">
        <v>0.187</v>
      </c>
      <c r="U31" s="128">
        <v>0.191</v>
      </c>
      <c r="V31" s="128">
        <v>3.0000000000000001E-3</v>
      </c>
      <c r="W31" s="128">
        <v>0.29599999999999999</v>
      </c>
      <c r="X31" s="134">
        <f t="shared" si="31"/>
        <v>1</v>
      </c>
      <c r="Z31" s="83" t="s">
        <v>208</v>
      </c>
      <c r="AA31" s="114">
        <f>'US Grid mix, emissions&amp;prices'!O83</f>
        <v>161731</v>
      </c>
      <c r="AB31" s="116">
        <f t="shared" si="30"/>
        <v>161731</v>
      </c>
      <c r="AC31" s="116">
        <f t="shared" si="30"/>
        <v>142241.4180223642</v>
      </c>
      <c r="AD31" s="116">
        <f t="shared" si="30"/>
        <v>142241.4180223642</v>
      </c>
      <c r="AE31" s="116">
        <f t="shared" si="30"/>
        <v>142241.4180223642</v>
      </c>
      <c r="AF31" s="116">
        <f t="shared" si="30"/>
        <v>142241.4180223642</v>
      </c>
      <c r="AG31" s="116">
        <f t="shared" si="30"/>
        <v>142241.4180223642</v>
      </c>
      <c r="AH31" s="116">
        <f t="shared" si="30"/>
        <v>85464.004361865271</v>
      </c>
      <c r="AI31" s="116">
        <f t="shared" si="30"/>
        <v>85464.004361865271</v>
      </c>
      <c r="AJ31" s="116">
        <f t="shared" si="30"/>
        <v>85464.004361865271</v>
      </c>
      <c r="AK31" s="116">
        <f t="shared" si="30"/>
        <v>85464.004361865271</v>
      </c>
      <c r="AL31" s="116">
        <f t="shared" si="30"/>
        <v>85464.004361865271</v>
      </c>
      <c r="AM31" s="116">
        <f t="shared" si="30"/>
        <v>89436.204768767187</v>
      </c>
      <c r="AN31" s="116">
        <f t="shared" si="30"/>
        <v>89436.204768767187</v>
      </c>
      <c r="AO31" s="116">
        <f t="shared" si="30"/>
        <v>89436.204768767187</v>
      </c>
      <c r="AP31" s="116">
        <f t="shared" si="30"/>
        <v>89436.204768767187</v>
      </c>
      <c r="AQ31" s="116">
        <f t="shared" si="30"/>
        <v>89436.204768767187</v>
      </c>
      <c r="AR31" s="116">
        <f t="shared" si="22"/>
        <v>93491.91236966422</v>
      </c>
      <c r="AS31" s="116">
        <f t="shared" si="22"/>
        <v>93491.91236966422</v>
      </c>
      <c r="AT31" s="116">
        <f t="shared" si="22"/>
        <v>93491.91236966422</v>
      </c>
      <c r="AU31" s="116">
        <f t="shared" si="22"/>
        <v>93491.91236966422</v>
      </c>
      <c r="AV31" s="116">
        <f t="shared" si="22"/>
        <v>93491.91236966422</v>
      </c>
      <c r="AW31" s="116">
        <f t="shared" si="22"/>
        <v>95543.447314678531</v>
      </c>
      <c r="AX31" s="116">
        <f t="shared" si="22"/>
        <v>95543.447314678531</v>
      </c>
      <c r="AY31" s="116">
        <f t="shared" si="22"/>
        <v>95543.447314678531</v>
      </c>
      <c r="AZ31" s="116">
        <f t="shared" si="22"/>
        <v>95543.447314678531</v>
      </c>
      <c r="BA31" s="116">
        <f t="shared" si="22"/>
        <v>95543.447314678531</v>
      </c>
      <c r="BB31" s="116">
        <f t="shared" si="22"/>
        <v>95673.070421775425</v>
      </c>
      <c r="BM31" s="123" t="s">
        <v>208</v>
      </c>
      <c r="BN31" s="103">
        <f t="shared" si="23"/>
        <v>161731</v>
      </c>
      <c r="BO31" s="119">
        <f t="shared" si="10"/>
        <v>161731</v>
      </c>
      <c r="BP31" s="119">
        <f t="shared" si="10"/>
        <v>142055.7079939273</v>
      </c>
      <c r="BQ31" s="119">
        <f t="shared" si="10"/>
        <v>142055.7079939273</v>
      </c>
      <c r="BR31" s="119">
        <f t="shared" si="10"/>
        <v>142055.7079939273</v>
      </c>
      <c r="BS31" s="119">
        <f t="shared" si="10"/>
        <v>142055.7079939273</v>
      </c>
      <c r="BT31" s="119">
        <f t="shared" si="10"/>
        <v>142055.7079939273</v>
      </c>
      <c r="BU31" s="119">
        <f t="shared" ref="BU31:CJ31" si="32">$BN31*BU$57</f>
        <v>161029.29029523509</v>
      </c>
      <c r="BV31" s="119">
        <f t="shared" si="32"/>
        <v>161029.29029523509</v>
      </c>
      <c r="BW31" s="119">
        <f t="shared" si="32"/>
        <v>161029.29029523509</v>
      </c>
      <c r="BX31" s="119">
        <f t="shared" si="32"/>
        <v>161029.29029523509</v>
      </c>
      <c r="BY31" s="119">
        <f t="shared" si="32"/>
        <v>161029.29029523509</v>
      </c>
      <c r="BZ31" s="119">
        <f t="shared" si="32"/>
        <v>164901.78061975478</v>
      </c>
      <c r="CA31" s="119">
        <f t="shared" si="32"/>
        <v>164901.78061975478</v>
      </c>
      <c r="CB31" s="119">
        <f t="shared" si="32"/>
        <v>164901.78061975478</v>
      </c>
      <c r="CC31" s="119">
        <f t="shared" si="32"/>
        <v>164901.78061975478</v>
      </c>
      <c r="CD31" s="119">
        <f t="shared" si="32"/>
        <v>164901.78061975478</v>
      </c>
      <c r="CE31" s="119">
        <f t="shared" si="32"/>
        <v>168977.43023712825</v>
      </c>
      <c r="CF31" s="119">
        <f t="shared" si="32"/>
        <v>168977.43023712825</v>
      </c>
      <c r="CG31" s="119">
        <f t="shared" si="32"/>
        <v>168977.43023712825</v>
      </c>
      <c r="CH31" s="119">
        <f t="shared" si="32"/>
        <v>168977.43023712825</v>
      </c>
      <c r="CI31" s="119">
        <f t="shared" si="32"/>
        <v>168977.43023712825</v>
      </c>
      <c r="CJ31" s="119">
        <f t="shared" si="32"/>
        <v>169944.61803623586</v>
      </c>
      <c r="CK31" s="119">
        <f t="shared" si="24"/>
        <v>169944.61803623586</v>
      </c>
      <c r="CL31" s="119">
        <f t="shared" si="24"/>
        <v>169944.61803623586</v>
      </c>
      <c r="CM31" s="119">
        <f t="shared" si="24"/>
        <v>169944.61803623586</v>
      </c>
      <c r="CN31" s="119">
        <f t="shared" si="24"/>
        <v>169944.61803623586</v>
      </c>
      <c r="CO31" s="119">
        <f t="shared" si="24"/>
        <v>171100.00861583988</v>
      </c>
      <c r="CR31" s="123" t="s">
        <v>208</v>
      </c>
      <c r="CS31" s="103">
        <f t="shared" si="11"/>
        <v>195813.15253427456</v>
      </c>
      <c r="CT31" s="119">
        <f t="shared" si="12"/>
        <v>195813.15253427456</v>
      </c>
      <c r="CU31" s="119">
        <f t="shared" si="12"/>
        <v>195813.15253427456</v>
      </c>
      <c r="CV31" s="119">
        <f t="shared" si="12"/>
        <v>195813.15253427456</v>
      </c>
      <c r="CW31" s="119">
        <f t="shared" si="12"/>
        <v>195813.15253427456</v>
      </c>
      <c r="CX31" s="119">
        <f t="shared" si="12"/>
        <v>195813.15253427456</v>
      </c>
      <c r="CY31" s="119">
        <f t="shared" si="12"/>
        <v>195813.15253427456</v>
      </c>
      <c r="CZ31" s="119">
        <f t="shared" ref="CZ31:DO31" si="33">$BN31*CZ$57</f>
        <v>195856.77569531676</v>
      </c>
      <c r="DA31" s="119">
        <f t="shared" si="33"/>
        <v>195856.77569531676</v>
      </c>
      <c r="DB31" s="119">
        <f t="shared" si="33"/>
        <v>195856.77569531676</v>
      </c>
      <c r="DC31" s="119">
        <f t="shared" si="33"/>
        <v>195856.77569531676</v>
      </c>
      <c r="DD31" s="119">
        <f t="shared" si="33"/>
        <v>195856.77569531676</v>
      </c>
      <c r="DE31" s="119">
        <f t="shared" si="33"/>
        <v>195831.84817472124</v>
      </c>
      <c r="DF31" s="119">
        <f t="shared" si="33"/>
        <v>195831.84817472124</v>
      </c>
      <c r="DG31" s="119">
        <f t="shared" si="33"/>
        <v>195831.84817472124</v>
      </c>
      <c r="DH31" s="119">
        <f t="shared" si="33"/>
        <v>195831.84817472124</v>
      </c>
      <c r="DI31" s="119">
        <f t="shared" si="33"/>
        <v>195831.84817472124</v>
      </c>
      <c r="DJ31" s="119">
        <f t="shared" si="33"/>
        <v>195825.61629457233</v>
      </c>
      <c r="DK31" s="119">
        <f t="shared" si="33"/>
        <v>195825.61629457233</v>
      </c>
      <c r="DL31" s="119">
        <f t="shared" si="33"/>
        <v>195825.61629457233</v>
      </c>
      <c r="DM31" s="119">
        <f t="shared" si="33"/>
        <v>195825.61629457233</v>
      </c>
      <c r="DN31" s="119">
        <f t="shared" si="33"/>
        <v>195825.61629457233</v>
      </c>
      <c r="DO31" s="119">
        <f t="shared" si="33"/>
        <v>195704.71781968389</v>
      </c>
      <c r="DP31" s="119">
        <f t="shared" si="25"/>
        <v>195704.71781968389</v>
      </c>
      <c r="DQ31" s="119">
        <f t="shared" si="25"/>
        <v>195704.71781968389</v>
      </c>
      <c r="DR31" s="119">
        <f t="shared" si="25"/>
        <v>195704.71781968389</v>
      </c>
      <c r="DS31" s="119">
        <f t="shared" si="25"/>
        <v>195704.71781968389</v>
      </c>
      <c r="DT31" s="93">
        <f t="shared" si="25"/>
        <v>195805.67427809589</v>
      </c>
      <c r="DW31" s="123" t="s">
        <v>208</v>
      </c>
      <c r="DX31" s="103">
        <f t="shared" si="13"/>
        <v>204978.996574419</v>
      </c>
      <c r="DY31" s="119">
        <f t="shared" si="14"/>
        <v>204978.996574419</v>
      </c>
      <c r="DZ31" s="119">
        <f t="shared" si="14"/>
        <v>179684.64724927887</v>
      </c>
      <c r="EA31" s="119">
        <f t="shared" si="14"/>
        <v>179684.64724927887</v>
      </c>
      <c r="EB31" s="119">
        <f t="shared" si="14"/>
        <v>179684.64724927887</v>
      </c>
      <c r="EC31" s="119">
        <f t="shared" si="14"/>
        <v>179684.64724927887</v>
      </c>
      <c r="ED31" s="119">
        <f t="shared" si="14"/>
        <v>179684.64724927887</v>
      </c>
      <c r="EE31" s="119">
        <f t="shared" ref="EE31:ET31" si="34">$DX31*EE$57</f>
        <v>110746.15216696753</v>
      </c>
      <c r="EF31" s="119">
        <f t="shared" si="34"/>
        <v>110746.15216696753</v>
      </c>
      <c r="EG31" s="119">
        <f t="shared" si="34"/>
        <v>110746.15216696753</v>
      </c>
      <c r="EH31" s="119">
        <f t="shared" si="34"/>
        <v>110746.15216696753</v>
      </c>
      <c r="EI31" s="119">
        <f t="shared" si="34"/>
        <v>110746.15216696753</v>
      </c>
      <c r="EJ31" s="119">
        <f t="shared" si="34"/>
        <v>98909.32624485805</v>
      </c>
      <c r="EK31" s="119">
        <f t="shared" si="34"/>
        <v>98909.32624485805</v>
      </c>
      <c r="EL31" s="119">
        <f t="shared" si="34"/>
        <v>98909.32624485805</v>
      </c>
      <c r="EM31" s="119">
        <f t="shared" si="34"/>
        <v>98909.32624485805</v>
      </c>
      <c r="EN31" s="119">
        <f t="shared" si="34"/>
        <v>98909.32624485805</v>
      </c>
      <c r="EO31" s="119">
        <f t="shared" si="34"/>
        <v>95796.19877452252</v>
      </c>
      <c r="EP31" s="119">
        <f t="shared" si="34"/>
        <v>95796.19877452252</v>
      </c>
      <c r="EQ31" s="119">
        <f t="shared" si="34"/>
        <v>95796.19877452252</v>
      </c>
      <c r="ER31" s="119">
        <f t="shared" si="34"/>
        <v>95796.19877452252</v>
      </c>
      <c r="ES31" s="119">
        <f t="shared" si="34"/>
        <v>95796.19877452252</v>
      </c>
      <c r="ET31" s="119">
        <f t="shared" si="34"/>
        <v>92239.416686504672</v>
      </c>
      <c r="EU31" s="119">
        <f t="shared" si="26"/>
        <v>92239.416686504672</v>
      </c>
      <c r="EV31" s="119">
        <f t="shared" si="26"/>
        <v>92239.416686504672</v>
      </c>
      <c r="EW31" s="119">
        <f t="shared" si="26"/>
        <v>92239.416686504672</v>
      </c>
      <c r="EX31" s="119">
        <f t="shared" si="26"/>
        <v>92239.416686504672</v>
      </c>
      <c r="EY31" s="119">
        <f t="shared" si="26"/>
        <v>86662.044349926815</v>
      </c>
      <c r="FB31" s="123" t="s">
        <v>208</v>
      </c>
      <c r="FC31" s="103">
        <f t="shared" si="15"/>
        <v>222329.81560200889</v>
      </c>
      <c r="FD31" s="119">
        <f t="shared" si="16"/>
        <v>222329.81560200889</v>
      </c>
      <c r="FE31" s="119">
        <f t="shared" si="16"/>
        <v>194160.76543780466</v>
      </c>
      <c r="FF31" s="119">
        <f t="shared" si="16"/>
        <v>194160.76543780466</v>
      </c>
      <c r="FG31" s="119">
        <f t="shared" si="16"/>
        <v>194160.76543780466</v>
      </c>
      <c r="FH31" s="119">
        <f t="shared" si="16"/>
        <v>194160.76543780466</v>
      </c>
      <c r="FI31" s="119">
        <f t="shared" si="16"/>
        <v>194160.76543780466</v>
      </c>
      <c r="FJ31" s="119">
        <f t="shared" ref="FJ31:FY31" si="35">$FC31*FJ$57</f>
        <v>121840.53566764947</v>
      </c>
      <c r="FK31" s="119">
        <f t="shared" si="35"/>
        <v>121840.53566764947</v>
      </c>
      <c r="FL31" s="119">
        <f t="shared" si="35"/>
        <v>121840.53566764947</v>
      </c>
      <c r="FM31" s="119">
        <f t="shared" si="35"/>
        <v>121840.53566764947</v>
      </c>
      <c r="FN31" s="119">
        <f t="shared" si="35"/>
        <v>121840.53566764947</v>
      </c>
      <c r="FO31" s="119">
        <f t="shared" si="35"/>
        <v>108188.34748339085</v>
      </c>
      <c r="FP31" s="119">
        <f t="shared" si="35"/>
        <v>108188.34748339085</v>
      </c>
      <c r="FQ31" s="119">
        <f t="shared" si="35"/>
        <v>108188.34748339085</v>
      </c>
      <c r="FR31" s="119">
        <f t="shared" si="35"/>
        <v>108188.34748339085</v>
      </c>
      <c r="FS31" s="119">
        <f t="shared" si="35"/>
        <v>108188.34748339085</v>
      </c>
      <c r="FT31" s="119">
        <f t="shared" si="35"/>
        <v>105434.36898927436</v>
      </c>
      <c r="FU31" s="119">
        <f t="shared" si="35"/>
        <v>105434.36898927436</v>
      </c>
      <c r="FV31" s="119">
        <f t="shared" si="35"/>
        <v>105434.36898927436</v>
      </c>
      <c r="FW31" s="119">
        <f t="shared" si="35"/>
        <v>105434.36898927436</v>
      </c>
      <c r="FX31" s="119">
        <f t="shared" si="35"/>
        <v>105434.36898927436</v>
      </c>
      <c r="FY31" s="119">
        <f t="shared" si="35"/>
        <v>101870.04175469727</v>
      </c>
      <c r="FZ31" s="119">
        <f t="shared" si="27"/>
        <v>101870.04175469727</v>
      </c>
      <c r="GA31" s="119">
        <f t="shared" si="27"/>
        <v>101870.04175469727</v>
      </c>
      <c r="GB31" s="119">
        <f t="shared" si="27"/>
        <v>101870.04175469727</v>
      </c>
      <c r="GC31" s="119">
        <f t="shared" si="27"/>
        <v>101870.04175469727</v>
      </c>
      <c r="GD31" s="119">
        <f t="shared" si="27"/>
        <v>96099.513666203304</v>
      </c>
      <c r="GH31" s="123" t="s">
        <v>208</v>
      </c>
      <c r="GI31" s="103">
        <f t="shared" si="17"/>
        <v>193169.33317992272</v>
      </c>
      <c r="GJ31" s="119">
        <f t="shared" si="18"/>
        <v>193169.33317992272</v>
      </c>
      <c r="GK31" s="119">
        <f t="shared" si="18"/>
        <v>169832.19487224508</v>
      </c>
      <c r="GL31" s="119">
        <f t="shared" si="18"/>
        <v>169832.19487224508</v>
      </c>
      <c r="GM31" s="119">
        <f t="shared" si="18"/>
        <v>169832.19487224508</v>
      </c>
      <c r="GN31" s="119">
        <f t="shared" si="18"/>
        <v>169832.19487224508</v>
      </c>
      <c r="GO31" s="119">
        <f t="shared" si="18"/>
        <v>169832.19487224508</v>
      </c>
      <c r="GP31" s="119">
        <f t="shared" ref="GP31:HE31" si="36">$GI31*GP$57</f>
        <v>103194.96949049688</v>
      </c>
      <c r="GQ31" s="119">
        <f t="shared" si="36"/>
        <v>103194.96949049688</v>
      </c>
      <c r="GR31" s="119">
        <f t="shared" si="36"/>
        <v>103194.96949049688</v>
      </c>
      <c r="GS31" s="119">
        <f t="shared" si="36"/>
        <v>103194.96949049688</v>
      </c>
      <c r="GT31" s="119">
        <f t="shared" si="36"/>
        <v>103194.96949049688</v>
      </c>
      <c r="GU31" s="119">
        <f t="shared" si="36"/>
        <v>92594.038574788166</v>
      </c>
      <c r="GV31" s="119">
        <f t="shared" si="36"/>
        <v>92594.038574788166</v>
      </c>
      <c r="GW31" s="119">
        <f t="shared" si="36"/>
        <v>92594.038574788166</v>
      </c>
      <c r="GX31" s="119">
        <f t="shared" si="36"/>
        <v>92594.038574788166</v>
      </c>
      <c r="GY31" s="119">
        <f t="shared" si="36"/>
        <v>92594.038574788166</v>
      </c>
      <c r="GZ31" s="119">
        <f t="shared" si="36"/>
        <v>89236.448355933797</v>
      </c>
      <c r="HA31" s="119">
        <f t="shared" si="36"/>
        <v>89236.448355933797</v>
      </c>
      <c r="HB31" s="119">
        <f t="shared" si="36"/>
        <v>89236.448355933797</v>
      </c>
      <c r="HC31" s="119">
        <f t="shared" si="36"/>
        <v>89236.448355933797</v>
      </c>
      <c r="HD31" s="119">
        <f t="shared" si="36"/>
        <v>89236.448355933797</v>
      </c>
      <c r="HE31" s="119">
        <f t="shared" si="36"/>
        <v>85684.193355851472</v>
      </c>
      <c r="HF31" s="119">
        <f t="shared" si="28"/>
        <v>85684.193355851472</v>
      </c>
      <c r="HG31" s="119">
        <f t="shared" si="28"/>
        <v>85684.193355851472</v>
      </c>
      <c r="HH31" s="119">
        <f t="shared" si="28"/>
        <v>85684.193355851472</v>
      </c>
      <c r="HI31" s="119">
        <f t="shared" si="28"/>
        <v>85684.193355851472</v>
      </c>
      <c r="HJ31" s="119">
        <f t="shared" si="28"/>
        <v>80239.615598715958</v>
      </c>
    </row>
    <row r="32" spans="17:218" x14ac:dyDescent="0.25">
      <c r="Q32" s="37">
        <v>2030</v>
      </c>
      <c r="R32" s="135">
        <v>2E-3</v>
      </c>
      <c r="S32" s="128">
        <v>0.247</v>
      </c>
      <c r="T32" s="128">
        <v>0</v>
      </c>
      <c r="U32" s="128">
        <v>0.17899999999999999</v>
      </c>
      <c r="V32" s="128">
        <v>2E-3</v>
      </c>
      <c r="W32" s="128">
        <f>1-SUM(R32:V32)</f>
        <v>0.57000000000000006</v>
      </c>
      <c r="X32" s="134">
        <f t="shared" si="31"/>
        <v>1</v>
      </c>
      <c r="Z32" s="83" t="s">
        <v>211</v>
      </c>
      <c r="AA32" s="114">
        <f>'US Grid mix, emissions&amp;prices'!O84</f>
        <v>154587</v>
      </c>
      <c r="AB32" s="116">
        <f t="shared" si="30"/>
        <v>154587</v>
      </c>
      <c r="AC32" s="116">
        <f t="shared" si="30"/>
        <v>135958.31403888689</v>
      </c>
      <c r="AD32" s="116">
        <f t="shared" si="30"/>
        <v>135958.31403888689</v>
      </c>
      <c r="AE32" s="116">
        <f t="shared" si="30"/>
        <v>135958.31403888689</v>
      </c>
      <c r="AF32" s="116">
        <f t="shared" si="30"/>
        <v>135958.31403888689</v>
      </c>
      <c r="AG32" s="116">
        <f t="shared" si="30"/>
        <v>135958.31403888689</v>
      </c>
      <c r="AH32" s="116">
        <f t="shared" si="30"/>
        <v>81688.878707778145</v>
      </c>
      <c r="AI32" s="116">
        <f t="shared" si="30"/>
        <v>81688.878707778145</v>
      </c>
      <c r="AJ32" s="116">
        <f t="shared" si="30"/>
        <v>81688.878707778145</v>
      </c>
      <c r="AK32" s="116">
        <f t="shared" si="30"/>
        <v>81688.878707778145</v>
      </c>
      <c r="AL32" s="116">
        <f t="shared" si="30"/>
        <v>81688.878707778145</v>
      </c>
      <c r="AM32" s="116">
        <f t="shared" si="30"/>
        <v>85485.618629634482</v>
      </c>
      <c r="AN32" s="116">
        <f t="shared" si="30"/>
        <v>85485.618629634482</v>
      </c>
      <c r="AO32" s="116">
        <f t="shared" si="30"/>
        <v>85485.618629634482</v>
      </c>
      <c r="AP32" s="116">
        <f t="shared" si="30"/>
        <v>85485.618629634482</v>
      </c>
      <c r="AQ32" s="116">
        <f t="shared" si="30"/>
        <v>85485.618629634482</v>
      </c>
      <c r="AR32" s="116">
        <f t="shared" si="22"/>
        <v>89362.177056280387</v>
      </c>
      <c r="AS32" s="116">
        <f t="shared" si="22"/>
        <v>89362.177056280387</v>
      </c>
      <c r="AT32" s="116">
        <f t="shared" si="22"/>
        <v>89362.177056280387</v>
      </c>
      <c r="AU32" s="116">
        <f t="shared" si="22"/>
        <v>89362.177056280387</v>
      </c>
      <c r="AV32" s="116">
        <f t="shared" si="22"/>
        <v>89362.177056280387</v>
      </c>
      <c r="AW32" s="116">
        <f t="shared" si="22"/>
        <v>91323.091367976507</v>
      </c>
      <c r="AX32" s="116">
        <f t="shared" si="22"/>
        <v>91323.091367976507</v>
      </c>
      <c r="AY32" s="116">
        <f t="shared" si="22"/>
        <v>91323.091367976507</v>
      </c>
      <c r="AZ32" s="116">
        <f t="shared" si="22"/>
        <v>91323.091367976507</v>
      </c>
      <c r="BA32" s="116">
        <f t="shared" si="22"/>
        <v>91323.091367976507</v>
      </c>
      <c r="BB32" s="116">
        <f t="shared" si="22"/>
        <v>91446.988748545409</v>
      </c>
      <c r="BM32" s="123" t="s">
        <v>211</v>
      </c>
      <c r="BN32" s="103">
        <f t="shared" si="23"/>
        <v>154587</v>
      </c>
      <c r="BO32" s="119">
        <f t="shared" ref="BO32:CD47" si="37">$BN32*BO$57</f>
        <v>154587</v>
      </c>
      <c r="BP32" s="119">
        <f t="shared" si="37"/>
        <v>135780.8072148026</v>
      </c>
      <c r="BQ32" s="119">
        <f t="shared" si="37"/>
        <v>135780.8072148026</v>
      </c>
      <c r="BR32" s="119">
        <f t="shared" si="37"/>
        <v>135780.8072148026</v>
      </c>
      <c r="BS32" s="119">
        <f t="shared" si="37"/>
        <v>135780.8072148026</v>
      </c>
      <c r="BT32" s="119">
        <f t="shared" si="37"/>
        <v>135780.8072148026</v>
      </c>
      <c r="BU32" s="119">
        <f t="shared" si="37"/>
        <v>153916.28629557416</v>
      </c>
      <c r="BV32" s="119">
        <f t="shared" si="37"/>
        <v>153916.28629557416</v>
      </c>
      <c r="BW32" s="119">
        <f t="shared" si="37"/>
        <v>153916.28629557416</v>
      </c>
      <c r="BX32" s="119">
        <f t="shared" si="37"/>
        <v>153916.28629557416</v>
      </c>
      <c r="BY32" s="119">
        <f t="shared" si="37"/>
        <v>153916.28629557416</v>
      </c>
      <c r="BZ32" s="119">
        <f t="shared" si="37"/>
        <v>157617.7205400698</v>
      </c>
      <c r="CA32" s="119">
        <f t="shared" si="37"/>
        <v>157617.7205400698</v>
      </c>
      <c r="CB32" s="119">
        <f t="shared" si="37"/>
        <v>157617.7205400698</v>
      </c>
      <c r="CC32" s="119">
        <f t="shared" si="37"/>
        <v>157617.7205400698</v>
      </c>
      <c r="CD32" s="119">
        <f t="shared" si="37"/>
        <v>157617.7205400698</v>
      </c>
      <c r="CE32" s="119">
        <f t="shared" ref="CE32:CJ46" si="38">$BN32*CE$57</f>
        <v>161513.34010218788</v>
      </c>
      <c r="CF32" s="119">
        <f t="shared" si="38"/>
        <v>161513.34010218788</v>
      </c>
      <c r="CG32" s="119">
        <f t="shared" si="38"/>
        <v>161513.34010218788</v>
      </c>
      <c r="CH32" s="119">
        <f t="shared" si="38"/>
        <v>161513.34010218788</v>
      </c>
      <c r="CI32" s="119">
        <f t="shared" si="38"/>
        <v>161513.34010218788</v>
      </c>
      <c r="CJ32" s="119">
        <f t="shared" si="38"/>
        <v>162437.80517258652</v>
      </c>
      <c r="CK32" s="119">
        <f t="shared" si="24"/>
        <v>162437.80517258652</v>
      </c>
      <c r="CL32" s="119">
        <f t="shared" si="24"/>
        <v>162437.80517258652</v>
      </c>
      <c r="CM32" s="119">
        <f t="shared" si="24"/>
        <v>162437.80517258652</v>
      </c>
      <c r="CN32" s="119">
        <f t="shared" si="24"/>
        <v>162437.80517258652</v>
      </c>
      <c r="CO32" s="119">
        <f t="shared" si="24"/>
        <v>163542.15970900346</v>
      </c>
      <c r="CR32" s="123" t="s">
        <v>211</v>
      </c>
      <c r="CS32" s="103">
        <f t="shared" si="11"/>
        <v>187163.67184284955</v>
      </c>
      <c r="CT32" s="119">
        <f t="shared" ref="CT32:DI47" si="39">$BN32*CT$57</f>
        <v>187163.67184284955</v>
      </c>
      <c r="CU32" s="119">
        <f t="shared" si="39"/>
        <v>187163.67184284955</v>
      </c>
      <c r="CV32" s="119">
        <f t="shared" si="39"/>
        <v>187163.67184284955</v>
      </c>
      <c r="CW32" s="119">
        <f t="shared" si="39"/>
        <v>187163.67184284955</v>
      </c>
      <c r="CX32" s="119">
        <f t="shared" si="39"/>
        <v>187163.67184284955</v>
      </c>
      <c r="CY32" s="119">
        <f t="shared" si="39"/>
        <v>187163.67184284955</v>
      </c>
      <c r="CZ32" s="119">
        <f t="shared" si="39"/>
        <v>187205.36807669484</v>
      </c>
      <c r="DA32" s="119">
        <f t="shared" si="39"/>
        <v>187205.36807669484</v>
      </c>
      <c r="DB32" s="119">
        <f t="shared" si="39"/>
        <v>187205.36807669484</v>
      </c>
      <c r="DC32" s="119">
        <f t="shared" si="39"/>
        <v>187205.36807669484</v>
      </c>
      <c r="DD32" s="119">
        <f t="shared" si="39"/>
        <v>187205.36807669484</v>
      </c>
      <c r="DE32" s="119">
        <f t="shared" si="39"/>
        <v>187181.54165735468</v>
      </c>
      <c r="DF32" s="119">
        <f t="shared" si="39"/>
        <v>187181.54165735468</v>
      </c>
      <c r="DG32" s="119">
        <f t="shared" si="39"/>
        <v>187181.54165735468</v>
      </c>
      <c r="DH32" s="119">
        <f t="shared" si="39"/>
        <v>187181.54165735468</v>
      </c>
      <c r="DI32" s="119">
        <f t="shared" si="39"/>
        <v>187181.54165735468</v>
      </c>
      <c r="DJ32" s="119">
        <f t="shared" ref="DJ32:DO46" si="40">$BN32*DJ$57</f>
        <v>187175.58505251963</v>
      </c>
      <c r="DK32" s="119">
        <f t="shared" si="40"/>
        <v>187175.58505251963</v>
      </c>
      <c r="DL32" s="119">
        <f t="shared" si="40"/>
        <v>187175.58505251963</v>
      </c>
      <c r="DM32" s="119">
        <f t="shared" si="40"/>
        <v>187175.58505251963</v>
      </c>
      <c r="DN32" s="119">
        <f t="shared" si="40"/>
        <v>187175.58505251963</v>
      </c>
      <c r="DO32" s="119">
        <f t="shared" si="40"/>
        <v>187060.02691871981</v>
      </c>
      <c r="DP32" s="119">
        <f t="shared" si="25"/>
        <v>187060.02691871981</v>
      </c>
      <c r="DQ32" s="119">
        <f t="shared" si="25"/>
        <v>187060.02691871981</v>
      </c>
      <c r="DR32" s="119">
        <f t="shared" si="25"/>
        <v>187060.02691871981</v>
      </c>
      <c r="DS32" s="119">
        <f t="shared" si="25"/>
        <v>187060.02691871981</v>
      </c>
      <c r="DT32" s="93">
        <f t="shared" si="25"/>
        <v>187156.52391704748</v>
      </c>
      <c r="DW32" s="123" t="s">
        <v>211</v>
      </c>
      <c r="DX32" s="103">
        <f t="shared" si="13"/>
        <v>195924.64118474323</v>
      </c>
      <c r="DY32" s="119">
        <f t="shared" ref="DY32:EN47" si="41">$DX32*DY$57</f>
        <v>195924.64118474323</v>
      </c>
      <c r="DZ32" s="119">
        <f t="shared" si="41"/>
        <v>171747.59671506556</v>
      </c>
      <c r="EA32" s="119">
        <f t="shared" si="41"/>
        <v>171747.59671506556</v>
      </c>
      <c r="EB32" s="119">
        <f t="shared" si="41"/>
        <v>171747.59671506556</v>
      </c>
      <c r="EC32" s="119">
        <f t="shared" si="41"/>
        <v>171747.59671506556</v>
      </c>
      <c r="ED32" s="119">
        <f t="shared" si="41"/>
        <v>171747.59671506556</v>
      </c>
      <c r="EE32" s="119">
        <f t="shared" si="41"/>
        <v>105854.26062433924</v>
      </c>
      <c r="EF32" s="119">
        <f t="shared" si="41"/>
        <v>105854.26062433924</v>
      </c>
      <c r="EG32" s="119">
        <f t="shared" si="41"/>
        <v>105854.26062433924</v>
      </c>
      <c r="EH32" s="119">
        <f t="shared" si="41"/>
        <v>105854.26062433924</v>
      </c>
      <c r="EI32" s="119">
        <f t="shared" si="41"/>
        <v>105854.26062433924</v>
      </c>
      <c r="EJ32" s="119">
        <f t="shared" si="41"/>
        <v>94540.292313866055</v>
      </c>
      <c r="EK32" s="119">
        <f t="shared" si="41"/>
        <v>94540.292313866055</v>
      </c>
      <c r="EL32" s="119">
        <f t="shared" si="41"/>
        <v>94540.292313866055</v>
      </c>
      <c r="EM32" s="119">
        <f t="shared" si="41"/>
        <v>94540.292313866055</v>
      </c>
      <c r="EN32" s="119">
        <f t="shared" si="41"/>
        <v>94540.292313866055</v>
      </c>
      <c r="EO32" s="119">
        <f t="shared" ref="EO32:ET46" si="42">$DX32*EO$57</f>
        <v>91564.678261787238</v>
      </c>
      <c r="EP32" s="119">
        <f t="shared" si="42"/>
        <v>91564.678261787238</v>
      </c>
      <c r="EQ32" s="119">
        <f t="shared" si="42"/>
        <v>91564.678261787238</v>
      </c>
      <c r="ER32" s="119">
        <f t="shared" si="42"/>
        <v>91564.678261787238</v>
      </c>
      <c r="ES32" s="119">
        <f t="shared" si="42"/>
        <v>91564.678261787238</v>
      </c>
      <c r="ET32" s="119">
        <f t="shared" si="42"/>
        <v>88165.006753910478</v>
      </c>
      <c r="EU32" s="119">
        <f t="shared" si="26"/>
        <v>88165.006753910478</v>
      </c>
      <c r="EV32" s="119">
        <f t="shared" si="26"/>
        <v>88165.006753910478</v>
      </c>
      <c r="EW32" s="119">
        <f t="shared" si="26"/>
        <v>88165.006753910478</v>
      </c>
      <c r="EX32" s="119">
        <f t="shared" si="26"/>
        <v>88165.006753910478</v>
      </c>
      <c r="EY32" s="119">
        <f t="shared" si="26"/>
        <v>82833.998738164824</v>
      </c>
      <c r="FB32" s="123" t="s">
        <v>211</v>
      </c>
      <c r="FC32" s="103">
        <f t="shared" si="15"/>
        <v>212509.03787441953</v>
      </c>
      <c r="FD32" s="119">
        <f t="shared" ref="FD32:FS47" si="43">$FC32*FD$57</f>
        <v>212509.03787441953</v>
      </c>
      <c r="FE32" s="119">
        <f t="shared" si="43"/>
        <v>185584.27417584698</v>
      </c>
      <c r="FF32" s="119">
        <f t="shared" si="43"/>
        <v>185584.27417584698</v>
      </c>
      <c r="FG32" s="119">
        <f t="shared" si="43"/>
        <v>185584.27417584698</v>
      </c>
      <c r="FH32" s="119">
        <f t="shared" si="43"/>
        <v>185584.27417584698</v>
      </c>
      <c r="FI32" s="119">
        <f t="shared" si="43"/>
        <v>185584.27417584698</v>
      </c>
      <c r="FJ32" s="119">
        <f t="shared" si="43"/>
        <v>116458.58176388526</v>
      </c>
      <c r="FK32" s="119">
        <f t="shared" si="43"/>
        <v>116458.58176388526</v>
      </c>
      <c r="FL32" s="119">
        <f t="shared" si="43"/>
        <v>116458.58176388526</v>
      </c>
      <c r="FM32" s="119">
        <f t="shared" si="43"/>
        <v>116458.58176388526</v>
      </c>
      <c r="FN32" s="119">
        <f t="shared" si="43"/>
        <v>116458.58176388526</v>
      </c>
      <c r="FO32" s="119">
        <f t="shared" si="43"/>
        <v>103409.43957815719</v>
      </c>
      <c r="FP32" s="119">
        <f t="shared" si="43"/>
        <v>103409.43957815719</v>
      </c>
      <c r="FQ32" s="119">
        <f t="shared" si="43"/>
        <v>103409.43957815719</v>
      </c>
      <c r="FR32" s="119">
        <f t="shared" si="43"/>
        <v>103409.43957815719</v>
      </c>
      <c r="FS32" s="119">
        <f t="shared" si="43"/>
        <v>103409.43957815719</v>
      </c>
      <c r="FT32" s="119">
        <f t="shared" ref="FT32:FY46" si="44">$FC32*FT$57</f>
        <v>100777.11013315291</v>
      </c>
      <c r="FU32" s="119">
        <f t="shared" si="44"/>
        <v>100777.11013315291</v>
      </c>
      <c r="FV32" s="119">
        <f t="shared" si="44"/>
        <v>100777.11013315291</v>
      </c>
      <c r="FW32" s="119">
        <f t="shared" si="44"/>
        <v>100777.11013315291</v>
      </c>
      <c r="FX32" s="119">
        <f t="shared" si="44"/>
        <v>100777.11013315291</v>
      </c>
      <c r="FY32" s="119">
        <f t="shared" si="44"/>
        <v>97370.226763782979</v>
      </c>
      <c r="FZ32" s="119">
        <f t="shared" si="27"/>
        <v>97370.226763782979</v>
      </c>
      <c r="GA32" s="119">
        <f t="shared" si="27"/>
        <v>97370.226763782979</v>
      </c>
      <c r="GB32" s="119">
        <f t="shared" si="27"/>
        <v>97370.226763782979</v>
      </c>
      <c r="GC32" s="119">
        <f t="shared" si="27"/>
        <v>97370.226763782979</v>
      </c>
      <c r="GD32" s="119">
        <f t="shared" si="27"/>
        <v>91854.595093812371</v>
      </c>
      <c r="GH32" s="123" t="s">
        <v>211</v>
      </c>
      <c r="GI32" s="103">
        <f t="shared" si="17"/>
        <v>184636.63557564543</v>
      </c>
      <c r="GJ32" s="119">
        <f t="shared" ref="GJ32:GY47" si="45">$GI32*GJ$57</f>
        <v>184636.63557564543</v>
      </c>
      <c r="GK32" s="119">
        <f t="shared" si="45"/>
        <v>162330.34797729409</v>
      </c>
      <c r="GL32" s="119">
        <f t="shared" si="45"/>
        <v>162330.34797729409</v>
      </c>
      <c r="GM32" s="119">
        <f t="shared" si="45"/>
        <v>162330.34797729409</v>
      </c>
      <c r="GN32" s="119">
        <f t="shared" si="45"/>
        <v>162330.34797729409</v>
      </c>
      <c r="GO32" s="119">
        <f t="shared" si="45"/>
        <v>162330.34797729409</v>
      </c>
      <c r="GP32" s="119">
        <f t="shared" si="45"/>
        <v>98636.629641982305</v>
      </c>
      <c r="GQ32" s="119">
        <f t="shared" si="45"/>
        <v>98636.629641982305</v>
      </c>
      <c r="GR32" s="119">
        <f t="shared" si="45"/>
        <v>98636.629641982305</v>
      </c>
      <c r="GS32" s="119">
        <f t="shared" si="45"/>
        <v>98636.629641982305</v>
      </c>
      <c r="GT32" s="119">
        <f t="shared" si="45"/>
        <v>98636.629641982305</v>
      </c>
      <c r="GU32" s="119">
        <f t="shared" si="45"/>
        <v>88503.964244089118</v>
      </c>
      <c r="GV32" s="119">
        <f t="shared" si="45"/>
        <v>88503.964244089118</v>
      </c>
      <c r="GW32" s="119">
        <f t="shared" si="45"/>
        <v>88503.964244089118</v>
      </c>
      <c r="GX32" s="119">
        <f t="shared" si="45"/>
        <v>88503.964244089118</v>
      </c>
      <c r="GY32" s="119">
        <f t="shared" si="45"/>
        <v>88503.964244089118</v>
      </c>
      <c r="GZ32" s="119">
        <f t="shared" ref="GZ32:HE46" si="46">$GI32*GZ$57</f>
        <v>85294.685879631841</v>
      </c>
      <c r="HA32" s="119">
        <f t="shared" si="46"/>
        <v>85294.685879631841</v>
      </c>
      <c r="HB32" s="119">
        <f t="shared" si="46"/>
        <v>85294.685879631841</v>
      </c>
      <c r="HC32" s="119">
        <f t="shared" si="46"/>
        <v>85294.685879631841</v>
      </c>
      <c r="HD32" s="119">
        <f t="shared" si="46"/>
        <v>85294.685879631841</v>
      </c>
      <c r="HE32" s="119">
        <f t="shared" si="46"/>
        <v>81899.341488650985</v>
      </c>
      <c r="HF32" s="119">
        <f t="shared" si="28"/>
        <v>81899.341488650985</v>
      </c>
      <c r="HG32" s="119">
        <f t="shared" si="28"/>
        <v>81899.341488650985</v>
      </c>
      <c r="HH32" s="119">
        <f t="shared" si="28"/>
        <v>81899.341488650985</v>
      </c>
      <c r="HI32" s="119">
        <f t="shared" si="28"/>
        <v>81899.341488650985</v>
      </c>
      <c r="HJ32" s="119">
        <f t="shared" si="28"/>
        <v>76695.262235184986</v>
      </c>
    </row>
    <row r="33" spans="17:218" x14ac:dyDescent="0.25">
      <c r="Q33" s="37">
        <v>2035</v>
      </c>
      <c r="R33" s="135">
        <v>2E-3</v>
      </c>
      <c r="S33" s="128">
        <v>0.2</v>
      </c>
      <c r="T33" s="128">
        <v>0</v>
      </c>
      <c r="U33" s="128">
        <v>0.159</v>
      </c>
      <c r="V33" s="128">
        <v>2E-3</v>
      </c>
      <c r="W33" s="128">
        <f>1-SUM(R33:V33)</f>
        <v>0.63700000000000001</v>
      </c>
      <c r="X33" s="134">
        <f t="shared" si="31"/>
        <v>1</v>
      </c>
      <c r="Z33" s="83" t="s">
        <v>215</v>
      </c>
      <c r="AA33" s="114">
        <f>'US Grid mix, emissions&amp;prices'!O85</f>
        <v>109172</v>
      </c>
      <c r="AB33" s="116">
        <f t="shared" si="30"/>
        <v>109172</v>
      </c>
      <c r="AC33" s="116">
        <f t="shared" si="30"/>
        <v>96016.101355569088</v>
      </c>
      <c r="AD33" s="116">
        <f t="shared" si="30"/>
        <v>96016.101355569088</v>
      </c>
      <c r="AE33" s="116">
        <f t="shared" si="30"/>
        <v>96016.101355569088</v>
      </c>
      <c r="AF33" s="116">
        <f t="shared" si="30"/>
        <v>96016.101355569088</v>
      </c>
      <c r="AG33" s="116">
        <f t="shared" si="30"/>
        <v>96016.101355569088</v>
      </c>
      <c r="AH33" s="116">
        <f t="shared" si="30"/>
        <v>57690.092092385225</v>
      </c>
      <c r="AI33" s="116">
        <f t="shared" si="30"/>
        <v>57690.092092385225</v>
      </c>
      <c r="AJ33" s="116">
        <f t="shared" si="30"/>
        <v>57690.092092385225</v>
      </c>
      <c r="AK33" s="116">
        <f t="shared" si="30"/>
        <v>57690.092092385225</v>
      </c>
      <c r="AL33" s="116">
        <f t="shared" si="30"/>
        <v>57690.092092385225</v>
      </c>
      <c r="AM33" s="116">
        <f t="shared" si="30"/>
        <v>60371.415170968161</v>
      </c>
      <c r="AN33" s="116">
        <f t="shared" si="30"/>
        <v>60371.415170968161</v>
      </c>
      <c r="AO33" s="116">
        <f t="shared" si="30"/>
        <v>60371.415170968161</v>
      </c>
      <c r="AP33" s="116">
        <f t="shared" si="30"/>
        <v>60371.415170968161</v>
      </c>
      <c r="AQ33" s="116">
        <f t="shared" si="30"/>
        <v>60371.415170968161</v>
      </c>
      <c r="AR33" s="116">
        <f t="shared" si="22"/>
        <v>63109.107451391399</v>
      </c>
      <c r="AS33" s="116">
        <f t="shared" si="22"/>
        <v>63109.107451391399</v>
      </c>
      <c r="AT33" s="116">
        <f t="shared" si="22"/>
        <v>63109.107451391399</v>
      </c>
      <c r="AU33" s="116">
        <f t="shared" si="22"/>
        <v>63109.107451391399</v>
      </c>
      <c r="AV33" s="116">
        <f t="shared" si="22"/>
        <v>63109.107451391399</v>
      </c>
      <c r="AW33" s="116">
        <f t="shared" si="22"/>
        <v>64493.938887647288</v>
      </c>
      <c r="AX33" s="116">
        <f t="shared" si="22"/>
        <v>64493.938887647288</v>
      </c>
      <c r="AY33" s="116">
        <f t="shared" si="22"/>
        <v>64493.938887647288</v>
      </c>
      <c r="AZ33" s="116">
        <f t="shared" si="22"/>
        <v>64493.938887647288</v>
      </c>
      <c r="BA33" s="116">
        <f t="shared" si="22"/>
        <v>64493.938887647288</v>
      </c>
      <c r="BB33" s="116">
        <f t="shared" si="22"/>
        <v>64581.437350205379</v>
      </c>
      <c r="BM33" s="123" t="s">
        <v>215</v>
      </c>
      <c r="BN33" s="103">
        <f t="shared" si="23"/>
        <v>109172</v>
      </c>
      <c r="BO33" s="119">
        <f t="shared" si="37"/>
        <v>109172</v>
      </c>
      <c r="BP33" s="119">
        <f t="shared" si="37"/>
        <v>95890.742981327203</v>
      </c>
      <c r="BQ33" s="119">
        <f t="shared" si="37"/>
        <v>95890.742981327203</v>
      </c>
      <c r="BR33" s="119">
        <f t="shared" si="37"/>
        <v>95890.742981327203</v>
      </c>
      <c r="BS33" s="119">
        <f t="shared" si="37"/>
        <v>95890.742981327203</v>
      </c>
      <c r="BT33" s="119">
        <f t="shared" si="37"/>
        <v>95890.742981327203</v>
      </c>
      <c r="BU33" s="119">
        <f t="shared" si="37"/>
        <v>108698.33043826728</v>
      </c>
      <c r="BV33" s="119">
        <f t="shared" si="37"/>
        <v>108698.33043826728</v>
      </c>
      <c r="BW33" s="119">
        <f t="shared" si="37"/>
        <v>108698.33043826728</v>
      </c>
      <c r="BX33" s="119">
        <f t="shared" si="37"/>
        <v>108698.33043826728</v>
      </c>
      <c r="BY33" s="119">
        <f t="shared" si="37"/>
        <v>108698.33043826728</v>
      </c>
      <c r="BZ33" s="119">
        <f t="shared" si="37"/>
        <v>111312.34700719014</v>
      </c>
      <c r="CA33" s="119">
        <f t="shared" si="37"/>
        <v>111312.34700719014</v>
      </c>
      <c r="CB33" s="119">
        <f t="shared" si="37"/>
        <v>111312.34700719014</v>
      </c>
      <c r="CC33" s="119">
        <f t="shared" si="37"/>
        <v>111312.34700719014</v>
      </c>
      <c r="CD33" s="119">
        <f t="shared" si="37"/>
        <v>111312.34700719014</v>
      </c>
      <c r="CE33" s="119">
        <f t="shared" si="38"/>
        <v>114063.50058954539</v>
      </c>
      <c r="CF33" s="119">
        <f t="shared" si="38"/>
        <v>114063.50058954539</v>
      </c>
      <c r="CG33" s="119">
        <f t="shared" si="38"/>
        <v>114063.50058954539</v>
      </c>
      <c r="CH33" s="119">
        <f t="shared" si="38"/>
        <v>114063.50058954539</v>
      </c>
      <c r="CI33" s="119">
        <f t="shared" si="38"/>
        <v>114063.50058954539</v>
      </c>
      <c r="CJ33" s="119">
        <f t="shared" si="38"/>
        <v>114716.37373324805</v>
      </c>
      <c r="CK33" s="119">
        <f t="shared" si="24"/>
        <v>114716.37373324805</v>
      </c>
      <c r="CL33" s="119">
        <f t="shared" si="24"/>
        <v>114716.37373324805</v>
      </c>
      <c r="CM33" s="119">
        <f t="shared" si="24"/>
        <v>114716.37373324805</v>
      </c>
      <c r="CN33" s="119">
        <f t="shared" si="24"/>
        <v>114716.37373324805</v>
      </c>
      <c r="CO33" s="119">
        <f t="shared" si="24"/>
        <v>115496.28791393408</v>
      </c>
      <c r="CR33" s="123" t="s">
        <v>215</v>
      </c>
      <c r="CS33" s="103">
        <f t="shared" si="11"/>
        <v>132178.20633318176</v>
      </c>
      <c r="CT33" s="119">
        <f t="shared" si="39"/>
        <v>132178.20633318179</v>
      </c>
      <c r="CU33" s="119">
        <f t="shared" si="39"/>
        <v>132178.20633318179</v>
      </c>
      <c r="CV33" s="119">
        <f t="shared" si="39"/>
        <v>132178.20633318179</v>
      </c>
      <c r="CW33" s="119">
        <f t="shared" si="39"/>
        <v>132178.20633318179</v>
      </c>
      <c r="CX33" s="119">
        <f t="shared" si="39"/>
        <v>132178.20633318179</v>
      </c>
      <c r="CY33" s="119">
        <f t="shared" si="39"/>
        <v>132178.20633318179</v>
      </c>
      <c r="CZ33" s="119">
        <f t="shared" si="39"/>
        <v>132207.65293115805</v>
      </c>
      <c r="DA33" s="119">
        <f t="shared" si="39"/>
        <v>132207.65293115805</v>
      </c>
      <c r="DB33" s="119">
        <f t="shared" si="39"/>
        <v>132207.65293115805</v>
      </c>
      <c r="DC33" s="119">
        <f t="shared" si="39"/>
        <v>132207.65293115805</v>
      </c>
      <c r="DD33" s="119">
        <f t="shared" si="39"/>
        <v>132207.65293115805</v>
      </c>
      <c r="DE33" s="119">
        <f t="shared" si="39"/>
        <v>132190.82630374303</v>
      </c>
      <c r="DF33" s="119">
        <f t="shared" si="39"/>
        <v>132190.82630374303</v>
      </c>
      <c r="DG33" s="119">
        <f t="shared" si="39"/>
        <v>132190.82630374303</v>
      </c>
      <c r="DH33" s="119">
        <f t="shared" si="39"/>
        <v>132190.82630374303</v>
      </c>
      <c r="DI33" s="119">
        <f t="shared" si="39"/>
        <v>132190.82630374303</v>
      </c>
      <c r="DJ33" s="119">
        <f t="shared" si="40"/>
        <v>132186.61964688927</v>
      </c>
      <c r="DK33" s="119">
        <f t="shared" si="40"/>
        <v>132186.61964688927</v>
      </c>
      <c r="DL33" s="119">
        <f t="shared" si="40"/>
        <v>132186.61964688927</v>
      </c>
      <c r="DM33" s="119">
        <f t="shared" si="40"/>
        <v>132186.61964688927</v>
      </c>
      <c r="DN33" s="119">
        <f t="shared" si="40"/>
        <v>132186.61964688927</v>
      </c>
      <c r="DO33" s="119">
        <f t="shared" si="40"/>
        <v>132105.01050392646</v>
      </c>
      <c r="DP33" s="119">
        <f t="shared" si="25"/>
        <v>132105.01050392646</v>
      </c>
      <c r="DQ33" s="119">
        <f t="shared" si="25"/>
        <v>132105.01050392646</v>
      </c>
      <c r="DR33" s="119">
        <f t="shared" si="25"/>
        <v>132105.01050392646</v>
      </c>
      <c r="DS33" s="119">
        <f t="shared" si="25"/>
        <v>132105.01050392646</v>
      </c>
      <c r="DT33" s="93">
        <f t="shared" si="25"/>
        <v>132173.15834495728</v>
      </c>
      <c r="DW33" s="123" t="s">
        <v>215</v>
      </c>
      <c r="DX33" s="103">
        <f t="shared" si="13"/>
        <v>138365.35366764857</v>
      </c>
      <c r="DY33" s="119">
        <f t="shared" si="41"/>
        <v>138365.35366764857</v>
      </c>
      <c r="DZ33" s="119">
        <f t="shared" si="41"/>
        <v>121291.10875155828</v>
      </c>
      <c r="EA33" s="119">
        <f t="shared" si="41"/>
        <v>121291.10875155828</v>
      </c>
      <c r="EB33" s="119">
        <f t="shared" si="41"/>
        <v>121291.10875155828</v>
      </c>
      <c r="EC33" s="119">
        <f t="shared" si="41"/>
        <v>121291.10875155828</v>
      </c>
      <c r="ED33" s="119">
        <f t="shared" si="41"/>
        <v>121291.10875155828</v>
      </c>
      <c r="EE33" s="119">
        <f t="shared" si="41"/>
        <v>74756.100712740168</v>
      </c>
      <c r="EF33" s="119">
        <f t="shared" si="41"/>
        <v>74756.100712740168</v>
      </c>
      <c r="EG33" s="119">
        <f t="shared" si="41"/>
        <v>74756.100712740168</v>
      </c>
      <c r="EH33" s="119">
        <f t="shared" si="41"/>
        <v>74756.100712740168</v>
      </c>
      <c r="EI33" s="119">
        <f t="shared" si="41"/>
        <v>74756.100712740168</v>
      </c>
      <c r="EJ33" s="119">
        <f t="shared" si="41"/>
        <v>66765.981566945382</v>
      </c>
      <c r="EK33" s="119">
        <f t="shared" si="41"/>
        <v>66765.981566945382</v>
      </c>
      <c r="EL33" s="119">
        <f t="shared" si="41"/>
        <v>66765.981566945382</v>
      </c>
      <c r="EM33" s="119">
        <f t="shared" si="41"/>
        <v>66765.981566945382</v>
      </c>
      <c r="EN33" s="119">
        <f t="shared" si="41"/>
        <v>66765.981566945382</v>
      </c>
      <c r="EO33" s="119">
        <f t="shared" si="42"/>
        <v>64664.551710013366</v>
      </c>
      <c r="EP33" s="119">
        <f t="shared" si="42"/>
        <v>64664.551710013366</v>
      </c>
      <c r="EQ33" s="119">
        <f t="shared" si="42"/>
        <v>64664.551710013366</v>
      </c>
      <c r="ER33" s="119">
        <f t="shared" si="42"/>
        <v>64664.551710013366</v>
      </c>
      <c r="ES33" s="119">
        <f t="shared" si="42"/>
        <v>64664.551710013366</v>
      </c>
      <c r="ET33" s="119">
        <f t="shared" si="42"/>
        <v>62263.645179335363</v>
      </c>
      <c r="EU33" s="119">
        <f t="shared" si="26"/>
        <v>62263.645179335363</v>
      </c>
      <c r="EV33" s="119">
        <f t="shared" si="26"/>
        <v>62263.645179335363</v>
      </c>
      <c r="EW33" s="119">
        <f t="shared" si="26"/>
        <v>62263.645179335363</v>
      </c>
      <c r="EX33" s="119">
        <f t="shared" si="26"/>
        <v>62263.645179335363</v>
      </c>
      <c r="EY33" s="119">
        <f t="shared" si="26"/>
        <v>58498.795566528432</v>
      </c>
      <c r="FB33" s="123" t="s">
        <v>215</v>
      </c>
      <c r="FC33" s="103">
        <f t="shared" si="15"/>
        <v>150077.54004428655</v>
      </c>
      <c r="FD33" s="119">
        <f t="shared" si="43"/>
        <v>150077.54004428655</v>
      </c>
      <c r="FE33" s="119">
        <f t="shared" si="43"/>
        <v>131062.80851769917</v>
      </c>
      <c r="FF33" s="119">
        <f t="shared" si="43"/>
        <v>131062.80851769917</v>
      </c>
      <c r="FG33" s="119">
        <f t="shared" si="43"/>
        <v>131062.80851769917</v>
      </c>
      <c r="FH33" s="119">
        <f t="shared" si="43"/>
        <v>131062.80851769917</v>
      </c>
      <c r="FI33" s="119">
        <f t="shared" si="43"/>
        <v>131062.80851769917</v>
      </c>
      <c r="FJ33" s="119">
        <f t="shared" si="43"/>
        <v>82245.05481267428</v>
      </c>
      <c r="FK33" s="119">
        <f t="shared" si="43"/>
        <v>82245.05481267428</v>
      </c>
      <c r="FL33" s="119">
        <f t="shared" si="43"/>
        <v>82245.05481267428</v>
      </c>
      <c r="FM33" s="119">
        <f t="shared" si="43"/>
        <v>82245.05481267428</v>
      </c>
      <c r="FN33" s="119">
        <f t="shared" si="43"/>
        <v>82245.05481267428</v>
      </c>
      <c r="FO33" s="119">
        <f t="shared" si="43"/>
        <v>73029.526012061659</v>
      </c>
      <c r="FP33" s="119">
        <f t="shared" si="43"/>
        <v>73029.526012061659</v>
      </c>
      <c r="FQ33" s="119">
        <f t="shared" si="43"/>
        <v>73029.526012061659</v>
      </c>
      <c r="FR33" s="119">
        <f t="shared" si="43"/>
        <v>73029.526012061659</v>
      </c>
      <c r="FS33" s="119">
        <f t="shared" si="43"/>
        <v>73029.526012061659</v>
      </c>
      <c r="FT33" s="119">
        <f t="shared" si="44"/>
        <v>71170.52965292403</v>
      </c>
      <c r="FU33" s="119">
        <f t="shared" si="44"/>
        <v>71170.52965292403</v>
      </c>
      <c r="FV33" s="119">
        <f t="shared" si="44"/>
        <v>71170.52965292403</v>
      </c>
      <c r="FW33" s="119">
        <f t="shared" si="44"/>
        <v>71170.52965292403</v>
      </c>
      <c r="FX33" s="119">
        <f t="shared" si="44"/>
        <v>71170.52965292403</v>
      </c>
      <c r="FY33" s="119">
        <f t="shared" si="44"/>
        <v>68764.529981536049</v>
      </c>
      <c r="FZ33" s="119">
        <f t="shared" si="27"/>
        <v>68764.529981536049</v>
      </c>
      <c r="GA33" s="119">
        <f t="shared" si="27"/>
        <v>68764.529981536049</v>
      </c>
      <c r="GB33" s="119">
        <f t="shared" si="27"/>
        <v>68764.529981536049</v>
      </c>
      <c r="GC33" s="119">
        <f t="shared" si="27"/>
        <v>68764.529981536049</v>
      </c>
      <c r="GD33" s="119">
        <f t="shared" si="27"/>
        <v>64869.295966553997</v>
      </c>
      <c r="GH33" s="123" t="s">
        <v>215</v>
      </c>
      <c r="GI33" s="103">
        <f t="shared" si="17"/>
        <v>130393.56982840966</v>
      </c>
      <c r="GJ33" s="119">
        <f t="shared" si="45"/>
        <v>130393.56982840966</v>
      </c>
      <c r="GK33" s="119">
        <f t="shared" si="45"/>
        <v>114640.48561248455</v>
      </c>
      <c r="GL33" s="119">
        <f t="shared" si="45"/>
        <v>114640.48561248455</v>
      </c>
      <c r="GM33" s="119">
        <f t="shared" si="45"/>
        <v>114640.48561248455</v>
      </c>
      <c r="GN33" s="119">
        <f t="shared" si="45"/>
        <v>114640.48561248455</v>
      </c>
      <c r="GO33" s="119">
        <f t="shared" si="45"/>
        <v>114640.48561248455</v>
      </c>
      <c r="GP33" s="119">
        <f t="shared" si="45"/>
        <v>69658.885490206114</v>
      </c>
      <c r="GQ33" s="119">
        <f t="shared" si="45"/>
        <v>69658.885490206114</v>
      </c>
      <c r="GR33" s="119">
        <f t="shared" si="45"/>
        <v>69658.885490206114</v>
      </c>
      <c r="GS33" s="119">
        <f t="shared" si="45"/>
        <v>69658.885490206114</v>
      </c>
      <c r="GT33" s="119">
        <f t="shared" si="45"/>
        <v>69658.885490206114</v>
      </c>
      <c r="GU33" s="119">
        <f t="shared" si="45"/>
        <v>62503.02279270377</v>
      </c>
      <c r="GV33" s="119">
        <f t="shared" si="45"/>
        <v>62503.02279270377</v>
      </c>
      <c r="GW33" s="119">
        <f t="shared" si="45"/>
        <v>62503.02279270377</v>
      </c>
      <c r="GX33" s="119">
        <f t="shared" si="45"/>
        <v>62503.02279270377</v>
      </c>
      <c r="GY33" s="119">
        <f t="shared" si="45"/>
        <v>62503.02279270377</v>
      </c>
      <c r="GZ33" s="119">
        <f t="shared" si="46"/>
        <v>60236.575176768863</v>
      </c>
      <c r="HA33" s="119">
        <f t="shared" si="46"/>
        <v>60236.575176768863</v>
      </c>
      <c r="HB33" s="119">
        <f t="shared" si="46"/>
        <v>60236.575176768863</v>
      </c>
      <c r="HC33" s="119">
        <f t="shared" si="46"/>
        <v>60236.575176768863</v>
      </c>
      <c r="HD33" s="119">
        <f t="shared" si="46"/>
        <v>60236.575176768863</v>
      </c>
      <c r="HE33" s="119">
        <f t="shared" si="46"/>
        <v>57838.724530516833</v>
      </c>
      <c r="HF33" s="119">
        <f t="shared" si="28"/>
        <v>57838.724530516833</v>
      </c>
      <c r="HG33" s="119">
        <f t="shared" si="28"/>
        <v>57838.724530516833</v>
      </c>
      <c r="HH33" s="119">
        <f t="shared" si="28"/>
        <v>57838.724530516833</v>
      </c>
      <c r="HI33" s="119">
        <f t="shared" si="28"/>
        <v>57838.724530516833</v>
      </c>
      <c r="HJ33" s="119">
        <f t="shared" si="28"/>
        <v>54163.514194205301</v>
      </c>
    </row>
    <row r="34" spans="17:218" x14ac:dyDescent="0.25">
      <c r="Q34" s="37">
        <v>2040</v>
      </c>
      <c r="R34" s="135">
        <v>1E-3</v>
      </c>
      <c r="S34" s="128">
        <v>0.2</v>
      </c>
      <c r="T34" s="128">
        <v>0</v>
      </c>
      <c r="U34" s="128">
        <v>0.13700000000000001</v>
      </c>
      <c r="V34" s="128">
        <v>2E-3</v>
      </c>
      <c r="W34" s="128">
        <f>1-SUM(R34:V34)</f>
        <v>0.65999999999999992</v>
      </c>
      <c r="X34" s="134">
        <f t="shared" si="31"/>
        <v>1</v>
      </c>
      <c r="Z34" s="83" t="s">
        <v>212</v>
      </c>
      <c r="AA34" s="114">
        <f>'US Grid mix, emissions&amp;prices'!O86</f>
        <v>45784</v>
      </c>
      <c r="AB34" s="116">
        <f t="shared" si="30"/>
        <v>45784</v>
      </c>
      <c r="AC34" s="116">
        <f t="shared" si="30"/>
        <v>40266.745909787998</v>
      </c>
      <c r="AD34" s="116">
        <f t="shared" si="30"/>
        <v>40266.745909787998</v>
      </c>
      <c r="AE34" s="116">
        <f t="shared" si="30"/>
        <v>40266.745909787998</v>
      </c>
      <c r="AF34" s="116">
        <f t="shared" si="30"/>
        <v>40266.745909787998</v>
      </c>
      <c r="AG34" s="116">
        <f t="shared" si="30"/>
        <v>40266.745909787998</v>
      </c>
      <c r="AH34" s="116">
        <f t="shared" si="30"/>
        <v>24193.778407996237</v>
      </c>
      <c r="AI34" s="116">
        <f t="shared" si="30"/>
        <v>24193.778407996237</v>
      </c>
      <c r="AJ34" s="116">
        <f t="shared" si="30"/>
        <v>24193.778407996237</v>
      </c>
      <c r="AK34" s="116">
        <f t="shared" si="30"/>
        <v>24193.778407996237</v>
      </c>
      <c r="AL34" s="116">
        <f t="shared" si="30"/>
        <v>24193.778407996237</v>
      </c>
      <c r="AM34" s="116">
        <f t="shared" si="30"/>
        <v>25318.258089872917</v>
      </c>
      <c r="AN34" s="116">
        <f t="shared" si="30"/>
        <v>25318.258089872917</v>
      </c>
      <c r="AO34" s="116">
        <f t="shared" si="30"/>
        <v>25318.258089872917</v>
      </c>
      <c r="AP34" s="116">
        <f t="shared" si="30"/>
        <v>25318.258089872917</v>
      </c>
      <c r="AQ34" s="116">
        <f t="shared" si="30"/>
        <v>25318.258089872917</v>
      </c>
      <c r="AR34" s="116">
        <f t="shared" si="22"/>
        <v>26466.377601898872</v>
      </c>
      <c r="AS34" s="116">
        <f t="shared" si="22"/>
        <v>26466.377601898872</v>
      </c>
      <c r="AT34" s="116">
        <f t="shared" si="22"/>
        <v>26466.377601898872</v>
      </c>
      <c r="AU34" s="116">
        <f t="shared" si="22"/>
        <v>26466.377601898872</v>
      </c>
      <c r="AV34" s="116">
        <f t="shared" si="22"/>
        <v>26466.377601898872</v>
      </c>
      <c r="AW34" s="116">
        <f t="shared" si="22"/>
        <v>27047.141190342245</v>
      </c>
      <c r="AX34" s="116">
        <f t="shared" si="22"/>
        <v>27047.141190342245</v>
      </c>
      <c r="AY34" s="116">
        <f t="shared" si="22"/>
        <v>27047.141190342245</v>
      </c>
      <c r="AZ34" s="116">
        <f t="shared" si="22"/>
        <v>27047.141190342245</v>
      </c>
      <c r="BA34" s="116">
        <f t="shared" si="22"/>
        <v>27047.141190342245</v>
      </c>
      <c r="BB34" s="116">
        <f t="shared" si="22"/>
        <v>27083.835852066491</v>
      </c>
      <c r="BM34" s="123" t="s">
        <v>212</v>
      </c>
      <c r="BN34" s="103">
        <f t="shared" si="23"/>
        <v>45784</v>
      </c>
      <c r="BO34" s="119">
        <f t="shared" si="37"/>
        <v>45784</v>
      </c>
      <c r="BP34" s="119">
        <f t="shared" si="37"/>
        <v>40214.173750202295</v>
      </c>
      <c r="BQ34" s="119">
        <f t="shared" si="37"/>
        <v>40214.173750202295</v>
      </c>
      <c r="BR34" s="119">
        <f t="shared" si="37"/>
        <v>40214.173750202295</v>
      </c>
      <c r="BS34" s="119">
        <f t="shared" si="37"/>
        <v>40214.173750202295</v>
      </c>
      <c r="BT34" s="119">
        <f t="shared" si="37"/>
        <v>40214.173750202295</v>
      </c>
      <c r="BU34" s="119">
        <f t="shared" si="37"/>
        <v>45585.354860088933</v>
      </c>
      <c r="BV34" s="119">
        <f t="shared" si="37"/>
        <v>45585.354860088933</v>
      </c>
      <c r="BW34" s="119">
        <f t="shared" si="37"/>
        <v>45585.354860088933</v>
      </c>
      <c r="BX34" s="119">
        <f t="shared" si="37"/>
        <v>45585.354860088933</v>
      </c>
      <c r="BY34" s="119">
        <f t="shared" si="37"/>
        <v>45585.354860088933</v>
      </c>
      <c r="BZ34" s="119">
        <f t="shared" si="37"/>
        <v>46681.607879100804</v>
      </c>
      <c r="CA34" s="119">
        <f t="shared" si="37"/>
        <v>46681.607879100804</v>
      </c>
      <c r="CB34" s="119">
        <f t="shared" si="37"/>
        <v>46681.607879100804</v>
      </c>
      <c r="CC34" s="119">
        <f t="shared" si="37"/>
        <v>46681.607879100804</v>
      </c>
      <c r="CD34" s="119">
        <f t="shared" si="37"/>
        <v>46681.607879100804</v>
      </c>
      <c r="CE34" s="119">
        <f t="shared" si="38"/>
        <v>47835.372723699722</v>
      </c>
      <c r="CF34" s="119">
        <f t="shared" si="38"/>
        <v>47835.372723699722</v>
      </c>
      <c r="CG34" s="119">
        <f t="shared" si="38"/>
        <v>47835.372723699722</v>
      </c>
      <c r="CH34" s="119">
        <f t="shared" si="38"/>
        <v>47835.372723699722</v>
      </c>
      <c r="CI34" s="119">
        <f t="shared" si="38"/>
        <v>47835.372723699722</v>
      </c>
      <c r="CJ34" s="119">
        <f t="shared" si="38"/>
        <v>48109.171353488338</v>
      </c>
      <c r="CK34" s="119">
        <f t="shared" si="24"/>
        <v>48109.171353488338</v>
      </c>
      <c r="CL34" s="119">
        <f t="shared" si="24"/>
        <v>48109.171353488338</v>
      </c>
      <c r="CM34" s="119">
        <f t="shared" si="24"/>
        <v>48109.171353488338</v>
      </c>
      <c r="CN34" s="119">
        <f t="shared" si="24"/>
        <v>48109.171353488338</v>
      </c>
      <c r="CO34" s="119">
        <f t="shared" si="24"/>
        <v>48436.247809434266</v>
      </c>
      <c r="CR34" s="123" t="s">
        <v>212</v>
      </c>
      <c r="CS34" s="103">
        <f t="shared" si="11"/>
        <v>55432.22620047626</v>
      </c>
      <c r="CT34" s="119">
        <f t="shared" si="39"/>
        <v>55432.22620047626</v>
      </c>
      <c r="CU34" s="119">
        <f t="shared" si="39"/>
        <v>55432.22620047626</v>
      </c>
      <c r="CV34" s="119">
        <f t="shared" si="39"/>
        <v>55432.22620047626</v>
      </c>
      <c r="CW34" s="119">
        <f t="shared" si="39"/>
        <v>55432.22620047626</v>
      </c>
      <c r="CX34" s="119">
        <f t="shared" si="39"/>
        <v>55432.22620047626</v>
      </c>
      <c r="CY34" s="119">
        <f t="shared" si="39"/>
        <v>55432.22620047626</v>
      </c>
      <c r="CZ34" s="119">
        <f t="shared" si="39"/>
        <v>55444.575365479606</v>
      </c>
      <c r="DA34" s="119">
        <f t="shared" si="39"/>
        <v>55444.575365479606</v>
      </c>
      <c r="DB34" s="119">
        <f t="shared" si="39"/>
        <v>55444.575365479606</v>
      </c>
      <c r="DC34" s="119">
        <f t="shared" si="39"/>
        <v>55444.575365479606</v>
      </c>
      <c r="DD34" s="119">
        <f t="shared" si="39"/>
        <v>55444.575365479606</v>
      </c>
      <c r="DE34" s="119">
        <f t="shared" si="39"/>
        <v>55437.518699763415</v>
      </c>
      <c r="DF34" s="119">
        <f t="shared" si="39"/>
        <v>55437.518699763415</v>
      </c>
      <c r="DG34" s="119">
        <f t="shared" si="39"/>
        <v>55437.518699763415</v>
      </c>
      <c r="DH34" s="119">
        <f t="shared" si="39"/>
        <v>55437.518699763415</v>
      </c>
      <c r="DI34" s="119">
        <f t="shared" si="39"/>
        <v>55437.518699763415</v>
      </c>
      <c r="DJ34" s="119">
        <f t="shared" si="40"/>
        <v>55435.754533334359</v>
      </c>
      <c r="DK34" s="119">
        <f t="shared" si="40"/>
        <v>55435.754533334359</v>
      </c>
      <c r="DL34" s="119">
        <f t="shared" si="40"/>
        <v>55435.754533334359</v>
      </c>
      <c r="DM34" s="119">
        <f t="shared" si="40"/>
        <v>55435.754533334359</v>
      </c>
      <c r="DN34" s="119">
        <f t="shared" si="40"/>
        <v>55435.754533334359</v>
      </c>
      <c r="DO34" s="119">
        <f t="shared" si="40"/>
        <v>55401.529704610788</v>
      </c>
      <c r="DP34" s="119">
        <f t="shared" si="25"/>
        <v>55401.529704610788</v>
      </c>
      <c r="DQ34" s="119">
        <f t="shared" si="25"/>
        <v>55401.529704610788</v>
      </c>
      <c r="DR34" s="119">
        <f t="shared" si="25"/>
        <v>55401.529704610788</v>
      </c>
      <c r="DS34" s="119">
        <f t="shared" si="25"/>
        <v>55401.529704610788</v>
      </c>
      <c r="DT34" s="93">
        <f t="shared" si="25"/>
        <v>55430.109200761399</v>
      </c>
      <c r="DW34" s="123" t="s">
        <v>212</v>
      </c>
      <c r="DX34" s="103">
        <f t="shared" si="13"/>
        <v>58026.960688817846</v>
      </c>
      <c r="DY34" s="119">
        <f t="shared" si="41"/>
        <v>58026.960688817846</v>
      </c>
      <c r="DZ34" s="119">
        <f t="shared" si="41"/>
        <v>50866.450400114903</v>
      </c>
      <c r="EA34" s="119">
        <f t="shared" si="41"/>
        <v>50866.450400114903</v>
      </c>
      <c r="EB34" s="119">
        <f t="shared" si="41"/>
        <v>50866.450400114903</v>
      </c>
      <c r="EC34" s="119">
        <f t="shared" si="41"/>
        <v>50866.450400114903</v>
      </c>
      <c r="ED34" s="119">
        <f t="shared" si="41"/>
        <v>50866.450400114903</v>
      </c>
      <c r="EE34" s="119">
        <f t="shared" si="41"/>
        <v>31350.834600740993</v>
      </c>
      <c r="EF34" s="119">
        <f t="shared" si="41"/>
        <v>31350.834600740993</v>
      </c>
      <c r="EG34" s="119">
        <f t="shared" si="41"/>
        <v>31350.834600740993</v>
      </c>
      <c r="EH34" s="119">
        <f t="shared" si="41"/>
        <v>31350.834600740993</v>
      </c>
      <c r="EI34" s="119">
        <f t="shared" si="41"/>
        <v>31350.834600740993</v>
      </c>
      <c r="EJ34" s="119">
        <f t="shared" si="41"/>
        <v>27999.97893288597</v>
      </c>
      <c r="EK34" s="119">
        <f t="shared" si="41"/>
        <v>27999.97893288597</v>
      </c>
      <c r="EL34" s="119">
        <f t="shared" si="41"/>
        <v>27999.97893288597</v>
      </c>
      <c r="EM34" s="119">
        <f t="shared" si="41"/>
        <v>27999.97893288597</v>
      </c>
      <c r="EN34" s="119">
        <f t="shared" si="41"/>
        <v>27999.97893288597</v>
      </c>
      <c r="EO34" s="119">
        <f t="shared" si="42"/>
        <v>27118.6919310011</v>
      </c>
      <c r="EP34" s="119">
        <f t="shared" si="42"/>
        <v>27118.6919310011</v>
      </c>
      <c r="EQ34" s="119">
        <f t="shared" si="42"/>
        <v>27118.6919310011</v>
      </c>
      <c r="ER34" s="119">
        <f t="shared" si="42"/>
        <v>27118.6919310011</v>
      </c>
      <c r="ES34" s="119">
        <f t="shared" si="42"/>
        <v>27118.6919310011</v>
      </c>
      <c r="ET34" s="119">
        <f t="shared" si="42"/>
        <v>26111.81191963773</v>
      </c>
      <c r="EU34" s="119">
        <f t="shared" si="26"/>
        <v>26111.81191963773</v>
      </c>
      <c r="EV34" s="119">
        <f t="shared" si="26"/>
        <v>26111.81191963773</v>
      </c>
      <c r="EW34" s="119">
        <f t="shared" si="26"/>
        <v>26111.81191963773</v>
      </c>
      <c r="EX34" s="119">
        <f t="shared" si="26"/>
        <v>26111.81191963773</v>
      </c>
      <c r="EY34" s="119">
        <f t="shared" si="26"/>
        <v>24532.928371907979</v>
      </c>
      <c r="FB34" s="123" t="s">
        <v>212</v>
      </c>
      <c r="FC34" s="103">
        <f t="shared" si="15"/>
        <v>62938.758045905692</v>
      </c>
      <c r="FD34" s="119">
        <f t="shared" si="43"/>
        <v>62938.758045905692</v>
      </c>
      <c r="FE34" s="119">
        <f t="shared" si="43"/>
        <v>54964.456318234894</v>
      </c>
      <c r="FF34" s="119">
        <f t="shared" si="43"/>
        <v>54964.456318234894</v>
      </c>
      <c r="FG34" s="119">
        <f t="shared" si="43"/>
        <v>54964.456318234894</v>
      </c>
      <c r="FH34" s="119">
        <f t="shared" si="43"/>
        <v>54964.456318234894</v>
      </c>
      <c r="FI34" s="119">
        <f t="shared" si="43"/>
        <v>54964.456318234894</v>
      </c>
      <c r="FJ34" s="119">
        <f t="shared" si="43"/>
        <v>34491.514211917704</v>
      </c>
      <c r="FK34" s="119">
        <f t="shared" si="43"/>
        <v>34491.514211917704</v>
      </c>
      <c r="FL34" s="119">
        <f t="shared" si="43"/>
        <v>34491.514211917704</v>
      </c>
      <c r="FM34" s="119">
        <f t="shared" si="43"/>
        <v>34491.514211917704</v>
      </c>
      <c r="FN34" s="119">
        <f t="shared" si="43"/>
        <v>34491.514211917704</v>
      </c>
      <c r="FO34" s="119">
        <f t="shared" si="43"/>
        <v>30626.752454257788</v>
      </c>
      <c r="FP34" s="119">
        <f t="shared" si="43"/>
        <v>30626.752454257788</v>
      </c>
      <c r="FQ34" s="119">
        <f t="shared" si="43"/>
        <v>30626.752454257788</v>
      </c>
      <c r="FR34" s="119">
        <f t="shared" si="43"/>
        <v>30626.752454257788</v>
      </c>
      <c r="FS34" s="119">
        <f t="shared" si="43"/>
        <v>30626.752454257788</v>
      </c>
      <c r="FT34" s="119">
        <f t="shared" si="44"/>
        <v>29847.135983855514</v>
      </c>
      <c r="FU34" s="119">
        <f t="shared" si="44"/>
        <v>29847.135983855514</v>
      </c>
      <c r="FV34" s="119">
        <f t="shared" si="44"/>
        <v>29847.135983855514</v>
      </c>
      <c r="FW34" s="119">
        <f t="shared" si="44"/>
        <v>29847.135983855514</v>
      </c>
      <c r="FX34" s="119">
        <f t="shared" si="44"/>
        <v>29847.135983855514</v>
      </c>
      <c r="FY34" s="119">
        <f t="shared" si="44"/>
        <v>28838.120036956792</v>
      </c>
      <c r="FZ34" s="119">
        <f t="shared" si="27"/>
        <v>28838.120036956792</v>
      </c>
      <c r="GA34" s="119">
        <f t="shared" si="27"/>
        <v>28838.120036956792</v>
      </c>
      <c r="GB34" s="119">
        <f t="shared" si="27"/>
        <v>28838.120036956792</v>
      </c>
      <c r="GC34" s="119">
        <f t="shared" si="27"/>
        <v>28838.120036956792</v>
      </c>
      <c r="GD34" s="119">
        <f t="shared" si="27"/>
        <v>27204.556539522117</v>
      </c>
      <c r="GH34" s="123" t="s">
        <v>212</v>
      </c>
      <c r="GI34" s="103">
        <f t="shared" si="17"/>
        <v>54683.794388890085</v>
      </c>
      <c r="GJ34" s="119">
        <f t="shared" si="45"/>
        <v>54683.794388890085</v>
      </c>
      <c r="GK34" s="119">
        <f t="shared" si="45"/>
        <v>48077.345778056588</v>
      </c>
      <c r="GL34" s="119">
        <f t="shared" si="45"/>
        <v>48077.345778056588</v>
      </c>
      <c r="GM34" s="119">
        <f t="shared" si="45"/>
        <v>48077.345778056588</v>
      </c>
      <c r="GN34" s="119">
        <f t="shared" si="45"/>
        <v>48077.345778056588</v>
      </c>
      <c r="GO34" s="119">
        <f t="shared" si="45"/>
        <v>48077.345778056588</v>
      </c>
      <c r="GP34" s="119">
        <f t="shared" si="45"/>
        <v>29213.190316964032</v>
      </c>
      <c r="GQ34" s="119">
        <f t="shared" si="45"/>
        <v>29213.190316964032</v>
      </c>
      <c r="GR34" s="119">
        <f t="shared" si="45"/>
        <v>29213.190316964032</v>
      </c>
      <c r="GS34" s="119">
        <f t="shared" si="45"/>
        <v>29213.190316964032</v>
      </c>
      <c r="GT34" s="119">
        <f t="shared" si="45"/>
        <v>29213.190316964032</v>
      </c>
      <c r="GU34" s="119">
        <f t="shared" si="45"/>
        <v>26212.200889799122</v>
      </c>
      <c r="GV34" s="119">
        <f t="shared" si="45"/>
        <v>26212.200889799122</v>
      </c>
      <c r="GW34" s="119">
        <f t="shared" si="45"/>
        <v>26212.200889799122</v>
      </c>
      <c r="GX34" s="119">
        <f t="shared" si="45"/>
        <v>26212.200889799122</v>
      </c>
      <c r="GY34" s="119">
        <f t="shared" si="45"/>
        <v>26212.200889799122</v>
      </c>
      <c r="GZ34" s="119">
        <f t="shared" si="46"/>
        <v>25261.709576568952</v>
      </c>
      <c r="HA34" s="119">
        <f t="shared" si="46"/>
        <v>25261.709576568952</v>
      </c>
      <c r="HB34" s="119">
        <f t="shared" si="46"/>
        <v>25261.709576568952</v>
      </c>
      <c r="HC34" s="119">
        <f t="shared" si="46"/>
        <v>25261.709576568952</v>
      </c>
      <c r="HD34" s="119">
        <f t="shared" si="46"/>
        <v>25261.709576568952</v>
      </c>
      <c r="HE34" s="119">
        <f t="shared" si="46"/>
        <v>24256.11112652679</v>
      </c>
      <c r="HF34" s="119">
        <f t="shared" si="28"/>
        <v>24256.11112652679</v>
      </c>
      <c r="HG34" s="119">
        <f t="shared" si="28"/>
        <v>24256.11112652679</v>
      </c>
      <c r="HH34" s="119">
        <f t="shared" si="28"/>
        <v>24256.11112652679</v>
      </c>
      <c r="HI34" s="119">
        <f t="shared" si="28"/>
        <v>24256.11112652679</v>
      </c>
      <c r="HJ34" s="119">
        <f t="shared" si="28"/>
        <v>22714.820044219177</v>
      </c>
    </row>
    <row r="35" spans="17:218" x14ac:dyDescent="0.25">
      <c r="Q35" s="37">
        <v>2045</v>
      </c>
      <c r="R35" s="135">
        <v>1E-3</v>
      </c>
      <c r="S35" s="128">
        <v>0.2</v>
      </c>
      <c r="T35" s="128">
        <v>0</v>
      </c>
      <c r="U35" s="128">
        <v>0.13200000000000001</v>
      </c>
      <c r="V35" s="128">
        <v>2E-3</v>
      </c>
      <c r="W35" s="128">
        <f>1-SUM(R35:V35)</f>
        <v>0.66500000000000004</v>
      </c>
      <c r="X35" s="134">
        <f t="shared" si="31"/>
        <v>1</v>
      </c>
      <c r="Z35" s="83" t="s">
        <v>213</v>
      </c>
      <c r="AA35" s="114">
        <f>'US Grid mix, emissions&amp;prices'!O87</f>
        <v>82438</v>
      </c>
      <c r="AB35" s="116">
        <f t="shared" si="30"/>
        <v>82438</v>
      </c>
      <c r="AC35" s="116">
        <f t="shared" si="30"/>
        <v>72503.713072494822</v>
      </c>
      <c r="AD35" s="116">
        <f t="shared" si="30"/>
        <v>72503.713072494822</v>
      </c>
      <c r="AE35" s="116">
        <f t="shared" si="30"/>
        <v>72503.713072494822</v>
      </c>
      <c r="AF35" s="116">
        <f t="shared" si="30"/>
        <v>72503.713072494822</v>
      </c>
      <c r="AG35" s="116">
        <f t="shared" si="30"/>
        <v>72503.713072494822</v>
      </c>
      <c r="AH35" s="116">
        <f t="shared" si="30"/>
        <v>43562.963139926476</v>
      </c>
      <c r="AI35" s="116">
        <f t="shared" si="30"/>
        <v>43562.963139926476</v>
      </c>
      <c r="AJ35" s="116">
        <f t="shared" si="30"/>
        <v>43562.963139926476</v>
      </c>
      <c r="AK35" s="116">
        <f t="shared" si="30"/>
        <v>43562.963139926476</v>
      </c>
      <c r="AL35" s="116">
        <f t="shared" si="30"/>
        <v>43562.963139926476</v>
      </c>
      <c r="AM35" s="116">
        <f t="shared" si="30"/>
        <v>45587.68478972881</v>
      </c>
      <c r="AN35" s="116">
        <f t="shared" si="30"/>
        <v>45587.68478972881</v>
      </c>
      <c r="AO35" s="116">
        <f t="shared" si="30"/>
        <v>45587.68478972881</v>
      </c>
      <c r="AP35" s="116">
        <f t="shared" si="30"/>
        <v>45587.68478972881</v>
      </c>
      <c r="AQ35" s="116">
        <f t="shared" si="30"/>
        <v>45587.68478972881</v>
      </c>
      <c r="AR35" s="116">
        <f t="shared" si="22"/>
        <v>47654.971971547689</v>
      </c>
      <c r="AS35" s="116">
        <f t="shared" si="22"/>
        <v>47654.971971547689</v>
      </c>
      <c r="AT35" s="116">
        <f t="shared" si="22"/>
        <v>47654.971971547689</v>
      </c>
      <c r="AU35" s="116">
        <f t="shared" si="22"/>
        <v>47654.971971547689</v>
      </c>
      <c r="AV35" s="116">
        <f t="shared" si="22"/>
        <v>47654.971971547689</v>
      </c>
      <c r="AW35" s="116">
        <f t="shared" si="22"/>
        <v>48700.686384969289</v>
      </c>
      <c r="AX35" s="116">
        <f t="shared" si="22"/>
        <v>48700.686384969289</v>
      </c>
      <c r="AY35" s="116">
        <f t="shared" si="22"/>
        <v>48700.686384969289</v>
      </c>
      <c r="AZ35" s="116">
        <f t="shared" si="22"/>
        <v>48700.686384969289</v>
      </c>
      <c r="BA35" s="116">
        <f t="shared" si="22"/>
        <v>48700.686384969289</v>
      </c>
      <c r="BB35" s="116">
        <f t="shared" si="22"/>
        <v>48766.758255562148</v>
      </c>
      <c r="BM35" s="123" t="s">
        <v>213</v>
      </c>
      <c r="BN35" s="103">
        <f t="shared" si="23"/>
        <v>82438</v>
      </c>
      <c r="BO35" s="119">
        <f t="shared" si="37"/>
        <v>82438</v>
      </c>
      <c r="BP35" s="119">
        <f t="shared" si="37"/>
        <v>72409.052411741577</v>
      </c>
      <c r="BQ35" s="119">
        <f t="shared" si="37"/>
        <v>72409.052411741577</v>
      </c>
      <c r="BR35" s="119">
        <f t="shared" si="37"/>
        <v>72409.052411741577</v>
      </c>
      <c r="BS35" s="119">
        <f t="shared" si="37"/>
        <v>72409.052411741577</v>
      </c>
      <c r="BT35" s="119">
        <f t="shared" si="37"/>
        <v>72409.052411741577</v>
      </c>
      <c r="BU35" s="119">
        <f t="shared" si="37"/>
        <v>82080.322469771345</v>
      </c>
      <c r="BV35" s="119">
        <f t="shared" si="37"/>
        <v>82080.322469771345</v>
      </c>
      <c r="BW35" s="119">
        <f t="shared" si="37"/>
        <v>82080.322469771345</v>
      </c>
      <c r="BX35" s="119">
        <f t="shared" si="37"/>
        <v>82080.322469771345</v>
      </c>
      <c r="BY35" s="119">
        <f t="shared" si="37"/>
        <v>82080.322469771345</v>
      </c>
      <c r="BZ35" s="119">
        <f t="shared" si="37"/>
        <v>84054.219603733014</v>
      </c>
      <c r="CA35" s="119">
        <f t="shared" si="37"/>
        <v>84054.219603733014</v>
      </c>
      <c r="CB35" s="119">
        <f t="shared" si="37"/>
        <v>84054.219603733014</v>
      </c>
      <c r="CC35" s="119">
        <f t="shared" si="37"/>
        <v>84054.219603733014</v>
      </c>
      <c r="CD35" s="119">
        <f t="shared" si="37"/>
        <v>84054.219603733014</v>
      </c>
      <c r="CE35" s="119">
        <f t="shared" si="38"/>
        <v>86131.671688720031</v>
      </c>
      <c r="CF35" s="119">
        <f t="shared" si="38"/>
        <v>86131.671688720031</v>
      </c>
      <c r="CG35" s="119">
        <f t="shared" si="38"/>
        <v>86131.671688720031</v>
      </c>
      <c r="CH35" s="119">
        <f t="shared" si="38"/>
        <v>86131.671688720031</v>
      </c>
      <c r="CI35" s="119">
        <f t="shared" si="38"/>
        <v>86131.671688720031</v>
      </c>
      <c r="CJ35" s="119">
        <f t="shared" si="38"/>
        <v>86624.669492374451</v>
      </c>
      <c r="CK35" s="119">
        <f t="shared" si="24"/>
        <v>86624.669492374451</v>
      </c>
      <c r="CL35" s="119">
        <f t="shared" si="24"/>
        <v>86624.669492374451</v>
      </c>
      <c r="CM35" s="119">
        <f t="shared" si="24"/>
        <v>86624.669492374451</v>
      </c>
      <c r="CN35" s="119">
        <f t="shared" si="24"/>
        <v>86624.669492374451</v>
      </c>
      <c r="CO35" s="119">
        <f t="shared" si="24"/>
        <v>87213.598569678099</v>
      </c>
      <c r="CR35" s="123" t="s">
        <v>213</v>
      </c>
      <c r="CS35" s="103">
        <f t="shared" si="11"/>
        <v>99810.454820785904</v>
      </c>
      <c r="CT35" s="119">
        <f t="shared" si="39"/>
        <v>99810.454820785904</v>
      </c>
      <c r="CU35" s="119">
        <f t="shared" si="39"/>
        <v>99810.454820785904</v>
      </c>
      <c r="CV35" s="119">
        <f t="shared" si="39"/>
        <v>99810.454820785904</v>
      </c>
      <c r="CW35" s="119">
        <f t="shared" si="39"/>
        <v>99810.454820785904</v>
      </c>
      <c r="CX35" s="119">
        <f t="shared" si="39"/>
        <v>99810.454820785904</v>
      </c>
      <c r="CY35" s="119">
        <f t="shared" si="39"/>
        <v>99810.454820785904</v>
      </c>
      <c r="CZ35" s="119">
        <f t="shared" si="39"/>
        <v>99832.690546466198</v>
      </c>
      <c r="DA35" s="119">
        <f t="shared" si="39"/>
        <v>99832.690546466198</v>
      </c>
      <c r="DB35" s="119">
        <f t="shared" si="39"/>
        <v>99832.690546466198</v>
      </c>
      <c r="DC35" s="119">
        <f t="shared" si="39"/>
        <v>99832.690546466198</v>
      </c>
      <c r="DD35" s="119">
        <f t="shared" si="39"/>
        <v>99832.690546466198</v>
      </c>
      <c r="DE35" s="119">
        <f t="shared" si="39"/>
        <v>99819.984417506043</v>
      </c>
      <c r="DF35" s="119">
        <f t="shared" si="39"/>
        <v>99819.984417506043</v>
      </c>
      <c r="DG35" s="119">
        <f t="shared" si="39"/>
        <v>99819.984417506043</v>
      </c>
      <c r="DH35" s="119">
        <f t="shared" si="39"/>
        <v>99819.984417506043</v>
      </c>
      <c r="DI35" s="119">
        <f t="shared" si="39"/>
        <v>99819.984417506043</v>
      </c>
      <c r="DJ35" s="119">
        <f t="shared" si="40"/>
        <v>99816.807885265982</v>
      </c>
      <c r="DK35" s="119">
        <f t="shared" si="40"/>
        <v>99816.807885265982</v>
      </c>
      <c r="DL35" s="119">
        <f t="shared" si="40"/>
        <v>99816.807885265982</v>
      </c>
      <c r="DM35" s="119">
        <f t="shared" si="40"/>
        <v>99816.807885265982</v>
      </c>
      <c r="DN35" s="119">
        <f t="shared" si="40"/>
        <v>99816.807885265982</v>
      </c>
      <c r="DO35" s="119">
        <f t="shared" si="40"/>
        <v>99755.183159809196</v>
      </c>
      <c r="DP35" s="119">
        <f t="shared" si="25"/>
        <v>99755.183159809196</v>
      </c>
      <c r="DQ35" s="119">
        <f t="shared" si="25"/>
        <v>99755.183159809196</v>
      </c>
      <c r="DR35" s="119">
        <f t="shared" si="25"/>
        <v>99755.183159809196</v>
      </c>
      <c r="DS35" s="119">
        <f t="shared" si="25"/>
        <v>99755.183159809196</v>
      </c>
      <c r="DT35" s="93">
        <f t="shared" si="25"/>
        <v>99806.642982097852</v>
      </c>
      <c r="DW35" s="123" t="s">
        <v>213</v>
      </c>
      <c r="DX35" s="103">
        <f t="shared" si="13"/>
        <v>104482.49574665311</v>
      </c>
      <c r="DY35" s="119">
        <f t="shared" si="41"/>
        <v>104482.49574665311</v>
      </c>
      <c r="DZ35" s="119">
        <f t="shared" si="41"/>
        <v>91589.385769803266</v>
      </c>
      <c r="EA35" s="119">
        <f t="shared" si="41"/>
        <v>91589.385769803266</v>
      </c>
      <c r="EB35" s="119">
        <f t="shared" si="41"/>
        <v>91589.385769803266</v>
      </c>
      <c r="EC35" s="119">
        <f t="shared" si="41"/>
        <v>91589.385769803266</v>
      </c>
      <c r="ED35" s="119">
        <f t="shared" si="41"/>
        <v>91589.385769803266</v>
      </c>
      <c r="EE35" s="119">
        <f t="shared" si="41"/>
        <v>56449.853722171196</v>
      </c>
      <c r="EF35" s="119">
        <f t="shared" si="41"/>
        <v>56449.853722171196</v>
      </c>
      <c r="EG35" s="119">
        <f t="shared" si="41"/>
        <v>56449.853722171196</v>
      </c>
      <c r="EH35" s="119">
        <f t="shared" si="41"/>
        <v>56449.853722171196</v>
      </c>
      <c r="EI35" s="119">
        <f t="shared" si="41"/>
        <v>56449.853722171196</v>
      </c>
      <c r="EJ35" s="119">
        <f t="shared" si="41"/>
        <v>50416.352072104964</v>
      </c>
      <c r="EK35" s="119">
        <f t="shared" si="41"/>
        <v>50416.352072104964</v>
      </c>
      <c r="EL35" s="119">
        <f t="shared" si="41"/>
        <v>50416.352072104964</v>
      </c>
      <c r="EM35" s="119">
        <f t="shared" si="41"/>
        <v>50416.352072104964</v>
      </c>
      <c r="EN35" s="119">
        <f t="shared" si="41"/>
        <v>50416.352072104964</v>
      </c>
      <c r="EO35" s="119">
        <f t="shared" si="42"/>
        <v>48829.519600905747</v>
      </c>
      <c r="EP35" s="119">
        <f t="shared" si="42"/>
        <v>48829.519600905747</v>
      </c>
      <c r="EQ35" s="119">
        <f t="shared" si="42"/>
        <v>48829.519600905747</v>
      </c>
      <c r="ER35" s="119">
        <f t="shared" si="42"/>
        <v>48829.519600905747</v>
      </c>
      <c r="ES35" s="119">
        <f t="shared" si="42"/>
        <v>48829.519600905747</v>
      </c>
      <c r="ET35" s="119">
        <f t="shared" si="42"/>
        <v>47016.546195856528</v>
      </c>
      <c r="EU35" s="119">
        <f t="shared" si="26"/>
        <v>47016.546195856528</v>
      </c>
      <c r="EV35" s="119">
        <f t="shared" si="26"/>
        <v>47016.546195856528</v>
      </c>
      <c r="EW35" s="119">
        <f t="shared" si="26"/>
        <v>47016.546195856528</v>
      </c>
      <c r="EX35" s="119">
        <f t="shared" si="26"/>
        <v>47016.546195856528</v>
      </c>
      <c r="EY35" s="119">
        <f t="shared" si="26"/>
        <v>44173.631598884982</v>
      </c>
      <c r="FB35" s="123" t="s">
        <v>213</v>
      </c>
      <c r="FC35" s="103">
        <f t="shared" si="15"/>
        <v>113326.60614599803</v>
      </c>
      <c r="FD35" s="119">
        <f t="shared" si="43"/>
        <v>113326.60614599803</v>
      </c>
      <c r="FE35" s="119">
        <f t="shared" si="43"/>
        <v>98968.195220222085</v>
      </c>
      <c r="FF35" s="119">
        <f t="shared" si="43"/>
        <v>98968.195220222085</v>
      </c>
      <c r="FG35" s="119">
        <f t="shared" si="43"/>
        <v>98968.195220222085</v>
      </c>
      <c r="FH35" s="119">
        <f t="shared" si="43"/>
        <v>98968.195220222085</v>
      </c>
      <c r="FI35" s="119">
        <f t="shared" si="43"/>
        <v>98968.195220222085</v>
      </c>
      <c r="FJ35" s="119">
        <f t="shared" si="43"/>
        <v>62104.915442121084</v>
      </c>
      <c r="FK35" s="119">
        <f t="shared" si="43"/>
        <v>62104.915442121084</v>
      </c>
      <c r="FL35" s="119">
        <f t="shared" si="43"/>
        <v>62104.915442121084</v>
      </c>
      <c r="FM35" s="119">
        <f t="shared" si="43"/>
        <v>62104.915442121084</v>
      </c>
      <c r="FN35" s="119">
        <f t="shared" si="43"/>
        <v>62104.915442121084</v>
      </c>
      <c r="FO35" s="119">
        <f t="shared" si="43"/>
        <v>55146.082011709404</v>
      </c>
      <c r="FP35" s="119">
        <f t="shared" si="43"/>
        <v>55146.082011709404</v>
      </c>
      <c r="FQ35" s="119">
        <f t="shared" si="43"/>
        <v>55146.082011709404</v>
      </c>
      <c r="FR35" s="119">
        <f t="shared" si="43"/>
        <v>55146.082011709404</v>
      </c>
      <c r="FS35" s="119">
        <f t="shared" si="43"/>
        <v>55146.082011709404</v>
      </c>
      <c r="FT35" s="119">
        <f t="shared" si="44"/>
        <v>53742.316010769726</v>
      </c>
      <c r="FU35" s="119">
        <f t="shared" si="44"/>
        <v>53742.316010769726</v>
      </c>
      <c r="FV35" s="119">
        <f t="shared" si="44"/>
        <v>53742.316010769726</v>
      </c>
      <c r="FW35" s="119">
        <f t="shared" si="44"/>
        <v>53742.316010769726</v>
      </c>
      <c r="FX35" s="119">
        <f t="shared" si="44"/>
        <v>53742.316010769726</v>
      </c>
      <c r="FY35" s="119">
        <f t="shared" si="44"/>
        <v>51925.496671471352</v>
      </c>
      <c r="FZ35" s="119">
        <f t="shared" si="27"/>
        <v>51925.496671471352</v>
      </c>
      <c r="GA35" s="119">
        <f t="shared" si="27"/>
        <v>51925.496671471352</v>
      </c>
      <c r="GB35" s="119">
        <f t="shared" si="27"/>
        <v>51925.496671471352</v>
      </c>
      <c r="GC35" s="119">
        <f t="shared" si="27"/>
        <v>51925.496671471352</v>
      </c>
      <c r="GD35" s="119">
        <f t="shared" si="27"/>
        <v>48984.12615772157</v>
      </c>
      <c r="GH35" s="123" t="s">
        <v>213</v>
      </c>
      <c r="GI35" s="103">
        <f t="shared" si="17"/>
        <v>98462.839459883806</v>
      </c>
      <c r="GJ35" s="119">
        <f t="shared" si="45"/>
        <v>98462.839459883806</v>
      </c>
      <c r="GK35" s="119">
        <f t="shared" si="45"/>
        <v>86567.364827263416</v>
      </c>
      <c r="GL35" s="119">
        <f t="shared" si="45"/>
        <v>86567.364827263416</v>
      </c>
      <c r="GM35" s="119">
        <f t="shared" si="45"/>
        <v>86567.364827263416</v>
      </c>
      <c r="GN35" s="119">
        <f t="shared" si="45"/>
        <v>86567.364827263416</v>
      </c>
      <c r="GO35" s="119">
        <f t="shared" si="45"/>
        <v>86567.364827263416</v>
      </c>
      <c r="GP35" s="119">
        <f t="shared" si="45"/>
        <v>52600.84272562206</v>
      </c>
      <c r="GQ35" s="119">
        <f t="shared" si="45"/>
        <v>52600.84272562206</v>
      </c>
      <c r="GR35" s="119">
        <f t="shared" si="45"/>
        <v>52600.84272562206</v>
      </c>
      <c r="GS35" s="119">
        <f t="shared" si="45"/>
        <v>52600.84272562206</v>
      </c>
      <c r="GT35" s="119">
        <f t="shared" si="45"/>
        <v>52600.84272562206</v>
      </c>
      <c r="GU35" s="119">
        <f t="shared" si="45"/>
        <v>47197.305105566564</v>
      </c>
      <c r="GV35" s="119">
        <f t="shared" si="45"/>
        <v>47197.305105566564</v>
      </c>
      <c r="GW35" s="119">
        <f t="shared" si="45"/>
        <v>47197.305105566564</v>
      </c>
      <c r="GX35" s="119">
        <f t="shared" si="45"/>
        <v>47197.305105566564</v>
      </c>
      <c r="GY35" s="119">
        <f t="shared" si="45"/>
        <v>47197.305105566564</v>
      </c>
      <c r="GZ35" s="119">
        <f t="shared" si="46"/>
        <v>45485.864364694899</v>
      </c>
      <c r="HA35" s="119">
        <f t="shared" si="46"/>
        <v>45485.864364694899</v>
      </c>
      <c r="HB35" s="119">
        <f t="shared" si="46"/>
        <v>45485.864364694899</v>
      </c>
      <c r="HC35" s="119">
        <f t="shared" si="46"/>
        <v>45485.864364694899</v>
      </c>
      <c r="HD35" s="119">
        <f t="shared" si="46"/>
        <v>45485.864364694899</v>
      </c>
      <c r="HE35" s="119">
        <f t="shared" si="46"/>
        <v>43675.198520195161</v>
      </c>
      <c r="HF35" s="119">
        <f t="shared" si="28"/>
        <v>43675.198520195161</v>
      </c>
      <c r="HG35" s="119">
        <f t="shared" si="28"/>
        <v>43675.198520195161</v>
      </c>
      <c r="HH35" s="119">
        <f t="shared" si="28"/>
        <v>43675.198520195161</v>
      </c>
      <c r="HI35" s="119">
        <f t="shared" si="28"/>
        <v>43675.198520195161</v>
      </c>
      <c r="HJ35" s="119">
        <f t="shared" si="28"/>
        <v>40899.972366008653</v>
      </c>
    </row>
    <row r="36" spans="17:218" x14ac:dyDescent="0.25">
      <c r="Q36" s="37">
        <v>2050</v>
      </c>
      <c r="R36" s="136">
        <v>1E-3</v>
      </c>
      <c r="S36" s="137">
        <v>0.2</v>
      </c>
      <c r="T36" s="137">
        <v>0</v>
      </c>
      <c r="U36" s="137">
        <v>0.126</v>
      </c>
      <c r="V36" s="137">
        <v>2E-3</v>
      </c>
      <c r="W36" s="137">
        <f>1-SUM(R36:V36)</f>
        <v>0.67100000000000004</v>
      </c>
      <c r="X36" s="138">
        <f t="shared" si="31"/>
        <v>1</v>
      </c>
      <c r="Z36" s="83" t="s">
        <v>214</v>
      </c>
      <c r="AA36" s="114">
        <f>'US Grid mix, emissions&amp;prices'!O88</f>
        <v>119063</v>
      </c>
      <c r="AB36" s="116">
        <f t="shared" si="30"/>
        <v>119063</v>
      </c>
      <c r="AC36" s="116">
        <f t="shared" si="30"/>
        <v>104715.17491388014</v>
      </c>
      <c r="AD36" s="116">
        <f t="shared" si="30"/>
        <v>104715.17491388014</v>
      </c>
      <c r="AE36" s="116">
        <f t="shared" si="30"/>
        <v>104715.17491388014</v>
      </c>
      <c r="AF36" s="116">
        <f t="shared" si="30"/>
        <v>104715.17491388014</v>
      </c>
      <c r="AG36" s="116">
        <f t="shared" si="30"/>
        <v>104715.17491388014</v>
      </c>
      <c r="AH36" s="116">
        <f t="shared" si="30"/>
        <v>62916.823313630441</v>
      </c>
      <c r="AI36" s="116">
        <f t="shared" si="30"/>
        <v>62916.823313630441</v>
      </c>
      <c r="AJ36" s="116">
        <f t="shared" si="30"/>
        <v>62916.823313630441</v>
      </c>
      <c r="AK36" s="116">
        <f t="shared" si="30"/>
        <v>62916.823313630441</v>
      </c>
      <c r="AL36" s="116">
        <f t="shared" si="30"/>
        <v>62916.823313630441</v>
      </c>
      <c r="AM36" s="116">
        <f t="shared" si="30"/>
        <v>65841.074675750031</v>
      </c>
      <c r="AN36" s="116">
        <f t="shared" si="30"/>
        <v>65841.074675750031</v>
      </c>
      <c r="AO36" s="116">
        <f t="shared" si="30"/>
        <v>65841.074675750031</v>
      </c>
      <c r="AP36" s="116">
        <f t="shared" si="30"/>
        <v>65841.074675750031</v>
      </c>
      <c r="AQ36" s="116">
        <f t="shared" si="30"/>
        <v>65841.074675750031</v>
      </c>
      <c r="AR36" s="116">
        <f t="shared" si="22"/>
        <v>68826.802298071067</v>
      </c>
      <c r="AS36" s="116">
        <f t="shared" si="22"/>
        <v>68826.802298071067</v>
      </c>
      <c r="AT36" s="116">
        <f t="shared" si="22"/>
        <v>68826.802298071067</v>
      </c>
      <c r="AU36" s="116">
        <f t="shared" si="22"/>
        <v>68826.802298071067</v>
      </c>
      <c r="AV36" s="116">
        <f t="shared" si="22"/>
        <v>68826.802298071067</v>
      </c>
      <c r="AW36" s="116">
        <f t="shared" si="22"/>
        <v>70337.099675557372</v>
      </c>
      <c r="AX36" s="116">
        <f t="shared" si="22"/>
        <v>70337.099675557372</v>
      </c>
      <c r="AY36" s="116">
        <f t="shared" si="22"/>
        <v>70337.099675557372</v>
      </c>
      <c r="AZ36" s="116">
        <f t="shared" si="22"/>
        <v>70337.099675557372</v>
      </c>
      <c r="BA36" s="116">
        <f t="shared" si="22"/>
        <v>70337.099675557372</v>
      </c>
      <c r="BB36" s="116">
        <f t="shared" si="22"/>
        <v>70432.525512287975</v>
      </c>
      <c r="BM36" s="123" t="s">
        <v>214</v>
      </c>
      <c r="BN36" s="103">
        <f t="shared" si="23"/>
        <v>119063</v>
      </c>
      <c r="BO36" s="119">
        <f t="shared" si="37"/>
        <v>119063</v>
      </c>
      <c r="BP36" s="119">
        <f t="shared" si="37"/>
        <v>104578.45905164108</v>
      </c>
      <c r="BQ36" s="119">
        <f t="shared" si="37"/>
        <v>104578.45905164108</v>
      </c>
      <c r="BR36" s="119">
        <f t="shared" si="37"/>
        <v>104578.45905164108</v>
      </c>
      <c r="BS36" s="119">
        <f t="shared" si="37"/>
        <v>104578.45905164108</v>
      </c>
      <c r="BT36" s="119">
        <f t="shared" si="37"/>
        <v>104578.45905164108</v>
      </c>
      <c r="BU36" s="119">
        <f t="shared" si="37"/>
        <v>118546.41590308335</v>
      </c>
      <c r="BV36" s="119">
        <f t="shared" si="37"/>
        <v>118546.41590308335</v>
      </c>
      <c r="BW36" s="119">
        <f t="shared" si="37"/>
        <v>118546.41590308335</v>
      </c>
      <c r="BX36" s="119">
        <f t="shared" si="37"/>
        <v>118546.41590308335</v>
      </c>
      <c r="BY36" s="119">
        <f t="shared" si="37"/>
        <v>118546.41590308335</v>
      </c>
      <c r="BZ36" s="119">
        <f t="shared" si="37"/>
        <v>121397.26277541017</v>
      </c>
      <c r="CA36" s="119">
        <f t="shared" si="37"/>
        <v>121397.26277541017</v>
      </c>
      <c r="CB36" s="119">
        <f t="shared" si="37"/>
        <v>121397.26277541017</v>
      </c>
      <c r="CC36" s="119">
        <f t="shared" si="37"/>
        <v>121397.26277541017</v>
      </c>
      <c r="CD36" s="119">
        <f t="shared" si="37"/>
        <v>121397.26277541017</v>
      </c>
      <c r="CE36" s="119">
        <f t="shared" si="38"/>
        <v>124397.67129568977</v>
      </c>
      <c r="CF36" s="119">
        <f t="shared" si="38"/>
        <v>124397.67129568977</v>
      </c>
      <c r="CG36" s="119">
        <f t="shared" si="38"/>
        <v>124397.67129568977</v>
      </c>
      <c r="CH36" s="119">
        <f t="shared" si="38"/>
        <v>124397.67129568977</v>
      </c>
      <c r="CI36" s="119">
        <f t="shared" si="38"/>
        <v>124397.67129568977</v>
      </c>
      <c r="CJ36" s="119">
        <f t="shared" si="38"/>
        <v>125109.69484667967</v>
      </c>
      <c r="CK36" s="119">
        <f t="shared" si="24"/>
        <v>125109.69484667967</v>
      </c>
      <c r="CL36" s="119">
        <f t="shared" si="24"/>
        <v>125109.69484667967</v>
      </c>
      <c r="CM36" s="119">
        <f t="shared" si="24"/>
        <v>125109.69484667967</v>
      </c>
      <c r="CN36" s="119">
        <f t="shared" si="24"/>
        <v>125109.69484667967</v>
      </c>
      <c r="CO36" s="119">
        <f t="shared" si="24"/>
        <v>125960.26937215342</v>
      </c>
      <c r="CR36" s="123" t="s">
        <v>214</v>
      </c>
      <c r="CS36" s="103">
        <f t="shared" si="11"/>
        <v>144153.57216729218</v>
      </c>
      <c r="CT36" s="119">
        <f t="shared" si="39"/>
        <v>144153.57216729218</v>
      </c>
      <c r="CU36" s="119">
        <f t="shared" si="39"/>
        <v>144153.57216729218</v>
      </c>
      <c r="CV36" s="119">
        <f t="shared" si="39"/>
        <v>144153.57216729218</v>
      </c>
      <c r="CW36" s="119">
        <f t="shared" si="39"/>
        <v>144153.57216729218</v>
      </c>
      <c r="CX36" s="119">
        <f t="shared" si="39"/>
        <v>144153.57216729218</v>
      </c>
      <c r="CY36" s="119">
        <f t="shared" si="39"/>
        <v>144153.57216729218</v>
      </c>
      <c r="CZ36" s="119">
        <f t="shared" si="39"/>
        <v>144185.68663157651</v>
      </c>
      <c r="DA36" s="119">
        <f t="shared" si="39"/>
        <v>144185.68663157651</v>
      </c>
      <c r="DB36" s="119">
        <f t="shared" si="39"/>
        <v>144185.68663157651</v>
      </c>
      <c r="DC36" s="119">
        <f t="shared" si="39"/>
        <v>144185.68663157651</v>
      </c>
      <c r="DD36" s="119">
        <f t="shared" si="39"/>
        <v>144185.68663157651</v>
      </c>
      <c r="DE36" s="119">
        <f t="shared" si="39"/>
        <v>144167.33550912832</v>
      </c>
      <c r="DF36" s="119">
        <f t="shared" si="39"/>
        <v>144167.33550912832</v>
      </c>
      <c r="DG36" s="119">
        <f t="shared" si="39"/>
        <v>144167.33550912832</v>
      </c>
      <c r="DH36" s="119">
        <f t="shared" si="39"/>
        <v>144167.33550912832</v>
      </c>
      <c r="DI36" s="119">
        <f t="shared" si="39"/>
        <v>144167.33550912832</v>
      </c>
      <c r="DJ36" s="119">
        <f t="shared" si="40"/>
        <v>144162.74772851626</v>
      </c>
      <c r="DK36" s="119">
        <f t="shared" si="40"/>
        <v>144162.74772851626</v>
      </c>
      <c r="DL36" s="119">
        <f t="shared" si="40"/>
        <v>144162.74772851626</v>
      </c>
      <c r="DM36" s="119">
        <f t="shared" si="40"/>
        <v>144162.74772851626</v>
      </c>
      <c r="DN36" s="119">
        <f t="shared" si="40"/>
        <v>144162.74772851626</v>
      </c>
      <c r="DO36" s="119">
        <f t="shared" si="40"/>
        <v>144073.74478464253</v>
      </c>
      <c r="DP36" s="119">
        <f t="shared" si="25"/>
        <v>144073.74478464253</v>
      </c>
      <c r="DQ36" s="119">
        <f t="shared" si="25"/>
        <v>144073.74478464253</v>
      </c>
      <c r="DR36" s="119">
        <f t="shared" si="25"/>
        <v>144073.74478464253</v>
      </c>
      <c r="DS36" s="119">
        <f t="shared" si="25"/>
        <v>144073.74478464253</v>
      </c>
      <c r="DT36" s="93">
        <f t="shared" si="25"/>
        <v>144148.06683055771</v>
      </c>
      <c r="DW36" s="123" t="s">
        <v>214</v>
      </c>
      <c r="DX36" s="103">
        <f t="shared" si="13"/>
        <v>150901.27600237459</v>
      </c>
      <c r="DY36" s="119">
        <f t="shared" si="41"/>
        <v>150901.27600237459</v>
      </c>
      <c r="DZ36" s="119">
        <f t="shared" si="41"/>
        <v>132280.10186940592</v>
      </c>
      <c r="EA36" s="119">
        <f t="shared" si="41"/>
        <v>132280.10186940592</v>
      </c>
      <c r="EB36" s="119">
        <f t="shared" si="41"/>
        <v>132280.10186940592</v>
      </c>
      <c r="EC36" s="119">
        <f t="shared" si="41"/>
        <v>132280.10186940592</v>
      </c>
      <c r="ED36" s="119">
        <f t="shared" si="41"/>
        <v>132280.10186940592</v>
      </c>
      <c r="EE36" s="119">
        <f t="shared" si="41"/>
        <v>81529.014941202695</v>
      </c>
      <c r="EF36" s="119">
        <f t="shared" si="41"/>
        <v>81529.014941202695</v>
      </c>
      <c r="EG36" s="119">
        <f t="shared" si="41"/>
        <v>81529.014941202695</v>
      </c>
      <c r="EH36" s="119">
        <f t="shared" si="41"/>
        <v>81529.014941202695</v>
      </c>
      <c r="EI36" s="119">
        <f t="shared" si="41"/>
        <v>81529.014941202695</v>
      </c>
      <c r="EJ36" s="119">
        <f t="shared" si="41"/>
        <v>72814.989771234526</v>
      </c>
      <c r="EK36" s="119">
        <f t="shared" si="41"/>
        <v>72814.989771234526</v>
      </c>
      <c r="EL36" s="119">
        <f t="shared" si="41"/>
        <v>72814.989771234526</v>
      </c>
      <c r="EM36" s="119">
        <f t="shared" si="41"/>
        <v>72814.989771234526</v>
      </c>
      <c r="EN36" s="119">
        <f t="shared" si="41"/>
        <v>72814.989771234526</v>
      </c>
      <c r="EO36" s="119">
        <f t="shared" si="42"/>
        <v>70523.170045884661</v>
      </c>
      <c r="EP36" s="119">
        <f t="shared" si="42"/>
        <v>70523.170045884661</v>
      </c>
      <c r="EQ36" s="119">
        <f t="shared" si="42"/>
        <v>70523.170045884661</v>
      </c>
      <c r="ER36" s="119">
        <f t="shared" si="42"/>
        <v>70523.170045884661</v>
      </c>
      <c r="ES36" s="119">
        <f t="shared" si="42"/>
        <v>70523.170045884661</v>
      </c>
      <c r="ET36" s="119">
        <f t="shared" si="42"/>
        <v>67904.741014062267</v>
      </c>
      <c r="EU36" s="119">
        <f t="shared" si="26"/>
        <v>67904.741014062267</v>
      </c>
      <c r="EV36" s="119">
        <f t="shared" si="26"/>
        <v>67904.741014062267</v>
      </c>
      <c r="EW36" s="119">
        <f t="shared" si="26"/>
        <v>67904.741014062267</v>
      </c>
      <c r="EX36" s="119">
        <f t="shared" si="26"/>
        <v>67904.741014062267</v>
      </c>
      <c r="EY36" s="119">
        <f t="shared" si="26"/>
        <v>63798.795446978838</v>
      </c>
      <c r="FB36" s="123" t="s">
        <v>214</v>
      </c>
      <c r="FC36" s="103">
        <f t="shared" si="15"/>
        <v>163674.58826707298</v>
      </c>
      <c r="FD36" s="119">
        <f t="shared" si="43"/>
        <v>163674.58826707298</v>
      </c>
      <c r="FE36" s="119">
        <f t="shared" si="43"/>
        <v>142937.11913808319</v>
      </c>
      <c r="FF36" s="119">
        <f t="shared" si="43"/>
        <v>142937.11913808319</v>
      </c>
      <c r="FG36" s="119">
        <f t="shared" si="43"/>
        <v>142937.11913808319</v>
      </c>
      <c r="FH36" s="119">
        <f t="shared" si="43"/>
        <v>142937.11913808319</v>
      </c>
      <c r="FI36" s="119">
        <f t="shared" si="43"/>
        <v>142937.11913808319</v>
      </c>
      <c r="FJ36" s="119">
        <f t="shared" si="43"/>
        <v>89696.469435033141</v>
      </c>
      <c r="FK36" s="119">
        <f t="shared" si="43"/>
        <v>89696.469435033141</v>
      </c>
      <c r="FL36" s="119">
        <f t="shared" si="43"/>
        <v>89696.469435033141</v>
      </c>
      <c r="FM36" s="119">
        <f t="shared" si="43"/>
        <v>89696.469435033141</v>
      </c>
      <c r="FN36" s="119">
        <f t="shared" si="43"/>
        <v>89696.469435033141</v>
      </c>
      <c r="FO36" s="119">
        <f t="shared" si="43"/>
        <v>79646.012306947727</v>
      </c>
      <c r="FP36" s="119">
        <f t="shared" si="43"/>
        <v>79646.012306947727</v>
      </c>
      <c r="FQ36" s="119">
        <f t="shared" si="43"/>
        <v>79646.012306947727</v>
      </c>
      <c r="FR36" s="119">
        <f t="shared" si="43"/>
        <v>79646.012306947727</v>
      </c>
      <c r="FS36" s="119">
        <f t="shared" si="43"/>
        <v>79646.012306947727</v>
      </c>
      <c r="FT36" s="119">
        <f t="shared" si="44"/>
        <v>77618.590591599452</v>
      </c>
      <c r="FU36" s="119">
        <f t="shared" si="44"/>
        <v>77618.590591599452</v>
      </c>
      <c r="FV36" s="119">
        <f t="shared" si="44"/>
        <v>77618.590591599452</v>
      </c>
      <c r="FW36" s="119">
        <f t="shared" si="44"/>
        <v>77618.590591599452</v>
      </c>
      <c r="FX36" s="119">
        <f t="shared" si="44"/>
        <v>77618.590591599452</v>
      </c>
      <c r="FY36" s="119">
        <f t="shared" si="44"/>
        <v>74994.606979734992</v>
      </c>
      <c r="FZ36" s="119">
        <f t="shared" si="27"/>
        <v>74994.606979734992</v>
      </c>
      <c r="GA36" s="119">
        <f t="shared" si="27"/>
        <v>74994.606979734992</v>
      </c>
      <c r="GB36" s="119">
        <f t="shared" si="27"/>
        <v>74994.606979734992</v>
      </c>
      <c r="GC36" s="119">
        <f t="shared" si="27"/>
        <v>74994.606979734992</v>
      </c>
      <c r="GD36" s="119">
        <f t="shared" si="27"/>
        <v>70746.464163575089</v>
      </c>
      <c r="GH36" s="123" t="s">
        <v>214</v>
      </c>
      <c r="GI36" s="103">
        <f t="shared" si="17"/>
        <v>142207.24732055783</v>
      </c>
      <c r="GJ36" s="119">
        <f t="shared" si="45"/>
        <v>142207.24732055783</v>
      </c>
      <c r="GK36" s="119">
        <f t="shared" si="45"/>
        <v>125026.93125049691</v>
      </c>
      <c r="GL36" s="119">
        <f t="shared" si="45"/>
        <v>125026.93125049691</v>
      </c>
      <c r="GM36" s="119">
        <f t="shared" si="45"/>
        <v>125026.93125049691</v>
      </c>
      <c r="GN36" s="119">
        <f t="shared" si="45"/>
        <v>125026.93125049691</v>
      </c>
      <c r="GO36" s="119">
        <f t="shared" si="45"/>
        <v>125026.93125049691</v>
      </c>
      <c r="GP36" s="119">
        <f t="shared" si="45"/>
        <v>75969.991235119</v>
      </c>
      <c r="GQ36" s="119">
        <f t="shared" si="45"/>
        <v>75969.991235119</v>
      </c>
      <c r="GR36" s="119">
        <f t="shared" si="45"/>
        <v>75969.991235119</v>
      </c>
      <c r="GS36" s="119">
        <f t="shared" si="45"/>
        <v>75969.991235119</v>
      </c>
      <c r="GT36" s="119">
        <f t="shared" si="45"/>
        <v>75969.991235119</v>
      </c>
      <c r="GU36" s="119">
        <f t="shared" si="45"/>
        <v>68165.806276038624</v>
      </c>
      <c r="GV36" s="119">
        <f t="shared" si="45"/>
        <v>68165.806276038624</v>
      </c>
      <c r="GW36" s="119">
        <f t="shared" si="45"/>
        <v>68165.806276038624</v>
      </c>
      <c r="GX36" s="119">
        <f t="shared" si="45"/>
        <v>68165.806276038624</v>
      </c>
      <c r="GY36" s="119">
        <f t="shared" si="45"/>
        <v>68165.806276038624</v>
      </c>
      <c r="GZ36" s="119">
        <f t="shared" si="46"/>
        <v>65694.01815732634</v>
      </c>
      <c r="HA36" s="119">
        <f t="shared" si="46"/>
        <v>65694.01815732634</v>
      </c>
      <c r="HB36" s="119">
        <f t="shared" si="46"/>
        <v>65694.01815732634</v>
      </c>
      <c r="HC36" s="119">
        <f t="shared" si="46"/>
        <v>65694.01815732634</v>
      </c>
      <c r="HD36" s="119">
        <f t="shared" si="46"/>
        <v>65694.01815732634</v>
      </c>
      <c r="HE36" s="119">
        <f t="shared" si="46"/>
        <v>63078.921873529158</v>
      </c>
      <c r="HF36" s="119">
        <f t="shared" si="28"/>
        <v>63078.921873529158</v>
      </c>
      <c r="HG36" s="119">
        <f t="shared" si="28"/>
        <v>63078.921873529158</v>
      </c>
      <c r="HH36" s="119">
        <f t="shared" si="28"/>
        <v>63078.921873529158</v>
      </c>
      <c r="HI36" s="119">
        <f t="shared" si="28"/>
        <v>63078.921873529158</v>
      </c>
      <c r="HJ36" s="119">
        <f t="shared" si="28"/>
        <v>59070.736915185822</v>
      </c>
    </row>
    <row r="37" spans="17:218" x14ac:dyDescent="0.25">
      <c r="Q37" s="248" t="s">
        <v>480</v>
      </c>
      <c r="R37" s="249"/>
      <c r="S37" s="249"/>
      <c r="T37" s="249"/>
      <c r="U37" s="249"/>
      <c r="V37" s="249"/>
      <c r="W37" s="249"/>
      <c r="X37" s="250"/>
      <c r="Z37" s="83" t="s">
        <v>216</v>
      </c>
      <c r="AA37" s="114">
        <f>'US Grid mix, emissions&amp;prices'!O89</f>
        <v>77094</v>
      </c>
      <c r="AB37" s="116">
        <f t="shared" si="30"/>
        <v>77094</v>
      </c>
      <c r="AC37" s="116">
        <f t="shared" si="30"/>
        <v>67803.697998628253</v>
      </c>
      <c r="AD37" s="116">
        <f t="shared" si="30"/>
        <v>67803.697998628253</v>
      </c>
      <c r="AE37" s="116">
        <f t="shared" si="30"/>
        <v>67803.697998628253</v>
      </c>
      <c r="AF37" s="116">
        <f t="shared" si="30"/>
        <v>67803.697998628253</v>
      </c>
      <c r="AG37" s="116">
        <f t="shared" si="30"/>
        <v>67803.697998628253</v>
      </c>
      <c r="AH37" s="116">
        <f t="shared" si="30"/>
        <v>40739.01696195313</v>
      </c>
      <c r="AI37" s="116">
        <f t="shared" si="30"/>
        <v>40739.01696195313</v>
      </c>
      <c r="AJ37" s="116">
        <f t="shared" si="30"/>
        <v>40739.01696195313</v>
      </c>
      <c r="AK37" s="116">
        <f t="shared" si="30"/>
        <v>40739.01696195313</v>
      </c>
      <c r="AL37" s="116">
        <f t="shared" si="30"/>
        <v>40739.01696195313</v>
      </c>
      <c r="AM37" s="116">
        <f t="shared" si="30"/>
        <v>42632.487095506352</v>
      </c>
      <c r="AN37" s="116">
        <f t="shared" si="30"/>
        <v>42632.487095506352</v>
      </c>
      <c r="AO37" s="116">
        <f t="shared" si="30"/>
        <v>42632.487095506352</v>
      </c>
      <c r="AP37" s="116">
        <f t="shared" si="30"/>
        <v>42632.487095506352</v>
      </c>
      <c r="AQ37" s="116">
        <f t="shared" si="30"/>
        <v>42632.487095506352</v>
      </c>
      <c r="AR37" s="116">
        <f t="shared" si="22"/>
        <v>44565.763472846229</v>
      </c>
      <c r="AS37" s="116">
        <f t="shared" si="22"/>
        <v>44565.763472846229</v>
      </c>
      <c r="AT37" s="116">
        <f t="shared" si="22"/>
        <v>44565.763472846229</v>
      </c>
      <c r="AU37" s="116">
        <f t="shared" si="22"/>
        <v>44565.763472846229</v>
      </c>
      <c r="AV37" s="116">
        <f t="shared" si="22"/>
        <v>44565.763472846229</v>
      </c>
      <c r="AW37" s="116">
        <f t="shared" si="22"/>
        <v>45543.689999306414</v>
      </c>
      <c r="AX37" s="116">
        <f t="shared" si="22"/>
        <v>45543.689999306414</v>
      </c>
      <c r="AY37" s="116">
        <f t="shared" si="22"/>
        <v>45543.689999306414</v>
      </c>
      <c r="AZ37" s="116">
        <f t="shared" si="22"/>
        <v>45543.689999306414</v>
      </c>
      <c r="BA37" s="116">
        <f t="shared" si="22"/>
        <v>45543.689999306414</v>
      </c>
      <c r="BB37" s="116">
        <f t="shared" si="22"/>
        <v>45605.478795631971</v>
      </c>
      <c r="BM37" s="123" t="s">
        <v>216</v>
      </c>
      <c r="BN37" s="103">
        <f t="shared" si="23"/>
        <v>77094</v>
      </c>
      <c r="BO37" s="119">
        <f t="shared" si="37"/>
        <v>77094</v>
      </c>
      <c r="BP37" s="119">
        <f t="shared" si="37"/>
        <v>67715.173665431052</v>
      </c>
      <c r="BQ37" s="119">
        <f t="shared" si="37"/>
        <v>67715.173665431052</v>
      </c>
      <c r="BR37" s="119">
        <f t="shared" si="37"/>
        <v>67715.173665431052</v>
      </c>
      <c r="BS37" s="119">
        <f t="shared" si="37"/>
        <v>67715.173665431052</v>
      </c>
      <c r="BT37" s="119">
        <f t="shared" si="37"/>
        <v>67715.173665431052</v>
      </c>
      <c r="BU37" s="119">
        <f t="shared" si="37"/>
        <v>76759.508727583787</v>
      </c>
      <c r="BV37" s="119">
        <f t="shared" si="37"/>
        <v>76759.508727583787</v>
      </c>
      <c r="BW37" s="119">
        <f t="shared" si="37"/>
        <v>76759.508727583787</v>
      </c>
      <c r="BX37" s="119">
        <f t="shared" si="37"/>
        <v>76759.508727583787</v>
      </c>
      <c r="BY37" s="119">
        <f t="shared" si="37"/>
        <v>76759.508727583787</v>
      </c>
      <c r="BZ37" s="119">
        <f t="shared" si="37"/>
        <v>78605.44901780966</v>
      </c>
      <c r="CA37" s="119">
        <f t="shared" si="37"/>
        <v>78605.44901780966</v>
      </c>
      <c r="CB37" s="119">
        <f t="shared" si="37"/>
        <v>78605.44901780966</v>
      </c>
      <c r="CC37" s="119">
        <f t="shared" si="37"/>
        <v>78605.44901780966</v>
      </c>
      <c r="CD37" s="119">
        <f t="shared" si="37"/>
        <v>78605.44901780966</v>
      </c>
      <c r="CE37" s="119">
        <f t="shared" si="38"/>
        <v>80548.231363815008</v>
      </c>
      <c r="CF37" s="119">
        <f t="shared" si="38"/>
        <v>80548.231363815008</v>
      </c>
      <c r="CG37" s="119">
        <f t="shared" si="38"/>
        <v>80548.231363815008</v>
      </c>
      <c r="CH37" s="119">
        <f t="shared" si="38"/>
        <v>80548.231363815008</v>
      </c>
      <c r="CI37" s="119">
        <f t="shared" si="38"/>
        <v>80548.231363815008</v>
      </c>
      <c r="CJ37" s="119">
        <f t="shared" si="38"/>
        <v>81009.270844090293</v>
      </c>
      <c r="CK37" s="119">
        <f t="shared" si="24"/>
        <v>81009.270844090293</v>
      </c>
      <c r="CL37" s="119">
        <f t="shared" si="24"/>
        <v>81009.270844090293</v>
      </c>
      <c r="CM37" s="119">
        <f t="shared" si="24"/>
        <v>81009.270844090293</v>
      </c>
      <c r="CN37" s="119">
        <f t="shared" si="24"/>
        <v>81009.270844090293</v>
      </c>
      <c r="CO37" s="119">
        <f t="shared" si="24"/>
        <v>81560.022903645935</v>
      </c>
      <c r="CR37" s="123" t="s">
        <v>216</v>
      </c>
      <c r="CS37" s="103">
        <f t="shared" si="11"/>
        <v>93340.294572329134</v>
      </c>
      <c r="CT37" s="119">
        <f t="shared" si="39"/>
        <v>93340.294572329134</v>
      </c>
      <c r="CU37" s="119">
        <f t="shared" si="39"/>
        <v>93340.294572329134</v>
      </c>
      <c r="CV37" s="119">
        <f t="shared" si="39"/>
        <v>93340.294572329134</v>
      </c>
      <c r="CW37" s="119">
        <f t="shared" si="39"/>
        <v>93340.294572329134</v>
      </c>
      <c r="CX37" s="119">
        <f t="shared" si="39"/>
        <v>93340.294572329134</v>
      </c>
      <c r="CY37" s="119">
        <f t="shared" si="39"/>
        <v>93340.294572329134</v>
      </c>
      <c r="CZ37" s="119">
        <f t="shared" si="39"/>
        <v>93361.088878784838</v>
      </c>
      <c r="DA37" s="119">
        <f t="shared" si="39"/>
        <v>93361.088878784838</v>
      </c>
      <c r="DB37" s="119">
        <f t="shared" si="39"/>
        <v>93361.088878784838</v>
      </c>
      <c r="DC37" s="119">
        <f t="shared" si="39"/>
        <v>93361.088878784838</v>
      </c>
      <c r="DD37" s="119">
        <f t="shared" si="39"/>
        <v>93361.088878784838</v>
      </c>
      <c r="DE37" s="119">
        <f t="shared" si="39"/>
        <v>93349.206417953013</v>
      </c>
      <c r="DF37" s="119">
        <f t="shared" si="39"/>
        <v>93349.206417953013</v>
      </c>
      <c r="DG37" s="119">
        <f t="shared" si="39"/>
        <v>93349.206417953013</v>
      </c>
      <c r="DH37" s="119">
        <f t="shared" si="39"/>
        <v>93349.206417953013</v>
      </c>
      <c r="DI37" s="119">
        <f t="shared" si="39"/>
        <v>93349.206417953013</v>
      </c>
      <c r="DJ37" s="119">
        <f t="shared" si="40"/>
        <v>93346.235802745039</v>
      </c>
      <c r="DK37" s="119">
        <f t="shared" si="40"/>
        <v>93346.235802745039</v>
      </c>
      <c r="DL37" s="119">
        <f t="shared" si="40"/>
        <v>93346.235802745039</v>
      </c>
      <c r="DM37" s="119">
        <f t="shared" si="40"/>
        <v>93346.235802745039</v>
      </c>
      <c r="DN37" s="119">
        <f t="shared" si="40"/>
        <v>93346.235802745039</v>
      </c>
      <c r="DO37" s="119">
        <f t="shared" si="40"/>
        <v>93288.605867710648</v>
      </c>
      <c r="DP37" s="119">
        <f t="shared" si="25"/>
        <v>93288.605867710648</v>
      </c>
      <c r="DQ37" s="119">
        <f t="shared" si="25"/>
        <v>93288.605867710648</v>
      </c>
      <c r="DR37" s="119">
        <f t="shared" si="25"/>
        <v>93288.605867710648</v>
      </c>
      <c r="DS37" s="119">
        <f t="shared" si="25"/>
        <v>93288.605867710648</v>
      </c>
      <c r="DT37" s="93">
        <f t="shared" si="25"/>
        <v>93336.729834079582</v>
      </c>
      <c r="DW37" s="123" t="s">
        <v>216</v>
      </c>
      <c r="DX37" s="103">
        <f t="shared" si="13"/>
        <v>97709.47290196846</v>
      </c>
      <c r="DY37" s="119">
        <f t="shared" si="41"/>
        <v>97709.47290196846</v>
      </c>
      <c r="DZ37" s="119">
        <f t="shared" si="41"/>
        <v>85652.151999529509</v>
      </c>
      <c r="EA37" s="119">
        <f t="shared" si="41"/>
        <v>85652.151999529509</v>
      </c>
      <c r="EB37" s="119">
        <f t="shared" si="41"/>
        <v>85652.151999529509</v>
      </c>
      <c r="EC37" s="119">
        <f t="shared" si="41"/>
        <v>85652.151999529509</v>
      </c>
      <c r="ED37" s="119">
        <f t="shared" si="41"/>
        <v>85652.151999529509</v>
      </c>
      <c r="EE37" s="119">
        <f t="shared" si="41"/>
        <v>52790.521638771766</v>
      </c>
      <c r="EF37" s="119">
        <f t="shared" si="41"/>
        <v>52790.521638771766</v>
      </c>
      <c r="EG37" s="119">
        <f t="shared" si="41"/>
        <v>52790.521638771766</v>
      </c>
      <c r="EH37" s="119">
        <f t="shared" si="41"/>
        <v>52790.521638771766</v>
      </c>
      <c r="EI37" s="119">
        <f t="shared" si="41"/>
        <v>52790.521638771766</v>
      </c>
      <c r="EJ37" s="119">
        <f t="shared" si="41"/>
        <v>47148.138560455867</v>
      </c>
      <c r="EK37" s="119">
        <f t="shared" si="41"/>
        <v>47148.138560455867</v>
      </c>
      <c r="EL37" s="119">
        <f t="shared" si="41"/>
        <v>47148.138560455867</v>
      </c>
      <c r="EM37" s="119">
        <f t="shared" si="41"/>
        <v>47148.138560455867</v>
      </c>
      <c r="EN37" s="119">
        <f t="shared" si="41"/>
        <v>47148.138560455867</v>
      </c>
      <c r="EO37" s="119">
        <f t="shared" si="42"/>
        <v>45664.171669766714</v>
      </c>
      <c r="EP37" s="119">
        <f t="shared" si="42"/>
        <v>45664.171669766714</v>
      </c>
      <c r="EQ37" s="119">
        <f t="shared" si="42"/>
        <v>45664.171669766714</v>
      </c>
      <c r="ER37" s="119">
        <f t="shared" si="42"/>
        <v>45664.171669766714</v>
      </c>
      <c r="ES37" s="119">
        <f t="shared" si="42"/>
        <v>45664.171669766714</v>
      </c>
      <c r="ET37" s="119">
        <f t="shared" si="42"/>
        <v>43968.723312348237</v>
      </c>
      <c r="EU37" s="119">
        <f t="shared" si="26"/>
        <v>43968.723312348237</v>
      </c>
      <c r="EV37" s="119">
        <f t="shared" si="26"/>
        <v>43968.723312348237</v>
      </c>
      <c r="EW37" s="119">
        <f t="shared" si="26"/>
        <v>43968.723312348237</v>
      </c>
      <c r="EX37" s="119">
        <f t="shared" si="26"/>
        <v>43968.723312348237</v>
      </c>
      <c r="EY37" s="119">
        <f t="shared" si="26"/>
        <v>41310.099159179495</v>
      </c>
      <c r="FB37" s="123" t="s">
        <v>216</v>
      </c>
      <c r="FC37" s="103">
        <f t="shared" si="15"/>
        <v>105980.26849534889</v>
      </c>
      <c r="FD37" s="119">
        <f t="shared" si="43"/>
        <v>105980.26849534889</v>
      </c>
      <c r="FE37" s="119">
        <f t="shared" si="43"/>
        <v>92552.634007469882</v>
      </c>
      <c r="FF37" s="119">
        <f t="shared" si="43"/>
        <v>92552.634007469882</v>
      </c>
      <c r="FG37" s="119">
        <f t="shared" si="43"/>
        <v>92552.634007469882</v>
      </c>
      <c r="FH37" s="119">
        <f t="shared" si="43"/>
        <v>92552.634007469882</v>
      </c>
      <c r="FI37" s="119">
        <f t="shared" si="43"/>
        <v>92552.634007469882</v>
      </c>
      <c r="FJ37" s="119">
        <f t="shared" si="43"/>
        <v>58078.996956438576</v>
      </c>
      <c r="FK37" s="119">
        <f t="shared" si="43"/>
        <v>58078.996956438576</v>
      </c>
      <c r="FL37" s="119">
        <f t="shared" si="43"/>
        <v>58078.996956438576</v>
      </c>
      <c r="FM37" s="119">
        <f t="shared" si="43"/>
        <v>58078.996956438576</v>
      </c>
      <c r="FN37" s="119">
        <f t="shared" si="43"/>
        <v>58078.996956438576</v>
      </c>
      <c r="FO37" s="119">
        <f t="shared" si="43"/>
        <v>51571.266243852653</v>
      </c>
      <c r="FP37" s="119">
        <f t="shared" si="43"/>
        <v>51571.266243852653</v>
      </c>
      <c r="FQ37" s="119">
        <f t="shared" si="43"/>
        <v>51571.266243852653</v>
      </c>
      <c r="FR37" s="119">
        <f t="shared" si="43"/>
        <v>51571.266243852653</v>
      </c>
      <c r="FS37" s="119">
        <f t="shared" si="43"/>
        <v>51571.266243852653</v>
      </c>
      <c r="FT37" s="119">
        <f t="shared" si="44"/>
        <v>50258.498635753916</v>
      </c>
      <c r="FU37" s="119">
        <f t="shared" si="44"/>
        <v>50258.498635753916</v>
      </c>
      <c r="FV37" s="119">
        <f t="shared" si="44"/>
        <v>50258.498635753916</v>
      </c>
      <c r="FW37" s="119">
        <f t="shared" si="44"/>
        <v>50258.498635753916</v>
      </c>
      <c r="FX37" s="119">
        <f t="shared" si="44"/>
        <v>50258.498635753916</v>
      </c>
      <c r="FY37" s="119">
        <f t="shared" si="44"/>
        <v>48559.453654751596</v>
      </c>
      <c r="FZ37" s="119">
        <f t="shared" si="27"/>
        <v>48559.453654751596</v>
      </c>
      <c r="GA37" s="119">
        <f t="shared" si="27"/>
        <v>48559.453654751596</v>
      </c>
      <c r="GB37" s="119">
        <f t="shared" si="27"/>
        <v>48559.453654751596</v>
      </c>
      <c r="GC37" s="119">
        <f t="shared" si="27"/>
        <v>48559.453654751596</v>
      </c>
      <c r="GD37" s="119">
        <f t="shared" si="27"/>
        <v>45808.755937836759</v>
      </c>
      <c r="GH37" s="123" t="s">
        <v>216</v>
      </c>
      <c r="GI37" s="103">
        <f t="shared" si="17"/>
        <v>92080.037668554345</v>
      </c>
      <c r="GJ37" s="119">
        <f t="shared" si="45"/>
        <v>92080.037668554345</v>
      </c>
      <c r="GK37" s="119">
        <f t="shared" si="45"/>
        <v>80955.680923761451</v>
      </c>
      <c r="GL37" s="119">
        <f t="shared" si="45"/>
        <v>80955.680923761451</v>
      </c>
      <c r="GM37" s="119">
        <f t="shared" si="45"/>
        <v>80955.680923761451</v>
      </c>
      <c r="GN37" s="119">
        <f t="shared" si="45"/>
        <v>80955.680923761451</v>
      </c>
      <c r="GO37" s="119">
        <f t="shared" si="45"/>
        <v>80955.680923761451</v>
      </c>
      <c r="GP37" s="119">
        <f t="shared" si="45"/>
        <v>49191.020756072532</v>
      </c>
      <c r="GQ37" s="119">
        <f t="shared" si="45"/>
        <v>49191.020756072532</v>
      </c>
      <c r="GR37" s="119">
        <f t="shared" si="45"/>
        <v>49191.020756072532</v>
      </c>
      <c r="GS37" s="119">
        <f t="shared" si="45"/>
        <v>49191.020756072532</v>
      </c>
      <c r="GT37" s="119">
        <f t="shared" si="45"/>
        <v>49191.020756072532</v>
      </c>
      <c r="GU37" s="119">
        <f t="shared" si="45"/>
        <v>44137.764620788344</v>
      </c>
      <c r="GV37" s="119">
        <f t="shared" si="45"/>
        <v>44137.764620788344</v>
      </c>
      <c r="GW37" s="119">
        <f t="shared" si="45"/>
        <v>44137.764620788344</v>
      </c>
      <c r="GX37" s="119">
        <f t="shared" si="45"/>
        <v>44137.764620788344</v>
      </c>
      <c r="GY37" s="119">
        <f t="shared" si="45"/>
        <v>44137.764620788344</v>
      </c>
      <c r="GZ37" s="119">
        <f t="shared" si="46"/>
        <v>42537.267125983024</v>
      </c>
      <c r="HA37" s="119">
        <f t="shared" si="46"/>
        <v>42537.267125983024</v>
      </c>
      <c r="HB37" s="119">
        <f t="shared" si="46"/>
        <v>42537.267125983024</v>
      </c>
      <c r="HC37" s="119">
        <f t="shared" si="46"/>
        <v>42537.267125983024</v>
      </c>
      <c r="HD37" s="119">
        <f t="shared" si="46"/>
        <v>42537.267125983024</v>
      </c>
      <c r="HE37" s="119">
        <f t="shared" si="46"/>
        <v>40843.97674271484</v>
      </c>
      <c r="HF37" s="119">
        <f t="shared" si="28"/>
        <v>40843.97674271484</v>
      </c>
      <c r="HG37" s="119">
        <f t="shared" si="28"/>
        <v>40843.97674271484</v>
      </c>
      <c r="HH37" s="119">
        <f t="shared" si="28"/>
        <v>40843.97674271484</v>
      </c>
      <c r="HI37" s="119">
        <f t="shared" si="28"/>
        <v>40843.97674271484</v>
      </c>
      <c r="HJ37" s="119">
        <f t="shared" si="28"/>
        <v>38248.653164621552</v>
      </c>
    </row>
    <row r="38" spans="17:218" x14ac:dyDescent="0.25">
      <c r="Q38" s="237" t="s">
        <v>472</v>
      </c>
      <c r="R38" s="238"/>
      <c r="S38" s="238"/>
      <c r="T38" s="238"/>
      <c r="U38" s="238"/>
      <c r="V38" s="238"/>
      <c r="W38" s="238"/>
      <c r="X38" s="239"/>
      <c r="Z38" s="83" t="s">
        <v>209</v>
      </c>
      <c r="AA38" s="114">
        <f>'US Grid mix, emissions&amp;prices'!O90</f>
        <v>102973</v>
      </c>
      <c r="AB38" s="116">
        <f t="shared" si="30"/>
        <v>102973</v>
      </c>
      <c r="AC38" s="116">
        <f t="shared" si="30"/>
        <v>90564.119049637418</v>
      </c>
      <c r="AD38" s="116">
        <f t="shared" si="30"/>
        <v>90564.119049637418</v>
      </c>
      <c r="AE38" s="116">
        <f t="shared" si="30"/>
        <v>90564.119049637418</v>
      </c>
      <c r="AF38" s="116">
        <f t="shared" si="30"/>
        <v>90564.119049637418</v>
      </c>
      <c r="AG38" s="116">
        <f t="shared" si="30"/>
        <v>90564.119049637418</v>
      </c>
      <c r="AH38" s="116">
        <f t="shared" si="30"/>
        <v>54414.335663257836</v>
      </c>
      <c r="AI38" s="116">
        <f t="shared" si="30"/>
        <v>54414.335663257836</v>
      </c>
      <c r="AJ38" s="116">
        <f t="shared" si="30"/>
        <v>54414.335663257836</v>
      </c>
      <c r="AK38" s="116">
        <f t="shared" si="30"/>
        <v>54414.335663257836</v>
      </c>
      <c r="AL38" s="116">
        <f t="shared" si="30"/>
        <v>54414.335663257836</v>
      </c>
      <c r="AM38" s="116">
        <f t="shared" si="30"/>
        <v>56943.407965413331</v>
      </c>
      <c r="AN38" s="116">
        <f t="shared" si="30"/>
        <v>56943.407965413331</v>
      </c>
      <c r="AO38" s="116">
        <f t="shared" si="30"/>
        <v>56943.407965413331</v>
      </c>
      <c r="AP38" s="116">
        <f t="shared" si="30"/>
        <v>56943.407965413331</v>
      </c>
      <c r="AQ38" s="116">
        <f t="shared" si="30"/>
        <v>56943.407965413331</v>
      </c>
      <c r="AR38" s="116">
        <f t="shared" ref="AR38:BB55" si="47">$AA38*AR$57</f>
        <v>59525.648715715812</v>
      </c>
      <c r="AS38" s="116">
        <f t="shared" si="47"/>
        <v>59525.648715715812</v>
      </c>
      <c r="AT38" s="116">
        <f t="shared" si="47"/>
        <v>59525.648715715812</v>
      </c>
      <c r="AU38" s="116">
        <f t="shared" si="47"/>
        <v>59525.648715715812</v>
      </c>
      <c r="AV38" s="116">
        <f t="shared" si="47"/>
        <v>59525.648715715812</v>
      </c>
      <c r="AW38" s="116">
        <f t="shared" si="47"/>
        <v>60831.846710490827</v>
      </c>
      <c r="AX38" s="116">
        <f t="shared" si="47"/>
        <v>60831.846710490827</v>
      </c>
      <c r="AY38" s="116">
        <f t="shared" si="47"/>
        <v>60831.846710490827</v>
      </c>
      <c r="AZ38" s="116">
        <f t="shared" si="47"/>
        <v>60831.846710490827</v>
      </c>
      <c r="BA38" s="116">
        <f t="shared" si="47"/>
        <v>60831.846710490827</v>
      </c>
      <c r="BB38" s="116">
        <f t="shared" si="47"/>
        <v>60914.376838957782</v>
      </c>
      <c r="BM38" s="123" t="s">
        <v>209</v>
      </c>
      <c r="BN38" s="103">
        <f t="shared" si="23"/>
        <v>102973</v>
      </c>
      <c r="BO38" s="119">
        <f t="shared" si="37"/>
        <v>102973</v>
      </c>
      <c r="BP38" s="119">
        <f t="shared" si="37"/>
        <v>90445.878769429954</v>
      </c>
      <c r="BQ38" s="119">
        <f t="shared" si="37"/>
        <v>90445.878769429954</v>
      </c>
      <c r="BR38" s="119">
        <f t="shared" si="37"/>
        <v>90445.878769429954</v>
      </c>
      <c r="BS38" s="119">
        <f t="shared" si="37"/>
        <v>90445.878769429954</v>
      </c>
      <c r="BT38" s="119">
        <f t="shared" si="37"/>
        <v>90445.878769429954</v>
      </c>
      <c r="BU38" s="119">
        <f t="shared" si="37"/>
        <v>102526.22632377988</v>
      </c>
      <c r="BV38" s="119">
        <f t="shared" si="37"/>
        <v>102526.22632377988</v>
      </c>
      <c r="BW38" s="119">
        <f t="shared" si="37"/>
        <v>102526.22632377988</v>
      </c>
      <c r="BX38" s="119">
        <f t="shared" si="37"/>
        <v>102526.22632377988</v>
      </c>
      <c r="BY38" s="119">
        <f t="shared" si="37"/>
        <v>102526.22632377988</v>
      </c>
      <c r="BZ38" s="119">
        <f t="shared" si="37"/>
        <v>104991.81391173002</v>
      </c>
      <c r="CA38" s="119">
        <f t="shared" si="37"/>
        <v>104991.81391173002</v>
      </c>
      <c r="CB38" s="119">
        <f t="shared" si="37"/>
        <v>104991.81391173002</v>
      </c>
      <c r="CC38" s="119">
        <f t="shared" si="37"/>
        <v>104991.81391173002</v>
      </c>
      <c r="CD38" s="119">
        <f t="shared" si="37"/>
        <v>104991.81391173002</v>
      </c>
      <c r="CE38" s="119">
        <f t="shared" si="38"/>
        <v>107586.75160487357</v>
      </c>
      <c r="CF38" s="119">
        <f t="shared" si="38"/>
        <v>107586.75160487357</v>
      </c>
      <c r="CG38" s="119">
        <f t="shared" si="38"/>
        <v>107586.75160487357</v>
      </c>
      <c r="CH38" s="119">
        <f t="shared" si="38"/>
        <v>107586.75160487357</v>
      </c>
      <c r="CI38" s="119">
        <f t="shared" si="38"/>
        <v>107586.75160487357</v>
      </c>
      <c r="CJ38" s="119">
        <f t="shared" si="38"/>
        <v>108202.55333266544</v>
      </c>
      <c r="CK38" s="119">
        <f t="shared" si="24"/>
        <v>108202.55333266544</v>
      </c>
      <c r="CL38" s="119">
        <f t="shared" si="24"/>
        <v>108202.55333266544</v>
      </c>
      <c r="CM38" s="119">
        <f t="shared" si="24"/>
        <v>108202.55333266544</v>
      </c>
      <c r="CN38" s="119">
        <f t="shared" si="24"/>
        <v>108202.55333266544</v>
      </c>
      <c r="CO38" s="119">
        <f t="shared" si="24"/>
        <v>108938.18245851989</v>
      </c>
      <c r="CR38" s="123" t="s">
        <v>209</v>
      </c>
      <c r="CS38" s="103">
        <f t="shared" si="11"/>
        <v>124672.86887431509</v>
      </c>
      <c r="CT38" s="119">
        <f t="shared" si="39"/>
        <v>124672.86887431509</v>
      </c>
      <c r="CU38" s="119">
        <f t="shared" si="39"/>
        <v>124672.86887431509</v>
      </c>
      <c r="CV38" s="119">
        <f t="shared" si="39"/>
        <v>124672.86887431509</v>
      </c>
      <c r="CW38" s="119">
        <f t="shared" si="39"/>
        <v>124672.86887431509</v>
      </c>
      <c r="CX38" s="119">
        <f t="shared" si="39"/>
        <v>124672.86887431509</v>
      </c>
      <c r="CY38" s="119">
        <f t="shared" si="39"/>
        <v>124672.86887431509</v>
      </c>
      <c r="CZ38" s="119">
        <f t="shared" si="39"/>
        <v>124700.64343677992</v>
      </c>
      <c r="DA38" s="119">
        <f t="shared" si="39"/>
        <v>124700.64343677992</v>
      </c>
      <c r="DB38" s="119">
        <f t="shared" si="39"/>
        <v>124700.64343677992</v>
      </c>
      <c r="DC38" s="119">
        <f t="shared" si="39"/>
        <v>124700.64343677992</v>
      </c>
      <c r="DD38" s="119">
        <f t="shared" si="39"/>
        <v>124700.64343677992</v>
      </c>
      <c r="DE38" s="119">
        <f t="shared" si="39"/>
        <v>124684.77225822859</v>
      </c>
      <c r="DF38" s="119">
        <f t="shared" si="39"/>
        <v>124684.77225822859</v>
      </c>
      <c r="DG38" s="119">
        <f t="shared" si="39"/>
        <v>124684.77225822859</v>
      </c>
      <c r="DH38" s="119">
        <f t="shared" si="39"/>
        <v>124684.77225822859</v>
      </c>
      <c r="DI38" s="119">
        <f t="shared" si="39"/>
        <v>124684.77225822859</v>
      </c>
      <c r="DJ38" s="119">
        <f t="shared" si="40"/>
        <v>124680.80446359076</v>
      </c>
      <c r="DK38" s="119">
        <f t="shared" si="40"/>
        <v>124680.80446359076</v>
      </c>
      <c r="DL38" s="119">
        <f t="shared" si="40"/>
        <v>124680.80446359076</v>
      </c>
      <c r="DM38" s="119">
        <f t="shared" si="40"/>
        <v>124680.80446359076</v>
      </c>
      <c r="DN38" s="119">
        <f t="shared" si="40"/>
        <v>124680.80446359076</v>
      </c>
      <c r="DO38" s="119">
        <f t="shared" si="40"/>
        <v>124603.82924761678</v>
      </c>
      <c r="DP38" s="119">
        <f t="shared" si="25"/>
        <v>124603.82924761678</v>
      </c>
      <c r="DQ38" s="119">
        <f t="shared" si="25"/>
        <v>124603.82924761678</v>
      </c>
      <c r="DR38" s="119">
        <f t="shared" si="25"/>
        <v>124603.82924761678</v>
      </c>
      <c r="DS38" s="119">
        <f t="shared" si="25"/>
        <v>124603.82924761678</v>
      </c>
      <c r="DT38" s="93">
        <f t="shared" si="25"/>
        <v>124668.10752074969</v>
      </c>
      <c r="DW38" s="123" t="s">
        <v>209</v>
      </c>
      <c r="DX38" s="103">
        <f t="shared" si="13"/>
        <v>130508.69786409313</v>
      </c>
      <c r="DY38" s="119">
        <f t="shared" si="41"/>
        <v>130508.69786409313</v>
      </c>
      <c r="DZ38" s="119">
        <f t="shared" si="41"/>
        <v>114403.96201841324</v>
      </c>
      <c r="EA38" s="119">
        <f t="shared" si="41"/>
        <v>114403.96201841324</v>
      </c>
      <c r="EB38" s="119">
        <f t="shared" si="41"/>
        <v>114403.96201841324</v>
      </c>
      <c r="EC38" s="119">
        <f t="shared" si="41"/>
        <v>114403.96201841324</v>
      </c>
      <c r="ED38" s="119">
        <f t="shared" si="41"/>
        <v>114403.96201841324</v>
      </c>
      <c r="EE38" s="119">
        <f t="shared" si="41"/>
        <v>70511.30288620702</v>
      </c>
      <c r="EF38" s="119">
        <f t="shared" si="41"/>
        <v>70511.30288620702</v>
      </c>
      <c r="EG38" s="119">
        <f t="shared" si="41"/>
        <v>70511.30288620702</v>
      </c>
      <c r="EH38" s="119">
        <f t="shared" si="41"/>
        <v>70511.30288620702</v>
      </c>
      <c r="EI38" s="119">
        <f t="shared" si="41"/>
        <v>70511.30288620702</v>
      </c>
      <c r="EJ38" s="119">
        <f t="shared" si="41"/>
        <v>62974.878356108398</v>
      </c>
      <c r="EK38" s="119">
        <f t="shared" si="41"/>
        <v>62974.878356108398</v>
      </c>
      <c r="EL38" s="119">
        <f t="shared" si="41"/>
        <v>62974.878356108398</v>
      </c>
      <c r="EM38" s="119">
        <f t="shared" si="41"/>
        <v>62974.878356108398</v>
      </c>
      <c r="EN38" s="119">
        <f t="shared" si="41"/>
        <v>62974.878356108398</v>
      </c>
      <c r="EO38" s="119">
        <f t="shared" si="42"/>
        <v>60992.771802616116</v>
      </c>
      <c r="EP38" s="119">
        <f t="shared" si="42"/>
        <v>60992.771802616116</v>
      </c>
      <c r="EQ38" s="119">
        <f t="shared" si="42"/>
        <v>60992.771802616116</v>
      </c>
      <c r="ER38" s="119">
        <f t="shared" si="42"/>
        <v>60992.771802616116</v>
      </c>
      <c r="ES38" s="119">
        <f t="shared" si="42"/>
        <v>60992.771802616116</v>
      </c>
      <c r="ET38" s="119">
        <f t="shared" si="42"/>
        <v>58728.193447511272</v>
      </c>
      <c r="EU38" s="119">
        <f t="shared" si="26"/>
        <v>58728.193447511272</v>
      </c>
      <c r="EV38" s="119">
        <f t="shared" si="26"/>
        <v>58728.193447511272</v>
      </c>
      <c r="EW38" s="119">
        <f t="shared" si="26"/>
        <v>58728.193447511272</v>
      </c>
      <c r="EX38" s="119">
        <f t="shared" si="26"/>
        <v>58728.193447511272</v>
      </c>
      <c r="EY38" s="119">
        <f t="shared" si="26"/>
        <v>55177.119370096108</v>
      </c>
      <c r="FB38" s="123" t="s">
        <v>209</v>
      </c>
      <c r="FC38" s="103">
        <f t="shared" si="15"/>
        <v>141555.84335709084</v>
      </c>
      <c r="FD38" s="119">
        <f t="shared" si="43"/>
        <v>141555.84335709084</v>
      </c>
      <c r="FE38" s="119">
        <f t="shared" si="43"/>
        <v>123620.80553157438</v>
      </c>
      <c r="FF38" s="119">
        <f t="shared" si="43"/>
        <v>123620.80553157438</v>
      </c>
      <c r="FG38" s="119">
        <f t="shared" si="43"/>
        <v>123620.80553157438</v>
      </c>
      <c r="FH38" s="119">
        <f t="shared" si="43"/>
        <v>123620.80553157438</v>
      </c>
      <c r="FI38" s="119">
        <f t="shared" si="43"/>
        <v>123620.80553157438</v>
      </c>
      <c r="FJ38" s="119">
        <f t="shared" si="43"/>
        <v>77575.019503402975</v>
      </c>
      <c r="FK38" s="119">
        <f t="shared" si="43"/>
        <v>77575.019503402975</v>
      </c>
      <c r="FL38" s="119">
        <f t="shared" si="43"/>
        <v>77575.019503402975</v>
      </c>
      <c r="FM38" s="119">
        <f t="shared" si="43"/>
        <v>77575.019503402975</v>
      </c>
      <c r="FN38" s="119">
        <f t="shared" si="43"/>
        <v>77575.019503402975</v>
      </c>
      <c r="FO38" s="119">
        <f t="shared" si="43"/>
        <v>68882.766478950885</v>
      </c>
      <c r="FP38" s="119">
        <f t="shared" si="43"/>
        <v>68882.766478950885</v>
      </c>
      <c r="FQ38" s="119">
        <f t="shared" si="43"/>
        <v>68882.766478950885</v>
      </c>
      <c r="FR38" s="119">
        <f t="shared" si="43"/>
        <v>68882.766478950885</v>
      </c>
      <c r="FS38" s="119">
        <f t="shared" si="43"/>
        <v>68882.766478950885</v>
      </c>
      <c r="FT38" s="119">
        <f t="shared" si="44"/>
        <v>67129.32757438306</v>
      </c>
      <c r="FU38" s="119">
        <f t="shared" si="44"/>
        <v>67129.32757438306</v>
      </c>
      <c r="FV38" s="119">
        <f t="shared" si="44"/>
        <v>67129.32757438306</v>
      </c>
      <c r="FW38" s="119">
        <f t="shared" si="44"/>
        <v>67129.32757438306</v>
      </c>
      <c r="FX38" s="119">
        <f t="shared" si="44"/>
        <v>67129.32757438306</v>
      </c>
      <c r="FY38" s="119">
        <f t="shared" si="44"/>
        <v>64859.945277073915</v>
      </c>
      <c r="FZ38" s="119">
        <f t="shared" si="27"/>
        <v>64859.945277073915</v>
      </c>
      <c r="GA38" s="119">
        <f t="shared" si="27"/>
        <v>64859.945277073915</v>
      </c>
      <c r="GB38" s="119">
        <f t="shared" si="27"/>
        <v>64859.945277073915</v>
      </c>
      <c r="GC38" s="119">
        <f t="shared" si="27"/>
        <v>64859.945277073915</v>
      </c>
      <c r="GD38" s="119">
        <f t="shared" si="27"/>
        <v>61185.890279228792</v>
      </c>
      <c r="GH38" s="123" t="s">
        <v>209</v>
      </c>
      <c r="GI38" s="103">
        <f t="shared" si="17"/>
        <v>122989.56752592999</v>
      </c>
      <c r="GJ38" s="119">
        <f t="shared" si="45"/>
        <v>122989.56752592999</v>
      </c>
      <c r="GK38" s="119">
        <f t="shared" si="45"/>
        <v>108130.97428804431</v>
      </c>
      <c r="GL38" s="119">
        <f t="shared" si="45"/>
        <v>108130.97428804431</v>
      </c>
      <c r="GM38" s="119">
        <f t="shared" si="45"/>
        <v>108130.97428804431</v>
      </c>
      <c r="GN38" s="119">
        <f t="shared" si="45"/>
        <v>108130.97428804431</v>
      </c>
      <c r="GO38" s="119">
        <f t="shared" si="45"/>
        <v>108130.97428804431</v>
      </c>
      <c r="GP38" s="119">
        <f t="shared" si="45"/>
        <v>65703.517528148193</v>
      </c>
      <c r="GQ38" s="119">
        <f t="shared" si="45"/>
        <v>65703.517528148193</v>
      </c>
      <c r="GR38" s="119">
        <f t="shared" si="45"/>
        <v>65703.517528148193</v>
      </c>
      <c r="GS38" s="119">
        <f t="shared" si="45"/>
        <v>65703.517528148193</v>
      </c>
      <c r="GT38" s="119">
        <f t="shared" si="45"/>
        <v>65703.517528148193</v>
      </c>
      <c r="GU38" s="119">
        <f t="shared" si="45"/>
        <v>58953.978731113159</v>
      </c>
      <c r="GV38" s="119">
        <f t="shared" si="45"/>
        <v>58953.978731113159</v>
      </c>
      <c r="GW38" s="119">
        <f t="shared" si="45"/>
        <v>58953.978731113159</v>
      </c>
      <c r="GX38" s="119">
        <f t="shared" si="45"/>
        <v>58953.978731113159</v>
      </c>
      <c r="GY38" s="119">
        <f t="shared" si="45"/>
        <v>58953.978731113159</v>
      </c>
      <c r="GZ38" s="119">
        <f t="shared" si="46"/>
        <v>56816.224450201706</v>
      </c>
      <c r="HA38" s="119">
        <f t="shared" si="46"/>
        <v>56816.224450201706</v>
      </c>
      <c r="HB38" s="119">
        <f t="shared" si="46"/>
        <v>56816.224450201706</v>
      </c>
      <c r="HC38" s="119">
        <f t="shared" si="46"/>
        <v>56816.224450201706</v>
      </c>
      <c r="HD38" s="119">
        <f t="shared" si="46"/>
        <v>56816.224450201706</v>
      </c>
      <c r="HE38" s="119">
        <f t="shared" si="46"/>
        <v>54554.528460419431</v>
      </c>
      <c r="HF38" s="119">
        <f t="shared" si="28"/>
        <v>54554.528460419431</v>
      </c>
      <c r="HG38" s="119">
        <f t="shared" si="28"/>
        <v>54554.528460419431</v>
      </c>
      <c r="HH38" s="119">
        <f t="shared" si="28"/>
        <v>54554.528460419431</v>
      </c>
      <c r="HI38" s="119">
        <f t="shared" si="28"/>
        <v>54554.528460419431</v>
      </c>
      <c r="HJ38" s="119">
        <f t="shared" si="28"/>
        <v>51088.003765799869</v>
      </c>
    </row>
    <row r="39" spans="17:218" x14ac:dyDescent="0.25">
      <c r="Q39" s="37"/>
      <c r="R39" s="122" t="s">
        <v>467</v>
      </c>
      <c r="S39" s="122" t="s">
        <v>468</v>
      </c>
      <c r="T39" s="122" t="s">
        <v>469</v>
      </c>
      <c r="U39" s="122" t="s">
        <v>470</v>
      </c>
      <c r="V39" s="122" t="s">
        <v>261</v>
      </c>
      <c r="W39" s="122" t="s">
        <v>471</v>
      </c>
      <c r="X39" s="37" t="s">
        <v>453</v>
      </c>
      <c r="Z39" s="83" t="s">
        <v>210</v>
      </c>
      <c r="AA39" s="114">
        <f>'US Grid mix, emissions&amp;prices'!O91</f>
        <v>189059</v>
      </c>
      <c r="AB39" s="116">
        <f t="shared" si="30"/>
        <v>189059</v>
      </c>
      <c r="AC39" s="116">
        <f t="shared" si="30"/>
        <v>166276.22564561001</v>
      </c>
      <c r="AD39" s="116">
        <f t="shared" si="30"/>
        <v>166276.22564561001</v>
      </c>
      <c r="AE39" s="116">
        <f t="shared" si="30"/>
        <v>166276.22564561001</v>
      </c>
      <c r="AF39" s="116">
        <f t="shared" si="30"/>
        <v>166276.22564561001</v>
      </c>
      <c r="AG39" s="116">
        <f t="shared" si="30"/>
        <v>166276.22564561001</v>
      </c>
      <c r="AH39" s="116">
        <f t="shared" si="30"/>
        <v>99905.022541441562</v>
      </c>
      <c r="AI39" s="116">
        <f t="shared" si="30"/>
        <v>99905.022541441562</v>
      </c>
      <c r="AJ39" s="116">
        <f t="shared" si="30"/>
        <v>99905.022541441562</v>
      </c>
      <c r="AK39" s="116">
        <f t="shared" si="30"/>
        <v>99905.022541441562</v>
      </c>
      <c r="AL39" s="116">
        <f t="shared" si="30"/>
        <v>99905.022541441562</v>
      </c>
      <c r="AM39" s="116">
        <f t="shared" si="30"/>
        <v>104548.41333682692</v>
      </c>
      <c r="AN39" s="116">
        <f t="shared" si="30"/>
        <v>104548.41333682692</v>
      </c>
      <c r="AO39" s="116">
        <f t="shared" si="30"/>
        <v>104548.41333682692</v>
      </c>
      <c r="AP39" s="116">
        <f t="shared" si="30"/>
        <v>104548.41333682692</v>
      </c>
      <c r="AQ39" s="116">
        <f t="shared" si="30"/>
        <v>104548.41333682692</v>
      </c>
      <c r="AR39" s="116">
        <f t="shared" si="47"/>
        <v>109289.42169835312</v>
      </c>
      <c r="AS39" s="116">
        <f t="shared" si="47"/>
        <v>109289.42169835312</v>
      </c>
      <c r="AT39" s="116">
        <f t="shared" si="47"/>
        <v>109289.42169835312</v>
      </c>
      <c r="AU39" s="116">
        <f t="shared" si="47"/>
        <v>109289.42169835312</v>
      </c>
      <c r="AV39" s="116">
        <f t="shared" si="47"/>
        <v>109289.42169835312</v>
      </c>
      <c r="AW39" s="116">
        <f t="shared" si="47"/>
        <v>111687.60847249944</v>
      </c>
      <c r="AX39" s="116">
        <f t="shared" si="47"/>
        <v>111687.60847249944</v>
      </c>
      <c r="AY39" s="116">
        <f t="shared" si="47"/>
        <v>111687.60847249944</v>
      </c>
      <c r="AZ39" s="116">
        <f t="shared" si="47"/>
        <v>111687.60847249944</v>
      </c>
      <c r="BA39" s="116">
        <f t="shared" si="47"/>
        <v>111687.60847249944</v>
      </c>
      <c r="BB39" s="116">
        <f t="shared" si="47"/>
        <v>111839.1342468076</v>
      </c>
      <c r="BM39" s="123" t="s">
        <v>210</v>
      </c>
      <c r="BN39" s="103">
        <f t="shared" si="23"/>
        <v>189059</v>
      </c>
      <c r="BO39" s="119">
        <f t="shared" si="37"/>
        <v>189059</v>
      </c>
      <c r="BP39" s="119">
        <f t="shared" si="37"/>
        <v>166059.13583434158</v>
      </c>
      <c r="BQ39" s="119">
        <f t="shared" si="37"/>
        <v>166059.13583434158</v>
      </c>
      <c r="BR39" s="119">
        <f t="shared" si="37"/>
        <v>166059.13583434158</v>
      </c>
      <c r="BS39" s="119">
        <f t="shared" si="37"/>
        <v>166059.13583434158</v>
      </c>
      <c r="BT39" s="119">
        <f t="shared" si="37"/>
        <v>166059.13583434158</v>
      </c>
      <c r="BU39" s="119">
        <f t="shared" si="37"/>
        <v>188238.72104869722</v>
      </c>
      <c r="BV39" s="119">
        <f t="shared" si="37"/>
        <v>188238.72104869722</v>
      </c>
      <c r="BW39" s="119">
        <f t="shared" si="37"/>
        <v>188238.72104869722</v>
      </c>
      <c r="BX39" s="119">
        <f t="shared" si="37"/>
        <v>188238.72104869722</v>
      </c>
      <c r="BY39" s="119">
        <f t="shared" si="37"/>
        <v>188238.72104869722</v>
      </c>
      <c r="BZ39" s="119">
        <f t="shared" si="37"/>
        <v>192765.55355615323</v>
      </c>
      <c r="CA39" s="119">
        <f t="shared" si="37"/>
        <v>192765.55355615323</v>
      </c>
      <c r="CB39" s="119">
        <f t="shared" si="37"/>
        <v>192765.55355615323</v>
      </c>
      <c r="CC39" s="119">
        <f t="shared" si="37"/>
        <v>192765.55355615323</v>
      </c>
      <c r="CD39" s="119">
        <f t="shared" si="37"/>
        <v>192765.55355615323</v>
      </c>
      <c r="CE39" s="119">
        <f t="shared" si="38"/>
        <v>197529.87357526529</v>
      </c>
      <c r="CF39" s="119">
        <f t="shared" si="38"/>
        <v>197529.87357526529</v>
      </c>
      <c r="CG39" s="119">
        <f t="shared" si="38"/>
        <v>197529.87357526529</v>
      </c>
      <c r="CH39" s="119">
        <f t="shared" si="38"/>
        <v>197529.87357526529</v>
      </c>
      <c r="CI39" s="119">
        <f t="shared" si="38"/>
        <v>197529.87357526529</v>
      </c>
      <c r="CJ39" s="119">
        <f t="shared" si="38"/>
        <v>198660.48896817997</v>
      </c>
      <c r="CK39" s="119">
        <f t="shared" si="24"/>
        <v>198660.48896817997</v>
      </c>
      <c r="CL39" s="119">
        <f t="shared" si="24"/>
        <v>198660.48896817997</v>
      </c>
      <c r="CM39" s="119">
        <f t="shared" si="24"/>
        <v>198660.48896817997</v>
      </c>
      <c r="CN39" s="119">
        <f t="shared" si="24"/>
        <v>198660.48896817997</v>
      </c>
      <c r="CO39" s="119">
        <f t="shared" si="24"/>
        <v>200011.10812956127</v>
      </c>
      <c r="CR39" s="123" t="s">
        <v>210</v>
      </c>
      <c r="CS39" s="103">
        <f t="shared" si="11"/>
        <v>228900.07979284992</v>
      </c>
      <c r="CT39" s="119">
        <f t="shared" si="39"/>
        <v>228900.07979284995</v>
      </c>
      <c r="CU39" s="119">
        <f t="shared" si="39"/>
        <v>228900.07979284995</v>
      </c>
      <c r="CV39" s="119">
        <f t="shared" si="39"/>
        <v>228900.07979284995</v>
      </c>
      <c r="CW39" s="119">
        <f t="shared" si="39"/>
        <v>228900.07979284995</v>
      </c>
      <c r="CX39" s="119">
        <f t="shared" si="39"/>
        <v>228900.07979284995</v>
      </c>
      <c r="CY39" s="119">
        <f t="shared" si="39"/>
        <v>228900.07979284995</v>
      </c>
      <c r="CZ39" s="119">
        <f t="shared" si="39"/>
        <v>228951.07404381901</v>
      </c>
      <c r="DA39" s="119">
        <f t="shared" si="39"/>
        <v>228951.07404381901</v>
      </c>
      <c r="DB39" s="119">
        <f t="shared" si="39"/>
        <v>228951.07404381901</v>
      </c>
      <c r="DC39" s="119">
        <f t="shared" si="39"/>
        <v>228951.07404381901</v>
      </c>
      <c r="DD39" s="119">
        <f t="shared" si="39"/>
        <v>228951.07404381901</v>
      </c>
      <c r="DE39" s="119">
        <f t="shared" si="39"/>
        <v>228921.93447183669</v>
      </c>
      <c r="DF39" s="119">
        <f t="shared" si="39"/>
        <v>228921.93447183669</v>
      </c>
      <c r="DG39" s="119">
        <f t="shared" si="39"/>
        <v>228921.93447183669</v>
      </c>
      <c r="DH39" s="119">
        <f t="shared" si="39"/>
        <v>228921.93447183669</v>
      </c>
      <c r="DI39" s="119">
        <f t="shared" si="39"/>
        <v>228921.93447183669</v>
      </c>
      <c r="DJ39" s="119">
        <f t="shared" si="40"/>
        <v>228914.64957884111</v>
      </c>
      <c r="DK39" s="119">
        <f t="shared" si="40"/>
        <v>228914.64957884111</v>
      </c>
      <c r="DL39" s="119">
        <f t="shared" si="40"/>
        <v>228914.64957884111</v>
      </c>
      <c r="DM39" s="119">
        <f t="shared" si="40"/>
        <v>228914.64957884111</v>
      </c>
      <c r="DN39" s="119">
        <f t="shared" si="40"/>
        <v>228914.64957884111</v>
      </c>
      <c r="DO39" s="119">
        <f t="shared" si="40"/>
        <v>228773.3226547268</v>
      </c>
      <c r="DP39" s="119">
        <f t="shared" si="25"/>
        <v>228773.3226547268</v>
      </c>
      <c r="DQ39" s="119">
        <f t="shared" si="25"/>
        <v>228773.3226547268</v>
      </c>
      <c r="DR39" s="119">
        <f t="shared" si="25"/>
        <v>228773.3226547268</v>
      </c>
      <c r="DS39" s="119">
        <f t="shared" si="25"/>
        <v>228773.3226547268</v>
      </c>
      <c r="DT39" s="93">
        <f t="shared" si="25"/>
        <v>228891.33792125524</v>
      </c>
      <c r="DW39" s="123" t="s">
        <v>210</v>
      </c>
      <c r="DX39" s="103">
        <f t="shared" si="13"/>
        <v>239614.69423526153</v>
      </c>
      <c r="DY39" s="119">
        <f t="shared" si="41"/>
        <v>239614.69423526153</v>
      </c>
      <c r="DZ39" s="119">
        <f t="shared" si="41"/>
        <v>210046.30976313393</v>
      </c>
      <c r="EA39" s="119">
        <f t="shared" si="41"/>
        <v>210046.30976313393</v>
      </c>
      <c r="EB39" s="119">
        <f t="shared" si="41"/>
        <v>210046.30976313393</v>
      </c>
      <c r="EC39" s="119">
        <f t="shared" si="41"/>
        <v>210046.30976313393</v>
      </c>
      <c r="ED39" s="119">
        <f t="shared" si="41"/>
        <v>210046.30976313393</v>
      </c>
      <c r="EE39" s="119">
        <f t="shared" si="41"/>
        <v>129459.14377908203</v>
      </c>
      <c r="EF39" s="119">
        <f t="shared" si="41"/>
        <v>129459.14377908203</v>
      </c>
      <c r="EG39" s="119">
        <f t="shared" si="41"/>
        <v>129459.14377908203</v>
      </c>
      <c r="EH39" s="119">
        <f t="shared" si="41"/>
        <v>129459.14377908203</v>
      </c>
      <c r="EI39" s="119">
        <f t="shared" si="41"/>
        <v>129459.14377908203</v>
      </c>
      <c r="EJ39" s="119">
        <f t="shared" si="41"/>
        <v>115622.22647808162</v>
      </c>
      <c r="EK39" s="119">
        <f t="shared" si="41"/>
        <v>115622.22647808162</v>
      </c>
      <c r="EL39" s="119">
        <f t="shared" si="41"/>
        <v>115622.22647808162</v>
      </c>
      <c r="EM39" s="119">
        <f t="shared" si="41"/>
        <v>115622.22647808162</v>
      </c>
      <c r="EN39" s="119">
        <f t="shared" si="41"/>
        <v>115622.22647808162</v>
      </c>
      <c r="EO39" s="119">
        <f t="shared" si="42"/>
        <v>111983.0678355569</v>
      </c>
      <c r="EP39" s="119">
        <f t="shared" si="42"/>
        <v>111983.0678355569</v>
      </c>
      <c r="EQ39" s="119">
        <f t="shared" si="42"/>
        <v>111983.0678355569</v>
      </c>
      <c r="ER39" s="119">
        <f t="shared" si="42"/>
        <v>111983.0678355569</v>
      </c>
      <c r="ES39" s="119">
        <f t="shared" si="42"/>
        <v>111983.0678355569</v>
      </c>
      <c r="ET39" s="119">
        <f t="shared" si="42"/>
        <v>107825.28939618185</v>
      </c>
      <c r="EU39" s="119">
        <f t="shared" si="26"/>
        <v>107825.28939618185</v>
      </c>
      <c r="EV39" s="119">
        <f t="shared" si="26"/>
        <v>107825.28939618185</v>
      </c>
      <c r="EW39" s="119">
        <f t="shared" si="26"/>
        <v>107825.28939618185</v>
      </c>
      <c r="EX39" s="119">
        <f t="shared" si="26"/>
        <v>107825.28939618185</v>
      </c>
      <c r="EY39" s="119">
        <f t="shared" si="26"/>
        <v>101305.49766434892</v>
      </c>
      <c r="FB39" s="123" t="s">
        <v>210</v>
      </c>
      <c r="FC39" s="103">
        <f t="shared" si="15"/>
        <v>259897.31472568767</v>
      </c>
      <c r="FD39" s="119">
        <f t="shared" si="43"/>
        <v>259897.31472568767</v>
      </c>
      <c r="FE39" s="119">
        <f t="shared" si="43"/>
        <v>226968.48565151953</v>
      </c>
      <c r="FF39" s="119">
        <f t="shared" si="43"/>
        <v>226968.48565151953</v>
      </c>
      <c r="FG39" s="119">
        <f t="shared" si="43"/>
        <v>226968.48565151953</v>
      </c>
      <c r="FH39" s="119">
        <f t="shared" si="43"/>
        <v>226968.48565151953</v>
      </c>
      <c r="FI39" s="119">
        <f t="shared" si="43"/>
        <v>226968.48565151953</v>
      </c>
      <c r="FJ39" s="119">
        <f t="shared" si="43"/>
        <v>142428.16672616961</v>
      </c>
      <c r="FK39" s="119">
        <f t="shared" si="43"/>
        <v>142428.16672616961</v>
      </c>
      <c r="FL39" s="119">
        <f t="shared" si="43"/>
        <v>142428.16672616961</v>
      </c>
      <c r="FM39" s="119">
        <f t="shared" si="43"/>
        <v>142428.16672616961</v>
      </c>
      <c r="FN39" s="119">
        <f t="shared" si="43"/>
        <v>142428.16672616961</v>
      </c>
      <c r="FO39" s="119">
        <f t="shared" si="43"/>
        <v>126469.14188907747</v>
      </c>
      <c r="FP39" s="119">
        <f t="shared" si="43"/>
        <v>126469.14188907747</v>
      </c>
      <c r="FQ39" s="119">
        <f t="shared" si="43"/>
        <v>126469.14188907747</v>
      </c>
      <c r="FR39" s="119">
        <f t="shared" si="43"/>
        <v>126469.14188907747</v>
      </c>
      <c r="FS39" s="119">
        <f t="shared" si="43"/>
        <v>126469.14188907747</v>
      </c>
      <c r="FT39" s="119">
        <f t="shared" si="44"/>
        <v>123249.81832019352</v>
      </c>
      <c r="FU39" s="119">
        <f t="shared" si="44"/>
        <v>123249.81832019352</v>
      </c>
      <c r="FV39" s="119">
        <f t="shared" si="44"/>
        <v>123249.81832019352</v>
      </c>
      <c r="FW39" s="119">
        <f t="shared" si="44"/>
        <v>123249.81832019352</v>
      </c>
      <c r="FX39" s="119">
        <f t="shared" si="44"/>
        <v>123249.81832019352</v>
      </c>
      <c r="FY39" s="119">
        <f t="shared" si="44"/>
        <v>119083.21981624617</v>
      </c>
      <c r="FZ39" s="119">
        <f t="shared" si="27"/>
        <v>119083.21981624617</v>
      </c>
      <c r="GA39" s="119">
        <f t="shared" si="27"/>
        <v>119083.21981624617</v>
      </c>
      <c r="GB39" s="119">
        <f t="shared" si="27"/>
        <v>119083.21981624617</v>
      </c>
      <c r="GC39" s="119">
        <f t="shared" si="27"/>
        <v>119083.21981624617</v>
      </c>
      <c r="GD39" s="119">
        <f t="shared" si="27"/>
        <v>112337.63443136275</v>
      </c>
      <c r="GH39" s="123" t="s">
        <v>210</v>
      </c>
      <c r="GI39" s="103">
        <f t="shared" si="17"/>
        <v>225809.52916672133</v>
      </c>
      <c r="GJ39" s="119">
        <f t="shared" si="45"/>
        <v>225809.52916672133</v>
      </c>
      <c r="GK39" s="119">
        <f t="shared" si="45"/>
        <v>198529.06944464441</v>
      </c>
      <c r="GL39" s="119">
        <f t="shared" si="45"/>
        <v>198529.06944464441</v>
      </c>
      <c r="GM39" s="119">
        <f t="shared" si="45"/>
        <v>198529.06944464441</v>
      </c>
      <c r="GN39" s="119">
        <f t="shared" si="45"/>
        <v>198529.06944464441</v>
      </c>
      <c r="GO39" s="119">
        <f t="shared" si="45"/>
        <v>198529.06944464441</v>
      </c>
      <c r="GP39" s="119">
        <f t="shared" si="45"/>
        <v>120632.0231551394</v>
      </c>
      <c r="GQ39" s="119">
        <f t="shared" si="45"/>
        <v>120632.0231551394</v>
      </c>
      <c r="GR39" s="119">
        <f t="shared" si="45"/>
        <v>120632.0231551394</v>
      </c>
      <c r="GS39" s="119">
        <f t="shared" si="45"/>
        <v>120632.0231551394</v>
      </c>
      <c r="GT39" s="119">
        <f t="shared" si="45"/>
        <v>120632.0231551394</v>
      </c>
      <c r="GU39" s="119">
        <f t="shared" si="45"/>
        <v>108239.83243107924</v>
      </c>
      <c r="GV39" s="119">
        <f t="shared" si="45"/>
        <v>108239.83243107924</v>
      </c>
      <c r="GW39" s="119">
        <f t="shared" si="45"/>
        <v>108239.83243107924</v>
      </c>
      <c r="GX39" s="119">
        <f t="shared" si="45"/>
        <v>108239.83243107924</v>
      </c>
      <c r="GY39" s="119">
        <f t="shared" si="45"/>
        <v>108239.83243107924</v>
      </c>
      <c r="GZ39" s="119">
        <f t="shared" si="46"/>
        <v>104314.90369641248</v>
      </c>
      <c r="HA39" s="119">
        <f t="shared" si="46"/>
        <v>104314.90369641248</v>
      </c>
      <c r="HB39" s="119">
        <f t="shared" si="46"/>
        <v>104314.90369641248</v>
      </c>
      <c r="HC39" s="119">
        <f t="shared" si="46"/>
        <v>104314.90369641248</v>
      </c>
      <c r="HD39" s="119">
        <f t="shared" si="46"/>
        <v>104314.90369641248</v>
      </c>
      <c r="HE39" s="119">
        <f t="shared" si="46"/>
        <v>100162.4172957808</v>
      </c>
      <c r="HF39" s="119">
        <f t="shared" si="28"/>
        <v>100162.4172957808</v>
      </c>
      <c r="HG39" s="119">
        <f t="shared" si="28"/>
        <v>100162.4172957808</v>
      </c>
      <c r="HH39" s="119">
        <f t="shared" si="28"/>
        <v>100162.4172957808</v>
      </c>
      <c r="HI39" s="119">
        <f t="shared" si="28"/>
        <v>100162.4172957808</v>
      </c>
      <c r="HJ39" s="119">
        <f t="shared" si="28"/>
        <v>93797.858700420082</v>
      </c>
    </row>
    <row r="40" spans="17:218" x14ac:dyDescent="0.25">
      <c r="Q40" s="127">
        <v>2020</v>
      </c>
      <c r="R40" s="129">
        <v>4.0000000000000001E-3</v>
      </c>
      <c r="S40" s="130">
        <v>0.39600000000000002</v>
      </c>
      <c r="T40" s="130">
        <v>0.2</v>
      </c>
      <c r="U40" s="130">
        <v>0.20399999999999999</v>
      </c>
      <c r="V40" s="130">
        <v>3.0000000000000001E-3</v>
      </c>
      <c r="W40" s="130">
        <v>0.19400000000000001</v>
      </c>
      <c r="X40" s="131">
        <f t="shared" ref="X40:X47" si="48">SUM(R40:W40)</f>
        <v>1.0010000000000001</v>
      </c>
      <c r="Z40" s="83" t="s">
        <v>217</v>
      </c>
      <c r="AA40" s="114">
        <f>'US Grid mix, emissions&amp;prices'!O92</f>
        <v>174626</v>
      </c>
      <c r="AB40" s="116">
        <f t="shared" si="30"/>
        <v>174626</v>
      </c>
      <c r="AC40" s="116">
        <f t="shared" si="30"/>
        <v>153582.49107204785</v>
      </c>
      <c r="AD40" s="116">
        <f t="shared" si="30"/>
        <v>153582.49107204785</v>
      </c>
      <c r="AE40" s="116">
        <f t="shared" si="30"/>
        <v>153582.49107204785</v>
      </c>
      <c r="AF40" s="116">
        <f t="shared" si="30"/>
        <v>153582.49107204785</v>
      </c>
      <c r="AG40" s="116">
        <f t="shared" si="30"/>
        <v>153582.49107204785</v>
      </c>
      <c r="AH40" s="116">
        <f t="shared" si="30"/>
        <v>92278.14844213592</v>
      </c>
      <c r="AI40" s="116">
        <f t="shared" si="30"/>
        <v>92278.14844213592</v>
      </c>
      <c r="AJ40" s="116">
        <f t="shared" si="30"/>
        <v>92278.14844213592</v>
      </c>
      <c r="AK40" s="116">
        <f t="shared" si="30"/>
        <v>92278.14844213592</v>
      </c>
      <c r="AL40" s="116">
        <f t="shared" si="30"/>
        <v>92278.14844213592</v>
      </c>
      <c r="AM40" s="116">
        <f t="shared" si="30"/>
        <v>96567.056989388177</v>
      </c>
      <c r="AN40" s="116">
        <f t="shared" si="30"/>
        <v>96567.056989388177</v>
      </c>
      <c r="AO40" s="116">
        <f t="shared" si="30"/>
        <v>96567.056989388177</v>
      </c>
      <c r="AP40" s="116">
        <f t="shared" si="30"/>
        <v>96567.056989388177</v>
      </c>
      <c r="AQ40" s="116">
        <f t="shared" si="30"/>
        <v>96567.056989388177</v>
      </c>
      <c r="AR40" s="116">
        <f t="shared" si="47"/>
        <v>100946.13085595825</v>
      </c>
      <c r="AS40" s="116">
        <f t="shared" si="47"/>
        <v>100946.13085595825</v>
      </c>
      <c r="AT40" s="116">
        <f t="shared" si="47"/>
        <v>100946.13085595825</v>
      </c>
      <c r="AU40" s="116">
        <f t="shared" si="47"/>
        <v>100946.13085595825</v>
      </c>
      <c r="AV40" s="116">
        <f t="shared" si="47"/>
        <v>100946.13085595825</v>
      </c>
      <c r="AW40" s="116">
        <f t="shared" si="47"/>
        <v>103161.2370589006</v>
      </c>
      <c r="AX40" s="116">
        <f t="shared" si="47"/>
        <v>103161.2370589006</v>
      </c>
      <c r="AY40" s="116">
        <f t="shared" si="47"/>
        <v>103161.2370589006</v>
      </c>
      <c r="AZ40" s="116">
        <f t="shared" si="47"/>
        <v>103161.2370589006</v>
      </c>
      <c r="BA40" s="116">
        <f t="shared" si="47"/>
        <v>103161.2370589006</v>
      </c>
      <c r="BB40" s="116">
        <f t="shared" si="47"/>
        <v>103301.19516649841</v>
      </c>
      <c r="BM40" s="123" t="s">
        <v>217</v>
      </c>
      <c r="BN40" s="103">
        <f t="shared" si="23"/>
        <v>174626</v>
      </c>
      <c r="BO40" s="119">
        <f t="shared" si="37"/>
        <v>174626</v>
      </c>
      <c r="BP40" s="119">
        <f t="shared" si="37"/>
        <v>153381.97416789326</v>
      </c>
      <c r="BQ40" s="119">
        <f t="shared" si="37"/>
        <v>153381.97416789326</v>
      </c>
      <c r="BR40" s="119">
        <f t="shared" si="37"/>
        <v>153381.97416789326</v>
      </c>
      <c r="BS40" s="119">
        <f t="shared" si="37"/>
        <v>153381.97416789326</v>
      </c>
      <c r="BT40" s="119">
        <f t="shared" si="37"/>
        <v>153381.97416789326</v>
      </c>
      <c r="BU40" s="119">
        <f t="shared" si="37"/>
        <v>173868.34216752337</v>
      </c>
      <c r="BV40" s="119">
        <f t="shared" si="37"/>
        <v>173868.34216752337</v>
      </c>
      <c r="BW40" s="119">
        <f t="shared" si="37"/>
        <v>173868.34216752337</v>
      </c>
      <c r="BX40" s="119">
        <f t="shared" si="37"/>
        <v>173868.34216752337</v>
      </c>
      <c r="BY40" s="119">
        <f t="shared" si="37"/>
        <v>173868.34216752337</v>
      </c>
      <c r="BZ40" s="119">
        <f t="shared" si="37"/>
        <v>178049.59063200807</v>
      </c>
      <c r="CA40" s="119">
        <f t="shared" si="37"/>
        <v>178049.59063200807</v>
      </c>
      <c r="CB40" s="119">
        <f t="shared" si="37"/>
        <v>178049.59063200807</v>
      </c>
      <c r="CC40" s="119">
        <f t="shared" si="37"/>
        <v>178049.59063200807</v>
      </c>
      <c r="CD40" s="119">
        <f t="shared" si="37"/>
        <v>178049.59063200807</v>
      </c>
      <c r="CE40" s="119">
        <f t="shared" si="38"/>
        <v>182450.19651513165</v>
      </c>
      <c r="CF40" s="119">
        <f t="shared" si="38"/>
        <v>182450.19651513165</v>
      </c>
      <c r="CG40" s="119">
        <f t="shared" si="38"/>
        <v>182450.19651513165</v>
      </c>
      <c r="CH40" s="119">
        <f t="shared" si="38"/>
        <v>182450.19651513165</v>
      </c>
      <c r="CI40" s="119">
        <f t="shared" si="38"/>
        <v>182450.19651513165</v>
      </c>
      <c r="CJ40" s="119">
        <f t="shared" si="38"/>
        <v>183494.49931797691</v>
      </c>
      <c r="CK40" s="119">
        <f t="shared" si="24"/>
        <v>183494.49931797691</v>
      </c>
      <c r="CL40" s="119">
        <f t="shared" si="24"/>
        <v>183494.49931797691</v>
      </c>
      <c r="CM40" s="119">
        <f t="shared" si="24"/>
        <v>183494.49931797691</v>
      </c>
      <c r="CN40" s="119">
        <f t="shared" si="24"/>
        <v>183494.49931797691</v>
      </c>
      <c r="CO40" s="119">
        <f t="shared" si="24"/>
        <v>184742.01052704587</v>
      </c>
      <c r="CR40" s="123" t="s">
        <v>217</v>
      </c>
      <c r="CS40" s="103">
        <f t="shared" si="11"/>
        <v>211425.56204098303</v>
      </c>
      <c r="CT40" s="119">
        <f t="shared" si="39"/>
        <v>211425.56204098306</v>
      </c>
      <c r="CU40" s="119">
        <f t="shared" si="39"/>
        <v>211425.56204098306</v>
      </c>
      <c r="CV40" s="119">
        <f t="shared" si="39"/>
        <v>211425.56204098306</v>
      </c>
      <c r="CW40" s="119">
        <f t="shared" si="39"/>
        <v>211425.56204098306</v>
      </c>
      <c r="CX40" s="119">
        <f t="shared" si="39"/>
        <v>211425.56204098306</v>
      </c>
      <c r="CY40" s="119">
        <f t="shared" si="39"/>
        <v>211425.56204098306</v>
      </c>
      <c r="CZ40" s="119">
        <f t="shared" si="39"/>
        <v>211472.66332719382</v>
      </c>
      <c r="DA40" s="119">
        <f t="shared" si="39"/>
        <v>211472.66332719382</v>
      </c>
      <c r="DB40" s="119">
        <f t="shared" si="39"/>
        <v>211472.66332719382</v>
      </c>
      <c r="DC40" s="119">
        <f t="shared" si="39"/>
        <v>211472.66332719382</v>
      </c>
      <c r="DD40" s="119">
        <f t="shared" si="39"/>
        <v>211472.66332719382</v>
      </c>
      <c r="DE40" s="119">
        <f t="shared" si="39"/>
        <v>211445.74830650198</v>
      </c>
      <c r="DF40" s="119">
        <f t="shared" si="39"/>
        <v>211445.74830650198</v>
      </c>
      <c r="DG40" s="119">
        <f t="shared" si="39"/>
        <v>211445.74830650198</v>
      </c>
      <c r="DH40" s="119">
        <f t="shared" si="39"/>
        <v>211445.74830650198</v>
      </c>
      <c r="DI40" s="119">
        <f t="shared" si="39"/>
        <v>211445.74830650198</v>
      </c>
      <c r="DJ40" s="119">
        <f t="shared" si="40"/>
        <v>211439.01955132897</v>
      </c>
      <c r="DK40" s="119">
        <f t="shared" si="40"/>
        <v>211439.01955132897</v>
      </c>
      <c r="DL40" s="119">
        <f t="shared" si="40"/>
        <v>211439.01955132897</v>
      </c>
      <c r="DM40" s="119">
        <f t="shared" si="40"/>
        <v>211439.01955132897</v>
      </c>
      <c r="DN40" s="119">
        <f t="shared" si="40"/>
        <v>211439.01955132897</v>
      </c>
      <c r="DO40" s="119">
        <f t="shared" si="40"/>
        <v>211308.48170097335</v>
      </c>
      <c r="DP40" s="119">
        <f t="shared" si="25"/>
        <v>211308.48170097335</v>
      </c>
      <c r="DQ40" s="119">
        <f t="shared" si="25"/>
        <v>211308.48170097335</v>
      </c>
      <c r="DR40" s="119">
        <f t="shared" si="25"/>
        <v>211308.48170097335</v>
      </c>
      <c r="DS40" s="119">
        <f t="shared" si="25"/>
        <v>211308.48170097335</v>
      </c>
      <c r="DT40" s="93">
        <f t="shared" si="25"/>
        <v>211417.48753477549</v>
      </c>
      <c r="DW40" s="123" t="s">
        <v>217</v>
      </c>
      <c r="DX40" s="103">
        <f t="shared" si="13"/>
        <v>221322.20944534129</v>
      </c>
      <c r="DY40" s="119">
        <f t="shared" si="41"/>
        <v>221322.20944534129</v>
      </c>
      <c r="DZ40" s="119">
        <f t="shared" si="41"/>
        <v>194011.1123442789</v>
      </c>
      <c r="EA40" s="119">
        <f t="shared" si="41"/>
        <v>194011.1123442789</v>
      </c>
      <c r="EB40" s="119">
        <f t="shared" si="41"/>
        <v>194011.1123442789</v>
      </c>
      <c r="EC40" s="119">
        <f t="shared" si="41"/>
        <v>194011.1123442789</v>
      </c>
      <c r="ED40" s="119">
        <f t="shared" si="41"/>
        <v>194011.1123442789</v>
      </c>
      <c r="EE40" s="119">
        <f t="shared" si="41"/>
        <v>119576.07118183201</v>
      </c>
      <c r="EF40" s="119">
        <f t="shared" si="41"/>
        <v>119576.07118183201</v>
      </c>
      <c r="EG40" s="119">
        <f t="shared" si="41"/>
        <v>119576.07118183201</v>
      </c>
      <c r="EH40" s="119">
        <f t="shared" si="41"/>
        <v>119576.07118183201</v>
      </c>
      <c r="EI40" s="119">
        <f t="shared" si="41"/>
        <v>119576.07118183201</v>
      </c>
      <c r="EJ40" s="119">
        <f t="shared" si="41"/>
        <v>106795.48141565056</v>
      </c>
      <c r="EK40" s="119">
        <f t="shared" si="41"/>
        <v>106795.48141565056</v>
      </c>
      <c r="EL40" s="119">
        <f t="shared" si="41"/>
        <v>106795.48141565056</v>
      </c>
      <c r="EM40" s="119">
        <f t="shared" si="41"/>
        <v>106795.48141565056</v>
      </c>
      <c r="EN40" s="119">
        <f t="shared" si="41"/>
        <v>106795.48141565056</v>
      </c>
      <c r="EO40" s="119">
        <f t="shared" si="42"/>
        <v>103434.14068545777</v>
      </c>
      <c r="EP40" s="119">
        <f t="shared" si="42"/>
        <v>103434.14068545777</v>
      </c>
      <c r="EQ40" s="119">
        <f t="shared" si="42"/>
        <v>103434.14068545777</v>
      </c>
      <c r="ER40" s="119">
        <f t="shared" si="42"/>
        <v>103434.14068545777</v>
      </c>
      <c r="ES40" s="119">
        <f t="shared" si="42"/>
        <v>103434.14068545777</v>
      </c>
      <c r="ET40" s="119">
        <f t="shared" si="42"/>
        <v>99593.772240928243</v>
      </c>
      <c r="EU40" s="119">
        <f t="shared" si="26"/>
        <v>99593.772240928243</v>
      </c>
      <c r="EV40" s="119">
        <f t="shared" si="26"/>
        <v>99593.772240928243</v>
      </c>
      <c r="EW40" s="119">
        <f t="shared" si="26"/>
        <v>99593.772240928243</v>
      </c>
      <c r="EX40" s="119">
        <f t="shared" si="26"/>
        <v>99593.772240928243</v>
      </c>
      <c r="EY40" s="119">
        <f t="shared" si="26"/>
        <v>93571.709546409285</v>
      </c>
      <c r="FB40" s="123" t="s">
        <v>217</v>
      </c>
      <c r="FC40" s="103">
        <f t="shared" si="15"/>
        <v>240056.42937542216</v>
      </c>
      <c r="FD40" s="119">
        <f t="shared" si="43"/>
        <v>240056.42937542216</v>
      </c>
      <c r="FE40" s="119">
        <f t="shared" si="43"/>
        <v>209641.42820697377</v>
      </c>
      <c r="FF40" s="119">
        <f t="shared" si="43"/>
        <v>209641.42820697377</v>
      </c>
      <c r="FG40" s="119">
        <f t="shared" si="43"/>
        <v>209641.42820697377</v>
      </c>
      <c r="FH40" s="119">
        <f t="shared" si="43"/>
        <v>209641.42820697377</v>
      </c>
      <c r="FI40" s="119">
        <f t="shared" si="43"/>
        <v>209641.42820697377</v>
      </c>
      <c r="FJ40" s="119">
        <f t="shared" si="43"/>
        <v>131555.02273218465</v>
      </c>
      <c r="FK40" s="119">
        <f t="shared" si="43"/>
        <v>131555.02273218465</v>
      </c>
      <c r="FL40" s="119">
        <f t="shared" si="43"/>
        <v>131555.02273218465</v>
      </c>
      <c r="FM40" s="119">
        <f t="shared" si="43"/>
        <v>131555.02273218465</v>
      </c>
      <c r="FN40" s="119">
        <f t="shared" si="43"/>
        <v>131555.02273218465</v>
      </c>
      <c r="FO40" s="119">
        <f t="shared" si="43"/>
        <v>116814.32976754369</v>
      </c>
      <c r="FP40" s="119">
        <f t="shared" si="43"/>
        <v>116814.32976754369</v>
      </c>
      <c r="FQ40" s="119">
        <f t="shared" si="43"/>
        <v>116814.32976754369</v>
      </c>
      <c r="FR40" s="119">
        <f t="shared" si="43"/>
        <v>116814.32976754369</v>
      </c>
      <c r="FS40" s="119">
        <f t="shared" si="43"/>
        <v>116814.32976754369</v>
      </c>
      <c r="FT40" s="119">
        <f t="shared" si="44"/>
        <v>113840.77337752825</v>
      </c>
      <c r="FU40" s="119">
        <f t="shared" si="44"/>
        <v>113840.77337752825</v>
      </c>
      <c r="FV40" s="119">
        <f t="shared" si="44"/>
        <v>113840.77337752825</v>
      </c>
      <c r="FW40" s="119">
        <f t="shared" si="44"/>
        <v>113840.77337752825</v>
      </c>
      <c r="FX40" s="119">
        <f t="shared" si="44"/>
        <v>113840.77337752825</v>
      </c>
      <c r="FY40" s="119">
        <f t="shared" si="44"/>
        <v>109992.25820316306</v>
      </c>
      <c r="FZ40" s="119">
        <f t="shared" si="27"/>
        <v>109992.25820316306</v>
      </c>
      <c r="GA40" s="119">
        <f t="shared" si="27"/>
        <v>109992.25820316306</v>
      </c>
      <c r="GB40" s="119">
        <f t="shared" si="27"/>
        <v>109992.25820316306</v>
      </c>
      <c r="GC40" s="119">
        <f t="shared" si="27"/>
        <v>109992.25820316306</v>
      </c>
      <c r="GD40" s="119">
        <f t="shared" si="27"/>
        <v>103761.63922485124</v>
      </c>
      <c r="GH40" s="123" t="s">
        <v>217</v>
      </c>
      <c r="GI40" s="103">
        <f t="shared" si="17"/>
        <v>208570.94790656818</v>
      </c>
      <c r="GJ40" s="119">
        <f t="shared" si="45"/>
        <v>208570.94790656818</v>
      </c>
      <c r="GK40" s="119">
        <f t="shared" si="45"/>
        <v>183373.11252487567</v>
      </c>
      <c r="GL40" s="119">
        <f t="shared" si="45"/>
        <v>183373.11252487567</v>
      </c>
      <c r="GM40" s="119">
        <f t="shared" si="45"/>
        <v>183373.11252487567</v>
      </c>
      <c r="GN40" s="119">
        <f t="shared" si="45"/>
        <v>183373.11252487567</v>
      </c>
      <c r="GO40" s="119">
        <f t="shared" si="45"/>
        <v>183373.11252487567</v>
      </c>
      <c r="GP40" s="119">
        <f t="shared" si="45"/>
        <v>111422.82396230473</v>
      </c>
      <c r="GQ40" s="119">
        <f t="shared" si="45"/>
        <v>111422.82396230473</v>
      </c>
      <c r="GR40" s="119">
        <f t="shared" si="45"/>
        <v>111422.82396230473</v>
      </c>
      <c r="GS40" s="119">
        <f t="shared" si="45"/>
        <v>111422.82396230473</v>
      </c>
      <c r="GT40" s="119">
        <f t="shared" si="45"/>
        <v>111422.82396230473</v>
      </c>
      <c r="GU40" s="119">
        <f t="shared" si="45"/>
        <v>99976.668543204185</v>
      </c>
      <c r="GV40" s="119">
        <f t="shared" si="45"/>
        <v>99976.668543204185</v>
      </c>
      <c r="GW40" s="119">
        <f t="shared" si="45"/>
        <v>99976.668543204185</v>
      </c>
      <c r="GX40" s="119">
        <f t="shared" si="45"/>
        <v>99976.668543204185</v>
      </c>
      <c r="GY40" s="119">
        <f t="shared" si="45"/>
        <v>99976.668543204185</v>
      </c>
      <c r="GZ40" s="119">
        <f t="shared" si="46"/>
        <v>96351.373766336037</v>
      </c>
      <c r="HA40" s="119">
        <f t="shared" si="46"/>
        <v>96351.373766336037</v>
      </c>
      <c r="HB40" s="119">
        <f t="shared" si="46"/>
        <v>96351.373766336037</v>
      </c>
      <c r="HC40" s="119">
        <f t="shared" si="46"/>
        <v>96351.373766336037</v>
      </c>
      <c r="HD40" s="119">
        <f t="shared" si="46"/>
        <v>96351.373766336037</v>
      </c>
      <c r="HE40" s="119">
        <f t="shared" si="46"/>
        <v>92515.893359707901</v>
      </c>
      <c r="HF40" s="119">
        <f t="shared" si="28"/>
        <v>92515.893359707901</v>
      </c>
      <c r="HG40" s="119">
        <f t="shared" si="28"/>
        <v>92515.893359707901</v>
      </c>
      <c r="HH40" s="119">
        <f t="shared" si="28"/>
        <v>92515.893359707901</v>
      </c>
      <c r="HI40" s="119">
        <f t="shared" si="28"/>
        <v>92515.893359707901</v>
      </c>
      <c r="HJ40" s="119">
        <f t="shared" si="28"/>
        <v>86637.213110296536</v>
      </c>
    </row>
    <row r="41" spans="17:218" x14ac:dyDescent="0.25">
      <c r="Q41" s="37">
        <v>2023</v>
      </c>
      <c r="R41" s="171">
        <v>0</v>
      </c>
      <c r="S41" s="172">
        <v>0.42</v>
      </c>
      <c r="T41" s="172">
        <v>0.17</v>
      </c>
      <c r="U41" s="172">
        <v>0.19</v>
      </c>
      <c r="V41" s="172">
        <v>0</v>
      </c>
      <c r="W41" s="172">
        <v>0.21999999999999997</v>
      </c>
      <c r="X41" s="134">
        <f t="shared" si="48"/>
        <v>1</v>
      </c>
      <c r="Z41" s="83" t="s">
        <v>218</v>
      </c>
      <c r="AA41" s="114">
        <f>'US Grid mix, emissions&amp;prices'!O93</f>
        <v>100158</v>
      </c>
      <c r="AB41" s="116">
        <f t="shared" si="30"/>
        <v>100158</v>
      </c>
      <c r="AC41" s="116">
        <f t="shared" si="30"/>
        <v>88088.343893773941</v>
      </c>
      <c r="AD41" s="116">
        <f t="shared" si="30"/>
        <v>88088.343893773941</v>
      </c>
      <c r="AE41" s="116">
        <f t="shared" si="30"/>
        <v>88088.343893773941</v>
      </c>
      <c r="AF41" s="116">
        <f t="shared" si="30"/>
        <v>88088.343893773941</v>
      </c>
      <c r="AG41" s="116">
        <f t="shared" si="30"/>
        <v>88088.343893773941</v>
      </c>
      <c r="AH41" s="116">
        <f t="shared" si="30"/>
        <v>52926.796649224343</v>
      </c>
      <c r="AI41" s="116">
        <f t="shared" ref="AB41:AQ55" si="49">$AA41*AI$57</f>
        <v>52926.796649224343</v>
      </c>
      <c r="AJ41" s="116">
        <f t="shared" si="49"/>
        <v>52926.796649224343</v>
      </c>
      <c r="AK41" s="116">
        <f t="shared" si="49"/>
        <v>52926.796649224343</v>
      </c>
      <c r="AL41" s="116">
        <f t="shared" si="49"/>
        <v>52926.796649224343</v>
      </c>
      <c r="AM41" s="116">
        <f t="shared" si="49"/>
        <v>55386.731036289792</v>
      </c>
      <c r="AN41" s="116">
        <f t="shared" si="49"/>
        <v>55386.731036289792</v>
      </c>
      <c r="AO41" s="116">
        <f t="shared" si="49"/>
        <v>55386.731036289792</v>
      </c>
      <c r="AP41" s="116">
        <f t="shared" si="49"/>
        <v>55386.731036289792</v>
      </c>
      <c r="AQ41" s="116">
        <f t="shared" si="49"/>
        <v>55386.731036289792</v>
      </c>
      <c r="AR41" s="116">
        <f t="shared" si="47"/>
        <v>57898.380391643092</v>
      </c>
      <c r="AS41" s="116">
        <f t="shared" si="47"/>
        <v>57898.380391643092</v>
      </c>
      <c r="AT41" s="116">
        <f t="shared" si="47"/>
        <v>57898.380391643092</v>
      </c>
      <c r="AU41" s="116">
        <f t="shared" si="47"/>
        <v>57898.380391643092</v>
      </c>
      <c r="AV41" s="116">
        <f t="shared" si="47"/>
        <v>57898.380391643092</v>
      </c>
      <c r="AW41" s="116">
        <f t="shared" si="47"/>
        <v>59168.870508087944</v>
      </c>
      <c r="AX41" s="116">
        <f t="shared" si="47"/>
        <v>59168.870508087944</v>
      </c>
      <c r="AY41" s="116">
        <f t="shared" si="47"/>
        <v>59168.870508087944</v>
      </c>
      <c r="AZ41" s="116">
        <f t="shared" si="47"/>
        <v>59168.870508087944</v>
      </c>
      <c r="BA41" s="116">
        <f t="shared" si="47"/>
        <v>59168.870508087944</v>
      </c>
      <c r="BB41" s="116">
        <f t="shared" si="47"/>
        <v>59249.144488713871</v>
      </c>
      <c r="BM41" s="123" t="s">
        <v>218</v>
      </c>
      <c r="BN41" s="103">
        <f t="shared" si="23"/>
        <v>100158</v>
      </c>
      <c r="BO41" s="119">
        <f t="shared" si="37"/>
        <v>100158</v>
      </c>
      <c r="BP41" s="119">
        <f t="shared" si="37"/>
        <v>87973.335979223339</v>
      </c>
      <c r="BQ41" s="119">
        <f t="shared" si="37"/>
        <v>87973.335979223339</v>
      </c>
      <c r="BR41" s="119">
        <f t="shared" si="37"/>
        <v>87973.335979223339</v>
      </c>
      <c r="BS41" s="119">
        <f t="shared" si="37"/>
        <v>87973.335979223339</v>
      </c>
      <c r="BT41" s="119">
        <f t="shared" si="37"/>
        <v>87973.335979223339</v>
      </c>
      <c r="BU41" s="119">
        <f t="shared" si="37"/>
        <v>99723.43989334238</v>
      </c>
      <c r="BV41" s="119">
        <f t="shared" si="37"/>
        <v>99723.43989334238</v>
      </c>
      <c r="BW41" s="119">
        <f t="shared" si="37"/>
        <v>99723.43989334238</v>
      </c>
      <c r="BX41" s="119">
        <f t="shared" si="37"/>
        <v>99723.43989334238</v>
      </c>
      <c r="BY41" s="119">
        <f t="shared" si="37"/>
        <v>99723.43989334238</v>
      </c>
      <c r="BZ41" s="119">
        <f t="shared" si="37"/>
        <v>102121.62506454173</v>
      </c>
      <c r="CA41" s="119">
        <f t="shared" si="37"/>
        <v>102121.62506454173</v>
      </c>
      <c r="CB41" s="119">
        <f t="shared" si="37"/>
        <v>102121.62506454173</v>
      </c>
      <c r="CC41" s="119">
        <f t="shared" si="37"/>
        <v>102121.62506454173</v>
      </c>
      <c r="CD41" s="119">
        <f t="shared" si="37"/>
        <v>102121.62506454173</v>
      </c>
      <c r="CE41" s="119">
        <f t="shared" si="38"/>
        <v>104645.62426306825</v>
      </c>
      <c r="CF41" s="119">
        <f t="shared" si="38"/>
        <v>104645.62426306825</v>
      </c>
      <c r="CG41" s="119">
        <f t="shared" si="38"/>
        <v>104645.62426306825</v>
      </c>
      <c r="CH41" s="119">
        <f t="shared" si="38"/>
        <v>104645.62426306825</v>
      </c>
      <c r="CI41" s="119">
        <f t="shared" si="38"/>
        <v>104645.62426306825</v>
      </c>
      <c r="CJ41" s="119">
        <f t="shared" si="38"/>
        <v>105244.59165696935</v>
      </c>
      <c r="CK41" s="119">
        <f t="shared" si="24"/>
        <v>105244.59165696935</v>
      </c>
      <c r="CL41" s="119">
        <f t="shared" si="24"/>
        <v>105244.59165696935</v>
      </c>
      <c r="CM41" s="119">
        <f t="shared" si="24"/>
        <v>105244.59165696935</v>
      </c>
      <c r="CN41" s="119">
        <f t="shared" si="24"/>
        <v>105244.59165696935</v>
      </c>
      <c r="CO41" s="119">
        <f t="shared" si="24"/>
        <v>105960.1106958177</v>
      </c>
      <c r="CR41" s="123" t="s">
        <v>218</v>
      </c>
      <c r="CS41" s="103">
        <f t="shared" si="11"/>
        <v>121264.65384822867</v>
      </c>
      <c r="CT41" s="119">
        <f t="shared" si="39"/>
        <v>121264.65384822867</v>
      </c>
      <c r="CU41" s="119">
        <f t="shared" si="39"/>
        <v>121264.65384822867</v>
      </c>
      <c r="CV41" s="119">
        <f t="shared" si="39"/>
        <v>121264.65384822867</v>
      </c>
      <c r="CW41" s="119">
        <f t="shared" si="39"/>
        <v>121264.65384822867</v>
      </c>
      <c r="CX41" s="119">
        <f t="shared" si="39"/>
        <v>121264.65384822867</v>
      </c>
      <c r="CY41" s="119">
        <f t="shared" si="39"/>
        <v>121264.65384822867</v>
      </c>
      <c r="CZ41" s="119">
        <f t="shared" si="39"/>
        <v>121291.66913017008</v>
      </c>
      <c r="DA41" s="119">
        <f t="shared" si="39"/>
        <v>121291.66913017008</v>
      </c>
      <c r="DB41" s="119">
        <f t="shared" si="39"/>
        <v>121291.66913017008</v>
      </c>
      <c r="DC41" s="119">
        <f t="shared" si="39"/>
        <v>121291.66913017008</v>
      </c>
      <c r="DD41" s="119">
        <f t="shared" si="39"/>
        <v>121291.66913017008</v>
      </c>
      <c r="DE41" s="119">
        <f t="shared" si="39"/>
        <v>121276.23182620357</v>
      </c>
      <c r="DF41" s="119">
        <f t="shared" si="39"/>
        <v>121276.23182620357</v>
      </c>
      <c r="DG41" s="119">
        <f t="shared" si="39"/>
        <v>121276.23182620357</v>
      </c>
      <c r="DH41" s="119">
        <f t="shared" si="39"/>
        <v>121276.23182620357</v>
      </c>
      <c r="DI41" s="119">
        <f t="shared" si="39"/>
        <v>121276.23182620357</v>
      </c>
      <c r="DJ41" s="119">
        <f t="shared" si="40"/>
        <v>121272.37250021193</v>
      </c>
      <c r="DK41" s="119">
        <f t="shared" si="40"/>
        <v>121272.37250021193</v>
      </c>
      <c r="DL41" s="119">
        <f t="shared" si="40"/>
        <v>121272.37250021193</v>
      </c>
      <c r="DM41" s="119">
        <f t="shared" si="40"/>
        <v>121272.37250021193</v>
      </c>
      <c r="DN41" s="119">
        <f t="shared" si="40"/>
        <v>121272.37250021193</v>
      </c>
      <c r="DO41" s="119">
        <f t="shared" si="40"/>
        <v>121197.5015759743</v>
      </c>
      <c r="DP41" s="119">
        <f t="shared" si="25"/>
        <v>121197.5015759743</v>
      </c>
      <c r="DQ41" s="119">
        <f t="shared" si="25"/>
        <v>121197.5015759743</v>
      </c>
      <c r="DR41" s="119">
        <f t="shared" si="25"/>
        <v>121197.5015759743</v>
      </c>
      <c r="DS41" s="119">
        <f t="shared" si="25"/>
        <v>121197.5015759743</v>
      </c>
      <c r="DT41" s="93">
        <f t="shared" si="25"/>
        <v>121260.02265703872</v>
      </c>
      <c r="DW41" s="123" t="s">
        <v>218</v>
      </c>
      <c r="DX41" s="103">
        <f t="shared" si="13"/>
        <v>126940.94724512097</v>
      </c>
      <c r="DY41" s="119">
        <f t="shared" si="41"/>
        <v>126940.94724512097</v>
      </c>
      <c r="DZ41" s="119">
        <f t="shared" si="41"/>
        <v>111276.47080147451</v>
      </c>
      <c r="EA41" s="119">
        <f t="shared" si="41"/>
        <v>111276.47080147451</v>
      </c>
      <c r="EB41" s="119">
        <f t="shared" si="41"/>
        <v>111276.47080147451</v>
      </c>
      <c r="EC41" s="119">
        <f t="shared" si="41"/>
        <v>111276.47080147451</v>
      </c>
      <c r="ED41" s="119">
        <f t="shared" si="41"/>
        <v>111276.47080147451</v>
      </c>
      <c r="EE41" s="119">
        <f t="shared" si="41"/>
        <v>68583.716843024129</v>
      </c>
      <c r="EF41" s="119">
        <f t="shared" si="41"/>
        <v>68583.716843024129</v>
      </c>
      <c r="EG41" s="119">
        <f t="shared" si="41"/>
        <v>68583.716843024129</v>
      </c>
      <c r="EH41" s="119">
        <f t="shared" si="41"/>
        <v>68583.716843024129</v>
      </c>
      <c r="EI41" s="119">
        <f t="shared" si="41"/>
        <v>68583.716843024129</v>
      </c>
      <c r="EJ41" s="119">
        <f t="shared" si="41"/>
        <v>61253.317533636058</v>
      </c>
      <c r="EK41" s="119">
        <f t="shared" si="41"/>
        <v>61253.317533636058</v>
      </c>
      <c r="EL41" s="119">
        <f t="shared" si="41"/>
        <v>61253.317533636058</v>
      </c>
      <c r="EM41" s="119">
        <f t="shared" si="41"/>
        <v>61253.317533636058</v>
      </c>
      <c r="EN41" s="119">
        <f t="shared" si="41"/>
        <v>61253.317533636058</v>
      </c>
      <c r="EO41" s="119">
        <f t="shared" si="42"/>
        <v>59325.39634861979</v>
      </c>
      <c r="EP41" s="119">
        <f t="shared" si="42"/>
        <v>59325.39634861979</v>
      </c>
      <c r="EQ41" s="119">
        <f t="shared" si="42"/>
        <v>59325.39634861979</v>
      </c>
      <c r="ER41" s="119">
        <f t="shared" si="42"/>
        <v>59325.39634861979</v>
      </c>
      <c r="ES41" s="119">
        <f t="shared" si="42"/>
        <v>59325.39634861979</v>
      </c>
      <c r="ET41" s="119">
        <f t="shared" si="42"/>
        <v>57122.72536796864</v>
      </c>
      <c r="EU41" s="119">
        <f t="shared" si="26"/>
        <v>57122.72536796864</v>
      </c>
      <c r="EV41" s="119">
        <f t="shared" si="26"/>
        <v>57122.72536796864</v>
      </c>
      <c r="EW41" s="119">
        <f t="shared" si="26"/>
        <v>57122.72536796864</v>
      </c>
      <c r="EX41" s="119">
        <f t="shared" si="26"/>
        <v>57122.72536796864</v>
      </c>
      <c r="EY41" s="119">
        <f t="shared" si="26"/>
        <v>53668.727937129996</v>
      </c>
      <c r="FB41" s="123" t="s">
        <v>218</v>
      </c>
      <c r="FC41" s="103">
        <f t="shared" si="15"/>
        <v>137686.0940145427</v>
      </c>
      <c r="FD41" s="119">
        <f t="shared" si="43"/>
        <v>137686.0940145427</v>
      </c>
      <c r="FE41" s="119">
        <f t="shared" si="43"/>
        <v>120241.35103795586</v>
      </c>
      <c r="FF41" s="119">
        <f t="shared" si="43"/>
        <v>120241.35103795586</v>
      </c>
      <c r="FG41" s="119">
        <f t="shared" si="43"/>
        <v>120241.35103795586</v>
      </c>
      <c r="FH41" s="119">
        <f t="shared" si="43"/>
        <v>120241.35103795586</v>
      </c>
      <c r="FI41" s="119">
        <f t="shared" si="43"/>
        <v>120241.35103795586</v>
      </c>
      <c r="FJ41" s="119">
        <f t="shared" si="43"/>
        <v>75454.330780125238</v>
      </c>
      <c r="FK41" s="119">
        <f t="shared" si="43"/>
        <v>75454.330780125238</v>
      </c>
      <c r="FL41" s="119">
        <f t="shared" si="43"/>
        <v>75454.330780125238</v>
      </c>
      <c r="FM41" s="119">
        <f t="shared" si="43"/>
        <v>75454.330780125238</v>
      </c>
      <c r="FN41" s="119">
        <f t="shared" si="43"/>
        <v>75454.330780125238</v>
      </c>
      <c r="FO41" s="119">
        <f t="shared" si="43"/>
        <v>66999.700164108683</v>
      </c>
      <c r="FP41" s="119">
        <f t="shared" si="43"/>
        <v>66999.700164108683</v>
      </c>
      <c r="FQ41" s="119">
        <f t="shared" si="43"/>
        <v>66999.700164108683</v>
      </c>
      <c r="FR41" s="119">
        <f t="shared" si="43"/>
        <v>66999.700164108683</v>
      </c>
      <c r="FS41" s="119">
        <f t="shared" si="43"/>
        <v>66999.700164108683</v>
      </c>
      <c r="FT41" s="119">
        <f t="shared" si="44"/>
        <v>65294.195480320661</v>
      </c>
      <c r="FU41" s="119">
        <f t="shared" si="44"/>
        <v>65294.195480320661</v>
      </c>
      <c r="FV41" s="119">
        <f t="shared" si="44"/>
        <v>65294.195480320661</v>
      </c>
      <c r="FW41" s="119">
        <f t="shared" si="44"/>
        <v>65294.195480320661</v>
      </c>
      <c r="FX41" s="119">
        <f t="shared" si="44"/>
        <v>65294.195480320661</v>
      </c>
      <c r="FY41" s="119">
        <f t="shared" si="44"/>
        <v>63086.851884097479</v>
      </c>
      <c r="FZ41" s="119">
        <f t="shared" si="27"/>
        <v>63086.851884097479</v>
      </c>
      <c r="GA41" s="119">
        <f t="shared" si="27"/>
        <v>63086.851884097479</v>
      </c>
      <c r="GB41" s="119">
        <f t="shared" si="27"/>
        <v>63086.851884097479</v>
      </c>
      <c r="GC41" s="119">
        <f t="shared" si="27"/>
        <v>63086.851884097479</v>
      </c>
      <c r="GD41" s="119">
        <f t="shared" si="27"/>
        <v>59513.235494615074</v>
      </c>
      <c r="GH41" s="123" t="s">
        <v>218</v>
      </c>
      <c r="GI41" s="103">
        <f t="shared" si="17"/>
        <v>119627.36935179218</v>
      </c>
      <c r="GJ41" s="119">
        <f t="shared" si="45"/>
        <v>119627.36935179218</v>
      </c>
      <c r="GK41" s="119">
        <f t="shared" si="45"/>
        <v>105174.96938752821</v>
      </c>
      <c r="GL41" s="119">
        <f t="shared" si="45"/>
        <v>105174.96938752821</v>
      </c>
      <c r="GM41" s="119">
        <f t="shared" si="45"/>
        <v>105174.96938752821</v>
      </c>
      <c r="GN41" s="119">
        <f t="shared" si="45"/>
        <v>105174.96938752821</v>
      </c>
      <c r="GO41" s="119">
        <f t="shared" si="45"/>
        <v>105174.96938752821</v>
      </c>
      <c r="GP41" s="119">
        <f t="shared" si="45"/>
        <v>63907.36317854454</v>
      </c>
      <c r="GQ41" s="119">
        <f t="shared" si="45"/>
        <v>63907.36317854454</v>
      </c>
      <c r="GR41" s="119">
        <f t="shared" si="45"/>
        <v>63907.36317854454</v>
      </c>
      <c r="GS41" s="119">
        <f t="shared" si="45"/>
        <v>63907.36317854454</v>
      </c>
      <c r="GT41" s="119">
        <f t="shared" si="45"/>
        <v>63907.36317854454</v>
      </c>
      <c r="GU41" s="119">
        <f t="shared" si="45"/>
        <v>57342.338299853669</v>
      </c>
      <c r="GV41" s="119">
        <f t="shared" si="45"/>
        <v>57342.338299853669</v>
      </c>
      <c r="GW41" s="119">
        <f t="shared" si="45"/>
        <v>57342.338299853669</v>
      </c>
      <c r="GX41" s="119">
        <f t="shared" si="45"/>
        <v>57342.338299853669</v>
      </c>
      <c r="GY41" s="119">
        <f t="shared" si="45"/>
        <v>57342.338299853669</v>
      </c>
      <c r="GZ41" s="119">
        <f t="shared" si="46"/>
        <v>55263.024370303887</v>
      </c>
      <c r="HA41" s="119">
        <f t="shared" si="46"/>
        <v>55263.024370303887</v>
      </c>
      <c r="HB41" s="119">
        <f t="shared" si="46"/>
        <v>55263.024370303887</v>
      </c>
      <c r="HC41" s="119">
        <f t="shared" si="46"/>
        <v>55263.024370303887</v>
      </c>
      <c r="HD41" s="119">
        <f t="shared" si="46"/>
        <v>55263.024370303887</v>
      </c>
      <c r="HE41" s="119">
        <f t="shared" si="46"/>
        <v>53063.156958995947</v>
      </c>
      <c r="HF41" s="119">
        <f t="shared" si="28"/>
        <v>53063.156958995947</v>
      </c>
      <c r="HG41" s="119">
        <f t="shared" si="28"/>
        <v>53063.156958995947</v>
      </c>
      <c r="HH41" s="119">
        <f t="shared" si="28"/>
        <v>53063.156958995947</v>
      </c>
      <c r="HI41" s="119">
        <f t="shared" si="28"/>
        <v>53063.156958995947</v>
      </c>
      <c r="HJ41" s="119">
        <f t="shared" si="28"/>
        <v>49691.397562224884</v>
      </c>
    </row>
    <row r="42" spans="17:218" x14ac:dyDescent="0.25">
      <c r="Q42" s="37">
        <v>2025</v>
      </c>
      <c r="R42" s="135">
        <v>2E-3</v>
      </c>
      <c r="S42" s="128">
        <v>0.32100000000000001</v>
      </c>
      <c r="T42" s="128">
        <v>0.187</v>
      </c>
      <c r="U42" s="128">
        <v>0.191</v>
      </c>
      <c r="V42" s="128">
        <v>3.0000000000000001E-3</v>
      </c>
      <c r="W42" s="128">
        <v>0.29599999999999999</v>
      </c>
      <c r="X42" s="134">
        <f t="shared" si="48"/>
        <v>1</v>
      </c>
      <c r="Z42" s="83" t="s">
        <v>219</v>
      </c>
      <c r="AA42" s="114">
        <f>'US Grid mix, emissions&amp;prices'!O94</f>
        <v>62611</v>
      </c>
      <c r="AB42" s="116">
        <f t="shared" si="49"/>
        <v>62611</v>
      </c>
      <c r="AC42" s="116">
        <f t="shared" si="49"/>
        <v>55065.98873313245</v>
      </c>
      <c r="AD42" s="116">
        <f t="shared" si="49"/>
        <v>55065.98873313245</v>
      </c>
      <c r="AE42" s="116">
        <f t="shared" si="49"/>
        <v>55065.98873313245</v>
      </c>
      <c r="AF42" s="116">
        <f t="shared" si="49"/>
        <v>55065.98873313245</v>
      </c>
      <c r="AG42" s="116">
        <f t="shared" si="49"/>
        <v>55065.98873313245</v>
      </c>
      <c r="AH42" s="116">
        <f t="shared" si="49"/>
        <v>33085.721210533207</v>
      </c>
      <c r="AI42" s="116">
        <f t="shared" si="49"/>
        <v>33085.721210533207</v>
      </c>
      <c r="AJ42" s="116">
        <f t="shared" si="49"/>
        <v>33085.721210533207</v>
      </c>
      <c r="AK42" s="116">
        <f t="shared" si="49"/>
        <v>33085.721210533207</v>
      </c>
      <c r="AL42" s="116">
        <f t="shared" si="49"/>
        <v>33085.721210533207</v>
      </c>
      <c r="AM42" s="116">
        <f t="shared" si="49"/>
        <v>34623.481069042311</v>
      </c>
      <c r="AN42" s="116">
        <f t="shared" si="49"/>
        <v>34623.481069042311</v>
      </c>
      <c r="AO42" s="116">
        <f t="shared" si="49"/>
        <v>34623.481069042311</v>
      </c>
      <c r="AP42" s="116">
        <f t="shared" si="49"/>
        <v>34623.481069042311</v>
      </c>
      <c r="AQ42" s="116">
        <f t="shared" si="49"/>
        <v>34623.481069042311</v>
      </c>
      <c r="AR42" s="116">
        <f t="shared" si="47"/>
        <v>36193.569107821299</v>
      </c>
      <c r="AS42" s="116">
        <f t="shared" si="47"/>
        <v>36193.569107821299</v>
      </c>
      <c r="AT42" s="116">
        <f t="shared" si="47"/>
        <v>36193.569107821299</v>
      </c>
      <c r="AU42" s="116">
        <f t="shared" si="47"/>
        <v>36193.569107821299</v>
      </c>
      <c r="AV42" s="116">
        <f t="shared" si="47"/>
        <v>36193.569107821299</v>
      </c>
      <c r="AW42" s="116">
        <f t="shared" si="47"/>
        <v>36987.780820123153</v>
      </c>
      <c r="AX42" s="116">
        <f t="shared" si="47"/>
        <v>36987.780820123153</v>
      </c>
      <c r="AY42" s="116">
        <f t="shared" si="47"/>
        <v>36987.780820123153</v>
      </c>
      <c r="AZ42" s="116">
        <f t="shared" si="47"/>
        <v>36987.780820123153</v>
      </c>
      <c r="BA42" s="116">
        <f t="shared" si="47"/>
        <v>36987.780820123153</v>
      </c>
      <c r="BB42" s="116">
        <f t="shared" si="47"/>
        <v>37037.961876064459</v>
      </c>
      <c r="BM42" s="123" t="s">
        <v>219</v>
      </c>
      <c r="BN42" s="103">
        <f t="shared" si="23"/>
        <v>62611</v>
      </c>
      <c r="BO42" s="119">
        <f t="shared" si="37"/>
        <v>62611</v>
      </c>
      <c r="BP42" s="119">
        <f t="shared" si="37"/>
        <v>54994.094720293462</v>
      </c>
      <c r="BQ42" s="119">
        <f t="shared" si="37"/>
        <v>54994.094720293462</v>
      </c>
      <c r="BR42" s="119">
        <f t="shared" si="37"/>
        <v>54994.094720293462</v>
      </c>
      <c r="BS42" s="119">
        <f t="shared" si="37"/>
        <v>54994.094720293462</v>
      </c>
      <c r="BT42" s="119">
        <f t="shared" si="37"/>
        <v>54994.094720293462</v>
      </c>
      <c r="BU42" s="119">
        <f t="shared" si="37"/>
        <v>62339.346783702342</v>
      </c>
      <c r="BV42" s="119">
        <f t="shared" si="37"/>
        <v>62339.346783702342</v>
      </c>
      <c r="BW42" s="119">
        <f t="shared" si="37"/>
        <v>62339.346783702342</v>
      </c>
      <c r="BX42" s="119">
        <f t="shared" si="37"/>
        <v>62339.346783702342</v>
      </c>
      <c r="BY42" s="119">
        <f t="shared" si="37"/>
        <v>62339.346783702342</v>
      </c>
      <c r="BZ42" s="119">
        <f t="shared" si="37"/>
        <v>63838.505829948903</v>
      </c>
      <c r="CA42" s="119">
        <f t="shared" si="37"/>
        <v>63838.505829948903</v>
      </c>
      <c r="CB42" s="119">
        <f t="shared" si="37"/>
        <v>63838.505829948903</v>
      </c>
      <c r="CC42" s="119">
        <f t="shared" si="37"/>
        <v>63838.505829948903</v>
      </c>
      <c r="CD42" s="119">
        <f t="shared" si="37"/>
        <v>63838.505829948903</v>
      </c>
      <c r="CE42" s="119">
        <f t="shared" si="38"/>
        <v>65416.314031180402</v>
      </c>
      <c r="CF42" s="119">
        <f t="shared" si="38"/>
        <v>65416.314031180402</v>
      </c>
      <c r="CG42" s="119">
        <f t="shared" si="38"/>
        <v>65416.314031180402</v>
      </c>
      <c r="CH42" s="119">
        <f t="shared" si="38"/>
        <v>65416.314031180402</v>
      </c>
      <c r="CI42" s="119">
        <f t="shared" si="38"/>
        <v>65416.314031180402</v>
      </c>
      <c r="CJ42" s="119">
        <f t="shared" si="38"/>
        <v>65790.741910127079</v>
      </c>
      <c r="CK42" s="119">
        <f t="shared" si="24"/>
        <v>65790.741910127079</v>
      </c>
      <c r="CL42" s="119">
        <f t="shared" si="24"/>
        <v>65790.741910127079</v>
      </c>
      <c r="CM42" s="119">
        <f t="shared" si="24"/>
        <v>65790.741910127079</v>
      </c>
      <c r="CN42" s="119">
        <f t="shared" si="24"/>
        <v>65790.741910127079</v>
      </c>
      <c r="CO42" s="119">
        <f t="shared" si="24"/>
        <v>66238.028822219305</v>
      </c>
      <c r="CR42" s="123" t="s">
        <v>219</v>
      </c>
      <c r="CS42" s="103">
        <f t="shared" si="11"/>
        <v>75805.240141490896</v>
      </c>
      <c r="CT42" s="119">
        <f t="shared" si="39"/>
        <v>75805.240141490896</v>
      </c>
      <c r="CU42" s="119">
        <f t="shared" si="39"/>
        <v>75805.240141490896</v>
      </c>
      <c r="CV42" s="119">
        <f t="shared" si="39"/>
        <v>75805.240141490896</v>
      </c>
      <c r="CW42" s="119">
        <f t="shared" si="39"/>
        <v>75805.240141490896</v>
      </c>
      <c r="CX42" s="119">
        <f t="shared" si="39"/>
        <v>75805.240141490896</v>
      </c>
      <c r="CY42" s="119">
        <f t="shared" si="39"/>
        <v>75805.240141490896</v>
      </c>
      <c r="CZ42" s="119">
        <f t="shared" si="39"/>
        <v>75822.12799685575</v>
      </c>
      <c r="DA42" s="119">
        <f t="shared" si="39"/>
        <v>75822.12799685575</v>
      </c>
      <c r="DB42" s="119">
        <f t="shared" si="39"/>
        <v>75822.12799685575</v>
      </c>
      <c r="DC42" s="119">
        <f t="shared" si="39"/>
        <v>75822.12799685575</v>
      </c>
      <c r="DD42" s="119">
        <f t="shared" si="39"/>
        <v>75822.12799685575</v>
      </c>
      <c r="DE42" s="119">
        <f t="shared" si="39"/>
        <v>75812.477793790124</v>
      </c>
      <c r="DF42" s="119">
        <f t="shared" si="39"/>
        <v>75812.477793790124</v>
      </c>
      <c r="DG42" s="119">
        <f t="shared" si="39"/>
        <v>75812.477793790124</v>
      </c>
      <c r="DH42" s="119">
        <f t="shared" si="39"/>
        <v>75812.477793790124</v>
      </c>
      <c r="DI42" s="119">
        <f t="shared" si="39"/>
        <v>75812.477793790124</v>
      </c>
      <c r="DJ42" s="119">
        <f t="shared" si="40"/>
        <v>75810.06524302371</v>
      </c>
      <c r="DK42" s="119">
        <f t="shared" si="40"/>
        <v>75810.06524302371</v>
      </c>
      <c r="DL42" s="119">
        <f t="shared" si="40"/>
        <v>75810.06524302371</v>
      </c>
      <c r="DM42" s="119">
        <f t="shared" si="40"/>
        <v>75810.06524302371</v>
      </c>
      <c r="DN42" s="119">
        <f t="shared" si="40"/>
        <v>75810.06524302371</v>
      </c>
      <c r="DO42" s="119">
        <f t="shared" si="40"/>
        <v>75763.261758155379</v>
      </c>
      <c r="DP42" s="119">
        <f t="shared" si="25"/>
        <v>75763.261758155379</v>
      </c>
      <c r="DQ42" s="119">
        <f t="shared" si="25"/>
        <v>75763.261758155379</v>
      </c>
      <c r="DR42" s="119">
        <f t="shared" si="25"/>
        <v>75763.261758155379</v>
      </c>
      <c r="DS42" s="119">
        <f t="shared" si="25"/>
        <v>75763.261758155379</v>
      </c>
      <c r="DT42" s="93">
        <f t="shared" si="25"/>
        <v>75802.345080571205</v>
      </c>
      <c r="DW42" s="123" t="s">
        <v>219</v>
      </c>
      <c r="DX42" s="103">
        <f t="shared" si="13"/>
        <v>79353.617763576229</v>
      </c>
      <c r="DY42" s="119">
        <f t="shared" si="41"/>
        <v>79353.617763576229</v>
      </c>
      <c r="DZ42" s="119">
        <f t="shared" si="41"/>
        <v>69561.404115009485</v>
      </c>
      <c r="EA42" s="119">
        <f t="shared" si="41"/>
        <v>69561.404115009485</v>
      </c>
      <c r="EB42" s="119">
        <f t="shared" si="41"/>
        <v>69561.404115009485</v>
      </c>
      <c r="EC42" s="119">
        <f t="shared" si="41"/>
        <v>69561.404115009485</v>
      </c>
      <c r="ED42" s="119">
        <f t="shared" si="41"/>
        <v>69561.404115009485</v>
      </c>
      <c r="EE42" s="119">
        <f t="shared" si="41"/>
        <v>42873.211278765382</v>
      </c>
      <c r="EF42" s="119">
        <f t="shared" si="41"/>
        <v>42873.211278765382</v>
      </c>
      <c r="EG42" s="119">
        <f t="shared" si="41"/>
        <v>42873.211278765382</v>
      </c>
      <c r="EH42" s="119">
        <f t="shared" si="41"/>
        <v>42873.211278765382</v>
      </c>
      <c r="EI42" s="119">
        <f t="shared" si="41"/>
        <v>42873.211278765382</v>
      </c>
      <c r="EJ42" s="119">
        <f t="shared" si="41"/>
        <v>38290.815153043062</v>
      </c>
      <c r="EK42" s="119">
        <f t="shared" si="41"/>
        <v>38290.815153043062</v>
      </c>
      <c r="EL42" s="119">
        <f t="shared" si="41"/>
        <v>38290.815153043062</v>
      </c>
      <c r="EM42" s="119">
        <f t="shared" si="41"/>
        <v>38290.815153043062</v>
      </c>
      <c r="EN42" s="119">
        <f t="shared" si="41"/>
        <v>38290.815153043062</v>
      </c>
      <c r="EO42" s="119">
        <f t="shared" si="42"/>
        <v>37085.628614623223</v>
      </c>
      <c r="EP42" s="119">
        <f t="shared" si="42"/>
        <v>37085.628614623223</v>
      </c>
      <c r="EQ42" s="119">
        <f t="shared" si="42"/>
        <v>37085.628614623223</v>
      </c>
      <c r="ER42" s="119">
        <f t="shared" si="42"/>
        <v>37085.628614623223</v>
      </c>
      <c r="ES42" s="119">
        <f t="shared" si="42"/>
        <v>37085.628614623223</v>
      </c>
      <c r="ET42" s="119">
        <f t="shared" si="42"/>
        <v>35708.689850175564</v>
      </c>
      <c r="EU42" s="119">
        <f t="shared" si="26"/>
        <v>35708.689850175564</v>
      </c>
      <c r="EV42" s="119">
        <f t="shared" si="26"/>
        <v>35708.689850175564</v>
      </c>
      <c r="EW42" s="119">
        <f t="shared" si="26"/>
        <v>35708.689850175564</v>
      </c>
      <c r="EX42" s="119">
        <f t="shared" si="26"/>
        <v>35708.689850175564</v>
      </c>
      <c r="EY42" s="119">
        <f t="shared" si="26"/>
        <v>33549.519008682735</v>
      </c>
      <c r="FB42" s="123" t="s">
        <v>219</v>
      </c>
      <c r="FC42" s="103">
        <f t="shared" si="15"/>
        <v>86070.648698501682</v>
      </c>
      <c r="FD42" s="119">
        <f t="shared" si="43"/>
        <v>86070.648698501682</v>
      </c>
      <c r="FE42" s="119">
        <f t="shared" si="43"/>
        <v>75165.550728223941</v>
      </c>
      <c r="FF42" s="119">
        <f t="shared" si="43"/>
        <v>75165.550728223941</v>
      </c>
      <c r="FG42" s="119">
        <f t="shared" si="43"/>
        <v>75165.550728223941</v>
      </c>
      <c r="FH42" s="119">
        <f t="shared" si="43"/>
        <v>75165.550728223941</v>
      </c>
      <c r="FI42" s="119">
        <f t="shared" si="43"/>
        <v>75165.550728223941</v>
      </c>
      <c r="FJ42" s="119">
        <f t="shared" si="43"/>
        <v>47168.185311951318</v>
      </c>
      <c r="FK42" s="119">
        <f t="shared" si="43"/>
        <v>47168.185311951318</v>
      </c>
      <c r="FL42" s="119">
        <f t="shared" si="43"/>
        <v>47168.185311951318</v>
      </c>
      <c r="FM42" s="119">
        <f t="shared" si="43"/>
        <v>47168.185311951318</v>
      </c>
      <c r="FN42" s="119">
        <f t="shared" si="43"/>
        <v>47168.185311951318</v>
      </c>
      <c r="FO42" s="119">
        <f t="shared" si="43"/>
        <v>41883.007118502843</v>
      </c>
      <c r="FP42" s="119">
        <f t="shared" si="43"/>
        <v>41883.007118502843</v>
      </c>
      <c r="FQ42" s="119">
        <f t="shared" si="43"/>
        <v>41883.007118502843</v>
      </c>
      <c r="FR42" s="119">
        <f t="shared" si="43"/>
        <v>41883.007118502843</v>
      </c>
      <c r="FS42" s="119">
        <f t="shared" si="43"/>
        <v>41883.007118502843</v>
      </c>
      <c r="FT42" s="119">
        <f t="shared" si="44"/>
        <v>40816.858096391261</v>
      </c>
      <c r="FU42" s="119">
        <f t="shared" si="44"/>
        <v>40816.858096391261</v>
      </c>
      <c r="FV42" s="119">
        <f t="shared" si="44"/>
        <v>40816.858096391261</v>
      </c>
      <c r="FW42" s="119">
        <f t="shared" si="44"/>
        <v>40816.858096391261</v>
      </c>
      <c r="FX42" s="119">
        <f t="shared" si="44"/>
        <v>40816.858096391261</v>
      </c>
      <c r="FY42" s="119">
        <f t="shared" si="44"/>
        <v>39436.998375718627</v>
      </c>
      <c r="FZ42" s="119">
        <f t="shared" si="27"/>
        <v>39436.998375718627</v>
      </c>
      <c r="GA42" s="119">
        <f t="shared" si="27"/>
        <v>39436.998375718627</v>
      </c>
      <c r="GB42" s="119">
        <f t="shared" si="27"/>
        <v>39436.998375718627</v>
      </c>
      <c r="GC42" s="119">
        <f t="shared" si="27"/>
        <v>39436.998375718627</v>
      </c>
      <c r="GD42" s="119">
        <f t="shared" si="27"/>
        <v>37203.051054866744</v>
      </c>
      <c r="GH42" s="123" t="s">
        <v>219</v>
      </c>
      <c r="GI42" s="103">
        <f t="shared" si="17"/>
        <v>74781.737080263774</v>
      </c>
      <c r="GJ42" s="119">
        <f t="shared" si="45"/>
        <v>74781.737080263774</v>
      </c>
      <c r="GK42" s="119">
        <f t="shared" si="45"/>
        <v>65747.21947645249</v>
      </c>
      <c r="GL42" s="119">
        <f t="shared" si="45"/>
        <v>65747.21947645249</v>
      </c>
      <c r="GM42" s="119">
        <f t="shared" si="45"/>
        <v>65747.21947645249</v>
      </c>
      <c r="GN42" s="119">
        <f t="shared" si="45"/>
        <v>65747.21947645249</v>
      </c>
      <c r="GO42" s="119">
        <f t="shared" si="45"/>
        <v>65747.21947645249</v>
      </c>
      <c r="GP42" s="119">
        <f t="shared" si="45"/>
        <v>39949.918288822177</v>
      </c>
      <c r="GQ42" s="119">
        <f t="shared" si="45"/>
        <v>39949.918288822177</v>
      </c>
      <c r="GR42" s="119">
        <f t="shared" si="45"/>
        <v>39949.918288822177</v>
      </c>
      <c r="GS42" s="119">
        <f t="shared" si="45"/>
        <v>39949.918288822177</v>
      </c>
      <c r="GT42" s="119">
        <f t="shared" si="45"/>
        <v>39949.918288822177</v>
      </c>
      <c r="GU42" s="119">
        <f t="shared" si="45"/>
        <v>35845.974792748835</v>
      </c>
      <c r="GV42" s="119">
        <f t="shared" si="45"/>
        <v>35845.974792748835</v>
      </c>
      <c r="GW42" s="119">
        <f t="shared" si="45"/>
        <v>35845.974792748835</v>
      </c>
      <c r="GX42" s="119">
        <f t="shared" si="45"/>
        <v>35845.974792748835</v>
      </c>
      <c r="GY42" s="119">
        <f t="shared" si="45"/>
        <v>35845.974792748835</v>
      </c>
      <c r="GZ42" s="119">
        <f t="shared" si="46"/>
        <v>34546.149272640192</v>
      </c>
      <c r="HA42" s="119">
        <f t="shared" si="46"/>
        <v>34546.149272640192</v>
      </c>
      <c r="HB42" s="119">
        <f t="shared" si="46"/>
        <v>34546.149272640192</v>
      </c>
      <c r="HC42" s="119">
        <f t="shared" si="46"/>
        <v>34546.149272640192</v>
      </c>
      <c r="HD42" s="119">
        <f t="shared" si="46"/>
        <v>34546.149272640192</v>
      </c>
      <c r="HE42" s="119">
        <f t="shared" si="46"/>
        <v>33170.963081927497</v>
      </c>
      <c r="HF42" s="119">
        <f t="shared" si="28"/>
        <v>33170.963081927497</v>
      </c>
      <c r="HG42" s="119">
        <f t="shared" si="28"/>
        <v>33170.963081927497</v>
      </c>
      <c r="HH42" s="119">
        <f t="shared" si="28"/>
        <v>33170.963081927497</v>
      </c>
      <c r="HI42" s="119">
        <f t="shared" si="28"/>
        <v>33170.963081927497</v>
      </c>
      <c r="HJ42" s="119">
        <f t="shared" si="28"/>
        <v>31063.201069994029</v>
      </c>
    </row>
    <row r="43" spans="17:218" x14ac:dyDescent="0.25">
      <c r="Q43" s="37">
        <v>2030</v>
      </c>
      <c r="R43" s="135">
        <v>2E-3</v>
      </c>
      <c r="S43" s="128">
        <f>1-SUM(R43,T43:W43)</f>
        <v>0.81699999999999995</v>
      </c>
      <c r="T43" s="128">
        <v>0</v>
      </c>
      <c r="U43" s="128">
        <v>0.17899999999999999</v>
      </c>
      <c r="V43" s="128">
        <v>2E-3</v>
      </c>
      <c r="W43" s="128">
        <v>0</v>
      </c>
      <c r="X43" s="134">
        <f t="shared" si="48"/>
        <v>1</v>
      </c>
      <c r="Z43" s="83" t="s">
        <v>220</v>
      </c>
      <c r="AA43" s="114">
        <f>'US Grid mix, emissions&amp;prices'!O95</f>
        <v>109543</v>
      </c>
      <c r="AB43" s="116">
        <f t="shared" si="49"/>
        <v>109543</v>
      </c>
      <c r="AC43" s="116">
        <f t="shared" si="49"/>
        <v>96342.393569716631</v>
      </c>
      <c r="AD43" s="116">
        <f t="shared" si="49"/>
        <v>96342.393569716631</v>
      </c>
      <c r="AE43" s="116">
        <f t="shared" si="49"/>
        <v>96342.393569716631</v>
      </c>
      <c r="AF43" s="116">
        <f t="shared" si="49"/>
        <v>96342.393569716631</v>
      </c>
      <c r="AG43" s="116">
        <f t="shared" si="49"/>
        <v>96342.393569716631</v>
      </c>
      <c r="AH43" s="116">
        <f t="shared" si="49"/>
        <v>57886.140751073122</v>
      </c>
      <c r="AI43" s="116">
        <f t="shared" si="49"/>
        <v>57886.140751073122</v>
      </c>
      <c r="AJ43" s="116">
        <f t="shared" si="49"/>
        <v>57886.140751073122</v>
      </c>
      <c r="AK43" s="116">
        <f t="shared" si="49"/>
        <v>57886.140751073122</v>
      </c>
      <c r="AL43" s="116">
        <f t="shared" si="49"/>
        <v>57886.140751073122</v>
      </c>
      <c r="AM43" s="116">
        <f t="shared" si="49"/>
        <v>60576.575789335773</v>
      </c>
      <c r="AN43" s="116">
        <f t="shared" si="49"/>
        <v>60576.575789335773</v>
      </c>
      <c r="AO43" s="116">
        <f t="shared" si="49"/>
        <v>60576.575789335773</v>
      </c>
      <c r="AP43" s="116">
        <f t="shared" si="49"/>
        <v>60576.575789335773</v>
      </c>
      <c r="AQ43" s="116">
        <f t="shared" si="49"/>
        <v>60576.575789335773</v>
      </c>
      <c r="AR43" s="116">
        <f t="shared" si="47"/>
        <v>63323.571589306492</v>
      </c>
      <c r="AS43" s="116">
        <f t="shared" si="47"/>
        <v>63323.571589306492</v>
      </c>
      <c r="AT43" s="116">
        <f t="shared" si="47"/>
        <v>63323.571589306492</v>
      </c>
      <c r="AU43" s="116">
        <f t="shared" si="47"/>
        <v>63323.571589306492</v>
      </c>
      <c r="AV43" s="116">
        <f t="shared" si="47"/>
        <v>63323.571589306492</v>
      </c>
      <c r="AW43" s="116">
        <f t="shared" si="47"/>
        <v>64713.109108283694</v>
      </c>
      <c r="AX43" s="116">
        <f t="shared" si="47"/>
        <v>64713.109108283694</v>
      </c>
      <c r="AY43" s="116">
        <f t="shared" si="47"/>
        <v>64713.109108283694</v>
      </c>
      <c r="AZ43" s="116">
        <f t="shared" si="47"/>
        <v>64713.109108283694</v>
      </c>
      <c r="BA43" s="116">
        <f t="shared" si="47"/>
        <v>64713.109108283694</v>
      </c>
      <c r="BB43" s="116">
        <f t="shared" si="47"/>
        <v>64800.904917502179</v>
      </c>
      <c r="BM43" s="123" t="s">
        <v>220</v>
      </c>
      <c r="BN43" s="103">
        <f t="shared" si="23"/>
        <v>109543</v>
      </c>
      <c r="BO43" s="119">
        <f t="shared" si="37"/>
        <v>109543</v>
      </c>
      <c r="BP43" s="119">
        <f t="shared" si="37"/>
        <v>96216.609189201685</v>
      </c>
      <c r="BQ43" s="119">
        <f t="shared" si="37"/>
        <v>96216.609189201685</v>
      </c>
      <c r="BR43" s="119">
        <f t="shared" si="37"/>
        <v>96216.609189201685</v>
      </c>
      <c r="BS43" s="119">
        <f t="shared" si="37"/>
        <v>96216.609189201685</v>
      </c>
      <c r="BT43" s="119">
        <f t="shared" si="37"/>
        <v>96216.609189201685</v>
      </c>
      <c r="BU43" s="119">
        <f t="shared" si="37"/>
        <v>109067.72076355762</v>
      </c>
      <c r="BV43" s="119">
        <f t="shared" si="37"/>
        <v>109067.72076355762</v>
      </c>
      <c r="BW43" s="119">
        <f t="shared" si="37"/>
        <v>109067.72076355762</v>
      </c>
      <c r="BX43" s="119">
        <f t="shared" si="37"/>
        <v>109067.72076355762</v>
      </c>
      <c r="BY43" s="119">
        <f t="shared" si="37"/>
        <v>109067.72076355762</v>
      </c>
      <c r="BZ43" s="119">
        <f t="shared" si="37"/>
        <v>111690.62056395989</v>
      </c>
      <c r="CA43" s="119">
        <f t="shared" si="37"/>
        <v>111690.62056395989</v>
      </c>
      <c r="CB43" s="119">
        <f t="shared" si="37"/>
        <v>111690.62056395989</v>
      </c>
      <c r="CC43" s="119">
        <f t="shared" si="37"/>
        <v>111690.62056395989</v>
      </c>
      <c r="CD43" s="119">
        <f t="shared" si="37"/>
        <v>111690.62056395989</v>
      </c>
      <c r="CE43" s="119">
        <f t="shared" si="38"/>
        <v>114451.12341150269</v>
      </c>
      <c r="CF43" s="119">
        <f t="shared" si="38"/>
        <v>114451.12341150269</v>
      </c>
      <c r="CG43" s="119">
        <f t="shared" si="38"/>
        <v>114451.12341150269</v>
      </c>
      <c r="CH43" s="119">
        <f t="shared" si="38"/>
        <v>114451.12341150269</v>
      </c>
      <c r="CI43" s="119">
        <f t="shared" si="38"/>
        <v>114451.12341150269</v>
      </c>
      <c r="CJ43" s="119">
        <f t="shared" si="38"/>
        <v>115106.21521874832</v>
      </c>
      <c r="CK43" s="119">
        <f t="shared" si="24"/>
        <v>115106.21521874832</v>
      </c>
      <c r="CL43" s="119">
        <f t="shared" si="24"/>
        <v>115106.21521874832</v>
      </c>
      <c r="CM43" s="119">
        <f t="shared" si="24"/>
        <v>115106.21521874832</v>
      </c>
      <c r="CN43" s="119">
        <f t="shared" si="24"/>
        <v>115106.21521874832</v>
      </c>
      <c r="CO43" s="119">
        <f t="shared" si="24"/>
        <v>115888.77978745539</v>
      </c>
      <c r="CR43" s="123" t="s">
        <v>220</v>
      </c>
      <c r="CS43" s="103">
        <f t="shared" si="11"/>
        <v>132627.38849114912</v>
      </c>
      <c r="CT43" s="119">
        <f t="shared" si="39"/>
        <v>132627.38849114912</v>
      </c>
      <c r="CU43" s="119">
        <f t="shared" si="39"/>
        <v>132627.38849114912</v>
      </c>
      <c r="CV43" s="119">
        <f t="shared" si="39"/>
        <v>132627.38849114912</v>
      </c>
      <c r="CW43" s="119">
        <f t="shared" si="39"/>
        <v>132627.38849114912</v>
      </c>
      <c r="CX43" s="119">
        <f t="shared" si="39"/>
        <v>132627.38849114912</v>
      </c>
      <c r="CY43" s="119">
        <f t="shared" si="39"/>
        <v>132627.38849114912</v>
      </c>
      <c r="CZ43" s="119">
        <f t="shared" si="39"/>
        <v>132656.93515771301</v>
      </c>
      <c r="DA43" s="119">
        <f t="shared" si="39"/>
        <v>132656.93515771301</v>
      </c>
      <c r="DB43" s="119">
        <f t="shared" si="39"/>
        <v>132656.93515771301</v>
      </c>
      <c r="DC43" s="119">
        <f t="shared" si="39"/>
        <v>132656.93515771301</v>
      </c>
      <c r="DD43" s="119">
        <f t="shared" si="39"/>
        <v>132656.93515771301</v>
      </c>
      <c r="DE43" s="119">
        <f t="shared" si="39"/>
        <v>132640.05134824794</v>
      </c>
      <c r="DF43" s="119">
        <f t="shared" si="39"/>
        <v>132640.05134824794</v>
      </c>
      <c r="DG43" s="119">
        <f t="shared" si="39"/>
        <v>132640.05134824794</v>
      </c>
      <c r="DH43" s="119">
        <f t="shared" si="39"/>
        <v>132640.05134824794</v>
      </c>
      <c r="DI43" s="119">
        <f t="shared" si="39"/>
        <v>132640.05134824794</v>
      </c>
      <c r="DJ43" s="119">
        <f t="shared" si="40"/>
        <v>132635.83039588167</v>
      </c>
      <c r="DK43" s="119">
        <f t="shared" si="40"/>
        <v>132635.83039588167</v>
      </c>
      <c r="DL43" s="119">
        <f t="shared" si="40"/>
        <v>132635.83039588167</v>
      </c>
      <c r="DM43" s="119">
        <f t="shared" si="40"/>
        <v>132635.83039588167</v>
      </c>
      <c r="DN43" s="119">
        <f t="shared" si="40"/>
        <v>132635.83039588167</v>
      </c>
      <c r="DO43" s="119">
        <f t="shared" si="40"/>
        <v>132553.94391997598</v>
      </c>
      <c r="DP43" s="119">
        <f t="shared" si="25"/>
        <v>132553.94391997598</v>
      </c>
      <c r="DQ43" s="119">
        <f t="shared" si="25"/>
        <v>132553.94391997598</v>
      </c>
      <c r="DR43" s="119">
        <f t="shared" si="25"/>
        <v>132553.94391997598</v>
      </c>
      <c r="DS43" s="119">
        <f t="shared" si="25"/>
        <v>132553.94391997598</v>
      </c>
      <c r="DT43" s="93">
        <f t="shared" si="25"/>
        <v>132622.32334830958</v>
      </c>
      <c r="DW43" s="123" t="s">
        <v>220</v>
      </c>
      <c r="DX43" s="103">
        <f t="shared" si="13"/>
        <v>138835.56165331064</v>
      </c>
      <c r="DY43" s="119">
        <f t="shared" si="41"/>
        <v>138835.56165331064</v>
      </c>
      <c r="DZ43" s="119">
        <f t="shared" si="41"/>
        <v>121703.2932067925</v>
      </c>
      <c r="EA43" s="119">
        <f t="shared" si="41"/>
        <v>121703.2932067925</v>
      </c>
      <c r="EB43" s="119">
        <f t="shared" si="41"/>
        <v>121703.2932067925</v>
      </c>
      <c r="EC43" s="119">
        <f t="shared" si="41"/>
        <v>121703.2932067925</v>
      </c>
      <c r="ED43" s="119">
        <f t="shared" si="41"/>
        <v>121703.2932067925</v>
      </c>
      <c r="EE43" s="119">
        <f t="shared" si="41"/>
        <v>75010.144912392338</v>
      </c>
      <c r="EF43" s="119">
        <f t="shared" si="41"/>
        <v>75010.144912392338</v>
      </c>
      <c r="EG43" s="119">
        <f t="shared" si="41"/>
        <v>75010.144912392338</v>
      </c>
      <c r="EH43" s="119">
        <f t="shared" si="41"/>
        <v>75010.144912392338</v>
      </c>
      <c r="EI43" s="119">
        <f t="shared" si="41"/>
        <v>75010.144912392338</v>
      </c>
      <c r="EJ43" s="119">
        <f t="shared" si="41"/>
        <v>66992.872886709942</v>
      </c>
      <c r="EK43" s="119">
        <f t="shared" si="41"/>
        <v>66992.872886709942</v>
      </c>
      <c r="EL43" s="119">
        <f t="shared" si="41"/>
        <v>66992.872886709942</v>
      </c>
      <c r="EM43" s="119">
        <f t="shared" si="41"/>
        <v>66992.872886709942</v>
      </c>
      <c r="EN43" s="119">
        <f t="shared" si="41"/>
        <v>66992.872886709942</v>
      </c>
      <c r="EO43" s="119">
        <f t="shared" si="42"/>
        <v>64884.301725442376</v>
      </c>
      <c r="EP43" s="119">
        <f t="shared" si="42"/>
        <v>64884.301725442376</v>
      </c>
      <c r="EQ43" s="119">
        <f t="shared" si="42"/>
        <v>64884.301725442376</v>
      </c>
      <c r="ER43" s="119">
        <f t="shared" si="42"/>
        <v>64884.301725442376</v>
      </c>
      <c r="ES43" s="119">
        <f t="shared" si="42"/>
        <v>64884.301725442376</v>
      </c>
      <c r="ET43" s="119">
        <f t="shared" si="42"/>
        <v>62475.236176674742</v>
      </c>
      <c r="EU43" s="119">
        <f t="shared" si="26"/>
        <v>62475.236176674742</v>
      </c>
      <c r="EV43" s="119">
        <f t="shared" si="26"/>
        <v>62475.236176674742</v>
      </c>
      <c r="EW43" s="119">
        <f t="shared" si="26"/>
        <v>62475.236176674742</v>
      </c>
      <c r="EX43" s="119">
        <f t="shared" si="26"/>
        <v>62475.236176674742</v>
      </c>
      <c r="EY43" s="119">
        <f t="shared" si="26"/>
        <v>58697.59244810231</v>
      </c>
      <c r="FB43" s="123" t="s">
        <v>220</v>
      </c>
      <c r="FC43" s="103">
        <f t="shared" si="15"/>
        <v>150587.54963792261</v>
      </c>
      <c r="FD43" s="119">
        <f t="shared" si="43"/>
        <v>150587.54963792261</v>
      </c>
      <c r="FE43" s="119">
        <f t="shared" si="43"/>
        <v>131508.20021117435</v>
      </c>
      <c r="FF43" s="119">
        <f t="shared" si="43"/>
        <v>131508.20021117435</v>
      </c>
      <c r="FG43" s="119">
        <f t="shared" si="43"/>
        <v>131508.20021117435</v>
      </c>
      <c r="FH43" s="119">
        <f t="shared" si="43"/>
        <v>131508.20021117435</v>
      </c>
      <c r="FI43" s="119">
        <f t="shared" si="43"/>
        <v>131508.20021117435</v>
      </c>
      <c r="FJ43" s="119">
        <f t="shared" si="43"/>
        <v>82524.548779401142</v>
      </c>
      <c r="FK43" s="119">
        <f t="shared" si="43"/>
        <v>82524.548779401142</v>
      </c>
      <c r="FL43" s="119">
        <f t="shared" si="43"/>
        <v>82524.548779401142</v>
      </c>
      <c r="FM43" s="119">
        <f t="shared" si="43"/>
        <v>82524.548779401142</v>
      </c>
      <c r="FN43" s="119">
        <f t="shared" si="43"/>
        <v>82524.548779401142</v>
      </c>
      <c r="FO43" s="119">
        <f t="shared" si="43"/>
        <v>73277.702780376581</v>
      </c>
      <c r="FP43" s="119">
        <f t="shared" si="43"/>
        <v>73277.702780376581</v>
      </c>
      <c r="FQ43" s="119">
        <f t="shared" si="43"/>
        <v>73277.702780376581</v>
      </c>
      <c r="FR43" s="119">
        <f t="shared" si="43"/>
        <v>73277.702780376581</v>
      </c>
      <c r="FS43" s="119">
        <f t="shared" si="43"/>
        <v>73277.702780376581</v>
      </c>
      <c r="FT43" s="119">
        <f t="shared" si="44"/>
        <v>71412.388980418604</v>
      </c>
      <c r="FU43" s="119">
        <f t="shared" si="44"/>
        <v>71412.388980418604</v>
      </c>
      <c r="FV43" s="119">
        <f t="shared" si="44"/>
        <v>71412.388980418604</v>
      </c>
      <c r="FW43" s="119">
        <f t="shared" si="44"/>
        <v>71412.388980418604</v>
      </c>
      <c r="FX43" s="119">
        <f t="shared" si="44"/>
        <v>71412.388980418604</v>
      </c>
      <c r="FY43" s="119">
        <f t="shared" si="44"/>
        <v>68998.212982883953</v>
      </c>
      <c r="FZ43" s="119">
        <f t="shared" si="27"/>
        <v>68998.212982883953</v>
      </c>
      <c r="GA43" s="119">
        <f t="shared" si="27"/>
        <v>68998.212982883953</v>
      </c>
      <c r="GB43" s="119">
        <f t="shared" si="27"/>
        <v>68998.212982883953</v>
      </c>
      <c r="GC43" s="119">
        <f t="shared" si="27"/>
        <v>68998.212982883953</v>
      </c>
      <c r="GD43" s="119">
        <f t="shared" si="27"/>
        <v>65089.741765876111</v>
      </c>
      <c r="GH43" s="123" t="s">
        <v>220</v>
      </c>
      <c r="GI43" s="103">
        <f t="shared" si="17"/>
        <v>130836.68724318946</v>
      </c>
      <c r="GJ43" s="119">
        <f t="shared" si="45"/>
        <v>130836.68724318946</v>
      </c>
      <c r="GK43" s="119">
        <f t="shared" si="45"/>
        <v>115030.06920683323</v>
      </c>
      <c r="GL43" s="119">
        <f t="shared" si="45"/>
        <v>115030.06920683323</v>
      </c>
      <c r="GM43" s="119">
        <f t="shared" si="45"/>
        <v>115030.06920683323</v>
      </c>
      <c r="GN43" s="119">
        <f t="shared" si="45"/>
        <v>115030.06920683323</v>
      </c>
      <c r="GO43" s="119">
        <f t="shared" si="45"/>
        <v>115030.06920683323</v>
      </c>
      <c r="GP43" s="119">
        <f t="shared" si="45"/>
        <v>69895.607786370572</v>
      </c>
      <c r="GQ43" s="119">
        <f t="shared" si="45"/>
        <v>69895.607786370572</v>
      </c>
      <c r="GR43" s="119">
        <f t="shared" si="45"/>
        <v>69895.607786370572</v>
      </c>
      <c r="GS43" s="119">
        <f t="shared" si="45"/>
        <v>69895.607786370572</v>
      </c>
      <c r="GT43" s="119">
        <f t="shared" si="45"/>
        <v>69895.607786370572</v>
      </c>
      <c r="GU43" s="119">
        <f t="shared" si="45"/>
        <v>62715.427268724117</v>
      </c>
      <c r="GV43" s="119">
        <f t="shared" si="45"/>
        <v>62715.427268724117</v>
      </c>
      <c r="GW43" s="119">
        <f t="shared" si="45"/>
        <v>62715.427268724117</v>
      </c>
      <c r="GX43" s="119">
        <f t="shared" si="45"/>
        <v>62715.427268724117</v>
      </c>
      <c r="GY43" s="119">
        <f t="shared" si="45"/>
        <v>62715.427268724117</v>
      </c>
      <c r="GZ43" s="119">
        <f t="shared" si="46"/>
        <v>60441.277567405486</v>
      </c>
      <c r="HA43" s="119">
        <f t="shared" si="46"/>
        <v>60441.277567405486</v>
      </c>
      <c r="HB43" s="119">
        <f t="shared" si="46"/>
        <v>60441.277567405486</v>
      </c>
      <c r="HC43" s="119">
        <f t="shared" si="46"/>
        <v>60441.277567405486</v>
      </c>
      <c r="HD43" s="119">
        <f t="shared" si="46"/>
        <v>60441.277567405486</v>
      </c>
      <c r="HE43" s="119">
        <f t="shared" si="46"/>
        <v>58035.278287898043</v>
      </c>
      <c r="HF43" s="119">
        <f t="shared" si="28"/>
        <v>58035.278287898043</v>
      </c>
      <c r="HG43" s="119">
        <f t="shared" si="28"/>
        <v>58035.278287898043</v>
      </c>
      <c r="HH43" s="119">
        <f t="shared" si="28"/>
        <v>58035.278287898043</v>
      </c>
      <c r="HI43" s="119">
        <f t="shared" si="28"/>
        <v>58035.278287898043</v>
      </c>
      <c r="HJ43" s="119">
        <f t="shared" si="28"/>
        <v>54347.578457624957</v>
      </c>
    </row>
    <row r="44" spans="17:218" x14ac:dyDescent="0.25">
      <c r="Q44" s="37">
        <v>2035</v>
      </c>
      <c r="R44" s="135">
        <v>2E-3</v>
      </c>
      <c r="S44" s="128">
        <f>1-SUM(R44,T44:W44)</f>
        <v>0.83699999999999997</v>
      </c>
      <c r="T44" s="128">
        <v>0</v>
      </c>
      <c r="U44" s="128">
        <v>0.159</v>
      </c>
      <c r="V44" s="128">
        <v>2E-3</v>
      </c>
      <c r="W44" s="128">
        <v>0</v>
      </c>
      <c r="X44" s="134">
        <f t="shared" si="48"/>
        <v>1</v>
      </c>
      <c r="Z44" s="83" t="s">
        <v>221</v>
      </c>
      <c r="AA44" s="114">
        <f>'US Grid mix, emissions&amp;prices'!O96</f>
        <v>140822</v>
      </c>
      <c r="AB44" s="116">
        <f t="shared" si="49"/>
        <v>140822</v>
      </c>
      <c r="AC44" s="116">
        <f t="shared" si="49"/>
        <v>123852.08134955804</v>
      </c>
      <c r="AD44" s="116">
        <f t="shared" si="49"/>
        <v>123852.08134955804</v>
      </c>
      <c r="AE44" s="116">
        <f t="shared" si="49"/>
        <v>123852.08134955804</v>
      </c>
      <c r="AF44" s="116">
        <f t="shared" si="49"/>
        <v>123852.08134955804</v>
      </c>
      <c r="AG44" s="116">
        <f t="shared" si="49"/>
        <v>123852.08134955804</v>
      </c>
      <c r="AH44" s="116">
        <f t="shared" si="49"/>
        <v>74414.997880719166</v>
      </c>
      <c r="AI44" s="116">
        <f t="shared" si="49"/>
        <v>74414.997880719166</v>
      </c>
      <c r="AJ44" s="116">
        <f t="shared" si="49"/>
        <v>74414.997880719166</v>
      </c>
      <c r="AK44" s="116">
        <f t="shared" si="49"/>
        <v>74414.997880719166</v>
      </c>
      <c r="AL44" s="116">
        <f t="shared" si="49"/>
        <v>74414.997880719166</v>
      </c>
      <c r="AM44" s="116">
        <f t="shared" si="49"/>
        <v>77873.661993973539</v>
      </c>
      <c r="AN44" s="116">
        <f t="shared" si="49"/>
        <v>77873.661993973539</v>
      </c>
      <c r="AO44" s="116">
        <f t="shared" si="49"/>
        <v>77873.661993973539</v>
      </c>
      <c r="AP44" s="116">
        <f t="shared" si="49"/>
        <v>77873.661993973539</v>
      </c>
      <c r="AQ44" s="116">
        <f t="shared" si="49"/>
        <v>77873.661993973539</v>
      </c>
      <c r="AR44" s="116">
        <f t="shared" si="47"/>
        <v>81405.0372762232</v>
      </c>
      <c r="AS44" s="116">
        <f t="shared" si="47"/>
        <v>81405.0372762232</v>
      </c>
      <c r="AT44" s="116">
        <f t="shared" si="47"/>
        <v>81405.0372762232</v>
      </c>
      <c r="AU44" s="116">
        <f t="shared" si="47"/>
        <v>81405.0372762232</v>
      </c>
      <c r="AV44" s="116">
        <f t="shared" si="47"/>
        <v>81405.0372762232</v>
      </c>
      <c r="AW44" s="116">
        <f t="shared" si="47"/>
        <v>83191.344502585518</v>
      </c>
      <c r="AX44" s="116">
        <f t="shared" si="47"/>
        <v>83191.344502585518</v>
      </c>
      <c r="AY44" s="116">
        <f t="shared" si="47"/>
        <v>83191.344502585518</v>
      </c>
      <c r="AZ44" s="116">
        <f t="shared" si="47"/>
        <v>83191.344502585518</v>
      </c>
      <c r="BA44" s="116">
        <f t="shared" si="47"/>
        <v>83191.344502585518</v>
      </c>
      <c r="BB44" s="116">
        <f t="shared" si="47"/>
        <v>83304.209600727496</v>
      </c>
      <c r="BM44" s="123" t="s">
        <v>221</v>
      </c>
      <c r="BN44" s="103">
        <f t="shared" si="23"/>
        <v>140822</v>
      </c>
      <c r="BO44" s="119">
        <f t="shared" si="37"/>
        <v>140822</v>
      </c>
      <c r="BP44" s="119">
        <f t="shared" si="37"/>
        <v>123690.38039164309</v>
      </c>
      <c r="BQ44" s="119">
        <f t="shared" si="37"/>
        <v>123690.38039164309</v>
      </c>
      <c r="BR44" s="119">
        <f t="shared" si="37"/>
        <v>123690.38039164309</v>
      </c>
      <c r="BS44" s="119">
        <f t="shared" si="37"/>
        <v>123690.38039164309</v>
      </c>
      <c r="BT44" s="119">
        <f t="shared" si="37"/>
        <v>123690.38039164309</v>
      </c>
      <c r="BU44" s="119">
        <f t="shared" si="37"/>
        <v>140211.00913217376</v>
      </c>
      <c r="BV44" s="119">
        <f t="shared" si="37"/>
        <v>140211.00913217376</v>
      </c>
      <c r="BW44" s="119">
        <f t="shared" si="37"/>
        <v>140211.00913217376</v>
      </c>
      <c r="BX44" s="119">
        <f t="shared" si="37"/>
        <v>140211.00913217376</v>
      </c>
      <c r="BY44" s="119">
        <f t="shared" si="37"/>
        <v>140211.00913217376</v>
      </c>
      <c r="BZ44" s="119">
        <f t="shared" si="37"/>
        <v>143582.85393916507</v>
      </c>
      <c r="CA44" s="119">
        <f t="shared" si="37"/>
        <v>143582.85393916507</v>
      </c>
      <c r="CB44" s="119">
        <f t="shared" si="37"/>
        <v>143582.85393916507</v>
      </c>
      <c r="CC44" s="119">
        <f t="shared" si="37"/>
        <v>143582.85393916507</v>
      </c>
      <c r="CD44" s="119">
        <f t="shared" si="37"/>
        <v>143582.85393916507</v>
      </c>
      <c r="CE44" s="119">
        <f t="shared" si="38"/>
        <v>147131.59308266736</v>
      </c>
      <c r="CF44" s="119">
        <f t="shared" si="38"/>
        <v>147131.59308266736</v>
      </c>
      <c r="CG44" s="119">
        <f t="shared" si="38"/>
        <v>147131.59308266736</v>
      </c>
      <c r="CH44" s="119">
        <f t="shared" si="38"/>
        <v>147131.59308266736</v>
      </c>
      <c r="CI44" s="119">
        <f t="shared" si="38"/>
        <v>147131.59308266736</v>
      </c>
      <c r="CJ44" s="119">
        <f t="shared" si="38"/>
        <v>147973.74035341898</v>
      </c>
      <c r="CK44" s="119">
        <f t="shared" si="24"/>
        <v>147973.74035341898</v>
      </c>
      <c r="CL44" s="119">
        <f t="shared" si="24"/>
        <v>147973.74035341898</v>
      </c>
      <c r="CM44" s="119">
        <f t="shared" si="24"/>
        <v>147973.74035341898</v>
      </c>
      <c r="CN44" s="119">
        <f t="shared" si="24"/>
        <v>147973.74035341898</v>
      </c>
      <c r="CO44" s="119">
        <f t="shared" si="24"/>
        <v>148979.7590647421</v>
      </c>
      <c r="CR44" s="123" t="s">
        <v>221</v>
      </c>
      <c r="CS44" s="103">
        <f t="shared" si="11"/>
        <v>170497.92412203975</v>
      </c>
      <c r="CT44" s="119">
        <f t="shared" si="39"/>
        <v>170497.92412203975</v>
      </c>
      <c r="CU44" s="119">
        <f t="shared" si="39"/>
        <v>170497.92412203975</v>
      </c>
      <c r="CV44" s="119">
        <f t="shared" si="39"/>
        <v>170497.92412203975</v>
      </c>
      <c r="CW44" s="119">
        <f t="shared" si="39"/>
        <v>170497.92412203975</v>
      </c>
      <c r="CX44" s="119">
        <f t="shared" si="39"/>
        <v>170497.92412203975</v>
      </c>
      <c r="CY44" s="119">
        <f t="shared" si="39"/>
        <v>170497.92412203975</v>
      </c>
      <c r="CZ44" s="119">
        <f t="shared" si="39"/>
        <v>170535.90756852983</v>
      </c>
      <c r="DA44" s="119">
        <f t="shared" si="39"/>
        <v>170535.90756852983</v>
      </c>
      <c r="DB44" s="119">
        <f t="shared" si="39"/>
        <v>170535.90756852983</v>
      </c>
      <c r="DC44" s="119">
        <f t="shared" si="39"/>
        <v>170535.90756852983</v>
      </c>
      <c r="DD44" s="119">
        <f t="shared" si="39"/>
        <v>170535.90756852983</v>
      </c>
      <c r="DE44" s="119">
        <f t="shared" si="39"/>
        <v>170514.20274196408</v>
      </c>
      <c r="DF44" s="119">
        <f t="shared" si="39"/>
        <v>170514.20274196408</v>
      </c>
      <c r="DG44" s="119">
        <f t="shared" si="39"/>
        <v>170514.20274196408</v>
      </c>
      <c r="DH44" s="119">
        <f t="shared" si="39"/>
        <v>170514.20274196408</v>
      </c>
      <c r="DI44" s="119">
        <f t="shared" si="39"/>
        <v>170514.20274196408</v>
      </c>
      <c r="DJ44" s="119">
        <f t="shared" si="40"/>
        <v>170508.77653532263</v>
      </c>
      <c r="DK44" s="119">
        <f t="shared" si="40"/>
        <v>170508.77653532263</v>
      </c>
      <c r="DL44" s="119">
        <f t="shared" si="40"/>
        <v>170508.77653532263</v>
      </c>
      <c r="DM44" s="119">
        <f t="shared" si="40"/>
        <v>170508.77653532263</v>
      </c>
      <c r="DN44" s="119">
        <f t="shared" si="40"/>
        <v>170508.77653532263</v>
      </c>
      <c r="DO44" s="119">
        <f t="shared" si="40"/>
        <v>170403.5081264787</v>
      </c>
      <c r="DP44" s="119">
        <f t="shared" si="25"/>
        <v>170403.5081264787</v>
      </c>
      <c r="DQ44" s="119">
        <f t="shared" si="25"/>
        <v>170403.5081264787</v>
      </c>
      <c r="DR44" s="119">
        <f t="shared" si="25"/>
        <v>170403.5081264787</v>
      </c>
      <c r="DS44" s="119">
        <f t="shared" si="25"/>
        <v>170403.5081264787</v>
      </c>
      <c r="DT44" s="93">
        <f t="shared" si="25"/>
        <v>170491.41267407002</v>
      </c>
      <c r="DW44" s="123" t="s">
        <v>221</v>
      </c>
      <c r="DX44" s="103">
        <f t="shared" si="13"/>
        <v>178478.78425040861</v>
      </c>
      <c r="DY44" s="119">
        <f t="shared" si="41"/>
        <v>178478.78425040861</v>
      </c>
      <c r="DZ44" s="119">
        <f t="shared" si="41"/>
        <v>156454.55351749479</v>
      </c>
      <c r="EA44" s="119">
        <f t="shared" si="41"/>
        <v>156454.55351749479</v>
      </c>
      <c r="EB44" s="119">
        <f t="shared" si="41"/>
        <v>156454.55351749479</v>
      </c>
      <c r="EC44" s="119">
        <f t="shared" si="41"/>
        <v>156454.55351749479</v>
      </c>
      <c r="ED44" s="119">
        <f t="shared" si="41"/>
        <v>156454.55351749479</v>
      </c>
      <c r="EE44" s="119">
        <f t="shared" si="41"/>
        <v>96428.604537514169</v>
      </c>
      <c r="EF44" s="119">
        <f t="shared" si="41"/>
        <v>96428.604537514169</v>
      </c>
      <c r="EG44" s="119">
        <f t="shared" si="41"/>
        <v>96428.604537514169</v>
      </c>
      <c r="EH44" s="119">
        <f t="shared" si="41"/>
        <v>96428.604537514169</v>
      </c>
      <c r="EI44" s="119">
        <f t="shared" si="41"/>
        <v>96428.604537514169</v>
      </c>
      <c r="EJ44" s="119">
        <f t="shared" si="41"/>
        <v>86122.073940391158</v>
      </c>
      <c r="EK44" s="119">
        <f t="shared" si="41"/>
        <v>86122.073940391158</v>
      </c>
      <c r="EL44" s="119">
        <f t="shared" si="41"/>
        <v>86122.073940391158</v>
      </c>
      <c r="EM44" s="119">
        <f t="shared" si="41"/>
        <v>86122.073940391158</v>
      </c>
      <c r="EN44" s="119">
        <f t="shared" si="41"/>
        <v>86122.073940391158</v>
      </c>
      <c r="EO44" s="119">
        <f t="shared" si="42"/>
        <v>83411.419603080489</v>
      </c>
      <c r="EP44" s="119">
        <f t="shared" si="42"/>
        <v>83411.419603080489</v>
      </c>
      <c r="EQ44" s="119">
        <f t="shared" si="42"/>
        <v>83411.419603080489</v>
      </c>
      <c r="ER44" s="119">
        <f t="shared" si="42"/>
        <v>83411.419603080489</v>
      </c>
      <c r="ES44" s="119">
        <f t="shared" si="42"/>
        <v>83411.419603080489</v>
      </c>
      <c r="ET44" s="119">
        <f t="shared" si="42"/>
        <v>80314.467459095424</v>
      </c>
      <c r="EU44" s="119">
        <f t="shared" si="26"/>
        <v>80314.467459095424</v>
      </c>
      <c r="EV44" s="119">
        <f t="shared" si="26"/>
        <v>80314.467459095424</v>
      </c>
      <c r="EW44" s="119">
        <f t="shared" si="26"/>
        <v>80314.467459095424</v>
      </c>
      <c r="EX44" s="119">
        <f t="shared" si="26"/>
        <v>80314.467459095424</v>
      </c>
      <c r="EY44" s="119">
        <f t="shared" si="26"/>
        <v>75458.152175188399</v>
      </c>
      <c r="FB44" s="123" t="s">
        <v>221</v>
      </c>
      <c r="FC44" s="103">
        <f t="shared" si="15"/>
        <v>193586.44473048512</v>
      </c>
      <c r="FD44" s="119">
        <f t="shared" si="43"/>
        <v>193586.44473048512</v>
      </c>
      <c r="FE44" s="119">
        <f t="shared" si="43"/>
        <v>169059.16188289519</v>
      </c>
      <c r="FF44" s="119">
        <f t="shared" si="43"/>
        <v>169059.16188289519</v>
      </c>
      <c r="FG44" s="119">
        <f t="shared" si="43"/>
        <v>169059.16188289519</v>
      </c>
      <c r="FH44" s="119">
        <f t="shared" si="43"/>
        <v>169059.16188289519</v>
      </c>
      <c r="FI44" s="119">
        <f t="shared" si="43"/>
        <v>169059.16188289519</v>
      </c>
      <c r="FJ44" s="119">
        <f t="shared" si="43"/>
        <v>106088.67758061057</v>
      </c>
      <c r="FK44" s="119">
        <f t="shared" si="43"/>
        <v>106088.67758061057</v>
      </c>
      <c r="FL44" s="119">
        <f t="shared" si="43"/>
        <v>106088.67758061057</v>
      </c>
      <c r="FM44" s="119">
        <f t="shared" si="43"/>
        <v>106088.67758061057</v>
      </c>
      <c r="FN44" s="119">
        <f t="shared" si="43"/>
        <v>106088.67758061057</v>
      </c>
      <c r="FO44" s="119">
        <f t="shared" si="43"/>
        <v>94201.479427605489</v>
      </c>
      <c r="FP44" s="119">
        <f t="shared" si="43"/>
        <v>94201.479427605489</v>
      </c>
      <c r="FQ44" s="119">
        <f t="shared" si="43"/>
        <v>94201.479427605489</v>
      </c>
      <c r="FR44" s="119">
        <f t="shared" si="43"/>
        <v>94201.479427605489</v>
      </c>
      <c r="FS44" s="119">
        <f t="shared" si="43"/>
        <v>94201.479427605489</v>
      </c>
      <c r="FT44" s="119">
        <f t="shared" si="44"/>
        <v>91803.542362364606</v>
      </c>
      <c r="FU44" s="119">
        <f t="shared" si="44"/>
        <v>91803.542362364606</v>
      </c>
      <c r="FV44" s="119">
        <f t="shared" si="44"/>
        <v>91803.542362364606</v>
      </c>
      <c r="FW44" s="119">
        <f t="shared" si="44"/>
        <v>91803.542362364606</v>
      </c>
      <c r="FX44" s="119">
        <f t="shared" si="44"/>
        <v>91803.542362364606</v>
      </c>
      <c r="FY44" s="119">
        <f t="shared" si="44"/>
        <v>88700.02052778982</v>
      </c>
      <c r="FZ44" s="119">
        <f t="shared" si="27"/>
        <v>88700.02052778982</v>
      </c>
      <c r="GA44" s="119">
        <f t="shared" si="27"/>
        <v>88700.02052778982</v>
      </c>
      <c r="GB44" s="119">
        <f t="shared" si="27"/>
        <v>88700.02052778982</v>
      </c>
      <c r="GC44" s="119">
        <f t="shared" si="27"/>
        <v>88700.02052778982</v>
      </c>
      <c r="GD44" s="119">
        <f t="shared" si="27"/>
        <v>83675.521164786463</v>
      </c>
      <c r="GH44" s="123" t="s">
        <v>221</v>
      </c>
      <c r="GI44" s="103">
        <f t="shared" si="17"/>
        <v>168195.90453940851</v>
      </c>
      <c r="GJ44" s="119">
        <f t="shared" si="45"/>
        <v>168195.90453940851</v>
      </c>
      <c r="GK44" s="119">
        <f t="shared" si="45"/>
        <v>147875.85154546314</v>
      </c>
      <c r="GL44" s="119">
        <f t="shared" si="45"/>
        <v>147875.85154546314</v>
      </c>
      <c r="GM44" s="119">
        <f t="shared" si="45"/>
        <v>147875.85154546314</v>
      </c>
      <c r="GN44" s="119">
        <f t="shared" si="45"/>
        <v>147875.85154546314</v>
      </c>
      <c r="GO44" s="119">
        <f t="shared" si="45"/>
        <v>147875.85154546314</v>
      </c>
      <c r="GP44" s="119">
        <f t="shared" si="45"/>
        <v>89853.658195341355</v>
      </c>
      <c r="GQ44" s="119">
        <f t="shared" si="45"/>
        <v>89853.658195341355</v>
      </c>
      <c r="GR44" s="119">
        <f t="shared" si="45"/>
        <v>89853.658195341355</v>
      </c>
      <c r="GS44" s="119">
        <f t="shared" si="45"/>
        <v>89853.658195341355</v>
      </c>
      <c r="GT44" s="119">
        <f t="shared" si="45"/>
        <v>89853.658195341355</v>
      </c>
      <c r="GU44" s="119">
        <f t="shared" si="45"/>
        <v>80623.242916811374</v>
      </c>
      <c r="GV44" s="119">
        <f t="shared" si="45"/>
        <v>80623.242916811374</v>
      </c>
      <c r="GW44" s="119">
        <f t="shared" si="45"/>
        <v>80623.242916811374</v>
      </c>
      <c r="GX44" s="119">
        <f t="shared" si="45"/>
        <v>80623.242916811374</v>
      </c>
      <c r="GY44" s="119">
        <f t="shared" si="45"/>
        <v>80623.242916811374</v>
      </c>
      <c r="GZ44" s="119">
        <f t="shared" si="46"/>
        <v>77699.730604394397</v>
      </c>
      <c r="HA44" s="119">
        <f t="shared" si="46"/>
        <v>77699.730604394397</v>
      </c>
      <c r="HB44" s="119">
        <f t="shared" si="46"/>
        <v>77699.730604394397</v>
      </c>
      <c r="HC44" s="119">
        <f t="shared" si="46"/>
        <v>77699.730604394397</v>
      </c>
      <c r="HD44" s="119">
        <f t="shared" si="46"/>
        <v>77699.730604394397</v>
      </c>
      <c r="HE44" s="119">
        <f t="shared" si="46"/>
        <v>74606.720274763138</v>
      </c>
      <c r="HF44" s="119">
        <f t="shared" si="28"/>
        <v>74606.720274763138</v>
      </c>
      <c r="HG44" s="119">
        <f t="shared" si="28"/>
        <v>74606.720274763138</v>
      </c>
      <c r="HH44" s="119">
        <f t="shared" si="28"/>
        <v>74606.720274763138</v>
      </c>
      <c r="HI44" s="119">
        <f t="shared" si="28"/>
        <v>74606.720274763138</v>
      </c>
      <c r="HJ44" s="119">
        <f t="shared" si="28"/>
        <v>69866.031545234859</v>
      </c>
    </row>
    <row r="45" spans="17:218" x14ac:dyDescent="0.25">
      <c r="Q45" s="37">
        <v>2040</v>
      </c>
      <c r="R45" s="135">
        <v>1E-3</v>
      </c>
      <c r="S45" s="128">
        <f>1-SUM(R45,T45:W45)</f>
        <v>0.86</v>
      </c>
      <c r="T45" s="128">
        <v>0</v>
      </c>
      <c r="U45" s="128">
        <v>0.13700000000000001</v>
      </c>
      <c r="V45" s="128">
        <v>2E-3</v>
      </c>
      <c r="W45" s="128">
        <v>0</v>
      </c>
      <c r="X45" s="134">
        <f t="shared" si="48"/>
        <v>1</v>
      </c>
      <c r="Z45" s="83" t="s">
        <v>222</v>
      </c>
      <c r="AA45" s="114">
        <f>'US Grid mix, emissions&amp;prices'!O97</f>
        <v>87402</v>
      </c>
      <c r="AB45" s="116">
        <f t="shared" si="49"/>
        <v>87402</v>
      </c>
      <c r="AC45" s="116">
        <f t="shared" si="49"/>
        <v>76869.520487665781</v>
      </c>
      <c r="AD45" s="116">
        <f t="shared" si="49"/>
        <v>76869.520487665781</v>
      </c>
      <c r="AE45" s="116">
        <f t="shared" si="49"/>
        <v>76869.520487665781</v>
      </c>
      <c r="AF45" s="116">
        <f t="shared" si="49"/>
        <v>76869.520487665781</v>
      </c>
      <c r="AG45" s="116">
        <f t="shared" si="49"/>
        <v>76869.520487665781</v>
      </c>
      <c r="AH45" s="116">
        <f t="shared" si="49"/>
        <v>46186.104761831368</v>
      </c>
      <c r="AI45" s="116">
        <f t="shared" si="49"/>
        <v>46186.104761831368</v>
      </c>
      <c r="AJ45" s="116">
        <f t="shared" si="49"/>
        <v>46186.104761831368</v>
      </c>
      <c r="AK45" s="116">
        <f t="shared" si="49"/>
        <v>46186.104761831368</v>
      </c>
      <c r="AL45" s="116">
        <f t="shared" si="49"/>
        <v>46186.104761831368</v>
      </c>
      <c r="AM45" s="116">
        <f t="shared" si="49"/>
        <v>48332.744923359096</v>
      </c>
      <c r="AN45" s="116">
        <f t="shared" si="49"/>
        <v>48332.744923359096</v>
      </c>
      <c r="AO45" s="116">
        <f t="shared" si="49"/>
        <v>48332.744923359096</v>
      </c>
      <c r="AP45" s="116">
        <f t="shared" si="49"/>
        <v>48332.744923359096</v>
      </c>
      <c r="AQ45" s="116">
        <f t="shared" si="49"/>
        <v>48332.744923359096</v>
      </c>
      <c r="AR45" s="116">
        <f t="shared" si="47"/>
        <v>50524.513698260642</v>
      </c>
      <c r="AS45" s="116">
        <f t="shared" si="47"/>
        <v>50524.513698260642</v>
      </c>
      <c r="AT45" s="116">
        <f t="shared" si="47"/>
        <v>50524.513698260642</v>
      </c>
      <c r="AU45" s="116">
        <f t="shared" si="47"/>
        <v>50524.513698260642</v>
      </c>
      <c r="AV45" s="116">
        <f t="shared" si="47"/>
        <v>50524.513698260642</v>
      </c>
      <c r="AW45" s="116">
        <f t="shared" si="47"/>
        <v>51633.195752190564</v>
      </c>
      <c r="AX45" s="116">
        <f t="shared" si="47"/>
        <v>51633.195752190564</v>
      </c>
      <c r="AY45" s="116">
        <f t="shared" si="47"/>
        <v>51633.195752190564</v>
      </c>
      <c r="AZ45" s="116">
        <f t="shared" si="47"/>
        <v>51633.195752190564</v>
      </c>
      <c r="BA45" s="116">
        <f t="shared" si="47"/>
        <v>51633.195752190564</v>
      </c>
      <c r="BB45" s="116">
        <f t="shared" si="47"/>
        <v>51703.246137129034</v>
      </c>
      <c r="BM45" s="123" t="s">
        <v>222</v>
      </c>
      <c r="BN45" s="103">
        <f t="shared" si="23"/>
        <v>87402</v>
      </c>
      <c r="BO45" s="119">
        <f t="shared" si="37"/>
        <v>87402</v>
      </c>
      <c r="BP45" s="119">
        <f t="shared" si="37"/>
        <v>76769.159840013555</v>
      </c>
      <c r="BQ45" s="119">
        <f t="shared" si="37"/>
        <v>76769.159840013555</v>
      </c>
      <c r="BR45" s="119">
        <f t="shared" si="37"/>
        <v>76769.159840013555</v>
      </c>
      <c r="BS45" s="119">
        <f t="shared" si="37"/>
        <v>76769.159840013555</v>
      </c>
      <c r="BT45" s="119">
        <f t="shared" si="37"/>
        <v>76769.159840013555</v>
      </c>
      <c r="BU45" s="119">
        <f t="shared" si="37"/>
        <v>87022.784935381205</v>
      </c>
      <c r="BV45" s="119">
        <f t="shared" si="37"/>
        <v>87022.784935381205</v>
      </c>
      <c r="BW45" s="119">
        <f t="shared" si="37"/>
        <v>87022.784935381205</v>
      </c>
      <c r="BX45" s="119">
        <f t="shared" si="37"/>
        <v>87022.784935381205</v>
      </c>
      <c r="BY45" s="119">
        <f t="shared" si="37"/>
        <v>87022.784935381205</v>
      </c>
      <c r="BZ45" s="119">
        <f t="shared" si="37"/>
        <v>89115.540185417805</v>
      </c>
      <c r="CA45" s="119">
        <f t="shared" si="37"/>
        <v>89115.540185417805</v>
      </c>
      <c r="CB45" s="119">
        <f t="shared" si="37"/>
        <v>89115.540185417805</v>
      </c>
      <c r="CC45" s="119">
        <f t="shared" si="37"/>
        <v>89115.540185417805</v>
      </c>
      <c r="CD45" s="119">
        <f t="shared" si="37"/>
        <v>89115.540185417805</v>
      </c>
      <c r="CE45" s="119">
        <f t="shared" si="38"/>
        <v>91318.085942617588</v>
      </c>
      <c r="CF45" s="119">
        <f t="shared" si="38"/>
        <v>91318.085942617588</v>
      </c>
      <c r="CG45" s="119">
        <f t="shared" si="38"/>
        <v>91318.085942617588</v>
      </c>
      <c r="CH45" s="119">
        <f t="shared" si="38"/>
        <v>91318.085942617588</v>
      </c>
      <c r="CI45" s="119">
        <f t="shared" si="38"/>
        <v>91318.085942617588</v>
      </c>
      <c r="CJ45" s="119">
        <f t="shared" si="38"/>
        <v>91840.769584081514</v>
      </c>
      <c r="CK45" s="119">
        <f t="shared" si="24"/>
        <v>91840.769584081514</v>
      </c>
      <c r="CL45" s="119">
        <f t="shared" si="24"/>
        <v>91840.769584081514</v>
      </c>
      <c r="CM45" s="119">
        <f t="shared" si="24"/>
        <v>91840.769584081514</v>
      </c>
      <c r="CN45" s="119">
        <f t="shared" si="24"/>
        <v>91840.769584081514</v>
      </c>
      <c r="CO45" s="119">
        <f t="shared" si="24"/>
        <v>92465.16099598493</v>
      </c>
      <c r="CR45" s="123" t="s">
        <v>222</v>
      </c>
      <c r="CS45" s="103">
        <f t="shared" si="11"/>
        <v>105820.53630906051</v>
      </c>
      <c r="CT45" s="119">
        <f t="shared" si="39"/>
        <v>105820.53630906051</v>
      </c>
      <c r="CU45" s="119">
        <f t="shared" si="39"/>
        <v>105820.53630906051</v>
      </c>
      <c r="CV45" s="119">
        <f t="shared" si="39"/>
        <v>105820.53630906051</v>
      </c>
      <c r="CW45" s="119">
        <f t="shared" si="39"/>
        <v>105820.53630906051</v>
      </c>
      <c r="CX45" s="119">
        <f t="shared" si="39"/>
        <v>105820.53630906051</v>
      </c>
      <c r="CY45" s="119">
        <f t="shared" si="39"/>
        <v>105820.53630906051</v>
      </c>
      <c r="CZ45" s="119">
        <f t="shared" si="39"/>
        <v>105844.11095783787</v>
      </c>
      <c r="DA45" s="119">
        <f t="shared" si="39"/>
        <v>105844.11095783787</v>
      </c>
      <c r="DB45" s="119">
        <f t="shared" si="39"/>
        <v>105844.11095783787</v>
      </c>
      <c r="DC45" s="119">
        <f t="shared" si="39"/>
        <v>105844.11095783787</v>
      </c>
      <c r="DD45" s="119">
        <f t="shared" si="39"/>
        <v>105844.11095783787</v>
      </c>
      <c r="DE45" s="119">
        <f t="shared" si="39"/>
        <v>105830.6397299651</v>
      </c>
      <c r="DF45" s="119">
        <f t="shared" si="39"/>
        <v>105830.6397299651</v>
      </c>
      <c r="DG45" s="119">
        <f t="shared" si="39"/>
        <v>105830.6397299651</v>
      </c>
      <c r="DH45" s="119">
        <f t="shared" si="39"/>
        <v>105830.6397299651</v>
      </c>
      <c r="DI45" s="119">
        <f t="shared" si="39"/>
        <v>105830.6397299651</v>
      </c>
      <c r="DJ45" s="119">
        <f t="shared" si="40"/>
        <v>105827.27192299689</v>
      </c>
      <c r="DK45" s="119">
        <f t="shared" si="40"/>
        <v>105827.27192299689</v>
      </c>
      <c r="DL45" s="119">
        <f t="shared" si="40"/>
        <v>105827.27192299689</v>
      </c>
      <c r="DM45" s="119">
        <f t="shared" si="40"/>
        <v>105827.27192299689</v>
      </c>
      <c r="DN45" s="119">
        <f t="shared" si="40"/>
        <v>105827.27192299689</v>
      </c>
      <c r="DO45" s="119">
        <f t="shared" si="40"/>
        <v>105761.93646781391</v>
      </c>
      <c r="DP45" s="119">
        <f t="shared" si="25"/>
        <v>105761.93646781391</v>
      </c>
      <c r="DQ45" s="119">
        <f t="shared" si="25"/>
        <v>105761.93646781391</v>
      </c>
      <c r="DR45" s="119">
        <f t="shared" si="25"/>
        <v>105761.93646781391</v>
      </c>
      <c r="DS45" s="119">
        <f t="shared" si="25"/>
        <v>105761.93646781391</v>
      </c>
      <c r="DT45" s="93">
        <f t="shared" si="25"/>
        <v>105816.49494069867</v>
      </c>
      <c r="DW45" s="123" t="s">
        <v>222</v>
      </c>
      <c r="DX45" s="103">
        <f t="shared" si="13"/>
        <v>110773.90394295077</v>
      </c>
      <c r="DY45" s="119">
        <f t="shared" si="41"/>
        <v>110773.90394295077</v>
      </c>
      <c r="DZ45" s="119">
        <f t="shared" si="41"/>
        <v>97104.436001023132</v>
      </c>
      <c r="EA45" s="119">
        <f t="shared" si="41"/>
        <v>97104.436001023132</v>
      </c>
      <c r="EB45" s="119">
        <f t="shared" si="41"/>
        <v>97104.436001023132</v>
      </c>
      <c r="EC45" s="119">
        <f t="shared" si="41"/>
        <v>97104.436001023132</v>
      </c>
      <c r="ED45" s="119">
        <f t="shared" si="41"/>
        <v>97104.436001023132</v>
      </c>
      <c r="EE45" s="119">
        <f t="shared" si="41"/>
        <v>59848.978808622327</v>
      </c>
      <c r="EF45" s="119">
        <f t="shared" si="41"/>
        <v>59848.978808622327</v>
      </c>
      <c r="EG45" s="119">
        <f t="shared" si="41"/>
        <v>59848.978808622327</v>
      </c>
      <c r="EH45" s="119">
        <f t="shared" si="41"/>
        <v>59848.978808622327</v>
      </c>
      <c r="EI45" s="119">
        <f t="shared" si="41"/>
        <v>59848.978808622327</v>
      </c>
      <c r="EJ45" s="119">
        <f t="shared" si="41"/>
        <v>53452.170161892798</v>
      </c>
      <c r="EK45" s="119">
        <f t="shared" si="41"/>
        <v>53452.170161892798</v>
      </c>
      <c r="EL45" s="119">
        <f t="shared" si="41"/>
        <v>53452.170161892798</v>
      </c>
      <c r="EM45" s="119">
        <f t="shared" si="41"/>
        <v>53452.170161892798</v>
      </c>
      <c r="EN45" s="119">
        <f t="shared" si="41"/>
        <v>53452.170161892798</v>
      </c>
      <c r="EO45" s="119">
        <f t="shared" si="42"/>
        <v>51769.786653707808</v>
      </c>
      <c r="EP45" s="119">
        <f t="shared" si="42"/>
        <v>51769.786653707808</v>
      </c>
      <c r="EQ45" s="119">
        <f t="shared" si="42"/>
        <v>51769.786653707808</v>
      </c>
      <c r="ER45" s="119">
        <f t="shared" si="42"/>
        <v>51769.786653707808</v>
      </c>
      <c r="ES45" s="119">
        <f t="shared" si="42"/>
        <v>51769.786653707808</v>
      </c>
      <c r="ET45" s="119">
        <f t="shared" si="42"/>
        <v>49847.645146780036</v>
      </c>
      <c r="EU45" s="119">
        <f t="shared" si="26"/>
        <v>49847.645146780036</v>
      </c>
      <c r="EV45" s="119">
        <f t="shared" si="26"/>
        <v>49847.645146780036</v>
      </c>
      <c r="EW45" s="119">
        <f t="shared" si="26"/>
        <v>49847.645146780036</v>
      </c>
      <c r="EX45" s="119">
        <f t="shared" si="26"/>
        <v>49847.645146780036</v>
      </c>
      <c r="EY45" s="119">
        <f t="shared" si="26"/>
        <v>46833.544591156329</v>
      </c>
      <c r="FB45" s="123" t="s">
        <v>222</v>
      </c>
      <c r="FC45" s="103">
        <f t="shared" si="15"/>
        <v>120150.56200262645</v>
      </c>
      <c r="FD45" s="119">
        <f t="shared" si="43"/>
        <v>120150.56200262645</v>
      </c>
      <c r="FE45" s="119">
        <f t="shared" si="43"/>
        <v>104927.56008925315</v>
      </c>
      <c r="FF45" s="119">
        <f t="shared" si="43"/>
        <v>104927.56008925315</v>
      </c>
      <c r="FG45" s="119">
        <f t="shared" si="43"/>
        <v>104927.56008925315</v>
      </c>
      <c r="FH45" s="119">
        <f t="shared" si="43"/>
        <v>104927.56008925315</v>
      </c>
      <c r="FI45" s="119">
        <f t="shared" si="43"/>
        <v>104927.56008925315</v>
      </c>
      <c r="FJ45" s="119">
        <f t="shared" si="43"/>
        <v>65844.559783986348</v>
      </c>
      <c r="FK45" s="119">
        <f t="shared" si="43"/>
        <v>65844.559783986348</v>
      </c>
      <c r="FL45" s="119">
        <f t="shared" si="43"/>
        <v>65844.559783986348</v>
      </c>
      <c r="FM45" s="119">
        <f t="shared" si="43"/>
        <v>65844.559783986348</v>
      </c>
      <c r="FN45" s="119">
        <f t="shared" si="43"/>
        <v>65844.559783986348</v>
      </c>
      <c r="FO45" s="119">
        <f t="shared" si="43"/>
        <v>58466.700550564368</v>
      </c>
      <c r="FP45" s="119">
        <f t="shared" si="43"/>
        <v>58466.700550564368</v>
      </c>
      <c r="FQ45" s="119">
        <f t="shared" si="43"/>
        <v>58466.700550564368</v>
      </c>
      <c r="FR45" s="119">
        <f t="shared" si="43"/>
        <v>58466.700550564368</v>
      </c>
      <c r="FS45" s="119">
        <f t="shared" si="43"/>
        <v>58466.700550564368</v>
      </c>
      <c r="FT45" s="119">
        <f t="shared" si="44"/>
        <v>56978.406850885462</v>
      </c>
      <c r="FU45" s="119">
        <f t="shared" si="44"/>
        <v>56978.406850885462</v>
      </c>
      <c r="FV45" s="119">
        <f t="shared" si="44"/>
        <v>56978.406850885462</v>
      </c>
      <c r="FW45" s="119">
        <f t="shared" si="44"/>
        <v>56978.406850885462</v>
      </c>
      <c r="FX45" s="119">
        <f t="shared" si="44"/>
        <v>56978.406850885462</v>
      </c>
      <c r="FY45" s="119">
        <f t="shared" si="44"/>
        <v>55052.187826972258</v>
      </c>
      <c r="FZ45" s="119">
        <f t="shared" si="27"/>
        <v>55052.187826972258</v>
      </c>
      <c r="GA45" s="119">
        <f t="shared" si="27"/>
        <v>55052.187826972258</v>
      </c>
      <c r="GB45" s="119">
        <f t="shared" si="27"/>
        <v>55052.187826972258</v>
      </c>
      <c r="GC45" s="119">
        <f t="shared" si="27"/>
        <v>55052.187826972258</v>
      </c>
      <c r="GD45" s="119">
        <f t="shared" si="27"/>
        <v>51933.702836521756</v>
      </c>
      <c r="GH45" s="123" t="s">
        <v>222</v>
      </c>
      <c r="GI45" s="103">
        <f t="shared" si="17"/>
        <v>104391.77435736875</v>
      </c>
      <c r="GJ45" s="119">
        <f t="shared" si="45"/>
        <v>104391.77435736875</v>
      </c>
      <c r="GK45" s="119">
        <f t="shared" si="45"/>
        <v>91780.014321459486</v>
      </c>
      <c r="GL45" s="119">
        <f t="shared" si="45"/>
        <v>91780.014321459486</v>
      </c>
      <c r="GM45" s="119">
        <f t="shared" si="45"/>
        <v>91780.014321459486</v>
      </c>
      <c r="GN45" s="119">
        <f t="shared" si="45"/>
        <v>91780.014321459486</v>
      </c>
      <c r="GO45" s="119">
        <f t="shared" si="45"/>
        <v>91780.014321459486</v>
      </c>
      <c r="GP45" s="119">
        <f t="shared" si="45"/>
        <v>55768.199809612306</v>
      </c>
      <c r="GQ45" s="119">
        <f t="shared" si="45"/>
        <v>55768.199809612306</v>
      </c>
      <c r="GR45" s="119">
        <f t="shared" si="45"/>
        <v>55768.199809612306</v>
      </c>
      <c r="GS45" s="119">
        <f t="shared" si="45"/>
        <v>55768.199809612306</v>
      </c>
      <c r="GT45" s="119">
        <f t="shared" si="45"/>
        <v>55768.199809612306</v>
      </c>
      <c r="GU45" s="119">
        <f t="shared" si="45"/>
        <v>50039.288445094848</v>
      </c>
      <c r="GV45" s="119">
        <f t="shared" si="45"/>
        <v>50039.288445094848</v>
      </c>
      <c r="GW45" s="119">
        <f t="shared" si="45"/>
        <v>50039.288445094848</v>
      </c>
      <c r="GX45" s="119">
        <f t="shared" si="45"/>
        <v>50039.288445094848</v>
      </c>
      <c r="GY45" s="119">
        <f t="shared" si="45"/>
        <v>50039.288445094848</v>
      </c>
      <c r="GZ45" s="119">
        <f t="shared" si="46"/>
        <v>48224.793386582198</v>
      </c>
      <c r="HA45" s="119">
        <f t="shared" si="46"/>
        <v>48224.793386582198</v>
      </c>
      <c r="HB45" s="119">
        <f t="shared" si="46"/>
        <v>48224.793386582198</v>
      </c>
      <c r="HC45" s="119">
        <f t="shared" si="46"/>
        <v>48224.793386582198</v>
      </c>
      <c r="HD45" s="119">
        <f t="shared" si="46"/>
        <v>48224.793386582198</v>
      </c>
      <c r="HE45" s="119">
        <f t="shared" si="46"/>
        <v>46305.098389845676</v>
      </c>
      <c r="HF45" s="119">
        <f t="shared" si="28"/>
        <v>46305.098389845676</v>
      </c>
      <c r="HG45" s="119">
        <f t="shared" si="28"/>
        <v>46305.098389845676</v>
      </c>
      <c r="HH45" s="119">
        <f t="shared" si="28"/>
        <v>46305.098389845676</v>
      </c>
      <c r="HI45" s="119">
        <f t="shared" si="28"/>
        <v>46305.098389845676</v>
      </c>
      <c r="HJ45" s="119">
        <f t="shared" si="28"/>
        <v>43362.762133165394</v>
      </c>
    </row>
    <row r="46" spans="17:218" x14ac:dyDescent="0.25">
      <c r="Q46" s="37">
        <v>2045</v>
      </c>
      <c r="R46" s="135">
        <v>1E-3</v>
      </c>
      <c r="S46" s="128">
        <f>1-SUM(R46,T46:W46)</f>
        <v>0.86499999999999999</v>
      </c>
      <c r="T46" s="128">
        <v>0</v>
      </c>
      <c r="U46" s="128">
        <v>0.13200000000000001</v>
      </c>
      <c r="V46" s="128">
        <v>2E-3</v>
      </c>
      <c r="W46" s="128">
        <v>0</v>
      </c>
      <c r="X46" s="134">
        <f t="shared" si="48"/>
        <v>1</v>
      </c>
      <c r="Z46" s="83" t="s">
        <v>223</v>
      </c>
      <c r="AA46" s="114">
        <f>'US Grid mix, emissions&amp;prices'!O98</f>
        <v>54029</v>
      </c>
      <c r="AB46" s="116">
        <f t="shared" si="49"/>
        <v>54029</v>
      </c>
      <c r="AC46" s="116">
        <f t="shared" si="49"/>
        <v>47518.172609643887</v>
      </c>
      <c r="AD46" s="116">
        <f t="shared" si="49"/>
        <v>47518.172609643887</v>
      </c>
      <c r="AE46" s="116">
        <f t="shared" si="49"/>
        <v>47518.172609643887</v>
      </c>
      <c r="AF46" s="116">
        <f t="shared" si="49"/>
        <v>47518.172609643887</v>
      </c>
      <c r="AG46" s="116">
        <f t="shared" si="49"/>
        <v>47518.172609643887</v>
      </c>
      <c r="AH46" s="116">
        <f t="shared" si="49"/>
        <v>28550.708841639629</v>
      </c>
      <c r="AI46" s="116">
        <f t="shared" si="49"/>
        <v>28550.708841639629</v>
      </c>
      <c r="AJ46" s="116">
        <f t="shared" si="49"/>
        <v>28550.708841639629</v>
      </c>
      <c r="AK46" s="116">
        <f t="shared" si="49"/>
        <v>28550.708841639629</v>
      </c>
      <c r="AL46" s="116">
        <f t="shared" si="49"/>
        <v>28550.708841639629</v>
      </c>
      <c r="AM46" s="116">
        <f t="shared" si="49"/>
        <v>29877.690161142407</v>
      </c>
      <c r="AN46" s="116">
        <f t="shared" si="49"/>
        <v>29877.690161142407</v>
      </c>
      <c r="AO46" s="116">
        <f t="shared" si="49"/>
        <v>29877.690161142407</v>
      </c>
      <c r="AP46" s="116">
        <f t="shared" si="49"/>
        <v>29877.690161142407</v>
      </c>
      <c r="AQ46" s="116">
        <f t="shared" si="49"/>
        <v>29877.690161142407</v>
      </c>
      <c r="AR46" s="116">
        <f t="shared" si="47"/>
        <v>31232.568483596762</v>
      </c>
      <c r="AS46" s="116">
        <f t="shared" si="47"/>
        <v>31232.568483596762</v>
      </c>
      <c r="AT46" s="116">
        <f t="shared" si="47"/>
        <v>31232.568483596762</v>
      </c>
      <c r="AU46" s="116">
        <f t="shared" si="47"/>
        <v>31232.568483596762</v>
      </c>
      <c r="AV46" s="116">
        <f t="shared" si="47"/>
        <v>31232.568483596762</v>
      </c>
      <c r="AW46" s="116">
        <f t="shared" si="47"/>
        <v>31917.918735213199</v>
      </c>
      <c r="AX46" s="116">
        <f t="shared" si="47"/>
        <v>31917.918735213199</v>
      </c>
      <c r="AY46" s="116">
        <f t="shared" si="47"/>
        <v>31917.918735213199</v>
      </c>
      <c r="AZ46" s="116">
        <f t="shared" si="47"/>
        <v>31917.918735213199</v>
      </c>
      <c r="BA46" s="116">
        <f t="shared" si="47"/>
        <v>31917.918735213199</v>
      </c>
      <c r="BB46" s="116">
        <f t="shared" si="47"/>
        <v>31961.221545764907</v>
      </c>
      <c r="BM46" s="123" t="s">
        <v>223</v>
      </c>
      <c r="BN46" s="103">
        <f t="shared" si="23"/>
        <v>54029</v>
      </c>
      <c r="BO46" s="119">
        <f t="shared" si="37"/>
        <v>54029</v>
      </c>
      <c r="BP46" s="119">
        <f t="shared" si="37"/>
        <v>47456.133006064993</v>
      </c>
      <c r="BQ46" s="119">
        <f t="shared" si="37"/>
        <v>47456.133006064993</v>
      </c>
      <c r="BR46" s="119">
        <f t="shared" si="37"/>
        <v>47456.133006064993</v>
      </c>
      <c r="BS46" s="119">
        <f t="shared" si="37"/>
        <v>47456.133006064993</v>
      </c>
      <c r="BT46" s="119">
        <f t="shared" si="37"/>
        <v>47456.133006064993</v>
      </c>
      <c r="BU46" s="119">
        <f t="shared" si="37"/>
        <v>53794.581900571051</v>
      </c>
      <c r="BV46" s="119">
        <f t="shared" si="37"/>
        <v>53794.581900571051</v>
      </c>
      <c r="BW46" s="119">
        <f t="shared" si="37"/>
        <v>53794.581900571051</v>
      </c>
      <c r="BX46" s="119">
        <f t="shared" si="37"/>
        <v>53794.581900571051</v>
      </c>
      <c r="BY46" s="119">
        <f t="shared" si="37"/>
        <v>53794.581900571051</v>
      </c>
      <c r="BZ46" s="119">
        <f t="shared" si="37"/>
        <v>55088.253365803284</v>
      </c>
      <c r="CA46" s="119">
        <f t="shared" si="37"/>
        <v>55088.253365803284</v>
      </c>
      <c r="CB46" s="119">
        <f t="shared" si="37"/>
        <v>55088.253365803284</v>
      </c>
      <c r="CC46" s="119">
        <f t="shared" si="37"/>
        <v>55088.253365803284</v>
      </c>
      <c r="CD46" s="119">
        <f t="shared" si="37"/>
        <v>55088.253365803284</v>
      </c>
      <c r="CE46" s="119">
        <f t="shared" si="38"/>
        <v>56449.793659111754</v>
      </c>
      <c r="CF46" s="119">
        <f t="shared" si="38"/>
        <v>56449.793659111754</v>
      </c>
      <c r="CG46" s="119">
        <f t="shared" si="38"/>
        <v>56449.793659111754</v>
      </c>
      <c r="CH46" s="119">
        <f t="shared" si="38"/>
        <v>56449.793659111754</v>
      </c>
      <c r="CI46" s="119">
        <f t="shared" si="38"/>
        <v>56449.793659111754</v>
      </c>
      <c r="CJ46" s="119">
        <f t="shared" si="38"/>
        <v>56772.899245536028</v>
      </c>
      <c r="CK46" s="119">
        <f t="shared" si="24"/>
        <v>56772.899245536028</v>
      </c>
      <c r="CL46" s="119">
        <f t="shared" si="24"/>
        <v>56772.899245536028</v>
      </c>
      <c r="CM46" s="119">
        <f t="shared" si="24"/>
        <v>56772.899245536028</v>
      </c>
      <c r="CN46" s="119">
        <f t="shared" si="24"/>
        <v>56772.899245536028</v>
      </c>
      <c r="CO46" s="119">
        <f t="shared" si="24"/>
        <v>57158.87718189595</v>
      </c>
      <c r="CR46" s="123" t="s">
        <v>223</v>
      </c>
      <c r="CS46" s="103">
        <f t="shared" si="11"/>
        <v>65414.724562850162</v>
      </c>
      <c r="CT46" s="119">
        <f t="shared" si="39"/>
        <v>65414.724562850162</v>
      </c>
      <c r="CU46" s="119">
        <f t="shared" si="39"/>
        <v>65414.724562850162</v>
      </c>
      <c r="CV46" s="119">
        <f t="shared" si="39"/>
        <v>65414.724562850162</v>
      </c>
      <c r="CW46" s="119">
        <f t="shared" si="39"/>
        <v>65414.724562850162</v>
      </c>
      <c r="CX46" s="119">
        <f t="shared" si="39"/>
        <v>65414.724562850162</v>
      </c>
      <c r="CY46" s="119">
        <f t="shared" si="39"/>
        <v>65414.724562850162</v>
      </c>
      <c r="CZ46" s="119">
        <f t="shared" si="39"/>
        <v>65429.297624093524</v>
      </c>
      <c r="DA46" s="119">
        <f t="shared" si="39"/>
        <v>65429.297624093524</v>
      </c>
      <c r="DB46" s="119">
        <f t="shared" si="39"/>
        <v>65429.297624093524</v>
      </c>
      <c r="DC46" s="119">
        <f t="shared" si="39"/>
        <v>65429.297624093524</v>
      </c>
      <c r="DD46" s="119">
        <f t="shared" si="39"/>
        <v>65429.297624093524</v>
      </c>
      <c r="DE46" s="119">
        <f t="shared" si="39"/>
        <v>65420.970160525896</v>
      </c>
      <c r="DF46" s="119">
        <f t="shared" si="39"/>
        <v>65420.970160525896</v>
      </c>
      <c r="DG46" s="119">
        <f t="shared" si="39"/>
        <v>65420.970160525896</v>
      </c>
      <c r="DH46" s="119">
        <f t="shared" si="39"/>
        <v>65420.970160525896</v>
      </c>
      <c r="DI46" s="119">
        <f t="shared" si="39"/>
        <v>65420.970160525896</v>
      </c>
      <c r="DJ46" s="119">
        <f t="shared" si="40"/>
        <v>65418.88829463398</v>
      </c>
      <c r="DK46" s="119">
        <f t="shared" si="40"/>
        <v>65418.88829463398</v>
      </c>
      <c r="DL46" s="119">
        <f t="shared" si="40"/>
        <v>65418.88829463398</v>
      </c>
      <c r="DM46" s="119">
        <f t="shared" si="40"/>
        <v>65418.88829463398</v>
      </c>
      <c r="DN46" s="119">
        <f t="shared" si="40"/>
        <v>65418.88829463398</v>
      </c>
      <c r="DO46" s="119">
        <f t="shared" si="40"/>
        <v>65378.50009633095</v>
      </c>
      <c r="DP46" s="119">
        <f t="shared" si="25"/>
        <v>65378.50009633095</v>
      </c>
      <c r="DQ46" s="119">
        <f t="shared" si="25"/>
        <v>65378.50009633095</v>
      </c>
      <c r="DR46" s="119">
        <f t="shared" si="25"/>
        <v>65378.50009633095</v>
      </c>
      <c r="DS46" s="119">
        <f t="shared" si="25"/>
        <v>65378.50009633095</v>
      </c>
      <c r="DT46" s="93">
        <f t="shared" si="25"/>
        <v>65412.226323779869</v>
      </c>
      <c r="DW46" s="123" t="s">
        <v>223</v>
      </c>
      <c r="DX46" s="103">
        <f t="shared" si="13"/>
        <v>68476.731151846485</v>
      </c>
      <c r="DY46" s="119">
        <f t="shared" si="41"/>
        <v>68476.731151846485</v>
      </c>
      <c r="DZ46" s="119">
        <f t="shared" si="41"/>
        <v>60026.722188271189</v>
      </c>
      <c r="EA46" s="119">
        <f t="shared" si="41"/>
        <v>60026.722188271189</v>
      </c>
      <c r="EB46" s="119">
        <f t="shared" si="41"/>
        <v>60026.722188271189</v>
      </c>
      <c r="EC46" s="119">
        <f t="shared" si="41"/>
        <v>60026.722188271189</v>
      </c>
      <c r="ED46" s="119">
        <f t="shared" si="41"/>
        <v>60026.722188271189</v>
      </c>
      <c r="EE46" s="119">
        <f t="shared" si="41"/>
        <v>36996.641679264263</v>
      </c>
      <c r="EF46" s="119">
        <f t="shared" si="41"/>
        <v>36996.641679264263</v>
      </c>
      <c r="EG46" s="119">
        <f t="shared" si="41"/>
        <v>36996.641679264263</v>
      </c>
      <c r="EH46" s="119">
        <f t="shared" si="41"/>
        <v>36996.641679264263</v>
      </c>
      <c r="EI46" s="119">
        <f t="shared" si="41"/>
        <v>36996.641679264263</v>
      </c>
      <c r="EJ46" s="119">
        <f t="shared" si="41"/>
        <v>33042.348020376026</v>
      </c>
      <c r="EK46" s="119">
        <f t="shared" si="41"/>
        <v>33042.348020376026</v>
      </c>
      <c r="EL46" s="119">
        <f t="shared" si="41"/>
        <v>33042.348020376026</v>
      </c>
      <c r="EM46" s="119">
        <f t="shared" si="41"/>
        <v>33042.348020376026</v>
      </c>
      <c r="EN46" s="119">
        <f t="shared" si="41"/>
        <v>33042.348020376026</v>
      </c>
      <c r="EO46" s="119">
        <f t="shared" si="42"/>
        <v>32002.354672812737</v>
      </c>
      <c r="EP46" s="119">
        <f t="shared" si="42"/>
        <v>32002.354672812737</v>
      </c>
      <c r="EQ46" s="119">
        <f t="shared" si="42"/>
        <v>32002.354672812737</v>
      </c>
      <c r="ER46" s="119">
        <f t="shared" si="42"/>
        <v>32002.354672812737</v>
      </c>
      <c r="ES46" s="119">
        <f t="shared" si="42"/>
        <v>32002.354672812737</v>
      </c>
      <c r="ET46" s="119">
        <f t="shared" si="42"/>
        <v>30814.15093058944</v>
      </c>
      <c r="EU46" s="119">
        <f t="shared" si="26"/>
        <v>30814.15093058944</v>
      </c>
      <c r="EV46" s="119">
        <f t="shared" si="26"/>
        <v>30814.15093058944</v>
      </c>
      <c r="EW46" s="119">
        <f t="shared" si="26"/>
        <v>30814.15093058944</v>
      </c>
      <c r="EX46" s="119">
        <f t="shared" si="26"/>
        <v>30814.15093058944</v>
      </c>
      <c r="EY46" s="119">
        <f t="shared" si="26"/>
        <v>28950.934540577848</v>
      </c>
      <c r="FB46" s="123" t="s">
        <v>223</v>
      </c>
      <c r="FC46" s="103">
        <f t="shared" si="15"/>
        <v>74273.068287223447</v>
      </c>
      <c r="FD46" s="119">
        <f t="shared" si="43"/>
        <v>74273.068287223447</v>
      </c>
      <c r="FE46" s="119">
        <f t="shared" si="43"/>
        <v>64862.716460289899</v>
      </c>
      <c r="FF46" s="119">
        <f t="shared" si="43"/>
        <v>64862.716460289899</v>
      </c>
      <c r="FG46" s="119">
        <f t="shared" si="43"/>
        <v>64862.716460289899</v>
      </c>
      <c r="FH46" s="119">
        <f t="shared" si="43"/>
        <v>64862.716460289899</v>
      </c>
      <c r="FI46" s="119">
        <f t="shared" si="43"/>
        <v>64862.716460289899</v>
      </c>
      <c r="FJ46" s="119">
        <f t="shared" si="43"/>
        <v>40702.909779741865</v>
      </c>
      <c r="FK46" s="119">
        <f t="shared" si="43"/>
        <v>40702.909779741865</v>
      </c>
      <c r="FL46" s="119">
        <f t="shared" si="43"/>
        <v>40702.909779741865</v>
      </c>
      <c r="FM46" s="119">
        <f t="shared" si="43"/>
        <v>40702.909779741865</v>
      </c>
      <c r="FN46" s="119">
        <f t="shared" si="43"/>
        <v>40702.909779741865</v>
      </c>
      <c r="FO46" s="119">
        <f t="shared" si="43"/>
        <v>36142.16338352031</v>
      </c>
      <c r="FP46" s="119">
        <f t="shared" si="43"/>
        <v>36142.16338352031</v>
      </c>
      <c r="FQ46" s="119">
        <f t="shared" si="43"/>
        <v>36142.16338352031</v>
      </c>
      <c r="FR46" s="119">
        <f t="shared" si="43"/>
        <v>36142.16338352031</v>
      </c>
      <c r="FS46" s="119">
        <f t="shared" si="43"/>
        <v>36142.16338352031</v>
      </c>
      <c r="FT46" s="119">
        <f t="shared" si="44"/>
        <v>35222.149879253222</v>
      </c>
      <c r="FU46" s="119">
        <f t="shared" si="44"/>
        <v>35222.149879253222</v>
      </c>
      <c r="FV46" s="119">
        <f t="shared" si="44"/>
        <v>35222.149879253222</v>
      </c>
      <c r="FW46" s="119">
        <f t="shared" si="44"/>
        <v>35222.149879253222</v>
      </c>
      <c r="FX46" s="119">
        <f t="shared" si="44"/>
        <v>35222.149879253222</v>
      </c>
      <c r="FY46" s="119">
        <f t="shared" si="44"/>
        <v>34031.425552086723</v>
      </c>
      <c r="FZ46" s="119">
        <f t="shared" si="27"/>
        <v>34031.425552086723</v>
      </c>
      <c r="GA46" s="119">
        <f t="shared" si="27"/>
        <v>34031.425552086723</v>
      </c>
      <c r="GB46" s="119">
        <f t="shared" si="27"/>
        <v>34031.425552086723</v>
      </c>
      <c r="GC46" s="119">
        <f t="shared" si="27"/>
        <v>34031.425552086723</v>
      </c>
      <c r="GD46" s="119">
        <f t="shared" si="27"/>
        <v>32103.682187529274</v>
      </c>
      <c r="GH46" s="123" t="s">
        <v>223</v>
      </c>
      <c r="GI46" s="103">
        <f t="shared" si="17"/>
        <v>64531.511598753757</v>
      </c>
      <c r="GJ46" s="119">
        <f t="shared" si="45"/>
        <v>64531.511598753757</v>
      </c>
      <c r="GK46" s="119">
        <f t="shared" si="45"/>
        <v>56735.34236944389</v>
      </c>
      <c r="GL46" s="119">
        <f t="shared" si="45"/>
        <v>56735.34236944389</v>
      </c>
      <c r="GM46" s="119">
        <f t="shared" si="45"/>
        <v>56735.34236944389</v>
      </c>
      <c r="GN46" s="119">
        <f t="shared" si="45"/>
        <v>56735.34236944389</v>
      </c>
      <c r="GO46" s="119">
        <f t="shared" si="45"/>
        <v>56735.34236944389</v>
      </c>
      <c r="GP46" s="119">
        <f t="shared" si="45"/>
        <v>34474.040268112207</v>
      </c>
      <c r="GQ46" s="119">
        <f t="shared" si="45"/>
        <v>34474.040268112207</v>
      </c>
      <c r="GR46" s="119">
        <f t="shared" si="45"/>
        <v>34474.040268112207</v>
      </c>
      <c r="GS46" s="119">
        <f t="shared" si="45"/>
        <v>34474.040268112207</v>
      </c>
      <c r="GT46" s="119">
        <f t="shared" si="45"/>
        <v>34474.040268112207</v>
      </c>
      <c r="GU46" s="119">
        <f t="shared" si="45"/>
        <v>30932.618422919721</v>
      </c>
      <c r="GV46" s="119">
        <f t="shared" si="45"/>
        <v>30932.618422919721</v>
      </c>
      <c r="GW46" s="119">
        <f t="shared" si="45"/>
        <v>30932.618422919721</v>
      </c>
      <c r="GX46" s="119">
        <f t="shared" si="45"/>
        <v>30932.618422919721</v>
      </c>
      <c r="GY46" s="119">
        <f t="shared" si="45"/>
        <v>30932.618422919721</v>
      </c>
      <c r="GZ46" s="119">
        <f t="shared" si="46"/>
        <v>29810.958123196833</v>
      </c>
      <c r="HA46" s="119">
        <f t="shared" si="46"/>
        <v>29810.958123196833</v>
      </c>
      <c r="HB46" s="119">
        <f t="shared" si="46"/>
        <v>29810.958123196833</v>
      </c>
      <c r="HC46" s="119">
        <f t="shared" si="46"/>
        <v>29810.958123196833</v>
      </c>
      <c r="HD46" s="119">
        <f t="shared" si="46"/>
        <v>29810.958123196833</v>
      </c>
      <c r="HE46" s="119">
        <f t="shared" si="46"/>
        <v>28624.26673193945</v>
      </c>
      <c r="HF46" s="119">
        <f t="shared" si="28"/>
        <v>28624.26673193945</v>
      </c>
      <c r="HG46" s="119">
        <f t="shared" si="28"/>
        <v>28624.26673193945</v>
      </c>
      <c r="HH46" s="119">
        <f t="shared" si="28"/>
        <v>28624.26673193945</v>
      </c>
      <c r="HI46" s="119">
        <f t="shared" si="28"/>
        <v>28624.26673193945</v>
      </c>
      <c r="HJ46" s="119">
        <f t="shared" si="28"/>
        <v>26805.412636928133</v>
      </c>
    </row>
    <row r="47" spans="17:218" x14ac:dyDescent="0.25">
      <c r="Q47" s="37">
        <v>2050</v>
      </c>
      <c r="R47" s="136">
        <v>1E-3</v>
      </c>
      <c r="S47" s="137">
        <f>1-SUM(R47,T47:W47)</f>
        <v>0.871</v>
      </c>
      <c r="T47" s="137">
        <v>0</v>
      </c>
      <c r="U47" s="137">
        <v>0.126</v>
      </c>
      <c r="V47" s="137">
        <v>2E-3</v>
      </c>
      <c r="W47" s="137">
        <v>0</v>
      </c>
      <c r="X47" s="138">
        <f t="shared" si="48"/>
        <v>1</v>
      </c>
      <c r="Z47" s="83" t="s">
        <v>224</v>
      </c>
      <c r="AA47" s="114">
        <f>'US Grid mix, emissions&amp;prices'!O99</f>
        <v>94567</v>
      </c>
      <c r="AB47" s="116">
        <f t="shared" si="49"/>
        <v>94567</v>
      </c>
      <c r="AC47" s="116">
        <f t="shared" si="49"/>
        <v>83171.093841755224</v>
      </c>
      <c r="AD47" s="116">
        <f t="shared" si="49"/>
        <v>83171.093841755224</v>
      </c>
      <c r="AE47" s="116">
        <f t="shared" si="49"/>
        <v>83171.093841755224</v>
      </c>
      <c r="AF47" s="116">
        <f t="shared" si="49"/>
        <v>83171.093841755224</v>
      </c>
      <c r="AG47" s="116">
        <f t="shared" si="49"/>
        <v>83171.093841755224</v>
      </c>
      <c r="AH47" s="116">
        <f t="shared" si="49"/>
        <v>49972.327509806484</v>
      </c>
      <c r="AI47" s="116">
        <f t="shared" si="49"/>
        <v>49972.327509806484</v>
      </c>
      <c r="AJ47" s="116">
        <f t="shared" si="49"/>
        <v>49972.327509806484</v>
      </c>
      <c r="AK47" s="116">
        <f t="shared" si="49"/>
        <v>49972.327509806484</v>
      </c>
      <c r="AL47" s="116">
        <f t="shared" si="49"/>
        <v>49972.327509806484</v>
      </c>
      <c r="AM47" s="116">
        <f t="shared" si="49"/>
        <v>52294.943927682427</v>
      </c>
      <c r="AN47" s="116">
        <f t="shared" si="49"/>
        <v>52294.943927682427</v>
      </c>
      <c r="AO47" s="116">
        <f t="shared" si="49"/>
        <v>52294.943927682427</v>
      </c>
      <c r="AP47" s="116">
        <f t="shared" si="49"/>
        <v>52294.943927682427</v>
      </c>
      <c r="AQ47" s="116">
        <f t="shared" si="49"/>
        <v>52294.943927682427</v>
      </c>
      <c r="AR47" s="116">
        <f t="shared" si="47"/>
        <v>54666.388491149111</v>
      </c>
      <c r="AS47" s="116">
        <f t="shared" si="47"/>
        <v>54666.388491149111</v>
      </c>
      <c r="AT47" s="116">
        <f t="shared" si="47"/>
        <v>54666.388491149111</v>
      </c>
      <c r="AU47" s="116">
        <f t="shared" si="47"/>
        <v>54666.388491149111</v>
      </c>
      <c r="AV47" s="116">
        <f t="shared" si="47"/>
        <v>54666.388491149111</v>
      </c>
      <c r="AW47" s="116">
        <f t="shared" si="47"/>
        <v>55865.957560438037</v>
      </c>
      <c r="AX47" s="116">
        <f t="shared" si="47"/>
        <v>55865.957560438037</v>
      </c>
      <c r="AY47" s="116">
        <f t="shared" si="47"/>
        <v>55865.957560438037</v>
      </c>
      <c r="AZ47" s="116">
        <f t="shared" si="47"/>
        <v>55865.957560438037</v>
      </c>
      <c r="BA47" s="116">
        <f t="shared" si="47"/>
        <v>55865.957560438037</v>
      </c>
      <c r="BB47" s="116">
        <f t="shared" si="47"/>
        <v>55941.750502847543</v>
      </c>
      <c r="BM47" s="123" t="s">
        <v>224</v>
      </c>
      <c r="BN47" s="103">
        <f t="shared" si="23"/>
        <v>94567</v>
      </c>
      <c r="BO47" s="119">
        <f t="shared" si="37"/>
        <v>94567</v>
      </c>
      <c r="BP47" s="119">
        <f t="shared" si="37"/>
        <v>83062.505876187759</v>
      </c>
      <c r="BQ47" s="119">
        <f t="shared" si="37"/>
        <v>83062.505876187759</v>
      </c>
      <c r="BR47" s="119">
        <f t="shared" si="37"/>
        <v>83062.505876187759</v>
      </c>
      <c r="BS47" s="119">
        <f t="shared" si="37"/>
        <v>83062.505876187759</v>
      </c>
      <c r="BT47" s="119">
        <f t="shared" si="37"/>
        <v>83062.505876187759</v>
      </c>
      <c r="BU47" s="119">
        <f t="shared" si="37"/>
        <v>94156.697821379305</v>
      </c>
      <c r="BV47" s="119">
        <f t="shared" si="37"/>
        <v>94156.697821379305</v>
      </c>
      <c r="BW47" s="119">
        <f t="shared" si="37"/>
        <v>94156.697821379305</v>
      </c>
      <c r="BX47" s="119">
        <f t="shared" si="37"/>
        <v>94156.697821379305</v>
      </c>
      <c r="BY47" s="119">
        <f t="shared" si="37"/>
        <v>94156.697821379305</v>
      </c>
      <c r="BZ47" s="119">
        <f t="shared" si="37"/>
        <v>96421.011975863308</v>
      </c>
      <c r="CA47" s="119">
        <f t="shared" si="37"/>
        <v>96421.011975863308</v>
      </c>
      <c r="CB47" s="119">
        <f t="shared" si="37"/>
        <v>96421.011975863308</v>
      </c>
      <c r="CC47" s="119">
        <f t="shared" si="37"/>
        <v>96421.011975863308</v>
      </c>
      <c r="CD47" s="119">
        <f t="shared" ref="CD47:CO55" si="50">$BN47*CD$57</f>
        <v>96421.011975863308</v>
      </c>
      <c r="CE47" s="119">
        <f t="shared" si="50"/>
        <v>98804.116992008392</v>
      </c>
      <c r="CF47" s="119">
        <f t="shared" si="50"/>
        <v>98804.116992008392</v>
      </c>
      <c r="CG47" s="119">
        <f t="shared" si="50"/>
        <v>98804.116992008392</v>
      </c>
      <c r="CH47" s="119">
        <f t="shared" si="50"/>
        <v>98804.116992008392</v>
      </c>
      <c r="CI47" s="119">
        <f t="shared" si="50"/>
        <v>98804.116992008392</v>
      </c>
      <c r="CJ47" s="119">
        <f t="shared" si="50"/>
        <v>99369.648946910092</v>
      </c>
      <c r="CK47" s="119">
        <f t="shared" si="50"/>
        <v>99369.648946910092</v>
      </c>
      <c r="CL47" s="119">
        <f t="shared" si="50"/>
        <v>99369.648946910092</v>
      </c>
      <c r="CM47" s="119">
        <f t="shared" si="50"/>
        <v>99369.648946910092</v>
      </c>
      <c r="CN47" s="119">
        <f t="shared" si="50"/>
        <v>99369.648946910092</v>
      </c>
      <c r="CO47" s="119">
        <f t="shared" si="50"/>
        <v>100045.22642396405</v>
      </c>
      <c r="CR47" s="123" t="s">
        <v>224</v>
      </c>
      <c r="CS47" s="103">
        <f t="shared" si="11"/>
        <v>114495.44240565348</v>
      </c>
      <c r="CT47" s="119">
        <f t="shared" si="39"/>
        <v>114495.44240565348</v>
      </c>
      <c r="CU47" s="119">
        <f t="shared" si="39"/>
        <v>114495.44240565348</v>
      </c>
      <c r="CV47" s="119">
        <f t="shared" si="39"/>
        <v>114495.44240565348</v>
      </c>
      <c r="CW47" s="119">
        <f t="shared" si="39"/>
        <v>114495.44240565348</v>
      </c>
      <c r="CX47" s="119">
        <f t="shared" si="39"/>
        <v>114495.44240565348</v>
      </c>
      <c r="CY47" s="119">
        <f t="shared" si="39"/>
        <v>114495.44240565348</v>
      </c>
      <c r="CZ47" s="119">
        <f t="shared" si="39"/>
        <v>114520.94964588743</v>
      </c>
      <c r="DA47" s="119">
        <f t="shared" si="39"/>
        <v>114520.94964588743</v>
      </c>
      <c r="DB47" s="119">
        <f t="shared" si="39"/>
        <v>114520.94964588743</v>
      </c>
      <c r="DC47" s="119">
        <f t="shared" si="39"/>
        <v>114520.94964588743</v>
      </c>
      <c r="DD47" s="119">
        <f t="shared" si="39"/>
        <v>114520.94964588743</v>
      </c>
      <c r="DE47" s="119">
        <f t="shared" si="39"/>
        <v>114506.37408003946</v>
      </c>
      <c r="DF47" s="119">
        <f t="shared" si="39"/>
        <v>114506.37408003946</v>
      </c>
      <c r="DG47" s="119">
        <f t="shared" si="39"/>
        <v>114506.37408003946</v>
      </c>
      <c r="DH47" s="119">
        <f t="shared" si="39"/>
        <v>114506.37408003946</v>
      </c>
      <c r="DI47" s="119">
        <f t="shared" ref="DI47:DT55" si="51">$BN47*DI$57</f>
        <v>114506.37408003946</v>
      </c>
      <c r="DJ47" s="119">
        <f t="shared" si="51"/>
        <v>114502.73018857747</v>
      </c>
      <c r="DK47" s="119">
        <f t="shared" si="51"/>
        <v>114502.73018857747</v>
      </c>
      <c r="DL47" s="119">
        <f t="shared" si="51"/>
        <v>114502.73018857747</v>
      </c>
      <c r="DM47" s="119">
        <f t="shared" si="51"/>
        <v>114502.73018857747</v>
      </c>
      <c r="DN47" s="119">
        <f t="shared" si="51"/>
        <v>114502.73018857747</v>
      </c>
      <c r="DO47" s="119">
        <f t="shared" si="51"/>
        <v>114432.03869421476</v>
      </c>
      <c r="DP47" s="119">
        <f t="shared" si="51"/>
        <v>114432.03869421476</v>
      </c>
      <c r="DQ47" s="119">
        <f t="shared" si="51"/>
        <v>114432.03869421476</v>
      </c>
      <c r="DR47" s="119">
        <f t="shared" si="51"/>
        <v>114432.03869421476</v>
      </c>
      <c r="DS47" s="119">
        <f t="shared" si="51"/>
        <v>114432.03869421476</v>
      </c>
      <c r="DT47" s="93">
        <f t="shared" si="51"/>
        <v>114491.06973589907</v>
      </c>
      <c r="DW47" s="123" t="s">
        <v>224</v>
      </c>
      <c r="DX47" s="103">
        <f t="shared" si="13"/>
        <v>119854.87487898475</v>
      </c>
      <c r="DY47" s="119">
        <f t="shared" si="41"/>
        <v>119854.87487898475</v>
      </c>
      <c r="DZ47" s="119">
        <f t="shared" si="41"/>
        <v>105064.8177308157</v>
      </c>
      <c r="EA47" s="119">
        <f t="shared" si="41"/>
        <v>105064.8177308157</v>
      </c>
      <c r="EB47" s="119">
        <f t="shared" si="41"/>
        <v>105064.8177308157</v>
      </c>
      <c r="EC47" s="119">
        <f t="shared" si="41"/>
        <v>105064.8177308157</v>
      </c>
      <c r="ED47" s="119">
        <f t="shared" si="41"/>
        <v>105064.8177308157</v>
      </c>
      <c r="EE47" s="119">
        <f t="shared" si="41"/>
        <v>64755.250211608283</v>
      </c>
      <c r="EF47" s="119">
        <f t="shared" si="41"/>
        <v>64755.250211608283</v>
      </c>
      <c r="EG47" s="119">
        <f t="shared" si="41"/>
        <v>64755.250211608283</v>
      </c>
      <c r="EH47" s="119">
        <f t="shared" si="41"/>
        <v>64755.250211608283</v>
      </c>
      <c r="EI47" s="119">
        <f t="shared" si="41"/>
        <v>64755.250211608283</v>
      </c>
      <c r="EJ47" s="119">
        <f t="shared" si="41"/>
        <v>57834.046997777121</v>
      </c>
      <c r="EK47" s="119">
        <f t="shared" si="41"/>
        <v>57834.046997777121</v>
      </c>
      <c r="EL47" s="119">
        <f t="shared" si="41"/>
        <v>57834.046997777121</v>
      </c>
      <c r="EM47" s="119">
        <f t="shared" si="41"/>
        <v>57834.046997777121</v>
      </c>
      <c r="EN47" s="119">
        <f t="shared" ref="EN47:EY55" si="52">$DX47*EN$57</f>
        <v>57834.046997777121</v>
      </c>
      <c r="EO47" s="119">
        <f t="shared" si="52"/>
        <v>56013.745846561702</v>
      </c>
      <c r="EP47" s="119">
        <f t="shared" si="52"/>
        <v>56013.745846561702</v>
      </c>
      <c r="EQ47" s="119">
        <f t="shared" si="52"/>
        <v>56013.745846561702</v>
      </c>
      <c r="ER47" s="119">
        <f t="shared" si="52"/>
        <v>56013.745846561702</v>
      </c>
      <c r="ES47" s="119">
        <f t="shared" si="52"/>
        <v>56013.745846561702</v>
      </c>
      <c r="ET47" s="119">
        <f t="shared" si="52"/>
        <v>53934.031928280216</v>
      </c>
      <c r="EU47" s="119">
        <f t="shared" si="52"/>
        <v>53934.031928280216</v>
      </c>
      <c r="EV47" s="119">
        <f t="shared" si="52"/>
        <v>53934.031928280216</v>
      </c>
      <c r="EW47" s="119">
        <f t="shared" si="52"/>
        <v>53934.031928280216</v>
      </c>
      <c r="EX47" s="119">
        <f t="shared" si="52"/>
        <v>53934.031928280216</v>
      </c>
      <c r="EY47" s="119">
        <f t="shared" si="52"/>
        <v>50672.842856592302</v>
      </c>
      <c r="FB47" s="123" t="s">
        <v>224</v>
      </c>
      <c r="FC47" s="103">
        <f t="shared" si="15"/>
        <v>130000.20819778011</v>
      </c>
      <c r="FD47" s="119">
        <f t="shared" si="43"/>
        <v>130000.20819778011</v>
      </c>
      <c r="FE47" s="119">
        <f t="shared" si="43"/>
        <v>113529.26220178491</v>
      </c>
      <c r="FF47" s="119">
        <f t="shared" si="43"/>
        <v>113529.26220178491</v>
      </c>
      <c r="FG47" s="119">
        <f t="shared" si="43"/>
        <v>113529.26220178491</v>
      </c>
      <c r="FH47" s="119">
        <f t="shared" si="43"/>
        <v>113529.26220178491</v>
      </c>
      <c r="FI47" s="119">
        <f t="shared" si="43"/>
        <v>113529.26220178491</v>
      </c>
      <c r="FJ47" s="119">
        <f t="shared" si="43"/>
        <v>71242.334100961511</v>
      </c>
      <c r="FK47" s="119">
        <f t="shared" si="43"/>
        <v>71242.334100961511</v>
      </c>
      <c r="FL47" s="119">
        <f t="shared" si="43"/>
        <v>71242.334100961511</v>
      </c>
      <c r="FM47" s="119">
        <f t="shared" si="43"/>
        <v>71242.334100961511</v>
      </c>
      <c r="FN47" s="119">
        <f t="shared" si="43"/>
        <v>71242.334100961511</v>
      </c>
      <c r="FO47" s="119">
        <f t="shared" si="43"/>
        <v>63259.656197400764</v>
      </c>
      <c r="FP47" s="119">
        <f t="shared" si="43"/>
        <v>63259.656197400764</v>
      </c>
      <c r="FQ47" s="119">
        <f t="shared" si="43"/>
        <v>63259.656197400764</v>
      </c>
      <c r="FR47" s="119">
        <f t="shared" si="43"/>
        <v>63259.656197400764</v>
      </c>
      <c r="FS47" s="119">
        <f t="shared" ref="FS47:GD55" si="53">$FC47*FS$57</f>
        <v>63259.656197400764</v>
      </c>
      <c r="FT47" s="119">
        <f t="shared" si="53"/>
        <v>61649.355857619805</v>
      </c>
      <c r="FU47" s="119">
        <f t="shared" si="53"/>
        <v>61649.355857619805</v>
      </c>
      <c r="FV47" s="119">
        <f t="shared" si="53"/>
        <v>61649.355857619805</v>
      </c>
      <c r="FW47" s="119">
        <f t="shared" si="53"/>
        <v>61649.355857619805</v>
      </c>
      <c r="FX47" s="119">
        <f t="shared" si="53"/>
        <v>61649.355857619805</v>
      </c>
      <c r="FY47" s="119">
        <f t="shared" si="53"/>
        <v>59565.23015758548</v>
      </c>
      <c r="FZ47" s="119">
        <f t="shared" si="53"/>
        <v>59565.23015758548</v>
      </c>
      <c r="GA47" s="119">
        <f t="shared" si="53"/>
        <v>59565.23015758548</v>
      </c>
      <c r="GB47" s="119">
        <f t="shared" si="53"/>
        <v>59565.23015758548</v>
      </c>
      <c r="GC47" s="119">
        <f t="shared" si="53"/>
        <v>59565.23015758548</v>
      </c>
      <c r="GD47" s="119">
        <f t="shared" si="53"/>
        <v>56191.099473025257</v>
      </c>
      <c r="GH47" s="123" t="s">
        <v>224</v>
      </c>
      <c r="GI47" s="103">
        <f t="shared" si="17"/>
        <v>112949.55407946375</v>
      </c>
      <c r="GJ47" s="119">
        <f t="shared" si="45"/>
        <v>112949.55407946375</v>
      </c>
      <c r="GK47" s="119">
        <f t="shared" si="45"/>
        <v>99303.913117977383</v>
      </c>
      <c r="GL47" s="119">
        <f t="shared" si="45"/>
        <v>99303.913117977383</v>
      </c>
      <c r="GM47" s="119">
        <f t="shared" si="45"/>
        <v>99303.913117977383</v>
      </c>
      <c r="GN47" s="119">
        <f t="shared" si="45"/>
        <v>99303.913117977383</v>
      </c>
      <c r="GO47" s="119">
        <f t="shared" si="45"/>
        <v>99303.913117977383</v>
      </c>
      <c r="GP47" s="119">
        <f t="shared" si="45"/>
        <v>60339.939033381474</v>
      </c>
      <c r="GQ47" s="119">
        <f t="shared" si="45"/>
        <v>60339.939033381474</v>
      </c>
      <c r="GR47" s="119">
        <f t="shared" si="45"/>
        <v>60339.939033381474</v>
      </c>
      <c r="GS47" s="119">
        <f t="shared" si="45"/>
        <v>60339.939033381474</v>
      </c>
      <c r="GT47" s="119">
        <f t="shared" si="45"/>
        <v>60339.939033381474</v>
      </c>
      <c r="GU47" s="119">
        <f t="shared" si="45"/>
        <v>54141.385670662967</v>
      </c>
      <c r="GV47" s="119">
        <f t="shared" si="45"/>
        <v>54141.385670662967</v>
      </c>
      <c r="GW47" s="119">
        <f t="shared" si="45"/>
        <v>54141.385670662967</v>
      </c>
      <c r="GX47" s="119">
        <f t="shared" si="45"/>
        <v>54141.385670662967</v>
      </c>
      <c r="GY47" s="119">
        <f t="shared" ref="GY47:HJ55" si="54">$GI47*GY$57</f>
        <v>54141.385670662967</v>
      </c>
      <c r="GZ47" s="119">
        <f t="shared" si="54"/>
        <v>52178.142790656035</v>
      </c>
      <c r="HA47" s="119">
        <f t="shared" si="54"/>
        <v>52178.142790656035</v>
      </c>
      <c r="HB47" s="119">
        <f t="shared" si="54"/>
        <v>52178.142790656035</v>
      </c>
      <c r="HC47" s="119">
        <f t="shared" si="54"/>
        <v>52178.142790656035</v>
      </c>
      <c r="HD47" s="119">
        <f t="shared" si="54"/>
        <v>52178.142790656035</v>
      </c>
      <c r="HE47" s="119">
        <f t="shared" si="54"/>
        <v>50101.075941426236</v>
      </c>
      <c r="HF47" s="119">
        <f t="shared" si="54"/>
        <v>50101.075941426236</v>
      </c>
      <c r="HG47" s="119">
        <f t="shared" si="54"/>
        <v>50101.075941426236</v>
      </c>
      <c r="HH47" s="119">
        <f t="shared" si="54"/>
        <v>50101.075941426236</v>
      </c>
      <c r="HI47" s="119">
        <f t="shared" si="54"/>
        <v>50101.075941426236</v>
      </c>
      <c r="HJ47" s="119">
        <f t="shared" si="54"/>
        <v>46917.53422858804</v>
      </c>
    </row>
    <row r="48" spans="17:218" x14ac:dyDescent="0.25">
      <c r="Q48" s="248" t="s">
        <v>481</v>
      </c>
      <c r="R48" s="249"/>
      <c r="S48" s="249"/>
      <c r="T48" s="249"/>
      <c r="U48" s="249"/>
      <c r="V48" s="249"/>
      <c r="W48" s="249"/>
      <c r="X48" s="250"/>
      <c r="Z48" s="83" t="s">
        <v>225</v>
      </c>
      <c r="AA48" s="114">
        <f>'US Grid mix, emissions&amp;prices'!O100</f>
        <v>121038</v>
      </c>
      <c r="AB48" s="116">
        <f t="shared" si="49"/>
        <v>121038</v>
      </c>
      <c r="AC48" s="116">
        <f t="shared" si="49"/>
        <v>106452.17524525859</v>
      </c>
      <c r="AD48" s="116">
        <f t="shared" si="49"/>
        <v>106452.17524525859</v>
      </c>
      <c r="AE48" s="116">
        <f t="shared" si="49"/>
        <v>106452.17524525859</v>
      </c>
      <c r="AF48" s="116">
        <f t="shared" si="49"/>
        <v>106452.17524525859</v>
      </c>
      <c r="AG48" s="116">
        <f t="shared" si="49"/>
        <v>106452.17524525859</v>
      </c>
      <c r="AH48" s="116">
        <f t="shared" si="49"/>
        <v>63960.478572144166</v>
      </c>
      <c r="AI48" s="116">
        <f t="shared" si="49"/>
        <v>63960.478572144166</v>
      </c>
      <c r="AJ48" s="116">
        <f t="shared" si="49"/>
        <v>63960.478572144166</v>
      </c>
      <c r="AK48" s="116">
        <f t="shared" si="49"/>
        <v>63960.478572144166</v>
      </c>
      <c r="AL48" s="116">
        <f t="shared" si="49"/>
        <v>63960.478572144166</v>
      </c>
      <c r="AM48" s="116">
        <f t="shared" si="49"/>
        <v>66933.23699724878</v>
      </c>
      <c r="AN48" s="116">
        <f t="shared" si="49"/>
        <v>66933.23699724878</v>
      </c>
      <c r="AO48" s="116">
        <f t="shared" si="49"/>
        <v>66933.23699724878</v>
      </c>
      <c r="AP48" s="116">
        <f t="shared" si="49"/>
        <v>66933.23699724878</v>
      </c>
      <c r="AQ48" s="116">
        <f t="shared" si="49"/>
        <v>66933.23699724878</v>
      </c>
      <c r="AR48" s="116">
        <f t="shared" si="47"/>
        <v>69968.491441958671</v>
      </c>
      <c r="AS48" s="116">
        <f t="shared" si="47"/>
        <v>69968.491441958671</v>
      </c>
      <c r="AT48" s="116">
        <f t="shared" si="47"/>
        <v>69968.491441958671</v>
      </c>
      <c r="AU48" s="116">
        <f t="shared" si="47"/>
        <v>69968.491441958671</v>
      </c>
      <c r="AV48" s="116">
        <f t="shared" si="47"/>
        <v>69968.491441958671</v>
      </c>
      <c r="AW48" s="116">
        <f t="shared" si="47"/>
        <v>71503.841416141979</v>
      </c>
      <c r="AX48" s="116">
        <f t="shared" si="47"/>
        <v>71503.841416141979</v>
      </c>
      <c r="AY48" s="116">
        <f t="shared" si="47"/>
        <v>71503.841416141979</v>
      </c>
      <c r="AZ48" s="116">
        <f t="shared" si="47"/>
        <v>71503.841416141979</v>
      </c>
      <c r="BA48" s="116">
        <f t="shared" si="47"/>
        <v>71503.841416141979</v>
      </c>
      <c r="BB48" s="116">
        <f t="shared" si="47"/>
        <v>71600.850162991963</v>
      </c>
      <c r="BM48" s="123" t="s">
        <v>225</v>
      </c>
      <c r="BN48" s="103">
        <f t="shared" si="23"/>
        <v>121038</v>
      </c>
      <c r="BO48" s="119">
        <f t="shared" ref="BO48:CD55" si="55">$BN48*BO$57</f>
        <v>121038</v>
      </c>
      <c r="BP48" s="119">
        <f t="shared" si="55"/>
        <v>106313.19155986774</v>
      </c>
      <c r="BQ48" s="119">
        <f t="shared" si="55"/>
        <v>106313.19155986774</v>
      </c>
      <c r="BR48" s="119">
        <f t="shared" si="55"/>
        <v>106313.19155986774</v>
      </c>
      <c r="BS48" s="119">
        <f t="shared" si="55"/>
        <v>106313.19155986774</v>
      </c>
      <c r="BT48" s="119">
        <f t="shared" si="55"/>
        <v>106313.19155986774</v>
      </c>
      <c r="BU48" s="119">
        <f t="shared" si="55"/>
        <v>120512.84688003329</v>
      </c>
      <c r="BV48" s="119">
        <f t="shared" si="55"/>
        <v>120512.84688003329</v>
      </c>
      <c r="BW48" s="119">
        <f t="shared" si="55"/>
        <v>120512.84688003329</v>
      </c>
      <c r="BX48" s="119">
        <f t="shared" si="55"/>
        <v>120512.84688003329</v>
      </c>
      <c r="BY48" s="119">
        <f t="shared" si="55"/>
        <v>120512.84688003329</v>
      </c>
      <c r="BZ48" s="119">
        <f t="shared" si="55"/>
        <v>123410.98319217638</v>
      </c>
      <c r="CA48" s="119">
        <f t="shared" si="55"/>
        <v>123410.98319217638</v>
      </c>
      <c r="CB48" s="119">
        <f t="shared" si="55"/>
        <v>123410.98319217638</v>
      </c>
      <c r="CC48" s="119">
        <f t="shared" si="55"/>
        <v>123410.98319217638</v>
      </c>
      <c r="CD48" s="119">
        <f t="shared" si="55"/>
        <v>123410.98319217638</v>
      </c>
      <c r="CE48" s="119">
        <f t="shared" si="50"/>
        <v>126461.16205947858</v>
      </c>
      <c r="CF48" s="119">
        <f t="shared" si="50"/>
        <v>126461.16205947858</v>
      </c>
      <c r="CG48" s="119">
        <f t="shared" si="50"/>
        <v>126461.16205947858</v>
      </c>
      <c r="CH48" s="119">
        <f t="shared" si="50"/>
        <v>126461.16205947858</v>
      </c>
      <c r="CI48" s="119">
        <f t="shared" si="50"/>
        <v>126461.16205947858</v>
      </c>
      <c r="CJ48" s="119">
        <f t="shared" si="50"/>
        <v>127184.99655520535</v>
      </c>
      <c r="CK48" s="119">
        <f t="shared" si="50"/>
        <v>127184.99655520535</v>
      </c>
      <c r="CL48" s="119">
        <f t="shared" si="50"/>
        <v>127184.99655520535</v>
      </c>
      <c r="CM48" s="119">
        <f t="shared" si="50"/>
        <v>127184.99655520535</v>
      </c>
      <c r="CN48" s="119">
        <f t="shared" si="50"/>
        <v>127184.99655520535</v>
      </c>
      <c r="CO48" s="119">
        <f t="shared" si="50"/>
        <v>128049.68028914697</v>
      </c>
      <c r="CR48" s="123" t="s">
        <v>225</v>
      </c>
      <c r="CS48" s="103">
        <f t="shared" si="11"/>
        <v>146544.77098666009</v>
      </c>
      <c r="CT48" s="119">
        <f t="shared" ref="CT48:DI55" si="56">$BN48*CT$57</f>
        <v>146544.77098666009</v>
      </c>
      <c r="CU48" s="119">
        <f t="shared" si="56"/>
        <v>146544.77098666009</v>
      </c>
      <c r="CV48" s="119">
        <f t="shared" si="56"/>
        <v>146544.77098666009</v>
      </c>
      <c r="CW48" s="119">
        <f t="shared" si="56"/>
        <v>146544.77098666009</v>
      </c>
      <c r="CX48" s="119">
        <f t="shared" si="56"/>
        <v>146544.77098666009</v>
      </c>
      <c r="CY48" s="119">
        <f t="shared" si="56"/>
        <v>146544.77098666009</v>
      </c>
      <c r="CZ48" s="119">
        <f t="shared" si="56"/>
        <v>146577.41816108074</v>
      </c>
      <c r="DA48" s="119">
        <f t="shared" si="56"/>
        <v>146577.41816108074</v>
      </c>
      <c r="DB48" s="119">
        <f t="shared" si="56"/>
        <v>146577.41816108074</v>
      </c>
      <c r="DC48" s="119">
        <f t="shared" si="56"/>
        <v>146577.41816108074</v>
      </c>
      <c r="DD48" s="119">
        <f t="shared" si="56"/>
        <v>146577.41816108074</v>
      </c>
      <c r="DE48" s="119">
        <f t="shared" si="56"/>
        <v>146558.76263284037</v>
      </c>
      <c r="DF48" s="119">
        <f t="shared" si="56"/>
        <v>146558.76263284037</v>
      </c>
      <c r="DG48" s="119">
        <f t="shared" si="56"/>
        <v>146558.76263284037</v>
      </c>
      <c r="DH48" s="119">
        <f t="shared" si="56"/>
        <v>146558.76263284037</v>
      </c>
      <c r="DI48" s="119">
        <f t="shared" si="56"/>
        <v>146558.76263284037</v>
      </c>
      <c r="DJ48" s="119">
        <f t="shared" si="51"/>
        <v>146554.09875078028</v>
      </c>
      <c r="DK48" s="119">
        <f t="shared" si="51"/>
        <v>146554.09875078028</v>
      </c>
      <c r="DL48" s="119">
        <f t="shared" si="51"/>
        <v>146554.09875078028</v>
      </c>
      <c r="DM48" s="119">
        <f t="shared" si="51"/>
        <v>146554.09875078028</v>
      </c>
      <c r="DN48" s="119">
        <f t="shared" si="51"/>
        <v>146554.09875078028</v>
      </c>
      <c r="DO48" s="119">
        <f t="shared" si="51"/>
        <v>146463.61943881444</v>
      </c>
      <c r="DP48" s="119">
        <f t="shared" si="51"/>
        <v>146463.61943881444</v>
      </c>
      <c r="DQ48" s="119">
        <f t="shared" si="51"/>
        <v>146463.61943881444</v>
      </c>
      <c r="DR48" s="119">
        <f t="shared" si="51"/>
        <v>146463.61943881444</v>
      </c>
      <c r="DS48" s="119">
        <f t="shared" si="51"/>
        <v>146463.61943881444</v>
      </c>
      <c r="DT48" s="93">
        <f t="shared" si="51"/>
        <v>146539.17432818798</v>
      </c>
      <c r="DW48" s="123" t="s">
        <v>225</v>
      </c>
      <c r="DX48" s="103">
        <f t="shared" si="13"/>
        <v>153404.40476701761</v>
      </c>
      <c r="DY48" s="119">
        <f t="shared" ref="DY48:EN55" si="57">$DX48*DY$57</f>
        <v>153404.40476701761</v>
      </c>
      <c r="DZ48" s="119">
        <f t="shared" si="57"/>
        <v>134474.34526317287</v>
      </c>
      <c r="EA48" s="119">
        <f t="shared" si="57"/>
        <v>134474.34526317287</v>
      </c>
      <c r="EB48" s="119">
        <f t="shared" si="57"/>
        <v>134474.34526317287</v>
      </c>
      <c r="EC48" s="119">
        <f t="shared" si="57"/>
        <v>134474.34526317287</v>
      </c>
      <c r="ED48" s="119">
        <f t="shared" si="57"/>
        <v>134474.34526317287</v>
      </c>
      <c r="EE48" s="119">
        <f t="shared" si="57"/>
        <v>82881.406570078805</v>
      </c>
      <c r="EF48" s="119">
        <f t="shared" si="57"/>
        <v>82881.406570078805</v>
      </c>
      <c r="EG48" s="119">
        <f t="shared" si="57"/>
        <v>82881.406570078805</v>
      </c>
      <c r="EH48" s="119">
        <f t="shared" si="57"/>
        <v>82881.406570078805</v>
      </c>
      <c r="EI48" s="119">
        <f t="shared" si="57"/>
        <v>82881.406570078805</v>
      </c>
      <c r="EJ48" s="119">
        <f t="shared" si="57"/>
        <v>74022.83439801354</v>
      </c>
      <c r="EK48" s="119">
        <f t="shared" si="57"/>
        <v>74022.83439801354</v>
      </c>
      <c r="EL48" s="119">
        <f t="shared" si="57"/>
        <v>74022.83439801354</v>
      </c>
      <c r="EM48" s="119">
        <f t="shared" si="57"/>
        <v>74022.83439801354</v>
      </c>
      <c r="EN48" s="119">
        <f t="shared" si="57"/>
        <v>74022.83439801354</v>
      </c>
      <c r="EO48" s="119">
        <f t="shared" si="52"/>
        <v>71692.998295136087</v>
      </c>
      <c r="EP48" s="119">
        <f t="shared" si="52"/>
        <v>71692.998295136087</v>
      </c>
      <c r="EQ48" s="119">
        <f t="shared" si="52"/>
        <v>71692.998295136087</v>
      </c>
      <c r="ER48" s="119">
        <f t="shared" si="52"/>
        <v>71692.998295136087</v>
      </c>
      <c r="ES48" s="119">
        <f t="shared" si="52"/>
        <v>71692.998295136087</v>
      </c>
      <c r="ET48" s="119">
        <f t="shared" si="52"/>
        <v>69031.135137364836</v>
      </c>
      <c r="EU48" s="119">
        <f t="shared" si="52"/>
        <v>69031.135137364836</v>
      </c>
      <c r="EV48" s="119">
        <f t="shared" si="52"/>
        <v>69031.135137364836</v>
      </c>
      <c r="EW48" s="119">
        <f t="shared" si="52"/>
        <v>69031.135137364836</v>
      </c>
      <c r="EX48" s="119">
        <f t="shared" si="52"/>
        <v>69031.135137364836</v>
      </c>
      <c r="EY48" s="119">
        <f t="shared" si="52"/>
        <v>64857.080732985276</v>
      </c>
      <c r="FB48" s="123" t="s">
        <v>225</v>
      </c>
      <c r="FC48" s="103">
        <f t="shared" si="15"/>
        <v>166389.59890704905</v>
      </c>
      <c r="FD48" s="119">
        <f t="shared" ref="FD48:FS55" si="58">$FC48*FD$57</f>
        <v>166389.59890704905</v>
      </c>
      <c r="FE48" s="119">
        <f t="shared" si="58"/>
        <v>145308.13960873921</v>
      </c>
      <c r="FF48" s="119">
        <f t="shared" si="58"/>
        <v>145308.13960873921</v>
      </c>
      <c r="FG48" s="119">
        <f t="shared" si="58"/>
        <v>145308.13960873921</v>
      </c>
      <c r="FH48" s="119">
        <f t="shared" si="58"/>
        <v>145308.13960873921</v>
      </c>
      <c r="FI48" s="119">
        <f t="shared" si="58"/>
        <v>145308.13960873921</v>
      </c>
      <c r="FJ48" s="119">
        <f t="shared" si="58"/>
        <v>91184.341629872783</v>
      </c>
      <c r="FK48" s="119">
        <f t="shared" si="58"/>
        <v>91184.341629872783</v>
      </c>
      <c r="FL48" s="119">
        <f t="shared" si="58"/>
        <v>91184.341629872783</v>
      </c>
      <c r="FM48" s="119">
        <f t="shared" si="58"/>
        <v>91184.341629872783</v>
      </c>
      <c r="FN48" s="119">
        <f t="shared" si="58"/>
        <v>91184.341629872783</v>
      </c>
      <c r="FO48" s="119">
        <f t="shared" si="58"/>
        <v>80967.168957680726</v>
      </c>
      <c r="FP48" s="119">
        <f t="shared" si="58"/>
        <v>80967.168957680726</v>
      </c>
      <c r="FQ48" s="119">
        <f t="shared" si="58"/>
        <v>80967.168957680726</v>
      </c>
      <c r="FR48" s="119">
        <f t="shared" si="58"/>
        <v>80967.168957680726</v>
      </c>
      <c r="FS48" s="119">
        <f t="shared" si="58"/>
        <v>80967.168957680726</v>
      </c>
      <c r="FT48" s="119">
        <f t="shared" si="53"/>
        <v>78906.116661145905</v>
      </c>
      <c r="FU48" s="119">
        <f t="shared" si="53"/>
        <v>78906.116661145905</v>
      </c>
      <c r="FV48" s="119">
        <f t="shared" si="53"/>
        <v>78906.116661145905</v>
      </c>
      <c r="FW48" s="119">
        <f t="shared" si="53"/>
        <v>78906.116661145905</v>
      </c>
      <c r="FX48" s="119">
        <f t="shared" si="53"/>
        <v>78906.116661145905</v>
      </c>
      <c r="FY48" s="119">
        <f t="shared" si="53"/>
        <v>76238.606784753982</v>
      </c>
      <c r="FZ48" s="119">
        <f t="shared" si="53"/>
        <v>76238.606784753982</v>
      </c>
      <c r="GA48" s="119">
        <f t="shared" si="53"/>
        <v>76238.606784753982</v>
      </c>
      <c r="GB48" s="119">
        <f t="shared" si="53"/>
        <v>76238.606784753982</v>
      </c>
      <c r="GC48" s="119">
        <f t="shared" si="53"/>
        <v>76238.606784753982</v>
      </c>
      <c r="GD48" s="119">
        <f t="shared" si="53"/>
        <v>71919.996383685968</v>
      </c>
      <c r="GH48" s="123" t="s">
        <v>225</v>
      </c>
      <c r="GI48" s="103">
        <f t="shared" si="17"/>
        <v>144566.16078198666</v>
      </c>
      <c r="GJ48" s="119">
        <f t="shared" ref="GJ48:GY55" si="59">$GI48*GJ$57</f>
        <v>144566.16078198666</v>
      </c>
      <c r="GK48" s="119">
        <f t="shared" si="59"/>
        <v>127100.86008833681</v>
      </c>
      <c r="GL48" s="119">
        <f t="shared" si="59"/>
        <v>127100.86008833681</v>
      </c>
      <c r="GM48" s="119">
        <f t="shared" si="59"/>
        <v>127100.86008833681</v>
      </c>
      <c r="GN48" s="119">
        <f t="shared" si="59"/>
        <v>127100.86008833681</v>
      </c>
      <c r="GO48" s="119">
        <f t="shared" si="59"/>
        <v>127100.86008833681</v>
      </c>
      <c r="GP48" s="119">
        <f t="shared" si="59"/>
        <v>77230.170574538963</v>
      </c>
      <c r="GQ48" s="119">
        <f t="shared" si="59"/>
        <v>77230.170574538963</v>
      </c>
      <c r="GR48" s="119">
        <f t="shared" si="59"/>
        <v>77230.170574538963</v>
      </c>
      <c r="GS48" s="119">
        <f t="shared" si="59"/>
        <v>77230.170574538963</v>
      </c>
      <c r="GT48" s="119">
        <f t="shared" si="59"/>
        <v>77230.170574538963</v>
      </c>
      <c r="GU48" s="119">
        <f t="shared" si="59"/>
        <v>69296.530912535076</v>
      </c>
      <c r="GV48" s="119">
        <f t="shared" si="59"/>
        <v>69296.530912535076</v>
      </c>
      <c r="GW48" s="119">
        <f t="shared" si="59"/>
        <v>69296.530912535076</v>
      </c>
      <c r="GX48" s="119">
        <f t="shared" si="59"/>
        <v>69296.530912535076</v>
      </c>
      <c r="GY48" s="119">
        <f t="shared" si="59"/>
        <v>69296.530912535076</v>
      </c>
      <c r="GZ48" s="119">
        <f t="shared" si="54"/>
        <v>66783.741126348788</v>
      </c>
      <c r="HA48" s="119">
        <f t="shared" si="54"/>
        <v>66783.741126348788</v>
      </c>
      <c r="HB48" s="119">
        <f t="shared" si="54"/>
        <v>66783.741126348788</v>
      </c>
      <c r="HC48" s="119">
        <f t="shared" si="54"/>
        <v>66783.741126348788</v>
      </c>
      <c r="HD48" s="119">
        <f t="shared" si="54"/>
        <v>66783.741126348788</v>
      </c>
      <c r="HE48" s="119">
        <f t="shared" si="54"/>
        <v>64125.265999749899</v>
      </c>
      <c r="HF48" s="119">
        <f t="shared" si="54"/>
        <v>64125.265999749899</v>
      </c>
      <c r="HG48" s="119">
        <f t="shared" si="54"/>
        <v>64125.265999749899</v>
      </c>
      <c r="HH48" s="119">
        <f t="shared" si="54"/>
        <v>64125.265999749899</v>
      </c>
      <c r="HI48" s="119">
        <f t="shared" si="54"/>
        <v>64125.265999749899</v>
      </c>
      <c r="HJ48" s="119">
        <f t="shared" si="54"/>
        <v>60050.593843093666</v>
      </c>
    </row>
    <row r="49" spans="17:218" x14ac:dyDescent="0.25">
      <c r="Q49" s="235" t="s">
        <v>472</v>
      </c>
      <c r="R49" s="251"/>
      <c r="S49" s="251"/>
      <c r="T49" s="251"/>
      <c r="U49" s="251"/>
      <c r="V49" s="251"/>
      <c r="W49" s="251"/>
      <c r="X49" s="251"/>
      <c r="Z49" s="83" t="s">
        <v>226</v>
      </c>
      <c r="AA49" s="114">
        <f>'US Grid mix, emissions&amp;prices'!O101</f>
        <v>212402</v>
      </c>
      <c r="AB49" s="116">
        <f t="shared" si="49"/>
        <v>212402</v>
      </c>
      <c r="AC49" s="116">
        <f t="shared" si="49"/>
        <v>186806.25032174538</v>
      </c>
      <c r="AD49" s="116">
        <f t="shared" si="49"/>
        <v>186806.25032174538</v>
      </c>
      <c r="AE49" s="116">
        <f t="shared" si="49"/>
        <v>186806.25032174538</v>
      </c>
      <c r="AF49" s="116">
        <f t="shared" si="49"/>
        <v>186806.25032174538</v>
      </c>
      <c r="AG49" s="116">
        <f t="shared" si="49"/>
        <v>186806.25032174538</v>
      </c>
      <c r="AH49" s="116">
        <f t="shared" si="49"/>
        <v>112240.23504751042</v>
      </c>
      <c r="AI49" s="116">
        <f t="shared" si="49"/>
        <v>112240.23504751042</v>
      </c>
      <c r="AJ49" s="116">
        <f t="shared" si="49"/>
        <v>112240.23504751042</v>
      </c>
      <c r="AK49" s="116">
        <f t="shared" si="49"/>
        <v>112240.23504751042</v>
      </c>
      <c r="AL49" s="116">
        <f t="shared" si="49"/>
        <v>112240.23504751042</v>
      </c>
      <c r="AM49" s="116">
        <f t="shared" si="49"/>
        <v>117456.94248657145</v>
      </c>
      <c r="AN49" s="116">
        <f t="shared" si="49"/>
        <v>117456.94248657145</v>
      </c>
      <c r="AO49" s="116">
        <f t="shared" si="49"/>
        <v>117456.94248657145</v>
      </c>
      <c r="AP49" s="116">
        <f t="shared" si="49"/>
        <v>117456.94248657145</v>
      </c>
      <c r="AQ49" s="116">
        <f t="shared" si="49"/>
        <v>117456.94248657145</v>
      </c>
      <c r="AR49" s="116">
        <f t="shared" si="47"/>
        <v>122783.32027342575</v>
      </c>
      <c r="AS49" s="116">
        <f t="shared" si="47"/>
        <v>122783.32027342575</v>
      </c>
      <c r="AT49" s="116">
        <f t="shared" si="47"/>
        <v>122783.32027342575</v>
      </c>
      <c r="AU49" s="116">
        <f t="shared" si="47"/>
        <v>122783.32027342575</v>
      </c>
      <c r="AV49" s="116">
        <f t="shared" si="47"/>
        <v>122783.32027342575</v>
      </c>
      <c r="AW49" s="116">
        <f t="shared" si="47"/>
        <v>125477.60971324204</v>
      </c>
      <c r="AX49" s="116">
        <f t="shared" si="47"/>
        <v>125477.60971324204</v>
      </c>
      <c r="AY49" s="116">
        <f t="shared" si="47"/>
        <v>125477.60971324204</v>
      </c>
      <c r="AZ49" s="116">
        <f t="shared" si="47"/>
        <v>125477.60971324204</v>
      </c>
      <c r="BA49" s="116">
        <f t="shared" si="47"/>
        <v>125477.60971324204</v>
      </c>
      <c r="BB49" s="116">
        <f t="shared" si="47"/>
        <v>125647.84428295097</v>
      </c>
      <c r="BM49" s="123" t="s">
        <v>226</v>
      </c>
      <c r="BN49" s="103">
        <f t="shared" si="23"/>
        <v>212402</v>
      </c>
      <c r="BO49" s="119">
        <f t="shared" si="55"/>
        <v>212402</v>
      </c>
      <c r="BP49" s="119">
        <f t="shared" si="55"/>
        <v>186562.35656322006</v>
      </c>
      <c r="BQ49" s="119">
        <f t="shared" si="55"/>
        <v>186562.35656322006</v>
      </c>
      <c r="BR49" s="119">
        <f t="shared" si="55"/>
        <v>186562.35656322006</v>
      </c>
      <c r="BS49" s="119">
        <f t="shared" si="55"/>
        <v>186562.35656322006</v>
      </c>
      <c r="BT49" s="119">
        <f t="shared" si="55"/>
        <v>186562.35656322006</v>
      </c>
      <c r="BU49" s="119">
        <f t="shared" si="55"/>
        <v>211480.44170436417</v>
      </c>
      <c r="BV49" s="119">
        <f t="shared" si="55"/>
        <v>211480.44170436417</v>
      </c>
      <c r="BW49" s="119">
        <f t="shared" si="55"/>
        <v>211480.44170436417</v>
      </c>
      <c r="BX49" s="119">
        <f t="shared" si="55"/>
        <v>211480.44170436417</v>
      </c>
      <c r="BY49" s="119">
        <f t="shared" si="55"/>
        <v>211480.44170436417</v>
      </c>
      <c r="BZ49" s="119">
        <f t="shared" si="55"/>
        <v>216566.19947441833</v>
      </c>
      <c r="CA49" s="119">
        <f t="shared" si="55"/>
        <v>216566.19947441833</v>
      </c>
      <c r="CB49" s="119">
        <f t="shared" si="55"/>
        <v>216566.19947441833</v>
      </c>
      <c r="CC49" s="119">
        <f t="shared" si="55"/>
        <v>216566.19947441833</v>
      </c>
      <c r="CD49" s="119">
        <f t="shared" si="55"/>
        <v>216566.19947441833</v>
      </c>
      <c r="CE49" s="119">
        <f t="shared" si="50"/>
        <v>221918.76719507403</v>
      </c>
      <c r="CF49" s="119">
        <f t="shared" si="50"/>
        <v>221918.76719507403</v>
      </c>
      <c r="CG49" s="119">
        <f t="shared" si="50"/>
        <v>221918.76719507403</v>
      </c>
      <c r="CH49" s="119">
        <f t="shared" si="50"/>
        <v>221918.76719507403</v>
      </c>
      <c r="CI49" s="119">
        <f t="shared" si="50"/>
        <v>221918.76719507403</v>
      </c>
      <c r="CJ49" s="119">
        <f t="shared" si="50"/>
        <v>223188.97898444065</v>
      </c>
      <c r="CK49" s="119">
        <f t="shared" si="50"/>
        <v>223188.97898444065</v>
      </c>
      <c r="CL49" s="119">
        <f t="shared" si="50"/>
        <v>223188.97898444065</v>
      </c>
      <c r="CM49" s="119">
        <f t="shared" si="50"/>
        <v>223188.97898444065</v>
      </c>
      <c r="CN49" s="119">
        <f t="shared" si="50"/>
        <v>223188.97898444065</v>
      </c>
      <c r="CO49" s="119">
        <f t="shared" si="50"/>
        <v>224706.35827405768</v>
      </c>
      <c r="CR49" s="123" t="s">
        <v>226</v>
      </c>
      <c r="CS49" s="103">
        <f t="shared" si="11"/>
        <v>257162.23373740955</v>
      </c>
      <c r="CT49" s="119">
        <f t="shared" si="56"/>
        <v>257162.23373740955</v>
      </c>
      <c r="CU49" s="119">
        <f t="shared" si="56"/>
        <v>257162.23373740955</v>
      </c>
      <c r="CV49" s="119">
        <f t="shared" si="56"/>
        <v>257162.23373740955</v>
      </c>
      <c r="CW49" s="119">
        <f t="shared" si="56"/>
        <v>257162.23373740955</v>
      </c>
      <c r="CX49" s="119">
        <f t="shared" si="56"/>
        <v>257162.23373740955</v>
      </c>
      <c r="CY49" s="119">
        <f t="shared" si="56"/>
        <v>257162.23373740955</v>
      </c>
      <c r="CZ49" s="119">
        <f t="shared" si="56"/>
        <v>257219.52421760003</v>
      </c>
      <c r="DA49" s="119">
        <f t="shared" si="56"/>
        <v>257219.52421760003</v>
      </c>
      <c r="DB49" s="119">
        <f t="shared" si="56"/>
        <v>257219.52421760003</v>
      </c>
      <c r="DC49" s="119">
        <f t="shared" si="56"/>
        <v>257219.52421760003</v>
      </c>
      <c r="DD49" s="119">
        <f t="shared" si="56"/>
        <v>257219.52421760003</v>
      </c>
      <c r="DE49" s="119">
        <f t="shared" si="56"/>
        <v>257186.78680034835</v>
      </c>
      <c r="DF49" s="119">
        <f t="shared" si="56"/>
        <v>257186.78680034835</v>
      </c>
      <c r="DG49" s="119">
        <f t="shared" si="56"/>
        <v>257186.78680034835</v>
      </c>
      <c r="DH49" s="119">
        <f t="shared" si="56"/>
        <v>257186.78680034835</v>
      </c>
      <c r="DI49" s="119">
        <f t="shared" si="56"/>
        <v>257186.78680034835</v>
      </c>
      <c r="DJ49" s="119">
        <f t="shared" si="51"/>
        <v>257178.60244603539</v>
      </c>
      <c r="DK49" s="119">
        <f t="shared" si="51"/>
        <v>257178.60244603539</v>
      </c>
      <c r="DL49" s="119">
        <f t="shared" si="51"/>
        <v>257178.60244603539</v>
      </c>
      <c r="DM49" s="119">
        <f t="shared" si="51"/>
        <v>257178.60244603539</v>
      </c>
      <c r="DN49" s="119">
        <f t="shared" si="51"/>
        <v>257178.60244603539</v>
      </c>
      <c r="DO49" s="119">
        <f t="shared" si="51"/>
        <v>257019.8259723646</v>
      </c>
      <c r="DP49" s="119">
        <f t="shared" si="51"/>
        <v>257019.8259723646</v>
      </c>
      <c r="DQ49" s="119">
        <f t="shared" si="51"/>
        <v>257019.8259723646</v>
      </c>
      <c r="DR49" s="119">
        <f t="shared" si="51"/>
        <v>257019.8259723646</v>
      </c>
      <c r="DS49" s="119">
        <f t="shared" si="51"/>
        <v>257019.8259723646</v>
      </c>
      <c r="DT49" s="93">
        <f t="shared" si="51"/>
        <v>257152.41251223403</v>
      </c>
      <c r="DW49" s="123" t="s">
        <v>226</v>
      </c>
      <c r="DX49" s="103">
        <f t="shared" si="13"/>
        <v>269199.77512288763</v>
      </c>
      <c r="DY49" s="119">
        <f t="shared" si="57"/>
        <v>269199.77512288763</v>
      </c>
      <c r="DZ49" s="119">
        <f t="shared" si="57"/>
        <v>235980.60016348952</v>
      </c>
      <c r="EA49" s="119">
        <f t="shared" si="57"/>
        <v>235980.60016348952</v>
      </c>
      <c r="EB49" s="119">
        <f t="shared" si="57"/>
        <v>235980.60016348952</v>
      </c>
      <c r="EC49" s="119">
        <f t="shared" si="57"/>
        <v>235980.60016348952</v>
      </c>
      <c r="ED49" s="119">
        <f t="shared" si="57"/>
        <v>235980.60016348952</v>
      </c>
      <c r="EE49" s="119">
        <f t="shared" si="57"/>
        <v>145443.38569951485</v>
      </c>
      <c r="EF49" s="119">
        <f t="shared" si="57"/>
        <v>145443.38569951485</v>
      </c>
      <c r="EG49" s="119">
        <f t="shared" si="57"/>
        <v>145443.38569951485</v>
      </c>
      <c r="EH49" s="119">
        <f t="shared" si="57"/>
        <v>145443.38569951485</v>
      </c>
      <c r="EI49" s="119">
        <f t="shared" si="57"/>
        <v>145443.38569951485</v>
      </c>
      <c r="EJ49" s="119">
        <f t="shared" si="57"/>
        <v>129898.03261625995</v>
      </c>
      <c r="EK49" s="119">
        <f t="shared" si="57"/>
        <v>129898.03261625995</v>
      </c>
      <c r="EL49" s="119">
        <f t="shared" si="57"/>
        <v>129898.03261625995</v>
      </c>
      <c r="EM49" s="119">
        <f t="shared" si="57"/>
        <v>129898.03261625995</v>
      </c>
      <c r="EN49" s="119">
        <f t="shared" si="57"/>
        <v>129898.03261625995</v>
      </c>
      <c r="EO49" s="119">
        <f t="shared" si="52"/>
        <v>125809.54926455738</v>
      </c>
      <c r="EP49" s="119">
        <f t="shared" si="52"/>
        <v>125809.54926455738</v>
      </c>
      <c r="EQ49" s="119">
        <f t="shared" si="52"/>
        <v>125809.54926455738</v>
      </c>
      <c r="ER49" s="119">
        <f t="shared" si="52"/>
        <v>125809.54926455738</v>
      </c>
      <c r="ES49" s="119">
        <f t="shared" si="52"/>
        <v>125809.54926455738</v>
      </c>
      <c r="ET49" s="119">
        <f t="shared" si="52"/>
        <v>121138.41244441055</v>
      </c>
      <c r="EU49" s="119">
        <f t="shared" si="52"/>
        <v>121138.41244441055</v>
      </c>
      <c r="EV49" s="119">
        <f t="shared" si="52"/>
        <v>121138.41244441055</v>
      </c>
      <c r="EW49" s="119">
        <f t="shared" si="52"/>
        <v>121138.41244441055</v>
      </c>
      <c r="EX49" s="119">
        <f t="shared" si="52"/>
        <v>121138.41244441055</v>
      </c>
      <c r="EY49" s="119">
        <f t="shared" si="52"/>
        <v>113813.62598396816</v>
      </c>
      <c r="FB49" s="123" t="s">
        <v>226</v>
      </c>
      <c r="FC49" s="103">
        <f t="shared" si="15"/>
        <v>291986.67845680722</v>
      </c>
      <c r="FD49" s="119">
        <f t="shared" si="58"/>
        <v>291986.67845680722</v>
      </c>
      <c r="FE49" s="119">
        <f t="shared" si="58"/>
        <v>254992.14683963236</v>
      </c>
      <c r="FF49" s="119">
        <f t="shared" si="58"/>
        <v>254992.14683963236</v>
      </c>
      <c r="FG49" s="119">
        <f t="shared" si="58"/>
        <v>254992.14683963236</v>
      </c>
      <c r="FH49" s="119">
        <f t="shared" si="58"/>
        <v>254992.14683963236</v>
      </c>
      <c r="FI49" s="119">
        <f t="shared" si="58"/>
        <v>254992.14683963236</v>
      </c>
      <c r="FJ49" s="119">
        <f t="shared" si="58"/>
        <v>160013.68603965893</v>
      </c>
      <c r="FK49" s="119">
        <f t="shared" si="58"/>
        <v>160013.68603965893</v>
      </c>
      <c r="FL49" s="119">
        <f t="shared" si="58"/>
        <v>160013.68603965893</v>
      </c>
      <c r="FM49" s="119">
        <f t="shared" si="58"/>
        <v>160013.68603965893</v>
      </c>
      <c r="FN49" s="119">
        <f t="shared" si="58"/>
        <v>160013.68603965893</v>
      </c>
      <c r="FO49" s="119">
        <f t="shared" si="58"/>
        <v>142084.21009062693</v>
      </c>
      <c r="FP49" s="119">
        <f t="shared" si="58"/>
        <v>142084.21009062693</v>
      </c>
      <c r="FQ49" s="119">
        <f t="shared" si="58"/>
        <v>142084.21009062693</v>
      </c>
      <c r="FR49" s="119">
        <f t="shared" si="58"/>
        <v>142084.21009062693</v>
      </c>
      <c r="FS49" s="119">
        <f t="shared" si="58"/>
        <v>142084.21009062693</v>
      </c>
      <c r="FT49" s="119">
        <f t="shared" si="53"/>
        <v>138467.39859433164</v>
      </c>
      <c r="FU49" s="119">
        <f t="shared" si="53"/>
        <v>138467.39859433164</v>
      </c>
      <c r="FV49" s="119">
        <f t="shared" si="53"/>
        <v>138467.39859433164</v>
      </c>
      <c r="FW49" s="119">
        <f t="shared" si="53"/>
        <v>138467.39859433164</v>
      </c>
      <c r="FX49" s="119">
        <f t="shared" si="53"/>
        <v>138467.39859433164</v>
      </c>
      <c r="FY49" s="119">
        <f t="shared" si="53"/>
        <v>133786.3527015922</v>
      </c>
      <c r="FZ49" s="119">
        <f t="shared" si="53"/>
        <v>133786.3527015922</v>
      </c>
      <c r="GA49" s="119">
        <f t="shared" si="53"/>
        <v>133786.3527015922</v>
      </c>
      <c r="GB49" s="119">
        <f t="shared" si="53"/>
        <v>133786.3527015922</v>
      </c>
      <c r="GC49" s="119">
        <f t="shared" si="53"/>
        <v>133786.3527015922</v>
      </c>
      <c r="GD49" s="119">
        <f t="shared" si="53"/>
        <v>126207.89398277951</v>
      </c>
      <c r="GH49" s="123" t="s">
        <v>226</v>
      </c>
      <c r="GI49" s="103">
        <f t="shared" si="17"/>
        <v>253690.09470096606</v>
      </c>
      <c r="GJ49" s="119">
        <f t="shared" si="59"/>
        <v>253690.09470096606</v>
      </c>
      <c r="GK49" s="119">
        <f t="shared" si="59"/>
        <v>223041.33317208572</v>
      </c>
      <c r="GL49" s="119">
        <f t="shared" si="59"/>
        <v>223041.33317208572</v>
      </c>
      <c r="GM49" s="119">
        <f t="shared" si="59"/>
        <v>223041.33317208572</v>
      </c>
      <c r="GN49" s="119">
        <f t="shared" si="59"/>
        <v>223041.33317208572</v>
      </c>
      <c r="GO49" s="119">
        <f t="shared" si="59"/>
        <v>223041.33317208572</v>
      </c>
      <c r="GP49" s="119">
        <f t="shared" si="59"/>
        <v>135526.38584885097</v>
      </c>
      <c r="GQ49" s="119">
        <f t="shared" si="59"/>
        <v>135526.38584885097</v>
      </c>
      <c r="GR49" s="119">
        <f t="shared" si="59"/>
        <v>135526.38584885097</v>
      </c>
      <c r="GS49" s="119">
        <f t="shared" si="59"/>
        <v>135526.38584885097</v>
      </c>
      <c r="GT49" s="119">
        <f t="shared" si="59"/>
        <v>135526.38584885097</v>
      </c>
      <c r="GU49" s="119">
        <f t="shared" si="59"/>
        <v>121604.13885626227</v>
      </c>
      <c r="GV49" s="119">
        <f t="shared" si="59"/>
        <v>121604.13885626227</v>
      </c>
      <c r="GW49" s="119">
        <f t="shared" si="59"/>
        <v>121604.13885626227</v>
      </c>
      <c r="GX49" s="119">
        <f t="shared" si="59"/>
        <v>121604.13885626227</v>
      </c>
      <c r="GY49" s="119">
        <f t="shared" si="59"/>
        <v>121604.13885626227</v>
      </c>
      <c r="GZ49" s="119">
        <f t="shared" si="54"/>
        <v>117194.6015525598</v>
      </c>
      <c r="HA49" s="119">
        <f t="shared" si="54"/>
        <v>117194.6015525598</v>
      </c>
      <c r="HB49" s="119">
        <f t="shared" si="54"/>
        <v>117194.6015525598</v>
      </c>
      <c r="HC49" s="119">
        <f t="shared" si="54"/>
        <v>117194.6015525598</v>
      </c>
      <c r="HD49" s="119">
        <f t="shared" si="54"/>
        <v>117194.6015525598</v>
      </c>
      <c r="HE49" s="119">
        <f t="shared" si="54"/>
        <v>112529.41017596851</v>
      </c>
      <c r="HF49" s="119">
        <f t="shared" si="54"/>
        <v>112529.41017596851</v>
      </c>
      <c r="HG49" s="119">
        <f t="shared" si="54"/>
        <v>112529.41017596851</v>
      </c>
      <c r="HH49" s="119">
        <f t="shared" si="54"/>
        <v>112529.41017596851</v>
      </c>
      <c r="HI49" s="119">
        <f t="shared" si="54"/>
        <v>112529.41017596851</v>
      </c>
      <c r="HJ49" s="119">
        <f t="shared" si="54"/>
        <v>105379.0233931557</v>
      </c>
    </row>
    <row r="50" spans="17:218" x14ac:dyDescent="0.25">
      <c r="Q50" s="37"/>
      <c r="R50" s="122" t="s">
        <v>467</v>
      </c>
      <c r="S50" s="122" t="s">
        <v>468</v>
      </c>
      <c r="T50" s="122" t="s">
        <v>469</v>
      </c>
      <c r="U50" s="122" t="s">
        <v>470</v>
      </c>
      <c r="V50" s="122" t="s">
        <v>261</v>
      </c>
      <c r="W50" s="122" t="s">
        <v>471</v>
      </c>
      <c r="X50" s="37" t="s">
        <v>453</v>
      </c>
      <c r="Z50" s="83" t="s">
        <v>228</v>
      </c>
      <c r="AA50" s="114">
        <f>'US Grid mix, emissions&amp;prices'!O102</f>
        <v>6321</v>
      </c>
      <c r="AB50" s="116">
        <f t="shared" si="49"/>
        <v>6321</v>
      </c>
      <c r="AC50" s="116">
        <f t="shared" si="49"/>
        <v>5559.2805542497363</v>
      </c>
      <c r="AD50" s="116">
        <f t="shared" si="49"/>
        <v>5559.2805542497363</v>
      </c>
      <c r="AE50" s="116">
        <f t="shared" si="49"/>
        <v>5559.2805542497363</v>
      </c>
      <c r="AF50" s="116">
        <f t="shared" si="49"/>
        <v>5559.2805542497363</v>
      </c>
      <c r="AG50" s="116">
        <f t="shared" si="49"/>
        <v>5559.2805542497363</v>
      </c>
      <c r="AH50" s="116">
        <f t="shared" si="49"/>
        <v>3340.2252602862181</v>
      </c>
      <c r="AI50" s="116">
        <f t="shared" si="49"/>
        <v>3340.2252602862181</v>
      </c>
      <c r="AJ50" s="116">
        <f t="shared" si="49"/>
        <v>3340.2252602862181</v>
      </c>
      <c r="AK50" s="116">
        <f t="shared" si="49"/>
        <v>3340.2252602862181</v>
      </c>
      <c r="AL50" s="116">
        <f t="shared" si="49"/>
        <v>3340.2252602862181</v>
      </c>
      <c r="AM50" s="116">
        <f t="shared" si="49"/>
        <v>3495.4724223765229</v>
      </c>
      <c r="AN50" s="116">
        <f t="shared" si="49"/>
        <v>3495.4724223765229</v>
      </c>
      <c r="AO50" s="116">
        <f t="shared" si="49"/>
        <v>3495.4724223765229</v>
      </c>
      <c r="AP50" s="116">
        <f t="shared" si="49"/>
        <v>3495.4724223765229</v>
      </c>
      <c r="AQ50" s="116">
        <f t="shared" si="49"/>
        <v>3495.4724223765229</v>
      </c>
      <c r="AR50" s="116">
        <f t="shared" si="47"/>
        <v>3653.9833308929492</v>
      </c>
      <c r="AS50" s="116">
        <f t="shared" si="47"/>
        <v>3653.9833308929492</v>
      </c>
      <c r="AT50" s="116">
        <f t="shared" si="47"/>
        <v>3653.9833308929492</v>
      </c>
      <c r="AU50" s="116">
        <f t="shared" si="47"/>
        <v>3653.9833308929492</v>
      </c>
      <c r="AV50" s="116">
        <f t="shared" si="47"/>
        <v>3653.9833308929492</v>
      </c>
      <c r="AW50" s="116">
        <f t="shared" si="47"/>
        <v>3734.1643251824507</v>
      </c>
      <c r="AX50" s="116">
        <f t="shared" si="47"/>
        <v>3734.1643251824507</v>
      </c>
      <c r="AY50" s="116">
        <f t="shared" si="47"/>
        <v>3734.1643251824507</v>
      </c>
      <c r="AZ50" s="116">
        <f t="shared" si="47"/>
        <v>3734.1643251824507</v>
      </c>
      <c r="BA50" s="116">
        <f t="shared" si="47"/>
        <v>3734.1643251824507</v>
      </c>
      <c r="BB50" s="116">
        <f t="shared" si="47"/>
        <v>3739.2304390379236</v>
      </c>
      <c r="BM50" s="123" t="s">
        <v>228</v>
      </c>
      <c r="BN50" s="103">
        <f t="shared" si="23"/>
        <v>6321</v>
      </c>
      <c r="BO50" s="119">
        <f t="shared" si="55"/>
        <v>6321</v>
      </c>
      <c r="BP50" s="119">
        <f t="shared" si="55"/>
        <v>5552.0223718991065</v>
      </c>
      <c r="BQ50" s="119">
        <f t="shared" si="55"/>
        <v>5552.0223718991065</v>
      </c>
      <c r="BR50" s="119">
        <f t="shared" si="55"/>
        <v>5552.0223718991065</v>
      </c>
      <c r="BS50" s="119">
        <f t="shared" si="55"/>
        <v>5552.0223718991065</v>
      </c>
      <c r="BT50" s="119">
        <f t="shared" si="55"/>
        <v>5552.0223718991065</v>
      </c>
      <c r="BU50" s="119">
        <f t="shared" si="55"/>
        <v>6293.5747874939307</v>
      </c>
      <c r="BV50" s="119">
        <f t="shared" si="55"/>
        <v>6293.5747874939307</v>
      </c>
      <c r="BW50" s="119">
        <f t="shared" si="55"/>
        <v>6293.5747874939307</v>
      </c>
      <c r="BX50" s="119">
        <f t="shared" si="55"/>
        <v>6293.5747874939307</v>
      </c>
      <c r="BY50" s="119">
        <f t="shared" si="55"/>
        <v>6293.5747874939307</v>
      </c>
      <c r="BZ50" s="119">
        <f t="shared" si="55"/>
        <v>6444.9249389261795</v>
      </c>
      <c r="CA50" s="119">
        <f t="shared" si="55"/>
        <v>6444.9249389261795</v>
      </c>
      <c r="CB50" s="119">
        <f t="shared" si="55"/>
        <v>6444.9249389261795</v>
      </c>
      <c r="CC50" s="119">
        <f t="shared" si="55"/>
        <v>6444.9249389261795</v>
      </c>
      <c r="CD50" s="119">
        <f t="shared" si="55"/>
        <v>6444.9249389261795</v>
      </c>
      <c r="CE50" s="119">
        <f t="shared" si="50"/>
        <v>6604.2152495742175</v>
      </c>
      <c r="CF50" s="119">
        <f t="shared" si="50"/>
        <v>6604.2152495742175</v>
      </c>
      <c r="CG50" s="119">
        <f t="shared" si="50"/>
        <v>6604.2152495742175</v>
      </c>
      <c r="CH50" s="119">
        <f t="shared" si="50"/>
        <v>6604.2152495742175</v>
      </c>
      <c r="CI50" s="119">
        <f t="shared" si="50"/>
        <v>6604.2152495742175</v>
      </c>
      <c r="CJ50" s="119">
        <f t="shared" si="50"/>
        <v>6642.0162529573608</v>
      </c>
      <c r="CK50" s="119">
        <f t="shared" si="50"/>
        <v>6642.0162529573608</v>
      </c>
      <c r="CL50" s="119">
        <f t="shared" si="50"/>
        <v>6642.0162529573608</v>
      </c>
      <c r="CM50" s="119">
        <f t="shared" si="50"/>
        <v>6642.0162529573608</v>
      </c>
      <c r="CN50" s="119">
        <f t="shared" si="50"/>
        <v>6642.0162529573608</v>
      </c>
      <c r="CO50" s="119">
        <f t="shared" si="50"/>
        <v>6687.1728639575831</v>
      </c>
      <c r="CR50" s="123" t="s">
        <v>228</v>
      </c>
      <c r="CS50" s="103">
        <f t="shared" si="11"/>
        <v>7653.0469555567543</v>
      </c>
      <c r="CT50" s="119">
        <f t="shared" si="56"/>
        <v>7653.0469555567543</v>
      </c>
      <c r="CU50" s="119">
        <f t="shared" si="56"/>
        <v>7653.0469555567543</v>
      </c>
      <c r="CV50" s="119">
        <f t="shared" si="56"/>
        <v>7653.0469555567543</v>
      </c>
      <c r="CW50" s="119">
        <f t="shared" si="56"/>
        <v>7653.0469555567543</v>
      </c>
      <c r="CX50" s="119">
        <f t="shared" si="56"/>
        <v>7653.0469555567543</v>
      </c>
      <c r="CY50" s="119">
        <f t="shared" si="56"/>
        <v>7653.0469555567543</v>
      </c>
      <c r="CZ50" s="119">
        <f t="shared" si="56"/>
        <v>7654.7518977196532</v>
      </c>
      <c r="DA50" s="119">
        <f t="shared" si="56"/>
        <v>7654.7518977196532</v>
      </c>
      <c r="DB50" s="119">
        <f t="shared" si="56"/>
        <v>7654.7518977196532</v>
      </c>
      <c r="DC50" s="119">
        <f t="shared" si="56"/>
        <v>7654.7518977196532</v>
      </c>
      <c r="DD50" s="119">
        <f t="shared" si="56"/>
        <v>7654.7518977196532</v>
      </c>
      <c r="DE50" s="119">
        <f t="shared" si="56"/>
        <v>7653.7776450551401</v>
      </c>
      <c r="DF50" s="119">
        <f t="shared" si="56"/>
        <v>7653.7776450551401</v>
      </c>
      <c r="DG50" s="119">
        <f t="shared" si="56"/>
        <v>7653.7776450551401</v>
      </c>
      <c r="DH50" s="119">
        <f t="shared" si="56"/>
        <v>7653.7776450551401</v>
      </c>
      <c r="DI50" s="119">
        <f t="shared" si="56"/>
        <v>7653.7776450551401</v>
      </c>
      <c r="DJ50" s="119">
        <f t="shared" si="51"/>
        <v>7653.5340818890108</v>
      </c>
      <c r="DK50" s="119">
        <f t="shared" si="51"/>
        <v>7653.5340818890108</v>
      </c>
      <c r="DL50" s="119">
        <f t="shared" si="51"/>
        <v>7653.5340818890108</v>
      </c>
      <c r="DM50" s="119">
        <f t="shared" si="51"/>
        <v>7653.5340818890108</v>
      </c>
      <c r="DN50" s="119">
        <f t="shared" si="51"/>
        <v>7653.5340818890108</v>
      </c>
      <c r="DO50" s="119">
        <f t="shared" si="51"/>
        <v>7648.8089564661186</v>
      </c>
      <c r="DP50" s="119">
        <f t="shared" si="51"/>
        <v>7648.8089564661186</v>
      </c>
      <c r="DQ50" s="119">
        <f t="shared" si="51"/>
        <v>7648.8089564661186</v>
      </c>
      <c r="DR50" s="119">
        <f t="shared" si="51"/>
        <v>7648.8089564661186</v>
      </c>
      <c r="DS50" s="119">
        <f t="shared" si="51"/>
        <v>7648.8089564661186</v>
      </c>
      <c r="DT50" s="93">
        <f t="shared" si="51"/>
        <v>7652.7546797574005</v>
      </c>
      <c r="DW50" s="123" t="s">
        <v>228</v>
      </c>
      <c r="DX50" s="103">
        <f t="shared" si="13"/>
        <v>8011.2794538270491</v>
      </c>
      <c r="DY50" s="119">
        <f t="shared" si="57"/>
        <v>8011.2794538270491</v>
      </c>
      <c r="DZ50" s="119">
        <f t="shared" si="57"/>
        <v>7022.6898693676021</v>
      </c>
      <c r="EA50" s="119">
        <f t="shared" si="57"/>
        <v>7022.6898693676021</v>
      </c>
      <c r="EB50" s="119">
        <f t="shared" si="57"/>
        <v>7022.6898693676021</v>
      </c>
      <c r="EC50" s="119">
        <f t="shared" si="57"/>
        <v>7022.6898693676021</v>
      </c>
      <c r="ED50" s="119">
        <f t="shared" si="57"/>
        <v>7022.6898693676021</v>
      </c>
      <c r="EE50" s="119">
        <f t="shared" si="57"/>
        <v>4328.3379676586537</v>
      </c>
      <c r="EF50" s="119">
        <f t="shared" si="57"/>
        <v>4328.3379676586537</v>
      </c>
      <c r="EG50" s="119">
        <f t="shared" si="57"/>
        <v>4328.3379676586537</v>
      </c>
      <c r="EH50" s="119">
        <f t="shared" si="57"/>
        <v>4328.3379676586537</v>
      </c>
      <c r="EI50" s="119">
        <f t="shared" si="57"/>
        <v>4328.3379676586537</v>
      </c>
      <c r="EJ50" s="119">
        <f t="shared" si="57"/>
        <v>3865.7143725924388</v>
      </c>
      <c r="EK50" s="119">
        <f t="shared" si="57"/>
        <v>3865.7143725924388</v>
      </c>
      <c r="EL50" s="119">
        <f t="shared" si="57"/>
        <v>3865.7143725924388</v>
      </c>
      <c r="EM50" s="119">
        <f t="shared" si="57"/>
        <v>3865.7143725924388</v>
      </c>
      <c r="EN50" s="119">
        <f t="shared" si="57"/>
        <v>3865.7143725924388</v>
      </c>
      <c r="EO50" s="119">
        <f t="shared" si="52"/>
        <v>3744.0427157054419</v>
      </c>
      <c r="EP50" s="119">
        <f t="shared" si="52"/>
        <v>3744.0427157054419</v>
      </c>
      <c r="EQ50" s="119">
        <f t="shared" si="52"/>
        <v>3744.0427157054419</v>
      </c>
      <c r="ER50" s="119">
        <f t="shared" si="52"/>
        <v>3744.0427157054419</v>
      </c>
      <c r="ES50" s="119">
        <f t="shared" si="52"/>
        <v>3744.0427157054419</v>
      </c>
      <c r="ET50" s="119">
        <f t="shared" si="52"/>
        <v>3605.031520706581</v>
      </c>
      <c r="EU50" s="119">
        <f t="shared" si="52"/>
        <v>3605.031520706581</v>
      </c>
      <c r="EV50" s="119">
        <f t="shared" si="52"/>
        <v>3605.031520706581</v>
      </c>
      <c r="EW50" s="119">
        <f t="shared" si="52"/>
        <v>3605.031520706581</v>
      </c>
      <c r="EX50" s="119">
        <f t="shared" si="52"/>
        <v>3605.031520706581</v>
      </c>
      <c r="EY50" s="119">
        <f t="shared" si="52"/>
        <v>3387.0487558717091</v>
      </c>
      <c r="FB50" s="123" t="s">
        <v>228</v>
      </c>
      <c r="FC50" s="103">
        <f t="shared" si="15"/>
        <v>8689.4087368550136</v>
      </c>
      <c r="FD50" s="119">
        <f t="shared" si="58"/>
        <v>8689.4087368550136</v>
      </c>
      <c r="FE50" s="119">
        <f t="shared" si="58"/>
        <v>7588.4660227931772</v>
      </c>
      <c r="FF50" s="119">
        <f t="shared" si="58"/>
        <v>7588.4660227931772</v>
      </c>
      <c r="FG50" s="119">
        <f t="shared" si="58"/>
        <v>7588.4660227931772</v>
      </c>
      <c r="FH50" s="119">
        <f t="shared" si="58"/>
        <v>7588.4660227931772</v>
      </c>
      <c r="FI50" s="119">
        <f t="shared" si="58"/>
        <v>7588.4660227931772</v>
      </c>
      <c r="FJ50" s="119">
        <f t="shared" si="58"/>
        <v>4761.944376496851</v>
      </c>
      <c r="FK50" s="119">
        <f t="shared" si="58"/>
        <v>4761.944376496851</v>
      </c>
      <c r="FL50" s="119">
        <f t="shared" si="58"/>
        <v>4761.944376496851</v>
      </c>
      <c r="FM50" s="119">
        <f t="shared" si="58"/>
        <v>4761.944376496851</v>
      </c>
      <c r="FN50" s="119">
        <f t="shared" si="58"/>
        <v>4761.944376496851</v>
      </c>
      <c r="FO50" s="119">
        <f t="shared" si="58"/>
        <v>4228.3702224218832</v>
      </c>
      <c r="FP50" s="119">
        <f t="shared" si="58"/>
        <v>4228.3702224218832</v>
      </c>
      <c r="FQ50" s="119">
        <f t="shared" si="58"/>
        <v>4228.3702224218832</v>
      </c>
      <c r="FR50" s="119">
        <f t="shared" si="58"/>
        <v>4228.3702224218832</v>
      </c>
      <c r="FS50" s="119">
        <f t="shared" si="58"/>
        <v>4228.3702224218832</v>
      </c>
      <c r="FT50" s="119">
        <f t="shared" si="53"/>
        <v>4120.7353344825869</v>
      </c>
      <c r="FU50" s="119">
        <f t="shared" si="53"/>
        <v>4120.7353344825869</v>
      </c>
      <c r="FV50" s="119">
        <f t="shared" si="53"/>
        <v>4120.7353344825869</v>
      </c>
      <c r="FW50" s="119">
        <f t="shared" si="53"/>
        <v>4120.7353344825869</v>
      </c>
      <c r="FX50" s="119">
        <f t="shared" si="53"/>
        <v>4120.7353344825869</v>
      </c>
      <c r="FY50" s="119">
        <f t="shared" si="53"/>
        <v>3981.4292493797816</v>
      </c>
      <c r="FZ50" s="119">
        <f t="shared" si="53"/>
        <v>3981.4292493797816</v>
      </c>
      <c r="GA50" s="119">
        <f t="shared" si="53"/>
        <v>3981.4292493797816</v>
      </c>
      <c r="GB50" s="119">
        <f t="shared" si="53"/>
        <v>3981.4292493797816</v>
      </c>
      <c r="GC50" s="119">
        <f t="shared" si="53"/>
        <v>3981.4292493797816</v>
      </c>
      <c r="GD50" s="119">
        <f t="shared" si="53"/>
        <v>3755.897297883962</v>
      </c>
      <c r="GH50" s="123" t="s">
        <v>228</v>
      </c>
      <c r="GI50" s="103">
        <f t="shared" si="17"/>
        <v>7549.717463135029</v>
      </c>
      <c r="GJ50" s="119">
        <f t="shared" si="59"/>
        <v>7549.717463135029</v>
      </c>
      <c r="GK50" s="119">
        <f t="shared" si="59"/>
        <v>6637.6223716384684</v>
      </c>
      <c r="GL50" s="119">
        <f t="shared" si="59"/>
        <v>6637.6223716384684</v>
      </c>
      <c r="GM50" s="119">
        <f t="shared" si="59"/>
        <v>6637.6223716384684</v>
      </c>
      <c r="GN50" s="119">
        <f t="shared" si="59"/>
        <v>6637.6223716384684</v>
      </c>
      <c r="GO50" s="119">
        <f t="shared" si="59"/>
        <v>6637.6223716384684</v>
      </c>
      <c r="GP50" s="119">
        <f t="shared" si="59"/>
        <v>4033.2119516322209</v>
      </c>
      <c r="GQ50" s="119">
        <f t="shared" si="59"/>
        <v>4033.2119516322209</v>
      </c>
      <c r="GR50" s="119">
        <f t="shared" si="59"/>
        <v>4033.2119516322209</v>
      </c>
      <c r="GS50" s="119">
        <f t="shared" si="59"/>
        <v>4033.2119516322209</v>
      </c>
      <c r="GT50" s="119">
        <f t="shared" si="59"/>
        <v>4033.2119516322209</v>
      </c>
      <c r="GU50" s="119">
        <f t="shared" si="59"/>
        <v>3618.8913555919144</v>
      </c>
      <c r="GV50" s="119">
        <f t="shared" si="59"/>
        <v>3618.8913555919144</v>
      </c>
      <c r="GW50" s="119">
        <f t="shared" si="59"/>
        <v>3618.8913555919144</v>
      </c>
      <c r="GX50" s="119">
        <f t="shared" si="59"/>
        <v>3618.8913555919144</v>
      </c>
      <c r="GY50" s="119">
        <f t="shared" si="59"/>
        <v>3618.8913555919144</v>
      </c>
      <c r="GZ50" s="119">
        <f t="shared" si="54"/>
        <v>3487.6652593371555</v>
      </c>
      <c r="HA50" s="119">
        <f t="shared" si="54"/>
        <v>3487.6652593371555</v>
      </c>
      <c r="HB50" s="119">
        <f t="shared" si="54"/>
        <v>3487.6652593371555</v>
      </c>
      <c r="HC50" s="119">
        <f t="shared" si="54"/>
        <v>3487.6652593371555</v>
      </c>
      <c r="HD50" s="119">
        <f t="shared" si="54"/>
        <v>3487.6652593371555</v>
      </c>
      <c r="HE50" s="119">
        <f t="shared" si="54"/>
        <v>3348.8309984006601</v>
      </c>
      <c r="HF50" s="119">
        <f t="shared" si="54"/>
        <v>3348.8309984006601</v>
      </c>
      <c r="HG50" s="119">
        <f t="shared" si="54"/>
        <v>3348.8309984006601</v>
      </c>
      <c r="HH50" s="119">
        <f t="shared" si="54"/>
        <v>3348.8309984006601</v>
      </c>
      <c r="HI50" s="119">
        <f t="shared" si="54"/>
        <v>3348.8309984006601</v>
      </c>
      <c r="HJ50" s="119">
        <f t="shared" si="54"/>
        <v>3136.0382993951903</v>
      </c>
    </row>
    <row r="51" spans="17:218" x14ac:dyDescent="0.25">
      <c r="Q51" s="127">
        <v>2020</v>
      </c>
      <c r="R51" s="129">
        <v>4.0000000000000001E-3</v>
      </c>
      <c r="S51" s="130">
        <v>0.39600000000000002</v>
      </c>
      <c r="T51" s="130">
        <v>0.2</v>
      </c>
      <c r="U51" s="130">
        <v>0.20399999999999999</v>
      </c>
      <c r="V51" s="130">
        <v>3.0000000000000001E-3</v>
      </c>
      <c r="W51" s="130">
        <v>0.19400000000000001</v>
      </c>
      <c r="X51" s="131">
        <f t="shared" ref="X51:X58" si="60">SUM(R51:W51)</f>
        <v>1.0010000000000001</v>
      </c>
      <c r="Z51" s="83" t="s">
        <v>227</v>
      </c>
      <c r="AA51" s="114">
        <f>'US Grid mix, emissions&amp;prices'!O103</f>
        <v>93837</v>
      </c>
      <c r="AB51" s="116">
        <f t="shared" si="49"/>
        <v>93837</v>
      </c>
      <c r="AC51" s="116">
        <f t="shared" si="49"/>
        <v>82529.063339524204</v>
      </c>
      <c r="AD51" s="116">
        <f t="shared" si="49"/>
        <v>82529.063339524204</v>
      </c>
      <c r="AE51" s="116">
        <f t="shared" si="49"/>
        <v>82529.063339524204</v>
      </c>
      <c r="AF51" s="116">
        <f t="shared" si="49"/>
        <v>82529.063339524204</v>
      </c>
      <c r="AG51" s="116">
        <f t="shared" si="49"/>
        <v>82529.063339524204</v>
      </c>
      <c r="AH51" s="116">
        <f t="shared" si="49"/>
        <v>49586.571388938122</v>
      </c>
      <c r="AI51" s="116">
        <f t="shared" si="49"/>
        <v>49586.571388938122</v>
      </c>
      <c r="AJ51" s="116">
        <f t="shared" si="49"/>
        <v>49586.571388938122</v>
      </c>
      <c r="AK51" s="116">
        <f t="shared" si="49"/>
        <v>49586.571388938122</v>
      </c>
      <c r="AL51" s="116">
        <f t="shared" si="49"/>
        <v>49586.571388938122</v>
      </c>
      <c r="AM51" s="116">
        <f t="shared" si="49"/>
        <v>51891.258613913269</v>
      </c>
      <c r="AN51" s="116">
        <f t="shared" si="49"/>
        <v>51891.258613913269</v>
      </c>
      <c r="AO51" s="116">
        <f t="shared" si="49"/>
        <v>51891.258613913269</v>
      </c>
      <c r="AP51" s="116">
        <f t="shared" si="49"/>
        <v>51891.258613913269</v>
      </c>
      <c r="AQ51" s="116">
        <f t="shared" si="49"/>
        <v>51891.258613913269</v>
      </c>
      <c r="AR51" s="116">
        <f t="shared" si="47"/>
        <v>54244.397060750147</v>
      </c>
      <c r="AS51" s="116">
        <f t="shared" si="47"/>
        <v>54244.397060750147</v>
      </c>
      <c r="AT51" s="116">
        <f t="shared" si="47"/>
        <v>54244.397060750147</v>
      </c>
      <c r="AU51" s="116">
        <f t="shared" si="47"/>
        <v>54244.397060750147</v>
      </c>
      <c r="AV51" s="116">
        <f t="shared" si="47"/>
        <v>54244.397060750147</v>
      </c>
      <c r="AW51" s="116">
        <f t="shared" si="47"/>
        <v>55434.706182905495</v>
      </c>
      <c r="AX51" s="116">
        <f t="shared" si="47"/>
        <v>55434.706182905495</v>
      </c>
      <c r="AY51" s="116">
        <f t="shared" si="47"/>
        <v>55434.706182905495</v>
      </c>
      <c r="AZ51" s="116">
        <f t="shared" si="47"/>
        <v>55434.706182905495</v>
      </c>
      <c r="BA51" s="116">
        <f t="shared" si="47"/>
        <v>55434.706182905495</v>
      </c>
      <c r="BB51" s="116">
        <f t="shared" si="47"/>
        <v>55509.914049675943</v>
      </c>
      <c r="BM51" s="123" t="s">
        <v>227</v>
      </c>
      <c r="BN51" s="103">
        <f t="shared" si="23"/>
        <v>93837</v>
      </c>
      <c r="BO51" s="119">
        <f t="shared" si="55"/>
        <v>93837</v>
      </c>
      <c r="BP51" s="119">
        <f t="shared" si="55"/>
        <v>82421.313607324235</v>
      </c>
      <c r="BQ51" s="119">
        <f t="shared" si="55"/>
        <v>82421.313607324235</v>
      </c>
      <c r="BR51" s="119">
        <f t="shared" si="55"/>
        <v>82421.313607324235</v>
      </c>
      <c r="BS51" s="119">
        <f t="shared" si="55"/>
        <v>82421.313607324235</v>
      </c>
      <c r="BT51" s="119">
        <f t="shared" si="55"/>
        <v>82421.313607324235</v>
      </c>
      <c r="BU51" s="119">
        <f t="shared" si="55"/>
        <v>93429.865105848439</v>
      </c>
      <c r="BV51" s="119">
        <f t="shared" si="55"/>
        <v>93429.865105848439</v>
      </c>
      <c r="BW51" s="119">
        <f t="shared" si="55"/>
        <v>93429.865105848439</v>
      </c>
      <c r="BX51" s="119">
        <f t="shared" si="55"/>
        <v>93429.865105848439</v>
      </c>
      <c r="BY51" s="119">
        <f t="shared" si="55"/>
        <v>93429.865105848439</v>
      </c>
      <c r="BZ51" s="119">
        <f t="shared" si="55"/>
        <v>95676.700125615549</v>
      </c>
      <c r="CA51" s="119">
        <f t="shared" si="55"/>
        <v>95676.700125615549</v>
      </c>
      <c r="CB51" s="119">
        <f t="shared" si="55"/>
        <v>95676.700125615549</v>
      </c>
      <c r="CC51" s="119">
        <f t="shared" si="55"/>
        <v>95676.700125615549</v>
      </c>
      <c r="CD51" s="119">
        <f t="shared" si="55"/>
        <v>95676.700125615549</v>
      </c>
      <c r="CE51" s="119">
        <f t="shared" si="50"/>
        <v>98041.409013494034</v>
      </c>
      <c r="CF51" s="119">
        <f t="shared" si="50"/>
        <v>98041.409013494034</v>
      </c>
      <c r="CG51" s="119">
        <f t="shared" si="50"/>
        <v>98041.409013494034</v>
      </c>
      <c r="CH51" s="119">
        <f t="shared" si="50"/>
        <v>98041.409013494034</v>
      </c>
      <c r="CI51" s="119">
        <f t="shared" si="50"/>
        <v>98041.409013494034</v>
      </c>
      <c r="CJ51" s="119">
        <f t="shared" si="50"/>
        <v>98602.575404011994</v>
      </c>
      <c r="CK51" s="119">
        <f t="shared" si="50"/>
        <v>98602.575404011994</v>
      </c>
      <c r="CL51" s="119">
        <f t="shared" si="50"/>
        <v>98602.575404011994</v>
      </c>
      <c r="CM51" s="119">
        <f t="shared" si="50"/>
        <v>98602.575404011994</v>
      </c>
      <c r="CN51" s="119">
        <f t="shared" si="50"/>
        <v>98602.575404011994</v>
      </c>
      <c r="CO51" s="119">
        <f t="shared" si="50"/>
        <v>99272.937831860108</v>
      </c>
      <c r="CR51" s="123" t="s">
        <v>227</v>
      </c>
      <c r="CS51" s="103">
        <f t="shared" si="11"/>
        <v>113611.60689267192</v>
      </c>
      <c r="CT51" s="119">
        <f t="shared" si="56"/>
        <v>113611.60689267192</v>
      </c>
      <c r="CU51" s="119">
        <f t="shared" si="56"/>
        <v>113611.60689267192</v>
      </c>
      <c r="CV51" s="119">
        <f t="shared" si="56"/>
        <v>113611.60689267192</v>
      </c>
      <c r="CW51" s="119">
        <f t="shared" si="56"/>
        <v>113611.60689267192</v>
      </c>
      <c r="CX51" s="119">
        <f t="shared" si="56"/>
        <v>113611.60689267192</v>
      </c>
      <c r="CY51" s="119">
        <f t="shared" si="56"/>
        <v>113611.60689267192</v>
      </c>
      <c r="CZ51" s="119">
        <f t="shared" si="56"/>
        <v>113636.91723245042</v>
      </c>
      <c r="DA51" s="119">
        <f t="shared" si="56"/>
        <v>113636.91723245042</v>
      </c>
      <c r="DB51" s="119">
        <f t="shared" si="56"/>
        <v>113636.91723245042</v>
      </c>
      <c r="DC51" s="119">
        <f t="shared" si="56"/>
        <v>113636.91723245042</v>
      </c>
      <c r="DD51" s="119">
        <f t="shared" si="56"/>
        <v>113636.91723245042</v>
      </c>
      <c r="DE51" s="119">
        <f t="shared" si="56"/>
        <v>113622.45418114842</v>
      </c>
      <c r="DF51" s="119">
        <f t="shared" si="56"/>
        <v>113622.45418114842</v>
      </c>
      <c r="DG51" s="119">
        <f t="shared" si="56"/>
        <v>113622.45418114842</v>
      </c>
      <c r="DH51" s="119">
        <f t="shared" si="56"/>
        <v>113622.45418114842</v>
      </c>
      <c r="DI51" s="119">
        <f t="shared" si="56"/>
        <v>113622.45418114842</v>
      </c>
      <c r="DJ51" s="119">
        <f t="shared" si="51"/>
        <v>113618.83841832292</v>
      </c>
      <c r="DK51" s="119">
        <f t="shared" si="51"/>
        <v>113618.83841832292</v>
      </c>
      <c r="DL51" s="119">
        <f t="shared" si="51"/>
        <v>113618.83841832292</v>
      </c>
      <c r="DM51" s="119">
        <f t="shared" si="51"/>
        <v>113618.83841832292</v>
      </c>
      <c r="DN51" s="119">
        <f t="shared" si="51"/>
        <v>113618.83841832292</v>
      </c>
      <c r="DO51" s="119">
        <f t="shared" si="51"/>
        <v>113548.69261950818</v>
      </c>
      <c r="DP51" s="119">
        <f t="shared" si="51"/>
        <v>113548.69261950818</v>
      </c>
      <c r="DQ51" s="119">
        <f t="shared" si="51"/>
        <v>113548.69261950818</v>
      </c>
      <c r="DR51" s="119">
        <f t="shared" si="51"/>
        <v>113548.69261950818</v>
      </c>
      <c r="DS51" s="119">
        <f t="shared" si="51"/>
        <v>113548.69261950818</v>
      </c>
      <c r="DT51" s="93">
        <f t="shared" si="51"/>
        <v>113607.26797728131</v>
      </c>
      <c r="DW51" s="123" t="s">
        <v>227</v>
      </c>
      <c r="DX51" s="103">
        <f t="shared" si="13"/>
        <v>118929.66779129392</v>
      </c>
      <c r="DY51" s="119">
        <f t="shared" si="57"/>
        <v>118929.66779129392</v>
      </c>
      <c r="DZ51" s="119">
        <f t="shared" si="57"/>
        <v>104253.78093210691</v>
      </c>
      <c r="EA51" s="119">
        <f t="shared" si="57"/>
        <v>104253.78093210691</v>
      </c>
      <c r="EB51" s="119">
        <f t="shared" si="57"/>
        <v>104253.78093210691</v>
      </c>
      <c r="EC51" s="119">
        <f t="shared" si="57"/>
        <v>104253.78093210691</v>
      </c>
      <c r="ED51" s="119">
        <f t="shared" si="57"/>
        <v>104253.78093210691</v>
      </c>
      <c r="EE51" s="119">
        <f t="shared" si="57"/>
        <v>64255.378875365474</v>
      </c>
      <c r="EF51" s="119">
        <f t="shared" si="57"/>
        <v>64255.378875365474</v>
      </c>
      <c r="EG51" s="119">
        <f t="shared" si="57"/>
        <v>64255.378875365474</v>
      </c>
      <c r="EH51" s="119">
        <f t="shared" si="57"/>
        <v>64255.378875365474</v>
      </c>
      <c r="EI51" s="119">
        <f t="shared" si="57"/>
        <v>64255.378875365474</v>
      </c>
      <c r="EJ51" s="119">
        <f t="shared" si="57"/>
        <v>57387.603161043618</v>
      </c>
      <c r="EK51" s="119">
        <f t="shared" si="57"/>
        <v>57387.603161043618</v>
      </c>
      <c r="EL51" s="119">
        <f t="shared" si="57"/>
        <v>57387.603161043618</v>
      </c>
      <c r="EM51" s="119">
        <f t="shared" si="57"/>
        <v>57387.603161043618</v>
      </c>
      <c r="EN51" s="119">
        <f t="shared" si="57"/>
        <v>57387.603161043618</v>
      </c>
      <c r="EO51" s="119">
        <f t="shared" si="52"/>
        <v>55581.353632914346</v>
      </c>
      <c r="EP51" s="119">
        <f t="shared" si="52"/>
        <v>55581.353632914346</v>
      </c>
      <c r="EQ51" s="119">
        <f t="shared" si="52"/>
        <v>55581.353632914346</v>
      </c>
      <c r="ER51" s="119">
        <f t="shared" si="52"/>
        <v>55581.353632914346</v>
      </c>
      <c r="ES51" s="119">
        <f t="shared" si="52"/>
        <v>55581.353632914346</v>
      </c>
      <c r="ET51" s="119">
        <f t="shared" si="52"/>
        <v>53517.693847262053</v>
      </c>
      <c r="EU51" s="119">
        <f t="shared" si="52"/>
        <v>53517.693847262053</v>
      </c>
      <c r="EV51" s="119">
        <f t="shared" si="52"/>
        <v>53517.693847262053</v>
      </c>
      <c r="EW51" s="119">
        <f t="shared" si="52"/>
        <v>53517.693847262053</v>
      </c>
      <c r="EX51" s="119">
        <f t="shared" si="52"/>
        <v>53517.693847262053</v>
      </c>
      <c r="EY51" s="119">
        <f t="shared" si="52"/>
        <v>50281.679181258281</v>
      </c>
      <c r="FB51" s="123" t="s">
        <v>227</v>
      </c>
      <c r="FC51" s="103">
        <f t="shared" si="15"/>
        <v>128996.68527768768</v>
      </c>
      <c r="FD51" s="119">
        <f t="shared" si="58"/>
        <v>128996.68527768768</v>
      </c>
      <c r="FE51" s="119">
        <f t="shared" si="58"/>
        <v>112652.88501516267</v>
      </c>
      <c r="FF51" s="119">
        <f t="shared" si="58"/>
        <v>112652.88501516267</v>
      </c>
      <c r="FG51" s="119">
        <f t="shared" si="58"/>
        <v>112652.88501516267</v>
      </c>
      <c r="FH51" s="119">
        <f t="shared" si="58"/>
        <v>112652.88501516267</v>
      </c>
      <c r="FI51" s="119">
        <f t="shared" si="58"/>
        <v>112652.88501516267</v>
      </c>
      <c r="FJ51" s="119">
        <f t="shared" si="58"/>
        <v>70692.386403628378</v>
      </c>
      <c r="FK51" s="119">
        <f t="shared" si="58"/>
        <v>70692.386403628378</v>
      </c>
      <c r="FL51" s="119">
        <f t="shared" si="58"/>
        <v>70692.386403628378</v>
      </c>
      <c r="FM51" s="119">
        <f t="shared" si="58"/>
        <v>70692.386403628378</v>
      </c>
      <c r="FN51" s="119">
        <f t="shared" si="58"/>
        <v>70692.386403628378</v>
      </c>
      <c r="FO51" s="119">
        <f t="shared" si="58"/>
        <v>62771.329941686789</v>
      </c>
      <c r="FP51" s="119">
        <f t="shared" si="58"/>
        <v>62771.329941686789</v>
      </c>
      <c r="FQ51" s="119">
        <f t="shared" si="58"/>
        <v>62771.329941686789</v>
      </c>
      <c r="FR51" s="119">
        <f t="shared" si="58"/>
        <v>62771.329941686789</v>
      </c>
      <c r="FS51" s="119">
        <f t="shared" si="58"/>
        <v>62771.329941686789</v>
      </c>
      <c r="FT51" s="119">
        <f t="shared" si="53"/>
        <v>61173.460145838071</v>
      </c>
      <c r="FU51" s="119">
        <f t="shared" si="53"/>
        <v>61173.460145838071</v>
      </c>
      <c r="FV51" s="119">
        <f t="shared" si="53"/>
        <v>61173.460145838071</v>
      </c>
      <c r="FW51" s="119">
        <f t="shared" si="53"/>
        <v>61173.460145838071</v>
      </c>
      <c r="FX51" s="119">
        <f t="shared" si="53"/>
        <v>61173.460145838071</v>
      </c>
      <c r="FY51" s="119">
        <f t="shared" si="53"/>
        <v>59105.422634717688</v>
      </c>
      <c r="FZ51" s="119">
        <f t="shared" si="53"/>
        <v>59105.422634717688</v>
      </c>
      <c r="GA51" s="119">
        <f t="shared" si="53"/>
        <v>59105.422634717688</v>
      </c>
      <c r="GB51" s="119">
        <f t="shared" si="53"/>
        <v>59105.422634717688</v>
      </c>
      <c r="GC51" s="119">
        <f t="shared" si="53"/>
        <v>59105.422634717688</v>
      </c>
      <c r="GD51" s="119">
        <f t="shared" si="53"/>
        <v>55757.338196731107</v>
      </c>
      <c r="GH51" s="123" t="s">
        <v>227</v>
      </c>
      <c r="GI51" s="103">
        <f t="shared" si="17"/>
        <v>112077.65188865714</v>
      </c>
      <c r="GJ51" s="119">
        <f t="shared" si="59"/>
        <v>112077.65188865714</v>
      </c>
      <c r="GK51" s="119">
        <f t="shared" si="59"/>
        <v>98537.34701588974</v>
      </c>
      <c r="GL51" s="119">
        <f t="shared" si="59"/>
        <v>98537.34701588974</v>
      </c>
      <c r="GM51" s="119">
        <f t="shared" si="59"/>
        <v>98537.34701588974</v>
      </c>
      <c r="GN51" s="119">
        <f t="shared" si="59"/>
        <v>98537.34701588974</v>
      </c>
      <c r="GO51" s="119">
        <f t="shared" si="59"/>
        <v>98537.34701588974</v>
      </c>
      <c r="GP51" s="119">
        <f t="shared" si="59"/>
        <v>59874.15122691232</v>
      </c>
      <c r="GQ51" s="119">
        <f t="shared" si="59"/>
        <v>59874.15122691232</v>
      </c>
      <c r="GR51" s="119">
        <f t="shared" si="59"/>
        <v>59874.15122691232</v>
      </c>
      <c r="GS51" s="119">
        <f t="shared" si="59"/>
        <v>59874.15122691232</v>
      </c>
      <c r="GT51" s="119">
        <f t="shared" si="59"/>
        <v>59874.15122691232</v>
      </c>
      <c r="GU51" s="119">
        <f t="shared" si="59"/>
        <v>53723.446944261748</v>
      </c>
      <c r="GV51" s="119">
        <f t="shared" si="59"/>
        <v>53723.446944261748</v>
      </c>
      <c r="GW51" s="119">
        <f t="shared" si="59"/>
        <v>53723.446944261748</v>
      </c>
      <c r="GX51" s="119">
        <f t="shared" si="59"/>
        <v>53723.446944261748</v>
      </c>
      <c r="GY51" s="119">
        <f t="shared" si="59"/>
        <v>53723.446944261748</v>
      </c>
      <c r="GZ51" s="119">
        <f t="shared" si="54"/>
        <v>51775.359110966732</v>
      </c>
      <c r="HA51" s="119">
        <f t="shared" si="54"/>
        <v>51775.359110966732</v>
      </c>
      <c r="HB51" s="119">
        <f t="shared" si="54"/>
        <v>51775.359110966732</v>
      </c>
      <c r="HC51" s="119">
        <f t="shared" si="54"/>
        <v>51775.359110966732</v>
      </c>
      <c r="HD51" s="119">
        <f t="shared" si="54"/>
        <v>51775.359110966732</v>
      </c>
      <c r="HE51" s="119">
        <f t="shared" si="54"/>
        <v>49714.325960595284</v>
      </c>
      <c r="HF51" s="119">
        <f t="shared" si="54"/>
        <v>49714.325960595284</v>
      </c>
      <c r="HG51" s="119">
        <f t="shared" si="54"/>
        <v>49714.325960595284</v>
      </c>
      <c r="HH51" s="119">
        <f t="shared" si="54"/>
        <v>49714.325960595284</v>
      </c>
      <c r="HI51" s="119">
        <f t="shared" si="54"/>
        <v>49714.325960595284</v>
      </c>
      <c r="HJ51" s="119">
        <f t="shared" si="54"/>
        <v>46555.359262829697</v>
      </c>
    </row>
    <row r="52" spans="17:218" x14ac:dyDescent="0.25">
      <c r="Q52" s="37">
        <v>2023</v>
      </c>
      <c r="R52" s="171">
        <v>0</v>
      </c>
      <c r="S52" s="172">
        <v>0.42</v>
      </c>
      <c r="T52" s="172">
        <v>0.17</v>
      </c>
      <c r="U52" s="172">
        <v>0.19</v>
      </c>
      <c r="V52" s="172">
        <v>0</v>
      </c>
      <c r="W52" s="172">
        <v>0.21999999999999997</v>
      </c>
      <c r="X52" s="134">
        <f t="shared" si="60"/>
        <v>1</v>
      </c>
      <c r="Z52" s="83" t="s">
        <v>229</v>
      </c>
      <c r="AA52" s="114">
        <f>'US Grid mix, emissions&amp;prices'!O104</f>
        <v>42945</v>
      </c>
      <c r="AB52" s="116">
        <f t="shared" si="49"/>
        <v>42945</v>
      </c>
      <c r="AC52" s="116">
        <f t="shared" si="49"/>
        <v>37769.862901796383</v>
      </c>
      <c r="AD52" s="116">
        <f t="shared" si="49"/>
        <v>37769.862901796383</v>
      </c>
      <c r="AE52" s="116">
        <f t="shared" si="49"/>
        <v>37769.862901796383</v>
      </c>
      <c r="AF52" s="116">
        <f t="shared" si="49"/>
        <v>37769.862901796383</v>
      </c>
      <c r="AG52" s="116">
        <f t="shared" si="49"/>
        <v>37769.862901796383</v>
      </c>
      <c r="AH52" s="116">
        <f t="shared" si="49"/>
        <v>22693.557000947894</v>
      </c>
      <c r="AI52" s="116">
        <f t="shared" si="49"/>
        <v>22693.557000947894</v>
      </c>
      <c r="AJ52" s="116">
        <f t="shared" si="49"/>
        <v>22693.557000947894</v>
      </c>
      <c r="AK52" s="116">
        <f t="shared" si="49"/>
        <v>22693.557000947894</v>
      </c>
      <c r="AL52" s="116">
        <f t="shared" si="49"/>
        <v>22693.557000947894</v>
      </c>
      <c r="AM52" s="116">
        <f t="shared" si="49"/>
        <v>23748.309314817241</v>
      </c>
      <c r="AN52" s="116">
        <f t="shared" si="49"/>
        <v>23748.309314817241</v>
      </c>
      <c r="AO52" s="116">
        <f t="shared" si="49"/>
        <v>23748.309314817241</v>
      </c>
      <c r="AP52" s="116">
        <f t="shared" si="49"/>
        <v>23748.309314817241</v>
      </c>
      <c r="AQ52" s="116">
        <f t="shared" si="49"/>
        <v>23748.309314817241</v>
      </c>
      <c r="AR52" s="116">
        <f t="shared" si="47"/>
        <v>24825.235586963725</v>
      </c>
      <c r="AS52" s="116">
        <f t="shared" si="47"/>
        <v>24825.235586963725</v>
      </c>
      <c r="AT52" s="116">
        <f t="shared" si="47"/>
        <v>24825.235586963725</v>
      </c>
      <c r="AU52" s="116">
        <f t="shared" si="47"/>
        <v>24825.235586963725</v>
      </c>
      <c r="AV52" s="116">
        <f t="shared" si="47"/>
        <v>24825.235586963725</v>
      </c>
      <c r="AW52" s="116">
        <f t="shared" si="47"/>
        <v>25369.986860458845</v>
      </c>
      <c r="AX52" s="116">
        <f t="shared" si="47"/>
        <v>25369.986860458845</v>
      </c>
      <c r="AY52" s="116">
        <f t="shared" si="47"/>
        <v>25369.986860458845</v>
      </c>
      <c r="AZ52" s="116">
        <f t="shared" si="47"/>
        <v>25369.986860458845</v>
      </c>
      <c r="BA52" s="116">
        <f t="shared" si="47"/>
        <v>25369.986860458845</v>
      </c>
      <c r="BB52" s="116">
        <f t="shared" si="47"/>
        <v>25404.406138978586</v>
      </c>
      <c r="BM52" s="123" t="s">
        <v>229</v>
      </c>
      <c r="BN52" s="103">
        <f t="shared" si="23"/>
        <v>42945</v>
      </c>
      <c r="BO52" s="119">
        <f t="shared" si="55"/>
        <v>42945</v>
      </c>
      <c r="BP52" s="119">
        <f t="shared" si="55"/>
        <v>37720.55066622483</v>
      </c>
      <c r="BQ52" s="119">
        <f t="shared" si="55"/>
        <v>37720.55066622483</v>
      </c>
      <c r="BR52" s="119">
        <f t="shared" si="55"/>
        <v>37720.55066622483</v>
      </c>
      <c r="BS52" s="119">
        <f t="shared" si="55"/>
        <v>37720.55066622483</v>
      </c>
      <c r="BT52" s="119">
        <f t="shared" si="55"/>
        <v>37720.55066622483</v>
      </c>
      <c r="BU52" s="119">
        <f t="shared" si="55"/>
        <v>42758.672559551793</v>
      </c>
      <c r="BV52" s="119">
        <f t="shared" si="55"/>
        <v>42758.672559551793</v>
      </c>
      <c r="BW52" s="119">
        <f t="shared" si="55"/>
        <v>42758.672559551793</v>
      </c>
      <c r="BX52" s="119">
        <f t="shared" si="55"/>
        <v>42758.672559551793</v>
      </c>
      <c r="BY52" s="119">
        <f t="shared" si="55"/>
        <v>42758.672559551793</v>
      </c>
      <c r="BZ52" s="119">
        <f t="shared" si="55"/>
        <v>43786.948505329026</v>
      </c>
      <c r="CA52" s="119">
        <f t="shared" si="55"/>
        <v>43786.948505329026</v>
      </c>
      <c r="CB52" s="119">
        <f t="shared" si="55"/>
        <v>43786.948505329026</v>
      </c>
      <c r="CC52" s="119">
        <f t="shared" si="55"/>
        <v>43786.948505329026</v>
      </c>
      <c r="CD52" s="119">
        <f t="shared" si="55"/>
        <v>43786.948505329026</v>
      </c>
      <c r="CE52" s="119">
        <f t="shared" si="50"/>
        <v>44869.170051093934</v>
      </c>
      <c r="CF52" s="119">
        <f t="shared" si="50"/>
        <v>44869.170051093934</v>
      </c>
      <c r="CG52" s="119">
        <f t="shared" si="50"/>
        <v>44869.170051093934</v>
      </c>
      <c r="CH52" s="119">
        <f t="shared" si="50"/>
        <v>44869.170051093934</v>
      </c>
      <c r="CI52" s="119">
        <f t="shared" si="50"/>
        <v>44869.170051093934</v>
      </c>
      <c r="CJ52" s="119">
        <f t="shared" si="50"/>
        <v>45125.99082158738</v>
      </c>
      <c r="CK52" s="119">
        <f t="shared" si="50"/>
        <v>45125.99082158738</v>
      </c>
      <c r="CL52" s="119">
        <f t="shared" si="50"/>
        <v>45125.99082158738</v>
      </c>
      <c r="CM52" s="119">
        <f t="shared" si="50"/>
        <v>45125.99082158738</v>
      </c>
      <c r="CN52" s="119">
        <f t="shared" si="50"/>
        <v>45125.99082158738</v>
      </c>
      <c r="CO52" s="119">
        <f t="shared" si="50"/>
        <v>45432.785736854676</v>
      </c>
      <c r="CR52" s="123" t="s">
        <v>229</v>
      </c>
      <c r="CS52" s="103">
        <f t="shared" si="11"/>
        <v>51994.953568483594</v>
      </c>
      <c r="CT52" s="119">
        <f t="shared" si="56"/>
        <v>51994.953568483601</v>
      </c>
      <c r="CU52" s="119">
        <f t="shared" si="56"/>
        <v>51994.953568483601</v>
      </c>
      <c r="CV52" s="119">
        <f t="shared" si="56"/>
        <v>51994.953568483601</v>
      </c>
      <c r="CW52" s="119">
        <f t="shared" si="56"/>
        <v>51994.953568483601</v>
      </c>
      <c r="CX52" s="119">
        <f t="shared" si="56"/>
        <v>51994.953568483601</v>
      </c>
      <c r="CY52" s="119">
        <f t="shared" si="56"/>
        <v>51994.953568483601</v>
      </c>
      <c r="CZ52" s="119">
        <f t="shared" si="56"/>
        <v>52006.536979523895</v>
      </c>
      <c r="DA52" s="119">
        <f t="shared" si="56"/>
        <v>52006.536979523895</v>
      </c>
      <c r="DB52" s="119">
        <f t="shared" si="56"/>
        <v>52006.536979523895</v>
      </c>
      <c r="DC52" s="119">
        <f t="shared" si="56"/>
        <v>52006.536979523895</v>
      </c>
      <c r="DD52" s="119">
        <f t="shared" si="56"/>
        <v>52006.536979523895</v>
      </c>
      <c r="DE52" s="119">
        <f t="shared" si="56"/>
        <v>51999.917887500873</v>
      </c>
      <c r="DF52" s="119">
        <f t="shared" si="56"/>
        <v>51999.917887500873</v>
      </c>
      <c r="DG52" s="119">
        <f t="shared" si="56"/>
        <v>51999.917887500873</v>
      </c>
      <c r="DH52" s="119">
        <f t="shared" si="56"/>
        <v>51999.917887500873</v>
      </c>
      <c r="DI52" s="119">
        <f t="shared" si="56"/>
        <v>51999.917887500873</v>
      </c>
      <c r="DJ52" s="119">
        <f t="shared" si="51"/>
        <v>51998.263114495108</v>
      </c>
      <c r="DK52" s="119">
        <f t="shared" si="51"/>
        <v>51998.263114495108</v>
      </c>
      <c r="DL52" s="119">
        <f t="shared" si="51"/>
        <v>51998.263114495108</v>
      </c>
      <c r="DM52" s="119">
        <f t="shared" si="51"/>
        <v>51998.263114495108</v>
      </c>
      <c r="DN52" s="119">
        <f t="shared" si="51"/>
        <v>51998.263114495108</v>
      </c>
      <c r="DO52" s="119">
        <f t="shared" si="51"/>
        <v>51966.160518183431</v>
      </c>
      <c r="DP52" s="119">
        <f t="shared" si="51"/>
        <v>51966.160518183431</v>
      </c>
      <c r="DQ52" s="119">
        <f t="shared" si="51"/>
        <v>51966.160518183431</v>
      </c>
      <c r="DR52" s="119">
        <f t="shared" si="51"/>
        <v>51966.160518183431</v>
      </c>
      <c r="DS52" s="119">
        <f t="shared" si="51"/>
        <v>51966.160518183431</v>
      </c>
      <c r="DT52" s="93">
        <f t="shared" si="51"/>
        <v>51992.967840876692</v>
      </c>
      <c r="DW52" s="123" t="s">
        <v>229</v>
      </c>
      <c r="DX52" s="103">
        <f t="shared" si="13"/>
        <v>54428.792302579117</v>
      </c>
      <c r="DY52" s="119">
        <f t="shared" si="57"/>
        <v>54428.792302579117</v>
      </c>
      <c r="DZ52" s="119">
        <f t="shared" si="57"/>
        <v>47712.29495965696</v>
      </c>
      <c r="EA52" s="119">
        <f t="shared" si="57"/>
        <v>47712.29495965696</v>
      </c>
      <c r="EB52" s="119">
        <f t="shared" si="57"/>
        <v>47712.29495965696</v>
      </c>
      <c r="EC52" s="119">
        <f t="shared" si="57"/>
        <v>47712.29495965696</v>
      </c>
      <c r="ED52" s="119">
        <f t="shared" si="57"/>
        <v>47712.29495965696</v>
      </c>
      <c r="EE52" s="119">
        <f t="shared" si="57"/>
        <v>29406.814431435039</v>
      </c>
      <c r="EF52" s="119">
        <f t="shared" si="57"/>
        <v>29406.814431435039</v>
      </c>
      <c r="EG52" s="119">
        <f t="shared" si="57"/>
        <v>29406.814431435039</v>
      </c>
      <c r="EH52" s="119">
        <f t="shared" si="57"/>
        <v>29406.814431435039</v>
      </c>
      <c r="EI52" s="119">
        <f t="shared" si="57"/>
        <v>29406.814431435039</v>
      </c>
      <c r="EJ52" s="119">
        <f t="shared" si="57"/>
        <v>26263.740504822381</v>
      </c>
      <c r="EK52" s="119">
        <f t="shared" si="57"/>
        <v>26263.740504822381</v>
      </c>
      <c r="EL52" s="119">
        <f t="shared" si="57"/>
        <v>26263.740504822381</v>
      </c>
      <c r="EM52" s="119">
        <f t="shared" si="57"/>
        <v>26263.740504822381</v>
      </c>
      <c r="EN52" s="119">
        <f t="shared" si="57"/>
        <v>26263.740504822381</v>
      </c>
      <c r="EO52" s="119">
        <f t="shared" si="52"/>
        <v>25437.100842583481</v>
      </c>
      <c r="EP52" s="119">
        <f t="shared" si="52"/>
        <v>25437.100842583481</v>
      </c>
      <c r="EQ52" s="119">
        <f t="shared" si="52"/>
        <v>25437.100842583481</v>
      </c>
      <c r="ER52" s="119">
        <f t="shared" si="52"/>
        <v>25437.100842583481</v>
      </c>
      <c r="ES52" s="119">
        <f t="shared" si="52"/>
        <v>25437.100842583481</v>
      </c>
      <c r="ET52" s="119">
        <f t="shared" si="52"/>
        <v>24492.656012773943</v>
      </c>
      <c r="EU52" s="119">
        <f t="shared" si="52"/>
        <v>24492.656012773943</v>
      </c>
      <c r="EV52" s="119">
        <f t="shared" si="52"/>
        <v>24492.656012773943</v>
      </c>
      <c r="EW52" s="119">
        <f t="shared" si="52"/>
        <v>24492.656012773943</v>
      </c>
      <c r="EX52" s="119">
        <f t="shared" si="52"/>
        <v>24492.656012773943</v>
      </c>
      <c r="EY52" s="119">
        <f t="shared" si="52"/>
        <v>23011.676763314434</v>
      </c>
      <c r="FB52" s="123" t="s">
        <v>229</v>
      </c>
      <c r="FC52" s="103">
        <f t="shared" si="15"/>
        <v>59036.016168998336</v>
      </c>
      <c r="FD52" s="119">
        <f t="shared" si="58"/>
        <v>59036.016168998336</v>
      </c>
      <c r="FE52" s="119">
        <f t="shared" si="58"/>
        <v>51556.189423960277</v>
      </c>
      <c r="FF52" s="119">
        <f t="shared" si="58"/>
        <v>51556.189423960277</v>
      </c>
      <c r="FG52" s="119">
        <f t="shared" si="58"/>
        <v>51556.189423960277</v>
      </c>
      <c r="FH52" s="119">
        <f t="shared" si="58"/>
        <v>51556.189423960277</v>
      </c>
      <c r="FI52" s="119">
        <f t="shared" si="58"/>
        <v>51556.189423960277</v>
      </c>
      <c r="FJ52" s="119">
        <f t="shared" si="58"/>
        <v>32352.745016398865</v>
      </c>
      <c r="FK52" s="119">
        <f t="shared" si="58"/>
        <v>32352.745016398865</v>
      </c>
      <c r="FL52" s="119">
        <f t="shared" si="58"/>
        <v>32352.745016398865</v>
      </c>
      <c r="FM52" s="119">
        <f t="shared" si="58"/>
        <v>32352.745016398865</v>
      </c>
      <c r="FN52" s="119">
        <f t="shared" si="58"/>
        <v>32352.745016398865</v>
      </c>
      <c r="FO52" s="119">
        <f t="shared" si="58"/>
        <v>28727.631577583885</v>
      </c>
      <c r="FP52" s="119">
        <f t="shared" si="58"/>
        <v>28727.631577583885</v>
      </c>
      <c r="FQ52" s="119">
        <f t="shared" si="58"/>
        <v>28727.631577583885</v>
      </c>
      <c r="FR52" s="119">
        <f t="shared" si="58"/>
        <v>28727.631577583885</v>
      </c>
      <c r="FS52" s="119">
        <f t="shared" si="58"/>
        <v>28727.631577583885</v>
      </c>
      <c r="FT52" s="119">
        <f t="shared" si="53"/>
        <v>27996.358003378366</v>
      </c>
      <c r="FU52" s="119">
        <f t="shared" si="53"/>
        <v>27996.358003378366</v>
      </c>
      <c r="FV52" s="119">
        <f t="shared" si="53"/>
        <v>27996.358003378366</v>
      </c>
      <c r="FW52" s="119">
        <f t="shared" si="53"/>
        <v>27996.358003378366</v>
      </c>
      <c r="FX52" s="119">
        <f t="shared" si="53"/>
        <v>27996.358003378366</v>
      </c>
      <c r="FY52" s="119">
        <f t="shared" si="53"/>
        <v>27049.909684324426</v>
      </c>
      <c r="FZ52" s="119">
        <f t="shared" si="53"/>
        <v>27049.909684324426</v>
      </c>
      <c r="GA52" s="119">
        <f t="shared" si="53"/>
        <v>27049.909684324426</v>
      </c>
      <c r="GB52" s="119">
        <f t="shared" si="53"/>
        <v>27049.909684324426</v>
      </c>
      <c r="GC52" s="119">
        <f t="shared" si="53"/>
        <v>27049.909684324426</v>
      </c>
      <c r="GD52" s="119">
        <f t="shared" si="53"/>
        <v>25517.641110208311</v>
      </c>
      <c r="GH52" s="123" t="s">
        <v>229</v>
      </c>
      <c r="GI52" s="103">
        <f t="shared" si="17"/>
        <v>51292.930937246296</v>
      </c>
      <c r="GJ52" s="119">
        <f t="shared" si="59"/>
        <v>51292.930937246296</v>
      </c>
      <c r="GK52" s="119">
        <f t="shared" si="59"/>
        <v>45096.138704321158</v>
      </c>
      <c r="GL52" s="119">
        <f t="shared" si="59"/>
        <v>45096.138704321158</v>
      </c>
      <c r="GM52" s="119">
        <f t="shared" si="59"/>
        <v>45096.138704321158</v>
      </c>
      <c r="GN52" s="119">
        <f t="shared" si="59"/>
        <v>45096.138704321158</v>
      </c>
      <c r="GO52" s="119">
        <f t="shared" si="59"/>
        <v>45096.138704321158</v>
      </c>
      <c r="GP52" s="119">
        <f t="shared" si="59"/>
        <v>27401.722395640838</v>
      </c>
      <c r="GQ52" s="119">
        <f t="shared" si="59"/>
        <v>27401.722395640838</v>
      </c>
      <c r="GR52" s="119">
        <f t="shared" si="59"/>
        <v>27401.722395640838</v>
      </c>
      <c r="GS52" s="119">
        <f t="shared" si="59"/>
        <v>27401.722395640838</v>
      </c>
      <c r="GT52" s="119">
        <f t="shared" si="59"/>
        <v>27401.722395640838</v>
      </c>
      <c r="GU52" s="119">
        <f t="shared" si="59"/>
        <v>24586.820007260685</v>
      </c>
      <c r="GV52" s="119">
        <f t="shared" si="59"/>
        <v>24586.820007260685</v>
      </c>
      <c r="GW52" s="119">
        <f t="shared" si="59"/>
        <v>24586.820007260685</v>
      </c>
      <c r="GX52" s="119">
        <f t="shared" si="59"/>
        <v>24586.820007260685</v>
      </c>
      <c r="GY52" s="119">
        <f t="shared" si="59"/>
        <v>24586.820007260685</v>
      </c>
      <c r="GZ52" s="119">
        <f t="shared" si="54"/>
        <v>23695.267293503268</v>
      </c>
      <c r="HA52" s="119">
        <f t="shared" si="54"/>
        <v>23695.267293503268</v>
      </c>
      <c r="HB52" s="119">
        <f t="shared" si="54"/>
        <v>23695.267293503268</v>
      </c>
      <c r="HC52" s="119">
        <f t="shared" si="54"/>
        <v>23695.267293503268</v>
      </c>
      <c r="HD52" s="119">
        <f t="shared" si="54"/>
        <v>23695.267293503268</v>
      </c>
      <c r="HE52" s="119">
        <f t="shared" si="54"/>
        <v>22752.024557240366</v>
      </c>
      <c r="HF52" s="119">
        <f t="shared" si="54"/>
        <v>22752.024557240366</v>
      </c>
      <c r="HG52" s="119">
        <f t="shared" si="54"/>
        <v>22752.024557240366</v>
      </c>
      <c r="HH52" s="119">
        <f t="shared" si="54"/>
        <v>22752.024557240366</v>
      </c>
      <c r="HI52" s="119">
        <f t="shared" si="54"/>
        <v>22752.024557240366</v>
      </c>
      <c r="HJ52" s="119">
        <f t="shared" si="54"/>
        <v>21306.306718482272</v>
      </c>
    </row>
    <row r="53" spans="17:218" x14ac:dyDescent="0.25">
      <c r="Q53" s="37">
        <v>2025</v>
      </c>
      <c r="R53" s="135">
        <v>2E-3</v>
      </c>
      <c r="S53" s="128">
        <v>0.32100000000000001</v>
      </c>
      <c r="T53" s="128">
        <v>0.187</v>
      </c>
      <c r="U53" s="128">
        <v>0.191</v>
      </c>
      <c r="V53" s="128">
        <v>3.0000000000000001E-3</v>
      </c>
      <c r="W53" s="128">
        <v>0.29599999999999999</v>
      </c>
      <c r="X53" s="134">
        <f t="shared" si="60"/>
        <v>1</v>
      </c>
      <c r="Z53" s="83" t="s">
        <v>159</v>
      </c>
      <c r="AA53" s="114">
        <f>'US Grid mix, emissions&amp;prices'!O105</f>
        <v>296801</v>
      </c>
      <c r="AB53" s="116">
        <f t="shared" si="49"/>
        <v>296801</v>
      </c>
      <c r="AC53" s="116">
        <f t="shared" si="49"/>
        <v>261034.65081187722</v>
      </c>
      <c r="AD53" s="116">
        <f t="shared" si="49"/>
        <v>261034.65081187722</v>
      </c>
      <c r="AE53" s="116">
        <f t="shared" si="49"/>
        <v>261034.65081187722</v>
      </c>
      <c r="AF53" s="116">
        <f t="shared" si="49"/>
        <v>261034.65081187722</v>
      </c>
      <c r="AG53" s="116">
        <f t="shared" si="49"/>
        <v>261034.65081187722</v>
      </c>
      <c r="AH53" s="116">
        <f t="shared" si="49"/>
        <v>156839.45538335864</v>
      </c>
      <c r="AI53" s="116">
        <f t="shared" si="49"/>
        <v>156839.45538335864</v>
      </c>
      <c r="AJ53" s="116">
        <f t="shared" si="49"/>
        <v>156839.45538335864</v>
      </c>
      <c r="AK53" s="116">
        <f t="shared" si="49"/>
        <v>156839.45538335864</v>
      </c>
      <c r="AL53" s="116">
        <f t="shared" si="49"/>
        <v>156839.45538335864</v>
      </c>
      <c r="AM53" s="116">
        <f t="shared" si="49"/>
        <v>164129.04768767193</v>
      </c>
      <c r="AN53" s="116">
        <f t="shared" si="49"/>
        <v>164129.04768767193</v>
      </c>
      <c r="AO53" s="116">
        <f t="shared" si="49"/>
        <v>164129.04768767193</v>
      </c>
      <c r="AP53" s="116">
        <f t="shared" si="49"/>
        <v>164129.04768767193</v>
      </c>
      <c r="AQ53" s="116">
        <f t="shared" si="49"/>
        <v>164129.04768767193</v>
      </c>
      <c r="AR53" s="116">
        <f t="shared" si="47"/>
        <v>171571.88840252464</v>
      </c>
      <c r="AS53" s="116">
        <f t="shared" si="47"/>
        <v>171571.88840252464</v>
      </c>
      <c r="AT53" s="116">
        <f t="shared" si="47"/>
        <v>171571.88840252464</v>
      </c>
      <c r="AU53" s="116">
        <f t="shared" si="47"/>
        <v>171571.88840252464</v>
      </c>
      <c r="AV53" s="116">
        <f t="shared" si="47"/>
        <v>171571.88840252464</v>
      </c>
      <c r="AW53" s="116">
        <f t="shared" si="47"/>
        <v>175336.7672644323</v>
      </c>
      <c r="AX53" s="116">
        <f t="shared" si="47"/>
        <v>175336.7672644323</v>
      </c>
      <c r="AY53" s="116">
        <f t="shared" si="47"/>
        <v>175336.7672644323</v>
      </c>
      <c r="AZ53" s="116">
        <f t="shared" si="47"/>
        <v>175336.7672644323</v>
      </c>
      <c r="BA53" s="116">
        <f t="shared" si="47"/>
        <v>175336.7672644323</v>
      </c>
      <c r="BB53" s="116">
        <f t="shared" si="47"/>
        <v>175574.64539422479</v>
      </c>
      <c r="BM53" s="123" t="s">
        <v>159</v>
      </c>
      <c r="BN53" s="103">
        <f t="shared" si="23"/>
        <v>296801</v>
      </c>
      <c r="BO53" s="119">
        <f t="shared" si="55"/>
        <v>296801</v>
      </c>
      <c r="BP53" s="119">
        <f t="shared" si="55"/>
        <v>260693.8446451553</v>
      </c>
      <c r="BQ53" s="119">
        <f t="shared" si="55"/>
        <v>260693.8446451553</v>
      </c>
      <c r="BR53" s="119">
        <f t="shared" si="55"/>
        <v>260693.8446451553</v>
      </c>
      <c r="BS53" s="119">
        <f t="shared" si="55"/>
        <v>260693.8446451553</v>
      </c>
      <c r="BT53" s="119">
        <f t="shared" si="55"/>
        <v>260693.8446451553</v>
      </c>
      <c r="BU53" s="119">
        <f t="shared" si="55"/>
        <v>295513.2558935273</v>
      </c>
      <c r="BV53" s="119">
        <f t="shared" si="55"/>
        <v>295513.2558935273</v>
      </c>
      <c r="BW53" s="119">
        <f t="shared" si="55"/>
        <v>295513.2558935273</v>
      </c>
      <c r="BX53" s="119">
        <f t="shared" si="55"/>
        <v>295513.2558935273</v>
      </c>
      <c r="BY53" s="119">
        <f t="shared" si="55"/>
        <v>295513.2558935273</v>
      </c>
      <c r="BZ53" s="119">
        <f t="shared" si="55"/>
        <v>302619.86502107722</v>
      </c>
      <c r="CA53" s="119">
        <f t="shared" si="55"/>
        <v>302619.86502107722</v>
      </c>
      <c r="CB53" s="119">
        <f t="shared" si="55"/>
        <v>302619.86502107722</v>
      </c>
      <c r="CC53" s="119">
        <f t="shared" si="55"/>
        <v>302619.86502107722</v>
      </c>
      <c r="CD53" s="119">
        <f t="shared" si="55"/>
        <v>302619.86502107722</v>
      </c>
      <c r="CE53" s="119">
        <f t="shared" si="50"/>
        <v>310099.3023712826</v>
      </c>
      <c r="CF53" s="119">
        <f t="shared" si="50"/>
        <v>310099.3023712826</v>
      </c>
      <c r="CG53" s="119">
        <f t="shared" si="50"/>
        <v>310099.3023712826</v>
      </c>
      <c r="CH53" s="119">
        <f t="shared" si="50"/>
        <v>310099.3023712826</v>
      </c>
      <c r="CI53" s="119">
        <f t="shared" si="50"/>
        <v>310099.3023712826</v>
      </c>
      <c r="CJ53" s="119">
        <f t="shared" si="50"/>
        <v>311874.23918588791</v>
      </c>
      <c r="CK53" s="119">
        <f t="shared" si="50"/>
        <v>311874.23918588791</v>
      </c>
      <c r="CL53" s="119">
        <f t="shared" si="50"/>
        <v>311874.23918588791</v>
      </c>
      <c r="CM53" s="119">
        <f t="shared" si="50"/>
        <v>311874.23918588791</v>
      </c>
      <c r="CN53" s="119">
        <f t="shared" si="50"/>
        <v>311874.23918588791</v>
      </c>
      <c r="CO53" s="119">
        <f t="shared" si="50"/>
        <v>313994.55674663419</v>
      </c>
      <c r="CR53" s="123" t="s">
        <v>159</v>
      </c>
      <c r="CS53" s="103">
        <f t="shared" si="11"/>
        <v>359346.93710745138</v>
      </c>
      <c r="CT53" s="119">
        <f t="shared" si="56"/>
        <v>359346.93710745143</v>
      </c>
      <c r="CU53" s="119">
        <f t="shared" si="56"/>
        <v>359346.93710745143</v>
      </c>
      <c r="CV53" s="119">
        <f t="shared" si="56"/>
        <v>359346.93710745143</v>
      </c>
      <c r="CW53" s="119">
        <f t="shared" si="56"/>
        <v>359346.93710745143</v>
      </c>
      <c r="CX53" s="119">
        <f t="shared" si="56"/>
        <v>359346.93710745143</v>
      </c>
      <c r="CY53" s="119">
        <f t="shared" si="56"/>
        <v>359346.93710745143</v>
      </c>
      <c r="CZ53" s="119">
        <f t="shared" si="56"/>
        <v>359426.99224728538</v>
      </c>
      <c r="DA53" s="119">
        <f t="shared" si="56"/>
        <v>359426.99224728538</v>
      </c>
      <c r="DB53" s="119">
        <f t="shared" si="56"/>
        <v>359426.99224728538</v>
      </c>
      <c r="DC53" s="119">
        <f t="shared" si="56"/>
        <v>359426.99224728538</v>
      </c>
      <c r="DD53" s="119">
        <f t="shared" si="56"/>
        <v>359426.99224728538</v>
      </c>
      <c r="DE53" s="119">
        <f t="shared" si="56"/>
        <v>359381.24645309453</v>
      </c>
      <c r="DF53" s="119">
        <f t="shared" si="56"/>
        <v>359381.24645309453</v>
      </c>
      <c r="DG53" s="119">
        <f t="shared" si="56"/>
        <v>359381.24645309453</v>
      </c>
      <c r="DH53" s="119">
        <f t="shared" si="56"/>
        <v>359381.24645309453</v>
      </c>
      <c r="DI53" s="119">
        <f t="shared" si="56"/>
        <v>359381.24645309453</v>
      </c>
      <c r="DJ53" s="119">
        <f t="shared" si="51"/>
        <v>359369.81000454683</v>
      </c>
      <c r="DK53" s="119">
        <f t="shared" si="51"/>
        <v>359369.81000454683</v>
      </c>
      <c r="DL53" s="119">
        <f t="shared" si="51"/>
        <v>359369.81000454683</v>
      </c>
      <c r="DM53" s="119">
        <f t="shared" si="51"/>
        <v>359369.81000454683</v>
      </c>
      <c r="DN53" s="119">
        <f t="shared" si="51"/>
        <v>359369.81000454683</v>
      </c>
      <c r="DO53" s="119">
        <f t="shared" si="51"/>
        <v>359147.94290272117</v>
      </c>
      <c r="DP53" s="119">
        <f t="shared" si="51"/>
        <v>359147.94290272117</v>
      </c>
      <c r="DQ53" s="119">
        <f t="shared" si="51"/>
        <v>359147.94290272117</v>
      </c>
      <c r="DR53" s="119">
        <f t="shared" si="51"/>
        <v>359147.94290272117</v>
      </c>
      <c r="DS53" s="119">
        <f t="shared" si="51"/>
        <v>359147.94290272117</v>
      </c>
      <c r="DT53" s="93">
        <f t="shared" si="51"/>
        <v>359333.21336919413</v>
      </c>
      <c r="DW53" s="123" t="s">
        <v>159</v>
      </c>
      <c r="DX53" s="103">
        <f t="shared" si="13"/>
        <v>376167.65593661158</v>
      </c>
      <c r="DY53" s="119">
        <f t="shared" si="57"/>
        <v>376167.65593661158</v>
      </c>
      <c r="DZ53" s="119">
        <f t="shared" si="57"/>
        <v>329748.67519667355</v>
      </c>
      <c r="EA53" s="119">
        <f t="shared" si="57"/>
        <v>329748.67519667355</v>
      </c>
      <c r="EB53" s="119">
        <f t="shared" si="57"/>
        <v>329748.67519667355</v>
      </c>
      <c r="EC53" s="119">
        <f t="shared" si="57"/>
        <v>329748.67519667355</v>
      </c>
      <c r="ED53" s="119">
        <f t="shared" si="57"/>
        <v>329748.67519667355</v>
      </c>
      <c r="EE53" s="119">
        <f t="shared" si="57"/>
        <v>203236.04447699036</v>
      </c>
      <c r="EF53" s="119">
        <f t="shared" si="57"/>
        <v>203236.04447699036</v>
      </c>
      <c r="EG53" s="119">
        <f t="shared" si="57"/>
        <v>203236.04447699036</v>
      </c>
      <c r="EH53" s="119">
        <f t="shared" si="57"/>
        <v>203236.04447699036</v>
      </c>
      <c r="EI53" s="119">
        <f t="shared" si="57"/>
        <v>203236.04447699036</v>
      </c>
      <c r="EJ53" s="119">
        <f t="shared" si="57"/>
        <v>181513.66737854903</v>
      </c>
      <c r="EK53" s="119">
        <f t="shared" si="57"/>
        <v>181513.66737854903</v>
      </c>
      <c r="EL53" s="119">
        <f t="shared" si="57"/>
        <v>181513.66737854903</v>
      </c>
      <c r="EM53" s="119">
        <f t="shared" si="57"/>
        <v>181513.66737854903</v>
      </c>
      <c r="EN53" s="119">
        <f t="shared" si="57"/>
        <v>181513.66737854903</v>
      </c>
      <c r="EO53" s="119">
        <f t="shared" si="52"/>
        <v>175800.60466130215</v>
      </c>
      <c r="EP53" s="119">
        <f t="shared" si="52"/>
        <v>175800.60466130215</v>
      </c>
      <c r="EQ53" s="119">
        <f t="shared" si="52"/>
        <v>175800.60466130215</v>
      </c>
      <c r="ER53" s="119">
        <f t="shared" si="52"/>
        <v>175800.60466130215</v>
      </c>
      <c r="ES53" s="119">
        <f t="shared" si="52"/>
        <v>175800.60466130215</v>
      </c>
      <c r="ET53" s="119">
        <f t="shared" si="52"/>
        <v>169273.36819763231</v>
      </c>
      <c r="EU53" s="119">
        <f t="shared" si="52"/>
        <v>169273.36819763231</v>
      </c>
      <c r="EV53" s="119">
        <f t="shared" si="52"/>
        <v>169273.36819763231</v>
      </c>
      <c r="EW53" s="119">
        <f t="shared" si="52"/>
        <v>169273.36819763231</v>
      </c>
      <c r="EX53" s="119">
        <f t="shared" si="52"/>
        <v>169273.36819763231</v>
      </c>
      <c r="EY53" s="119">
        <f t="shared" si="52"/>
        <v>159038.04109974357</v>
      </c>
      <c r="FB53" s="123" t="s">
        <v>159</v>
      </c>
      <c r="FC53" s="103">
        <f t="shared" si="15"/>
        <v>408009.04959773843</v>
      </c>
      <c r="FD53" s="119">
        <f t="shared" si="58"/>
        <v>408009.04959773843</v>
      </c>
      <c r="FE53" s="119">
        <f t="shared" si="58"/>
        <v>356314.55529679439</v>
      </c>
      <c r="FF53" s="119">
        <f t="shared" si="58"/>
        <v>356314.55529679439</v>
      </c>
      <c r="FG53" s="119">
        <f t="shared" si="58"/>
        <v>356314.55529679439</v>
      </c>
      <c r="FH53" s="119">
        <f t="shared" si="58"/>
        <v>356314.55529679439</v>
      </c>
      <c r="FI53" s="119">
        <f t="shared" si="58"/>
        <v>356314.55529679439</v>
      </c>
      <c r="FJ53" s="119">
        <f t="shared" si="58"/>
        <v>223595.926734479</v>
      </c>
      <c r="FK53" s="119">
        <f t="shared" si="58"/>
        <v>223595.926734479</v>
      </c>
      <c r="FL53" s="119">
        <f t="shared" si="58"/>
        <v>223595.926734479</v>
      </c>
      <c r="FM53" s="119">
        <f t="shared" si="58"/>
        <v>223595.926734479</v>
      </c>
      <c r="FN53" s="119">
        <f t="shared" si="58"/>
        <v>223595.926734479</v>
      </c>
      <c r="FO53" s="119">
        <f t="shared" si="58"/>
        <v>198542.08359200082</v>
      </c>
      <c r="FP53" s="119">
        <f t="shared" si="58"/>
        <v>198542.08359200082</v>
      </c>
      <c r="FQ53" s="119">
        <f t="shared" si="58"/>
        <v>198542.08359200082</v>
      </c>
      <c r="FR53" s="119">
        <f t="shared" si="58"/>
        <v>198542.08359200082</v>
      </c>
      <c r="FS53" s="119">
        <f t="shared" si="58"/>
        <v>198542.08359200082</v>
      </c>
      <c r="FT53" s="119">
        <f t="shared" si="53"/>
        <v>193488.11390757255</v>
      </c>
      <c r="FU53" s="119">
        <f t="shared" si="53"/>
        <v>193488.11390757255</v>
      </c>
      <c r="FV53" s="119">
        <f t="shared" si="53"/>
        <v>193488.11390757255</v>
      </c>
      <c r="FW53" s="119">
        <f t="shared" si="53"/>
        <v>193488.11390757255</v>
      </c>
      <c r="FX53" s="119">
        <f t="shared" si="53"/>
        <v>193488.11390757255</v>
      </c>
      <c r="FY53" s="119">
        <f t="shared" si="53"/>
        <v>186947.03095161659</v>
      </c>
      <c r="FZ53" s="119">
        <f t="shared" si="53"/>
        <v>186947.03095161659</v>
      </c>
      <c r="GA53" s="119">
        <f t="shared" si="53"/>
        <v>186947.03095161659</v>
      </c>
      <c r="GB53" s="119">
        <f t="shared" si="53"/>
        <v>186947.03095161659</v>
      </c>
      <c r="GC53" s="119">
        <f t="shared" si="53"/>
        <v>186947.03095161659</v>
      </c>
      <c r="GD53" s="119">
        <f t="shared" si="53"/>
        <v>176357.23365120357</v>
      </c>
      <c r="GH53" s="123" t="s">
        <v>159</v>
      </c>
      <c r="GI53" s="103">
        <f t="shared" si="17"/>
        <v>354495.12621040025</v>
      </c>
      <c r="GJ53" s="119">
        <f t="shared" si="59"/>
        <v>354495.12621040025</v>
      </c>
      <c r="GK53" s="119">
        <f t="shared" si="59"/>
        <v>311667.92556947778</v>
      </c>
      <c r="GL53" s="119">
        <f t="shared" si="59"/>
        <v>311667.92556947778</v>
      </c>
      <c r="GM53" s="119">
        <f t="shared" si="59"/>
        <v>311667.92556947778</v>
      </c>
      <c r="GN53" s="119">
        <f t="shared" si="59"/>
        <v>311667.92556947778</v>
      </c>
      <c r="GO53" s="119">
        <f t="shared" si="59"/>
        <v>311667.92556947778</v>
      </c>
      <c r="GP53" s="119">
        <f t="shared" si="59"/>
        <v>189378.47499705662</v>
      </c>
      <c r="GQ53" s="119">
        <f t="shared" si="59"/>
        <v>189378.47499705662</v>
      </c>
      <c r="GR53" s="119">
        <f t="shared" si="59"/>
        <v>189378.47499705662</v>
      </c>
      <c r="GS53" s="119">
        <f t="shared" si="59"/>
        <v>189378.47499705662</v>
      </c>
      <c r="GT53" s="119">
        <f t="shared" si="59"/>
        <v>189378.47499705662</v>
      </c>
      <c r="GU53" s="119">
        <f t="shared" si="59"/>
        <v>169924.15333507926</v>
      </c>
      <c r="GV53" s="119">
        <f t="shared" si="59"/>
        <v>169924.15333507926</v>
      </c>
      <c r="GW53" s="119">
        <f t="shared" si="59"/>
        <v>169924.15333507926</v>
      </c>
      <c r="GX53" s="119">
        <f t="shared" si="59"/>
        <v>169924.15333507926</v>
      </c>
      <c r="GY53" s="119">
        <f t="shared" si="59"/>
        <v>169924.15333507926</v>
      </c>
      <c r="GZ53" s="119">
        <f t="shared" si="54"/>
        <v>163762.46426776258</v>
      </c>
      <c r="HA53" s="119">
        <f t="shared" si="54"/>
        <v>163762.46426776258</v>
      </c>
      <c r="HB53" s="119">
        <f t="shared" si="54"/>
        <v>163762.46426776258</v>
      </c>
      <c r="HC53" s="119">
        <f t="shared" si="54"/>
        <v>163762.46426776258</v>
      </c>
      <c r="HD53" s="119">
        <f t="shared" si="54"/>
        <v>163762.46426776258</v>
      </c>
      <c r="HE53" s="119">
        <f t="shared" si="54"/>
        <v>157243.53569946438</v>
      </c>
      <c r="HF53" s="119">
        <f t="shared" si="54"/>
        <v>157243.53569946438</v>
      </c>
      <c r="HG53" s="119">
        <f t="shared" si="54"/>
        <v>157243.53569946438</v>
      </c>
      <c r="HH53" s="119">
        <f t="shared" si="54"/>
        <v>157243.53569946438</v>
      </c>
      <c r="HI53" s="119">
        <f t="shared" si="54"/>
        <v>157243.53569946438</v>
      </c>
      <c r="HJ53" s="119">
        <f t="shared" si="54"/>
        <v>147251.90686581109</v>
      </c>
    </row>
    <row r="54" spans="17:218" x14ac:dyDescent="0.25">
      <c r="Q54" s="37">
        <v>2030</v>
      </c>
      <c r="R54" s="135">
        <v>2E-3</v>
      </c>
      <c r="S54" s="128">
        <v>0</v>
      </c>
      <c r="T54" s="128">
        <v>0</v>
      </c>
      <c r="U54" s="128">
        <v>0.17899999999999999</v>
      </c>
      <c r="V54" s="128">
        <v>2E-3</v>
      </c>
      <c r="W54" s="128">
        <f>1-SUM(R54:V54)</f>
        <v>0.81699999999999995</v>
      </c>
      <c r="X54" s="134">
        <f t="shared" si="60"/>
        <v>1</v>
      </c>
      <c r="Z54" s="83" t="s">
        <v>158</v>
      </c>
      <c r="AA54" s="114">
        <f>'US Grid mix, emissions&amp;prices'!O106</f>
        <v>175943</v>
      </c>
      <c r="AB54" s="116">
        <f t="shared" si="49"/>
        <v>175943</v>
      </c>
      <c r="AC54" s="116">
        <f t="shared" si="49"/>
        <v>154740.78445757972</v>
      </c>
      <c r="AD54" s="116">
        <f t="shared" si="49"/>
        <v>154740.78445757972</v>
      </c>
      <c r="AE54" s="116">
        <f t="shared" si="49"/>
        <v>154740.78445757972</v>
      </c>
      <c r="AF54" s="116">
        <f t="shared" si="49"/>
        <v>154740.78445757972</v>
      </c>
      <c r="AG54" s="116">
        <f t="shared" si="49"/>
        <v>154740.78445757972</v>
      </c>
      <c r="AH54" s="116">
        <f t="shared" si="49"/>
        <v>92974.094758825842</v>
      </c>
      <c r="AI54" s="116">
        <f t="shared" si="49"/>
        <v>92974.094758825842</v>
      </c>
      <c r="AJ54" s="116">
        <f t="shared" si="49"/>
        <v>92974.094758825842</v>
      </c>
      <c r="AK54" s="116">
        <f t="shared" si="49"/>
        <v>92974.094758825842</v>
      </c>
      <c r="AL54" s="116">
        <f t="shared" si="49"/>
        <v>92974.094758825842</v>
      </c>
      <c r="AM54" s="116">
        <f t="shared" si="49"/>
        <v>97295.349534914189</v>
      </c>
      <c r="AN54" s="116">
        <f t="shared" si="49"/>
        <v>97295.349534914189</v>
      </c>
      <c r="AO54" s="116">
        <f t="shared" si="49"/>
        <v>97295.349534914189</v>
      </c>
      <c r="AP54" s="116">
        <f t="shared" si="49"/>
        <v>97295.349534914189</v>
      </c>
      <c r="AQ54" s="116">
        <f t="shared" si="49"/>
        <v>97295.349534914189</v>
      </c>
      <c r="AR54" s="116">
        <f t="shared" si="47"/>
        <v>101707.44964203419</v>
      </c>
      <c r="AS54" s="116">
        <f t="shared" si="47"/>
        <v>101707.44964203419</v>
      </c>
      <c r="AT54" s="116">
        <f t="shared" si="47"/>
        <v>101707.44964203419</v>
      </c>
      <c r="AU54" s="116">
        <f t="shared" si="47"/>
        <v>101707.44964203419</v>
      </c>
      <c r="AV54" s="116">
        <f t="shared" si="47"/>
        <v>101707.44964203419</v>
      </c>
      <c r="AW54" s="116">
        <f t="shared" si="47"/>
        <v>103939.26180439423</v>
      </c>
      <c r="AX54" s="116">
        <f t="shared" si="47"/>
        <v>103939.26180439423</v>
      </c>
      <c r="AY54" s="116">
        <f t="shared" si="47"/>
        <v>103939.26180439423</v>
      </c>
      <c r="AZ54" s="116">
        <f t="shared" si="47"/>
        <v>103939.26180439423</v>
      </c>
      <c r="BA54" s="116">
        <f t="shared" si="47"/>
        <v>103939.26180439423</v>
      </c>
      <c r="BB54" s="116">
        <f t="shared" si="47"/>
        <v>104080.2754525628</v>
      </c>
      <c r="BM54" s="123" t="s">
        <v>158</v>
      </c>
      <c r="BN54" s="103">
        <f t="shared" si="23"/>
        <v>175943</v>
      </c>
      <c r="BO54" s="119">
        <f t="shared" si="55"/>
        <v>175943</v>
      </c>
      <c r="BP54" s="119">
        <f t="shared" si="55"/>
        <v>154538.75528856897</v>
      </c>
      <c r="BQ54" s="119">
        <f t="shared" si="55"/>
        <v>154538.75528856897</v>
      </c>
      <c r="BR54" s="119">
        <f t="shared" si="55"/>
        <v>154538.75528856897</v>
      </c>
      <c r="BS54" s="119">
        <f t="shared" si="55"/>
        <v>154538.75528856897</v>
      </c>
      <c r="BT54" s="119">
        <f t="shared" si="55"/>
        <v>154538.75528856897</v>
      </c>
      <c r="BU54" s="119">
        <f t="shared" si="55"/>
        <v>175179.62803924136</v>
      </c>
      <c r="BV54" s="119">
        <f t="shared" si="55"/>
        <v>175179.62803924136</v>
      </c>
      <c r="BW54" s="119">
        <f t="shared" si="55"/>
        <v>175179.62803924136</v>
      </c>
      <c r="BX54" s="119">
        <f t="shared" si="55"/>
        <v>175179.62803924136</v>
      </c>
      <c r="BY54" s="119">
        <f t="shared" si="55"/>
        <v>175179.62803924136</v>
      </c>
      <c r="BZ54" s="119">
        <f t="shared" si="55"/>
        <v>179392.41077827697</v>
      </c>
      <c r="CA54" s="119">
        <f t="shared" si="55"/>
        <v>179392.41077827697</v>
      </c>
      <c r="CB54" s="119">
        <f t="shared" si="55"/>
        <v>179392.41077827697</v>
      </c>
      <c r="CC54" s="119">
        <f t="shared" si="55"/>
        <v>179392.41077827697</v>
      </c>
      <c r="CD54" s="119">
        <f t="shared" si="55"/>
        <v>179392.41077827697</v>
      </c>
      <c r="CE54" s="119">
        <f t="shared" si="50"/>
        <v>183826.20529280754</v>
      </c>
      <c r="CF54" s="119">
        <f t="shared" si="50"/>
        <v>183826.20529280754</v>
      </c>
      <c r="CG54" s="119">
        <f t="shared" si="50"/>
        <v>183826.20529280754</v>
      </c>
      <c r="CH54" s="119">
        <f t="shared" si="50"/>
        <v>183826.20529280754</v>
      </c>
      <c r="CI54" s="119">
        <f t="shared" si="50"/>
        <v>183826.20529280754</v>
      </c>
      <c r="CJ54" s="119">
        <f t="shared" si="50"/>
        <v>184878.3840522191</v>
      </c>
      <c r="CK54" s="119">
        <f t="shared" si="50"/>
        <v>184878.3840522191</v>
      </c>
      <c r="CL54" s="119">
        <f t="shared" si="50"/>
        <v>184878.3840522191</v>
      </c>
      <c r="CM54" s="119">
        <f t="shared" si="50"/>
        <v>184878.3840522191</v>
      </c>
      <c r="CN54" s="119">
        <f t="shared" si="50"/>
        <v>184878.3840522191</v>
      </c>
      <c r="CO54" s="119">
        <f t="shared" si="50"/>
        <v>186135.30378156764</v>
      </c>
      <c r="CR54" s="123" t="s">
        <v>158</v>
      </c>
      <c r="CS54" s="103">
        <f t="shared" si="11"/>
        <v>213020.09816508813</v>
      </c>
      <c r="CT54" s="119">
        <f t="shared" si="56"/>
        <v>213020.09816508813</v>
      </c>
      <c r="CU54" s="119">
        <f t="shared" si="56"/>
        <v>213020.09816508813</v>
      </c>
      <c r="CV54" s="119">
        <f t="shared" si="56"/>
        <v>213020.09816508813</v>
      </c>
      <c r="CW54" s="119">
        <f t="shared" si="56"/>
        <v>213020.09816508813</v>
      </c>
      <c r="CX54" s="119">
        <f t="shared" si="56"/>
        <v>213020.09816508813</v>
      </c>
      <c r="CY54" s="119">
        <f t="shared" si="56"/>
        <v>213020.09816508813</v>
      </c>
      <c r="CZ54" s="119">
        <f t="shared" si="56"/>
        <v>213067.55468129867</v>
      </c>
      <c r="DA54" s="119">
        <f t="shared" si="56"/>
        <v>213067.55468129867</v>
      </c>
      <c r="DB54" s="119">
        <f t="shared" si="56"/>
        <v>213067.55468129867</v>
      </c>
      <c r="DC54" s="119">
        <f t="shared" si="56"/>
        <v>213067.55468129867</v>
      </c>
      <c r="DD54" s="119">
        <f t="shared" si="56"/>
        <v>213067.55468129867</v>
      </c>
      <c r="DE54" s="119">
        <f t="shared" si="56"/>
        <v>213040.43667203552</v>
      </c>
      <c r="DF54" s="119">
        <f t="shared" si="56"/>
        <v>213040.43667203552</v>
      </c>
      <c r="DG54" s="119">
        <f t="shared" si="56"/>
        <v>213040.43667203552</v>
      </c>
      <c r="DH54" s="119">
        <f t="shared" si="56"/>
        <v>213040.43667203552</v>
      </c>
      <c r="DI54" s="119">
        <f t="shared" si="56"/>
        <v>213040.43667203552</v>
      </c>
      <c r="DJ54" s="119">
        <f t="shared" si="51"/>
        <v>213033.65716971972</v>
      </c>
      <c r="DK54" s="119">
        <f t="shared" si="51"/>
        <v>213033.65716971972</v>
      </c>
      <c r="DL54" s="119">
        <f t="shared" si="51"/>
        <v>213033.65716971972</v>
      </c>
      <c r="DM54" s="119">
        <f t="shared" si="51"/>
        <v>213033.65716971972</v>
      </c>
      <c r="DN54" s="119">
        <f t="shared" si="51"/>
        <v>213033.65716971972</v>
      </c>
      <c r="DO54" s="119">
        <f t="shared" si="51"/>
        <v>212902.13482479329</v>
      </c>
      <c r="DP54" s="119">
        <f t="shared" si="51"/>
        <v>212902.13482479329</v>
      </c>
      <c r="DQ54" s="119">
        <f t="shared" si="51"/>
        <v>212902.13482479329</v>
      </c>
      <c r="DR54" s="119">
        <f t="shared" si="51"/>
        <v>212902.13482479329</v>
      </c>
      <c r="DS54" s="119">
        <f t="shared" si="51"/>
        <v>212902.13482479329</v>
      </c>
      <c r="DT54" s="93">
        <f t="shared" si="51"/>
        <v>213011.96276230918</v>
      </c>
      <c r="DW54" s="123" t="s">
        <v>158</v>
      </c>
      <c r="DX54" s="103">
        <f t="shared" si="13"/>
        <v>222991.38442409309</v>
      </c>
      <c r="DY54" s="119">
        <f t="shared" si="57"/>
        <v>222991.38442409309</v>
      </c>
      <c r="DZ54" s="119">
        <f t="shared" si="57"/>
        <v>195474.31160989465</v>
      </c>
      <c r="EA54" s="119">
        <f t="shared" si="57"/>
        <v>195474.31160989465</v>
      </c>
      <c r="EB54" s="119">
        <f t="shared" si="57"/>
        <v>195474.31160989465</v>
      </c>
      <c r="EC54" s="119">
        <f t="shared" si="57"/>
        <v>195474.31160989465</v>
      </c>
      <c r="ED54" s="119">
        <f t="shared" si="57"/>
        <v>195474.31160989465</v>
      </c>
      <c r="EE54" s="119">
        <f t="shared" si="57"/>
        <v>120477.89385283444</v>
      </c>
      <c r="EF54" s="119">
        <f t="shared" si="57"/>
        <v>120477.89385283444</v>
      </c>
      <c r="EG54" s="119">
        <f t="shared" si="57"/>
        <v>120477.89385283444</v>
      </c>
      <c r="EH54" s="119">
        <f t="shared" si="57"/>
        <v>120477.89385283444</v>
      </c>
      <c r="EI54" s="119">
        <f t="shared" si="57"/>
        <v>120477.89385283444</v>
      </c>
      <c r="EJ54" s="119">
        <f t="shared" si="57"/>
        <v>107600.91502246978</v>
      </c>
      <c r="EK54" s="119">
        <f t="shared" si="57"/>
        <v>107600.91502246978</v>
      </c>
      <c r="EL54" s="119">
        <f t="shared" si="57"/>
        <v>107600.91502246978</v>
      </c>
      <c r="EM54" s="119">
        <f t="shared" si="57"/>
        <v>107600.91502246978</v>
      </c>
      <c r="EN54" s="119">
        <f t="shared" si="57"/>
        <v>107600.91502246978</v>
      </c>
      <c r="EO54" s="119">
        <f t="shared" si="52"/>
        <v>104214.22362432566</v>
      </c>
      <c r="EP54" s="119">
        <f t="shared" si="52"/>
        <v>104214.22362432566</v>
      </c>
      <c r="EQ54" s="119">
        <f t="shared" si="52"/>
        <v>104214.22362432566</v>
      </c>
      <c r="ER54" s="119">
        <f t="shared" si="52"/>
        <v>104214.22362432566</v>
      </c>
      <c r="ES54" s="119">
        <f t="shared" si="52"/>
        <v>104214.22362432566</v>
      </c>
      <c r="ET54" s="119">
        <f t="shared" si="52"/>
        <v>100344.89176517607</v>
      </c>
      <c r="EU54" s="119">
        <f t="shared" si="52"/>
        <v>100344.89176517607</v>
      </c>
      <c r="EV54" s="119">
        <f t="shared" si="52"/>
        <v>100344.89176517607</v>
      </c>
      <c r="EW54" s="119">
        <f t="shared" si="52"/>
        <v>100344.89176517607</v>
      </c>
      <c r="EX54" s="119">
        <f t="shared" si="52"/>
        <v>100344.89176517607</v>
      </c>
      <c r="EY54" s="119">
        <f t="shared" si="52"/>
        <v>94277.411683963946</v>
      </c>
      <c r="FB54" s="123" t="s">
        <v>158</v>
      </c>
      <c r="FC54" s="103">
        <f t="shared" si="15"/>
        <v>241866.8946983834</v>
      </c>
      <c r="FD54" s="119">
        <f t="shared" si="58"/>
        <v>241866.8946983834</v>
      </c>
      <c r="FE54" s="119">
        <f t="shared" si="58"/>
        <v>211222.50869297577</v>
      </c>
      <c r="FF54" s="119">
        <f t="shared" si="58"/>
        <v>211222.50869297577</v>
      </c>
      <c r="FG54" s="119">
        <f t="shared" si="58"/>
        <v>211222.50869297577</v>
      </c>
      <c r="FH54" s="119">
        <f t="shared" si="58"/>
        <v>211222.50869297577</v>
      </c>
      <c r="FI54" s="119">
        <f t="shared" si="58"/>
        <v>211222.50869297577</v>
      </c>
      <c r="FJ54" s="119">
        <f t="shared" si="58"/>
        <v>132547.1886464144</v>
      </c>
      <c r="FK54" s="119">
        <f t="shared" si="58"/>
        <v>132547.1886464144</v>
      </c>
      <c r="FL54" s="119">
        <f t="shared" si="58"/>
        <v>132547.1886464144</v>
      </c>
      <c r="FM54" s="119">
        <f t="shared" si="58"/>
        <v>132547.1886464144</v>
      </c>
      <c r="FN54" s="119">
        <f t="shared" si="58"/>
        <v>132547.1886464144</v>
      </c>
      <c r="FO54" s="119">
        <f t="shared" si="58"/>
        <v>117695.3238480578</v>
      </c>
      <c r="FP54" s="119">
        <f t="shared" si="58"/>
        <v>117695.3238480578</v>
      </c>
      <c r="FQ54" s="119">
        <f t="shared" si="58"/>
        <v>117695.3238480578</v>
      </c>
      <c r="FR54" s="119">
        <f t="shared" si="58"/>
        <v>117695.3238480578</v>
      </c>
      <c r="FS54" s="119">
        <f t="shared" si="58"/>
        <v>117695.3238480578</v>
      </c>
      <c r="FT54" s="119">
        <f t="shared" si="53"/>
        <v>114699.3413945372</v>
      </c>
      <c r="FU54" s="119">
        <f t="shared" si="53"/>
        <v>114699.3413945372</v>
      </c>
      <c r="FV54" s="119">
        <f t="shared" si="53"/>
        <v>114699.3413945372</v>
      </c>
      <c r="FW54" s="119">
        <f t="shared" si="53"/>
        <v>114699.3413945372</v>
      </c>
      <c r="FX54" s="119">
        <f t="shared" si="53"/>
        <v>114699.3413945372</v>
      </c>
      <c r="FY54" s="119">
        <f t="shared" si="53"/>
        <v>110821.80136428204</v>
      </c>
      <c r="FZ54" s="119">
        <f t="shared" si="53"/>
        <v>110821.80136428204</v>
      </c>
      <c r="GA54" s="119">
        <f t="shared" si="53"/>
        <v>110821.80136428204</v>
      </c>
      <c r="GB54" s="119">
        <f t="shared" si="53"/>
        <v>110821.80136428204</v>
      </c>
      <c r="GC54" s="119">
        <f t="shared" si="53"/>
        <v>110821.80136428204</v>
      </c>
      <c r="GD54" s="119">
        <f t="shared" si="53"/>
        <v>104544.19210276821</v>
      </c>
      <c r="GH54" s="123" t="s">
        <v>158</v>
      </c>
      <c r="GI54" s="103">
        <f t="shared" si="17"/>
        <v>210143.95500970836</v>
      </c>
      <c r="GJ54" s="119">
        <f t="shared" si="59"/>
        <v>210143.95500970836</v>
      </c>
      <c r="GK54" s="119">
        <f t="shared" si="59"/>
        <v>184756.08178028589</v>
      </c>
      <c r="GL54" s="119">
        <f t="shared" si="59"/>
        <v>184756.08178028589</v>
      </c>
      <c r="GM54" s="119">
        <f t="shared" si="59"/>
        <v>184756.08178028589</v>
      </c>
      <c r="GN54" s="119">
        <f t="shared" si="59"/>
        <v>184756.08178028589</v>
      </c>
      <c r="GO54" s="119">
        <f t="shared" si="59"/>
        <v>184756.08178028589</v>
      </c>
      <c r="GP54" s="119">
        <f t="shared" si="59"/>
        <v>112263.15621041416</v>
      </c>
      <c r="GQ54" s="119">
        <f t="shared" si="59"/>
        <v>112263.15621041416</v>
      </c>
      <c r="GR54" s="119">
        <f t="shared" si="59"/>
        <v>112263.15621041416</v>
      </c>
      <c r="GS54" s="119">
        <f t="shared" si="59"/>
        <v>112263.15621041416</v>
      </c>
      <c r="GT54" s="119">
        <f t="shared" si="59"/>
        <v>112263.15621041416</v>
      </c>
      <c r="GU54" s="119">
        <f t="shared" si="59"/>
        <v>100730.67580713626</v>
      </c>
      <c r="GV54" s="119">
        <f t="shared" si="59"/>
        <v>100730.67580713626</v>
      </c>
      <c r="GW54" s="119">
        <f t="shared" si="59"/>
        <v>100730.67580713626</v>
      </c>
      <c r="GX54" s="119">
        <f t="shared" si="59"/>
        <v>100730.67580713626</v>
      </c>
      <c r="GY54" s="119">
        <f t="shared" si="59"/>
        <v>100730.67580713626</v>
      </c>
      <c r="GZ54" s="119">
        <f t="shared" si="54"/>
        <v>97078.039665172793</v>
      </c>
      <c r="HA54" s="119">
        <f t="shared" si="54"/>
        <v>97078.039665172793</v>
      </c>
      <c r="HB54" s="119">
        <f t="shared" si="54"/>
        <v>97078.039665172793</v>
      </c>
      <c r="HC54" s="119">
        <f t="shared" si="54"/>
        <v>97078.039665172793</v>
      </c>
      <c r="HD54" s="119">
        <f t="shared" si="54"/>
        <v>97078.039665172793</v>
      </c>
      <c r="HE54" s="119">
        <f t="shared" si="54"/>
        <v>93213.632708686506</v>
      </c>
      <c r="HF54" s="119">
        <f t="shared" si="54"/>
        <v>93213.632708686506</v>
      </c>
      <c r="HG54" s="119">
        <f t="shared" si="54"/>
        <v>93213.632708686506</v>
      </c>
      <c r="HH54" s="119">
        <f t="shared" si="54"/>
        <v>93213.632708686506</v>
      </c>
      <c r="HI54" s="119">
        <f t="shared" si="54"/>
        <v>93213.632708686506</v>
      </c>
      <c r="HJ54" s="119">
        <f t="shared" si="54"/>
        <v>87290.616438931815</v>
      </c>
    </row>
    <row r="55" spans="17:218" x14ac:dyDescent="0.25">
      <c r="Q55" s="37">
        <v>2035</v>
      </c>
      <c r="R55" s="135">
        <v>2E-3</v>
      </c>
      <c r="S55" s="128">
        <v>0</v>
      </c>
      <c r="T55" s="128">
        <v>0</v>
      </c>
      <c r="U55" s="128">
        <v>0.159</v>
      </c>
      <c r="V55" s="128">
        <v>2E-3</v>
      </c>
      <c r="W55" s="128">
        <f>1-SUM(R55:V55)</f>
        <v>0.83699999999999997</v>
      </c>
      <c r="X55" s="134">
        <f t="shared" si="60"/>
        <v>1</v>
      </c>
      <c r="Z55" s="83" t="s">
        <v>160</v>
      </c>
      <c r="AA55" s="114">
        <f>'US Grid mix, emissions&amp;prices'!O107</f>
        <v>245464</v>
      </c>
      <c r="AB55" s="116">
        <f t="shared" si="49"/>
        <v>245464</v>
      </c>
      <c r="AC55" s="116">
        <f t="shared" si="49"/>
        <v>215884.07561594009</v>
      </c>
      <c r="AD55" s="116">
        <f t="shared" si="49"/>
        <v>215884.07561594009</v>
      </c>
      <c r="AE55" s="116">
        <f t="shared" si="49"/>
        <v>215884.07561594009</v>
      </c>
      <c r="AF55" s="116">
        <f t="shared" si="49"/>
        <v>215884.07561594009</v>
      </c>
      <c r="AG55" s="116">
        <f t="shared" si="49"/>
        <v>215884.07561594009</v>
      </c>
      <c r="AH55" s="116">
        <f t="shared" si="49"/>
        <v>129711.28829155138</v>
      </c>
      <c r="AI55" s="116">
        <f t="shared" si="49"/>
        <v>129711.28829155138</v>
      </c>
      <c r="AJ55" s="116">
        <f t="shared" si="49"/>
        <v>129711.28829155138</v>
      </c>
      <c r="AK55" s="116">
        <f t="shared" si="49"/>
        <v>129711.28829155138</v>
      </c>
      <c r="AL55" s="116">
        <f t="shared" si="49"/>
        <v>129711.28829155138</v>
      </c>
      <c r="AM55" s="116">
        <f t="shared" si="49"/>
        <v>135740.01624525088</v>
      </c>
      <c r="AN55" s="116">
        <f t="shared" si="49"/>
        <v>135740.01624525088</v>
      </c>
      <c r="AO55" s="116">
        <f t="shared" si="49"/>
        <v>135740.01624525088</v>
      </c>
      <c r="AP55" s="116">
        <f t="shared" si="49"/>
        <v>135740.01624525088</v>
      </c>
      <c r="AQ55" s="116">
        <f t="shared" si="49"/>
        <v>135740.01624525088</v>
      </c>
      <c r="AR55" s="116">
        <f t="shared" si="47"/>
        <v>141895.4855773306</v>
      </c>
      <c r="AS55" s="116">
        <f t="shared" si="47"/>
        <v>141895.4855773306</v>
      </c>
      <c r="AT55" s="116">
        <f t="shared" si="47"/>
        <v>141895.4855773306</v>
      </c>
      <c r="AU55" s="116">
        <f t="shared" si="47"/>
        <v>141895.4855773306</v>
      </c>
      <c r="AV55" s="116">
        <f t="shared" si="47"/>
        <v>141895.4855773306</v>
      </c>
      <c r="AW55" s="116">
        <f t="shared" si="47"/>
        <v>145009.1618282843</v>
      </c>
      <c r="AX55" s="116">
        <f t="shared" si="47"/>
        <v>145009.1618282843</v>
      </c>
      <c r="AY55" s="116">
        <f t="shared" si="47"/>
        <v>145009.1618282843</v>
      </c>
      <c r="AZ55" s="116">
        <f t="shared" si="47"/>
        <v>145009.1618282843</v>
      </c>
      <c r="BA55" s="116">
        <f t="shared" si="47"/>
        <v>145009.1618282843</v>
      </c>
      <c r="BB55" s="116">
        <f t="shared" si="47"/>
        <v>145205.89471412828</v>
      </c>
      <c r="BM55" s="123" t="s">
        <v>160</v>
      </c>
      <c r="BN55" s="103">
        <f t="shared" si="23"/>
        <v>245464</v>
      </c>
      <c r="BO55" s="119">
        <f t="shared" si="55"/>
        <v>245464</v>
      </c>
      <c r="BP55" s="119">
        <f t="shared" si="55"/>
        <v>215602.2179237213</v>
      </c>
      <c r="BQ55" s="119">
        <f t="shared" si="55"/>
        <v>215602.2179237213</v>
      </c>
      <c r="BR55" s="119">
        <f t="shared" si="55"/>
        <v>215602.2179237213</v>
      </c>
      <c r="BS55" s="119">
        <f t="shared" si="55"/>
        <v>215602.2179237213</v>
      </c>
      <c r="BT55" s="119">
        <f t="shared" si="55"/>
        <v>215602.2179237213</v>
      </c>
      <c r="BU55" s="119">
        <f t="shared" si="55"/>
        <v>244398.99408913311</v>
      </c>
      <c r="BV55" s="119">
        <f t="shared" si="55"/>
        <v>244398.99408913311</v>
      </c>
      <c r="BW55" s="119">
        <f t="shared" si="55"/>
        <v>244398.99408913311</v>
      </c>
      <c r="BX55" s="119">
        <f t="shared" si="55"/>
        <v>244398.99408913311</v>
      </c>
      <c r="BY55" s="119">
        <f t="shared" si="55"/>
        <v>244398.99408913311</v>
      </c>
      <c r="BZ55" s="119">
        <f t="shared" si="55"/>
        <v>250276.38905372182</v>
      </c>
      <c r="CA55" s="119">
        <f t="shared" si="55"/>
        <v>250276.38905372182</v>
      </c>
      <c r="CB55" s="119">
        <f t="shared" si="55"/>
        <v>250276.38905372182</v>
      </c>
      <c r="CC55" s="119">
        <f t="shared" si="55"/>
        <v>250276.38905372182</v>
      </c>
      <c r="CD55" s="119">
        <f t="shared" si="55"/>
        <v>250276.38905372182</v>
      </c>
      <c r="CE55" s="119">
        <f t="shared" si="50"/>
        <v>256462.12498362374</v>
      </c>
      <c r="CF55" s="119">
        <f t="shared" si="50"/>
        <v>256462.12498362374</v>
      </c>
      <c r="CG55" s="119">
        <f t="shared" si="50"/>
        <v>256462.12498362374</v>
      </c>
      <c r="CH55" s="119">
        <f t="shared" si="50"/>
        <v>256462.12498362374</v>
      </c>
      <c r="CI55" s="119">
        <f t="shared" si="50"/>
        <v>256462.12498362374</v>
      </c>
      <c r="CJ55" s="119">
        <f t="shared" si="50"/>
        <v>257930.05497799802</v>
      </c>
      <c r="CK55" s="119">
        <f t="shared" si="50"/>
        <v>257930.05497799802</v>
      </c>
      <c r="CL55" s="119">
        <f t="shared" si="50"/>
        <v>257930.05497799802</v>
      </c>
      <c r="CM55" s="119">
        <f t="shared" si="50"/>
        <v>257930.05497799802</v>
      </c>
      <c r="CN55" s="119">
        <f t="shared" si="50"/>
        <v>257930.05497799802</v>
      </c>
      <c r="CO55" s="119">
        <f t="shared" si="50"/>
        <v>259683.62598931883</v>
      </c>
      <c r="CR55" s="123" t="s">
        <v>160</v>
      </c>
      <c r="CS55" s="103">
        <f t="shared" si="11"/>
        <v>297191.50734041817</v>
      </c>
      <c r="CT55" s="119">
        <f t="shared" si="56"/>
        <v>297191.50734041817</v>
      </c>
      <c r="CU55" s="119">
        <f t="shared" si="56"/>
        <v>297191.50734041817</v>
      </c>
      <c r="CV55" s="119">
        <f t="shared" si="56"/>
        <v>297191.50734041817</v>
      </c>
      <c r="CW55" s="119">
        <f t="shared" si="56"/>
        <v>297191.50734041817</v>
      </c>
      <c r="CX55" s="119">
        <f t="shared" si="56"/>
        <v>297191.50734041817</v>
      </c>
      <c r="CY55" s="119">
        <f t="shared" si="56"/>
        <v>297191.50734041817</v>
      </c>
      <c r="CZ55" s="119">
        <f t="shared" si="56"/>
        <v>297257.71552315407</v>
      </c>
      <c r="DA55" s="119">
        <f t="shared" si="56"/>
        <v>297257.71552315407</v>
      </c>
      <c r="DB55" s="119">
        <f t="shared" si="56"/>
        <v>297257.71552315407</v>
      </c>
      <c r="DC55" s="119">
        <f t="shared" si="56"/>
        <v>297257.71552315407</v>
      </c>
      <c r="DD55" s="119">
        <f t="shared" si="56"/>
        <v>297257.71552315407</v>
      </c>
      <c r="DE55" s="119">
        <f t="shared" si="56"/>
        <v>297219.88227587641</v>
      </c>
      <c r="DF55" s="119">
        <f t="shared" si="56"/>
        <v>297219.88227587641</v>
      </c>
      <c r="DG55" s="119">
        <f t="shared" si="56"/>
        <v>297219.88227587641</v>
      </c>
      <c r="DH55" s="119">
        <f t="shared" si="56"/>
        <v>297219.88227587641</v>
      </c>
      <c r="DI55" s="119">
        <f t="shared" si="56"/>
        <v>297219.88227587641</v>
      </c>
      <c r="DJ55" s="119">
        <f t="shared" si="51"/>
        <v>297210.423964057</v>
      </c>
      <c r="DK55" s="119">
        <f t="shared" si="51"/>
        <v>297210.423964057</v>
      </c>
      <c r="DL55" s="119">
        <f t="shared" si="51"/>
        <v>297210.423964057</v>
      </c>
      <c r="DM55" s="119">
        <f t="shared" si="51"/>
        <v>297210.423964057</v>
      </c>
      <c r="DN55" s="119">
        <f t="shared" si="51"/>
        <v>297210.423964057</v>
      </c>
      <c r="DO55" s="119">
        <f t="shared" si="51"/>
        <v>297026.93271476025</v>
      </c>
      <c r="DP55" s="119">
        <f t="shared" si="51"/>
        <v>297026.93271476025</v>
      </c>
      <c r="DQ55" s="119">
        <f t="shared" si="51"/>
        <v>297026.93271476025</v>
      </c>
      <c r="DR55" s="119">
        <f t="shared" si="51"/>
        <v>297026.93271476025</v>
      </c>
      <c r="DS55" s="119">
        <f t="shared" si="51"/>
        <v>297026.93271476025</v>
      </c>
      <c r="DT55" s="93">
        <f t="shared" si="51"/>
        <v>297180.15736623487</v>
      </c>
      <c r="DW55" s="123" t="s">
        <v>160</v>
      </c>
      <c r="DX55" s="103">
        <f t="shared" si="13"/>
        <v>311102.78434649628</v>
      </c>
      <c r="DY55" s="119">
        <f t="shared" si="57"/>
        <v>311102.78434649628</v>
      </c>
      <c r="DZ55" s="119">
        <f t="shared" si="57"/>
        <v>272712.7900798053</v>
      </c>
      <c r="EA55" s="119">
        <f t="shared" si="57"/>
        <v>272712.7900798053</v>
      </c>
      <c r="EB55" s="119">
        <f t="shared" si="57"/>
        <v>272712.7900798053</v>
      </c>
      <c r="EC55" s="119">
        <f t="shared" si="57"/>
        <v>272712.7900798053</v>
      </c>
      <c r="ED55" s="119">
        <f t="shared" si="57"/>
        <v>272712.7900798053</v>
      </c>
      <c r="EE55" s="119">
        <f t="shared" si="57"/>
        <v>168082.76394452839</v>
      </c>
      <c r="EF55" s="119">
        <f t="shared" si="57"/>
        <v>168082.76394452839</v>
      </c>
      <c r="EG55" s="119">
        <f t="shared" si="57"/>
        <v>168082.76394452839</v>
      </c>
      <c r="EH55" s="119">
        <f t="shared" si="57"/>
        <v>168082.76394452839</v>
      </c>
      <c r="EI55" s="119">
        <f t="shared" si="57"/>
        <v>168082.76394452839</v>
      </c>
      <c r="EJ55" s="119">
        <f t="shared" si="57"/>
        <v>150117.65745199026</v>
      </c>
      <c r="EK55" s="119">
        <f t="shared" si="57"/>
        <v>150117.65745199026</v>
      </c>
      <c r="EL55" s="119">
        <f t="shared" si="57"/>
        <v>150117.65745199026</v>
      </c>
      <c r="EM55" s="119">
        <f t="shared" si="57"/>
        <v>150117.65745199026</v>
      </c>
      <c r="EN55" s="119">
        <f t="shared" si="57"/>
        <v>150117.65745199026</v>
      </c>
      <c r="EO55" s="119">
        <f t="shared" si="52"/>
        <v>145392.77031607667</v>
      </c>
      <c r="EP55" s="119">
        <f t="shared" si="52"/>
        <v>145392.77031607667</v>
      </c>
      <c r="EQ55" s="119">
        <f t="shared" si="52"/>
        <v>145392.77031607667</v>
      </c>
      <c r="ER55" s="119">
        <f t="shared" si="52"/>
        <v>145392.77031607667</v>
      </c>
      <c r="ES55" s="119">
        <f t="shared" si="52"/>
        <v>145392.77031607667</v>
      </c>
      <c r="ET55" s="119">
        <f t="shared" si="52"/>
        <v>139994.53523156466</v>
      </c>
      <c r="EU55" s="119">
        <f t="shared" si="52"/>
        <v>139994.53523156466</v>
      </c>
      <c r="EV55" s="119">
        <f t="shared" si="52"/>
        <v>139994.53523156466</v>
      </c>
      <c r="EW55" s="119">
        <f t="shared" si="52"/>
        <v>139994.53523156466</v>
      </c>
      <c r="EX55" s="119">
        <f t="shared" si="52"/>
        <v>139994.53523156466</v>
      </c>
      <c r="EY55" s="119">
        <f t="shared" si="52"/>
        <v>131529.58959204133</v>
      </c>
      <c r="FB55" s="123" t="s">
        <v>160</v>
      </c>
      <c r="FC55" s="103">
        <f t="shared" si="15"/>
        <v>337436.64391447225</v>
      </c>
      <c r="FD55" s="119">
        <f t="shared" si="58"/>
        <v>337436.64391447225</v>
      </c>
      <c r="FE55" s="119">
        <f t="shared" si="58"/>
        <v>294683.6297767607</v>
      </c>
      <c r="FF55" s="119">
        <f t="shared" si="58"/>
        <v>294683.6297767607</v>
      </c>
      <c r="FG55" s="119">
        <f t="shared" si="58"/>
        <v>294683.6297767607</v>
      </c>
      <c r="FH55" s="119">
        <f t="shared" si="58"/>
        <v>294683.6297767607</v>
      </c>
      <c r="FI55" s="119">
        <f t="shared" si="58"/>
        <v>294683.6297767607</v>
      </c>
      <c r="FJ55" s="119">
        <f t="shared" si="58"/>
        <v>184921.04325777933</v>
      </c>
      <c r="FK55" s="119">
        <f t="shared" si="58"/>
        <v>184921.04325777933</v>
      </c>
      <c r="FL55" s="119">
        <f t="shared" si="58"/>
        <v>184921.04325777933</v>
      </c>
      <c r="FM55" s="119">
        <f t="shared" si="58"/>
        <v>184921.04325777933</v>
      </c>
      <c r="FN55" s="119">
        <f t="shared" si="58"/>
        <v>184921.04325777933</v>
      </c>
      <c r="FO55" s="119">
        <f t="shared" si="58"/>
        <v>164200.70689393533</v>
      </c>
      <c r="FP55" s="119">
        <f t="shared" si="58"/>
        <v>164200.70689393533</v>
      </c>
      <c r="FQ55" s="119">
        <f t="shared" si="58"/>
        <v>164200.70689393533</v>
      </c>
      <c r="FR55" s="119">
        <f t="shared" si="58"/>
        <v>164200.70689393533</v>
      </c>
      <c r="FS55" s="119">
        <f t="shared" si="58"/>
        <v>164200.70689393533</v>
      </c>
      <c r="FT55" s="119">
        <f t="shared" si="53"/>
        <v>160020.91095450619</v>
      </c>
      <c r="FU55" s="119">
        <f t="shared" si="53"/>
        <v>160020.91095450619</v>
      </c>
      <c r="FV55" s="119">
        <f t="shared" si="53"/>
        <v>160020.91095450619</v>
      </c>
      <c r="FW55" s="119">
        <f t="shared" si="53"/>
        <v>160020.91095450619</v>
      </c>
      <c r="FX55" s="119">
        <f t="shared" si="53"/>
        <v>160020.91095450619</v>
      </c>
      <c r="FY55" s="119">
        <f t="shared" si="53"/>
        <v>154611.22437426969</v>
      </c>
      <c r="FZ55" s="119">
        <f t="shared" si="53"/>
        <v>154611.22437426969</v>
      </c>
      <c r="GA55" s="119">
        <f t="shared" si="53"/>
        <v>154611.22437426969</v>
      </c>
      <c r="GB55" s="119">
        <f t="shared" si="53"/>
        <v>154611.22437426969</v>
      </c>
      <c r="GC55" s="119">
        <f t="shared" si="53"/>
        <v>154611.22437426969</v>
      </c>
      <c r="GD55" s="119">
        <f t="shared" si="53"/>
        <v>145853.12044420012</v>
      </c>
      <c r="GH55" s="123" t="s">
        <v>160</v>
      </c>
      <c r="GI55" s="103">
        <f t="shared" si="17"/>
        <v>293178.90323856618</v>
      </c>
      <c r="GJ55" s="119">
        <f t="shared" si="59"/>
        <v>293178.90323856618</v>
      </c>
      <c r="GK55" s="119">
        <f t="shared" si="59"/>
        <v>257759.42696280099</v>
      </c>
      <c r="GL55" s="119">
        <f t="shared" si="59"/>
        <v>257759.42696280099</v>
      </c>
      <c r="GM55" s="119">
        <f t="shared" si="59"/>
        <v>257759.42696280099</v>
      </c>
      <c r="GN55" s="119">
        <f t="shared" si="59"/>
        <v>257759.42696280099</v>
      </c>
      <c r="GO55" s="119">
        <f t="shared" si="59"/>
        <v>257759.42696280099</v>
      </c>
      <c r="GP55" s="119">
        <f t="shared" si="59"/>
        <v>156622.10702348544</v>
      </c>
      <c r="GQ55" s="119">
        <f t="shared" si="59"/>
        <v>156622.10702348544</v>
      </c>
      <c r="GR55" s="119">
        <f t="shared" si="59"/>
        <v>156622.10702348544</v>
      </c>
      <c r="GS55" s="119">
        <f t="shared" si="59"/>
        <v>156622.10702348544</v>
      </c>
      <c r="GT55" s="119">
        <f t="shared" si="59"/>
        <v>156622.10702348544</v>
      </c>
      <c r="GU55" s="119">
        <f t="shared" si="59"/>
        <v>140532.75553061443</v>
      </c>
      <c r="GV55" s="119">
        <f t="shared" si="59"/>
        <v>140532.75553061443</v>
      </c>
      <c r="GW55" s="119">
        <f t="shared" si="59"/>
        <v>140532.75553061443</v>
      </c>
      <c r="GX55" s="119">
        <f t="shared" si="59"/>
        <v>140532.75553061443</v>
      </c>
      <c r="GY55" s="119">
        <f t="shared" si="59"/>
        <v>140532.75553061443</v>
      </c>
      <c r="GZ55" s="119">
        <f t="shared" si="54"/>
        <v>135436.83993322821</v>
      </c>
      <c r="HA55" s="119">
        <f t="shared" si="54"/>
        <v>135436.83993322821</v>
      </c>
      <c r="HB55" s="119">
        <f t="shared" si="54"/>
        <v>135436.83993322821</v>
      </c>
      <c r="HC55" s="119">
        <f t="shared" si="54"/>
        <v>135436.83993322821</v>
      </c>
      <c r="HD55" s="119">
        <f t="shared" si="54"/>
        <v>135436.83993322821</v>
      </c>
      <c r="HE55" s="119">
        <f t="shared" si="54"/>
        <v>130045.47574615087</v>
      </c>
      <c r="HF55" s="119">
        <f t="shared" si="54"/>
        <v>130045.47574615087</v>
      </c>
      <c r="HG55" s="119">
        <f t="shared" si="54"/>
        <v>130045.47574615087</v>
      </c>
      <c r="HH55" s="119">
        <f t="shared" si="54"/>
        <v>130045.47574615087</v>
      </c>
      <c r="HI55" s="119">
        <f t="shared" si="54"/>
        <v>130045.47574615087</v>
      </c>
      <c r="HJ55" s="119">
        <f t="shared" si="54"/>
        <v>121782.07643137811</v>
      </c>
    </row>
    <row r="56" spans="17:218" x14ac:dyDescent="0.25">
      <c r="Q56" s="37">
        <v>2040</v>
      </c>
      <c r="R56" s="135">
        <v>1E-3</v>
      </c>
      <c r="S56" s="128">
        <v>0</v>
      </c>
      <c r="T56" s="128">
        <v>0</v>
      </c>
      <c r="U56" s="128">
        <v>0.13700000000000001</v>
      </c>
      <c r="V56" s="128">
        <v>2E-3</v>
      </c>
      <c r="W56" s="128">
        <f>1-SUM(R56:V56)</f>
        <v>0.86</v>
      </c>
      <c r="X56" s="134">
        <f t="shared" si="60"/>
        <v>1</v>
      </c>
      <c r="Z56" s="83" t="s">
        <v>134</v>
      </c>
      <c r="AA56" s="83">
        <f>'US Grid mix, emissions&amp;prices'!O108</f>
        <v>129761</v>
      </c>
      <c r="AB56" s="115">
        <f>AA56</f>
        <v>129761</v>
      </c>
      <c r="AC56" s="119">
        <v>114124</v>
      </c>
      <c r="AD56" s="119">
        <v>114124</v>
      </c>
      <c r="AE56" s="119">
        <v>114124</v>
      </c>
      <c r="AF56" s="119">
        <v>114124</v>
      </c>
      <c r="AG56" s="119">
        <v>114124</v>
      </c>
      <c r="AH56" s="119">
        <v>68570</v>
      </c>
      <c r="AI56" s="119">
        <v>68570</v>
      </c>
      <c r="AJ56" s="119">
        <v>68570</v>
      </c>
      <c r="AK56" s="119">
        <v>68570</v>
      </c>
      <c r="AL56" s="119">
        <v>68570</v>
      </c>
      <c r="AM56" s="119">
        <v>71757</v>
      </c>
      <c r="AN56" s="119">
        <v>71757</v>
      </c>
      <c r="AO56" s="119">
        <v>71757</v>
      </c>
      <c r="AP56" s="119">
        <v>71757</v>
      </c>
      <c r="AQ56" s="119">
        <v>71757</v>
      </c>
      <c r="AR56" s="119">
        <v>75011</v>
      </c>
      <c r="AS56" s="119">
        <v>75011</v>
      </c>
      <c r="AT56" s="119">
        <v>75011</v>
      </c>
      <c r="AU56" s="119">
        <v>75011</v>
      </c>
      <c r="AV56" s="119">
        <v>75011</v>
      </c>
      <c r="AW56" s="119">
        <v>76657</v>
      </c>
      <c r="AX56" s="119">
        <v>76657</v>
      </c>
      <c r="AY56" s="119">
        <v>76657</v>
      </c>
      <c r="AZ56" s="119">
        <v>76657</v>
      </c>
      <c r="BA56" s="119">
        <v>76657</v>
      </c>
      <c r="BB56" s="93">
        <v>76761</v>
      </c>
      <c r="BM56" s="124" t="s">
        <v>134</v>
      </c>
      <c r="BN56" s="103">
        <f t="shared" si="23"/>
        <v>129761</v>
      </c>
      <c r="BO56" s="103">
        <f>BN56</f>
        <v>129761</v>
      </c>
      <c r="BP56" s="103">
        <v>113975</v>
      </c>
      <c r="BQ56" s="103">
        <v>113975</v>
      </c>
      <c r="BR56" s="103">
        <v>113975</v>
      </c>
      <c r="BS56" s="103">
        <v>113975</v>
      </c>
      <c r="BT56" s="103">
        <v>113975</v>
      </c>
      <c r="BU56" s="103">
        <v>129198</v>
      </c>
      <c r="BV56" s="103">
        <v>129198</v>
      </c>
      <c r="BW56" s="103">
        <v>129198</v>
      </c>
      <c r="BX56" s="103">
        <v>129198</v>
      </c>
      <c r="BY56" s="103">
        <v>129198</v>
      </c>
      <c r="BZ56" s="103">
        <v>132305</v>
      </c>
      <c r="CA56" s="103">
        <v>132305</v>
      </c>
      <c r="CB56" s="103">
        <v>132305</v>
      </c>
      <c r="CC56" s="103">
        <v>132305</v>
      </c>
      <c r="CD56" s="103">
        <v>132305</v>
      </c>
      <c r="CE56" s="103">
        <v>135575</v>
      </c>
      <c r="CF56" s="103">
        <v>135575</v>
      </c>
      <c r="CG56" s="103">
        <v>135575</v>
      </c>
      <c r="CH56" s="103">
        <v>135575</v>
      </c>
      <c r="CI56" s="103">
        <v>135575</v>
      </c>
      <c r="CJ56" s="103">
        <v>136351</v>
      </c>
      <c r="CK56" s="103">
        <v>136351</v>
      </c>
      <c r="CL56" s="103">
        <v>136351</v>
      </c>
      <c r="CM56" s="103">
        <v>136351</v>
      </c>
      <c r="CN56" s="103">
        <v>136351</v>
      </c>
      <c r="CO56" s="124">
        <v>137278</v>
      </c>
      <c r="CR56" s="124" t="s">
        <v>134</v>
      </c>
      <c r="CS56" s="103">
        <v>157106</v>
      </c>
      <c r="CT56" s="103">
        <v>157106</v>
      </c>
      <c r="CU56" s="103">
        <v>157106</v>
      </c>
      <c r="CV56" s="103">
        <v>157106</v>
      </c>
      <c r="CW56" s="103">
        <v>157106</v>
      </c>
      <c r="CX56" s="103">
        <v>157106</v>
      </c>
      <c r="CY56" s="103">
        <v>157106</v>
      </c>
      <c r="CZ56" s="103">
        <v>157141</v>
      </c>
      <c r="DA56" s="103">
        <v>157141</v>
      </c>
      <c r="DB56" s="103">
        <v>157141</v>
      </c>
      <c r="DC56" s="103">
        <v>157141</v>
      </c>
      <c r="DD56" s="103">
        <v>157141</v>
      </c>
      <c r="DE56" s="103">
        <v>157121</v>
      </c>
      <c r="DF56" s="103">
        <v>157121</v>
      </c>
      <c r="DG56" s="103">
        <v>157121</v>
      </c>
      <c r="DH56" s="103">
        <v>157121</v>
      </c>
      <c r="DI56" s="103">
        <v>157121</v>
      </c>
      <c r="DJ56" s="103">
        <v>157116</v>
      </c>
      <c r="DK56" s="103">
        <v>157116</v>
      </c>
      <c r="DL56" s="103">
        <v>157116</v>
      </c>
      <c r="DM56" s="103">
        <v>157116</v>
      </c>
      <c r="DN56" s="103">
        <v>157116</v>
      </c>
      <c r="DO56" s="103">
        <v>157019</v>
      </c>
      <c r="DP56" s="103">
        <v>157019</v>
      </c>
      <c r="DQ56" s="103">
        <v>157019</v>
      </c>
      <c r="DR56" s="103">
        <v>157019</v>
      </c>
      <c r="DS56" s="103">
        <v>157019</v>
      </c>
      <c r="DT56" s="124">
        <v>157100</v>
      </c>
      <c r="DW56" s="124" t="s">
        <v>134</v>
      </c>
      <c r="DX56" s="103">
        <v>135835</v>
      </c>
      <c r="DY56" s="103">
        <f>DX56</f>
        <v>135835</v>
      </c>
      <c r="DZ56" s="103">
        <v>119073</v>
      </c>
      <c r="EA56" s="103">
        <v>119073</v>
      </c>
      <c r="EB56" s="103">
        <v>119073</v>
      </c>
      <c r="EC56" s="103">
        <v>119073</v>
      </c>
      <c r="ED56" s="103">
        <v>119073</v>
      </c>
      <c r="EE56" s="103">
        <v>73389</v>
      </c>
      <c r="EF56" s="103">
        <v>73389</v>
      </c>
      <c r="EG56" s="103">
        <v>73389</v>
      </c>
      <c r="EH56" s="103">
        <v>73389</v>
      </c>
      <c r="EI56" s="103">
        <v>73389</v>
      </c>
      <c r="EJ56" s="103">
        <v>65545</v>
      </c>
      <c r="EK56" s="103">
        <v>65545</v>
      </c>
      <c r="EL56" s="103">
        <v>65545</v>
      </c>
      <c r="EM56" s="103">
        <v>65545</v>
      </c>
      <c r="EN56" s="103">
        <v>65545</v>
      </c>
      <c r="EO56" s="103">
        <v>63482</v>
      </c>
      <c r="EP56" s="103">
        <v>63482</v>
      </c>
      <c r="EQ56" s="103">
        <v>63482</v>
      </c>
      <c r="ER56" s="103">
        <v>63482</v>
      </c>
      <c r="ES56" s="103">
        <v>63482</v>
      </c>
      <c r="ET56" s="103">
        <v>61125</v>
      </c>
      <c r="EU56" s="103">
        <v>61125</v>
      </c>
      <c r="EV56" s="103">
        <v>61125</v>
      </c>
      <c r="EW56" s="103">
        <v>61125</v>
      </c>
      <c r="EX56" s="103">
        <v>61125</v>
      </c>
      <c r="EY56" s="124">
        <v>57429</v>
      </c>
      <c r="FB56" s="124" t="s">
        <v>134</v>
      </c>
      <c r="FC56" s="103">
        <v>147333</v>
      </c>
      <c r="FD56" s="103">
        <f>FC56</f>
        <v>147333</v>
      </c>
      <c r="FE56" s="103">
        <v>128666</v>
      </c>
      <c r="FF56" s="103">
        <v>128666</v>
      </c>
      <c r="FG56" s="103">
        <v>128666</v>
      </c>
      <c r="FH56" s="103">
        <v>128666</v>
      </c>
      <c r="FI56" s="103">
        <v>128666</v>
      </c>
      <c r="FJ56" s="103">
        <v>80741</v>
      </c>
      <c r="FK56" s="103">
        <v>80741</v>
      </c>
      <c r="FL56" s="103">
        <v>80741</v>
      </c>
      <c r="FM56" s="103">
        <v>80741</v>
      </c>
      <c r="FN56" s="103">
        <v>80741</v>
      </c>
      <c r="FO56" s="103">
        <v>71694</v>
      </c>
      <c r="FP56" s="103">
        <v>71694</v>
      </c>
      <c r="FQ56" s="103">
        <v>71694</v>
      </c>
      <c r="FR56" s="103">
        <v>71694</v>
      </c>
      <c r="FS56" s="103">
        <v>71694</v>
      </c>
      <c r="FT56" s="103">
        <v>69869</v>
      </c>
      <c r="FU56" s="103">
        <v>69869</v>
      </c>
      <c r="FV56" s="103">
        <v>69869</v>
      </c>
      <c r="FW56" s="103">
        <v>69869</v>
      </c>
      <c r="FX56" s="103">
        <v>69869</v>
      </c>
      <c r="FY56" s="103">
        <v>67507</v>
      </c>
      <c r="FZ56" s="103">
        <v>67507</v>
      </c>
      <c r="GA56" s="103">
        <v>67507</v>
      </c>
      <c r="GB56" s="103">
        <v>67507</v>
      </c>
      <c r="GC56" s="103">
        <v>67507</v>
      </c>
      <c r="GD56" s="124">
        <v>63683</v>
      </c>
      <c r="GH56" s="124" t="s">
        <v>134</v>
      </c>
      <c r="GI56" s="103">
        <v>128009</v>
      </c>
      <c r="GJ56" s="103">
        <f>GI56</f>
        <v>128009</v>
      </c>
      <c r="GK56" s="103">
        <v>112544</v>
      </c>
      <c r="GL56" s="103">
        <v>112544</v>
      </c>
      <c r="GM56" s="103">
        <v>112544</v>
      </c>
      <c r="GN56" s="103">
        <v>112544</v>
      </c>
      <c r="GO56" s="103">
        <v>112544</v>
      </c>
      <c r="GP56" s="103">
        <v>68385</v>
      </c>
      <c r="GQ56" s="103">
        <v>68385</v>
      </c>
      <c r="GR56" s="103">
        <v>68385</v>
      </c>
      <c r="GS56" s="103">
        <v>68385</v>
      </c>
      <c r="GT56" s="103">
        <v>68385</v>
      </c>
      <c r="GU56" s="103">
        <v>61360</v>
      </c>
      <c r="GV56" s="103">
        <v>61360</v>
      </c>
      <c r="GW56" s="103">
        <v>61360</v>
      </c>
      <c r="GX56" s="103">
        <v>61360</v>
      </c>
      <c r="GY56" s="103">
        <v>61360</v>
      </c>
      <c r="GZ56" s="103">
        <v>59135</v>
      </c>
      <c r="HA56" s="103">
        <v>59135</v>
      </c>
      <c r="HB56" s="103">
        <v>59135</v>
      </c>
      <c r="HC56" s="103">
        <v>59135</v>
      </c>
      <c r="HD56" s="103">
        <v>59135</v>
      </c>
      <c r="HE56" s="103">
        <v>56781</v>
      </c>
      <c r="HF56" s="103">
        <v>56781</v>
      </c>
      <c r="HG56" s="103">
        <v>56781</v>
      </c>
      <c r="HH56" s="103">
        <v>56781</v>
      </c>
      <c r="HI56" s="103">
        <v>56781</v>
      </c>
      <c r="HJ56" s="124">
        <v>53173</v>
      </c>
    </row>
    <row r="57" spans="17:218" x14ac:dyDescent="0.25">
      <c r="Q57" s="37">
        <v>2045</v>
      </c>
      <c r="R57" s="135">
        <v>1E-3</v>
      </c>
      <c r="S57" s="128">
        <v>0</v>
      </c>
      <c r="T57" s="128">
        <v>0</v>
      </c>
      <c r="U57" s="128">
        <v>0.13200000000000001</v>
      </c>
      <c r="V57" s="128">
        <v>2E-3</v>
      </c>
      <c r="W57" s="128">
        <f>1-SUM(R57:V57)</f>
        <v>0.86499999999999999</v>
      </c>
      <c r="X57" s="134">
        <f t="shared" si="60"/>
        <v>1</v>
      </c>
      <c r="AB57" s="13">
        <f>AB56/AA56</f>
        <v>1</v>
      </c>
      <c r="AC57" s="13">
        <f t="shared" ref="AC57:BB57" si="61">AC56/$AA$56</f>
        <v>0.87949383867263664</v>
      </c>
      <c r="AD57" s="13">
        <f t="shared" si="61"/>
        <v>0.87949383867263664</v>
      </c>
      <c r="AE57" s="13">
        <f t="shared" si="61"/>
        <v>0.87949383867263664</v>
      </c>
      <c r="AF57" s="13">
        <f t="shared" si="61"/>
        <v>0.87949383867263664</v>
      </c>
      <c r="AG57" s="13">
        <f t="shared" si="61"/>
        <v>0.87949383867263664</v>
      </c>
      <c r="AH57" s="13">
        <f t="shared" si="61"/>
        <v>0.52843304228543242</v>
      </c>
      <c r="AI57" s="13">
        <f t="shared" si="61"/>
        <v>0.52843304228543242</v>
      </c>
      <c r="AJ57" s="13">
        <f t="shared" si="61"/>
        <v>0.52843304228543242</v>
      </c>
      <c r="AK57" s="13">
        <f t="shared" si="61"/>
        <v>0.52843304228543242</v>
      </c>
      <c r="AL57" s="13">
        <f t="shared" si="61"/>
        <v>0.52843304228543242</v>
      </c>
      <c r="AM57" s="13">
        <f t="shared" si="61"/>
        <v>0.55299358050569891</v>
      </c>
      <c r="AN57" s="13">
        <f t="shared" si="61"/>
        <v>0.55299358050569891</v>
      </c>
      <c r="AO57" s="13">
        <f t="shared" si="61"/>
        <v>0.55299358050569891</v>
      </c>
      <c r="AP57" s="13">
        <f t="shared" si="61"/>
        <v>0.55299358050569891</v>
      </c>
      <c r="AQ57" s="13">
        <f t="shared" si="61"/>
        <v>0.55299358050569891</v>
      </c>
      <c r="AR57" s="13">
        <f t="shared" si="61"/>
        <v>0.57807045260132084</v>
      </c>
      <c r="AS57" s="13">
        <f t="shared" si="61"/>
        <v>0.57807045260132084</v>
      </c>
      <c r="AT57" s="13">
        <f t="shared" si="61"/>
        <v>0.57807045260132084</v>
      </c>
      <c r="AU57" s="13">
        <f t="shared" si="61"/>
        <v>0.57807045260132084</v>
      </c>
      <c r="AV57" s="13">
        <f t="shared" si="61"/>
        <v>0.57807045260132084</v>
      </c>
      <c r="AW57" s="13">
        <f t="shared" si="61"/>
        <v>0.59075531168841178</v>
      </c>
      <c r="AX57" s="13">
        <f t="shared" si="61"/>
        <v>0.59075531168841178</v>
      </c>
      <c r="AY57" s="13">
        <f t="shared" si="61"/>
        <v>0.59075531168841178</v>
      </c>
      <c r="AZ57" s="13">
        <f t="shared" si="61"/>
        <v>0.59075531168841178</v>
      </c>
      <c r="BA57" s="13">
        <f t="shared" si="61"/>
        <v>0.59075531168841178</v>
      </c>
      <c r="BB57" s="13">
        <f t="shared" si="61"/>
        <v>0.59155678516657551</v>
      </c>
      <c r="BM57" s="103"/>
      <c r="BN57" s="103"/>
      <c r="BO57" s="103">
        <f>BO56/$BN$56</f>
        <v>1</v>
      </c>
      <c r="BP57" s="103">
        <f t="shared" ref="BP57:CO57" si="62">BP56/$BN$56</f>
        <v>0.87834557378565203</v>
      </c>
      <c r="BQ57" s="103">
        <f t="shared" si="62"/>
        <v>0.87834557378565203</v>
      </c>
      <c r="BR57" s="103">
        <f t="shared" si="62"/>
        <v>0.87834557378565203</v>
      </c>
      <c r="BS57" s="103">
        <f t="shared" si="62"/>
        <v>0.87834557378565203</v>
      </c>
      <c r="BT57" s="103">
        <f t="shared" si="62"/>
        <v>0.87834557378565203</v>
      </c>
      <c r="BU57" s="103">
        <f t="shared" si="62"/>
        <v>0.99566125415186379</v>
      </c>
      <c r="BV57" s="103">
        <f t="shared" si="62"/>
        <v>0.99566125415186379</v>
      </c>
      <c r="BW57" s="103">
        <f t="shared" si="62"/>
        <v>0.99566125415186379</v>
      </c>
      <c r="BX57" s="103">
        <f t="shared" si="62"/>
        <v>0.99566125415186379</v>
      </c>
      <c r="BY57" s="103">
        <f t="shared" si="62"/>
        <v>0.99566125415186379</v>
      </c>
      <c r="BZ57" s="103">
        <f t="shared" si="62"/>
        <v>1.0196052743120043</v>
      </c>
      <c r="CA57" s="103">
        <f t="shared" si="62"/>
        <v>1.0196052743120043</v>
      </c>
      <c r="CB57" s="103">
        <f t="shared" si="62"/>
        <v>1.0196052743120043</v>
      </c>
      <c r="CC57" s="103">
        <f t="shared" si="62"/>
        <v>1.0196052743120043</v>
      </c>
      <c r="CD57" s="103">
        <f t="shared" si="62"/>
        <v>1.0196052743120043</v>
      </c>
      <c r="CE57" s="103">
        <f t="shared" si="62"/>
        <v>1.0448054500196515</v>
      </c>
      <c r="CF57" s="103">
        <f t="shared" si="62"/>
        <v>1.0448054500196515</v>
      </c>
      <c r="CG57" s="103">
        <f t="shared" si="62"/>
        <v>1.0448054500196515</v>
      </c>
      <c r="CH57" s="103">
        <f t="shared" si="62"/>
        <v>1.0448054500196515</v>
      </c>
      <c r="CI57" s="103">
        <f t="shared" si="62"/>
        <v>1.0448054500196515</v>
      </c>
      <c r="CJ57" s="103">
        <f t="shared" si="62"/>
        <v>1.050785675202873</v>
      </c>
      <c r="CK57" s="103">
        <f t="shared" si="62"/>
        <v>1.050785675202873</v>
      </c>
      <c r="CL57" s="103">
        <f t="shared" si="62"/>
        <v>1.050785675202873</v>
      </c>
      <c r="CM57" s="103">
        <f t="shared" si="62"/>
        <v>1.050785675202873</v>
      </c>
      <c r="CN57" s="103">
        <f t="shared" si="62"/>
        <v>1.050785675202873</v>
      </c>
      <c r="CO57" s="103">
        <f t="shared" si="62"/>
        <v>1.0579295782245821</v>
      </c>
      <c r="CR57" s="103"/>
      <c r="CS57" s="103"/>
      <c r="CT57" s="103">
        <f>CT56/$BN$56</f>
        <v>1.2107335794267924</v>
      </c>
      <c r="CU57" s="103">
        <f t="shared" ref="CU57:DT57" si="63">CU56/$BN$56</f>
        <v>1.2107335794267924</v>
      </c>
      <c r="CV57" s="103">
        <f t="shared" si="63"/>
        <v>1.2107335794267924</v>
      </c>
      <c r="CW57" s="103">
        <f t="shared" si="63"/>
        <v>1.2107335794267924</v>
      </c>
      <c r="CX57" s="103">
        <f t="shared" si="63"/>
        <v>1.2107335794267924</v>
      </c>
      <c r="CY57" s="103">
        <f t="shared" si="63"/>
        <v>1.2107335794267924</v>
      </c>
      <c r="CZ57" s="103">
        <f t="shared" si="63"/>
        <v>1.2110033060780974</v>
      </c>
      <c r="DA57" s="103">
        <f t="shared" si="63"/>
        <v>1.2110033060780974</v>
      </c>
      <c r="DB57" s="103">
        <f t="shared" si="63"/>
        <v>1.2110033060780974</v>
      </c>
      <c r="DC57" s="103">
        <f t="shared" si="63"/>
        <v>1.2110033060780974</v>
      </c>
      <c r="DD57" s="103">
        <f t="shared" si="63"/>
        <v>1.2110033060780974</v>
      </c>
      <c r="DE57" s="103">
        <f t="shared" si="63"/>
        <v>1.210849176563066</v>
      </c>
      <c r="DF57" s="103">
        <f t="shared" si="63"/>
        <v>1.210849176563066</v>
      </c>
      <c r="DG57" s="103">
        <f t="shared" si="63"/>
        <v>1.210849176563066</v>
      </c>
      <c r="DH57" s="103">
        <f t="shared" si="63"/>
        <v>1.210849176563066</v>
      </c>
      <c r="DI57" s="103">
        <f t="shared" si="63"/>
        <v>1.210849176563066</v>
      </c>
      <c r="DJ57" s="103">
        <f t="shared" si="63"/>
        <v>1.2108106441843081</v>
      </c>
      <c r="DK57" s="103">
        <f t="shared" si="63"/>
        <v>1.2108106441843081</v>
      </c>
      <c r="DL57" s="103">
        <f t="shared" si="63"/>
        <v>1.2108106441843081</v>
      </c>
      <c r="DM57" s="103">
        <f t="shared" si="63"/>
        <v>1.2108106441843081</v>
      </c>
      <c r="DN57" s="103">
        <f t="shared" si="63"/>
        <v>1.2108106441843081</v>
      </c>
      <c r="DO57" s="103">
        <f t="shared" si="63"/>
        <v>1.2100631160364055</v>
      </c>
      <c r="DP57" s="103">
        <f t="shared" si="63"/>
        <v>1.2100631160364055</v>
      </c>
      <c r="DQ57" s="103">
        <f t="shared" si="63"/>
        <v>1.2100631160364055</v>
      </c>
      <c r="DR57" s="103">
        <f t="shared" si="63"/>
        <v>1.2100631160364055</v>
      </c>
      <c r="DS57" s="103">
        <f t="shared" si="63"/>
        <v>1.2100631160364055</v>
      </c>
      <c r="DT57" s="124">
        <f t="shared" si="63"/>
        <v>1.2106873405722829</v>
      </c>
      <c r="DW57" s="103"/>
      <c r="DX57" s="103"/>
      <c r="DY57" s="103">
        <f>DY56/$DX$56</f>
        <v>1</v>
      </c>
      <c r="DZ57" s="103">
        <f t="shared" ref="DZ57:EY57" si="64">DZ56/$DX$56</f>
        <v>0.87660028711304161</v>
      </c>
      <c r="EA57" s="103">
        <f t="shared" si="64"/>
        <v>0.87660028711304161</v>
      </c>
      <c r="EB57" s="103">
        <f t="shared" si="64"/>
        <v>0.87660028711304161</v>
      </c>
      <c r="EC57" s="103">
        <f t="shared" si="64"/>
        <v>0.87660028711304161</v>
      </c>
      <c r="ED57" s="103">
        <f t="shared" si="64"/>
        <v>0.87660028711304161</v>
      </c>
      <c r="EE57" s="103">
        <f t="shared" si="64"/>
        <v>0.54028048735598333</v>
      </c>
      <c r="EF57" s="103">
        <f t="shared" si="64"/>
        <v>0.54028048735598333</v>
      </c>
      <c r="EG57" s="103">
        <f t="shared" si="64"/>
        <v>0.54028048735598333</v>
      </c>
      <c r="EH57" s="103">
        <f t="shared" si="64"/>
        <v>0.54028048735598333</v>
      </c>
      <c r="EI57" s="103">
        <f t="shared" si="64"/>
        <v>0.54028048735598333</v>
      </c>
      <c r="EJ57" s="103">
        <f t="shared" si="64"/>
        <v>0.48253395663856885</v>
      </c>
      <c r="EK57" s="103">
        <f t="shared" si="64"/>
        <v>0.48253395663856885</v>
      </c>
      <c r="EL57" s="103">
        <f t="shared" si="64"/>
        <v>0.48253395663856885</v>
      </c>
      <c r="EM57" s="103">
        <f t="shared" si="64"/>
        <v>0.48253395663856885</v>
      </c>
      <c r="EN57" s="103">
        <f t="shared" si="64"/>
        <v>0.48253395663856885</v>
      </c>
      <c r="EO57" s="103">
        <f t="shared" si="64"/>
        <v>0.46734641292744872</v>
      </c>
      <c r="EP57" s="103">
        <f t="shared" si="64"/>
        <v>0.46734641292744872</v>
      </c>
      <c r="EQ57" s="103">
        <f t="shared" si="64"/>
        <v>0.46734641292744872</v>
      </c>
      <c r="ER57" s="103">
        <f t="shared" si="64"/>
        <v>0.46734641292744872</v>
      </c>
      <c r="ES57" s="103">
        <f t="shared" si="64"/>
        <v>0.46734641292744872</v>
      </c>
      <c r="ET57" s="103">
        <f t="shared" si="64"/>
        <v>0.44999447859535469</v>
      </c>
      <c r="EU57" s="103">
        <f t="shared" si="64"/>
        <v>0.44999447859535469</v>
      </c>
      <c r="EV57" s="103">
        <f t="shared" si="64"/>
        <v>0.44999447859535469</v>
      </c>
      <c r="EW57" s="103">
        <f t="shared" si="64"/>
        <v>0.44999447859535469</v>
      </c>
      <c r="EX57" s="103">
        <f t="shared" si="64"/>
        <v>0.44999447859535469</v>
      </c>
      <c r="EY57" s="103">
        <f t="shared" si="64"/>
        <v>0.42278499650311041</v>
      </c>
      <c r="FB57" s="103"/>
      <c r="FC57" s="103"/>
      <c r="FD57" s="103">
        <f>FD56/$FD$56</f>
        <v>1</v>
      </c>
      <c r="FE57" s="103">
        <f t="shared" ref="FE57:GD57" si="65">FE56/$FD$56</f>
        <v>0.87330061832719075</v>
      </c>
      <c r="FF57" s="103">
        <f t="shared" si="65"/>
        <v>0.87330061832719075</v>
      </c>
      <c r="FG57" s="103">
        <f t="shared" si="65"/>
        <v>0.87330061832719075</v>
      </c>
      <c r="FH57" s="103">
        <f t="shared" si="65"/>
        <v>0.87330061832719075</v>
      </c>
      <c r="FI57" s="103">
        <f t="shared" si="65"/>
        <v>0.87330061832719075</v>
      </c>
      <c r="FJ57" s="103">
        <f t="shared" si="65"/>
        <v>0.54801707696171253</v>
      </c>
      <c r="FK57" s="103">
        <f t="shared" si="65"/>
        <v>0.54801707696171253</v>
      </c>
      <c r="FL57" s="103">
        <f t="shared" si="65"/>
        <v>0.54801707696171253</v>
      </c>
      <c r="FM57" s="103">
        <f t="shared" si="65"/>
        <v>0.54801707696171253</v>
      </c>
      <c r="FN57" s="103">
        <f t="shared" si="65"/>
        <v>0.54801707696171253</v>
      </c>
      <c r="FO57" s="103">
        <f t="shared" si="65"/>
        <v>0.48661196066054446</v>
      </c>
      <c r="FP57" s="103">
        <f t="shared" si="65"/>
        <v>0.48661196066054446</v>
      </c>
      <c r="FQ57" s="103">
        <f t="shared" si="65"/>
        <v>0.48661196066054446</v>
      </c>
      <c r="FR57" s="103">
        <f t="shared" si="65"/>
        <v>0.48661196066054446</v>
      </c>
      <c r="FS57" s="103">
        <f t="shared" si="65"/>
        <v>0.48661196066054446</v>
      </c>
      <c r="FT57" s="103">
        <f t="shared" si="65"/>
        <v>0.47422505480781629</v>
      </c>
      <c r="FU57" s="103">
        <f t="shared" si="65"/>
        <v>0.47422505480781629</v>
      </c>
      <c r="FV57" s="103">
        <f t="shared" si="65"/>
        <v>0.47422505480781629</v>
      </c>
      <c r="FW57" s="103">
        <f t="shared" si="65"/>
        <v>0.47422505480781629</v>
      </c>
      <c r="FX57" s="103">
        <f t="shared" si="65"/>
        <v>0.47422505480781629</v>
      </c>
      <c r="FY57" s="103">
        <f t="shared" si="65"/>
        <v>0.4581933443288333</v>
      </c>
      <c r="FZ57" s="103">
        <f t="shared" si="65"/>
        <v>0.4581933443288333</v>
      </c>
      <c r="GA57" s="103">
        <f t="shared" si="65"/>
        <v>0.4581933443288333</v>
      </c>
      <c r="GB57" s="103">
        <f t="shared" si="65"/>
        <v>0.4581933443288333</v>
      </c>
      <c r="GC57" s="103">
        <f t="shared" si="65"/>
        <v>0.4581933443288333</v>
      </c>
      <c r="GD57" s="103">
        <f t="shared" si="65"/>
        <v>0.43223853447632232</v>
      </c>
      <c r="GH57" s="103"/>
      <c r="GI57" s="103"/>
      <c r="GJ57" s="103">
        <f>GJ56/$GI$56</f>
        <v>1</v>
      </c>
      <c r="GK57" s="103">
        <f t="shared" ref="GK57:HJ57" si="66">GK56/$GI$56</f>
        <v>0.8791881820809474</v>
      </c>
      <c r="GL57" s="103">
        <f t="shared" si="66"/>
        <v>0.8791881820809474</v>
      </c>
      <c r="GM57" s="103">
        <f t="shared" si="66"/>
        <v>0.8791881820809474</v>
      </c>
      <c r="GN57" s="103">
        <f t="shared" si="66"/>
        <v>0.8791881820809474</v>
      </c>
      <c r="GO57" s="103">
        <f t="shared" si="66"/>
        <v>0.8791881820809474</v>
      </c>
      <c r="GP57" s="103">
        <f t="shared" si="66"/>
        <v>0.53422025013866214</v>
      </c>
      <c r="GQ57" s="103">
        <f t="shared" si="66"/>
        <v>0.53422025013866214</v>
      </c>
      <c r="GR57" s="103">
        <f t="shared" si="66"/>
        <v>0.53422025013866214</v>
      </c>
      <c r="GS57" s="103">
        <f t="shared" si="66"/>
        <v>0.53422025013866214</v>
      </c>
      <c r="GT57" s="103">
        <f t="shared" si="66"/>
        <v>0.53422025013866214</v>
      </c>
      <c r="GU57" s="103">
        <f t="shared" si="66"/>
        <v>0.47934129631510286</v>
      </c>
      <c r="GV57" s="103">
        <f t="shared" si="66"/>
        <v>0.47934129631510286</v>
      </c>
      <c r="GW57" s="103">
        <f t="shared" si="66"/>
        <v>0.47934129631510286</v>
      </c>
      <c r="GX57" s="103">
        <f t="shared" si="66"/>
        <v>0.47934129631510286</v>
      </c>
      <c r="GY57" s="103">
        <f t="shared" si="66"/>
        <v>0.47934129631510286</v>
      </c>
      <c r="GZ57" s="103">
        <f t="shared" si="66"/>
        <v>0.46195970595817482</v>
      </c>
      <c r="HA57" s="103">
        <f t="shared" si="66"/>
        <v>0.46195970595817482</v>
      </c>
      <c r="HB57" s="103">
        <f t="shared" si="66"/>
        <v>0.46195970595817482</v>
      </c>
      <c r="HC57" s="103">
        <f t="shared" si="66"/>
        <v>0.46195970595817482</v>
      </c>
      <c r="HD57" s="103">
        <f t="shared" si="66"/>
        <v>0.46195970595817482</v>
      </c>
      <c r="HE57" s="103">
        <f t="shared" si="66"/>
        <v>0.44357037395808108</v>
      </c>
      <c r="HF57" s="103">
        <f t="shared" si="66"/>
        <v>0.44357037395808108</v>
      </c>
      <c r="HG57" s="103">
        <f t="shared" si="66"/>
        <v>0.44357037395808108</v>
      </c>
      <c r="HH57" s="103">
        <f t="shared" si="66"/>
        <v>0.44357037395808108</v>
      </c>
      <c r="HI57" s="103">
        <f t="shared" si="66"/>
        <v>0.44357037395808108</v>
      </c>
      <c r="HJ57" s="103">
        <f t="shared" si="66"/>
        <v>0.41538485575232992</v>
      </c>
    </row>
    <row r="58" spans="17:218" x14ac:dyDescent="0.25">
      <c r="Q58" s="37">
        <v>2050</v>
      </c>
      <c r="R58" s="136">
        <v>1E-3</v>
      </c>
      <c r="S58" s="137">
        <v>0</v>
      </c>
      <c r="T58" s="137">
        <v>0</v>
      </c>
      <c r="U58" s="137">
        <v>0.126</v>
      </c>
      <c r="V58" s="137">
        <v>2E-3</v>
      </c>
      <c r="W58" s="137">
        <f>1-SUM(R58:V58)</f>
        <v>0.871</v>
      </c>
      <c r="X58" s="138">
        <f t="shared" si="60"/>
        <v>1</v>
      </c>
      <c r="CS58" s="102">
        <f>CS56/293</f>
        <v>536.19795221843003</v>
      </c>
      <c r="CT58" s="102">
        <f t="shared" ref="CT58:DT58" si="67">CT56/293</f>
        <v>536.19795221843003</v>
      </c>
      <c r="CU58" s="102">
        <f t="shared" si="67"/>
        <v>536.19795221843003</v>
      </c>
      <c r="CV58" s="102">
        <f t="shared" si="67"/>
        <v>536.19795221843003</v>
      </c>
      <c r="CW58" s="102">
        <f t="shared" si="67"/>
        <v>536.19795221843003</v>
      </c>
      <c r="CX58" s="102">
        <f t="shared" si="67"/>
        <v>536.19795221843003</v>
      </c>
      <c r="CY58" s="102">
        <f t="shared" si="67"/>
        <v>536.19795221843003</v>
      </c>
      <c r="CZ58" s="102">
        <f t="shared" si="67"/>
        <v>536.31740614334467</v>
      </c>
      <c r="DA58" s="102">
        <f t="shared" si="67"/>
        <v>536.31740614334467</v>
      </c>
      <c r="DB58" s="102">
        <f t="shared" si="67"/>
        <v>536.31740614334467</v>
      </c>
      <c r="DC58" s="102">
        <f t="shared" si="67"/>
        <v>536.31740614334467</v>
      </c>
      <c r="DD58" s="102">
        <f t="shared" si="67"/>
        <v>536.31740614334467</v>
      </c>
      <c r="DE58" s="102">
        <f t="shared" si="67"/>
        <v>536.24914675767923</v>
      </c>
      <c r="DF58" s="102">
        <f t="shared" si="67"/>
        <v>536.24914675767923</v>
      </c>
      <c r="DG58" s="102">
        <f t="shared" si="67"/>
        <v>536.24914675767923</v>
      </c>
      <c r="DH58" s="102">
        <f t="shared" si="67"/>
        <v>536.24914675767923</v>
      </c>
      <c r="DI58" s="102">
        <f t="shared" si="67"/>
        <v>536.24914675767923</v>
      </c>
      <c r="DJ58" s="102">
        <f t="shared" si="67"/>
        <v>536.23208191126275</v>
      </c>
      <c r="DK58" s="102">
        <f t="shared" si="67"/>
        <v>536.23208191126275</v>
      </c>
      <c r="DL58" s="102">
        <f t="shared" si="67"/>
        <v>536.23208191126275</v>
      </c>
      <c r="DM58" s="102">
        <f t="shared" si="67"/>
        <v>536.23208191126275</v>
      </c>
      <c r="DN58" s="102">
        <f t="shared" si="67"/>
        <v>536.23208191126275</v>
      </c>
      <c r="DO58" s="102">
        <f t="shared" si="67"/>
        <v>535.90102389078493</v>
      </c>
      <c r="DP58" s="102">
        <f t="shared" si="67"/>
        <v>535.90102389078493</v>
      </c>
      <c r="DQ58" s="102">
        <f t="shared" si="67"/>
        <v>535.90102389078493</v>
      </c>
      <c r="DR58" s="102">
        <f t="shared" si="67"/>
        <v>535.90102389078493</v>
      </c>
      <c r="DS58" s="102">
        <f t="shared" si="67"/>
        <v>535.90102389078493</v>
      </c>
      <c r="DT58" s="102">
        <f t="shared" si="67"/>
        <v>536.17747440273035</v>
      </c>
      <c r="DX58">
        <f>DX56/293</f>
        <v>463.60068259385667</v>
      </c>
      <c r="DY58">
        <f t="shared" ref="DY58:EY58" si="68">DY56/293</f>
        <v>463.60068259385667</v>
      </c>
      <c r="DZ58">
        <f t="shared" si="68"/>
        <v>406.3924914675768</v>
      </c>
      <c r="EA58">
        <f t="shared" si="68"/>
        <v>406.3924914675768</v>
      </c>
      <c r="EB58">
        <f t="shared" si="68"/>
        <v>406.3924914675768</v>
      </c>
      <c r="EC58">
        <f t="shared" si="68"/>
        <v>406.3924914675768</v>
      </c>
      <c r="ED58">
        <f t="shared" si="68"/>
        <v>406.3924914675768</v>
      </c>
      <c r="EE58">
        <f t="shared" si="68"/>
        <v>250.47440273037543</v>
      </c>
      <c r="EF58">
        <f t="shared" si="68"/>
        <v>250.47440273037543</v>
      </c>
      <c r="EG58">
        <f t="shared" si="68"/>
        <v>250.47440273037543</v>
      </c>
      <c r="EH58">
        <f t="shared" si="68"/>
        <v>250.47440273037543</v>
      </c>
      <c r="EI58">
        <f t="shared" si="68"/>
        <v>250.47440273037543</v>
      </c>
      <c r="EJ58">
        <f t="shared" si="68"/>
        <v>223.70307167235495</v>
      </c>
      <c r="EK58">
        <f t="shared" si="68"/>
        <v>223.70307167235495</v>
      </c>
      <c r="EL58">
        <f t="shared" si="68"/>
        <v>223.70307167235495</v>
      </c>
      <c r="EM58">
        <f t="shared" si="68"/>
        <v>223.70307167235495</v>
      </c>
      <c r="EN58">
        <f t="shared" si="68"/>
        <v>223.70307167235495</v>
      </c>
      <c r="EO58">
        <f t="shared" si="68"/>
        <v>216.66211604095562</v>
      </c>
      <c r="EP58">
        <f t="shared" si="68"/>
        <v>216.66211604095562</v>
      </c>
      <c r="EQ58">
        <f t="shared" si="68"/>
        <v>216.66211604095562</v>
      </c>
      <c r="ER58">
        <f t="shared" si="68"/>
        <v>216.66211604095562</v>
      </c>
      <c r="ES58">
        <f t="shared" si="68"/>
        <v>216.66211604095562</v>
      </c>
      <c r="ET58">
        <f t="shared" si="68"/>
        <v>208.61774744027304</v>
      </c>
      <c r="EU58">
        <f t="shared" si="68"/>
        <v>208.61774744027304</v>
      </c>
      <c r="EV58">
        <f t="shared" si="68"/>
        <v>208.61774744027304</v>
      </c>
      <c r="EW58">
        <f t="shared" si="68"/>
        <v>208.61774744027304</v>
      </c>
      <c r="EX58">
        <f t="shared" si="68"/>
        <v>208.61774744027304</v>
      </c>
      <c r="EY58">
        <f t="shared" si="68"/>
        <v>196.00341296928329</v>
      </c>
    </row>
    <row r="59" spans="17:218" x14ac:dyDescent="0.25">
      <c r="Q59" s="248" t="s">
        <v>535</v>
      </c>
      <c r="R59" s="249"/>
      <c r="S59" s="249"/>
      <c r="T59" s="249"/>
      <c r="U59" s="249"/>
      <c r="V59" s="249"/>
      <c r="W59" s="249"/>
      <c r="X59" s="250"/>
      <c r="Z59" s="248" t="s">
        <v>462</v>
      </c>
      <c r="AA59" s="249"/>
      <c r="AB59" s="249"/>
      <c r="AC59" s="250"/>
      <c r="AD59" s="248" t="s">
        <v>477</v>
      </c>
      <c r="AE59" s="249"/>
      <c r="AF59" s="249"/>
      <c r="AG59" s="249"/>
      <c r="AH59" s="249"/>
      <c r="AI59" s="249"/>
      <c r="AJ59" s="249"/>
      <c r="AK59" s="250"/>
      <c r="BM59" s="248" t="s">
        <v>462</v>
      </c>
      <c r="BN59" s="249"/>
      <c r="BO59" s="249"/>
      <c r="BP59" s="250"/>
      <c r="BQ59" s="248" t="s">
        <v>481</v>
      </c>
      <c r="BR59" s="249"/>
      <c r="BS59" s="249"/>
      <c r="BT59" s="249"/>
      <c r="BU59" s="249"/>
      <c r="BV59" s="249"/>
      <c r="BW59" s="249"/>
      <c r="BX59" s="250"/>
      <c r="CR59" s="248" t="s">
        <v>462</v>
      </c>
      <c r="CS59" s="249"/>
      <c r="CT59" s="249"/>
      <c r="CU59" s="250"/>
      <c r="CV59" s="248" t="s">
        <v>536</v>
      </c>
      <c r="CW59" s="249"/>
      <c r="CX59" s="249"/>
      <c r="CY59" s="249"/>
      <c r="CZ59" s="249"/>
      <c r="DA59" s="249"/>
      <c r="DB59" s="249"/>
      <c r="DC59" s="250"/>
      <c r="DW59" s="248" t="s">
        <v>462</v>
      </c>
      <c r="DX59" s="249"/>
      <c r="DY59" s="249"/>
      <c r="DZ59" s="250"/>
      <c r="EA59" s="248" t="s">
        <v>540</v>
      </c>
      <c r="EB59" s="249"/>
      <c r="EC59" s="249"/>
      <c r="ED59" s="249"/>
      <c r="EE59" s="249"/>
      <c r="EF59" s="249"/>
      <c r="EG59" s="249"/>
      <c r="EH59" s="250"/>
      <c r="FB59" s="248" t="s">
        <v>462</v>
      </c>
      <c r="FC59" s="249"/>
      <c r="FD59" s="249"/>
      <c r="FE59" s="250"/>
      <c r="FF59" s="248" t="s">
        <v>542</v>
      </c>
      <c r="FG59" s="249"/>
      <c r="FH59" s="249"/>
      <c r="FI59" s="249"/>
      <c r="FJ59" s="249"/>
      <c r="FK59" s="249"/>
      <c r="FL59" s="249"/>
      <c r="FM59" s="250"/>
      <c r="GH59" s="104" t="s">
        <v>462</v>
      </c>
      <c r="GI59" s="104"/>
      <c r="GJ59" s="104"/>
      <c r="GK59" s="104"/>
      <c r="GL59" s="248" t="s">
        <v>612</v>
      </c>
      <c r="GM59" s="249"/>
      <c r="GN59" s="249"/>
      <c r="GO59" s="249"/>
      <c r="GP59" s="249"/>
      <c r="GQ59" s="249"/>
      <c r="GR59" s="249"/>
      <c r="GS59" s="250"/>
    </row>
    <row r="60" spans="17:218" x14ac:dyDescent="0.25">
      <c r="Q60" s="235" t="s">
        <v>472</v>
      </c>
      <c r="R60" s="251"/>
      <c r="S60" s="251"/>
      <c r="T60" s="251"/>
      <c r="U60" s="251"/>
      <c r="V60" s="251"/>
      <c r="W60" s="251"/>
      <c r="X60" s="251"/>
      <c r="Z60" s="37" t="s">
        <v>3</v>
      </c>
      <c r="AA60" s="37">
        <v>2023</v>
      </c>
      <c r="AB60" s="37">
        <v>2024</v>
      </c>
      <c r="AC60" s="37">
        <v>2025</v>
      </c>
      <c r="AD60" s="37">
        <v>2026</v>
      </c>
      <c r="AE60" s="37">
        <v>2027</v>
      </c>
      <c r="AF60" s="37">
        <v>2028</v>
      </c>
      <c r="AG60" s="37">
        <v>2029</v>
      </c>
      <c r="AH60" s="37">
        <v>2030</v>
      </c>
      <c r="AI60" s="37">
        <v>2031</v>
      </c>
      <c r="AJ60" s="37">
        <v>2032</v>
      </c>
      <c r="AK60" s="37">
        <v>2033</v>
      </c>
      <c r="AL60" s="37">
        <v>2034</v>
      </c>
      <c r="AM60" s="37">
        <v>2035</v>
      </c>
      <c r="AN60" s="37">
        <v>2036</v>
      </c>
      <c r="AO60" s="37">
        <v>2037</v>
      </c>
      <c r="AP60" s="37">
        <v>2038</v>
      </c>
      <c r="AQ60" s="37">
        <v>2039</v>
      </c>
      <c r="AR60" s="37">
        <v>2040</v>
      </c>
      <c r="AS60" s="37">
        <v>2041</v>
      </c>
      <c r="AT60" s="37">
        <v>2042</v>
      </c>
      <c r="AU60" s="37">
        <v>2043</v>
      </c>
      <c r="AV60" s="37">
        <v>2044</v>
      </c>
      <c r="AW60" s="37">
        <v>2045</v>
      </c>
      <c r="AX60" s="37">
        <v>2046</v>
      </c>
      <c r="AY60" s="37">
        <v>2047</v>
      </c>
      <c r="AZ60" s="37">
        <v>2048</v>
      </c>
      <c r="BA60" s="37">
        <v>2049</v>
      </c>
      <c r="BB60" s="37">
        <v>2050</v>
      </c>
      <c r="BM60" s="37" t="s">
        <v>3</v>
      </c>
      <c r="BN60" s="37">
        <v>2023</v>
      </c>
      <c r="BO60" s="37">
        <v>2024</v>
      </c>
      <c r="BP60" s="37">
        <v>2025</v>
      </c>
      <c r="BQ60" s="37">
        <v>2026</v>
      </c>
      <c r="BR60" s="37">
        <v>2027</v>
      </c>
      <c r="BS60" s="37">
        <v>2028</v>
      </c>
      <c r="BT60" s="37">
        <v>2029</v>
      </c>
      <c r="BU60" s="37">
        <v>2030</v>
      </c>
      <c r="BV60" s="37">
        <v>2031</v>
      </c>
      <c r="BW60" s="37">
        <v>2032</v>
      </c>
      <c r="BX60" s="37">
        <v>2033</v>
      </c>
      <c r="BY60" s="37">
        <v>2034</v>
      </c>
      <c r="BZ60" s="37">
        <v>2035</v>
      </c>
      <c r="CA60" s="37">
        <v>2036</v>
      </c>
      <c r="CB60" s="37">
        <v>2037</v>
      </c>
      <c r="CC60" s="37">
        <v>2038</v>
      </c>
      <c r="CD60" s="37">
        <v>2039</v>
      </c>
      <c r="CE60" s="37">
        <v>2040</v>
      </c>
      <c r="CF60" s="37">
        <v>2041</v>
      </c>
      <c r="CG60" s="37">
        <v>2042</v>
      </c>
      <c r="CH60" s="37">
        <v>2043</v>
      </c>
      <c r="CI60" s="37">
        <v>2044</v>
      </c>
      <c r="CJ60" s="37">
        <v>2045</v>
      </c>
      <c r="CK60" s="37">
        <v>2046</v>
      </c>
      <c r="CL60" s="37">
        <v>2047</v>
      </c>
      <c r="CM60" s="37">
        <v>2048</v>
      </c>
      <c r="CN60" s="37">
        <v>2049</v>
      </c>
      <c r="CO60" s="37">
        <v>2050</v>
      </c>
      <c r="CR60" s="37" t="s">
        <v>3</v>
      </c>
      <c r="CS60" s="37">
        <v>2023</v>
      </c>
      <c r="CT60" s="37">
        <v>2024</v>
      </c>
      <c r="CU60" s="37">
        <v>2025</v>
      </c>
      <c r="CV60" s="37">
        <v>2026</v>
      </c>
      <c r="CW60" s="37">
        <v>2027</v>
      </c>
      <c r="CX60" s="37">
        <v>2028</v>
      </c>
      <c r="CY60" s="37">
        <v>2029</v>
      </c>
      <c r="CZ60" s="37">
        <v>2030</v>
      </c>
      <c r="DA60" s="37">
        <v>2031</v>
      </c>
      <c r="DB60" s="37">
        <v>2032</v>
      </c>
      <c r="DC60" s="37">
        <v>2033</v>
      </c>
      <c r="DD60" s="37">
        <v>2034</v>
      </c>
      <c r="DE60" s="37">
        <v>2035</v>
      </c>
      <c r="DF60" s="37">
        <v>2036</v>
      </c>
      <c r="DG60" s="37">
        <v>2037</v>
      </c>
      <c r="DH60" s="37">
        <v>2038</v>
      </c>
      <c r="DI60" s="37">
        <v>2039</v>
      </c>
      <c r="DJ60" s="37">
        <v>2040</v>
      </c>
      <c r="DK60" s="37">
        <v>2041</v>
      </c>
      <c r="DL60" s="37">
        <v>2042</v>
      </c>
      <c r="DM60" s="37">
        <v>2043</v>
      </c>
      <c r="DN60" s="37">
        <v>2044</v>
      </c>
      <c r="DO60" s="37">
        <v>2045</v>
      </c>
      <c r="DP60" s="37">
        <v>2046</v>
      </c>
      <c r="DQ60" s="37">
        <v>2047</v>
      </c>
      <c r="DR60" s="37">
        <v>2048</v>
      </c>
      <c r="DS60" s="37">
        <v>2049</v>
      </c>
      <c r="DT60" s="37">
        <v>2050</v>
      </c>
      <c r="DW60" s="37" t="s">
        <v>3</v>
      </c>
      <c r="DX60" s="37">
        <v>2023</v>
      </c>
      <c r="DY60" s="37">
        <v>2024</v>
      </c>
      <c r="DZ60" s="37">
        <v>2025</v>
      </c>
      <c r="EA60" s="37">
        <v>2026</v>
      </c>
      <c r="EB60" s="37">
        <v>2027</v>
      </c>
      <c r="EC60" s="37">
        <v>2028</v>
      </c>
      <c r="ED60" s="37">
        <v>2029</v>
      </c>
      <c r="EE60" s="37">
        <v>2030</v>
      </c>
      <c r="EF60" s="37">
        <v>2031</v>
      </c>
      <c r="EG60" s="37">
        <v>2032</v>
      </c>
      <c r="EH60" s="37">
        <v>2033</v>
      </c>
      <c r="EI60" s="37">
        <v>2034</v>
      </c>
      <c r="EJ60" s="37">
        <v>2035</v>
      </c>
      <c r="EK60" s="37">
        <v>2036</v>
      </c>
      <c r="EL60" s="37">
        <v>2037</v>
      </c>
      <c r="EM60" s="37">
        <v>2038</v>
      </c>
      <c r="EN60" s="37">
        <v>2039</v>
      </c>
      <c r="EO60" s="37">
        <v>2040</v>
      </c>
      <c r="EP60" s="37">
        <v>2041</v>
      </c>
      <c r="EQ60" s="37">
        <v>2042</v>
      </c>
      <c r="ER60" s="37">
        <v>2043</v>
      </c>
      <c r="ES60" s="37">
        <v>2044</v>
      </c>
      <c r="ET60" s="37">
        <v>2045</v>
      </c>
      <c r="EU60" s="37">
        <v>2046</v>
      </c>
      <c r="EV60" s="37">
        <v>2047</v>
      </c>
      <c r="EW60" s="37">
        <v>2048</v>
      </c>
      <c r="EX60" s="37">
        <v>2049</v>
      </c>
      <c r="EY60" s="37">
        <v>2050</v>
      </c>
      <c r="FB60" s="37" t="s">
        <v>3</v>
      </c>
      <c r="FC60" s="37">
        <v>2023</v>
      </c>
      <c r="FD60" s="37">
        <v>2024</v>
      </c>
      <c r="FE60" s="37">
        <v>2025</v>
      </c>
      <c r="FF60" s="37">
        <v>2026</v>
      </c>
      <c r="FG60" s="37">
        <v>2027</v>
      </c>
      <c r="FH60" s="37">
        <v>2028</v>
      </c>
      <c r="FI60" s="37">
        <v>2029</v>
      </c>
      <c r="FJ60" s="37">
        <v>2030</v>
      </c>
      <c r="FK60" s="37">
        <v>2031</v>
      </c>
      <c r="FL60" s="37">
        <v>2032</v>
      </c>
      <c r="FM60" s="37">
        <v>2033</v>
      </c>
      <c r="FN60" s="37">
        <v>2034</v>
      </c>
      <c r="FO60" s="37">
        <v>2035</v>
      </c>
      <c r="FP60" s="37">
        <v>2036</v>
      </c>
      <c r="FQ60" s="37">
        <v>2037</v>
      </c>
      <c r="FR60" s="37">
        <v>2038</v>
      </c>
      <c r="FS60" s="37">
        <v>2039</v>
      </c>
      <c r="FT60" s="37">
        <v>2040</v>
      </c>
      <c r="FU60" s="37">
        <v>2041</v>
      </c>
      <c r="FV60" s="37">
        <v>2042</v>
      </c>
      <c r="FW60" s="37">
        <v>2043</v>
      </c>
      <c r="FX60" s="37">
        <v>2044</v>
      </c>
      <c r="FY60" s="37">
        <v>2045</v>
      </c>
      <c r="FZ60" s="37">
        <v>2046</v>
      </c>
      <c r="GA60" s="37">
        <v>2047</v>
      </c>
      <c r="GB60" s="37">
        <v>2048</v>
      </c>
      <c r="GC60" s="37">
        <v>2049</v>
      </c>
      <c r="GD60" s="37">
        <v>2050</v>
      </c>
      <c r="GH60" s="122" t="s">
        <v>3</v>
      </c>
      <c r="GI60" s="148">
        <v>2023</v>
      </c>
      <c r="GJ60" s="148">
        <v>2024</v>
      </c>
      <c r="GK60" s="148">
        <v>2025</v>
      </c>
      <c r="GL60" s="148">
        <v>2026</v>
      </c>
      <c r="GM60" s="148">
        <v>2027</v>
      </c>
      <c r="GN60" s="148">
        <v>2028</v>
      </c>
      <c r="GO60" s="148">
        <v>2029</v>
      </c>
      <c r="GP60" s="148">
        <v>2030</v>
      </c>
      <c r="GQ60" s="148">
        <v>2031</v>
      </c>
      <c r="GR60" s="148">
        <v>2032</v>
      </c>
      <c r="GS60" s="148">
        <v>2033</v>
      </c>
      <c r="GT60" s="148">
        <v>2034</v>
      </c>
      <c r="GU60" s="148">
        <v>2035</v>
      </c>
      <c r="GV60" s="148">
        <v>2036</v>
      </c>
      <c r="GW60" s="148">
        <v>2037</v>
      </c>
      <c r="GX60" s="148">
        <v>2038</v>
      </c>
      <c r="GY60" s="148">
        <v>2039</v>
      </c>
      <c r="GZ60" s="148">
        <v>2040</v>
      </c>
      <c r="HA60" s="148">
        <v>2041</v>
      </c>
      <c r="HB60" s="148">
        <v>2042</v>
      </c>
      <c r="HC60" s="148">
        <v>2043</v>
      </c>
      <c r="HD60" s="148">
        <v>2044</v>
      </c>
      <c r="HE60" s="148">
        <v>2045</v>
      </c>
      <c r="HF60" s="148">
        <v>2046</v>
      </c>
      <c r="HG60" s="148">
        <v>2047</v>
      </c>
      <c r="HH60" s="148">
        <v>2048</v>
      </c>
      <c r="HI60" s="148">
        <v>2049</v>
      </c>
      <c r="HJ60" s="153">
        <v>2050</v>
      </c>
    </row>
    <row r="61" spans="17:218" x14ac:dyDescent="0.25">
      <c r="Q61" s="37"/>
      <c r="R61" s="122" t="s">
        <v>467</v>
      </c>
      <c r="S61" s="122" t="s">
        <v>468</v>
      </c>
      <c r="T61" s="122" t="s">
        <v>469</v>
      </c>
      <c r="U61" s="122" t="s">
        <v>470</v>
      </c>
      <c r="V61" s="122" t="s">
        <v>261</v>
      </c>
      <c r="W61" s="122" t="s">
        <v>471</v>
      </c>
      <c r="X61" s="37" t="s">
        <v>453</v>
      </c>
      <c r="Z61" s="83" t="s">
        <v>187</v>
      </c>
      <c r="AA61" s="114">
        <f>'US Grid mix, emissions&amp;prices'!O58</f>
        <v>115538</v>
      </c>
      <c r="AB61" s="116">
        <f t="shared" ref="AB61:AB92" si="69">$AA61*AB$112</f>
        <v>115538</v>
      </c>
      <c r="AC61" s="116">
        <f t="shared" ref="AC61:BB71" si="70">$AA61*AC$112</f>
        <v>101482.29090404666</v>
      </c>
      <c r="AD61" s="116">
        <f t="shared" si="70"/>
        <v>101482.29090404666</v>
      </c>
      <c r="AE61" s="116">
        <f t="shared" si="70"/>
        <v>101482.29090404666</v>
      </c>
      <c r="AF61" s="116">
        <f t="shared" si="70"/>
        <v>101482.29090404666</v>
      </c>
      <c r="AG61" s="116">
        <f t="shared" si="70"/>
        <v>101482.29090404666</v>
      </c>
      <c r="AH61" s="116">
        <f t="shared" si="70"/>
        <v>38367.829763950649</v>
      </c>
      <c r="AI61" s="116">
        <f t="shared" si="70"/>
        <v>38367.829763950649</v>
      </c>
      <c r="AJ61" s="116">
        <f t="shared" si="70"/>
        <v>38367.829763950649</v>
      </c>
      <c r="AK61" s="116">
        <f t="shared" si="70"/>
        <v>38367.829763950649</v>
      </c>
      <c r="AL61" s="116">
        <f t="shared" si="70"/>
        <v>38367.829763950649</v>
      </c>
      <c r="AM61" s="116">
        <f t="shared" si="70"/>
        <v>32248.173827267052</v>
      </c>
      <c r="AN61" s="116">
        <f t="shared" si="70"/>
        <v>32248.173827267052</v>
      </c>
      <c r="AO61" s="116">
        <f t="shared" si="70"/>
        <v>32248.173827267052</v>
      </c>
      <c r="AP61" s="116">
        <f t="shared" si="70"/>
        <v>32248.173827267052</v>
      </c>
      <c r="AQ61" s="116">
        <f t="shared" si="70"/>
        <v>32248.173827267052</v>
      </c>
      <c r="AR61" s="116">
        <f t="shared" si="70"/>
        <v>32248.173827267052</v>
      </c>
      <c r="AS61" s="116">
        <f t="shared" si="70"/>
        <v>32248.173827267052</v>
      </c>
      <c r="AT61" s="116">
        <f t="shared" si="70"/>
        <v>32248.173827267052</v>
      </c>
      <c r="AU61" s="116">
        <f t="shared" si="70"/>
        <v>32248.173827267052</v>
      </c>
      <c r="AV61" s="116">
        <f t="shared" si="70"/>
        <v>32248.173827267052</v>
      </c>
      <c r="AW61" s="116">
        <f t="shared" si="70"/>
        <v>32400.430653277948</v>
      </c>
      <c r="AX61" s="116">
        <f t="shared" si="70"/>
        <v>32400.430653277948</v>
      </c>
      <c r="AY61" s="116">
        <f t="shared" si="70"/>
        <v>32400.430653277948</v>
      </c>
      <c r="AZ61" s="116">
        <f t="shared" si="70"/>
        <v>32400.430653277948</v>
      </c>
      <c r="BA61" s="116">
        <f t="shared" si="70"/>
        <v>32400.430653277948</v>
      </c>
      <c r="BB61" s="116">
        <f t="shared" si="70"/>
        <v>32591.864674285804</v>
      </c>
      <c r="BM61" s="83" t="s">
        <v>187</v>
      </c>
      <c r="BN61" s="114">
        <f>AA61</f>
        <v>115538</v>
      </c>
      <c r="BO61" s="116">
        <f>$AA61*BO$112</f>
        <v>115538</v>
      </c>
      <c r="BP61" s="116">
        <f t="shared" ref="BP61:CO61" si="71">$AA61*BP$112</f>
        <v>91075.403287582551</v>
      </c>
      <c r="BQ61" s="116">
        <f t="shared" si="71"/>
        <v>91075.403287582551</v>
      </c>
      <c r="BR61" s="116">
        <f t="shared" si="71"/>
        <v>91075.403287582551</v>
      </c>
      <c r="BS61" s="116">
        <f t="shared" si="71"/>
        <v>91075.403287582551</v>
      </c>
      <c r="BT61" s="116">
        <f t="shared" si="71"/>
        <v>91075.403287582551</v>
      </c>
      <c r="BU61" s="116">
        <f t="shared" si="71"/>
        <v>5144.6780157366238</v>
      </c>
      <c r="BV61" s="116">
        <f t="shared" si="71"/>
        <v>5144.6780157366238</v>
      </c>
      <c r="BW61" s="116">
        <f t="shared" si="71"/>
        <v>5144.6780157366238</v>
      </c>
      <c r="BX61" s="116">
        <f t="shared" si="71"/>
        <v>5144.6780157366238</v>
      </c>
      <c r="BY61" s="116">
        <f t="shared" si="71"/>
        <v>5144.6780157366238</v>
      </c>
      <c r="BZ61" s="116">
        <f t="shared" si="71"/>
        <v>5365.4949329921938</v>
      </c>
      <c r="CA61" s="116">
        <f t="shared" si="71"/>
        <v>5365.4949329921938</v>
      </c>
      <c r="CB61" s="116">
        <f t="shared" si="71"/>
        <v>5365.4949329921938</v>
      </c>
      <c r="CC61" s="116">
        <f t="shared" si="71"/>
        <v>5365.4949329921938</v>
      </c>
      <c r="CD61" s="116">
        <f t="shared" si="71"/>
        <v>5365.4949329921938</v>
      </c>
      <c r="CE61" s="116">
        <f t="shared" si="71"/>
        <v>5440.2877598045643</v>
      </c>
      <c r="CF61" s="116">
        <f t="shared" si="71"/>
        <v>5440.2877598045643</v>
      </c>
      <c r="CG61" s="116">
        <f t="shared" si="71"/>
        <v>5440.2877598045643</v>
      </c>
      <c r="CH61" s="116">
        <f t="shared" si="71"/>
        <v>5440.2877598045643</v>
      </c>
      <c r="CI61" s="116">
        <f t="shared" si="71"/>
        <v>5440.2877598045643</v>
      </c>
      <c r="CJ61" s="116">
        <f t="shared" si="71"/>
        <v>5631.7217808124169</v>
      </c>
      <c r="CK61" s="116">
        <f t="shared" si="71"/>
        <v>5631.7217808124169</v>
      </c>
      <c r="CL61" s="116">
        <f t="shared" si="71"/>
        <v>5631.7217808124169</v>
      </c>
      <c r="CM61" s="116">
        <f t="shared" si="71"/>
        <v>5631.7217808124169</v>
      </c>
      <c r="CN61" s="116">
        <f t="shared" si="71"/>
        <v>5631.7217808124169</v>
      </c>
      <c r="CO61" s="116">
        <f t="shared" si="71"/>
        <v>5873.9080771572353</v>
      </c>
      <c r="CR61" s="83" t="s">
        <v>187</v>
      </c>
      <c r="CS61" s="114">
        <f>AA6</f>
        <v>115538</v>
      </c>
      <c r="CT61" s="116">
        <f t="shared" ref="CT61:DT61" si="72">$AA61*CT$112</f>
        <v>5410.0144727614615</v>
      </c>
      <c r="CU61" s="116">
        <f t="shared" si="72"/>
        <v>5410.0144727614615</v>
      </c>
      <c r="CV61" s="116">
        <f t="shared" si="72"/>
        <v>5410.0144727614615</v>
      </c>
      <c r="CW61" s="116">
        <f t="shared" si="72"/>
        <v>5410.0144727614615</v>
      </c>
      <c r="CX61" s="116">
        <f t="shared" si="72"/>
        <v>5410.0144727614615</v>
      </c>
      <c r="CY61" s="116">
        <f t="shared" si="72"/>
        <v>5410.0144727614615</v>
      </c>
      <c r="CZ61" s="116">
        <f t="shared" si="72"/>
        <v>5410.0144727614615</v>
      </c>
      <c r="DA61" s="116">
        <f t="shared" si="72"/>
        <v>5410.0144727614615</v>
      </c>
      <c r="DB61" s="116">
        <f t="shared" si="72"/>
        <v>5410.0144727614615</v>
      </c>
      <c r="DC61" s="116">
        <f t="shared" si="72"/>
        <v>5410.0144727614615</v>
      </c>
      <c r="DD61" s="116">
        <f t="shared" si="72"/>
        <v>5410.0144727614615</v>
      </c>
      <c r="DE61" s="116">
        <f t="shared" si="72"/>
        <v>5564.9424711585143</v>
      </c>
      <c r="DF61" s="116">
        <f t="shared" si="72"/>
        <v>5564.9424711585143</v>
      </c>
      <c r="DG61" s="116">
        <f t="shared" si="72"/>
        <v>5564.9424711585143</v>
      </c>
      <c r="DH61" s="116">
        <f t="shared" si="72"/>
        <v>5564.9424711585143</v>
      </c>
      <c r="DI61" s="116">
        <f t="shared" si="72"/>
        <v>5564.9424711585143</v>
      </c>
      <c r="DJ61" s="116">
        <f t="shared" si="72"/>
        <v>5854.3194796587577</v>
      </c>
      <c r="DK61" s="116">
        <f t="shared" si="72"/>
        <v>5854.3194796587577</v>
      </c>
      <c r="DL61" s="116">
        <f t="shared" si="72"/>
        <v>5854.3194796587577</v>
      </c>
      <c r="DM61" s="116">
        <f t="shared" si="72"/>
        <v>5854.3194796587577</v>
      </c>
      <c r="DN61" s="116">
        <f t="shared" si="72"/>
        <v>5854.3194796587577</v>
      </c>
      <c r="DO61" s="116">
        <f t="shared" si="72"/>
        <v>6045.7535006666103</v>
      </c>
      <c r="DP61" s="116">
        <f t="shared" si="72"/>
        <v>6045.7535006666103</v>
      </c>
      <c r="DQ61" s="116">
        <f t="shared" si="72"/>
        <v>6045.7535006666103</v>
      </c>
      <c r="DR61" s="116">
        <f t="shared" si="72"/>
        <v>6045.7535006666103</v>
      </c>
      <c r="DS61" s="116">
        <f t="shared" si="72"/>
        <v>6045.7535006666103</v>
      </c>
      <c r="DT61" s="116">
        <f t="shared" si="72"/>
        <v>6288.8301878068141</v>
      </c>
      <c r="DW61" s="83" t="s">
        <v>187</v>
      </c>
      <c r="DX61" s="114">
        <f>CS6*$DX$111/$BN$56</f>
        <v>152646.33047356975</v>
      </c>
      <c r="DY61" s="116">
        <f>$DX61*DY$112</f>
        <v>152646.33047356975</v>
      </c>
      <c r="DZ61" s="116">
        <f t="shared" ref="DZ61:EY70" si="73">$DX61*DZ$112</f>
        <v>133546.94321527347</v>
      </c>
      <c r="EA61" s="116">
        <f t="shared" si="73"/>
        <v>133546.94321527347</v>
      </c>
      <c r="EB61" s="116">
        <f t="shared" si="73"/>
        <v>133546.94321527347</v>
      </c>
      <c r="EC61" s="116">
        <f t="shared" si="73"/>
        <v>133546.94321527347</v>
      </c>
      <c r="ED61" s="116">
        <f t="shared" si="73"/>
        <v>133546.94321527347</v>
      </c>
      <c r="EE61" s="116">
        <f t="shared" si="73"/>
        <v>83087.778605064435</v>
      </c>
      <c r="EF61" s="116">
        <f t="shared" si="73"/>
        <v>83087.778605064435</v>
      </c>
      <c r="EG61" s="116">
        <f t="shared" si="73"/>
        <v>83087.778605064435</v>
      </c>
      <c r="EH61" s="116">
        <f t="shared" si="73"/>
        <v>83087.778605064435</v>
      </c>
      <c r="EI61" s="116">
        <f t="shared" si="73"/>
        <v>83087.778605064435</v>
      </c>
      <c r="EJ61" s="116">
        <f t="shared" si="73"/>
        <v>73981.692689230578</v>
      </c>
      <c r="EK61" s="116">
        <f t="shared" si="73"/>
        <v>73981.692689230578</v>
      </c>
      <c r="EL61" s="116">
        <f t="shared" si="73"/>
        <v>73981.692689230578</v>
      </c>
      <c r="EM61" s="116">
        <f t="shared" si="73"/>
        <v>73981.692689230578</v>
      </c>
      <c r="EN61" s="116">
        <f t="shared" si="73"/>
        <v>73981.692689230578</v>
      </c>
      <c r="EO61" s="116">
        <f t="shared" si="73"/>
        <v>71887.088103642178</v>
      </c>
      <c r="EP61" s="116">
        <f t="shared" si="73"/>
        <v>71887.088103642178</v>
      </c>
      <c r="EQ61" s="116">
        <f t="shared" si="73"/>
        <v>71887.088103642178</v>
      </c>
      <c r="ER61" s="116">
        <f t="shared" si="73"/>
        <v>71887.088103642178</v>
      </c>
      <c r="ES61" s="116">
        <f t="shared" si="73"/>
        <v>71887.088103642178</v>
      </c>
      <c r="ET61" s="116">
        <f t="shared" si="73"/>
        <v>69342.94666154818</v>
      </c>
      <c r="EU61" s="116">
        <f t="shared" si="73"/>
        <v>69342.94666154818</v>
      </c>
      <c r="EV61" s="116">
        <f t="shared" si="73"/>
        <v>69342.94666154818</v>
      </c>
      <c r="EW61" s="116">
        <f t="shared" si="73"/>
        <v>69342.94666154818</v>
      </c>
      <c r="EX61" s="116">
        <f t="shared" si="73"/>
        <v>69342.94666154818</v>
      </c>
      <c r="EY61" s="116">
        <f t="shared" si="73"/>
        <v>65288.490744719587</v>
      </c>
      <c r="FB61" s="83" t="s">
        <v>187</v>
      </c>
      <c r="FC61" s="114">
        <f>CS6*$FC$111/$BN$56</f>
        <v>165012.36711859523</v>
      </c>
      <c r="FD61" s="116">
        <f>$FC61*FD$112</f>
        <v>165012.36711859523</v>
      </c>
      <c r="FE61" s="116">
        <f t="shared" ref="FE61:GD70" si="74">$FC61*FE$112</f>
        <v>143863.65236817155</v>
      </c>
      <c r="FF61" s="116">
        <f t="shared" si="74"/>
        <v>143863.65236817155</v>
      </c>
      <c r="FG61" s="116">
        <f t="shared" si="74"/>
        <v>143863.65236817155</v>
      </c>
      <c r="FH61" s="116">
        <f t="shared" si="74"/>
        <v>143863.65236817155</v>
      </c>
      <c r="FI61" s="116">
        <f t="shared" si="74"/>
        <v>143863.65236817155</v>
      </c>
      <c r="FJ61" s="116">
        <f t="shared" si="74"/>
        <v>90995.099570216742</v>
      </c>
      <c r="FK61" s="116">
        <f t="shared" si="74"/>
        <v>90995.099570216742</v>
      </c>
      <c r="FL61" s="116">
        <f t="shared" si="74"/>
        <v>90995.099570216742</v>
      </c>
      <c r="FM61" s="116">
        <f t="shared" si="74"/>
        <v>90995.099570216742</v>
      </c>
      <c r="FN61" s="116">
        <f t="shared" si="74"/>
        <v>90995.099570216742</v>
      </c>
      <c r="FO61" s="116">
        <f t="shared" si="74"/>
        <v>80595.38241264016</v>
      </c>
      <c r="FP61" s="116">
        <f t="shared" si="74"/>
        <v>80595.38241264016</v>
      </c>
      <c r="FQ61" s="116">
        <f t="shared" si="74"/>
        <v>80595.38241264016</v>
      </c>
      <c r="FR61" s="116">
        <f t="shared" si="74"/>
        <v>80595.38241264016</v>
      </c>
      <c r="FS61" s="116">
        <f t="shared" si="74"/>
        <v>80595.38241264016</v>
      </c>
      <c r="FT61" s="116">
        <f t="shared" si="74"/>
        <v>78755.191971261156</v>
      </c>
      <c r="FU61" s="116">
        <f t="shared" si="74"/>
        <v>78755.191971261156</v>
      </c>
      <c r="FV61" s="116">
        <f t="shared" si="74"/>
        <v>78755.191971261156</v>
      </c>
      <c r="FW61" s="116">
        <f t="shared" si="74"/>
        <v>78755.191971261156</v>
      </c>
      <c r="FX61" s="116">
        <f t="shared" si="74"/>
        <v>78755.191971261156</v>
      </c>
      <c r="FY61" s="116">
        <f t="shared" si="74"/>
        <v>76206.73842502803</v>
      </c>
      <c r="FZ61" s="116">
        <f t="shared" si="74"/>
        <v>76206.73842502803</v>
      </c>
      <c r="GA61" s="116">
        <f t="shared" si="74"/>
        <v>76206.73842502803</v>
      </c>
      <c r="GB61" s="116">
        <f t="shared" si="74"/>
        <v>76206.73842502803</v>
      </c>
      <c r="GC61" s="116">
        <f t="shared" si="74"/>
        <v>76206.73842502803</v>
      </c>
      <c r="GD61" s="116">
        <f t="shared" si="74"/>
        <v>72014.295175746884</v>
      </c>
      <c r="GH61" s="123" t="s">
        <v>187</v>
      </c>
      <c r="GI61" s="103">
        <f>$AA61*GI$112</f>
        <v>290489.99699447444</v>
      </c>
      <c r="GJ61" s="103">
        <f t="shared" ref="GJ61:HJ70" si="75">$AA61*GJ$112</f>
        <v>290489.99699447444</v>
      </c>
      <c r="GK61" s="103">
        <f t="shared" si="75"/>
        <v>290489.99699447444</v>
      </c>
      <c r="GL61" s="103">
        <f t="shared" si="75"/>
        <v>290489.99699447444</v>
      </c>
      <c r="GM61" s="103">
        <f t="shared" si="75"/>
        <v>290489.99699447444</v>
      </c>
      <c r="GN61" s="103">
        <f t="shared" si="75"/>
        <v>290489.99699447444</v>
      </c>
      <c r="GO61" s="103">
        <f t="shared" si="75"/>
        <v>290489.99699447444</v>
      </c>
      <c r="GP61" s="103">
        <f t="shared" si="75"/>
        <v>290489.99699447444</v>
      </c>
      <c r="GQ61" s="103">
        <f t="shared" si="75"/>
        <v>290489.99699447444</v>
      </c>
      <c r="GR61" s="103">
        <f t="shared" si="75"/>
        <v>290489.99699447444</v>
      </c>
      <c r="GS61" s="103">
        <f t="shared" si="75"/>
        <v>290489.99699447444</v>
      </c>
      <c r="GT61" s="103">
        <f t="shared" si="75"/>
        <v>290489.99699447444</v>
      </c>
      <c r="GU61" s="103">
        <f t="shared" si="75"/>
        <v>290489.99699447444</v>
      </c>
      <c r="GV61" s="103">
        <f t="shared" si="75"/>
        <v>290489.99699447444</v>
      </c>
      <c r="GW61" s="103">
        <f t="shared" si="75"/>
        <v>290489.99699447444</v>
      </c>
      <c r="GX61" s="103">
        <f t="shared" si="75"/>
        <v>290489.99699447444</v>
      </c>
      <c r="GY61" s="103">
        <f t="shared" si="75"/>
        <v>290489.99699447444</v>
      </c>
      <c r="GZ61" s="103">
        <f t="shared" si="75"/>
        <v>290489.99699447444</v>
      </c>
      <c r="HA61" s="103">
        <f t="shared" si="75"/>
        <v>290489.99699447444</v>
      </c>
      <c r="HB61" s="103">
        <f t="shared" si="75"/>
        <v>290489.99699447444</v>
      </c>
      <c r="HC61" s="103">
        <f t="shared" si="75"/>
        <v>290489.99699447444</v>
      </c>
      <c r="HD61" s="103">
        <f t="shared" si="75"/>
        <v>290489.99699447444</v>
      </c>
      <c r="HE61" s="103">
        <f t="shared" si="75"/>
        <v>290489.99699447444</v>
      </c>
      <c r="HF61" s="103">
        <f t="shared" si="75"/>
        <v>290489.99699447444</v>
      </c>
      <c r="HG61" s="103">
        <f t="shared" si="75"/>
        <v>290489.99699447444</v>
      </c>
      <c r="HH61" s="103">
        <f t="shared" si="75"/>
        <v>290489.99699447444</v>
      </c>
      <c r="HI61" s="103">
        <f t="shared" si="75"/>
        <v>290489.99699447444</v>
      </c>
      <c r="HJ61" s="103">
        <f t="shared" si="75"/>
        <v>290489.99699447444</v>
      </c>
    </row>
    <row r="62" spans="17:218" x14ac:dyDescent="0.25">
      <c r="Q62" s="127">
        <v>2020</v>
      </c>
      <c r="R62" s="129">
        <v>4.0000000000000001E-3</v>
      </c>
      <c r="S62" s="130">
        <v>0.39600000000000002</v>
      </c>
      <c r="T62" s="130">
        <v>0.2</v>
      </c>
      <c r="U62" s="130">
        <v>0.20399999999999999</v>
      </c>
      <c r="V62" s="130">
        <v>3.0000000000000001E-3</v>
      </c>
      <c r="W62" s="130">
        <v>0.19400000000000001</v>
      </c>
      <c r="X62" s="131">
        <f t="shared" ref="X62:X69" si="76">SUM(R62:W62)</f>
        <v>1.0010000000000001</v>
      </c>
      <c r="Z62" s="83" t="s">
        <v>231</v>
      </c>
      <c r="AA62" s="114">
        <f>'US Grid mix, emissions&amp;prices'!O59</f>
        <v>161173</v>
      </c>
      <c r="AB62" s="116">
        <f t="shared" si="69"/>
        <v>161173</v>
      </c>
      <c r="AC62" s="116">
        <f t="shared" ref="AC62:AQ62" si="77">$AA62*AC$112</f>
        <v>141565.5911637549</v>
      </c>
      <c r="AD62" s="116">
        <f t="shared" si="77"/>
        <v>141565.5911637549</v>
      </c>
      <c r="AE62" s="116">
        <f t="shared" si="77"/>
        <v>141565.5911637549</v>
      </c>
      <c r="AF62" s="116">
        <f t="shared" si="77"/>
        <v>141565.5911637549</v>
      </c>
      <c r="AG62" s="116">
        <f t="shared" si="77"/>
        <v>141565.5911637549</v>
      </c>
      <c r="AH62" s="116">
        <f t="shared" si="77"/>
        <v>53522.289000547164</v>
      </c>
      <c r="AI62" s="116">
        <f t="shared" si="77"/>
        <v>53522.289000547164</v>
      </c>
      <c r="AJ62" s="116">
        <f t="shared" si="77"/>
        <v>53522.289000547164</v>
      </c>
      <c r="AK62" s="116">
        <f t="shared" si="77"/>
        <v>53522.289000547164</v>
      </c>
      <c r="AL62" s="116">
        <f t="shared" si="77"/>
        <v>53522.289000547164</v>
      </c>
      <c r="AM62" s="116">
        <f t="shared" si="77"/>
        <v>44985.501915059227</v>
      </c>
      <c r="AN62" s="116">
        <f t="shared" si="77"/>
        <v>44985.501915059227</v>
      </c>
      <c r="AO62" s="116">
        <f t="shared" si="77"/>
        <v>44985.501915059227</v>
      </c>
      <c r="AP62" s="116">
        <f t="shared" si="77"/>
        <v>44985.501915059227</v>
      </c>
      <c r="AQ62" s="116">
        <f t="shared" si="77"/>
        <v>44985.501915059227</v>
      </c>
      <c r="AR62" s="116">
        <f t="shared" si="70"/>
        <v>44985.501915059227</v>
      </c>
      <c r="AS62" s="116">
        <f t="shared" si="70"/>
        <v>44985.501915059227</v>
      </c>
      <c r="AT62" s="116">
        <f t="shared" si="70"/>
        <v>44985.501915059227</v>
      </c>
      <c r="AU62" s="116">
        <f t="shared" si="70"/>
        <v>44985.501915059227</v>
      </c>
      <c r="AV62" s="116">
        <f t="shared" si="70"/>
        <v>44985.501915059227</v>
      </c>
      <c r="AW62" s="116">
        <f t="shared" si="70"/>
        <v>45197.896879647968</v>
      </c>
      <c r="AX62" s="116">
        <f t="shared" si="70"/>
        <v>45197.896879647968</v>
      </c>
      <c r="AY62" s="116">
        <f t="shared" si="70"/>
        <v>45197.896879647968</v>
      </c>
      <c r="AZ62" s="116">
        <f t="shared" si="70"/>
        <v>45197.896879647968</v>
      </c>
      <c r="BA62" s="116">
        <f t="shared" si="70"/>
        <v>45197.896879647968</v>
      </c>
      <c r="BB62" s="116">
        <f t="shared" si="70"/>
        <v>45464.943180154289</v>
      </c>
      <c r="BM62" s="83" t="s">
        <v>231</v>
      </c>
      <c r="BN62" s="114">
        <f t="shared" ref="BN62:BN111" si="78">AA62</f>
        <v>161173</v>
      </c>
      <c r="BO62" s="116">
        <f t="shared" ref="BO62:CD77" si="79">$AA62*BO$112</f>
        <v>161173</v>
      </c>
      <c r="BP62" s="116">
        <f t="shared" si="79"/>
        <v>127048.20902274181</v>
      </c>
      <c r="BQ62" s="116">
        <f t="shared" si="79"/>
        <v>127048.20902274181</v>
      </c>
      <c r="BR62" s="116">
        <f t="shared" si="79"/>
        <v>127048.20902274181</v>
      </c>
      <c r="BS62" s="116">
        <f t="shared" si="79"/>
        <v>127048.20902274181</v>
      </c>
      <c r="BT62" s="116">
        <f t="shared" si="79"/>
        <v>127048.20902274181</v>
      </c>
      <c r="BU62" s="116">
        <f t="shared" si="79"/>
        <v>7176.7140666301893</v>
      </c>
      <c r="BV62" s="116">
        <f t="shared" si="79"/>
        <v>7176.7140666301893</v>
      </c>
      <c r="BW62" s="116">
        <f t="shared" si="79"/>
        <v>7176.7140666301893</v>
      </c>
      <c r="BX62" s="116">
        <f t="shared" si="79"/>
        <v>7176.7140666301893</v>
      </c>
      <c r="BY62" s="116">
        <f t="shared" si="79"/>
        <v>7176.7140666301893</v>
      </c>
      <c r="BZ62" s="116">
        <f t="shared" si="79"/>
        <v>7484.7488690746841</v>
      </c>
      <c r="CA62" s="116">
        <f t="shared" si="79"/>
        <v>7484.7488690746841</v>
      </c>
      <c r="CB62" s="116">
        <f t="shared" si="79"/>
        <v>7484.7488690746841</v>
      </c>
      <c r="CC62" s="116">
        <f t="shared" si="79"/>
        <v>7484.7488690746841</v>
      </c>
      <c r="CD62" s="116">
        <f t="shared" si="79"/>
        <v>7484.7488690746841</v>
      </c>
      <c r="CE62" s="116">
        <f t="shared" ref="CE62:CO76" si="80">$AA62*CE$112</f>
        <v>7589.0832376445933</v>
      </c>
      <c r="CF62" s="116">
        <f t="shared" si="80"/>
        <v>7589.0832376445933</v>
      </c>
      <c r="CG62" s="116">
        <f t="shared" si="80"/>
        <v>7589.0832376445933</v>
      </c>
      <c r="CH62" s="116">
        <f t="shared" si="80"/>
        <v>7589.0832376445933</v>
      </c>
      <c r="CI62" s="116">
        <f t="shared" si="80"/>
        <v>7589.0832376445933</v>
      </c>
      <c r="CJ62" s="116">
        <f t="shared" si="80"/>
        <v>7856.129538150909</v>
      </c>
      <c r="CK62" s="116">
        <f t="shared" si="80"/>
        <v>7856.129538150909</v>
      </c>
      <c r="CL62" s="116">
        <f t="shared" si="80"/>
        <v>7856.129538150909</v>
      </c>
      <c r="CM62" s="116">
        <f t="shared" si="80"/>
        <v>7856.129538150909</v>
      </c>
      <c r="CN62" s="116">
        <f t="shared" si="80"/>
        <v>7856.129538150909</v>
      </c>
      <c r="CO62" s="116">
        <f t="shared" si="80"/>
        <v>8193.9741601868045</v>
      </c>
      <c r="CR62" s="83" t="s">
        <v>231</v>
      </c>
      <c r="CS62" s="114">
        <f t="shared" ref="CS62:CS110" si="81">AA7</f>
        <v>161173</v>
      </c>
      <c r="CT62" s="116">
        <f t="shared" ref="CT62:DI77" si="82">$AA62*CT$112</f>
        <v>7546.8526598901062</v>
      </c>
      <c r="CU62" s="116">
        <f t="shared" si="82"/>
        <v>7546.8526598901062</v>
      </c>
      <c r="CV62" s="116">
        <f t="shared" si="82"/>
        <v>7546.8526598901062</v>
      </c>
      <c r="CW62" s="116">
        <f t="shared" si="82"/>
        <v>7546.8526598901062</v>
      </c>
      <c r="CX62" s="116">
        <f t="shared" si="82"/>
        <v>7546.8526598901062</v>
      </c>
      <c r="CY62" s="116">
        <f t="shared" si="82"/>
        <v>7546.8526598901062</v>
      </c>
      <c r="CZ62" s="116">
        <f t="shared" si="82"/>
        <v>7546.8526598901062</v>
      </c>
      <c r="DA62" s="116">
        <f t="shared" si="82"/>
        <v>7546.8526598901062</v>
      </c>
      <c r="DB62" s="116">
        <f t="shared" si="82"/>
        <v>7546.8526598901062</v>
      </c>
      <c r="DC62" s="116">
        <f t="shared" si="82"/>
        <v>7546.8526598901062</v>
      </c>
      <c r="DD62" s="116">
        <f t="shared" si="82"/>
        <v>7546.8526598901062</v>
      </c>
      <c r="DE62" s="116">
        <f t="shared" si="82"/>
        <v>7762.9738519277753</v>
      </c>
      <c r="DF62" s="116">
        <f t="shared" si="82"/>
        <v>7762.9738519277753</v>
      </c>
      <c r="DG62" s="116">
        <f t="shared" si="82"/>
        <v>7762.9738519277753</v>
      </c>
      <c r="DH62" s="116">
        <f t="shared" si="82"/>
        <v>7762.9738519277753</v>
      </c>
      <c r="DI62" s="116">
        <f t="shared" si="82"/>
        <v>7762.9738519277753</v>
      </c>
      <c r="DJ62" s="116">
        <f t="shared" ref="DJ62:DT76" si="83">$AA62*DJ$112</f>
        <v>8166.6484922280197</v>
      </c>
      <c r="DK62" s="116">
        <f t="shared" si="83"/>
        <v>8166.6484922280197</v>
      </c>
      <c r="DL62" s="116">
        <f t="shared" si="83"/>
        <v>8166.6484922280197</v>
      </c>
      <c r="DM62" s="116">
        <f t="shared" si="83"/>
        <v>8166.6484922280197</v>
      </c>
      <c r="DN62" s="116">
        <f t="shared" si="83"/>
        <v>8166.6484922280197</v>
      </c>
      <c r="DO62" s="116">
        <f t="shared" si="83"/>
        <v>8433.6947927343354</v>
      </c>
      <c r="DP62" s="116">
        <f t="shared" si="83"/>
        <v>8433.6947927343354</v>
      </c>
      <c r="DQ62" s="116">
        <f t="shared" si="83"/>
        <v>8433.6947927343354</v>
      </c>
      <c r="DR62" s="116">
        <f t="shared" si="83"/>
        <v>8433.6947927343354</v>
      </c>
      <c r="DS62" s="116">
        <f t="shared" si="83"/>
        <v>8433.6947927343354</v>
      </c>
      <c r="DT62" s="116">
        <f t="shared" si="83"/>
        <v>8772.7814905865398</v>
      </c>
      <c r="DW62" s="83" t="s">
        <v>231</v>
      </c>
      <c r="DX62" s="114">
        <f t="shared" ref="DX62:DX110" si="84">CS7*$DX$111/$BN$56</f>
        <v>212938.31485240057</v>
      </c>
      <c r="DY62" s="116">
        <f t="shared" ref="DY62:EN86" si="85">$DX62*DY$112</f>
        <v>212938.31485240057</v>
      </c>
      <c r="DZ62" s="116">
        <f t="shared" si="73"/>
        <v>186295.08455084276</v>
      </c>
      <c r="EA62" s="116">
        <f t="shared" si="73"/>
        <v>186295.08455084276</v>
      </c>
      <c r="EB62" s="116">
        <f t="shared" si="73"/>
        <v>186295.08455084276</v>
      </c>
      <c r="EC62" s="116">
        <f t="shared" si="73"/>
        <v>186295.08455084276</v>
      </c>
      <c r="ED62" s="116">
        <f t="shared" si="73"/>
        <v>186295.08455084276</v>
      </c>
      <c r="EE62" s="116">
        <f t="shared" si="73"/>
        <v>115905.64611741634</v>
      </c>
      <c r="EF62" s="116">
        <f t="shared" si="73"/>
        <v>115905.64611741634</v>
      </c>
      <c r="EG62" s="116">
        <f t="shared" si="73"/>
        <v>115905.64611741634</v>
      </c>
      <c r="EH62" s="116">
        <f t="shared" si="73"/>
        <v>115905.64611741634</v>
      </c>
      <c r="EI62" s="116">
        <f t="shared" si="73"/>
        <v>115905.64611741634</v>
      </c>
      <c r="EJ62" s="116">
        <f t="shared" si="73"/>
        <v>103202.85408957537</v>
      </c>
      <c r="EK62" s="116">
        <f t="shared" si="73"/>
        <v>103202.85408957537</v>
      </c>
      <c r="EL62" s="116">
        <f t="shared" si="73"/>
        <v>103202.85408957537</v>
      </c>
      <c r="EM62" s="116">
        <f t="shared" si="73"/>
        <v>103202.85408957537</v>
      </c>
      <c r="EN62" s="116">
        <f t="shared" si="73"/>
        <v>103202.85408957537</v>
      </c>
      <c r="EO62" s="116">
        <f t="shared" si="73"/>
        <v>100280.92619682114</v>
      </c>
      <c r="EP62" s="116">
        <f t="shared" si="73"/>
        <v>100280.92619682114</v>
      </c>
      <c r="EQ62" s="116">
        <f t="shared" si="73"/>
        <v>100280.92619682114</v>
      </c>
      <c r="ER62" s="116">
        <f t="shared" si="73"/>
        <v>100280.92619682114</v>
      </c>
      <c r="ES62" s="116">
        <f t="shared" si="73"/>
        <v>100280.92619682114</v>
      </c>
      <c r="ET62" s="116">
        <f t="shared" si="73"/>
        <v>96731.904155184486</v>
      </c>
      <c r="EU62" s="116">
        <f t="shared" si="73"/>
        <v>96731.904155184486</v>
      </c>
      <c r="EV62" s="116">
        <f t="shared" si="73"/>
        <v>96731.904155184486</v>
      </c>
      <c r="EW62" s="116">
        <f t="shared" si="73"/>
        <v>96731.904155184486</v>
      </c>
      <c r="EX62" s="116">
        <f t="shared" si="73"/>
        <v>96731.904155184486</v>
      </c>
      <c r="EY62" s="116">
        <f t="shared" si="73"/>
        <v>91076.026232050848</v>
      </c>
      <c r="FB62" s="83" t="s">
        <v>231</v>
      </c>
      <c r="FC62" s="114">
        <f t="shared" ref="FC62:FC110" si="86">CS7*$FC$111/$BN$56</f>
        <v>230188.66732681324</v>
      </c>
      <c r="FD62" s="116">
        <f t="shared" ref="FD62:FS86" si="87">$FC62*FD$112</f>
        <v>230188.66732681324</v>
      </c>
      <c r="FE62" s="116">
        <f t="shared" si="74"/>
        <v>200686.66969425915</v>
      </c>
      <c r="FF62" s="116">
        <f t="shared" si="74"/>
        <v>200686.66969425915</v>
      </c>
      <c r="FG62" s="116">
        <f t="shared" si="74"/>
        <v>200686.66969425915</v>
      </c>
      <c r="FH62" s="116">
        <f t="shared" si="74"/>
        <v>200686.66969425915</v>
      </c>
      <c r="FI62" s="116">
        <f t="shared" si="74"/>
        <v>200686.66969425915</v>
      </c>
      <c r="FJ62" s="116">
        <f t="shared" si="74"/>
        <v>126936.18708157093</v>
      </c>
      <c r="FK62" s="116">
        <f t="shared" si="74"/>
        <v>126936.18708157093</v>
      </c>
      <c r="FL62" s="116">
        <f t="shared" si="74"/>
        <v>126936.18708157093</v>
      </c>
      <c r="FM62" s="116">
        <f t="shared" si="74"/>
        <v>126936.18708157093</v>
      </c>
      <c r="FN62" s="116">
        <f t="shared" si="74"/>
        <v>126936.18708157093</v>
      </c>
      <c r="FO62" s="116">
        <f t="shared" si="74"/>
        <v>112428.80757493165</v>
      </c>
      <c r="FP62" s="116">
        <f t="shared" si="74"/>
        <v>112428.80757493165</v>
      </c>
      <c r="FQ62" s="116">
        <f t="shared" si="74"/>
        <v>112428.80757493165</v>
      </c>
      <c r="FR62" s="116">
        <f t="shared" si="74"/>
        <v>112428.80757493165</v>
      </c>
      <c r="FS62" s="116">
        <f t="shared" si="74"/>
        <v>112428.80757493165</v>
      </c>
      <c r="FT62" s="116">
        <f t="shared" si="74"/>
        <v>109861.78188634106</v>
      </c>
      <c r="FU62" s="116">
        <f t="shared" si="74"/>
        <v>109861.78188634106</v>
      </c>
      <c r="FV62" s="116">
        <f t="shared" si="74"/>
        <v>109861.78188634106</v>
      </c>
      <c r="FW62" s="116">
        <f t="shared" si="74"/>
        <v>109861.78188634106</v>
      </c>
      <c r="FX62" s="116">
        <f t="shared" si="74"/>
        <v>109861.78188634106</v>
      </c>
      <c r="FY62" s="116">
        <f t="shared" si="74"/>
        <v>106306.74455310844</v>
      </c>
      <c r="FZ62" s="116">
        <f t="shared" si="74"/>
        <v>106306.74455310844</v>
      </c>
      <c r="GA62" s="116">
        <f t="shared" si="74"/>
        <v>106306.74455310844</v>
      </c>
      <c r="GB62" s="116">
        <f t="shared" si="74"/>
        <v>106306.74455310844</v>
      </c>
      <c r="GC62" s="116">
        <f t="shared" si="74"/>
        <v>106306.74455310844</v>
      </c>
      <c r="GD62" s="116">
        <f t="shared" si="74"/>
        <v>100458.37729890297</v>
      </c>
      <c r="GH62" s="123" t="s">
        <v>231</v>
      </c>
      <c r="GI62" s="103">
        <f t="shared" ref="GI62:GX86" si="88">$AA62*GI$112</f>
        <v>405227.23507062986</v>
      </c>
      <c r="GJ62" s="103">
        <f t="shared" si="75"/>
        <v>405227.23507062986</v>
      </c>
      <c r="GK62" s="103">
        <f t="shared" si="75"/>
        <v>405227.23507062986</v>
      </c>
      <c r="GL62" s="103">
        <f t="shared" si="75"/>
        <v>405227.23507062986</v>
      </c>
      <c r="GM62" s="103">
        <f t="shared" si="75"/>
        <v>405227.23507062986</v>
      </c>
      <c r="GN62" s="103">
        <f t="shared" si="75"/>
        <v>405227.23507062986</v>
      </c>
      <c r="GO62" s="103">
        <f t="shared" si="75"/>
        <v>405227.23507062986</v>
      </c>
      <c r="GP62" s="103">
        <f t="shared" si="75"/>
        <v>405227.23507062986</v>
      </c>
      <c r="GQ62" s="103">
        <f t="shared" si="75"/>
        <v>405227.23507062986</v>
      </c>
      <c r="GR62" s="103">
        <f t="shared" si="75"/>
        <v>405227.23507062986</v>
      </c>
      <c r="GS62" s="103">
        <f t="shared" si="75"/>
        <v>405227.23507062986</v>
      </c>
      <c r="GT62" s="103">
        <f t="shared" si="75"/>
        <v>405227.23507062986</v>
      </c>
      <c r="GU62" s="103">
        <f t="shared" si="75"/>
        <v>405227.23507062986</v>
      </c>
      <c r="GV62" s="103">
        <f t="shared" si="75"/>
        <v>405227.23507062986</v>
      </c>
      <c r="GW62" s="103">
        <f t="shared" si="75"/>
        <v>405227.23507062986</v>
      </c>
      <c r="GX62" s="103">
        <f t="shared" si="75"/>
        <v>405227.23507062986</v>
      </c>
      <c r="GY62" s="103">
        <f t="shared" si="75"/>
        <v>405227.23507062986</v>
      </c>
      <c r="GZ62" s="103">
        <f t="shared" si="75"/>
        <v>405227.23507062986</v>
      </c>
      <c r="HA62" s="103">
        <f t="shared" si="75"/>
        <v>405227.23507062986</v>
      </c>
      <c r="HB62" s="103">
        <f t="shared" si="75"/>
        <v>405227.23507062986</v>
      </c>
      <c r="HC62" s="103">
        <f t="shared" si="75"/>
        <v>405227.23507062986</v>
      </c>
      <c r="HD62" s="103">
        <f t="shared" si="75"/>
        <v>405227.23507062986</v>
      </c>
      <c r="HE62" s="103">
        <f t="shared" si="75"/>
        <v>405227.23507062986</v>
      </c>
      <c r="HF62" s="103">
        <f t="shared" si="75"/>
        <v>405227.23507062986</v>
      </c>
      <c r="HG62" s="103">
        <f t="shared" si="75"/>
        <v>405227.23507062986</v>
      </c>
      <c r="HH62" s="103">
        <f t="shared" si="75"/>
        <v>405227.23507062986</v>
      </c>
      <c r="HI62" s="103">
        <f t="shared" si="75"/>
        <v>405227.23507062986</v>
      </c>
      <c r="HJ62" s="103">
        <f t="shared" si="75"/>
        <v>405227.23507062986</v>
      </c>
    </row>
    <row r="63" spans="17:218" x14ac:dyDescent="0.25">
      <c r="Q63" s="37">
        <v>2023</v>
      </c>
      <c r="R63" s="171">
        <v>0</v>
      </c>
      <c r="S63" s="172">
        <v>0.42</v>
      </c>
      <c r="T63" s="172">
        <v>0.17</v>
      </c>
      <c r="U63" s="172">
        <v>0.19</v>
      </c>
      <c r="V63" s="172">
        <v>0</v>
      </c>
      <c r="W63" s="172">
        <v>0.21999999999999997</v>
      </c>
      <c r="X63" s="134">
        <f t="shared" si="76"/>
        <v>1</v>
      </c>
      <c r="Z63" s="83" t="s">
        <v>189</v>
      </c>
      <c r="AA63" s="114">
        <f>'US Grid mix, emissions&amp;prices'!O60</f>
        <v>110023</v>
      </c>
      <c r="AB63" s="116">
        <f t="shared" si="69"/>
        <v>110023</v>
      </c>
      <c r="AC63" s="116">
        <f t="shared" si="70"/>
        <v>96638.215064618795</v>
      </c>
      <c r="AD63" s="116">
        <f t="shared" si="70"/>
        <v>96638.215064618795</v>
      </c>
      <c r="AE63" s="116">
        <f t="shared" si="70"/>
        <v>96638.215064618795</v>
      </c>
      <c r="AF63" s="116">
        <f t="shared" si="70"/>
        <v>96638.215064618795</v>
      </c>
      <c r="AG63" s="116">
        <f t="shared" si="70"/>
        <v>96638.215064618795</v>
      </c>
      <c r="AH63" s="116">
        <f t="shared" si="70"/>
        <v>36536.409961390556</v>
      </c>
      <c r="AI63" s="116">
        <f t="shared" si="70"/>
        <v>36536.409961390556</v>
      </c>
      <c r="AJ63" s="116">
        <f t="shared" si="70"/>
        <v>36536.409961390556</v>
      </c>
      <c r="AK63" s="116">
        <f t="shared" si="70"/>
        <v>36536.409961390556</v>
      </c>
      <c r="AL63" s="116">
        <f t="shared" si="70"/>
        <v>36536.409961390556</v>
      </c>
      <c r="AM63" s="116">
        <f t="shared" si="70"/>
        <v>30708.864866947697</v>
      </c>
      <c r="AN63" s="116">
        <f t="shared" si="70"/>
        <v>30708.864866947697</v>
      </c>
      <c r="AO63" s="116">
        <f t="shared" si="70"/>
        <v>30708.864866947697</v>
      </c>
      <c r="AP63" s="116">
        <f t="shared" si="70"/>
        <v>30708.864866947697</v>
      </c>
      <c r="AQ63" s="116">
        <f t="shared" si="70"/>
        <v>30708.864866947697</v>
      </c>
      <c r="AR63" s="116">
        <f t="shared" si="70"/>
        <v>30708.864866947697</v>
      </c>
      <c r="AS63" s="116">
        <f t="shared" si="70"/>
        <v>30708.864866947697</v>
      </c>
      <c r="AT63" s="116">
        <f t="shared" si="70"/>
        <v>30708.864866947697</v>
      </c>
      <c r="AU63" s="116">
        <f t="shared" si="70"/>
        <v>30708.864866947697</v>
      </c>
      <c r="AV63" s="116">
        <f t="shared" si="70"/>
        <v>30708.864866947697</v>
      </c>
      <c r="AW63" s="116">
        <f t="shared" si="70"/>
        <v>30853.853985403934</v>
      </c>
      <c r="AX63" s="116">
        <f t="shared" si="70"/>
        <v>30853.853985403934</v>
      </c>
      <c r="AY63" s="116">
        <f t="shared" si="70"/>
        <v>30853.853985403934</v>
      </c>
      <c r="AZ63" s="116">
        <f t="shared" si="70"/>
        <v>30853.853985403934</v>
      </c>
      <c r="BA63" s="116">
        <f t="shared" si="70"/>
        <v>30853.853985403934</v>
      </c>
      <c r="BB63" s="116">
        <f t="shared" si="70"/>
        <v>31036.150245451256</v>
      </c>
      <c r="BM63" s="83" t="s">
        <v>189</v>
      </c>
      <c r="BN63" s="114">
        <f t="shared" si="78"/>
        <v>110023</v>
      </c>
      <c r="BO63" s="116">
        <f t="shared" si="79"/>
        <v>110023</v>
      </c>
      <c r="BP63" s="116">
        <f t="shared" si="79"/>
        <v>86728.081634697635</v>
      </c>
      <c r="BQ63" s="116">
        <f t="shared" si="79"/>
        <v>86728.081634697635</v>
      </c>
      <c r="BR63" s="116">
        <f t="shared" si="79"/>
        <v>86728.081634697635</v>
      </c>
      <c r="BS63" s="116">
        <f t="shared" si="79"/>
        <v>86728.081634697635</v>
      </c>
      <c r="BT63" s="116">
        <f t="shared" si="79"/>
        <v>86728.081634697635</v>
      </c>
      <c r="BU63" s="116">
        <f t="shared" si="79"/>
        <v>4899.1060025739635</v>
      </c>
      <c r="BV63" s="116">
        <f t="shared" si="79"/>
        <v>4899.1060025739635</v>
      </c>
      <c r="BW63" s="116">
        <f t="shared" si="79"/>
        <v>4899.1060025739635</v>
      </c>
      <c r="BX63" s="116">
        <f t="shared" si="79"/>
        <v>4899.1060025739635</v>
      </c>
      <c r="BY63" s="116">
        <f t="shared" si="79"/>
        <v>4899.1060025739635</v>
      </c>
      <c r="BZ63" s="116">
        <f t="shared" si="79"/>
        <v>5109.3826188145904</v>
      </c>
      <c r="CA63" s="116">
        <f t="shared" si="79"/>
        <v>5109.3826188145904</v>
      </c>
      <c r="CB63" s="116">
        <f t="shared" si="79"/>
        <v>5109.3826188145904</v>
      </c>
      <c r="CC63" s="116">
        <f t="shared" si="79"/>
        <v>5109.3826188145904</v>
      </c>
      <c r="CD63" s="116">
        <f t="shared" si="79"/>
        <v>5109.3826188145904</v>
      </c>
      <c r="CE63" s="116">
        <f t="shared" si="80"/>
        <v>5180.6053436702869</v>
      </c>
      <c r="CF63" s="116">
        <f t="shared" si="80"/>
        <v>5180.6053436702869</v>
      </c>
      <c r="CG63" s="116">
        <f t="shared" si="80"/>
        <v>5180.6053436702869</v>
      </c>
      <c r="CH63" s="116">
        <f t="shared" si="80"/>
        <v>5180.6053436702869</v>
      </c>
      <c r="CI63" s="116">
        <f t="shared" si="80"/>
        <v>5180.6053436702869</v>
      </c>
      <c r="CJ63" s="116">
        <f t="shared" si="80"/>
        <v>5362.9016037176043</v>
      </c>
      <c r="CK63" s="116">
        <f t="shared" si="80"/>
        <v>5362.9016037176043</v>
      </c>
      <c r="CL63" s="116">
        <f t="shared" si="80"/>
        <v>5362.9016037176043</v>
      </c>
      <c r="CM63" s="116">
        <f t="shared" si="80"/>
        <v>5362.9016037176043</v>
      </c>
      <c r="CN63" s="116">
        <f t="shared" si="80"/>
        <v>5362.9016037176043</v>
      </c>
      <c r="CO63" s="116">
        <f t="shared" si="80"/>
        <v>5593.5275699170006</v>
      </c>
      <c r="CR63" s="83" t="s">
        <v>189</v>
      </c>
      <c r="CS63" s="114">
        <f t="shared" si="81"/>
        <v>110023</v>
      </c>
      <c r="CT63" s="116">
        <f t="shared" si="82"/>
        <v>5151.7770978953622</v>
      </c>
      <c r="CU63" s="116">
        <f t="shared" si="82"/>
        <v>5151.7770978953622</v>
      </c>
      <c r="CV63" s="116">
        <f t="shared" si="82"/>
        <v>5151.7770978953622</v>
      </c>
      <c r="CW63" s="116">
        <f t="shared" si="82"/>
        <v>5151.7770978953622</v>
      </c>
      <c r="CX63" s="116">
        <f t="shared" si="82"/>
        <v>5151.7770978953622</v>
      </c>
      <c r="CY63" s="116">
        <f t="shared" si="82"/>
        <v>5151.7770978953622</v>
      </c>
      <c r="CZ63" s="116">
        <f t="shared" si="82"/>
        <v>5151.7770978953622</v>
      </c>
      <c r="DA63" s="116">
        <f t="shared" si="82"/>
        <v>5151.7770978953622</v>
      </c>
      <c r="DB63" s="116">
        <f t="shared" si="82"/>
        <v>5151.7770978953622</v>
      </c>
      <c r="DC63" s="116">
        <f t="shared" si="82"/>
        <v>5151.7770978953622</v>
      </c>
      <c r="DD63" s="116">
        <f t="shared" si="82"/>
        <v>5151.7770978953622</v>
      </c>
      <c r="DE63" s="116">
        <f t="shared" si="82"/>
        <v>5299.309885096447</v>
      </c>
      <c r="DF63" s="116">
        <f t="shared" si="82"/>
        <v>5299.309885096447</v>
      </c>
      <c r="DG63" s="116">
        <f t="shared" si="82"/>
        <v>5299.309885096447</v>
      </c>
      <c r="DH63" s="116">
        <f t="shared" si="82"/>
        <v>5299.309885096447</v>
      </c>
      <c r="DI63" s="116">
        <f t="shared" si="82"/>
        <v>5299.309885096447</v>
      </c>
      <c r="DJ63" s="116">
        <f t="shared" si="83"/>
        <v>5574.8739991214616</v>
      </c>
      <c r="DK63" s="116">
        <f t="shared" si="83"/>
        <v>5574.8739991214616</v>
      </c>
      <c r="DL63" s="116">
        <f t="shared" si="83"/>
        <v>5574.8739991214616</v>
      </c>
      <c r="DM63" s="116">
        <f t="shared" si="83"/>
        <v>5574.8739991214616</v>
      </c>
      <c r="DN63" s="116">
        <f t="shared" si="83"/>
        <v>5574.8739991214616</v>
      </c>
      <c r="DO63" s="116">
        <f t="shared" si="83"/>
        <v>5757.1702591687799</v>
      </c>
      <c r="DP63" s="116">
        <f t="shared" si="83"/>
        <v>5757.1702591687799</v>
      </c>
      <c r="DQ63" s="116">
        <f t="shared" si="83"/>
        <v>5757.1702591687799</v>
      </c>
      <c r="DR63" s="116">
        <f t="shared" si="83"/>
        <v>5757.1702591687799</v>
      </c>
      <c r="DS63" s="116">
        <f t="shared" si="83"/>
        <v>5757.1702591687799</v>
      </c>
      <c r="DT63" s="116">
        <f t="shared" si="83"/>
        <v>5988.6441149497923</v>
      </c>
      <c r="DW63" s="83" t="s">
        <v>189</v>
      </c>
      <c r="DX63" s="114">
        <f t="shared" si="84"/>
        <v>145360.0306193076</v>
      </c>
      <c r="DY63" s="116">
        <f t="shared" si="85"/>
        <v>145360.0306193076</v>
      </c>
      <c r="DZ63" s="116">
        <f t="shared" si="73"/>
        <v>127172.31848719929</v>
      </c>
      <c r="EA63" s="116">
        <f t="shared" si="73"/>
        <v>127172.31848719929</v>
      </c>
      <c r="EB63" s="116">
        <f t="shared" si="73"/>
        <v>127172.31848719929</v>
      </c>
      <c r="EC63" s="116">
        <f t="shared" si="73"/>
        <v>127172.31848719929</v>
      </c>
      <c r="ED63" s="116">
        <f t="shared" si="73"/>
        <v>127172.31848719929</v>
      </c>
      <c r="EE63" s="116">
        <f t="shared" si="73"/>
        <v>79121.73194503109</v>
      </c>
      <c r="EF63" s="116">
        <f t="shared" si="73"/>
        <v>79121.73194503109</v>
      </c>
      <c r="EG63" s="116">
        <f t="shared" si="73"/>
        <v>79121.73194503109</v>
      </c>
      <c r="EH63" s="116">
        <f t="shared" si="73"/>
        <v>79121.73194503109</v>
      </c>
      <c r="EI63" s="116">
        <f t="shared" si="73"/>
        <v>79121.73194503109</v>
      </c>
      <c r="EJ63" s="116">
        <f t="shared" si="73"/>
        <v>70450.308770683361</v>
      </c>
      <c r="EK63" s="116">
        <f t="shared" si="73"/>
        <v>70450.308770683361</v>
      </c>
      <c r="EL63" s="116">
        <f t="shared" si="73"/>
        <v>70450.308770683361</v>
      </c>
      <c r="EM63" s="116">
        <f t="shared" si="73"/>
        <v>70450.308770683361</v>
      </c>
      <c r="EN63" s="116">
        <f t="shared" si="73"/>
        <v>70450.308770683361</v>
      </c>
      <c r="EO63" s="116">
        <f t="shared" si="73"/>
        <v>68455.686392589632</v>
      </c>
      <c r="EP63" s="116">
        <f t="shared" si="73"/>
        <v>68455.686392589632</v>
      </c>
      <c r="EQ63" s="116">
        <f t="shared" si="73"/>
        <v>68455.686392589632</v>
      </c>
      <c r="ER63" s="116">
        <f t="shared" si="73"/>
        <v>68455.686392589632</v>
      </c>
      <c r="ES63" s="116">
        <f t="shared" si="73"/>
        <v>68455.686392589632</v>
      </c>
      <c r="ET63" s="116">
        <f t="shared" si="73"/>
        <v>66032.984996654908</v>
      </c>
      <c r="EU63" s="116">
        <f t="shared" si="73"/>
        <v>66032.984996654908</v>
      </c>
      <c r="EV63" s="116">
        <f t="shared" si="73"/>
        <v>66032.984996654908</v>
      </c>
      <c r="EW63" s="116">
        <f t="shared" si="73"/>
        <v>66032.984996654908</v>
      </c>
      <c r="EX63" s="116">
        <f t="shared" si="73"/>
        <v>66032.984996654908</v>
      </c>
      <c r="EY63" s="116">
        <f t="shared" si="73"/>
        <v>62172.061288980956</v>
      </c>
      <c r="FB63" s="83" t="s">
        <v>189</v>
      </c>
      <c r="FC63" s="114">
        <f t="shared" si="86"/>
        <v>157135.79659929377</v>
      </c>
      <c r="FD63" s="116">
        <f t="shared" si="87"/>
        <v>157135.79659929377</v>
      </c>
      <c r="FE63" s="116">
        <f t="shared" si="74"/>
        <v>136996.57796139226</v>
      </c>
      <c r="FF63" s="116">
        <f t="shared" si="74"/>
        <v>136996.57796139226</v>
      </c>
      <c r="FG63" s="116">
        <f t="shared" si="74"/>
        <v>136996.57796139226</v>
      </c>
      <c r="FH63" s="116">
        <f t="shared" si="74"/>
        <v>136996.57796139226</v>
      </c>
      <c r="FI63" s="116">
        <f t="shared" si="74"/>
        <v>136996.57796139226</v>
      </c>
      <c r="FJ63" s="116">
        <f t="shared" si="74"/>
        <v>86651.611071802836</v>
      </c>
      <c r="FK63" s="116">
        <f t="shared" si="74"/>
        <v>86651.611071802836</v>
      </c>
      <c r="FL63" s="116">
        <f t="shared" si="74"/>
        <v>86651.611071802836</v>
      </c>
      <c r="FM63" s="116">
        <f t="shared" si="74"/>
        <v>86651.611071802836</v>
      </c>
      <c r="FN63" s="116">
        <f t="shared" si="74"/>
        <v>86651.611071802836</v>
      </c>
      <c r="FO63" s="116">
        <f t="shared" si="74"/>
        <v>76748.305831725564</v>
      </c>
      <c r="FP63" s="116">
        <f t="shared" si="74"/>
        <v>76748.305831725564</v>
      </c>
      <c r="FQ63" s="116">
        <f t="shared" si="74"/>
        <v>76748.305831725564</v>
      </c>
      <c r="FR63" s="116">
        <f t="shared" si="74"/>
        <v>76748.305831725564</v>
      </c>
      <c r="FS63" s="116">
        <f t="shared" si="74"/>
        <v>76748.305831725564</v>
      </c>
      <c r="FT63" s="116">
        <f t="shared" si="74"/>
        <v>74995.95359322532</v>
      </c>
      <c r="FU63" s="116">
        <f t="shared" si="74"/>
        <v>74995.95359322532</v>
      </c>
      <c r="FV63" s="116">
        <f t="shared" si="74"/>
        <v>74995.95359322532</v>
      </c>
      <c r="FW63" s="116">
        <f t="shared" si="74"/>
        <v>74995.95359322532</v>
      </c>
      <c r="FX63" s="116">
        <f t="shared" si="74"/>
        <v>74995.95359322532</v>
      </c>
      <c r="FY63" s="116">
        <f t="shared" si="74"/>
        <v>72569.145923738164</v>
      </c>
      <c r="FZ63" s="116">
        <f t="shared" si="74"/>
        <v>72569.145923738164</v>
      </c>
      <c r="GA63" s="116">
        <f t="shared" si="74"/>
        <v>72569.145923738164</v>
      </c>
      <c r="GB63" s="116">
        <f t="shared" si="74"/>
        <v>72569.145923738164</v>
      </c>
      <c r="GC63" s="116">
        <f t="shared" si="74"/>
        <v>72569.145923738164</v>
      </c>
      <c r="GD63" s="116">
        <f t="shared" si="74"/>
        <v>68576.82146238639</v>
      </c>
      <c r="GH63" s="123" t="s">
        <v>189</v>
      </c>
      <c r="GI63" s="103">
        <f t="shared" si="88"/>
        <v>276623.9760020345</v>
      </c>
      <c r="GJ63" s="103">
        <f t="shared" si="75"/>
        <v>276623.9760020345</v>
      </c>
      <c r="GK63" s="103">
        <f t="shared" si="75"/>
        <v>276623.9760020345</v>
      </c>
      <c r="GL63" s="103">
        <f t="shared" si="75"/>
        <v>276623.9760020345</v>
      </c>
      <c r="GM63" s="103">
        <f t="shared" si="75"/>
        <v>276623.9760020345</v>
      </c>
      <c r="GN63" s="103">
        <f t="shared" si="75"/>
        <v>276623.9760020345</v>
      </c>
      <c r="GO63" s="103">
        <f t="shared" si="75"/>
        <v>276623.9760020345</v>
      </c>
      <c r="GP63" s="103">
        <f t="shared" si="75"/>
        <v>276623.9760020345</v>
      </c>
      <c r="GQ63" s="103">
        <f t="shared" si="75"/>
        <v>276623.9760020345</v>
      </c>
      <c r="GR63" s="103">
        <f t="shared" si="75"/>
        <v>276623.9760020345</v>
      </c>
      <c r="GS63" s="103">
        <f t="shared" si="75"/>
        <v>276623.9760020345</v>
      </c>
      <c r="GT63" s="103">
        <f t="shared" si="75"/>
        <v>276623.9760020345</v>
      </c>
      <c r="GU63" s="103">
        <f t="shared" si="75"/>
        <v>276623.9760020345</v>
      </c>
      <c r="GV63" s="103">
        <f t="shared" si="75"/>
        <v>276623.9760020345</v>
      </c>
      <c r="GW63" s="103">
        <f t="shared" si="75"/>
        <v>276623.9760020345</v>
      </c>
      <c r="GX63" s="103">
        <f t="shared" si="75"/>
        <v>276623.9760020345</v>
      </c>
      <c r="GY63" s="103">
        <f t="shared" si="75"/>
        <v>276623.9760020345</v>
      </c>
      <c r="GZ63" s="103">
        <f t="shared" si="75"/>
        <v>276623.9760020345</v>
      </c>
      <c r="HA63" s="103">
        <f t="shared" si="75"/>
        <v>276623.9760020345</v>
      </c>
      <c r="HB63" s="103">
        <f t="shared" si="75"/>
        <v>276623.9760020345</v>
      </c>
      <c r="HC63" s="103">
        <f t="shared" si="75"/>
        <v>276623.9760020345</v>
      </c>
      <c r="HD63" s="103">
        <f t="shared" si="75"/>
        <v>276623.9760020345</v>
      </c>
      <c r="HE63" s="103">
        <f t="shared" si="75"/>
        <v>276623.9760020345</v>
      </c>
      <c r="HF63" s="103">
        <f t="shared" si="75"/>
        <v>276623.9760020345</v>
      </c>
      <c r="HG63" s="103">
        <f t="shared" si="75"/>
        <v>276623.9760020345</v>
      </c>
      <c r="HH63" s="103">
        <f t="shared" si="75"/>
        <v>276623.9760020345</v>
      </c>
      <c r="HI63" s="103">
        <f t="shared" si="75"/>
        <v>276623.9760020345</v>
      </c>
      <c r="HJ63" s="103">
        <f t="shared" si="75"/>
        <v>276623.9760020345</v>
      </c>
    </row>
    <row r="64" spans="17:218" x14ac:dyDescent="0.25">
      <c r="Q64" s="37">
        <v>2025</v>
      </c>
      <c r="R64" s="135">
        <v>2E-3</v>
      </c>
      <c r="S64" s="128">
        <v>0.32100000000000001</v>
      </c>
      <c r="T64" s="128">
        <v>0.187</v>
      </c>
      <c r="U64" s="128">
        <v>0.191</v>
      </c>
      <c r="V64" s="128">
        <v>3.0000000000000001E-3</v>
      </c>
      <c r="W64" s="128">
        <v>0.29599999999999999</v>
      </c>
      <c r="X64" s="134">
        <f t="shared" si="76"/>
        <v>1</v>
      </c>
      <c r="Z64" s="83" t="s">
        <v>188</v>
      </c>
      <c r="AA64" s="114">
        <f>'US Grid mix, emissions&amp;prices'!O61</f>
        <v>154383</v>
      </c>
      <c r="AB64" s="116">
        <f t="shared" si="69"/>
        <v>154383</v>
      </c>
      <c r="AC64" s="116">
        <f t="shared" si="70"/>
        <v>135601.62471775032</v>
      </c>
      <c r="AD64" s="116">
        <f t="shared" si="70"/>
        <v>135601.62471775032</v>
      </c>
      <c r="AE64" s="116">
        <f t="shared" si="70"/>
        <v>135601.62471775032</v>
      </c>
      <c r="AF64" s="116">
        <f t="shared" si="70"/>
        <v>135601.62471775032</v>
      </c>
      <c r="AG64" s="116">
        <f t="shared" si="70"/>
        <v>135601.62471775032</v>
      </c>
      <c r="AH64" s="116">
        <f t="shared" si="70"/>
        <v>51267.467521057952</v>
      </c>
      <c r="AI64" s="116">
        <f t="shared" si="70"/>
        <v>51267.467521057952</v>
      </c>
      <c r="AJ64" s="116">
        <f t="shared" si="70"/>
        <v>51267.467521057952</v>
      </c>
      <c r="AK64" s="116">
        <f t="shared" si="70"/>
        <v>51267.467521057952</v>
      </c>
      <c r="AL64" s="116">
        <f t="shared" si="70"/>
        <v>51267.467521057952</v>
      </c>
      <c r="AM64" s="116">
        <f t="shared" si="70"/>
        <v>43090.323702807473</v>
      </c>
      <c r="AN64" s="116">
        <f t="shared" si="70"/>
        <v>43090.323702807473</v>
      </c>
      <c r="AO64" s="116">
        <f t="shared" si="70"/>
        <v>43090.323702807473</v>
      </c>
      <c r="AP64" s="116">
        <f t="shared" si="70"/>
        <v>43090.323702807473</v>
      </c>
      <c r="AQ64" s="116">
        <f t="shared" si="70"/>
        <v>43090.323702807473</v>
      </c>
      <c r="AR64" s="116">
        <f t="shared" si="70"/>
        <v>43090.323702807473</v>
      </c>
      <c r="AS64" s="116">
        <f t="shared" si="70"/>
        <v>43090.323702807473</v>
      </c>
      <c r="AT64" s="116">
        <f t="shared" si="70"/>
        <v>43090.323702807473</v>
      </c>
      <c r="AU64" s="116">
        <f t="shared" si="70"/>
        <v>43090.323702807473</v>
      </c>
      <c r="AV64" s="116">
        <f t="shared" si="70"/>
        <v>43090.323702807473</v>
      </c>
      <c r="AW64" s="116">
        <f t="shared" si="70"/>
        <v>43293.770755465819</v>
      </c>
      <c r="AX64" s="116">
        <f t="shared" si="70"/>
        <v>43293.770755465819</v>
      </c>
      <c r="AY64" s="116">
        <f t="shared" si="70"/>
        <v>43293.770755465819</v>
      </c>
      <c r="AZ64" s="116">
        <f t="shared" si="70"/>
        <v>43293.770755465819</v>
      </c>
      <c r="BA64" s="116">
        <f t="shared" si="70"/>
        <v>43293.770755465819</v>
      </c>
      <c r="BB64" s="116">
        <f t="shared" si="70"/>
        <v>43549.566757346205</v>
      </c>
      <c r="BM64" s="83" t="s">
        <v>188</v>
      </c>
      <c r="BN64" s="114">
        <f t="shared" si="78"/>
        <v>154383</v>
      </c>
      <c r="BO64" s="116">
        <f t="shared" si="79"/>
        <v>154383</v>
      </c>
      <c r="BP64" s="116">
        <f t="shared" si="79"/>
        <v>121695.84020622529</v>
      </c>
      <c r="BQ64" s="116">
        <f t="shared" si="79"/>
        <v>121695.84020622529</v>
      </c>
      <c r="BR64" s="116">
        <f t="shared" si="79"/>
        <v>121695.84020622529</v>
      </c>
      <c r="BS64" s="116">
        <f t="shared" si="79"/>
        <v>121695.84020622529</v>
      </c>
      <c r="BT64" s="116">
        <f t="shared" si="79"/>
        <v>121695.84020622529</v>
      </c>
      <c r="BU64" s="116">
        <f t="shared" si="79"/>
        <v>6874.3688319294706</v>
      </c>
      <c r="BV64" s="116">
        <f t="shared" si="79"/>
        <v>6874.3688319294706</v>
      </c>
      <c r="BW64" s="116">
        <f t="shared" si="79"/>
        <v>6874.3688319294706</v>
      </c>
      <c r="BX64" s="116">
        <f t="shared" si="79"/>
        <v>6874.3688319294706</v>
      </c>
      <c r="BY64" s="116">
        <f t="shared" si="79"/>
        <v>6874.3688319294706</v>
      </c>
      <c r="BZ64" s="116">
        <f t="shared" si="79"/>
        <v>7169.4265457263746</v>
      </c>
      <c r="CA64" s="116">
        <f t="shared" si="79"/>
        <v>7169.4265457263746</v>
      </c>
      <c r="CB64" s="116">
        <f t="shared" si="79"/>
        <v>7169.4265457263746</v>
      </c>
      <c r="CC64" s="116">
        <f t="shared" si="79"/>
        <v>7169.4265457263746</v>
      </c>
      <c r="CD64" s="116">
        <f t="shared" si="79"/>
        <v>7169.4265457263746</v>
      </c>
      <c r="CE64" s="116">
        <f t="shared" si="80"/>
        <v>7269.3654487866161</v>
      </c>
      <c r="CF64" s="116">
        <f t="shared" si="80"/>
        <v>7269.3654487866161</v>
      </c>
      <c r="CG64" s="116">
        <f t="shared" si="80"/>
        <v>7269.3654487866161</v>
      </c>
      <c r="CH64" s="116">
        <f t="shared" si="80"/>
        <v>7269.3654487866161</v>
      </c>
      <c r="CI64" s="116">
        <f t="shared" si="80"/>
        <v>7269.3654487866161</v>
      </c>
      <c r="CJ64" s="116">
        <f t="shared" si="80"/>
        <v>7525.1614506669957</v>
      </c>
      <c r="CK64" s="116">
        <f t="shared" si="80"/>
        <v>7525.1614506669957</v>
      </c>
      <c r="CL64" s="116">
        <f t="shared" si="80"/>
        <v>7525.1614506669957</v>
      </c>
      <c r="CM64" s="116">
        <f t="shared" si="80"/>
        <v>7525.1614506669957</v>
      </c>
      <c r="CN64" s="116">
        <f t="shared" si="80"/>
        <v>7525.1614506669957</v>
      </c>
      <c r="CO64" s="116">
        <f t="shared" si="80"/>
        <v>7848.7731367668248</v>
      </c>
      <c r="CR64" s="83" t="s">
        <v>188</v>
      </c>
      <c r="CS64" s="114">
        <f t="shared" si="81"/>
        <v>154383</v>
      </c>
      <c r="CT64" s="116">
        <f t="shared" si="82"/>
        <v>7228.9139880241373</v>
      </c>
      <c r="CU64" s="116">
        <f t="shared" si="82"/>
        <v>7228.9139880241373</v>
      </c>
      <c r="CV64" s="116">
        <f t="shared" si="82"/>
        <v>7228.9139880241373</v>
      </c>
      <c r="CW64" s="116">
        <f t="shared" si="82"/>
        <v>7228.9139880241373</v>
      </c>
      <c r="CX64" s="116">
        <f t="shared" si="82"/>
        <v>7228.9139880241373</v>
      </c>
      <c r="CY64" s="116">
        <f t="shared" si="82"/>
        <v>7228.9139880241373</v>
      </c>
      <c r="CZ64" s="116">
        <f t="shared" si="82"/>
        <v>7228.9139880241373</v>
      </c>
      <c r="DA64" s="116">
        <f t="shared" si="82"/>
        <v>7228.9139880241373</v>
      </c>
      <c r="DB64" s="116">
        <f t="shared" si="82"/>
        <v>7228.9139880241373</v>
      </c>
      <c r="DC64" s="116">
        <f t="shared" si="82"/>
        <v>7228.9139880241373</v>
      </c>
      <c r="DD64" s="116">
        <f t="shared" si="82"/>
        <v>7228.9139880241373</v>
      </c>
      <c r="DE64" s="116">
        <f t="shared" si="82"/>
        <v>7435.9302872203516</v>
      </c>
      <c r="DF64" s="116">
        <f t="shared" si="82"/>
        <v>7435.9302872203516</v>
      </c>
      <c r="DG64" s="116">
        <f t="shared" si="82"/>
        <v>7435.9302872203516</v>
      </c>
      <c r="DH64" s="116">
        <f t="shared" si="82"/>
        <v>7435.9302872203516</v>
      </c>
      <c r="DI64" s="116">
        <f t="shared" si="82"/>
        <v>7435.9302872203516</v>
      </c>
      <c r="DJ64" s="116">
        <f t="shared" si="83"/>
        <v>7822.5986621558095</v>
      </c>
      <c r="DK64" s="116">
        <f t="shared" si="83"/>
        <v>7822.5986621558095</v>
      </c>
      <c r="DL64" s="116">
        <f t="shared" si="83"/>
        <v>7822.5986621558095</v>
      </c>
      <c r="DM64" s="116">
        <f t="shared" si="83"/>
        <v>7822.5986621558095</v>
      </c>
      <c r="DN64" s="116">
        <f t="shared" si="83"/>
        <v>7822.5986621558095</v>
      </c>
      <c r="DO64" s="116">
        <f t="shared" si="83"/>
        <v>8078.3946640361901</v>
      </c>
      <c r="DP64" s="116">
        <f t="shared" si="83"/>
        <v>8078.3946640361901</v>
      </c>
      <c r="DQ64" s="116">
        <f t="shared" si="83"/>
        <v>8078.3946640361901</v>
      </c>
      <c r="DR64" s="116">
        <f t="shared" si="83"/>
        <v>8078.3946640361901</v>
      </c>
      <c r="DS64" s="116">
        <f t="shared" si="83"/>
        <v>8078.3946640361901</v>
      </c>
      <c r="DT64" s="116">
        <f t="shared" si="83"/>
        <v>8403.1960989819745</v>
      </c>
      <c r="DW64" s="83" t="s">
        <v>188</v>
      </c>
      <c r="DX64" s="114">
        <f t="shared" si="84"/>
        <v>203967.51231197632</v>
      </c>
      <c r="DY64" s="116">
        <f t="shared" si="85"/>
        <v>203967.51231197632</v>
      </c>
      <c r="DZ64" s="116">
        <f t="shared" si="73"/>
        <v>178446.72518481856</v>
      </c>
      <c r="EA64" s="116">
        <f t="shared" si="73"/>
        <v>178446.72518481856</v>
      </c>
      <c r="EB64" s="116">
        <f t="shared" si="73"/>
        <v>178446.72518481856</v>
      </c>
      <c r="EC64" s="116">
        <f t="shared" si="73"/>
        <v>178446.72518481856</v>
      </c>
      <c r="ED64" s="116">
        <f t="shared" si="73"/>
        <v>178446.72518481856</v>
      </c>
      <c r="EE64" s="116">
        <f t="shared" si="73"/>
        <v>111022.6983709746</v>
      </c>
      <c r="EF64" s="116">
        <f t="shared" si="73"/>
        <v>111022.6983709746</v>
      </c>
      <c r="EG64" s="116">
        <f t="shared" si="73"/>
        <v>111022.6983709746</v>
      </c>
      <c r="EH64" s="116">
        <f t="shared" si="73"/>
        <v>111022.6983709746</v>
      </c>
      <c r="EI64" s="116">
        <f t="shared" si="73"/>
        <v>111022.6983709746</v>
      </c>
      <c r="EJ64" s="116">
        <f t="shared" si="73"/>
        <v>98855.057751055792</v>
      </c>
      <c r="EK64" s="116">
        <f t="shared" si="73"/>
        <v>98855.057751055792</v>
      </c>
      <c r="EL64" s="116">
        <f t="shared" si="73"/>
        <v>98855.057751055792</v>
      </c>
      <c r="EM64" s="116">
        <f t="shared" si="73"/>
        <v>98855.057751055792</v>
      </c>
      <c r="EN64" s="116">
        <f t="shared" si="73"/>
        <v>98855.057751055792</v>
      </c>
      <c r="EO64" s="116">
        <f t="shared" si="73"/>
        <v>96056.226719387487</v>
      </c>
      <c r="EP64" s="116">
        <f t="shared" si="73"/>
        <v>96056.226719387487</v>
      </c>
      <c r="EQ64" s="116">
        <f t="shared" si="73"/>
        <v>96056.226719387487</v>
      </c>
      <c r="ER64" s="116">
        <f t="shared" si="73"/>
        <v>96056.226719387487</v>
      </c>
      <c r="ES64" s="116">
        <f t="shared" si="73"/>
        <v>96056.226719387487</v>
      </c>
      <c r="ET64" s="116">
        <f t="shared" si="73"/>
        <v>92656.720165225241</v>
      </c>
      <c r="EU64" s="116">
        <f t="shared" si="73"/>
        <v>92656.720165225241</v>
      </c>
      <c r="EV64" s="116">
        <f t="shared" si="73"/>
        <v>92656.720165225241</v>
      </c>
      <c r="EW64" s="116">
        <f t="shared" si="73"/>
        <v>92656.720165225241</v>
      </c>
      <c r="EX64" s="116">
        <f t="shared" si="73"/>
        <v>92656.720165225241</v>
      </c>
      <c r="EY64" s="116">
        <f t="shared" si="73"/>
        <v>87239.116711748909</v>
      </c>
      <c r="FB64" s="83" t="s">
        <v>188</v>
      </c>
      <c r="FC64" s="114">
        <f t="shared" si="86"/>
        <v>220491.13082163522</v>
      </c>
      <c r="FD64" s="116">
        <f t="shared" si="87"/>
        <v>220491.13082163522</v>
      </c>
      <c r="FE64" s="116">
        <f t="shared" si="74"/>
        <v>192232.01235572223</v>
      </c>
      <c r="FF64" s="116">
        <f t="shared" si="74"/>
        <v>192232.01235572223</v>
      </c>
      <c r="FG64" s="116">
        <f t="shared" si="74"/>
        <v>192232.01235572223</v>
      </c>
      <c r="FH64" s="116">
        <f t="shared" si="74"/>
        <v>192232.01235572223</v>
      </c>
      <c r="FI64" s="116">
        <f t="shared" si="74"/>
        <v>192232.01235572223</v>
      </c>
      <c r="FJ64" s="116">
        <f t="shared" si="74"/>
        <v>121588.53759757632</v>
      </c>
      <c r="FK64" s="116">
        <f t="shared" si="74"/>
        <v>121588.53759757632</v>
      </c>
      <c r="FL64" s="116">
        <f t="shared" si="74"/>
        <v>121588.53759757632</v>
      </c>
      <c r="FM64" s="116">
        <f t="shared" si="74"/>
        <v>121588.53759757632</v>
      </c>
      <c r="FN64" s="116">
        <f t="shared" si="74"/>
        <v>121588.53759757632</v>
      </c>
      <c r="FO64" s="116">
        <f t="shared" si="74"/>
        <v>107692.33432299872</v>
      </c>
      <c r="FP64" s="116">
        <f t="shared" si="74"/>
        <v>107692.33432299872</v>
      </c>
      <c r="FQ64" s="116">
        <f t="shared" si="74"/>
        <v>107692.33432299872</v>
      </c>
      <c r="FR64" s="116">
        <f t="shared" si="74"/>
        <v>107692.33432299872</v>
      </c>
      <c r="FS64" s="116">
        <f t="shared" si="74"/>
        <v>107692.33432299872</v>
      </c>
      <c r="FT64" s="116">
        <f t="shared" si="74"/>
        <v>105233.45394674664</v>
      </c>
      <c r="FU64" s="116">
        <f t="shared" si="74"/>
        <v>105233.45394674664</v>
      </c>
      <c r="FV64" s="116">
        <f t="shared" si="74"/>
        <v>105233.45394674664</v>
      </c>
      <c r="FW64" s="116">
        <f t="shared" si="74"/>
        <v>105233.45394674664</v>
      </c>
      <c r="FX64" s="116">
        <f t="shared" si="74"/>
        <v>105233.45394674664</v>
      </c>
      <c r="FY64" s="116">
        <f t="shared" si="74"/>
        <v>101828.18551706888</v>
      </c>
      <c r="FZ64" s="116">
        <f t="shared" si="74"/>
        <v>101828.18551706888</v>
      </c>
      <c r="GA64" s="116">
        <f t="shared" si="74"/>
        <v>101828.18551706888</v>
      </c>
      <c r="GB64" s="116">
        <f t="shared" si="74"/>
        <v>101828.18551706888</v>
      </c>
      <c r="GC64" s="116">
        <f t="shared" si="74"/>
        <v>101828.18551706888</v>
      </c>
      <c r="GD64" s="116">
        <f t="shared" si="74"/>
        <v>96226.202047095605</v>
      </c>
      <c r="GH64" s="123" t="s">
        <v>188</v>
      </c>
      <c r="GI64" s="103">
        <f t="shared" si="88"/>
        <v>388155.56099290232</v>
      </c>
      <c r="GJ64" s="103">
        <f t="shared" si="75"/>
        <v>388155.56099290232</v>
      </c>
      <c r="GK64" s="103">
        <f t="shared" si="75"/>
        <v>388155.56099290232</v>
      </c>
      <c r="GL64" s="103">
        <f t="shared" si="75"/>
        <v>388155.56099290232</v>
      </c>
      <c r="GM64" s="103">
        <f t="shared" si="75"/>
        <v>388155.56099290232</v>
      </c>
      <c r="GN64" s="103">
        <f t="shared" si="75"/>
        <v>388155.56099290232</v>
      </c>
      <c r="GO64" s="103">
        <f t="shared" si="75"/>
        <v>388155.56099290232</v>
      </c>
      <c r="GP64" s="103">
        <f t="shared" si="75"/>
        <v>388155.56099290232</v>
      </c>
      <c r="GQ64" s="103">
        <f t="shared" si="75"/>
        <v>388155.56099290232</v>
      </c>
      <c r="GR64" s="103">
        <f t="shared" si="75"/>
        <v>388155.56099290232</v>
      </c>
      <c r="GS64" s="103">
        <f t="shared" si="75"/>
        <v>388155.56099290232</v>
      </c>
      <c r="GT64" s="103">
        <f t="shared" si="75"/>
        <v>388155.56099290232</v>
      </c>
      <c r="GU64" s="103">
        <f t="shared" si="75"/>
        <v>388155.56099290232</v>
      </c>
      <c r="GV64" s="103">
        <f t="shared" si="75"/>
        <v>388155.56099290232</v>
      </c>
      <c r="GW64" s="103">
        <f t="shared" si="75"/>
        <v>388155.56099290232</v>
      </c>
      <c r="GX64" s="103">
        <f t="shared" si="75"/>
        <v>388155.56099290232</v>
      </c>
      <c r="GY64" s="103">
        <f t="shared" si="75"/>
        <v>388155.56099290232</v>
      </c>
      <c r="GZ64" s="103">
        <f t="shared" si="75"/>
        <v>388155.56099290232</v>
      </c>
      <c r="HA64" s="103">
        <f t="shared" si="75"/>
        <v>388155.56099290232</v>
      </c>
      <c r="HB64" s="103">
        <f t="shared" si="75"/>
        <v>388155.56099290232</v>
      </c>
      <c r="HC64" s="103">
        <f t="shared" si="75"/>
        <v>388155.56099290232</v>
      </c>
      <c r="HD64" s="103">
        <f t="shared" si="75"/>
        <v>388155.56099290232</v>
      </c>
      <c r="HE64" s="103">
        <f t="shared" si="75"/>
        <v>388155.56099290232</v>
      </c>
      <c r="HF64" s="103">
        <f t="shared" si="75"/>
        <v>388155.56099290232</v>
      </c>
      <c r="HG64" s="103">
        <f t="shared" si="75"/>
        <v>388155.56099290232</v>
      </c>
      <c r="HH64" s="103">
        <f t="shared" si="75"/>
        <v>388155.56099290232</v>
      </c>
      <c r="HI64" s="103">
        <f t="shared" si="75"/>
        <v>388155.56099290232</v>
      </c>
      <c r="HJ64" s="103">
        <f t="shared" si="75"/>
        <v>388155.56099290232</v>
      </c>
    </row>
    <row r="65" spans="17:218" x14ac:dyDescent="0.25">
      <c r="Q65" s="37">
        <v>2030</v>
      </c>
      <c r="R65" s="135">
        <v>2E-3</v>
      </c>
      <c r="S65" s="128">
        <v>1</v>
      </c>
      <c r="T65" s="128">
        <v>0</v>
      </c>
      <c r="U65" s="128">
        <v>0</v>
      </c>
      <c r="V65" s="128">
        <v>0</v>
      </c>
      <c r="W65" s="128">
        <v>0</v>
      </c>
      <c r="X65" s="134">
        <f t="shared" si="76"/>
        <v>1.002</v>
      </c>
      <c r="Z65" s="83" t="s">
        <v>149</v>
      </c>
      <c r="AA65" s="114">
        <f>'US Grid mix, emissions&amp;prices'!O62</f>
        <v>66625</v>
      </c>
      <c r="AB65" s="116">
        <f t="shared" si="69"/>
        <v>66625</v>
      </c>
      <c r="AC65" s="116">
        <f t="shared" si="70"/>
        <v>58519.773853469065</v>
      </c>
      <c r="AD65" s="116">
        <f t="shared" si="70"/>
        <v>58519.773853469065</v>
      </c>
      <c r="AE65" s="116">
        <f t="shared" si="70"/>
        <v>58519.773853469065</v>
      </c>
      <c r="AF65" s="116">
        <f t="shared" si="70"/>
        <v>58519.773853469065</v>
      </c>
      <c r="AG65" s="116">
        <f t="shared" si="70"/>
        <v>58519.773853469065</v>
      </c>
      <c r="AH65" s="116">
        <f t="shared" si="70"/>
        <v>22124.813117963025</v>
      </c>
      <c r="AI65" s="116">
        <f t="shared" si="70"/>
        <v>22124.813117963025</v>
      </c>
      <c r="AJ65" s="116">
        <f t="shared" si="70"/>
        <v>22124.813117963025</v>
      </c>
      <c r="AK65" s="116">
        <f t="shared" si="70"/>
        <v>22124.813117963025</v>
      </c>
      <c r="AL65" s="116">
        <f t="shared" si="70"/>
        <v>22124.813117963025</v>
      </c>
      <c r="AM65" s="116">
        <f t="shared" si="70"/>
        <v>18595.912870585154</v>
      </c>
      <c r="AN65" s="116">
        <f t="shared" si="70"/>
        <v>18595.912870585154</v>
      </c>
      <c r="AO65" s="116">
        <f t="shared" si="70"/>
        <v>18595.912870585154</v>
      </c>
      <c r="AP65" s="116">
        <f t="shared" si="70"/>
        <v>18595.912870585154</v>
      </c>
      <c r="AQ65" s="116">
        <f t="shared" si="70"/>
        <v>18595.912870585154</v>
      </c>
      <c r="AR65" s="116">
        <f t="shared" si="70"/>
        <v>18595.912870585154</v>
      </c>
      <c r="AS65" s="116">
        <f t="shared" si="70"/>
        <v>18595.912870585154</v>
      </c>
      <c r="AT65" s="116">
        <f t="shared" si="70"/>
        <v>18595.912870585154</v>
      </c>
      <c r="AU65" s="116">
        <f t="shared" si="70"/>
        <v>18595.912870585154</v>
      </c>
      <c r="AV65" s="116">
        <f t="shared" si="70"/>
        <v>18595.912870585154</v>
      </c>
      <c r="AW65" s="116">
        <f t="shared" si="70"/>
        <v>18683.711785513366</v>
      </c>
      <c r="AX65" s="116">
        <f t="shared" si="70"/>
        <v>18683.711785513366</v>
      </c>
      <c r="AY65" s="116">
        <f t="shared" si="70"/>
        <v>18683.711785513366</v>
      </c>
      <c r="AZ65" s="116">
        <f t="shared" si="70"/>
        <v>18683.711785513366</v>
      </c>
      <c r="BA65" s="116">
        <f t="shared" si="70"/>
        <v>18683.711785513366</v>
      </c>
      <c r="BB65" s="116">
        <f t="shared" si="70"/>
        <v>18794.102234107322</v>
      </c>
      <c r="BM65" s="83" t="s">
        <v>149</v>
      </c>
      <c r="BN65" s="114">
        <f t="shared" si="78"/>
        <v>66625</v>
      </c>
      <c r="BO65" s="116">
        <f t="shared" si="79"/>
        <v>66625</v>
      </c>
      <c r="BP65" s="116">
        <f t="shared" si="79"/>
        <v>52518.641001533586</v>
      </c>
      <c r="BQ65" s="116">
        <f t="shared" si="79"/>
        <v>52518.641001533586</v>
      </c>
      <c r="BR65" s="116">
        <f t="shared" si="79"/>
        <v>52518.641001533586</v>
      </c>
      <c r="BS65" s="116">
        <f t="shared" si="79"/>
        <v>52518.641001533586</v>
      </c>
      <c r="BT65" s="116">
        <f t="shared" si="79"/>
        <v>52518.641001533586</v>
      </c>
      <c r="BU65" s="116">
        <f t="shared" si="79"/>
        <v>2966.679125469132</v>
      </c>
      <c r="BV65" s="116">
        <f t="shared" si="79"/>
        <v>2966.679125469132</v>
      </c>
      <c r="BW65" s="116">
        <f t="shared" si="79"/>
        <v>2966.679125469132</v>
      </c>
      <c r="BX65" s="116">
        <f t="shared" si="79"/>
        <v>2966.679125469132</v>
      </c>
      <c r="BY65" s="116">
        <f t="shared" si="79"/>
        <v>2966.679125469132</v>
      </c>
      <c r="BZ65" s="116">
        <f t="shared" si="79"/>
        <v>3094.0132243123899</v>
      </c>
      <c r="CA65" s="116">
        <f t="shared" si="79"/>
        <v>3094.0132243123899</v>
      </c>
      <c r="CB65" s="116">
        <f t="shared" si="79"/>
        <v>3094.0132243123899</v>
      </c>
      <c r="CC65" s="116">
        <f t="shared" si="79"/>
        <v>3094.0132243123899</v>
      </c>
      <c r="CD65" s="116">
        <f t="shared" si="79"/>
        <v>3094.0132243123899</v>
      </c>
      <c r="CE65" s="116">
        <f t="shared" si="80"/>
        <v>3137.1425158560742</v>
      </c>
      <c r="CF65" s="116">
        <f t="shared" si="80"/>
        <v>3137.1425158560742</v>
      </c>
      <c r="CG65" s="116">
        <f t="shared" si="80"/>
        <v>3137.1425158560742</v>
      </c>
      <c r="CH65" s="116">
        <f t="shared" si="80"/>
        <v>3137.1425158560742</v>
      </c>
      <c r="CI65" s="116">
        <f t="shared" si="80"/>
        <v>3137.1425158560742</v>
      </c>
      <c r="CJ65" s="116">
        <f t="shared" si="80"/>
        <v>3247.5329644500275</v>
      </c>
      <c r="CK65" s="116">
        <f t="shared" si="80"/>
        <v>3247.5329644500275</v>
      </c>
      <c r="CL65" s="116">
        <f t="shared" si="80"/>
        <v>3247.5329644500275</v>
      </c>
      <c r="CM65" s="116">
        <f t="shared" si="80"/>
        <v>3247.5329644500275</v>
      </c>
      <c r="CN65" s="116">
        <f t="shared" si="80"/>
        <v>3247.5329644500275</v>
      </c>
      <c r="CO65" s="116">
        <f t="shared" si="80"/>
        <v>3387.1897180200522</v>
      </c>
      <c r="CR65" s="83" t="s">
        <v>149</v>
      </c>
      <c r="CS65" s="114">
        <f t="shared" si="81"/>
        <v>66625</v>
      </c>
      <c r="CT65" s="116">
        <f t="shared" si="82"/>
        <v>3119.6854216598208</v>
      </c>
      <c r="CU65" s="116">
        <f t="shared" si="82"/>
        <v>3119.6854216598208</v>
      </c>
      <c r="CV65" s="116">
        <f t="shared" si="82"/>
        <v>3119.6854216598208</v>
      </c>
      <c r="CW65" s="116">
        <f t="shared" si="82"/>
        <v>3119.6854216598208</v>
      </c>
      <c r="CX65" s="116">
        <f t="shared" si="82"/>
        <v>3119.6854216598208</v>
      </c>
      <c r="CY65" s="116">
        <f t="shared" si="82"/>
        <v>3119.6854216598208</v>
      </c>
      <c r="CZ65" s="116">
        <f t="shared" si="82"/>
        <v>3119.6854216598208</v>
      </c>
      <c r="DA65" s="116">
        <f t="shared" si="82"/>
        <v>3119.6854216598208</v>
      </c>
      <c r="DB65" s="116">
        <f t="shared" si="82"/>
        <v>3119.6854216598208</v>
      </c>
      <c r="DC65" s="116">
        <f t="shared" si="82"/>
        <v>3119.6854216598208</v>
      </c>
      <c r="DD65" s="116">
        <f t="shared" si="82"/>
        <v>3119.6854216598208</v>
      </c>
      <c r="DE65" s="116">
        <f t="shared" si="82"/>
        <v>3209.0246684288809</v>
      </c>
      <c r="DF65" s="116">
        <f t="shared" si="82"/>
        <v>3209.0246684288809</v>
      </c>
      <c r="DG65" s="116">
        <f t="shared" si="82"/>
        <v>3209.0246684288809</v>
      </c>
      <c r="DH65" s="116">
        <f t="shared" si="82"/>
        <v>3209.0246684288809</v>
      </c>
      <c r="DI65" s="116">
        <f t="shared" si="82"/>
        <v>3209.0246684288809</v>
      </c>
      <c r="DJ65" s="116">
        <f t="shared" si="83"/>
        <v>3375.8939511871827</v>
      </c>
      <c r="DK65" s="116">
        <f t="shared" si="83"/>
        <v>3375.8939511871827</v>
      </c>
      <c r="DL65" s="116">
        <f t="shared" si="83"/>
        <v>3375.8939511871827</v>
      </c>
      <c r="DM65" s="116">
        <f t="shared" si="83"/>
        <v>3375.8939511871827</v>
      </c>
      <c r="DN65" s="116">
        <f t="shared" si="83"/>
        <v>3375.8939511871827</v>
      </c>
      <c r="DO65" s="116">
        <f t="shared" si="83"/>
        <v>3486.284399781136</v>
      </c>
      <c r="DP65" s="116">
        <f t="shared" si="83"/>
        <v>3486.284399781136</v>
      </c>
      <c r="DQ65" s="116">
        <f t="shared" si="83"/>
        <v>3486.284399781136</v>
      </c>
      <c r="DR65" s="116">
        <f t="shared" si="83"/>
        <v>3486.284399781136</v>
      </c>
      <c r="DS65" s="116">
        <f t="shared" si="83"/>
        <v>3486.284399781136</v>
      </c>
      <c r="DT65" s="116">
        <f t="shared" si="83"/>
        <v>3626.4545972981095</v>
      </c>
      <c r="DW65" s="83" t="s">
        <v>149</v>
      </c>
      <c r="DX65" s="114">
        <f t="shared" si="84"/>
        <v>88023.522718080494</v>
      </c>
      <c r="DY65" s="116">
        <f t="shared" si="85"/>
        <v>88023.522718080494</v>
      </c>
      <c r="DZ65" s="116">
        <f t="shared" si="73"/>
        <v>77009.859022292192</v>
      </c>
      <c r="EA65" s="116">
        <f t="shared" si="73"/>
        <v>77009.859022292192</v>
      </c>
      <c r="EB65" s="116">
        <f t="shared" si="73"/>
        <v>77009.859022292192</v>
      </c>
      <c r="EC65" s="116">
        <f t="shared" si="73"/>
        <v>77009.859022292192</v>
      </c>
      <c r="ED65" s="116">
        <f t="shared" si="73"/>
        <v>77009.859022292192</v>
      </c>
      <c r="EE65" s="116">
        <f t="shared" si="73"/>
        <v>47912.576378009122</v>
      </c>
      <c r="EF65" s="116">
        <f t="shared" si="73"/>
        <v>47912.576378009122</v>
      </c>
      <c r="EG65" s="116">
        <f t="shared" si="73"/>
        <v>47912.576378009122</v>
      </c>
      <c r="EH65" s="116">
        <f t="shared" si="73"/>
        <v>47912.576378009122</v>
      </c>
      <c r="EI65" s="116">
        <f t="shared" si="73"/>
        <v>47912.576378009122</v>
      </c>
      <c r="EJ65" s="116">
        <f t="shared" si="73"/>
        <v>42661.550965223447</v>
      </c>
      <c r="EK65" s="116">
        <f t="shared" si="73"/>
        <v>42661.550965223447</v>
      </c>
      <c r="EL65" s="116">
        <f t="shared" si="73"/>
        <v>42661.550965223447</v>
      </c>
      <c r="EM65" s="116">
        <f t="shared" si="73"/>
        <v>42661.550965223447</v>
      </c>
      <c r="EN65" s="116">
        <f t="shared" si="73"/>
        <v>42661.550965223447</v>
      </c>
      <c r="EO65" s="116">
        <f t="shared" si="73"/>
        <v>41453.697007955474</v>
      </c>
      <c r="EP65" s="116">
        <f t="shared" si="73"/>
        <v>41453.697007955474</v>
      </c>
      <c r="EQ65" s="116">
        <f t="shared" si="73"/>
        <v>41453.697007955474</v>
      </c>
      <c r="ER65" s="116">
        <f t="shared" si="73"/>
        <v>41453.697007955474</v>
      </c>
      <c r="ES65" s="116">
        <f t="shared" si="73"/>
        <v>41453.697007955474</v>
      </c>
      <c r="ET65" s="116">
        <f t="shared" si="73"/>
        <v>39986.617574526543</v>
      </c>
      <c r="EU65" s="116">
        <f t="shared" si="73"/>
        <v>39986.617574526543</v>
      </c>
      <c r="EV65" s="116">
        <f t="shared" si="73"/>
        <v>39986.617574526543</v>
      </c>
      <c r="EW65" s="116">
        <f t="shared" si="73"/>
        <v>39986.617574526543</v>
      </c>
      <c r="EX65" s="116">
        <f t="shared" si="73"/>
        <v>39986.617574526543</v>
      </c>
      <c r="EY65" s="116">
        <f t="shared" si="73"/>
        <v>37648.615138456116</v>
      </c>
      <c r="FB65" s="83" t="s">
        <v>149</v>
      </c>
      <c r="FC65" s="114">
        <f t="shared" si="86"/>
        <v>95154.399065903926</v>
      </c>
      <c r="FD65" s="116">
        <f t="shared" si="87"/>
        <v>95154.399065903926</v>
      </c>
      <c r="FE65" s="116">
        <f t="shared" si="74"/>
        <v>82958.990453612074</v>
      </c>
      <c r="FF65" s="116">
        <f t="shared" si="74"/>
        <v>82958.990453612074</v>
      </c>
      <c r="FG65" s="116">
        <f t="shared" si="74"/>
        <v>82958.990453612074</v>
      </c>
      <c r="FH65" s="116">
        <f t="shared" si="74"/>
        <v>82958.990453612074</v>
      </c>
      <c r="FI65" s="116">
        <f t="shared" si="74"/>
        <v>82958.990453612074</v>
      </c>
      <c r="FJ65" s="116">
        <f t="shared" si="74"/>
        <v>52472.333854365577</v>
      </c>
      <c r="FK65" s="116">
        <f t="shared" si="74"/>
        <v>52472.333854365577</v>
      </c>
      <c r="FL65" s="116">
        <f t="shared" si="74"/>
        <v>52472.333854365577</v>
      </c>
      <c r="FM65" s="116">
        <f t="shared" si="74"/>
        <v>52472.333854365577</v>
      </c>
      <c r="FN65" s="116">
        <f t="shared" si="74"/>
        <v>52472.333854365577</v>
      </c>
      <c r="FO65" s="116">
        <f t="shared" si="74"/>
        <v>46475.335848310955</v>
      </c>
      <c r="FP65" s="116">
        <f t="shared" si="74"/>
        <v>46475.335848310955</v>
      </c>
      <c r="FQ65" s="116">
        <f t="shared" si="74"/>
        <v>46475.335848310955</v>
      </c>
      <c r="FR65" s="116">
        <f t="shared" si="74"/>
        <v>46475.335848310955</v>
      </c>
      <c r="FS65" s="116">
        <f t="shared" si="74"/>
        <v>46475.335848310955</v>
      </c>
      <c r="FT65" s="116">
        <f t="shared" si="74"/>
        <v>45414.18983438587</v>
      </c>
      <c r="FU65" s="116">
        <f t="shared" si="74"/>
        <v>45414.18983438587</v>
      </c>
      <c r="FV65" s="116">
        <f t="shared" si="74"/>
        <v>45414.18983438587</v>
      </c>
      <c r="FW65" s="116">
        <f t="shared" si="74"/>
        <v>45414.18983438587</v>
      </c>
      <c r="FX65" s="116">
        <f t="shared" si="74"/>
        <v>45414.18983438587</v>
      </c>
      <c r="FY65" s="116">
        <f t="shared" si="74"/>
        <v>43944.623825646049</v>
      </c>
      <c r="FZ65" s="116">
        <f t="shared" si="74"/>
        <v>43944.623825646049</v>
      </c>
      <c r="GA65" s="116">
        <f t="shared" si="74"/>
        <v>43944.623825646049</v>
      </c>
      <c r="GB65" s="116">
        <f t="shared" si="74"/>
        <v>43944.623825646049</v>
      </c>
      <c r="GC65" s="116">
        <f t="shared" si="74"/>
        <v>43944.623825646049</v>
      </c>
      <c r="GD65" s="116">
        <f t="shared" si="74"/>
        <v>41527.050979626933</v>
      </c>
      <c r="GH65" s="123" t="s">
        <v>149</v>
      </c>
      <c r="GI65" s="103">
        <f t="shared" si="88"/>
        <v>167511.08769198757</v>
      </c>
      <c r="GJ65" s="103">
        <f t="shared" si="75"/>
        <v>167511.08769198757</v>
      </c>
      <c r="GK65" s="103">
        <f t="shared" si="75"/>
        <v>167511.08769198757</v>
      </c>
      <c r="GL65" s="103">
        <f t="shared" si="75"/>
        <v>167511.08769198757</v>
      </c>
      <c r="GM65" s="103">
        <f t="shared" si="75"/>
        <v>167511.08769198757</v>
      </c>
      <c r="GN65" s="103">
        <f t="shared" si="75"/>
        <v>167511.08769198757</v>
      </c>
      <c r="GO65" s="103">
        <f t="shared" si="75"/>
        <v>167511.08769198757</v>
      </c>
      <c r="GP65" s="103">
        <f t="shared" si="75"/>
        <v>167511.08769198757</v>
      </c>
      <c r="GQ65" s="103">
        <f t="shared" si="75"/>
        <v>167511.08769198757</v>
      </c>
      <c r="GR65" s="103">
        <f t="shared" si="75"/>
        <v>167511.08769198757</v>
      </c>
      <c r="GS65" s="103">
        <f t="shared" si="75"/>
        <v>167511.08769198757</v>
      </c>
      <c r="GT65" s="103">
        <f t="shared" si="75"/>
        <v>167511.08769198757</v>
      </c>
      <c r="GU65" s="103">
        <f t="shared" si="75"/>
        <v>167511.08769198757</v>
      </c>
      <c r="GV65" s="103">
        <f t="shared" si="75"/>
        <v>167511.08769198757</v>
      </c>
      <c r="GW65" s="103">
        <f t="shared" si="75"/>
        <v>167511.08769198757</v>
      </c>
      <c r="GX65" s="103">
        <f t="shared" si="75"/>
        <v>167511.08769198757</v>
      </c>
      <c r="GY65" s="103">
        <f t="shared" si="75"/>
        <v>167511.08769198757</v>
      </c>
      <c r="GZ65" s="103">
        <f t="shared" si="75"/>
        <v>167511.08769198757</v>
      </c>
      <c r="HA65" s="103">
        <f t="shared" si="75"/>
        <v>167511.08769198757</v>
      </c>
      <c r="HB65" s="103">
        <f t="shared" si="75"/>
        <v>167511.08769198757</v>
      </c>
      <c r="HC65" s="103">
        <f t="shared" si="75"/>
        <v>167511.08769198757</v>
      </c>
      <c r="HD65" s="103">
        <f t="shared" si="75"/>
        <v>167511.08769198757</v>
      </c>
      <c r="HE65" s="103">
        <f t="shared" si="75"/>
        <v>167511.08769198757</v>
      </c>
      <c r="HF65" s="103">
        <f t="shared" si="75"/>
        <v>167511.08769198757</v>
      </c>
      <c r="HG65" s="103">
        <f t="shared" si="75"/>
        <v>167511.08769198757</v>
      </c>
      <c r="HH65" s="103">
        <f t="shared" si="75"/>
        <v>167511.08769198757</v>
      </c>
      <c r="HI65" s="103">
        <f t="shared" si="75"/>
        <v>167511.08769198757</v>
      </c>
      <c r="HJ65" s="103">
        <f t="shared" si="75"/>
        <v>167511.08769198757</v>
      </c>
    </row>
    <row r="66" spans="17:218" x14ac:dyDescent="0.25">
      <c r="Q66" s="37">
        <v>2035</v>
      </c>
      <c r="R66" s="135">
        <v>2E-3</v>
      </c>
      <c r="S66" s="128">
        <v>1</v>
      </c>
      <c r="T66" s="128">
        <v>0</v>
      </c>
      <c r="U66" s="128">
        <v>0</v>
      </c>
      <c r="V66" s="128">
        <v>0</v>
      </c>
      <c r="W66" s="128">
        <v>0</v>
      </c>
      <c r="X66" s="134">
        <f t="shared" si="76"/>
        <v>1.002</v>
      </c>
      <c r="Z66" s="83" t="s">
        <v>190</v>
      </c>
      <c r="AA66" s="114">
        <f>'US Grid mix, emissions&amp;prices'!O63</f>
        <v>154913</v>
      </c>
      <c r="AB66" s="116">
        <f t="shared" si="69"/>
        <v>154913</v>
      </c>
      <c r="AC66" s="116">
        <f t="shared" si="70"/>
        <v>136067.14787185672</v>
      </c>
      <c r="AD66" s="116">
        <f t="shared" si="70"/>
        <v>136067.14787185672</v>
      </c>
      <c r="AE66" s="116">
        <f t="shared" si="70"/>
        <v>136067.14787185672</v>
      </c>
      <c r="AF66" s="116">
        <f t="shared" si="70"/>
        <v>136067.14787185672</v>
      </c>
      <c r="AG66" s="116">
        <f t="shared" si="70"/>
        <v>136067.14787185672</v>
      </c>
      <c r="AH66" s="116">
        <f t="shared" si="70"/>
        <v>51443.469786761816</v>
      </c>
      <c r="AI66" s="116">
        <f t="shared" si="70"/>
        <v>51443.469786761816</v>
      </c>
      <c r="AJ66" s="116">
        <f t="shared" si="70"/>
        <v>51443.469786761816</v>
      </c>
      <c r="AK66" s="116">
        <f t="shared" si="70"/>
        <v>51443.469786761816</v>
      </c>
      <c r="AL66" s="116">
        <f t="shared" si="70"/>
        <v>51443.469786761816</v>
      </c>
      <c r="AM66" s="116">
        <f t="shared" si="70"/>
        <v>43238.253666355842</v>
      </c>
      <c r="AN66" s="116">
        <f t="shared" si="70"/>
        <v>43238.253666355842</v>
      </c>
      <c r="AO66" s="116">
        <f t="shared" si="70"/>
        <v>43238.253666355842</v>
      </c>
      <c r="AP66" s="116">
        <f t="shared" si="70"/>
        <v>43238.253666355842</v>
      </c>
      <c r="AQ66" s="116">
        <f t="shared" si="70"/>
        <v>43238.253666355842</v>
      </c>
      <c r="AR66" s="116">
        <f t="shared" si="70"/>
        <v>43238.253666355842</v>
      </c>
      <c r="AS66" s="116">
        <f t="shared" si="70"/>
        <v>43238.253666355842</v>
      </c>
      <c r="AT66" s="116">
        <f t="shared" si="70"/>
        <v>43238.253666355842</v>
      </c>
      <c r="AU66" s="116">
        <f t="shared" si="70"/>
        <v>43238.253666355842</v>
      </c>
      <c r="AV66" s="116">
        <f t="shared" si="70"/>
        <v>43238.253666355842</v>
      </c>
      <c r="AW66" s="116">
        <f t="shared" si="70"/>
        <v>43442.399156911553</v>
      </c>
      <c r="AX66" s="116">
        <f t="shared" si="70"/>
        <v>43442.399156911553</v>
      </c>
      <c r="AY66" s="116">
        <f t="shared" si="70"/>
        <v>43442.399156911553</v>
      </c>
      <c r="AZ66" s="116">
        <f t="shared" si="70"/>
        <v>43442.399156911553</v>
      </c>
      <c r="BA66" s="116">
        <f t="shared" si="70"/>
        <v>43442.399156911553</v>
      </c>
      <c r="BB66" s="116">
        <f t="shared" si="70"/>
        <v>43699.073311703825</v>
      </c>
      <c r="BM66" s="83" t="s">
        <v>190</v>
      </c>
      <c r="BN66" s="114">
        <f t="shared" si="78"/>
        <v>154913</v>
      </c>
      <c r="BO66" s="116">
        <f t="shared" si="79"/>
        <v>154913</v>
      </c>
      <c r="BP66" s="116">
        <f t="shared" si="79"/>
        <v>122113.62451738195</v>
      </c>
      <c r="BQ66" s="116">
        <f t="shared" si="79"/>
        <v>122113.62451738195</v>
      </c>
      <c r="BR66" s="116">
        <f t="shared" si="79"/>
        <v>122113.62451738195</v>
      </c>
      <c r="BS66" s="116">
        <f t="shared" si="79"/>
        <v>122113.62451738195</v>
      </c>
      <c r="BT66" s="116">
        <f t="shared" si="79"/>
        <v>122113.62451738195</v>
      </c>
      <c r="BU66" s="116">
        <f t="shared" si="79"/>
        <v>6897.9686808825454</v>
      </c>
      <c r="BV66" s="116">
        <f t="shared" si="79"/>
        <v>6897.9686808825454</v>
      </c>
      <c r="BW66" s="116">
        <f t="shared" si="79"/>
        <v>6897.9686808825454</v>
      </c>
      <c r="BX66" s="116">
        <f t="shared" si="79"/>
        <v>6897.9686808825454</v>
      </c>
      <c r="BY66" s="116">
        <f t="shared" si="79"/>
        <v>6897.9686808825454</v>
      </c>
      <c r="BZ66" s="116">
        <f t="shared" si="79"/>
        <v>7194.0393338522363</v>
      </c>
      <c r="CA66" s="116">
        <f t="shared" si="79"/>
        <v>7194.0393338522363</v>
      </c>
      <c r="CB66" s="116">
        <f t="shared" si="79"/>
        <v>7194.0393338522363</v>
      </c>
      <c r="CC66" s="116">
        <f t="shared" si="79"/>
        <v>7194.0393338522363</v>
      </c>
      <c r="CD66" s="116">
        <f t="shared" si="79"/>
        <v>7194.0393338522363</v>
      </c>
      <c r="CE66" s="116">
        <f t="shared" si="80"/>
        <v>7294.3213292129385</v>
      </c>
      <c r="CF66" s="116">
        <f t="shared" si="80"/>
        <v>7294.3213292129385</v>
      </c>
      <c r="CG66" s="116">
        <f t="shared" si="80"/>
        <v>7294.3213292129385</v>
      </c>
      <c r="CH66" s="116">
        <f t="shared" si="80"/>
        <v>7294.3213292129385</v>
      </c>
      <c r="CI66" s="116">
        <f t="shared" si="80"/>
        <v>7294.3213292129385</v>
      </c>
      <c r="CJ66" s="116">
        <f t="shared" si="80"/>
        <v>7550.9954840052096</v>
      </c>
      <c r="CK66" s="116">
        <f t="shared" si="80"/>
        <v>7550.9954840052096</v>
      </c>
      <c r="CL66" s="116">
        <f t="shared" si="80"/>
        <v>7550.9954840052096</v>
      </c>
      <c r="CM66" s="116">
        <f t="shared" si="80"/>
        <v>7550.9954840052096</v>
      </c>
      <c r="CN66" s="116">
        <f t="shared" si="80"/>
        <v>7550.9954840052096</v>
      </c>
      <c r="CO66" s="116">
        <f t="shared" si="80"/>
        <v>7875.7181356493857</v>
      </c>
      <c r="CR66" s="83" t="s">
        <v>190</v>
      </c>
      <c r="CS66" s="114">
        <f t="shared" si="81"/>
        <v>154913</v>
      </c>
      <c r="CT66" s="116">
        <f t="shared" si="82"/>
        <v>7253.7309977574159</v>
      </c>
      <c r="CU66" s="116">
        <f t="shared" si="82"/>
        <v>7253.7309977574159</v>
      </c>
      <c r="CV66" s="116">
        <f t="shared" si="82"/>
        <v>7253.7309977574159</v>
      </c>
      <c r="CW66" s="116">
        <f t="shared" si="82"/>
        <v>7253.7309977574159</v>
      </c>
      <c r="CX66" s="116">
        <f t="shared" si="82"/>
        <v>7253.7309977574159</v>
      </c>
      <c r="CY66" s="116">
        <f t="shared" si="82"/>
        <v>7253.7309977574159</v>
      </c>
      <c r="CZ66" s="116">
        <f t="shared" si="82"/>
        <v>7253.7309977574159</v>
      </c>
      <c r="DA66" s="116">
        <f t="shared" si="82"/>
        <v>7253.7309977574159</v>
      </c>
      <c r="DB66" s="116">
        <f t="shared" si="82"/>
        <v>7253.7309977574159</v>
      </c>
      <c r="DC66" s="116">
        <f t="shared" si="82"/>
        <v>7253.7309977574159</v>
      </c>
      <c r="DD66" s="116">
        <f t="shared" si="82"/>
        <v>7253.7309977574159</v>
      </c>
      <c r="DE66" s="116">
        <f t="shared" si="82"/>
        <v>7461.4579881474401</v>
      </c>
      <c r="DF66" s="116">
        <f t="shared" si="82"/>
        <v>7461.4579881474401</v>
      </c>
      <c r="DG66" s="116">
        <f t="shared" si="82"/>
        <v>7461.4579881474401</v>
      </c>
      <c r="DH66" s="116">
        <f t="shared" si="82"/>
        <v>7461.4579881474401</v>
      </c>
      <c r="DI66" s="116">
        <f t="shared" si="82"/>
        <v>7461.4579881474401</v>
      </c>
      <c r="DJ66" s="116">
        <f t="shared" si="83"/>
        <v>7849.453803531107</v>
      </c>
      <c r="DK66" s="116">
        <f t="shared" si="83"/>
        <v>7849.453803531107</v>
      </c>
      <c r="DL66" s="116">
        <f t="shared" si="83"/>
        <v>7849.453803531107</v>
      </c>
      <c r="DM66" s="116">
        <f t="shared" si="83"/>
        <v>7849.453803531107</v>
      </c>
      <c r="DN66" s="116">
        <f t="shared" si="83"/>
        <v>7849.453803531107</v>
      </c>
      <c r="DO66" s="116">
        <f t="shared" si="83"/>
        <v>8106.1279583233791</v>
      </c>
      <c r="DP66" s="116">
        <f t="shared" si="83"/>
        <v>8106.1279583233791</v>
      </c>
      <c r="DQ66" s="116">
        <f t="shared" si="83"/>
        <v>8106.1279583233791</v>
      </c>
      <c r="DR66" s="116">
        <f t="shared" si="83"/>
        <v>8106.1279583233791</v>
      </c>
      <c r="DS66" s="116">
        <f t="shared" si="83"/>
        <v>8106.1279583233791</v>
      </c>
      <c r="DT66" s="116">
        <f t="shared" si="83"/>
        <v>8432.0444432456588</v>
      </c>
      <c r="DW66" s="83" t="s">
        <v>190</v>
      </c>
      <c r="DX66" s="114">
        <f t="shared" si="84"/>
        <v>204667.73695798882</v>
      </c>
      <c r="DY66" s="116">
        <f t="shared" si="85"/>
        <v>204667.73695798882</v>
      </c>
      <c r="DZ66" s="116">
        <f t="shared" si="73"/>
        <v>179059.33644608408</v>
      </c>
      <c r="EA66" s="116">
        <f t="shared" si="73"/>
        <v>179059.33644608408</v>
      </c>
      <c r="EB66" s="116">
        <f t="shared" si="73"/>
        <v>179059.33644608408</v>
      </c>
      <c r="EC66" s="116">
        <f t="shared" si="73"/>
        <v>179059.33644608408</v>
      </c>
      <c r="ED66" s="116">
        <f t="shared" si="73"/>
        <v>179059.33644608408</v>
      </c>
      <c r="EE66" s="116">
        <f t="shared" si="73"/>
        <v>111403.84156767771</v>
      </c>
      <c r="EF66" s="116">
        <f t="shared" si="73"/>
        <v>111403.84156767771</v>
      </c>
      <c r="EG66" s="116">
        <f t="shared" si="73"/>
        <v>111403.84156767771</v>
      </c>
      <c r="EH66" s="116">
        <f t="shared" si="73"/>
        <v>111403.84156767771</v>
      </c>
      <c r="EI66" s="116">
        <f t="shared" si="73"/>
        <v>111403.84156767771</v>
      </c>
      <c r="EJ66" s="116">
        <f t="shared" si="73"/>
        <v>99194.429188377646</v>
      </c>
      <c r="EK66" s="116">
        <f t="shared" si="73"/>
        <v>99194.429188377646</v>
      </c>
      <c r="EL66" s="116">
        <f t="shared" si="73"/>
        <v>99194.429188377646</v>
      </c>
      <c r="EM66" s="116">
        <f t="shared" si="73"/>
        <v>99194.429188377646</v>
      </c>
      <c r="EN66" s="116">
        <f t="shared" si="73"/>
        <v>99194.429188377646</v>
      </c>
      <c r="EO66" s="116">
        <f t="shared" si="73"/>
        <v>96385.989712471404</v>
      </c>
      <c r="EP66" s="116">
        <f t="shared" si="73"/>
        <v>96385.989712471404</v>
      </c>
      <c r="EQ66" s="116">
        <f t="shared" si="73"/>
        <v>96385.989712471404</v>
      </c>
      <c r="ER66" s="116">
        <f t="shared" si="73"/>
        <v>96385.989712471404</v>
      </c>
      <c r="ES66" s="116">
        <f t="shared" si="73"/>
        <v>96385.989712471404</v>
      </c>
      <c r="ET66" s="116">
        <f t="shared" si="73"/>
        <v>92974.812582703657</v>
      </c>
      <c r="EU66" s="116">
        <f t="shared" si="73"/>
        <v>92974.812582703657</v>
      </c>
      <c r="EV66" s="116">
        <f t="shared" si="73"/>
        <v>92974.812582703657</v>
      </c>
      <c r="EW66" s="116">
        <f t="shared" si="73"/>
        <v>92974.812582703657</v>
      </c>
      <c r="EX66" s="116">
        <f t="shared" si="73"/>
        <v>92974.812582703657</v>
      </c>
      <c r="EY66" s="116">
        <f t="shared" si="73"/>
        <v>87538.610385645821</v>
      </c>
      <c r="FB66" s="83" t="s">
        <v>190</v>
      </c>
      <c r="FC66" s="114">
        <f t="shared" si="86"/>
        <v>221248.08138831329</v>
      </c>
      <c r="FD66" s="116">
        <f t="shared" si="87"/>
        <v>221248.08138831329</v>
      </c>
      <c r="FE66" s="116">
        <f t="shared" si="74"/>
        <v>192891.94879009988</v>
      </c>
      <c r="FF66" s="116">
        <f t="shared" si="74"/>
        <v>192891.94879009988</v>
      </c>
      <c r="FG66" s="116">
        <f t="shared" si="74"/>
        <v>192891.94879009988</v>
      </c>
      <c r="FH66" s="116">
        <f t="shared" si="74"/>
        <v>192891.94879009988</v>
      </c>
      <c r="FI66" s="116">
        <f t="shared" si="74"/>
        <v>192891.94879009988</v>
      </c>
      <c r="FJ66" s="116">
        <f t="shared" si="74"/>
        <v>122005.95353668043</v>
      </c>
      <c r="FK66" s="116">
        <f t="shared" si="74"/>
        <v>122005.95353668043</v>
      </c>
      <c r="FL66" s="116">
        <f t="shared" si="74"/>
        <v>122005.95353668043</v>
      </c>
      <c r="FM66" s="116">
        <f t="shared" si="74"/>
        <v>122005.95353668043</v>
      </c>
      <c r="FN66" s="116">
        <f t="shared" si="74"/>
        <v>122005.95353668043</v>
      </c>
      <c r="FO66" s="116">
        <f t="shared" si="74"/>
        <v>108062.04431173575</v>
      </c>
      <c r="FP66" s="116">
        <f t="shared" si="74"/>
        <v>108062.04431173575</v>
      </c>
      <c r="FQ66" s="116">
        <f t="shared" si="74"/>
        <v>108062.04431173575</v>
      </c>
      <c r="FR66" s="116">
        <f t="shared" si="74"/>
        <v>108062.04431173575</v>
      </c>
      <c r="FS66" s="116">
        <f t="shared" si="74"/>
        <v>108062.04431173575</v>
      </c>
      <c r="FT66" s="116">
        <f t="shared" si="74"/>
        <v>105594.72254880627</v>
      </c>
      <c r="FU66" s="116">
        <f t="shared" si="74"/>
        <v>105594.72254880627</v>
      </c>
      <c r="FV66" s="116">
        <f t="shared" si="74"/>
        <v>105594.72254880627</v>
      </c>
      <c r="FW66" s="116">
        <f t="shared" si="74"/>
        <v>105594.72254880627</v>
      </c>
      <c r="FX66" s="116">
        <f t="shared" si="74"/>
        <v>105594.72254880627</v>
      </c>
      <c r="FY66" s="116">
        <f t="shared" si="74"/>
        <v>102177.76376288637</v>
      </c>
      <c r="FZ66" s="116">
        <f t="shared" si="74"/>
        <v>102177.76376288637</v>
      </c>
      <c r="GA66" s="116">
        <f t="shared" si="74"/>
        <v>102177.76376288637</v>
      </c>
      <c r="GB66" s="116">
        <f t="shared" si="74"/>
        <v>102177.76376288637</v>
      </c>
      <c r="GC66" s="116">
        <f t="shared" si="74"/>
        <v>102177.76376288637</v>
      </c>
      <c r="GD66" s="116">
        <f t="shared" si="74"/>
        <v>96556.548568959784</v>
      </c>
      <c r="GH66" s="123" t="s">
        <v>190</v>
      </c>
      <c r="GI66" s="103">
        <f t="shared" si="88"/>
        <v>389488.10698129638</v>
      </c>
      <c r="GJ66" s="103">
        <f t="shared" si="75"/>
        <v>389488.10698129638</v>
      </c>
      <c r="GK66" s="103">
        <f t="shared" si="75"/>
        <v>389488.10698129638</v>
      </c>
      <c r="GL66" s="103">
        <f t="shared" si="75"/>
        <v>389488.10698129638</v>
      </c>
      <c r="GM66" s="103">
        <f t="shared" si="75"/>
        <v>389488.10698129638</v>
      </c>
      <c r="GN66" s="103">
        <f t="shared" si="75"/>
        <v>389488.10698129638</v>
      </c>
      <c r="GO66" s="103">
        <f t="shared" si="75"/>
        <v>389488.10698129638</v>
      </c>
      <c r="GP66" s="103">
        <f t="shared" si="75"/>
        <v>389488.10698129638</v>
      </c>
      <c r="GQ66" s="103">
        <f t="shared" si="75"/>
        <v>389488.10698129638</v>
      </c>
      <c r="GR66" s="103">
        <f t="shared" si="75"/>
        <v>389488.10698129638</v>
      </c>
      <c r="GS66" s="103">
        <f t="shared" si="75"/>
        <v>389488.10698129638</v>
      </c>
      <c r="GT66" s="103">
        <f t="shared" si="75"/>
        <v>389488.10698129638</v>
      </c>
      <c r="GU66" s="103">
        <f t="shared" si="75"/>
        <v>389488.10698129638</v>
      </c>
      <c r="GV66" s="103">
        <f t="shared" si="75"/>
        <v>389488.10698129638</v>
      </c>
      <c r="GW66" s="103">
        <f t="shared" si="75"/>
        <v>389488.10698129638</v>
      </c>
      <c r="GX66" s="103">
        <f t="shared" si="75"/>
        <v>389488.10698129638</v>
      </c>
      <c r="GY66" s="103">
        <f t="shared" si="75"/>
        <v>389488.10698129638</v>
      </c>
      <c r="GZ66" s="103">
        <f t="shared" si="75"/>
        <v>389488.10698129638</v>
      </c>
      <c r="HA66" s="103">
        <f t="shared" si="75"/>
        <v>389488.10698129638</v>
      </c>
      <c r="HB66" s="103">
        <f t="shared" si="75"/>
        <v>389488.10698129638</v>
      </c>
      <c r="HC66" s="103">
        <f t="shared" si="75"/>
        <v>389488.10698129638</v>
      </c>
      <c r="HD66" s="103">
        <f t="shared" si="75"/>
        <v>389488.10698129638</v>
      </c>
      <c r="HE66" s="103">
        <f t="shared" si="75"/>
        <v>389488.10698129638</v>
      </c>
      <c r="HF66" s="103">
        <f t="shared" si="75"/>
        <v>389488.10698129638</v>
      </c>
      <c r="HG66" s="103">
        <f t="shared" si="75"/>
        <v>389488.10698129638</v>
      </c>
      <c r="HH66" s="103">
        <f t="shared" si="75"/>
        <v>389488.10698129638</v>
      </c>
      <c r="HI66" s="103">
        <f t="shared" si="75"/>
        <v>389488.10698129638</v>
      </c>
      <c r="HJ66" s="103">
        <f t="shared" si="75"/>
        <v>389488.10698129638</v>
      </c>
    </row>
    <row r="67" spans="17:218" x14ac:dyDescent="0.25">
      <c r="Q67" s="37">
        <v>2040</v>
      </c>
      <c r="R67" s="135">
        <v>1E-3</v>
      </c>
      <c r="S67" s="128">
        <v>1</v>
      </c>
      <c r="T67" s="128">
        <v>0</v>
      </c>
      <c r="U67" s="128">
        <v>0</v>
      </c>
      <c r="V67" s="128">
        <v>0</v>
      </c>
      <c r="W67" s="128">
        <v>0</v>
      </c>
      <c r="X67" s="134">
        <f t="shared" si="76"/>
        <v>1.0009999999999999</v>
      </c>
      <c r="Z67" s="83" t="s">
        <v>191</v>
      </c>
      <c r="AA67" s="114">
        <f>'US Grid mix, emissions&amp;prices'!O64</f>
        <v>94756</v>
      </c>
      <c r="AB67" s="116">
        <f t="shared" si="69"/>
        <v>94756</v>
      </c>
      <c r="AC67" s="116">
        <f t="shared" si="70"/>
        <v>83228.513189633246</v>
      </c>
      <c r="AD67" s="116">
        <f t="shared" si="70"/>
        <v>83228.513189633246</v>
      </c>
      <c r="AE67" s="116">
        <f t="shared" si="70"/>
        <v>83228.513189633246</v>
      </c>
      <c r="AF67" s="116">
        <f t="shared" si="70"/>
        <v>83228.513189633246</v>
      </c>
      <c r="AG67" s="116">
        <f t="shared" si="70"/>
        <v>83228.513189633246</v>
      </c>
      <c r="AH67" s="116">
        <f t="shared" si="70"/>
        <v>31466.548469879242</v>
      </c>
      <c r="AI67" s="116">
        <f t="shared" si="70"/>
        <v>31466.548469879242</v>
      </c>
      <c r="AJ67" s="116">
        <f t="shared" si="70"/>
        <v>31466.548469879242</v>
      </c>
      <c r="AK67" s="116">
        <f t="shared" si="70"/>
        <v>31466.548469879242</v>
      </c>
      <c r="AL67" s="116">
        <f t="shared" si="70"/>
        <v>31466.548469879242</v>
      </c>
      <c r="AM67" s="116">
        <f t="shared" si="70"/>
        <v>26447.644577338338</v>
      </c>
      <c r="AN67" s="116">
        <f t="shared" si="70"/>
        <v>26447.644577338338</v>
      </c>
      <c r="AO67" s="116">
        <f t="shared" si="70"/>
        <v>26447.644577338338</v>
      </c>
      <c r="AP67" s="116">
        <f t="shared" si="70"/>
        <v>26447.644577338338</v>
      </c>
      <c r="AQ67" s="116">
        <f t="shared" si="70"/>
        <v>26447.644577338338</v>
      </c>
      <c r="AR67" s="116">
        <f t="shared" si="70"/>
        <v>26447.644577338338</v>
      </c>
      <c r="AS67" s="116">
        <f t="shared" si="70"/>
        <v>26447.644577338338</v>
      </c>
      <c r="AT67" s="116">
        <f t="shared" si="70"/>
        <v>26447.644577338338</v>
      </c>
      <c r="AU67" s="116">
        <f t="shared" si="70"/>
        <v>26447.644577338338</v>
      </c>
      <c r="AV67" s="116">
        <f t="shared" si="70"/>
        <v>26447.644577338338</v>
      </c>
      <c r="AW67" s="116">
        <f t="shared" si="70"/>
        <v>26572.5147309284</v>
      </c>
      <c r="AX67" s="116">
        <f t="shared" si="70"/>
        <v>26572.5147309284</v>
      </c>
      <c r="AY67" s="116">
        <f t="shared" si="70"/>
        <v>26572.5147309284</v>
      </c>
      <c r="AZ67" s="116">
        <f t="shared" si="70"/>
        <v>26572.5147309284</v>
      </c>
      <c r="BA67" s="116">
        <f t="shared" si="70"/>
        <v>26572.5147309284</v>
      </c>
      <c r="BB67" s="116">
        <f t="shared" si="70"/>
        <v>26729.515216436375</v>
      </c>
      <c r="BM67" s="83" t="s">
        <v>191</v>
      </c>
      <c r="BN67" s="114">
        <f t="shared" si="78"/>
        <v>94756</v>
      </c>
      <c r="BO67" s="116">
        <f t="shared" si="79"/>
        <v>94756</v>
      </c>
      <c r="BP67" s="116">
        <f t="shared" si="79"/>
        <v>74693.528656530078</v>
      </c>
      <c r="BQ67" s="116">
        <f t="shared" si="79"/>
        <v>74693.528656530078</v>
      </c>
      <c r="BR67" s="116">
        <f t="shared" si="79"/>
        <v>74693.528656530078</v>
      </c>
      <c r="BS67" s="116">
        <f t="shared" si="79"/>
        <v>74693.528656530078</v>
      </c>
      <c r="BT67" s="116">
        <f t="shared" si="79"/>
        <v>74693.528656530078</v>
      </c>
      <c r="BU67" s="116">
        <f t="shared" si="79"/>
        <v>4219.2967686747179</v>
      </c>
      <c r="BV67" s="116">
        <f t="shared" si="79"/>
        <v>4219.2967686747179</v>
      </c>
      <c r="BW67" s="116">
        <f t="shared" si="79"/>
        <v>4219.2967686747179</v>
      </c>
      <c r="BX67" s="116">
        <f t="shared" si="79"/>
        <v>4219.2967686747179</v>
      </c>
      <c r="BY67" s="116">
        <f t="shared" si="79"/>
        <v>4219.2967686747179</v>
      </c>
      <c r="BZ67" s="116">
        <f t="shared" si="79"/>
        <v>4400.3950031211225</v>
      </c>
      <c r="CA67" s="116">
        <f t="shared" si="79"/>
        <v>4400.3950031211225</v>
      </c>
      <c r="CB67" s="116">
        <f t="shared" si="79"/>
        <v>4400.3950031211225</v>
      </c>
      <c r="CC67" s="116">
        <f t="shared" si="79"/>
        <v>4400.3950031211225</v>
      </c>
      <c r="CD67" s="116">
        <f t="shared" si="79"/>
        <v>4400.3950031211225</v>
      </c>
      <c r="CE67" s="116">
        <f t="shared" si="80"/>
        <v>4461.7347276916798</v>
      </c>
      <c r="CF67" s="116">
        <f t="shared" si="80"/>
        <v>4461.7347276916798</v>
      </c>
      <c r="CG67" s="116">
        <f t="shared" si="80"/>
        <v>4461.7347276916798</v>
      </c>
      <c r="CH67" s="116">
        <f t="shared" si="80"/>
        <v>4461.7347276916798</v>
      </c>
      <c r="CI67" s="116">
        <f t="shared" si="80"/>
        <v>4461.7347276916798</v>
      </c>
      <c r="CJ67" s="116">
        <f t="shared" si="80"/>
        <v>4618.7352131996522</v>
      </c>
      <c r="CK67" s="116">
        <f t="shared" si="80"/>
        <v>4618.7352131996522</v>
      </c>
      <c r="CL67" s="116">
        <f t="shared" si="80"/>
        <v>4618.7352131996522</v>
      </c>
      <c r="CM67" s="116">
        <f t="shared" si="80"/>
        <v>4618.7352131996522</v>
      </c>
      <c r="CN67" s="116">
        <f t="shared" si="80"/>
        <v>4618.7352131996522</v>
      </c>
      <c r="CO67" s="116">
        <f t="shared" si="80"/>
        <v>4817.359083237644</v>
      </c>
      <c r="CR67" s="83" t="s">
        <v>191</v>
      </c>
      <c r="CS67" s="114">
        <f t="shared" si="81"/>
        <v>94756</v>
      </c>
      <c r="CT67" s="116">
        <f t="shared" si="82"/>
        <v>4436.9067439369301</v>
      </c>
      <c r="CU67" s="116">
        <f t="shared" si="82"/>
        <v>4436.9067439369301</v>
      </c>
      <c r="CV67" s="116">
        <f t="shared" si="82"/>
        <v>4436.9067439369301</v>
      </c>
      <c r="CW67" s="116">
        <f t="shared" si="82"/>
        <v>4436.9067439369301</v>
      </c>
      <c r="CX67" s="116">
        <f t="shared" si="82"/>
        <v>4436.9067439369301</v>
      </c>
      <c r="CY67" s="116">
        <f t="shared" si="82"/>
        <v>4436.9067439369301</v>
      </c>
      <c r="CZ67" s="116">
        <f t="shared" si="82"/>
        <v>4436.9067439369301</v>
      </c>
      <c r="DA67" s="116">
        <f t="shared" si="82"/>
        <v>4436.9067439369301</v>
      </c>
      <c r="DB67" s="116">
        <f t="shared" si="82"/>
        <v>4436.9067439369301</v>
      </c>
      <c r="DC67" s="116">
        <f t="shared" si="82"/>
        <v>4436.9067439369301</v>
      </c>
      <c r="DD67" s="116">
        <f t="shared" si="82"/>
        <v>4436.9067439369301</v>
      </c>
      <c r="DE67" s="116">
        <f t="shared" si="82"/>
        <v>4563.9676019759409</v>
      </c>
      <c r="DF67" s="116">
        <f t="shared" si="82"/>
        <v>4563.9676019759409</v>
      </c>
      <c r="DG67" s="116">
        <f t="shared" si="82"/>
        <v>4563.9676019759409</v>
      </c>
      <c r="DH67" s="116">
        <f t="shared" si="82"/>
        <v>4563.9676019759409</v>
      </c>
      <c r="DI67" s="116">
        <f t="shared" si="82"/>
        <v>4563.9676019759409</v>
      </c>
      <c r="DJ67" s="116">
        <f t="shared" si="83"/>
        <v>4801.2939172786892</v>
      </c>
      <c r="DK67" s="116">
        <f t="shared" si="83"/>
        <v>4801.2939172786892</v>
      </c>
      <c r="DL67" s="116">
        <f t="shared" si="83"/>
        <v>4801.2939172786892</v>
      </c>
      <c r="DM67" s="116">
        <f t="shared" si="83"/>
        <v>4801.2939172786892</v>
      </c>
      <c r="DN67" s="116">
        <f t="shared" si="83"/>
        <v>4801.2939172786892</v>
      </c>
      <c r="DO67" s="116">
        <f t="shared" si="83"/>
        <v>4958.2944027866615</v>
      </c>
      <c r="DP67" s="116">
        <f t="shared" si="83"/>
        <v>4958.2944027866615</v>
      </c>
      <c r="DQ67" s="116">
        <f t="shared" si="83"/>
        <v>4958.2944027866615</v>
      </c>
      <c r="DR67" s="116">
        <f t="shared" si="83"/>
        <v>4958.2944027866615</v>
      </c>
      <c r="DS67" s="116">
        <f t="shared" si="83"/>
        <v>4958.2944027866615</v>
      </c>
      <c r="DT67" s="116">
        <f t="shared" si="83"/>
        <v>5157.6485076409708</v>
      </c>
      <c r="DW67" s="83" t="s">
        <v>191</v>
      </c>
      <c r="DX67" s="114">
        <f t="shared" si="84"/>
        <v>125189.59727841555</v>
      </c>
      <c r="DY67" s="116">
        <f t="shared" si="85"/>
        <v>125189.59727841555</v>
      </c>
      <c r="DZ67" s="116">
        <f t="shared" si="73"/>
        <v>109525.64655183969</v>
      </c>
      <c r="EA67" s="116">
        <f t="shared" si="73"/>
        <v>109525.64655183969</v>
      </c>
      <c r="EB67" s="116">
        <f t="shared" si="73"/>
        <v>109525.64655183969</v>
      </c>
      <c r="EC67" s="116">
        <f t="shared" si="73"/>
        <v>109525.64655183969</v>
      </c>
      <c r="ED67" s="116">
        <f t="shared" si="73"/>
        <v>109525.64655183969</v>
      </c>
      <c r="EE67" s="116">
        <f t="shared" si="73"/>
        <v>68142.650465660525</v>
      </c>
      <c r="EF67" s="116">
        <f t="shared" si="73"/>
        <v>68142.650465660525</v>
      </c>
      <c r="EG67" s="116">
        <f t="shared" si="73"/>
        <v>68142.650465660525</v>
      </c>
      <c r="EH67" s="116">
        <f t="shared" si="73"/>
        <v>68142.650465660525</v>
      </c>
      <c r="EI67" s="116">
        <f t="shared" si="73"/>
        <v>68142.650465660525</v>
      </c>
      <c r="EJ67" s="116">
        <f t="shared" si="73"/>
        <v>60674.490405414086</v>
      </c>
      <c r="EK67" s="116">
        <f t="shared" si="73"/>
        <v>60674.490405414086</v>
      </c>
      <c r="EL67" s="116">
        <f t="shared" si="73"/>
        <v>60674.490405414086</v>
      </c>
      <c r="EM67" s="116">
        <f t="shared" si="73"/>
        <v>60674.490405414086</v>
      </c>
      <c r="EN67" s="116">
        <f t="shared" si="73"/>
        <v>60674.490405414086</v>
      </c>
      <c r="EO67" s="116">
        <f t="shared" si="73"/>
        <v>58956.64560879294</v>
      </c>
      <c r="EP67" s="116">
        <f t="shared" si="73"/>
        <v>58956.64560879294</v>
      </c>
      <c r="EQ67" s="116">
        <f t="shared" si="73"/>
        <v>58956.64560879294</v>
      </c>
      <c r="ER67" s="116">
        <f t="shared" si="73"/>
        <v>58956.64560879294</v>
      </c>
      <c r="ES67" s="116">
        <f t="shared" si="73"/>
        <v>58956.64560879294</v>
      </c>
      <c r="ET67" s="116">
        <f t="shared" si="73"/>
        <v>56870.122850158907</v>
      </c>
      <c r="EU67" s="116">
        <f t="shared" si="73"/>
        <v>56870.122850158907</v>
      </c>
      <c r="EV67" s="116">
        <f t="shared" si="73"/>
        <v>56870.122850158907</v>
      </c>
      <c r="EW67" s="116">
        <f t="shared" si="73"/>
        <v>56870.122850158907</v>
      </c>
      <c r="EX67" s="116">
        <f t="shared" si="73"/>
        <v>56870.122850158907</v>
      </c>
      <c r="EY67" s="116">
        <f t="shared" si="73"/>
        <v>53544.94823353918</v>
      </c>
      <c r="FB67" s="83" t="s">
        <v>191</v>
      </c>
      <c r="FC67" s="114">
        <f t="shared" si="86"/>
        <v>135331.33565311506</v>
      </c>
      <c r="FD67" s="116">
        <f t="shared" si="87"/>
        <v>135331.33565311506</v>
      </c>
      <c r="FE67" s="116">
        <f t="shared" si="74"/>
        <v>117986.67316206325</v>
      </c>
      <c r="FF67" s="116">
        <f t="shared" si="74"/>
        <v>117986.67316206325</v>
      </c>
      <c r="FG67" s="116">
        <f t="shared" si="74"/>
        <v>117986.67316206325</v>
      </c>
      <c r="FH67" s="116">
        <f t="shared" si="74"/>
        <v>117986.67316206325</v>
      </c>
      <c r="FI67" s="116">
        <f t="shared" si="74"/>
        <v>117986.67316206325</v>
      </c>
      <c r="FJ67" s="116">
        <f t="shared" si="74"/>
        <v>74627.669293872634</v>
      </c>
      <c r="FK67" s="116">
        <f t="shared" si="74"/>
        <v>74627.669293872634</v>
      </c>
      <c r="FL67" s="116">
        <f t="shared" si="74"/>
        <v>74627.669293872634</v>
      </c>
      <c r="FM67" s="116">
        <f t="shared" si="74"/>
        <v>74627.669293872634</v>
      </c>
      <c r="FN67" s="116">
        <f t="shared" si="74"/>
        <v>74627.669293872634</v>
      </c>
      <c r="FO67" s="116">
        <f t="shared" si="74"/>
        <v>66098.565458049561</v>
      </c>
      <c r="FP67" s="116">
        <f t="shared" si="74"/>
        <v>66098.565458049561</v>
      </c>
      <c r="FQ67" s="116">
        <f t="shared" si="74"/>
        <v>66098.565458049561</v>
      </c>
      <c r="FR67" s="116">
        <f t="shared" si="74"/>
        <v>66098.565458049561</v>
      </c>
      <c r="FS67" s="116">
        <f t="shared" si="74"/>
        <v>66098.565458049561</v>
      </c>
      <c r="FT67" s="116">
        <f t="shared" si="74"/>
        <v>64589.372937291817</v>
      </c>
      <c r="FU67" s="116">
        <f t="shared" si="74"/>
        <v>64589.372937291817</v>
      </c>
      <c r="FV67" s="116">
        <f t="shared" si="74"/>
        <v>64589.372937291817</v>
      </c>
      <c r="FW67" s="116">
        <f t="shared" si="74"/>
        <v>64589.372937291817</v>
      </c>
      <c r="FX67" s="116">
        <f t="shared" si="74"/>
        <v>64589.372937291817</v>
      </c>
      <c r="FY67" s="116">
        <f t="shared" si="74"/>
        <v>62499.313699405873</v>
      </c>
      <c r="FZ67" s="116">
        <f t="shared" si="74"/>
        <v>62499.313699405873</v>
      </c>
      <c r="GA67" s="116">
        <f t="shared" si="74"/>
        <v>62499.313699405873</v>
      </c>
      <c r="GB67" s="116">
        <f t="shared" si="74"/>
        <v>62499.313699405873</v>
      </c>
      <c r="GC67" s="116">
        <f t="shared" si="74"/>
        <v>62499.313699405873</v>
      </c>
      <c r="GD67" s="116">
        <f t="shared" si="74"/>
        <v>59060.97174672463</v>
      </c>
      <c r="GH67" s="123" t="s">
        <v>191</v>
      </c>
      <c r="GI67" s="103">
        <f t="shared" si="88"/>
        <v>238239.10882314408</v>
      </c>
      <c r="GJ67" s="103">
        <f t="shared" si="75"/>
        <v>238239.10882314408</v>
      </c>
      <c r="GK67" s="103">
        <f t="shared" si="75"/>
        <v>238239.10882314408</v>
      </c>
      <c r="GL67" s="103">
        <f t="shared" si="75"/>
        <v>238239.10882314408</v>
      </c>
      <c r="GM67" s="103">
        <f t="shared" si="75"/>
        <v>238239.10882314408</v>
      </c>
      <c r="GN67" s="103">
        <f t="shared" si="75"/>
        <v>238239.10882314408</v>
      </c>
      <c r="GO67" s="103">
        <f t="shared" si="75"/>
        <v>238239.10882314408</v>
      </c>
      <c r="GP67" s="103">
        <f t="shared" si="75"/>
        <v>238239.10882314408</v>
      </c>
      <c r="GQ67" s="103">
        <f t="shared" si="75"/>
        <v>238239.10882314408</v>
      </c>
      <c r="GR67" s="103">
        <f t="shared" si="75"/>
        <v>238239.10882314408</v>
      </c>
      <c r="GS67" s="103">
        <f t="shared" si="75"/>
        <v>238239.10882314408</v>
      </c>
      <c r="GT67" s="103">
        <f t="shared" si="75"/>
        <v>238239.10882314408</v>
      </c>
      <c r="GU67" s="103">
        <f t="shared" si="75"/>
        <v>238239.10882314408</v>
      </c>
      <c r="GV67" s="103">
        <f t="shared" si="75"/>
        <v>238239.10882314408</v>
      </c>
      <c r="GW67" s="103">
        <f t="shared" si="75"/>
        <v>238239.10882314408</v>
      </c>
      <c r="GX67" s="103">
        <f t="shared" si="75"/>
        <v>238239.10882314408</v>
      </c>
      <c r="GY67" s="103">
        <f t="shared" si="75"/>
        <v>238239.10882314408</v>
      </c>
      <c r="GZ67" s="103">
        <f t="shared" si="75"/>
        <v>238239.10882314408</v>
      </c>
      <c r="HA67" s="103">
        <f t="shared" si="75"/>
        <v>238239.10882314408</v>
      </c>
      <c r="HB67" s="103">
        <f t="shared" si="75"/>
        <v>238239.10882314408</v>
      </c>
      <c r="HC67" s="103">
        <f t="shared" si="75"/>
        <v>238239.10882314408</v>
      </c>
      <c r="HD67" s="103">
        <f t="shared" si="75"/>
        <v>238239.10882314408</v>
      </c>
      <c r="HE67" s="103">
        <f t="shared" si="75"/>
        <v>238239.10882314408</v>
      </c>
      <c r="HF67" s="103">
        <f t="shared" si="75"/>
        <v>238239.10882314408</v>
      </c>
      <c r="HG67" s="103">
        <f t="shared" si="75"/>
        <v>238239.10882314408</v>
      </c>
      <c r="HH67" s="103">
        <f t="shared" si="75"/>
        <v>238239.10882314408</v>
      </c>
      <c r="HI67" s="103">
        <f t="shared" si="75"/>
        <v>238239.10882314408</v>
      </c>
      <c r="HJ67" s="103">
        <f t="shared" si="75"/>
        <v>238239.10882314408</v>
      </c>
    </row>
    <row r="68" spans="17:218" x14ac:dyDescent="0.25">
      <c r="Q68" s="37">
        <v>2045</v>
      </c>
      <c r="R68" s="135">
        <v>1E-3</v>
      </c>
      <c r="S68" s="128">
        <v>1</v>
      </c>
      <c r="T68" s="128">
        <v>0</v>
      </c>
      <c r="U68" s="128">
        <v>0</v>
      </c>
      <c r="V68" s="128">
        <v>0</v>
      </c>
      <c r="W68" s="128">
        <v>0</v>
      </c>
      <c r="X68" s="134">
        <f t="shared" si="76"/>
        <v>1.0009999999999999</v>
      </c>
      <c r="Z68" s="83" t="s">
        <v>192</v>
      </c>
      <c r="AA68" s="114">
        <f>'US Grid mix, emissions&amp;prices'!O65</f>
        <v>148353</v>
      </c>
      <c r="AB68" s="116">
        <f t="shared" si="69"/>
        <v>148353</v>
      </c>
      <c r="AC68" s="116">
        <f t="shared" si="70"/>
        <v>130305.20090782283</v>
      </c>
      <c r="AD68" s="116">
        <f t="shared" si="70"/>
        <v>130305.20090782283</v>
      </c>
      <c r="AE68" s="116">
        <f t="shared" si="70"/>
        <v>130305.20090782283</v>
      </c>
      <c r="AF68" s="116">
        <f t="shared" si="70"/>
        <v>130305.20090782283</v>
      </c>
      <c r="AG68" s="116">
        <f t="shared" si="70"/>
        <v>130305.20090782283</v>
      </c>
      <c r="AH68" s="116">
        <f t="shared" si="70"/>
        <v>49265.026648993153</v>
      </c>
      <c r="AI68" s="116">
        <f t="shared" si="70"/>
        <v>49265.026648993153</v>
      </c>
      <c r="AJ68" s="116">
        <f t="shared" si="70"/>
        <v>49265.026648993153</v>
      </c>
      <c r="AK68" s="116">
        <f t="shared" si="70"/>
        <v>49265.026648993153</v>
      </c>
      <c r="AL68" s="116">
        <f t="shared" si="70"/>
        <v>49265.026648993153</v>
      </c>
      <c r="AM68" s="116">
        <f t="shared" si="70"/>
        <v>41407.271476021298</v>
      </c>
      <c r="AN68" s="116">
        <f t="shared" si="70"/>
        <v>41407.271476021298</v>
      </c>
      <c r="AO68" s="116">
        <f t="shared" si="70"/>
        <v>41407.271476021298</v>
      </c>
      <c r="AP68" s="116">
        <f t="shared" si="70"/>
        <v>41407.271476021298</v>
      </c>
      <c r="AQ68" s="116">
        <f t="shared" si="70"/>
        <v>41407.271476021298</v>
      </c>
      <c r="AR68" s="116">
        <f t="shared" si="70"/>
        <v>41407.271476021298</v>
      </c>
      <c r="AS68" s="116">
        <f t="shared" si="70"/>
        <v>41407.271476021298</v>
      </c>
      <c r="AT68" s="116">
        <f t="shared" si="70"/>
        <v>41407.271476021298</v>
      </c>
      <c r="AU68" s="116">
        <f t="shared" si="70"/>
        <v>41407.271476021298</v>
      </c>
      <c r="AV68" s="116">
        <f t="shared" si="70"/>
        <v>41407.271476021298</v>
      </c>
      <c r="AW68" s="116">
        <f t="shared" si="70"/>
        <v>41602.772150337929</v>
      </c>
      <c r="AX68" s="116">
        <f t="shared" si="70"/>
        <v>41602.772150337929</v>
      </c>
      <c r="AY68" s="116">
        <f t="shared" si="70"/>
        <v>41602.772150337929</v>
      </c>
      <c r="AZ68" s="116">
        <f t="shared" si="70"/>
        <v>41602.772150337929</v>
      </c>
      <c r="BA68" s="116">
        <f t="shared" si="70"/>
        <v>41602.772150337929</v>
      </c>
      <c r="BB68" s="116">
        <f t="shared" si="70"/>
        <v>41848.577091730185</v>
      </c>
      <c r="BM68" s="83" t="s">
        <v>192</v>
      </c>
      <c r="BN68" s="114">
        <f t="shared" si="78"/>
        <v>148353</v>
      </c>
      <c r="BO68" s="116">
        <f t="shared" si="79"/>
        <v>148353</v>
      </c>
      <c r="BP68" s="116">
        <f t="shared" si="79"/>
        <v>116942.55832646172</v>
      </c>
      <c r="BQ68" s="116">
        <f t="shared" si="79"/>
        <v>116942.55832646172</v>
      </c>
      <c r="BR68" s="116">
        <f t="shared" si="79"/>
        <v>116942.55832646172</v>
      </c>
      <c r="BS68" s="116">
        <f t="shared" si="79"/>
        <v>116942.55832646172</v>
      </c>
      <c r="BT68" s="116">
        <f t="shared" si="79"/>
        <v>116942.55832646172</v>
      </c>
      <c r="BU68" s="116">
        <f t="shared" si="79"/>
        <v>6605.8648900671233</v>
      </c>
      <c r="BV68" s="116">
        <f t="shared" si="79"/>
        <v>6605.8648900671233</v>
      </c>
      <c r="BW68" s="116">
        <f t="shared" si="79"/>
        <v>6605.8648900671233</v>
      </c>
      <c r="BX68" s="116">
        <f t="shared" si="79"/>
        <v>6605.8648900671233</v>
      </c>
      <c r="BY68" s="116">
        <f t="shared" si="79"/>
        <v>6605.8648900671233</v>
      </c>
      <c r="BZ68" s="116">
        <f t="shared" si="79"/>
        <v>6889.3980317660935</v>
      </c>
      <c r="CA68" s="116">
        <f t="shared" si="79"/>
        <v>6889.3980317660935</v>
      </c>
      <c r="CB68" s="116">
        <f t="shared" si="79"/>
        <v>6889.3980317660935</v>
      </c>
      <c r="CC68" s="116">
        <f t="shared" si="79"/>
        <v>6889.3980317660935</v>
      </c>
      <c r="CD68" s="116">
        <f t="shared" si="79"/>
        <v>6889.3980317660935</v>
      </c>
      <c r="CE68" s="116">
        <f t="shared" si="80"/>
        <v>6985.4334507286476</v>
      </c>
      <c r="CF68" s="116">
        <f t="shared" si="80"/>
        <v>6985.4334507286476</v>
      </c>
      <c r="CG68" s="116">
        <f t="shared" si="80"/>
        <v>6985.4334507286476</v>
      </c>
      <c r="CH68" s="116">
        <f t="shared" si="80"/>
        <v>6985.4334507286476</v>
      </c>
      <c r="CI68" s="116">
        <f t="shared" si="80"/>
        <v>6985.4334507286476</v>
      </c>
      <c r="CJ68" s="116">
        <f t="shared" si="80"/>
        <v>7231.2383921208993</v>
      </c>
      <c r="CK68" s="116">
        <f t="shared" si="80"/>
        <v>7231.2383921208993</v>
      </c>
      <c r="CL68" s="116">
        <f t="shared" si="80"/>
        <v>7231.2383921208993</v>
      </c>
      <c r="CM68" s="116">
        <f t="shared" si="80"/>
        <v>7231.2383921208993</v>
      </c>
      <c r="CN68" s="116">
        <f t="shared" si="80"/>
        <v>7231.2383921208993</v>
      </c>
      <c r="CO68" s="116">
        <f t="shared" si="80"/>
        <v>7542.2102249520267</v>
      </c>
      <c r="CR68" s="83" t="s">
        <v>192</v>
      </c>
      <c r="CS68" s="114">
        <f t="shared" si="81"/>
        <v>148353</v>
      </c>
      <c r="CT68" s="116">
        <f t="shared" si="82"/>
        <v>6946.5619716247566</v>
      </c>
      <c r="CU68" s="116">
        <f t="shared" si="82"/>
        <v>6946.5619716247566</v>
      </c>
      <c r="CV68" s="116">
        <f t="shared" si="82"/>
        <v>6946.5619716247566</v>
      </c>
      <c r="CW68" s="116">
        <f t="shared" si="82"/>
        <v>6946.5619716247566</v>
      </c>
      <c r="CX68" s="116">
        <f t="shared" si="82"/>
        <v>6946.5619716247566</v>
      </c>
      <c r="CY68" s="116">
        <f t="shared" si="82"/>
        <v>6946.5619716247566</v>
      </c>
      <c r="CZ68" s="116">
        <f t="shared" si="82"/>
        <v>6946.5619716247566</v>
      </c>
      <c r="DA68" s="116">
        <f t="shared" si="82"/>
        <v>6946.5619716247566</v>
      </c>
      <c r="DB68" s="116">
        <f t="shared" si="82"/>
        <v>6946.5619716247566</v>
      </c>
      <c r="DC68" s="116">
        <f t="shared" si="82"/>
        <v>6946.5619716247566</v>
      </c>
      <c r="DD68" s="116">
        <f t="shared" si="82"/>
        <v>6946.5619716247566</v>
      </c>
      <c r="DE68" s="116">
        <f t="shared" si="82"/>
        <v>7145.4924823329047</v>
      </c>
      <c r="DF68" s="116">
        <f t="shared" si="82"/>
        <v>7145.4924823329047</v>
      </c>
      <c r="DG68" s="116">
        <f t="shared" si="82"/>
        <v>7145.4924823329047</v>
      </c>
      <c r="DH68" s="116">
        <f t="shared" si="82"/>
        <v>7145.4924823329047</v>
      </c>
      <c r="DI68" s="116">
        <f t="shared" si="82"/>
        <v>7145.4924823329047</v>
      </c>
      <c r="DJ68" s="116">
        <f t="shared" si="83"/>
        <v>7517.0580914142156</v>
      </c>
      <c r="DK68" s="116">
        <f t="shared" si="83"/>
        <v>7517.0580914142156</v>
      </c>
      <c r="DL68" s="116">
        <f t="shared" si="83"/>
        <v>7517.0580914142156</v>
      </c>
      <c r="DM68" s="116">
        <f t="shared" si="83"/>
        <v>7517.0580914142156</v>
      </c>
      <c r="DN68" s="116">
        <f t="shared" si="83"/>
        <v>7517.0580914142156</v>
      </c>
      <c r="DO68" s="116">
        <f t="shared" si="83"/>
        <v>7762.8630328064673</v>
      </c>
      <c r="DP68" s="116">
        <f t="shared" si="83"/>
        <v>7762.8630328064673</v>
      </c>
      <c r="DQ68" s="116">
        <f t="shared" si="83"/>
        <v>7762.8630328064673</v>
      </c>
      <c r="DR68" s="116">
        <f t="shared" si="83"/>
        <v>7762.8630328064673</v>
      </c>
      <c r="DS68" s="116">
        <f t="shared" si="83"/>
        <v>7762.8630328064673</v>
      </c>
      <c r="DT68" s="116">
        <f t="shared" si="83"/>
        <v>8074.9781444347691</v>
      </c>
      <c r="DW68" s="83" t="s">
        <v>192</v>
      </c>
      <c r="DX68" s="114">
        <f t="shared" si="84"/>
        <v>196000.8054903624</v>
      </c>
      <c r="DY68" s="116">
        <f t="shared" si="85"/>
        <v>196000.8054903624</v>
      </c>
      <c r="DZ68" s="116">
        <f t="shared" si="73"/>
        <v>171476.82725004296</v>
      </c>
      <c r="EA68" s="116">
        <f t="shared" si="73"/>
        <v>171476.82725004296</v>
      </c>
      <c r="EB68" s="116">
        <f t="shared" si="73"/>
        <v>171476.82725004296</v>
      </c>
      <c r="EC68" s="116">
        <f t="shared" si="73"/>
        <v>171476.82725004296</v>
      </c>
      <c r="ED68" s="116">
        <f t="shared" si="73"/>
        <v>171476.82725004296</v>
      </c>
      <c r="EE68" s="116">
        <f t="shared" si="73"/>
        <v>106686.29558584295</v>
      </c>
      <c r="EF68" s="116">
        <f t="shared" si="73"/>
        <v>106686.29558584295</v>
      </c>
      <c r="EG68" s="116">
        <f t="shared" si="73"/>
        <v>106686.29558584295</v>
      </c>
      <c r="EH68" s="116">
        <f t="shared" si="73"/>
        <v>106686.29558584295</v>
      </c>
      <c r="EI68" s="116">
        <f t="shared" si="73"/>
        <v>106686.29558584295</v>
      </c>
      <c r="EJ68" s="116">
        <f t="shared" si="73"/>
        <v>94993.907247186406</v>
      </c>
      <c r="EK68" s="116">
        <f t="shared" si="73"/>
        <v>94993.907247186406</v>
      </c>
      <c r="EL68" s="116">
        <f t="shared" si="73"/>
        <v>94993.907247186406</v>
      </c>
      <c r="EM68" s="116">
        <f t="shared" si="73"/>
        <v>94993.907247186406</v>
      </c>
      <c r="EN68" s="116">
        <f t="shared" si="73"/>
        <v>94993.907247186406</v>
      </c>
      <c r="EO68" s="116">
        <f t="shared" si="73"/>
        <v>92304.394930149618</v>
      </c>
      <c r="EP68" s="116">
        <f t="shared" si="73"/>
        <v>92304.394930149618</v>
      </c>
      <c r="EQ68" s="116">
        <f t="shared" si="73"/>
        <v>92304.394930149618</v>
      </c>
      <c r="ER68" s="116">
        <f t="shared" si="73"/>
        <v>92304.394930149618</v>
      </c>
      <c r="ES68" s="116">
        <f t="shared" si="73"/>
        <v>92304.394930149618</v>
      </c>
      <c r="ET68" s="116">
        <f t="shared" si="73"/>
        <v>89037.668698442561</v>
      </c>
      <c r="EU68" s="116">
        <f t="shared" si="73"/>
        <v>89037.668698442561</v>
      </c>
      <c r="EV68" s="116">
        <f t="shared" si="73"/>
        <v>89037.668698442561</v>
      </c>
      <c r="EW68" s="116">
        <f t="shared" si="73"/>
        <v>89037.668698442561</v>
      </c>
      <c r="EX68" s="116">
        <f t="shared" si="73"/>
        <v>89037.668698442561</v>
      </c>
      <c r="EY68" s="116">
        <f t="shared" si="73"/>
        <v>83831.669818167051</v>
      </c>
      <c r="FB68" s="83" t="s">
        <v>192</v>
      </c>
      <c r="FC68" s="114">
        <f t="shared" si="86"/>
        <v>211879.03286490124</v>
      </c>
      <c r="FD68" s="116">
        <f t="shared" si="87"/>
        <v>211879.03286490124</v>
      </c>
      <c r="FE68" s="116">
        <f t="shared" si="74"/>
        <v>184723.67896082118</v>
      </c>
      <c r="FF68" s="116">
        <f t="shared" si="74"/>
        <v>184723.67896082118</v>
      </c>
      <c r="FG68" s="116">
        <f t="shared" si="74"/>
        <v>184723.67896082118</v>
      </c>
      <c r="FH68" s="116">
        <f t="shared" si="74"/>
        <v>184723.67896082118</v>
      </c>
      <c r="FI68" s="116">
        <f t="shared" si="74"/>
        <v>184723.67896082118</v>
      </c>
      <c r="FJ68" s="116">
        <f t="shared" si="74"/>
        <v>116839.44681871215</v>
      </c>
      <c r="FK68" s="116">
        <f t="shared" si="74"/>
        <v>116839.44681871215</v>
      </c>
      <c r="FL68" s="116">
        <f t="shared" si="74"/>
        <v>116839.44681871215</v>
      </c>
      <c r="FM68" s="116">
        <f t="shared" si="74"/>
        <v>116839.44681871215</v>
      </c>
      <c r="FN68" s="116">
        <f t="shared" si="74"/>
        <v>116839.44681871215</v>
      </c>
      <c r="FO68" s="116">
        <f t="shared" si="74"/>
        <v>103486.01124359437</v>
      </c>
      <c r="FP68" s="116">
        <f t="shared" si="74"/>
        <v>103486.01124359437</v>
      </c>
      <c r="FQ68" s="116">
        <f t="shared" si="74"/>
        <v>103486.01124359437</v>
      </c>
      <c r="FR68" s="116">
        <f t="shared" si="74"/>
        <v>103486.01124359437</v>
      </c>
      <c r="FS68" s="116">
        <f t="shared" si="74"/>
        <v>103486.01124359437</v>
      </c>
      <c r="FT68" s="116">
        <f t="shared" si="74"/>
        <v>101123.17154972829</v>
      </c>
      <c r="FU68" s="116">
        <f t="shared" si="74"/>
        <v>101123.17154972829</v>
      </c>
      <c r="FV68" s="116">
        <f t="shared" si="74"/>
        <v>101123.17154972829</v>
      </c>
      <c r="FW68" s="116">
        <f t="shared" si="74"/>
        <v>101123.17154972829</v>
      </c>
      <c r="FX68" s="116">
        <f t="shared" si="74"/>
        <v>101123.17154972829</v>
      </c>
      <c r="FY68" s="116">
        <f t="shared" si="74"/>
        <v>97850.908493899697</v>
      </c>
      <c r="FZ68" s="116">
        <f t="shared" si="74"/>
        <v>97850.908493899697</v>
      </c>
      <c r="GA68" s="116">
        <f t="shared" si="74"/>
        <v>97850.908493899697</v>
      </c>
      <c r="GB68" s="116">
        <f t="shared" si="74"/>
        <v>97850.908493899697</v>
      </c>
      <c r="GC68" s="116">
        <f t="shared" si="74"/>
        <v>97850.908493899697</v>
      </c>
      <c r="GD68" s="116">
        <f t="shared" si="74"/>
        <v>92467.731241734989</v>
      </c>
      <c r="GH68" s="123" t="s">
        <v>192</v>
      </c>
      <c r="GI68" s="103">
        <f t="shared" si="88"/>
        <v>372994.70757777762</v>
      </c>
      <c r="GJ68" s="103">
        <f t="shared" si="75"/>
        <v>372994.70757777762</v>
      </c>
      <c r="GK68" s="103">
        <f t="shared" si="75"/>
        <v>372994.70757777762</v>
      </c>
      <c r="GL68" s="103">
        <f t="shared" si="75"/>
        <v>372994.70757777762</v>
      </c>
      <c r="GM68" s="103">
        <f t="shared" si="75"/>
        <v>372994.70757777762</v>
      </c>
      <c r="GN68" s="103">
        <f t="shared" si="75"/>
        <v>372994.70757777762</v>
      </c>
      <c r="GO68" s="103">
        <f t="shared" si="75"/>
        <v>372994.70757777762</v>
      </c>
      <c r="GP68" s="103">
        <f t="shared" si="75"/>
        <v>372994.70757777762</v>
      </c>
      <c r="GQ68" s="103">
        <f t="shared" si="75"/>
        <v>372994.70757777762</v>
      </c>
      <c r="GR68" s="103">
        <f t="shared" si="75"/>
        <v>372994.70757777762</v>
      </c>
      <c r="GS68" s="103">
        <f t="shared" si="75"/>
        <v>372994.70757777762</v>
      </c>
      <c r="GT68" s="103">
        <f t="shared" si="75"/>
        <v>372994.70757777762</v>
      </c>
      <c r="GU68" s="103">
        <f t="shared" si="75"/>
        <v>372994.70757777762</v>
      </c>
      <c r="GV68" s="103">
        <f t="shared" si="75"/>
        <v>372994.70757777762</v>
      </c>
      <c r="GW68" s="103">
        <f t="shared" si="75"/>
        <v>372994.70757777762</v>
      </c>
      <c r="GX68" s="103">
        <f t="shared" si="75"/>
        <v>372994.70757777762</v>
      </c>
      <c r="GY68" s="103">
        <f t="shared" si="75"/>
        <v>372994.70757777762</v>
      </c>
      <c r="GZ68" s="103">
        <f t="shared" si="75"/>
        <v>372994.70757777762</v>
      </c>
      <c r="HA68" s="103">
        <f t="shared" si="75"/>
        <v>372994.70757777762</v>
      </c>
      <c r="HB68" s="103">
        <f t="shared" si="75"/>
        <v>372994.70757777762</v>
      </c>
      <c r="HC68" s="103">
        <f t="shared" si="75"/>
        <v>372994.70757777762</v>
      </c>
      <c r="HD68" s="103">
        <f t="shared" si="75"/>
        <v>372994.70757777762</v>
      </c>
      <c r="HE68" s="103">
        <f t="shared" si="75"/>
        <v>372994.70757777762</v>
      </c>
      <c r="HF68" s="103">
        <f t="shared" si="75"/>
        <v>372994.70757777762</v>
      </c>
      <c r="HG68" s="103">
        <f t="shared" si="75"/>
        <v>372994.70757777762</v>
      </c>
      <c r="HH68" s="103">
        <f t="shared" si="75"/>
        <v>372994.70757777762</v>
      </c>
      <c r="HI68" s="103">
        <f t="shared" si="75"/>
        <v>372994.70757777762</v>
      </c>
      <c r="HJ68" s="103">
        <f t="shared" si="75"/>
        <v>372994.70757777762</v>
      </c>
    </row>
    <row r="69" spans="17:218" x14ac:dyDescent="0.25">
      <c r="Q69" s="37">
        <v>2050</v>
      </c>
      <c r="R69" s="136">
        <v>1E-3</v>
      </c>
      <c r="S69" s="128">
        <v>1</v>
      </c>
      <c r="T69" s="128">
        <v>0</v>
      </c>
      <c r="U69" s="128">
        <v>0</v>
      </c>
      <c r="V69" s="128">
        <v>0</v>
      </c>
      <c r="W69" s="128">
        <v>0</v>
      </c>
      <c r="X69" s="138">
        <f t="shared" si="76"/>
        <v>1.0009999999999999</v>
      </c>
      <c r="Z69" s="83" t="s">
        <v>193</v>
      </c>
      <c r="AA69" s="114">
        <f>'US Grid mix, emissions&amp;prices'!O66</f>
        <v>137917</v>
      </c>
      <c r="AB69" s="116">
        <f t="shared" si="69"/>
        <v>137917</v>
      </c>
      <c r="AC69" s="116">
        <f t="shared" si="70"/>
        <v>121138.78649979577</v>
      </c>
      <c r="AD69" s="116">
        <f t="shared" si="70"/>
        <v>121138.78649979577</v>
      </c>
      <c r="AE69" s="116">
        <f t="shared" si="70"/>
        <v>121138.78649979577</v>
      </c>
      <c r="AF69" s="116">
        <f t="shared" si="70"/>
        <v>121138.78649979577</v>
      </c>
      <c r="AG69" s="116">
        <f t="shared" si="70"/>
        <v>121138.78649979577</v>
      </c>
      <c r="AH69" s="116">
        <f t="shared" si="70"/>
        <v>45799.442413359946</v>
      </c>
      <c r="AI69" s="116">
        <f t="shared" si="70"/>
        <v>45799.442413359946</v>
      </c>
      <c r="AJ69" s="116">
        <f t="shared" si="70"/>
        <v>45799.442413359946</v>
      </c>
      <c r="AK69" s="116">
        <f t="shared" si="70"/>
        <v>45799.442413359946</v>
      </c>
      <c r="AL69" s="116">
        <f t="shared" si="70"/>
        <v>45799.442413359946</v>
      </c>
      <c r="AM69" s="116">
        <f t="shared" si="70"/>
        <v>38494.446759812272</v>
      </c>
      <c r="AN69" s="116">
        <f t="shared" si="70"/>
        <v>38494.446759812272</v>
      </c>
      <c r="AO69" s="116">
        <f t="shared" si="70"/>
        <v>38494.446759812272</v>
      </c>
      <c r="AP69" s="116">
        <f t="shared" si="70"/>
        <v>38494.446759812272</v>
      </c>
      <c r="AQ69" s="116">
        <f t="shared" si="70"/>
        <v>38494.446759812272</v>
      </c>
      <c r="AR69" s="116">
        <f t="shared" si="70"/>
        <v>38494.446759812272</v>
      </c>
      <c r="AS69" s="116">
        <f t="shared" si="70"/>
        <v>38494.446759812272</v>
      </c>
      <c r="AT69" s="116">
        <f t="shared" si="70"/>
        <v>38494.446759812272</v>
      </c>
      <c r="AU69" s="116">
        <f t="shared" si="70"/>
        <v>38494.446759812272</v>
      </c>
      <c r="AV69" s="116">
        <f t="shared" si="70"/>
        <v>38494.446759812272</v>
      </c>
      <c r="AW69" s="116">
        <f t="shared" si="70"/>
        <v>38676.194796587573</v>
      </c>
      <c r="AX69" s="116">
        <f t="shared" si="70"/>
        <v>38676.194796587573</v>
      </c>
      <c r="AY69" s="116">
        <f t="shared" si="70"/>
        <v>38676.194796587573</v>
      </c>
      <c r="AZ69" s="116">
        <f t="shared" si="70"/>
        <v>38676.194796587573</v>
      </c>
      <c r="BA69" s="116">
        <f t="shared" si="70"/>
        <v>38676.194796587573</v>
      </c>
      <c r="BB69" s="116">
        <f t="shared" si="70"/>
        <v>38904.708410076993</v>
      </c>
      <c r="BM69" s="83" t="s">
        <v>193</v>
      </c>
      <c r="BN69" s="114">
        <f t="shared" si="78"/>
        <v>137917</v>
      </c>
      <c r="BO69" s="116">
        <f t="shared" si="79"/>
        <v>137917</v>
      </c>
      <c r="BP69" s="116">
        <f t="shared" si="79"/>
        <v>108716.14875810142</v>
      </c>
      <c r="BQ69" s="116">
        <f t="shared" si="79"/>
        <v>108716.14875810142</v>
      </c>
      <c r="BR69" s="116">
        <f t="shared" si="79"/>
        <v>108716.14875810142</v>
      </c>
      <c r="BS69" s="116">
        <f t="shared" si="79"/>
        <v>108716.14875810142</v>
      </c>
      <c r="BT69" s="116">
        <f t="shared" si="79"/>
        <v>108716.14875810142</v>
      </c>
      <c r="BU69" s="116">
        <f t="shared" si="79"/>
        <v>6141.1705057760037</v>
      </c>
      <c r="BV69" s="116">
        <f t="shared" si="79"/>
        <v>6141.1705057760037</v>
      </c>
      <c r="BW69" s="116">
        <f t="shared" si="79"/>
        <v>6141.1705057760037</v>
      </c>
      <c r="BX69" s="116">
        <f t="shared" si="79"/>
        <v>6141.1705057760037</v>
      </c>
      <c r="BY69" s="116">
        <f t="shared" si="79"/>
        <v>6141.1705057760037</v>
      </c>
      <c r="BZ69" s="116">
        <f t="shared" si="79"/>
        <v>6404.7583018010037</v>
      </c>
      <c r="CA69" s="116">
        <f t="shared" si="79"/>
        <v>6404.7583018010037</v>
      </c>
      <c r="CB69" s="116">
        <f t="shared" si="79"/>
        <v>6404.7583018010037</v>
      </c>
      <c r="CC69" s="116">
        <f t="shared" si="79"/>
        <v>6404.7583018010037</v>
      </c>
      <c r="CD69" s="116">
        <f t="shared" si="79"/>
        <v>6404.7583018010037</v>
      </c>
      <c r="CE69" s="116">
        <f t="shared" si="80"/>
        <v>6494.0380391643102</v>
      </c>
      <c r="CF69" s="116">
        <f t="shared" si="80"/>
        <v>6494.0380391643102</v>
      </c>
      <c r="CG69" s="116">
        <f t="shared" si="80"/>
        <v>6494.0380391643102</v>
      </c>
      <c r="CH69" s="116">
        <f t="shared" si="80"/>
        <v>6494.0380391643102</v>
      </c>
      <c r="CI69" s="116">
        <f t="shared" si="80"/>
        <v>6494.0380391643102</v>
      </c>
      <c r="CJ69" s="116">
        <f t="shared" si="80"/>
        <v>6722.5516526537249</v>
      </c>
      <c r="CK69" s="116">
        <f t="shared" si="80"/>
        <v>6722.5516526537249</v>
      </c>
      <c r="CL69" s="116">
        <f t="shared" si="80"/>
        <v>6722.5516526537249</v>
      </c>
      <c r="CM69" s="116">
        <f t="shared" si="80"/>
        <v>6722.5516526537249</v>
      </c>
      <c r="CN69" s="116">
        <f t="shared" si="80"/>
        <v>6722.5516526537249</v>
      </c>
      <c r="CO69" s="116">
        <f t="shared" si="80"/>
        <v>7011.6479450682409</v>
      </c>
      <c r="CR69" s="83" t="s">
        <v>193</v>
      </c>
      <c r="CS69" s="114">
        <f t="shared" si="81"/>
        <v>137917</v>
      </c>
      <c r="CT69" s="116">
        <f t="shared" si="82"/>
        <v>6457.9010026124961</v>
      </c>
      <c r="CU69" s="116">
        <f t="shared" si="82"/>
        <v>6457.9010026124961</v>
      </c>
      <c r="CV69" s="116">
        <f t="shared" si="82"/>
        <v>6457.9010026124961</v>
      </c>
      <c r="CW69" s="116">
        <f t="shared" si="82"/>
        <v>6457.9010026124961</v>
      </c>
      <c r="CX69" s="116">
        <f t="shared" si="82"/>
        <v>6457.9010026124961</v>
      </c>
      <c r="CY69" s="116">
        <f t="shared" si="82"/>
        <v>6457.9010026124961</v>
      </c>
      <c r="CZ69" s="116">
        <f t="shared" si="82"/>
        <v>6457.9010026124961</v>
      </c>
      <c r="DA69" s="116">
        <f t="shared" si="82"/>
        <v>6457.9010026124961</v>
      </c>
      <c r="DB69" s="116">
        <f t="shared" si="82"/>
        <v>6457.9010026124961</v>
      </c>
      <c r="DC69" s="116">
        <f t="shared" si="82"/>
        <v>6457.9010026124961</v>
      </c>
      <c r="DD69" s="116">
        <f t="shared" si="82"/>
        <v>6457.9010026124961</v>
      </c>
      <c r="DE69" s="116">
        <f t="shared" si="82"/>
        <v>6642.8376014364876</v>
      </c>
      <c r="DF69" s="116">
        <f t="shared" si="82"/>
        <v>6642.8376014364876</v>
      </c>
      <c r="DG69" s="116">
        <f t="shared" si="82"/>
        <v>6642.8376014364876</v>
      </c>
      <c r="DH69" s="116">
        <f t="shared" si="82"/>
        <v>6642.8376014364876</v>
      </c>
      <c r="DI69" s="116">
        <f t="shared" si="82"/>
        <v>6642.8376014364876</v>
      </c>
      <c r="DJ69" s="116">
        <f t="shared" si="83"/>
        <v>6988.2651567111843</v>
      </c>
      <c r="DK69" s="116">
        <f t="shared" si="83"/>
        <v>6988.2651567111843</v>
      </c>
      <c r="DL69" s="116">
        <f t="shared" si="83"/>
        <v>6988.2651567111843</v>
      </c>
      <c r="DM69" s="116">
        <f t="shared" si="83"/>
        <v>6988.2651567111843</v>
      </c>
      <c r="DN69" s="116">
        <f t="shared" si="83"/>
        <v>6988.2651567111843</v>
      </c>
      <c r="DO69" s="116">
        <f t="shared" si="83"/>
        <v>7216.7787702005999</v>
      </c>
      <c r="DP69" s="116">
        <f t="shared" si="83"/>
        <v>7216.7787702005999</v>
      </c>
      <c r="DQ69" s="116">
        <f t="shared" si="83"/>
        <v>7216.7787702005999</v>
      </c>
      <c r="DR69" s="116">
        <f t="shared" si="83"/>
        <v>7216.7787702005999</v>
      </c>
      <c r="DS69" s="116">
        <f t="shared" si="83"/>
        <v>7216.7787702005999</v>
      </c>
      <c r="DT69" s="116">
        <f t="shared" si="83"/>
        <v>7506.9379166313456</v>
      </c>
      <c r="DW69" s="83" t="s">
        <v>193</v>
      </c>
      <c r="DX69" s="114">
        <f t="shared" si="84"/>
        <v>182212.9858568031</v>
      </c>
      <c r="DY69" s="116">
        <f t="shared" si="85"/>
        <v>182212.9858568031</v>
      </c>
      <c r="DZ69" s="116">
        <f t="shared" si="73"/>
        <v>159414.1647546337</v>
      </c>
      <c r="EA69" s="116">
        <f t="shared" si="73"/>
        <v>159414.1647546337</v>
      </c>
      <c r="EB69" s="116">
        <f t="shared" si="73"/>
        <v>159414.1647546337</v>
      </c>
      <c r="EC69" s="116">
        <f t="shared" si="73"/>
        <v>159414.1647546337</v>
      </c>
      <c r="ED69" s="116">
        <f t="shared" si="73"/>
        <v>159414.1647546337</v>
      </c>
      <c r="EE69" s="116">
        <f t="shared" si="73"/>
        <v>99181.370301326577</v>
      </c>
      <c r="EF69" s="116">
        <f t="shared" si="73"/>
        <v>99181.370301326577</v>
      </c>
      <c r="EG69" s="116">
        <f t="shared" si="73"/>
        <v>99181.370301326577</v>
      </c>
      <c r="EH69" s="116">
        <f t="shared" si="73"/>
        <v>99181.370301326577</v>
      </c>
      <c r="EI69" s="116">
        <f t="shared" si="73"/>
        <v>99181.370301326577</v>
      </c>
      <c r="EJ69" s="116">
        <f t="shared" si="73"/>
        <v>88311.491549279133</v>
      </c>
      <c r="EK69" s="116">
        <f t="shared" si="73"/>
        <v>88311.491549279133</v>
      </c>
      <c r="EL69" s="116">
        <f t="shared" si="73"/>
        <v>88311.491549279133</v>
      </c>
      <c r="EM69" s="116">
        <f t="shared" si="73"/>
        <v>88311.491549279133</v>
      </c>
      <c r="EN69" s="116">
        <f t="shared" si="73"/>
        <v>88311.491549279133</v>
      </c>
      <c r="EO69" s="116">
        <f t="shared" si="73"/>
        <v>85811.174938029202</v>
      </c>
      <c r="EP69" s="116">
        <f t="shared" si="73"/>
        <v>85811.174938029202</v>
      </c>
      <c r="EQ69" s="116">
        <f t="shared" si="73"/>
        <v>85811.174938029202</v>
      </c>
      <c r="ER69" s="116">
        <f t="shared" si="73"/>
        <v>85811.174938029202</v>
      </c>
      <c r="ES69" s="116">
        <f t="shared" si="73"/>
        <v>85811.174938029202</v>
      </c>
      <c r="ET69" s="116">
        <f t="shared" si="73"/>
        <v>82774.248945980886</v>
      </c>
      <c r="EU69" s="116">
        <f t="shared" si="73"/>
        <v>82774.248945980886</v>
      </c>
      <c r="EV69" s="116">
        <f t="shared" si="73"/>
        <v>82774.248945980886</v>
      </c>
      <c r="EW69" s="116">
        <f t="shared" si="73"/>
        <v>82774.248945980886</v>
      </c>
      <c r="EX69" s="116">
        <f t="shared" si="73"/>
        <v>82774.248945980886</v>
      </c>
      <c r="EY69" s="116">
        <f t="shared" si="73"/>
        <v>77934.469854415787</v>
      </c>
      <c r="FB69" s="83" t="s">
        <v>193</v>
      </c>
      <c r="FC69" s="114">
        <f t="shared" si="86"/>
        <v>196974.24774442433</v>
      </c>
      <c r="FD69" s="116">
        <f t="shared" si="87"/>
        <v>196974.24774442433</v>
      </c>
      <c r="FE69" s="116">
        <f t="shared" si="74"/>
        <v>171729.1570189991</v>
      </c>
      <c r="FF69" s="116">
        <f t="shared" si="74"/>
        <v>171729.1570189991</v>
      </c>
      <c r="FG69" s="116">
        <f t="shared" si="74"/>
        <v>171729.1570189991</v>
      </c>
      <c r="FH69" s="116">
        <f t="shared" si="74"/>
        <v>171729.1570189991</v>
      </c>
      <c r="FI69" s="116">
        <f t="shared" si="74"/>
        <v>171729.1570189991</v>
      </c>
      <c r="FJ69" s="116">
        <f t="shared" si="74"/>
        <v>108620.29070457842</v>
      </c>
      <c r="FK69" s="116">
        <f t="shared" si="74"/>
        <v>108620.29070457842</v>
      </c>
      <c r="FL69" s="116">
        <f t="shared" si="74"/>
        <v>108620.29070457842</v>
      </c>
      <c r="FM69" s="116">
        <f t="shared" si="74"/>
        <v>108620.29070457842</v>
      </c>
      <c r="FN69" s="116">
        <f t="shared" si="74"/>
        <v>108620.29070457842</v>
      </c>
      <c r="FO69" s="116">
        <f t="shared" si="74"/>
        <v>96206.212295557241</v>
      </c>
      <c r="FP69" s="116">
        <f t="shared" si="74"/>
        <v>96206.212295557241</v>
      </c>
      <c r="FQ69" s="116">
        <f t="shared" si="74"/>
        <v>96206.212295557241</v>
      </c>
      <c r="FR69" s="116">
        <f t="shared" si="74"/>
        <v>96206.212295557241</v>
      </c>
      <c r="FS69" s="116">
        <f t="shared" si="74"/>
        <v>96206.212295557241</v>
      </c>
      <c r="FT69" s="116">
        <f t="shared" si="74"/>
        <v>94009.58828351213</v>
      </c>
      <c r="FU69" s="116">
        <f t="shared" si="74"/>
        <v>94009.58828351213</v>
      </c>
      <c r="FV69" s="116">
        <f t="shared" si="74"/>
        <v>94009.58828351213</v>
      </c>
      <c r="FW69" s="116">
        <f t="shared" si="74"/>
        <v>94009.58828351213</v>
      </c>
      <c r="FX69" s="116">
        <f t="shared" si="74"/>
        <v>94009.58828351213</v>
      </c>
      <c r="FY69" s="116">
        <f t="shared" si="74"/>
        <v>90967.514959273918</v>
      </c>
      <c r="FZ69" s="116">
        <f t="shared" si="74"/>
        <v>90967.514959273918</v>
      </c>
      <c r="GA69" s="116">
        <f t="shared" si="74"/>
        <v>90967.514959273918</v>
      </c>
      <c r="GB69" s="116">
        <f t="shared" si="74"/>
        <v>90967.514959273918</v>
      </c>
      <c r="GC69" s="116">
        <f t="shared" si="74"/>
        <v>90967.514959273918</v>
      </c>
      <c r="GD69" s="116">
        <f t="shared" si="74"/>
        <v>85963.021237631619</v>
      </c>
      <c r="GH69" s="123" t="s">
        <v>193</v>
      </c>
      <c r="GI69" s="103">
        <f t="shared" si="88"/>
        <v>346756.12279498461</v>
      </c>
      <c r="GJ69" s="103">
        <f t="shared" si="75"/>
        <v>346756.12279498461</v>
      </c>
      <c r="GK69" s="103">
        <f t="shared" si="75"/>
        <v>346756.12279498461</v>
      </c>
      <c r="GL69" s="103">
        <f t="shared" si="75"/>
        <v>346756.12279498461</v>
      </c>
      <c r="GM69" s="103">
        <f t="shared" si="75"/>
        <v>346756.12279498461</v>
      </c>
      <c r="GN69" s="103">
        <f t="shared" si="75"/>
        <v>346756.12279498461</v>
      </c>
      <c r="GO69" s="103">
        <f t="shared" si="75"/>
        <v>346756.12279498461</v>
      </c>
      <c r="GP69" s="103">
        <f t="shared" si="75"/>
        <v>346756.12279498461</v>
      </c>
      <c r="GQ69" s="103">
        <f t="shared" si="75"/>
        <v>346756.12279498461</v>
      </c>
      <c r="GR69" s="103">
        <f t="shared" si="75"/>
        <v>346756.12279498461</v>
      </c>
      <c r="GS69" s="103">
        <f t="shared" si="75"/>
        <v>346756.12279498461</v>
      </c>
      <c r="GT69" s="103">
        <f t="shared" si="75"/>
        <v>346756.12279498461</v>
      </c>
      <c r="GU69" s="103">
        <f t="shared" si="75"/>
        <v>346756.12279498461</v>
      </c>
      <c r="GV69" s="103">
        <f t="shared" si="75"/>
        <v>346756.12279498461</v>
      </c>
      <c r="GW69" s="103">
        <f t="shared" si="75"/>
        <v>346756.12279498461</v>
      </c>
      <c r="GX69" s="103">
        <f t="shared" si="75"/>
        <v>346756.12279498461</v>
      </c>
      <c r="GY69" s="103">
        <f t="shared" si="75"/>
        <v>346756.12279498461</v>
      </c>
      <c r="GZ69" s="103">
        <f t="shared" si="75"/>
        <v>346756.12279498461</v>
      </c>
      <c r="HA69" s="103">
        <f t="shared" si="75"/>
        <v>346756.12279498461</v>
      </c>
      <c r="HB69" s="103">
        <f t="shared" si="75"/>
        <v>346756.12279498461</v>
      </c>
      <c r="HC69" s="103">
        <f t="shared" si="75"/>
        <v>346756.12279498461</v>
      </c>
      <c r="HD69" s="103">
        <f t="shared" si="75"/>
        <v>346756.12279498461</v>
      </c>
      <c r="HE69" s="103">
        <f t="shared" si="75"/>
        <v>346756.12279498461</v>
      </c>
      <c r="HF69" s="103">
        <f t="shared" si="75"/>
        <v>346756.12279498461</v>
      </c>
      <c r="HG69" s="103">
        <f t="shared" si="75"/>
        <v>346756.12279498461</v>
      </c>
      <c r="HH69" s="103">
        <f t="shared" si="75"/>
        <v>346756.12279498461</v>
      </c>
      <c r="HI69" s="103">
        <f t="shared" si="75"/>
        <v>346756.12279498461</v>
      </c>
      <c r="HJ69" s="103">
        <f t="shared" si="75"/>
        <v>346756.12279498461</v>
      </c>
    </row>
    <row r="70" spans="17:218" x14ac:dyDescent="0.25">
      <c r="Q70" s="248" t="s">
        <v>537</v>
      </c>
      <c r="R70" s="249"/>
      <c r="S70" s="249"/>
      <c r="T70" s="249"/>
      <c r="U70" s="249"/>
      <c r="V70" s="249"/>
      <c r="W70" s="249"/>
      <c r="X70" s="250"/>
      <c r="Z70" s="83" t="s">
        <v>194</v>
      </c>
      <c r="AA70" s="114">
        <f>'US Grid mix, emissions&amp;prices'!O67</f>
        <v>118690</v>
      </c>
      <c r="AB70" s="116">
        <f t="shared" si="69"/>
        <v>118690</v>
      </c>
      <c r="AC70" s="116">
        <f t="shared" si="70"/>
        <v>104250.83615261904</v>
      </c>
      <c r="AD70" s="116">
        <f t="shared" si="70"/>
        <v>104250.83615261904</v>
      </c>
      <c r="AE70" s="116">
        <f t="shared" si="70"/>
        <v>104250.83615261904</v>
      </c>
      <c r="AF70" s="116">
        <f t="shared" si="70"/>
        <v>104250.83615261904</v>
      </c>
      <c r="AG70" s="116">
        <f t="shared" si="70"/>
        <v>104250.83615261904</v>
      </c>
      <c r="AH70" s="116">
        <f t="shared" si="70"/>
        <v>39414.545125268764</v>
      </c>
      <c r="AI70" s="116">
        <f t="shared" si="70"/>
        <v>39414.545125268764</v>
      </c>
      <c r="AJ70" s="116">
        <f t="shared" si="70"/>
        <v>39414.545125268764</v>
      </c>
      <c r="AK70" s="116">
        <f t="shared" si="70"/>
        <v>39414.545125268764</v>
      </c>
      <c r="AL70" s="116">
        <f t="shared" si="70"/>
        <v>39414.545125268764</v>
      </c>
      <c r="AM70" s="116">
        <f t="shared" si="70"/>
        <v>33127.9384406717</v>
      </c>
      <c r="AN70" s="116">
        <f t="shared" si="70"/>
        <v>33127.9384406717</v>
      </c>
      <c r="AO70" s="116">
        <f t="shared" si="70"/>
        <v>33127.9384406717</v>
      </c>
      <c r="AP70" s="116">
        <f t="shared" si="70"/>
        <v>33127.9384406717</v>
      </c>
      <c r="AQ70" s="116">
        <f t="shared" si="70"/>
        <v>33127.9384406717</v>
      </c>
      <c r="AR70" s="116">
        <f t="shared" si="70"/>
        <v>33127.9384406717</v>
      </c>
      <c r="AS70" s="116">
        <f t="shared" si="70"/>
        <v>33127.9384406717</v>
      </c>
      <c r="AT70" s="116">
        <f t="shared" si="70"/>
        <v>33127.9384406717</v>
      </c>
      <c r="AU70" s="116">
        <f t="shared" si="70"/>
        <v>33127.9384406717</v>
      </c>
      <c r="AV70" s="116">
        <f t="shared" si="70"/>
        <v>33127.9384406717</v>
      </c>
      <c r="AW70" s="116">
        <f t="shared" si="70"/>
        <v>33284.348995460889</v>
      </c>
      <c r="AX70" s="116">
        <f t="shared" si="70"/>
        <v>33284.348995460889</v>
      </c>
      <c r="AY70" s="116">
        <f t="shared" si="70"/>
        <v>33284.348995460889</v>
      </c>
      <c r="AZ70" s="116">
        <f t="shared" si="70"/>
        <v>33284.348995460889</v>
      </c>
      <c r="BA70" s="116">
        <f t="shared" si="70"/>
        <v>33284.348995460889</v>
      </c>
      <c r="BB70" s="116">
        <f t="shared" si="70"/>
        <v>33481.005540956066</v>
      </c>
      <c r="BM70" s="83" t="s">
        <v>194</v>
      </c>
      <c r="BN70" s="114">
        <f t="shared" si="78"/>
        <v>118690</v>
      </c>
      <c r="BO70" s="116">
        <f t="shared" si="79"/>
        <v>118690</v>
      </c>
      <c r="BP70" s="116">
        <f t="shared" si="79"/>
        <v>93560.037530536909</v>
      </c>
      <c r="BQ70" s="116">
        <f t="shared" si="79"/>
        <v>93560.037530536909</v>
      </c>
      <c r="BR70" s="116">
        <f t="shared" si="79"/>
        <v>93560.037530536909</v>
      </c>
      <c r="BS70" s="116">
        <f t="shared" si="79"/>
        <v>93560.037530536909</v>
      </c>
      <c r="BT70" s="116">
        <f t="shared" si="79"/>
        <v>93560.037530536909</v>
      </c>
      <c r="BU70" s="116">
        <f t="shared" si="79"/>
        <v>5285.0303249820827</v>
      </c>
      <c r="BV70" s="116">
        <f t="shared" si="79"/>
        <v>5285.0303249820827</v>
      </c>
      <c r="BW70" s="116">
        <f t="shared" si="79"/>
        <v>5285.0303249820827</v>
      </c>
      <c r="BX70" s="116">
        <f t="shared" si="79"/>
        <v>5285.0303249820827</v>
      </c>
      <c r="BY70" s="116">
        <f t="shared" si="79"/>
        <v>5285.0303249820827</v>
      </c>
      <c r="BZ70" s="116">
        <f t="shared" si="79"/>
        <v>5511.8713635067552</v>
      </c>
      <c r="CA70" s="116">
        <f t="shared" si="79"/>
        <v>5511.8713635067552</v>
      </c>
      <c r="CB70" s="116">
        <f t="shared" si="79"/>
        <v>5511.8713635067552</v>
      </c>
      <c r="CC70" s="116">
        <f t="shared" si="79"/>
        <v>5511.8713635067552</v>
      </c>
      <c r="CD70" s="116">
        <f t="shared" si="79"/>
        <v>5511.8713635067552</v>
      </c>
      <c r="CE70" s="116">
        <f t="shared" si="80"/>
        <v>5588.7046184909186</v>
      </c>
      <c r="CF70" s="116">
        <f t="shared" si="80"/>
        <v>5588.7046184909186</v>
      </c>
      <c r="CG70" s="116">
        <f t="shared" si="80"/>
        <v>5588.7046184909186</v>
      </c>
      <c r="CH70" s="116">
        <f t="shared" si="80"/>
        <v>5588.7046184909186</v>
      </c>
      <c r="CI70" s="116">
        <f t="shared" si="80"/>
        <v>5588.7046184909186</v>
      </c>
      <c r="CJ70" s="116">
        <f t="shared" si="80"/>
        <v>5785.3611639860983</v>
      </c>
      <c r="CK70" s="116">
        <f t="shared" si="80"/>
        <v>5785.3611639860983</v>
      </c>
      <c r="CL70" s="116">
        <f t="shared" si="80"/>
        <v>5785.3611639860983</v>
      </c>
      <c r="CM70" s="116">
        <f t="shared" si="80"/>
        <v>5785.3611639860983</v>
      </c>
      <c r="CN70" s="116">
        <f t="shared" si="80"/>
        <v>5785.3611639860983</v>
      </c>
      <c r="CO70" s="116">
        <f t="shared" si="80"/>
        <v>6034.154561077673</v>
      </c>
      <c r="CR70" s="83" t="s">
        <v>194</v>
      </c>
      <c r="CS70" s="114">
        <f t="shared" si="81"/>
        <v>118690</v>
      </c>
      <c r="CT70" s="116">
        <f t="shared" si="82"/>
        <v>5557.6054438544716</v>
      </c>
      <c r="CU70" s="116">
        <f t="shared" si="82"/>
        <v>5557.6054438544716</v>
      </c>
      <c r="CV70" s="116">
        <f t="shared" si="82"/>
        <v>5557.6054438544716</v>
      </c>
      <c r="CW70" s="116">
        <f t="shared" si="82"/>
        <v>5557.6054438544716</v>
      </c>
      <c r="CX70" s="116">
        <f t="shared" si="82"/>
        <v>5557.6054438544716</v>
      </c>
      <c r="CY70" s="116">
        <f t="shared" si="82"/>
        <v>5557.6054438544716</v>
      </c>
      <c r="CZ70" s="116">
        <f t="shared" si="82"/>
        <v>5557.6054438544716</v>
      </c>
      <c r="DA70" s="116">
        <f t="shared" si="82"/>
        <v>5557.6054438544716</v>
      </c>
      <c r="DB70" s="116">
        <f t="shared" si="82"/>
        <v>5557.6054438544716</v>
      </c>
      <c r="DC70" s="116">
        <f t="shared" si="82"/>
        <v>5557.6054438544716</v>
      </c>
      <c r="DD70" s="116">
        <f t="shared" si="82"/>
        <v>5557.6054438544716</v>
      </c>
      <c r="DE70" s="116">
        <f t="shared" si="82"/>
        <v>5716.7600434645237</v>
      </c>
      <c r="DF70" s="116">
        <f t="shared" si="82"/>
        <v>5716.7600434645237</v>
      </c>
      <c r="DG70" s="116">
        <f t="shared" si="82"/>
        <v>5716.7600434645237</v>
      </c>
      <c r="DH70" s="116">
        <f t="shared" si="82"/>
        <v>5716.7600434645237</v>
      </c>
      <c r="DI70" s="116">
        <f t="shared" si="82"/>
        <v>5716.7600434645237</v>
      </c>
      <c r="DJ70" s="116">
        <f t="shared" si="83"/>
        <v>6014.0315657246783</v>
      </c>
      <c r="DK70" s="116">
        <f t="shared" si="83"/>
        <v>6014.0315657246783</v>
      </c>
      <c r="DL70" s="116">
        <f t="shared" si="83"/>
        <v>6014.0315657246783</v>
      </c>
      <c r="DM70" s="116">
        <f t="shared" si="83"/>
        <v>6014.0315657246783</v>
      </c>
      <c r="DN70" s="116">
        <f t="shared" si="83"/>
        <v>6014.0315657246783</v>
      </c>
      <c r="DO70" s="116">
        <f t="shared" si="83"/>
        <v>6210.688111219858</v>
      </c>
      <c r="DP70" s="116">
        <f t="shared" si="83"/>
        <v>6210.688111219858</v>
      </c>
      <c r="DQ70" s="116">
        <f t="shared" si="83"/>
        <v>6210.688111219858</v>
      </c>
      <c r="DR70" s="116">
        <f t="shared" si="83"/>
        <v>6210.688111219858</v>
      </c>
      <c r="DS70" s="116">
        <f t="shared" si="83"/>
        <v>6210.688111219858</v>
      </c>
      <c r="DT70" s="116">
        <f t="shared" si="83"/>
        <v>6460.3961899183887</v>
      </c>
      <c r="DW70" s="83" t="s">
        <v>194</v>
      </c>
      <c r="DX70" s="114">
        <f t="shared" si="84"/>
        <v>156810.68534947804</v>
      </c>
      <c r="DY70" s="116">
        <f t="shared" si="85"/>
        <v>156810.68534947804</v>
      </c>
      <c r="DZ70" s="116">
        <f t="shared" si="73"/>
        <v>137190.24641434688</v>
      </c>
      <c r="EA70" s="116">
        <f t="shared" si="73"/>
        <v>137190.24641434688</v>
      </c>
      <c r="EB70" s="116">
        <f t="shared" si="73"/>
        <v>137190.24641434688</v>
      </c>
      <c r="EC70" s="116">
        <f t="shared" si="73"/>
        <v>137190.24641434688</v>
      </c>
      <c r="ED70" s="116">
        <f t="shared" si="73"/>
        <v>137190.24641434688</v>
      </c>
      <c r="EE70" s="116">
        <f t="shared" si="73"/>
        <v>85354.501918287468</v>
      </c>
      <c r="EF70" s="116">
        <f t="shared" si="73"/>
        <v>85354.501918287468</v>
      </c>
      <c r="EG70" s="116">
        <f t="shared" si="73"/>
        <v>85354.501918287468</v>
      </c>
      <c r="EH70" s="116">
        <f t="shared" si="73"/>
        <v>85354.501918287468</v>
      </c>
      <c r="EI70" s="116">
        <f t="shared" si="73"/>
        <v>85354.501918287468</v>
      </c>
      <c r="EJ70" s="116">
        <f t="shared" si="73"/>
        <v>75999.992256095633</v>
      </c>
      <c r="EK70" s="116">
        <f t="shared" si="73"/>
        <v>75999.992256095633</v>
      </c>
      <c r="EL70" s="116">
        <f t="shared" si="73"/>
        <v>75999.992256095633</v>
      </c>
      <c r="EM70" s="116">
        <f t="shared" si="73"/>
        <v>75999.992256095633</v>
      </c>
      <c r="EN70" s="116">
        <f t="shared" si="73"/>
        <v>75999.992256095633</v>
      </c>
      <c r="EO70" s="116">
        <f t="shared" si="73"/>
        <v>73848.244621001664</v>
      </c>
      <c r="EP70" s="116">
        <f t="shared" si="73"/>
        <v>73848.244621001664</v>
      </c>
      <c r="EQ70" s="116">
        <f t="shared" si="73"/>
        <v>73848.244621001664</v>
      </c>
      <c r="ER70" s="116">
        <f t="shared" si="73"/>
        <v>73848.244621001664</v>
      </c>
      <c r="ES70" s="116">
        <f t="shared" si="73"/>
        <v>73848.244621001664</v>
      </c>
      <c r="ET70" s="116">
        <f t="shared" si="73"/>
        <v>71234.696283985832</v>
      </c>
      <c r="EU70" s="116">
        <f>$DX70*EU$112</f>
        <v>71234.696283985832</v>
      </c>
      <c r="EV70" s="116">
        <f>$DX70*EV$112</f>
        <v>71234.696283985832</v>
      </c>
      <c r="EW70" s="116">
        <f>$DX70*EW$112</f>
        <v>71234.696283985832</v>
      </c>
      <c r="EX70" s="116">
        <f>$DX70*EX$112</f>
        <v>71234.696283985832</v>
      </c>
      <c r="EY70" s="116">
        <f>$DX70*EY$112</f>
        <v>67069.630480800843</v>
      </c>
      <c r="FB70" s="83" t="s">
        <v>194</v>
      </c>
      <c r="FC70" s="114">
        <f t="shared" si="86"/>
        <v>169514.08067740544</v>
      </c>
      <c r="FD70" s="116">
        <f t="shared" si="87"/>
        <v>169514.08067740544</v>
      </c>
      <c r="FE70" s="116">
        <f t="shared" si="74"/>
        <v>147788.40640809332</v>
      </c>
      <c r="FF70" s="116">
        <f t="shared" si="74"/>
        <v>147788.40640809332</v>
      </c>
      <c r="FG70" s="116">
        <f t="shared" si="74"/>
        <v>147788.40640809332</v>
      </c>
      <c r="FH70" s="116">
        <f t="shared" si="74"/>
        <v>147788.40640809332</v>
      </c>
      <c r="FI70" s="116">
        <f t="shared" si="74"/>
        <v>147788.40640809332</v>
      </c>
      <c r="FJ70" s="116">
        <f t="shared" si="74"/>
        <v>93477.543042021032</v>
      </c>
      <c r="FK70" s="116">
        <f t="shared" si="74"/>
        <v>93477.543042021032</v>
      </c>
      <c r="FL70" s="116">
        <f t="shared" si="74"/>
        <v>93477.543042021032</v>
      </c>
      <c r="FM70" s="116">
        <f t="shared" si="74"/>
        <v>93477.543042021032</v>
      </c>
      <c r="FN70" s="116">
        <f t="shared" si="74"/>
        <v>93477.543042021032</v>
      </c>
      <c r="FO70" s="116">
        <f t="shared" si="74"/>
        <v>82794.110496600784</v>
      </c>
      <c r="FP70" s="116">
        <f t="shared" si="74"/>
        <v>82794.110496600784</v>
      </c>
      <c r="FQ70" s="116">
        <f t="shared" si="74"/>
        <v>82794.110496600784</v>
      </c>
      <c r="FR70" s="116">
        <f t="shared" si="74"/>
        <v>82794.110496600784</v>
      </c>
      <c r="FS70" s="116">
        <f t="shared" si="74"/>
        <v>82794.110496600784</v>
      </c>
      <c r="FT70" s="116">
        <f t="shared" si="74"/>
        <v>80903.717695208397</v>
      </c>
      <c r="FU70" s="116">
        <f t="shared" si="74"/>
        <v>80903.717695208397</v>
      </c>
      <c r="FV70" s="116">
        <f t="shared" si="74"/>
        <v>80903.717695208397</v>
      </c>
      <c r="FW70" s="116">
        <f t="shared" si="74"/>
        <v>80903.717695208397</v>
      </c>
      <c r="FX70" s="116">
        <f t="shared" si="74"/>
        <v>80903.717695208397</v>
      </c>
      <c r="FY70" s="116">
        <f t="shared" si="74"/>
        <v>78285.739615248473</v>
      </c>
      <c r="FZ70" s="116">
        <f>$FC70*FZ$112</f>
        <v>78285.739615248473</v>
      </c>
      <c r="GA70" s="116">
        <f>$FC70*GA$112</f>
        <v>78285.739615248473</v>
      </c>
      <c r="GB70" s="116">
        <f>$FC70*GB$112</f>
        <v>78285.739615248473</v>
      </c>
      <c r="GC70" s="116">
        <f>$FC70*GC$112</f>
        <v>78285.739615248473</v>
      </c>
      <c r="GD70" s="116">
        <f>$FC70*GD$112</f>
        <v>73978.922037852462</v>
      </c>
      <c r="GH70" s="123" t="s">
        <v>194</v>
      </c>
      <c r="GI70" s="103">
        <f t="shared" si="88"/>
        <v>298414.8742688481</v>
      </c>
      <c r="GJ70" s="103">
        <f t="shared" si="75"/>
        <v>298414.8742688481</v>
      </c>
      <c r="GK70" s="103">
        <f t="shared" si="75"/>
        <v>298414.8742688481</v>
      </c>
      <c r="GL70" s="103">
        <f t="shared" si="75"/>
        <v>298414.8742688481</v>
      </c>
      <c r="GM70" s="103">
        <f t="shared" si="75"/>
        <v>298414.8742688481</v>
      </c>
      <c r="GN70" s="103">
        <f t="shared" si="75"/>
        <v>298414.8742688481</v>
      </c>
      <c r="GO70" s="103">
        <f t="shared" si="75"/>
        <v>298414.8742688481</v>
      </c>
      <c r="GP70" s="103">
        <f t="shared" si="75"/>
        <v>298414.8742688481</v>
      </c>
      <c r="GQ70" s="103">
        <f t="shared" si="75"/>
        <v>298414.8742688481</v>
      </c>
      <c r="GR70" s="103">
        <f t="shared" si="75"/>
        <v>298414.8742688481</v>
      </c>
      <c r="GS70" s="103">
        <f t="shared" si="75"/>
        <v>298414.8742688481</v>
      </c>
      <c r="GT70" s="103">
        <f t="shared" si="75"/>
        <v>298414.8742688481</v>
      </c>
      <c r="GU70" s="103">
        <f t="shared" si="75"/>
        <v>298414.8742688481</v>
      </c>
      <c r="GV70" s="103">
        <f t="shared" ref="GV70:HJ95" si="89">$AA70*GV$112</f>
        <v>298414.8742688481</v>
      </c>
      <c r="GW70" s="103">
        <f t="shared" si="89"/>
        <v>298414.8742688481</v>
      </c>
      <c r="GX70" s="103">
        <f t="shared" si="89"/>
        <v>298414.8742688481</v>
      </c>
      <c r="GY70" s="103">
        <f t="shared" si="89"/>
        <v>298414.8742688481</v>
      </c>
      <c r="GZ70" s="103">
        <f t="shared" si="89"/>
        <v>298414.8742688481</v>
      </c>
      <c r="HA70" s="103">
        <f t="shared" si="89"/>
        <v>298414.8742688481</v>
      </c>
      <c r="HB70" s="103">
        <f t="shared" si="89"/>
        <v>298414.8742688481</v>
      </c>
      <c r="HC70" s="103">
        <f t="shared" si="89"/>
        <v>298414.8742688481</v>
      </c>
      <c r="HD70" s="103">
        <f t="shared" si="89"/>
        <v>298414.8742688481</v>
      </c>
      <c r="HE70" s="103">
        <f t="shared" si="89"/>
        <v>298414.8742688481</v>
      </c>
      <c r="HF70" s="103">
        <f t="shared" si="89"/>
        <v>298414.8742688481</v>
      </c>
      <c r="HG70" s="103">
        <f t="shared" si="89"/>
        <v>298414.8742688481</v>
      </c>
      <c r="HH70" s="103">
        <f t="shared" si="89"/>
        <v>298414.8742688481</v>
      </c>
      <c r="HI70" s="103">
        <f t="shared" si="89"/>
        <v>298414.8742688481</v>
      </c>
      <c r="HJ70" s="103">
        <f t="shared" si="89"/>
        <v>298414.8742688481</v>
      </c>
    </row>
    <row r="71" spans="17:218" x14ac:dyDescent="0.25">
      <c r="Q71" s="235" t="s">
        <v>472</v>
      </c>
      <c r="R71" s="251"/>
      <c r="S71" s="251"/>
      <c r="T71" s="251"/>
      <c r="U71" s="251"/>
      <c r="V71" s="251"/>
      <c r="W71" s="251"/>
      <c r="X71" s="251"/>
      <c r="Z71" s="83" t="s">
        <v>233</v>
      </c>
      <c r="AA71" s="114">
        <f>'US Grid mix, emissions&amp;prices'!O68</f>
        <v>260072</v>
      </c>
      <c r="AB71" s="116">
        <f t="shared" si="69"/>
        <v>260072</v>
      </c>
      <c r="AC71" s="116">
        <f t="shared" si="70"/>
        <v>228433.0900655821</v>
      </c>
      <c r="AD71" s="116">
        <f t="shared" si="70"/>
        <v>228433.0900655821</v>
      </c>
      <c r="AE71" s="116">
        <f t="shared" si="70"/>
        <v>228433.0900655821</v>
      </c>
      <c r="AF71" s="116">
        <f t="shared" si="70"/>
        <v>228433.0900655821</v>
      </c>
      <c r="AG71" s="116">
        <f t="shared" si="70"/>
        <v>228433.0900655821</v>
      </c>
      <c r="AH71" s="116">
        <f t="shared" si="70"/>
        <v>86364.643860636104</v>
      </c>
      <c r="AI71" s="116">
        <f t="shared" si="70"/>
        <v>86364.643860636104</v>
      </c>
      <c r="AJ71" s="116">
        <f t="shared" si="70"/>
        <v>86364.643860636104</v>
      </c>
      <c r="AK71" s="116">
        <f t="shared" si="70"/>
        <v>86364.643860636104</v>
      </c>
      <c r="AL71" s="116">
        <f t="shared" si="70"/>
        <v>86364.643860636104</v>
      </c>
      <c r="AM71" s="116">
        <f t="shared" ref="AC71:BB81" si="90">$AA71*AM$112</f>
        <v>72589.512226323786</v>
      </c>
      <c r="AN71" s="116">
        <f t="shared" si="90"/>
        <v>72589.512226323786</v>
      </c>
      <c r="AO71" s="116">
        <f t="shared" si="90"/>
        <v>72589.512226323786</v>
      </c>
      <c r="AP71" s="116">
        <f t="shared" si="90"/>
        <v>72589.512226323786</v>
      </c>
      <c r="AQ71" s="116">
        <f t="shared" si="90"/>
        <v>72589.512226323786</v>
      </c>
      <c r="AR71" s="116">
        <f t="shared" si="90"/>
        <v>72589.512226323786</v>
      </c>
      <c r="AS71" s="116">
        <f t="shared" si="90"/>
        <v>72589.512226323786</v>
      </c>
      <c r="AT71" s="116">
        <f t="shared" si="90"/>
        <v>72589.512226323786</v>
      </c>
      <c r="AU71" s="116">
        <f t="shared" si="90"/>
        <v>72589.512226323786</v>
      </c>
      <c r="AV71" s="116">
        <f t="shared" si="90"/>
        <v>72589.512226323786</v>
      </c>
      <c r="AW71" s="116">
        <f t="shared" si="90"/>
        <v>72932.237020368222</v>
      </c>
      <c r="AX71" s="116">
        <f t="shared" si="90"/>
        <v>72932.237020368222</v>
      </c>
      <c r="AY71" s="116">
        <f t="shared" si="90"/>
        <v>72932.237020368222</v>
      </c>
      <c r="AZ71" s="116">
        <f t="shared" si="90"/>
        <v>72932.237020368222</v>
      </c>
      <c r="BA71" s="116">
        <f t="shared" si="90"/>
        <v>72932.237020368222</v>
      </c>
      <c r="BB71" s="116">
        <f t="shared" si="90"/>
        <v>73363.148311125842</v>
      </c>
      <c r="BM71" s="83" t="s">
        <v>233</v>
      </c>
      <c r="BN71" s="114">
        <f t="shared" si="78"/>
        <v>260072</v>
      </c>
      <c r="BO71" s="116">
        <f t="shared" si="79"/>
        <v>260072</v>
      </c>
      <c r="BP71" s="116">
        <f t="shared" si="79"/>
        <v>205007.54975686068</v>
      </c>
      <c r="BQ71" s="116">
        <f t="shared" si="79"/>
        <v>205007.54975686068</v>
      </c>
      <c r="BR71" s="116">
        <f t="shared" si="79"/>
        <v>205007.54975686068</v>
      </c>
      <c r="BS71" s="116">
        <f t="shared" si="79"/>
        <v>205007.54975686068</v>
      </c>
      <c r="BT71" s="116">
        <f t="shared" si="79"/>
        <v>205007.54975686068</v>
      </c>
      <c r="BU71" s="116">
        <f t="shared" si="79"/>
        <v>11580.490409290927</v>
      </c>
      <c r="BV71" s="116">
        <f t="shared" si="79"/>
        <v>11580.490409290927</v>
      </c>
      <c r="BW71" s="116">
        <f t="shared" si="79"/>
        <v>11580.490409290927</v>
      </c>
      <c r="BX71" s="116">
        <f t="shared" si="79"/>
        <v>11580.490409290927</v>
      </c>
      <c r="BY71" s="116">
        <f t="shared" si="79"/>
        <v>11580.490409290927</v>
      </c>
      <c r="BZ71" s="116">
        <f t="shared" si="79"/>
        <v>12077.541572583443</v>
      </c>
      <c r="CA71" s="116">
        <f t="shared" si="79"/>
        <v>12077.541572583443</v>
      </c>
      <c r="CB71" s="116">
        <f t="shared" si="79"/>
        <v>12077.541572583443</v>
      </c>
      <c r="CC71" s="116">
        <f t="shared" si="79"/>
        <v>12077.541572583443</v>
      </c>
      <c r="CD71" s="116">
        <f t="shared" si="79"/>
        <v>12077.541572583443</v>
      </c>
      <c r="CE71" s="116">
        <f t="shared" si="80"/>
        <v>12245.897611763165</v>
      </c>
      <c r="CF71" s="116">
        <f t="shared" si="80"/>
        <v>12245.897611763165</v>
      </c>
      <c r="CG71" s="116">
        <f t="shared" si="80"/>
        <v>12245.897611763165</v>
      </c>
      <c r="CH71" s="116">
        <f t="shared" si="80"/>
        <v>12245.897611763165</v>
      </c>
      <c r="CI71" s="116">
        <f t="shared" si="80"/>
        <v>12245.897611763165</v>
      </c>
      <c r="CJ71" s="116">
        <f t="shared" si="80"/>
        <v>12676.808902520788</v>
      </c>
      <c r="CK71" s="116">
        <f t="shared" si="80"/>
        <v>12676.808902520788</v>
      </c>
      <c r="CL71" s="116">
        <f t="shared" si="80"/>
        <v>12676.808902520788</v>
      </c>
      <c r="CM71" s="116">
        <f t="shared" si="80"/>
        <v>12676.808902520788</v>
      </c>
      <c r="CN71" s="116">
        <f t="shared" si="80"/>
        <v>12676.808902520788</v>
      </c>
      <c r="CO71" s="116">
        <f t="shared" si="80"/>
        <v>13221.961791293223</v>
      </c>
      <c r="CR71" s="83" t="s">
        <v>233</v>
      </c>
      <c r="CS71" s="114">
        <f t="shared" si="81"/>
        <v>260072</v>
      </c>
      <c r="CT71" s="116">
        <f t="shared" si="82"/>
        <v>12177.753500666611</v>
      </c>
      <c r="CU71" s="116">
        <f t="shared" si="82"/>
        <v>12177.753500666611</v>
      </c>
      <c r="CV71" s="116">
        <f t="shared" si="82"/>
        <v>12177.753500666611</v>
      </c>
      <c r="CW71" s="116">
        <f t="shared" si="82"/>
        <v>12177.753500666611</v>
      </c>
      <c r="CX71" s="116">
        <f t="shared" si="82"/>
        <v>12177.753500666611</v>
      </c>
      <c r="CY71" s="116">
        <f t="shared" si="82"/>
        <v>12177.753500666611</v>
      </c>
      <c r="CZ71" s="116">
        <f t="shared" si="82"/>
        <v>12177.753500666611</v>
      </c>
      <c r="DA71" s="116">
        <f t="shared" si="82"/>
        <v>12177.753500666611</v>
      </c>
      <c r="DB71" s="116">
        <f t="shared" si="82"/>
        <v>12177.753500666611</v>
      </c>
      <c r="DC71" s="116">
        <f t="shared" si="82"/>
        <v>12177.753500666611</v>
      </c>
      <c r="DD71" s="116">
        <f t="shared" si="82"/>
        <v>12177.753500666611</v>
      </c>
      <c r="DE71" s="116">
        <f t="shared" si="82"/>
        <v>12526.491010396036</v>
      </c>
      <c r="DF71" s="116">
        <f t="shared" si="82"/>
        <v>12526.491010396036</v>
      </c>
      <c r="DG71" s="116">
        <f t="shared" si="82"/>
        <v>12526.491010396036</v>
      </c>
      <c r="DH71" s="116">
        <f t="shared" si="82"/>
        <v>12526.491010396036</v>
      </c>
      <c r="DI71" s="116">
        <f t="shared" si="82"/>
        <v>12526.491010396036</v>
      </c>
      <c r="DJ71" s="116">
        <f t="shared" si="83"/>
        <v>13177.868542936631</v>
      </c>
      <c r="DK71" s="116">
        <f t="shared" si="83"/>
        <v>13177.868542936631</v>
      </c>
      <c r="DL71" s="116">
        <f t="shared" si="83"/>
        <v>13177.868542936631</v>
      </c>
      <c r="DM71" s="116">
        <f t="shared" si="83"/>
        <v>13177.868542936631</v>
      </c>
      <c r="DN71" s="116">
        <f t="shared" si="83"/>
        <v>13177.868542936631</v>
      </c>
      <c r="DO71" s="116">
        <f t="shared" si="83"/>
        <v>13608.779833694254</v>
      </c>
      <c r="DP71" s="116">
        <f t="shared" si="83"/>
        <v>13608.779833694254</v>
      </c>
      <c r="DQ71" s="116">
        <f t="shared" si="83"/>
        <v>13608.779833694254</v>
      </c>
      <c r="DR71" s="116">
        <f t="shared" si="83"/>
        <v>13608.779833694254</v>
      </c>
      <c r="DS71" s="116">
        <f t="shared" si="83"/>
        <v>13608.779833694254</v>
      </c>
      <c r="DT71" s="116">
        <f t="shared" si="83"/>
        <v>14155.936961028352</v>
      </c>
      <c r="DW71" s="83" t="s">
        <v>233</v>
      </c>
      <c r="DX71" s="114">
        <f t="shared" si="84"/>
        <v>343601.55497691006</v>
      </c>
      <c r="DY71" s="116">
        <f t="shared" si="85"/>
        <v>343601.55497691006</v>
      </c>
      <c r="DZ71" s="116">
        <f t="shared" si="85"/>
        <v>300609.50177329197</v>
      </c>
      <c r="EA71" s="116">
        <f t="shared" si="85"/>
        <v>300609.50177329197</v>
      </c>
      <c r="EB71" s="116">
        <f t="shared" si="85"/>
        <v>300609.50177329197</v>
      </c>
      <c r="EC71" s="116">
        <f t="shared" si="85"/>
        <v>300609.50177329197</v>
      </c>
      <c r="ED71" s="116">
        <f t="shared" si="85"/>
        <v>300609.50177329197</v>
      </c>
      <c r="EE71" s="116">
        <f t="shared" si="85"/>
        <v>187027.68576032404</v>
      </c>
      <c r="EF71" s="116">
        <f t="shared" si="85"/>
        <v>187027.68576032404</v>
      </c>
      <c r="EG71" s="116">
        <f t="shared" si="85"/>
        <v>187027.68576032404</v>
      </c>
      <c r="EH71" s="116">
        <f t="shared" si="85"/>
        <v>187027.68576032404</v>
      </c>
      <c r="EI71" s="116">
        <f t="shared" si="85"/>
        <v>187027.68576032404</v>
      </c>
      <c r="EJ71" s="116">
        <f t="shared" si="85"/>
        <v>166530.20461729972</v>
      </c>
      <c r="EK71" s="116">
        <f t="shared" si="85"/>
        <v>166530.20461729972</v>
      </c>
      <c r="EL71" s="116">
        <f t="shared" si="85"/>
        <v>166530.20461729972</v>
      </c>
      <c r="EM71" s="116">
        <f t="shared" si="85"/>
        <v>166530.20461729972</v>
      </c>
      <c r="EN71" s="116">
        <f t="shared" si="85"/>
        <v>166530.20461729972</v>
      </c>
      <c r="EO71" s="116">
        <f t="shared" ref="EO71:EY101" si="91">$DX71*EO$112</f>
        <v>161815.32290060786</v>
      </c>
      <c r="EP71" s="116">
        <f t="shared" si="91"/>
        <v>161815.32290060786</v>
      </c>
      <c r="EQ71" s="116">
        <f t="shared" si="91"/>
        <v>161815.32290060786</v>
      </c>
      <c r="ER71" s="116">
        <f t="shared" si="91"/>
        <v>161815.32290060786</v>
      </c>
      <c r="ES71" s="116">
        <f t="shared" si="91"/>
        <v>161815.32290060786</v>
      </c>
      <c r="ET71" s="116">
        <f t="shared" si="91"/>
        <v>156088.54943102843</v>
      </c>
      <c r="EU71" s="116">
        <f t="shared" si="91"/>
        <v>156088.54943102843</v>
      </c>
      <c r="EV71" s="116">
        <f t="shared" si="91"/>
        <v>156088.54943102843</v>
      </c>
      <c r="EW71" s="116">
        <f t="shared" si="91"/>
        <v>156088.54943102843</v>
      </c>
      <c r="EX71" s="116">
        <f t="shared" si="91"/>
        <v>156088.54943102843</v>
      </c>
      <c r="EY71" s="116">
        <f t="shared" si="91"/>
        <v>146962.11086361815</v>
      </c>
      <c r="FB71" s="83" t="s">
        <v>233</v>
      </c>
      <c r="FC71" s="114">
        <f t="shared" si="86"/>
        <v>371437.07127756497</v>
      </c>
      <c r="FD71" s="116">
        <f t="shared" si="87"/>
        <v>371437.07127756497</v>
      </c>
      <c r="FE71" s="116">
        <f t="shared" si="87"/>
        <v>323832.05351222213</v>
      </c>
      <c r="FF71" s="116">
        <f t="shared" si="87"/>
        <v>323832.05351222213</v>
      </c>
      <c r="FG71" s="116">
        <f t="shared" si="87"/>
        <v>323832.05351222213</v>
      </c>
      <c r="FH71" s="116">
        <f t="shared" si="87"/>
        <v>323832.05351222213</v>
      </c>
      <c r="FI71" s="116">
        <f t="shared" si="87"/>
        <v>323832.05351222213</v>
      </c>
      <c r="FJ71" s="116">
        <f t="shared" si="87"/>
        <v>204826.78889564826</v>
      </c>
      <c r="FK71" s="116">
        <f t="shared" si="87"/>
        <v>204826.78889564826</v>
      </c>
      <c r="FL71" s="116">
        <f t="shared" si="87"/>
        <v>204826.78889564826</v>
      </c>
      <c r="FM71" s="116">
        <f t="shared" si="87"/>
        <v>204826.78889564826</v>
      </c>
      <c r="FN71" s="116">
        <f t="shared" si="87"/>
        <v>204826.78889564826</v>
      </c>
      <c r="FO71" s="116">
        <f t="shared" si="87"/>
        <v>181417.38903927844</v>
      </c>
      <c r="FP71" s="116">
        <f t="shared" si="87"/>
        <v>181417.38903927844</v>
      </c>
      <c r="FQ71" s="116">
        <f t="shared" si="87"/>
        <v>181417.38903927844</v>
      </c>
      <c r="FR71" s="116">
        <f t="shared" si="87"/>
        <v>181417.38903927844</v>
      </c>
      <c r="FS71" s="116">
        <f t="shared" si="87"/>
        <v>181417.38903927844</v>
      </c>
      <c r="FT71" s="116">
        <f t="shared" ref="FT71:GD101" si="92">$FC71*FT$112</f>
        <v>177275.18466954451</v>
      </c>
      <c r="FU71" s="116">
        <f t="shared" si="92"/>
        <v>177275.18466954451</v>
      </c>
      <c r="FV71" s="116">
        <f t="shared" si="92"/>
        <v>177275.18466954451</v>
      </c>
      <c r="FW71" s="116">
        <f t="shared" si="92"/>
        <v>177275.18466954451</v>
      </c>
      <c r="FX71" s="116">
        <f t="shared" si="92"/>
        <v>177275.18466954451</v>
      </c>
      <c r="FY71" s="116">
        <f t="shared" si="92"/>
        <v>171538.70480425394</v>
      </c>
      <c r="FZ71" s="116">
        <f t="shared" si="92"/>
        <v>171538.70480425394</v>
      </c>
      <c r="GA71" s="116">
        <f t="shared" si="92"/>
        <v>171538.70480425394</v>
      </c>
      <c r="GB71" s="116">
        <f t="shared" si="92"/>
        <v>171538.70480425394</v>
      </c>
      <c r="GC71" s="116">
        <f t="shared" si="92"/>
        <v>171538.70480425394</v>
      </c>
      <c r="GD71" s="116">
        <f t="shared" si="92"/>
        <v>162101.66157408681</v>
      </c>
      <c r="GH71" s="123" t="s">
        <v>233</v>
      </c>
      <c r="GI71" s="103">
        <f t="shared" si="88"/>
        <v>653882.83074267302</v>
      </c>
      <c r="GJ71" s="103">
        <f t="shared" si="88"/>
        <v>653882.83074267302</v>
      </c>
      <c r="GK71" s="103">
        <f t="shared" si="88"/>
        <v>653882.83074267302</v>
      </c>
      <c r="GL71" s="103">
        <f t="shared" si="88"/>
        <v>653882.83074267302</v>
      </c>
      <c r="GM71" s="103">
        <f t="shared" si="88"/>
        <v>653882.83074267302</v>
      </c>
      <c r="GN71" s="103">
        <f t="shared" si="88"/>
        <v>653882.83074267302</v>
      </c>
      <c r="GO71" s="103">
        <f t="shared" si="88"/>
        <v>653882.83074267302</v>
      </c>
      <c r="GP71" s="103">
        <f t="shared" si="88"/>
        <v>653882.83074267302</v>
      </c>
      <c r="GQ71" s="103">
        <f t="shared" si="88"/>
        <v>653882.83074267302</v>
      </c>
      <c r="GR71" s="103">
        <f t="shared" si="88"/>
        <v>653882.83074267302</v>
      </c>
      <c r="GS71" s="103">
        <f t="shared" si="88"/>
        <v>653882.83074267302</v>
      </c>
      <c r="GT71" s="103">
        <f t="shared" si="88"/>
        <v>653882.83074267302</v>
      </c>
      <c r="GU71" s="103">
        <f t="shared" si="88"/>
        <v>653882.83074267302</v>
      </c>
      <c r="GV71" s="103">
        <f t="shared" si="88"/>
        <v>653882.83074267302</v>
      </c>
      <c r="GW71" s="103">
        <f t="shared" si="88"/>
        <v>653882.83074267302</v>
      </c>
      <c r="GX71" s="103">
        <f t="shared" si="88"/>
        <v>653882.83074267302</v>
      </c>
      <c r="GY71" s="103">
        <f t="shared" si="89"/>
        <v>653882.83074267302</v>
      </c>
      <c r="GZ71" s="103">
        <f t="shared" si="89"/>
        <v>653882.83074267302</v>
      </c>
      <c r="HA71" s="103">
        <f t="shared" si="89"/>
        <v>653882.83074267302</v>
      </c>
      <c r="HB71" s="103">
        <f t="shared" si="89"/>
        <v>653882.83074267302</v>
      </c>
      <c r="HC71" s="103">
        <f t="shared" si="89"/>
        <v>653882.83074267302</v>
      </c>
      <c r="HD71" s="103">
        <f t="shared" si="89"/>
        <v>653882.83074267302</v>
      </c>
      <c r="HE71" s="103">
        <f t="shared" si="89"/>
        <v>653882.83074267302</v>
      </c>
      <c r="HF71" s="103">
        <f t="shared" si="89"/>
        <v>653882.83074267302</v>
      </c>
      <c r="HG71" s="103">
        <f t="shared" si="89"/>
        <v>653882.83074267302</v>
      </c>
      <c r="HH71" s="103">
        <f t="shared" si="89"/>
        <v>653882.83074267302</v>
      </c>
      <c r="HI71" s="103">
        <f t="shared" si="89"/>
        <v>653882.83074267302</v>
      </c>
      <c r="HJ71" s="103">
        <f t="shared" si="89"/>
        <v>653882.83074267302</v>
      </c>
    </row>
    <row r="72" spans="17:218" x14ac:dyDescent="0.25">
      <c r="Q72" s="37"/>
      <c r="R72" s="122" t="s">
        <v>467</v>
      </c>
      <c r="S72" s="122" t="s">
        <v>468</v>
      </c>
      <c r="T72" s="122" t="s">
        <v>469</v>
      </c>
      <c r="U72" s="122" t="s">
        <v>470</v>
      </c>
      <c r="V72" s="122" t="s">
        <v>261</v>
      </c>
      <c r="W72" s="122" t="s">
        <v>471</v>
      </c>
      <c r="X72" s="37" t="s">
        <v>453</v>
      </c>
      <c r="Z72" s="83" t="s">
        <v>196</v>
      </c>
      <c r="AA72" s="114">
        <f>'US Grid mix, emissions&amp;prices'!O69</f>
        <v>53436</v>
      </c>
      <c r="AB72" s="116">
        <f t="shared" si="69"/>
        <v>53436</v>
      </c>
      <c r="AC72" s="116">
        <f t="shared" si="90"/>
        <v>46935.274080810101</v>
      </c>
      <c r="AD72" s="116">
        <f t="shared" si="90"/>
        <v>46935.274080810101</v>
      </c>
      <c r="AE72" s="116">
        <f t="shared" si="90"/>
        <v>46935.274080810101</v>
      </c>
      <c r="AF72" s="116">
        <f t="shared" si="90"/>
        <v>46935.274080810101</v>
      </c>
      <c r="AG72" s="116">
        <f t="shared" si="90"/>
        <v>46935.274080810101</v>
      </c>
      <c r="AH72" s="116">
        <f t="shared" si="90"/>
        <v>17745.013339909528</v>
      </c>
      <c r="AI72" s="116">
        <f t="shared" si="90"/>
        <v>17745.013339909528</v>
      </c>
      <c r="AJ72" s="116">
        <f t="shared" si="90"/>
        <v>17745.013339909528</v>
      </c>
      <c r="AK72" s="116">
        <f t="shared" si="90"/>
        <v>17745.013339909528</v>
      </c>
      <c r="AL72" s="116">
        <f t="shared" si="90"/>
        <v>17745.013339909528</v>
      </c>
      <c r="AM72" s="116">
        <f t="shared" si="90"/>
        <v>14914.689683340912</v>
      </c>
      <c r="AN72" s="116">
        <f t="shared" si="90"/>
        <v>14914.689683340912</v>
      </c>
      <c r="AO72" s="116">
        <f t="shared" si="90"/>
        <v>14914.689683340912</v>
      </c>
      <c r="AP72" s="116">
        <f t="shared" si="90"/>
        <v>14914.689683340912</v>
      </c>
      <c r="AQ72" s="116">
        <f t="shared" si="90"/>
        <v>14914.689683340912</v>
      </c>
      <c r="AR72" s="116">
        <f t="shared" si="90"/>
        <v>14914.689683340912</v>
      </c>
      <c r="AS72" s="116">
        <f t="shared" si="90"/>
        <v>14914.689683340912</v>
      </c>
      <c r="AT72" s="116">
        <f t="shared" si="90"/>
        <v>14914.689683340912</v>
      </c>
      <c r="AU72" s="116">
        <f t="shared" si="90"/>
        <v>14914.689683340912</v>
      </c>
      <c r="AV72" s="116">
        <f t="shared" si="90"/>
        <v>14914.689683340912</v>
      </c>
      <c r="AW72" s="116">
        <f t="shared" si="90"/>
        <v>14985.108037083561</v>
      </c>
      <c r="AX72" s="116">
        <f t="shared" si="90"/>
        <v>14985.108037083561</v>
      </c>
      <c r="AY72" s="116">
        <f t="shared" si="90"/>
        <v>14985.108037083561</v>
      </c>
      <c r="AZ72" s="116">
        <f t="shared" si="90"/>
        <v>14985.108037083561</v>
      </c>
      <c r="BA72" s="116">
        <f t="shared" si="90"/>
        <v>14985.108037083561</v>
      </c>
      <c r="BB72" s="116">
        <f t="shared" si="90"/>
        <v>15073.645733309701</v>
      </c>
      <c r="BM72" s="83" t="s">
        <v>196</v>
      </c>
      <c r="BN72" s="114">
        <f t="shared" si="78"/>
        <v>53436</v>
      </c>
      <c r="BO72" s="116">
        <f t="shared" si="79"/>
        <v>53436</v>
      </c>
      <c r="BP72" s="116">
        <f t="shared" si="79"/>
        <v>42122.117832014243</v>
      </c>
      <c r="BQ72" s="116">
        <f t="shared" si="79"/>
        <v>42122.117832014243</v>
      </c>
      <c r="BR72" s="116">
        <f t="shared" si="79"/>
        <v>42122.117832014243</v>
      </c>
      <c r="BS72" s="116">
        <f t="shared" si="79"/>
        <v>42122.117832014243</v>
      </c>
      <c r="BT72" s="116">
        <f t="shared" si="79"/>
        <v>42122.117832014243</v>
      </c>
      <c r="BU72" s="116">
        <f t="shared" si="79"/>
        <v>2379.3991106726985</v>
      </c>
      <c r="BV72" s="116">
        <f t="shared" si="79"/>
        <v>2379.3991106726985</v>
      </c>
      <c r="BW72" s="116">
        <f t="shared" si="79"/>
        <v>2379.3991106726985</v>
      </c>
      <c r="BX72" s="116">
        <f t="shared" si="79"/>
        <v>2379.3991106726985</v>
      </c>
      <c r="BY72" s="116">
        <f t="shared" si="79"/>
        <v>2379.3991106726985</v>
      </c>
      <c r="BZ72" s="116">
        <f t="shared" si="79"/>
        <v>2481.5263137614538</v>
      </c>
      <c r="CA72" s="116">
        <f t="shared" si="79"/>
        <v>2481.5263137614538</v>
      </c>
      <c r="CB72" s="116">
        <f t="shared" si="79"/>
        <v>2481.5263137614538</v>
      </c>
      <c r="CC72" s="116">
        <f t="shared" si="79"/>
        <v>2481.5263137614538</v>
      </c>
      <c r="CD72" s="116">
        <f t="shared" si="79"/>
        <v>2481.5263137614538</v>
      </c>
      <c r="CE72" s="116">
        <f t="shared" si="80"/>
        <v>2516.1177857753873</v>
      </c>
      <c r="CF72" s="116">
        <f t="shared" si="80"/>
        <v>2516.1177857753873</v>
      </c>
      <c r="CG72" s="116">
        <f t="shared" si="80"/>
        <v>2516.1177857753873</v>
      </c>
      <c r="CH72" s="116">
        <f t="shared" si="80"/>
        <v>2516.1177857753873</v>
      </c>
      <c r="CI72" s="116">
        <f t="shared" si="80"/>
        <v>2516.1177857753873</v>
      </c>
      <c r="CJ72" s="116">
        <f t="shared" si="80"/>
        <v>2604.6554820015263</v>
      </c>
      <c r="CK72" s="116">
        <f t="shared" si="80"/>
        <v>2604.6554820015263</v>
      </c>
      <c r="CL72" s="116">
        <f t="shared" si="80"/>
        <v>2604.6554820015263</v>
      </c>
      <c r="CM72" s="116">
        <f t="shared" si="80"/>
        <v>2604.6554820015263</v>
      </c>
      <c r="CN72" s="116">
        <f t="shared" si="80"/>
        <v>2604.6554820015263</v>
      </c>
      <c r="CO72" s="116">
        <f t="shared" si="80"/>
        <v>2716.6659628085481</v>
      </c>
      <c r="CR72" s="83" t="s">
        <v>196</v>
      </c>
      <c r="CS72" s="114">
        <f t="shared" si="81"/>
        <v>53436</v>
      </c>
      <c r="CT72" s="116">
        <f t="shared" si="82"/>
        <v>2502.1164756745093</v>
      </c>
      <c r="CU72" s="116">
        <f t="shared" si="82"/>
        <v>2502.1164756745093</v>
      </c>
      <c r="CV72" s="116">
        <f t="shared" si="82"/>
        <v>2502.1164756745093</v>
      </c>
      <c r="CW72" s="116">
        <f t="shared" si="82"/>
        <v>2502.1164756745093</v>
      </c>
      <c r="CX72" s="116">
        <f t="shared" si="82"/>
        <v>2502.1164756745093</v>
      </c>
      <c r="CY72" s="116">
        <f t="shared" si="82"/>
        <v>2502.1164756745093</v>
      </c>
      <c r="CZ72" s="116">
        <f t="shared" si="82"/>
        <v>2502.1164756745093</v>
      </c>
      <c r="DA72" s="116">
        <f t="shared" si="82"/>
        <v>2502.1164756745093</v>
      </c>
      <c r="DB72" s="116">
        <f t="shared" si="82"/>
        <v>2502.1164756745093</v>
      </c>
      <c r="DC72" s="116">
        <f t="shared" si="82"/>
        <v>2502.1164756745093</v>
      </c>
      <c r="DD72" s="116">
        <f t="shared" si="82"/>
        <v>2502.1164756745093</v>
      </c>
      <c r="DE72" s="116">
        <f t="shared" si="82"/>
        <v>2573.7702391319426</v>
      </c>
      <c r="DF72" s="116">
        <f t="shared" si="82"/>
        <v>2573.7702391319426</v>
      </c>
      <c r="DG72" s="116">
        <f t="shared" si="82"/>
        <v>2573.7702391319426</v>
      </c>
      <c r="DH72" s="116">
        <f t="shared" si="82"/>
        <v>2573.7702391319426</v>
      </c>
      <c r="DI72" s="116">
        <f t="shared" si="82"/>
        <v>2573.7702391319426</v>
      </c>
      <c r="DJ72" s="116">
        <f t="shared" si="83"/>
        <v>2707.6062915668035</v>
      </c>
      <c r="DK72" s="116">
        <f t="shared" si="83"/>
        <v>2707.6062915668035</v>
      </c>
      <c r="DL72" s="116">
        <f t="shared" si="83"/>
        <v>2707.6062915668035</v>
      </c>
      <c r="DM72" s="116">
        <f t="shared" si="83"/>
        <v>2707.6062915668035</v>
      </c>
      <c r="DN72" s="116">
        <f t="shared" si="83"/>
        <v>2707.6062915668035</v>
      </c>
      <c r="DO72" s="116">
        <f t="shared" si="83"/>
        <v>2796.1439877929424</v>
      </c>
      <c r="DP72" s="116">
        <f t="shared" si="83"/>
        <v>2796.1439877929424</v>
      </c>
      <c r="DQ72" s="116">
        <f t="shared" si="83"/>
        <v>2796.1439877929424</v>
      </c>
      <c r="DR72" s="116">
        <f t="shared" si="83"/>
        <v>2796.1439877929424</v>
      </c>
      <c r="DS72" s="116">
        <f t="shared" si="83"/>
        <v>2796.1439877929424</v>
      </c>
      <c r="DT72" s="116">
        <f t="shared" si="83"/>
        <v>2908.5662718382259</v>
      </c>
      <c r="DW72" s="83" t="s">
        <v>196</v>
      </c>
      <c r="DX72" s="114">
        <f t="shared" si="84"/>
        <v>70598.498460988354</v>
      </c>
      <c r="DY72" s="116">
        <f t="shared" si="85"/>
        <v>70598.498460988354</v>
      </c>
      <c r="DZ72" s="116">
        <f t="shared" si="85"/>
        <v>61765.085579215091</v>
      </c>
      <c r="EA72" s="116">
        <f t="shared" si="85"/>
        <v>61765.085579215091</v>
      </c>
      <c r="EB72" s="116">
        <f t="shared" si="85"/>
        <v>61765.085579215091</v>
      </c>
      <c r="EC72" s="116">
        <f t="shared" si="85"/>
        <v>61765.085579215091</v>
      </c>
      <c r="ED72" s="116">
        <f t="shared" si="85"/>
        <v>61765.085579215091</v>
      </c>
      <c r="EE72" s="116">
        <f t="shared" si="85"/>
        <v>38427.863884957529</v>
      </c>
      <c r="EF72" s="116">
        <f t="shared" si="85"/>
        <v>38427.863884957529</v>
      </c>
      <c r="EG72" s="116">
        <f t="shared" si="85"/>
        <v>38427.863884957529</v>
      </c>
      <c r="EH72" s="116">
        <f t="shared" si="85"/>
        <v>38427.863884957529</v>
      </c>
      <c r="EI72" s="116">
        <f t="shared" si="85"/>
        <v>38427.863884957529</v>
      </c>
      <c r="EJ72" s="116">
        <f t="shared" si="85"/>
        <v>34216.324763642479</v>
      </c>
      <c r="EK72" s="116">
        <f t="shared" si="85"/>
        <v>34216.324763642479</v>
      </c>
      <c r="EL72" s="116">
        <f t="shared" si="85"/>
        <v>34216.324763642479</v>
      </c>
      <c r="EM72" s="116">
        <f t="shared" si="85"/>
        <v>34216.324763642479</v>
      </c>
      <c r="EN72" s="116">
        <f t="shared" si="85"/>
        <v>34216.324763642479</v>
      </c>
      <c r="EO72" s="116">
        <f t="shared" si="91"/>
        <v>33247.576034778365</v>
      </c>
      <c r="EP72" s="116">
        <f t="shared" si="91"/>
        <v>33247.576034778365</v>
      </c>
      <c r="EQ72" s="116">
        <f t="shared" si="91"/>
        <v>33247.576034778365</v>
      </c>
      <c r="ER72" s="116">
        <f t="shared" si="91"/>
        <v>33247.576034778365</v>
      </c>
      <c r="ES72" s="116">
        <f t="shared" si="91"/>
        <v>33247.576034778365</v>
      </c>
      <c r="ET72" s="116">
        <f t="shared" si="91"/>
        <v>32070.91777429494</v>
      </c>
      <c r="EU72" s="116">
        <f t="shared" si="91"/>
        <v>32070.91777429494</v>
      </c>
      <c r="EV72" s="116">
        <f t="shared" si="91"/>
        <v>32070.91777429494</v>
      </c>
      <c r="EW72" s="116">
        <f t="shared" si="91"/>
        <v>32070.91777429494</v>
      </c>
      <c r="EX72" s="116">
        <f t="shared" si="91"/>
        <v>32070.91777429494</v>
      </c>
      <c r="EY72" s="116">
        <f t="shared" si="91"/>
        <v>30195.743317651646</v>
      </c>
      <c r="FB72" s="83" t="s">
        <v>196</v>
      </c>
      <c r="FC72" s="114">
        <f t="shared" si="86"/>
        <v>76317.755624549973</v>
      </c>
      <c r="FD72" s="116">
        <f t="shared" si="87"/>
        <v>76317.755624549973</v>
      </c>
      <c r="FE72" s="116">
        <f t="shared" si="87"/>
        <v>66536.534542277135</v>
      </c>
      <c r="FF72" s="116">
        <f t="shared" si="87"/>
        <v>66536.534542277135</v>
      </c>
      <c r="FG72" s="116">
        <f t="shared" si="87"/>
        <v>66536.534542277135</v>
      </c>
      <c r="FH72" s="116">
        <f t="shared" si="87"/>
        <v>66536.534542277135</v>
      </c>
      <c r="FI72" s="116">
        <f t="shared" si="87"/>
        <v>66536.534542277135</v>
      </c>
      <c r="FJ72" s="116">
        <f t="shared" si="87"/>
        <v>42084.97758862107</v>
      </c>
      <c r="FK72" s="116">
        <f t="shared" si="87"/>
        <v>42084.97758862107</v>
      </c>
      <c r="FL72" s="116">
        <f t="shared" si="87"/>
        <v>42084.97758862107</v>
      </c>
      <c r="FM72" s="116">
        <f t="shared" si="87"/>
        <v>42084.97758862107</v>
      </c>
      <c r="FN72" s="116">
        <f t="shared" si="87"/>
        <v>42084.97758862107</v>
      </c>
      <c r="FO72" s="116">
        <f t="shared" si="87"/>
        <v>37275.137656890714</v>
      </c>
      <c r="FP72" s="116">
        <f t="shared" si="87"/>
        <v>37275.137656890714</v>
      </c>
      <c r="FQ72" s="116">
        <f t="shared" si="87"/>
        <v>37275.137656890714</v>
      </c>
      <c r="FR72" s="116">
        <f t="shared" si="87"/>
        <v>37275.137656890714</v>
      </c>
      <c r="FS72" s="116">
        <f t="shared" si="87"/>
        <v>37275.137656890714</v>
      </c>
      <c r="FT72" s="116">
        <f t="shared" si="92"/>
        <v>36424.054754074947</v>
      </c>
      <c r="FU72" s="116">
        <f t="shared" si="92"/>
        <v>36424.054754074947</v>
      </c>
      <c r="FV72" s="116">
        <f t="shared" si="92"/>
        <v>36424.054754074947</v>
      </c>
      <c r="FW72" s="116">
        <f t="shared" si="92"/>
        <v>36424.054754074947</v>
      </c>
      <c r="FX72" s="116">
        <f t="shared" si="92"/>
        <v>36424.054754074947</v>
      </c>
      <c r="FY72" s="116">
        <f t="shared" si="92"/>
        <v>35245.402157556804</v>
      </c>
      <c r="FZ72" s="116">
        <f t="shared" si="92"/>
        <v>35245.402157556804</v>
      </c>
      <c r="GA72" s="116">
        <f t="shared" si="92"/>
        <v>35245.402157556804</v>
      </c>
      <c r="GB72" s="116">
        <f t="shared" si="92"/>
        <v>35245.402157556804</v>
      </c>
      <c r="GC72" s="116">
        <f t="shared" si="92"/>
        <v>35245.402157556804</v>
      </c>
      <c r="GD72" s="116">
        <f t="shared" si="92"/>
        <v>33306.408947802542</v>
      </c>
      <c r="GH72" s="123" t="s">
        <v>196</v>
      </c>
      <c r="GI72" s="103">
        <f t="shared" si="88"/>
        <v>134350.80648268739</v>
      </c>
      <c r="GJ72" s="103">
        <f t="shared" si="88"/>
        <v>134350.80648268739</v>
      </c>
      <c r="GK72" s="103">
        <f t="shared" si="88"/>
        <v>134350.80648268739</v>
      </c>
      <c r="GL72" s="103">
        <f t="shared" si="88"/>
        <v>134350.80648268739</v>
      </c>
      <c r="GM72" s="103">
        <f t="shared" si="88"/>
        <v>134350.80648268739</v>
      </c>
      <c r="GN72" s="103">
        <f t="shared" si="88"/>
        <v>134350.80648268739</v>
      </c>
      <c r="GO72" s="103">
        <f t="shared" si="88"/>
        <v>134350.80648268739</v>
      </c>
      <c r="GP72" s="103">
        <f t="shared" si="88"/>
        <v>134350.80648268739</v>
      </c>
      <c r="GQ72" s="103">
        <f t="shared" si="88"/>
        <v>134350.80648268739</v>
      </c>
      <c r="GR72" s="103">
        <f t="shared" si="88"/>
        <v>134350.80648268739</v>
      </c>
      <c r="GS72" s="103">
        <f t="shared" si="88"/>
        <v>134350.80648268739</v>
      </c>
      <c r="GT72" s="103">
        <f t="shared" si="88"/>
        <v>134350.80648268739</v>
      </c>
      <c r="GU72" s="103">
        <f t="shared" si="88"/>
        <v>134350.80648268739</v>
      </c>
      <c r="GV72" s="103">
        <f t="shared" si="88"/>
        <v>134350.80648268739</v>
      </c>
      <c r="GW72" s="103">
        <f t="shared" si="88"/>
        <v>134350.80648268739</v>
      </c>
      <c r="GX72" s="103">
        <f t="shared" si="88"/>
        <v>134350.80648268739</v>
      </c>
      <c r="GY72" s="103">
        <f t="shared" si="89"/>
        <v>134350.80648268739</v>
      </c>
      <c r="GZ72" s="103">
        <f t="shared" si="89"/>
        <v>134350.80648268739</v>
      </c>
      <c r="HA72" s="103">
        <f t="shared" si="89"/>
        <v>134350.80648268739</v>
      </c>
      <c r="HB72" s="103">
        <f t="shared" si="89"/>
        <v>134350.80648268739</v>
      </c>
      <c r="HC72" s="103">
        <f t="shared" si="89"/>
        <v>134350.80648268739</v>
      </c>
      <c r="HD72" s="103">
        <f t="shared" si="89"/>
        <v>134350.80648268739</v>
      </c>
      <c r="HE72" s="103">
        <f t="shared" si="89"/>
        <v>134350.80648268739</v>
      </c>
      <c r="HF72" s="103">
        <f t="shared" si="89"/>
        <v>134350.80648268739</v>
      </c>
      <c r="HG72" s="103">
        <f t="shared" si="89"/>
        <v>134350.80648268739</v>
      </c>
      <c r="HH72" s="103">
        <f t="shared" si="89"/>
        <v>134350.80648268739</v>
      </c>
      <c r="HI72" s="103">
        <f t="shared" si="89"/>
        <v>134350.80648268739</v>
      </c>
      <c r="HJ72" s="103">
        <f t="shared" si="89"/>
        <v>134350.80648268739</v>
      </c>
    </row>
    <row r="73" spans="17:218" x14ac:dyDescent="0.25">
      <c r="Q73" s="127">
        <v>2020</v>
      </c>
      <c r="R73" s="129">
        <v>4.0000000000000001E-3</v>
      </c>
      <c r="S73" s="130">
        <v>0.39600000000000002</v>
      </c>
      <c r="T73" s="130">
        <v>0.2</v>
      </c>
      <c r="U73" s="130">
        <v>0.20399999999999999</v>
      </c>
      <c r="V73" s="130">
        <v>3.0000000000000001E-3</v>
      </c>
      <c r="W73" s="130">
        <v>0.19400000000000001</v>
      </c>
      <c r="X73" s="131">
        <f t="shared" ref="X73:X80" si="93">SUM(R73:W73)</f>
        <v>1.0010000000000001</v>
      </c>
      <c r="Z73" s="83" t="s">
        <v>197</v>
      </c>
      <c r="AA73" s="114">
        <f>'US Grid mix, emissions&amp;prices'!O70</f>
        <v>73641</v>
      </c>
      <c r="AB73" s="116">
        <f t="shared" si="69"/>
        <v>73641</v>
      </c>
      <c r="AC73" s="116">
        <f t="shared" si="90"/>
        <v>64682.246399149204</v>
      </c>
      <c r="AD73" s="116">
        <f t="shared" si="90"/>
        <v>64682.246399149204</v>
      </c>
      <c r="AE73" s="116">
        <f t="shared" si="90"/>
        <v>64682.246399149204</v>
      </c>
      <c r="AF73" s="116">
        <f t="shared" si="90"/>
        <v>64682.246399149204</v>
      </c>
      <c r="AG73" s="116">
        <f t="shared" si="90"/>
        <v>64682.246399149204</v>
      </c>
      <c r="AH73" s="116">
        <f t="shared" si="90"/>
        <v>24454.684620186345</v>
      </c>
      <c r="AI73" s="116">
        <f t="shared" si="90"/>
        <v>24454.684620186345</v>
      </c>
      <c r="AJ73" s="116">
        <f t="shared" si="90"/>
        <v>24454.684620186345</v>
      </c>
      <c r="AK73" s="116">
        <f t="shared" si="90"/>
        <v>24454.684620186345</v>
      </c>
      <c r="AL73" s="116">
        <f t="shared" si="90"/>
        <v>24454.684620186345</v>
      </c>
      <c r="AM73" s="116">
        <f t="shared" si="90"/>
        <v>20554.170652199042</v>
      </c>
      <c r="AN73" s="116">
        <f t="shared" si="90"/>
        <v>20554.170652199042</v>
      </c>
      <c r="AO73" s="116">
        <f t="shared" si="90"/>
        <v>20554.170652199042</v>
      </c>
      <c r="AP73" s="116">
        <f t="shared" si="90"/>
        <v>20554.170652199042</v>
      </c>
      <c r="AQ73" s="116">
        <f t="shared" si="90"/>
        <v>20554.170652199042</v>
      </c>
      <c r="AR73" s="116">
        <f t="shared" si="90"/>
        <v>20554.170652199042</v>
      </c>
      <c r="AS73" s="116">
        <f t="shared" si="90"/>
        <v>20554.170652199042</v>
      </c>
      <c r="AT73" s="116">
        <f t="shared" si="90"/>
        <v>20554.170652199042</v>
      </c>
      <c r="AU73" s="116">
        <f t="shared" si="90"/>
        <v>20554.170652199042</v>
      </c>
      <c r="AV73" s="116">
        <f t="shared" si="90"/>
        <v>20554.170652199042</v>
      </c>
      <c r="AW73" s="116">
        <f t="shared" si="90"/>
        <v>20651.215303519548</v>
      </c>
      <c r="AX73" s="116">
        <f t="shared" si="90"/>
        <v>20651.215303519548</v>
      </c>
      <c r="AY73" s="116">
        <f t="shared" si="90"/>
        <v>20651.215303519548</v>
      </c>
      <c r="AZ73" s="116">
        <f t="shared" si="90"/>
        <v>20651.215303519548</v>
      </c>
      <c r="BA73" s="116">
        <f t="shared" si="90"/>
        <v>20651.215303519548</v>
      </c>
      <c r="BB73" s="116">
        <f t="shared" si="90"/>
        <v>20773.230508396206</v>
      </c>
      <c r="BM73" s="83" t="s">
        <v>197</v>
      </c>
      <c r="BN73" s="114">
        <f t="shared" si="78"/>
        <v>73641</v>
      </c>
      <c r="BO73" s="116">
        <f t="shared" si="79"/>
        <v>73641</v>
      </c>
      <c r="BP73" s="116">
        <f t="shared" si="79"/>
        <v>58049.159354505588</v>
      </c>
      <c r="BQ73" s="116">
        <f t="shared" si="79"/>
        <v>58049.159354505588</v>
      </c>
      <c r="BR73" s="116">
        <f t="shared" si="79"/>
        <v>58049.159354505588</v>
      </c>
      <c r="BS73" s="116">
        <f t="shared" si="79"/>
        <v>58049.159354505588</v>
      </c>
      <c r="BT73" s="116">
        <f t="shared" si="79"/>
        <v>58049.159354505588</v>
      </c>
      <c r="BU73" s="116">
        <f t="shared" si="79"/>
        <v>3279.0876919875773</v>
      </c>
      <c r="BV73" s="116">
        <f t="shared" si="79"/>
        <v>3279.0876919875773</v>
      </c>
      <c r="BW73" s="116">
        <f t="shared" si="79"/>
        <v>3279.0876919875773</v>
      </c>
      <c r="BX73" s="116">
        <f t="shared" si="79"/>
        <v>3279.0876919875773</v>
      </c>
      <c r="BY73" s="116">
        <f t="shared" si="79"/>
        <v>3279.0876919875773</v>
      </c>
      <c r="BZ73" s="116">
        <f t="shared" si="79"/>
        <v>3419.83081203135</v>
      </c>
      <c r="CA73" s="116">
        <f t="shared" si="79"/>
        <v>3419.83081203135</v>
      </c>
      <c r="CB73" s="116">
        <f t="shared" si="79"/>
        <v>3419.83081203135</v>
      </c>
      <c r="CC73" s="116">
        <f t="shared" si="79"/>
        <v>3419.83081203135</v>
      </c>
      <c r="CD73" s="116">
        <f t="shared" si="79"/>
        <v>3419.83081203135</v>
      </c>
      <c r="CE73" s="116">
        <f t="shared" si="80"/>
        <v>3467.50186882037</v>
      </c>
      <c r="CF73" s="116">
        <f t="shared" si="80"/>
        <v>3467.50186882037</v>
      </c>
      <c r="CG73" s="116">
        <f t="shared" si="80"/>
        <v>3467.50186882037</v>
      </c>
      <c r="CH73" s="116">
        <f t="shared" si="80"/>
        <v>3467.50186882037</v>
      </c>
      <c r="CI73" s="116">
        <f t="shared" si="80"/>
        <v>3467.50186882037</v>
      </c>
      <c r="CJ73" s="116">
        <f t="shared" si="80"/>
        <v>3589.5170736970276</v>
      </c>
      <c r="CK73" s="116">
        <f t="shared" si="80"/>
        <v>3589.5170736970276</v>
      </c>
      <c r="CL73" s="116">
        <f t="shared" si="80"/>
        <v>3589.5170736970276</v>
      </c>
      <c r="CM73" s="116">
        <f t="shared" si="80"/>
        <v>3589.5170736970276</v>
      </c>
      <c r="CN73" s="116">
        <f t="shared" si="80"/>
        <v>3589.5170736970276</v>
      </c>
      <c r="CO73" s="116">
        <f t="shared" si="80"/>
        <v>3743.8804956805202</v>
      </c>
      <c r="CR73" s="83" t="s">
        <v>197</v>
      </c>
      <c r="CS73" s="114">
        <f t="shared" si="81"/>
        <v>73641</v>
      </c>
      <c r="CT73" s="116">
        <f t="shared" si="82"/>
        <v>3448.2064410724333</v>
      </c>
      <c r="CU73" s="116">
        <f t="shared" si="82"/>
        <v>3448.2064410724333</v>
      </c>
      <c r="CV73" s="116">
        <f t="shared" si="82"/>
        <v>3448.2064410724333</v>
      </c>
      <c r="CW73" s="116">
        <f t="shared" si="82"/>
        <v>3448.2064410724333</v>
      </c>
      <c r="CX73" s="116">
        <f t="shared" si="82"/>
        <v>3448.2064410724333</v>
      </c>
      <c r="CY73" s="116">
        <f t="shared" si="82"/>
        <v>3448.2064410724333</v>
      </c>
      <c r="CZ73" s="116">
        <f t="shared" si="82"/>
        <v>3448.2064410724333</v>
      </c>
      <c r="DA73" s="116">
        <f t="shared" si="82"/>
        <v>3448.2064410724333</v>
      </c>
      <c r="DB73" s="116">
        <f t="shared" si="82"/>
        <v>3448.2064410724333</v>
      </c>
      <c r="DC73" s="116">
        <f t="shared" si="82"/>
        <v>3448.2064410724333</v>
      </c>
      <c r="DD73" s="116">
        <f t="shared" si="82"/>
        <v>3448.2064410724333</v>
      </c>
      <c r="DE73" s="116">
        <f t="shared" si="82"/>
        <v>3546.9536301354028</v>
      </c>
      <c r="DF73" s="116">
        <f t="shared" si="82"/>
        <v>3546.9536301354028</v>
      </c>
      <c r="DG73" s="116">
        <f t="shared" si="82"/>
        <v>3546.9536301354028</v>
      </c>
      <c r="DH73" s="116">
        <f t="shared" si="82"/>
        <v>3546.9536301354028</v>
      </c>
      <c r="DI73" s="116">
        <f t="shared" si="82"/>
        <v>3546.9536301354028</v>
      </c>
      <c r="DJ73" s="116">
        <f t="shared" si="83"/>
        <v>3731.395218902444</v>
      </c>
      <c r="DK73" s="116">
        <f t="shared" si="83"/>
        <v>3731.395218902444</v>
      </c>
      <c r="DL73" s="116">
        <f t="shared" si="83"/>
        <v>3731.395218902444</v>
      </c>
      <c r="DM73" s="116">
        <f t="shared" si="83"/>
        <v>3731.395218902444</v>
      </c>
      <c r="DN73" s="116">
        <f t="shared" si="83"/>
        <v>3731.395218902444</v>
      </c>
      <c r="DO73" s="116">
        <f t="shared" si="83"/>
        <v>3853.4104237791016</v>
      </c>
      <c r="DP73" s="116">
        <f t="shared" si="83"/>
        <v>3853.4104237791016</v>
      </c>
      <c r="DQ73" s="116">
        <f t="shared" si="83"/>
        <v>3853.4104237791016</v>
      </c>
      <c r="DR73" s="116">
        <f t="shared" si="83"/>
        <v>3853.4104237791016</v>
      </c>
      <c r="DS73" s="116">
        <f t="shared" si="83"/>
        <v>3853.4104237791016</v>
      </c>
      <c r="DT73" s="116">
        <f t="shared" si="83"/>
        <v>4008.3413583434162</v>
      </c>
      <c r="DW73" s="83" t="s">
        <v>197</v>
      </c>
      <c r="DX73" s="114">
        <f t="shared" si="84"/>
        <v>97292.911616993093</v>
      </c>
      <c r="DY73" s="116">
        <f t="shared" si="85"/>
        <v>97292.911616993093</v>
      </c>
      <c r="DZ73" s="116">
        <f t="shared" si="85"/>
        <v>85119.445077082448</v>
      </c>
      <c r="EA73" s="116">
        <f t="shared" si="85"/>
        <v>85119.445077082448</v>
      </c>
      <c r="EB73" s="116">
        <f t="shared" si="85"/>
        <v>85119.445077082448</v>
      </c>
      <c r="EC73" s="116">
        <f t="shared" si="85"/>
        <v>85119.445077082448</v>
      </c>
      <c r="ED73" s="116">
        <f t="shared" si="85"/>
        <v>85119.445077082448</v>
      </c>
      <c r="EE73" s="116">
        <f t="shared" si="85"/>
        <v>52958.049336629927</v>
      </c>
      <c r="EF73" s="116">
        <f t="shared" si="85"/>
        <v>52958.049336629927</v>
      </c>
      <c r="EG73" s="116">
        <f t="shared" si="85"/>
        <v>52958.049336629927</v>
      </c>
      <c r="EH73" s="116">
        <f t="shared" si="85"/>
        <v>52958.049336629927</v>
      </c>
      <c r="EI73" s="116">
        <f t="shared" si="85"/>
        <v>52958.049336629927</v>
      </c>
      <c r="EJ73" s="116">
        <f t="shared" si="85"/>
        <v>47154.060407204794</v>
      </c>
      <c r="EK73" s="116">
        <f t="shared" si="85"/>
        <v>47154.060407204794</v>
      </c>
      <c r="EL73" s="116">
        <f t="shared" si="85"/>
        <v>47154.060407204794</v>
      </c>
      <c r="EM73" s="116">
        <f t="shared" si="85"/>
        <v>47154.060407204794</v>
      </c>
      <c r="EN73" s="116">
        <f t="shared" si="85"/>
        <v>47154.060407204794</v>
      </c>
      <c r="EO73" s="116">
        <f t="shared" si="91"/>
        <v>45819.012403194727</v>
      </c>
      <c r="EP73" s="116">
        <f t="shared" si="91"/>
        <v>45819.012403194727</v>
      </c>
      <c r="EQ73" s="116">
        <f t="shared" si="91"/>
        <v>45819.012403194727</v>
      </c>
      <c r="ER73" s="116">
        <f t="shared" si="91"/>
        <v>45819.012403194727</v>
      </c>
      <c r="ES73" s="116">
        <f t="shared" si="91"/>
        <v>45819.012403194727</v>
      </c>
      <c r="ET73" s="116">
        <f t="shared" si="91"/>
        <v>44197.440972693563</v>
      </c>
      <c r="EU73" s="116">
        <f t="shared" si="91"/>
        <v>44197.440972693563</v>
      </c>
      <c r="EV73" s="116">
        <f t="shared" si="91"/>
        <v>44197.440972693563</v>
      </c>
      <c r="EW73" s="116">
        <f t="shared" si="91"/>
        <v>44197.440972693563</v>
      </c>
      <c r="EX73" s="116">
        <f t="shared" si="91"/>
        <v>44197.440972693563</v>
      </c>
      <c r="EY73" s="116">
        <f t="shared" si="91"/>
        <v>41613.233281966925</v>
      </c>
      <c r="FB73" s="83" t="s">
        <v>197</v>
      </c>
      <c r="FC73" s="114">
        <f t="shared" si="86"/>
        <v>105174.71071838243</v>
      </c>
      <c r="FD73" s="116">
        <f t="shared" si="87"/>
        <v>105174.71071838243</v>
      </c>
      <c r="FE73" s="116">
        <f t="shared" si="87"/>
        <v>91695.054649072335</v>
      </c>
      <c r="FF73" s="116">
        <f t="shared" si="87"/>
        <v>91695.054649072335</v>
      </c>
      <c r="FG73" s="116">
        <f t="shared" si="87"/>
        <v>91695.054649072335</v>
      </c>
      <c r="FH73" s="116">
        <f t="shared" si="87"/>
        <v>91695.054649072335</v>
      </c>
      <c r="FI73" s="116">
        <f t="shared" si="87"/>
        <v>91695.054649072335</v>
      </c>
      <c r="FJ73" s="116">
        <f t="shared" si="87"/>
        <v>57997.975795412152</v>
      </c>
      <c r="FK73" s="116">
        <f t="shared" si="87"/>
        <v>57997.975795412152</v>
      </c>
      <c r="FL73" s="116">
        <f t="shared" si="87"/>
        <v>57997.975795412152</v>
      </c>
      <c r="FM73" s="116">
        <f t="shared" si="87"/>
        <v>57997.975795412152</v>
      </c>
      <c r="FN73" s="116">
        <f t="shared" si="87"/>
        <v>57997.975795412152</v>
      </c>
      <c r="FO73" s="116">
        <f t="shared" si="87"/>
        <v>51369.459019969472</v>
      </c>
      <c r="FP73" s="116">
        <f t="shared" si="87"/>
        <v>51369.459019969472</v>
      </c>
      <c r="FQ73" s="116">
        <f t="shared" si="87"/>
        <v>51369.459019969472</v>
      </c>
      <c r="FR73" s="116">
        <f t="shared" si="87"/>
        <v>51369.459019969472</v>
      </c>
      <c r="FS73" s="116">
        <f t="shared" si="87"/>
        <v>51369.459019969472</v>
      </c>
      <c r="FT73" s="116">
        <f t="shared" si="92"/>
        <v>50196.568159009519</v>
      </c>
      <c r="FU73" s="116">
        <f t="shared" si="92"/>
        <v>50196.568159009519</v>
      </c>
      <c r="FV73" s="116">
        <f t="shared" si="92"/>
        <v>50196.568159009519</v>
      </c>
      <c r="FW73" s="116">
        <f t="shared" si="92"/>
        <v>50196.568159009519</v>
      </c>
      <c r="FX73" s="116">
        <f t="shared" si="92"/>
        <v>50196.568159009519</v>
      </c>
      <c r="FY73" s="116">
        <f t="shared" si="92"/>
        <v>48572.248302354965</v>
      </c>
      <c r="FZ73" s="116">
        <f t="shared" si="92"/>
        <v>48572.248302354965</v>
      </c>
      <c r="GA73" s="116">
        <f t="shared" si="92"/>
        <v>48572.248302354965</v>
      </c>
      <c r="GB73" s="116">
        <f t="shared" si="92"/>
        <v>48572.248302354965</v>
      </c>
      <c r="GC73" s="116">
        <f t="shared" si="92"/>
        <v>48572.248302354965</v>
      </c>
      <c r="GD73" s="116">
        <f t="shared" si="92"/>
        <v>45900.090974719787</v>
      </c>
      <c r="GH73" s="123" t="s">
        <v>197</v>
      </c>
      <c r="GI73" s="103">
        <f t="shared" si="88"/>
        <v>185150.97949306804</v>
      </c>
      <c r="GJ73" s="103">
        <f t="shared" si="88"/>
        <v>185150.97949306804</v>
      </c>
      <c r="GK73" s="103">
        <f t="shared" si="88"/>
        <v>185150.97949306804</v>
      </c>
      <c r="GL73" s="103">
        <f t="shared" si="88"/>
        <v>185150.97949306804</v>
      </c>
      <c r="GM73" s="103">
        <f t="shared" si="88"/>
        <v>185150.97949306804</v>
      </c>
      <c r="GN73" s="103">
        <f t="shared" si="88"/>
        <v>185150.97949306804</v>
      </c>
      <c r="GO73" s="103">
        <f t="shared" si="88"/>
        <v>185150.97949306804</v>
      </c>
      <c r="GP73" s="103">
        <f t="shared" si="88"/>
        <v>185150.97949306804</v>
      </c>
      <c r="GQ73" s="103">
        <f t="shared" si="88"/>
        <v>185150.97949306804</v>
      </c>
      <c r="GR73" s="103">
        <f t="shared" si="88"/>
        <v>185150.97949306804</v>
      </c>
      <c r="GS73" s="103">
        <f t="shared" si="88"/>
        <v>185150.97949306804</v>
      </c>
      <c r="GT73" s="103">
        <f t="shared" si="88"/>
        <v>185150.97949306804</v>
      </c>
      <c r="GU73" s="103">
        <f t="shared" si="88"/>
        <v>185150.97949306804</v>
      </c>
      <c r="GV73" s="103">
        <f t="shared" si="88"/>
        <v>185150.97949306804</v>
      </c>
      <c r="GW73" s="103">
        <f t="shared" si="88"/>
        <v>185150.97949306804</v>
      </c>
      <c r="GX73" s="103">
        <f t="shared" si="88"/>
        <v>185150.97949306804</v>
      </c>
      <c r="GY73" s="103">
        <f t="shared" si="89"/>
        <v>185150.97949306804</v>
      </c>
      <c r="GZ73" s="103">
        <f t="shared" si="89"/>
        <v>185150.97949306804</v>
      </c>
      <c r="HA73" s="103">
        <f t="shared" si="89"/>
        <v>185150.97949306804</v>
      </c>
      <c r="HB73" s="103">
        <f t="shared" si="89"/>
        <v>185150.97949306804</v>
      </c>
      <c r="HC73" s="103">
        <f t="shared" si="89"/>
        <v>185150.97949306804</v>
      </c>
      <c r="HD73" s="103">
        <f t="shared" si="89"/>
        <v>185150.97949306804</v>
      </c>
      <c r="HE73" s="103">
        <f t="shared" si="89"/>
        <v>185150.97949306804</v>
      </c>
      <c r="HF73" s="103">
        <f t="shared" si="89"/>
        <v>185150.97949306804</v>
      </c>
      <c r="HG73" s="103">
        <f t="shared" si="89"/>
        <v>185150.97949306804</v>
      </c>
      <c r="HH73" s="103">
        <f t="shared" si="89"/>
        <v>185150.97949306804</v>
      </c>
      <c r="HI73" s="103">
        <f t="shared" si="89"/>
        <v>185150.97949306804</v>
      </c>
      <c r="HJ73" s="103">
        <f t="shared" si="89"/>
        <v>185150.97949306804</v>
      </c>
    </row>
    <row r="74" spans="17:218" x14ac:dyDescent="0.25">
      <c r="Q74" s="37">
        <v>2023</v>
      </c>
      <c r="R74" s="171">
        <v>0</v>
      </c>
      <c r="S74" s="172">
        <v>0.42</v>
      </c>
      <c r="T74" s="172">
        <v>0.17</v>
      </c>
      <c r="U74" s="172">
        <v>0.19</v>
      </c>
      <c r="V74" s="172">
        <v>0</v>
      </c>
      <c r="W74" s="172">
        <v>0.21999999999999997</v>
      </c>
      <c r="X74" s="134">
        <f t="shared" si="93"/>
        <v>1</v>
      </c>
      <c r="Z74" s="83" t="s">
        <v>198</v>
      </c>
      <c r="AA74" s="114">
        <f>'US Grid mix, emissions&amp;prices'!O71</f>
        <v>216989</v>
      </c>
      <c r="AB74" s="116">
        <f t="shared" si="69"/>
        <v>216989</v>
      </c>
      <c r="AC74" s="116">
        <f t="shared" si="90"/>
        <v>190591.32771017484</v>
      </c>
      <c r="AD74" s="116">
        <f t="shared" si="90"/>
        <v>190591.32771017484</v>
      </c>
      <c r="AE74" s="116">
        <f t="shared" si="90"/>
        <v>190591.32771017484</v>
      </c>
      <c r="AF74" s="116">
        <f t="shared" si="90"/>
        <v>190591.32771017484</v>
      </c>
      <c r="AG74" s="116">
        <f t="shared" si="90"/>
        <v>190591.32771017484</v>
      </c>
      <c r="AH74" s="116">
        <f t="shared" si="90"/>
        <v>72057.652137391051</v>
      </c>
      <c r="AI74" s="116">
        <f t="shared" si="90"/>
        <v>72057.652137391051</v>
      </c>
      <c r="AJ74" s="116">
        <f t="shared" si="90"/>
        <v>72057.652137391051</v>
      </c>
      <c r="AK74" s="116">
        <f t="shared" si="90"/>
        <v>72057.652137391051</v>
      </c>
      <c r="AL74" s="116">
        <f t="shared" si="90"/>
        <v>72057.652137391051</v>
      </c>
      <c r="AM74" s="116">
        <f t="shared" si="90"/>
        <v>60564.480868673949</v>
      </c>
      <c r="AN74" s="116">
        <f t="shared" si="90"/>
        <v>60564.480868673949</v>
      </c>
      <c r="AO74" s="116">
        <f t="shared" si="90"/>
        <v>60564.480868673949</v>
      </c>
      <c r="AP74" s="116">
        <f t="shared" si="90"/>
        <v>60564.480868673949</v>
      </c>
      <c r="AQ74" s="116">
        <f t="shared" si="90"/>
        <v>60564.480868673949</v>
      </c>
      <c r="AR74" s="116">
        <f t="shared" si="90"/>
        <v>60564.480868673949</v>
      </c>
      <c r="AS74" s="116">
        <f t="shared" si="90"/>
        <v>60564.480868673949</v>
      </c>
      <c r="AT74" s="116">
        <f t="shared" si="90"/>
        <v>60564.480868673949</v>
      </c>
      <c r="AU74" s="116">
        <f t="shared" si="90"/>
        <v>60564.480868673949</v>
      </c>
      <c r="AV74" s="116">
        <f t="shared" si="90"/>
        <v>60564.480868673949</v>
      </c>
      <c r="AW74" s="116">
        <f t="shared" si="90"/>
        <v>60850.430568506716</v>
      </c>
      <c r="AX74" s="116">
        <f t="shared" si="90"/>
        <v>60850.430568506716</v>
      </c>
      <c r="AY74" s="116">
        <f t="shared" si="90"/>
        <v>60850.430568506716</v>
      </c>
      <c r="AZ74" s="116">
        <f t="shared" si="90"/>
        <v>60850.430568506716</v>
      </c>
      <c r="BA74" s="116">
        <f t="shared" si="90"/>
        <v>60850.430568506716</v>
      </c>
      <c r="BB74" s="116">
        <f t="shared" si="90"/>
        <v>61209.957968881259</v>
      </c>
      <c r="BM74" s="83" t="s">
        <v>198</v>
      </c>
      <c r="BN74" s="114">
        <f t="shared" si="78"/>
        <v>216989</v>
      </c>
      <c r="BO74" s="116">
        <f t="shared" si="79"/>
        <v>216989</v>
      </c>
      <c r="BP74" s="116">
        <f t="shared" si="79"/>
        <v>171046.41489353502</v>
      </c>
      <c r="BQ74" s="116">
        <f t="shared" si="79"/>
        <v>171046.41489353502</v>
      </c>
      <c r="BR74" s="116">
        <f t="shared" si="79"/>
        <v>171046.41489353502</v>
      </c>
      <c r="BS74" s="116">
        <f t="shared" si="79"/>
        <v>171046.41489353502</v>
      </c>
      <c r="BT74" s="116">
        <f t="shared" si="79"/>
        <v>171046.41489353502</v>
      </c>
      <c r="BU74" s="116">
        <f t="shared" si="79"/>
        <v>9662.0898575072642</v>
      </c>
      <c r="BV74" s="116">
        <f t="shared" si="79"/>
        <v>9662.0898575072642</v>
      </c>
      <c r="BW74" s="116">
        <f t="shared" si="79"/>
        <v>9662.0898575072642</v>
      </c>
      <c r="BX74" s="116">
        <f t="shared" si="79"/>
        <v>9662.0898575072642</v>
      </c>
      <c r="BY74" s="116">
        <f t="shared" si="79"/>
        <v>9662.0898575072642</v>
      </c>
      <c r="BZ74" s="116">
        <f t="shared" si="79"/>
        <v>10076.800533288122</v>
      </c>
      <c r="CA74" s="116">
        <f t="shared" si="79"/>
        <v>10076.800533288122</v>
      </c>
      <c r="CB74" s="116">
        <f t="shared" si="79"/>
        <v>10076.800533288122</v>
      </c>
      <c r="CC74" s="116">
        <f t="shared" si="79"/>
        <v>10076.800533288122</v>
      </c>
      <c r="CD74" s="116">
        <f t="shared" si="79"/>
        <v>10076.800533288122</v>
      </c>
      <c r="CE74" s="116">
        <f t="shared" si="80"/>
        <v>10217.267052504219</v>
      </c>
      <c r="CF74" s="116">
        <f t="shared" si="80"/>
        <v>10217.267052504219</v>
      </c>
      <c r="CG74" s="116">
        <f t="shared" si="80"/>
        <v>10217.267052504219</v>
      </c>
      <c r="CH74" s="116">
        <f t="shared" si="80"/>
        <v>10217.267052504219</v>
      </c>
      <c r="CI74" s="116">
        <f t="shared" si="80"/>
        <v>10217.267052504219</v>
      </c>
      <c r="CJ74" s="116">
        <f t="shared" si="80"/>
        <v>10576.794452878754</v>
      </c>
      <c r="CK74" s="116">
        <f t="shared" si="80"/>
        <v>10576.794452878754</v>
      </c>
      <c r="CL74" s="116">
        <f t="shared" si="80"/>
        <v>10576.794452878754</v>
      </c>
      <c r="CM74" s="116">
        <f t="shared" si="80"/>
        <v>10576.794452878754</v>
      </c>
      <c r="CN74" s="116">
        <f t="shared" si="80"/>
        <v>10576.794452878754</v>
      </c>
      <c r="CO74" s="116">
        <f t="shared" si="80"/>
        <v>11031.638419864212</v>
      </c>
      <c r="CR74" s="83" t="s">
        <v>198</v>
      </c>
      <c r="CS74" s="114">
        <f t="shared" si="81"/>
        <v>216989</v>
      </c>
      <c r="CT74" s="116">
        <f t="shared" si="82"/>
        <v>10160.411556631037</v>
      </c>
      <c r="CU74" s="116">
        <f t="shared" si="82"/>
        <v>10160.411556631037</v>
      </c>
      <c r="CV74" s="116">
        <f t="shared" si="82"/>
        <v>10160.411556631037</v>
      </c>
      <c r="CW74" s="116">
        <f t="shared" si="82"/>
        <v>10160.411556631037</v>
      </c>
      <c r="CX74" s="116">
        <f t="shared" si="82"/>
        <v>10160.411556631037</v>
      </c>
      <c r="CY74" s="116">
        <f t="shared" si="82"/>
        <v>10160.411556631037</v>
      </c>
      <c r="CZ74" s="116">
        <f t="shared" si="82"/>
        <v>10160.411556631037</v>
      </c>
      <c r="DA74" s="116">
        <f t="shared" si="82"/>
        <v>10160.411556631037</v>
      </c>
      <c r="DB74" s="116">
        <f t="shared" si="82"/>
        <v>10160.411556631037</v>
      </c>
      <c r="DC74" s="116">
        <f t="shared" si="82"/>
        <v>10160.411556631037</v>
      </c>
      <c r="DD74" s="116">
        <f t="shared" si="82"/>
        <v>10160.411556631037</v>
      </c>
      <c r="DE74" s="116">
        <f t="shared" si="82"/>
        <v>10451.377917864382</v>
      </c>
      <c r="DF74" s="116">
        <f t="shared" si="82"/>
        <v>10451.377917864382</v>
      </c>
      <c r="DG74" s="116">
        <f t="shared" si="82"/>
        <v>10451.377917864382</v>
      </c>
      <c r="DH74" s="116">
        <f t="shared" si="82"/>
        <v>10451.377917864382</v>
      </c>
      <c r="DI74" s="116">
        <f t="shared" si="82"/>
        <v>10451.377917864382</v>
      </c>
      <c r="DJ74" s="116">
        <f t="shared" si="83"/>
        <v>10994.849569593329</v>
      </c>
      <c r="DK74" s="116">
        <f t="shared" si="83"/>
        <v>10994.849569593329</v>
      </c>
      <c r="DL74" s="116">
        <f t="shared" si="83"/>
        <v>10994.849569593329</v>
      </c>
      <c r="DM74" s="116">
        <f t="shared" si="83"/>
        <v>10994.849569593329</v>
      </c>
      <c r="DN74" s="116">
        <f t="shared" si="83"/>
        <v>10994.849569593329</v>
      </c>
      <c r="DO74" s="116">
        <f t="shared" si="83"/>
        <v>11354.376969967865</v>
      </c>
      <c r="DP74" s="116">
        <f t="shared" si="83"/>
        <v>11354.376969967865</v>
      </c>
      <c r="DQ74" s="116">
        <f t="shared" si="83"/>
        <v>11354.376969967865</v>
      </c>
      <c r="DR74" s="116">
        <f t="shared" si="83"/>
        <v>11354.376969967865</v>
      </c>
      <c r="DS74" s="116">
        <f t="shared" si="83"/>
        <v>11354.376969967865</v>
      </c>
      <c r="DT74" s="116">
        <f t="shared" si="83"/>
        <v>11810.893157420182</v>
      </c>
      <c r="DW74" s="83" t="s">
        <v>198</v>
      </c>
      <c r="DX74" s="114">
        <f t="shared" si="84"/>
        <v>286681.21832755825</v>
      </c>
      <c r="DY74" s="116">
        <f t="shared" si="85"/>
        <v>286681.21832755825</v>
      </c>
      <c r="DZ74" s="116">
        <f t="shared" si="85"/>
        <v>250811.14145423129</v>
      </c>
      <c r="EA74" s="116">
        <f t="shared" si="85"/>
        <v>250811.14145423129</v>
      </c>
      <c r="EB74" s="116">
        <f t="shared" si="85"/>
        <v>250811.14145423129</v>
      </c>
      <c r="EC74" s="116">
        <f t="shared" si="85"/>
        <v>250811.14145423129</v>
      </c>
      <c r="ED74" s="116">
        <f t="shared" si="85"/>
        <v>250811.14145423129</v>
      </c>
      <c r="EE74" s="116">
        <f t="shared" si="85"/>
        <v>156045.05869700294</v>
      </c>
      <c r="EF74" s="116">
        <f t="shared" si="85"/>
        <v>156045.05869700294</v>
      </c>
      <c r="EG74" s="116">
        <f t="shared" si="85"/>
        <v>156045.05869700294</v>
      </c>
      <c r="EH74" s="116">
        <f t="shared" si="85"/>
        <v>156045.05869700294</v>
      </c>
      <c r="EI74" s="116">
        <f t="shared" si="85"/>
        <v>156045.05869700294</v>
      </c>
      <c r="EJ74" s="116">
        <f t="shared" si="85"/>
        <v>138943.14870383297</v>
      </c>
      <c r="EK74" s="116">
        <f t="shared" si="85"/>
        <v>138943.14870383297</v>
      </c>
      <c r="EL74" s="116">
        <f t="shared" si="85"/>
        <v>138943.14870383297</v>
      </c>
      <c r="EM74" s="116">
        <f t="shared" si="85"/>
        <v>138943.14870383297</v>
      </c>
      <c r="EN74" s="116">
        <f t="shared" si="85"/>
        <v>138943.14870383297</v>
      </c>
      <c r="EO74" s="116">
        <f t="shared" si="91"/>
        <v>135009.32472884428</v>
      </c>
      <c r="EP74" s="116">
        <f t="shared" si="91"/>
        <v>135009.32472884428</v>
      </c>
      <c r="EQ74" s="116">
        <f t="shared" si="91"/>
        <v>135009.32472884428</v>
      </c>
      <c r="ER74" s="116">
        <f t="shared" si="91"/>
        <v>135009.32472884428</v>
      </c>
      <c r="ES74" s="116">
        <f t="shared" si="91"/>
        <v>135009.32472884428</v>
      </c>
      <c r="ET74" s="116">
        <f t="shared" si="91"/>
        <v>130231.23693626927</v>
      </c>
      <c r="EU74" s="116">
        <f t="shared" si="91"/>
        <v>130231.23693626927</v>
      </c>
      <c r="EV74" s="116">
        <f t="shared" si="91"/>
        <v>130231.23693626927</v>
      </c>
      <c r="EW74" s="116">
        <f t="shared" si="91"/>
        <v>130231.23693626927</v>
      </c>
      <c r="EX74" s="116">
        <f t="shared" si="91"/>
        <v>130231.23693626927</v>
      </c>
      <c r="EY74" s="116">
        <f t="shared" si="91"/>
        <v>122616.6656702207</v>
      </c>
      <c r="FB74" s="83" t="s">
        <v>198</v>
      </c>
      <c r="FC74" s="114">
        <f t="shared" si="86"/>
        <v>309905.55945833283</v>
      </c>
      <c r="FD74" s="116">
        <f t="shared" si="87"/>
        <v>309905.55945833283</v>
      </c>
      <c r="FE74" s="116">
        <f t="shared" si="87"/>
        <v>270186.69237581728</v>
      </c>
      <c r="FF74" s="116">
        <f t="shared" si="87"/>
        <v>270186.69237581728</v>
      </c>
      <c r="FG74" s="116">
        <f t="shared" si="87"/>
        <v>270186.69237581728</v>
      </c>
      <c r="FH74" s="116">
        <f t="shared" si="87"/>
        <v>270186.69237581728</v>
      </c>
      <c r="FI74" s="116">
        <f t="shared" si="87"/>
        <v>270186.69237581728</v>
      </c>
      <c r="FJ74" s="116">
        <f t="shared" si="87"/>
        <v>170895.59850994271</v>
      </c>
      <c r="FK74" s="116">
        <f t="shared" si="87"/>
        <v>170895.59850994271</v>
      </c>
      <c r="FL74" s="116">
        <f t="shared" si="87"/>
        <v>170895.59850994271</v>
      </c>
      <c r="FM74" s="116">
        <f t="shared" si="87"/>
        <v>170895.59850994271</v>
      </c>
      <c r="FN74" s="116">
        <f t="shared" si="87"/>
        <v>170895.59850994271</v>
      </c>
      <c r="FO74" s="116">
        <f t="shared" si="87"/>
        <v>151364.15235105657</v>
      </c>
      <c r="FP74" s="116">
        <f t="shared" si="87"/>
        <v>151364.15235105657</v>
      </c>
      <c r="FQ74" s="116">
        <f t="shared" si="87"/>
        <v>151364.15235105657</v>
      </c>
      <c r="FR74" s="116">
        <f t="shared" si="87"/>
        <v>151364.15235105657</v>
      </c>
      <c r="FS74" s="116">
        <f t="shared" si="87"/>
        <v>151364.15235105657</v>
      </c>
      <c r="FT74" s="116">
        <f t="shared" si="92"/>
        <v>147908.13715532541</v>
      </c>
      <c r="FU74" s="116">
        <f t="shared" si="92"/>
        <v>147908.13715532541</v>
      </c>
      <c r="FV74" s="116">
        <f t="shared" si="92"/>
        <v>147908.13715532541</v>
      </c>
      <c r="FW74" s="116">
        <f t="shared" si="92"/>
        <v>147908.13715532541</v>
      </c>
      <c r="FX74" s="116">
        <f t="shared" si="92"/>
        <v>147908.13715532541</v>
      </c>
      <c r="FY74" s="116">
        <f t="shared" si="92"/>
        <v>143121.95090886467</v>
      </c>
      <c r="FZ74" s="116">
        <f t="shared" si="92"/>
        <v>143121.95090886467</v>
      </c>
      <c r="GA74" s="116">
        <f t="shared" si="92"/>
        <v>143121.95090886467</v>
      </c>
      <c r="GB74" s="116">
        <f t="shared" si="92"/>
        <v>143121.95090886467</v>
      </c>
      <c r="GC74" s="116">
        <f t="shared" si="92"/>
        <v>143121.95090886467</v>
      </c>
      <c r="GD74" s="116">
        <f t="shared" si="92"/>
        <v>135248.22911847304</v>
      </c>
      <c r="GH74" s="123" t="s">
        <v>198</v>
      </c>
      <c r="GI74" s="103">
        <f t="shared" si="88"/>
        <v>545561.92731252068</v>
      </c>
      <c r="GJ74" s="103">
        <f t="shared" si="88"/>
        <v>545561.92731252068</v>
      </c>
      <c r="GK74" s="103">
        <f t="shared" si="88"/>
        <v>545561.92731252068</v>
      </c>
      <c r="GL74" s="103">
        <f t="shared" si="88"/>
        <v>545561.92731252068</v>
      </c>
      <c r="GM74" s="103">
        <f t="shared" si="88"/>
        <v>545561.92731252068</v>
      </c>
      <c r="GN74" s="103">
        <f t="shared" si="88"/>
        <v>545561.92731252068</v>
      </c>
      <c r="GO74" s="103">
        <f t="shared" si="88"/>
        <v>545561.92731252068</v>
      </c>
      <c r="GP74" s="103">
        <f t="shared" si="88"/>
        <v>545561.92731252068</v>
      </c>
      <c r="GQ74" s="103">
        <f t="shared" si="88"/>
        <v>545561.92731252068</v>
      </c>
      <c r="GR74" s="103">
        <f t="shared" si="88"/>
        <v>545561.92731252068</v>
      </c>
      <c r="GS74" s="103">
        <f t="shared" si="88"/>
        <v>545561.92731252068</v>
      </c>
      <c r="GT74" s="103">
        <f t="shared" si="88"/>
        <v>545561.92731252068</v>
      </c>
      <c r="GU74" s="103">
        <f t="shared" si="88"/>
        <v>545561.92731252068</v>
      </c>
      <c r="GV74" s="103">
        <f t="shared" si="88"/>
        <v>545561.92731252068</v>
      </c>
      <c r="GW74" s="103">
        <f t="shared" si="88"/>
        <v>545561.92731252068</v>
      </c>
      <c r="GX74" s="103">
        <f t="shared" si="88"/>
        <v>545561.92731252068</v>
      </c>
      <c r="GY74" s="103">
        <f t="shared" si="89"/>
        <v>545561.92731252068</v>
      </c>
      <c r="GZ74" s="103">
        <f t="shared" si="89"/>
        <v>545561.92731252068</v>
      </c>
      <c r="HA74" s="103">
        <f t="shared" si="89"/>
        <v>545561.92731252068</v>
      </c>
      <c r="HB74" s="103">
        <f t="shared" si="89"/>
        <v>545561.92731252068</v>
      </c>
      <c r="HC74" s="103">
        <f t="shared" si="89"/>
        <v>545561.92731252068</v>
      </c>
      <c r="HD74" s="103">
        <f t="shared" si="89"/>
        <v>545561.92731252068</v>
      </c>
      <c r="HE74" s="103">
        <f t="shared" si="89"/>
        <v>545561.92731252068</v>
      </c>
      <c r="HF74" s="103">
        <f t="shared" si="89"/>
        <v>545561.92731252068</v>
      </c>
      <c r="HG74" s="103">
        <f t="shared" si="89"/>
        <v>545561.92731252068</v>
      </c>
      <c r="HH74" s="103">
        <f t="shared" si="89"/>
        <v>545561.92731252068</v>
      </c>
      <c r="HI74" s="103">
        <f t="shared" si="89"/>
        <v>545561.92731252068</v>
      </c>
      <c r="HJ74" s="103">
        <f t="shared" si="89"/>
        <v>545561.92731252068</v>
      </c>
    </row>
    <row r="75" spans="17:218" x14ac:dyDescent="0.25">
      <c r="Q75" s="37">
        <v>2025</v>
      </c>
      <c r="R75" s="135">
        <v>2E-3</v>
      </c>
      <c r="S75" s="128">
        <v>0.32100000000000001</v>
      </c>
      <c r="T75" s="128">
        <v>0.187</v>
      </c>
      <c r="U75" s="128">
        <v>0.191</v>
      </c>
      <c r="V75" s="128">
        <v>3.0000000000000001E-3</v>
      </c>
      <c r="W75" s="128">
        <v>0.29599999999999999</v>
      </c>
      <c r="X75" s="134">
        <f t="shared" si="93"/>
        <v>1</v>
      </c>
      <c r="Z75" s="83" t="s">
        <v>195</v>
      </c>
      <c r="AA75" s="114">
        <f>'US Grid mix, emissions&amp;prices'!O72</f>
        <v>96608</v>
      </c>
      <c r="AB75" s="116">
        <f t="shared" si="69"/>
        <v>96608</v>
      </c>
      <c r="AC75" s="116">
        <f t="shared" si="90"/>
        <v>84855.209192284266</v>
      </c>
      <c r="AD75" s="116">
        <f t="shared" si="90"/>
        <v>84855.209192284266</v>
      </c>
      <c r="AE75" s="116">
        <f t="shared" si="90"/>
        <v>84855.209192284266</v>
      </c>
      <c r="AF75" s="116">
        <f t="shared" si="90"/>
        <v>84855.209192284266</v>
      </c>
      <c r="AG75" s="116">
        <f t="shared" si="90"/>
        <v>84855.209192284266</v>
      </c>
      <c r="AH75" s="116">
        <f t="shared" si="90"/>
        <v>32081.560160602956</v>
      </c>
      <c r="AI75" s="116">
        <f t="shared" si="90"/>
        <v>32081.560160602956</v>
      </c>
      <c r="AJ75" s="116">
        <f t="shared" si="90"/>
        <v>32081.560160602956</v>
      </c>
      <c r="AK75" s="116">
        <f t="shared" si="90"/>
        <v>32081.560160602956</v>
      </c>
      <c r="AL75" s="116">
        <f t="shared" si="90"/>
        <v>32081.560160602956</v>
      </c>
      <c r="AM75" s="116">
        <f t="shared" si="90"/>
        <v>26964.562110341321</v>
      </c>
      <c r="AN75" s="116">
        <f t="shared" si="90"/>
        <v>26964.562110341321</v>
      </c>
      <c r="AO75" s="116">
        <f t="shared" si="90"/>
        <v>26964.562110341321</v>
      </c>
      <c r="AP75" s="116">
        <f t="shared" si="90"/>
        <v>26964.562110341321</v>
      </c>
      <c r="AQ75" s="116">
        <f t="shared" si="90"/>
        <v>26964.562110341321</v>
      </c>
      <c r="AR75" s="116">
        <f t="shared" si="90"/>
        <v>26964.562110341321</v>
      </c>
      <c r="AS75" s="116">
        <f t="shared" si="90"/>
        <v>26964.562110341321</v>
      </c>
      <c r="AT75" s="116">
        <f t="shared" si="90"/>
        <v>26964.562110341321</v>
      </c>
      <c r="AU75" s="116">
        <f t="shared" si="90"/>
        <v>26964.562110341321</v>
      </c>
      <c r="AV75" s="116">
        <f t="shared" si="90"/>
        <v>26964.562110341321</v>
      </c>
      <c r="AW75" s="116">
        <f t="shared" si="90"/>
        <v>27091.8728431501</v>
      </c>
      <c r="AX75" s="116">
        <f t="shared" si="90"/>
        <v>27091.8728431501</v>
      </c>
      <c r="AY75" s="116">
        <f t="shared" si="90"/>
        <v>27091.8728431501</v>
      </c>
      <c r="AZ75" s="116">
        <f t="shared" si="90"/>
        <v>27091.8728431501</v>
      </c>
      <c r="BA75" s="116">
        <f t="shared" si="90"/>
        <v>27091.8728431501</v>
      </c>
      <c r="BB75" s="116">
        <f t="shared" si="90"/>
        <v>27251.941893172836</v>
      </c>
      <c r="BM75" s="83" t="s">
        <v>195</v>
      </c>
      <c r="BN75" s="114">
        <f t="shared" si="78"/>
        <v>96608</v>
      </c>
      <c r="BO75" s="116">
        <f t="shared" si="79"/>
        <v>96608</v>
      </c>
      <c r="BP75" s="116">
        <f t="shared" si="79"/>
        <v>76153.408928722798</v>
      </c>
      <c r="BQ75" s="116">
        <f t="shared" si="79"/>
        <v>76153.408928722798</v>
      </c>
      <c r="BR75" s="116">
        <f t="shared" si="79"/>
        <v>76153.408928722798</v>
      </c>
      <c r="BS75" s="116">
        <f t="shared" si="79"/>
        <v>76153.408928722798</v>
      </c>
      <c r="BT75" s="116">
        <f t="shared" si="79"/>
        <v>76153.408928722798</v>
      </c>
      <c r="BU75" s="116">
        <f t="shared" si="79"/>
        <v>4301.7626559598029</v>
      </c>
      <c r="BV75" s="116">
        <f t="shared" si="79"/>
        <v>4301.7626559598029</v>
      </c>
      <c r="BW75" s="116">
        <f t="shared" si="79"/>
        <v>4301.7626559598029</v>
      </c>
      <c r="BX75" s="116">
        <f t="shared" si="79"/>
        <v>4301.7626559598029</v>
      </c>
      <c r="BY75" s="116">
        <f t="shared" si="79"/>
        <v>4301.7626559598029</v>
      </c>
      <c r="BZ75" s="116">
        <f t="shared" si="79"/>
        <v>4486.4004438930033</v>
      </c>
      <c r="CA75" s="116">
        <f t="shared" si="79"/>
        <v>4486.4004438930033</v>
      </c>
      <c r="CB75" s="116">
        <f t="shared" si="79"/>
        <v>4486.4004438930033</v>
      </c>
      <c r="CC75" s="116">
        <f t="shared" si="79"/>
        <v>4486.4004438930033</v>
      </c>
      <c r="CD75" s="116">
        <f t="shared" si="79"/>
        <v>4486.4004438930033</v>
      </c>
      <c r="CE75" s="116">
        <f t="shared" si="80"/>
        <v>4548.9390494832815</v>
      </c>
      <c r="CF75" s="116">
        <f t="shared" si="80"/>
        <v>4548.9390494832815</v>
      </c>
      <c r="CG75" s="116">
        <f t="shared" si="80"/>
        <v>4548.9390494832815</v>
      </c>
      <c r="CH75" s="116">
        <f t="shared" si="80"/>
        <v>4548.9390494832815</v>
      </c>
      <c r="CI75" s="116">
        <f t="shared" si="80"/>
        <v>4548.9390494832815</v>
      </c>
      <c r="CJ75" s="116">
        <f t="shared" si="80"/>
        <v>4709.0080995060152</v>
      </c>
      <c r="CK75" s="116">
        <f t="shared" si="80"/>
        <v>4709.0080995060152</v>
      </c>
      <c r="CL75" s="116">
        <f t="shared" si="80"/>
        <v>4709.0080995060152</v>
      </c>
      <c r="CM75" s="116">
        <f t="shared" si="80"/>
        <v>4709.0080995060152</v>
      </c>
      <c r="CN75" s="116">
        <f t="shared" si="80"/>
        <v>4709.0080995060152</v>
      </c>
      <c r="CO75" s="116">
        <f t="shared" si="80"/>
        <v>4911.5140604650087</v>
      </c>
      <c r="CR75" s="83" t="s">
        <v>195</v>
      </c>
      <c r="CS75" s="114">
        <f t="shared" si="81"/>
        <v>96608</v>
      </c>
      <c r="CT75" s="116">
        <f t="shared" si="82"/>
        <v>4523.625804363407</v>
      </c>
      <c r="CU75" s="116">
        <f t="shared" si="82"/>
        <v>4523.625804363407</v>
      </c>
      <c r="CV75" s="116">
        <f t="shared" si="82"/>
        <v>4523.625804363407</v>
      </c>
      <c r="CW75" s="116">
        <f t="shared" si="82"/>
        <v>4523.625804363407</v>
      </c>
      <c r="CX75" s="116">
        <f t="shared" si="82"/>
        <v>4523.625804363407</v>
      </c>
      <c r="CY75" s="116">
        <f t="shared" si="82"/>
        <v>4523.625804363407</v>
      </c>
      <c r="CZ75" s="116">
        <f t="shared" si="82"/>
        <v>4523.625804363407</v>
      </c>
      <c r="DA75" s="116">
        <f t="shared" si="82"/>
        <v>4523.625804363407</v>
      </c>
      <c r="DB75" s="116">
        <f t="shared" si="82"/>
        <v>4523.625804363407</v>
      </c>
      <c r="DC75" s="116">
        <f t="shared" si="82"/>
        <v>4523.625804363407</v>
      </c>
      <c r="DD75" s="116">
        <f t="shared" si="82"/>
        <v>4523.625804363407</v>
      </c>
      <c r="DE75" s="116">
        <f t="shared" si="82"/>
        <v>4653.1700588004105</v>
      </c>
      <c r="DF75" s="116">
        <f t="shared" si="82"/>
        <v>4653.1700588004105</v>
      </c>
      <c r="DG75" s="116">
        <f t="shared" si="82"/>
        <v>4653.1700588004105</v>
      </c>
      <c r="DH75" s="116">
        <f t="shared" si="82"/>
        <v>4653.1700588004105</v>
      </c>
      <c r="DI75" s="116">
        <f t="shared" si="82"/>
        <v>4653.1700588004105</v>
      </c>
      <c r="DJ75" s="116">
        <f t="shared" si="83"/>
        <v>4895.1349018580313</v>
      </c>
      <c r="DK75" s="116">
        <f t="shared" si="83"/>
        <v>4895.1349018580313</v>
      </c>
      <c r="DL75" s="116">
        <f t="shared" si="83"/>
        <v>4895.1349018580313</v>
      </c>
      <c r="DM75" s="116">
        <f t="shared" si="83"/>
        <v>4895.1349018580313</v>
      </c>
      <c r="DN75" s="116">
        <f t="shared" si="83"/>
        <v>4895.1349018580313</v>
      </c>
      <c r="DO75" s="116">
        <f t="shared" si="83"/>
        <v>5055.2039518807651</v>
      </c>
      <c r="DP75" s="116">
        <f t="shared" si="83"/>
        <v>5055.2039518807651</v>
      </c>
      <c r="DQ75" s="116">
        <f t="shared" si="83"/>
        <v>5055.2039518807651</v>
      </c>
      <c r="DR75" s="116">
        <f t="shared" si="83"/>
        <v>5055.2039518807651</v>
      </c>
      <c r="DS75" s="116">
        <f t="shared" si="83"/>
        <v>5055.2039518807651</v>
      </c>
      <c r="DT75" s="116">
        <f t="shared" si="83"/>
        <v>5258.4544200491673</v>
      </c>
      <c r="DW75" s="83" t="s">
        <v>195</v>
      </c>
      <c r="DX75" s="114">
        <f t="shared" si="84"/>
        <v>127636.42000372714</v>
      </c>
      <c r="DY75" s="116">
        <f t="shared" si="85"/>
        <v>127636.42000372714</v>
      </c>
      <c r="DZ75" s="116">
        <f t="shared" si="85"/>
        <v>111666.31835535615</v>
      </c>
      <c r="EA75" s="116">
        <f t="shared" si="85"/>
        <v>111666.31835535615</v>
      </c>
      <c r="EB75" s="116">
        <f t="shared" si="85"/>
        <v>111666.31835535615</v>
      </c>
      <c r="EC75" s="116">
        <f t="shared" si="85"/>
        <v>111666.31835535615</v>
      </c>
      <c r="ED75" s="116">
        <f t="shared" si="85"/>
        <v>111666.31835535615</v>
      </c>
      <c r="EE75" s="116">
        <f t="shared" si="85"/>
        <v>69474.49423980045</v>
      </c>
      <c r="EF75" s="116">
        <f t="shared" si="85"/>
        <v>69474.49423980045</v>
      </c>
      <c r="EG75" s="116">
        <f t="shared" si="85"/>
        <v>69474.49423980045</v>
      </c>
      <c r="EH75" s="116">
        <f t="shared" si="85"/>
        <v>69474.49423980045</v>
      </c>
      <c r="EI75" s="116">
        <f t="shared" si="85"/>
        <v>69474.49423980045</v>
      </c>
      <c r="EJ75" s="116">
        <f t="shared" si="85"/>
        <v>61860.36946564063</v>
      </c>
      <c r="EK75" s="116">
        <f t="shared" si="85"/>
        <v>61860.36946564063</v>
      </c>
      <c r="EL75" s="116">
        <f t="shared" si="85"/>
        <v>61860.36946564063</v>
      </c>
      <c r="EM75" s="116">
        <f t="shared" si="85"/>
        <v>61860.36946564063</v>
      </c>
      <c r="EN75" s="116">
        <f t="shared" si="85"/>
        <v>61860.36946564063</v>
      </c>
      <c r="EO75" s="116">
        <f t="shared" si="91"/>
        <v>60108.949501606949</v>
      </c>
      <c r="EP75" s="116">
        <f t="shared" si="91"/>
        <v>60108.949501606949</v>
      </c>
      <c r="EQ75" s="116">
        <f t="shared" si="91"/>
        <v>60108.949501606949</v>
      </c>
      <c r="ER75" s="116">
        <f t="shared" si="91"/>
        <v>60108.949501606949</v>
      </c>
      <c r="ES75" s="116">
        <f t="shared" si="91"/>
        <v>60108.949501606949</v>
      </c>
      <c r="ET75" s="116">
        <f t="shared" si="91"/>
        <v>57981.645788215537</v>
      </c>
      <c r="EU75" s="116">
        <f t="shared" si="91"/>
        <v>57981.645788215537</v>
      </c>
      <c r="EV75" s="116">
        <f t="shared" si="91"/>
        <v>57981.645788215537</v>
      </c>
      <c r="EW75" s="116">
        <f t="shared" si="91"/>
        <v>57981.645788215537</v>
      </c>
      <c r="EX75" s="116">
        <f t="shared" si="91"/>
        <v>57981.645788215537</v>
      </c>
      <c r="EY75" s="116">
        <f t="shared" si="91"/>
        <v>54591.480844967627</v>
      </c>
      <c r="FB75" s="83" t="s">
        <v>195</v>
      </c>
      <c r="FC75" s="114">
        <f t="shared" si="86"/>
        <v>137976.37801063934</v>
      </c>
      <c r="FD75" s="116">
        <f t="shared" si="87"/>
        <v>137976.37801063934</v>
      </c>
      <c r="FE75" s="116">
        <f t="shared" si="87"/>
        <v>120292.71519313402</v>
      </c>
      <c r="FF75" s="116">
        <f t="shared" si="87"/>
        <v>120292.71519313402</v>
      </c>
      <c r="FG75" s="116">
        <f t="shared" si="87"/>
        <v>120292.71519313402</v>
      </c>
      <c r="FH75" s="116">
        <f t="shared" si="87"/>
        <v>120292.71519313402</v>
      </c>
      <c r="FI75" s="116">
        <f t="shared" si="87"/>
        <v>120292.71519313402</v>
      </c>
      <c r="FJ75" s="116">
        <f t="shared" si="87"/>
        <v>76086.262349006371</v>
      </c>
      <c r="FK75" s="116">
        <f t="shared" si="87"/>
        <v>76086.262349006371</v>
      </c>
      <c r="FL75" s="116">
        <f t="shared" si="87"/>
        <v>76086.262349006371</v>
      </c>
      <c r="FM75" s="116">
        <f t="shared" si="87"/>
        <v>76086.262349006371</v>
      </c>
      <c r="FN75" s="116">
        <f t="shared" si="87"/>
        <v>76086.262349006371</v>
      </c>
      <c r="FO75" s="116">
        <f t="shared" si="87"/>
        <v>67390.457720579725</v>
      </c>
      <c r="FP75" s="116">
        <f t="shared" si="87"/>
        <v>67390.457720579725</v>
      </c>
      <c r="FQ75" s="116">
        <f t="shared" si="87"/>
        <v>67390.457720579725</v>
      </c>
      <c r="FR75" s="116">
        <f t="shared" si="87"/>
        <v>67390.457720579725</v>
      </c>
      <c r="FS75" s="116">
        <f t="shared" si="87"/>
        <v>67390.457720579725</v>
      </c>
      <c r="FT75" s="116">
        <f t="shared" si="92"/>
        <v>65851.768127885181</v>
      </c>
      <c r="FU75" s="116">
        <f t="shared" si="92"/>
        <v>65851.768127885181</v>
      </c>
      <c r="FV75" s="116">
        <f t="shared" si="92"/>
        <v>65851.768127885181</v>
      </c>
      <c r="FW75" s="116">
        <f t="shared" si="92"/>
        <v>65851.768127885181</v>
      </c>
      <c r="FX75" s="116">
        <f t="shared" si="92"/>
        <v>65851.768127885181</v>
      </c>
      <c r="FY75" s="116">
        <f t="shared" si="92"/>
        <v>63720.858814979554</v>
      </c>
      <c r="FZ75" s="116">
        <f t="shared" si="92"/>
        <v>63720.858814979554</v>
      </c>
      <c r="GA75" s="116">
        <f t="shared" si="92"/>
        <v>63720.858814979554</v>
      </c>
      <c r="GB75" s="116">
        <f t="shared" si="92"/>
        <v>63720.858814979554</v>
      </c>
      <c r="GC75" s="116">
        <f t="shared" si="92"/>
        <v>63720.858814979554</v>
      </c>
      <c r="GD75" s="116">
        <f t="shared" si="92"/>
        <v>60215.314687276521</v>
      </c>
      <c r="GH75" s="123" t="s">
        <v>195</v>
      </c>
      <c r="GI75" s="103">
        <f t="shared" si="88"/>
        <v>242895.47706938139</v>
      </c>
      <c r="GJ75" s="103">
        <f t="shared" si="88"/>
        <v>242895.47706938139</v>
      </c>
      <c r="GK75" s="103">
        <f t="shared" si="88"/>
        <v>242895.47706938139</v>
      </c>
      <c r="GL75" s="103">
        <f t="shared" si="88"/>
        <v>242895.47706938139</v>
      </c>
      <c r="GM75" s="103">
        <f t="shared" si="88"/>
        <v>242895.47706938139</v>
      </c>
      <c r="GN75" s="103">
        <f t="shared" si="88"/>
        <v>242895.47706938139</v>
      </c>
      <c r="GO75" s="103">
        <f t="shared" si="88"/>
        <v>242895.47706938139</v>
      </c>
      <c r="GP75" s="103">
        <f t="shared" si="88"/>
        <v>242895.47706938139</v>
      </c>
      <c r="GQ75" s="103">
        <f t="shared" si="88"/>
        <v>242895.47706938139</v>
      </c>
      <c r="GR75" s="103">
        <f t="shared" si="88"/>
        <v>242895.47706938139</v>
      </c>
      <c r="GS75" s="103">
        <f t="shared" si="88"/>
        <v>242895.47706938139</v>
      </c>
      <c r="GT75" s="103">
        <f t="shared" si="88"/>
        <v>242895.47706938139</v>
      </c>
      <c r="GU75" s="103">
        <f t="shared" si="88"/>
        <v>242895.47706938139</v>
      </c>
      <c r="GV75" s="103">
        <f t="shared" si="88"/>
        <v>242895.47706938139</v>
      </c>
      <c r="GW75" s="103">
        <f t="shared" si="88"/>
        <v>242895.47706938139</v>
      </c>
      <c r="GX75" s="103">
        <f t="shared" si="88"/>
        <v>242895.47706938139</v>
      </c>
      <c r="GY75" s="103">
        <f t="shared" si="89"/>
        <v>242895.47706938139</v>
      </c>
      <c r="GZ75" s="103">
        <f t="shared" si="89"/>
        <v>242895.47706938139</v>
      </c>
      <c r="HA75" s="103">
        <f t="shared" si="89"/>
        <v>242895.47706938139</v>
      </c>
      <c r="HB75" s="103">
        <f t="shared" si="89"/>
        <v>242895.47706938139</v>
      </c>
      <c r="HC75" s="103">
        <f t="shared" si="89"/>
        <v>242895.47706938139</v>
      </c>
      <c r="HD75" s="103">
        <f t="shared" si="89"/>
        <v>242895.47706938139</v>
      </c>
      <c r="HE75" s="103">
        <f t="shared" si="89"/>
        <v>242895.47706938139</v>
      </c>
      <c r="HF75" s="103">
        <f t="shared" si="89"/>
        <v>242895.47706938139</v>
      </c>
      <c r="HG75" s="103">
        <f t="shared" si="89"/>
        <v>242895.47706938139</v>
      </c>
      <c r="HH75" s="103">
        <f t="shared" si="89"/>
        <v>242895.47706938139</v>
      </c>
      <c r="HI75" s="103">
        <f t="shared" si="89"/>
        <v>242895.47706938139</v>
      </c>
      <c r="HJ75" s="103">
        <f t="shared" si="89"/>
        <v>242895.47706938139</v>
      </c>
    </row>
    <row r="76" spans="17:218" x14ac:dyDescent="0.25">
      <c r="Q76" s="37">
        <v>2030</v>
      </c>
      <c r="R76" s="135">
        <v>2E-3</v>
      </c>
      <c r="S76" s="128">
        <v>0</v>
      </c>
      <c r="T76" s="128">
        <v>0</v>
      </c>
      <c r="U76" s="128">
        <v>0</v>
      </c>
      <c r="V76" s="128">
        <v>0</v>
      </c>
      <c r="W76" s="128">
        <f>1-SUM(R76:V76)</f>
        <v>0.998</v>
      </c>
      <c r="X76" s="134">
        <f t="shared" si="93"/>
        <v>1</v>
      </c>
      <c r="Z76" s="83" t="s">
        <v>199</v>
      </c>
      <c r="AA76" s="114">
        <f>'US Grid mix, emissions&amp;prices'!O73</f>
        <v>106113</v>
      </c>
      <c r="AB76" s="116">
        <f t="shared" si="69"/>
        <v>106113</v>
      </c>
      <c r="AC76" s="116">
        <f t="shared" si="90"/>
        <v>93203.883871116894</v>
      </c>
      <c r="AD76" s="116">
        <f t="shared" si="90"/>
        <v>93203.883871116894</v>
      </c>
      <c r="AE76" s="116">
        <f t="shared" si="90"/>
        <v>93203.883871116894</v>
      </c>
      <c r="AF76" s="116">
        <f t="shared" si="90"/>
        <v>93203.883871116894</v>
      </c>
      <c r="AG76" s="116">
        <f t="shared" si="90"/>
        <v>93203.883871116894</v>
      </c>
      <c r="AH76" s="116">
        <f t="shared" si="90"/>
        <v>35237.978152141244</v>
      </c>
      <c r="AI76" s="116">
        <f t="shared" si="90"/>
        <v>35237.978152141244</v>
      </c>
      <c r="AJ76" s="116">
        <f t="shared" si="90"/>
        <v>35237.978152141244</v>
      </c>
      <c r="AK76" s="116">
        <f t="shared" si="90"/>
        <v>35237.978152141244</v>
      </c>
      <c r="AL76" s="116">
        <f t="shared" si="90"/>
        <v>35237.978152141244</v>
      </c>
      <c r="AM76" s="116">
        <f t="shared" si="90"/>
        <v>29617.532494355008</v>
      </c>
      <c r="AN76" s="116">
        <f t="shared" si="90"/>
        <v>29617.532494355008</v>
      </c>
      <c r="AO76" s="116">
        <f t="shared" si="90"/>
        <v>29617.532494355008</v>
      </c>
      <c r="AP76" s="116">
        <f t="shared" si="90"/>
        <v>29617.532494355008</v>
      </c>
      <c r="AQ76" s="116">
        <f t="shared" si="90"/>
        <v>29617.532494355008</v>
      </c>
      <c r="AR76" s="116">
        <f t="shared" si="90"/>
        <v>29617.532494355008</v>
      </c>
      <c r="AS76" s="116">
        <f t="shared" si="90"/>
        <v>29617.532494355008</v>
      </c>
      <c r="AT76" s="116">
        <f t="shared" si="90"/>
        <v>29617.532494355008</v>
      </c>
      <c r="AU76" s="116">
        <f t="shared" si="90"/>
        <v>29617.532494355008</v>
      </c>
      <c r="AV76" s="116">
        <f t="shared" si="90"/>
        <v>29617.532494355008</v>
      </c>
      <c r="AW76" s="116">
        <f t="shared" si="90"/>
        <v>29757.368986058988</v>
      </c>
      <c r="AX76" s="116">
        <f t="shared" si="90"/>
        <v>29757.368986058988</v>
      </c>
      <c r="AY76" s="116">
        <f t="shared" si="90"/>
        <v>29757.368986058988</v>
      </c>
      <c r="AZ76" s="116">
        <f t="shared" si="90"/>
        <v>29757.368986058988</v>
      </c>
      <c r="BA76" s="116">
        <f t="shared" si="90"/>
        <v>29757.368986058988</v>
      </c>
      <c r="BB76" s="116">
        <f t="shared" si="90"/>
        <v>29933.186797265746</v>
      </c>
      <c r="BM76" s="83" t="s">
        <v>199</v>
      </c>
      <c r="BN76" s="114">
        <f t="shared" si="78"/>
        <v>106113</v>
      </c>
      <c r="BO76" s="116">
        <f t="shared" si="79"/>
        <v>106113</v>
      </c>
      <c r="BP76" s="116">
        <f t="shared" si="79"/>
        <v>83645.936999560727</v>
      </c>
      <c r="BQ76" s="116">
        <f t="shared" si="79"/>
        <v>83645.936999560727</v>
      </c>
      <c r="BR76" s="116">
        <f t="shared" si="79"/>
        <v>83645.936999560727</v>
      </c>
      <c r="BS76" s="116">
        <f t="shared" si="79"/>
        <v>83645.936999560727</v>
      </c>
      <c r="BT76" s="116">
        <f t="shared" si="79"/>
        <v>83645.936999560727</v>
      </c>
      <c r="BU76" s="116">
        <f t="shared" si="79"/>
        <v>4725.0014565239171</v>
      </c>
      <c r="BV76" s="116">
        <f t="shared" si="79"/>
        <v>4725.0014565239171</v>
      </c>
      <c r="BW76" s="116">
        <f t="shared" si="79"/>
        <v>4725.0014565239171</v>
      </c>
      <c r="BX76" s="116">
        <f t="shared" si="79"/>
        <v>4725.0014565239171</v>
      </c>
      <c r="BY76" s="116">
        <f t="shared" si="79"/>
        <v>4725.0014565239171</v>
      </c>
      <c r="BZ76" s="116">
        <f t="shared" si="79"/>
        <v>4927.8052573577579</v>
      </c>
      <c r="CA76" s="116">
        <f t="shared" si="79"/>
        <v>4927.8052573577579</v>
      </c>
      <c r="CB76" s="116">
        <f t="shared" si="79"/>
        <v>4927.8052573577579</v>
      </c>
      <c r="CC76" s="116">
        <f t="shared" si="79"/>
        <v>4927.8052573577579</v>
      </c>
      <c r="CD76" s="116">
        <f t="shared" si="79"/>
        <v>4927.8052573577579</v>
      </c>
      <c r="CE76" s="116">
        <f t="shared" si="80"/>
        <v>4996.4968673176072</v>
      </c>
      <c r="CF76" s="116">
        <f t="shared" si="80"/>
        <v>4996.4968673176072</v>
      </c>
      <c r="CG76" s="116">
        <f t="shared" si="80"/>
        <v>4996.4968673176072</v>
      </c>
      <c r="CH76" s="116">
        <f t="shared" si="80"/>
        <v>4996.4968673176072</v>
      </c>
      <c r="CI76" s="116">
        <f t="shared" si="80"/>
        <v>4996.4968673176072</v>
      </c>
      <c r="CJ76" s="116">
        <f t="shared" si="80"/>
        <v>5172.3146785243644</v>
      </c>
      <c r="CK76" s="116">
        <f t="shared" si="80"/>
        <v>5172.3146785243644</v>
      </c>
      <c r="CL76" s="116">
        <f t="shared" si="80"/>
        <v>5172.3146785243644</v>
      </c>
      <c r="CM76" s="116">
        <f t="shared" si="80"/>
        <v>5172.3146785243644</v>
      </c>
      <c r="CN76" s="116">
        <f t="shared" si="80"/>
        <v>5172.3146785243644</v>
      </c>
      <c r="CO76" s="116">
        <f t="shared" si="80"/>
        <v>5394.7446536324469</v>
      </c>
      <c r="CR76" s="83" t="s">
        <v>199</v>
      </c>
      <c r="CS76" s="114">
        <f t="shared" si="81"/>
        <v>106113</v>
      </c>
      <c r="CT76" s="116">
        <f t="shared" si="82"/>
        <v>4968.6931204290968</v>
      </c>
      <c r="CU76" s="116">
        <f t="shared" si="82"/>
        <v>4968.6931204290968</v>
      </c>
      <c r="CV76" s="116">
        <f t="shared" si="82"/>
        <v>4968.6931204290968</v>
      </c>
      <c r="CW76" s="116">
        <f t="shared" si="82"/>
        <v>4968.6931204290968</v>
      </c>
      <c r="CX76" s="116">
        <f t="shared" si="82"/>
        <v>4968.6931204290968</v>
      </c>
      <c r="CY76" s="116">
        <f t="shared" si="82"/>
        <v>4968.6931204290968</v>
      </c>
      <c r="CZ76" s="116">
        <f t="shared" si="82"/>
        <v>4968.6931204290968</v>
      </c>
      <c r="DA76" s="116">
        <f t="shared" si="82"/>
        <v>4968.6931204290968</v>
      </c>
      <c r="DB76" s="116">
        <f t="shared" si="82"/>
        <v>4968.6931204290968</v>
      </c>
      <c r="DC76" s="116">
        <f t="shared" si="82"/>
        <v>4968.6931204290968</v>
      </c>
      <c r="DD76" s="116">
        <f t="shared" si="82"/>
        <v>4968.6931204290968</v>
      </c>
      <c r="DE76" s="116">
        <f t="shared" si="82"/>
        <v>5110.982883917356</v>
      </c>
      <c r="DF76" s="116">
        <f t="shared" si="82"/>
        <v>5110.982883917356</v>
      </c>
      <c r="DG76" s="116">
        <f t="shared" si="82"/>
        <v>5110.982883917356</v>
      </c>
      <c r="DH76" s="116">
        <f t="shared" si="82"/>
        <v>5110.982883917356</v>
      </c>
      <c r="DI76" s="116">
        <f t="shared" si="82"/>
        <v>5110.982883917356</v>
      </c>
      <c r="DJ76" s="116">
        <f t="shared" si="83"/>
        <v>5376.7539938810587</v>
      </c>
      <c r="DK76" s="116">
        <f t="shared" si="83"/>
        <v>5376.7539938810587</v>
      </c>
      <c r="DL76" s="116">
        <f t="shared" si="83"/>
        <v>5376.7539938810587</v>
      </c>
      <c r="DM76" s="116">
        <f t="shared" si="83"/>
        <v>5376.7539938810587</v>
      </c>
      <c r="DN76" s="116">
        <f t="shared" si="83"/>
        <v>5376.7539938810587</v>
      </c>
      <c r="DO76" s="116">
        <f t="shared" si="83"/>
        <v>5552.5718050878158</v>
      </c>
      <c r="DP76" s="116">
        <f t="shared" si="83"/>
        <v>5552.5718050878158</v>
      </c>
      <c r="DQ76" s="116">
        <f t="shared" si="83"/>
        <v>5552.5718050878158</v>
      </c>
      <c r="DR76" s="116">
        <f t="shared" si="83"/>
        <v>5552.5718050878158</v>
      </c>
      <c r="DS76" s="116">
        <f t="shared" si="83"/>
        <v>5552.5718050878158</v>
      </c>
      <c r="DT76" s="116">
        <f t="shared" si="83"/>
        <v>5775.8195374573261</v>
      </c>
      <c r="DW76" s="83" t="s">
        <v>199</v>
      </c>
      <c r="DX76" s="114">
        <f t="shared" si="84"/>
        <v>140194.22238174372</v>
      </c>
      <c r="DY76" s="116">
        <f t="shared" si="85"/>
        <v>140194.22238174372</v>
      </c>
      <c r="DZ76" s="116">
        <f t="shared" si="85"/>
        <v>122652.8655974858</v>
      </c>
      <c r="EA76" s="116">
        <f t="shared" si="85"/>
        <v>122652.8655974858</v>
      </c>
      <c r="EB76" s="116">
        <f t="shared" si="85"/>
        <v>122652.8655974858</v>
      </c>
      <c r="EC76" s="116">
        <f t="shared" si="85"/>
        <v>122652.8655974858</v>
      </c>
      <c r="ED76" s="116">
        <f t="shared" si="85"/>
        <v>122652.8655974858</v>
      </c>
      <c r="EE76" s="116">
        <f t="shared" si="85"/>
        <v>76309.901946711921</v>
      </c>
      <c r="EF76" s="116">
        <f t="shared" si="85"/>
        <v>76309.901946711921</v>
      </c>
      <c r="EG76" s="116">
        <f t="shared" si="85"/>
        <v>76309.901946711921</v>
      </c>
      <c r="EH76" s="116">
        <f t="shared" si="85"/>
        <v>76309.901946711921</v>
      </c>
      <c r="EI76" s="116">
        <f t="shared" si="85"/>
        <v>76309.901946711921</v>
      </c>
      <c r="EJ76" s="116">
        <f t="shared" si="85"/>
        <v>67946.644016101403</v>
      </c>
      <c r="EK76" s="116">
        <f t="shared" si="85"/>
        <v>67946.644016101403</v>
      </c>
      <c r="EL76" s="116">
        <f t="shared" si="85"/>
        <v>67946.644016101403</v>
      </c>
      <c r="EM76" s="116">
        <f t="shared" si="85"/>
        <v>67946.644016101403</v>
      </c>
      <c r="EN76" s="116">
        <f t="shared" si="85"/>
        <v>67946.644016101403</v>
      </c>
      <c r="EO76" s="116">
        <f t="shared" si="91"/>
        <v>66022.906575687492</v>
      </c>
      <c r="EP76" s="116">
        <f t="shared" si="91"/>
        <v>66022.906575687492</v>
      </c>
      <c r="EQ76" s="116">
        <f t="shared" si="91"/>
        <v>66022.906575687492</v>
      </c>
      <c r="ER76" s="116">
        <f t="shared" si="91"/>
        <v>66022.906575687492</v>
      </c>
      <c r="ES76" s="116">
        <f t="shared" si="91"/>
        <v>66022.906575687492</v>
      </c>
      <c r="ET76" s="116">
        <f t="shared" si="91"/>
        <v>63686.303199785893</v>
      </c>
      <c r="EU76" s="116">
        <f t="shared" si="91"/>
        <v>63686.303199785893</v>
      </c>
      <c r="EV76" s="116">
        <f t="shared" si="91"/>
        <v>63686.303199785893</v>
      </c>
      <c r="EW76" s="116">
        <f t="shared" si="91"/>
        <v>63686.303199785893</v>
      </c>
      <c r="EX76" s="116">
        <f t="shared" si="91"/>
        <v>63686.303199785893</v>
      </c>
      <c r="EY76" s="116">
        <f t="shared" si="91"/>
        <v>59962.589090986767</v>
      </c>
      <c r="FB76" s="83" t="s">
        <v>199</v>
      </c>
      <c r="FC76" s="114">
        <f t="shared" si="86"/>
        <v>151551.5009092722</v>
      </c>
      <c r="FD76" s="116">
        <f t="shared" si="87"/>
        <v>151551.5009092722</v>
      </c>
      <c r="FE76" s="116">
        <f t="shared" si="87"/>
        <v>132127.99030400201</v>
      </c>
      <c r="FF76" s="116">
        <f t="shared" si="87"/>
        <v>132127.99030400201</v>
      </c>
      <c r="FG76" s="116">
        <f t="shared" si="87"/>
        <v>132127.99030400201</v>
      </c>
      <c r="FH76" s="116">
        <f t="shared" si="87"/>
        <v>132127.99030400201</v>
      </c>
      <c r="FI76" s="116">
        <f t="shared" si="87"/>
        <v>132127.99030400201</v>
      </c>
      <c r="FJ76" s="116">
        <f t="shared" si="87"/>
        <v>83572.184049355244</v>
      </c>
      <c r="FK76" s="116">
        <f t="shared" si="87"/>
        <v>83572.184049355244</v>
      </c>
      <c r="FL76" s="116">
        <f t="shared" si="87"/>
        <v>83572.184049355244</v>
      </c>
      <c r="FM76" s="116">
        <f t="shared" si="87"/>
        <v>83572.184049355244</v>
      </c>
      <c r="FN76" s="116">
        <f t="shared" si="87"/>
        <v>83572.184049355244</v>
      </c>
      <c r="FO76" s="116">
        <f t="shared" si="87"/>
        <v>74020.822707269326</v>
      </c>
      <c r="FP76" s="116">
        <f t="shared" si="87"/>
        <v>74020.822707269326</v>
      </c>
      <c r="FQ76" s="116">
        <f t="shared" si="87"/>
        <v>74020.822707269326</v>
      </c>
      <c r="FR76" s="116">
        <f t="shared" si="87"/>
        <v>74020.822707269326</v>
      </c>
      <c r="FS76" s="116">
        <f t="shared" si="87"/>
        <v>74020.822707269326</v>
      </c>
      <c r="FT76" s="116">
        <f t="shared" si="92"/>
        <v>72330.745604445576</v>
      </c>
      <c r="FU76" s="116">
        <f t="shared" si="92"/>
        <v>72330.745604445576</v>
      </c>
      <c r="FV76" s="116">
        <f t="shared" si="92"/>
        <v>72330.745604445576</v>
      </c>
      <c r="FW76" s="116">
        <f t="shared" si="92"/>
        <v>72330.745604445576</v>
      </c>
      <c r="FX76" s="116">
        <f t="shared" si="92"/>
        <v>72330.745604445576</v>
      </c>
      <c r="FY76" s="116">
        <f t="shared" si="92"/>
        <v>69990.181883839061</v>
      </c>
      <c r="FZ76" s="116">
        <f t="shared" si="92"/>
        <v>69990.181883839061</v>
      </c>
      <c r="GA76" s="116">
        <f t="shared" si="92"/>
        <v>69990.181883839061</v>
      </c>
      <c r="GB76" s="116">
        <f t="shared" si="92"/>
        <v>69990.181883839061</v>
      </c>
      <c r="GC76" s="116">
        <f t="shared" si="92"/>
        <v>69990.181883839061</v>
      </c>
      <c r="GD76" s="116">
        <f t="shared" si="92"/>
        <v>66139.736744482565</v>
      </c>
      <c r="GH76" s="123" t="s">
        <v>199</v>
      </c>
      <c r="GI76" s="103">
        <f t="shared" si="88"/>
        <v>266793.306540486</v>
      </c>
      <c r="GJ76" s="103">
        <f t="shared" si="88"/>
        <v>266793.306540486</v>
      </c>
      <c r="GK76" s="103">
        <f t="shared" si="88"/>
        <v>266793.306540486</v>
      </c>
      <c r="GL76" s="103">
        <f t="shared" si="88"/>
        <v>266793.306540486</v>
      </c>
      <c r="GM76" s="103">
        <f t="shared" si="88"/>
        <v>266793.306540486</v>
      </c>
      <c r="GN76" s="103">
        <f t="shared" si="88"/>
        <v>266793.306540486</v>
      </c>
      <c r="GO76" s="103">
        <f t="shared" si="88"/>
        <v>266793.306540486</v>
      </c>
      <c r="GP76" s="103">
        <f t="shared" si="88"/>
        <v>266793.306540486</v>
      </c>
      <c r="GQ76" s="103">
        <f t="shared" si="88"/>
        <v>266793.306540486</v>
      </c>
      <c r="GR76" s="103">
        <f t="shared" si="88"/>
        <v>266793.306540486</v>
      </c>
      <c r="GS76" s="103">
        <f t="shared" si="88"/>
        <v>266793.306540486</v>
      </c>
      <c r="GT76" s="103">
        <f t="shared" si="88"/>
        <v>266793.306540486</v>
      </c>
      <c r="GU76" s="103">
        <f t="shared" si="88"/>
        <v>266793.306540486</v>
      </c>
      <c r="GV76" s="103">
        <f t="shared" si="88"/>
        <v>266793.306540486</v>
      </c>
      <c r="GW76" s="103">
        <f t="shared" si="88"/>
        <v>266793.306540486</v>
      </c>
      <c r="GX76" s="103">
        <f t="shared" si="88"/>
        <v>266793.306540486</v>
      </c>
      <c r="GY76" s="103">
        <f t="shared" si="89"/>
        <v>266793.306540486</v>
      </c>
      <c r="GZ76" s="103">
        <f t="shared" si="89"/>
        <v>266793.306540486</v>
      </c>
      <c r="HA76" s="103">
        <f t="shared" si="89"/>
        <v>266793.306540486</v>
      </c>
      <c r="HB76" s="103">
        <f t="shared" si="89"/>
        <v>266793.306540486</v>
      </c>
      <c r="HC76" s="103">
        <f t="shared" si="89"/>
        <v>266793.306540486</v>
      </c>
      <c r="HD76" s="103">
        <f t="shared" si="89"/>
        <v>266793.306540486</v>
      </c>
      <c r="HE76" s="103">
        <f t="shared" si="89"/>
        <v>266793.306540486</v>
      </c>
      <c r="HF76" s="103">
        <f t="shared" si="89"/>
        <v>266793.306540486</v>
      </c>
      <c r="HG76" s="103">
        <f t="shared" si="89"/>
        <v>266793.306540486</v>
      </c>
      <c r="HH76" s="103">
        <f t="shared" si="89"/>
        <v>266793.306540486</v>
      </c>
      <c r="HI76" s="103">
        <f t="shared" si="89"/>
        <v>266793.306540486</v>
      </c>
      <c r="HJ76" s="103">
        <f t="shared" si="89"/>
        <v>266793.306540486</v>
      </c>
    </row>
    <row r="77" spans="17:218" x14ac:dyDescent="0.25">
      <c r="Q77" s="37">
        <v>2035</v>
      </c>
      <c r="R77" s="135">
        <v>2E-3</v>
      </c>
      <c r="S77" s="128">
        <v>0</v>
      </c>
      <c r="T77" s="128">
        <v>0</v>
      </c>
      <c r="U77" s="128">
        <v>0</v>
      </c>
      <c r="V77" s="128">
        <v>0</v>
      </c>
      <c r="W77" s="128">
        <f>1-SUM(R77:V77)</f>
        <v>0.998</v>
      </c>
      <c r="X77" s="134">
        <f t="shared" si="93"/>
        <v>1</v>
      </c>
      <c r="Z77" s="83" t="s">
        <v>157</v>
      </c>
      <c r="AA77" s="114">
        <f>'US Grid mix, emissions&amp;prices'!O74</f>
        <v>261397</v>
      </c>
      <c r="AB77" s="116">
        <f t="shared" si="69"/>
        <v>261397</v>
      </c>
      <c r="AC77" s="116">
        <f t="shared" si="90"/>
        <v>229596.8979508481</v>
      </c>
      <c r="AD77" s="116">
        <f t="shared" si="90"/>
        <v>229596.8979508481</v>
      </c>
      <c r="AE77" s="116">
        <f t="shared" si="90"/>
        <v>229596.8979508481</v>
      </c>
      <c r="AF77" s="116">
        <f t="shared" si="90"/>
        <v>229596.8979508481</v>
      </c>
      <c r="AG77" s="116">
        <f t="shared" si="90"/>
        <v>229596.8979508481</v>
      </c>
      <c r="AH77" s="116">
        <f t="shared" si="90"/>
        <v>86804.64952489578</v>
      </c>
      <c r="AI77" s="116">
        <f t="shared" si="90"/>
        <v>86804.64952489578</v>
      </c>
      <c r="AJ77" s="116">
        <f t="shared" si="90"/>
        <v>86804.64952489578</v>
      </c>
      <c r="AK77" s="116">
        <f t="shared" si="90"/>
        <v>86804.64952489578</v>
      </c>
      <c r="AL77" s="116">
        <f t="shared" si="90"/>
        <v>86804.64952489578</v>
      </c>
      <c r="AM77" s="116">
        <f t="shared" si="90"/>
        <v>72959.337135194699</v>
      </c>
      <c r="AN77" s="116">
        <f t="shared" si="90"/>
        <v>72959.337135194699</v>
      </c>
      <c r="AO77" s="116">
        <f t="shared" si="90"/>
        <v>72959.337135194699</v>
      </c>
      <c r="AP77" s="116">
        <f t="shared" si="90"/>
        <v>72959.337135194699</v>
      </c>
      <c r="AQ77" s="116">
        <f t="shared" si="90"/>
        <v>72959.337135194699</v>
      </c>
      <c r="AR77" s="116">
        <f t="shared" si="90"/>
        <v>72959.337135194699</v>
      </c>
      <c r="AS77" s="116">
        <f t="shared" si="90"/>
        <v>72959.337135194699</v>
      </c>
      <c r="AT77" s="116">
        <f t="shared" si="90"/>
        <v>72959.337135194699</v>
      </c>
      <c r="AU77" s="116">
        <f t="shared" si="90"/>
        <v>72959.337135194699</v>
      </c>
      <c r="AV77" s="116">
        <f t="shared" si="90"/>
        <v>72959.337135194699</v>
      </c>
      <c r="AW77" s="116">
        <f t="shared" si="90"/>
        <v>73303.80802398255</v>
      </c>
      <c r="AX77" s="116">
        <f t="shared" si="90"/>
        <v>73303.80802398255</v>
      </c>
      <c r="AY77" s="116">
        <f t="shared" si="90"/>
        <v>73303.80802398255</v>
      </c>
      <c r="AZ77" s="116">
        <f t="shared" si="90"/>
        <v>73303.80802398255</v>
      </c>
      <c r="BA77" s="116">
        <f t="shared" si="90"/>
        <v>73303.80802398255</v>
      </c>
      <c r="BB77" s="116">
        <f t="shared" si="90"/>
        <v>73736.914697019907</v>
      </c>
      <c r="BM77" s="83" t="s">
        <v>157</v>
      </c>
      <c r="BN77" s="114">
        <f t="shared" si="78"/>
        <v>261397</v>
      </c>
      <c r="BO77" s="116">
        <f t="shared" si="79"/>
        <v>261397</v>
      </c>
      <c r="BP77" s="116">
        <f t="shared" si="79"/>
        <v>206052.01053475233</v>
      </c>
      <c r="BQ77" s="116">
        <f t="shared" si="79"/>
        <v>206052.01053475233</v>
      </c>
      <c r="BR77" s="116">
        <f t="shared" si="79"/>
        <v>206052.01053475233</v>
      </c>
      <c r="BS77" s="116">
        <f t="shared" si="79"/>
        <v>206052.01053475233</v>
      </c>
      <c r="BT77" s="116">
        <f t="shared" si="79"/>
        <v>206052.01053475233</v>
      </c>
      <c r="BU77" s="116">
        <f t="shared" si="79"/>
        <v>11639.490031673617</v>
      </c>
      <c r="BV77" s="116">
        <f t="shared" si="79"/>
        <v>11639.490031673617</v>
      </c>
      <c r="BW77" s="116">
        <f t="shared" si="79"/>
        <v>11639.490031673617</v>
      </c>
      <c r="BX77" s="116">
        <f t="shared" si="79"/>
        <v>11639.490031673617</v>
      </c>
      <c r="BY77" s="116">
        <f t="shared" si="79"/>
        <v>11639.490031673617</v>
      </c>
      <c r="BZ77" s="116">
        <f t="shared" si="79"/>
        <v>12139.073542898097</v>
      </c>
      <c r="CA77" s="116">
        <f t="shared" si="79"/>
        <v>12139.073542898097</v>
      </c>
      <c r="CB77" s="116">
        <f t="shared" si="79"/>
        <v>12139.073542898097</v>
      </c>
      <c r="CC77" s="116">
        <f t="shared" si="79"/>
        <v>12139.073542898097</v>
      </c>
      <c r="CD77" s="116">
        <f t="shared" ref="CD77:CO92" si="94">$AA77*CD$112</f>
        <v>12139.073542898097</v>
      </c>
      <c r="CE77" s="116">
        <f t="shared" si="94"/>
        <v>12308.28731282897</v>
      </c>
      <c r="CF77" s="116">
        <f t="shared" si="94"/>
        <v>12308.28731282897</v>
      </c>
      <c r="CG77" s="116">
        <f t="shared" si="94"/>
        <v>12308.28731282897</v>
      </c>
      <c r="CH77" s="116">
        <f t="shared" si="94"/>
        <v>12308.28731282897</v>
      </c>
      <c r="CI77" s="116">
        <f t="shared" si="94"/>
        <v>12308.28731282897</v>
      </c>
      <c r="CJ77" s="116">
        <f t="shared" si="94"/>
        <v>12741.393985866323</v>
      </c>
      <c r="CK77" s="116">
        <f t="shared" si="94"/>
        <v>12741.393985866323</v>
      </c>
      <c r="CL77" s="116">
        <f t="shared" si="94"/>
        <v>12741.393985866323</v>
      </c>
      <c r="CM77" s="116">
        <f t="shared" si="94"/>
        <v>12741.393985866323</v>
      </c>
      <c r="CN77" s="116">
        <f t="shared" si="94"/>
        <v>12741.393985866323</v>
      </c>
      <c r="CO77" s="116">
        <f t="shared" si="94"/>
        <v>13289.324288499625</v>
      </c>
      <c r="CR77" s="83" t="s">
        <v>157</v>
      </c>
      <c r="CS77" s="114">
        <f t="shared" si="81"/>
        <v>261397</v>
      </c>
      <c r="CT77" s="116">
        <f t="shared" si="82"/>
        <v>12239.796024999809</v>
      </c>
      <c r="CU77" s="116">
        <f t="shared" si="82"/>
        <v>12239.796024999809</v>
      </c>
      <c r="CV77" s="116">
        <f t="shared" si="82"/>
        <v>12239.796024999809</v>
      </c>
      <c r="CW77" s="116">
        <f t="shared" si="82"/>
        <v>12239.796024999809</v>
      </c>
      <c r="CX77" s="116">
        <f t="shared" si="82"/>
        <v>12239.796024999809</v>
      </c>
      <c r="CY77" s="116">
        <f t="shared" si="82"/>
        <v>12239.796024999809</v>
      </c>
      <c r="CZ77" s="116">
        <f t="shared" si="82"/>
        <v>12239.796024999809</v>
      </c>
      <c r="DA77" s="116">
        <f t="shared" si="82"/>
        <v>12239.796024999809</v>
      </c>
      <c r="DB77" s="116">
        <f t="shared" si="82"/>
        <v>12239.796024999809</v>
      </c>
      <c r="DC77" s="116">
        <f t="shared" si="82"/>
        <v>12239.796024999809</v>
      </c>
      <c r="DD77" s="116">
        <f t="shared" si="82"/>
        <v>12239.796024999809</v>
      </c>
      <c r="DE77" s="116">
        <f t="shared" si="82"/>
        <v>12590.310262713758</v>
      </c>
      <c r="DF77" s="116">
        <f t="shared" si="82"/>
        <v>12590.310262713758</v>
      </c>
      <c r="DG77" s="116">
        <f t="shared" si="82"/>
        <v>12590.310262713758</v>
      </c>
      <c r="DH77" s="116">
        <f t="shared" si="82"/>
        <v>12590.310262713758</v>
      </c>
      <c r="DI77" s="116">
        <f t="shared" ref="DI77:DT92" si="95">$AA77*DI$112</f>
        <v>12590.310262713758</v>
      </c>
      <c r="DJ77" s="116">
        <f t="shared" si="95"/>
        <v>13245.006396374874</v>
      </c>
      <c r="DK77" s="116">
        <f t="shared" si="95"/>
        <v>13245.006396374874</v>
      </c>
      <c r="DL77" s="116">
        <f t="shared" si="95"/>
        <v>13245.006396374874</v>
      </c>
      <c r="DM77" s="116">
        <f t="shared" si="95"/>
        <v>13245.006396374874</v>
      </c>
      <c r="DN77" s="116">
        <f t="shared" si="95"/>
        <v>13245.006396374874</v>
      </c>
      <c r="DO77" s="116">
        <f t="shared" si="95"/>
        <v>13678.113069412228</v>
      </c>
      <c r="DP77" s="116">
        <f t="shared" si="95"/>
        <v>13678.113069412228</v>
      </c>
      <c r="DQ77" s="116">
        <f t="shared" si="95"/>
        <v>13678.113069412228</v>
      </c>
      <c r="DR77" s="116">
        <f t="shared" si="95"/>
        <v>13678.113069412228</v>
      </c>
      <c r="DS77" s="116">
        <f t="shared" si="95"/>
        <v>13678.113069412228</v>
      </c>
      <c r="DT77" s="116">
        <f t="shared" si="95"/>
        <v>14228.057821687566</v>
      </c>
      <c r="DW77" s="83" t="s">
        <v>157</v>
      </c>
      <c r="DX77" s="114">
        <f t="shared" si="84"/>
        <v>345352.11659194127</v>
      </c>
      <c r="DY77" s="116">
        <f t="shared" si="85"/>
        <v>345352.11659194127</v>
      </c>
      <c r="DZ77" s="116">
        <f t="shared" si="85"/>
        <v>302141.0299264557</v>
      </c>
      <c r="EA77" s="116">
        <f t="shared" si="85"/>
        <v>302141.0299264557</v>
      </c>
      <c r="EB77" s="116">
        <f t="shared" si="85"/>
        <v>302141.0299264557</v>
      </c>
      <c r="EC77" s="116">
        <f t="shared" si="85"/>
        <v>302141.0299264557</v>
      </c>
      <c r="ED77" s="116">
        <f t="shared" si="85"/>
        <v>302141.0299264557</v>
      </c>
      <c r="EE77" s="116">
        <f t="shared" si="85"/>
        <v>187980.54375208181</v>
      </c>
      <c r="EF77" s="116">
        <f t="shared" si="85"/>
        <v>187980.54375208181</v>
      </c>
      <c r="EG77" s="116">
        <f t="shared" si="85"/>
        <v>187980.54375208181</v>
      </c>
      <c r="EH77" s="116">
        <f t="shared" si="85"/>
        <v>187980.54375208181</v>
      </c>
      <c r="EI77" s="116">
        <f t="shared" si="85"/>
        <v>187980.54375208181</v>
      </c>
      <c r="EJ77" s="116">
        <f t="shared" si="85"/>
        <v>167378.63321060434</v>
      </c>
      <c r="EK77" s="116">
        <f t="shared" si="85"/>
        <v>167378.63321060434</v>
      </c>
      <c r="EL77" s="116">
        <f t="shared" si="85"/>
        <v>167378.63321060434</v>
      </c>
      <c r="EM77" s="116">
        <f t="shared" si="85"/>
        <v>167378.63321060434</v>
      </c>
      <c r="EN77" s="116">
        <f t="shared" si="85"/>
        <v>167378.63321060434</v>
      </c>
      <c r="EO77" s="116">
        <f t="shared" si="91"/>
        <v>162639.73038331766</v>
      </c>
      <c r="EP77" s="116">
        <f t="shared" si="91"/>
        <v>162639.73038331766</v>
      </c>
      <c r="EQ77" s="116">
        <f t="shared" si="91"/>
        <v>162639.73038331766</v>
      </c>
      <c r="ER77" s="116">
        <f t="shared" si="91"/>
        <v>162639.73038331766</v>
      </c>
      <c r="ES77" s="116">
        <f t="shared" si="91"/>
        <v>162639.73038331766</v>
      </c>
      <c r="ET77" s="116">
        <f t="shared" si="91"/>
        <v>156883.78047472442</v>
      </c>
      <c r="EU77" s="116">
        <f t="shared" si="91"/>
        <v>156883.78047472442</v>
      </c>
      <c r="EV77" s="116">
        <f t="shared" si="91"/>
        <v>156883.78047472442</v>
      </c>
      <c r="EW77" s="116">
        <f t="shared" si="91"/>
        <v>156883.78047472442</v>
      </c>
      <c r="EX77" s="116">
        <f t="shared" si="91"/>
        <v>156883.78047472442</v>
      </c>
      <c r="EY77" s="116">
        <f t="shared" si="91"/>
        <v>147710.84504836041</v>
      </c>
      <c r="FB77" s="83" t="s">
        <v>157</v>
      </c>
      <c r="FC77" s="114">
        <f t="shared" si="86"/>
        <v>373329.44769426022</v>
      </c>
      <c r="FD77" s="116">
        <f t="shared" si="87"/>
        <v>373329.44769426022</v>
      </c>
      <c r="FE77" s="116">
        <f t="shared" si="87"/>
        <v>325481.89459816634</v>
      </c>
      <c r="FF77" s="116">
        <f t="shared" si="87"/>
        <v>325481.89459816634</v>
      </c>
      <c r="FG77" s="116">
        <f t="shared" si="87"/>
        <v>325481.89459816634</v>
      </c>
      <c r="FH77" s="116">
        <f t="shared" si="87"/>
        <v>325481.89459816634</v>
      </c>
      <c r="FI77" s="116">
        <f t="shared" si="87"/>
        <v>325481.89459816634</v>
      </c>
      <c r="FJ77" s="116">
        <f t="shared" si="87"/>
        <v>205870.32874340861</v>
      </c>
      <c r="FK77" s="116">
        <f t="shared" si="87"/>
        <v>205870.32874340861</v>
      </c>
      <c r="FL77" s="116">
        <f t="shared" si="87"/>
        <v>205870.32874340861</v>
      </c>
      <c r="FM77" s="116">
        <f t="shared" si="87"/>
        <v>205870.32874340861</v>
      </c>
      <c r="FN77" s="116">
        <f t="shared" si="87"/>
        <v>205870.32874340861</v>
      </c>
      <c r="FO77" s="116">
        <f t="shared" si="87"/>
        <v>182341.664011121</v>
      </c>
      <c r="FP77" s="116">
        <f t="shared" si="87"/>
        <v>182341.664011121</v>
      </c>
      <c r="FQ77" s="116">
        <f t="shared" si="87"/>
        <v>182341.664011121</v>
      </c>
      <c r="FR77" s="116">
        <f t="shared" si="87"/>
        <v>182341.664011121</v>
      </c>
      <c r="FS77" s="116">
        <f t="shared" si="87"/>
        <v>182341.664011121</v>
      </c>
      <c r="FT77" s="116">
        <f t="shared" si="92"/>
        <v>178178.35617469362</v>
      </c>
      <c r="FU77" s="116">
        <f t="shared" si="92"/>
        <v>178178.35617469362</v>
      </c>
      <c r="FV77" s="116">
        <f t="shared" si="92"/>
        <v>178178.35617469362</v>
      </c>
      <c r="FW77" s="116">
        <f t="shared" si="92"/>
        <v>178178.35617469362</v>
      </c>
      <c r="FX77" s="116">
        <f t="shared" si="92"/>
        <v>178178.35617469362</v>
      </c>
      <c r="FY77" s="116">
        <f t="shared" si="92"/>
        <v>172412.65041879774</v>
      </c>
      <c r="FZ77" s="116">
        <f t="shared" si="92"/>
        <v>172412.65041879774</v>
      </c>
      <c r="GA77" s="116">
        <f t="shared" si="92"/>
        <v>172412.65041879774</v>
      </c>
      <c r="GB77" s="116">
        <f t="shared" si="92"/>
        <v>172412.65041879774</v>
      </c>
      <c r="GC77" s="116">
        <f t="shared" si="92"/>
        <v>172412.65041879774</v>
      </c>
      <c r="GD77" s="116">
        <f t="shared" si="92"/>
        <v>162927.52787874732</v>
      </c>
      <c r="GH77" s="123" t="s">
        <v>157</v>
      </c>
      <c r="GI77" s="103">
        <f t="shared" si="88"/>
        <v>657214.19571365824</v>
      </c>
      <c r="GJ77" s="103">
        <f t="shared" si="88"/>
        <v>657214.19571365824</v>
      </c>
      <c r="GK77" s="103">
        <f t="shared" si="88"/>
        <v>657214.19571365824</v>
      </c>
      <c r="GL77" s="103">
        <f t="shared" si="88"/>
        <v>657214.19571365824</v>
      </c>
      <c r="GM77" s="103">
        <f t="shared" si="88"/>
        <v>657214.19571365824</v>
      </c>
      <c r="GN77" s="103">
        <f t="shared" si="88"/>
        <v>657214.19571365824</v>
      </c>
      <c r="GO77" s="103">
        <f t="shared" si="88"/>
        <v>657214.19571365824</v>
      </c>
      <c r="GP77" s="103">
        <f t="shared" si="88"/>
        <v>657214.19571365824</v>
      </c>
      <c r="GQ77" s="103">
        <f t="shared" si="88"/>
        <v>657214.19571365824</v>
      </c>
      <c r="GR77" s="103">
        <f t="shared" si="88"/>
        <v>657214.19571365824</v>
      </c>
      <c r="GS77" s="103">
        <f t="shared" si="88"/>
        <v>657214.19571365824</v>
      </c>
      <c r="GT77" s="103">
        <f t="shared" si="88"/>
        <v>657214.19571365824</v>
      </c>
      <c r="GU77" s="103">
        <f t="shared" si="88"/>
        <v>657214.19571365824</v>
      </c>
      <c r="GV77" s="103">
        <f t="shared" si="88"/>
        <v>657214.19571365824</v>
      </c>
      <c r="GW77" s="103">
        <f t="shared" si="88"/>
        <v>657214.19571365824</v>
      </c>
      <c r="GX77" s="103">
        <f t="shared" si="88"/>
        <v>657214.19571365824</v>
      </c>
      <c r="GY77" s="103">
        <f t="shared" si="89"/>
        <v>657214.19571365824</v>
      </c>
      <c r="GZ77" s="103">
        <f t="shared" si="89"/>
        <v>657214.19571365824</v>
      </c>
      <c r="HA77" s="103">
        <f t="shared" si="89"/>
        <v>657214.19571365824</v>
      </c>
      <c r="HB77" s="103">
        <f t="shared" si="89"/>
        <v>657214.19571365824</v>
      </c>
      <c r="HC77" s="103">
        <f t="shared" si="89"/>
        <v>657214.19571365824</v>
      </c>
      <c r="HD77" s="103">
        <f t="shared" si="89"/>
        <v>657214.19571365824</v>
      </c>
      <c r="HE77" s="103">
        <f t="shared" si="89"/>
        <v>657214.19571365824</v>
      </c>
      <c r="HF77" s="103">
        <f t="shared" si="89"/>
        <v>657214.19571365824</v>
      </c>
      <c r="HG77" s="103">
        <f t="shared" si="89"/>
        <v>657214.19571365824</v>
      </c>
      <c r="HH77" s="103">
        <f t="shared" si="89"/>
        <v>657214.19571365824</v>
      </c>
      <c r="HI77" s="103">
        <f t="shared" si="89"/>
        <v>657214.19571365824</v>
      </c>
      <c r="HJ77" s="103">
        <f t="shared" si="89"/>
        <v>657214.19571365824</v>
      </c>
    </row>
    <row r="78" spans="17:218" x14ac:dyDescent="0.25">
      <c r="Q78" s="37">
        <v>2040</v>
      </c>
      <c r="R78" s="135">
        <v>1E-3</v>
      </c>
      <c r="S78" s="128">
        <v>0</v>
      </c>
      <c r="T78" s="128">
        <v>0</v>
      </c>
      <c r="U78" s="128">
        <v>0</v>
      </c>
      <c r="V78" s="128">
        <v>0</v>
      </c>
      <c r="W78" s="128">
        <f>1-SUM(R78:V78)</f>
        <v>0.999</v>
      </c>
      <c r="X78" s="134">
        <f t="shared" si="93"/>
        <v>1</v>
      </c>
      <c r="Z78" s="83" t="s">
        <v>200</v>
      </c>
      <c r="AA78" s="114">
        <f>'US Grid mix, emissions&amp;prices'!O75</f>
        <v>139578</v>
      </c>
      <c r="AB78" s="116">
        <f t="shared" si="69"/>
        <v>139578</v>
      </c>
      <c r="AC78" s="116">
        <f t="shared" si="90"/>
        <v>122597.71849785374</v>
      </c>
      <c r="AD78" s="116">
        <f t="shared" si="90"/>
        <v>122597.71849785374</v>
      </c>
      <c r="AE78" s="116">
        <f t="shared" si="90"/>
        <v>122597.71849785374</v>
      </c>
      <c r="AF78" s="116">
        <f t="shared" si="90"/>
        <v>122597.71849785374</v>
      </c>
      <c r="AG78" s="116">
        <f t="shared" si="90"/>
        <v>122597.71849785374</v>
      </c>
      <c r="AH78" s="116">
        <f t="shared" si="90"/>
        <v>46351.02687248095</v>
      </c>
      <c r="AI78" s="116">
        <f t="shared" si="90"/>
        <v>46351.02687248095</v>
      </c>
      <c r="AJ78" s="116">
        <f t="shared" si="90"/>
        <v>46351.02687248095</v>
      </c>
      <c r="AK78" s="116">
        <f t="shared" si="90"/>
        <v>46351.02687248095</v>
      </c>
      <c r="AL78" s="116">
        <f t="shared" si="90"/>
        <v>46351.02687248095</v>
      </c>
      <c r="AM78" s="116">
        <f t="shared" si="90"/>
        <v>38958.053683310085</v>
      </c>
      <c r="AN78" s="116">
        <f t="shared" si="90"/>
        <v>38958.053683310085</v>
      </c>
      <c r="AO78" s="116">
        <f t="shared" si="90"/>
        <v>38958.053683310085</v>
      </c>
      <c r="AP78" s="116">
        <f t="shared" si="90"/>
        <v>38958.053683310085</v>
      </c>
      <c r="AQ78" s="116">
        <f t="shared" si="90"/>
        <v>38958.053683310085</v>
      </c>
      <c r="AR78" s="116">
        <f t="shared" si="90"/>
        <v>38958.053683310085</v>
      </c>
      <c r="AS78" s="116">
        <f t="shared" si="90"/>
        <v>38958.053683310085</v>
      </c>
      <c r="AT78" s="116">
        <f t="shared" si="90"/>
        <v>38958.053683310085</v>
      </c>
      <c r="AU78" s="116">
        <f t="shared" si="90"/>
        <v>38958.053683310085</v>
      </c>
      <c r="AV78" s="116">
        <f t="shared" si="90"/>
        <v>38958.053683310085</v>
      </c>
      <c r="AW78" s="116">
        <f t="shared" si="90"/>
        <v>39141.990598099583</v>
      </c>
      <c r="AX78" s="116">
        <f t="shared" si="90"/>
        <v>39141.990598099583</v>
      </c>
      <c r="AY78" s="116">
        <f t="shared" si="90"/>
        <v>39141.990598099583</v>
      </c>
      <c r="AZ78" s="116">
        <f t="shared" si="90"/>
        <v>39141.990598099583</v>
      </c>
      <c r="BA78" s="116">
        <f t="shared" si="90"/>
        <v>39141.990598099583</v>
      </c>
      <c r="BB78" s="116">
        <f t="shared" si="90"/>
        <v>39373.256309677025</v>
      </c>
      <c r="BM78" s="83" t="s">
        <v>200</v>
      </c>
      <c r="BN78" s="114">
        <f t="shared" si="78"/>
        <v>139578</v>
      </c>
      <c r="BO78" s="116">
        <f t="shared" ref="BO78:CD93" si="96">$AA78*BO$112</f>
        <v>139578</v>
      </c>
      <c r="BP78" s="116">
        <f t="shared" si="96"/>
        <v>110025.46902382071</v>
      </c>
      <c r="BQ78" s="116">
        <f t="shared" si="96"/>
        <v>110025.46902382071</v>
      </c>
      <c r="BR78" s="116">
        <f t="shared" si="96"/>
        <v>110025.46902382071</v>
      </c>
      <c r="BS78" s="116">
        <f t="shared" si="96"/>
        <v>110025.46902382071</v>
      </c>
      <c r="BT78" s="116">
        <f t="shared" si="96"/>
        <v>110025.46902382071</v>
      </c>
      <c r="BU78" s="116">
        <f t="shared" si="96"/>
        <v>6215.1315418346039</v>
      </c>
      <c r="BV78" s="116">
        <f t="shared" si="96"/>
        <v>6215.1315418346039</v>
      </c>
      <c r="BW78" s="116">
        <f t="shared" si="96"/>
        <v>6215.1315418346039</v>
      </c>
      <c r="BX78" s="116">
        <f t="shared" si="96"/>
        <v>6215.1315418346039</v>
      </c>
      <c r="BY78" s="116">
        <f t="shared" si="96"/>
        <v>6215.1315418346039</v>
      </c>
      <c r="BZ78" s="116">
        <f t="shared" si="96"/>
        <v>6481.8938510029984</v>
      </c>
      <c r="CA78" s="116">
        <f t="shared" si="96"/>
        <v>6481.8938510029984</v>
      </c>
      <c r="CB78" s="116">
        <f t="shared" si="96"/>
        <v>6481.8938510029984</v>
      </c>
      <c r="CC78" s="116">
        <f t="shared" si="96"/>
        <v>6481.8938510029984</v>
      </c>
      <c r="CD78" s="116">
        <f t="shared" si="96"/>
        <v>6481.8938510029984</v>
      </c>
      <c r="CE78" s="116">
        <f t="shared" si="94"/>
        <v>6572.2488266890668</v>
      </c>
      <c r="CF78" s="116">
        <f t="shared" si="94"/>
        <v>6572.2488266890668</v>
      </c>
      <c r="CG78" s="116">
        <f t="shared" si="94"/>
        <v>6572.2488266890668</v>
      </c>
      <c r="CH78" s="116">
        <f t="shared" si="94"/>
        <v>6572.2488266890668</v>
      </c>
      <c r="CI78" s="116">
        <f t="shared" si="94"/>
        <v>6572.2488266890668</v>
      </c>
      <c r="CJ78" s="116">
        <f t="shared" si="94"/>
        <v>6803.514538266506</v>
      </c>
      <c r="CK78" s="116">
        <f t="shared" si="94"/>
        <v>6803.514538266506</v>
      </c>
      <c r="CL78" s="116">
        <f t="shared" si="94"/>
        <v>6803.514538266506</v>
      </c>
      <c r="CM78" s="116">
        <f t="shared" si="94"/>
        <v>6803.514538266506</v>
      </c>
      <c r="CN78" s="116">
        <f t="shared" si="94"/>
        <v>6803.514538266506</v>
      </c>
      <c r="CO78" s="116">
        <f t="shared" si="94"/>
        <v>7096.0925547737761</v>
      </c>
      <c r="CR78" s="83" t="s">
        <v>200</v>
      </c>
      <c r="CS78" s="114">
        <f t="shared" si="81"/>
        <v>139578</v>
      </c>
      <c r="CT78" s="116">
        <f t="shared" ref="CT78:DI93" si="97">$AA78*CT$112</f>
        <v>6535.6765746256588</v>
      </c>
      <c r="CU78" s="116">
        <f t="shared" si="97"/>
        <v>6535.6765746256588</v>
      </c>
      <c r="CV78" s="116">
        <f t="shared" si="97"/>
        <v>6535.6765746256588</v>
      </c>
      <c r="CW78" s="116">
        <f t="shared" si="97"/>
        <v>6535.6765746256588</v>
      </c>
      <c r="CX78" s="116">
        <f t="shared" si="97"/>
        <v>6535.6765746256588</v>
      </c>
      <c r="CY78" s="116">
        <f t="shared" si="97"/>
        <v>6535.6765746256588</v>
      </c>
      <c r="CZ78" s="116">
        <f t="shared" si="97"/>
        <v>6535.6765746256588</v>
      </c>
      <c r="DA78" s="116">
        <f t="shared" si="97"/>
        <v>6535.6765746256588</v>
      </c>
      <c r="DB78" s="116">
        <f t="shared" si="97"/>
        <v>6535.6765746256588</v>
      </c>
      <c r="DC78" s="116">
        <f t="shared" si="97"/>
        <v>6535.6765746256588</v>
      </c>
      <c r="DD78" s="116">
        <f t="shared" si="97"/>
        <v>6535.6765746256588</v>
      </c>
      <c r="DE78" s="116">
        <f t="shared" si="97"/>
        <v>6722.8404528325154</v>
      </c>
      <c r="DF78" s="116">
        <f t="shared" si="97"/>
        <v>6722.8404528325154</v>
      </c>
      <c r="DG78" s="116">
        <f t="shared" si="97"/>
        <v>6722.8404528325154</v>
      </c>
      <c r="DH78" s="116">
        <f t="shared" si="97"/>
        <v>6722.8404528325154</v>
      </c>
      <c r="DI78" s="116">
        <f t="shared" si="97"/>
        <v>6722.8404528325154</v>
      </c>
      <c r="DJ78" s="116">
        <f t="shared" si="95"/>
        <v>7072.4281563798058</v>
      </c>
      <c r="DK78" s="116">
        <f t="shared" si="95"/>
        <v>7072.4281563798058</v>
      </c>
      <c r="DL78" s="116">
        <f t="shared" si="95"/>
        <v>7072.4281563798058</v>
      </c>
      <c r="DM78" s="116">
        <f t="shared" si="95"/>
        <v>7072.4281563798058</v>
      </c>
      <c r="DN78" s="116">
        <f t="shared" si="95"/>
        <v>7072.4281563798058</v>
      </c>
      <c r="DO78" s="116">
        <f t="shared" si="95"/>
        <v>7303.6938679572449</v>
      </c>
      <c r="DP78" s="116">
        <f t="shared" si="95"/>
        <v>7303.6938679572449</v>
      </c>
      <c r="DQ78" s="116">
        <f t="shared" si="95"/>
        <v>7303.6938679572449</v>
      </c>
      <c r="DR78" s="116">
        <f t="shared" si="95"/>
        <v>7303.6938679572449</v>
      </c>
      <c r="DS78" s="116">
        <f t="shared" si="95"/>
        <v>7303.6938679572449</v>
      </c>
      <c r="DT78" s="116">
        <f t="shared" si="95"/>
        <v>7597.3475389369687</v>
      </c>
      <c r="DW78" s="83" t="s">
        <v>200</v>
      </c>
      <c r="DX78" s="114">
        <f t="shared" si="84"/>
        <v>184407.46347383474</v>
      </c>
      <c r="DY78" s="116">
        <f t="shared" si="85"/>
        <v>184407.46347383474</v>
      </c>
      <c r="DZ78" s="116">
        <f t="shared" si="85"/>
        <v>161334.06533003377</v>
      </c>
      <c r="EA78" s="116">
        <f t="shared" si="85"/>
        <v>161334.06533003377</v>
      </c>
      <c r="EB78" s="116">
        <f t="shared" si="85"/>
        <v>161334.06533003377</v>
      </c>
      <c r="EC78" s="116">
        <f t="shared" si="85"/>
        <v>161334.06533003377</v>
      </c>
      <c r="ED78" s="116">
        <f t="shared" si="85"/>
        <v>161334.06533003377</v>
      </c>
      <c r="EE78" s="116">
        <f t="shared" si="85"/>
        <v>100375.858697032</v>
      </c>
      <c r="EF78" s="116">
        <f t="shared" si="85"/>
        <v>100375.858697032</v>
      </c>
      <c r="EG78" s="116">
        <f t="shared" si="85"/>
        <v>100375.858697032</v>
      </c>
      <c r="EH78" s="116">
        <f t="shared" si="85"/>
        <v>100375.858697032</v>
      </c>
      <c r="EI78" s="116">
        <f t="shared" si="85"/>
        <v>100375.858697032</v>
      </c>
      <c r="EJ78" s="116">
        <f t="shared" si="85"/>
        <v>89375.068827376483</v>
      </c>
      <c r="EK78" s="116">
        <f t="shared" si="85"/>
        <v>89375.068827376483</v>
      </c>
      <c r="EL78" s="116">
        <f t="shared" si="85"/>
        <v>89375.068827376483</v>
      </c>
      <c r="EM78" s="116">
        <f t="shared" si="85"/>
        <v>89375.068827376483</v>
      </c>
      <c r="EN78" s="116">
        <f t="shared" si="85"/>
        <v>89375.068827376483</v>
      </c>
      <c r="EO78" s="116">
        <f t="shared" si="91"/>
        <v>86844.639714467688</v>
      </c>
      <c r="EP78" s="116">
        <f t="shared" si="91"/>
        <v>86844.639714467688</v>
      </c>
      <c r="EQ78" s="116">
        <f t="shared" si="91"/>
        <v>86844.639714467688</v>
      </c>
      <c r="ER78" s="116">
        <f t="shared" si="91"/>
        <v>86844.639714467688</v>
      </c>
      <c r="ES78" s="116">
        <f t="shared" si="91"/>
        <v>86844.639714467688</v>
      </c>
      <c r="ET78" s="116">
        <f t="shared" si="91"/>
        <v>83771.138578870785</v>
      </c>
      <c r="EU78" s="116">
        <f t="shared" si="91"/>
        <v>83771.138578870785</v>
      </c>
      <c r="EV78" s="116">
        <f t="shared" si="91"/>
        <v>83771.138578870785</v>
      </c>
      <c r="EW78" s="116">
        <f t="shared" si="91"/>
        <v>83771.138578870785</v>
      </c>
      <c r="EX78" s="116">
        <f t="shared" si="91"/>
        <v>83771.138578870785</v>
      </c>
      <c r="EY78" s="116">
        <f t="shared" si="91"/>
        <v>78873.071726760638</v>
      </c>
      <c r="FB78" s="83" t="s">
        <v>200</v>
      </c>
      <c r="FC78" s="114">
        <f t="shared" si="86"/>
        <v>199346.5022562212</v>
      </c>
      <c r="FD78" s="116">
        <f t="shared" si="87"/>
        <v>199346.5022562212</v>
      </c>
      <c r="FE78" s="116">
        <f t="shared" si="87"/>
        <v>173797.37290107715</v>
      </c>
      <c r="FF78" s="116">
        <f t="shared" si="87"/>
        <v>173797.37290107715</v>
      </c>
      <c r="FG78" s="116">
        <f t="shared" si="87"/>
        <v>173797.37290107715</v>
      </c>
      <c r="FH78" s="116">
        <f t="shared" si="87"/>
        <v>173797.37290107715</v>
      </c>
      <c r="FI78" s="116">
        <f t="shared" si="87"/>
        <v>173797.37290107715</v>
      </c>
      <c r="FJ78" s="116">
        <f t="shared" si="87"/>
        <v>109928.45650618595</v>
      </c>
      <c r="FK78" s="116">
        <f t="shared" si="87"/>
        <v>109928.45650618595</v>
      </c>
      <c r="FL78" s="116">
        <f t="shared" si="87"/>
        <v>109928.45650618595</v>
      </c>
      <c r="FM78" s="116">
        <f t="shared" si="87"/>
        <v>109928.45650618595</v>
      </c>
      <c r="FN78" s="116">
        <f t="shared" si="87"/>
        <v>109928.45650618595</v>
      </c>
      <c r="FO78" s="116">
        <f t="shared" si="87"/>
        <v>97364.869448938771</v>
      </c>
      <c r="FP78" s="116">
        <f t="shared" si="87"/>
        <v>97364.869448938771</v>
      </c>
      <c r="FQ78" s="116">
        <f t="shared" si="87"/>
        <v>97364.869448938771</v>
      </c>
      <c r="FR78" s="116">
        <f t="shared" si="87"/>
        <v>97364.869448938771</v>
      </c>
      <c r="FS78" s="116">
        <f t="shared" si="87"/>
        <v>97364.869448938771</v>
      </c>
      <c r="FT78" s="116">
        <f t="shared" si="92"/>
        <v>95141.790449589651</v>
      </c>
      <c r="FU78" s="116">
        <f t="shared" si="92"/>
        <v>95141.790449589651</v>
      </c>
      <c r="FV78" s="116">
        <f t="shared" si="92"/>
        <v>95141.790449589651</v>
      </c>
      <c r="FW78" s="116">
        <f t="shared" si="92"/>
        <v>95141.790449589651</v>
      </c>
      <c r="FX78" s="116">
        <f t="shared" si="92"/>
        <v>95141.790449589651</v>
      </c>
      <c r="FY78" s="116">
        <f t="shared" si="92"/>
        <v>92063.079990034123</v>
      </c>
      <c r="FZ78" s="116">
        <f t="shared" si="92"/>
        <v>92063.079990034123</v>
      </c>
      <c r="GA78" s="116">
        <f t="shared" si="92"/>
        <v>92063.079990034123</v>
      </c>
      <c r="GB78" s="116">
        <f t="shared" si="92"/>
        <v>92063.079990034123</v>
      </c>
      <c r="GC78" s="116">
        <f t="shared" si="92"/>
        <v>92063.079990034123</v>
      </c>
      <c r="GD78" s="116">
        <f t="shared" si="92"/>
        <v>86998.314771247533</v>
      </c>
      <c r="GH78" s="123" t="s">
        <v>200</v>
      </c>
      <c r="GI78" s="103">
        <f t="shared" si="88"/>
        <v>350932.27163785731</v>
      </c>
      <c r="GJ78" s="103">
        <f t="shared" si="88"/>
        <v>350932.27163785731</v>
      </c>
      <c r="GK78" s="103">
        <f t="shared" si="88"/>
        <v>350932.27163785731</v>
      </c>
      <c r="GL78" s="103">
        <f t="shared" si="88"/>
        <v>350932.27163785731</v>
      </c>
      <c r="GM78" s="103">
        <f t="shared" si="88"/>
        <v>350932.27163785731</v>
      </c>
      <c r="GN78" s="103">
        <f t="shared" si="88"/>
        <v>350932.27163785731</v>
      </c>
      <c r="GO78" s="103">
        <f t="shared" si="88"/>
        <v>350932.27163785731</v>
      </c>
      <c r="GP78" s="103">
        <f t="shared" si="88"/>
        <v>350932.27163785731</v>
      </c>
      <c r="GQ78" s="103">
        <f t="shared" si="88"/>
        <v>350932.27163785731</v>
      </c>
      <c r="GR78" s="103">
        <f t="shared" si="88"/>
        <v>350932.27163785731</v>
      </c>
      <c r="GS78" s="103">
        <f t="shared" si="88"/>
        <v>350932.27163785731</v>
      </c>
      <c r="GT78" s="103">
        <f t="shared" si="88"/>
        <v>350932.27163785731</v>
      </c>
      <c r="GU78" s="103">
        <f t="shared" si="88"/>
        <v>350932.27163785731</v>
      </c>
      <c r="GV78" s="103">
        <f t="shared" si="88"/>
        <v>350932.27163785731</v>
      </c>
      <c r="GW78" s="103">
        <f t="shared" si="88"/>
        <v>350932.27163785731</v>
      </c>
      <c r="GX78" s="103">
        <f t="shared" si="88"/>
        <v>350932.27163785731</v>
      </c>
      <c r="GY78" s="103">
        <f t="shared" si="89"/>
        <v>350932.27163785731</v>
      </c>
      <c r="GZ78" s="103">
        <f t="shared" si="89"/>
        <v>350932.27163785731</v>
      </c>
      <c r="HA78" s="103">
        <f t="shared" si="89"/>
        <v>350932.27163785731</v>
      </c>
      <c r="HB78" s="103">
        <f t="shared" si="89"/>
        <v>350932.27163785731</v>
      </c>
      <c r="HC78" s="103">
        <f t="shared" si="89"/>
        <v>350932.27163785731</v>
      </c>
      <c r="HD78" s="103">
        <f t="shared" si="89"/>
        <v>350932.27163785731</v>
      </c>
      <c r="HE78" s="103">
        <f t="shared" si="89"/>
        <v>350932.27163785731</v>
      </c>
      <c r="HF78" s="103">
        <f t="shared" si="89"/>
        <v>350932.27163785731</v>
      </c>
      <c r="HG78" s="103">
        <f t="shared" si="89"/>
        <v>350932.27163785731</v>
      </c>
      <c r="HH78" s="103">
        <f t="shared" si="89"/>
        <v>350932.27163785731</v>
      </c>
      <c r="HI78" s="103">
        <f t="shared" si="89"/>
        <v>350932.27163785731</v>
      </c>
      <c r="HJ78" s="103">
        <f t="shared" si="89"/>
        <v>350932.27163785731</v>
      </c>
    </row>
    <row r="79" spans="17:218" x14ac:dyDescent="0.25">
      <c r="Q79" s="37">
        <v>2045</v>
      </c>
      <c r="R79" s="135">
        <v>1E-3</v>
      </c>
      <c r="S79" s="128">
        <v>0</v>
      </c>
      <c r="T79" s="128">
        <v>0</v>
      </c>
      <c r="U79" s="128">
        <v>0</v>
      </c>
      <c r="V79" s="128">
        <v>0</v>
      </c>
      <c r="W79" s="128">
        <f>1-SUM(R79:V79)</f>
        <v>0.999</v>
      </c>
      <c r="X79" s="134">
        <f t="shared" si="93"/>
        <v>1</v>
      </c>
      <c r="Z79" s="83" t="s">
        <v>203</v>
      </c>
      <c r="AA79" s="114">
        <f>'US Grid mix, emissions&amp;prices'!O76</f>
        <v>54479</v>
      </c>
      <c r="AB79" s="116">
        <f t="shared" si="69"/>
        <v>54479</v>
      </c>
      <c r="AC79" s="116">
        <f t="shared" si="90"/>
        <v>47851.388514268539</v>
      </c>
      <c r="AD79" s="116">
        <f t="shared" si="90"/>
        <v>47851.388514268539</v>
      </c>
      <c r="AE79" s="116">
        <f t="shared" si="90"/>
        <v>47851.388514268539</v>
      </c>
      <c r="AF79" s="116">
        <f t="shared" si="90"/>
        <v>47851.388514268539</v>
      </c>
      <c r="AG79" s="116">
        <f t="shared" si="90"/>
        <v>47851.388514268539</v>
      </c>
      <c r="AH79" s="116">
        <f t="shared" si="90"/>
        <v>18091.37251562488</v>
      </c>
      <c r="AI79" s="116">
        <f t="shared" si="90"/>
        <v>18091.37251562488</v>
      </c>
      <c r="AJ79" s="116">
        <f t="shared" si="90"/>
        <v>18091.37251562488</v>
      </c>
      <c r="AK79" s="116">
        <f t="shared" si="90"/>
        <v>18091.37251562488</v>
      </c>
      <c r="AL79" s="116">
        <f t="shared" si="90"/>
        <v>18091.37251562488</v>
      </c>
      <c r="AM79" s="116">
        <f t="shared" si="90"/>
        <v>15205.804687078553</v>
      </c>
      <c r="AN79" s="116">
        <f t="shared" si="90"/>
        <v>15205.804687078553</v>
      </c>
      <c r="AO79" s="116">
        <f t="shared" si="90"/>
        <v>15205.804687078553</v>
      </c>
      <c r="AP79" s="116">
        <f t="shared" si="90"/>
        <v>15205.804687078553</v>
      </c>
      <c r="AQ79" s="116">
        <f t="shared" si="90"/>
        <v>15205.804687078553</v>
      </c>
      <c r="AR79" s="116">
        <f t="shared" si="90"/>
        <v>15205.804687078553</v>
      </c>
      <c r="AS79" s="116">
        <f t="shared" si="90"/>
        <v>15205.804687078553</v>
      </c>
      <c r="AT79" s="116">
        <f t="shared" si="90"/>
        <v>15205.804687078553</v>
      </c>
      <c r="AU79" s="116">
        <f t="shared" si="90"/>
        <v>15205.804687078553</v>
      </c>
      <c r="AV79" s="116">
        <f t="shared" si="90"/>
        <v>15205.804687078553</v>
      </c>
      <c r="AW79" s="116">
        <f t="shared" si="90"/>
        <v>15277.597513890923</v>
      </c>
      <c r="AX79" s="116">
        <f t="shared" si="90"/>
        <v>15277.597513890923</v>
      </c>
      <c r="AY79" s="116">
        <f t="shared" si="90"/>
        <v>15277.597513890923</v>
      </c>
      <c r="AZ79" s="116">
        <f t="shared" si="90"/>
        <v>15277.597513890923</v>
      </c>
      <c r="BA79" s="116">
        <f t="shared" si="90"/>
        <v>15277.597513890923</v>
      </c>
      <c r="BB79" s="116">
        <f t="shared" si="90"/>
        <v>15367.863348771974</v>
      </c>
      <c r="BM79" s="83" t="s">
        <v>203</v>
      </c>
      <c r="BN79" s="114">
        <f t="shared" si="78"/>
        <v>54479</v>
      </c>
      <c r="BO79" s="116">
        <f t="shared" si="96"/>
        <v>54479</v>
      </c>
      <c r="BP79" s="116">
        <f t="shared" si="96"/>
        <v>42944.28582547915</v>
      </c>
      <c r="BQ79" s="116">
        <f t="shared" si="96"/>
        <v>42944.28582547915</v>
      </c>
      <c r="BR79" s="116">
        <f t="shared" si="96"/>
        <v>42944.28582547915</v>
      </c>
      <c r="BS79" s="116">
        <f t="shared" si="96"/>
        <v>42944.28582547915</v>
      </c>
      <c r="BT79" s="116">
        <f t="shared" si="96"/>
        <v>42944.28582547915</v>
      </c>
      <c r="BU79" s="116">
        <f t="shared" si="96"/>
        <v>2425.8418322916746</v>
      </c>
      <c r="BV79" s="116">
        <f t="shared" si="96"/>
        <v>2425.8418322916746</v>
      </c>
      <c r="BW79" s="116">
        <f t="shared" si="96"/>
        <v>2425.8418322916746</v>
      </c>
      <c r="BX79" s="116">
        <f t="shared" si="96"/>
        <v>2425.8418322916746</v>
      </c>
      <c r="BY79" s="116">
        <f t="shared" si="96"/>
        <v>2425.8418322916746</v>
      </c>
      <c r="BZ79" s="116">
        <f t="shared" si="96"/>
        <v>2529.9624232242354</v>
      </c>
      <c r="CA79" s="116">
        <f t="shared" si="96"/>
        <v>2529.9624232242354</v>
      </c>
      <c r="CB79" s="116">
        <f t="shared" si="96"/>
        <v>2529.9624232242354</v>
      </c>
      <c r="CC79" s="116">
        <f t="shared" si="96"/>
        <v>2529.9624232242354</v>
      </c>
      <c r="CD79" s="116">
        <f t="shared" si="96"/>
        <v>2529.9624232242354</v>
      </c>
      <c r="CE79" s="116">
        <f t="shared" si="94"/>
        <v>2565.2290749917156</v>
      </c>
      <c r="CF79" s="116">
        <f t="shared" si="94"/>
        <v>2565.2290749917156</v>
      </c>
      <c r="CG79" s="116">
        <f t="shared" si="94"/>
        <v>2565.2290749917156</v>
      </c>
      <c r="CH79" s="116">
        <f t="shared" si="94"/>
        <v>2565.2290749917156</v>
      </c>
      <c r="CI79" s="116">
        <f t="shared" si="94"/>
        <v>2565.2290749917156</v>
      </c>
      <c r="CJ79" s="116">
        <f t="shared" si="94"/>
        <v>2655.4949098727661</v>
      </c>
      <c r="CK79" s="116">
        <f t="shared" si="94"/>
        <v>2655.4949098727661</v>
      </c>
      <c r="CL79" s="116">
        <f t="shared" si="94"/>
        <v>2655.4949098727661</v>
      </c>
      <c r="CM79" s="116">
        <f t="shared" si="94"/>
        <v>2655.4949098727661</v>
      </c>
      <c r="CN79" s="116">
        <f t="shared" si="94"/>
        <v>2655.4949098727661</v>
      </c>
      <c r="CO79" s="116">
        <f t="shared" si="94"/>
        <v>2769.6916870246068</v>
      </c>
      <c r="CR79" s="83" t="s">
        <v>203</v>
      </c>
      <c r="CS79" s="114">
        <f t="shared" si="81"/>
        <v>54479</v>
      </c>
      <c r="CT79" s="116">
        <f t="shared" si="97"/>
        <v>2550.9544778477357</v>
      </c>
      <c r="CU79" s="116">
        <f t="shared" si="97"/>
        <v>2550.9544778477357</v>
      </c>
      <c r="CV79" s="116">
        <f t="shared" si="97"/>
        <v>2550.9544778477357</v>
      </c>
      <c r="CW79" s="116">
        <f t="shared" si="97"/>
        <v>2550.9544778477357</v>
      </c>
      <c r="CX79" s="116">
        <f t="shared" si="97"/>
        <v>2550.9544778477357</v>
      </c>
      <c r="CY79" s="116">
        <f t="shared" si="97"/>
        <v>2550.9544778477357</v>
      </c>
      <c r="CZ79" s="116">
        <f t="shared" si="97"/>
        <v>2550.9544778477357</v>
      </c>
      <c r="DA79" s="116">
        <f t="shared" si="97"/>
        <v>2550.9544778477357</v>
      </c>
      <c r="DB79" s="116">
        <f t="shared" si="97"/>
        <v>2550.9544778477357</v>
      </c>
      <c r="DC79" s="116">
        <f t="shared" si="97"/>
        <v>2550.9544778477357</v>
      </c>
      <c r="DD79" s="116">
        <f t="shared" si="97"/>
        <v>2550.9544778477357</v>
      </c>
      <c r="DE79" s="116">
        <f t="shared" si="97"/>
        <v>2624.0068279375159</v>
      </c>
      <c r="DF79" s="116">
        <f t="shared" si="97"/>
        <v>2624.0068279375159</v>
      </c>
      <c r="DG79" s="116">
        <f t="shared" si="97"/>
        <v>2624.0068279375159</v>
      </c>
      <c r="DH79" s="116">
        <f t="shared" si="97"/>
        <v>2624.0068279375159</v>
      </c>
      <c r="DI79" s="116">
        <f t="shared" si="97"/>
        <v>2624.0068279375159</v>
      </c>
      <c r="DJ79" s="116">
        <f t="shared" si="95"/>
        <v>2760.4551829902666</v>
      </c>
      <c r="DK79" s="116">
        <f t="shared" si="95"/>
        <v>2760.4551829902666</v>
      </c>
      <c r="DL79" s="116">
        <f t="shared" si="95"/>
        <v>2760.4551829902666</v>
      </c>
      <c r="DM79" s="116">
        <f t="shared" si="95"/>
        <v>2760.4551829902666</v>
      </c>
      <c r="DN79" s="116">
        <f t="shared" si="95"/>
        <v>2760.4551829902666</v>
      </c>
      <c r="DO79" s="116">
        <f t="shared" si="95"/>
        <v>2850.7210178713171</v>
      </c>
      <c r="DP79" s="116">
        <f t="shared" si="95"/>
        <v>2850.7210178713171</v>
      </c>
      <c r="DQ79" s="116">
        <f t="shared" si="95"/>
        <v>2850.7210178713171</v>
      </c>
      <c r="DR79" s="116">
        <f t="shared" si="95"/>
        <v>2850.7210178713171</v>
      </c>
      <c r="DS79" s="116">
        <f t="shared" si="95"/>
        <v>2850.7210178713171</v>
      </c>
      <c r="DT79" s="116">
        <f t="shared" si="95"/>
        <v>2965.3376361156279</v>
      </c>
      <c r="DW79" s="83" t="s">
        <v>203</v>
      </c>
      <c r="DX79" s="114">
        <f t="shared" si="84"/>
        <v>71976.487717197873</v>
      </c>
      <c r="DY79" s="116">
        <f t="shared" si="85"/>
        <v>71976.487717197873</v>
      </c>
      <c r="DZ79" s="116">
        <f t="shared" si="85"/>
        <v>62970.658306573467</v>
      </c>
      <c r="EA79" s="116">
        <f t="shared" si="85"/>
        <v>62970.658306573467</v>
      </c>
      <c r="EB79" s="116">
        <f t="shared" si="85"/>
        <v>62970.658306573467</v>
      </c>
      <c r="EC79" s="116">
        <f t="shared" si="85"/>
        <v>62970.658306573467</v>
      </c>
      <c r="ED79" s="116">
        <f t="shared" si="85"/>
        <v>62970.658306573467</v>
      </c>
      <c r="EE79" s="116">
        <f t="shared" si="85"/>
        <v>39177.924930544985</v>
      </c>
      <c r="EF79" s="116">
        <f t="shared" si="85"/>
        <v>39177.924930544985</v>
      </c>
      <c r="EG79" s="116">
        <f t="shared" si="85"/>
        <v>39177.924930544985</v>
      </c>
      <c r="EH79" s="116">
        <f t="shared" si="85"/>
        <v>39177.924930544985</v>
      </c>
      <c r="EI79" s="116">
        <f t="shared" si="85"/>
        <v>39177.924930544985</v>
      </c>
      <c r="EJ79" s="116">
        <f t="shared" si="85"/>
        <v>34884.18213935323</v>
      </c>
      <c r="EK79" s="116">
        <f t="shared" si="85"/>
        <v>34884.18213935323</v>
      </c>
      <c r="EL79" s="116">
        <f t="shared" si="85"/>
        <v>34884.18213935323</v>
      </c>
      <c r="EM79" s="116">
        <f t="shared" si="85"/>
        <v>34884.18213935323</v>
      </c>
      <c r="EN79" s="116">
        <f t="shared" si="85"/>
        <v>34884.18213935323</v>
      </c>
      <c r="EO79" s="116">
        <f t="shared" si="91"/>
        <v>33896.524717394474</v>
      </c>
      <c r="EP79" s="116">
        <f t="shared" si="91"/>
        <v>33896.524717394474</v>
      </c>
      <c r="EQ79" s="116">
        <f t="shared" si="91"/>
        <v>33896.524717394474</v>
      </c>
      <c r="ER79" s="116">
        <f t="shared" si="91"/>
        <v>33896.524717394474</v>
      </c>
      <c r="ES79" s="116">
        <f t="shared" si="91"/>
        <v>33896.524717394474</v>
      </c>
      <c r="ET79" s="116">
        <f t="shared" si="91"/>
        <v>32696.899644917554</v>
      </c>
      <c r="EU79" s="116">
        <f t="shared" si="91"/>
        <v>32696.899644917554</v>
      </c>
      <c r="EV79" s="116">
        <f t="shared" si="91"/>
        <v>32696.899644917554</v>
      </c>
      <c r="EW79" s="116">
        <f t="shared" si="91"/>
        <v>32696.899644917554</v>
      </c>
      <c r="EX79" s="116">
        <f t="shared" si="91"/>
        <v>32696.899644917554</v>
      </c>
      <c r="EY79" s="116">
        <f t="shared" si="91"/>
        <v>30785.124264584632</v>
      </c>
      <c r="FB79" s="83" t="s">
        <v>203</v>
      </c>
      <c r="FC79" s="114">
        <f t="shared" si="86"/>
        <v>77807.37721142784</v>
      </c>
      <c r="FD79" s="116">
        <f t="shared" si="87"/>
        <v>77807.37721142784</v>
      </c>
      <c r="FE79" s="116">
        <f t="shared" si="87"/>
        <v>67835.239638609113</v>
      </c>
      <c r="FF79" s="116">
        <f t="shared" si="87"/>
        <v>67835.239638609113</v>
      </c>
      <c r="FG79" s="116">
        <f t="shared" si="87"/>
        <v>67835.239638609113</v>
      </c>
      <c r="FH79" s="116">
        <f t="shared" si="87"/>
        <v>67835.239638609113</v>
      </c>
      <c r="FI79" s="116">
        <f t="shared" si="87"/>
        <v>67835.239638609113</v>
      </c>
      <c r="FJ79" s="116">
        <f t="shared" si="87"/>
        <v>42906.420653688292</v>
      </c>
      <c r="FK79" s="116">
        <f t="shared" si="87"/>
        <v>42906.420653688292</v>
      </c>
      <c r="FL79" s="116">
        <f t="shared" si="87"/>
        <v>42906.420653688292</v>
      </c>
      <c r="FM79" s="116">
        <f t="shared" si="87"/>
        <v>42906.420653688292</v>
      </c>
      <c r="FN79" s="116">
        <f t="shared" si="87"/>
        <v>42906.420653688292</v>
      </c>
      <c r="FO79" s="116">
        <f t="shared" si="87"/>
        <v>38002.699012084537</v>
      </c>
      <c r="FP79" s="116">
        <f t="shared" si="87"/>
        <v>38002.699012084537</v>
      </c>
      <c r="FQ79" s="116">
        <f t="shared" si="87"/>
        <v>38002.699012084537</v>
      </c>
      <c r="FR79" s="116">
        <f t="shared" si="87"/>
        <v>38002.699012084537</v>
      </c>
      <c r="FS79" s="116">
        <f t="shared" si="87"/>
        <v>38002.699012084537</v>
      </c>
      <c r="FT79" s="116">
        <f t="shared" si="92"/>
        <v>37135.004097373479</v>
      </c>
      <c r="FU79" s="116">
        <f t="shared" si="92"/>
        <v>37135.004097373479</v>
      </c>
      <c r="FV79" s="116">
        <f t="shared" si="92"/>
        <v>37135.004097373479</v>
      </c>
      <c r="FW79" s="116">
        <f t="shared" si="92"/>
        <v>37135.004097373479</v>
      </c>
      <c r="FX79" s="116">
        <f t="shared" si="92"/>
        <v>37135.004097373479</v>
      </c>
      <c r="FY79" s="116">
        <f t="shared" si="92"/>
        <v>35933.34576206185</v>
      </c>
      <c r="FZ79" s="116">
        <f t="shared" si="92"/>
        <v>35933.34576206185</v>
      </c>
      <c r="GA79" s="116">
        <f t="shared" si="92"/>
        <v>35933.34576206185</v>
      </c>
      <c r="GB79" s="116">
        <f t="shared" si="92"/>
        <v>35933.34576206185</v>
      </c>
      <c r="GC79" s="116">
        <f t="shared" si="92"/>
        <v>35933.34576206185</v>
      </c>
      <c r="GD79" s="116">
        <f t="shared" si="92"/>
        <v>33956.50597101832</v>
      </c>
      <c r="GH79" s="123" t="s">
        <v>203</v>
      </c>
      <c r="GI79" s="103">
        <f t="shared" si="88"/>
        <v>136973.15641833833</v>
      </c>
      <c r="GJ79" s="103">
        <f t="shared" si="88"/>
        <v>136973.15641833833</v>
      </c>
      <c r="GK79" s="103">
        <f t="shared" si="88"/>
        <v>136973.15641833833</v>
      </c>
      <c r="GL79" s="103">
        <f t="shared" si="88"/>
        <v>136973.15641833833</v>
      </c>
      <c r="GM79" s="103">
        <f t="shared" si="88"/>
        <v>136973.15641833833</v>
      </c>
      <c r="GN79" s="103">
        <f t="shared" si="88"/>
        <v>136973.15641833833</v>
      </c>
      <c r="GO79" s="103">
        <f t="shared" si="88"/>
        <v>136973.15641833833</v>
      </c>
      <c r="GP79" s="103">
        <f t="shared" si="88"/>
        <v>136973.15641833833</v>
      </c>
      <c r="GQ79" s="103">
        <f t="shared" si="88"/>
        <v>136973.15641833833</v>
      </c>
      <c r="GR79" s="103">
        <f t="shared" si="88"/>
        <v>136973.15641833833</v>
      </c>
      <c r="GS79" s="103">
        <f t="shared" si="88"/>
        <v>136973.15641833833</v>
      </c>
      <c r="GT79" s="103">
        <f t="shared" si="88"/>
        <v>136973.15641833833</v>
      </c>
      <c r="GU79" s="103">
        <f t="shared" si="88"/>
        <v>136973.15641833833</v>
      </c>
      <c r="GV79" s="103">
        <f t="shared" si="88"/>
        <v>136973.15641833833</v>
      </c>
      <c r="GW79" s="103">
        <f t="shared" si="88"/>
        <v>136973.15641833833</v>
      </c>
      <c r="GX79" s="103">
        <f t="shared" si="88"/>
        <v>136973.15641833833</v>
      </c>
      <c r="GY79" s="103">
        <f t="shared" si="89"/>
        <v>136973.15641833833</v>
      </c>
      <c r="GZ79" s="103">
        <f t="shared" si="89"/>
        <v>136973.15641833833</v>
      </c>
      <c r="HA79" s="103">
        <f t="shared" si="89"/>
        <v>136973.15641833833</v>
      </c>
      <c r="HB79" s="103">
        <f t="shared" si="89"/>
        <v>136973.15641833833</v>
      </c>
      <c r="HC79" s="103">
        <f t="shared" si="89"/>
        <v>136973.15641833833</v>
      </c>
      <c r="HD79" s="103">
        <f t="shared" si="89"/>
        <v>136973.15641833833</v>
      </c>
      <c r="HE79" s="103">
        <f t="shared" si="89"/>
        <v>136973.15641833833</v>
      </c>
      <c r="HF79" s="103">
        <f t="shared" si="89"/>
        <v>136973.15641833833</v>
      </c>
      <c r="HG79" s="103">
        <f t="shared" si="89"/>
        <v>136973.15641833833</v>
      </c>
      <c r="HH79" s="103">
        <f t="shared" si="89"/>
        <v>136973.15641833833</v>
      </c>
      <c r="HI79" s="103">
        <f t="shared" si="89"/>
        <v>136973.15641833833</v>
      </c>
      <c r="HJ79" s="103">
        <f t="shared" si="89"/>
        <v>136973.15641833833</v>
      </c>
    </row>
    <row r="80" spans="17:218" x14ac:dyDescent="0.25">
      <c r="Q80" s="37">
        <v>2050</v>
      </c>
      <c r="R80" s="136">
        <v>1E-3</v>
      </c>
      <c r="S80" s="137">
        <v>0</v>
      </c>
      <c r="T80" s="137">
        <v>0</v>
      </c>
      <c r="U80" s="137">
        <v>0</v>
      </c>
      <c r="V80" s="137">
        <v>0</v>
      </c>
      <c r="W80" s="137">
        <f>1-SUM(R80:V80)</f>
        <v>0.999</v>
      </c>
      <c r="X80" s="138">
        <f t="shared" si="93"/>
        <v>1</v>
      </c>
      <c r="Z80" s="83" t="s">
        <v>202</v>
      </c>
      <c r="AA80" s="114">
        <f>'US Grid mix, emissions&amp;prices'!O77</f>
        <v>83345</v>
      </c>
      <c r="AB80" s="116">
        <f t="shared" si="69"/>
        <v>83345</v>
      </c>
      <c r="AC80" s="116">
        <f t="shared" si="90"/>
        <v>73205.711847165163</v>
      </c>
      <c r="AD80" s="116">
        <f t="shared" si="90"/>
        <v>73205.711847165163</v>
      </c>
      <c r="AE80" s="116">
        <f t="shared" si="90"/>
        <v>73205.711847165163</v>
      </c>
      <c r="AF80" s="116">
        <f t="shared" si="90"/>
        <v>73205.711847165163</v>
      </c>
      <c r="AG80" s="116">
        <f t="shared" si="90"/>
        <v>73205.711847165163</v>
      </c>
      <c r="AH80" s="116">
        <f t="shared" si="90"/>
        <v>27677.186481300239</v>
      </c>
      <c r="AI80" s="116">
        <f t="shared" si="90"/>
        <v>27677.186481300239</v>
      </c>
      <c r="AJ80" s="116">
        <f t="shared" si="90"/>
        <v>27677.186481300239</v>
      </c>
      <c r="AK80" s="116">
        <f t="shared" si="90"/>
        <v>27677.186481300239</v>
      </c>
      <c r="AL80" s="116">
        <f t="shared" si="90"/>
        <v>27677.186481300239</v>
      </c>
      <c r="AM80" s="116">
        <f t="shared" si="90"/>
        <v>23262.68455082806</v>
      </c>
      <c r="AN80" s="116">
        <f t="shared" si="90"/>
        <v>23262.68455082806</v>
      </c>
      <c r="AO80" s="116">
        <f t="shared" si="90"/>
        <v>23262.68455082806</v>
      </c>
      <c r="AP80" s="116">
        <f t="shared" si="90"/>
        <v>23262.68455082806</v>
      </c>
      <c r="AQ80" s="116">
        <f t="shared" si="90"/>
        <v>23262.68455082806</v>
      </c>
      <c r="AR80" s="116">
        <f t="shared" si="90"/>
        <v>23262.68455082806</v>
      </c>
      <c r="AS80" s="116">
        <f t="shared" si="90"/>
        <v>23262.68455082806</v>
      </c>
      <c r="AT80" s="116">
        <f t="shared" si="90"/>
        <v>23262.68455082806</v>
      </c>
      <c r="AU80" s="116">
        <f t="shared" si="90"/>
        <v>23262.68455082806</v>
      </c>
      <c r="AV80" s="116">
        <f t="shared" si="90"/>
        <v>23262.68455082806</v>
      </c>
      <c r="AW80" s="116">
        <f t="shared" si="90"/>
        <v>23372.517204707117</v>
      </c>
      <c r="AX80" s="116">
        <f t="shared" si="90"/>
        <v>23372.517204707117</v>
      </c>
      <c r="AY80" s="116">
        <f t="shared" si="90"/>
        <v>23372.517204707117</v>
      </c>
      <c r="AZ80" s="116">
        <f t="shared" si="90"/>
        <v>23372.517204707117</v>
      </c>
      <c r="BA80" s="116">
        <f t="shared" si="90"/>
        <v>23372.517204707117</v>
      </c>
      <c r="BB80" s="116">
        <f t="shared" si="90"/>
        <v>23510.610892332828</v>
      </c>
      <c r="BM80" s="83" t="s">
        <v>202</v>
      </c>
      <c r="BN80" s="114">
        <f t="shared" si="78"/>
        <v>83345</v>
      </c>
      <c r="BO80" s="116">
        <f t="shared" si="96"/>
        <v>83345</v>
      </c>
      <c r="BP80" s="116">
        <f t="shared" si="96"/>
        <v>65698.553610098563</v>
      </c>
      <c r="BQ80" s="116">
        <f t="shared" si="96"/>
        <v>65698.553610098563</v>
      </c>
      <c r="BR80" s="116">
        <f t="shared" si="96"/>
        <v>65698.553610098563</v>
      </c>
      <c r="BS80" s="116">
        <f t="shared" si="96"/>
        <v>65698.553610098563</v>
      </c>
      <c r="BT80" s="116">
        <f t="shared" si="96"/>
        <v>65698.553610098563</v>
      </c>
      <c r="BU80" s="116">
        <f t="shared" si="96"/>
        <v>3711.1875679133177</v>
      </c>
      <c r="BV80" s="116">
        <f t="shared" si="96"/>
        <v>3711.1875679133177</v>
      </c>
      <c r="BW80" s="116">
        <f t="shared" si="96"/>
        <v>3711.1875679133177</v>
      </c>
      <c r="BX80" s="116">
        <f t="shared" si="96"/>
        <v>3711.1875679133177</v>
      </c>
      <c r="BY80" s="116">
        <f t="shared" si="96"/>
        <v>3711.1875679133177</v>
      </c>
      <c r="BZ80" s="116">
        <f t="shared" si="96"/>
        <v>3870.4770308490224</v>
      </c>
      <c r="CA80" s="116">
        <f t="shared" si="96"/>
        <v>3870.4770308490224</v>
      </c>
      <c r="CB80" s="116">
        <f t="shared" si="96"/>
        <v>3870.4770308490224</v>
      </c>
      <c r="CC80" s="116">
        <f t="shared" si="96"/>
        <v>3870.4770308490224</v>
      </c>
      <c r="CD80" s="116">
        <f t="shared" si="96"/>
        <v>3870.4770308490224</v>
      </c>
      <c r="CE80" s="116">
        <f t="shared" si="94"/>
        <v>3924.4299134562775</v>
      </c>
      <c r="CF80" s="116">
        <f t="shared" si="94"/>
        <v>3924.4299134562775</v>
      </c>
      <c r="CG80" s="116">
        <f t="shared" si="94"/>
        <v>3924.4299134562775</v>
      </c>
      <c r="CH80" s="116">
        <f t="shared" si="94"/>
        <v>3924.4299134562775</v>
      </c>
      <c r="CI80" s="116">
        <f t="shared" si="94"/>
        <v>3924.4299134562775</v>
      </c>
      <c r="CJ80" s="116">
        <f t="shared" si="94"/>
        <v>4062.5236010819895</v>
      </c>
      <c r="CK80" s="116">
        <f t="shared" si="94"/>
        <v>4062.5236010819895</v>
      </c>
      <c r="CL80" s="116">
        <f t="shared" si="94"/>
        <v>4062.5236010819895</v>
      </c>
      <c r="CM80" s="116">
        <f t="shared" si="94"/>
        <v>4062.5236010819895</v>
      </c>
      <c r="CN80" s="116">
        <f t="shared" si="94"/>
        <v>4062.5236010819895</v>
      </c>
      <c r="CO80" s="116">
        <f t="shared" si="94"/>
        <v>4237.2281733340524</v>
      </c>
      <c r="CR80" s="83" t="s">
        <v>202</v>
      </c>
      <c r="CS80" s="114">
        <f t="shared" si="81"/>
        <v>83345</v>
      </c>
      <c r="CT80" s="116">
        <f t="shared" si="97"/>
        <v>3902.5918419247696</v>
      </c>
      <c r="CU80" s="116">
        <f t="shared" si="97"/>
        <v>3902.5918419247696</v>
      </c>
      <c r="CV80" s="116">
        <f t="shared" si="97"/>
        <v>3902.5918419247696</v>
      </c>
      <c r="CW80" s="116">
        <f t="shared" si="97"/>
        <v>3902.5918419247696</v>
      </c>
      <c r="CX80" s="116">
        <f t="shared" si="97"/>
        <v>3902.5918419247696</v>
      </c>
      <c r="CY80" s="116">
        <f t="shared" si="97"/>
        <v>3902.5918419247696</v>
      </c>
      <c r="CZ80" s="116">
        <f t="shared" si="97"/>
        <v>3902.5918419247696</v>
      </c>
      <c r="DA80" s="116">
        <f t="shared" si="97"/>
        <v>3902.5918419247696</v>
      </c>
      <c r="DB80" s="116">
        <f t="shared" si="97"/>
        <v>3902.5918419247696</v>
      </c>
      <c r="DC80" s="116">
        <f t="shared" si="97"/>
        <v>3902.5918419247696</v>
      </c>
      <c r="DD80" s="116">
        <f t="shared" si="97"/>
        <v>3902.5918419247696</v>
      </c>
      <c r="DE80" s="116">
        <f t="shared" si="97"/>
        <v>4014.3513844683689</v>
      </c>
      <c r="DF80" s="116">
        <f t="shared" si="97"/>
        <v>4014.3513844683689</v>
      </c>
      <c r="DG80" s="116">
        <f t="shared" si="97"/>
        <v>4014.3513844683689</v>
      </c>
      <c r="DH80" s="116">
        <f t="shared" si="97"/>
        <v>4014.3513844683689</v>
      </c>
      <c r="DI80" s="116">
        <f t="shared" si="97"/>
        <v>4014.3513844683689</v>
      </c>
      <c r="DJ80" s="116">
        <f t="shared" si="95"/>
        <v>4223.0976564607245</v>
      </c>
      <c r="DK80" s="116">
        <f t="shared" si="95"/>
        <v>4223.0976564607245</v>
      </c>
      <c r="DL80" s="116">
        <f t="shared" si="95"/>
        <v>4223.0976564607245</v>
      </c>
      <c r="DM80" s="116">
        <f t="shared" si="95"/>
        <v>4223.0976564607245</v>
      </c>
      <c r="DN80" s="116">
        <f t="shared" si="95"/>
        <v>4223.0976564607245</v>
      </c>
      <c r="DO80" s="116">
        <f t="shared" si="95"/>
        <v>4361.1913440864355</v>
      </c>
      <c r="DP80" s="116">
        <f t="shared" si="95"/>
        <v>4361.1913440864355</v>
      </c>
      <c r="DQ80" s="116">
        <f t="shared" si="95"/>
        <v>4361.1913440864355</v>
      </c>
      <c r="DR80" s="116">
        <f t="shared" si="95"/>
        <v>4361.1913440864355</v>
      </c>
      <c r="DS80" s="116">
        <f t="shared" si="95"/>
        <v>4361.1913440864355</v>
      </c>
      <c r="DT80" s="116">
        <f t="shared" si="95"/>
        <v>4536.5382125600145</v>
      </c>
      <c r="DW80" s="83" t="s">
        <v>202</v>
      </c>
      <c r="DX80" s="114">
        <f t="shared" si="84"/>
        <v>110113.62853190873</v>
      </c>
      <c r="DY80" s="116">
        <f t="shared" si="85"/>
        <v>110113.62853190873</v>
      </c>
      <c r="DZ80" s="116">
        <f t="shared" si="85"/>
        <v>96336.010509762753</v>
      </c>
      <c r="EA80" s="116">
        <f t="shared" si="85"/>
        <v>96336.010509762753</v>
      </c>
      <c r="EB80" s="116">
        <f t="shared" si="85"/>
        <v>96336.010509762753</v>
      </c>
      <c r="EC80" s="116">
        <f t="shared" si="85"/>
        <v>96336.010509762753</v>
      </c>
      <c r="ED80" s="116">
        <f t="shared" si="85"/>
        <v>96336.010509762753</v>
      </c>
      <c r="EE80" s="116">
        <f t="shared" si="85"/>
        <v>59936.565526831822</v>
      </c>
      <c r="EF80" s="116">
        <f t="shared" si="85"/>
        <v>59936.565526831822</v>
      </c>
      <c r="EG80" s="116">
        <f t="shared" si="85"/>
        <v>59936.565526831822</v>
      </c>
      <c r="EH80" s="116">
        <f t="shared" si="85"/>
        <v>59936.565526831822</v>
      </c>
      <c r="EI80" s="116">
        <f t="shared" si="85"/>
        <v>59936.565526831822</v>
      </c>
      <c r="EJ80" s="116">
        <f t="shared" si="85"/>
        <v>53367.759327527936</v>
      </c>
      <c r="EK80" s="116">
        <f t="shared" si="85"/>
        <v>53367.759327527936</v>
      </c>
      <c r="EL80" s="116">
        <f t="shared" si="85"/>
        <v>53367.759327527936</v>
      </c>
      <c r="EM80" s="116">
        <f t="shared" si="85"/>
        <v>53367.759327527936</v>
      </c>
      <c r="EN80" s="116">
        <f t="shared" si="85"/>
        <v>53367.759327527936</v>
      </c>
      <c r="EO80" s="116">
        <f t="shared" si="91"/>
        <v>51856.786148263411</v>
      </c>
      <c r="EP80" s="116">
        <f t="shared" si="91"/>
        <v>51856.786148263411</v>
      </c>
      <c r="EQ80" s="116">
        <f t="shared" si="91"/>
        <v>51856.786148263411</v>
      </c>
      <c r="ER80" s="116">
        <f t="shared" si="91"/>
        <v>51856.786148263411</v>
      </c>
      <c r="ES80" s="116">
        <f t="shared" si="91"/>
        <v>51856.786148263411</v>
      </c>
      <c r="ET80" s="116">
        <f t="shared" si="91"/>
        <v>50021.53308441148</v>
      </c>
      <c r="EU80" s="116">
        <f t="shared" si="91"/>
        <v>50021.53308441148</v>
      </c>
      <c r="EV80" s="116">
        <f t="shared" si="91"/>
        <v>50021.53308441148</v>
      </c>
      <c r="EW80" s="116">
        <f t="shared" si="91"/>
        <v>50021.53308441148</v>
      </c>
      <c r="EX80" s="116">
        <f t="shared" si="91"/>
        <v>50021.53308441148</v>
      </c>
      <c r="EY80" s="116">
        <f t="shared" si="91"/>
        <v>47096.792926298309</v>
      </c>
      <c r="FB80" s="83" t="s">
        <v>202</v>
      </c>
      <c r="FC80" s="114">
        <f t="shared" si="86"/>
        <v>119034.04713167374</v>
      </c>
      <c r="FD80" s="116">
        <f t="shared" si="87"/>
        <v>119034.04713167374</v>
      </c>
      <c r="FE80" s="116">
        <f t="shared" si="87"/>
        <v>103778.11721360296</v>
      </c>
      <c r="FF80" s="116">
        <f t="shared" si="87"/>
        <v>103778.11721360296</v>
      </c>
      <c r="FG80" s="116">
        <f t="shared" si="87"/>
        <v>103778.11721360296</v>
      </c>
      <c r="FH80" s="116">
        <f t="shared" si="87"/>
        <v>103778.11721360296</v>
      </c>
      <c r="FI80" s="116">
        <f t="shared" si="87"/>
        <v>103778.11721360296</v>
      </c>
      <c r="FJ80" s="116">
        <f t="shared" si="87"/>
        <v>65640.625367236018</v>
      </c>
      <c r="FK80" s="116">
        <f t="shared" si="87"/>
        <v>65640.625367236018</v>
      </c>
      <c r="FL80" s="116">
        <f t="shared" si="87"/>
        <v>65640.625367236018</v>
      </c>
      <c r="FM80" s="116">
        <f t="shared" si="87"/>
        <v>65640.625367236018</v>
      </c>
      <c r="FN80" s="116">
        <f t="shared" si="87"/>
        <v>65640.625367236018</v>
      </c>
      <c r="FO80" s="116">
        <f t="shared" si="87"/>
        <v>58138.639643939612</v>
      </c>
      <c r="FP80" s="116">
        <f t="shared" si="87"/>
        <v>58138.639643939612</v>
      </c>
      <c r="FQ80" s="116">
        <f t="shared" si="87"/>
        <v>58138.639643939612</v>
      </c>
      <c r="FR80" s="116">
        <f t="shared" si="87"/>
        <v>58138.639643939612</v>
      </c>
      <c r="FS80" s="116">
        <f t="shared" si="87"/>
        <v>58138.639643939612</v>
      </c>
      <c r="FT80" s="116">
        <f t="shared" si="92"/>
        <v>56811.191771060272</v>
      </c>
      <c r="FU80" s="116">
        <f t="shared" si="92"/>
        <v>56811.191771060272</v>
      </c>
      <c r="FV80" s="116">
        <f t="shared" si="92"/>
        <v>56811.191771060272</v>
      </c>
      <c r="FW80" s="116">
        <f t="shared" si="92"/>
        <v>56811.191771060272</v>
      </c>
      <c r="FX80" s="116">
        <f t="shared" si="92"/>
        <v>56811.191771060272</v>
      </c>
      <c r="FY80" s="116">
        <f t="shared" si="92"/>
        <v>54972.828108795045</v>
      </c>
      <c r="FZ80" s="116">
        <f t="shared" si="92"/>
        <v>54972.828108795045</v>
      </c>
      <c r="GA80" s="116">
        <f t="shared" si="92"/>
        <v>54972.828108795045</v>
      </c>
      <c r="GB80" s="116">
        <f t="shared" si="92"/>
        <v>54972.828108795045</v>
      </c>
      <c r="GC80" s="116">
        <f t="shared" si="92"/>
        <v>54972.828108795045</v>
      </c>
      <c r="GD80" s="116">
        <f t="shared" si="92"/>
        <v>51948.548801456003</v>
      </c>
      <c r="GH80" s="123" t="s">
        <v>202</v>
      </c>
      <c r="GI80" s="103">
        <f t="shared" si="88"/>
        <v>209549.14226924884</v>
      </c>
      <c r="GJ80" s="103">
        <f t="shared" si="88"/>
        <v>209549.14226924884</v>
      </c>
      <c r="GK80" s="103">
        <f t="shared" si="88"/>
        <v>209549.14226924884</v>
      </c>
      <c r="GL80" s="103">
        <f t="shared" si="88"/>
        <v>209549.14226924884</v>
      </c>
      <c r="GM80" s="103">
        <f t="shared" si="88"/>
        <v>209549.14226924884</v>
      </c>
      <c r="GN80" s="103">
        <f t="shared" si="88"/>
        <v>209549.14226924884</v>
      </c>
      <c r="GO80" s="103">
        <f t="shared" si="88"/>
        <v>209549.14226924884</v>
      </c>
      <c r="GP80" s="103">
        <f t="shared" si="88"/>
        <v>209549.14226924884</v>
      </c>
      <c r="GQ80" s="103">
        <f t="shared" si="88"/>
        <v>209549.14226924884</v>
      </c>
      <c r="GR80" s="103">
        <f t="shared" si="88"/>
        <v>209549.14226924884</v>
      </c>
      <c r="GS80" s="103">
        <f t="shared" si="88"/>
        <v>209549.14226924884</v>
      </c>
      <c r="GT80" s="103">
        <f t="shared" si="88"/>
        <v>209549.14226924884</v>
      </c>
      <c r="GU80" s="103">
        <f t="shared" si="88"/>
        <v>209549.14226924884</v>
      </c>
      <c r="GV80" s="103">
        <f t="shared" si="88"/>
        <v>209549.14226924884</v>
      </c>
      <c r="GW80" s="103">
        <f t="shared" si="88"/>
        <v>209549.14226924884</v>
      </c>
      <c r="GX80" s="103">
        <f t="shared" si="88"/>
        <v>209549.14226924884</v>
      </c>
      <c r="GY80" s="103">
        <f t="shared" si="89"/>
        <v>209549.14226924884</v>
      </c>
      <c r="GZ80" s="103">
        <f t="shared" si="89"/>
        <v>209549.14226924884</v>
      </c>
      <c r="HA80" s="103">
        <f t="shared" si="89"/>
        <v>209549.14226924884</v>
      </c>
      <c r="HB80" s="103">
        <f t="shared" si="89"/>
        <v>209549.14226924884</v>
      </c>
      <c r="HC80" s="103">
        <f t="shared" si="89"/>
        <v>209549.14226924884</v>
      </c>
      <c r="HD80" s="103">
        <f t="shared" si="89"/>
        <v>209549.14226924884</v>
      </c>
      <c r="HE80" s="103">
        <f t="shared" si="89"/>
        <v>209549.14226924884</v>
      </c>
      <c r="HF80" s="103">
        <f t="shared" si="89"/>
        <v>209549.14226924884</v>
      </c>
      <c r="HG80" s="103">
        <f t="shared" si="89"/>
        <v>209549.14226924884</v>
      </c>
      <c r="HH80" s="103">
        <f t="shared" si="89"/>
        <v>209549.14226924884</v>
      </c>
      <c r="HI80" s="103">
        <f t="shared" si="89"/>
        <v>209549.14226924884</v>
      </c>
      <c r="HJ80" s="103">
        <f t="shared" si="89"/>
        <v>209549.14226924884</v>
      </c>
    </row>
    <row r="81" spans="26:218" x14ac:dyDescent="0.25">
      <c r="Z81" s="83" t="s">
        <v>201</v>
      </c>
      <c r="AA81" s="114">
        <f>'US Grid mix, emissions&amp;prices'!O78</f>
        <v>125531</v>
      </c>
      <c r="AB81" s="116">
        <f t="shared" si="69"/>
        <v>125531</v>
      </c>
      <c r="AC81" s="116">
        <f t="shared" si="90"/>
        <v>110259.59822288669</v>
      </c>
      <c r="AD81" s="116">
        <f t="shared" si="90"/>
        <v>110259.59822288669</v>
      </c>
      <c r="AE81" s="116">
        <f t="shared" si="90"/>
        <v>110259.59822288669</v>
      </c>
      <c r="AF81" s="116">
        <f t="shared" si="90"/>
        <v>110259.59822288669</v>
      </c>
      <c r="AG81" s="116">
        <f t="shared" si="90"/>
        <v>110259.59822288669</v>
      </c>
      <c r="AH81" s="116">
        <f t="shared" ref="AC81:BB90" si="98">$AA81*AH$112</f>
        <v>41686.302671835147</v>
      </c>
      <c r="AI81" s="116">
        <f t="shared" si="98"/>
        <v>41686.302671835147</v>
      </c>
      <c r="AJ81" s="116">
        <f t="shared" si="98"/>
        <v>41686.302671835147</v>
      </c>
      <c r="AK81" s="116">
        <f t="shared" si="98"/>
        <v>41686.302671835147</v>
      </c>
      <c r="AL81" s="116">
        <f t="shared" si="98"/>
        <v>41686.302671835147</v>
      </c>
      <c r="AM81" s="116">
        <f t="shared" si="98"/>
        <v>35037.351423000749</v>
      </c>
      <c r="AN81" s="116">
        <f t="shared" si="98"/>
        <v>35037.351423000749</v>
      </c>
      <c r="AO81" s="116">
        <f t="shared" si="98"/>
        <v>35037.351423000749</v>
      </c>
      <c r="AP81" s="116">
        <f t="shared" si="98"/>
        <v>35037.351423000749</v>
      </c>
      <c r="AQ81" s="116">
        <f t="shared" si="98"/>
        <v>35037.351423000749</v>
      </c>
      <c r="AR81" s="116">
        <f t="shared" si="98"/>
        <v>35037.351423000749</v>
      </c>
      <c r="AS81" s="116">
        <f t="shared" si="98"/>
        <v>35037.351423000749</v>
      </c>
      <c r="AT81" s="116">
        <f t="shared" si="98"/>
        <v>35037.351423000749</v>
      </c>
      <c r="AU81" s="116">
        <f t="shared" si="98"/>
        <v>35037.351423000749</v>
      </c>
      <c r="AV81" s="116">
        <f t="shared" si="98"/>
        <v>35037.351423000749</v>
      </c>
      <c r="AW81" s="116">
        <f t="shared" si="98"/>
        <v>35202.777097895363</v>
      </c>
      <c r="AX81" s="116">
        <f t="shared" si="98"/>
        <v>35202.777097895363</v>
      </c>
      <c r="AY81" s="116">
        <f t="shared" si="98"/>
        <v>35202.777097895363</v>
      </c>
      <c r="AZ81" s="116">
        <f t="shared" si="98"/>
        <v>35202.777097895363</v>
      </c>
      <c r="BA81" s="116">
        <f t="shared" si="98"/>
        <v>35202.777097895363</v>
      </c>
      <c r="BB81" s="116">
        <f t="shared" si="98"/>
        <v>35410.768443523099</v>
      </c>
      <c r="BM81" s="83" t="s">
        <v>201</v>
      </c>
      <c r="BN81" s="114">
        <f t="shared" si="78"/>
        <v>125531</v>
      </c>
      <c r="BO81" s="116">
        <f t="shared" si="96"/>
        <v>125531</v>
      </c>
      <c r="BP81" s="116">
        <f t="shared" si="96"/>
        <v>98952.608233598687</v>
      </c>
      <c r="BQ81" s="116">
        <f t="shared" si="96"/>
        <v>98952.608233598687</v>
      </c>
      <c r="BR81" s="116">
        <f t="shared" si="96"/>
        <v>98952.608233598687</v>
      </c>
      <c r="BS81" s="116">
        <f t="shared" si="96"/>
        <v>98952.608233598687</v>
      </c>
      <c r="BT81" s="116">
        <f t="shared" si="96"/>
        <v>98952.608233598687</v>
      </c>
      <c r="BU81" s="116">
        <f t="shared" si="96"/>
        <v>5589.6464885443238</v>
      </c>
      <c r="BV81" s="116">
        <f t="shared" si="96"/>
        <v>5589.6464885443238</v>
      </c>
      <c r="BW81" s="116">
        <f t="shared" si="96"/>
        <v>5589.6464885443238</v>
      </c>
      <c r="BX81" s="116">
        <f t="shared" si="96"/>
        <v>5589.6464885443238</v>
      </c>
      <c r="BY81" s="116">
        <f t="shared" si="96"/>
        <v>5589.6464885443238</v>
      </c>
      <c r="BZ81" s="116">
        <f t="shared" si="96"/>
        <v>5829.5620872218924</v>
      </c>
      <c r="CA81" s="116">
        <f t="shared" si="96"/>
        <v>5829.5620872218924</v>
      </c>
      <c r="CB81" s="116">
        <f t="shared" si="96"/>
        <v>5829.5620872218924</v>
      </c>
      <c r="CC81" s="116">
        <f t="shared" si="96"/>
        <v>5829.5620872218924</v>
      </c>
      <c r="CD81" s="116">
        <f t="shared" si="96"/>
        <v>5829.5620872218924</v>
      </c>
      <c r="CE81" s="116">
        <f t="shared" si="94"/>
        <v>5910.8238222578439</v>
      </c>
      <c r="CF81" s="116">
        <f t="shared" si="94"/>
        <v>5910.8238222578439</v>
      </c>
      <c r="CG81" s="116">
        <f t="shared" si="94"/>
        <v>5910.8238222578439</v>
      </c>
      <c r="CH81" s="116">
        <f t="shared" si="94"/>
        <v>5910.8238222578439</v>
      </c>
      <c r="CI81" s="116">
        <f t="shared" si="94"/>
        <v>5910.8238222578439</v>
      </c>
      <c r="CJ81" s="116">
        <f t="shared" si="94"/>
        <v>6118.8151678855747</v>
      </c>
      <c r="CK81" s="116">
        <f t="shared" si="94"/>
        <v>6118.8151678855747</v>
      </c>
      <c r="CL81" s="116">
        <f t="shared" si="94"/>
        <v>6118.8151678855747</v>
      </c>
      <c r="CM81" s="116">
        <f t="shared" si="94"/>
        <v>6118.8151678855747</v>
      </c>
      <c r="CN81" s="116">
        <f t="shared" si="94"/>
        <v>6118.8151678855747</v>
      </c>
      <c r="CO81" s="116">
        <f t="shared" si="94"/>
        <v>6381.9484051448426</v>
      </c>
      <c r="CR81" s="83" t="s">
        <v>201</v>
      </c>
      <c r="CS81" s="114">
        <f t="shared" si="81"/>
        <v>125531</v>
      </c>
      <c r="CT81" s="116">
        <f t="shared" si="97"/>
        <v>5877.9321676004347</v>
      </c>
      <c r="CU81" s="116">
        <f t="shared" si="97"/>
        <v>5877.9321676004347</v>
      </c>
      <c r="CV81" s="116">
        <f t="shared" si="97"/>
        <v>5877.9321676004347</v>
      </c>
      <c r="CW81" s="116">
        <f t="shared" si="97"/>
        <v>5877.9321676004347</v>
      </c>
      <c r="CX81" s="116">
        <f t="shared" si="97"/>
        <v>5877.9321676004347</v>
      </c>
      <c r="CY81" s="116">
        <f t="shared" si="97"/>
        <v>5877.9321676004347</v>
      </c>
      <c r="CZ81" s="116">
        <f t="shared" si="97"/>
        <v>5877.9321676004347</v>
      </c>
      <c r="DA81" s="116">
        <f t="shared" si="97"/>
        <v>5877.9321676004347</v>
      </c>
      <c r="DB81" s="116">
        <f t="shared" si="97"/>
        <v>5877.9321676004347</v>
      </c>
      <c r="DC81" s="116">
        <f t="shared" si="97"/>
        <v>5877.9321676004347</v>
      </c>
      <c r="DD81" s="116">
        <f t="shared" si="97"/>
        <v>5877.9321676004347</v>
      </c>
      <c r="DE81" s="116">
        <f t="shared" si="97"/>
        <v>6046.2600473177608</v>
      </c>
      <c r="DF81" s="116">
        <f t="shared" si="97"/>
        <v>6046.2600473177608</v>
      </c>
      <c r="DG81" s="116">
        <f t="shared" si="97"/>
        <v>6046.2600473177608</v>
      </c>
      <c r="DH81" s="116">
        <f t="shared" si="97"/>
        <v>6046.2600473177608</v>
      </c>
      <c r="DI81" s="116">
        <f t="shared" si="97"/>
        <v>6046.2600473177608</v>
      </c>
      <c r="DJ81" s="116">
        <f t="shared" si="95"/>
        <v>6360.6655697782853</v>
      </c>
      <c r="DK81" s="116">
        <f t="shared" si="95"/>
        <v>6360.6655697782853</v>
      </c>
      <c r="DL81" s="116">
        <f t="shared" si="95"/>
        <v>6360.6655697782853</v>
      </c>
      <c r="DM81" s="116">
        <f t="shared" si="95"/>
        <v>6360.6655697782853</v>
      </c>
      <c r="DN81" s="116">
        <f t="shared" si="95"/>
        <v>6360.6655697782853</v>
      </c>
      <c r="DO81" s="116">
        <f t="shared" si="95"/>
        <v>6568.6569154060162</v>
      </c>
      <c r="DP81" s="116">
        <f t="shared" si="95"/>
        <v>6568.6569154060162</v>
      </c>
      <c r="DQ81" s="116">
        <f t="shared" si="95"/>
        <v>6568.6569154060162</v>
      </c>
      <c r="DR81" s="116">
        <f t="shared" si="95"/>
        <v>6568.6569154060162</v>
      </c>
      <c r="DS81" s="116">
        <f t="shared" si="95"/>
        <v>6568.6569154060162</v>
      </c>
      <c r="DT81" s="116">
        <f t="shared" si="95"/>
        <v>6832.7575542728555</v>
      </c>
      <c r="DW81" s="83" t="s">
        <v>201</v>
      </c>
      <c r="DX81" s="114">
        <f t="shared" si="84"/>
        <v>165848.86799734877</v>
      </c>
      <c r="DY81" s="116">
        <f t="shared" si="85"/>
        <v>165848.86799734877</v>
      </c>
      <c r="DZ81" s="116">
        <f t="shared" si="85"/>
        <v>145097.55516588909</v>
      </c>
      <c r="EA81" s="116">
        <f t="shared" si="85"/>
        <v>145097.55516588909</v>
      </c>
      <c r="EB81" s="116">
        <f t="shared" si="85"/>
        <v>145097.55516588909</v>
      </c>
      <c r="EC81" s="116">
        <f t="shared" si="85"/>
        <v>145097.55516588909</v>
      </c>
      <c r="ED81" s="116">
        <f t="shared" si="85"/>
        <v>145097.55516588909</v>
      </c>
      <c r="EE81" s="116">
        <f t="shared" si="85"/>
        <v>90274.125708185558</v>
      </c>
      <c r="EF81" s="116">
        <f t="shared" si="85"/>
        <v>90274.125708185558</v>
      </c>
      <c r="EG81" s="116">
        <f t="shared" si="85"/>
        <v>90274.125708185558</v>
      </c>
      <c r="EH81" s="116">
        <f t="shared" si="85"/>
        <v>90274.125708185558</v>
      </c>
      <c r="EI81" s="116">
        <f t="shared" si="85"/>
        <v>90274.125708185558</v>
      </c>
      <c r="EJ81" s="116">
        <f t="shared" si="85"/>
        <v>80380.445091414105</v>
      </c>
      <c r="EK81" s="116">
        <f t="shared" si="85"/>
        <v>80380.445091414105</v>
      </c>
      <c r="EL81" s="116">
        <f t="shared" si="85"/>
        <v>80380.445091414105</v>
      </c>
      <c r="EM81" s="116">
        <f t="shared" si="85"/>
        <v>80380.445091414105</v>
      </c>
      <c r="EN81" s="116">
        <f t="shared" si="85"/>
        <v>80380.445091414105</v>
      </c>
      <c r="EO81" s="116">
        <f t="shared" si="91"/>
        <v>78104.676009090559</v>
      </c>
      <c r="EP81" s="116">
        <f t="shared" si="91"/>
        <v>78104.676009090559</v>
      </c>
      <c r="EQ81" s="116">
        <f t="shared" si="91"/>
        <v>78104.676009090559</v>
      </c>
      <c r="ER81" s="116">
        <f t="shared" si="91"/>
        <v>78104.676009090559</v>
      </c>
      <c r="ES81" s="116">
        <f t="shared" si="91"/>
        <v>78104.676009090559</v>
      </c>
      <c r="ET81" s="116">
        <f t="shared" si="91"/>
        <v>75340.489166947707</v>
      </c>
      <c r="EU81" s="116">
        <f t="shared" si="91"/>
        <v>75340.489166947707</v>
      </c>
      <c r="EV81" s="116">
        <f t="shared" si="91"/>
        <v>75340.489166947707</v>
      </c>
      <c r="EW81" s="116">
        <f t="shared" si="91"/>
        <v>75340.489166947707</v>
      </c>
      <c r="EX81" s="116">
        <f t="shared" si="91"/>
        <v>75340.489166947707</v>
      </c>
      <c r="EY81" s="116">
        <f t="shared" si="91"/>
        <v>70935.359203685322</v>
      </c>
      <c r="FB81" s="83" t="s">
        <v>201</v>
      </c>
      <c r="FC81" s="114">
        <f t="shared" si="86"/>
        <v>179284.45582201853</v>
      </c>
      <c r="FD81" s="116">
        <f t="shared" si="87"/>
        <v>179284.45582201853</v>
      </c>
      <c r="FE81" s="116">
        <f t="shared" si="87"/>
        <v>156306.56706390055</v>
      </c>
      <c r="FF81" s="116">
        <f t="shared" si="87"/>
        <v>156306.56706390055</v>
      </c>
      <c r="FG81" s="116">
        <f t="shared" si="87"/>
        <v>156306.56706390055</v>
      </c>
      <c r="FH81" s="116">
        <f t="shared" si="87"/>
        <v>156306.56706390055</v>
      </c>
      <c r="FI81" s="116">
        <f t="shared" si="87"/>
        <v>156306.56706390055</v>
      </c>
      <c r="FJ81" s="116">
        <f t="shared" si="87"/>
        <v>98865.358965438878</v>
      </c>
      <c r="FK81" s="116">
        <f t="shared" si="87"/>
        <v>98865.358965438878</v>
      </c>
      <c r="FL81" s="116">
        <f t="shared" si="87"/>
        <v>98865.358965438878</v>
      </c>
      <c r="FM81" s="116">
        <f t="shared" si="87"/>
        <v>98865.358965438878</v>
      </c>
      <c r="FN81" s="116">
        <f t="shared" si="87"/>
        <v>98865.358965438878</v>
      </c>
      <c r="FO81" s="116">
        <f t="shared" si="87"/>
        <v>87566.159615374432</v>
      </c>
      <c r="FP81" s="116">
        <f t="shared" si="87"/>
        <v>87566.159615374432</v>
      </c>
      <c r="FQ81" s="116">
        <f t="shared" si="87"/>
        <v>87566.159615374432</v>
      </c>
      <c r="FR81" s="116">
        <f t="shared" si="87"/>
        <v>87566.159615374432</v>
      </c>
      <c r="FS81" s="116">
        <f t="shared" si="87"/>
        <v>87566.159615374432</v>
      </c>
      <c r="FT81" s="116">
        <f t="shared" si="92"/>
        <v>85566.809217265181</v>
      </c>
      <c r="FU81" s="116">
        <f t="shared" si="92"/>
        <v>85566.809217265181</v>
      </c>
      <c r="FV81" s="116">
        <f t="shared" si="92"/>
        <v>85566.809217265181</v>
      </c>
      <c r="FW81" s="116">
        <f t="shared" si="92"/>
        <v>85566.809217265181</v>
      </c>
      <c r="FX81" s="116">
        <f t="shared" si="92"/>
        <v>85566.809217265181</v>
      </c>
      <c r="FY81" s="116">
        <f t="shared" si="92"/>
        <v>82797.937312678027</v>
      </c>
      <c r="FZ81" s="116">
        <f t="shared" si="92"/>
        <v>82797.937312678027</v>
      </c>
      <c r="GA81" s="116">
        <f t="shared" si="92"/>
        <v>82797.937312678027</v>
      </c>
      <c r="GB81" s="116">
        <f t="shared" si="92"/>
        <v>82797.937312678027</v>
      </c>
      <c r="GC81" s="116">
        <f t="shared" si="92"/>
        <v>82797.937312678027</v>
      </c>
      <c r="GD81" s="116">
        <f t="shared" si="92"/>
        <v>78242.885351197707</v>
      </c>
      <c r="GH81" s="123" t="s">
        <v>201</v>
      </c>
      <c r="GI81" s="103">
        <f t="shared" si="88"/>
        <v>315614.77446998714</v>
      </c>
      <c r="GJ81" s="103">
        <f t="shared" si="88"/>
        <v>315614.77446998714</v>
      </c>
      <c r="GK81" s="103">
        <f t="shared" si="88"/>
        <v>315614.77446998714</v>
      </c>
      <c r="GL81" s="103">
        <f t="shared" si="88"/>
        <v>315614.77446998714</v>
      </c>
      <c r="GM81" s="103">
        <f t="shared" si="88"/>
        <v>315614.77446998714</v>
      </c>
      <c r="GN81" s="103">
        <f t="shared" si="88"/>
        <v>315614.77446998714</v>
      </c>
      <c r="GO81" s="103">
        <f t="shared" si="88"/>
        <v>315614.77446998714</v>
      </c>
      <c r="GP81" s="103">
        <f t="shared" si="88"/>
        <v>315614.77446998714</v>
      </c>
      <c r="GQ81" s="103">
        <f t="shared" si="88"/>
        <v>315614.77446998714</v>
      </c>
      <c r="GR81" s="103">
        <f t="shared" si="88"/>
        <v>315614.77446998714</v>
      </c>
      <c r="GS81" s="103">
        <f t="shared" si="88"/>
        <v>315614.77446998714</v>
      </c>
      <c r="GT81" s="103">
        <f t="shared" si="88"/>
        <v>315614.77446998714</v>
      </c>
      <c r="GU81" s="103">
        <f t="shared" si="88"/>
        <v>315614.77446998714</v>
      </c>
      <c r="GV81" s="103">
        <f t="shared" si="88"/>
        <v>315614.77446998714</v>
      </c>
      <c r="GW81" s="103">
        <f t="shared" si="88"/>
        <v>315614.77446998714</v>
      </c>
      <c r="GX81" s="103">
        <f t="shared" si="88"/>
        <v>315614.77446998714</v>
      </c>
      <c r="GY81" s="103">
        <f t="shared" si="89"/>
        <v>315614.77446998714</v>
      </c>
      <c r="GZ81" s="103">
        <f t="shared" si="89"/>
        <v>315614.77446998714</v>
      </c>
      <c r="HA81" s="103">
        <f t="shared" si="89"/>
        <v>315614.77446998714</v>
      </c>
      <c r="HB81" s="103">
        <f t="shared" si="89"/>
        <v>315614.77446998714</v>
      </c>
      <c r="HC81" s="103">
        <f t="shared" si="89"/>
        <v>315614.77446998714</v>
      </c>
      <c r="HD81" s="103">
        <f t="shared" si="89"/>
        <v>315614.77446998714</v>
      </c>
      <c r="HE81" s="103">
        <f t="shared" si="89"/>
        <v>315614.77446998714</v>
      </c>
      <c r="HF81" s="103">
        <f t="shared" si="89"/>
        <v>315614.77446998714</v>
      </c>
      <c r="HG81" s="103">
        <f t="shared" si="89"/>
        <v>315614.77446998714</v>
      </c>
      <c r="HH81" s="103">
        <f t="shared" si="89"/>
        <v>315614.77446998714</v>
      </c>
      <c r="HI81" s="103">
        <f t="shared" si="89"/>
        <v>315614.77446998714</v>
      </c>
      <c r="HJ81" s="103">
        <f t="shared" si="89"/>
        <v>315614.77446998714</v>
      </c>
    </row>
    <row r="82" spans="26:218" x14ac:dyDescent="0.25">
      <c r="Z82" s="83" t="s">
        <v>204</v>
      </c>
      <c r="AA82" s="114">
        <f>'US Grid mix, emissions&amp;prices'!O79</f>
        <v>140072</v>
      </c>
      <c r="AB82" s="116">
        <f t="shared" si="69"/>
        <v>140072</v>
      </c>
      <c r="AC82" s="116">
        <f t="shared" si="98"/>
        <v>123031.62121130385</v>
      </c>
      <c r="AD82" s="116">
        <f t="shared" si="98"/>
        <v>123031.62121130385</v>
      </c>
      <c r="AE82" s="116">
        <f t="shared" si="98"/>
        <v>123031.62121130385</v>
      </c>
      <c r="AF82" s="116">
        <f t="shared" si="98"/>
        <v>123031.62121130385</v>
      </c>
      <c r="AG82" s="116">
        <f t="shared" si="98"/>
        <v>123031.62121130385</v>
      </c>
      <c r="AH82" s="116">
        <f t="shared" si="98"/>
        <v>46515.074267306823</v>
      </c>
      <c r="AI82" s="116">
        <f t="shared" si="98"/>
        <v>46515.074267306823</v>
      </c>
      <c r="AJ82" s="116">
        <f t="shared" si="98"/>
        <v>46515.074267306823</v>
      </c>
      <c r="AK82" s="116">
        <f t="shared" si="98"/>
        <v>46515.074267306823</v>
      </c>
      <c r="AL82" s="116">
        <f t="shared" si="98"/>
        <v>46515.074267306823</v>
      </c>
      <c r="AM82" s="116">
        <f t="shared" si="98"/>
        <v>39095.93557386272</v>
      </c>
      <c r="AN82" s="116">
        <f t="shared" si="98"/>
        <v>39095.93557386272</v>
      </c>
      <c r="AO82" s="116">
        <f t="shared" si="98"/>
        <v>39095.93557386272</v>
      </c>
      <c r="AP82" s="116">
        <f t="shared" si="98"/>
        <v>39095.93557386272</v>
      </c>
      <c r="AQ82" s="116">
        <f t="shared" si="98"/>
        <v>39095.93557386272</v>
      </c>
      <c r="AR82" s="116">
        <f t="shared" si="98"/>
        <v>39095.93557386272</v>
      </c>
      <c r="AS82" s="116">
        <f t="shared" si="98"/>
        <v>39095.93557386272</v>
      </c>
      <c r="AT82" s="116">
        <f t="shared" si="98"/>
        <v>39095.93557386272</v>
      </c>
      <c r="AU82" s="116">
        <f t="shared" si="98"/>
        <v>39095.93557386272</v>
      </c>
      <c r="AV82" s="116">
        <f t="shared" si="98"/>
        <v>39095.93557386272</v>
      </c>
      <c r="AW82" s="116">
        <f t="shared" si="98"/>
        <v>39280.523485484853</v>
      </c>
      <c r="AX82" s="116">
        <f t="shared" si="98"/>
        <v>39280.523485484853</v>
      </c>
      <c r="AY82" s="116">
        <f t="shared" si="98"/>
        <v>39280.523485484853</v>
      </c>
      <c r="AZ82" s="116">
        <f t="shared" si="98"/>
        <v>39280.523485484853</v>
      </c>
      <c r="BA82" s="116">
        <f t="shared" si="98"/>
        <v>39280.523485484853</v>
      </c>
      <c r="BB82" s="116">
        <f t="shared" si="98"/>
        <v>39512.60770185187</v>
      </c>
      <c r="BM82" s="83" t="s">
        <v>204</v>
      </c>
      <c r="BN82" s="114">
        <f t="shared" si="78"/>
        <v>140072</v>
      </c>
      <c r="BO82" s="116">
        <f t="shared" si="96"/>
        <v>140072</v>
      </c>
      <c r="BP82" s="116">
        <f t="shared" si="96"/>
        <v>110414.87553271014</v>
      </c>
      <c r="BQ82" s="116">
        <f t="shared" si="96"/>
        <v>110414.87553271014</v>
      </c>
      <c r="BR82" s="116">
        <f t="shared" si="96"/>
        <v>110414.87553271014</v>
      </c>
      <c r="BS82" s="116">
        <f t="shared" si="96"/>
        <v>110414.87553271014</v>
      </c>
      <c r="BT82" s="116">
        <f t="shared" si="96"/>
        <v>110414.87553271014</v>
      </c>
      <c r="BU82" s="116">
        <f t="shared" si="96"/>
        <v>6237.128382179546</v>
      </c>
      <c r="BV82" s="116">
        <f t="shared" si="96"/>
        <v>6237.128382179546</v>
      </c>
      <c r="BW82" s="116">
        <f t="shared" si="96"/>
        <v>6237.128382179546</v>
      </c>
      <c r="BX82" s="116">
        <f t="shared" si="96"/>
        <v>6237.128382179546</v>
      </c>
      <c r="BY82" s="116">
        <f t="shared" si="96"/>
        <v>6237.128382179546</v>
      </c>
      <c r="BZ82" s="116">
        <f t="shared" si="96"/>
        <v>6504.8348271052164</v>
      </c>
      <c r="CA82" s="116">
        <f t="shared" si="96"/>
        <v>6504.8348271052164</v>
      </c>
      <c r="CB82" s="116">
        <f t="shared" si="96"/>
        <v>6504.8348271052164</v>
      </c>
      <c r="CC82" s="116">
        <f t="shared" si="96"/>
        <v>6504.8348271052164</v>
      </c>
      <c r="CD82" s="116">
        <f t="shared" si="96"/>
        <v>6504.8348271052164</v>
      </c>
      <c r="CE82" s="116">
        <f t="shared" si="94"/>
        <v>6595.5095907090736</v>
      </c>
      <c r="CF82" s="116">
        <f t="shared" si="94"/>
        <v>6595.5095907090736</v>
      </c>
      <c r="CG82" s="116">
        <f t="shared" si="94"/>
        <v>6595.5095907090736</v>
      </c>
      <c r="CH82" s="116">
        <f t="shared" si="94"/>
        <v>6595.5095907090736</v>
      </c>
      <c r="CI82" s="116">
        <f t="shared" si="94"/>
        <v>6595.5095907090736</v>
      </c>
      <c r="CJ82" s="116">
        <f t="shared" si="94"/>
        <v>6827.5938070760867</v>
      </c>
      <c r="CK82" s="116">
        <f t="shared" si="94"/>
        <v>6827.5938070760867</v>
      </c>
      <c r="CL82" s="116">
        <f t="shared" si="94"/>
        <v>6827.5938070760867</v>
      </c>
      <c r="CM82" s="116">
        <f t="shared" si="94"/>
        <v>6827.5938070760867</v>
      </c>
      <c r="CN82" s="116">
        <f t="shared" si="94"/>
        <v>6827.5938070760867</v>
      </c>
      <c r="CO82" s="116">
        <f t="shared" si="94"/>
        <v>7121.2073273171445</v>
      </c>
      <c r="CR82" s="83" t="s">
        <v>204</v>
      </c>
      <c r="CS82" s="114">
        <f t="shared" si="81"/>
        <v>140072</v>
      </c>
      <c r="CT82" s="116">
        <f t="shared" si="97"/>
        <v>6558.8079006789412</v>
      </c>
      <c r="CU82" s="116">
        <f t="shared" si="97"/>
        <v>6558.8079006789412</v>
      </c>
      <c r="CV82" s="116">
        <f t="shared" si="97"/>
        <v>6558.8079006789412</v>
      </c>
      <c r="CW82" s="116">
        <f t="shared" si="97"/>
        <v>6558.8079006789412</v>
      </c>
      <c r="CX82" s="116">
        <f t="shared" si="97"/>
        <v>6558.8079006789412</v>
      </c>
      <c r="CY82" s="116">
        <f t="shared" si="97"/>
        <v>6558.8079006789412</v>
      </c>
      <c r="CZ82" s="116">
        <f t="shared" si="97"/>
        <v>6558.8079006789412</v>
      </c>
      <c r="DA82" s="116">
        <f t="shared" si="97"/>
        <v>6558.8079006789412</v>
      </c>
      <c r="DB82" s="116">
        <f t="shared" si="97"/>
        <v>6558.8079006789412</v>
      </c>
      <c r="DC82" s="116">
        <f t="shared" si="97"/>
        <v>6558.8079006789412</v>
      </c>
      <c r="DD82" s="116">
        <f t="shared" si="97"/>
        <v>6558.8079006789412</v>
      </c>
      <c r="DE82" s="116">
        <f t="shared" si="97"/>
        <v>6746.6341967155004</v>
      </c>
      <c r="DF82" s="116">
        <f t="shared" si="97"/>
        <v>6746.6341967155004</v>
      </c>
      <c r="DG82" s="116">
        <f t="shared" si="97"/>
        <v>6746.6341967155004</v>
      </c>
      <c r="DH82" s="116">
        <f t="shared" si="97"/>
        <v>6746.6341967155004</v>
      </c>
      <c r="DI82" s="116">
        <f t="shared" si="97"/>
        <v>6746.6341967155004</v>
      </c>
      <c r="DJ82" s="116">
        <f t="shared" si="95"/>
        <v>7097.4591749447063</v>
      </c>
      <c r="DK82" s="116">
        <f t="shared" si="95"/>
        <v>7097.4591749447063</v>
      </c>
      <c r="DL82" s="116">
        <f t="shared" si="95"/>
        <v>7097.4591749447063</v>
      </c>
      <c r="DM82" s="116">
        <f t="shared" si="95"/>
        <v>7097.4591749447063</v>
      </c>
      <c r="DN82" s="116">
        <f t="shared" si="95"/>
        <v>7097.4591749447063</v>
      </c>
      <c r="DO82" s="116">
        <f t="shared" si="95"/>
        <v>7329.5433913117195</v>
      </c>
      <c r="DP82" s="116">
        <f t="shared" si="95"/>
        <v>7329.5433913117195</v>
      </c>
      <c r="DQ82" s="116">
        <f t="shared" si="95"/>
        <v>7329.5433913117195</v>
      </c>
      <c r="DR82" s="116">
        <f t="shared" si="95"/>
        <v>7329.5433913117195</v>
      </c>
      <c r="DS82" s="116">
        <f t="shared" si="95"/>
        <v>7329.5433913117195</v>
      </c>
      <c r="DT82" s="116">
        <f t="shared" si="95"/>
        <v>7624.2363730242523</v>
      </c>
      <c r="DW82" s="83" t="s">
        <v>204</v>
      </c>
      <c r="DX82" s="114">
        <f t="shared" si="84"/>
        <v>185060.12569106149</v>
      </c>
      <c r="DY82" s="116">
        <f t="shared" si="85"/>
        <v>185060.12569106149</v>
      </c>
      <c r="DZ82" s="116">
        <f t="shared" si="85"/>
        <v>161905.06526034541</v>
      </c>
      <c r="EA82" s="116">
        <f t="shared" si="85"/>
        <v>161905.06526034541</v>
      </c>
      <c r="EB82" s="116">
        <f t="shared" si="85"/>
        <v>161905.06526034541</v>
      </c>
      <c r="EC82" s="116">
        <f t="shared" si="85"/>
        <v>161905.06526034541</v>
      </c>
      <c r="ED82" s="116">
        <f t="shared" si="85"/>
        <v>161905.06526034541</v>
      </c>
      <c r="EE82" s="116">
        <f t="shared" si="85"/>
        <v>100731.11292188358</v>
      </c>
      <c r="EF82" s="116">
        <f t="shared" si="85"/>
        <v>100731.11292188358</v>
      </c>
      <c r="EG82" s="116">
        <f t="shared" si="85"/>
        <v>100731.11292188358</v>
      </c>
      <c r="EH82" s="116">
        <f t="shared" si="85"/>
        <v>100731.11292188358</v>
      </c>
      <c r="EI82" s="116">
        <f t="shared" si="85"/>
        <v>100731.11292188358</v>
      </c>
      <c r="EJ82" s="116">
        <f t="shared" si="85"/>
        <v>89691.388619899124</v>
      </c>
      <c r="EK82" s="116">
        <f t="shared" si="85"/>
        <v>89691.388619899124</v>
      </c>
      <c r="EL82" s="116">
        <f t="shared" si="85"/>
        <v>89691.388619899124</v>
      </c>
      <c r="EM82" s="116">
        <f t="shared" si="85"/>
        <v>89691.388619899124</v>
      </c>
      <c r="EN82" s="116">
        <f t="shared" si="85"/>
        <v>89691.388619899124</v>
      </c>
      <c r="EO82" s="116">
        <f t="shared" si="91"/>
        <v>87152.003711794969</v>
      </c>
      <c r="EP82" s="116">
        <f t="shared" si="91"/>
        <v>87152.003711794969</v>
      </c>
      <c r="EQ82" s="116">
        <f t="shared" si="91"/>
        <v>87152.003711794969</v>
      </c>
      <c r="ER82" s="116">
        <f t="shared" si="91"/>
        <v>87152.003711794969</v>
      </c>
      <c r="ES82" s="116">
        <f t="shared" si="91"/>
        <v>87152.003711794969</v>
      </c>
      <c r="ET82" s="116">
        <f t="shared" si="91"/>
        <v>84067.624718935564</v>
      </c>
      <c r="EU82" s="116">
        <f t="shared" si="91"/>
        <v>84067.624718935564</v>
      </c>
      <c r="EV82" s="116">
        <f t="shared" si="91"/>
        <v>84067.624718935564</v>
      </c>
      <c r="EW82" s="116">
        <f t="shared" si="91"/>
        <v>84067.624718935564</v>
      </c>
      <c r="EX82" s="116">
        <f t="shared" si="91"/>
        <v>84067.624718935564</v>
      </c>
      <c r="EY82" s="116">
        <f t="shared" si="91"/>
        <v>79152.222434128707</v>
      </c>
      <c r="FB82" s="83" t="s">
        <v>204</v>
      </c>
      <c r="FC82" s="114">
        <f t="shared" si="86"/>
        <v>200052.03731270984</v>
      </c>
      <c r="FD82" s="116">
        <f t="shared" si="87"/>
        <v>200052.03731270984</v>
      </c>
      <c r="FE82" s="116">
        <f t="shared" si="87"/>
        <v>174412.48346444051</v>
      </c>
      <c r="FF82" s="116">
        <f t="shared" si="87"/>
        <v>174412.48346444051</v>
      </c>
      <c r="FG82" s="116">
        <f t="shared" si="87"/>
        <v>174412.48346444051</v>
      </c>
      <c r="FH82" s="116">
        <f t="shared" si="87"/>
        <v>174412.48346444051</v>
      </c>
      <c r="FI82" s="116">
        <f t="shared" si="87"/>
        <v>174412.48346444051</v>
      </c>
      <c r="FJ82" s="116">
        <f t="shared" si="87"/>
        <v>110317.51966452075</v>
      </c>
      <c r="FK82" s="116">
        <f t="shared" si="87"/>
        <v>110317.51966452075</v>
      </c>
      <c r="FL82" s="116">
        <f t="shared" si="87"/>
        <v>110317.51966452075</v>
      </c>
      <c r="FM82" s="116">
        <f t="shared" si="87"/>
        <v>110317.51966452075</v>
      </c>
      <c r="FN82" s="116">
        <f t="shared" si="87"/>
        <v>110317.51966452075</v>
      </c>
      <c r="FO82" s="116">
        <f t="shared" si="87"/>
        <v>97709.467061082338</v>
      </c>
      <c r="FP82" s="116">
        <f t="shared" si="87"/>
        <v>97709.467061082338</v>
      </c>
      <c r="FQ82" s="116">
        <f t="shared" si="87"/>
        <v>97709.467061082338</v>
      </c>
      <c r="FR82" s="116">
        <f t="shared" si="87"/>
        <v>97709.467061082338</v>
      </c>
      <c r="FS82" s="116">
        <f t="shared" si="87"/>
        <v>97709.467061082338</v>
      </c>
      <c r="FT82" s="116">
        <f t="shared" si="92"/>
        <v>95478.520052264124</v>
      </c>
      <c r="FU82" s="116">
        <f t="shared" si="92"/>
        <v>95478.520052264124</v>
      </c>
      <c r="FV82" s="116">
        <f t="shared" si="92"/>
        <v>95478.520052264124</v>
      </c>
      <c r="FW82" s="116">
        <f t="shared" si="92"/>
        <v>95478.520052264124</v>
      </c>
      <c r="FX82" s="116">
        <f t="shared" si="92"/>
        <v>95478.520052264124</v>
      </c>
      <c r="FY82" s="116">
        <f t="shared" si="92"/>
        <v>92388.913298399886</v>
      </c>
      <c r="FZ82" s="116">
        <f t="shared" si="92"/>
        <v>92388.913298399886</v>
      </c>
      <c r="GA82" s="116">
        <f t="shared" si="92"/>
        <v>92388.913298399886</v>
      </c>
      <c r="GB82" s="116">
        <f t="shared" si="92"/>
        <v>92388.913298399886</v>
      </c>
      <c r="GC82" s="116">
        <f t="shared" si="92"/>
        <v>92388.913298399886</v>
      </c>
      <c r="GD82" s="116">
        <f t="shared" si="92"/>
        <v>87306.222661437932</v>
      </c>
      <c r="GH82" s="123" t="s">
        <v>204</v>
      </c>
      <c r="GI82" s="103">
        <f t="shared" si="88"/>
        <v>352174.30506854912</v>
      </c>
      <c r="GJ82" s="103">
        <f t="shared" si="88"/>
        <v>352174.30506854912</v>
      </c>
      <c r="GK82" s="103">
        <f t="shared" si="88"/>
        <v>352174.30506854912</v>
      </c>
      <c r="GL82" s="103">
        <f t="shared" si="88"/>
        <v>352174.30506854912</v>
      </c>
      <c r="GM82" s="103">
        <f t="shared" si="88"/>
        <v>352174.30506854912</v>
      </c>
      <c r="GN82" s="103">
        <f t="shared" si="88"/>
        <v>352174.30506854912</v>
      </c>
      <c r="GO82" s="103">
        <f t="shared" si="88"/>
        <v>352174.30506854912</v>
      </c>
      <c r="GP82" s="103">
        <f t="shared" si="88"/>
        <v>352174.30506854912</v>
      </c>
      <c r="GQ82" s="103">
        <f t="shared" si="88"/>
        <v>352174.30506854912</v>
      </c>
      <c r="GR82" s="103">
        <f t="shared" si="88"/>
        <v>352174.30506854912</v>
      </c>
      <c r="GS82" s="103">
        <f t="shared" si="88"/>
        <v>352174.30506854912</v>
      </c>
      <c r="GT82" s="103">
        <f t="shared" si="88"/>
        <v>352174.30506854912</v>
      </c>
      <c r="GU82" s="103">
        <f t="shared" si="88"/>
        <v>352174.30506854912</v>
      </c>
      <c r="GV82" s="103">
        <f t="shared" si="88"/>
        <v>352174.30506854912</v>
      </c>
      <c r="GW82" s="103">
        <f t="shared" si="88"/>
        <v>352174.30506854912</v>
      </c>
      <c r="GX82" s="103">
        <f t="shared" si="88"/>
        <v>352174.30506854912</v>
      </c>
      <c r="GY82" s="103">
        <f t="shared" si="89"/>
        <v>352174.30506854912</v>
      </c>
      <c r="GZ82" s="103">
        <f t="shared" si="89"/>
        <v>352174.30506854912</v>
      </c>
      <c r="HA82" s="103">
        <f t="shared" si="89"/>
        <v>352174.30506854912</v>
      </c>
      <c r="HB82" s="103">
        <f t="shared" si="89"/>
        <v>352174.30506854912</v>
      </c>
      <c r="HC82" s="103">
        <f t="shared" si="89"/>
        <v>352174.30506854912</v>
      </c>
      <c r="HD82" s="103">
        <f t="shared" si="89"/>
        <v>352174.30506854912</v>
      </c>
      <c r="HE82" s="103">
        <f t="shared" si="89"/>
        <v>352174.30506854912</v>
      </c>
      <c r="HF82" s="103">
        <f t="shared" si="89"/>
        <v>352174.30506854912</v>
      </c>
      <c r="HG82" s="103">
        <f t="shared" si="89"/>
        <v>352174.30506854912</v>
      </c>
      <c r="HH82" s="103">
        <f t="shared" si="89"/>
        <v>352174.30506854912</v>
      </c>
      <c r="HI82" s="103">
        <f t="shared" si="89"/>
        <v>352174.30506854912</v>
      </c>
      <c r="HJ82" s="103">
        <f t="shared" si="89"/>
        <v>352174.30506854912</v>
      </c>
    </row>
    <row r="83" spans="26:218" x14ac:dyDescent="0.25">
      <c r="Z83" s="83" t="s">
        <v>205</v>
      </c>
      <c r="AA83" s="114">
        <f>'US Grid mix, emissions&amp;prices'!O80</f>
        <v>114494</v>
      </c>
      <c r="AB83" s="116">
        <f t="shared" si="69"/>
        <v>114494</v>
      </c>
      <c r="AC83" s="116">
        <f t="shared" si="98"/>
        <v>100565.29812501445</v>
      </c>
      <c r="AD83" s="116">
        <f t="shared" si="98"/>
        <v>100565.29812501445</v>
      </c>
      <c r="AE83" s="116">
        <f t="shared" si="98"/>
        <v>100565.29812501445</v>
      </c>
      <c r="AF83" s="116">
        <f t="shared" si="98"/>
        <v>100565.29812501445</v>
      </c>
      <c r="AG83" s="116">
        <f t="shared" si="98"/>
        <v>100565.29812501445</v>
      </c>
      <c r="AH83" s="116">
        <f t="shared" si="98"/>
        <v>38021.138508488686</v>
      </c>
      <c r="AI83" s="116">
        <f t="shared" si="98"/>
        <v>38021.138508488686</v>
      </c>
      <c r="AJ83" s="116">
        <f t="shared" si="98"/>
        <v>38021.138508488686</v>
      </c>
      <c r="AK83" s="116">
        <f t="shared" si="98"/>
        <v>38021.138508488686</v>
      </c>
      <c r="AL83" s="116">
        <f t="shared" si="98"/>
        <v>38021.138508488686</v>
      </c>
      <c r="AM83" s="116">
        <f t="shared" si="98"/>
        <v>31956.779710390641</v>
      </c>
      <c r="AN83" s="116">
        <f t="shared" si="98"/>
        <v>31956.779710390641</v>
      </c>
      <c r="AO83" s="116">
        <f t="shared" si="98"/>
        <v>31956.779710390641</v>
      </c>
      <c r="AP83" s="116">
        <f t="shared" si="98"/>
        <v>31956.779710390641</v>
      </c>
      <c r="AQ83" s="116">
        <f t="shared" si="98"/>
        <v>31956.779710390641</v>
      </c>
      <c r="AR83" s="116">
        <f t="shared" si="98"/>
        <v>31956.779710390641</v>
      </c>
      <c r="AS83" s="116">
        <f t="shared" si="98"/>
        <v>31956.779710390641</v>
      </c>
      <c r="AT83" s="116">
        <f t="shared" si="98"/>
        <v>31956.779710390641</v>
      </c>
      <c r="AU83" s="116">
        <f t="shared" si="98"/>
        <v>31956.779710390641</v>
      </c>
      <c r="AV83" s="116">
        <f t="shared" si="98"/>
        <v>31956.779710390641</v>
      </c>
      <c r="AW83" s="116">
        <f t="shared" si="98"/>
        <v>32107.660745524463</v>
      </c>
      <c r="AX83" s="116">
        <f t="shared" si="98"/>
        <v>32107.660745524463</v>
      </c>
      <c r="AY83" s="116">
        <f t="shared" si="98"/>
        <v>32107.660745524463</v>
      </c>
      <c r="AZ83" s="116">
        <f t="shared" si="98"/>
        <v>32107.660745524463</v>
      </c>
      <c r="BA83" s="116">
        <f t="shared" si="98"/>
        <v>32107.660745524463</v>
      </c>
      <c r="BB83" s="116">
        <f t="shared" si="98"/>
        <v>32297.36497098512</v>
      </c>
      <c r="BM83" s="83" t="s">
        <v>205</v>
      </c>
      <c r="BN83" s="114">
        <f t="shared" si="78"/>
        <v>114494</v>
      </c>
      <c r="BO83" s="116">
        <f t="shared" si="96"/>
        <v>114494</v>
      </c>
      <c r="BP83" s="116">
        <f t="shared" si="96"/>
        <v>90252.447021832442</v>
      </c>
      <c r="BQ83" s="116">
        <f t="shared" si="96"/>
        <v>90252.447021832442</v>
      </c>
      <c r="BR83" s="116">
        <f t="shared" si="96"/>
        <v>90252.447021832442</v>
      </c>
      <c r="BS83" s="116">
        <f t="shared" si="96"/>
        <v>90252.447021832442</v>
      </c>
      <c r="BT83" s="116">
        <f t="shared" si="96"/>
        <v>90252.447021832442</v>
      </c>
      <c r="BU83" s="116">
        <f t="shared" si="96"/>
        <v>5098.1907661007544</v>
      </c>
      <c r="BV83" s="116">
        <f t="shared" si="96"/>
        <v>5098.1907661007544</v>
      </c>
      <c r="BW83" s="116">
        <f t="shared" si="96"/>
        <v>5098.1907661007544</v>
      </c>
      <c r="BX83" s="116">
        <f t="shared" si="96"/>
        <v>5098.1907661007544</v>
      </c>
      <c r="BY83" s="116">
        <f t="shared" si="96"/>
        <v>5098.1907661007544</v>
      </c>
      <c r="BZ83" s="116">
        <f t="shared" si="96"/>
        <v>5317.012384306533</v>
      </c>
      <c r="CA83" s="116">
        <f t="shared" si="96"/>
        <v>5317.012384306533</v>
      </c>
      <c r="CB83" s="116">
        <f t="shared" si="96"/>
        <v>5317.012384306533</v>
      </c>
      <c r="CC83" s="116">
        <f t="shared" si="96"/>
        <v>5317.012384306533</v>
      </c>
      <c r="CD83" s="116">
        <f t="shared" si="96"/>
        <v>5317.012384306533</v>
      </c>
      <c r="CE83" s="116">
        <f t="shared" si="94"/>
        <v>5391.1293840213939</v>
      </c>
      <c r="CF83" s="116">
        <f t="shared" si="94"/>
        <v>5391.1293840213939</v>
      </c>
      <c r="CG83" s="116">
        <f t="shared" si="94"/>
        <v>5391.1293840213939</v>
      </c>
      <c r="CH83" s="116">
        <f t="shared" si="94"/>
        <v>5391.1293840213939</v>
      </c>
      <c r="CI83" s="116">
        <f t="shared" si="94"/>
        <v>5391.1293840213939</v>
      </c>
      <c r="CJ83" s="116">
        <f t="shared" si="94"/>
        <v>5580.8336094820479</v>
      </c>
      <c r="CK83" s="116">
        <f t="shared" si="94"/>
        <v>5580.8336094820479</v>
      </c>
      <c r="CL83" s="116">
        <f t="shared" si="94"/>
        <v>5580.8336094820479</v>
      </c>
      <c r="CM83" s="116">
        <f t="shared" si="94"/>
        <v>5580.8336094820479</v>
      </c>
      <c r="CN83" s="116">
        <f t="shared" si="94"/>
        <v>5580.8336094820479</v>
      </c>
      <c r="CO83" s="116">
        <f t="shared" si="94"/>
        <v>5820.8315133206434</v>
      </c>
      <c r="CR83" s="83" t="s">
        <v>205</v>
      </c>
      <c r="CS83" s="114">
        <f t="shared" si="81"/>
        <v>114494</v>
      </c>
      <c r="CT83" s="116">
        <f t="shared" si="97"/>
        <v>5361.1296460415688</v>
      </c>
      <c r="CU83" s="116">
        <f t="shared" si="97"/>
        <v>5361.1296460415688</v>
      </c>
      <c r="CV83" s="116">
        <f t="shared" si="97"/>
        <v>5361.1296460415688</v>
      </c>
      <c r="CW83" s="116">
        <f t="shared" si="97"/>
        <v>5361.1296460415688</v>
      </c>
      <c r="CX83" s="116">
        <f t="shared" si="97"/>
        <v>5361.1296460415688</v>
      </c>
      <c r="CY83" s="116">
        <f t="shared" si="97"/>
        <v>5361.1296460415688</v>
      </c>
      <c r="CZ83" s="116">
        <f t="shared" si="97"/>
        <v>5361.1296460415688</v>
      </c>
      <c r="DA83" s="116">
        <f t="shared" si="97"/>
        <v>5361.1296460415688</v>
      </c>
      <c r="DB83" s="116">
        <f t="shared" si="97"/>
        <v>5361.1296460415688</v>
      </c>
      <c r="DC83" s="116">
        <f t="shared" si="97"/>
        <v>5361.1296460415688</v>
      </c>
      <c r="DD83" s="116">
        <f t="shared" si="97"/>
        <v>5361.1296460415688</v>
      </c>
      <c r="DE83" s="116">
        <f t="shared" si="97"/>
        <v>5514.6577168794938</v>
      </c>
      <c r="DF83" s="116">
        <f t="shared" si="97"/>
        <v>5514.6577168794938</v>
      </c>
      <c r="DG83" s="116">
        <f t="shared" si="97"/>
        <v>5514.6577168794938</v>
      </c>
      <c r="DH83" s="116">
        <f t="shared" si="97"/>
        <v>5514.6577168794938</v>
      </c>
      <c r="DI83" s="116">
        <f t="shared" si="97"/>
        <v>5514.6577168794938</v>
      </c>
      <c r="DJ83" s="116">
        <f t="shared" si="95"/>
        <v>5801.4199181572276</v>
      </c>
      <c r="DK83" s="116">
        <f t="shared" si="95"/>
        <v>5801.4199181572276</v>
      </c>
      <c r="DL83" s="116">
        <f t="shared" si="95"/>
        <v>5801.4199181572276</v>
      </c>
      <c r="DM83" s="116">
        <f t="shared" si="95"/>
        <v>5801.4199181572276</v>
      </c>
      <c r="DN83" s="116">
        <f t="shared" si="95"/>
        <v>5801.4199181572276</v>
      </c>
      <c r="DO83" s="116">
        <f t="shared" si="95"/>
        <v>5991.1241436178825</v>
      </c>
      <c r="DP83" s="116">
        <f t="shared" si="95"/>
        <v>5991.1241436178825</v>
      </c>
      <c r="DQ83" s="116">
        <f t="shared" si="95"/>
        <v>5991.1241436178825</v>
      </c>
      <c r="DR83" s="116">
        <f t="shared" si="95"/>
        <v>5991.1241436178825</v>
      </c>
      <c r="DS83" s="116">
        <f t="shared" si="95"/>
        <v>5991.1241436178825</v>
      </c>
      <c r="DT83" s="116">
        <f t="shared" si="95"/>
        <v>6232.0043926911785</v>
      </c>
      <c r="DW83" s="83" t="s">
        <v>205</v>
      </c>
      <c r="DX83" s="114">
        <f t="shared" si="84"/>
        <v>151267.02003878285</v>
      </c>
      <c r="DY83" s="116">
        <f t="shared" si="85"/>
        <v>151267.02003878285</v>
      </c>
      <c r="DZ83" s="116">
        <f t="shared" si="85"/>
        <v>132340.21461761082</v>
      </c>
      <c r="EA83" s="116">
        <f t="shared" si="85"/>
        <v>132340.21461761082</v>
      </c>
      <c r="EB83" s="116">
        <f t="shared" si="85"/>
        <v>132340.21461761082</v>
      </c>
      <c r="EC83" s="116">
        <f t="shared" si="85"/>
        <v>132340.21461761082</v>
      </c>
      <c r="ED83" s="116">
        <f t="shared" si="85"/>
        <v>132340.21461761082</v>
      </c>
      <c r="EE83" s="116">
        <f t="shared" si="85"/>
        <v>82336.998421369994</v>
      </c>
      <c r="EF83" s="116">
        <f t="shared" si="85"/>
        <v>82336.998421369994</v>
      </c>
      <c r="EG83" s="116">
        <f t="shared" si="85"/>
        <v>82336.998421369994</v>
      </c>
      <c r="EH83" s="116">
        <f t="shared" si="85"/>
        <v>82336.998421369994</v>
      </c>
      <c r="EI83" s="116">
        <f t="shared" si="85"/>
        <v>82336.998421369994</v>
      </c>
      <c r="EJ83" s="116">
        <f t="shared" si="85"/>
        <v>73313.194990053176</v>
      </c>
      <c r="EK83" s="116">
        <f t="shared" si="85"/>
        <v>73313.194990053176</v>
      </c>
      <c r="EL83" s="116">
        <f t="shared" si="85"/>
        <v>73313.194990053176</v>
      </c>
      <c r="EM83" s="116">
        <f t="shared" si="85"/>
        <v>73313.194990053176</v>
      </c>
      <c r="EN83" s="116">
        <f t="shared" si="85"/>
        <v>73313.194990053176</v>
      </c>
      <c r="EO83" s="116">
        <f t="shared" si="91"/>
        <v>71237.517226699492</v>
      </c>
      <c r="EP83" s="116">
        <f t="shared" si="91"/>
        <v>71237.517226699492</v>
      </c>
      <c r="EQ83" s="116">
        <f t="shared" si="91"/>
        <v>71237.517226699492</v>
      </c>
      <c r="ER83" s="116">
        <f t="shared" si="91"/>
        <v>71237.517226699492</v>
      </c>
      <c r="ES83" s="116">
        <f t="shared" si="91"/>
        <v>71237.517226699492</v>
      </c>
      <c r="ET83" s="116">
        <f t="shared" si="91"/>
        <v>68716.364616552979</v>
      </c>
      <c r="EU83" s="116">
        <f t="shared" si="91"/>
        <v>68716.364616552979</v>
      </c>
      <c r="EV83" s="116">
        <f t="shared" si="91"/>
        <v>68716.364616552979</v>
      </c>
      <c r="EW83" s="116">
        <f t="shared" si="91"/>
        <v>68716.364616552979</v>
      </c>
      <c r="EX83" s="116">
        <f t="shared" si="91"/>
        <v>68716.364616552979</v>
      </c>
      <c r="EY83" s="116">
        <f t="shared" si="91"/>
        <v>64698.544715383025</v>
      </c>
      <c r="FB83" s="83" t="s">
        <v>205</v>
      </c>
      <c r="FC83" s="114">
        <f t="shared" si="86"/>
        <v>163521.31732310099</v>
      </c>
      <c r="FD83" s="116">
        <f t="shared" si="87"/>
        <v>163521.31732310099</v>
      </c>
      <c r="FE83" s="116">
        <f t="shared" si="87"/>
        <v>142563.70210875585</v>
      </c>
      <c r="FF83" s="116">
        <f t="shared" si="87"/>
        <v>142563.70210875585</v>
      </c>
      <c r="FG83" s="116">
        <f t="shared" si="87"/>
        <v>142563.70210875585</v>
      </c>
      <c r="FH83" s="116">
        <f t="shared" si="87"/>
        <v>142563.70210875585</v>
      </c>
      <c r="FI83" s="116">
        <f t="shared" si="87"/>
        <v>142563.70210875585</v>
      </c>
      <c r="FJ83" s="116">
        <f t="shared" si="87"/>
        <v>90172.868927905933</v>
      </c>
      <c r="FK83" s="116">
        <f t="shared" si="87"/>
        <v>90172.868927905933</v>
      </c>
      <c r="FL83" s="116">
        <f t="shared" si="87"/>
        <v>90172.868927905933</v>
      </c>
      <c r="FM83" s="116">
        <f t="shared" si="87"/>
        <v>90172.868927905933</v>
      </c>
      <c r="FN83" s="116">
        <f t="shared" si="87"/>
        <v>90172.868927905933</v>
      </c>
      <c r="FO83" s="116">
        <f t="shared" si="87"/>
        <v>79867.123491429855</v>
      </c>
      <c r="FP83" s="116">
        <f t="shared" si="87"/>
        <v>79867.123491429855</v>
      </c>
      <c r="FQ83" s="116">
        <f t="shared" si="87"/>
        <v>79867.123491429855</v>
      </c>
      <c r="FR83" s="116">
        <f t="shared" si="87"/>
        <v>79867.123491429855</v>
      </c>
      <c r="FS83" s="116">
        <f t="shared" si="87"/>
        <v>79867.123491429855</v>
      </c>
      <c r="FT83" s="116">
        <f t="shared" si="92"/>
        <v>78043.560989090809</v>
      </c>
      <c r="FU83" s="116">
        <f t="shared" si="92"/>
        <v>78043.560989090809</v>
      </c>
      <c r="FV83" s="116">
        <f t="shared" si="92"/>
        <v>78043.560989090809</v>
      </c>
      <c r="FW83" s="116">
        <f t="shared" si="92"/>
        <v>78043.560989090809</v>
      </c>
      <c r="FX83" s="116">
        <f t="shared" si="92"/>
        <v>78043.560989090809</v>
      </c>
      <c r="FY83" s="116">
        <f t="shared" si="92"/>
        <v>75518.135238927105</v>
      </c>
      <c r="FZ83" s="116">
        <f t="shared" si="92"/>
        <v>75518.135238927105</v>
      </c>
      <c r="GA83" s="116">
        <f t="shared" si="92"/>
        <v>75518.135238927105</v>
      </c>
      <c r="GB83" s="116">
        <f t="shared" si="92"/>
        <v>75518.135238927105</v>
      </c>
      <c r="GC83" s="116">
        <f t="shared" si="92"/>
        <v>75518.135238927105</v>
      </c>
      <c r="GD83" s="116">
        <f t="shared" si="92"/>
        <v>71363.574857206826</v>
      </c>
      <c r="GH83" s="123" t="s">
        <v>205</v>
      </c>
      <c r="GI83" s="103">
        <f t="shared" si="88"/>
        <v>287865.13282110955</v>
      </c>
      <c r="GJ83" s="103">
        <f t="shared" si="88"/>
        <v>287865.13282110955</v>
      </c>
      <c r="GK83" s="103">
        <f t="shared" si="88"/>
        <v>287865.13282110955</v>
      </c>
      <c r="GL83" s="103">
        <f t="shared" si="88"/>
        <v>287865.13282110955</v>
      </c>
      <c r="GM83" s="103">
        <f t="shared" si="88"/>
        <v>287865.13282110955</v>
      </c>
      <c r="GN83" s="103">
        <f t="shared" si="88"/>
        <v>287865.13282110955</v>
      </c>
      <c r="GO83" s="103">
        <f t="shared" si="88"/>
        <v>287865.13282110955</v>
      </c>
      <c r="GP83" s="103">
        <f t="shared" si="88"/>
        <v>287865.13282110955</v>
      </c>
      <c r="GQ83" s="103">
        <f t="shared" si="88"/>
        <v>287865.13282110955</v>
      </c>
      <c r="GR83" s="103">
        <f t="shared" si="88"/>
        <v>287865.13282110955</v>
      </c>
      <c r="GS83" s="103">
        <f t="shared" si="88"/>
        <v>287865.13282110955</v>
      </c>
      <c r="GT83" s="103">
        <f t="shared" si="88"/>
        <v>287865.13282110955</v>
      </c>
      <c r="GU83" s="103">
        <f t="shared" si="88"/>
        <v>287865.13282110955</v>
      </c>
      <c r="GV83" s="103">
        <f t="shared" si="88"/>
        <v>287865.13282110955</v>
      </c>
      <c r="GW83" s="103">
        <f t="shared" si="88"/>
        <v>287865.13282110955</v>
      </c>
      <c r="GX83" s="103">
        <f t="shared" si="88"/>
        <v>287865.13282110955</v>
      </c>
      <c r="GY83" s="103">
        <f t="shared" si="89"/>
        <v>287865.13282110955</v>
      </c>
      <c r="GZ83" s="103">
        <f t="shared" si="89"/>
        <v>287865.13282110955</v>
      </c>
      <c r="HA83" s="103">
        <f t="shared" si="89"/>
        <v>287865.13282110955</v>
      </c>
      <c r="HB83" s="103">
        <f t="shared" si="89"/>
        <v>287865.13282110955</v>
      </c>
      <c r="HC83" s="103">
        <f t="shared" si="89"/>
        <v>287865.13282110955</v>
      </c>
      <c r="HD83" s="103">
        <f t="shared" si="89"/>
        <v>287865.13282110955</v>
      </c>
      <c r="HE83" s="103">
        <f t="shared" si="89"/>
        <v>287865.13282110955</v>
      </c>
      <c r="HF83" s="103">
        <f t="shared" si="89"/>
        <v>287865.13282110955</v>
      </c>
      <c r="HG83" s="103">
        <f t="shared" si="89"/>
        <v>287865.13282110955</v>
      </c>
      <c r="HH83" s="103">
        <f t="shared" si="89"/>
        <v>287865.13282110955</v>
      </c>
      <c r="HI83" s="103">
        <f t="shared" si="89"/>
        <v>287865.13282110955</v>
      </c>
      <c r="HJ83" s="103">
        <f t="shared" si="89"/>
        <v>287865.13282110955</v>
      </c>
    </row>
    <row r="84" spans="26:218" x14ac:dyDescent="0.25">
      <c r="Z84" s="83" t="s">
        <v>207</v>
      </c>
      <c r="AA84" s="114">
        <f>'US Grid mix, emissions&amp;prices'!O81</f>
        <v>140882</v>
      </c>
      <c r="AB84" s="116">
        <f t="shared" si="69"/>
        <v>140882</v>
      </c>
      <c r="AC84" s="116">
        <f t="shared" si="98"/>
        <v>123743.08112607023</v>
      </c>
      <c r="AD84" s="116">
        <f t="shared" si="98"/>
        <v>123743.08112607023</v>
      </c>
      <c r="AE84" s="116">
        <f t="shared" si="98"/>
        <v>123743.08112607023</v>
      </c>
      <c r="AF84" s="116">
        <f t="shared" si="98"/>
        <v>123743.08112607023</v>
      </c>
      <c r="AG84" s="116">
        <f t="shared" si="98"/>
        <v>123743.08112607023</v>
      </c>
      <c r="AH84" s="116">
        <f t="shared" si="98"/>
        <v>46784.058862061793</v>
      </c>
      <c r="AI84" s="116">
        <f t="shared" si="98"/>
        <v>46784.058862061793</v>
      </c>
      <c r="AJ84" s="116">
        <f t="shared" si="98"/>
        <v>46784.058862061793</v>
      </c>
      <c r="AK84" s="116">
        <f t="shared" si="98"/>
        <v>46784.058862061793</v>
      </c>
      <c r="AL84" s="116">
        <f t="shared" si="98"/>
        <v>46784.058862061793</v>
      </c>
      <c r="AM84" s="116">
        <f t="shared" si="98"/>
        <v>39322.017216266831</v>
      </c>
      <c r="AN84" s="116">
        <f t="shared" si="98"/>
        <v>39322.017216266831</v>
      </c>
      <c r="AO84" s="116">
        <f t="shared" si="98"/>
        <v>39322.017216266831</v>
      </c>
      <c r="AP84" s="116">
        <f t="shared" si="98"/>
        <v>39322.017216266831</v>
      </c>
      <c r="AQ84" s="116">
        <f t="shared" si="98"/>
        <v>39322.017216266831</v>
      </c>
      <c r="AR84" s="116">
        <f t="shared" si="98"/>
        <v>39322.017216266831</v>
      </c>
      <c r="AS84" s="116">
        <f t="shared" si="98"/>
        <v>39322.017216266831</v>
      </c>
      <c r="AT84" s="116">
        <f t="shared" si="98"/>
        <v>39322.017216266831</v>
      </c>
      <c r="AU84" s="116">
        <f t="shared" si="98"/>
        <v>39322.017216266831</v>
      </c>
      <c r="AV84" s="116">
        <f t="shared" si="98"/>
        <v>39322.017216266831</v>
      </c>
      <c r="AW84" s="116">
        <f t="shared" si="98"/>
        <v>39507.672551845317</v>
      </c>
      <c r="AX84" s="116">
        <f t="shared" si="98"/>
        <v>39507.672551845317</v>
      </c>
      <c r="AY84" s="116">
        <f t="shared" si="98"/>
        <v>39507.672551845317</v>
      </c>
      <c r="AZ84" s="116">
        <f t="shared" si="98"/>
        <v>39507.672551845317</v>
      </c>
      <c r="BA84" s="116">
        <f t="shared" si="98"/>
        <v>39507.672551845317</v>
      </c>
      <c r="BB84" s="116">
        <f t="shared" si="98"/>
        <v>39741.098850964467</v>
      </c>
      <c r="BM84" s="83" t="s">
        <v>207</v>
      </c>
      <c r="BN84" s="114">
        <f t="shared" si="78"/>
        <v>140882</v>
      </c>
      <c r="BO84" s="116">
        <f t="shared" si="96"/>
        <v>140882</v>
      </c>
      <c r="BP84" s="116">
        <f t="shared" si="96"/>
        <v>111053.37608372315</v>
      </c>
      <c r="BQ84" s="116">
        <f t="shared" si="96"/>
        <v>111053.37608372315</v>
      </c>
      <c r="BR84" s="116">
        <f t="shared" si="96"/>
        <v>111053.37608372315</v>
      </c>
      <c r="BS84" s="116">
        <f t="shared" si="96"/>
        <v>111053.37608372315</v>
      </c>
      <c r="BT84" s="116">
        <f t="shared" si="96"/>
        <v>111053.37608372315</v>
      </c>
      <c r="BU84" s="116">
        <f t="shared" si="96"/>
        <v>6273.1960758625473</v>
      </c>
      <c r="BV84" s="116">
        <f t="shared" si="96"/>
        <v>6273.1960758625473</v>
      </c>
      <c r="BW84" s="116">
        <f t="shared" si="96"/>
        <v>6273.1960758625473</v>
      </c>
      <c r="BX84" s="116">
        <f t="shared" si="96"/>
        <v>6273.1960758625473</v>
      </c>
      <c r="BY84" s="116">
        <f t="shared" si="96"/>
        <v>6273.1960758625473</v>
      </c>
      <c r="BZ84" s="116">
        <f t="shared" si="96"/>
        <v>6542.4505976371947</v>
      </c>
      <c r="CA84" s="116">
        <f t="shared" si="96"/>
        <v>6542.4505976371947</v>
      </c>
      <c r="CB84" s="116">
        <f t="shared" si="96"/>
        <v>6542.4505976371947</v>
      </c>
      <c r="CC84" s="116">
        <f t="shared" si="96"/>
        <v>6542.4505976371947</v>
      </c>
      <c r="CD84" s="116">
        <f t="shared" si="96"/>
        <v>6542.4505976371947</v>
      </c>
      <c r="CE84" s="116">
        <f t="shared" si="94"/>
        <v>6633.6497098511882</v>
      </c>
      <c r="CF84" s="116">
        <f t="shared" si="94"/>
        <v>6633.6497098511882</v>
      </c>
      <c r="CG84" s="116">
        <f t="shared" si="94"/>
        <v>6633.6497098511882</v>
      </c>
      <c r="CH84" s="116">
        <f t="shared" si="94"/>
        <v>6633.6497098511882</v>
      </c>
      <c r="CI84" s="116">
        <f t="shared" si="94"/>
        <v>6633.6497098511882</v>
      </c>
      <c r="CJ84" s="116">
        <f t="shared" si="94"/>
        <v>6867.0760089703381</v>
      </c>
      <c r="CK84" s="116">
        <f t="shared" si="94"/>
        <v>6867.0760089703381</v>
      </c>
      <c r="CL84" s="116">
        <f t="shared" si="94"/>
        <v>6867.0760089703381</v>
      </c>
      <c r="CM84" s="116">
        <f t="shared" si="94"/>
        <v>6867.0760089703381</v>
      </c>
      <c r="CN84" s="116">
        <f t="shared" si="94"/>
        <v>6867.0760089703381</v>
      </c>
      <c r="CO84" s="116">
        <f t="shared" si="94"/>
        <v>7162.3874199489828</v>
      </c>
      <c r="CR84" s="83" t="s">
        <v>207</v>
      </c>
      <c r="CS84" s="114">
        <f t="shared" si="81"/>
        <v>140882</v>
      </c>
      <c r="CT84" s="116">
        <f t="shared" si="97"/>
        <v>6596.7357834788581</v>
      </c>
      <c r="CU84" s="116">
        <f t="shared" si="97"/>
        <v>6596.7357834788581</v>
      </c>
      <c r="CV84" s="116">
        <f t="shared" si="97"/>
        <v>6596.7357834788581</v>
      </c>
      <c r="CW84" s="116">
        <f t="shared" si="97"/>
        <v>6596.7357834788581</v>
      </c>
      <c r="CX84" s="116">
        <f t="shared" si="97"/>
        <v>6596.7357834788581</v>
      </c>
      <c r="CY84" s="116">
        <f t="shared" si="97"/>
        <v>6596.7357834788581</v>
      </c>
      <c r="CZ84" s="116">
        <f t="shared" si="97"/>
        <v>6596.7357834788581</v>
      </c>
      <c r="DA84" s="116">
        <f t="shared" si="97"/>
        <v>6596.7357834788581</v>
      </c>
      <c r="DB84" s="116">
        <f t="shared" si="97"/>
        <v>6596.7357834788581</v>
      </c>
      <c r="DC84" s="116">
        <f t="shared" si="97"/>
        <v>6596.7357834788581</v>
      </c>
      <c r="DD84" s="116">
        <f t="shared" si="97"/>
        <v>6596.7357834788581</v>
      </c>
      <c r="DE84" s="116">
        <f t="shared" si="97"/>
        <v>6785.6482302078439</v>
      </c>
      <c r="DF84" s="116">
        <f t="shared" si="97"/>
        <v>6785.6482302078439</v>
      </c>
      <c r="DG84" s="116">
        <f t="shared" si="97"/>
        <v>6785.6482302078439</v>
      </c>
      <c r="DH84" s="116">
        <f t="shared" si="97"/>
        <v>6785.6482302078439</v>
      </c>
      <c r="DI84" s="116">
        <f t="shared" si="97"/>
        <v>6785.6482302078439</v>
      </c>
      <c r="DJ84" s="116">
        <f t="shared" si="95"/>
        <v>7138.5019381786515</v>
      </c>
      <c r="DK84" s="116">
        <f t="shared" si="95"/>
        <v>7138.5019381786515</v>
      </c>
      <c r="DL84" s="116">
        <f t="shared" si="95"/>
        <v>7138.5019381786515</v>
      </c>
      <c r="DM84" s="116">
        <f t="shared" si="95"/>
        <v>7138.5019381786515</v>
      </c>
      <c r="DN84" s="116">
        <f t="shared" si="95"/>
        <v>7138.5019381786515</v>
      </c>
      <c r="DO84" s="116">
        <f t="shared" si="95"/>
        <v>7371.9282372978014</v>
      </c>
      <c r="DP84" s="116">
        <f t="shared" si="95"/>
        <v>7371.9282372978014</v>
      </c>
      <c r="DQ84" s="116">
        <f t="shared" si="95"/>
        <v>7371.9282372978014</v>
      </c>
      <c r="DR84" s="116">
        <f t="shared" si="95"/>
        <v>7371.9282372978014</v>
      </c>
      <c r="DS84" s="116">
        <f t="shared" si="95"/>
        <v>7371.9282372978014</v>
      </c>
      <c r="DT84" s="116">
        <f t="shared" si="95"/>
        <v>7668.3253519932805</v>
      </c>
      <c r="DW84" s="83" t="s">
        <v>207</v>
      </c>
      <c r="DX84" s="114">
        <f t="shared" si="84"/>
        <v>186130.28033874094</v>
      </c>
      <c r="DY84" s="116">
        <f t="shared" si="85"/>
        <v>186130.28033874094</v>
      </c>
      <c r="DZ84" s="116">
        <f t="shared" si="85"/>
        <v>162841.32020680775</v>
      </c>
      <c r="EA84" s="116">
        <f t="shared" si="85"/>
        <v>162841.32020680775</v>
      </c>
      <c r="EB84" s="116">
        <f t="shared" si="85"/>
        <v>162841.32020680775</v>
      </c>
      <c r="EC84" s="116">
        <f t="shared" si="85"/>
        <v>162841.32020680775</v>
      </c>
      <c r="ED84" s="116">
        <f t="shared" si="85"/>
        <v>162841.32020680775</v>
      </c>
      <c r="EE84" s="116">
        <f t="shared" si="85"/>
        <v>101313.61478854304</v>
      </c>
      <c r="EF84" s="116">
        <f t="shared" si="85"/>
        <v>101313.61478854304</v>
      </c>
      <c r="EG84" s="116">
        <f t="shared" si="85"/>
        <v>101313.61478854304</v>
      </c>
      <c r="EH84" s="116">
        <f t="shared" si="85"/>
        <v>101313.61478854304</v>
      </c>
      <c r="EI84" s="116">
        <f t="shared" si="85"/>
        <v>101313.61478854304</v>
      </c>
      <c r="EJ84" s="116">
        <f t="shared" si="85"/>
        <v>90210.050627881559</v>
      </c>
      <c r="EK84" s="116">
        <f t="shared" si="85"/>
        <v>90210.050627881559</v>
      </c>
      <c r="EL84" s="116">
        <f t="shared" si="85"/>
        <v>90210.050627881559</v>
      </c>
      <c r="EM84" s="116">
        <f t="shared" si="85"/>
        <v>90210.050627881559</v>
      </c>
      <c r="EN84" s="116">
        <f t="shared" si="85"/>
        <v>90210.050627881559</v>
      </c>
      <c r="EO84" s="116">
        <f t="shared" si="91"/>
        <v>87655.981116319439</v>
      </c>
      <c r="EP84" s="116">
        <f t="shared" si="91"/>
        <v>87655.981116319439</v>
      </c>
      <c r="EQ84" s="116">
        <f t="shared" si="91"/>
        <v>87655.981116319439</v>
      </c>
      <c r="ER84" s="116">
        <f t="shared" si="91"/>
        <v>87655.981116319439</v>
      </c>
      <c r="ES84" s="116">
        <f t="shared" si="91"/>
        <v>87655.981116319439</v>
      </c>
      <c r="ET84" s="116">
        <f t="shared" si="91"/>
        <v>84553.765960742181</v>
      </c>
      <c r="EU84" s="116">
        <f t="shared" si="91"/>
        <v>84553.765960742181</v>
      </c>
      <c r="EV84" s="116">
        <f t="shared" si="91"/>
        <v>84553.765960742181</v>
      </c>
      <c r="EW84" s="116">
        <f t="shared" si="91"/>
        <v>84553.765960742181</v>
      </c>
      <c r="EX84" s="116">
        <f t="shared" si="91"/>
        <v>84553.765960742181</v>
      </c>
      <c r="EY84" s="116">
        <f t="shared" si="91"/>
        <v>79609.939181027745</v>
      </c>
      <c r="FB84" s="83" t="s">
        <v>207</v>
      </c>
      <c r="FC84" s="114">
        <f t="shared" si="86"/>
        <v>201208.88629197259</v>
      </c>
      <c r="FD84" s="116">
        <f t="shared" si="87"/>
        <v>201208.88629197259</v>
      </c>
      <c r="FE84" s="116">
        <f t="shared" si="87"/>
        <v>175421.06556226301</v>
      </c>
      <c r="FF84" s="116">
        <f t="shared" si="87"/>
        <v>175421.06556226301</v>
      </c>
      <c r="FG84" s="116">
        <f t="shared" si="87"/>
        <v>175421.06556226301</v>
      </c>
      <c r="FH84" s="116">
        <f t="shared" si="87"/>
        <v>175421.06556226301</v>
      </c>
      <c r="FI84" s="116">
        <f t="shared" si="87"/>
        <v>175421.06556226301</v>
      </c>
      <c r="FJ84" s="116">
        <f t="shared" si="87"/>
        <v>110955.45723183085</v>
      </c>
      <c r="FK84" s="116">
        <f t="shared" si="87"/>
        <v>110955.45723183085</v>
      </c>
      <c r="FL84" s="116">
        <f t="shared" si="87"/>
        <v>110955.45723183085</v>
      </c>
      <c r="FM84" s="116">
        <f t="shared" si="87"/>
        <v>110955.45723183085</v>
      </c>
      <c r="FN84" s="116">
        <f t="shared" si="87"/>
        <v>110955.45723183085</v>
      </c>
      <c r="FO84" s="116">
        <f t="shared" si="87"/>
        <v>98274.495534435162</v>
      </c>
      <c r="FP84" s="116">
        <f t="shared" si="87"/>
        <v>98274.495534435162</v>
      </c>
      <c r="FQ84" s="116">
        <f t="shared" si="87"/>
        <v>98274.495534435162</v>
      </c>
      <c r="FR84" s="116">
        <f t="shared" si="87"/>
        <v>98274.495534435162</v>
      </c>
      <c r="FS84" s="116">
        <f t="shared" si="87"/>
        <v>98274.495534435162</v>
      </c>
      <c r="FT84" s="116">
        <f t="shared" si="92"/>
        <v>96030.647538430756</v>
      </c>
      <c r="FU84" s="116">
        <f t="shared" si="92"/>
        <v>96030.647538430756</v>
      </c>
      <c r="FV84" s="116">
        <f t="shared" si="92"/>
        <v>96030.647538430756</v>
      </c>
      <c r="FW84" s="116">
        <f t="shared" si="92"/>
        <v>96030.647538430756</v>
      </c>
      <c r="FX84" s="116">
        <f t="shared" si="92"/>
        <v>96030.647538430756</v>
      </c>
      <c r="FY84" s="116">
        <f t="shared" si="92"/>
        <v>92923.174391064385</v>
      </c>
      <c r="FZ84" s="116">
        <f t="shared" si="92"/>
        <v>92923.174391064385</v>
      </c>
      <c r="GA84" s="116">
        <f t="shared" si="92"/>
        <v>92923.174391064385</v>
      </c>
      <c r="GB84" s="116">
        <f t="shared" si="92"/>
        <v>92923.174391064385</v>
      </c>
      <c r="GC84" s="116">
        <f t="shared" si="92"/>
        <v>92923.174391064385</v>
      </c>
      <c r="GD84" s="116">
        <f t="shared" si="92"/>
        <v>87811.091874098303</v>
      </c>
      <c r="GH84" s="123" t="s">
        <v>207</v>
      </c>
      <c r="GI84" s="103">
        <f t="shared" si="88"/>
        <v>354210.83761684946</v>
      </c>
      <c r="GJ84" s="103">
        <f t="shared" si="88"/>
        <v>354210.83761684946</v>
      </c>
      <c r="GK84" s="103">
        <f t="shared" si="88"/>
        <v>354210.83761684946</v>
      </c>
      <c r="GL84" s="103">
        <f t="shared" si="88"/>
        <v>354210.83761684946</v>
      </c>
      <c r="GM84" s="103">
        <f t="shared" si="88"/>
        <v>354210.83761684946</v>
      </c>
      <c r="GN84" s="103">
        <f t="shared" si="88"/>
        <v>354210.83761684946</v>
      </c>
      <c r="GO84" s="103">
        <f t="shared" si="88"/>
        <v>354210.83761684946</v>
      </c>
      <c r="GP84" s="103">
        <f t="shared" si="88"/>
        <v>354210.83761684946</v>
      </c>
      <c r="GQ84" s="103">
        <f t="shared" si="88"/>
        <v>354210.83761684946</v>
      </c>
      <c r="GR84" s="103">
        <f t="shared" si="88"/>
        <v>354210.83761684946</v>
      </c>
      <c r="GS84" s="103">
        <f t="shared" si="88"/>
        <v>354210.83761684946</v>
      </c>
      <c r="GT84" s="103">
        <f t="shared" si="88"/>
        <v>354210.83761684946</v>
      </c>
      <c r="GU84" s="103">
        <f t="shared" si="88"/>
        <v>354210.83761684946</v>
      </c>
      <c r="GV84" s="103">
        <f t="shared" si="88"/>
        <v>354210.83761684946</v>
      </c>
      <c r="GW84" s="103">
        <f t="shared" si="88"/>
        <v>354210.83761684946</v>
      </c>
      <c r="GX84" s="103">
        <f t="shared" si="88"/>
        <v>354210.83761684946</v>
      </c>
      <c r="GY84" s="103">
        <f t="shared" si="89"/>
        <v>354210.83761684946</v>
      </c>
      <c r="GZ84" s="103">
        <f t="shared" si="89"/>
        <v>354210.83761684946</v>
      </c>
      <c r="HA84" s="103">
        <f t="shared" si="89"/>
        <v>354210.83761684946</v>
      </c>
      <c r="HB84" s="103">
        <f t="shared" si="89"/>
        <v>354210.83761684946</v>
      </c>
      <c r="HC84" s="103">
        <f t="shared" si="89"/>
        <v>354210.83761684946</v>
      </c>
      <c r="HD84" s="103">
        <f t="shared" si="89"/>
        <v>354210.83761684946</v>
      </c>
      <c r="HE84" s="103">
        <f t="shared" si="89"/>
        <v>354210.83761684946</v>
      </c>
      <c r="HF84" s="103">
        <f t="shared" si="89"/>
        <v>354210.83761684946</v>
      </c>
      <c r="HG84" s="103">
        <f t="shared" si="89"/>
        <v>354210.83761684946</v>
      </c>
      <c r="HH84" s="103">
        <f t="shared" si="89"/>
        <v>354210.83761684946</v>
      </c>
      <c r="HI84" s="103">
        <f t="shared" si="89"/>
        <v>354210.83761684946</v>
      </c>
      <c r="HJ84" s="103">
        <f t="shared" si="89"/>
        <v>354210.83761684946</v>
      </c>
    </row>
    <row r="85" spans="26:218" x14ac:dyDescent="0.25">
      <c r="Z85" s="83" t="s">
        <v>206</v>
      </c>
      <c r="AA85" s="114">
        <f>'US Grid mix, emissions&amp;prices'!O82</f>
        <v>216893</v>
      </c>
      <c r="AB85" s="116">
        <f t="shared" si="69"/>
        <v>216893</v>
      </c>
      <c r="AC85" s="116">
        <f t="shared" si="98"/>
        <v>190507.00653509144</v>
      </c>
      <c r="AD85" s="116">
        <f t="shared" si="98"/>
        <v>190507.00653509144</v>
      </c>
      <c r="AE85" s="116">
        <f t="shared" si="98"/>
        <v>190507.00653509144</v>
      </c>
      <c r="AF85" s="116">
        <f t="shared" si="98"/>
        <v>190507.00653509144</v>
      </c>
      <c r="AG85" s="116">
        <f t="shared" si="98"/>
        <v>190507.00653509144</v>
      </c>
      <c r="AH85" s="116">
        <f t="shared" si="98"/>
        <v>72025.772481716383</v>
      </c>
      <c r="AI85" s="116">
        <f t="shared" si="98"/>
        <v>72025.772481716383</v>
      </c>
      <c r="AJ85" s="116">
        <f t="shared" si="98"/>
        <v>72025.772481716383</v>
      </c>
      <c r="AK85" s="116">
        <f t="shared" si="98"/>
        <v>72025.772481716383</v>
      </c>
      <c r="AL85" s="116">
        <f t="shared" si="98"/>
        <v>72025.772481716383</v>
      </c>
      <c r="AM85" s="116">
        <f t="shared" si="98"/>
        <v>60537.686007351978</v>
      </c>
      <c r="AN85" s="116">
        <f t="shared" si="98"/>
        <v>60537.686007351978</v>
      </c>
      <c r="AO85" s="116">
        <f t="shared" si="98"/>
        <v>60537.686007351978</v>
      </c>
      <c r="AP85" s="116">
        <f t="shared" si="98"/>
        <v>60537.686007351978</v>
      </c>
      <c r="AQ85" s="116">
        <f t="shared" si="98"/>
        <v>60537.686007351978</v>
      </c>
      <c r="AR85" s="116">
        <f t="shared" si="98"/>
        <v>60537.686007351978</v>
      </c>
      <c r="AS85" s="116">
        <f t="shared" si="98"/>
        <v>60537.686007351978</v>
      </c>
      <c r="AT85" s="116">
        <f t="shared" si="98"/>
        <v>60537.686007351978</v>
      </c>
      <c r="AU85" s="116">
        <f t="shared" si="98"/>
        <v>60537.686007351978</v>
      </c>
      <c r="AV85" s="116">
        <f t="shared" si="98"/>
        <v>60537.686007351978</v>
      </c>
      <c r="AW85" s="116">
        <f t="shared" si="98"/>
        <v>60823.50919767881</v>
      </c>
      <c r="AX85" s="116">
        <f t="shared" si="98"/>
        <v>60823.50919767881</v>
      </c>
      <c r="AY85" s="116">
        <f t="shared" si="98"/>
        <v>60823.50919767881</v>
      </c>
      <c r="AZ85" s="116">
        <f t="shared" si="98"/>
        <v>60823.50919767881</v>
      </c>
      <c r="BA85" s="116">
        <f t="shared" si="98"/>
        <v>60823.50919767881</v>
      </c>
      <c r="BB85" s="116">
        <f t="shared" si="98"/>
        <v>61182.87753639384</v>
      </c>
      <c r="BM85" s="83" t="s">
        <v>206</v>
      </c>
      <c r="BN85" s="114">
        <f t="shared" si="78"/>
        <v>216893</v>
      </c>
      <c r="BO85" s="116">
        <f t="shared" si="96"/>
        <v>216893</v>
      </c>
      <c r="BP85" s="116">
        <f t="shared" si="96"/>
        <v>170970.7407541557</v>
      </c>
      <c r="BQ85" s="116">
        <f t="shared" si="96"/>
        <v>170970.7407541557</v>
      </c>
      <c r="BR85" s="116">
        <f t="shared" si="96"/>
        <v>170970.7407541557</v>
      </c>
      <c r="BS85" s="116">
        <f t="shared" si="96"/>
        <v>170970.7407541557</v>
      </c>
      <c r="BT85" s="116">
        <f t="shared" si="96"/>
        <v>170970.7407541557</v>
      </c>
      <c r="BU85" s="116">
        <f t="shared" si="96"/>
        <v>9657.8151678855738</v>
      </c>
      <c r="BV85" s="116">
        <f t="shared" si="96"/>
        <v>9657.8151678855738</v>
      </c>
      <c r="BW85" s="116">
        <f t="shared" si="96"/>
        <v>9657.8151678855738</v>
      </c>
      <c r="BX85" s="116">
        <f t="shared" si="96"/>
        <v>9657.8151678855738</v>
      </c>
      <c r="BY85" s="116">
        <f t="shared" si="96"/>
        <v>9657.8151678855738</v>
      </c>
      <c r="BZ85" s="116">
        <f t="shared" si="96"/>
        <v>10072.342367891741</v>
      </c>
      <c r="CA85" s="116">
        <f t="shared" si="96"/>
        <v>10072.342367891741</v>
      </c>
      <c r="CB85" s="116">
        <f t="shared" si="96"/>
        <v>10072.342367891741</v>
      </c>
      <c r="CC85" s="116">
        <f t="shared" si="96"/>
        <v>10072.342367891741</v>
      </c>
      <c r="CD85" s="116">
        <f t="shared" si="96"/>
        <v>10072.342367891741</v>
      </c>
      <c r="CE85" s="116">
        <f t="shared" si="94"/>
        <v>10212.746742087376</v>
      </c>
      <c r="CF85" s="116">
        <f t="shared" si="94"/>
        <v>10212.746742087376</v>
      </c>
      <c r="CG85" s="116">
        <f t="shared" si="94"/>
        <v>10212.746742087376</v>
      </c>
      <c r="CH85" s="116">
        <f t="shared" si="94"/>
        <v>10212.746742087376</v>
      </c>
      <c r="CI85" s="116">
        <f t="shared" si="94"/>
        <v>10212.746742087376</v>
      </c>
      <c r="CJ85" s="116">
        <f t="shared" si="94"/>
        <v>10572.115080802399</v>
      </c>
      <c r="CK85" s="116">
        <f t="shared" si="94"/>
        <v>10572.115080802399</v>
      </c>
      <c r="CL85" s="116">
        <f t="shared" si="94"/>
        <v>10572.115080802399</v>
      </c>
      <c r="CM85" s="116">
        <f t="shared" si="94"/>
        <v>10572.115080802399</v>
      </c>
      <c r="CN85" s="116">
        <f t="shared" si="94"/>
        <v>10572.115080802399</v>
      </c>
      <c r="CO85" s="116">
        <f t="shared" si="94"/>
        <v>11026.757816293031</v>
      </c>
      <c r="CR85" s="83" t="s">
        <v>206</v>
      </c>
      <c r="CS85" s="114">
        <f t="shared" si="81"/>
        <v>216893</v>
      </c>
      <c r="CT85" s="116">
        <f t="shared" si="97"/>
        <v>10155.916400151047</v>
      </c>
      <c r="CU85" s="116">
        <f t="shared" si="97"/>
        <v>10155.916400151047</v>
      </c>
      <c r="CV85" s="116">
        <f t="shared" si="97"/>
        <v>10155.916400151047</v>
      </c>
      <c r="CW85" s="116">
        <f t="shared" si="97"/>
        <v>10155.916400151047</v>
      </c>
      <c r="CX85" s="116">
        <f t="shared" si="97"/>
        <v>10155.916400151047</v>
      </c>
      <c r="CY85" s="116">
        <f t="shared" si="97"/>
        <v>10155.916400151047</v>
      </c>
      <c r="CZ85" s="116">
        <f t="shared" si="97"/>
        <v>10155.916400151047</v>
      </c>
      <c r="DA85" s="116">
        <f t="shared" si="97"/>
        <v>10155.916400151047</v>
      </c>
      <c r="DB85" s="116">
        <f t="shared" si="97"/>
        <v>10155.916400151047</v>
      </c>
      <c r="DC85" s="116">
        <f t="shared" si="97"/>
        <v>10155.916400151047</v>
      </c>
      <c r="DD85" s="116">
        <f t="shared" si="97"/>
        <v>10155.916400151047</v>
      </c>
      <c r="DE85" s="116">
        <f t="shared" si="97"/>
        <v>10446.754032413437</v>
      </c>
      <c r="DF85" s="116">
        <f t="shared" si="97"/>
        <v>10446.754032413437</v>
      </c>
      <c r="DG85" s="116">
        <f t="shared" si="97"/>
        <v>10446.754032413437</v>
      </c>
      <c r="DH85" s="116">
        <f t="shared" si="97"/>
        <v>10446.754032413437</v>
      </c>
      <c r="DI85" s="116">
        <f t="shared" si="97"/>
        <v>10446.754032413437</v>
      </c>
      <c r="DJ85" s="116">
        <f t="shared" si="95"/>
        <v>10989.985242098935</v>
      </c>
      <c r="DK85" s="116">
        <f t="shared" si="95"/>
        <v>10989.985242098935</v>
      </c>
      <c r="DL85" s="116">
        <f t="shared" si="95"/>
        <v>10989.985242098935</v>
      </c>
      <c r="DM85" s="116">
        <f t="shared" si="95"/>
        <v>10989.985242098935</v>
      </c>
      <c r="DN85" s="116">
        <f t="shared" si="95"/>
        <v>10989.985242098935</v>
      </c>
      <c r="DO85" s="116">
        <f t="shared" si="95"/>
        <v>11349.353580813959</v>
      </c>
      <c r="DP85" s="116">
        <f t="shared" si="95"/>
        <v>11349.353580813959</v>
      </c>
      <c r="DQ85" s="116">
        <f t="shared" si="95"/>
        <v>11349.353580813959</v>
      </c>
      <c r="DR85" s="116">
        <f t="shared" si="95"/>
        <v>11349.353580813959</v>
      </c>
      <c r="DS85" s="116">
        <f t="shared" si="95"/>
        <v>11349.353580813959</v>
      </c>
      <c r="DT85" s="116">
        <f t="shared" si="95"/>
        <v>11805.667796949778</v>
      </c>
      <c r="DW85" s="83" t="s">
        <v>206</v>
      </c>
      <c r="DX85" s="114">
        <f t="shared" si="84"/>
        <v>286554.38518412958</v>
      </c>
      <c r="DY85" s="116">
        <f t="shared" si="85"/>
        <v>286554.38518412958</v>
      </c>
      <c r="DZ85" s="116">
        <f t="shared" si="85"/>
        <v>250700.17790502094</v>
      </c>
      <c r="EA85" s="116">
        <f t="shared" si="85"/>
        <v>250700.17790502094</v>
      </c>
      <c r="EB85" s="116">
        <f t="shared" si="85"/>
        <v>250700.17790502094</v>
      </c>
      <c r="EC85" s="116">
        <f t="shared" si="85"/>
        <v>250700.17790502094</v>
      </c>
      <c r="ED85" s="116">
        <f t="shared" si="85"/>
        <v>250700.17790502094</v>
      </c>
      <c r="EE85" s="116">
        <f t="shared" si="85"/>
        <v>155976.02143873219</v>
      </c>
      <c r="EF85" s="116">
        <f t="shared" si="85"/>
        <v>155976.02143873219</v>
      </c>
      <c r="EG85" s="116">
        <f t="shared" si="85"/>
        <v>155976.02143873219</v>
      </c>
      <c r="EH85" s="116">
        <f t="shared" si="85"/>
        <v>155976.02143873219</v>
      </c>
      <c r="EI85" s="116">
        <f t="shared" si="85"/>
        <v>155976.02143873219</v>
      </c>
      <c r="EJ85" s="116">
        <f t="shared" si="85"/>
        <v>138881.67765103505</v>
      </c>
      <c r="EK85" s="116">
        <f t="shared" si="85"/>
        <v>138881.67765103505</v>
      </c>
      <c r="EL85" s="116">
        <f t="shared" si="85"/>
        <v>138881.67765103505</v>
      </c>
      <c r="EM85" s="116">
        <f t="shared" si="85"/>
        <v>138881.67765103505</v>
      </c>
      <c r="EN85" s="116">
        <f t="shared" si="85"/>
        <v>138881.67765103505</v>
      </c>
      <c r="EO85" s="116">
        <f t="shared" si="91"/>
        <v>134949.59407349324</v>
      </c>
      <c r="EP85" s="116">
        <f t="shared" si="91"/>
        <v>134949.59407349324</v>
      </c>
      <c r="EQ85" s="116">
        <f t="shared" si="91"/>
        <v>134949.59407349324</v>
      </c>
      <c r="ER85" s="116">
        <f t="shared" si="91"/>
        <v>134949.59407349324</v>
      </c>
      <c r="ES85" s="116">
        <f t="shared" si="91"/>
        <v>134949.59407349324</v>
      </c>
      <c r="ET85" s="116">
        <f t="shared" si="91"/>
        <v>130173.6201964996</v>
      </c>
      <c r="EU85" s="116">
        <f t="shared" si="91"/>
        <v>130173.6201964996</v>
      </c>
      <c r="EV85" s="116">
        <f t="shared" si="91"/>
        <v>130173.6201964996</v>
      </c>
      <c r="EW85" s="116">
        <f t="shared" si="91"/>
        <v>130173.6201964996</v>
      </c>
      <c r="EX85" s="116">
        <f t="shared" si="91"/>
        <v>130173.6201964996</v>
      </c>
      <c r="EY85" s="116">
        <f t="shared" si="91"/>
        <v>122562.4177594771</v>
      </c>
      <c r="FB85" s="83" t="s">
        <v>206</v>
      </c>
      <c r="FC85" s="114">
        <f t="shared" si="86"/>
        <v>309768.45143116097</v>
      </c>
      <c r="FD85" s="116">
        <f t="shared" si="87"/>
        <v>309768.45143116097</v>
      </c>
      <c r="FE85" s="116">
        <f t="shared" si="87"/>
        <v>270067.15671977907</v>
      </c>
      <c r="FF85" s="116">
        <f t="shared" si="87"/>
        <v>270067.15671977907</v>
      </c>
      <c r="FG85" s="116">
        <f t="shared" si="87"/>
        <v>270067.15671977907</v>
      </c>
      <c r="FH85" s="116">
        <f t="shared" si="87"/>
        <v>270067.15671977907</v>
      </c>
      <c r="FI85" s="116">
        <f t="shared" si="87"/>
        <v>270067.15671977907</v>
      </c>
      <c r="FJ85" s="116">
        <f t="shared" si="87"/>
        <v>170819.9910945578</v>
      </c>
      <c r="FK85" s="116">
        <f t="shared" si="87"/>
        <v>170819.9910945578</v>
      </c>
      <c r="FL85" s="116">
        <f t="shared" si="87"/>
        <v>170819.9910945578</v>
      </c>
      <c r="FM85" s="116">
        <f t="shared" si="87"/>
        <v>170819.9910945578</v>
      </c>
      <c r="FN85" s="116">
        <f t="shared" si="87"/>
        <v>170819.9910945578</v>
      </c>
      <c r="FO85" s="116">
        <f t="shared" si="87"/>
        <v>151297.18601347404</v>
      </c>
      <c r="FP85" s="116">
        <f t="shared" si="87"/>
        <v>151297.18601347404</v>
      </c>
      <c r="FQ85" s="116">
        <f t="shared" si="87"/>
        <v>151297.18601347404</v>
      </c>
      <c r="FR85" s="116">
        <f t="shared" si="87"/>
        <v>151297.18601347404</v>
      </c>
      <c r="FS85" s="116">
        <f t="shared" si="87"/>
        <v>151297.18601347404</v>
      </c>
      <c r="FT85" s="116">
        <f t="shared" si="92"/>
        <v>147842.69982363158</v>
      </c>
      <c r="FU85" s="116">
        <f t="shared" si="92"/>
        <v>147842.69982363158</v>
      </c>
      <c r="FV85" s="116">
        <f t="shared" si="92"/>
        <v>147842.69982363158</v>
      </c>
      <c r="FW85" s="116">
        <f t="shared" si="92"/>
        <v>147842.69982363158</v>
      </c>
      <c r="FX85" s="116">
        <f t="shared" si="92"/>
        <v>147842.69982363158</v>
      </c>
      <c r="FY85" s="116">
        <f t="shared" si="92"/>
        <v>143058.63107566</v>
      </c>
      <c r="FZ85" s="116">
        <f t="shared" si="92"/>
        <v>143058.63107566</v>
      </c>
      <c r="GA85" s="116">
        <f t="shared" si="92"/>
        <v>143058.63107566</v>
      </c>
      <c r="GB85" s="116">
        <f t="shared" si="92"/>
        <v>143058.63107566</v>
      </c>
      <c r="GC85" s="116">
        <f t="shared" si="92"/>
        <v>143058.63107566</v>
      </c>
      <c r="GD85" s="116">
        <f t="shared" si="92"/>
        <v>135188.39276734294</v>
      </c>
      <c r="GH85" s="123" t="s">
        <v>206</v>
      </c>
      <c r="GI85" s="103">
        <f t="shared" si="88"/>
        <v>545320.56049198145</v>
      </c>
      <c r="GJ85" s="103">
        <f t="shared" si="88"/>
        <v>545320.56049198145</v>
      </c>
      <c r="GK85" s="103">
        <f t="shared" si="88"/>
        <v>545320.56049198145</v>
      </c>
      <c r="GL85" s="103">
        <f t="shared" si="88"/>
        <v>545320.56049198145</v>
      </c>
      <c r="GM85" s="103">
        <f t="shared" si="88"/>
        <v>545320.56049198145</v>
      </c>
      <c r="GN85" s="103">
        <f t="shared" si="88"/>
        <v>545320.56049198145</v>
      </c>
      <c r="GO85" s="103">
        <f t="shared" si="88"/>
        <v>545320.56049198145</v>
      </c>
      <c r="GP85" s="103">
        <f t="shared" si="88"/>
        <v>545320.56049198145</v>
      </c>
      <c r="GQ85" s="103">
        <f t="shared" si="88"/>
        <v>545320.56049198145</v>
      </c>
      <c r="GR85" s="103">
        <f t="shared" si="88"/>
        <v>545320.56049198145</v>
      </c>
      <c r="GS85" s="103">
        <f t="shared" si="88"/>
        <v>545320.56049198145</v>
      </c>
      <c r="GT85" s="103">
        <f t="shared" si="88"/>
        <v>545320.56049198145</v>
      </c>
      <c r="GU85" s="103">
        <f t="shared" si="88"/>
        <v>545320.56049198145</v>
      </c>
      <c r="GV85" s="103">
        <f t="shared" si="88"/>
        <v>545320.56049198145</v>
      </c>
      <c r="GW85" s="103">
        <f t="shared" si="88"/>
        <v>545320.56049198145</v>
      </c>
      <c r="GX85" s="103">
        <f t="shared" si="88"/>
        <v>545320.56049198145</v>
      </c>
      <c r="GY85" s="103">
        <f t="shared" si="89"/>
        <v>545320.56049198145</v>
      </c>
      <c r="GZ85" s="103">
        <f t="shared" si="89"/>
        <v>545320.56049198145</v>
      </c>
      <c r="HA85" s="103">
        <f t="shared" si="89"/>
        <v>545320.56049198145</v>
      </c>
      <c r="HB85" s="103">
        <f t="shared" si="89"/>
        <v>545320.56049198145</v>
      </c>
      <c r="HC85" s="103">
        <f t="shared" si="89"/>
        <v>545320.56049198145</v>
      </c>
      <c r="HD85" s="103">
        <f t="shared" si="89"/>
        <v>545320.56049198145</v>
      </c>
      <c r="HE85" s="103">
        <f t="shared" si="89"/>
        <v>545320.56049198145</v>
      </c>
      <c r="HF85" s="103">
        <f t="shared" si="89"/>
        <v>545320.56049198145</v>
      </c>
      <c r="HG85" s="103">
        <f t="shared" si="89"/>
        <v>545320.56049198145</v>
      </c>
      <c r="HH85" s="103">
        <f t="shared" si="89"/>
        <v>545320.56049198145</v>
      </c>
      <c r="HI85" s="103">
        <f t="shared" si="89"/>
        <v>545320.56049198145</v>
      </c>
      <c r="HJ85" s="103">
        <f t="shared" si="89"/>
        <v>545320.56049198145</v>
      </c>
    </row>
    <row r="86" spans="26:218" x14ac:dyDescent="0.25">
      <c r="Z86" s="83" t="s">
        <v>208</v>
      </c>
      <c r="AA86" s="114">
        <f>'US Grid mix, emissions&amp;prices'!O83</f>
        <v>161731</v>
      </c>
      <c r="AB86" s="116">
        <f t="shared" si="69"/>
        <v>161731</v>
      </c>
      <c r="AC86" s="116">
        <f t="shared" si="98"/>
        <v>142055.7079939273</v>
      </c>
      <c r="AD86" s="116">
        <f t="shared" si="98"/>
        <v>142055.7079939273</v>
      </c>
      <c r="AE86" s="116">
        <f t="shared" si="98"/>
        <v>142055.7079939273</v>
      </c>
      <c r="AF86" s="116">
        <f t="shared" si="98"/>
        <v>142055.7079939273</v>
      </c>
      <c r="AG86" s="116">
        <f t="shared" si="98"/>
        <v>142055.7079939273</v>
      </c>
      <c r="AH86" s="116">
        <f t="shared" si="98"/>
        <v>53707.589499156144</v>
      </c>
      <c r="AI86" s="116">
        <f t="shared" si="98"/>
        <v>53707.589499156144</v>
      </c>
      <c r="AJ86" s="116">
        <f t="shared" si="98"/>
        <v>53707.589499156144</v>
      </c>
      <c r="AK86" s="116">
        <f t="shared" si="98"/>
        <v>53707.589499156144</v>
      </c>
      <c r="AL86" s="116">
        <f t="shared" si="98"/>
        <v>53707.589499156144</v>
      </c>
      <c r="AM86" s="116">
        <f t="shared" si="98"/>
        <v>45141.247046493168</v>
      </c>
      <c r="AN86" s="116">
        <f t="shared" si="98"/>
        <v>45141.247046493168</v>
      </c>
      <c r="AO86" s="116">
        <f t="shared" si="98"/>
        <v>45141.247046493168</v>
      </c>
      <c r="AP86" s="116">
        <f t="shared" si="98"/>
        <v>45141.247046493168</v>
      </c>
      <c r="AQ86" s="116">
        <f t="shared" si="98"/>
        <v>45141.247046493168</v>
      </c>
      <c r="AR86" s="116">
        <f t="shared" si="98"/>
        <v>45141.247046493168</v>
      </c>
      <c r="AS86" s="116">
        <f t="shared" si="98"/>
        <v>45141.247046493168</v>
      </c>
      <c r="AT86" s="116">
        <f t="shared" si="98"/>
        <v>45141.247046493168</v>
      </c>
      <c r="AU86" s="116">
        <f t="shared" si="98"/>
        <v>45141.247046493168</v>
      </c>
      <c r="AV86" s="116">
        <f t="shared" si="98"/>
        <v>45141.247046493168</v>
      </c>
      <c r="AW86" s="116">
        <f t="shared" si="98"/>
        <v>45354.377347585178</v>
      </c>
      <c r="AX86" s="116">
        <f t="shared" si="98"/>
        <v>45354.377347585178</v>
      </c>
      <c r="AY86" s="116">
        <f t="shared" si="98"/>
        <v>45354.377347585178</v>
      </c>
      <c r="AZ86" s="116">
        <f t="shared" si="98"/>
        <v>45354.377347585178</v>
      </c>
      <c r="BA86" s="116">
        <f t="shared" si="98"/>
        <v>45354.377347585178</v>
      </c>
      <c r="BB86" s="116">
        <f t="shared" si="98"/>
        <v>45622.348193987411</v>
      </c>
      <c r="BM86" s="83" t="s">
        <v>208</v>
      </c>
      <c r="BN86" s="114">
        <f t="shared" si="78"/>
        <v>161731</v>
      </c>
      <c r="BO86" s="116">
        <f t="shared" si="96"/>
        <v>161731</v>
      </c>
      <c r="BP86" s="116">
        <f t="shared" si="96"/>
        <v>127488.06495788411</v>
      </c>
      <c r="BQ86" s="116">
        <f t="shared" si="96"/>
        <v>127488.06495788411</v>
      </c>
      <c r="BR86" s="116">
        <f t="shared" si="96"/>
        <v>127488.06495788411</v>
      </c>
      <c r="BS86" s="116">
        <f t="shared" si="96"/>
        <v>127488.06495788411</v>
      </c>
      <c r="BT86" s="116">
        <f t="shared" si="96"/>
        <v>127488.06495788411</v>
      </c>
      <c r="BU86" s="116">
        <f t="shared" si="96"/>
        <v>7201.5607000562577</v>
      </c>
      <c r="BV86" s="116">
        <f t="shared" si="96"/>
        <v>7201.5607000562577</v>
      </c>
      <c r="BW86" s="116">
        <f t="shared" si="96"/>
        <v>7201.5607000562577</v>
      </c>
      <c r="BX86" s="116">
        <f t="shared" si="96"/>
        <v>7201.5607000562577</v>
      </c>
      <c r="BY86" s="116">
        <f t="shared" si="96"/>
        <v>7201.5607000562577</v>
      </c>
      <c r="BZ86" s="116">
        <f t="shared" si="96"/>
        <v>7510.6619554411573</v>
      </c>
      <c r="CA86" s="116">
        <f t="shared" si="96"/>
        <v>7510.6619554411573</v>
      </c>
      <c r="CB86" s="116">
        <f t="shared" si="96"/>
        <v>7510.6619554411573</v>
      </c>
      <c r="CC86" s="116">
        <f t="shared" si="96"/>
        <v>7510.6619554411573</v>
      </c>
      <c r="CD86" s="116">
        <f t="shared" si="96"/>
        <v>7510.6619554411573</v>
      </c>
      <c r="CE86" s="116">
        <f t="shared" si="94"/>
        <v>7615.3575419424951</v>
      </c>
      <c r="CF86" s="116">
        <f t="shared" si="94"/>
        <v>7615.3575419424951</v>
      </c>
      <c r="CG86" s="116">
        <f t="shared" si="94"/>
        <v>7615.3575419424951</v>
      </c>
      <c r="CH86" s="116">
        <f t="shared" si="94"/>
        <v>7615.3575419424951</v>
      </c>
      <c r="CI86" s="116">
        <f t="shared" si="94"/>
        <v>7615.3575419424951</v>
      </c>
      <c r="CJ86" s="116">
        <f t="shared" si="94"/>
        <v>7883.3283883447266</v>
      </c>
      <c r="CK86" s="116">
        <f t="shared" si="94"/>
        <v>7883.3283883447266</v>
      </c>
      <c r="CL86" s="116">
        <f t="shared" si="94"/>
        <v>7883.3283883447266</v>
      </c>
      <c r="CM86" s="116">
        <f t="shared" si="94"/>
        <v>7883.3283883447266</v>
      </c>
      <c r="CN86" s="116">
        <f t="shared" si="94"/>
        <v>7883.3283883447266</v>
      </c>
      <c r="CO86" s="116">
        <f t="shared" si="94"/>
        <v>8222.3426684442929</v>
      </c>
      <c r="CR86" s="83" t="s">
        <v>208</v>
      </c>
      <c r="CS86" s="114">
        <f t="shared" si="81"/>
        <v>161731</v>
      </c>
      <c r="CT86" s="116">
        <f t="shared" si="97"/>
        <v>7572.9807569300492</v>
      </c>
      <c r="CU86" s="116">
        <f t="shared" si="97"/>
        <v>7572.9807569300492</v>
      </c>
      <c r="CV86" s="116">
        <f t="shared" si="97"/>
        <v>7572.9807569300492</v>
      </c>
      <c r="CW86" s="116">
        <f t="shared" si="97"/>
        <v>7572.9807569300492</v>
      </c>
      <c r="CX86" s="116">
        <f t="shared" si="97"/>
        <v>7572.9807569300492</v>
      </c>
      <c r="CY86" s="116">
        <f t="shared" si="97"/>
        <v>7572.9807569300492</v>
      </c>
      <c r="CZ86" s="116">
        <f t="shared" si="97"/>
        <v>7572.9807569300492</v>
      </c>
      <c r="DA86" s="116">
        <f t="shared" si="97"/>
        <v>7572.9807569300492</v>
      </c>
      <c r="DB86" s="116">
        <f t="shared" si="97"/>
        <v>7572.9807569300492</v>
      </c>
      <c r="DC86" s="116">
        <f t="shared" si="97"/>
        <v>7572.9807569300492</v>
      </c>
      <c r="DD86" s="116">
        <f t="shared" si="97"/>
        <v>7572.9807569300492</v>
      </c>
      <c r="DE86" s="116">
        <f t="shared" si="97"/>
        <v>7789.85018611139</v>
      </c>
      <c r="DF86" s="116">
        <f t="shared" si="97"/>
        <v>7789.85018611139</v>
      </c>
      <c r="DG86" s="116">
        <f t="shared" si="97"/>
        <v>7789.85018611139</v>
      </c>
      <c r="DH86" s="116">
        <f t="shared" si="97"/>
        <v>7789.85018611139</v>
      </c>
      <c r="DI86" s="116">
        <f t="shared" si="97"/>
        <v>7789.85018611139</v>
      </c>
      <c r="DJ86" s="116">
        <f t="shared" si="95"/>
        <v>8194.9223957891827</v>
      </c>
      <c r="DK86" s="116">
        <f t="shared" si="95"/>
        <v>8194.9223957891827</v>
      </c>
      <c r="DL86" s="116">
        <f t="shared" si="95"/>
        <v>8194.9223957891827</v>
      </c>
      <c r="DM86" s="116">
        <f t="shared" si="95"/>
        <v>8194.9223957891827</v>
      </c>
      <c r="DN86" s="116">
        <f t="shared" si="95"/>
        <v>8194.9223957891827</v>
      </c>
      <c r="DO86" s="116">
        <f t="shared" si="95"/>
        <v>8462.8932421914142</v>
      </c>
      <c r="DP86" s="116">
        <f t="shared" si="95"/>
        <v>8462.8932421914142</v>
      </c>
      <c r="DQ86" s="116">
        <f t="shared" si="95"/>
        <v>8462.8932421914142</v>
      </c>
      <c r="DR86" s="116">
        <f t="shared" si="95"/>
        <v>8462.8932421914142</v>
      </c>
      <c r="DS86" s="116">
        <f t="shared" si="95"/>
        <v>8462.8932421914142</v>
      </c>
      <c r="DT86" s="116">
        <f t="shared" si="95"/>
        <v>8803.1538983207593</v>
      </c>
      <c r="DW86" s="83" t="s">
        <v>208</v>
      </c>
      <c r="DX86" s="114">
        <f t="shared" si="84"/>
        <v>213675.53249857976</v>
      </c>
      <c r="DY86" s="116">
        <f t="shared" si="85"/>
        <v>213675.53249857976</v>
      </c>
      <c r="DZ86" s="116">
        <f t="shared" si="85"/>
        <v>186940.06018062797</v>
      </c>
      <c r="EA86" s="116">
        <f t="shared" si="85"/>
        <v>186940.06018062797</v>
      </c>
      <c r="EB86" s="116">
        <f t="shared" si="85"/>
        <v>186940.06018062797</v>
      </c>
      <c r="EC86" s="116">
        <f t="shared" si="85"/>
        <v>186940.06018062797</v>
      </c>
      <c r="ED86" s="116">
        <f t="shared" si="85"/>
        <v>186940.06018062797</v>
      </c>
      <c r="EE86" s="116">
        <f t="shared" ref="EE86:ET86" si="99">$DX86*EE$112</f>
        <v>116306.92518111509</v>
      </c>
      <c r="EF86" s="116">
        <f t="shared" si="99"/>
        <v>116306.92518111509</v>
      </c>
      <c r="EG86" s="116">
        <f t="shared" si="99"/>
        <v>116306.92518111509</v>
      </c>
      <c r="EH86" s="116">
        <f t="shared" si="99"/>
        <v>116306.92518111509</v>
      </c>
      <c r="EI86" s="116">
        <f t="shared" si="99"/>
        <v>116306.92518111509</v>
      </c>
      <c r="EJ86" s="116">
        <f t="shared" si="99"/>
        <v>103560.15458396329</v>
      </c>
      <c r="EK86" s="116">
        <f t="shared" si="99"/>
        <v>103560.15458396329</v>
      </c>
      <c r="EL86" s="116">
        <f t="shared" si="99"/>
        <v>103560.15458396329</v>
      </c>
      <c r="EM86" s="116">
        <f t="shared" si="99"/>
        <v>103560.15458396329</v>
      </c>
      <c r="EN86" s="116">
        <f t="shared" si="99"/>
        <v>103560.15458396329</v>
      </c>
      <c r="EO86" s="116">
        <f t="shared" si="99"/>
        <v>100628.11063104912</v>
      </c>
      <c r="EP86" s="116">
        <f t="shared" si="99"/>
        <v>100628.11063104912</v>
      </c>
      <c r="EQ86" s="116">
        <f t="shared" si="99"/>
        <v>100628.11063104912</v>
      </c>
      <c r="ER86" s="116">
        <f t="shared" si="99"/>
        <v>100628.11063104912</v>
      </c>
      <c r="ES86" s="116">
        <f t="shared" si="99"/>
        <v>100628.11063104912</v>
      </c>
      <c r="ET86" s="116">
        <f t="shared" si="99"/>
        <v>97066.801455095716</v>
      </c>
      <c r="EU86" s="116">
        <f t="shared" si="91"/>
        <v>97066.801455095716</v>
      </c>
      <c r="EV86" s="116">
        <f t="shared" si="91"/>
        <v>97066.801455095716</v>
      </c>
      <c r="EW86" s="116">
        <f t="shared" si="91"/>
        <v>97066.801455095716</v>
      </c>
      <c r="EX86" s="116">
        <f t="shared" si="91"/>
        <v>97066.801455095716</v>
      </c>
      <c r="EY86" s="116">
        <f t="shared" si="91"/>
        <v>91391.342213247975</v>
      </c>
      <c r="FB86" s="83" t="s">
        <v>208</v>
      </c>
      <c r="FC86" s="114">
        <f t="shared" si="86"/>
        <v>230985.60773474982</v>
      </c>
      <c r="FD86" s="116">
        <f t="shared" si="87"/>
        <v>230985.60773474982</v>
      </c>
      <c r="FE86" s="116">
        <f t="shared" si="87"/>
        <v>201381.47069498134</v>
      </c>
      <c r="FF86" s="116">
        <f t="shared" si="87"/>
        <v>201381.47069498134</v>
      </c>
      <c r="FG86" s="116">
        <f t="shared" si="87"/>
        <v>201381.47069498134</v>
      </c>
      <c r="FH86" s="116">
        <f t="shared" si="87"/>
        <v>201381.47069498134</v>
      </c>
      <c r="FI86" s="116">
        <f t="shared" si="87"/>
        <v>201381.47069498134</v>
      </c>
      <c r="FJ86" s="116">
        <f t="shared" ref="FJ86:FY86" si="100">$FC86*FJ$112</f>
        <v>127375.65518349568</v>
      </c>
      <c r="FK86" s="116">
        <f t="shared" si="100"/>
        <v>127375.65518349568</v>
      </c>
      <c r="FL86" s="116">
        <f t="shared" si="100"/>
        <v>127375.65518349568</v>
      </c>
      <c r="FM86" s="116">
        <f t="shared" si="100"/>
        <v>127375.65518349568</v>
      </c>
      <c r="FN86" s="116">
        <f t="shared" si="100"/>
        <v>127375.65518349568</v>
      </c>
      <c r="FO86" s="116">
        <f t="shared" si="100"/>
        <v>112818.04941213026</v>
      </c>
      <c r="FP86" s="116">
        <f t="shared" si="100"/>
        <v>112818.04941213026</v>
      </c>
      <c r="FQ86" s="116">
        <f t="shared" si="100"/>
        <v>112818.04941213026</v>
      </c>
      <c r="FR86" s="116">
        <f t="shared" si="100"/>
        <v>112818.04941213026</v>
      </c>
      <c r="FS86" s="116">
        <f t="shared" si="100"/>
        <v>112818.04941213026</v>
      </c>
      <c r="FT86" s="116">
        <f t="shared" si="100"/>
        <v>110242.13637681142</v>
      </c>
      <c r="FU86" s="116">
        <f t="shared" si="100"/>
        <v>110242.13637681142</v>
      </c>
      <c r="FV86" s="116">
        <f t="shared" si="100"/>
        <v>110242.13637681142</v>
      </c>
      <c r="FW86" s="116">
        <f t="shared" si="100"/>
        <v>110242.13637681142</v>
      </c>
      <c r="FX86" s="116">
        <f t="shared" si="100"/>
        <v>110242.13637681142</v>
      </c>
      <c r="FY86" s="116">
        <f t="shared" si="100"/>
        <v>106674.79108361066</v>
      </c>
      <c r="FZ86" s="116">
        <f t="shared" si="92"/>
        <v>106674.79108361066</v>
      </c>
      <c r="GA86" s="116">
        <f t="shared" si="92"/>
        <v>106674.79108361066</v>
      </c>
      <c r="GB86" s="116">
        <f t="shared" si="92"/>
        <v>106674.79108361066</v>
      </c>
      <c r="GC86" s="116">
        <f t="shared" si="92"/>
        <v>106674.79108361066</v>
      </c>
      <c r="GD86" s="116">
        <f t="shared" si="92"/>
        <v>100806.17608984679</v>
      </c>
      <c r="GH86" s="123" t="s">
        <v>208</v>
      </c>
      <c r="GI86" s="103">
        <f t="shared" si="88"/>
        <v>406630.17971501453</v>
      </c>
      <c r="GJ86" s="103">
        <f t="shared" si="88"/>
        <v>406630.17971501453</v>
      </c>
      <c r="GK86" s="103">
        <f t="shared" si="88"/>
        <v>406630.17971501453</v>
      </c>
      <c r="GL86" s="103">
        <f t="shared" si="88"/>
        <v>406630.17971501453</v>
      </c>
      <c r="GM86" s="103">
        <f t="shared" si="88"/>
        <v>406630.17971501453</v>
      </c>
      <c r="GN86" s="103">
        <f t="shared" si="88"/>
        <v>406630.17971501453</v>
      </c>
      <c r="GO86" s="103">
        <f t="shared" ref="GO86:HD86" si="101">$AA86*GO$112</f>
        <v>406630.17971501453</v>
      </c>
      <c r="GP86" s="103">
        <f t="shared" si="101"/>
        <v>406630.17971501453</v>
      </c>
      <c r="GQ86" s="103">
        <f t="shared" si="101"/>
        <v>406630.17971501453</v>
      </c>
      <c r="GR86" s="103">
        <f t="shared" si="101"/>
        <v>406630.17971501453</v>
      </c>
      <c r="GS86" s="103">
        <f t="shared" si="101"/>
        <v>406630.17971501453</v>
      </c>
      <c r="GT86" s="103">
        <f t="shared" si="101"/>
        <v>406630.17971501453</v>
      </c>
      <c r="GU86" s="103">
        <f t="shared" si="101"/>
        <v>406630.17971501453</v>
      </c>
      <c r="GV86" s="103">
        <f t="shared" si="101"/>
        <v>406630.17971501453</v>
      </c>
      <c r="GW86" s="103">
        <f t="shared" si="101"/>
        <v>406630.17971501453</v>
      </c>
      <c r="GX86" s="103">
        <f t="shared" si="101"/>
        <v>406630.17971501453</v>
      </c>
      <c r="GY86" s="103">
        <f t="shared" si="101"/>
        <v>406630.17971501453</v>
      </c>
      <c r="GZ86" s="103">
        <f t="shared" si="101"/>
        <v>406630.17971501453</v>
      </c>
      <c r="HA86" s="103">
        <f t="shared" si="101"/>
        <v>406630.17971501453</v>
      </c>
      <c r="HB86" s="103">
        <f t="shared" si="101"/>
        <v>406630.17971501453</v>
      </c>
      <c r="HC86" s="103">
        <f t="shared" si="101"/>
        <v>406630.17971501453</v>
      </c>
      <c r="HD86" s="103">
        <f t="shared" si="101"/>
        <v>406630.17971501453</v>
      </c>
      <c r="HE86" s="103">
        <f t="shared" si="89"/>
        <v>406630.17971501453</v>
      </c>
      <c r="HF86" s="103">
        <f t="shared" si="89"/>
        <v>406630.17971501453</v>
      </c>
      <c r="HG86" s="103">
        <f t="shared" si="89"/>
        <v>406630.17971501453</v>
      </c>
      <c r="HH86" s="103">
        <f t="shared" si="89"/>
        <v>406630.17971501453</v>
      </c>
      <c r="HI86" s="103">
        <f t="shared" si="89"/>
        <v>406630.17971501453</v>
      </c>
      <c r="HJ86" s="103">
        <f t="shared" si="89"/>
        <v>406630.17971501453</v>
      </c>
    </row>
    <row r="87" spans="26:218" x14ac:dyDescent="0.25">
      <c r="Z87" s="83" t="s">
        <v>211</v>
      </c>
      <c r="AA87" s="114">
        <f>'US Grid mix, emissions&amp;prices'!O84</f>
        <v>154587</v>
      </c>
      <c r="AB87" s="116">
        <f t="shared" si="69"/>
        <v>154587</v>
      </c>
      <c r="AC87" s="116">
        <f t="shared" si="98"/>
        <v>135780.8072148026</v>
      </c>
      <c r="AD87" s="116">
        <f t="shared" si="98"/>
        <v>135780.8072148026</v>
      </c>
      <c r="AE87" s="116">
        <f t="shared" si="98"/>
        <v>135780.8072148026</v>
      </c>
      <c r="AF87" s="116">
        <f t="shared" si="98"/>
        <v>135780.8072148026</v>
      </c>
      <c r="AG87" s="116">
        <f t="shared" si="98"/>
        <v>135780.8072148026</v>
      </c>
      <c r="AH87" s="116">
        <f t="shared" si="98"/>
        <v>51335.211789366607</v>
      </c>
      <c r="AI87" s="116">
        <f t="shared" si="98"/>
        <v>51335.211789366607</v>
      </c>
      <c r="AJ87" s="116">
        <f t="shared" si="98"/>
        <v>51335.211789366607</v>
      </c>
      <c r="AK87" s="116">
        <f t="shared" si="98"/>
        <v>51335.211789366607</v>
      </c>
      <c r="AL87" s="116">
        <f t="shared" si="98"/>
        <v>51335.211789366607</v>
      </c>
      <c r="AM87" s="116">
        <f t="shared" si="98"/>
        <v>43147.262783116654</v>
      </c>
      <c r="AN87" s="116">
        <f t="shared" si="98"/>
        <v>43147.262783116654</v>
      </c>
      <c r="AO87" s="116">
        <f t="shared" si="98"/>
        <v>43147.262783116654</v>
      </c>
      <c r="AP87" s="116">
        <f t="shared" si="98"/>
        <v>43147.262783116654</v>
      </c>
      <c r="AQ87" s="116">
        <f t="shared" si="98"/>
        <v>43147.262783116654</v>
      </c>
      <c r="AR87" s="116">
        <f t="shared" si="98"/>
        <v>43147.262783116654</v>
      </c>
      <c r="AS87" s="116">
        <f t="shared" si="98"/>
        <v>43147.262783116654</v>
      </c>
      <c r="AT87" s="116">
        <f t="shared" si="98"/>
        <v>43147.262783116654</v>
      </c>
      <c r="AU87" s="116">
        <f t="shared" si="98"/>
        <v>43147.262783116654</v>
      </c>
      <c r="AV87" s="116">
        <f t="shared" si="98"/>
        <v>43147.262783116654</v>
      </c>
      <c r="AW87" s="116">
        <f t="shared" si="98"/>
        <v>43350.978668475123</v>
      </c>
      <c r="AX87" s="116">
        <f t="shared" si="98"/>
        <v>43350.978668475123</v>
      </c>
      <c r="AY87" s="116">
        <f t="shared" si="98"/>
        <v>43350.978668475123</v>
      </c>
      <c r="AZ87" s="116">
        <f t="shared" si="98"/>
        <v>43350.978668475123</v>
      </c>
      <c r="BA87" s="116">
        <f t="shared" si="98"/>
        <v>43350.978668475123</v>
      </c>
      <c r="BB87" s="116">
        <f t="shared" si="98"/>
        <v>43607.11267638197</v>
      </c>
      <c r="BM87" s="83" t="s">
        <v>211</v>
      </c>
      <c r="BN87" s="114">
        <f t="shared" si="78"/>
        <v>154587</v>
      </c>
      <c r="BO87" s="116">
        <f t="shared" si="96"/>
        <v>154587</v>
      </c>
      <c r="BP87" s="116">
        <f t="shared" si="96"/>
        <v>121856.64775240634</v>
      </c>
      <c r="BQ87" s="116">
        <f t="shared" si="96"/>
        <v>121856.64775240634</v>
      </c>
      <c r="BR87" s="116">
        <f t="shared" si="96"/>
        <v>121856.64775240634</v>
      </c>
      <c r="BS87" s="116">
        <f t="shared" si="96"/>
        <v>121856.64775240634</v>
      </c>
      <c r="BT87" s="116">
        <f t="shared" si="96"/>
        <v>121856.64775240634</v>
      </c>
      <c r="BU87" s="116">
        <f t="shared" si="96"/>
        <v>6883.4525473755602</v>
      </c>
      <c r="BV87" s="116">
        <f t="shared" si="96"/>
        <v>6883.4525473755602</v>
      </c>
      <c r="BW87" s="116">
        <f t="shared" si="96"/>
        <v>6883.4525473755602</v>
      </c>
      <c r="BX87" s="116">
        <f t="shared" si="96"/>
        <v>6883.4525473755602</v>
      </c>
      <c r="BY87" s="116">
        <f t="shared" si="96"/>
        <v>6883.4525473755602</v>
      </c>
      <c r="BZ87" s="116">
        <f t="shared" si="96"/>
        <v>7178.9001471936872</v>
      </c>
      <c r="CA87" s="116">
        <f t="shared" si="96"/>
        <v>7178.9001471936872</v>
      </c>
      <c r="CB87" s="116">
        <f t="shared" si="96"/>
        <v>7178.9001471936872</v>
      </c>
      <c r="CC87" s="116">
        <f t="shared" si="96"/>
        <v>7178.9001471936872</v>
      </c>
      <c r="CD87" s="116">
        <f t="shared" si="96"/>
        <v>7178.9001471936872</v>
      </c>
      <c r="CE87" s="116">
        <f t="shared" si="94"/>
        <v>7278.9711084224082</v>
      </c>
      <c r="CF87" s="116">
        <f t="shared" si="94"/>
        <v>7278.9711084224082</v>
      </c>
      <c r="CG87" s="116">
        <f t="shared" si="94"/>
        <v>7278.9711084224082</v>
      </c>
      <c r="CH87" s="116">
        <f t="shared" si="94"/>
        <v>7278.9711084224082</v>
      </c>
      <c r="CI87" s="116">
        <f t="shared" si="94"/>
        <v>7278.9711084224082</v>
      </c>
      <c r="CJ87" s="116">
        <f t="shared" si="94"/>
        <v>7535.1051163292523</v>
      </c>
      <c r="CK87" s="116">
        <f t="shared" si="94"/>
        <v>7535.1051163292523</v>
      </c>
      <c r="CL87" s="116">
        <f t="shared" si="94"/>
        <v>7535.1051163292523</v>
      </c>
      <c r="CM87" s="116">
        <f t="shared" si="94"/>
        <v>7535.1051163292523</v>
      </c>
      <c r="CN87" s="116">
        <f t="shared" si="94"/>
        <v>7535.1051163292523</v>
      </c>
      <c r="CO87" s="116">
        <f t="shared" si="94"/>
        <v>7859.1444193555844</v>
      </c>
      <c r="CR87" s="83" t="s">
        <v>211</v>
      </c>
      <c r="CS87" s="114">
        <f t="shared" si="81"/>
        <v>154587</v>
      </c>
      <c r="CT87" s="116">
        <f t="shared" si="97"/>
        <v>7238.4661955441161</v>
      </c>
      <c r="CU87" s="116">
        <f t="shared" si="97"/>
        <v>7238.4661955441161</v>
      </c>
      <c r="CV87" s="116">
        <f t="shared" si="97"/>
        <v>7238.4661955441161</v>
      </c>
      <c r="CW87" s="116">
        <f t="shared" si="97"/>
        <v>7238.4661955441161</v>
      </c>
      <c r="CX87" s="116">
        <f t="shared" si="97"/>
        <v>7238.4661955441161</v>
      </c>
      <c r="CY87" s="116">
        <f t="shared" si="97"/>
        <v>7238.4661955441161</v>
      </c>
      <c r="CZ87" s="116">
        <f t="shared" si="97"/>
        <v>7238.4661955441161</v>
      </c>
      <c r="DA87" s="116">
        <f t="shared" si="97"/>
        <v>7238.4661955441161</v>
      </c>
      <c r="DB87" s="116">
        <f t="shared" si="97"/>
        <v>7238.4661955441161</v>
      </c>
      <c r="DC87" s="116">
        <f t="shared" si="97"/>
        <v>7238.4661955441161</v>
      </c>
      <c r="DD87" s="116">
        <f t="shared" si="97"/>
        <v>7238.4661955441161</v>
      </c>
      <c r="DE87" s="116">
        <f t="shared" si="97"/>
        <v>7445.756043803608</v>
      </c>
      <c r="DF87" s="116">
        <f t="shared" si="97"/>
        <v>7445.756043803608</v>
      </c>
      <c r="DG87" s="116">
        <f t="shared" si="97"/>
        <v>7445.756043803608</v>
      </c>
      <c r="DH87" s="116">
        <f t="shared" si="97"/>
        <v>7445.756043803608</v>
      </c>
      <c r="DI87" s="116">
        <f t="shared" si="97"/>
        <v>7445.756043803608</v>
      </c>
      <c r="DJ87" s="116">
        <f t="shared" si="95"/>
        <v>7832.9353580813959</v>
      </c>
      <c r="DK87" s="116">
        <f t="shared" si="95"/>
        <v>7832.9353580813959</v>
      </c>
      <c r="DL87" s="116">
        <f t="shared" si="95"/>
        <v>7832.9353580813959</v>
      </c>
      <c r="DM87" s="116">
        <f t="shared" si="95"/>
        <v>7832.9353580813959</v>
      </c>
      <c r="DN87" s="116">
        <f t="shared" si="95"/>
        <v>7832.9353580813959</v>
      </c>
      <c r="DO87" s="116">
        <f t="shared" si="95"/>
        <v>8089.06936598824</v>
      </c>
      <c r="DP87" s="116">
        <f t="shared" si="95"/>
        <v>8089.06936598824</v>
      </c>
      <c r="DQ87" s="116">
        <f t="shared" si="95"/>
        <v>8089.06936598824</v>
      </c>
      <c r="DR87" s="116">
        <f t="shared" si="95"/>
        <v>8089.06936598824</v>
      </c>
      <c r="DS87" s="116">
        <f t="shared" si="95"/>
        <v>8089.06936598824</v>
      </c>
      <c r="DT87" s="116">
        <f t="shared" si="95"/>
        <v>8414.2999899815823</v>
      </c>
      <c r="DW87" s="83" t="s">
        <v>211</v>
      </c>
      <c r="DX87" s="114">
        <f t="shared" si="84"/>
        <v>204237.03274176223</v>
      </c>
      <c r="DY87" s="116">
        <f t="shared" ref="DY87:EN102" si="102">$DX87*DY$112</f>
        <v>204237.03274176223</v>
      </c>
      <c r="DZ87" s="116">
        <f t="shared" si="102"/>
        <v>178682.52272689054</v>
      </c>
      <c r="EA87" s="116">
        <f t="shared" si="102"/>
        <v>178682.52272689054</v>
      </c>
      <c r="EB87" s="116">
        <f t="shared" si="102"/>
        <v>178682.52272689054</v>
      </c>
      <c r="EC87" s="116">
        <f t="shared" si="102"/>
        <v>178682.52272689054</v>
      </c>
      <c r="ED87" s="116">
        <f t="shared" si="102"/>
        <v>178682.52272689054</v>
      </c>
      <c r="EE87" s="116">
        <f t="shared" si="102"/>
        <v>111169.40254479993</v>
      </c>
      <c r="EF87" s="116">
        <f t="shared" si="102"/>
        <v>111169.40254479993</v>
      </c>
      <c r="EG87" s="116">
        <f t="shared" si="102"/>
        <v>111169.40254479993</v>
      </c>
      <c r="EH87" s="116">
        <f t="shared" si="102"/>
        <v>111169.40254479993</v>
      </c>
      <c r="EI87" s="116">
        <f t="shared" si="102"/>
        <v>111169.40254479993</v>
      </c>
      <c r="EJ87" s="116">
        <f t="shared" si="102"/>
        <v>98985.683738251362</v>
      </c>
      <c r="EK87" s="116">
        <f t="shared" si="102"/>
        <v>98985.683738251362</v>
      </c>
      <c r="EL87" s="116">
        <f t="shared" si="102"/>
        <v>98985.683738251362</v>
      </c>
      <c r="EM87" s="116">
        <f t="shared" si="102"/>
        <v>98985.683738251362</v>
      </c>
      <c r="EN87" s="116">
        <f t="shared" si="102"/>
        <v>98985.683738251362</v>
      </c>
      <c r="EO87" s="116">
        <f t="shared" ref="EO87:ET101" si="103">$DX87*EO$112</f>
        <v>96183.154362008456</v>
      </c>
      <c r="EP87" s="116">
        <f t="shared" si="103"/>
        <v>96183.154362008456</v>
      </c>
      <c r="EQ87" s="116">
        <f t="shared" si="103"/>
        <v>96183.154362008456</v>
      </c>
      <c r="ER87" s="116">
        <f t="shared" si="103"/>
        <v>96183.154362008456</v>
      </c>
      <c r="ES87" s="116">
        <f t="shared" si="103"/>
        <v>96183.154362008456</v>
      </c>
      <c r="ET87" s="116">
        <f t="shared" si="103"/>
        <v>92779.155737235793</v>
      </c>
      <c r="EU87" s="116">
        <f t="shared" si="91"/>
        <v>92779.155737235793</v>
      </c>
      <c r="EV87" s="116">
        <f t="shared" si="91"/>
        <v>92779.155737235793</v>
      </c>
      <c r="EW87" s="116">
        <f t="shared" si="91"/>
        <v>92779.155737235793</v>
      </c>
      <c r="EX87" s="116">
        <f t="shared" si="91"/>
        <v>92779.155737235793</v>
      </c>
      <c r="EY87" s="116">
        <f t="shared" si="91"/>
        <v>87354.39352207903</v>
      </c>
      <c r="FB87" s="83" t="s">
        <v>211</v>
      </c>
      <c r="FC87" s="114">
        <f t="shared" si="86"/>
        <v>220782.48537937543</v>
      </c>
      <c r="FD87" s="116">
        <f t="shared" ref="FD87:FS102" si="104">$FC87*FD$112</f>
        <v>220782.48537937543</v>
      </c>
      <c r="FE87" s="116">
        <f t="shared" si="104"/>
        <v>192486.02562480341</v>
      </c>
      <c r="FF87" s="116">
        <f t="shared" si="104"/>
        <v>192486.02562480341</v>
      </c>
      <c r="FG87" s="116">
        <f t="shared" si="104"/>
        <v>192486.02562480341</v>
      </c>
      <c r="FH87" s="116">
        <f t="shared" si="104"/>
        <v>192486.02562480341</v>
      </c>
      <c r="FI87" s="116">
        <f t="shared" si="104"/>
        <v>192486.02562480341</v>
      </c>
      <c r="FJ87" s="116">
        <f t="shared" si="104"/>
        <v>121749.2033552692</v>
      </c>
      <c r="FK87" s="116">
        <f t="shared" si="104"/>
        <v>121749.2033552692</v>
      </c>
      <c r="FL87" s="116">
        <f t="shared" si="104"/>
        <v>121749.2033552692</v>
      </c>
      <c r="FM87" s="116">
        <f t="shared" si="104"/>
        <v>121749.2033552692</v>
      </c>
      <c r="FN87" s="116">
        <f t="shared" si="104"/>
        <v>121749.2033552692</v>
      </c>
      <c r="FO87" s="116">
        <f t="shared" si="104"/>
        <v>107834.63779036164</v>
      </c>
      <c r="FP87" s="116">
        <f t="shared" si="104"/>
        <v>107834.63779036164</v>
      </c>
      <c r="FQ87" s="116">
        <f t="shared" si="104"/>
        <v>107834.63779036164</v>
      </c>
      <c r="FR87" s="116">
        <f t="shared" si="104"/>
        <v>107834.63779036164</v>
      </c>
      <c r="FS87" s="116">
        <f t="shared" si="104"/>
        <v>107834.63779036164</v>
      </c>
      <c r="FT87" s="116">
        <f t="shared" ref="FT87:FY101" si="105">$FC87*FT$112</f>
        <v>105372.50827659598</v>
      </c>
      <c r="FU87" s="116">
        <f t="shared" si="105"/>
        <v>105372.50827659598</v>
      </c>
      <c r="FV87" s="116">
        <f t="shared" si="105"/>
        <v>105372.50827659598</v>
      </c>
      <c r="FW87" s="116">
        <f t="shared" si="105"/>
        <v>105372.50827659598</v>
      </c>
      <c r="FX87" s="116">
        <f t="shared" si="105"/>
        <v>105372.50827659598</v>
      </c>
      <c r="FY87" s="116">
        <f t="shared" si="105"/>
        <v>101962.7401626288</v>
      </c>
      <c r="FZ87" s="116">
        <f t="shared" si="92"/>
        <v>101962.7401626288</v>
      </c>
      <c r="GA87" s="116">
        <f t="shared" si="92"/>
        <v>101962.7401626288</v>
      </c>
      <c r="GB87" s="116">
        <f t="shared" si="92"/>
        <v>101962.7401626288</v>
      </c>
      <c r="GC87" s="116">
        <f t="shared" si="92"/>
        <v>101962.7401626288</v>
      </c>
      <c r="GD87" s="116">
        <f t="shared" si="92"/>
        <v>96353.354293247088</v>
      </c>
      <c r="GH87" s="123" t="s">
        <v>211</v>
      </c>
      <c r="GI87" s="103">
        <f t="shared" ref="GI87:GX102" si="106">$AA87*GI$112</f>
        <v>388668.46548654832</v>
      </c>
      <c r="GJ87" s="103">
        <f t="shared" si="106"/>
        <v>388668.46548654832</v>
      </c>
      <c r="GK87" s="103">
        <f t="shared" si="106"/>
        <v>388668.46548654832</v>
      </c>
      <c r="GL87" s="103">
        <f t="shared" si="106"/>
        <v>388668.46548654832</v>
      </c>
      <c r="GM87" s="103">
        <f t="shared" si="106"/>
        <v>388668.46548654832</v>
      </c>
      <c r="GN87" s="103">
        <f t="shared" si="106"/>
        <v>388668.46548654832</v>
      </c>
      <c r="GO87" s="103">
        <f t="shared" si="106"/>
        <v>388668.46548654832</v>
      </c>
      <c r="GP87" s="103">
        <f t="shared" si="106"/>
        <v>388668.46548654832</v>
      </c>
      <c r="GQ87" s="103">
        <f t="shared" si="106"/>
        <v>388668.46548654832</v>
      </c>
      <c r="GR87" s="103">
        <f t="shared" si="106"/>
        <v>388668.46548654832</v>
      </c>
      <c r="GS87" s="103">
        <f t="shared" si="106"/>
        <v>388668.46548654832</v>
      </c>
      <c r="GT87" s="103">
        <f t="shared" si="106"/>
        <v>388668.46548654832</v>
      </c>
      <c r="GU87" s="103">
        <f t="shared" si="106"/>
        <v>388668.46548654832</v>
      </c>
      <c r="GV87" s="103">
        <f t="shared" si="106"/>
        <v>388668.46548654832</v>
      </c>
      <c r="GW87" s="103">
        <f t="shared" si="106"/>
        <v>388668.46548654832</v>
      </c>
      <c r="GX87" s="103">
        <f t="shared" si="106"/>
        <v>388668.46548654832</v>
      </c>
      <c r="GY87" s="103">
        <f t="shared" ref="GY87:HD101" si="107">$AA87*GY$112</f>
        <v>388668.46548654832</v>
      </c>
      <c r="GZ87" s="103">
        <f t="shared" si="107"/>
        <v>388668.46548654832</v>
      </c>
      <c r="HA87" s="103">
        <f t="shared" si="107"/>
        <v>388668.46548654832</v>
      </c>
      <c r="HB87" s="103">
        <f t="shared" si="107"/>
        <v>388668.46548654832</v>
      </c>
      <c r="HC87" s="103">
        <f t="shared" si="107"/>
        <v>388668.46548654832</v>
      </c>
      <c r="HD87" s="103">
        <f t="shared" si="107"/>
        <v>388668.46548654832</v>
      </c>
      <c r="HE87" s="103">
        <f t="shared" si="89"/>
        <v>388668.46548654832</v>
      </c>
      <c r="HF87" s="103">
        <f t="shared" si="89"/>
        <v>388668.46548654832</v>
      </c>
      <c r="HG87" s="103">
        <f t="shared" si="89"/>
        <v>388668.46548654832</v>
      </c>
      <c r="HH87" s="103">
        <f t="shared" si="89"/>
        <v>388668.46548654832</v>
      </c>
      <c r="HI87" s="103">
        <f t="shared" si="89"/>
        <v>388668.46548654832</v>
      </c>
      <c r="HJ87" s="103">
        <f t="shared" si="89"/>
        <v>388668.46548654832</v>
      </c>
    </row>
    <row r="88" spans="26:218" x14ac:dyDescent="0.25">
      <c r="Z88" s="83" t="s">
        <v>215</v>
      </c>
      <c r="AA88" s="114">
        <f>'US Grid mix, emissions&amp;prices'!O85</f>
        <v>109172</v>
      </c>
      <c r="AB88" s="116">
        <f t="shared" si="69"/>
        <v>109172</v>
      </c>
      <c r="AC88" s="116">
        <f t="shared" si="98"/>
        <v>95890.742981327203</v>
      </c>
      <c r="AD88" s="116">
        <f t="shared" si="98"/>
        <v>95890.742981327203</v>
      </c>
      <c r="AE88" s="116">
        <f t="shared" si="98"/>
        <v>95890.742981327203</v>
      </c>
      <c r="AF88" s="116">
        <f t="shared" si="98"/>
        <v>95890.742981327203</v>
      </c>
      <c r="AG88" s="116">
        <f t="shared" si="98"/>
        <v>95890.742981327203</v>
      </c>
      <c r="AH88" s="116">
        <f t="shared" si="98"/>
        <v>36253.810097024529</v>
      </c>
      <c r="AI88" s="116">
        <f t="shared" si="98"/>
        <v>36253.810097024529</v>
      </c>
      <c r="AJ88" s="116">
        <f t="shared" si="98"/>
        <v>36253.810097024529</v>
      </c>
      <c r="AK88" s="116">
        <f t="shared" si="98"/>
        <v>36253.810097024529</v>
      </c>
      <c r="AL88" s="116">
        <f t="shared" si="98"/>
        <v>36253.810097024529</v>
      </c>
      <c r="AM88" s="116">
        <f t="shared" si="98"/>
        <v>30471.339585853995</v>
      </c>
      <c r="AN88" s="116">
        <f t="shared" si="98"/>
        <v>30471.339585853995</v>
      </c>
      <c r="AO88" s="116">
        <f t="shared" si="98"/>
        <v>30471.339585853995</v>
      </c>
      <c r="AP88" s="116">
        <f t="shared" si="98"/>
        <v>30471.339585853995</v>
      </c>
      <c r="AQ88" s="116">
        <f t="shared" si="98"/>
        <v>30471.339585853995</v>
      </c>
      <c r="AR88" s="116">
        <f t="shared" si="98"/>
        <v>30471.339585853995</v>
      </c>
      <c r="AS88" s="116">
        <f t="shared" si="98"/>
        <v>30471.339585853995</v>
      </c>
      <c r="AT88" s="116">
        <f t="shared" si="98"/>
        <v>30471.339585853995</v>
      </c>
      <c r="AU88" s="116">
        <f t="shared" si="98"/>
        <v>30471.339585853995</v>
      </c>
      <c r="AV88" s="116">
        <f t="shared" si="98"/>
        <v>30471.339585853995</v>
      </c>
      <c r="AW88" s="116">
        <f t="shared" si="98"/>
        <v>30615.207250252388</v>
      </c>
      <c r="AX88" s="116">
        <f t="shared" si="98"/>
        <v>30615.207250252388</v>
      </c>
      <c r="AY88" s="116">
        <f t="shared" si="98"/>
        <v>30615.207250252388</v>
      </c>
      <c r="AZ88" s="116">
        <f t="shared" si="98"/>
        <v>30615.207250252388</v>
      </c>
      <c r="BA88" s="116">
        <f t="shared" si="98"/>
        <v>30615.207250252388</v>
      </c>
      <c r="BB88" s="116">
        <f t="shared" si="98"/>
        <v>30796.093494963821</v>
      </c>
      <c r="BM88" s="83" t="s">
        <v>215</v>
      </c>
      <c r="BN88" s="114">
        <f t="shared" si="78"/>
        <v>109172</v>
      </c>
      <c r="BO88" s="116">
        <f t="shared" si="96"/>
        <v>109172</v>
      </c>
      <c r="BP88" s="116">
        <f t="shared" si="96"/>
        <v>86057.261919991361</v>
      </c>
      <c r="BQ88" s="116">
        <f t="shared" si="96"/>
        <v>86057.261919991361</v>
      </c>
      <c r="BR88" s="116">
        <f t="shared" si="96"/>
        <v>86057.261919991361</v>
      </c>
      <c r="BS88" s="116">
        <f t="shared" si="96"/>
        <v>86057.261919991361</v>
      </c>
      <c r="BT88" s="116">
        <f t="shared" si="96"/>
        <v>86057.261919991361</v>
      </c>
      <c r="BU88" s="116">
        <f t="shared" si="96"/>
        <v>4861.2126601983646</v>
      </c>
      <c r="BV88" s="116">
        <f t="shared" si="96"/>
        <v>4861.2126601983646</v>
      </c>
      <c r="BW88" s="116">
        <f t="shared" si="96"/>
        <v>4861.2126601983646</v>
      </c>
      <c r="BX88" s="116">
        <f t="shared" si="96"/>
        <v>4861.2126601983646</v>
      </c>
      <c r="BY88" s="116">
        <f t="shared" si="96"/>
        <v>4861.2126601983646</v>
      </c>
      <c r="BZ88" s="116">
        <f t="shared" si="96"/>
        <v>5069.862840144574</v>
      </c>
      <c r="CA88" s="116">
        <f t="shared" si="96"/>
        <v>5069.862840144574</v>
      </c>
      <c r="CB88" s="116">
        <f t="shared" si="96"/>
        <v>5069.862840144574</v>
      </c>
      <c r="CC88" s="116">
        <f t="shared" si="96"/>
        <v>5069.862840144574</v>
      </c>
      <c r="CD88" s="116">
        <f t="shared" si="96"/>
        <v>5069.862840144574</v>
      </c>
      <c r="CE88" s="116">
        <f t="shared" si="94"/>
        <v>5140.5346752876449</v>
      </c>
      <c r="CF88" s="116">
        <f t="shared" si="94"/>
        <v>5140.5346752876449</v>
      </c>
      <c r="CG88" s="116">
        <f t="shared" si="94"/>
        <v>5140.5346752876449</v>
      </c>
      <c r="CH88" s="116">
        <f t="shared" si="94"/>
        <v>5140.5346752876449</v>
      </c>
      <c r="CI88" s="116">
        <f t="shared" si="94"/>
        <v>5140.5346752876449</v>
      </c>
      <c r="CJ88" s="116">
        <f t="shared" si="94"/>
        <v>5321.4209199990755</v>
      </c>
      <c r="CK88" s="116">
        <f t="shared" si="94"/>
        <v>5321.4209199990755</v>
      </c>
      <c r="CL88" s="116">
        <f t="shared" si="94"/>
        <v>5321.4209199990755</v>
      </c>
      <c r="CM88" s="116">
        <f t="shared" si="94"/>
        <v>5321.4209199990755</v>
      </c>
      <c r="CN88" s="116">
        <f t="shared" si="94"/>
        <v>5321.4209199990755</v>
      </c>
      <c r="CO88" s="116">
        <f t="shared" si="94"/>
        <v>5550.2630528433037</v>
      </c>
      <c r="CR88" s="83" t="s">
        <v>215</v>
      </c>
      <c r="CS88" s="114">
        <f t="shared" si="81"/>
        <v>109172</v>
      </c>
      <c r="CT88" s="116">
        <f t="shared" si="97"/>
        <v>5111.9294086821155</v>
      </c>
      <c r="CU88" s="116">
        <f t="shared" si="97"/>
        <v>5111.9294086821155</v>
      </c>
      <c r="CV88" s="116">
        <f t="shared" si="97"/>
        <v>5111.9294086821155</v>
      </c>
      <c r="CW88" s="116">
        <f t="shared" si="97"/>
        <v>5111.9294086821155</v>
      </c>
      <c r="CX88" s="116">
        <f t="shared" si="97"/>
        <v>5111.9294086821155</v>
      </c>
      <c r="CY88" s="116">
        <f t="shared" si="97"/>
        <v>5111.9294086821155</v>
      </c>
      <c r="CZ88" s="116">
        <f t="shared" si="97"/>
        <v>5111.9294086821155</v>
      </c>
      <c r="DA88" s="116">
        <f t="shared" si="97"/>
        <v>5111.9294086821155</v>
      </c>
      <c r="DB88" s="116">
        <f t="shared" si="97"/>
        <v>5111.9294086821155</v>
      </c>
      <c r="DC88" s="116">
        <f t="shared" si="97"/>
        <v>5111.9294086821155</v>
      </c>
      <c r="DD88" s="116">
        <f t="shared" si="97"/>
        <v>5111.9294086821155</v>
      </c>
      <c r="DE88" s="116">
        <f t="shared" si="97"/>
        <v>5258.3210671927618</v>
      </c>
      <c r="DF88" s="116">
        <f t="shared" si="97"/>
        <v>5258.3210671927618</v>
      </c>
      <c r="DG88" s="116">
        <f t="shared" si="97"/>
        <v>5258.3210671927618</v>
      </c>
      <c r="DH88" s="116">
        <f t="shared" si="97"/>
        <v>5258.3210671927618</v>
      </c>
      <c r="DI88" s="116">
        <f t="shared" si="97"/>
        <v>5258.3210671927618</v>
      </c>
      <c r="DJ88" s="116">
        <f t="shared" si="95"/>
        <v>5531.7537626867861</v>
      </c>
      <c r="DK88" s="116">
        <f t="shared" si="95"/>
        <v>5531.7537626867861</v>
      </c>
      <c r="DL88" s="116">
        <f t="shared" si="95"/>
        <v>5531.7537626867861</v>
      </c>
      <c r="DM88" s="116">
        <f t="shared" si="95"/>
        <v>5531.7537626867861</v>
      </c>
      <c r="DN88" s="116">
        <f t="shared" si="95"/>
        <v>5531.7537626867861</v>
      </c>
      <c r="DO88" s="116">
        <f t="shared" si="95"/>
        <v>5712.6400073982168</v>
      </c>
      <c r="DP88" s="116">
        <f t="shared" si="95"/>
        <v>5712.6400073982168</v>
      </c>
      <c r="DQ88" s="116">
        <f t="shared" si="95"/>
        <v>5712.6400073982168</v>
      </c>
      <c r="DR88" s="116">
        <f t="shared" si="95"/>
        <v>5712.6400073982168</v>
      </c>
      <c r="DS88" s="116">
        <f t="shared" si="95"/>
        <v>5712.6400073982168</v>
      </c>
      <c r="DT88" s="116">
        <f t="shared" si="95"/>
        <v>5942.3234716131965</v>
      </c>
      <c r="DW88" s="83" t="s">
        <v>215</v>
      </c>
      <c r="DX88" s="114">
        <f t="shared" si="84"/>
        <v>144235.70764995547</v>
      </c>
      <c r="DY88" s="116">
        <f t="shared" si="102"/>
        <v>144235.70764995547</v>
      </c>
      <c r="DZ88" s="116">
        <f t="shared" si="102"/>
        <v>126188.67285826165</v>
      </c>
      <c r="EA88" s="116">
        <f t="shared" si="102"/>
        <v>126188.67285826165</v>
      </c>
      <c r="EB88" s="116">
        <f t="shared" si="102"/>
        <v>126188.67285826165</v>
      </c>
      <c r="EC88" s="116">
        <f t="shared" si="102"/>
        <v>126188.67285826165</v>
      </c>
      <c r="ED88" s="116">
        <f t="shared" si="102"/>
        <v>126188.67285826165</v>
      </c>
      <c r="EE88" s="116">
        <f t="shared" si="102"/>
        <v>78509.745415985162</v>
      </c>
      <c r="EF88" s="116">
        <f t="shared" si="102"/>
        <v>78509.745415985162</v>
      </c>
      <c r="EG88" s="116">
        <f t="shared" si="102"/>
        <v>78509.745415985162</v>
      </c>
      <c r="EH88" s="116">
        <f t="shared" si="102"/>
        <v>78509.745415985162</v>
      </c>
      <c r="EI88" s="116">
        <f t="shared" si="102"/>
        <v>78509.745415985162</v>
      </c>
      <c r="EJ88" s="116">
        <f t="shared" si="102"/>
        <v>69905.393500568462</v>
      </c>
      <c r="EK88" s="116">
        <f t="shared" si="102"/>
        <v>69905.393500568462</v>
      </c>
      <c r="EL88" s="116">
        <f t="shared" si="102"/>
        <v>69905.393500568462</v>
      </c>
      <c r="EM88" s="116">
        <f t="shared" si="102"/>
        <v>69905.393500568462</v>
      </c>
      <c r="EN88" s="116">
        <f t="shared" si="102"/>
        <v>69905.393500568462</v>
      </c>
      <c r="EO88" s="116">
        <f t="shared" si="103"/>
        <v>67926.199020675645</v>
      </c>
      <c r="EP88" s="116">
        <f t="shared" si="103"/>
        <v>67926.199020675645</v>
      </c>
      <c r="EQ88" s="116">
        <f t="shared" si="103"/>
        <v>67926.199020675645</v>
      </c>
      <c r="ER88" s="116">
        <f t="shared" si="103"/>
        <v>67926.199020675645</v>
      </c>
      <c r="ES88" s="116">
        <f t="shared" si="103"/>
        <v>67926.199020675645</v>
      </c>
      <c r="ET88" s="116">
        <f t="shared" si="103"/>
        <v>65522.236605571656</v>
      </c>
      <c r="EU88" s="116">
        <f t="shared" si="91"/>
        <v>65522.236605571656</v>
      </c>
      <c r="EV88" s="116">
        <f t="shared" si="91"/>
        <v>65522.236605571656</v>
      </c>
      <c r="EW88" s="116">
        <f t="shared" si="91"/>
        <v>65522.236605571656</v>
      </c>
      <c r="EX88" s="116">
        <f t="shared" si="91"/>
        <v>65522.236605571656</v>
      </c>
      <c r="EY88" s="116">
        <f t="shared" si="91"/>
        <v>61691.176163535165</v>
      </c>
      <c r="FB88" s="83" t="s">
        <v>215</v>
      </c>
      <c r="FC88" s="114">
        <f t="shared" si="86"/>
        <v>155920.39106675965</v>
      </c>
      <c r="FD88" s="116">
        <f t="shared" si="104"/>
        <v>155920.39106675965</v>
      </c>
      <c r="FE88" s="116">
        <f t="shared" si="104"/>
        <v>135936.94417713673</v>
      </c>
      <c r="FF88" s="116">
        <f t="shared" si="104"/>
        <v>135936.94417713673</v>
      </c>
      <c r="FG88" s="116">
        <f t="shared" si="104"/>
        <v>135936.94417713673</v>
      </c>
      <c r="FH88" s="116">
        <f t="shared" si="104"/>
        <v>135936.94417713673</v>
      </c>
      <c r="FI88" s="116">
        <f t="shared" si="104"/>
        <v>135936.94417713673</v>
      </c>
      <c r="FJ88" s="116">
        <f t="shared" si="104"/>
        <v>85981.382837505414</v>
      </c>
      <c r="FK88" s="116">
        <f t="shared" si="104"/>
        <v>85981.382837505414</v>
      </c>
      <c r="FL88" s="116">
        <f t="shared" si="104"/>
        <v>85981.382837505414</v>
      </c>
      <c r="FM88" s="116">
        <f t="shared" si="104"/>
        <v>85981.382837505414</v>
      </c>
      <c r="FN88" s="116">
        <f t="shared" si="104"/>
        <v>85981.382837505414</v>
      </c>
      <c r="FO88" s="116">
        <f t="shared" si="104"/>
        <v>76154.677151696844</v>
      </c>
      <c r="FP88" s="116">
        <f t="shared" si="104"/>
        <v>76154.677151696844</v>
      </c>
      <c r="FQ88" s="116">
        <f t="shared" si="104"/>
        <v>76154.677151696844</v>
      </c>
      <c r="FR88" s="116">
        <f t="shared" si="104"/>
        <v>76154.677151696844</v>
      </c>
      <c r="FS88" s="116">
        <f t="shared" si="104"/>
        <v>76154.677151696844</v>
      </c>
      <c r="FT88" s="116">
        <f t="shared" si="105"/>
        <v>74415.878913314431</v>
      </c>
      <c r="FU88" s="116">
        <f t="shared" si="105"/>
        <v>74415.878913314431</v>
      </c>
      <c r="FV88" s="116">
        <f t="shared" si="105"/>
        <v>74415.878913314431</v>
      </c>
      <c r="FW88" s="116">
        <f t="shared" si="105"/>
        <v>74415.878913314431</v>
      </c>
      <c r="FX88" s="116">
        <f t="shared" si="105"/>
        <v>74415.878913314431</v>
      </c>
      <c r="FY88" s="116">
        <f t="shared" si="105"/>
        <v>72007.841985642473</v>
      </c>
      <c r="FZ88" s="116">
        <f t="shared" si="92"/>
        <v>72007.841985642473</v>
      </c>
      <c r="GA88" s="116">
        <f t="shared" si="92"/>
        <v>72007.841985642473</v>
      </c>
      <c r="GB88" s="116">
        <f t="shared" si="92"/>
        <v>72007.841985642473</v>
      </c>
      <c r="GC88" s="116">
        <f t="shared" si="92"/>
        <v>72007.841985642473</v>
      </c>
      <c r="GD88" s="116">
        <f t="shared" si="92"/>
        <v>68046.397141430847</v>
      </c>
      <c r="GH88" s="123" t="s">
        <v>215</v>
      </c>
      <c r="GI88" s="103">
        <f t="shared" si="106"/>
        <v>274484.35970746219</v>
      </c>
      <c r="GJ88" s="103">
        <f t="shared" si="106"/>
        <v>274484.35970746219</v>
      </c>
      <c r="GK88" s="103">
        <f t="shared" si="106"/>
        <v>274484.35970746219</v>
      </c>
      <c r="GL88" s="103">
        <f t="shared" si="106"/>
        <v>274484.35970746219</v>
      </c>
      <c r="GM88" s="103">
        <f t="shared" si="106"/>
        <v>274484.35970746219</v>
      </c>
      <c r="GN88" s="103">
        <f t="shared" si="106"/>
        <v>274484.35970746219</v>
      </c>
      <c r="GO88" s="103">
        <f t="shared" si="106"/>
        <v>274484.35970746219</v>
      </c>
      <c r="GP88" s="103">
        <f t="shared" si="106"/>
        <v>274484.35970746219</v>
      </c>
      <c r="GQ88" s="103">
        <f t="shared" si="106"/>
        <v>274484.35970746219</v>
      </c>
      <c r="GR88" s="103">
        <f t="shared" si="106"/>
        <v>274484.35970746219</v>
      </c>
      <c r="GS88" s="103">
        <f t="shared" si="106"/>
        <v>274484.35970746219</v>
      </c>
      <c r="GT88" s="103">
        <f t="shared" si="106"/>
        <v>274484.35970746219</v>
      </c>
      <c r="GU88" s="103">
        <f t="shared" si="106"/>
        <v>274484.35970746219</v>
      </c>
      <c r="GV88" s="103">
        <f t="shared" si="106"/>
        <v>274484.35970746219</v>
      </c>
      <c r="GW88" s="103">
        <f t="shared" si="106"/>
        <v>274484.35970746219</v>
      </c>
      <c r="GX88" s="103">
        <f t="shared" si="106"/>
        <v>274484.35970746219</v>
      </c>
      <c r="GY88" s="103">
        <f t="shared" si="107"/>
        <v>274484.35970746219</v>
      </c>
      <c r="GZ88" s="103">
        <f t="shared" si="107"/>
        <v>274484.35970746219</v>
      </c>
      <c r="HA88" s="103">
        <f t="shared" si="107"/>
        <v>274484.35970746219</v>
      </c>
      <c r="HB88" s="103">
        <f t="shared" si="107"/>
        <v>274484.35970746219</v>
      </c>
      <c r="HC88" s="103">
        <f t="shared" si="107"/>
        <v>274484.35970746219</v>
      </c>
      <c r="HD88" s="103">
        <f t="shared" si="107"/>
        <v>274484.35970746219</v>
      </c>
      <c r="HE88" s="103">
        <f t="shared" si="89"/>
        <v>274484.35970746219</v>
      </c>
      <c r="HF88" s="103">
        <f t="shared" si="89"/>
        <v>274484.35970746219</v>
      </c>
      <c r="HG88" s="103">
        <f t="shared" si="89"/>
        <v>274484.35970746219</v>
      </c>
      <c r="HH88" s="103">
        <f t="shared" si="89"/>
        <v>274484.35970746219</v>
      </c>
      <c r="HI88" s="103">
        <f t="shared" si="89"/>
        <v>274484.35970746219</v>
      </c>
      <c r="HJ88" s="103">
        <f t="shared" si="89"/>
        <v>274484.35970746219</v>
      </c>
    </row>
    <row r="89" spans="26:218" x14ac:dyDescent="0.25">
      <c r="Z89" s="83" t="s">
        <v>212</v>
      </c>
      <c r="AA89" s="114">
        <f>'US Grid mix, emissions&amp;prices'!O86</f>
        <v>45784</v>
      </c>
      <c r="AB89" s="116">
        <f t="shared" si="69"/>
        <v>45784</v>
      </c>
      <c r="AC89" s="116">
        <f t="shared" si="98"/>
        <v>40214.173750202295</v>
      </c>
      <c r="AD89" s="116">
        <f t="shared" si="98"/>
        <v>40214.173750202295</v>
      </c>
      <c r="AE89" s="116">
        <f t="shared" si="98"/>
        <v>40214.173750202295</v>
      </c>
      <c r="AF89" s="116">
        <f t="shared" si="98"/>
        <v>40214.173750202295</v>
      </c>
      <c r="AG89" s="116">
        <f t="shared" si="98"/>
        <v>40214.173750202295</v>
      </c>
      <c r="AH89" s="116">
        <f t="shared" si="98"/>
        <v>15203.939118841563</v>
      </c>
      <c r="AI89" s="116">
        <f t="shared" si="98"/>
        <v>15203.939118841563</v>
      </c>
      <c r="AJ89" s="116">
        <f t="shared" si="98"/>
        <v>15203.939118841563</v>
      </c>
      <c r="AK89" s="116">
        <f t="shared" si="98"/>
        <v>15203.939118841563</v>
      </c>
      <c r="AL89" s="116">
        <f t="shared" si="98"/>
        <v>15203.939118841563</v>
      </c>
      <c r="AM89" s="116">
        <f t="shared" si="98"/>
        <v>12778.915945468978</v>
      </c>
      <c r="AN89" s="116">
        <f t="shared" si="98"/>
        <v>12778.915945468978</v>
      </c>
      <c r="AO89" s="116">
        <f t="shared" si="98"/>
        <v>12778.915945468978</v>
      </c>
      <c r="AP89" s="116">
        <f t="shared" si="98"/>
        <v>12778.915945468978</v>
      </c>
      <c r="AQ89" s="116">
        <f t="shared" si="98"/>
        <v>12778.915945468978</v>
      </c>
      <c r="AR89" s="116">
        <f t="shared" si="98"/>
        <v>12778.915945468978</v>
      </c>
      <c r="AS89" s="116">
        <f t="shared" si="98"/>
        <v>12778.915945468978</v>
      </c>
      <c r="AT89" s="116">
        <f t="shared" si="98"/>
        <v>12778.915945468978</v>
      </c>
      <c r="AU89" s="116">
        <f t="shared" si="98"/>
        <v>12778.915945468978</v>
      </c>
      <c r="AV89" s="116">
        <f t="shared" si="98"/>
        <v>12778.915945468978</v>
      </c>
      <c r="AW89" s="116">
        <f t="shared" si="98"/>
        <v>12839.2504373425</v>
      </c>
      <c r="AX89" s="116">
        <f t="shared" si="98"/>
        <v>12839.2504373425</v>
      </c>
      <c r="AY89" s="116">
        <f t="shared" si="98"/>
        <v>12839.2504373425</v>
      </c>
      <c r="AZ89" s="116">
        <f t="shared" si="98"/>
        <v>12839.2504373425</v>
      </c>
      <c r="BA89" s="116">
        <f t="shared" si="98"/>
        <v>12839.2504373425</v>
      </c>
      <c r="BB89" s="116">
        <f t="shared" si="98"/>
        <v>12915.109593791663</v>
      </c>
      <c r="BM89" s="83" t="s">
        <v>212</v>
      </c>
      <c r="BN89" s="114">
        <f t="shared" si="78"/>
        <v>45784</v>
      </c>
      <c r="BO89" s="116">
        <f t="shared" si="96"/>
        <v>45784</v>
      </c>
      <c r="BP89" s="116">
        <f t="shared" si="96"/>
        <v>36090.258305654243</v>
      </c>
      <c r="BQ89" s="116">
        <f t="shared" si="96"/>
        <v>36090.258305654243</v>
      </c>
      <c r="BR89" s="116">
        <f t="shared" si="96"/>
        <v>36090.258305654243</v>
      </c>
      <c r="BS89" s="116">
        <f t="shared" si="96"/>
        <v>36090.258305654243</v>
      </c>
      <c r="BT89" s="116">
        <f t="shared" si="96"/>
        <v>36090.258305654243</v>
      </c>
      <c r="BU89" s="116">
        <f t="shared" si="96"/>
        <v>2038.6707254105625</v>
      </c>
      <c r="BV89" s="116">
        <f t="shared" si="96"/>
        <v>2038.6707254105625</v>
      </c>
      <c r="BW89" s="116">
        <f t="shared" si="96"/>
        <v>2038.6707254105625</v>
      </c>
      <c r="BX89" s="116">
        <f t="shared" si="96"/>
        <v>2038.6707254105625</v>
      </c>
      <c r="BY89" s="116">
        <f t="shared" si="96"/>
        <v>2038.6707254105625</v>
      </c>
      <c r="BZ89" s="116">
        <f t="shared" si="96"/>
        <v>2126.1733802914591</v>
      </c>
      <c r="CA89" s="116">
        <f t="shared" si="96"/>
        <v>2126.1733802914591</v>
      </c>
      <c r="CB89" s="116">
        <f t="shared" si="96"/>
        <v>2126.1733802914591</v>
      </c>
      <c r="CC89" s="116">
        <f t="shared" si="96"/>
        <v>2126.1733802914591</v>
      </c>
      <c r="CD89" s="116">
        <f t="shared" si="96"/>
        <v>2126.1733802914591</v>
      </c>
      <c r="CE89" s="116">
        <f t="shared" si="94"/>
        <v>2155.8113762995044</v>
      </c>
      <c r="CF89" s="116">
        <f t="shared" si="94"/>
        <v>2155.8113762995044</v>
      </c>
      <c r="CG89" s="116">
        <f t="shared" si="94"/>
        <v>2155.8113762995044</v>
      </c>
      <c r="CH89" s="116">
        <f t="shared" si="94"/>
        <v>2155.8113762995044</v>
      </c>
      <c r="CI89" s="116">
        <f t="shared" si="94"/>
        <v>2155.8113762995044</v>
      </c>
      <c r="CJ89" s="116">
        <f t="shared" si="94"/>
        <v>2231.6705327486688</v>
      </c>
      <c r="CK89" s="116">
        <f t="shared" si="94"/>
        <v>2231.6705327486688</v>
      </c>
      <c r="CL89" s="116">
        <f t="shared" si="94"/>
        <v>2231.6705327486688</v>
      </c>
      <c r="CM89" s="116">
        <f t="shared" si="94"/>
        <v>2231.6705327486688</v>
      </c>
      <c r="CN89" s="116">
        <f t="shared" si="94"/>
        <v>2231.6705327486688</v>
      </c>
      <c r="CO89" s="116">
        <f t="shared" si="94"/>
        <v>2327.6411864890065</v>
      </c>
      <c r="CR89" s="83" t="s">
        <v>212</v>
      </c>
      <c r="CS89" s="114">
        <f t="shared" si="81"/>
        <v>45784</v>
      </c>
      <c r="CT89" s="116">
        <f t="shared" si="97"/>
        <v>2143.8150445819624</v>
      </c>
      <c r="CU89" s="116">
        <f t="shared" si="97"/>
        <v>2143.8150445819624</v>
      </c>
      <c r="CV89" s="116">
        <f t="shared" si="97"/>
        <v>2143.8150445819624</v>
      </c>
      <c r="CW89" s="116">
        <f t="shared" si="97"/>
        <v>2143.8150445819624</v>
      </c>
      <c r="CX89" s="116">
        <f t="shared" si="97"/>
        <v>2143.8150445819624</v>
      </c>
      <c r="CY89" s="116">
        <f t="shared" si="97"/>
        <v>2143.8150445819624</v>
      </c>
      <c r="CZ89" s="116">
        <f t="shared" si="97"/>
        <v>2143.8150445819624</v>
      </c>
      <c r="DA89" s="116">
        <f t="shared" si="97"/>
        <v>2143.8150445819624</v>
      </c>
      <c r="DB89" s="116">
        <f t="shared" si="97"/>
        <v>2143.8150445819624</v>
      </c>
      <c r="DC89" s="116">
        <f t="shared" si="97"/>
        <v>2143.8150445819624</v>
      </c>
      <c r="DD89" s="116">
        <f t="shared" si="97"/>
        <v>2143.8150445819624</v>
      </c>
      <c r="DE89" s="116">
        <f t="shared" si="97"/>
        <v>2205.2080363129139</v>
      </c>
      <c r="DF89" s="116">
        <f t="shared" si="97"/>
        <v>2205.2080363129139</v>
      </c>
      <c r="DG89" s="116">
        <f t="shared" si="97"/>
        <v>2205.2080363129139</v>
      </c>
      <c r="DH89" s="116">
        <f t="shared" si="97"/>
        <v>2205.2080363129139</v>
      </c>
      <c r="DI89" s="116">
        <f t="shared" si="97"/>
        <v>2205.2080363129139</v>
      </c>
      <c r="DJ89" s="116">
        <f t="shared" si="95"/>
        <v>2319.8788542011853</v>
      </c>
      <c r="DK89" s="116">
        <f t="shared" si="95"/>
        <v>2319.8788542011853</v>
      </c>
      <c r="DL89" s="116">
        <f t="shared" si="95"/>
        <v>2319.8788542011853</v>
      </c>
      <c r="DM89" s="116">
        <f t="shared" si="95"/>
        <v>2319.8788542011853</v>
      </c>
      <c r="DN89" s="116">
        <f t="shared" si="95"/>
        <v>2319.8788542011853</v>
      </c>
      <c r="DO89" s="116">
        <f t="shared" si="95"/>
        <v>2395.7380106503497</v>
      </c>
      <c r="DP89" s="116">
        <f t="shared" si="95"/>
        <v>2395.7380106503497</v>
      </c>
      <c r="DQ89" s="116">
        <f t="shared" si="95"/>
        <v>2395.7380106503497</v>
      </c>
      <c r="DR89" s="116">
        <f t="shared" si="95"/>
        <v>2395.7380106503497</v>
      </c>
      <c r="DS89" s="116">
        <f t="shared" si="95"/>
        <v>2395.7380106503497</v>
      </c>
      <c r="DT89" s="116">
        <f t="shared" si="95"/>
        <v>2492.0614976764978</v>
      </c>
      <c r="DW89" s="83" t="s">
        <v>212</v>
      </c>
      <c r="DX89" s="114">
        <f t="shared" si="84"/>
        <v>60488.839986860745</v>
      </c>
      <c r="DY89" s="116">
        <f t="shared" si="102"/>
        <v>60488.839986860745</v>
      </c>
      <c r="DZ89" s="116">
        <f t="shared" si="102"/>
        <v>52920.366010906197</v>
      </c>
      <c r="EA89" s="116">
        <f t="shared" si="102"/>
        <v>52920.366010906197</v>
      </c>
      <c r="EB89" s="116">
        <f t="shared" si="102"/>
        <v>52920.366010906197</v>
      </c>
      <c r="EC89" s="116">
        <f t="shared" si="102"/>
        <v>52920.366010906197</v>
      </c>
      <c r="ED89" s="116">
        <f t="shared" si="102"/>
        <v>52920.366010906197</v>
      </c>
      <c r="EE89" s="116">
        <f t="shared" si="102"/>
        <v>32925.019090292975</v>
      </c>
      <c r="EF89" s="116">
        <f t="shared" si="102"/>
        <v>32925.019090292975</v>
      </c>
      <c r="EG89" s="116">
        <f t="shared" si="102"/>
        <v>32925.019090292975</v>
      </c>
      <c r="EH89" s="116">
        <f t="shared" si="102"/>
        <v>32925.019090292975</v>
      </c>
      <c r="EI89" s="116">
        <f t="shared" si="102"/>
        <v>32925.019090292975</v>
      </c>
      <c r="EJ89" s="116">
        <f t="shared" si="102"/>
        <v>29316.569596874899</v>
      </c>
      <c r="EK89" s="116">
        <f t="shared" si="102"/>
        <v>29316.569596874899</v>
      </c>
      <c r="EL89" s="116">
        <f t="shared" si="102"/>
        <v>29316.569596874899</v>
      </c>
      <c r="EM89" s="116">
        <f t="shared" si="102"/>
        <v>29316.569596874899</v>
      </c>
      <c r="EN89" s="116">
        <f t="shared" si="102"/>
        <v>29316.569596874899</v>
      </c>
      <c r="EO89" s="116">
        <f t="shared" si="103"/>
        <v>28486.545047838401</v>
      </c>
      <c r="EP89" s="116">
        <f t="shared" si="103"/>
        <v>28486.545047838401</v>
      </c>
      <c r="EQ89" s="116">
        <f t="shared" si="103"/>
        <v>28486.545047838401</v>
      </c>
      <c r="ER89" s="116">
        <f t="shared" si="103"/>
        <v>28486.545047838401</v>
      </c>
      <c r="ES89" s="116">
        <f t="shared" si="103"/>
        <v>28486.545047838401</v>
      </c>
      <c r="ET89" s="116">
        <f t="shared" si="103"/>
        <v>27478.38347515382</v>
      </c>
      <c r="EU89" s="116">
        <f t="shared" si="91"/>
        <v>27478.38347515382</v>
      </c>
      <c r="EV89" s="116">
        <f t="shared" si="91"/>
        <v>27478.38347515382</v>
      </c>
      <c r="EW89" s="116">
        <f t="shared" si="91"/>
        <v>27478.38347515382</v>
      </c>
      <c r="EX89" s="116">
        <f t="shared" si="91"/>
        <v>27478.38347515382</v>
      </c>
      <c r="EY89" s="116">
        <f t="shared" si="91"/>
        <v>25871.732765464534</v>
      </c>
      <c r="FB89" s="83" t="s">
        <v>212</v>
      </c>
      <c r="FC89" s="114">
        <f t="shared" si="86"/>
        <v>65389.103292057713</v>
      </c>
      <c r="FD89" s="116">
        <f t="shared" si="104"/>
        <v>65389.103292057713</v>
      </c>
      <c r="FE89" s="116">
        <f t="shared" si="104"/>
        <v>57008.546625563598</v>
      </c>
      <c r="FF89" s="116">
        <f t="shared" si="104"/>
        <v>57008.546625563598</v>
      </c>
      <c r="FG89" s="116">
        <f t="shared" si="104"/>
        <v>57008.546625563598</v>
      </c>
      <c r="FH89" s="116">
        <f t="shared" si="104"/>
        <v>57008.546625563598</v>
      </c>
      <c r="FI89" s="116">
        <f t="shared" si="104"/>
        <v>57008.546625563598</v>
      </c>
      <c r="FJ89" s="116">
        <f t="shared" si="104"/>
        <v>36058.436520649513</v>
      </c>
      <c r="FK89" s="116">
        <f t="shared" si="104"/>
        <v>36058.436520649513</v>
      </c>
      <c r="FL89" s="116">
        <f t="shared" si="104"/>
        <v>36058.436520649513</v>
      </c>
      <c r="FM89" s="116">
        <f t="shared" si="104"/>
        <v>36058.436520649513</v>
      </c>
      <c r="FN89" s="116">
        <f t="shared" si="104"/>
        <v>36058.436520649513</v>
      </c>
      <c r="FO89" s="116">
        <f t="shared" si="104"/>
        <v>31937.362498747745</v>
      </c>
      <c r="FP89" s="116">
        <f t="shared" si="104"/>
        <v>31937.362498747745</v>
      </c>
      <c r="FQ89" s="116">
        <f t="shared" si="104"/>
        <v>31937.362498747745</v>
      </c>
      <c r="FR89" s="116">
        <f t="shared" si="104"/>
        <v>31937.362498747745</v>
      </c>
      <c r="FS89" s="116">
        <f t="shared" si="104"/>
        <v>31937.362498747745</v>
      </c>
      <c r="FT89" s="116">
        <f t="shared" si="105"/>
        <v>31208.154106979702</v>
      </c>
      <c r="FU89" s="116">
        <f t="shared" si="105"/>
        <v>31208.154106979702</v>
      </c>
      <c r="FV89" s="116">
        <f t="shared" si="105"/>
        <v>31208.154106979702</v>
      </c>
      <c r="FW89" s="116">
        <f t="shared" si="105"/>
        <v>31208.154106979702</v>
      </c>
      <c r="FX89" s="116">
        <f t="shared" si="105"/>
        <v>31208.154106979702</v>
      </c>
      <c r="FY89" s="116">
        <f t="shared" si="105"/>
        <v>30198.283785866843</v>
      </c>
      <c r="FZ89" s="116">
        <f t="shared" si="92"/>
        <v>30198.283785866843</v>
      </c>
      <c r="GA89" s="116">
        <f t="shared" si="92"/>
        <v>30198.283785866843</v>
      </c>
      <c r="GB89" s="116">
        <f t="shared" si="92"/>
        <v>30198.283785866843</v>
      </c>
      <c r="GC89" s="116">
        <f t="shared" si="92"/>
        <v>30198.283785866843</v>
      </c>
      <c r="GD89" s="116">
        <f t="shared" si="92"/>
        <v>28536.953126472632</v>
      </c>
      <c r="GH89" s="123" t="s">
        <v>212</v>
      </c>
      <c r="GI89" s="103">
        <f t="shared" si="106"/>
        <v>115111.8594955341</v>
      </c>
      <c r="GJ89" s="103">
        <f t="shared" si="106"/>
        <v>115111.8594955341</v>
      </c>
      <c r="GK89" s="103">
        <f t="shared" si="106"/>
        <v>115111.8594955341</v>
      </c>
      <c r="GL89" s="103">
        <f t="shared" si="106"/>
        <v>115111.8594955341</v>
      </c>
      <c r="GM89" s="103">
        <f t="shared" si="106"/>
        <v>115111.8594955341</v>
      </c>
      <c r="GN89" s="103">
        <f t="shared" si="106"/>
        <v>115111.8594955341</v>
      </c>
      <c r="GO89" s="103">
        <f t="shared" si="106"/>
        <v>115111.8594955341</v>
      </c>
      <c r="GP89" s="103">
        <f t="shared" si="106"/>
        <v>115111.8594955341</v>
      </c>
      <c r="GQ89" s="103">
        <f t="shared" si="106"/>
        <v>115111.8594955341</v>
      </c>
      <c r="GR89" s="103">
        <f t="shared" si="106"/>
        <v>115111.8594955341</v>
      </c>
      <c r="GS89" s="103">
        <f t="shared" si="106"/>
        <v>115111.8594955341</v>
      </c>
      <c r="GT89" s="103">
        <f t="shared" si="106"/>
        <v>115111.8594955341</v>
      </c>
      <c r="GU89" s="103">
        <f t="shared" si="106"/>
        <v>115111.8594955341</v>
      </c>
      <c r="GV89" s="103">
        <f t="shared" si="106"/>
        <v>115111.8594955341</v>
      </c>
      <c r="GW89" s="103">
        <f t="shared" si="106"/>
        <v>115111.8594955341</v>
      </c>
      <c r="GX89" s="103">
        <f t="shared" si="106"/>
        <v>115111.8594955341</v>
      </c>
      <c r="GY89" s="103">
        <f t="shared" si="107"/>
        <v>115111.8594955341</v>
      </c>
      <c r="GZ89" s="103">
        <f t="shared" si="107"/>
        <v>115111.8594955341</v>
      </c>
      <c r="HA89" s="103">
        <f t="shared" si="107"/>
        <v>115111.8594955341</v>
      </c>
      <c r="HB89" s="103">
        <f t="shared" si="107"/>
        <v>115111.8594955341</v>
      </c>
      <c r="HC89" s="103">
        <f t="shared" si="107"/>
        <v>115111.8594955341</v>
      </c>
      <c r="HD89" s="103">
        <f t="shared" si="107"/>
        <v>115111.8594955341</v>
      </c>
      <c r="HE89" s="103">
        <f t="shared" si="89"/>
        <v>115111.8594955341</v>
      </c>
      <c r="HF89" s="103">
        <f t="shared" si="89"/>
        <v>115111.8594955341</v>
      </c>
      <c r="HG89" s="103">
        <f t="shared" si="89"/>
        <v>115111.8594955341</v>
      </c>
      <c r="HH89" s="103">
        <f t="shared" si="89"/>
        <v>115111.8594955341</v>
      </c>
      <c r="HI89" s="103">
        <f t="shared" si="89"/>
        <v>115111.8594955341</v>
      </c>
      <c r="HJ89" s="103">
        <f t="shared" si="89"/>
        <v>115111.8594955341</v>
      </c>
    </row>
    <row r="90" spans="26:218" x14ac:dyDescent="0.25">
      <c r="Z90" s="83" t="s">
        <v>213</v>
      </c>
      <c r="AA90" s="114">
        <f>'US Grid mix, emissions&amp;prices'!O87</f>
        <v>82438</v>
      </c>
      <c r="AB90" s="116">
        <f t="shared" si="69"/>
        <v>82438</v>
      </c>
      <c r="AC90" s="116">
        <f t="shared" si="98"/>
        <v>72409.052411741577</v>
      </c>
      <c r="AD90" s="116">
        <f t="shared" si="98"/>
        <v>72409.052411741577</v>
      </c>
      <c r="AE90" s="116">
        <f t="shared" si="98"/>
        <v>72409.052411741577</v>
      </c>
      <c r="AF90" s="116">
        <f t="shared" si="98"/>
        <v>72409.052411741577</v>
      </c>
      <c r="AG90" s="116">
        <f t="shared" si="98"/>
        <v>72409.052411741577</v>
      </c>
      <c r="AH90" s="116">
        <f t="shared" si="98"/>
        <v>27375.990151123991</v>
      </c>
      <c r="AI90" s="116">
        <f t="shared" si="98"/>
        <v>27375.990151123991</v>
      </c>
      <c r="AJ90" s="116">
        <f t="shared" si="98"/>
        <v>27375.990151123991</v>
      </c>
      <c r="AK90" s="116">
        <f t="shared" si="98"/>
        <v>27375.990151123991</v>
      </c>
      <c r="AL90" s="116">
        <f t="shared" si="98"/>
        <v>27375.990151123991</v>
      </c>
      <c r="AM90" s="116">
        <f t="shared" si="98"/>
        <v>23009.528933963211</v>
      </c>
      <c r="AN90" s="116">
        <f t="shared" si="98"/>
        <v>23009.528933963211</v>
      </c>
      <c r="AO90" s="116">
        <f t="shared" si="98"/>
        <v>23009.528933963211</v>
      </c>
      <c r="AP90" s="116">
        <f t="shared" si="98"/>
        <v>23009.528933963211</v>
      </c>
      <c r="AQ90" s="116">
        <f t="shared" si="98"/>
        <v>23009.528933963211</v>
      </c>
      <c r="AR90" s="116">
        <f t="shared" si="98"/>
        <v>23009.528933963211</v>
      </c>
      <c r="AS90" s="116">
        <f t="shared" si="98"/>
        <v>23009.528933963211</v>
      </c>
      <c r="AT90" s="116">
        <f t="shared" si="98"/>
        <v>23009.528933963211</v>
      </c>
      <c r="AU90" s="116">
        <f t="shared" si="98"/>
        <v>23009.528933963211</v>
      </c>
      <c r="AV90" s="116">
        <f t="shared" si="98"/>
        <v>23009.528933963211</v>
      </c>
      <c r="AW90" s="116">
        <f t="shared" si="98"/>
        <v>23118.166336572624</v>
      </c>
      <c r="AX90" s="116">
        <f t="shared" si="98"/>
        <v>23118.166336572624</v>
      </c>
      <c r="AY90" s="116">
        <f t="shared" si="98"/>
        <v>23118.166336572624</v>
      </c>
      <c r="AZ90" s="116">
        <f t="shared" si="98"/>
        <v>23118.166336572624</v>
      </c>
      <c r="BA90" s="116">
        <f t="shared" si="98"/>
        <v>23118.166336572624</v>
      </c>
      <c r="BB90" s="116">
        <f t="shared" si="98"/>
        <v>23254.757222894401</v>
      </c>
      <c r="BM90" s="83" t="s">
        <v>213</v>
      </c>
      <c r="BN90" s="114">
        <f t="shared" si="78"/>
        <v>82438</v>
      </c>
      <c r="BO90" s="116">
        <f t="shared" si="96"/>
        <v>82438</v>
      </c>
      <c r="BP90" s="116">
        <f t="shared" si="96"/>
        <v>64983.590647421028</v>
      </c>
      <c r="BQ90" s="116">
        <f t="shared" si="96"/>
        <v>64983.590647421028</v>
      </c>
      <c r="BR90" s="116">
        <f t="shared" si="96"/>
        <v>64983.590647421028</v>
      </c>
      <c r="BS90" s="116">
        <f t="shared" si="96"/>
        <v>64983.590647421028</v>
      </c>
      <c r="BT90" s="116">
        <f t="shared" si="96"/>
        <v>64983.590647421028</v>
      </c>
      <c r="BU90" s="116">
        <f t="shared" si="96"/>
        <v>3670.800656591734</v>
      </c>
      <c r="BV90" s="116">
        <f t="shared" si="96"/>
        <v>3670.800656591734</v>
      </c>
      <c r="BW90" s="116">
        <f t="shared" si="96"/>
        <v>3670.800656591734</v>
      </c>
      <c r="BX90" s="116">
        <f t="shared" si="96"/>
        <v>3670.800656591734</v>
      </c>
      <c r="BY90" s="116">
        <f t="shared" si="96"/>
        <v>3670.800656591734</v>
      </c>
      <c r="BZ90" s="116">
        <f t="shared" si="96"/>
        <v>3828.356655697783</v>
      </c>
      <c r="CA90" s="116">
        <f t="shared" si="96"/>
        <v>3828.356655697783</v>
      </c>
      <c r="CB90" s="116">
        <f t="shared" si="96"/>
        <v>3828.356655697783</v>
      </c>
      <c r="CC90" s="116">
        <f t="shared" si="96"/>
        <v>3828.356655697783</v>
      </c>
      <c r="CD90" s="116">
        <f t="shared" si="96"/>
        <v>3828.356655697783</v>
      </c>
      <c r="CE90" s="116">
        <f t="shared" si="94"/>
        <v>3881.7223973304772</v>
      </c>
      <c r="CF90" s="116">
        <f t="shared" si="94"/>
        <v>3881.7223973304772</v>
      </c>
      <c r="CG90" s="116">
        <f t="shared" si="94"/>
        <v>3881.7223973304772</v>
      </c>
      <c r="CH90" s="116">
        <f t="shared" si="94"/>
        <v>3881.7223973304772</v>
      </c>
      <c r="CI90" s="116">
        <f t="shared" si="94"/>
        <v>3881.7223973304772</v>
      </c>
      <c r="CJ90" s="116">
        <f t="shared" si="94"/>
        <v>4018.3132836522532</v>
      </c>
      <c r="CK90" s="116">
        <f t="shared" si="94"/>
        <v>4018.3132836522532</v>
      </c>
      <c r="CL90" s="116">
        <f t="shared" si="94"/>
        <v>4018.3132836522532</v>
      </c>
      <c r="CM90" s="116">
        <f t="shared" si="94"/>
        <v>4018.3132836522532</v>
      </c>
      <c r="CN90" s="116">
        <f t="shared" si="94"/>
        <v>4018.3132836522532</v>
      </c>
      <c r="CO90" s="116">
        <f t="shared" si="94"/>
        <v>4191.1166375104995</v>
      </c>
      <c r="CR90" s="83" t="s">
        <v>213</v>
      </c>
      <c r="CS90" s="114">
        <f t="shared" si="81"/>
        <v>82438</v>
      </c>
      <c r="CT90" s="116">
        <f t="shared" si="97"/>
        <v>3860.121978098196</v>
      </c>
      <c r="CU90" s="116">
        <f t="shared" si="97"/>
        <v>3860.121978098196</v>
      </c>
      <c r="CV90" s="116">
        <f t="shared" si="97"/>
        <v>3860.121978098196</v>
      </c>
      <c r="CW90" s="116">
        <f t="shared" si="97"/>
        <v>3860.121978098196</v>
      </c>
      <c r="CX90" s="116">
        <f t="shared" si="97"/>
        <v>3860.121978098196</v>
      </c>
      <c r="CY90" s="116">
        <f t="shared" si="97"/>
        <v>3860.121978098196</v>
      </c>
      <c r="CZ90" s="116">
        <f t="shared" si="97"/>
        <v>3860.121978098196</v>
      </c>
      <c r="DA90" s="116">
        <f t="shared" si="97"/>
        <v>3860.121978098196</v>
      </c>
      <c r="DB90" s="116">
        <f t="shared" si="97"/>
        <v>3860.121978098196</v>
      </c>
      <c r="DC90" s="116">
        <f t="shared" si="97"/>
        <v>3860.121978098196</v>
      </c>
      <c r="DD90" s="116">
        <f t="shared" si="97"/>
        <v>3860.121978098196</v>
      </c>
      <c r="DE90" s="116">
        <f t="shared" si="97"/>
        <v>3970.6653000516335</v>
      </c>
      <c r="DF90" s="116">
        <f t="shared" si="97"/>
        <v>3970.6653000516335</v>
      </c>
      <c r="DG90" s="116">
        <f t="shared" si="97"/>
        <v>3970.6653000516335</v>
      </c>
      <c r="DH90" s="116">
        <f t="shared" si="97"/>
        <v>3970.6653000516335</v>
      </c>
      <c r="DI90" s="116">
        <f t="shared" si="97"/>
        <v>3970.6653000516335</v>
      </c>
      <c r="DJ90" s="116">
        <f t="shared" si="95"/>
        <v>4177.139895654318</v>
      </c>
      <c r="DK90" s="116">
        <f t="shared" si="95"/>
        <v>4177.139895654318</v>
      </c>
      <c r="DL90" s="116">
        <f t="shared" si="95"/>
        <v>4177.139895654318</v>
      </c>
      <c r="DM90" s="116">
        <f t="shared" si="95"/>
        <v>4177.139895654318</v>
      </c>
      <c r="DN90" s="116">
        <f t="shared" si="95"/>
        <v>4177.139895654318</v>
      </c>
      <c r="DO90" s="116">
        <f t="shared" si="95"/>
        <v>4313.7307819760945</v>
      </c>
      <c r="DP90" s="116">
        <f t="shared" si="95"/>
        <v>4313.7307819760945</v>
      </c>
      <c r="DQ90" s="116">
        <f t="shared" si="95"/>
        <v>4313.7307819760945</v>
      </c>
      <c r="DR90" s="116">
        <f t="shared" si="95"/>
        <v>4313.7307819760945</v>
      </c>
      <c r="DS90" s="116">
        <f t="shared" si="95"/>
        <v>4313.7307819760945</v>
      </c>
      <c r="DT90" s="116">
        <f t="shared" si="95"/>
        <v>4487.1694422823502</v>
      </c>
      <c r="DW90" s="83" t="s">
        <v>213</v>
      </c>
      <c r="DX90" s="114">
        <f t="shared" si="84"/>
        <v>108915.31956222319</v>
      </c>
      <c r="DY90" s="116">
        <f t="shared" si="102"/>
        <v>108915.31956222319</v>
      </c>
      <c r="DZ90" s="116">
        <f t="shared" si="102"/>
        <v>95287.636143785727</v>
      </c>
      <c r="EA90" s="116">
        <f t="shared" si="102"/>
        <v>95287.636143785727</v>
      </c>
      <c r="EB90" s="116">
        <f t="shared" si="102"/>
        <v>95287.636143785727</v>
      </c>
      <c r="EC90" s="116">
        <f t="shared" si="102"/>
        <v>95287.636143785727</v>
      </c>
      <c r="ED90" s="116">
        <f t="shared" si="102"/>
        <v>95287.636143785727</v>
      </c>
      <c r="EE90" s="116">
        <f t="shared" si="102"/>
        <v>59284.30726379461</v>
      </c>
      <c r="EF90" s="116">
        <f t="shared" si="102"/>
        <v>59284.30726379461</v>
      </c>
      <c r="EG90" s="116">
        <f t="shared" si="102"/>
        <v>59284.30726379461</v>
      </c>
      <c r="EH90" s="116">
        <f t="shared" si="102"/>
        <v>59284.30726379461</v>
      </c>
      <c r="EI90" s="116">
        <f t="shared" si="102"/>
        <v>59284.30726379461</v>
      </c>
      <c r="EJ90" s="116">
        <f t="shared" si="102"/>
        <v>52786.98594328091</v>
      </c>
      <c r="EK90" s="116">
        <f t="shared" si="102"/>
        <v>52786.98594328091</v>
      </c>
      <c r="EL90" s="116">
        <f t="shared" si="102"/>
        <v>52786.98594328091</v>
      </c>
      <c r="EM90" s="116">
        <f t="shared" si="102"/>
        <v>52786.98594328091</v>
      </c>
      <c r="EN90" s="116">
        <f t="shared" si="102"/>
        <v>52786.98594328091</v>
      </c>
      <c r="EO90" s="116">
        <f t="shared" si="103"/>
        <v>51292.455894061291</v>
      </c>
      <c r="EP90" s="116">
        <f t="shared" si="103"/>
        <v>51292.455894061291</v>
      </c>
      <c r="EQ90" s="116">
        <f t="shared" si="103"/>
        <v>51292.455894061291</v>
      </c>
      <c r="ER90" s="116">
        <f t="shared" si="103"/>
        <v>51292.455894061291</v>
      </c>
      <c r="ES90" s="116">
        <f t="shared" si="103"/>
        <v>51292.455894061291</v>
      </c>
      <c r="ET90" s="116">
        <f t="shared" si="103"/>
        <v>49477.174928462577</v>
      </c>
      <c r="EU90" s="116">
        <f t="shared" si="91"/>
        <v>49477.174928462577</v>
      </c>
      <c r="EV90" s="116">
        <f t="shared" si="91"/>
        <v>49477.174928462577</v>
      </c>
      <c r="EW90" s="116">
        <f t="shared" si="91"/>
        <v>49477.174928462577</v>
      </c>
      <c r="EX90" s="116">
        <f t="shared" si="91"/>
        <v>49477.174928462577</v>
      </c>
      <c r="EY90" s="116">
        <f t="shared" si="91"/>
        <v>46584.263186252087</v>
      </c>
      <c r="FB90" s="83" t="s">
        <v>213</v>
      </c>
      <c r="FC90" s="114">
        <f t="shared" si="86"/>
        <v>117738.66191662269</v>
      </c>
      <c r="FD90" s="116">
        <f t="shared" si="104"/>
        <v>117738.66191662269</v>
      </c>
      <c r="FE90" s="116">
        <f t="shared" si="104"/>
        <v>102648.75429665847</v>
      </c>
      <c r="FF90" s="116">
        <f t="shared" si="104"/>
        <v>102648.75429665847</v>
      </c>
      <c r="FG90" s="116">
        <f t="shared" si="104"/>
        <v>102648.75429665847</v>
      </c>
      <c r="FH90" s="116">
        <f t="shared" si="104"/>
        <v>102648.75429665847</v>
      </c>
      <c r="FI90" s="116">
        <f t="shared" si="104"/>
        <v>102648.75429665847</v>
      </c>
      <c r="FJ90" s="116">
        <f t="shared" si="104"/>
        <v>64926.292807297395</v>
      </c>
      <c r="FK90" s="116">
        <f t="shared" si="104"/>
        <v>64926.292807297395</v>
      </c>
      <c r="FL90" s="116">
        <f t="shared" si="104"/>
        <v>64926.292807297395</v>
      </c>
      <c r="FM90" s="116">
        <f t="shared" si="104"/>
        <v>64926.292807297395</v>
      </c>
      <c r="FN90" s="116">
        <f t="shared" si="104"/>
        <v>64926.292807297395</v>
      </c>
      <c r="FO90" s="116">
        <f t="shared" si="104"/>
        <v>57505.947266987736</v>
      </c>
      <c r="FP90" s="116">
        <f t="shared" si="104"/>
        <v>57505.947266987736</v>
      </c>
      <c r="FQ90" s="116">
        <f t="shared" si="104"/>
        <v>57505.947266987736</v>
      </c>
      <c r="FR90" s="116">
        <f t="shared" si="104"/>
        <v>57505.947266987736</v>
      </c>
      <c r="FS90" s="116">
        <f t="shared" si="104"/>
        <v>57505.947266987736</v>
      </c>
      <c r="FT90" s="116">
        <f t="shared" si="105"/>
        <v>56192.945314327982</v>
      </c>
      <c r="FU90" s="116">
        <f t="shared" si="105"/>
        <v>56192.945314327982</v>
      </c>
      <c r="FV90" s="116">
        <f t="shared" si="105"/>
        <v>56192.945314327982</v>
      </c>
      <c r="FW90" s="116">
        <f t="shared" si="105"/>
        <v>56192.945314327982</v>
      </c>
      <c r="FX90" s="116">
        <f t="shared" si="105"/>
        <v>56192.945314327982</v>
      </c>
      <c r="FY90" s="116">
        <f t="shared" si="105"/>
        <v>54374.587601329957</v>
      </c>
      <c r="FZ90" s="116">
        <f t="shared" si="92"/>
        <v>54374.587601329957</v>
      </c>
      <c r="GA90" s="116">
        <f t="shared" si="92"/>
        <v>54374.587601329957</v>
      </c>
      <c r="GB90" s="116">
        <f t="shared" si="92"/>
        <v>54374.587601329957</v>
      </c>
      <c r="GC90" s="116">
        <f t="shared" si="92"/>
        <v>54374.587601329957</v>
      </c>
      <c r="GD90" s="116">
        <f t="shared" si="92"/>
        <v>51383.219942341224</v>
      </c>
      <c r="GH90" s="123" t="s">
        <v>213</v>
      </c>
      <c r="GI90" s="103">
        <f t="shared" si="106"/>
        <v>207268.72866269527</v>
      </c>
      <c r="GJ90" s="103">
        <f t="shared" si="106"/>
        <v>207268.72866269527</v>
      </c>
      <c r="GK90" s="103">
        <f t="shared" si="106"/>
        <v>207268.72866269527</v>
      </c>
      <c r="GL90" s="103">
        <f t="shared" si="106"/>
        <v>207268.72866269527</v>
      </c>
      <c r="GM90" s="103">
        <f t="shared" si="106"/>
        <v>207268.72866269527</v>
      </c>
      <c r="GN90" s="103">
        <f t="shared" si="106"/>
        <v>207268.72866269527</v>
      </c>
      <c r="GO90" s="103">
        <f t="shared" si="106"/>
        <v>207268.72866269527</v>
      </c>
      <c r="GP90" s="103">
        <f t="shared" si="106"/>
        <v>207268.72866269527</v>
      </c>
      <c r="GQ90" s="103">
        <f t="shared" si="106"/>
        <v>207268.72866269527</v>
      </c>
      <c r="GR90" s="103">
        <f t="shared" si="106"/>
        <v>207268.72866269527</v>
      </c>
      <c r="GS90" s="103">
        <f t="shared" si="106"/>
        <v>207268.72866269527</v>
      </c>
      <c r="GT90" s="103">
        <f t="shared" si="106"/>
        <v>207268.72866269527</v>
      </c>
      <c r="GU90" s="103">
        <f t="shared" si="106"/>
        <v>207268.72866269527</v>
      </c>
      <c r="GV90" s="103">
        <f t="shared" si="106"/>
        <v>207268.72866269527</v>
      </c>
      <c r="GW90" s="103">
        <f t="shared" si="106"/>
        <v>207268.72866269527</v>
      </c>
      <c r="GX90" s="103">
        <f t="shared" si="106"/>
        <v>207268.72866269527</v>
      </c>
      <c r="GY90" s="103">
        <f t="shared" si="107"/>
        <v>207268.72866269527</v>
      </c>
      <c r="GZ90" s="103">
        <f t="shared" si="107"/>
        <v>207268.72866269527</v>
      </c>
      <c r="HA90" s="103">
        <f t="shared" si="107"/>
        <v>207268.72866269527</v>
      </c>
      <c r="HB90" s="103">
        <f t="shared" si="107"/>
        <v>207268.72866269527</v>
      </c>
      <c r="HC90" s="103">
        <f t="shared" si="107"/>
        <v>207268.72866269527</v>
      </c>
      <c r="HD90" s="103">
        <f t="shared" si="107"/>
        <v>207268.72866269527</v>
      </c>
      <c r="HE90" s="103">
        <f t="shared" si="89"/>
        <v>207268.72866269527</v>
      </c>
      <c r="HF90" s="103">
        <f t="shared" si="89"/>
        <v>207268.72866269527</v>
      </c>
      <c r="HG90" s="103">
        <f t="shared" si="89"/>
        <v>207268.72866269527</v>
      </c>
      <c r="HH90" s="103">
        <f t="shared" si="89"/>
        <v>207268.72866269527</v>
      </c>
      <c r="HI90" s="103">
        <f t="shared" si="89"/>
        <v>207268.72866269527</v>
      </c>
      <c r="HJ90" s="103">
        <f t="shared" si="89"/>
        <v>207268.72866269527</v>
      </c>
    </row>
    <row r="91" spans="26:218" x14ac:dyDescent="0.25">
      <c r="Z91" s="83" t="s">
        <v>214</v>
      </c>
      <c r="AA91" s="114">
        <f>'US Grid mix, emissions&amp;prices'!O88</f>
        <v>119063</v>
      </c>
      <c r="AB91" s="116">
        <f t="shared" si="69"/>
        <v>119063</v>
      </c>
      <c r="AC91" s="116">
        <f t="shared" ref="AC91:BB100" si="108">$AA91*AC$112</f>
        <v>104578.45905164108</v>
      </c>
      <c r="AD91" s="116">
        <f t="shared" si="108"/>
        <v>104578.45905164108</v>
      </c>
      <c r="AE91" s="116">
        <f t="shared" si="108"/>
        <v>104578.45905164108</v>
      </c>
      <c r="AF91" s="116">
        <f t="shared" si="108"/>
        <v>104578.45905164108</v>
      </c>
      <c r="AG91" s="116">
        <f t="shared" si="108"/>
        <v>104578.45905164108</v>
      </c>
      <c r="AH91" s="116">
        <f t="shared" si="108"/>
        <v>39538.410870754698</v>
      </c>
      <c r="AI91" s="116">
        <f t="shared" si="108"/>
        <v>39538.410870754698</v>
      </c>
      <c r="AJ91" s="116">
        <f t="shared" si="108"/>
        <v>39538.410870754698</v>
      </c>
      <c r="AK91" s="116">
        <f t="shared" si="108"/>
        <v>39538.410870754698</v>
      </c>
      <c r="AL91" s="116">
        <f t="shared" si="108"/>
        <v>39538.410870754698</v>
      </c>
      <c r="AM91" s="116">
        <f t="shared" si="108"/>
        <v>33232.047641433099</v>
      </c>
      <c r="AN91" s="116">
        <f t="shared" si="108"/>
        <v>33232.047641433099</v>
      </c>
      <c r="AO91" s="116">
        <f t="shared" si="108"/>
        <v>33232.047641433099</v>
      </c>
      <c r="AP91" s="116">
        <f t="shared" si="108"/>
        <v>33232.047641433099</v>
      </c>
      <c r="AQ91" s="116">
        <f t="shared" si="108"/>
        <v>33232.047641433099</v>
      </c>
      <c r="AR91" s="116">
        <f t="shared" si="108"/>
        <v>33232.047641433099</v>
      </c>
      <c r="AS91" s="116">
        <f t="shared" si="108"/>
        <v>33232.047641433099</v>
      </c>
      <c r="AT91" s="116">
        <f t="shared" si="108"/>
        <v>33232.047641433099</v>
      </c>
      <c r="AU91" s="116">
        <f t="shared" si="108"/>
        <v>33232.047641433099</v>
      </c>
      <c r="AV91" s="116">
        <f t="shared" si="108"/>
        <v>33232.047641433099</v>
      </c>
      <c r="AW91" s="116">
        <f t="shared" si="108"/>
        <v>33388.949738365147</v>
      </c>
      <c r="AX91" s="116">
        <f t="shared" si="108"/>
        <v>33388.949738365147</v>
      </c>
      <c r="AY91" s="116">
        <f t="shared" si="108"/>
        <v>33388.949738365147</v>
      </c>
      <c r="AZ91" s="116">
        <f t="shared" si="108"/>
        <v>33388.949738365147</v>
      </c>
      <c r="BA91" s="116">
        <f t="shared" si="108"/>
        <v>33388.949738365147</v>
      </c>
      <c r="BB91" s="116">
        <f t="shared" si="108"/>
        <v>33586.22430468323</v>
      </c>
      <c r="BM91" s="83" t="s">
        <v>214</v>
      </c>
      <c r="BN91" s="114">
        <f t="shared" si="78"/>
        <v>119063</v>
      </c>
      <c r="BO91" s="116">
        <f t="shared" si="96"/>
        <v>119063</v>
      </c>
      <c r="BP91" s="116">
        <f t="shared" si="96"/>
        <v>93854.063092916971</v>
      </c>
      <c r="BQ91" s="116">
        <f t="shared" si="96"/>
        <v>93854.063092916971</v>
      </c>
      <c r="BR91" s="116">
        <f t="shared" si="96"/>
        <v>93854.063092916971</v>
      </c>
      <c r="BS91" s="116">
        <f t="shared" si="96"/>
        <v>93854.063092916971</v>
      </c>
      <c r="BT91" s="116">
        <f t="shared" si="96"/>
        <v>93854.063092916971</v>
      </c>
      <c r="BU91" s="116">
        <f t="shared" si="96"/>
        <v>5301.6392752830207</v>
      </c>
      <c r="BV91" s="116">
        <f t="shared" si="96"/>
        <v>5301.6392752830207</v>
      </c>
      <c r="BW91" s="116">
        <f t="shared" si="96"/>
        <v>5301.6392752830207</v>
      </c>
      <c r="BX91" s="116">
        <f t="shared" si="96"/>
        <v>5301.6392752830207</v>
      </c>
      <c r="BY91" s="116">
        <f t="shared" si="96"/>
        <v>5301.6392752830207</v>
      </c>
      <c r="BZ91" s="116">
        <f t="shared" si="96"/>
        <v>5529.1931936406163</v>
      </c>
      <c r="CA91" s="116">
        <f t="shared" si="96"/>
        <v>5529.1931936406163</v>
      </c>
      <c r="CB91" s="116">
        <f t="shared" si="96"/>
        <v>5529.1931936406163</v>
      </c>
      <c r="CC91" s="116">
        <f t="shared" si="96"/>
        <v>5529.1931936406163</v>
      </c>
      <c r="CD91" s="116">
        <f t="shared" si="96"/>
        <v>5529.1931936406163</v>
      </c>
      <c r="CE91" s="116">
        <f t="shared" si="94"/>
        <v>5606.2679079230284</v>
      </c>
      <c r="CF91" s="116">
        <f t="shared" si="94"/>
        <v>5606.2679079230284</v>
      </c>
      <c r="CG91" s="116">
        <f t="shared" si="94"/>
        <v>5606.2679079230284</v>
      </c>
      <c r="CH91" s="116">
        <f t="shared" si="94"/>
        <v>5606.2679079230284</v>
      </c>
      <c r="CI91" s="116">
        <f t="shared" si="94"/>
        <v>5606.2679079230284</v>
      </c>
      <c r="CJ91" s="116">
        <f t="shared" si="94"/>
        <v>5803.5424742411051</v>
      </c>
      <c r="CK91" s="116">
        <f t="shared" si="94"/>
        <v>5803.5424742411051</v>
      </c>
      <c r="CL91" s="116">
        <f t="shared" si="94"/>
        <v>5803.5424742411051</v>
      </c>
      <c r="CM91" s="116">
        <f t="shared" si="94"/>
        <v>5803.5424742411051</v>
      </c>
      <c r="CN91" s="116">
        <f t="shared" si="94"/>
        <v>5803.5424742411051</v>
      </c>
      <c r="CO91" s="116">
        <f t="shared" si="94"/>
        <v>6053.1177395365321</v>
      </c>
      <c r="CR91" s="83" t="s">
        <v>214</v>
      </c>
      <c r="CS91" s="114">
        <f t="shared" si="81"/>
        <v>119063</v>
      </c>
      <c r="CT91" s="116">
        <f t="shared" si="97"/>
        <v>5575.0709997610993</v>
      </c>
      <c r="CU91" s="116">
        <f t="shared" si="97"/>
        <v>5575.0709997610993</v>
      </c>
      <c r="CV91" s="116">
        <f t="shared" si="97"/>
        <v>5575.0709997610993</v>
      </c>
      <c r="CW91" s="116">
        <f t="shared" si="97"/>
        <v>5575.0709997610993</v>
      </c>
      <c r="CX91" s="116">
        <f t="shared" si="97"/>
        <v>5575.0709997610993</v>
      </c>
      <c r="CY91" s="116">
        <f t="shared" si="97"/>
        <v>5575.0709997610993</v>
      </c>
      <c r="CZ91" s="116">
        <f t="shared" si="97"/>
        <v>5575.0709997610993</v>
      </c>
      <c r="DA91" s="116">
        <f t="shared" si="97"/>
        <v>5575.0709997610993</v>
      </c>
      <c r="DB91" s="116">
        <f t="shared" si="97"/>
        <v>5575.0709997610993</v>
      </c>
      <c r="DC91" s="116">
        <f t="shared" si="97"/>
        <v>5575.0709997610993</v>
      </c>
      <c r="DD91" s="116">
        <f t="shared" si="97"/>
        <v>5575.0709997610993</v>
      </c>
      <c r="DE91" s="116">
        <f t="shared" si="97"/>
        <v>5734.7257650603806</v>
      </c>
      <c r="DF91" s="116">
        <f t="shared" si="97"/>
        <v>5734.7257650603806</v>
      </c>
      <c r="DG91" s="116">
        <f t="shared" si="97"/>
        <v>5734.7257650603806</v>
      </c>
      <c r="DH91" s="116">
        <f t="shared" si="97"/>
        <v>5734.7257650603806</v>
      </c>
      <c r="DI91" s="116">
        <f t="shared" si="97"/>
        <v>5734.7257650603806</v>
      </c>
      <c r="DJ91" s="116">
        <f t="shared" si="95"/>
        <v>6032.9315048435201</v>
      </c>
      <c r="DK91" s="116">
        <f t="shared" si="95"/>
        <v>6032.9315048435201</v>
      </c>
      <c r="DL91" s="116">
        <f t="shared" si="95"/>
        <v>6032.9315048435201</v>
      </c>
      <c r="DM91" s="116">
        <f t="shared" si="95"/>
        <v>6032.9315048435201</v>
      </c>
      <c r="DN91" s="116">
        <f t="shared" si="95"/>
        <v>6032.9315048435201</v>
      </c>
      <c r="DO91" s="116">
        <f t="shared" si="95"/>
        <v>6230.2060711615968</v>
      </c>
      <c r="DP91" s="116">
        <f t="shared" si="95"/>
        <v>6230.2060711615968</v>
      </c>
      <c r="DQ91" s="116">
        <f t="shared" si="95"/>
        <v>6230.2060711615968</v>
      </c>
      <c r="DR91" s="116">
        <f t="shared" si="95"/>
        <v>6230.2060711615968</v>
      </c>
      <c r="DS91" s="116">
        <f t="shared" si="95"/>
        <v>6230.2060711615968</v>
      </c>
      <c r="DT91" s="116">
        <f t="shared" si="95"/>
        <v>6480.6988925794349</v>
      </c>
      <c r="DW91" s="83" t="s">
        <v>214</v>
      </c>
      <c r="DX91" s="114">
        <f t="shared" si="84"/>
        <v>157303.48495884155</v>
      </c>
      <c r="DY91" s="116">
        <f t="shared" si="102"/>
        <v>157303.48495884155</v>
      </c>
      <c r="DZ91" s="116">
        <f t="shared" si="102"/>
        <v>137621.38603784129</v>
      </c>
      <c r="EA91" s="116">
        <f t="shared" si="102"/>
        <v>137621.38603784129</v>
      </c>
      <c r="EB91" s="116">
        <f t="shared" si="102"/>
        <v>137621.38603784129</v>
      </c>
      <c r="EC91" s="116">
        <f t="shared" si="102"/>
        <v>137621.38603784129</v>
      </c>
      <c r="ED91" s="116">
        <f t="shared" si="102"/>
        <v>137621.38603784129</v>
      </c>
      <c r="EE91" s="116">
        <f t="shared" si="102"/>
        <v>85622.740432193619</v>
      </c>
      <c r="EF91" s="116">
        <f t="shared" si="102"/>
        <v>85622.740432193619</v>
      </c>
      <c r="EG91" s="116">
        <f t="shared" si="102"/>
        <v>85622.740432193619</v>
      </c>
      <c r="EH91" s="116">
        <f t="shared" si="102"/>
        <v>85622.740432193619</v>
      </c>
      <c r="EI91" s="116">
        <f t="shared" si="102"/>
        <v>85622.740432193619</v>
      </c>
      <c r="EJ91" s="116">
        <f t="shared" si="102"/>
        <v>76238.832909154211</v>
      </c>
      <c r="EK91" s="116">
        <f t="shared" si="102"/>
        <v>76238.832909154211</v>
      </c>
      <c r="EL91" s="116">
        <f t="shared" si="102"/>
        <v>76238.832909154211</v>
      </c>
      <c r="EM91" s="116">
        <f t="shared" si="102"/>
        <v>76238.832909154211</v>
      </c>
      <c r="EN91" s="116">
        <f t="shared" si="102"/>
        <v>76238.832909154211</v>
      </c>
      <c r="EO91" s="116">
        <f t="shared" si="103"/>
        <v>74080.323104813564</v>
      </c>
      <c r="EP91" s="116">
        <f t="shared" si="103"/>
        <v>74080.323104813564</v>
      </c>
      <c r="EQ91" s="116">
        <f t="shared" si="103"/>
        <v>74080.323104813564</v>
      </c>
      <c r="ER91" s="116">
        <f t="shared" si="103"/>
        <v>74080.323104813564</v>
      </c>
      <c r="ES91" s="116">
        <f t="shared" si="103"/>
        <v>74080.323104813564</v>
      </c>
      <c r="ET91" s="116">
        <f t="shared" si="103"/>
        <v>71458.561324965922</v>
      </c>
      <c r="EU91" s="116">
        <f t="shared" si="91"/>
        <v>71458.561324965922</v>
      </c>
      <c r="EV91" s="116">
        <f t="shared" si="91"/>
        <v>71458.561324965922</v>
      </c>
      <c r="EW91" s="116">
        <f t="shared" si="91"/>
        <v>71458.561324965922</v>
      </c>
      <c r="EX91" s="116">
        <f t="shared" si="91"/>
        <v>71458.561324965922</v>
      </c>
      <c r="EY91" s="116">
        <f t="shared" si="91"/>
        <v>67280.40621733584</v>
      </c>
      <c r="FB91" s="83" t="s">
        <v>214</v>
      </c>
      <c r="FC91" s="114">
        <f t="shared" si="86"/>
        <v>170046.80249131285</v>
      </c>
      <c r="FD91" s="116">
        <f t="shared" si="104"/>
        <v>170046.80249131285</v>
      </c>
      <c r="FE91" s="116">
        <f t="shared" si="104"/>
        <v>148252.85223832514</v>
      </c>
      <c r="FF91" s="116">
        <f t="shared" si="104"/>
        <v>148252.85223832514</v>
      </c>
      <c r="FG91" s="116">
        <f t="shared" si="104"/>
        <v>148252.85223832514</v>
      </c>
      <c r="FH91" s="116">
        <f t="shared" si="104"/>
        <v>148252.85223832514</v>
      </c>
      <c r="FI91" s="116">
        <f t="shared" si="104"/>
        <v>148252.85223832514</v>
      </c>
      <c r="FJ91" s="116">
        <f t="shared" si="104"/>
        <v>93771.309353881108</v>
      </c>
      <c r="FK91" s="116">
        <f t="shared" si="104"/>
        <v>93771.309353881108</v>
      </c>
      <c r="FL91" s="116">
        <f t="shared" si="104"/>
        <v>93771.309353881108</v>
      </c>
      <c r="FM91" s="116">
        <f t="shared" si="104"/>
        <v>93771.309353881108</v>
      </c>
      <c r="FN91" s="116">
        <f t="shared" si="104"/>
        <v>93771.309353881108</v>
      </c>
      <c r="FO91" s="116">
        <f t="shared" si="104"/>
        <v>83054.302620749673</v>
      </c>
      <c r="FP91" s="116">
        <f t="shared" si="104"/>
        <v>83054.302620749673</v>
      </c>
      <c r="FQ91" s="116">
        <f t="shared" si="104"/>
        <v>83054.302620749673</v>
      </c>
      <c r="FR91" s="116">
        <f t="shared" si="104"/>
        <v>83054.302620749673</v>
      </c>
      <c r="FS91" s="116">
        <f t="shared" si="104"/>
        <v>83054.302620749673</v>
      </c>
      <c r="FT91" s="116">
        <f t="shared" si="105"/>
        <v>81157.96899439377</v>
      </c>
      <c r="FU91" s="116">
        <f t="shared" si="105"/>
        <v>81157.96899439377</v>
      </c>
      <c r="FV91" s="116">
        <f t="shared" si="105"/>
        <v>81157.96899439377</v>
      </c>
      <c r="FW91" s="116">
        <f t="shared" si="105"/>
        <v>81157.96899439377</v>
      </c>
      <c r="FX91" s="116">
        <f t="shared" si="105"/>
        <v>81157.96899439377</v>
      </c>
      <c r="FY91" s="116">
        <f t="shared" si="105"/>
        <v>78531.763550512493</v>
      </c>
      <c r="FZ91" s="116">
        <f t="shared" si="92"/>
        <v>78531.763550512493</v>
      </c>
      <c r="GA91" s="116">
        <f t="shared" si="92"/>
        <v>78531.763550512493</v>
      </c>
      <c r="GB91" s="116">
        <f t="shared" si="92"/>
        <v>78531.763550512493</v>
      </c>
      <c r="GC91" s="116">
        <f t="shared" si="92"/>
        <v>78531.763550512493</v>
      </c>
      <c r="GD91" s="116">
        <f t="shared" si="92"/>
        <v>74211.411193805936</v>
      </c>
      <c r="GH91" s="123" t="s">
        <v>214</v>
      </c>
      <c r="GI91" s="103">
        <f t="shared" si="106"/>
        <v>299352.68493615184</v>
      </c>
      <c r="GJ91" s="103">
        <f t="shared" si="106"/>
        <v>299352.68493615184</v>
      </c>
      <c r="GK91" s="103">
        <f t="shared" si="106"/>
        <v>299352.68493615184</v>
      </c>
      <c r="GL91" s="103">
        <f t="shared" si="106"/>
        <v>299352.68493615184</v>
      </c>
      <c r="GM91" s="103">
        <f t="shared" si="106"/>
        <v>299352.68493615184</v>
      </c>
      <c r="GN91" s="103">
        <f t="shared" si="106"/>
        <v>299352.68493615184</v>
      </c>
      <c r="GO91" s="103">
        <f t="shared" si="106"/>
        <v>299352.68493615184</v>
      </c>
      <c r="GP91" s="103">
        <f t="shared" si="106"/>
        <v>299352.68493615184</v>
      </c>
      <c r="GQ91" s="103">
        <f t="shared" si="106"/>
        <v>299352.68493615184</v>
      </c>
      <c r="GR91" s="103">
        <f t="shared" si="106"/>
        <v>299352.68493615184</v>
      </c>
      <c r="GS91" s="103">
        <f t="shared" si="106"/>
        <v>299352.68493615184</v>
      </c>
      <c r="GT91" s="103">
        <f t="shared" si="106"/>
        <v>299352.68493615184</v>
      </c>
      <c r="GU91" s="103">
        <f t="shared" si="106"/>
        <v>299352.68493615184</v>
      </c>
      <c r="GV91" s="103">
        <f t="shared" si="106"/>
        <v>299352.68493615184</v>
      </c>
      <c r="GW91" s="103">
        <f t="shared" si="106"/>
        <v>299352.68493615184</v>
      </c>
      <c r="GX91" s="103">
        <f t="shared" si="106"/>
        <v>299352.68493615184</v>
      </c>
      <c r="GY91" s="103">
        <f t="shared" si="107"/>
        <v>299352.68493615184</v>
      </c>
      <c r="GZ91" s="103">
        <f t="shared" si="107"/>
        <v>299352.68493615184</v>
      </c>
      <c r="HA91" s="103">
        <f t="shared" si="107"/>
        <v>299352.68493615184</v>
      </c>
      <c r="HB91" s="103">
        <f t="shared" si="107"/>
        <v>299352.68493615184</v>
      </c>
      <c r="HC91" s="103">
        <f t="shared" si="107"/>
        <v>299352.68493615184</v>
      </c>
      <c r="HD91" s="103">
        <f t="shared" si="107"/>
        <v>299352.68493615184</v>
      </c>
      <c r="HE91" s="103">
        <f t="shared" si="89"/>
        <v>299352.68493615184</v>
      </c>
      <c r="HF91" s="103">
        <f t="shared" si="89"/>
        <v>299352.68493615184</v>
      </c>
      <c r="HG91" s="103">
        <f t="shared" si="89"/>
        <v>299352.68493615184</v>
      </c>
      <c r="HH91" s="103">
        <f t="shared" si="89"/>
        <v>299352.68493615184</v>
      </c>
      <c r="HI91" s="103">
        <f t="shared" si="89"/>
        <v>299352.68493615184</v>
      </c>
      <c r="HJ91" s="103">
        <f t="shared" si="89"/>
        <v>299352.68493615184</v>
      </c>
    </row>
    <row r="92" spans="26:218" x14ac:dyDescent="0.25">
      <c r="Z92" s="83" t="s">
        <v>216</v>
      </c>
      <c r="AA92" s="114">
        <f>'US Grid mix, emissions&amp;prices'!O89</f>
        <v>77094</v>
      </c>
      <c r="AB92" s="116">
        <f t="shared" si="69"/>
        <v>77094</v>
      </c>
      <c r="AC92" s="116">
        <f t="shared" si="108"/>
        <v>67715.173665431052</v>
      </c>
      <c r="AD92" s="116">
        <f t="shared" si="108"/>
        <v>67715.173665431052</v>
      </c>
      <c r="AE92" s="116">
        <f t="shared" si="108"/>
        <v>67715.173665431052</v>
      </c>
      <c r="AF92" s="116">
        <f t="shared" si="108"/>
        <v>67715.173665431052</v>
      </c>
      <c r="AG92" s="116">
        <f t="shared" si="108"/>
        <v>67715.173665431052</v>
      </c>
      <c r="AH92" s="116">
        <f t="shared" si="108"/>
        <v>25601.355985234393</v>
      </c>
      <c r="AI92" s="116">
        <f t="shared" si="108"/>
        <v>25601.355985234393</v>
      </c>
      <c r="AJ92" s="116">
        <f t="shared" si="108"/>
        <v>25601.355985234393</v>
      </c>
      <c r="AK92" s="116">
        <f t="shared" si="108"/>
        <v>25601.355985234393</v>
      </c>
      <c r="AL92" s="116">
        <f t="shared" si="108"/>
        <v>25601.355985234393</v>
      </c>
      <c r="AM92" s="116">
        <f t="shared" si="108"/>
        <v>21517.948320373609</v>
      </c>
      <c r="AN92" s="116">
        <f t="shared" si="108"/>
        <v>21517.948320373609</v>
      </c>
      <c r="AO92" s="116">
        <f t="shared" si="108"/>
        <v>21517.948320373609</v>
      </c>
      <c r="AP92" s="116">
        <f t="shared" si="108"/>
        <v>21517.948320373609</v>
      </c>
      <c r="AQ92" s="116">
        <f t="shared" si="108"/>
        <v>21517.948320373609</v>
      </c>
      <c r="AR92" s="116">
        <f t="shared" si="108"/>
        <v>21517.948320373609</v>
      </c>
      <c r="AS92" s="116">
        <f t="shared" si="108"/>
        <v>21517.948320373609</v>
      </c>
      <c r="AT92" s="116">
        <f t="shared" si="108"/>
        <v>21517.948320373609</v>
      </c>
      <c r="AU92" s="116">
        <f t="shared" si="108"/>
        <v>21517.948320373609</v>
      </c>
      <c r="AV92" s="116">
        <f t="shared" si="108"/>
        <v>21517.948320373609</v>
      </c>
      <c r="AW92" s="116">
        <f t="shared" si="108"/>
        <v>21619.543360485815</v>
      </c>
      <c r="AX92" s="116">
        <f t="shared" si="108"/>
        <v>21619.543360485815</v>
      </c>
      <c r="AY92" s="116">
        <f t="shared" si="108"/>
        <v>21619.543360485815</v>
      </c>
      <c r="AZ92" s="116">
        <f t="shared" si="108"/>
        <v>21619.543360485815</v>
      </c>
      <c r="BA92" s="116">
        <f t="shared" si="108"/>
        <v>21619.543360485815</v>
      </c>
      <c r="BB92" s="116">
        <f t="shared" si="108"/>
        <v>21747.279814428064</v>
      </c>
      <c r="BM92" s="83" t="s">
        <v>216</v>
      </c>
      <c r="BN92" s="114">
        <f t="shared" si="78"/>
        <v>77094</v>
      </c>
      <c r="BO92" s="116">
        <f t="shared" si="96"/>
        <v>77094</v>
      </c>
      <c r="BP92" s="116">
        <f t="shared" si="96"/>
        <v>60771.063555305518</v>
      </c>
      <c r="BQ92" s="116">
        <f t="shared" si="96"/>
        <v>60771.063555305518</v>
      </c>
      <c r="BR92" s="116">
        <f t="shared" si="96"/>
        <v>60771.063555305518</v>
      </c>
      <c r="BS92" s="116">
        <f t="shared" si="96"/>
        <v>60771.063555305518</v>
      </c>
      <c r="BT92" s="116">
        <f t="shared" si="96"/>
        <v>60771.063555305518</v>
      </c>
      <c r="BU92" s="116">
        <f t="shared" si="96"/>
        <v>3432.8429343177072</v>
      </c>
      <c r="BV92" s="116">
        <f t="shared" si="96"/>
        <v>3432.8429343177072</v>
      </c>
      <c r="BW92" s="116">
        <f t="shared" si="96"/>
        <v>3432.8429343177072</v>
      </c>
      <c r="BX92" s="116">
        <f t="shared" si="96"/>
        <v>3432.8429343177072</v>
      </c>
      <c r="BY92" s="116">
        <f t="shared" si="96"/>
        <v>3432.8429343177072</v>
      </c>
      <c r="BZ92" s="116">
        <f t="shared" si="96"/>
        <v>3580.185448632486</v>
      </c>
      <c r="CA92" s="116">
        <f t="shared" si="96"/>
        <v>3580.185448632486</v>
      </c>
      <c r="CB92" s="116">
        <f t="shared" si="96"/>
        <v>3580.185448632486</v>
      </c>
      <c r="CC92" s="116">
        <f t="shared" si="96"/>
        <v>3580.185448632486</v>
      </c>
      <c r="CD92" s="116">
        <f t="shared" si="96"/>
        <v>3580.185448632486</v>
      </c>
      <c r="CE92" s="116">
        <f t="shared" si="94"/>
        <v>3630.0917841262017</v>
      </c>
      <c r="CF92" s="116">
        <f t="shared" si="94"/>
        <v>3630.0917841262017</v>
      </c>
      <c r="CG92" s="116">
        <f t="shared" si="94"/>
        <v>3630.0917841262017</v>
      </c>
      <c r="CH92" s="116">
        <f t="shared" si="94"/>
        <v>3630.0917841262017</v>
      </c>
      <c r="CI92" s="116">
        <f t="shared" si="94"/>
        <v>3630.0917841262017</v>
      </c>
      <c r="CJ92" s="116">
        <f t="shared" si="94"/>
        <v>3757.8282380684491</v>
      </c>
      <c r="CK92" s="116">
        <f t="shared" si="94"/>
        <v>3757.8282380684491</v>
      </c>
      <c r="CL92" s="116">
        <f t="shared" si="94"/>
        <v>3757.8282380684491</v>
      </c>
      <c r="CM92" s="116">
        <f t="shared" si="94"/>
        <v>3757.8282380684491</v>
      </c>
      <c r="CN92" s="116">
        <f t="shared" si="94"/>
        <v>3757.8282380684491</v>
      </c>
      <c r="CO92" s="116">
        <f t="shared" si="94"/>
        <v>3919.4297053814316</v>
      </c>
      <c r="CR92" s="83" t="s">
        <v>216</v>
      </c>
      <c r="CS92" s="114">
        <f t="shared" si="81"/>
        <v>77094</v>
      </c>
      <c r="CT92" s="116">
        <f t="shared" si="97"/>
        <v>3609.8916007120788</v>
      </c>
      <c r="CU92" s="116">
        <f t="shared" si="97"/>
        <v>3609.8916007120788</v>
      </c>
      <c r="CV92" s="116">
        <f t="shared" si="97"/>
        <v>3609.8916007120788</v>
      </c>
      <c r="CW92" s="116">
        <f t="shared" si="97"/>
        <v>3609.8916007120788</v>
      </c>
      <c r="CX92" s="116">
        <f t="shared" si="97"/>
        <v>3609.8916007120788</v>
      </c>
      <c r="CY92" s="116">
        <f t="shared" si="97"/>
        <v>3609.8916007120788</v>
      </c>
      <c r="CZ92" s="116">
        <f t="shared" si="97"/>
        <v>3609.8916007120788</v>
      </c>
      <c r="DA92" s="116">
        <f t="shared" si="97"/>
        <v>3609.8916007120788</v>
      </c>
      <c r="DB92" s="116">
        <f t="shared" si="97"/>
        <v>3609.8916007120788</v>
      </c>
      <c r="DC92" s="116">
        <f t="shared" si="97"/>
        <v>3609.8916007120788</v>
      </c>
      <c r="DD92" s="116">
        <f t="shared" si="97"/>
        <v>3609.8916007120788</v>
      </c>
      <c r="DE92" s="116">
        <f t="shared" si="97"/>
        <v>3713.2690099490601</v>
      </c>
      <c r="DF92" s="116">
        <f t="shared" si="97"/>
        <v>3713.2690099490601</v>
      </c>
      <c r="DG92" s="116">
        <f t="shared" si="97"/>
        <v>3713.2690099490601</v>
      </c>
      <c r="DH92" s="116">
        <f t="shared" si="97"/>
        <v>3713.2690099490601</v>
      </c>
      <c r="DI92" s="116">
        <f t="shared" si="97"/>
        <v>3713.2690099490601</v>
      </c>
      <c r="DJ92" s="116">
        <f t="shared" si="95"/>
        <v>3906.3589984664113</v>
      </c>
      <c r="DK92" s="116">
        <f t="shared" si="95"/>
        <v>3906.3589984664113</v>
      </c>
      <c r="DL92" s="116">
        <f t="shared" si="95"/>
        <v>3906.3589984664113</v>
      </c>
      <c r="DM92" s="116">
        <f t="shared" si="95"/>
        <v>3906.3589984664113</v>
      </c>
      <c r="DN92" s="116">
        <f t="shared" si="95"/>
        <v>3906.3589984664113</v>
      </c>
      <c r="DO92" s="116">
        <f t="shared" si="95"/>
        <v>4034.0954524086592</v>
      </c>
      <c r="DP92" s="116">
        <f t="shared" si="95"/>
        <v>4034.0954524086592</v>
      </c>
      <c r="DQ92" s="116">
        <f t="shared" si="95"/>
        <v>4034.0954524086592</v>
      </c>
      <c r="DR92" s="116">
        <f t="shared" si="95"/>
        <v>4034.0954524086592</v>
      </c>
      <c r="DS92" s="116">
        <f t="shared" si="95"/>
        <v>4034.0954524086592</v>
      </c>
      <c r="DT92" s="116">
        <f t="shared" si="95"/>
        <v>4196.2910427632341</v>
      </c>
      <c r="DW92" s="83" t="s">
        <v>216</v>
      </c>
      <c r="DX92" s="114">
        <f t="shared" si="84"/>
        <v>101854.9412446934</v>
      </c>
      <c r="DY92" s="116">
        <f t="shared" si="102"/>
        <v>101854.9412446934</v>
      </c>
      <c r="DZ92" s="116">
        <f t="shared" si="102"/>
        <v>89110.665237742505</v>
      </c>
      <c r="EA92" s="116">
        <f t="shared" si="102"/>
        <v>89110.665237742505</v>
      </c>
      <c r="EB92" s="116">
        <f t="shared" si="102"/>
        <v>89110.665237742505</v>
      </c>
      <c r="EC92" s="116">
        <f t="shared" si="102"/>
        <v>89110.665237742505</v>
      </c>
      <c r="ED92" s="116">
        <f t="shared" si="102"/>
        <v>89110.665237742505</v>
      </c>
      <c r="EE92" s="116">
        <f t="shared" si="102"/>
        <v>55441.233220056063</v>
      </c>
      <c r="EF92" s="116">
        <f t="shared" si="102"/>
        <v>55441.233220056063</v>
      </c>
      <c r="EG92" s="116">
        <f t="shared" si="102"/>
        <v>55441.233220056063</v>
      </c>
      <c r="EH92" s="116">
        <f t="shared" si="102"/>
        <v>55441.233220056063</v>
      </c>
      <c r="EI92" s="116">
        <f t="shared" si="102"/>
        <v>55441.233220056063</v>
      </c>
      <c r="EJ92" s="116">
        <f t="shared" si="102"/>
        <v>49365.097337530002</v>
      </c>
      <c r="EK92" s="116">
        <f t="shared" si="102"/>
        <v>49365.097337530002</v>
      </c>
      <c r="EL92" s="116">
        <f t="shared" si="102"/>
        <v>49365.097337530002</v>
      </c>
      <c r="EM92" s="116">
        <f t="shared" si="102"/>
        <v>49365.097337530002</v>
      </c>
      <c r="EN92" s="116">
        <f t="shared" si="102"/>
        <v>49365.097337530002</v>
      </c>
      <c r="EO92" s="116">
        <f t="shared" si="103"/>
        <v>47967.449412852824</v>
      </c>
      <c r="EP92" s="116">
        <f t="shared" si="103"/>
        <v>47967.449412852824</v>
      </c>
      <c r="EQ92" s="116">
        <f t="shared" si="103"/>
        <v>47967.449412852824</v>
      </c>
      <c r="ER92" s="116">
        <f t="shared" si="103"/>
        <v>47967.449412852824</v>
      </c>
      <c r="ES92" s="116">
        <f t="shared" si="103"/>
        <v>47967.449412852824</v>
      </c>
      <c r="ET92" s="116">
        <f t="shared" si="103"/>
        <v>46269.843081284045</v>
      </c>
      <c r="EU92" s="116">
        <f t="shared" si="91"/>
        <v>46269.843081284045</v>
      </c>
      <c r="EV92" s="116">
        <f t="shared" si="91"/>
        <v>46269.843081284045</v>
      </c>
      <c r="EW92" s="116">
        <f t="shared" si="91"/>
        <v>46269.843081284045</v>
      </c>
      <c r="EX92" s="116">
        <f t="shared" si="91"/>
        <v>46269.843081284045</v>
      </c>
      <c r="EY92" s="116">
        <f t="shared" si="91"/>
        <v>43564.462821525492</v>
      </c>
      <c r="FB92" s="83" t="s">
        <v>216</v>
      </c>
      <c r="FC92" s="114">
        <f t="shared" si="86"/>
        <v>110106.31507072116</v>
      </c>
      <c r="FD92" s="116">
        <f t="shared" si="104"/>
        <v>110106.31507072116</v>
      </c>
      <c r="FE92" s="116">
        <f t="shared" si="104"/>
        <v>95994.602777197288</v>
      </c>
      <c r="FF92" s="116">
        <f t="shared" si="104"/>
        <v>95994.602777197288</v>
      </c>
      <c r="FG92" s="116">
        <f t="shared" si="104"/>
        <v>95994.602777197288</v>
      </c>
      <c r="FH92" s="116">
        <f t="shared" si="104"/>
        <v>95994.602777197288</v>
      </c>
      <c r="FI92" s="116">
        <f t="shared" si="104"/>
        <v>95994.602777197288</v>
      </c>
      <c r="FJ92" s="116">
        <f t="shared" si="104"/>
        <v>60717.480017537862</v>
      </c>
      <c r="FK92" s="116">
        <f t="shared" si="104"/>
        <v>60717.480017537862</v>
      </c>
      <c r="FL92" s="116">
        <f t="shared" si="104"/>
        <v>60717.480017537862</v>
      </c>
      <c r="FM92" s="116">
        <f t="shared" si="104"/>
        <v>60717.480017537862</v>
      </c>
      <c r="FN92" s="116">
        <f t="shared" si="104"/>
        <v>60717.480017537862</v>
      </c>
      <c r="FO92" s="116">
        <f t="shared" si="104"/>
        <v>53778.154474892079</v>
      </c>
      <c r="FP92" s="116">
        <f t="shared" si="104"/>
        <v>53778.154474892079</v>
      </c>
      <c r="FQ92" s="116">
        <f t="shared" si="104"/>
        <v>53778.154474892079</v>
      </c>
      <c r="FR92" s="116">
        <f t="shared" si="104"/>
        <v>53778.154474892079</v>
      </c>
      <c r="FS92" s="116">
        <f t="shared" si="104"/>
        <v>53778.154474892079</v>
      </c>
      <c r="FT92" s="116">
        <f t="shared" si="105"/>
        <v>52550.267183371776</v>
      </c>
      <c r="FU92" s="116">
        <f t="shared" si="105"/>
        <v>52550.267183371776</v>
      </c>
      <c r="FV92" s="116">
        <f t="shared" si="105"/>
        <v>52550.267183371776</v>
      </c>
      <c r="FW92" s="116">
        <f t="shared" si="105"/>
        <v>52550.267183371776</v>
      </c>
      <c r="FX92" s="116">
        <f t="shared" si="105"/>
        <v>52550.267183371776</v>
      </c>
      <c r="FY92" s="116">
        <f t="shared" si="105"/>
        <v>50849.783552935929</v>
      </c>
      <c r="FZ92" s="116">
        <f t="shared" si="92"/>
        <v>50849.783552935929</v>
      </c>
      <c r="GA92" s="116">
        <f t="shared" si="92"/>
        <v>50849.783552935929</v>
      </c>
      <c r="GB92" s="116">
        <f t="shared" si="92"/>
        <v>50849.783552935929</v>
      </c>
      <c r="GC92" s="116">
        <f t="shared" si="92"/>
        <v>50849.783552935929</v>
      </c>
      <c r="GD92" s="116">
        <f t="shared" si="92"/>
        <v>48052.329729431272</v>
      </c>
      <c r="GH92" s="123" t="s">
        <v>216</v>
      </c>
      <c r="GI92" s="103">
        <f t="shared" si="106"/>
        <v>193832.64231934093</v>
      </c>
      <c r="GJ92" s="103">
        <f t="shared" si="106"/>
        <v>193832.64231934093</v>
      </c>
      <c r="GK92" s="103">
        <f t="shared" si="106"/>
        <v>193832.64231934093</v>
      </c>
      <c r="GL92" s="103">
        <f t="shared" si="106"/>
        <v>193832.64231934093</v>
      </c>
      <c r="GM92" s="103">
        <f t="shared" si="106"/>
        <v>193832.64231934093</v>
      </c>
      <c r="GN92" s="103">
        <f t="shared" si="106"/>
        <v>193832.64231934093</v>
      </c>
      <c r="GO92" s="103">
        <f t="shared" si="106"/>
        <v>193832.64231934093</v>
      </c>
      <c r="GP92" s="103">
        <f t="shared" si="106"/>
        <v>193832.64231934093</v>
      </c>
      <c r="GQ92" s="103">
        <f t="shared" si="106"/>
        <v>193832.64231934093</v>
      </c>
      <c r="GR92" s="103">
        <f t="shared" si="106"/>
        <v>193832.64231934093</v>
      </c>
      <c r="GS92" s="103">
        <f t="shared" si="106"/>
        <v>193832.64231934093</v>
      </c>
      <c r="GT92" s="103">
        <f t="shared" si="106"/>
        <v>193832.64231934093</v>
      </c>
      <c r="GU92" s="103">
        <f t="shared" si="106"/>
        <v>193832.64231934093</v>
      </c>
      <c r="GV92" s="103">
        <f t="shared" si="106"/>
        <v>193832.64231934093</v>
      </c>
      <c r="GW92" s="103">
        <f t="shared" si="106"/>
        <v>193832.64231934093</v>
      </c>
      <c r="GX92" s="103">
        <f t="shared" si="106"/>
        <v>193832.64231934093</v>
      </c>
      <c r="GY92" s="103">
        <f t="shared" si="107"/>
        <v>193832.64231934093</v>
      </c>
      <c r="GZ92" s="103">
        <f t="shared" si="107"/>
        <v>193832.64231934093</v>
      </c>
      <c r="HA92" s="103">
        <f t="shared" si="107"/>
        <v>193832.64231934093</v>
      </c>
      <c r="HB92" s="103">
        <f t="shared" si="107"/>
        <v>193832.64231934093</v>
      </c>
      <c r="HC92" s="103">
        <f t="shared" si="107"/>
        <v>193832.64231934093</v>
      </c>
      <c r="HD92" s="103">
        <f t="shared" si="107"/>
        <v>193832.64231934093</v>
      </c>
      <c r="HE92" s="103">
        <f t="shared" si="89"/>
        <v>193832.64231934093</v>
      </c>
      <c r="HF92" s="103">
        <f t="shared" si="89"/>
        <v>193832.64231934093</v>
      </c>
      <c r="HG92" s="103">
        <f t="shared" si="89"/>
        <v>193832.64231934093</v>
      </c>
      <c r="HH92" s="103">
        <f t="shared" si="89"/>
        <v>193832.64231934093</v>
      </c>
      <c r="HI92" s="103">
        <f t="shared" si="89"/>
        <v>193832.64231934093</v>
      </c>
      <c r="HJ92" s="103">
        <f t="shared" si="89"/>
        <v>193832.64231934093</v>
      </c>
    </row>
    <row r="93" spans="26:218" x14ac:dyDescent="0.25">
      <c r="Z93" s="83" t="s">
        <v>209</v>
      </c>
      <c r="AA93" s="114">
        <f>'US Grid mix, emissions&amp;prices'!O90</f>
        <v>102973</v>
      </c>
      <c r="AB93" s="116">
        <f t="shared" ref="AB93:AB110" si="109">$AA93*AB$112</f>
        <v>102973</v>
      </c>
      <c r="AC93" s="116">
        <f t="shared" si="108"/>
        <v>90445.878769429954</v>
      </c>
      <c r="AD93" s="116">
        <f t="shared" si="108"/>
        <v>90445.878769429954</v>
      </c>
      <c r="AE93" s="116">
        <f t="shared" si="108"/>
        <v>90445.878769429954</v>
      </c>
      <c r="AF93" s="116">
        <f t="shared" si="108"/>
        <v>90445.878769429954</v>
      </c>
      <c r="AG93" s="116">
        <f t="shared" si="108"/>
        <v>90445.878769429954</v>
      </c>
      <c r="AH93" s="116">
        <f t="shared" si="108"/>
        <v>34195.247747782465</v>
      </c>
      <c r="AI93" s="116">
        <f t="shared" si="108"/>
        <v>34195.247747782465</v>
      </c>
      <c r="AJ93" s="116">
        <f t="shared" si="108"/>
        <v>34195.247747782465</v>
      </c>
      <c r="AK93" s="116">
        <f t="shared" si="108"/>
        <v>34195.247747782465</v>
      </c>
      <c r="AL93" s="116">
        <f t="shared" si="108"/>
        <v>34195.247747782465</v>
      </c>
      <c r="AM93" s="116">
        <f t="shared" si="108"/>
        <v>28741.11723861561</v>
      </c>
      <c r="AN93" s="116">
        <f t="shared" si="108"/>
        <v>28741.11723861561</v>
      </c>
      <c r="AO93" s="116">
        <f t="shared" si="108"/>
        <v>28741.11723861561</v>
      </c>
      <c r="AP93" s="116">
        <f t="shared" si="108"/>
        <v>28741.11723861561</v>
      </c>
      <c r="AQ93" s="116">
        <f t="shared" si="108"/>
        <v>28741.11723861561</v>
      </c>
      <c r="AR93" s="116">
        <f t="shared" si="108"/>
        <v>28741.11723861561</v>
      </c>
      <c r="AS93" s="116">
        <f t="shared" si="108"/>
        <v>28741.11723861561</v>
      </c>
      <c r="AT93" s="116">
        <f t="shared" si="108"/>
        <v>28741.11723861561</v>
      </c>
      <c r="AU93" s="116">
        <f t="shared" si="108"/>
        <v>28741.11723861561</v>
      </c>
      <c r="AV93" s="116">
        <f t="shared" si="108"/>
        <v>28741.11723861561</v>
      </c>
      <c r="AW93" s="116">
        <f t="shared" si="108"/>
        <v>28876.815815229536</v>
      </c>
      <c r="AX93" s="116">
        <f t="shared" si="108"/>
        <v>28876.815815229536</v>
      </c>
      <c r="AY93" s="116">
        <f t="shared" si="108"/>
        <v>28876.815815229536</v>
      </c>
      <c r="AZ93" s="116">
        <f t="shared" si="108"/>
        <v>28876.815815229536</v>
      </c>
      <c r="BA93" s="116">
        <f t="shared" si="108"/>
        <v>28876.815815229536</v>
      </c>
      <c r="BB93" s="116">
        <f t="shared" si="108"/>
        <v>29047.43098465641</v>
      </c>
      <c r="BM93" s="83" t="s">
        <v>209</v>
      </c>
      <c r="BN93" s="114">
        <f t="shared" si="78"/>
        <v>102973</v>
      </c>
      <c r="BO93" s="116">
        <f t="shared" si="96"/>
        <v>102973</v>
      </c>
      <c r="BP93" s="116">
        <f t="shared" si="96"/>
        <v>81170.762024028794</v>
      </c>
      <c r="BQ93" s="116">
        <f t="shared" si="96"/>
        <v>81170.762024028794</v>
      </c>
      <c r="BR93" s="116">
        <f t="shared" si="96"/>
        <v>81170.762024028794</v>
      </c>
      <c r="BS93" s="116">
        <f t="shared" si="96"/>
        <v>81170.762024028794</v>
      </c>
      <c r="BT93" s="116">
        <f t="shared" si="96"/>
        <v>81170.762024028794</v>
      </c>
      <c r="BU93" s="116">
        <f t="shared" si="96"/>
        <v>4585.1834834811698</v>
      </c>
      <c r="BV93" s="116">
        <f t="shared" si="96"/>
        <v>4585.1834834811698</v>
      </c>
      <c r="BW93" s="116">
        <f t="shared" si="96"/>
        <v>4585.1834834811698</v>
      </c>
      <c r="BX93" s="116">
        <f t="shared" si="96"/>
        <v>4585.1834834811698</v>
      </c>
      <c r="BY93" s="116">
        <f t="shared" si="96"/>
        <v>4585.1834834811698</v>
      </c>
      <c r="BZ93" s="116">
        <f t="shared" si="96"/>
        <v>4781.9860975177444</v>
      </c>
      <c r="CA93" s="116">
        <f t="shared" si="96"/>
        <v>4781.9860975177444</v>
      </c>
      <c r="CB93" s="116">
        <f t="shared" si="96"/>
        <v>4781.9860975177444</v>
      </c>
      <c r="CC93" s="116">
        <f t="shared" si="96"/>
        <v>4781.9860975177444</v>
      </c>
      <c r="CD93" s="116">
        <f t="shared" ref="CD93:CO108" si="110">$AA93*CD$112</f>
        <v>4781.9860975177444</v>
      </c>
      <c r="CE93" s="116">
        <f t="shared" si="110"/>
        <v>4848.6450474333587</v>
      </c>
      <c r="CF93" s="116">
        <f t="shared" si="110"/>
        <v>4848.6450474333587</v>
      </c>
      <c r="CG93" s="116">
        <f t="shared" si="110"/>
        <v>4848.6450474333587</v>
      </c>
      <c r="CH93" s="116">
        <f t="shared" si="110"/>
        <v>4848.6450474333587</v>
      </c>
      <c r="CI93" s="116">
        <f t="shared" si="110"/>
        <v>4848.6450474333587</v>
      </c>
      <c r="CJ93" s="116">
        <f t="shared" si="110"/>
        <v>5019.260216860228</v>
      </c>
      <c r="CK93" s="116">
        <f t="shared" si="110"/>
        <v>5019.260216860228</v>
      </c>
      <c r="CL93" s="116">
        <f t="shared" si="110"/>
        <v>5019.260216860228</v>
      </c>
      <c r="CM93" s="116">
        <f t="shared" si="110"/>
        <v>5019.260216860228</v>
      </c>
      <c r="CN93" s="116">
        <f t="shared" si="110"/>
        <v>5019.260216860228</v>
      </c>
      <c r="CO93" s="116">
        <f t="shared" si="110"/>
        <v>5235.1082451584061</v>
      </c>
      <c r="CR93" s="83" t="s">
        <v>209</v>
      </c>
      <c r="CS93" s="114">
        <f t="shared" si="81"/>
        <v>102973</v>
      </c>
      <c r="CT93" s="116">
        <f t="shared" si="97"/>
        <v>4821.6640438960858</v>
      </c>
      <c r="CU93" s="116">
        <f t="shared" si="97"/>
        <v>4821.6640438960858</v>
      </c>
      <c r="CV93" s="116">
        <f t="shared" si="97"/>
        <v>4821.6640438960858</v>
      </c>
      <c r="CW93" s="116">
        <f t="shared" si="97"/>
        <v>4821.6640438960858</v>
      </c>
      <c r="CX93" s="116">
        <f t="shared" si="97"/>
        <v>4821.6640438960858</v>
      </c>
      <c r="CY93" s="116">
        <f t="shared" si="97"/>
        <v>4821.6640438960858</v>
      </c>
      <c r="CZ93" s="116">
        <f t="shared" si="97"/>
        <v>4821.6640438960858</v>
      </c>
      <c r="DA93" s="116">
        <f t="shared" si="97"/>
        <v>4821.6640438960858</v>
      </c>
      <c r="DB93" s="116">
        <f t="shared" si="97"/>
        <v>4821.6640438960858</v>
      </c>
      <c r="DC93" s="116">
        <f t="shared" si="97"/>
        <v>4821.6640438960858</v>
      </c>
      <c r="DD93" s="116">
        <f t="shared" si="97"/>
        <v>4821.6640438960858</v>
      </c>
      <c r="DE93" s="116">
        <f t="shared" si="97"/>
        <v>4959.7432972927154</v>
      </c>
      <c r="DF93" s="116">
        <f t="shared" si="97"/>
        <v>4959.7432972927154</v>
      </c>
      <c r="DG93" s="116">
        <f t="shared" si="97"/>
        <v>4959.7432972927154</v>
      </c>
      <c r="DH93" s="116">
        <f t="shared" si="97"/>
        <v>4959.7432972927154</v>
      </c>
      <c r="DI93" s="116">
        <f t="shared" ref="DI93:DT108" si="111">$AA93*DI$112</f>
        <v>4959.7432972927154</v>
      </c>
      <c r="DJ93" s="116">
        <f t="shared" si="111"/>
        <v>5217.6499487519368</v>
      </c>
      <c r="DK93" s="116">
        <f t="shared" si="111"/>
        <v>5217.6499487519368</v>
      </c>
      <c r="DL93" s="116">
        <f t="shared" si="111"/>
        <v>5217.6499487519368</v>
      </c>
      <c r="DM93" s="116">
        <f t="shared" si="111"/>
        <v>5217.6499487519368</v>
      </c>
      <c r="DN93" s="116">
        <f t="shared" si="111"/>
        <v>5217.6499487519368</v>
      </c>
      <c r="DO93" s="116">
        <f t="shared" si="111"/>
        <v>5388.265118178806</v>
      </c>
      <c r="DP93" s="116">
        <f t="shared" si="111"/>
        <v>5388.265118178806</v>
      </c>
      <c r="DQ93" s="116">
        <f t="shared" si="111"/>
        <v>5388.265118178806</v>
      </c>
      <c r="DR93" s="116">
        <f t="shared" si="111"/>
        <v>5388.265118178806</v>
      </c>
      <c r="DS93" s="116">
        <f t="shared" si="111"/>
        <v>5388.265118178806</v>
      </c>
      <c r="DT93" s="116">
        <f t="shared" si="111"/>
        <v>5604.9067054045518</v>
      </c>
      <c r="DW93" s="83" t="s">
        <v>209</v>
      </c>
      <c r="DX93" s="114">
        <f t="shared" si="84"/>
        <v>136045.72164876404</v>
      </c>
      <c r="DY93" s="116">
        <f t="shared" si="102"/>
        <v>136045.72164876404</v>
      </c>
      <c r="DZ93" s="116">
        <f t="shared" si="102"/>
        <v>119023.43284206372</v>
      </c>
      <c r="EA93" s="116">
        <f t="shared" si="102"/>
        <v>119023.43284206372</v>
      </c>
      <c r="EB93" s="116">
        <f t="shared" si="102"/>
        <v>119023.43284206372</v>
      </c>
      <c r="EC93" s="116">
        <f t="shared" si="102"/>
        <v>119023.43284206372</v>
      </c>
      <c r="ED93" s="116">
        <f t="shared" si="102"/>
        <v>119023.43284206372</v>
      </c>
      <c r="EE93" s="116">
        <f t="shared" si="102"/>
        <v>74051.808290772737</v>
      </c>
      <c r="EF93" s="116">
        <f t="shared" si="102"/>
        <v>74051.808290772737</v>
      </c>
      <c r="EG93" s="116">
        <f t="shared" si="102"/>
        <v>74051.808290772737</v>
      </c>
      <c r="EH93" s="116">
        <f t="shared" si="102"/>
        <v>74051.808290772737</v>
      </c>
      <c r="EI93" s="116">
        <f t="shared" si="102"/>
        <v>74051.808290772737</v>
      </c>
      <c r="EJ93" s="116">
        <f t="shared" si="102"/>
        <v>65936.028330836096</v>
      </c>
      <c r="EK93" s="116">
        <f t="shared" si="102"/>
        <v>65936.028330836096</v>
      </c>
      <c r="EL93" s="116">
        <f t="shared" si="102"/>
        <v>65936.028330836096</v>
      </c>
      <c r="EM93" s="116">
        <f t="shared" si="102"/>
        <v>65936.028330836096</v>
      </c>
      <c r="EN93" s="116">
        <f t="shared" si="102"/>
        <v>65936.028330836096</v>
      </c>
      <c r="EO93" s="116">
        <f t="shared" si="103"/>
        <v>64069.216390246904</v>
      </c>
      <c r="EP93" s="116">
        <f t="shared" si="103"/>
        <v>64069.216390246904</v>
      </c>
      <c r="EQ93" s="116">
        <f t="shared" si="103"/>
        <v>64069.216390246904</v>
      </c>
      <c r="ER93" s="116">
        <f t="shared" si="103"/>
        <v>64069.216390246904</v>
      </c>
      <c r="ES93" s="116">
        <f t="shared" si="103"/>
        <v>64069.216390246904</v>
      </c>
      <c r="ET93" s="116">
        <f t="shared" si="103"/>
        <v>61801.755669819475</v>
      </c>
      <c r="EU93" s="116">
        <f t="shared" si="91"/>
        <v>61801.755669819475</v>
      </c>
      <c r="EV93" s="116">
        <f t="shared" si="91"/>
        <v>61801.755669819475</v>
      </c>
      <c r="EW93" s="116">
        <f t="shared" si="91"/>
        <v>61801.755669819475</v>
      </c>
      <c r="EX93" s="116">
        <f t="shared" si="91"/>
        <v>61801.755669819475</v>
      </c>
      <c r="EY93" s="116">
        <f t="shared" si="91"/>
        <v>58188.230343748473</v>
      </c>
      <c r="FB93" s="83" t="s">
        <v>209</v>
      </c>
      <c r="FC93" s="114">
        <f t="shared" si="86"/>
        <v>147066.9258538585</v>
      </c>
      <c r="FD93" s="116">
        <f t="shared" si="104"/>
        <v>147066.9258538585</v>
      </c>
      <c r="FE93" s="116">
        <f t="shared" si="104"/>
        <v>128218.17822108508</v>
      </c>
      <c r="FF93" s="116">
        <f t="shared" si="104"/>
        <v>128218.17822108508</v>
      </c>
      <c r="FG93" s="116">
        <f t="shared" si="104"/>
        <v>128218.17822108508</v>
      </c>
      <c r="FH93" s="116">
        <f t="shared" si="104"/>
        <v>128218.17822108508</v>
      </c>
      <c r="FI93" s="116">
        <f t="shared" si="104"/>
        <v>128218.17822108508</v>
      </c>
      <c r="FJ93" s="116">
        <f t="shared" si="104"/>
        <v>81099.191504474074</v>
      </c>
      <c r="FK93" s="116">
        <f t="shared" si="104"/>
        <v>81099.191504474074</v>
      </c>
      <c r="FL93" s="116">
        <f t="shared" si="104"/>
        <v>81099.191504474074</v>
      </c>
      <c r="FM93" s="116">
        <f t="shared" si="104"/>
        <v>81099.191504474074</v>
      </c>
      <c r="FN93" s="116">
        <f t="shared" si="104"/>
        <v>81099.191504474074</v>
      </c>
      <c r="FO93" s="116">
        <f t="shared" si="104"/>
        <v>71830.465415506536</v>
      </c>
      <c r="FP93" s="116">
        <f t="shared" si="104"/>
        <v>71830.465415506536</v>
      </c>
      <c r="FQ93" s="116">
        <f t="shared" si="104"/>
        <v>71830.465415506536</v>
      </c>
      <c r="FR93" s="116">
        <f t="shared" si="104"/>
        <v>71830.465415506536</v>
      </c>
      <c r="FS93" s="116">
        <f t="shared" si="104"/>
        <v>71830.465415506536</v>
      </c>
      <c r="FT93" s="116">
        <f t="shared" si="105"/>
        <v>70190.399546960078</v>
      </c>
      <c r="FU93" s="116">
        <f t="shared" si="105"/>
        <v>70190.399546960078</v>
      </c>
      <c r="FV93" s="116">
        <f t="shared" si="105"/>
        <v>70190.399546960078</v>
      </c>
      <c r="FW93" s="116">
        <f t="shared" si="105"/>
        <v>70190.399546960078</v>
      </c>
      <c r="FX93" s="116">
        <f t="shared" si="105"/>
        <v>70190.399546960078</v>
      </c>
      <c r="FY93" s="116">
        <f t="shared" si="105"/>
        <v>67919.09567276921</v>
      </c>
      <c r="FZ93" s="116">
        <f t="shared" si="92"/>
        <v>67919.09567276921</v>
      </c>
      <c r="GA93" s="116">
        <f t="shared" si="92"/>
        <v>67919.09567276921</v>
      </c>
      <c r="GB93" s="116">
        <f t="shared" si="92"/>
        <v>67919.09567276921</v>
      </c>
      <c r="GC93" s="116">
        <f t="shared" si="92"/>
        <v>67919.09567276921</v>
      </c>
      <c r="GD93" s="116">
        <f t="shared" si="92"/>
        <v>64182.589426268256</v>
      </c>
      <c r="GH93" s="123" t="s">
        <v>209</v>
      </c>
      <c r="GI93" s="103">
        <f t="shared" si="106"/>
        <v>258898.60011867972</v>
      </c>
      <c r="GJ93" s="103">
        <f t="shared" si="106"/>
        <v>258898.60011867972</v>
      </c>
      <c r="GK93" s="103">
        <f t="shared" si="106"/>
        <v>258898.60011867972</v>
      </c>
      <c r="GL93" s="103">
        <f t="shared" si="106"/>
        <v>258898.60011867972</v>
      </c>
      <c r="GM93" s="103">
        <f t="shared" si="106"/>
        <v>258898.60011867972</v>
      </c>
      <c r="GN93" s="103">
        <f t="shared" si="106"/>
        <v>258898.60011867972</v>
      </c>
      <c r="GO93" s="103">
        <f t="shared" si="106"/>
        <v>258898.60011867972</v>
      </c>
      <c r="GP93" s="103">
        <f t="shared" si="106"/>
        <v>258898.60011867972</v>
      </c>
      <c r="GQ93" s="103">
        <f t="shared" si="106"/>
        <v>258898.60011867972</v>
      </c>
      <c r="GR93" s="103">
        <f t="shared" si="106"/>
        <v>258898.60011867972</v>
      </c>
      <c r="GS93" s="103">
        <f t="shared" si="106"/>
        <v>258898.60011867972</v>
      </c>
      <c r="GT93" s="103">
        <f t="shared" si="106"/>
        <v>258898.60011867972</v>
      </c>
      <c r="GU93" s="103">
        <f t="shared" si="106"/>
        <v>258898.60011867972</v>
      </c>
      <c r="GV93" s="103">
        <f t="shared" si="106"/>
        <v>258898.60011867972</v>
      </c>
      <c r="GW93" s="103">
        <f t="shared" si="106"/>
        <v>258898.60011867972</v>
      </c>
      <c r="GX93" s="103">
        <f t="shared" si="106"/>
        <v>258898.60011867972</v>
      </c>
      <c r="GY93" s="103">
        <f t="shared" si="107"/>
        <v>258898.60011867972</v>
      </c>
      <c r="GZ93" s="103">
        <f t="shared" si="107"/>
        <v>258898.60011867972</v>
      </c>
      <c r="HA93" s="103">
        <f t="shared" si="107"/>
        <v>258898.60011867972</v>
      </c>
      <c r="HB93" s="103">
        <f t="shared" si="107"/>
        <v>258898.60011867972</v>
      </c>
      <c r="HC93" s="103">
        <f t="shared" si="107"/>
        <v>258898.60011867972</v>
      </c>
      <c r="HD93" s="103">
        <f t="shared" si="107"/>
        <v>258898.60011867972</v>
      </c>
      <c r="HE93" s="103">
        <f t="shared" si="89"/>
        <v>258898.60011867972</v>
      </c>
      <c r="HF93" s="103">
        <f t="shared" si="89"/>
        <v>258898.60011867972</v>
      </c>
      <c r="HG93" s="103">
        <f t="shared" si="89"/>
        <v>258898.60011867972</v>
      </c>
      <c r="HH93" s="103">
        <f t="shared" si="89"/>
        <v>258898.60011867972</v>
      </c>
      <c r="HI93" s="103">
        <f t="shared" si="89"/>
        <v>258898.60011867972</v>
      </c>
      <c r="HJ93" s="103">
        <f t="shared" si="89"/>
        <v>258898.60011867972</v>
      </c>
    </row>
    <row r="94" spans="26:218" x14ac:dyDescent="0.25">
      <c r="Z94" s="83" t="s">
        <v>210</v>
      </c>
      <c r="AA94" s="114">
        <f>'US Grid mix, emissions&amp;prices'!O91</f>
        <v>189059</v>
      </c>
      <c r="AB94" s="116">
        <f t="shared" si="109"/>
        <v>189059</v>
      </c>
      <c r="AC94" s="116">
        <f t="shared" si="108"/>
        <v>166059.13583434158</v>
      </c>
      <c r="AD94" s="116">
        <f t="shared" si="108"/>
        <v>166059.13583434158</v>
      </c>
      <c r="AE94" s="116">
        <f t="shared" si="108"/>
        <v>166059.13583434158</v>
      </c>
      <c r="AF94" s="116">
        <f t="shared" si="108"/>
        <v>166059.13583434158</v>
      </c>
      <c r="AG94" s="116">
        <f t="shared" si="108"/>
        <v>166059.13583434158</v>
      </c>
      <c r="AH94" s="116">
        <f t="shared" si="108"/>
        <v>62782.664814543663</v>
      </c>
      <c r="AI94" s="116">
        <f t="shared" si="108"/>
        <v>62782.664814543663</v>
      </c>
      <c r="AJ94" s="116">
        <f t="shared" si="108"/>
        <v>62782.664814543663</v>
      </c>
      <c r="AK94" s="116">
        <f t="shared" si="108"/>
        <v>62782.664814543663</v>
      </c>
      <c r="AL94" s="116">
        <f t="shared" si="108"/>
        <v>62782.664814543663</v>
      </c>
      <c r="AM94" s="116">
        <f t="shared" si="108"/>
        <v>52768.850902813632</v>
      </c>
      <c r="AN94" s="116">
        <f t="shared" si="108"/>
        <v>52768.850902813632</v>
      </c>
      <c r="AO94" s="116">
        <f t="shared" si="108"/>
        <v>52768.850902813632</v>
      </c>
      <c r="AP94" s="116">
        <f t="shared" si="108"/>
        <v>52768.850902813632</v>
      </c>
      <c r="AQ94" s="116">
        <f t="shared" si="108"/>
        <v>52768.850902813632</v>
      </c>
      <c r="AR94" s="116">
        <f t="shared" si="108"/>
        <v>52768.850902813632</v>
      </c>
      <c r="AS94" s="116">
        <f t="shared" si="108"/>
        <v>52768.850902813632</v>
      </c>
      <c r="AT94" s="116">
        <f t="shared" si="108"/>
        <v>52768.850902813632</v>
      </c>
      <c r="AU94" s="116">
        <f t="shared" si="108"/>
        <v>52768.850902813632</v>
      </c>
      <c r="AV94" s="116">
        <f t="shared" si="108"/>
        <v>52768.850902813632</v>
      </c>
      <c r="AW94" s="116">
        <f t="shared" si="108"/>
        <v>53017.994243262612</v>
      </c>
      <c r="AX94" s="116">
        <f t="shared" si="108"/>
        <v>53017.994243262612</v>
      </c>
      <c r="AY94" s="116">
        <f t="shared" si="108"/>
        <v>53017.994243262612</v>
      </c>
      <c r="AZ94" s="116">
        <f t="shared" si="108"/>
        <v>53017.994243262612</v>
      </c>
      <c r="BA94" s="116">
        <f t="shared" si="108"/>
        <v>53017.994243262612</v>
      </c>
      <c r="BB94" s="116">
        <f t="shared" si="108"/>
        <v>53331.244642072736</v>
      </c>
      <c r="BM94" s="83" t="s">
        <v>210</v>
      </c>
      <c r="BN94" s="114">
        <f t="shared" si="78"/>
        <v>189059</v>
      </c>
      <c r="BO94" s="116">
        <f t="shared" ref="BO94:CD109" si="112">$AA94*BO$112</f>
        <v>189059</v>
      </c>
      <c r="BP94" s="116">
        <f t="shared" si="112"/>
        <v>149029.96996786399</v>
      </c>
      <c r="BQ94" s="116">
        <f t="shared" si="112"/>
        <v>149029.96996786399</v>
      </c>
      <c r="BR94" s="116">
        <f t="shared" si="112"/>
        <v>149029.96996786399</v>
      </c>
      <c r="BS94" s="116">
        <f t="shared" si="112"/>
        <v>149029.96996786399</v>
      </c>
      <c r="BT94" s="116">
        <f t="shared" si="112"/>
        <v>149029.96996786399</v>
      </c>
      <c r="BU94" s="116">
        <f t="shared" si="112"/>
        <v>8418.4223456970903</v>
      </c>
      <c r="BV94" s="116">
        <f t="shared" si="112"/>
        <v>8418.4223456970903</v>
      </c>
      <c r="BW94" s="116">
        <f t="shared" si="112"/>
        <v>8418.4223456970903</v>
      </c>
      <c r="BX94" s="116">
        <f t="shared" si="112"/>
        <v>8418.4223456970903</v>
      </c>
      <c r="BY94" s="116">
        <f t="shared" si="112"/>
        <v>8418.4223456970903</v>
      </c>
      <c r="BZ94" s="116">
        <f t="shared" si="112"/>
        <v>8779.753038278066</v>
      </c>
      <c r="CA94" s="116">
        <f t="shared" si="112"/>
        <v>8779.753038278066</v>
      </c>
      <c r="CB94" s="116">
        <f t="shared" si="112"/>
        <v>8779.753038278066</v>
      </c>
      <c r="CC94" s="116">
        <f t="shared" si="112"/>
        <v>8779.753038278066</v>
      </c>
      <c r="CD94" s="116">
        <f t="shared" si="112"/>
        <v>8779.753038278066</v>
      </c>
      <c r="CE94" s="116">
        <f t="shared" si="110"/>
        <v>8902.1392406038794</v>
      </c>
      <c r="CF94" s="116">
        <f t="shared" si="110"/>
        <v>8902.1392406038794</v>
      </c>
      <c r="CG94" s="116">
        <f t="shared" si="110"/>
        <v>8902.1392406038794</v>
      </c>
      <c r="CH94" s="116">
        <f t="shared" si="110"/>
        <v>8902.1392406038794</v>
      </c>
      <c r="CI94" s="116">
        <f t="shared" si="110"/>
        <v>8902.1392406038794</v>
      </c>
      <c r="CJ94" s="116">
        <f t="shared" si="110"/>
        <v>9215.3896394139992</v>
      </c>
      <c r="CK94" s="116">
        <f t="shared" si="110"/>
        <v>9215.3896394139992</v>
      </c>
      <c r="CL94" s="116">
        <f t="shared" si="110"/>
        <v>9215.3896394139992</v>
      </c>
      <c r="CM94" s="116">
        <f t="shared" si="110"/>
        <v>9215.3896394139992</v>
      </c>
      <c r="CN94" s="116">
        <f t="shared" si="110"/>
        <v>9215.3896394139992</v>
      </c>
      <c r="CO94" s="116">
        <f t="shared" si="110"/>
        <v>9611.687818373779</v>
      </c>
      <c r="CR94" s="83" t="s">
        <v>210</v>
      </c>
      <c r="CS94" s="114">
        <f t="shared" si="81"/>
        <v>189059</v>
      </c>
      <c r="CT94" s="116">
        <f t="shared" ref="CT94:DI109" si="113">$AA94*CT$112</f>
        <v>8852.6019682339083</v>
      </c>
      <c r="CU94" s="116">
        <f t="shared" si="113"/>
        <v>8852.6019682339083</v>
      </c>
      <c r="CV94" s="116">
        <f t="shared" si="113"/>
        <v>8852.6019682339083</v>
      </c>
      <c r="CW94" s="116">
        <f t="shared" si="113"/>
        <v>8852.6019682339083</v>
      </c>
      <c r="CX94" s="116">
        <f t="shared" si="113"/>
        <v>8852.6019682339083</v>
      </c>
      <c r="CY94" s="116">
        <f t="shared" si="113"/>
        <v>8852.6019682339083</v>
      </c>
      <c r="CZ94" s="116">
        <f t="shared" si="113"/>
        <v>8852.6019682339083</v>
      </c>
      <c r="DA94" s="116">
        <f t="shared" si="113"/>
        <v>8852.6019682339083</v>
      </c>
      <c r="DB94" s="116">
        <f t="shared" si="113"/>
        <v>8852.6019682339083</v>
      </c>
      <c r="DC94" s="116">
        <f t="shared" si="113"/>
        <v>8852.6019682339083</v>
      </c>
      <c r="DD94" s="116">
        <f t="shared" si="113"/>
        <v>8852.6019682339083</v>
      </c>
      <c r="DE94" s="116">
        <f t="shared" si="113"/>
        <v>9106.1162444802376</v>
      </c>
      <c r="DF94" s="116">
        <f t="shared" si="113"/>
        <v>9106.1162444802376</v>
      </c>
      <c r="DG94" s="116">
        <f t="shared" si="113"/>
        <v>9106.1162444802376</v>
      </c>
      <c r="DH94" s="116">
        <f t="shared" si="113"/>
        <v>9106.1162444802376</v>
      </c>
      <c r="DI94" s="116">
        <f t="shared" si="113"/>
        <v>9106.1162444802376</v>
      </c>
      <c r="DJ94" s="116">
        <f t="shared" si="111"/>
        <v>9579.634289193209</v>
      </c>
      <c r="DK94" s="116">
        <f t="shared" si="111"/>
        <v>9579.634289193209</v>
      </c>
      <c r="DL94" s="116">
        <f t="shared" si="111"/>
        <v>9579.634289193209</v>
      </c>
      <c r="DM94" s="116">
        <f t="shared" si="111"/>
        <v>9579.634289193209</v>
      </c>
      <c r="DN94" s="116">
        <f t="shared" si="111"/>
        <v>9579.634289193209</v>
      </c>
      <c r="DO94" s="116">
        <f t="shared" si="111"/>
        <v>9892.8846880033288</v>
      </c>
      <c r="DP94" s="116">
        <f t="shared" si="111"/>
        <v>9892.8846880033288</v>
      </c>
      <c r="DQ94" s="116">
        <f t="shared" si="111"/>
        <v>9892.8846880033288</v>
      </c>
      <c r="DR94" s="116">
        <f t="shared" si="111"/>
        <v>9892.8846880033288</v>
      </c>
      <c r="DS94" s="116">
        <f t="shared" si="111"/>
        <v>9892.8846880033288</v>
      </c>
      <c r="DT94" s="116">
        <f t="shared" si="111"/>
        <v>10290.639845562226</v>
      </c>
      <c r="DW94" s="83" t="s">
        <v>210</v>
      </c>
      <c r="DX94" s="114">
        <f t="shared" si="84"/>
        <v>249780.70066127699</v>
      </c>
      <c r="DY94" s="116">
        <f t="shared" si="102"/>
        <v>249780.70066127699</v>
      </c>
      <c r="DZ94" s="116">
        <f t="shared" si="102"/>
        <v>218527.68385584297</v>
      </c>
      <c r="EA94" s="116">
        <f t="shared" si="102"/>
        <v>218527.68385584297</v>
      </c>
      <c r="EB94" s="116">
        <f t="shared" si="102"/>
        <v>218527.68385584297</v>
      </c>
      <c r="EC94" s="116">
        <f t="shared" si="102"/>
        <v>218527.68385584297</v>
      </c>
      <c r="ED94" s="116">
        <f t="shared" si="102"/>
        <v>218527.68385584297</v>
      </c>
      <c r="EE94" s="116">
        <f t="shared" si="102"/>
        <v>135959.53136885591</v>
      </c>
      <c r="EF94" s="116">
        <f t="shared" si="102"/>
        <v>135959.53136885591</v>
      </c>
      <c r="EG94" s="116">
        <f t="shared" si="102"/>
        <v>135959.53136885591</v>
      </c>
      <c r="EH94" s="116">
        <f t="shared" si="102"/>
        <v>135959.53136885591</v>
      </c>
      <c r="EI94" s="116">
        <f t="shared" si="102"/>
        <v>135959.53136885591</v>
      </c>
      <c r="EJ94" s="116">
        <f t="shared" si="102"/>
        <v>121058.91428043797</v>
      </c>
      <c r="EK94" s="116">
        <f t="shared" si="102"/>
        <v>121058.91428043797</v>
      </c>
      <c r="EL94" s="116">
        <f t="shared" si="102"/>
        <v>121058.91428043797</v>
      </c>
      <c r="EM94" s="116">
        <f t="shared" si="102"/>
        <v>121058.91428043797</v>
      </c>
      <c r="EN94" s="116">
        <f t="shared" si="102"/>
        <v>121058.91428043797</v>
      </c>
      <c r="EO94" s="116">
        <f t="shared" si="103"/>
        <v>117631.43718764809</v>
      </c>
      <c r="EP94" s="116">
        <f t="shared" si="103"/>
        <v>117631.43718764809</v>
      </c>
      <c r="EQ94" s="116">
        <f t="shared" si="103"/>
        <v>117631.43718764809</v>
      </c>
      <c r="ER94" s="116">
        <f t="shared" si="103"/>
        <v>117631.43718764809</v>
      </c>
      <c r="ES94" s="116">
        <f t="shared" si="103"/>
        <v>117631.43718764809</v>
      </c>
      <c r="ET94" s="116">
        <f t="shared" si="103"/>
        <v>113468.36670952966</v>
      </c>
      <c r="EU94" s="116">
        <f t="shared" si="91"/>
        <v>113468.36670952966</v>
      </c>
      <c r="EV94" s="116">
        <f t="shared" si="91"/>
        <v>113468.36670952966</v>
      </c>
      <c r="EW94" s="116">
        <f t="shared" si="91"/>
        <v>113468.36670952966</v>
      </c>
      <c r="EX94" s="116">
        <f t="shared" si="91"/>
        <v>113468.36670952966</v>
      </c>
      <c r="EY94" s="116">
        <f t="shared" si="91"/>
        <v>106833.91413825702</v>
      </c>
      <c r="FB94" s="83" t="s">
        <v>210</v>
      </c>
      <c r="FC94" s="114">
        <f t="shared" si="86"/>
        <v>270015.69280301279</v>
      </c>
      <c r="FD94" s="116">
        <f t="shared" si="104"/>
        <v>270015.69280301279</v>
      </c>
      <c r="FE94" s="116">
        <f t="shared" si="104"/>
        <v>235409.28744719611</v>
      </c>
      <c r="FF94" s="116">
        <f t="shared" si="104"/>
        <v>235409.28744719611</v>
      </c>
      <c r="FG94" s="116">
        <f t="shared" si="104"/>
        <v>235409.28744719611</v>
      </c>
      <c r="FH94" s="116">
        <f t="shared" si="104"/>
        <v>235409.28744719611</v>
      </c>
      <c r="FI94" s="116">
        <f t="shared" si="104"/>
        <v>235409.28744719611</v>
      </c>
      <c r="FJ94" s="116">
        <f t="shared" si="104"/>
        <v>148898.56609639776</v>
      </c>
      <c r="FK94" s="116">
        <f t="shared" si="104"/>
        <v>148898.56609639776</v>
      </c>
      <c r="FL94" s="116">
        <f t="shared" si="104"/>
        <v>148898.56609639776</v>
      </c>
      <c r="FM94" s="116">
        <f t="shared" si="104"/>
        <v>148898.56609639776</v>
      </c>
      <c r="FN94" s="116">
        <f t="shared" si="104"/>
        <v>148898.56609639776</v>
      </c>
      <c r="FO94" s="116">
        <f t="shared" si="104"/>
        <v>131881.13351063142</v>
      </c>
      <c r="FP94" s="116">
        <f t="shared" si="104"/>
        <v>131881.13351063142</v>
      </c>
      <c r="FQ94" s="116">
        <f t="shared" si="104"/>
        <v>131881.13351063142</v>
      </c>
      <c r="FR94" s="116">
        <f t="shared" si="104"/>
        <v>131881.13351063142</v>
      </c>
      <c r="FS94" s="116">
        <f t="shared" si="104"/>
        <v>131881.13351063142</v>
      </c>
      <c r="FT94" s="116">
        <f t="shared" si="105"/>
        <v>128869.96346565339</v>
      </c>
      <c r="FU94" s="116">
        <f t="shared" si="105"/>
        <v>128869.96346565339</v>
      </c>
      <c r="FV94" s="116">
        <f t="shared" si="105"/>
        <v>128869.96346565339</v>
      </c>
      <c r="FW94" s="116">
        <f t="shared" si="105"/>
        <v>128869.96346565339</v>
      </c>
      <c r="FX94" s="116">
        <f t="shared" si="105"/>
        <v>128869.96346565339</v>
      </c>
      <c r="FY94" s="116">
        <f t="shared" si="105"/>
        <v>124699.83693587713</v>
      </c>
      <c r="FZ94" s="116">
        <f t="shared" si="92"/>
        <v>124699.83693587713</v>
      </c>
      <c r="GA94" s="116">
        <f t="shared" si="92"/>
        <v>124699.83693587713</v>
      </c>
      <c r="GB94" s="116">
        <f t="shared" si="92"/>
        <v>124699.83693587713</v>
      </c>
      <c r="GC94" s="116">
        <f t="shared" si="92"/>
        <v>124699.83693587713</v>
      </c>
      <c r="GD94" s="116">
        <f t="shared" si="92"/>
        <v>117839.59071155402</v>
      </c>
      <c r="GH94" s="123" t="s">
        <v>210</v>
      </c>
      <c r="GI94" s="103">
        <f t="shared" si="106"/>
        <v>475339.26796186838</v>
      </c>
      <c r="GJ94" s="103">
        <f t="shared" si="106"/>
        <v>475339.26796186838</v>
      </c>
      <c r="GK94" s="103">
        <f t="shared" si="106"/>
        <v>475339.26796186838</v>
      </c>
      <c r="GL94" s="103">
        <f t="shared" si="106"/>
        <v>475339.26796186838</v>
      </c>
      <c r="GM94" s="103">
        <f t="shared" si="106"/>
        <v>475339.26796186838</v>
      </c>
      <c r="GN94" s="103">
        <f t="shared" si="106"/>
        <v>475339.26796186838</v>
      </c>
      <c r="GO94" s="103">
        <f t="shared" si="106"/>
        <v>475339.26796186838</v>
      </c>
      <c r="GP94" s="103">
        <f t="shared" si="106"/>
        <v>475339.26796186838</v>
      </c>
      <c r="GQ94" s="103">
        <f t="shared" si="106"/>
        <v>475339.26796186838</v>
      </c>
      <c r="GR94" s="103">
        <f t="shared" si="106"/>
        <v>475339.26796186838</v>
      </c>
      <c r="GS94" s="103">
        <f t="shared" si="106"/>
        <v>475339.26796186838</v>
      </c>
      <c r="GT94" s="103">
        <f t="shared" si="106"/>
        <v>475339.26796186838</v>
      </c>
      <c r="GU94" s="103">
        <f t="shared" si="106"/>
        <v>475339.26796186838</v>
      </c>
      <c r="GV94" s="103">
        <f t="shared" si="106"/>
        <v>475339.26796186838</v>
      </c>
      <c r="GW94" s="103">
        <f t="shared" si="106"/>
        <v>475339.26796186838</v>
      </c>
      <c r="GX94" s="103">
        <f t="shared" si="106"/>
        <v>475339.26796186838</v>
      </c>
      <c r="GY94" s="103">
        <f t="shared" si="107"/>
        <v>475339.26796186838</v>
      </c>
      <c r="GZ94" s="103">
        <f t="shared" si="107"/>
        <v>475339.26796186838</v>
      </c>
      <c r="HA94" s="103">
        <f t="shared" si="107"/>
        <v>475339.26796186838</v>
      </c>
      <c r="HB94" s="103">
        <f t="shared" si="107"/>
        <v>475339.26796186838</v>
      </c>
      <c r="HC94" s="103">
        <f t="shared" si="107"/>
        <v>475339.26796186838</v>
      </c>
      <c r="HD94" s="103">
        <f t="shared" si="107"/>
        <v>475339.26796186838</v>
      </c>
      <c r="HE94" s="103">
        <f t="shared" si="89"/>
        <v>475339.26796186838</v>
      </c>
      <c r="HF94" s="103">
        <f t="shared" si="89"/>
        <v>475339.26796186838</v>
      </c>
      <c r="HG94" s="103">
        <f t="shared" si="89"/>
        <v>475339.26796186838</v>
      </c>
      <c r="HH94" s="103">
        <f t="shared" si="89"/>
        <v>475339.26796186838</v>
      </c>
      <c r="HI94" s="103">
        <f t="shared" si="89"/>
        <v>475339.26796186838</v>
      </c>
      <c r="HJ94" s="103">
        <f t="shared" si="89"/>
        <v>475339.26796186838</v>
      </c>
    </row>
    <row r="95" spans="26:218" x14ac:dyDescent="0.25">
      <c r="Z95" s="83" t="s">
        <v>217</v>
      </c>
      <c r="AA95" s="114">
        <f>'US Grid mix, emissions&amp;prices'!O92</f>
        <v>174626</v>
      </c>
      <c r="AB95" s="116">
        <f t="shared" si="109"/>
        <v>174626</v>
      </c>
      <c r="AC95" s="116">
        <f t="shared" si="108"/>
        <v>153381.97416789326</v>
      </c>
      <c r="AD95" s="116">
        <f t="shared" si="108"/>
        <v>153381.97416789326</v>
      </c>
      <c r="AE95" s="116">
        <f t="shared" si="108"/>
        <v>153381.97416789326</v>
      </c>
      <c r="AF95" s="116">
        <f t="shared" si="108"/>
        <v>153381.97416789326</v>
      </c>
      <c r="AG95" s="116">
        <f t="shared" si="108"/>
        <v>153381.97416789326</v>
      </c>
      <c r="AH95" s="116">
        <f t="shared" si="108"/>
        <v>57989.757831705989</v>
      </c>
      <c r="AI95" s="116">
        <f t="shared" si="108"/>
        <v>57989.757831705989</v>
      </c>
      <c r="AJ95" s="116">
        <f t="shared" si="108"/>
        <v>57989.757831705989</v>
      </c>
      <c r="AK95" s="116">
        <f t="shared" si="108"/>
        <v>57989.757831705989</v>
      </c>
      <c r="AL95" s="116">
        <f t="shared" si="108"/>
        <v>57989.757831705989</v>
      </c>
      <c r="AM95" s="116">
        <f t="shared" si="108"/>
        <v>48740.410970938879</v>
      </c>
      <c r="AN95" s="116">
        <f t="shared" si="108"/>
        <v>48740.410970938879</v>
      </c>
      <c r="AO95" s="116">
        <f t="shared" si="108"/>
        <v>48740.410970938879</v>
      </c>
      <c r="AP95" s="116">
        <f t="shared" si="108"/>
        <v>48740.410970938879</v>
      </c>
      <c r="AQ95" s="116">
        <f t="shared" si="108"/>
        <v>48740.410970938879</v>
      </c>
      <c r="AR95" s="116">
        <f t="shared" si="108"/>
        <v>48740.410970938879</v>
      </c>
      <c r="AS95" s="116">
        <f t="shared" si="108"/>
        <v>48740.410970938879</v>
      </c>
      <c r="AT95" s="116">
        <f t="shared" si="108"/>
        <v>48740.410970938879</v>
      </c>
      <c r="AU95" s="116">
        <f t="shared" si="108"/>
        <v>48740.410970938879</v>
      </c>
      <c r="AV95" s="116">
        <f t="shared" si="108"/>
        <v>48740.410970938879</v>
      </c>
      <c r="AW95" s="116">
        <f t="shared" si="108"/>
        <v>48970.534397854521</v>
      </c>
      <c r="AX95" s="116">
        <f t="shared" si="108"/>
        <v>48970.534397854521</v>
      </c>
      <c r="AY95" s="116">
        <f t="shared" si="108"/>
        <v>48970.534397854521</v>
      </c>
      <c r="AZ95" s="116">
        <f t="shared" si="108"/>
        <v>48970.534397854521</v>
      </c>
      <c r="BA95" s="116">
        <f t="shared" si="108"/>
        <v>48970.534397854521</v>
      </c>
      <c r="BB95" s="116">
        <f t="shared" si="108"/>
        <v>49259.87087029231</v>
      </c>
      <c r="BM95" s="83" t="s">
        <v>217</v>
      </c>
      <c r="BN95" s="114">
        <f t="shared" si="78"/>
        <v>174626</v>
      </c>
      <c r="BO95" s="116">
        <f t="shared" si="112"/>
        <v>174626</v>
      </c>
      <c r="BP95" s="116">
        <f t="shared" si="112"/>
        <v>137652.83607555428</v>
      </c>
      <c r="BQ95" s="116">
        <f t="shared" si="112"/>
        <v>137652.83607555428</v>
      </c>
      <c r="BR95" s="116">
        <f t="shared" si="112"/>
        <v>137652.83607555428</v>
      </c>
      <c r="BS95" s="116">
        <f t="shared" si="112"/>
        <v>137652.83607555428</v>
      </c>
      <c r="BT95" s="116">
        <f t="shared" si="112"/>
        <v>137652.83607555428</v>
      </c>
      <c r="BU95" s="116">
        <f t="shared" si="112"/>
        <v>7775.7494778862683</v>
      </c>
      <c r="BV95" s="116">
        <f t="shared" si="112"/>
        <v>7775.7494778862683</v>
      </c>
      <c r="BW95" s="116">
        <f t="shared" si="112"/>
        <v>7775.7494778862683</v>
      </c>
      <c r="BX95" s="116">
        <f t="shared" si="112"/>
        <v>7775.7494778862683</v>
      </c>
      <c r="BY95" s="116">
        <f t="shared" si="112"/>
        <v>7775.7494778862683</v>
      </c>
      <c r="BZ95" s="116">
        <f t="shared" si="112"/>
        <v>8109.4957344656723</v>
      </c>
      <c r="CA95" s="116">
        <f t="shared" si="112"/>
        <v>8109.4957344656723</v>
      </c>
      <c r="CB95" s="116">
        <f t="shared" si="112"/>
        <v>8109.4957344656723</v>
      </c>
      <c r="CC95" s="116">
        <f t="shared" si="112"/>
        <v>8109.4957344656723</v>
      </c>
      <c r="CD95" s="116">
        <f t="shared" si="112"/>
        <v>8109.4957344656723</v>
      </c>
      <c r="CE95" s="116">
        <f t="shared" si="110"/>
        <v>8222.5388213715996</v>
      </c>
      <c r="CF95" s="116">
        <f t="shared" si="110"/>
        <v>8222.5388213715996</v>
      </c>
      <c r="CG95" s="116">
        <f t="shared" si="110"/>
        <v>8222.5388213715996</v>
      </c>
      <c r="CH95" s="116">
        <f t="shared" si="110"/>
        <v>8222.5388213715996</v>
      </c>
      <c r="CI95" s="116">
        <f t="shared" si="110"/>
        <v>8222.5388213715996</v>
      </c>
      <c r="CJ95" s="116">
        <f t="shared" si="110"/>
        <v>8511.8752938093894</v>
      </c>
      <c r="CK95" s="116">
        <f t="shared" si="110"/>
        <v>8511.8752938093894</v>
      </c>
      <c r="CL95" s="116">
        <f t="shared" si="110"/>
        <v>8511.8752938093894</v>
      </c>
      <c r="CM95" s="116">
        <f t="shared" si="110"/>
        <v>8511.8752938093894</v>
      </c>
      <c r="CN95" s="116">
        <f t="shared" si="110"/>
        <v>8511.8752938093894</v>
      </c>
      <c r="CO95" s="116">
        <f t="shared" si="110"/>
        <v>8877.9195752190553</v>
      </c>
      <c r="CR95" s="83" t="s">
        <v>217</v>
      </c>
      <c r="CS95" s="114">
        <f t="shared" si="81"/>
        <v>174626</v>
      </c>
      <c r="CT95" s="116">
        <f t="shared" si="113"/>
        <v>8176.7832861953902</v>
      </c>
      <c r="CU95" s="116">
        <f t="shared" si="113"/>
        <v>8176.7832861953902</v>
      </c>
      <c r="CV95" s="116">
        <f t="shared" si="113"/>
        <v>8176.7832861953902</v>
      </c>
      <c r="CW95" s="116">
        <f t="shared" si="113"/>
        <v>8176.7832861953902</v>
      </c>
      <c r="CX95" s="116">
        <f t="shared" si="113"/>
        <v>8176.7832861953902</v>
      </c>
      <c r="CY95" s="116">
        <f t="shared" si="113"/>
        <v>8176.7832861953902</v>
      </c>
      <c r="CZ95" s="116">
        <f t="shared" si="113"/>
        <v>8176.7832861953902</v>
      </c>
      <c r="DA95" s="116">
        <f t="shared" si="113"/>
        <v>8176.7832861953902</v>
      </c>
      <c r="DB95" s="116">
        <f t="shared" si="113"/>
        <v>8176.7832861953902</v>
      </c>
      <c r="DC95" s="116">
        <f t="shared" si="113"/>
        <v>8176.7832861953902</v>
      </c>
      <c r="DD95" s="116">
        <f t="shared" si="113"/>
        <v>8176.7832861953902</v>
      </c>
      <c r="DE95" s="116">
        <f t="shared" si="113"/>
        <v>8410.9439662148106</v>
      </c>
      <c r="DF95" s="116">
        <f t="shared" si="113"/>
        <v>8410.9439662148106</v>
      </c>
      <c r="DG95" s="116">
        <f t="shared" si="113"/>
        <v>8410.9439662148106</v>
      </c>
      <c r="DH95" s="116">
        <f t="shared" si="113"/>
        <v>8410.9439662148106</v>
      </c>
      <c r="DI95" s="116">
        <f t="shared" si="113"/>
        <v>8410.9439662148106</v>
      </c>
      <c r="DJ95" s="116">
        <f t="shared" si="111"/>
        <v>8848.313052457981</v>
      </c>
      <c r="DK95" s="116">
        <f t="shared" si="111"/>
        <v>8848.313052457981</v>
      </c>
      <c r="DL95" s="116">
        <f t="shared" si="111"/>
        <v>8848.313052457981</v>
      </c>
      <c r="DM95" s="116">
        <f t="shared" si="111"/>
        <v>8848.313052457981</v>
      </c>
      <c r="DN95" s="116">
        <f t="shared" si="111"/>
        <v>8848.313052457981</v>
      </c>
      <c r="DO95" s="116">
        <f t="shared" si="111"/>
        <v>9137.6495248957708</v>
      </c>
      <c r="DP95" s="116">
        <f t="shared" si="111"/>
        <v>9137.6495248957708</v>
      </c>
      <c r="DQ95" s="116">
        <f t="shared" si="111"/>
        <v>9137.6495248957708</v>
      </c>
      <c r="DR95" s="116">
        <f t="shared" si="111"/>
        <v>9137.6495248957708</v>
      </c>
      <c r="DS95" s="116">
        <f t="shared" si="111"/>
        <v>9137.6495248957708</v>
      </c>
      <c r="DT95" s="116">
        <f t="shared" si="111"/>
        <v>9505.0395573400328</v>
      </c>
      <c r="DW95" s="83" t="s">
        <v>217</v>
      </c>
      <c r="DX95" s="114">
        <f t="shared" si="84"/>
        <v>230712.13025392155</v>
      </c>
      <c r="DY95" s="116">
        <f t="shared" si="102"/>
        <v>230712.13025392155</v>
      </c>
      <c r="DZ95" s="116">
        <f t="shared" si="102"/>
        <v>201845.00775424833</v>
      </c>
      <c r="EA95" s="116">
        <f t="shared" si="102"/>
        <v>201845.00775424833</v>
      </c>
      <c r="EB95" s="116">
        <f t="shared" si="102"/>
        <v>201845.00775424833</v>
      </c>
      <c r="EC95" s="116">
        <f t="shared" si="102"/>
        <v>201845.00775424833</v>
      </c>
      <c r="ED95" s="116">
        <f t="shared" si="102"/>
        <v>201845.00775424833</v>
      </c>
      <c r="EE95" s="116">
        <f t="shared" si="102"/>
        <v>125580.2110707125</v>
      </c>
      <c r="EF95" s="116">
        <f t="shared" si="102"/>
        <v>125580.2110707125</v>
      </c>
      <c r="EG95" s="116">
        <f t="shared" si="102"/>
        <v>125580.2110707125</v>
      </c>
      <c r="EH95" s="116">
        <f t="shared" si="102"/>
        <v>125580.2110707125</v>
      </c>
      <c r="EI95" s="116">
        <f t="shared" si="102"/>
        <v>125580.2110707125</v>
      </c>
      <c r="EJ95" s="116">
        <f t="shared" si="102"/>
        <v>111817.12568635061</v>
      </c>
      <c r="EK95" s="116">
        <f t="shared" si="102"/>
        <v>111817.12568635061</v>
      </c>
      <c r="EL95" s="116">
        <f t="shared" si="102"/>
        <v>111817.12568635061</v>
      </c>
      <c r="EM95" s="116">
        <f t="shared" si="102"/>
        <v>111817.12568635061</v>
      </c>
      <c r="EN95" s="116">
        <f t="shared" si="102"/>
        <v>111817.12568635061</v>
      </c>
      <c r="EO95" s="116">
        <f t="shared" si="103"/>
        <v>108651.30647221362</v>
      </c>
      <c r="EP95" s="116">
        <f t="shared" si="103"/>
        <v>108651.30647221362</v>
      </c>
      <c r="EQ95" s="116">
        <f t="shared" si="103"/>
        <v>108651.30647221362</v>
      </c>
      <c r="ER95" s="116">
        <f t="shared" si="103"/>
        <v>108651.30647221362</v>
      </c>
      <c r="ES95" s="116">
        <f t="shared" si="103"/>
        <v>108651.30647221362</v>
      </c>
      <c r="ET95" s="116">
        <f t="shared" si="103"/>
        <v>104806.0499897827</v>
      </c>
      <c r="EU95" s="116">
        <f t="shared" si="91"/>
        <v>104806.0499897827</v>
      </c>
      <c r="EV95" s="116">
        <f t="shared" si="91"/>
        <v>104806.0499897827</v>
      </c>
      <c r="EW95" s="116">
        <f t="shared" si="91"/>
        <v>104806.0499897827</v>
      </c>
      <c r="EX95" s="116">
        <f t="shared" si="91"/>
        <v>104806.0499897827</v>
      </c>
      <c r="EY95" s="116">
        <f t="shared" si="91"/>
        <v>98678.07980740018</v>
      </c>
      <c r="FB95" s="83" t="s">
        <v>217</v>
      </c>
      <c r="FC95" s="114">
        <f t="shared" si="86"/>
        <v>249402.35784288988</v>
      </c>
      <c r="FD95" s="116">
        <f t="shared" si="104"/>
        <v>249402.35784288988</v>
      </c>
      <c r="FE95" s="116">
        <f t="shared" si="104"/>
        <v>217437.8486596992</v>
      </c>
      <c r="FF95" s="116">
        <f t="shared" si="104"/>
        <v>217437.8486596992</v>
      </c>
      <c r="FG95" s="116">
        <f t="shared" si="104"/>
        <v>217437.8486596992</v>
      </c>
      <c r="FH95" s="116">
        <f t="shared" si="104"/>
        <v>217437.8486596992</v>
      </c>
      <c r="FI95" s="116">
        <f t="shared" si="104"/>
        <v>217437.8486596992</v>
      </c>
      <c r="FJ95" s="116">
        <f t="shared" si="104"/>
        <v>137531.46373962393</v>
      </c>
      <c r="FK95" s="116">
        <f t="shared" si="104"/>
        <v>137531.46373962393</v>
      </c>
      <c r="FL95" s="116">
        <f t="shared" si="104"/>
        <v>137531.46373962393</v>
      </c>
      <c r="FM95" s="116">
        <f t="shared" si="104"/>
        <v>137531.46373962393</v>
      </c>
      <c r="FN95" s="116">
        <f t="shared" si="104"/>
        <v>137531.46373962393</v>
      </c>
      <c r="FO95" s="116">
        <f t="shared" si="104"/>
        <v>121813.16319470391</v>
      </c>
      <c r="FP95" s="116">
        <f t="shared" si="104"/>
        <v>121813.16319470391</v>
      </c>
      <c r="FQ95" s="116">
        <f t="shared" si="104"/>
        <v>121813.16319470391</v>
      </c>
      <c r="FR95" s="116">
        <f t="shared" si="104"/>
        <v>121813.16319470391</v>
      </c>
      <c r="FS95" s="116">
        <f t="shared" si="104"/>
        <v>121813.16319470391</v>
      </c>
      <c r="FT95" s="116">
        <f t="shared" si="105"/>
        <v>119031.86962881</v>
      </c>
      <c r="FU95" s="116">
        <f t="shared" si="105"/>
        <v>119031.86962881</v>
      </c>
      <c r="FV95" s="116">
        <f t="shared" si="105"/>
        <v>119031.86962881</v>
      </c>
      <c r="FW95" s="116">
        <f t="shared" si="105"/>
        <v>119031.86962881</v>
      </c>
      <c r="FX95" s="116">
        <f t="shared" si="105"/>
        <v>119031.86962881</v>
      </c>
      <c r="FY95" s="116">
        <f t="shared" si="105"/>
        <v>115180.09576251055</v>
      </c>
      <c r="FZ95" s="116">
        <f t="shared" si="92"/>
        <v>115180.09576251055</v>
      </c>
      <c r="GA95" s="116">
        <f t="shared" si="92"/>
        <v>115180.09576251055</v>
      </c>
      <c r="GB95" s="116">
        <f t="shared" si="92"/>
        <v>115180.09576251055</v>
      </c>
      <c r="GC95" s="116">
        <f t="shared" si="92"/>
        <v>115180.09576251055</v>
      </c>
      <c r="GD95" s="116">
        <f t="shared" si="92"/>
        <v>108843.56929633519</v>
      </c>
      <c r="GH95" s="123" t="s">
        <v>217</v>
      </c>
      <c r="GI95" s="103">
        <f t="shared" si="106"/>
        <v>439051.27503641311</v>
      </c>
      <c r="GJ95" s="103">
        <f t="shared" si="106"/>
        <v>439051.27503641311</v>
      </c>
      <c r="GK95" s="103">
        <f t="shared" si="106"/>
        <v>439051.27503641311</v>
      </c>
      <c r="GL95" s="103">
        <f t="shared" si="106"/>
        <v>439051.27503641311</v>
      </c>
      <c r="GM95" s="103">
        <f t="shared" si="106"/>
        <v>439051.27503641311</v>
      </c>
      <c r="GN95" s="103">
        <f t="shared" si="106"/>
        <v>439051.27503641311</v>
      </c>
      <c r="GO95" s="103">
        <f t="shared" si="106"/>
        <v>439051.27503641311</v>
      </c>
      <c r="GP95" s="103">
        <f t="shared" si="106"/>
        <v>439051.27503641311</v>
      </c>
      <c r="GQ95" s="103">
        <f t="shared" si="106"/>
        <v>439051.27503641311</v>
      </c>
      <c r="GR95" s="103">
        <f t="shared" si="106"/>
        <v>439051.27503641311</v>
      </c>
      <c r="GS95" s="103">
        <f t="shared" si="106"/>
        <v>439051.27503641311</v>
      </c>
      <c r="GT95" s="103">
        <f t="shared" si="106"/>
        <v>439051.27503641311</v>
      </c>
      <c r="GU95" s="103">
        <f t="shared" si="106"/>
        <v>439051.27503641311</v>
      </c>
      <c r="GV95" s="103">
        <f t="shared" si="106"/>
        <v>439051.27503641311</v>
      </c>
      <c r="GW95" s="103">
        <f t="shared" si="106"/>
        <v>439051.27503641311</v>
      </c>
      <c r="GX95" s="103">
        <f t="shared" si="106"/>
        <v>439051.27503641311</v>
      </c>
      <c r="GY95" s="103">
        <f t="shared" si="107"/>
        <v>439051.27503641311</v>
      </c>
      <c r="GZ95" s="103">
        <f t="shared" si="107"/>
        <v>439051.27503641311</v>
      </c>
      <c r="HA95" s="103">
        <f t="shared" si="107"/>
        <v>439051.27503641311</v>
      </c>
      <c r="HB95" s="103">
        <f t="shared" si="107"/>
        <v>439051.27503641311</v>
      </c>
      <c r="HC95" s="103">
        <f t="shared" si="107"/>
        <v>439051.27503641311</v>
      </c>
      <c r="HD95" s="103">
        <f t="shared" si="107"/>
        <v>439051.27503641311</v>
      </c>
      <c r="HE95" s="103">
        <f t="shared" si="89"/>
        <v>439051.27503641311</v>
      </c>
      <c r="HF95" s="103">
        <f t="shared" si="89"/>
        <v>439051.27503641311</v>
      </c>
      <c r="HG95" s="103">
        <f t="shared" si="89"/>
        <v>439051.27503641311</v>
      </c>
      <c r="HH95" s="103">
        <f t="shared" si="89"/>
        <v>439051.27503641311</v>
      </c>
      <c r="HI95" s="103">
        <f t="shared" si="89"/>
        <v>439051.27503641311</v>
      </c>
      <c r="HJ95" s="103">
        <f t="shared" si="89"/>
        <v>439051.27503641311</v>
      </c>
    </row>
    <row r="96" spans="26:218" x14ac:dyDescent="0.25">
      <c r="Z96" s="83" t="s">
        <v>218</v>
      </c>
      <c r="AA96" s="114">
        <f>'US Grid mix, emissions&amp;prices'!O93</f>
        <v>100158</v>
      </c>
      <c r="AB96" s="116">
        <f t="shared" si="109"/>
        <v>100158</v>
      </c>
      <c r="AC96" s="116">
        <f t="shared" si="108"/>
        <v>87973.335979223339</v>
      </c>
      <c r="AD96" s="116">
        <f t="shared" si="108"/>
        <v>87973.335979223339</v>
      </c>
      <c r="AE96" s="116">
        <f t="shared" si="108"/>
        <v>87973.335979223339</v>
      </c>
      <c r="AF96" s="116">
        <f t="shared" si="108"/>
        <v>87973.335979223339</v>
      </c>
      <c r="AG96" s="116">
        <f t="shared" si="108"/>
        <v>87973.335979223339</v>
      </c>
      <c r="AH96" s="116">
        <f t="shared" si="108"/>
        <v>33260.44326107228</v>
      </c>
      <c r="AI96" s="116">
        <f t="shared" si="108"/>
        <v>33260.44326107228</v>
      </c>
      <c r="AJ96" s="116">
        <f t="shared" si="108"/>
        <v>33260.44326107228</v>
      </c>
      <c r="AK96" s="116">
        <f t="shared" si="108"/>
        <v>33260.44326107228</v>
      </c>
      <c r="AL96" s="116">
        <f t="shared" si="108"/>
        <v>33260.44326107228</v>
      </c>
      <c r="AM96" s="116">
        <f t="shared" si="108"/>
        <v>27955.413752976627</v>
      </c>
      <c r="AN96" s="116">
        <f t="shared" si="108"/>
        <v>27955.413752976627</v>
      </c>
      <c r="AO96" s="116">
        <f t="shared" si="108"/>
        <v>27955.413752976627</v>
      </c>
      <c r="AP96" s="116">
        <f t="shared" si="108"/>
        <v>27955.413752976627</v>
      </c>
      <c r="AQ96" s="116">
        <f t="shared" si="108"/>
        <v>27955.413752976627</v>
      </c>
      <c r="AR96" s="116">
        <f t="shared" si="108"/>
        <v>27955.413752976627</v>
      </c>
      <c r="AS96" s="116">
        <f t="shared" si="108"/>
        <v>27955.413752976627</v>
      </c>
      <c r="AT96" s="116">
        <f t="shared" si="108"/>
        <v>27955.413752976627</v>
      </c>
      <c r="AU96" s="116">
        <f t="shared" si="108"/>
        <v>27955.413752976627</v>
      </c>
      <c r="AV96" s="116">
        <f t="shared" si="108"/>
        <v>27955.413752976627</v>
      </c>
      <c r="AW96" s="116">
        <f t="shared" si="108"/>
        <v>28087.402701890398</v>
      </c>
      <c r="AX96" s="116">
        <f t="shared" si="108"/>
        <v>28087.402701890398</v>
      </c>
      <c r="AY96" s="116">
        <f t="shared" si="108"/>
        <v>28087.402701890398</v>
      </c>
      <c r="AZ96" s="116">
        <f t="shared" si="108"/>
        <v>28087.402701890398</v>
      </c>
      <c r="BA96" s="116">
        <f t="shared" si="108"/>
        <v>28087.402701890398</v>
      </c>
      <c r="BB96" s="116">
        <f t="shared" si="108"/>
        <v>28253.353719530525</v>
      </c>
      <c r="BM96" s="83" t="s">
        <v>218</v>
      </c>
      <c r="BN96" s="114">
        <f t="shared" si="78"/>
        <v>100158</v>
      </c>
      <c r="BO96" s="116">
        <f t="shared" si="112"/>
        <v>100158</v>
      </c>
      <c r="BP96" s="116">
        <f t="shared" si="112"/>
        <v>78951.775541187264</v>
      </c>
      <c r="BQ96" s="116">
        <f t="shared" si="112"/>
        <v>78951.775541187264</v>
      </c>
      <c r="BR96" s="116">
        <f t="shared" si="112"/>
        <v>78951.775541187264</v>
      </c>
      <c r="BS96" s="116">
        <f t="shared" si="112"/>
        <v>78951.775541187264</v>
      </c>
      <c r="BT96" s="116">
        <f t="shared" si="112"/>
        <v>78951.775541187264</v>
      </c>
      <c r="BU96" s="116">
        <f t="shared" si="112"/>
        <v>4459.8371159285152</v>
      </c>
      <c r="BV96" s="116">
        <f t="shared" si="112"/>
        <v>4459.8371159285152</v>
      </c>
      <c r="BW96" s="116">
        <f t="shared" si="112"/>
        <v>4459.8371159285152</v>
      </c>
      <c r="BX96" s="116">
        <f t="shared" si="112"/>
        <v>4459.8371159285152</v>
      </c>
      <c r="BY96" s="116">
        <f t="shared" si="112"/>
        <v>4459.8371159285152</v>
      </c>
      <c r="BZ96" s="116">
        <f t="shared" si="112"/>
        <v>4651.2596851134012</v>
      </c>
      <c r="CA96" s="116">
        <f t="shared" si="112"/>
        <v>4651.2596851134012</v>
      </c>
      <c r="CB96" s="116">
        <f t="shared" si="112"/>
        <v>4651.2596851134012</v>
      </c>
      <c r="CC96" s="116">
        <f t="shared" si="112"/>
        <v>4651.2596851134012</v>
      </c>
      <c r="CD96" s="116">
        <f t="shared" si="112"/>
        <v>4651.2596851134012</v>
      </c>
      <c r="CE96" s="116">
        <f t="shared" si="110"/>
        <v>4716.0963617727984</v>
      </c>
      <c r="CF96" s="116">
        <f t="shared" si="110"/>
        <v>4716.0963617727984</v>
      </c>
      <c r="CG96" s="116">
        <f t="shared" si="110"/>
        <v>4716.0963617727984</v>
      </c>
      <c r="CH96" s="116">
        <f t="shared" si="110"/>
        <v>4716.0963617727984</v>
      </c>
      <c r="CI96" s="116">
        <f t="shared" si="110"/>
        <v>4716.0963617727984</v>
      </c>
      <c r="CJ96" s="116">
        <f t="shared" si="110"/>
        <v>4882.0473794129211</v>
      </c>
      <c r="CK96" s="116">
        <f t="shared" si="110"/>
        <v>4882.0473794129211</v>
      </c>
      <c r="CL96" s="116">
        <f t="shared" si="110"/>
        <v>4882.0473794129211</v>
      </c>
      <c r="CM96" s="116">
        <f t="shared" si="110"/>
        <v>4882.0473794129211</v>
      </c>
      <c r="CN96" s="116">
        <f t="shared" si="110"/>
        <v>4882.0473794129211</v>
      </c>
      <c r="CO96" s="116">
        <f t="shared" si="110"/>
        <v>5091.9947133576343</v>
      </c>
      <c r="CR96" s="83" t="s">
        <v>218</v>
      </c>
      <c r="CS96" s="114">
        <f t="shared" si="81"/>
        <v>100158</v>
      </c>
      <c r="CT96" s="116">
        <f t="shared" si="113"/>
        <v>4689.8529450297092</v>
      </c>
      <c r="CU96" s="116">
        <f t="shared" si="113"/>
        <v>4689.8529450297092</v>
      </c>
      <c r="CV96" s="116">
        <f t="shared" si="113"/>
        <v>4689.8529450297092</v>
      </c>
      <c r="CW96" s="116">
        <f t="shared" si="113"/>
        <v>4689.8529450297092</v>
      </c>
      <c r="CX96" s="116">
        <f t="shared" si="113"/>
        <v>4689.8529450297092</v>
      </c>
      <c r="CY96" s="116">
        <f t="shared" si="113"/>
        <v>4689.8529450297092</v>
      </c>
      <c r="CZ96" s="116">
        <f t="shared" si="113"/>
        <v>4689.8529450297092</v>
      </c>
      <c r="DA96" s="116">
        <f t="shared" si="113"/>
        <v>4689.8529450297092</v>
      </c>
      <c r="DB96" s="116">
        <f t="shared" si="113"/>
        <v>4689.8529450297092</v>
      </c>
      <c r="DC96" s="116">
        <f t="shared" si="113"/>
        <v>4689.8529450297092</v>
      </c>
      <c r="DD96" s="116">
        <f t="shared" si="113"/>
        <v>4689.8529450297092</v>
      </c>
      <c r="DE96" s="116">
        <f t="shared" si="113"/>
        <v>4824.1574895384592</v>
      </c>
      <c r="DF96" s="116">
        <f t="shared" si="113"/>
        <v>4824.1574895384592</v>
      </c>
      <c r="DG96" s="116">
        <f t="shared" si="113"/>
        <v>4824.1574895384592</v>
      </c>
      <c r="DH96" s="116">
        <f t="shared" si="113"/>
        <v>4824.1574895384592</v>
      </c>
      <c r="DI96" s="116">
        <f t="shared" si="113"/>
        <v>4824.1574895384592</v>
      </c>
      <c r="DJ96" s="116">
        <f t="shared" si="111"/>
        <v>5075.013678994459</v>
      </c>
      <c r="DK96" s="116">
        <f t="shared" si="111"/>
        <v>5075.013678994459</v>
      </c>
      <c r="DL96" s="116">
        <f t="shared" si="111"/>
        <v>5075.013678994459</v>
      </c>
      <c r="DM96" s="116">
        <f t="shared" si="111"/>
        <v>5075.013678994459</v>
      </c>
      <c r="DN96" s="116">
        <f t="shared" si="111"/>
        <v>5075.013678994459</v>
      </c>
      <c r="DO96" s="116">
        <f t="shared" si="111"/>
        <v>5240.9646966345817</v>
      </c>
      <c r="DP96" s="116">
        <f t="shared" si="111"/>
        <v>5240.9646966345817</v>
      </c>
      <c r="DQ96" s="116">
        <f t="shared" si="111"/>
        <v>5240.9646966345817</v>
      </c>
      <c r="DR96" s="116">
        <f t="shared" si="111"/>
        <v>5240.9646966345817</v>
      </c>
      <c r="DS96" s="116">
        <f t="shared" si="111"/>
        <v>5240.9646966345817</v>
      </c>
      <c r="DT96" s="116">
        <f t="shared" si="111"/>
        <v>5451.6838957776217</v>
      </c>
      <c r="DW96" s="83" t="s">
        <v>218</v>
      </c>
      <c r="DX96" s="114">
        <f t="shared" si="84"/>
        <v>132326.60395343349</v>
      </c>
      <c r="DY96" s="116">
        <f t="shared" si="102"/>
        <v>132326.60395343349</v>
      </c>
      <c r="DZ96" s="116">
        <f t="shared" si="102"/>
        <v>115769.65793553082</v>
      </c>
      <c r="EA96" s="116">
        <f t="shared" si="102"/>
        <v>115769.65793553082</v>
      </c>
      <c r="EB96" s="116">
        <f t="shared" si="102"/>
        <v>115769.65793553082</v>
      </c>
      <c r="EC96" s="116">
        <f t="shared" si="102"/>
        <v>115769.65793553082</v>
      </c>
      <c r="ED96" s="116">
        <f t="shared" si="102"/>
        <v>115769.65793553082</v>
      </c>
      <c r="EE96" s="116">
        <f t="shared" si="102"/>
        <v>72027.434519604314</v>
      </c>
      <c r="EF96" s="116">
        <f t="shared" si="102"/>
        <v>72027.434519604314</v>
      </c>
      <c r="EG96" s="116">
        <f t="shared" si="102"/>
        <v>72027.434519604314</v>
      </c>
      <c r="EH96" s="116">
        <f t="shared" si="102"/>
        <v>72027.434519604314</v>
      </c>
      <c r="EI96" s="116">
        <f t="shared" si="102"/>
        <v>72027.434519604314</v>
      </c>
      <c r="EJ96" s="116">
        <f t="shared" si="102"/>
        <v>64133.517772230392</v>
      </c>
      <c r="EK96" s="116">
        <f t="shared" si="102"/>
        <v>64133.517772230392</v>
      </c>
      <c r="EL96" s="116">
        <f t="shared" si="102"/>
        <v>64133.517772230392</v>
      </c>
      <c r="EM96" s="116">
        <f t="shared" si="102"/>
        <v>64133.517772230392</v>
      </c>
      <c r="EN96" s="116">
        <f t="shared" si="102"/>
        <v>64133.517772230392</v>
      </c>
      <c r="EO96" s="116">
        <f t="shared" si="103"/>
        <v>62317.739360942658</v>
      </c>
      <c r="EP96" s="116">
        <f t="shared" si="103"/>
        <v>62317.739360942658</v>
      </c>
      <c r="EQ96" s="116">
        <f t="shared" si="103"/>
        <v>62317.739360942658</v>
      </c>
      <c r="ER96" s="116">
        <f t="shared" si="103"/>
        <v>62317.739360942658</v>
      </c>
      <c r="ES96" s="116">
        <f t="shared" si="103"/>
        <v>62317.739360942658</v>
      </c>
      <c r="ET96" s="116">
        <f t="shared" si="103"/>
        <v>60112.264810948283</v>
      </c>
      <c r="EU96" s="116">
        <f t="shared" si="91"/>
        <v>60112.264810948283</v>
      </c>
      <c r="EV96" s="116">
        <f t="shared" si="91"/>
        <v>60112.264810948283</v>
      </c>
      <c r="EW96" s="116">
        <f t="shared" si="91"/>
        <v>60112.264810948283</v>
      </c>
      <c r="EX96" s="116">
        <f t="shared" si="91"/>
        <v>60112.264810948283</v>
      </c>
      <c r="EY96" s="116">
        <f t="shared" si="91"/>
        <v>56597.523377673358</v>
      </c>
      <c r="FB96" s="83" t="s">
        <v>218</v>
      </c>
      <c r="FC96" s="114">
        <f t="shared" si="86"/>
        <v>143046.51859876633</v>
      </c>
      <c r="FD96" s="116">
        <f t="shared" si="104"/>
        <v>143046.51859876633</v>
      </c>
      <c r="FE96" s="116">
        <f t="shared" si="104"/>
        <v>124713.04414038091</v>
      </c>
      <c r="FF96" s="116">
        <f t="shared" si="104"/>
        <v>124713.04414038091</v>
      </c>
      <c r="FG96" s="116">
        <f t="shared" si="104"/>
        <v>124713.04414038091</v>
      </c>
      <c r="FH96" s="116">
        <f t="shared" si="104"/>
        <v>124713.04414038091</v>
      </c>
      <c r="FI96" s="116">
        <f t="shared" si="104"/>
        <v>124713.04414038091</v>
      </c>
      <c r="FJ96" s="116">
        <f t="shared" si="104"/>
        <v>78882.161563760572</v>
      </c>
      <c r="FK96" s="116">
        <f t="shared" si="104"/>
        <v>78882.161563760572</v>
      </c>
      <c r="FL96" s="116">
        <f t="shared" si="104"/>
        <v>78882.161563760572</v>
      </c>
      <c r="FM96" s="116">
        <f t="shared" si="104"/>
        <v>78882.161563760572</v>
      </c>
      <c r="FN96" s="116">
        <f t="shared" si="104"/>
        <v>78882.161563760572</v>
      </c>
      <c r="FO96" s="116">
        <f t="shared" si="104"/>
        <v>69866.817079101369</v>
      </c>
      <c r="FP96" s="116">
        <f t="shared" si="104"/>
        <v>69866.817079101369</v>
      </c>
      <c r="FQ96" s="116">
        <f t="shared" si="104"/>
        <v>69866.817079101369</v>
      </c>
      <c r="FR96" s="116">
        <f t="shared" si="104"/>
        <v>69866.817079101369</v>
      </c>
      <c r="FS96" s="116">
        <f t="shared" si="104"/>
        <v>69866.817079101369</v>
      </c>
      <c r="FT96" s="116">
        <f t="shared" si="105"/>
        <v>68271.586122813067</v>
      </c>
      <c r="FU96" s="116">
        <f t="shared" si="105"/>
        <v>68271.586122813067</v>
      </c>
      <c r="FV96" s="116">
        <f t="shared" si="105"/>
        <v>68271.586122813067</v>
      </c>
      <c r="FW96" s="116">
        <f t="shared" si="105"/>
        <v>68271.586122813067</v>
      </c>
      <c r="FX96" s="116">
        <f t="shared" si="105"/>
        <v>68271.586122813067</v>
      </c>
      <c r="FY96" s="116">
        <f t="shared" si="105"/>
        <v>66062.373480361086</v>
      </c>
      <c r="FZ96" s="116">
        <f t="shared" si="92"/>
        <v>66062.373480361086</v>
      </c>
      <c r="GA96" s="116">
        <f t="shared" si="92"/>
        <v>66062.373480361086</v>
      </c>
      <c r="GB96" s="116">
        <f t="shared" si="92"/>
        <v>66062.373480361086</v>
      </c>
      <c r="GC96" s="116">
        <f t="shared" si="92"/>
        <v>66062.373480361086</v>
      </c>
      <c r="GD96" s="116">
        <f t="shared" si="92"/>
        <v>62428.013088442392</v>
      </c>
      <c r="GH96" s="123" t="s">
        <v>218</v>
      </c>
      <c r="GI96" s="103">
        <f t="shared" si="106"/>
        <v>251821.02095390757</v>
      </c>
      <c r="GJ96" s="103">
        <f t="shared" si="106"/>
        <v>251821.02095390757</v>
      </c>
      <c r="GK96" s="103">
        <f t="shared" si="106"/>
        <v>251821.02095390757</v>
      </c>
      <c r="GL96" s="103">
        <f t="shared" si="106"/>
        <v>251821.02095390757</v>
      </c>
      <c r="GM96" s="103">
        <f t="shared" si="106"/>
        <v>251821.02095390757</v>
      </c>
      <c r="GN96" s="103">
        <f t="shared" si="106"/>
        <v>251821.02095390757</v>
      </c>
      <c r="GO96" s="103">
        <f t="shared" si="106"/>
        <v>251821.02095390757</v>
      </c>
      <c r="GP96" s="103">
        <f t="shared" si="106"/>
        <v>251821.02095390757</v>
      </c>
      <c r="GQ96" s="103">
        <f t="shared" si="106"/>
        <v>251821.02095390757</v>
      </c>
      <c r="GR96" s="103">
        <f t="shared" si="106"/>
        <v>251821.02095390757</v>
      </c>
      <c r="GS96" s="103">
        <f t="shared" si="106"/>
        <v>251821.02095390757</v>
      </c>
      <c r="GT96" s="103">
        <f t="shared" si="106"/>
        <v>251821.02095390757</v>
      </c>
      <c r="GU96" s="103">
        <f t="shared" si="106"/>
        <v>251821.02095390757</v>
      </c>
      <c r="GV96" s="103">
        <f t="shared" si="106"/>
        <v>251821.02095390757</v>
      </c>
      <c r="GW96" s="103">
        <f t="shared" si="106"/>
        <v>251821.02095390757</v>
      </c>
      <c r="GX96" s="103">
        <f t="shared" si="106"/>
        <v>251821.02095390757</v>
      </c>
      <c r="GY96" s="103">
        <f t="shared" si="107"/>
        <v>251821.02095390757</v>
      </c>
      <c r="GZ96" s="103">
        <f t="shared" si="107"/>
        <v>251821.02095390757</v>
      </c>
      <c r="HA96" s="103">
        <f t="shared" si="107"/>
        <v>251821.02095390757</v>
      </c>
      <c r="HB96" s="103">
        <f t="shared" si="107"/>
        <v>251821.02095390757</v>
      </c>
      <c r="HC96" s="103">
        <f t="shared" si="107"/>
        <v>251821.02095390757</v>
      </c>
      <c r="HD96" s="103">
        <f t="shared" si="107"/>
        <v>251821.02095390757</v>
      </c>
      <c r="HE96" s="103">
        <f t="shared" ref="HE96:HJ101" si="114">$AA96*HE$112</f>
        <v>251821.02095390757</v>
      </c>
      <c r="HF96" s="103">
        <f t="shared" si="114"/>
        <v>251821.02095390757</v>
      </c>
      <c r="HG96" s="103">
        <f t="shared" si="114"/>
        <v>251821.02095390757</v>
      </c>
      <c r="HH96" s="103">
        <f t="shared" si="114"/>
        <v>251821.02095390757</v>
      </c>
      <c r="HI96" s="103">
        <f t="shared" si="114"/>
        <v>251821.02095390757</v>
      </c>
      <c r="HJ96" s="103">
        <f t="shared" si="114"/>
        <v>251821.02095390757</v>
      </c>
    </row>
    <row r="97" spans="26:218" x14ac:dyDescent="0.25">
      <c r="Z97" s="83" t="s">
        <v>219</v>
      </c>
      <c r="AA97" s="114">
        <f>'US Grid mix, emissions&amp;prices'!O94</f>
        <v>62611</v>
      </c>
      <c r="AB97" s="116">
        <f t="shared" si="109"/>
        <v>62611</v>
      </c>
      <c r="AC97" s="116">
        <f t="shared" si="108"/>
        <v>54994.094720293462</v>
      </c>
      <c r="AD97" s="116">
        <f t="shared" si="108"/>
        <v>54994.094720293462</v>
      </c>
      <c r="AE97" s="116">
        <f t="shared" si="108"/>
        <v>54994.094720293462</v>
      </c>
      <c r="AF97" s="116">
        <f t="shared" si="108"/>
        <v>54994.094720293462</v>
      </c>
      <c r="AG97" s="116">
        <f t="shared" si="108"/>
        <v>54994.094720293462</v>
      </c>
      <c r="AH97" s="116">
        <f t="shared" si="108"/>
        <v>20791.845015066163</v>
      </c>
      <c r="AI97" s="116">
        <f t="shared" si="108"/>
        <v>20791.845015066163</v>
      </c>
      <c r="AJ97" s="116">
        <f t="shared" si="108"/>
        <v>20791.845015066163</v>
      </c>
      <c r="AK97" s="116">
        <f t="shared" si="108"/>
        <v>20791.845015066163</v>
      </c>
      <c r="AL97" s="116">
        <f t="shared" si="108"/>
        <v>20791.845015066163</v>
      </c>
      <c r="AM97" s="116">
        <f t="shared" si="108"/>
        <v>17475.552731560329</v>
      </c>
      <c r="AN97" s="116">
        <f t="shared" si="108"/>
        <v>17475.552731560329</v>
      </c>
      <c r="AO97" s="116">
        <f t="shared" si="108"/>
        <v>17475.552731560329</v>
      </c>
      <c r="AP97" s="116">
        <f t="shared" si="108"/>
        <v>17475.552731560329</v>
      </c>
      <c r="AQ97" s="116">
        <f t="shared" si="108"/>
        <v>17475.552731560329</v>
      </c>
      <c r="AR97" s="116">
        <f t="shared" si="108"/>
        <v>17475.552731560329</v>
      </c>
      <c r="AS97" s="116">
        <f t="shared" si="108"/>
        <v>17475.552731560329</v>
      </c>
      <c r="AT97" s="116">
        <f t="shared" si="108"/>
        <v>17475.552731560329</v>
      </c>
      <c r="AU97" s="116">
        <f t="shared" si="108"/>
        <v>17475.552731560329</v>
      </c>
      <c r="AV97" s="116">
        <f t="shared" si="108"/>
        <v>17475.552731560329</v>
      </c>
      <c r="AW97" s="116">
        <f t="shared" si="108"/>
        <v>17558.061967771519</v>
      </c>
      <c r="AX97" s="116">
        <f t="shared" si="108"/>
        <v>17558.061967771519</v>
      </c>
      <c r="AY97" s="116">
        <f t="shared" si="108"/>
        <v>17558.061967771519</v>
      </c>
      <c r="AZ97" s="116">
        <f t="shared" si="108"/>
        <v>17558.061967771519</v>
      </c>
      <c r="BA97" s="116">
        <f t="shared" si="108"/>
        <v>17558.061967771519</v>
      </c>
      <c r="BB97" s="116">
        <f t="shared" si="108"/>
        <v>17661.801650727106</v>
      </c>
      <c r="BM97" s="83" t="s">
        <v>219</v>
      </c>
      <c r="BN97" s="114">
        <f t="shared" si="78"/>
        <v>62611</v>
      </c>
      <c r="BO97" s="116">
        <f t="shared" si="112"/>
        <v>62611</v>
      </c>
      <c r="BP97" s="116">
        <f t="shared" si="112"/>
        <v>49354.51604873575</v>
      </c>
      <c r="BQ97" s="116">
        <f t="shared" si="112"/>
        <v>49354.51604873575</v>
      </c>
      <c r="BR97" s="116">
        <f t="shared" si="112"/>
        <v>49354.51604873575</v>
      </c>
      <c r="BS97" s="116">
        <f t="shared" si="112"/>
        <v>49354.51604873575</v>
      </c>
      <c r="BT97" s="116">
        <f t="shared" si="112"/>
        <v>49354.51604873575</v>
      </c>
      <c r="BU97" s="116">
        <f t="shared" si="112"/>
        <v>2787.9436656622561</v>
      </c>
      <c r="BV97" s="116">
        <f t="shared" si="112"/>
        <v>2787.9436656622561</v>
      </c>
      <c r="BW97" s="116">
        <f t="shared" si="112"/>
        <v>2787.9436656622561</v>
      </c>
      <c r="BX97" s="116">
        <f t="shared" si="112"/>
        <v>2787.9436656622561</v>
      </c>
      <c r="BY97" s="116">
        <f t="shared" si="112"/>
        <v>2787.9436656622561</v>
      </c>
      <c r="BZ97" s="116">
        <f t="shared" si="112"/>
        <v>2907.6061836761432</v>
      </c>
      <c r="CA97" s="116">
        <f t="shared" si="112"/>
        <v>2907.6061836761432</v>
      </c>
      <c r="CB97" s="116">
        <f t="shared" si="112"/>
        <v>2907.6061836761432</v>
      </c>
      <c r="CC97" s="116">
        <f t="shared" si="112"/>
        <v>2907.6061836761432</v>
      </c>
      <c r="CD97" s="116">
        <f t="shared" si="112"/>
        <v>2907.6061836761432</v>
      </c>
      <c r="CE97" s="116">
        <f t="shared" si="110"/>
        <v>2948.1370365518146</v>
      </c>
      <c r="CF97" s="116">
        <f t="shared" si="110"/>
        <v>2948.1370365518146</v>
      </c>
      <c r="CG97" s="116">
        <f t="shared" si="110"/>
        <v>2948.1370365518146</v>
      </c>
      <c r="CH97" s="116">
        <f t="shared" si="110"/>
        <v>2948.1370365518146</v>
      </c>
      <c r="CI97" s="116">
        <f t="shared" si="110"/>
        <v>2948.1370365518146</v>
      </c>
      <c r="CJ97" s="116">
        <f t="shared" si="110"/>
        <v>3051.8767195074024</v>
      </c>
      <c r="CK97" s="116">
        <f t="shared" si="110"/>
        <v>3051.8767195074024</v>
      </c>
      <c r="CL97" s="116">
        <f t="shared" si="110"/>
        <v>3051.8767195074024</v>
      </c>
      <c r="CM97" s="116">
        <f t="shared" si="110"/>
        <v>3051.8767195074024</v>
      </c>
      <c r="CN97" s="116">
        <f t="shared" si="110"/>
        <v>3051.8767195074024</v>
      </c>
      <c r="CO97" s="116">
        <f t="shared" si="110"/>
        <v>3183.1194812000522</v>
      </c>
      <c r="CR97" s="83" t="s">
        <v>219</v>
      </c>
      <c r="CS97" s="114">
        <f t="shared" si="81"/>
        <v>62611</v>
      </c>
      <c r="CT97" s="116">
        <f t="shared" si="113"/>
        <v>2931.7316913402333</v>
      </c>
      <c r="CU97" s="116">
        <f t="shared" si="113"/>
        <v>2931.7316913402333</v>
      </c>
      <c r="CV97" s="116">
        <f t="shared" si="113"/>
        <v>2931.7316913402333</v>
      </c>
      <c r="CW97" s="116">
        <f t="shared" si="113"/>
        <v>2931.7316913402333</v>
      </c>
      <c r="CX97" s="116">
        <f t="shared" si="113"/>
        <v>2931.7316913402333</v>
      </c>
      <c r="CY97" s="116">
        <f t="shared" si="113"/>
        <v>2931.7316913402333</v>
      </c>
      <c r="CZ97" s="116">
        <f t="shared" si="113"/>
        <v>2931.7316913402333</v>
      </c>
      <c r="DA97" s="116">
        <f t="shared" si="113"/>
        <v>2931.7316913402333</v>
      </c>
      <c r="DB97" s="116">
        <f t="shared" si="113"/>
        <v>2931.7316913402333</v>
      </c>
      <c r="DC97" s="116">
        <f t="shared" si="113"/>
        <v>2931.7316913402333</v>
      </c>
      <c r="DD97" s="116">
        <f t="shared" si="113"/>
        <v>2931.7316913402333</v>
      </c>
      <c r="DE97" s="116">
        <f t="shared" si="113"/>
        <v>3015.6884580112669</v>
      </c>
      <c r="DF97" s="116">
        <f t="shared" si="113"/>
        <v>3015.6884580112669</v>
      </c>
      <c r="DG97" s="116">
        <f t="shared" si="113"/>
        <v>3015.6884580112669</v>
      </c>
      <c r="DH97" s="116">
        <f t="shared" si="113"/>
        <v>3015.6884580112669</v>
      </c>
      <c r="DI97" s="116">
        <f t="shared" si="113"/>
        <v>3015.6884580112669</v>
      </c>
      <c r="DJ97" s="116">
        <f t="shared" si="111"/>
        <v>3172.5042578278531</v>
      </c>
      <c r="DK97" s="116">
        <f t="shared" si="111"/>
        <v>3172.5042578278531</v>
      </c>
      <c r="DL97" s="116">
        <f t="shared" si="111"/>
        <v>3172.5042578278531</v>
      </c>
      <c r="DM97" s="116">
        <f t="shared" si="111"/>
        <v>3172.5042578278531</v>
      </c>
      <c r="DN97" s="116">
        <f t="shared" si="111"/>
        <v>3172.5042578278531</v>
      </c>
      <c r="DO97" s="116">
        <f t="shared" si="111"/>
        <v>3276.2439407834404</v>
      </c>
      <c r="DP97" s="116">
        <f t="shared" si="111"/>
        <v>3276.2439407834404</v>
      </c>
      <c r="DQ97" s="116">
        <f t="shared" si="111"/>
        <v>3276.2439407834404</v>
      </c>
      <c r="DR97" s="116">
        <f t="shared" si="111"/>
        <v>3276.2439407834404</v>
      </c>
      <c r="DS97" s="116">
        <f t="shared" si="111"/>
        <v>3276.2439407834404</v>
      </c>
      <c r="DT97" s="116">
        <f t="shared" si="111"/>
        <v>3407.9692126293726</v>
      </c>
      <c r="DW97" s="83" t="s">
        <v>219</v>
      </c>
      <c r="DX97" s="114">
        <f t="shared" si="84"/>
        <v>82720.311908468866</v>
      </c>
      <c r="DY97" s="116">
        <f t="shared" si="102"/>
        <v>82720.311908468866</v>
      </c>
      <c r="DZ97" s="116">
        <f t="shared" si="102"/>
        <v>72370.19562093413</v>
      </c>
      <c r="EA97" s="116">
        <f t="shared" si="102"/>
        <v>72370.19562093413</v>
      </c>
      <c r="EB97" s="116">
        <f t="shared" si="102"/>
        <v>72370.19562093413</v>
      </c>
      <c r="EC97" s="116">
        <f t="shared" si="102"/>
        <v>72370.19562093413</v>
      </c>
      <c r="ED97" s="116">
        <f t="shared" si="102"/>
        <v>72370.19562093413</v>
      </c>
      <c r="EE97" s="116">
        <f t="shared" si="102"/>
        <v>45025.956016563287</v>
      </c>
      <c r="EF97" s="116">
        <f t="shared" si="102"/>
        <v>45025.956016563287</v>
      </c>
      <c r="EG97" s="116">
        <f t="shared" si="102"/>
        <v>45025.956016563287</v>
      </c>
      <c r="EH97" s="116">
        <f t="shared" si="102"/>
        <v>45025.956016563287</v>
      </c>
      <c r="EI97" s="116">
        <f t="shared" si="102"/>
        <v>45025.956016563287</v>
      </c>
      <c r="EJ97" s="116">
        <f t="shared" si="102"/>
        <v>40091.292570110403</v>
      </c>
      <c r="EK97" s="116">
        <f t="shared" si="102"/>
        <v>40091.292570110403</v>
      </c>
      <c r="EL97" s="116">
        <f t="shared" si="102"/>
        <v>40091.292570110403</v>
      </c>
      <c r="EM97" s="116">
        <f t="shared" si="102"/>
        <v>40091.292570110403</v>
      </c>
      <c r="EN97" s="116">
        <f t="shared" si="102"/>
        <v>40091.292570110403</v>
      </c>
      <c r="EO97" s="116">
        <f t="shared" si="103"/>
        <v>38956.208981089687</v>
      </c>
      <c r="EP97" s="116">
        <f t="shared" si="103"/>
        <v>38956.208981089687</v>
      </c>
      <c r="EQ97" s="116">
        <f t="shared" si="103"/>
        <v>38956.208981089687</v>
      </c>
      <c r="ER97" s="116">
        <f t="shared" si="103"/>
        <v>38956.208981089687</v>
      </c>
      <c r="ES97" s="116">
        <f t="shared" si="103"/>
        <v>38956.208981089687</v>
      </c>
      <c r="ET97" s="116">
        <f t="shared" si="103"/>
        <v>37577.517642907042</v>
      </c>
      <c r="EU97" s="116">
        <f t="shared" si="91"/>
        <v>37577.517642907042</v>
      </c>
      <c r="EV97" s="116">
        <f t="shared" si="91"/>
        <v>37577.517642907042</v>
      </c>
      <c r="EW97" s="116">
        <f t="shared" si="91"/>
        <v>37577.517642907042</v>
      </c>
      <c r="EX97" s="116">
        <f t="shared" si="91"/>
        <v>37577.517642907042</v>
      </c>
      <c r="EY97" s="116">
        <f t="shared" si="91"/>
        <v>35380.374370489692</v>
      </c>
      <c r="FB97" s="83" t="s">
        <v>219</v>
      </c>
      <c r="FC97" s="114">
        <f t="shared" si="86"/>
        <v>89421.569679779524</v>
      </c>
      <c r="FD97" s="116">
        <f t="shared" si="104"/>
        <v>89421.569679779524</v>
      </c>
      <c r="FE97" s="116">
        <f t="shared" si="104"/>
        <v>77960.905835513782</v>
      </c>
      <c r="FF97" s="116">
        <f t="shared" si="104"/>
        <v>77960.905835513782</v>
      </c>
      <c r="FG97" s="116">
        <f t="shared" si="104"/>
        <v>77960.905835513782</v>
      </c>
      <c r="FH97" s="116">
        <f t="shared" si="104"/>
        <v>77960.905835513782</v>
      </c>
      <c r="FI97" s="116">
        <f t="shared" si="104"/>
        <v>77960.905835513782</v>
      </c>
      <c r="FJ97" s="116">
        <f t="shared" si="104"/>
        <v>49310.998798584369</v>
      </c>
      <c r="FK97" s="116">
        <f t="shared" si="104"/>
        <v>49310.998798584369</v>
      </c>
      <c r="FL97" s="116">
        <f t="shared" si="104"/>
        <v>49310.998798584369</v>
      </c>
      <c r="FM97" s="116">
        <f t="shared" si="104"/>
        <v>49310.998798584369</v>
      </c>
      <c r="FN97" s="116">
        <f t="shared" si="104"/>
        <v>49310.998798584369</v>
      </c>
      <c r="FO97" s="116">
        <f t="shared" si="104"/>
        <v>43675.305858140295</v>
      </c>
      <c r="FP97" s="116">
        <f t="shared" si="104"/>
        <v>43675.305858140295</v>
      </c>
      <c r="FQ97" s="116">
        <f t="shared" si="104"/>
        <v>43675.305858140295</v>
      </c>
      <c r="FR97" s="116">
        <f t="shared" si="104"/>
        <v>43675.305858140295</v>
      </c>
      <c r="FS97" s="116">
        <f t="shared" si="104"/>
        <v>43675.305858140295</v>
      </c>
      <c r="FT97" s="116">
        <f t="shared" si="105"/>
        <v>42678.091402937847</v>
      </c>
      <c r="FU97" s="116">
        <f t="shared" si="105"/>
        <v>42678.091402937847</v>
      </c>
      <c r="FV97" s="116">
        <f t="shared" si="105"/>
        <v>42678.091402937847</v>
      </c>
      <c r="FW97" s="116">
        <f t="shared" si="105"/>
        <v>42678.091402937847</v>
      </c>
      <c r="FX97" s="116">
        <f t="shared" si="105"/>
        <v>42678.091402937847</v>
      </c>
      <c r="FY97" s="116">
        <f t="shared" si="105"/>
        <v>41297.063299775225</v>
      </c>
      <c r="FZ97" s="116">
        <f t="shared" si="92"/>
        <v>41297.063299775225</v>
      </c>
      <c r="GA97" s="116">
        <f t="shared" si="92"/>
        <v>41297.063299775225</v>
      </c>
      <c r="GB97" s="116">
        <f t="shared" si="92"/>
        <v>41297.063299775225</v>
      </c>
      <c r="GC97" s="116">
        <f t="shared" si="92"/>
        <v>41297.063299775225</v>
      </c>
      <c r="GD97" s="116">
        <f t="shared" si="92"/>
        <v>39025.143547998821</v>
      </c>
      <c r="GH97" s="123" t="s">
        <v>219</v>
      </c>
      <c r="GI97" s="103">
        <f t="shared" si="106"/>
        <v>157418.93750818813</v>
      </c>
      <c r="GJ97" s="103">
        <f t="shared" si="106"/>
        <v>157418.93750818813</v>
      </c>
      <c r="GK97" s="103">
        <f t="shared" si="106"/>
        <v>157418.93750818813</v>
      </c>
      <c r="GL97" s="103">
        <f t="shared" si="106"/>
        <v>157418.93750818813</v>
      </c>
      <c r="GM97" s="103">
        <f t="shared" si="106"/>
        <v>157418.93750818813</v>
      </c>
      <c r="GN97" s="103">
        <f t="shared" si="106"/>
        <v>157418.93750818813</v>
      </c>
      <c r="GO97" s="103">
        <f t="shared" si="106"/>
        <v>157418.93750818813</v>
      </c>
      <c r="GP97" s="103">
        <f t="shared" si="106"/>
        <v>157418.93750818813</v>
      </c>
      <c r="GQ97" s="103">
        <f t="shared" si="106"/>
        <v>157418.93750818813</v>
      </c>
      <c r="GR97" s="103">
        <f t="shared" si="106"/>
        <v>157418.93750818813</v>
      </c>
      <c r="GS97" s="103">
        <f t="shared" si="106"/>
        <v>157418.93750818813</v>
      </c>
      <c r="GT97" s="103">
        <f t="shared" si="106"/>
        <v>157418.93750818813</v>
      </c>
      <c r="GU97" s="103">
        <f t="shared" si="106"/>
        <v>157418.93750818813</v>
      </c>
      <c r="GV97" s="103">
        <f t="shared" si="106"/>
        <v>157418.93750818813</v>
      </c>
      <c r="GW97" s="103">
        <f t="shared" si="106"/>
        <v>157418.93750818813</v>
      </c>
      <c r="GX97" s="103">
        <f t="shared" si="106"/>
        <v>157418.93750818813</v>
      </c>
      <c r="GY97" s="103">
        <f t="shared" si="107"/>
        <v>157418.93750818813</v>
      </c>
      <c r="GZ97" s="103">
        <f t="shared" si="107"/>
        <v>157418.93750818813</v>
      </c>
      <c r="HA97" s="103">
        <f t="shared" si="107"/>
        <v>157418.93750818813</v>
      </c>
      <c r="HB97" s="103">
        <f t="shared" si="107"/>
        <v>157418.93750818813</v>
      </c>
      <c r="HC97" s="103">
        <f t="shared" si="107"/>
        <v>157418.93750818813</v>
      </c>
      <c r="HD97" s="103">
        <f t="shared" si="107"/>
        <v>157418.93750818813</v>
      </c>
      <c r="HE97" s="103">
        <f t="shared" si="114"/>
        <v>157418.93750818813</v>
      </c>
      <c r="HF97" s="103">
        <f t="shared" si="114"/>
        <v>157418.93750818813</v>
      </c>
      <c r="HG97" s="103">
        <f t="shared" si="114"/>
        <v>157418.93750818813</v>
      </c>
      <c r="HH97" s="103">
        <f t="shared" si="114"/>
        <v>157418.93750818813</v>
      </c>
      <c r="HI97" s="103">
        <f t="shared" si="114"/>
        <v>157418.93750818813</v>
      </c>
      <c r="HJ97" s="103">
        <f t="shared" si="114"/>
        <v>157418.93750818813</v>
      </c>
    </row>
    <row r="98" spans="26:218" x14ac:dyDescent="0.25">
      <c r="Z98" s="83" t="s">
        <v>220</v>
      </c>
      <c r="AA98" s="114">
        <f>'US Grid mix, emissions&amp;prices'!O95</f>
        <v>109543</v>
      </c>
      <c r="AB98" s="116">
        <f t="shared" si="109"/>
        <v>109543</v>
      </c>
      <c r="AC98" s="116">
        <f t="shared" si="108"/>
        <v>96216.609189201685</v>
      </c>
      <c r="AD98" s="116">
        <f t="shared" si="108"/>
        <v>96216.609189201685</v>
      </c>
      <c r="AE98" s="116">
        <f t="shared" si="108"/>
        <v>96216.609189201685</v>
      </c>
      <c r="AF98" s="116">
        <f t="shared" si="108"/>
        <v>96216.609189201685</v>
      </c>
      <c r="AG98" s="116">
        <f t="shared" si="108"/>
        <v>96216.609189201685</v>
      </c>
      <c r="AH98" s="116">
        <f t="shared" si="108"/>
        <v>36377.011683017241</v>
      </c>
      <c r="AI98" s="116">
        <f t="shared" si="108"/>
        <v>36377.011683017241</v>
      </c>
      <c r="AJ98" s="116">
        <f t="shared" si="108"/>
        <v>36377.011683017241</v>
      </c>
      <c r="AK98" s="116">
        <f t="shared" si="108"/>
        <v>36377.011683017241</v>
      </c>
      <c r="AL98" s="116">
        <f t="shared" si="108"/>
        <v>36377.011683017241</v>
      </c>
      <c r="AM98" s="116">
        <f t="shared" si="108"/>
        <v>30574.890560337852</v>
      </c>
      <c r="AN98" s="116">
        <f t="shared" si="108"/>
        <v>30574.890560337852</v>
      </c>
      <c r="AO98" s="116">
        <f t="shared" si="108"/>
        <v>30574.890560337852</v>
      </c>
      <c r="AP98" s="116">
        <f t="shared" si="108"/>
        <v>30574.890560337852</v>
      </c>
      <c r="AQ98" s="116">
        <f t="shared" si="108"/>
        <v>30574.890560337852</v>
      </c>
      <c r="AR98" s="116">
        <f t="shared" si="108"/>
        <v>30574.890560337852</v>
      </c>
      <c r="AS98" s="116">
        <f t="shared" si="108"/>
        <v>30574.890560337852</v>
      </c>
      <c r="AT98" s="116">
        <f t="shared" si="108"/>
        <v>30574.890560337852</v>
      </c>
      <c r="AU98" s="116">
        <f t="shared" si="108"/>
        <v>30574.890560337852</v>
      </c>
      <c r="AV98" s="116">
        <f t="shared" si="108"/>
        <v>30574.890560337852</v>
      </c>
      <c r="AW98" s="116">
        <f t="shared" si="108"/>
        <v>30719.247131264401</v>
      </c>
      <c r="AX98" s="116">
        <f t="shared" si="108"/>
        <v>30719.247131264401</v>
      </c>
      <c r="AY98" s="116">
        <f t="shared" si="108"/>
        <v>30719.247131264401</v>
      </c>
      <c r="AZ98" s="116">
        <f t="shared" si="108"/>
        <v>30719.247131264401</v>
      </c>
      <c r="BA98" s="116">
        <f t="shared" si="108"/>
        <v>30719.247131264401</v>
      </c>
      <c r="BB98" s="116">
        <f t="shared" si="108"/>
        <v>30900.748083014158</v>
      </c>
      <c r="BM98" s="83" t="s">
        <v>220</v>
      </c>
      <c r="BN98" s="114">
        <f t="shared" si="78"/>
        <v>109543</v>
      </c>
      <c r="BO98" s="116">
        <f t="shared" si="112"/>
        <v>109543</v>
      </c>
      <c r="BP98" s="116">
        <f t="shared" si="112"/>
        <v>86349.710937801035</v>
      </c>
      <c r="BQ98" s="116">
        <f t="shared" si="112"/>
        <v>86349.710937801035</v>
      </c>
      <c r="BR98" s="116">
        <f t="shared" si="112"/>
        <v>86349.710937801035</v>
      </c>
      <c r="BS98" s="116">
        <f t="shared" si="112"/>
        <v>86349.710937801035</v>
      </c>
      <c r="BT98" s="116">
        <f t="shared" si="112"/>
        <v>86349.710937801035</v>
      </c>
      <c r="BU98" s="116">
        <f t="shared" si="112"/>
        <v>4877.7325544655178</v>
      </c>
      <c r="BV98" s="116">
        <f t="shared" si="112"/>
        <v>4877.7325544655178</v>
      </c>
      <c r="BW98" s="116">
        <f t="shared" si="112"/>
        <v>4877.7325544655178</v>
      </c>
      <c r="BX98" s="116">
        <f t="shared" si="112"/>
        <v>4877.7325544655178</v>
      </c>
      <c r="BY98" s="116">
        <f t="shared" si="112"/>
        <v>4877.7325544655178</v>
      </c>
      <c r="BZ98" s="116">
        <f t="shared" si="112"/>
        <v>5087.0917918326768</v>
      </c>
      <c r="CA98" s="116">
        <f t="shared" si="112"/>
        <v>5087.0917918326768</v>
      </c>
      <c r="CB98" s="116">
        <f t="shared" si="112"/>
        <v>5087.0917918326768</v>
      </c>
      <c r="CC98" s="116">
        <f t="shared" si="112"/>
        <v>5087.0917918326768</v>
      </c>
      <c r="CD98" s="116">
        <f t="shared" si="112"/>
        <v>5087.0917918326768</v>
      </c>
      <c r="CE98" s="116">
        <f t="shared" si="110"/>
        <v>5158.0037915860703</v>
      </c>
      <c r="CF98" s="116">
        <f t="shared" si="110"/>
        <v>5158.0037915860703</v>
      </c>
      <c r="CG98" s="116">
        <f t="shared" si="110"/>
        <v>5158.0037915860703</v>
      </c>
      <c r="CH98" s="116">
        <f t="shared" si="110"/>
        <v>5158.0037915860703</v>
      </c>
      <c r="CI98" s="116">
        <f t="shared" si="110"/>
        <v>5158.0037915860703</v>
      </c>
      <c r="CJ98" s="116">
        <f t="shared" si="110"/>
        <v>5339.504743335825</v>
      </c>
      <c r="CK98" s="116">
        <f t="shared" si="110"/>
        <v>5339.504743335825</v>
      </c>
      <c r="CL98" s="116">
        <f t="shared" si="110"/>
        <v>5339.504743335825</v>
      </c>
      <c r="CM98" s="116">
        <f t="shared" si="110"/>
        <v>5339.504743335825</v>
      </c>
      <c r="CN98" s="116">
        <f t="shared" si="110"/>
        <v>5339.504743335825</v>
      </c>
      <c r="CO98" s="116">
        <f t="shared" si="110"/>
        <v>5569.1245520610964</v>
      </c>
      <c r="CR98" s="83" t="s">
        <v>220</v>
      </c>
      <c r="CS98" s="114">
        <f t="shared" si="81"/>
        <v>109543</v>
      </c>
      <c r="CT98" s="116">
        <f t="shared" si="113"/>
        <v>5129.3013154954115</v>
      </c>
      <c r="CU98" s="116">
        <f t="shared" si="113"/>
        <v>5129.3013154954115</v>
      </c>
      <c r="CV98" s="116">
        <f t="shared" si="113"/>
        <v>5129.3013154954115</v>
      </c>
      <c r="CW98" s="116">
        <f t="shared" si="113"/>
        <v>5129.3013154954115</v>
      </c>
      <c r="CX98" s="116">
        <f t="shared" si="113"/>
        <v>5129.3013154954115</v>
      </c>
      <c r="CY98" s="116">
        <f t="shared" si="113"/>
        <v>5129.3013154954115</v>
      </c>
      <c r="CZ98" s="116">
        <f t="shared" si="113"/>
        <v>5129.3013154954115</v>
      </c>
      <c r="DA98" s="116">
        <f t="shared" si="113"/>
        <v>5129.3013154954115</v>
      </c>
      <c r="DB98" s="116">
        <f t="shared" si="113"/>
        <v>5129.3013154954115</v>
      </c>
      <c r="DC98" s="116">
        <f t="shared" si="113"/>
        <v>5129.3013154954115</v>
      </c>
      <c r="DD98" s="116">
        <f t="shared" si="113"/>
        <v>5129.3013154954115</v>
      </c>
      <c r="DE98" s="116">
        <f t="shared" si="113"/>
        <v>5276.1904578417243</v>
      </c>
      <c r="DF98" s="116">
        <f t="shared" si="113"/>
        <v>5276.1904578417243</v>
      </c>
      <c r="DG98" s="116">
        <f t="shared" si="113"/>
        <v>5276.1904578417243</v>
      </c>
      <c r="DH98" s="116">
        <f t="shared" si="113"/>
        <v>5276.1904578417243</v>
      </c>
      <c r="DI98" s="116">
        <f t="shared" si="113"/>
        <v>5276.1904578417243</v>
      </c>
      <c r="DJ98" s="116">
        <f t="shared" si="111"/>
        <v>5550.5523616494938</v>
      </c>
      <c r="DK98" s="116">
        <f t="shared" si="111"/>
        <v>5550.5523616494938</v>
      </c>
      <c r="DL98" s="116">
        <f t="shared" si="111"/>
        <v>5550.5523616494938</v>
      </c>
      <c r="DM98" s="116">
        <f t="shared" si="111"/>
        <v>5550.5523616494938</v>
      </c>
      <c r="DN98" s="116">
        <f t="shared" si="111"/>
        <v>5550.5523616494938</v>
      </c>
      <c r="DO98" s="116">
        <f t="shared" si="111"/>
        <v>5732.0533133992494</v>
      </c>
      <c r="DP98" s="116">
        <f t="shared" si="111"/>
        <v>5732.0533133992494</v>
      </c>
      <c r="DQ98" s="116">
        <f t="shared" si="111"/>
        <v>5732.0533133992494</v>
      </c>
      <c r="DR98" s="116">
        <f t="shared" si="111"/>
        <v>5732.0533133992494</v>
      </c>
      <c r="DS98" s="116">
        <f t="shared" si="111"/>
        <v>5732.0533133992494</v>
      </c>
      <c r="DT98" s="116">
        <f t="shared" si="111"/>
        <v>5962.5173125977763</v>
      </c>
      <c r="DW98" s="83" t="s">
        <v>220</v>
      </c>
      <c r="DX98" s="114">
        <f t="shared" si="84"/>
        <v>144725.86490216423</v>
      </c>
      <c r="DY98" s="116">
        <f t="shared" si="102"/>
        <v>144725.86490216423</v>
      </c>
      <c r="DZ98" s="116">
        <f t="shared" si="102"/>
        <v>126617.50074114752</v>
      </c>
      <c r="EA98" s="116">
        <f t="shared" si="102"/>
        <v>126617.50074114752</v>
      </c>
      <c r="EB98" s="116">
        <f t="shared" si="102"/>
        <v>126617.50074114752</v>
      </c>
      <c r="EC98" s="116">
        <f t="shared" si="102"/>
        <v>126617.50074114752</v>
      </c>
      <c r="ED98" s="116">
        <f t="shared" si="102"/>
        <v>126617.50074114752</v>
      </c>
      <c r="EE98" s="116">
        <f t="shared" si="102"/>
        <v>78776.545653677342</v>
      </c>
      <c r="EF98" s="116">
        <f t="shared" si="102"/>
        <v>78776.545653677342</v>
      </c>
      <c r="EG98" s="116">
        <f t="shared" si="102"/>
        <v>78776.545653677342</v>
      </c>
      <c r="EH98" s="116">
        <f t="shared" si="102"/>
        <v>78776.545653677342</v>
      </c>
      <c r="EI98" s="116">
        <f t="shared" si="102"/>
        <v>78776.545653677342</v>
      </c>
      <c r="EJ98" s="116">
        <f t="shared" si="102"/>
        <v>70142.953506693768</v>
      </c>
      <c r="EK98" s="116">
        <f t="shared" si="102"/>
        <v>70142.953506693768</v>
      </c>
      <c r="EL98" s="116">
        <f t="shared" si="102"/>
        <v>70142.953506693768</v>
      </c>
      <c r="EM98" s="116">
        <f t="shared" si="102"/>
        <v>70142.953506693768</v>
      </c>
      <c r="EN98" s="116">
        <f t="shared" si="102"/>
        <v>70142.953506693768</v>
      </c>
      <c r="EO98" s="116">
        <f t="shared" si="103"/>
        <v>68157.033115834405</v>
      </c>
      <c r="EP98" s="116">
        <f t="shared" si="103"/>
        <v>68157.033115834405</v>
      </c>
      <c r="EQ98" s="116">
        <f t="shared" si="103"/>
        <v>68157.033115834405</v>
      </c>
      <c r="ER98" s="116">
        <f t="shared" si="103"/>
        <v>68157.033115834405</v>
      </c>
      <c r="ES98" s="116">
        <f t="shared" si="103"/>
        <v>68157.033115834405</v>
      </c>
      <c r="ET98" s="116">
        <f t="shared" si="103"/>
        <v>65744.901297806544</v>
      </c>
      <c r="EU98" s="116">
        <f t="shared" si="91"/>
        <v>65744.901297806544</v>
      </c>
      <c r="EV98" s="116">
        <f t="shared" si="91"/>
        <v>65744.901297806544</v>
      </c>
      <c r="EW98" s="116">
        <f t="shared" si="91"/>
        <v>65744.901297806544</v>
      </c>
      <c r="EX98" s="116">
        <f t="shared" si="91"/>
        <v>65744.901297806544</v>
      </c>
      <c r="EY98" s="116">
        <f t="shared" si="91"/>
        <v>61900.821735263016</v>
      </c>
      <c r="FB98" s="83" t="s">
        <v>220</v>
      </c>
      <c r="FC98" s="114">
        <f t="shared" si="86"/>
        <v>156450.25646343437</v>
      </c>
      <c r="FD98" s="116">
        <f t="shared" si="104"/>
        <v>156450.25646343437</v>
      </c>
      <c r="FE98" s="116">
        <f t="shared" si="104"/>
        <v>136398.89968120118</v>
      </c>
      <c r="FF98" s="116">
        <f t="shared" si="104"/>
        <v>136398.89968120118</v>
      </c>
      <c r="FG98" s="116">
        <f t="shared" si="104"/>
        <v>136398.89968120118</v>
      </c>
      <c r="FH98" s="116">
        <f t="shared" si="104"/>
        <v>136398.89968120118</v>
      </c>
      <c r="FI98" s="116">
        <f t="shared" si="104"/>
        <v>136398.89968120118</v>
      </c>
      <c r="FJ98" s="116">
        <f t="shared" si="104"/>
        <v>86273.573994878345</v>
      </c>
      <c r="FK98" s="116">
        <f t="shared" si="104"/>
        <v>86273.573994878345</v>
      </c>
      <c r="FL98" s="116">
        <f t="shared" si="104"/>
        <v>86273.573994878345</v>
      </c>
      <c r="FM98" s="116">
        <f t="shared" si="104"/>
        <v>86273.573994878345</v>
      </c>
      <c r="FN98" s="116">
        <f t="shared" si="104"/>
        <v>86273.573994878345</v>
      </c>
      <c r="FO98" s="116">
        <f t="shared" si="104"/>
        <v>76413.474143812797</v>
      </c>
      <c r="FP98" s="116">
        <f t="shared" si="104"/>
        <v>76413.474143812797</v>
      </c>
      <c r="FQ98" s="116">
        <f t="shared" si="104"/>
        <v>76413.474143812797</v>
      </c>
      <c r="FR98" s="116">
        <f t="shared" si="104"/>
        <v>76413.474143812797</v>
      </c>
      <c r="FS98" s="116">
        <f t="shared" si="104"/>
        <v>76413.474143812797</v>
      </c>
      <c r="FT98" s="116">
        <f t="shared" si="105"/>
        <v>74668.766934756204</v>
      </c>
      <c r="FU98" s="116">
        <f t="shared" si="105"/>
        <v>74668.766934756204</v>
      </c>
      <c r="FV98" s="116">
        <f t="shared" si="105"/>
        <v>74668.766934756204</v>
      </c>
      <c r="FW98" s="116">
        <f t="shared" si="105"/>
        <v>74668.766934756204</v>
      </c>
      <c r="FX98" s="116">
        <f t="shared" si="105"/>
        <v>74668.766934756204</v>
      </c>
      <c r="FY98" s="116">
        <f t="shared" si="105"/>
        <v>72252.54675771475</v>
      </c>
      <c r="FZ98" s="116">
        <f t="shared" si="92"/>
        <v>72252.54675771475</v>
      </c>
      <c r="GA98" s="116">
        <f t="shared" si="92"/>
        <v>72252.54675771475</v>
      </c>
      <c r="GB98" s="116">
        <f t="shared" si="92"/>
        <v>72252.54675771475</v>
      </c>
      <c r="GC98" s="116">
        <f t="shared" si="92"/>
        <v>72252.54675771475</v>
      </c>
      <c r="GD98" s="116">
        <f t="shared" si="92"/>
        <v>68277.639706735805</v>
      </c>
      <c r="GH98" s="123" t="s">
        <v>220</v>
      </c>
      <c r="GI98" s="103">
        <f t="shared" si="106"/>
        <v>275417.14189933799</v>
      </c>
      <c r="GJ98" s="103">
        <f t="shared" si="106"/>
        <v>275417.14189933799</v>
      </c>
      <c r="GK98" s="103">
        <f t="shared" si="106"/>
        <v>275417.14189933799</v>
      </c>
      <c r="GL98" s="103">
        <f t="shared" si="106"/>
        <v>275417.14189933799</v>
      </c>
      <c r="GM98" s="103">
        <f t="shared" si="106"/>
        <v>275417.14189933799</v>
      </c>
      <c r="GN98" s="103">
        <f t="shared" si="106"/>
        <v>275417.14189933799</v>
      </c>
      <c r="GO98" s="103">
        <f t="shared" si="106"/>
        <v>275417.14189933799</v>
      </c>
      <c r="GP98" s="103">
        <f t="shared" si="106"/>
        <v>275417.14189933799</v>
      </c>
      <c r="GQ98" s="103">
        <f t="shared" si="106"/>
        <v>275417.14189933799</v>
      </c>
      <c r="GR98" s="103">
        <f t="shared" si="106"/>
        <v>275417.14189933799</v>
      </c>
      <c r="GS98" s="103">
        <f t="shared" si="106"/>
        <v>275417.14189933799</v>
      </c>
      <c r="GT98" s="103">
        <f t="shared" si="106"/>
        <v>275417.14189933799</v>
      </c>
      <c r="GU98" s="103">
        <f t="shared" si="106"/>
        <v>275417.14189933799</v>
      </c>
      <c r="GV98" s="103">
        <f t="shared" si="106"/>
        <v>275417.14189933799</v>
      </c>
      <c r="GW98" s="103">
        <f t="shared" si="106"/>
        <v>275417.14189933799</v>
      </c>
      <c r="GX98" s="103">
        <f t="shared" si="106"/>
        <v>275417.14189933799</v>
      </c>
      <c r="GY98" s="103">
        <f t="shared" si="107"/>
        <v>275417.14189933799</v>
      </c>
      <c r="GZ98" s="103">
        <f t="shared" si="107"/>
        <v>275417.14189933799</v>
      </c>
      <c r="HA98" s="103">
        <f t="shared" si="107"/>
        <v>275417.14189933799</v>
      </c>
      <c r="HB98" s="103">
        <f t="shared" si="107"/>
        <v>275417.14189933799</v>
      </c>
      <c r="HC98" s="103">
        <f t="shared" si="107"/>
        <v>275417.14189933799</v>
      </c>
      <c r="HD98" s="103">
        <f t="shared" si="107"/>
        <v>275417.14189933799</v>
      </c>
      <c r="HE98" s="103">
        <f t="shared" si="114"/>
        <v>275417.14189933799</v>
      </c>
      <c r="HF98" s="103">
        <f t="shared" si="114"/>
        <v>275417.14189933799</v>
      </c>
      <c r="HG98" s="103">
        <f t="shared" si="114"/>
        <v>275417.14189933799</v>
      </c>
      <c r="HH98" s="103">
        <f t="shared" si="114"/>
        <v>275417.14189933799</v>
      </c>
      <c r="HI98" s="103">
        <f t="shared" si="114"/>
        <v>275417.14189933799</v>
      </c>
      <c r="HJ98" s="103">
        <f t="shared" si="114"/>
        <v>275417.14189933799</v>
      </c>
    </row>
    <row r="99" spans="26:218" x14ac:dyDescent="0.25">
      <c r="Z99" s="83" t="s">
        <v>221</v>
      </c>
      <c r="AA99" s="114">
        <f>'US Grid mix, emissions&amp;prices'!O96</f>
        <v>140822</v>
      </c>
      <c r="AB99" s="116">
        <f t="shared" si="109"/>
        <v>140822</v>
      </c>
      <c r="AC99" s="116">
        <f t="shared" si="108"/>
        <v>123690.38039164309</v>
      </c>
      <c r="AD99" s="116">
        <f t="shared" si="108"/>
        <v>123690.38039164309</v>
      </c>
      <c r="AE99" s="116">
        <f t="shared" si="108"/>
        <v>123690.38039164309</v>
      </c>
      <c r="AF99" s="116">
        <f t="shared" si="108"/>
        <v>123690.38039164309</v>
      </c>
      <c r="AG99" s="116">
        <f t="shared" si="108"/>
        <v>123690.38039164309</v>
      </c>
      <c r="AH99" s="116">
        <f t="shared" si="108"/>
        <v>46764.134077265131</v>
      </c>
      <c r="AI99" s="116">
        <f t="shared" si="108"/>
        <v>46764.134077265131</v>
      </c>
      <c r="AJ99" s="116">
        <f t="shared" si="108"/>
        <v>46764.134077265131</v>
      </c>
      <c r="AK99" s="116">
        <f t="shared" si="108"/>
        <v>46764.134077265131</v>
      </c>
      <c r="AL99" s="116">
        <f t="shared" si="108"/>
        <v>46764.134077265131</v>
      </c>
      <c r="AM99" s="116">
        <f t="shared" si="108"/>
        <v>39305.270427940603</v>
      </c>
      <c r="AN99" s="116">
        <f t="shared" si="108"/>
        <v>39305.270427940603</v>
      </c>
      <c r="AO99" s="116">
        <f t="shared" si="108"/>
        <v>39305.270427940603</v>
      </c>
      <c r="AP99" s="116">
        <f t="shared" si="108"/>
        <v>39305.270427940603</v>
      </c>
      <c r="AQ99" s="116">
        <f t="shared" si="108"/>
        <v>39305.270427940603</v>
      </c>
      <c r="AR99" s="116">
        <f t="shared" si="108"/>
        <v>39305.270427940603</v>
      </c>
      <c r="AS99" s="116">
        <f t="shared" si="108"/>
        <v>39305.270427940603</v>
      </c>
      <c r="AT99" s="116">
        <f t="shared" si="108"/>
        <v>39305.270427940603</v>
      </c>
      <c r="AU99" s="116">
        <f t="shared" si="108"/>
        <v>39305.270427940603</v>
      </c>
      <c r="AV99" s="116">
        <f t="shared" si="108"/>
        <v>39305.270427940603</v>
      </c>
      <c r="AW99" s="116">
        <f t="shared" si="108"/>
        <v>39490.846695077875</v>
      </c>
      <c r="AX99" s="116">
        <f t="shared" si="108"/>
        <v>39490.846695077875</v>
      </c>
      <c r="AY99" s="116">
        <f t="shared" si="108"/>
        <v>39490.846695077875</v>
      </c>
      <c r="AZ99" s="116">
        <f t="shared" si="108"/>
        <v>39490.846695077875</v>
      </c>
      <c r="BA99" s="116">
        <f t="shared" si="108"/>
        <v>39490.846695077875</v>
      </c>
      <c r="BB99" s="116">
        <f t="shared" si="108"/>
        <v>39724.17358065983</v>
      </c>
      <c r="BM99" s="83" t="s">
        <v>221</v>
      </c>
      <c r="BN99" s="114">
        <f t="shared" si="78"/>
        <v>140822</v>
      </c>
      <c r="BO99" s="116">
        <f t="shared" si="112"/>
        <v>140822</v>
      </c>
      <c r="BP99" s="116">
        <f t="shared" si="112"/>
        <v>111006.07974661107</v>
      </c>
      <c r="BQ99" s="116">
        <f t="shared" si="112"/>
        <v>111006.07974661107</v>
      </c>
      <c r="BR99" s="116">
        <f t="shared" si="112"/>
        <v>111006.07974661107</v>
      </c>
      <c r="BS99" s="116">
        <f t="shared" si="112"/>
        <v>111006.07974661107</v>
      </c>
      <c r="BT99" s="116">
        <f t="shared" si="112"/>
        <v>111006.07974661107</v>
      </c>
      <c r="BU99" s="116">
        <f t="shared" si="112"/>
        <v>6270.5243948489915</v>
      </c>
      <c r="BV99" s="116">
        <f t="shared" si="112"/>
        <v>6270.5243948489915</v>
      </c>
      <c r="BW99" s="116">
        <f t="shared" si="112"/>
        <v>6270.5243948489915</v>
      </c>
      <c r="BX99" s="116">
        <f t="shared" si="112"/>
        <v>6270.5243948489915</v>
      </c>
      <c r="BY99" s="116">
        <f t="shared" si="112"/>
        <v>6270.5243948489915</v>
      </c>
      <c r="BZ99" s="116">
        <f t="shared" si="112"/>
        <v>6539.6642442644561</v>
      </c>
      <c r="CA99" s="116">
        <f t="shared" si="112"/>
        <v>6539.6642442644561</v>
      </c>
      <c r="CB99" s="116">
        <f t="shared" si="112"/>
        <v>6539.6642442644561</v>
      </c>
      <c r="CC99" s="116">
        <f t="shared" si="112"/>
        <v>6539.6642442644561</v>
      </c>
      <c r="CD99" s="116">
        <f t="shared" si="112"/>
        <v>6539.6642442644561</v>
      </c>
      <c r="CE99" s="116">
        <f t="shared" si="110"/>
        <v>6630.8245158406617</v>
      </c>
      <c r="CF99" s="116">
        <f t="shared" si="110"/>
        <v>6630.8245158406617</v>
      </c>
      <c r="CG99" s="116">
        <f t="shared" si="110"/>
        <v>6630.8245158406617</v>
      </c>
      <c r="CH99" s="116">
        <f t="shared" si="110"/>
        <v>6630.8245158406617</v>
      </c>
      <c r="CI99" s="116">
        <f t="shared" si="110"/>
        <v>6630.8245158406617</v>
      </c>
      <c r="CJ99" s="116">
        <f t="shared" si="110"/>
        <v>6864.1514014226159</v>
      </c>
      <c r="CK99" s="116">
        <f t="shared" si="110"/>
        <v>6864.1514014226159</v>
      </c>
      <c r="CL99" s="116">
        <f t="shared" si="110"/>
        <v>6864.1514014226159</v>
      </c>
      <c r="CM99" s="116">
        <f t="shared" si="110"/>
        <v>6864.1514014226159</v>
      </c>
      <c r="CN99" s="116">
        <f t="shared" si="110"/>
        <v>6864.1514014226159</v>
      </c>
      <c r="CO99" s="116">
        <f t="shared" si="110"/>
        <v>7159.3370427169948</v>
      </c>
      <c r="CR99" s="83" t="s">
        <v>221</v>
      </c>
      <c r="CS99" s="114">
        <f t="shared" si="81"/>
        <v>140822</v>
      </c>
      <c r="CT99" s="116">
        <f t="shared" si="113"/>
        <v>6593.926310678864</v>
      </c>
      <c r="CU99" s="116">
        <f t="shared" si="113"/>
        <v>6593.926310678864</v>
      </c>
      <c r="CV99" s="116">
        <f t="shared" si="113"/>
        <v>6593.926310678864</v>
      </c>
      <c r="CW99" s="116">
        <f t="shared" si="113"/>
        <v>6593.926310678864</v>
      </c>
      <c r="CX99" s="116">
        <f t="shared" si="113"/>
        <v>6593.926310678864</v>
      </c>
      <c r="CY99" s="116">
        <f t="shared" si="113"/>
        <v>6593.926310678864</v>
      </c>
      <c r="CZ99" s="116">
        <f t="shared" si="113"/>
        <v>6593.926310678864</v>
      </c>
      <c r="DA99" s="116">
        <f t="shared" si="113"/>
        <v>6593.926310678864</v>
      </c>
      <c r="DB99" s="116">
        <f t="shared" si="113"/>
        <v>6593.926310678864</v>
      </c>
      <c r="DC99" s="116">
        <f t="shared" si="113"/>
        <v>6593.926310678864</v>
      </c>
      <c r="DD99" s="116">
        <f t="shared" si="113"/>
        <v>6593.926310678864</v>
      </c>
      <c r="DE99" s="116">
        <f t="shared" si="113"/>
        <v>6782.7583018010037</v>
      </c>
      <c r="DF99" s="116">
        <f t="shared" si="113"/>
        <v>6782.7583018010037</v>
      </c>
      <c r="DG99" s="116">
        <f t="shared" si="113"/>
        <v>6782.7583018010037</v>
      </c>
      <c r="DH99" s="116">
        <f t="shared" si="113"/>
        <v>6782.7583018010037</v>
      </c>
      <c r="DI99" s="116">
        <f t="shared" si="113"/>
        <v>6782.7583018010037</v>
      </c>
      <c r="DJ99" s="116">
        <f t="shared" si="111"/>
        <v>7135.4617334946561</v>
      </c>
      <c r="DK99" s="116">
        <f t="shared" si="111"/>
        <v>7135.4617334946561</v>
      </c>
      <c r="DL99" s="116">
        <f t="shared" si="111"/>
        <v>7135.4617334946561</v>
      </c>
      <c r="DM99" s="116">
        <f t="shared" si="111"/>
        <v>7135.4617334946561</v>
      </c>
      <c r="DN99" s="116">
        <f t="shared" si="111"/>
        <v>7135.4617334946561</v>
      </c>
      <c r="DO99" s="116">
        <f t="shared" si="111"/>
        <v>7368.7886190766103</v>
      </c>
      <c r="DP99" s="116">
        <f t="shared" si="111"/>
        <v>7368.7886190766103</v>
      </c>
      <c r="DQ99" s="116">
        <f t="shared" si="111"/>
        <v>7368.7886190766103</v>
      </c>
      <c r="DR99" s="116">
        <f t="shared" si="111"/>
        <v>7368.7886190766103</v>
      </c>
      <c r="DS99" s="116">
        <f t="shared" si="111"/>
        <v>7368.7886190766103</v>
      </c>
      <c r="DT99" s="116">
        <f t="shared" si="111"/>
        <v>7665.0595016992784</v>
      </c>
      <c r="DW99" s="83" t="s">
        <v>221</v>
      </c>
      <c r="DX99" s="114">
        <f t="shared" si="84"/>
        <v>186051.00962409802</v>
      </c>
      <c r="DY99" s="116">
        <f t="shared" si="102"/>
        <v>186051.00962409802</v>
      </c>
      <c r="DZ99" s="116">
        <f t="shared" si="102"/>
        <v>162771.9679885513</v>
      </c>
      <c r="EA99" s="116">
        <f t="shared" si="102"/>
        <v>162771.9679885513</v>
      </c>
      <c r="EB99" s="116">
        <f t="shared" si="102"/>
        <v>162771.9679885513</v>
      </c>
      <c r="EC99" s="116">
        <f t="shared" si="102"/>
        <v>162771.9679885513</v>
      </c>
      <c r="ED99" s="116">
        <f t="shared" si="102"/>
        <v>162771.9679885513</v>
      </c>
      <c r="EE99" s="116">
        <f t="shared" si="102"/>
        <v>101270.46650212382</v>
      </c>
      <c r="EF99" s="116">
        <f t="shared" si="102"/>
        <v>101270.46650212382</v>
      </c>
      <c r="EG99" s="116">
        <f t="shared" si="102"/>
        <v>101270.46650212382</v>
      </c>
      <c r="EH99" s="116">
        <f t="shared" si="102"/>
        <v>101270.46650212382</v>
      </c>
      <c r="EI99" s="116">
        <f t="shared" si="102"/>
        <v>101270.46650212382</v>
      </c>
      <c r="EJ99" s="116">
        <f t="shared" si="102"/>
        <v>90171.631219882867</v>
      </c>
      <c r="EK99" s="116">
        <f t="shared" si="102"/>
        <v>90171.631219882867</v>
      </c>
      <c r="EL99" s="116">
        <f t="shared" si="102"/>
        <v>90171.631219882867</v>
      </c>
      <c r="EM99" s="116">
        <f t="shared" si="102"/>
        <v>90171.631219882867</v>
      </c>
      <c r="EN99" s="116">
        <f t="shared" si="102"/>
        <v>90171.631219882867</v>
      </c>
      <c r="EO99" s="116">
        <f t="shared" si="103"/>
        <v>87618.649456725034</v>
      </c>
      <c r="EP99" s="116">
        <f t="shared" si="103"/>
        <v>87618.649456725034</v>
      </c>
      <c r="EQ99" s="116">
        <f t="shared" si="103"/>
        <v>87618.649456725034</v>
      </c>
      <c r="ER99" s="116">
        <f t="shared" si="103"/>
        <v>87618.649456725034</v>
      </c>
      <c r="ES99" s="116">
        <f t="shared" si="103"/>
        <v>87618.649456725034</v>
      </c>
      <c r="ET99" s="116">
        <f t="shared" si="103"/>
        <v>84517.755498386134</v>
      </c>
      <c r="EU99" s="116">
        <f t="shared" si="91"/>
        <v>84517.755498386134</v>
      </c>
      <c r="EV99" s="116">
        <f t="shared" si="91"/>
        <v>84517.755498386134</v>
      </c>
      <c r="EW99" s="116">
        <f t="shared" si="91"/>
        <v>84517.755498386134</v>
      </c>
      <c r="EX99" s="116">
        <f t="shared" si="91"/>
        <v>84517.755498386134</v>
      </c>
      <c r="EY99" s="116">
        <f t="shared" si="91"/>
        <v>79576.034236813008</v>
      </c>
      <c r="FB99" s="83" t="s">
        <v>221</v>
      </c>
      <c r="FC99" s="114">
        <f t="shared" si="86"/>
        <v>201123.19377499021</v>
      </c>
      <c r="FD99" s="116">
        <f t="shared" si="104"/>
        <v>201123.19377499021</v>
      </c>
      <c r="FE99" s="116">
        <f t="shared" si="104"/>
        <v>175346.35577723917</v>
      </c>
      <c r="FF99" s="116">
        <f t="shared" si="104"/>
        <v>175346.35577723917</v>
      </c>
      <c r="FG99" s="116">
        <f t="shared" si="104"/>
        <v>175346.35577723917</v>
      </c>
      <c r="FH99" s="116">
        <f t="shared" si="104"/>
        <v>175346.35577723917</v>
      </c>
      <c r="FI99" s="116">
        <f t="shared" si="104"/>
        <v>175346.35577723917</v>
      </c>
      <c r="FJ99" s="116">
        <f t="shared" si="104"/>
        <v>110908.20259721531</v>
      </c>
      <c r="FK99" s="116">
        <f t="shared" si="104"/>
        <v>110908.20259721531</v>
      </c>
      <c r="FL99" s="116">
        <f t="shared" si="104"/>
        <v>110908.20259721531</v>
      </c>
      <c r="FM99" s="116">
        <f t="shared" si="104"/>
        <v>110908.20259721531</v>
      </c>
      <c r="FN99" s="116">
        <f t="shared" si="104"/>
        <v>110908.20259721531</v>
      </c>
      <c r="FO99" s="116">
        <f t="shared" si="104"/>
        <v>98232.641573446075</v>
      </c>
      <c r="FP99" s="116">
        <f t="shared" si="104"/>
        <v>98232.641573446075</v>
      </c>
      <c r="FQ99" s="116">
        <f t="shared" si="104"/>
        <v>98232.641573446075</v>
      </c>
      <c r="FR99" s="116">
        <f t="shared" si="104"/>
        <v>98232.641573446075</v>
      </c>
      <c r="FS99" s="116">
        <f t="shared" si="104"/>
        <v>98232.641573446075</v>
      </c>
      <c r="FT99" s="116">
        <f t="shared" si="105"/>
        <v>95989.749206122142</v>
      </c>
      <c r="FU99" s="116">
        <f t="shared" si="105"/>
        <v>95989.749206122142</v>
      </c>
      <c r="FV99" s="116">
        <f t="shared" si="105"/>
        <v>95989.749206122142</v>
      </c>
      <c r="FW99" s="116">
        <f t="shared" si="105"/>
        <v>95989.749206122142</v>
      </c>
      <c r="FX99" s="116">
        <f t="shared" si="105"/>
        <v>95989.749206122142</v>
      </c>
      <c r="FY99" s="116">
        <f t="shared" si="105"/>
        <v>92883.599495311486</v>
      </c>
      <c r="FZ99" s="116">
        <f t="shared" si="92"/>
        <v>92883.599495311486</v>
      </c>
      <c r="GA99" s="116">
        <f t="shared" si="92"/>
        <v>92883.599495311486</v>
      </c>
      <c r="GB99" s="116">
        <f t="shared" si="92"/>
        <v>92883.599495311486</v>
      </c>
      <c r="GC99" s="116">
        <f t="shared" si="92"/>
        <v>92883.599495311486</v>
      </c>
      <c r="GD99" s="116">
        <f t="shared" si="92"/>
        <v>87773.694154641998</v>
      </c>
      <c r="GH99" s="123" t="s">
        <v>221</v>
      </c>
      <c r="GI99" s="103">
        <f t="shared" si="106"/>
        <v>354059.98335401237</v>
      </c>
      <c r="GJ99" s="103">
        <f t="shared" si="106"/>
        <v>354059.98335401237</v>
      </c>
      <c r="GK99" s="103">
        <f t="shared" si="106"/>
        <v>354059.98335401237</v>
      </c>
      <c r="GL99" s="103">
        <f t="shared" si="106"/>
        <v>354059.98335401237</v>
      </c>
      <c r="GM99" s="103">
        <f t="shared" si="106"/>
        <v>354059.98335401237</v>
      </c>
      <c r="GN99" s="103">
        <f t="shared" si="106"/>
        <v>354059.98335401237</v>
      </c>
      <c r="GO99" s="103">
        <f t="shared" si="106"/>
        <v>354059.98335401237</v>
      </c>
      <c r="GP99" s="103">
        <f t="shared" si="106"/>
        <v>354059.98335401237</v>
      </c>
      <c r="GQ99" s="103">
        <f t="shared" si="106"/>
        <v>354059.98335401237</v>
      </c>
      <c r="GR99" s="103">
        <f t="shared" si="106"/>
        <v>354059.98335401237</v>
      </c>
      <c r="GS99" s="103">
        <f t="shared" si="106"/>
        <v>354059.98335401237</v>
      </c>
      <c r="GT99" s="103">
        <f t="shared" si="106"/>
        <v>354059.98335401237</v>
      </c>
      <c r="GU99" s="103">
        <f t="shared" si="106"/>
        <v>354059.98335401237</v>
      </c>
      <c r="GV99" s="103">
        <f t="shared" si="106"/>
        <v>354059.98335401237</v>
      </c>
      <c r="GW99" s="103">
        <f t="shared" si="106"/>
        <v>354059.98335401237</v>
      </c>
      <c r="GX99" s="103">
        <f t="shared" si="106"/>
        <v>354059.98335401237</v>
      </c>
      <c r="GY99" s="103">
        <f t="shared" si="107"/>
        <v>354059.98335401237</v>
      </c>
      <c r="GZ99" s="103">
        <f t="shared" si="107"/>
        <v>354059.98335401237</v>
      </c>
      <c r="HA99" s="103">
        <f t="shared" si="107"/>
        <v>354059.98335401237</v>
      </c>
      <c r="HB99" s="103">
        <f t="shared" si="107"/>
        <v>354059.98335401237</v>
      </c>
      <c r="HC99" s="103">
        <f t="shared" si="107"/>
        <v>354059.98335401237</v>
      </c>
      <c r="HD99" s="103">
        <f t="shared" si="107"/>
        <v>354059.98335401237</v>
      </c>
      <c r="HE99" s="103">
        <f t="shared" si="114"/>
        <v>354059.98335401237</v>
      </c>
      <c r="HF99" s="103">
        <f t="shared" si="114"/>
        <v>354059.98335401237</v>
      </c>
      <c r="HG99" s="103">
        <f t="shared" si="114"/>
        <v>354059.98335401237</v>
      </c>
      <c r="HH99" s="103">
        <f t="shared" si="114"/>
        <v>354059.98335401237</v>
      </c>
      <c r="HI99" s="103">
        <f t="shared" si="114"/>
        <v>354059.98335401237</v>
      </c>
      <c r="HJ99" s="103">
        <f t="shared" si="114"/>
        <v>354059.98335401237</v>
      </c>
    </row>
    <row r="100" spans="26:218" x14ac:dyDescent="0.25">
      <c r="Z100" s="83" t="s">
        <v>222</v>
      </c>
      <c r="AA100" s="114">
        <f>'US Grid mix, emissions&amp;prices'!O97</f>
        <v>87402</v>
      </c>
      <c r="AB100" s="116">
        <f t="shared" si="109"/>
        <v>87402</v>
      </c>
      <c r="AC100" s="116">
        <f t="shared" si="108"/>
        <v>76769.159840013555</v>
      </c>
      <c r="AD100" s="116">
        <f t="shared" si="108"/>
        <v>76769.159840013555</v>
      </c>
      <c r="AE100" s="116">
        <f t="shared" si="108"/>
        <v>76769.159840013555</v>
      </c>
      <c r="AF100" s="116">
        <f t="shared" si="108"/>
        <v>76769.159840013555</v>
      </c>
      <c r="AG100" s="116">
        <f t="shared" si="108"/>
        <v>76769.159840013555</v>
      </c>
      <c r="AH100" s="116">
        <f t="shared" si="108"/>
        <v>29024.434013301379</v>
      </c>
      <c r="AI100" s="116">
        <f t="shared" si="108"/>
        <v>29024.434013301379</v>
      </c>
      <c r="AJ100" s="116">
        <f t="shared" si="108"/>
        <v>29024.434013301379</v>
      </c>
      <c r="AK100" s="116">
        <f t="shared" si="108"/>
        <v>29024.434013301379</v>
      </c>
      <c r="AL100" s="116">
        <f t="shared" si="108"/>
        <v>29024.434013301379</v>
      </c>
      <c r="AM100" s="116">
        <f t="shared" si="108"/>
        <v>24395.046554820015</v>
      </c>
      <c r="AN100" s="116">
        <f t="shared" si="108"/>
        <v>24395.046554820015</v>
      </c>
      <c r="AO100" s="116">
        <f t="shared" si="108"/>
        <v>24395.046554820015</v>
      </c>
      <c r="AP100" s="116">
        <f t="shared" si="108"/>
        <v>24395.046554820015</v>
      </c>
      <c r="AQ100" s="116">
        <f t="shared" si="108"/>
        <v>24395.046554820015</v>
      </c>
      <c r="AR100" s="116">
        <f t="shared" si="108"/>
        <v>24395.046554820015</v>
      </c>
      <c r="AS100" s="116">
        <f t="shared" si="108"/>
        <v>24395.046554820015</v>
      </c>
      <c r="AT100" s="116">
        <f t="shared" si="108"/>
        <v>24395.046554820015</v>
      </c>
      <c r="AU100" s="116">
        <f t="shared" si="108"/>
        <v>24395.046554820015</v>
      </c>
      <c r="AV100" s="116">
        <f t="shared" si="108"/>
        <v>24395.046554820015</v>
      </c>
      <c r="AW100" s="116">
        <f t="shared" si="108"/>
        <v>24510.225553132299</v>
      </c>
      <c r="AX100" s="116">
        <f t="shared" ref="AC100:BB110" si="115">$AA100*AX$112</f>
        <v>24510.225553132299</v>
      </c>
      <c r="AY100" s="116">
        <f t="shared" si="115"/>
        <v>24510.225553132299</v>
      </c>
      <c r="AZ100" s="116">
        <f t="shared" si="115"/>
        <v>24510.225553132299</v>
      </c>
      <c r="BA100" s="116">
        <f t="shared" si="115"/>
        <v>24510.225553132299</v>
      </c>
      <c r="BB100" s="116">
        <f t="shared" si="115"/>
        <v>24655.041252764699</v>
      </c>
      <c r="BM100" s="83" t="s">
        <v>222</v>
      </c>
      <c r="BN100" s="114">
        <f t="shared" si="78"/>
        <v>87402</v>
      </c>
      <c r="BO100" s="116">
        <f t="shared" si="112"/>
        <v>87402</v>
      </c>
      <c r="BP100" s="116">
        <f t="shared" si="112"/>
        <v>68896.574271160047</v>
      </c>
      <c r="BQ100" s="116">
        <f t="shared" si="112"/>
        <v>68896.574271160047</v>
      </c>
      <c r="BR100" s="116">
        <f t="shared" si="112"/>
        <v>68896.574271160047</v>
      </c>
      <c r="BS100" s="116">
        <f t="shared" si="112"/>
        <v>68896.574271160047</v>
      </c>
      <c r="BT100" s="116">
        <f t="shared" si="112"/>
        <v>68896.574271160047</v>
      </c>
      <c r="BU100" s="116">
        <f t="shared" si="112"/>
        <v>3891.837732446575</v>
      </c>
      <c r="BV100" s="116">
        <f t="shared" si="112"/>
        <v>3891.837732446575</v>
      </c>
      <c r="BW100" s="116">
        <f t="shared" si="112"/>
        <v>3891.837732446575</v>
      </c>
      <c r="BX100" s="116">
        <f t="shared" si="112"/>
        <v>3891.837732446575</v>
      </c>
      <c r="BY100" s="116">
        <f t="shared" si="112"/>
        <v>3891.837732446575</v>
      </c>
      <c r="BZ100" s="116">
        <f t="shared" si="112"/>
        <v>4058.8809580690654</v>
      </c>
      <c r="CA100" s="116">
        <f t="shared" si="112"/>
        <v>4058.8809580690654</v>
      </c>
      <c r="CB100" s="116">
        <f t="shared" si="112"/>
        <v>4058.8809580690654</v>
      </c>
      <c r="CC100" s="116">
        <f t="shared" si="112"/>
        <v>4058.8809580690654</v>
      </c>
      <c r="CD100" s="116">
        <f t="shared" si="112"/>
        <v>4058.8809580690654</v>
      </c>
      <c r="CE100" s="116">
        <f t="shared" si="110"/>
        <v>4115.4601151347479</v>
      </c>
      <c r="CF100" s="116">
        <f t="shared" si="110"/>
        <v>4115.4601151347479</v>
      </c>
      <c r="CG100" s="116">
        <f t="shared" si="110"/>
        <v>4115.4601151347479</v>
      </c>
      <c r="CH100" s="116">
        <f t="shared" si="110"/>
        <v>4115.4601151347479</v>
      </c>
      <c r="CI100" s="116">
        <f t="shared" si="110"/>
        <v>4115.4601151347479</v>
      </c>
      <c r="CJ100" s="116">
        <f t="shared" si="110"/>
        <v>4260.2758147671493</v>
      </c>
      <c r="CK100" s="116">
        <f t="shared" si="110"/>
        <v>4260.2758147671493</v>
      </c>
      <c r="CL100" s="116">
        <f t="shared" si="110"/>
        <v>4260.2758147671493</v>
      </c>
      <c r="CM100" s="116">
        <f t="shared" si="110"/>
        <v>4260.2758147671493</v>
      </c>
      <c r="CN100" s="116">
        <f t="shared" si="110"/>
        <v>4260.2758147671493</v>
      </c>
      <c r="CO100" s="116">
        <f t="shared" si="110"/>
        <v>4443.4845138369774</v>
      </c>
      <c r="CR100" s="83" t="s">
        <v>222</v>
      </c>
      <c r="CS100" s="114">
        <f t="shared" si="81"/>
        <v>87402</v>
      </c>
      <c r="CT100" s="116">
        <f t="shared" si="113"/>
        <v>4092.5590277510196</v>
      </c>
      <c r="CU100" s="116">
        <f t="shared" si="113"/>
        <v>4092.5590277510196</v>
      </c>
      <c r="CV100" s="116">
        <f t="shared" si="113"/>
        <v>4092.5590277510196</v>
      </c>
      <c r="CW100" s="116">
        <f t="shared" si="113"/>
        <v>4092.5590277510196</v>
      </c>
      <c r="CX100" s="116">
        <f t="shared" si="113"/>
        <v>4092.5590277510196</v>
      </c>
      <c r="CY100" s="116">
        <f t="shared" si="113"/>
        <v>4092.5590277510196</v>
      </c>
      <c r="CZ100" s="116">
        <f t="shared" si="113"/>
        <v>4092.5590277510196</v>
      </c>
      <c r="DA100" s="116">
        <f t="shared" si="113"/>
        <v>4092.5590277510196</v>
      </c>
      <c r="DB100" s="116">
        <f t="shared" si="113"/>
        <v>4092.5590277510196</v>
      </c>
      <c r="DC100" s="116">
        <f t="shared" si="113"/>
        <v>4092.5590277510196</v>
      </c>
      <c r="DD100" s="116">
        <f t="shared" si="113"/>
        <v>4092.5590277510196</v>
      </c>
      <c r="DE100" s="116">
        <f t="shared" si="113"/>
        <v>4209.7587102442185</v>
      </c>
      <c r="DF100" s="116">
        <f t="shared" si="113"/>
        <v>4209.7587102442185</v>
      </c>
      <c r="DG100" s="116">
        <f t="shared" si="113"/>
        <v>4209.7587102442185</v>
      </c>
      <c r="DH100" s="116">
        <f t="shared" si="113"/>
        <v>4209.7587102442185</v>
      </c>
      <c r="DI100" s="116">
        <f t="shared" si="113"/>
        <v>4209.7587102442185</v>
      </c>
      <c r="DJ100" s="116">
        <f t="shared" si="111"/>
        <v>4428.6661631769175</v>
      </c>
      <c r="DK100" s="116">
        <f t="shared" si="111"/>
        <v>4428.6661631769175</v>
      </c>
      <c r="DL100" s="116">
        <f t="shared" si="111"/>
        <v>4428.6661631769175</v>
      </c>
      <c r="DM100" s="116">
        <f t="shared" si="111"/>
        <v>4428.6661631769175</v>
      </c>
      <c r="DN100" s="116">
        <f t="shared" si="111"/>
        <v>4428.6661631769175</v>
      </c>
      <c r="DO100" s="116">
        <f t="shared" si="111"/>
        <v>4573.481862809319</v>
      </c>
      <c r="DP100" s="116">
        <f t="shared" si="111"/>
        <v>4573.481862809319</v>
      </c>
      <c r="DQ100" s="116">
        <f t="shared" si="111"/>
        <v>4573.481862809319</v>
      </c>
      <c r="DR100" s="116">
        <f t="shared" si="111"/>
        <v>4573.481862809319</v>
      </c>
      <c r="DS100" s="116">
        <f t="shared" si="111"/>
        <v>4573.481862809319</v>
      </c>
      <c r="DT100" s="116">
        <f t="shared" si="111"/>
        <v>4757.3641232727859</v>
      </c>
      <c r="DW100" s="83" t="s">
        <v>222</v>
      </c>
      <c r="DX100" s="114">
        <f t="shared" si="84"/>
        <v>115473.65002034779</v>
      </c>
      <c r="DY100" s="116">
        <f t="shared" si="102"/>
        <v>115473.65002034779</v>
      </c>
      <c r="DZ100" s="116">
        <f t="shared" si="102"/>
        <v>101025.37633420461</v>
      </c>
      <c r="EA100" s="116">
        <f t="shared" si="102"/>
        <v>101025.37633420461</v>
      </c>
      <c r="EB100" s="116">
        <f t="shared" si="102"/>
        <v>101025.37633420461</v>
      </c>
      <c r="EC100" s="116">
        <f t="shared" si="102"/>
        <v>101025.37633420461</v>
      </c>
      <c r="ED100" s="116">
        <f t="shared" si="102"/>
        <v>101025.37633420461</v>
      </c>
      <c r="EE100" s="116">
        <f t="shared" si="102"/>
        <v>62854.108826878095</v>
      </c>
      <c r="EF100" s="116">
        <f t="shared" si="102"/>
        <v>62854.108826878095</v>
      </c>
      <c r="EG100" s="116">
        <f t="shared" si="102"/>
        <v>62854.108826878095</v>
      </c>
      <c r="EH100" s="116">
        <f t="shared" si="102"/>
        <v>62854.108826878095</v>
      </c>
      <c r="EI100" s="116">
        <f t="shared" si="102"/>
        <v>62854.108826878095</v>
      </c>
      <c r="EJ100" s="116">
        <f t="shared" si="102"/>
        <v>55965.551631706716</v>
      </c>
      <c r="EK100" s="116">
        <f t="shared" si="102"/>
        <v>55965.551631706716</v>
      </c>
      <c r="EL100" s="116">
        <f t="shared" si="102"/>
        <v>55965.551631706716</v>
      </c>
      <c r="EM100" s="116">
        <f t="shared" si="102"/>
        <v>55965.551631706716</v>
      </c>
      <c r="EN100" s="116">
        <f t="shared" si="102"/>
        <v>55965.551631706716</v>
      </c>
      <c r="EO100" s="116">
        <f t="shared" si="103"/>
        <v>54381.028531171854</v>
      </c>
      <c r="EP100" s="116">
        <f t="shared" si="103"/>
        <v>54381.028531171854</v>
      </c>
      <c r="EQ100" s="116">
        <f t="shared" si="103"/>
        <v>54381.028531171854</v>
      </c>
      <c r="ER100" s="116">
        <f t="shared" si="103"/>
        <v>54381.028531171854</v>
      </c>
      <c r="ES100" s="116">
        <f t="shared" si="103"/>
        <v>54381.028531171854</v>
      </c>
      <c r="ET100" s="116">
        <f t="shared" si="103"/>
        <v>52456.440514052818</v>
      </c>
      <c r="EU100" s="116">
        <f t="shared" si="91"/>
        <v>52456.440514052818</v>
      </c>
      <c r="EV100" s="116">
        <f t="shared" si="91"/>
        <v>52456.440514052818</v>
      </c>
      <c r="EW100" s="116">
        <f t="shared" si="91"/>
        <v>52456.440514052818</v>
      </c>
      <c r="EX100" s="116">
        <f t="shared" si="91"/>
        <v>52456.440514052818</v>
      </c>
      <c r="EY100" s="116">
        <f t="shared" si="91"/>
        <v>49389.332237618633</v>
      </c>
      <c r="FB100" s="83" t="s">
        <v>222</v>
      </c>
      <c r="FC100" s="114">
        <f t="shared" si="86"/>
        <v>124828.28948830222</v>
      </c>
      <c r="FD100" s="116">
        <f t="shared" si="104"/>
        <v>124828.28948830222</v>
      </c>
      <c r="FE100" s="116">
        <f t="shared" si="104"/>
        <v>108829.74384430173</v>
      </c>
      <c r="FF100" s="116">
        <f t="shared" si="104"/>
        <v>108829.74384430173</v>
      </c>
      <c r="FG100" s="116">
        <f t="shared" si="104"/>
        <v>108829.74384430173</v>
      </c>
      <c r="FH100" s="116">
        <f t="shared" si="104"/>
        <v>108829.74384430173</v>
      </c>
      <c r="FI100" s="116">
        <f t="shared" si="104"/>
        <v>108829.74384430173</v>
      </c>
      <c r="FJ100" s="116">
        <f t="shared" si="104"/>
        <v>68835.82624449172</v>
      </c>
      <c r="FK100" s="116">
        <f t="shared" si="104"/>
        <v>68835.82624449172</v>
      </c>
      <c r="FL100" s="116">
        <f t="shared" si="104"/>
        <v>68835.82624449172</v>
      </c>
      <c r="FM100" s="116">
        <f t="shared" si="104"/>
        <v>68835.82624449172</v>
      </c>
      <c r="FN100" s="116">
        <f t="shared" si="104"/>
        <v>68835.82624449172</v>
      </c>
      <c r="FO100" s="116">
        <f t="shared" si="104"/>
        <v>60968.664972819126</v>
      </c>
      <c r="FP100" s="116">
        <f t="shared" si="104"/>
        <v>60968.664972819126</v>
      </c>
      <c r="FQ100" s="116">
        <f t="shared" si="104"/>
        <v>60968.664972819126</v>
      </c>
      <c r="FR100" s="116">
        <f t="shared" si="104"/>
        <v>60968.664972819126</v>
      </c>
      <c r="FS100" s="116">
        <f t="shared" si="104"/>
        <v>60968.664972819126</v>
      </c>
      <c r="FT100" s="116">
        <f t="shared" si="105"/>
        <v>59576.600673996159</v>
      </c>
      <c r="FU100" s="116">
        <f t="shared" si="105"/>
        <v>59576.600673996159</v>
      </c>
      <c r="FV100" s="116">
        <f t="shared" si="105"/>
        <v>59576.600673996159</v>
      </c>
      <c r="FW100" s="116">
        <f t="shared" si="105"/>
        <v>59576.600673996159</v>
      </c>
      <c r="FX100" s="116">
        <f t="shared" si="105"/>
        <v>59576.600673996159</v>
      </c>
      <c r="FY100" s="116">
        <f t="shared" si="105"/>
        <v>57648.750643288797</v>
      </c>
      <c r="FZ100" s="116">
        <f t="shared" si="92"/>
        <v>57648.750643288797</v>
      </c>
      <c r="GA100" s="116">
        <f t="shared" si="92"/>
        <v>57648.750643288797</v>
      </c>
      <c r="GB100" s="116">
        <f t="shared" si="92"/>
        <v>57648.750643288797</v>
      </c>
      <c r="GC100" s="116">
        <f t="shared" si="92"/>
        <v>57648.750643288797</v>
      </c>
      <c r="GD100" s="116">
        <f t="shared" si="92"/>
        <v>54477.257932027816</v>
      </c>
      <c r="GH100" s="123" t="s">
        <v>222</v>
      </c>
      <c r="GI100" s="103">
        <f t="shared" si="106"/>
        <v>219749.40467474819</v>
      </c>
      <c r="GJ100" s="103">
        <f t="shared" si="106"/>
        <v>219749.40467474819</v>
      </c>
      <c r="GK100" s="103">
        <f t="shared" si="106"/>
        <v>219749.40467474819</v>
      </c>
      <c r="GL100" s="103">
        <f t="shared" si="106"/>
        <v>219749.40467474819</v>
      </c>
      <c r="GM100" s="103">
        <f t="shared" si="106"/>
        <v>219749.40467474819</v>
      </c>
      <c r="GN100" s="103">
        <f t="shared" si="106"/>
        <v>219749.40467474819</v>
      </c>
      <c r="GO100" s="103">
        <f t="shared" si="106"/>
        <v>219749.40467474819</v>
      </c>
      <c r="GP100" s="103">
        <f t="shared" si="106"/>
        <v>219749.40467474819</v>
      </c>
      <c r="GQ100" s="103">
        <f t="shared" si="106"/>
        <v>219749.40467474819</v>
      </c>
      <c r="GR100" s="103">
        <f t="shared" si="106"/>
        <v>219749.40467474819</v>
      </c>
      <c r="GS100" s="103">
        <f t="shared" si="106"/>
        <v>219749.40467474819</v>
      </c>
      <c r="GT100" s="103">
        <f t="shared" si="106"/>
        <v>219749.40467474819</v>
      </c>
      <c r="GU100" s="103">
        <f t="shared" si="106"/>
        <v>219749.40467474819</v>
      </c>
      <c r="GV100" s="103">
        <f t="shared" si="106"/>
        <v>219749.40467474819</v>
      </c>
      <c r="GW100" s="103">
        <f t="shared" si="106"/>
        <v>219749.40467474819</v>
      </c>
      <c r="GX100" s="103">
        <f t="shared" si="106"/>
        <v>219749.40467474819</v>
      </c>
      <c r="GY100" s="103">
        <f t="shared" si="107"/>
        <v>219749.40467474819</v>
      </c>
      <c r="GZ100" s="103">
        <f t="shared" si="107"/>
        <v>219749.40467474819</v>
      </c>
      <c r="HA100" s="103">
        <f t="shared" si="107"/>
        <v>219749.40467474819</v>
      </c>
      <c r="HB100" s="103">
        <f t="shared" si="107"/>
        <v>219749.40467474819</v>
      </c>
      <c r="HC100" s="103">
        <f t="shared" si="107"/>
        <v>219749.40467474819</v>
      </c>
      <c r="HD100" s="103">
        <f t="shared" si="107"/>
        <v>219749.40467474819</v>
      </c>
      <c r="HE100" s="103">
        <f t="shared" si="114"/>
        <v>219749.40467474819</v>
      </c>
      <c r="HF100" s="103">
        <f t="shared" si="114"/>
        <v>219749.40467474819</v>
      </c>
      <c r="HG100" s="103">
        <f t="shared" si="114"/>
        <v>219749.40467474819</v>
      </c>
      <c r="HH100" s="103">
        <f t="shared" si="114"/>
        <v>219749.40467474819</v>
      </c>
      <c r="HI100" s="103">
        <f t="shared" si="114"/>
        <v>219749.40467474819</v>
      </c>
      <c r="HJ100" s="103">
        <f t="shared" si="114"/>
        <v>219749.40467474819</v>
      </c>
    </row>
    <row r="101" spans="26:218" x14ac:dyDescent="0.25">
      <c r="Z101" s="83" t="s">
        <v>223</v>
      </c>
      <c r="AA101" s="114">
        <f>'US Grid mix, emissions&amp;prices'!O98</f>
        <v>54029</v>
      </c>
      <c r="AB101" s="116">
        <f t="shared" si="109"/>
        <v>54029</v>
      </c>
      <c r="AC101" s="116">
        <f t="shared" si="115"/>
        <v>47456.133006064993</v>
      </c>
      <c r="AD101" s="116">
        <f t="shared" si="115"/>
        <v>47456.133006064993</v>
      </c>
      <c r="AE101" s="116">
        <f t="shared" si="115"/>
        <v>47456.133006064993</v>
      </c>
      <c r="AF101" s="116">
        <f t="shared" si="115"/>
        <v>47456.133006064993</v>
      </c>
      <c r="AG101" s="116">
        <f t="shared" si="115"/>
        <v>47456.133006064993</v>
      </c>
      <c r="AH101" s="116">
        <f t="shared" si="115"/>
        <v>17941.936629649896</v>
      </c>
      <c r="AI101" s="116">
        <f t="shared" si="115"/>
        <v>17941.936629649896</v>
      </c>
      <c r="AJ101" s="116">
        <f t="shared" si="115"/>
        <v>17941.936629649896</v>
      </c>
      <c r="AK101" s="116">
        <f t="shared" si="115"/>
        <v>17941.936629649896</v>
      </c>
      <c r="AL101" s="116">
        <f t="shared" si="115"/>
        <v>17941.936629649896</v>
      </c>
      <c r="AM101" s="116">
        <f t="shared" si="115"/>
        <v>15080.203774631824</v>
      </c>
      <c r="AN101" s="116">
        <f t="shared" si="115"/>
        <v>15080.203774631824</v>
      </c>
      <c r="AO101" s="116">
        <f t="shared" si="115"/>
        <v>15080.203774631824</v>
      </c>
      <c r="AP101" s="116">
        <f t="shared" si="115"/>
        <v>15080.203774631824</v>
      </c>
      <c r="AQ101" s="116">
        <f t="shared" si="115"/>
        <v>15080.203774631824</v>
      </c>
      <c r="AR101" s="116">
        <f t="shared" si="115"/>
        <v>15080.203774631824</v>
      </c>
      <c r="AS101" s="116">
        <f t="shared" si="115"/>
        <v>15080.203774631824</v>
      </c>
      <c r="AT101" s="116">
        <f t="shared" si="115"/>
        <v>15080.203774631824</v>
      </c>
      <c r="AU101" s="116">
        <f t="shared" si="115"/>
        <v>15080.203774631824</v>
      </c>
      <c r="AV101" s="116">
        <f t="shared" si="115"/>
        <v>15080.203774631824</v>
      </c>
      <c r="AW101" s="116">
        <f t="shared" si="115"/>
        <v>15151.40358813511</v>
      </c>
      <c r="AX101" s="116">
        <f t="shared" si="115"/>
        <v>15151.40358813511</v>
      </c>
      <c r="AY101" s="116">
        <f t="shared" si="115"/>
        <v>15151.40358813511</v>
      </c>
      <c r="AZ101" s="116">
        <f t="shared" si="115"/>
        <v>15151.40358813511</v>
      </c>
      <c r="BA101" s="116">
        <f t="shared" si="115"/>
        <v>15151.40358813511</v>
      </c>
      <c r="BB101" s="116">
        <f t="shared" si="115"/>
        <v>15240.923821487197</v>
      </c>
      <c r="BM101" s="83" t="s">
        <v>223</v>
      </c>
      <c r="BN101" s="114">
        <f t="shared" si="78"/>
        <v>54029</v>
      </c>
      <c r="BO101" s="116">
        <f t="shared" si="112"/>
        <v>54029</v>
      </c>
      <c r="BP101" s="116">
        <f t="shared" si="112"/>
        <v>42589.563297138586</v>
      </c>
      <c r="BQ101" s="116">
        <f t="shared" si="112"/>
        <v>42589.563297138586</v>
      </c>
      <c r="BR101" s="116">
        <f t="shared" si="112"/>
        <v>42589.563297138586</v>
      </c>
      <c r="BS101" s="116">
        <f t="shared" si="112"/>
        <v>42589.563297138586</v>
      </c>
      <c r="BT101" s="116">
        <f t="shared" si="112"/>
        <v>42589.563297138586</v>
      </c>
      <c r="BU101" s="116">
        <f t="shared" si="112"/>
        <v>2405.8042246900072</v>
      </c>
      <c r="BV101" s="116">
        <f t="shared" si="112"/>
        <v>2405.8042246900072</v>
      </c>
      <c r="BW101" s="116">
        <f t="shared" si="112"/>
        <v>2405.8042246900072</v>
      </c>
      <c r="BX101" s="116">
        <f t="shared" si="112"/>
        <v>2405.8042246900072</v>
      </c>
      <c r="BY101" s="116">
        <f t="shared" si="112"/>
        <v>2405.8042246900072</v>
      </c>
      <c r="BZ101" s="116">
        <f t="shared" si="112"/>
        <v>2509.064772928692</v>
      </c>
      <c r="CA101" s="116">
        <f t="shared" si="112"/>
        <v>2509.064772928692</v>
      </c>
      <c r="CB101" s="116">
        <f t="shared" si="112"/>
        <v>2509.064772928692</v>
      </c>
      <c r="CC101" s="116">
        <f t="shared" si="112"/>
        <v>2509.064772928692</v>
      </c>
      <c r="CD101" s="116">
        <f t="shared" si="112"/>
        <v>2509.064772928692</v>
      </c>
      <c r="CE101" s="116">
        <f t="shared" si="110"/>
        <v>2544.0401199127627</v>
      </c>
      <c r="CF101" s="116">
        <f t="shared" si="110"/>
        <v>2544.0401199127627</v>
      </c>
      <c r="CG101" s="116">
        <f t="shared" si="110"/>
        <v>2544.0401199127627</v>
      </c>
      <c r="CH101" s="116">
        <f t="shared" si="110"/>
        <v>2544.0401199127627</v>
      </c>
      <c r="CI101" s="116">
        <f t="shared" si="110"/>
        <v>2544.0401199127627</v>
      </c>
      <c r="CJ101" s="116">
        <f t="shared" si="110"/>
        <v>2633.5603532648488</v>
      </c>
      <c r="CK101" s="116">
        <f t="shared" si="110"/>
        <v>2633.5603532648488</v>
      </c>
      <c r="CL101" s="116">
        <f t="shared" si="110"/>
        <v>2633.5603532648488</v>
      </c>
      <c r="CM101" s="116">
        <f t="shared" si="110"/>
        <v>2633.5603532648488</v>
      </c>
      <c r="CN101" s="116">
        <f t="shared" si="110"/>
        <v>2633.5603532648488</v>
      </c>
      <c r="CO101" s="116">
        <f t="shared" si="110"/>
        <v>2746.8138577846962</v>
      </c>
      <c r="CR101" s="83" t="s">
        <v>223</v>
      </c>
      <c r="CS101" s="114">
        <f t="shared" si="81"/>
        <v>54029</v>
      </c>
      <c r="CT101" s="116">
        <f t="shared" si="113"/>
        <v>2529.883431847782</v>
      </c>
      <c r="CU101" s="116">
        <f t="shared" si="113"/>
        <v>2529.883431847782</v>
      </c>
      <c r="CV101" s="116">
        <f t="shared" si="113"/>
        <v>2529.883431847782</v>
      </c>
      <c r="CW101" s="116">
        <f t="shared" si="113"/>
        <v>2529.883431847782</v>
      </c>
      <c r="CX101" s="116">
        <f t="shared" si="113"/>
        <v>2529.883431847782</v>
      </c>
      <c r="CY101" s="116">
        <f t="shared" si="113"/>
        <v>2529.883431847782</v>
      </c>
      <c r="CZ101" s="116">
        <f t="shared" si="113"/>
        <v>2529.883431847782</v>
      </c>
      <c r="DA101" s="116">
        <f t="shared" si="113"/>
        <v>2529.883431847782</v>
      </c>
      <c r="DB101" s="116">
        <f t="shared" si="113"/>
        <v>2529.883431847782</v>
      </c>
      <c r="DC101" s="116">
        <f t="shared" si="113"/>
        <v>2529.883431847782</v>
      </c>
      <c r="DD101" s="116">
        <f t="shared" si="113"/>
        <v>2529.883431847782</v>
      </c>
      <c r="DE101" s="116">
        <f t="shared" si="113"/>
        <v>2602.3323648862138</v>
      </c>
      <c r="DF101" s="116">
        <f t="shared" si="113"/>
        <v>2602.3323648862138</v>
      </c>
      <c r="DG101" s="116">
        <f t="shared" si="113"/>
        <v>2602.3323648862138</v>
      </c>
      <c r="DH101" s="116">
        <f t="shared" si="113"/>
        <v>2602.3323648862138</v>
      </c>
      <c r="DI101" s="116">
        <f t="shared" si="113"/>
        <v>2602.3323648862138</v>
      </c>
      <c r="DJ101" s="116">
        <f t="shared" si="111"/>
        <v>2737.653647860297</v>
      </c>
      <c r="DK101" s="116">
        <f t="shared" si="111"/>
        <v>2737.653647860297</v>
      </c>
      <c r="DL101" s="116">
        <f t="shared" si="111"/>
        <v>2737.653647860297</v>
      </c>
      <c r="DM101" s="116">
        <f t="shared" si="111"/>
        <v>2737.653647860297</v>
      </c>
      <c r="DN101" s="116">
        <f t="shared" si="111"/>
        <v>2737.653647860297</v>
      </c>
      <c r="DO101" s="116">
        <f t="shared" si="111"/>
        <v>2827.1738812123826</v>
      </c>
      <c r="DP101" s="116">
        <f t="shared" si="111"/>
        <v>2827.1738812123826</v>
      </c>
      <c r="DQ101" s="116">
        <f t="shared" si="111"/>
        <v>2827.1738812123826</v>
      </c>
      <c r="DR101" s="116">
        <f t="shared" si="111"/>
        <v>2827.1738812123826</v>
      </c>
      <c r="DS101" s="116">
        <f t="shared" si="111"/>
        <v>2827.1738812123826</v>
      </c>
      <c r="DT101" s="116">
        <f t="shared" si="111"/>
        <v>2940.8437589106129</v>
      </c>
      <c r="DW101" s="83" t="s">
        <v>223</v>
      </c>
      <c r="DX101" s="114">
        <f t="shared" si="84"/>
        <v>71381.957357375926</v>
      </c>
      <c r="DY101" s="116">
        <f t="shared" si="102"/>
        <v>71381.957357375926</v>
      </c>
      <c r="DZ101" s="116">
        <f t="shared" si="102"/>
        <v>62450.5166696499</v>
      </c>
      <c r="EA101" s="116">
        <f t="shared" si="102"/>
        <v>62450.5166696499</v>
      </c>
      <c r="EB101" s="116">
        <f t="shared" si="102"/>
        <v>62450.5166696499</v>
      </c>
      <c r="EC101" s="116">
        <f t="shared" si="102"/>
        <v>62450.5166696499</v>
      </c>
      <c r="ED101" s="116">
        <f t="shared" si="102"/>
        <v>62450.5166696499</v>
      </c>
      <c r="EE101" s="116">
        <f t="shared" si="102"/>
        <v>38854.312782400819</v>
      </c>
      <c r="EF101" s="116">
        <f t="shared" si="102"/>
        <v>38854.312782400819</v>
      </c>
      <c r="EG101" s="116">
        <f t="shared" si="102"/>
        <v>38854.312782400819</v>
      </c>
      <c r="EH101" s="116">
        <f t="shared" si="102"/>
        <v>38854.312782400819</v>
      </c>
      <c r="EI101" s="116">
        <f t="shared" si="102"/>
        <v>38854.312782400819</v>
      </c>
      <c r="EJ101" s="116">
        <f t="shared" si="102"/>
        <v>34596.036579362968</v>
      </c>
      <c r="EK101" s="116">
        <f t="shared" si="102"/>
        <v>34596.036579362968</v>
      </c>
      <c r="EL101" s="116">
        <f t="shared" si="102"/>
        <v>34596.036579362968</v>
      </c>
      <c r="EM101" s="116">
        <f t="shared" si="102"/>
        <v>34596.036579362968</v>
      </c>
      <c r="EN101" s="116">
        <f t="shared" si="102"/>
        <v>34596.036579362968</v>
      </c>
      <c r="EO101" s="116">
        <f t="shared" si="103"/>
        <v>33616.53727043642</v>
      </c>
      <c r="EP101" s="116">
        <f t="shared" si="103"/>
        <v>33616.53727043642</v>
      </c>
      <c r="EQ101" s="116">
        <f t="shared" si="103"/>
        <v>33616.53727043642</v>
      </c>
      <c r="ER101" s="116">
        <f t="shared" si="103"/>
        <v>33616.53727043642</v>
      </c>
      <c r="ES101" s="116">
        <f t="shared" si="103"/>
        <v>33616.53727043642</v>
      </c>
      <c r="ET101" s="116">
        <f t="shared" si="103"/>
        <v>32426.821177247199</v>
      </c>
      <c r="EU101" s="116">
        <f t="shared" si="91"/>
        <v>32426.821177247199</v>
      </c>
      <c r="EV101" s="116">
        <f t="shared" si="91"/>
        <v>32426.821177247199</v>
      </c>
      <c r="EW101" s="116">
        <f t="shared" si="91"/>
        <v>32426.821177247199</v>
      </c>
      <c r="EX101" s="116">
        <f t="shared" si="91"/>
        <v>32426.821177247199</v>
      </c>
      <c r="EY101" s="116">
        <f t="shared" si="91"/>
        <v>30530.837182974039</v>
      </c>
      <c r="FB101" s="83" t="s">
        <v>223</v>
      </c>
      <c r="FC101" s="114">
        <f t="shared" si="86"/>
        <v>77164.683334059635</v>
      </c>
      <c r="FD101" s="116">
        <f t="shared" si="104"/>
        <v>77164.683334059635</v>
      </c>
      <c r="FE101" s="116">
        <f t="shared" si="104"/>
        <v>67274.91625092992</v>
      </c>
      <c r="FF101" s="116">
        <f t="shared" si="104"/>
        <v>67274.91625092992</v>
      </c>
      <c r="FG101" s="116">
        <f t="shared" si="104"/>
        <v>67274.91625092992</v>
      </c>
      <c r="FH101" s="116">
        <f t="shared" si="104"/>
        <v>67274.91625092992</v>
      </c>
      <c r="FI101" s="116">
        <f t="shared" si="104"/>
        <v>67274.91625092992</v>
      </c>
      <c r="FJ101" s="116">
        <f t="shared" si="104"/>
        <v>42552.010894071565</v>
      </c>
      <c r="FK101" s="116">
        <f t="shared" si="104"/>
        <v>42552.010894071565</v>
      </c>
      <c r="FL101" s="116">
        <f t="shared" si="104"/>
        <v>42552.010894071565</v>
      </c>
      <c r="FM101" s="116">
        <f t="shared" si="104"/>
        <v>42552.010894071565</v>
      </c>
      <c r="FN101" s="116">
        <f t="shared" si="104"/>
        <v>42552.010894071565</v>
      </c>
      <c r="FO101" s="116">
        <f t="shared" si="104"/>
        <v>37688.794304666306</v>
      </c>
      <c r="FP101" s="116">
        <f t="shared" si="104"/>
        <v>37688.794304666306</v>
      </c>
      <c r="FQ101" s="116">
        <f t="shared" si="104"/>
        <v>37688.794304666306</v>
      </c>
      <c r="FR101" s="116">
        <f t="shared" si="104"/>
        <v>37688.794304666306</v>
      </c>
      <c r="FS101" s="116">
        <f t="shared" si="104"/>
        <v>37688.794304666306</v>
      </c>
      <c r="FT101" s="116">
        <f t="shared" si="105"/>
        <v>36828.266605058678</v>
      </c>
      <c r="FU101" s="116">
        <f t="shared" si="105"/>
        <v>36828.266605058678</v>
      </c>
      <c r="FV101" s="116">
        <f t="shared" si="105"/>
        <v>36828.266605058678</v>
      </c>
      <c r="FW101" s="116">
        <f t="shared" si="105"/>
        <v>36828.266605058678</v>
      </c>
      <c r="FX101" s="116">
        <f t="shared" si="105"/>
        <v>36828.266605058678</v>
      </c>
      <c r="FY101" s="116">
        <f t="shared" si="105"/>
        <v>35636.5340439149</v>
      </c>
      <c r="FZ101" s="116">
        <f t="shared" si="92"/>
        <v>35636.5340439149</v>
      </c>
      <c r="GA101" s="116">
        <f t="shared" si="92"/>
        <v>35636.5340439149</v>
      </c>
      <c r="GB101" s="116">
        <f t="shared" si="92"/>
        <v>35636.5340439149</v>
      </c>
      <c r="GC101" s="116">
        <f t="shared" si="92"/>
        <v>35636.5340439149</v>
      </c>
      <c r="GD101" s="116">
        <f t="shared" si="92"/>
        <v>33676.023075095887</v>
      </c>
      <c r="GH101" s="123" t="s">
        <v>223</v>
      </c>
      <c r="GI101" s="103">
        <f t="shared" si="106"/>
        <v>135841.74944706037</v>
      </c>
      <c r="GJ101" s="103">
        <f t="shared" si="106"/>
        <v>135841.74944706037</v>
      </c>
      <c r="GK101" s="103">
        <f t="shared" si="106"/>
        <v>135841.74944706037</v>
      </c>
      <c r="GL101" s="103">
        <f t="shared" si="106"/>
        <v>135841.74944706037</v>
      </c>
      <c r="GM101" s="103">
        <f t="shared" si="106"/>
        <v>135841.74944706037</v>
      </c>
      <c r="GN101" s="103">
        <f t="shared" si="106"/>
        <v>135841.74944706037</v>
      </c>
      <c r="GO101" s="103">
        <f t="shared" si="106"/>
        <v>135841.74944706037</v>
      </c>
      <c r="GP101" s="103">
        <f t="shared" si="106"/>
        <v>135841.74944706037</v>
      </c>
      <c r="GQ101" s="103">
        <f t="shared" si="106"/>
        <v>135841.74944706037</v>
      </c>
      <c r="GR101" s="103">
        <f t="shared" si="106"/>
        <v>135841.74944706037</v>
      </c>
      <c r="GS101" s="103">
        <f t="shared" si="106"/>
        <v>135841.74944706037</v>
      </c>
      <c r="GT101" s="103">
        <f t="shared" si="106"/>
        <v>135841.74944706037</v>
      </c>
      <c r="GU101" s="103">
        <f t="shared" si="106"/>
        <v>135841.74944706037</v>
      </c>
      <c r="GV101" s="103">
        <f t="shared" si="106"/>
        <v>135841.74944706037</v>
      </c>
      <c r="GW101" s="103">
        <f t="shared" si="106"/>
        <v>135841.74944706037</v>
      </c>
      <c r="GX101" s="103">
        <f t="shared" si="106"/>
        <v>135841.74944706037</v>
      </c>
      <c r="GY101" s="103">
        <f t="shared" si="107"/>
        <v>135841.74944706037</v>
      </c>
      <c r="GZ101" s="103">
        <f t="shared" si="107"/>
        <v>135841.74944706037</v>
      </c>
      <c r="HA101" s="103">
        <f t="shared" si="107"/>
        <v>135841.74944706037</v>
      </c>
      <c r="HB101" s="103">
        <f t="shared" si="107"/>
        <v>135841.74944706037</v>
      </c>
      <c r="HC101" s="103">
        <f t="shared" si="107"/>
        <v>135841.74944706037</v>
      </c>
      <c r="HD101" s="103">
        <f t="shared" si="107"/>
        <v>135841.74944706037</v>
      </c>
      <c r="HE101" s="103">
        <f t="shared" si="114"/>
        <v>135841.74944706037</v>
      </c>
      <c r="HF101" s="103">
        <f t="shared" si="114"/>
        <v>135841.74944706037</v>
      </c>
      <c r="HG101" s="103">
        <f t="shared" si="114"/>
        <v>135841.74944706037</v>
      </c>
      <c r="HH101" s="103">
        <f t="shared" si="114"/>
        <v>135841.74944706037</v>
      </c>
      <c r="HI101" s="103">
        <f t="shared" si="114"/>
        <v>135841.74944706037</v>
      </c>
      <c r="HJ101" s="103">
        <f t="shared" si="114"/>
        <v>135841.74944706037</v>
      </c>
    </row>
    <row r="102" spans="26:218" x14ac:dyDescent="0.25">
      <c r="Z102" s="83" t="s">
        <v>224</v>
      </c>
      <c r="AA102" s="114">
        <f>'US Grid mix, emissions&amp;prices'!O99</f>
        <v>94567</v>
      </c>
      <c r="AB102" s="116">
        <f t="shared" si="109"/>
        <v>94567</v>
      </c>
      <c r="AC102" s="116">
        <f t="shared" si="115"/>
        <v>83062.505876187759</v>
      </c>
      <c r="AD102" s="116">
        <f t="shared" si="115"/>
        <v>83062.505876187759</v>
      </c>
      <c r="AE102" s="116">
        <f t="shared" si="115"/>
        <v>83062.505876187759</v>
      </c>
      <c r="AF102" s="116">
        <f t="shared" si="115"/>
        <v>83062.505876187759</v>
      </c>
      <c r="AG102" s="116">
        <f t="shared" si="115"/>
        <v>83062.505876187759</v>
      </c>
      <c r="AH102" s="116">
        <f t="shared" si="115"/>
        <v>31403.785397769749</v>
      </c>
      <c r="AI102" s="116">
        <f t="shared" si="115"/>
        <v>31403.785397769749</v>
      </c>
      <c r="AJ102" s="116">
        <f t="shared" si="115"/>
        <v>31403.785397769749</v>
      </c>
      <c r="AK102" s="116">
        <f t="shared" si="115"/>
        <v>31403.785397769749</v>
      </c>
      <c r="AL102" s="116">
        <f t="shared" si="115"/>
        <v>31403.785397769749</v>
      </c>
      <c r="AM102" s="116">
        <f t="shared" si="115"/>
        <v>26394.892194110711</v>
      </c>
      <c r="AN102" s="116">
        <f t="shared" si="115"/>
        <v>26394.892194110711</v>
      </c>
      <c r="AO102" s="116">
        <f t="shared" si="115"/>
        <v>26394.892194110711</v>
      </c>
      <c r="AP102" s="116">
        <f t="shared" si="115"/>
        <v>26394.892194110711</v>
      </c>
      <c r="AQ102" s="116">
        <f t="shared" si="115"/>
        <v>26394.892194110711</v>
      </c>
      <c r="AR102" s="116">
        <f t="shared" si="115"/>
        <v>26394.892194110711</v>
      </c>
      <c r="AS102" s="116">
        <f t="shared" si="115"/>
        <v>26394.892194110711</v>
      </c>
      <c r="AT102" s="116">
        <f t="shared" si="115"/>
        <v>26394.892194110711</v>
      </c>
      <c r="AU102" s="116">
        <f t="shared" si="115"/>
        <v>26394.892194110711</v>
      </c>
      <c r="AV102" s="116">
        <f t="shared" si="115"/>
        <v>26394.892194110711</v>
      </c>
      <c r="AW102" s="116">
        <f t="shared" si="115"/>
        <v>26519.513282110958</v>
      </c>
      <c r="AX102" s="116">
        <f t="shared" si="115"/>
        <v>26519.513282110958</v>
      </c>
      <c r="AY102" s="116">
        <f t="shared" si="115"/>
        <v>26519.513282110958</v>
      </c>
      <c r="AZ102" s="116">
        <f t="shared" si="115"/>
        <v>26519.513282110958</v>
      </c>
      <c r="BA102" s="116">
        <f t="shared" si="115"/>
        <v>26519.513282110958</v>
      </c>
      <c r="BB102" s="116">
        <f t="shared" si="115"/>
        <v>26676.200614976766</v>
      </c>
      <c r="BM102" s="83" t="s">
        <v>224</v>
      </c>
      <c r="BN102" s="114">
        <f t="shared" si="78"/>
        <v>94567</v>
      </c>
      <c r="BO102" s="116">
        <f t="shared" si="112"/>
        <v>94567</v>
      </c>
      <c r="BP102" s="116">
        <f t="shared" si="112"/>
        <v>74544.545194627048</v>
      </c>
      <c r="BQ102" s="116">
        <f t="shared" si="112"/>
        <v>74544.545194627048</v>
      </c>
      <c r="BR102" s="116">
        <f t="shared" si="112"/>
        <v>74544.545194627048</v>
      </c>
      <c r="BS102" s="116">
        <f t="shared" si="112"/>
        <v>74544.545194627048</v>
      </c>
      <c r="BT102" s="116">
        <f t="shared" si="112"/>
        <v>74544.545194627048</v>
      </c>
      <c r="BU102" s="116">
        <f t="shared" si="112"/>
        <v>4210.880973482017</v>
      </c>
      <c r="BV102" s="116">
        <f t="shared" si="112"/>
        <v>4210.880973482017</v>
      </c>
      <c r="BW102" s="116">
        <f t="shared" si="112"/>
        <v>4210.880973482017</v>
      </c>
      <c r="BX102" s="116">
        <f t="shared" si="112"/>
        <v>4210.880973482017</v>
      </c>
      <c r="BY102" s="116">
        <f t="shared" si="112"/>
        <v>4210.880973482017</v>
      </c>
      <c r="BZ102" s="116">
        <f t="shared" si="112"/>
        <v>4391.6179899969948</v>
      </c>
      <c r="CA102" s="116">
        <f t="shared" si="112"/>
        <v>4391.6179899969948</v>
      </c>
      <c r="CB102" s="116">
        <f t="shared" si="112"/>
        <v>4391.6179899969948</v>
      </c>
      <c r="CC102" s="116">
        <f t="shared" si="112"/>
        <v>4391.6179899969948</v>
      </c>
      <c r="CD102" s="116">
        <f t="shared" si="112"/>
        <v>4391.6179899969948</v>
      </c>
      <c r="CE102" s="116">
        <f t="shared" si="110"/>
        <v>4452.8353665585191</v>
      </c>
      <c r="CF102" s="116">
        <f t="shared" si="110"/>
        <v>4452.8353665585191</v>
      </c>
      <c r="CG102" s="116">
        <f t="shared" si="110"/>
        <v>4452.8353665585191</v>
      </c>
      <c r="CH102" s="116">
        <f t="shared" si="110"/>
        <v>4452.8353665585191</v>
      </c>
      <c r="CI102" s="116">
        <f t="shared" si="110"/>
        <v>4452.8353665585191</v>
      </c>
      <c r="CJ102" s="116">
        <f t="shared" si="110"/>
        <v>4609.5226994243267</v>
      </c>
      <c r="CK102" s="116">
        <f t="shared" si="110"/>
        <v>4609.5226994243267</v>
      </c>
      <c r="CL102" s="116">
        <f t="shared" si="110"/>
        <v>4609.5226994243267</v>
      </c>
      <c r="CM102" s="116">
        <f t="shared" si="110"/>
        <v>4609.5226994243267</v>
      </c>
      <c r="CN102" s="116">
        <f t="shared" si="110"/>
        <v>4609.5226994243267</v>
      </c>
      <c r="CO102" s="116">
        <f t="shared" si="110"/>
        <v>4807.7503949568818</v>
      </c>
      <c r="CR102" s="83" t="s">
        <v>224</v>
      </c>
      <c r="CS102" s="114">
        <f t="shared" si="81"/>
        <v>94567</v>
      </c>
      <c r="CT102" s="116">
        <f t="shared" si="113"/>
        <v>4428.0569046169503</v>
      </c>
      <c r="CU102" s="116">
        <f t="shared" si="113"/>
        <v>4428.0569046169503</v>
      </c>
      <c r="CV102" s="116">
        <f t="shared" si="113"/>
        <v>4428.0569046169503</v>
      </c>
      <c r="CW102" s="116">
        <f t="shared" si="113"/>
        <v>4428.0569046169503</v>
      </c>
      <c r="CX102" s="116">
        <f t="shared" si="113"/>
        <v>4428.0569046169503</v>
      </c>
      <c r="CY102" s="116">
        <f t="shared" si="113"/>
        <v>4428.0569046169503</v>
      </c>
      <c r="CZ102" s="116">
        <f t="shared" si="113"/>
        <v>4428.0569046169503</v>
      </c>
      <c r="DA102" s="116">
        <f t="shared" si="113"/>
        <v>4428.0569046169503</v>
      </c>
      <c r="DB102" s="116">
        <f t="shared" si="113"/>
        <v>4428.0569046169503</v>
      </c>
      <c r="DC102" s="116">
        <f t="shared" si="113"/>
        <v>4428.0569046169503</v>
      </c>
      <c r="DD102" s="116">
        <f t="shared" si="113"/>
        <v>4428.0569046169503</v>
      </c>
      <c r="DE102" s="116">
        <f t="shared" si="113"/>
        <v>4554.8643274943934</v>
      </c>
      <c r="DF102" s="116">
        <f t="shared" si="113"/>
        <v>4554.8643274943934</v>
      </c>
      <c r="DG102" s="116">
        <f t="shared" si="113"/>
        <v>4554.8643274943934</v>
      </c>
      <c r="DH102" s="116">
        <f t="shared" si="113"/>
        <v>4554.8643274943934</v>
      </c>
      <c r="DI102" s="116">
        <f t="shared" si="113"/>
        <v>4554.8643274943934</v>
      </c>
      <c r="DJ102" s="116">
        <f t="shared" si="111"/>
        <v>4791.7172725241026</v>
      </c>
      <c r="DK102" s="116">
        <f t="shared" si="111"/>
        <v>4791.7172725241026</v>
      </c>
      <c r="DL102" s="116">
        <f t="shared" si="111"/>
        <v>4791.7172725241026</v>
      </c>
      <c r="DM102" s="116">
        <f t="shared" si="111"/>
        <v>4791.7172725241026</v>
      </c>
      <c r="DN102" s="116">
        <f t="shared" si="111"/>
        <v>4791.7172725241026</v>
      </c>
      <c r="DO102" s="116">
        <f t="shared" si="111"/>
        <v>4948.4046053899092</v>
      </c>
      <c r="DP102" s="116">
        <f t="shared" si="111"/>
        <v>4948.4046053899092</v>
      </c>
      <c r="DQ102" s="116">
        <f t="shared" si="111"/>
        <v>4948.4046053899092</v>
      </c>
      <c r="DR102" s="116">
        <f t="shared" si="111"/>
        <v>4948.4046053899092</v>
      </c>
      <c r="DS102" s="116">
        <f t="shared" si="111"/>
        <v>4948.4046053899092</v>
      </c>
      <c r="DT102" s="116">
        <f t="shared" si="111"/>
        <v>5147.3610792148647</v>
      </c>
      <c r="DW102" s="83" t="s">
        <v>224</v>
      </c>
      <c r="DX102" s="114">
        <f t="shared" si="84"/>
        <v>124939.89452729032</v>
      </c>
      <c r="DY102" s="116">
        <f t="shared" si="102"/>
        <v>124939.89452729032</v>
      </c>
      <c r="DZ102" s="116">
        <f t="shared" si="102"/>
        <v>109307.18706433178</v>
      </c>
      <c r="EA102" s="116">
        <f t="shared" si="102"/>
        <v>109307.18706433178</v>
      </c>
      <c r="EB102" s="116">
        <f t="shared" si="102"/>
        <v>109307.18706433178</v>
      </c>
      <c r="EC102" s="116">
        <f t="shared" si="102"/>
        <v>109307.18706433178</v>
      </c>
      <c r="ED102" s="116">
        <f t="shared" si="102"/>
        <v>109307.18706433178</v>
      </c>
      <c r="EE102" s="116">
        <f t="shared" si="102"/>
        <v>68006.733363439969</v>
      </c>
      <c r="EF102" s="116">
        <f t="shared" si="102"/>
        <v>68006.733363439969</v>
      </c>
      <c r="EG102" s="116">
        <f t="shared" si="102"/>
        <v>68006.733363439969</v>
      </c>
      <c r="EH102" s="116">
        <f t="shared" si="102"/>
        <v>68006.733363439969</v>
      </c>
      <c r="EI102" s="116">
        <f t="shared" si="102"/>
        <v>68006.733363439969</v>
      </c>
      <c r="EJ102" s="116">
        <f t="shared" si="102"/>
        <v>60553.469270218171</v>
      </c>
      <c r="EK102" s="116">
        <f t="shared" si="102"/>
        <v>60553.469270218171</v>
      </c>
      <c r="EL102" s="116">
        <f t="shared" si="102"/>
        <v>60553.469270218171</v>
      </c>
      <c r="EM102" s="116">
        <f t="shared" si="102"/>
        <v>60553.469270218171</v>
      </c>
      <c r="EN102" s="116">
        <f t="shared" ref="EN102:EY110" si="116">$DX102*EN$112</f>
        <v>60553.469270218171</v>
      </c>
      <c r="EO102" s="116">
        <f t="shared" si="116"/>
        <v>58839.050881070551</v>
      </c>
      <c r="EP102" s="116">
        <f t="shared" si="116"/>
        <v>58839.050881070551</v>
      </c>
      <c r="EQ102" s="116">
        <f t="shared" si="116"/>
        <v>58839.050881070551</v>
      </c>
      <c r="ER102" s="116">
        <f t="shared" si="116"/>
        <v>58839.050881070551</v>
      </c>
      <c r="ES102" s="116">
        <f t="shared" si="116"/>
        <v>58839.050881070551</v>
      </c>
      <c r="ET102" s="116">
        <f t="shared" si="116"/>
        <v>56756.689893737355</v>
      </c>
      <c r="EU102" s="116">
        <f t="shared" si="116"/>
        <v>56756.689893737355</v>
      </c>
      <c r="EV102" s="116">
        <f t="shared" si="116"/>
        <v>56756.689893737355</v>
      </c>
      <c r="EW102" s="116">
        <f t="shared" si="116"/>
        <v>56756.689893737355</v>
      </c>
      <c r="EX102" s="116">
        <f t="shared" si="116"/>
        <v>56756.689893737355</v>
      </c>
      <c r="EY102" s="116">
        <f t="shared" si="116"/>
        <v>53438.14765926273</v>
      </c>
      <c r="FB102" s="83" t="s">
        <v>224</v>
      </c>
      <c r="FC102" s="114">
        <f t="shared" si="86"/>
        <v>135061.40422462043</v>
      </c>
      <c r="FD102" s="116">
        <f t="shared" si="104"/>
        <v>135061.40422462043</v>
      </c>
      <c r="FE102" s="116">
        <f t="shared" si="104"/>
        <v>117751.337339238</v>
      </c>
      <c r="FF102" s="116">
        <f t="shared" si="104"/>
        <v>117751.337339238</v>
      </c>
      <c r="FG102" s="116">
        <f t="shared" si="104"/>
        <v>117751.337339238</v>
      </c>
      <c r="FH102" s="116">
        <f t="shared" si="104"/>
        <v>117751.337339238</v>
      </c>
      <c r="FI102" s="116">
        <f t="shared" si="104"/>
        <v>117751.337339238</v>
      </c>
      <c r="FJ102" s="116">
        <f t="shared" si="104"/>
        <v>74478.817194833624</v>
      </c>
      <c r="FK102" s="116">
        <f t="shared" si="104"/>
        <v>74478.817194833624</v>
      </c>
      <c r="FL102" s="116">
        <f t="shared" si="104"/>
        <v>74478.817194833624</v>
      </c>
      <c r="FM102" s="116">
        <f t="shared" si="104"/>
        <v>74478.817194833624</v>
      </c>
      <c r="FN102" s="116">
        <f t="shared" si="104"/>
        <v>74478.817194833624</v>
      </c>
      <c r="FO102" s="116">
        <f t="shared" si="104"/>
        <v>65966.725480933907</v>
      </c>
      <c r="FP102" s="116">
        <f t="shared" si="104"/>
        <v>65966.725480933907</v>
      </c>
      <c r="FQ102" s="116">
        <f t="shared" si="104"/>
        <v>65966.725480933907</v>
      </c>
      <c r="FR102" s="116">
        <f t="shared" si="104"/>
        <v>65966.725480933907</v>
      </c>
      <c r="FS102" s="116">
        <f t="shared" ref="FS102:GD110" si="117">$FC102*FS$112</f>
        <v>65966.725480933907</v>
      </c>
      <c r="FT102" s="116">
        <f t="shared" si="117"/>
        <v>64460.543190519602</v>
      </c>
      <c r="FU102" s="116">
        <f t="shared" si="117"/>
        <v>64460.543190519602</v>
      </c>
      <c r="FV102" s="116">
        <f t="shared" si="117"/>
        <v>64460.543190519602</v>
      </c>
      <c r="FW102" s="116">
        <f t="shared" si="117"/>
        <v>64460.543190519602</v>
      </c>
      <c r="FX102" s="116">
        <f t="shared" si="117"/>
        <v>64460.543190519602</v>
      </c>
      <c r="FY102" s="116">
        <f t="shared" si="117"/>
        <v>62374.652777784155</v>
      </c>
      <c r="FZ102" s="116">
        <f t="shared" si="117"/>
        <v>62374.652777784155</v>
      </c>
      <c r="GA102" s="116">
        <f t="shared" si="117"/>
        <v>62374.652777784155</v>
      </c>
      <c r="GB102" s="116">
        <f t="shared" si="117"/>
        <v>62374.652777784155</v>
      </c>
      <c r="GC102" s="116">
        <f t="shared" si="117"/>
        <v>62374.652777784155</v>
      </c>
      <c r="GD102" s="116">
        <f t="shared" si="117"/>
        <v>58943.168930437219</v>
      </c>
      <c r="GH102" s="123" t="s">
        <v>224</v>
      </c>
      <c r="GI102" s="103">
        <f t="shared" si="106"/>
        <v>237763.91789520733</v>
      </c>
      <c r="GJ102" s="103">
        <f t="shared" si="106"/>
        <v>237763.91789520733</v>
      </c>
      <c r="GK102" s="103">
        <f t="shared" si="106"/>
        <v>237763.91789520733</v>
      </c>
      <c r="GL102" s="103">
        <f t="shared" si="106"/>
        <v>237763.91789520733</v>
      </c>
      <c r="GM102" s="103">
        <f t="shared" si="106"/>
        <v>237763.91789520733</v>
      </c>
      <c r="GN102" s="103">
        <f t="shared" si="106"/>
        <v>237763.91789520733</v>
      </c>
      <c r="GO102" s="103">
        <f t="shared" si="106"/>
        <v>237763.91789520733</v>
      </c>
      <c r="GP102" s="103">
        <f t="shared" si="106"/>
        <v>237763.91789520733</v>
      </c>
      <c r="GQ102" s="103">
        <f t="shared" si="106"/>
        <v>237763.91789520733</v>
      </c>
      <c r="GR102" s="103">
        <f t="shared" si="106"/>
        <v>237763.91789520733</v>
      </c>
      <c r="GS102" s="103">
        <f t="shared" si="106"/>
        <v>237763.91789520733</v>
      </c>
      <c r="GT102" s="103">
        <f t="shared" si="106"/>
        <v>237763.91789520733</v>
      </c>
      <c r="GU102" s="103">
        <f t="shared" si="106"/>
        <v>237763.91789520733</v>
      </c>
      <c r="GV102" s="103">
        <f t="shared" si="106"/>
        <v>237763.91789520733</v>
      </c>
      <c r="GW102" s="103">
        <f t="shared" si="106"/>
        <v>237763.91789520733</v>
      </c>
      <c r="GX102" s="103">
        <f t="shared" ref="GX102:HJ110" si="118">$AA102*GX$112</f>
        <v>237763.91789520733</v>
      </c>
      <c r="GY102" s="103">
        <f t="shared" si="118"/>
        <v>237763.91789520733</v>
      </c>
      <c r="GZ102" s="103">
        <f t="shared" si="118"/>
        <v>237763.91789520733</v>
      </c>
      <c r="HA102" s="103">
        <f t="shared" si="118"/>
        <v>237763.91789520733</v>
      </c>
      <c r="HB102" s="103">
        <f t="shared" si="118"/>
        <v>237763.91789520733</v>
      </c>
      <c r="HC102" s="103">
        <f t="shared" si="118"/>
        <v>237763.91789520733</v>
      </c>
      <c r="HD102" s="103">
        <f t="shared" si="118"/>
        <v>237763.91789520733</v>
      </c>
      <c r="HE102" s="103">
        <f t="shared" si="118"/>
        <v>237763.91789520733</v>
      </c>
      <c r="HF102" s="103">
        <f t="shared" si="118"/>
        <v>237763.91789520733</v>
      </c>
      <c r="HG102" s="103">
        <f t="shared" si="118"/>
        <v>237763.91789520733</v>
      </c>
      <c r="HH102" s="103">
        <f t="shared" si="118"/>
        <v>237763.91789520733</v>
      </c>
      <c r="HI102" s="103">
        <f t="shared" si="118"/>
        <v>237763.91789520733</v>
      </c>
      <c r="HJ102" s="103">
        <f t="shared" si="118"/>
        <v>237763.91789520733</v>
      </c>
    </row>
    <row r="103" spans="26:218" x14ac:dyDescent="0.25">
      <c r="Z103" s="83" t="s">
        <v>225</v>
      </c>
      <c r="AA103" s="114">
        <f>'US Grid mix, emissions&amp;prices'!O100</f>
        <v>121038</v>
      </c>
      <c r="AB103" s="116">
        <f t="shared" si="109"/>
        <v>121038</v>
      </c>
      <c r="AC103" s="116">
        <f t="shared" si="115"/>
        <v>106313.19155986774</v>
      </c>
      <c r="AD103" s="116">
        <f t="shared" si="115"/>
        <v>106313.19155986774</v>
      </c>
      <c r="AE103" s="116">
        <f t="shared" si="115"/>
        <v>106313.19155986774</v>
      </c>
      <c r="AF103" s="116">
        <f t="shared" si="115"/>
        <v>106313.19155986774</v>
      </c>
      <c r="AG103" s="116">
        <f t="shared" si="115"/>
        <v>106313.19155986774</v>
      </c>
      <c r="AH103" s="116">
        <f t="shared" si="115"/>
        <v>40194.268370311576</v>
      </c>
      <c r="AI103" s="116">
        <f t="shared" si="115"/>
        <v>40194.268370311576</v>
      </c>
      <c r="AJ103" s="116">
        <f t="shared" si="115"/>
        <v>40194.268370311576</v>
      </c>
      <c r="AK103" s="116">
        <f t="shared" si="115"/>
        <v>40194.268370311576</v>
      </c>
      <c r="AL103" s="116">
        <f t="shared" si="115"/>
        <v>40194.268370311576</v>
      </c>
      <c r="AM103" s="116">
        <f t="shared" si="115"/>
        <v>33783.296090504853</v>
      </c>
      <c r="AN103" s="116">
        <f t="shared" si="115"/>
        <v>33783.296090504853</v>
      </c>
      <c r="AO103" s="116">
        <f t="shared" si="115"/>
        <v>33783.296090504853</v>
      </c>
      <c r="AP103" s="116">
        <f t="shared" si="115"/>
        <v>33783.296090504853</v>
      </c>
      <c r="AQ103" s="116">
        <f t="shared" si="115"/>
        <v>33783.296090504853</v>
      </c>
      <c r="AR103" s="116">
        <f t="shared" si="115"/>
        <v>33783.296090504853</v>
      </c>
      <c r="AS103" s="116">
        <f t="shared" si="115"/>
        <v>33783.296090504853</v>
      </c>
      <c r="AT103" s="116">
        <f t="shared" si="115"/>
        <v>33783.296090504853</v>
      </c>
      <c r="AU103" s="116">
        <f t="shared" si="115"/>
        <v>33783.296090504853</v>
      </c>
      <c r="AV103" s="116">
        <f t="shared" si="115"/>
        <v>33783.296090504853</v>
      </c>
      <c r="AW103" s="116">
        <f t="shared" si="115"/>
        <v>33942.800856960101</v>
      </c>
      <c r="AX103" s="116">
        <f t="shared" si="115"/>
        <v>33942.800856960101</v>
      </c>
      <c r="AY103" s="116">
        <f t="shared" si="115"/>
        <v>33942.800856960101</v>
      </c>
      <c r="AZ103" s="116">
        <f t="shared" si="115"/>
        <v>33942.800856960101</v>
      </c>
      <c r="BA103" s="116">
        <f t="shared" si="115"/>
        <v>33942.800856960101</v>
      </c>
      <c r="BB103" s="116">
        <f t="shared" si="115"/>
        <v>34143.347785544196</v>
      </c>
      <c r="BM103" s="83" t="s">
        <v>225</v>
      </c>
      <c r="BN103" s="114">
        <f t="shared" si="78"/>
        <v>121038</v>
      </c>
      <c r="BO103" s="116">
        <f t="shared" si="112"/>
        <v>121038</v>
      </c>
      <c r="BP103" s="116">
        <f t="shared" si="112"/>
        <v>95410.900856189459</v>
      </c>
      <c r="BQ103" s="116">
        <f t="shared" si="112"/>
        <v>95410.900856189459</v>
      </c>
      <c r="BR103" s="116">
        <f t="shared" si="112"/>
        <v>95410.900856189459</v>
      </c>
      <c r="BS103" s="116">
        <f t="shared" si="112"/>
        <v>95410.900856189459</v>
      </c>
      <c r="BT103" s="116">
        <f t="shared" si="112"/>
        <v>95410.900856189459</v>
      </c>
      <c r="BU103" s="116">
        <f t="shared" si="112"/>
        <v>5389.5821086458955</v>
      </c>
      <c r="BV103" s="116">
        <f t="shared" si="112"/>
        <v>5389.5821086458955</v>
      </c>
      <c r="BW103" s="116">
        <f t="shared" si="112"/>
        <v>5389.5821086458955</v>
      </c>
      <c r="BX103" s="116">
        <f t="shared" si="112"/>
        <v>5389.5821086458955</v>
      </c>
      <c r="BY103" s="116">
        <f t="shared" si="112"/>
        <v>5389.5821086458955</v>
      </c>
      <c r="BZ103" s="116">
        <f t="shared" si="112"/>
        <v>5620.9106588266122</v>
      </c>
      <c r="CA103" s="116">
        <f t="shared" si="112"/>
        <v>5620.9106588266122</v>
      </c>
      <c r="CB103" s="116">
        <f t="shared" si="112"/>
        <v>5620.9106588266122</v>
      </c>
      <c r="CC103" s="116">
        <f t="shared" si="112"/>
        <v>5620.9106588266122</v>
      </c>
      <c r="CD103" s="116">
        <f t="shared" si="112"/>
        <v>5620.9106588266122</v>
      </c>
      <c r="CE103" s="116">
        <f t="shared" si="110"/>
        <v>5699.2638774362104</v>
      </c>
      <c r="CF103" s="116">
        <f t="shared" si="110"/>
        <v>5699.2638774362104</v>
      </c>
      <c r="CG103" s="116">
        <f t="shared" si="110"/>
        <v>5699.2638774362104</v>
      </c>
      <c r="CH103" s="116">
        <f t="shared" si="110"/>
        <v>5699.2638774362104</v>
      </c>
      <c r="CI103" s="116">
        <f t="shared" si="110"/>
        <v>5699.2638774362104</v>
      </c>
      <c r="CJ103" s="116">
        <f t="shared" si="110"/>
        <v>5899.8108060202994</v>
      </c>
      <c r="CK103" s="116">
        <f t="shared" si="110"/>
        <v>5899.8108060202994</v>
      </c>
      <c r="CL103" s="116">
        <f t="shared" si="110"/>
        <v>5899.8108060202994</v>
      </c>
      <c r="CM103" s="116">
        <f t="shared" si="110"/>
        <v>5899.8108060202994</v>
      </c>
      <c r="CN103" s="116">
        <f t="shared" si="110"/>
        <v>5899.8108060202994</v>
      </c>
      <c r="CO103" s="116">
        <f t="shared" si="110"/>
        <v>6153.5259900894716</v>
      </c>
      <c r="CR103" s="83" t="s">
        <v>225</v>
      </c>
      <c r="CS103" s="114">
        <f t="shared" si="81"/>
        <v>121038</v>
      </c>
      <c r="CT103" s="116">
        <f t="shared" si="113"/>
        <v>5667.5494794275637</v>
      </c>
      <c r="CU103" s="116">
        <f t="shared" si="113"/>
        <v>5667.5494794275637</v>
      </c>
      <c r="CV103" s="116">
        <f t="shared" si="113"/>
        <v>5667.5494794275637</v>
      </c>
      <c r="CW103" s="116">
        <f t="shared" si="113"/>
        <v>5667.5494794275637</v>
      </c>
      <c r="CX103" s="116">
        <f t="shared" si="113"/>
        <v>5667.5494794275637</v>
      </c>
      <c r="CY103" s="116">
        <f t="shared" si="113"/>
        <v>5667.5494794275637</v>
      </c>
      <c r="CZ103" s="116">
        <f t="shared" si="113"/>
        <v>5667.5494794275637</v>
      </c>
      <c r="DA103" s="116">
        <f t="shared" si="113"/>
        <v>5667.5494794275637</v>
      </c>
      <c r="DB103" s="116">
        <f t="shared" si="113"/>
        <v>5667.5494794275637</v>
      </c>
      <c r="DC103" s="116">
        <f t="shared" si="113"/>
        <v>5667.5494794275637</v>
      </c>
      <c r="DD103" s="116">
        <f t="shared" si="113"/>
        <v>5667.5494794275637</v>
      </c>
      <c r="DE103" s="116">
        <f t="shared" si="113"/>
        <v>5829.8525751188727</v>
      </c>
      <c r="DF103" s="116">
        <f t="shared" si="113"/>
        <v>5829.8525751188727</v>
      </c>
      <c r="DG103" s="116">
        <f t="shared" si="113"/>
        <v>5829.8525751188727</v>
      </c>
      <c r="DH103" s="116">
        <f t="shared" si="113"/>
        <v>5829.8525751188727</v>
      </c>
      <c r="DI103" s="116">
        <f t="shared" si="113"/>
        <v>5829.8525751188727</v>
      </c>
      <c r="DJ103" s="116">
        <f t="shared" si="111"/>
        <v>6133.0049090250541</v>
      </c>
      <c r="DK103" s="116">
        <f t="shared" si="111"/>
        <v>6133.0049090250541</v>
      </c>
      <c r="DL103" s="116">
        <f t="shared" si="111"/>
        <v>6133.0049090250541</v>
      </c>
      <c r="DM103" s="116">
        <f t="shared" si="111"/>
        <v>6133.0049090250541</v>
      </c>
      <c r="DN103" s="116">
        <f t="shared" si="111"/>
        <v>6133.0049090250541</v>
      </c>
      <c r="DO103" s="116">
        <f t="shared" si="111"/>
        <v>6333.5518376091431</v>
      </c>
      <c r="DP103" s="116">
        <f t="shared" si="111"/>
        <v>6333.5518376091431</v>
      </c>
      <c r="DQ103" s="116">
        <f t="shared" si="111"/>
        <v>6333.5518376091431</v>
      </c>
      <c r="DR103" s="116">
        <f t="shared" si="111"/>
        <v>6333.5518376091431</v>
      </c>
      <c r="DS103" s="116">
        <f t="shared" si="111"/>
        <v>6333.5518376091431</v>
      </c>
      <c r="DT103" s="116">
        <f t="shared" si="111"/>
        <v>6588.1997980903352</v>
      </c>
      <c r="DW103" s="83" t="s">
        <v>225</v>
      </c>
      <c r="DX103" s="114">
        <f t="shared" si="84"/>
        <v>159912.81264917113</v>
      </c>
      <c r="DY103" s="116">
        <f t="shared" ref="DY103:EN110" si="119">$DX103*DY$112</f>
        <v>159912.81264917113</v>
      </c>
      <c r="DZ103" s="116">
        <f t="shared" si="119"/>
        <v>139904.22988878351</v>
      </c>
      <c r="EA103" s="116">
        <f t="shared" si="119"/>
        <v>139904.22988878351</v>
      </c>
      <c r="EB103" s="116">
        <f t="shared" si="119"/>
        <v>139904.22988878351</v>
      </c>
      <c r="EC103" s="116">
        <f t="shared" si="119"/>
        <v>139904.22988878351</v>
      </c>
      <c r="ED103" s="116">
        <f t="shared" si="119"/>
        <v>139904.22988878351</v>
      </c>
      <c r="EE103" s="116">
        <f t="shared" si="119"/>
        <v>87043.038193492946</v>
      </c>
      <c r="EF103" s="116">
        <f t="shared" si="119"/>
        <v>87043.038193492946</v>
      </c>
      <c r="EG103" s="116">
        <f t="shared" si="119"/>
        <v>87043.038193492946</v>
      </c>
      <c r="EH103" s="116">
        <f t="shared" si="119"/>
        <v>87043.038193492946</v>
      </c>
      <c r="EI103" s="116">
        <f t="shared" si="119"/>
        <v>87043.038193492946</v>
      </c>
      <c r="EJ103" s="116">
        <f t="shared" si="119"/>
        <v>77503.471755778097</v>
      </c>
      <c r="EK103" s="116">
        <f t="shared" si="119"/>
        <v>77503.471755778097</v>
      </c>
      <c r="EL103" s="116">
        <f t="shared" si="119"/>
        <v>77503.471755778097</v>
      </c>
      <c r="EM103" s="116">
        <f t="shared" si="119"/>
        <v>77503.471755778097</v>
      </c>
      <c r="EN103" s="116">
        <f t="shared" si="119"/>
        <v>77503.471755778097</v>
      </c>
      <c r="EO103" s="116">
        <f t="shared" si="116"/>
        <v>75309.1568997961</v>
      </c>
      <c r="EP103" s="116">
        <f t="shared" si="116"/>
        <v>75309.1568997961</v>
      </c>
      <c r="EQ103" s="116">
        <f t="shared" si="116"/>
        <v>75309.1568997961</v>
      </c>
      <c r="ER103" s="116">
        <f t="shared" si="116"/>
        <v>75309.1568997961</v>
      </c>
      <c r="ES103" s="116">
        <f t="shared" si="116"/>
        <v>75309.1568997961</v>
      </c>
      <c r="ET103" s="116">
        <f t="shared" si="116"/>
        <v>72643.905710852443</v>
      </c>
      <c r="EU103" s="116">
        <f t="shared" si="116"/>
        <v>72643.905710852443</v>
      </c>
      <c r="EV103" s="116">
        <f t="shared" si="116"/>
        <v>72643.905710852443</v>
      </c>
      <c r="EW103" s="116">
        <f t="shared" si="116"/>
        <v>72643.905710852443</v>
      </c>
      <c r="EX103" s="116">
        <f t="shared" si="116"/>
        <v>72643.905710852443</v>
      </c>
      <c r="EY103" s="116">
        <f t="shared" si="116"/>
        <v>68396.44396440452</v>
      </c>
      <c r="FB103" s="83" t="s">
        <v>225</v>
      </c>
      <c r="FC103" s="114">
        <f t="shared" si="86"/>
        <v>172867.51450865107</v>
      </c>
      <c r="FD103" s="116">
        <f t="shared" ref="FD103:FS110" si="120">$FC103*FD$112</f>
        <v>172867.51450865107</v>
      </c>
      <c r="FE103" s="116">
        <f t="shared" si="120"/>
        <v>150712.04932869488</v>
      </c>
      <c r="FF103" s="116">
        <f t="shared" si="120"/>
        <v>150712.04932869488</v>
      </c>
      <c r="FG103" s="116">
        <f t="shared" si="120"/>
        <v>150712.04932869488</v>
      </c>
      <c r="FH103" s="116">
        <f t="shared" si="120"/>
        <v>150712.04932869488</v>
      </c>
      <c r="FI103" s="116">
        <f t="shared" si="120"/>
        <v>150712.04932869488</v>
      </c>
      <c r="FJ103" s="116">
        <f t="shared" si="120"/>
        <v>95326.774409976744</v>
      </c>
      <c r="FK103" s="116">
        <f t="shared" si="120"/>
        <v>95326.774409976744</v>
      </c>
      <c r="FL103" s="116">
        <f t="shared" si="120"/>
        <v>95326.774409976744</v>
      </c>
      <c r="FM103" s="116">
        <f t="shared" si="120"/>
        <v>95326.774409976744</v>
      </c>
      <c r="FN103" s="116">
        <f t="shared" si="120"/>
        <v>95326.774409976744</v>
      </c>
      <c r="FO103" s="116">
        <f t="shared" si="120"/>
        <v>84431.99550330748</v>
      </c>
      <c r="FP103" s="116">
        <f t="shared" si="120"/>
        <v>84431.99550330748</v>
      </c>
      <c r="FQ103" s="116">
        <f t="shared" si="120"/>
        <v>84431.99550330748</v>
      </c>
      <c r="FR103" s="116">
        <f t="shared" si="120"/>
        <v>84431.99550330748</v>
      </c>
      <c r="FS103" s="116">
        <f t="shared" si="120"/>
        <v>84431.99550330748</v>
      </c>
      <c r="FT103" s="116">
        <f t="shared" si="117"/>
        <v>82504.205766219835</v>
      </c>
      <c r="FU103" s="116">
        <f t="shared" si="117"/>
        <v>82504.205766219835</v>
      </c>
      <c r="FV103" s="116">
        <f t="shared" si="117"/>
        <v>82504.205766219835</v>
      </c>
      <c r="FW103" s="116">
        <f t="shared" si="117"/>
        <v>82504.205766219835</v>
      </c>
      <c r="FX103" s="116">
        <f t="shared" si="117"/>
        <v>82504.205766219835</v>
      </c>
      <c r="FY103" s="116">
        <f t="shared" si="117"/>
        <v>79834.437202379675</v>
      </c>
      <c r="FZ103" s="116">
        <f t="shared" si="117"/>
        <v>79834.437202379675</v>
      </c>
      <c r="GA103" s="116">
        <f t="shared" si="117"/>
        <v>79834.437202379675</v>
      </c>
      <c r="GB103" s="116">
        <f t="shared" si="117"/>
        <v>79834.437202379675</v>
      </c>
      <c r="GC103" s="116">
        <f t="shared" si="117"/>
        <v>79834.437202379675</v>
      </c>
      <c r="GD103" s="116">
        <f t="shared" si="117"/>
        <v>75442.419459243276</v>
      </c>
      <c r="GH103" s="123" t="s">
        <v>225</v>
      </c>
      <c r="GI103" s="103">
        <f t="shared" ref="GI103:GX110" si="121">$AA103*GI$112</f>
        <v>304318.30442120513</v>
      </c>
      <c r="GJ103" s="103">
        <f t="shared" si="121"/>
        <v>304318.30442120513</v>
      </c>
      <c r="GK103" s="103">
        <f t="shared" si="121"/>
        <v>304318.30442120513</v>
      </c>
      <c r="GL103" s="103">
        <f t="shared" si="121"/>
        <v>304318.30442120513</v>
      </c>
      <c r="GM103" s="103">
        <f t="shared" si="121"/>
        <v>304318.30442120513</v>
      </c>
      <c r="GN103" s="103">
        <f t="shared" si="121"/>
        <v>304318.30442120513</v>
      </c>
      <c r="GO103" s="103">
        <f t="shared" si="121"/>
        <v>304318.30442120513</v>
      </c>
      <c r="GP103" s="103">
        <f t="shared" si="121"/>
        <v>304318.30442120513</v>
      </c>
      <c r="GQ103" s="103">
        <f t="shared" si="121"/>
        <v>304318.30442120513</v>
      </c>
      <c r="GR103" s="103">
        <f t="shared" si="121"/>
        <v>304318.30442120513</v>
      </c>
      <c r="GS103" s="103">
        <f t="shared" si="121"/>
        <v>304318.30442120513</v>
      </c>
      <c r="GT103" s="103">
        <f t="shared" si="121"/>
        <v>304318.30442120513</v>
      </c>
      <c r="GU103" s="103">
        <f t="shared" si="121"/>
        <v>304318.30442120513</v>
      </c>
      <c r="GV103" s="103">
        <f t="shared" si="121"/>
        <v>304318.30442120513</v>
      </c>
      <c r="GW103" s="103">
        <f t="shared" si="121"/>
        <v>304318.30442120513</v>
      </c>
      <c r="GX103" s="103">
        <f t="shared" si="121"/>
        <v>304318.30442120513</v>
      </c>
      <c r="GY103" s="103">
        <f t="shared" si="118"/>
        <v>304318.30442120513</v>
      </c>
      <c r="GZ103" s="103">
        <f t="shared" si="118"/>
        <v>304318.30442120513</v>
      </c>
      <c r="HA103" s="103">
        <f t="shared" si="118"/>
        <v>304318.30442120513</v>
      </c>
      <c r="HB103" s="103">
        <f t="shared" si="118"/>
        <v>304318.30442120513</v>
      </c>
      <c r="HC103" s="103">
        <f t="shared" si="118"/>
        <v>304318.30442120513</v>
      </c>
      <c r="HD103" s="103">
        <f t="shared" si="118"/>
        <v>304318.30442120513</v>
      </c>
      <c r="HE103" s="103">
        <f t="shared" si="118"/>
        <v>304318.30442120513</v>
      </c>
      <c r="HF103" s="103">
        <f t="shared" si="118"/>
        <v>304318.30442120513</v>
      </c>
      <c r="HG103" s="103">
        <f t="shared" si="118"/>
        <v>304318.30442120513</v>
      </c>
      <c r="HH103" s="103">
        <f t="shared" si="118"/>
        <v>304318.30442120513</v>
      </c>
      <c r="HI103" s="103">
        <f t="shared" si="118"/>
        <v>304318.30442120513</v>
      </c>
      <c r="HJ103" s="103">
        <f t="shared" si="118"/>
        <v>304318.30442120513</v>
      </c>
    </row>
    <row r="104" spans="26:218" x14ac:dyDescent="0.25">
      <c r="Z104" s="83" t="s">
        <v>226</v>
      </c>
      <c r="AA104" s="114">
        <f>'US Grid mix, emissions&amp;prices'!O101</f>
        <v>212402</v>
      </c>
      <c r="AB104" s="116">
        <f t="shared" si="109"/>
        <v>212402</v>
      </c>
      <c r="AC104" s="116">
        <f t="shared" si="115"/>
        <v>186562.35656322006</v>
      </c>
      <c r="AD104" s="116">
        <f t="shared" si="115"/>
        <v>186562.35656322006</v>
      </c>
      <c r="AE104" s="116">
        <f t="shared" si="115"/>
        <v>186562.35656322006</v>
      </c>
      <c r="AF104" s="116">
        <f t="shared" si="115"/>
        <v>186562.35656322006</v>
      </c>
      <c r="AG104" s="116">
        <f t="shared" si="115"/>
        <v>186562.35656322006</v>
      </c>
      <c r="AH104" s="116">
        <f t="shared" si="115"/>
        <v>70534.402339686043</v>
      </c>
      <c r="AI104" s="116">
        <f t="shared" si="115"/>
        <v>70534.402339686043</v>
      </c>
      <c r="AJ104" s="116">
        <f t="shared" si="115"/>
        <v>70534.402339686043</v>
      </c>
      <c r="AK104" s="116">
        <f t="shared" si="115"/>
        <v>70534.402339686043</v>
      </c>
      <c r="AL104" s="116">
        <f t="shared" si="115"/>
        <v>70534.402339686043</v>
      </c>
      <c r="AM104" s="116">
        <f t="shared" si="115"/>
        <v>59284.188901133624</v>
      </c>
      <c r="AN104" s="116">
        <f t="shared" si="115"/>
        <v>59284.188901133624</v>
      </c>
      <c r="AO104" s="116">
        <f t="shared" si="115"/>
        <v>59284.188901133624</v>
      </c>
      <c r="AP104" s="116">
        <f t="shared" si="115"/>
        <v>59284.188901133624</v>
      </c>
      <c r="AQ104" s="116">
        <f t="shared" si="115"/>
        <v>59284.188901133624</v>
      </c>
      <c r="AR104" s="116">
        <f t="shared" si="115"/>
        <v>59284.188901133624</v>
      </c>
      <c r="AS104" s="116">
        <f t="shared" si="115"/>
        <v>59284.188901133624</v>
      </c>
      <c r="AT104" s="116">
        <f t="shared" si="115"/>
        <v>59284.188901133624</v>
      </c>
      <c r="AU104" s="116">
        <f t="shared" si="115"/>
        <v>59284.188901133624</v>
      </c>
      <c r="AV104" s="116">
        <f t="shared" si="115"/>
        <v>59284.188901133624</v>
      </c>
      <c r="AW104" s="116">
        <f t="shared" si="115"/>
        <v>59564.093818635803</v>
      </c>
      <c r="AX104" s="116">
        <f t="shared" si="115"/>
        <v>59564.093818635803</v>
      </c>
      <c r="AY104" s="116">
        <f t="shared" si="115"/>
        <v>59564.093818635803</v>
      </c>
      <c r="AZ104" s="116">
        <f t="shared" si="115"/>
        <v>59564.093818635803</v>
      </c>
      <c r="BA104" s="116">
        <f t="shared" si="115"/>
        <v>59564.093818635803</v>
      </c>
      <c r="BB104" s="116">
        <f t="shared" si="115"/>
        <v>59916.021054091761</v>
      </c>
      <c r="BM104" s="83" t="s">
        <v>226</v>
      </c>
      <c r="BN104" s="114">
        <f t="shared" si="78"/>
        <v>212402</v>
      </c>
      <c r="BO104" s="116">
        <f t="shared" si="112"/>
        <v>212402</v>
      </c>
      <c r="BP104" s="116">
        <f t="shared" si="112"/>
        <v>167430.60992131688</v>
      </c>
      <c r="BQ104" s="116">
        <f t="shared" si="112"/>
        <v>167430.60992131688</v>
      </c>
      <c r="BR104" s="116">
        <f t="shared" si="112"/>
        <v>167430.60992131688</v>
      </c>
      <c r="BS104" s="116">
        <f t="shared" si="112"/>
        <v>167430.60992131688</v>
      </c>
      <c r="BT104" s="116">
        <f t="shared" si="112"/>
        <v>167430.60992131688</v>
      </c>
      <c r="BU104" s="116">
        <f t="shared" si="112"/>
        <v>9457.8398440209312</v>
      </c>
      <c r="BV104" s="116">
        <f t="shared" si="112"/>
        <v>9457.8398440209312</v>
      </c>
      <c r="BW104" s="116">
        <f t="shared" si="112"/>
        <v>9457.8398440209312</v>
      </c>
      <c r="BX104" s="116">
        <f t="shared" si="112"/>
        <v>9457.8398440209312</v>
      </c>
      <c r="BY104" s="116">
        <f t="shared" si="112"/>
        <v>9457.8398440209312</v>
      </c>
      <c r="BZ104" s="116">
        <f t="shared" si="112"/>
        <v>9863.7838179422179</v>
      </c>
      <c r="CA104" s="116">
        <f t="shared" si="112"/>
        <v>9863.7838179422179</v>
      </c>
      <c r="CB104" s="116">
        <f t="shared" si="112"/>
        <v>9863.7838179422179</v>
      </c>
      <c r="CC104" s="116">
        <f t="shared" si="112"/>
        <v>9863.7838179422179</v>
      </c>
      <c r="CD104" s="116">
        <f t="shared" si="112"/>
        <v>9863.7838179422179</v>
      </c>
      <c r="CE104" s="116">
        <f t="shared" si="110"/>
        <v>10001.280970399428</v>
      </c>
      <c r="CF104" s="116">
        <f t="shared" si="110"/>
        <v>10001.280970399428</v>
      </c>
      <c r="CG104" s="116">
        <f t="shared" si="110"/>
        <v>10001.280970399428</v>
      </c>
      <c r="CH104" s="116">
        <f t="shared" si="110"/>
        <v>10001.280970399428</v>
      </c>
      <c r="CI104" s="116">
        <f t="shared" si="110"/>
        <v>10001.280970399428</v>
      </c>
      <c r="CJ104" s="116">
        <f t="shared" si="110"/>
        <v>10353.208205855381</v>
      </c>
      <c r="CK104" s="116">
        <f t="shared" si="110"/>
        <v>10353.208205855381</v>
      </c>
      <c r="CL104" s="116">
        <f t="shared" si="110"/>
        <v>10353.208205855381</v>
      </c>
      <c r="CM104" s="116">
        <f t="shared" si="110"/>
        <v>10353.208205855381</v>
      </c>
      <c r="CN104" s="116">
        <f t="shared" si="110"/>
        <v>10353.208205855381</v>
      </c>
      <c r="CO104" s="116">
        <f t="shared" si="110"/>
        <v>10798.437080478725</v>
      </c>
      <c r="CR104" s="83" t="s">
        <v>226</v>
      </c>
      <c r="CS104" s="114">
        <f t="shared" si="81"/>
        <v>212402</v>
      </c>
      <c r="CT104" s="116">
        <f t="shared" si="113"/>
        <v>9945.6273610715089</v>
      </c>
      <c r="CU104" s="116">
        <f t="shared" si="113"/>
        <v>9945.6273610715089</v>
      </c>
      <c r="CV104" s="116">
        <f t="shared" si="113"/>
        <v>9945.6273610715089</v>
      </c>
      <c r="CW104" s="116">
        <f t="shared" si="113"/>
        <v>9945.6273610715089</v>
      </c>
      <c r="CX104" s="116">
        <f t="shared" si="113"/>
        <v>9945.6273610715089</v>
      </c>
      <c r="CY104" s="116">
        <f t="shared" si="113"/>
        <v>9945.6273610715089</v>
      </c>
      <c r="CZ104" s="116">
        <f t="shared" si="113"/>
        <v>9945.6273610715089</v>
      </c>
      <c r="DA104" s="116">
        <f t="shared" si="113"/>
        <v>9945.6273610715089</v>
      </c>
      <c r="DB104" s="116">
        <f t="shared" si="113"/>
        <v>9945.6273610715089</v>
      </c>
      <c r="DC104" s="116">
        <f t="shared" si="113"/>
        <v>9945.6273610715089</v>
      </c>
      <c r="DD104" s="116">
        <f t="shared" si="113"/>
        <v>9945.6273610715089</v>
      </c>
      <c r="DE104" s="116">
        <f t="shared" si="113"/>
        <v>10230.442891161443</v>
      </c>
      <c r="DF104" s="116">
        <f t="shared" si="113"/>
        <v>10230.442891161443</v>
      </c>
      <c r="DG104" s="116">
        <f t="shared" si="113"/>
        <v>10230.442891161443</v>
      </c>
      <c r="DH104" s="116">
        <f t="shared" si="113"/>
        <v>10230.442891161443</v>
      </c>
      <c r="DI104" s="116">
        <f t="shared" si="113"/>
        <v>10230.442891161443</v>
      </c>
      <c r="DJ104" s="116">
        <f t="shared" si="111"/>
        <v>10762.425921501839</v>
      </c>
      <c r="DK104" s="116">
        <f t="shared" si="111"/>
        <v>10762.425921501839</v>
      </c>
      <c r="DL104" s="116">
        <f t="shared" si="111"/>
        <v>10762.425921501839</v>
      </c>
      <c r="DM104" s="116">
        <f t="shared" si="111"/>
        <v>10762.425921501839</v>
      </c>
      <c r="DN104" s="116">
        <f t="shared" si="111"/>
        <v>10762.425921501839</v>
      </c>
      <c r="DO104" s="116">
        <f t="shared" si="111"/>
        <v>11114.353156957792</v>
      </c>
      <c r="DP104" s="116">
        <f t="shared" si="111"/>
        <v>11114.353156957792</v>
      </c>
      <c r="DQ104" s="116">
        <f t="shared" si="111"/>
        <v>11114.353156957792</v>
      </c>
      <c r="DR104" s="116">
        <f t="shared" si="111"/>
        <v>11114.353156957792</v>
      </c>
      <c r="DS104" s="116">
        <f t="shared" si="111"/>
        <v>11114.353156957792</v>
      </c>
      <c r="DT104" s="116">
        <f t="shared" si="111"/>
        <v>11561.218902443725</v>
      </c>
      <c r="DW104" s="83" t="s">
        <v>226</v>
      </c>
      <c r="DX104" s="114">
        <f t="shared" si="84"/>
        <v>280620.97219310672</v>
      </c>
      <c r="DY104" s="116">
        <f t="shared" si="119"/>
        <v>280620.97219310672</v>
      </c>
      <c r="DZ104" s="116">
        <f t="shared" si="119"/>
        <v>245509.16436852395</v>
      </c>
      <c r="EA104" s="116">
        <f t="shared" si="119"/>
        <v>245509.16436852395</v>
      </c>
      <c r="EB104" s="116">
        <f t="shared" si="119"/>
        <v>245509.16436852395</v>
      </c>
      <c r="EC104" s="116">
        <f t="shared" si="119"/>
        <v>245509.16436852395</v>
      </c>
      <c r="ED104" s="116">
        <f t="shared" si="119"/>
        <v>245509.16436852395</v>
      </c>
      <c r="EE104" s="116">
        <f t="shared" si="119"/>
        <v>152746.37220025357</v>
      </c>
      <c r="EF104" s="116">
        <f t="shared" si="119"/>
        <v>152746.37220025357</v>
      </c>
      <c r="EG104" s="116">
        <f t="shared" si="119"/>
        <v>152746.37220025357</v>
      </c>
      <c r="EH104" s="116">
        <f t="shared" si="119"/>
        <v>152746.37220025357</v>
      </c>
      <c r="EI104" s="116">
        <f t="shared" si="119"/>
        <v>152746.37220025357</v>
      </c>
      <c r="EJ104" s="116">
        <f t="shared" si="119"/>
        <v>136005.98496233232</v>
      </c>
      <c r="EK104" s="116">
        <f t="shared" si="119"/>
        <v>136005.98496233232</v>
      </c>
      <c r="EL104" s="116">
        <f t="shared" si="119"/>
        <v>136005.98496233232</v>
      </c>
      <c r="EM104" s="116">
        <f t="shared" si="119"/>
        <v>136005.98496233232</v>
      </c>
      <c r="EN104" s="116">
        <f t="shared" si="119"/>
        <v>136005.98496233232</v>
      </c>
      <c r="EO104" s="116">
        <f t="shared" si="116"/>
        <v>132155.31935285195</v>
      </c>
      <c r="EP104" s="116">
        <f t="shared" si="116"/>
        <v>132155.31935285195</v>
      </c>
      <c r="EQ104" s="116">
        <f t="shared" si="116"/>
        <v>132155.31935285195</v>
      </c>
      <c r="ER104" s="116">
        <f t="shared" si="116"/>
        <v>132155.31935285195</v>
      </c>
      <c r="ES104" s="116">
        <f t="shared" si="116"/>
        <v>132155.31935285195</v>
      </c>
      <c r="ET104" s="116">
        <f t="shared" si="116"/>
        <v>127478.23708914954</v>
      </c>
      <c r="EU104" s="116">
        <f t="shared" si="116"/>
        <v>127478.23708914954</v>
      </c>
      <c r="EV104" s="116">
        <f t="shared" si="116"/>
        <v>127478.23708914954</v>
      </c>
      <c r="EW104" s="116">
        <f t="shared" si="116"/>
        <v>127478.23708914954</v>
      </c>
      <c r="EX104" s="116">
        <f t="shared" si="116"/>
        <v>127478.23708914954</v>
      </c>
      <c r="EY104" s="116">
        <f t="shared" si="116"/>
        <v>120024.63268500347</v>
      </c>
      <c r="FB104" s="83" t="s">
        <v>226</v>
      </c>
      <c r="FC104" s="114">
        <f t="shared" si="86"/>
        <v>303354.36653502629</v>
      </c>
      <c r="FD104" s="116">
        <f t="shared" si="120"/>
        <v>303354.36653502629</v>
      </c>
      <c r="FE104" s="116">
        <f t="shared" si="120"/>
        <v>264475.12931074086</v>
      </c>
      <c r="FF104" s="116">
        <f t="shared" si="120"/>
        <v>264475.12931074086</v>
      </c>
      <c r="FG104" s="116">
        <f t="shared" si="120"/>
        <v>264475.12931074086</v>
      </c>
      <c r="FH104" s="116">
        <f t="shared" si="120"/>
        <v>264475.12931074086</v>
      </c>
      <c r="FI104" s="116">
        <f t="shared" si="120"/>
        <v>264475.12931074086</v>
      </c>
      <c r="FJ104" s="116">
        <f t="shared" si="120"/>
        <v>167282.98169358287</v>
      </c>
      <c r="FK104" s="116">
        <f t="shared" si="120"/>
        <v>167282.98169358287</v>
      </c>
      <c r="FL104" s="116">
        <f t="shared" si="120"/>
        <v>167282.98169358287</v>
      </c>
      <c r="FM104" s="116">
        <f t="shared" si="120"/>
        <v>167282.98169358287</v>
      </c>
      <c r="FN104" s="116">
        <f t="shared" si="120"/>
        <v>167282.98169358287</v>
      </c>
      <c r="FO104" s="116">
        <f t="shared" si="120"/>
        <v>148164.41703344006</v>
      </c>
      <c r="FP104" s="116">
        <f t="shared" si="120"/>
        <v>148164.41703344006</v>
      </c>
      <c r="FQ104" s="116">
        <f t="shared" si="120"/>
        <v>148164.41703344006</v>
      </c>
      <c r="FR104" s="116">
        <f t="shared" si="120"/>
        <v>148164.41703344006</v>
      </c>
      <c r="FS104" s="116">
        <f t="shared" si="120"/>
        <v>148164.41703344006</v>
      </c>
      <c r="FT104" s="116">
        <f t="shared" si="117"/>
        <v>144781.45965032987</v>
      </c>
      <c r="FU104" s="116">
        <f t="shared" si="117"/>
        <v>144781.45965032987</v>
      </c>
      <c r="FV104" s="116">
        <f t="shared" si="117"/>
        <v>144781.45965032987</v>
      </c>
      <c r="FW104" s="116">
        <f t="shared" si="117"/>
        <v>144781.45965032987</v>
      </c>
      <c r="FX104" s="116">
        <f t="shared" si="117"/>
        <v>144781.45965032987</v>
      </c>
      <c r="FY104" s="116">
        <f t="shared" si="117"/>
        <v>140096.45012855344</v>
      </c>
      <c r="FZ104" s="116">
        <f t="shared" si="117"/>
        <v>140096.45012855344</v>
      </c>
      <c r="GA104" s="116">
        <f t="shared" si="117"/>
        <v>140096.45012855344</v>
      </c>
      <c r="GB104" s="116">
        <f t="shared" si="117"/>
        <v>140096.45012855344</v>
      </c>
      <c r="GC104" s="116">
        <f t="shared" si="117"/>
        <v>140096.45012855344</v>
      </c>
      <c r="GD104" s="116">
        <f t="shared" si="117"/>
        <v>132389.17346603706</v>
      </c>
      <c r="GH104" s="123" t="s">
        <v>226</v>
      </c>
      <c r="GI104" s="103">
        <f t="shared" si="121"/>
        <v>534029.11891862727</v>
      </c>
      <c r="GJ104" s="103">
        <f t="shared" si="121"/>
        <v>534029.11891862727</v>
      </c>
      <c r="GK104" s="103">
        <f t="shared" si="121"/>
        <v>534029.11891862727</v>
      </c>
      <c r="GL104" s="103">
        <f t="shared" si="121"/>
        <v>534029.11891862727</v>
      </c>
      <c r="GM104" s="103">
        <f t="shared" si="121"/>
        <v>534029.11891862727</v>
      </c>
      <c r="GN104" s="103">
        <f t="shared" si="121"/>
        <v>534029.11891862727</v>
      </c>
      <c r="GO104" s="103">
        <f t="shared" si="121"/>
        <v>534029.11891862727</v>
      </c>
      <c r="GP104" s="103">
        <f t="shared" si="121"/>
        <v>534029.11891862727</v>
      </c>
      <c r="GQ104" s="103">
        <f t="shared" si="121"/>
        <v>534029.11891862727</v>
      </c>
      <c r="GR104" s="103">
        <f t="shared" si="121"/>
        <v>534029.11891862727</v>
      </c>
      <c r="GS104" s="103">
        <f t="shared" si="121"/>
        <v>534029.11891862727</v>
      </c>
      <c r="GT104" s="103">
        <f t="shared" si="121"/>
        <v>534029.11891862727</v>
      </c>
      <c r="GU104" s="103">
        <f t="shared" si="121"/>
        <v>534029.11891862727</v>
      </c>
      <c r="GV104" s="103">
        <f t="shared" si="121"/>
        <v>534029.11891862727</v>
      </c>
      <c r="GW104" s="103">
        <f t="shared" si="121"/>
        <v>534029.11891862727</v>
      </c>
      <c r="GX104" s="103">
        <f t="shared" si="121"/>
        <v>534029.11891862727</v>
      </c>
      <c r="GY104" s="103">
        <f t="shared" si="118"/>
        <v>534029.11891862727</v>
      </c>
      <c r="GZ104" s="103">
        <f t="shared" si="118"/>
        <v>534029.11891862727</v>
      </c>
      <c r="HA104" s="103">
        <f t="shared" si="118"/>
        <v>534029.11891862727</v>
      </c>
      <c r="HB104" s="103">
        <f t="shared" si="118"/>
        <v>534029.11891862727</v>
      </c>
      <c r="HC104" s="103">
        <f t="shared" si="118"/>
        <v>534029.11891862727</v>
      </c>
      <c r="HD104" s="103">
        <f t="shared" si="118"/>
        <v>534029.11891862727</v>
      </c>
      <c r="HE104" s="103">
        <f t="shared" si="118"/>
        <v>534029.11891862727</v>
      </c>
      <c r="HF104" s="103">
        <f t="shared" si="118"/>
        <v>534029.11891862727</v>
      </c>
      <c r="HG104" s="103">
        <f t="shared" si="118"/>
        <v>534029.11891862727</v>
      </c>
      <c r="HH104" s="103">
        <f t="shared" si="118"/>
        <v>534029.11891862727</v>
      </c>
      <c r="HI104" s="103">
        <f t="shared" si="118"/>
        <v>534029.11891862727</v>
      </c>
      <c r="HJ104" s="103">
        <f t="shared" si="118"/>
        <v>534029.11891862727</v>
      </c>
    </row>
    <row r="105" spans="26:218" x14ac:dyDescent="0.25">
      <c r="Z105" s="83" t="s">
        <v>228</v>
      </c>
      <c r="AA105" s="114">
        <f>'US Grid mix, emissions&amp;prices'!O102</f>
        <v>6321</v>
      </c>
      <c r="AB105" s="116">
        <f t="shared" si="109"/>
        <v>6321</v>
      </c>
      <c r="AC105" s="116">
        <f t="shared" si="115"/>
        <v>5552.0223718991065</v>
      </c>
      <c r="AD105" s="116">
        <f t="shared" si="115"/>
        <v>5552.0223718991065</v>
      </c>
      <c r="AE105" s="116">
        <f t="shared" si="115"/>
        <v>5552.0223718991065</v>
      </c>
      <c r="AF105" s="116">
        <f t="shared" si="115"/>
        <v>5552.0223718991065</v>
      </c>
      <c r="AG105" s="116">
        <f t="shared" si="115"/>
        <v>5552.0223718991065</v>
      </c>
      <c r="AH105" s="116">
        <f t="shared" si="115"/>
        <v>2099.0760783286196</v>
      </c>
      <c r="AI105" s="116">
        <f t="shared" si="115"/>
        <v>2099.0760783286196</v>
      </c>
      <c r="AJ105" s="116">
        <f t="shared" si="115"/>
        <v>2099.0760783286196</v>
      </c>
      <c r="AK105" s="116">
        <f t="shared" si="115"/>
        <v>2099.0760783286196</v>
      </c>
      <c r="AL105" s="116">
        <f t="shared" si="115"/>
        <v>2099.0760783286196</v>
      </c>
      <c r="AM105" s="116">
        <f t="shared" si="115"/>
        <v>1764.2741501683865</v>
      </c>
      <c r="AN105" s="116">
        <f t="shared" si="115"/>
        <v>1764.2741501683865</v>
      </c>
      <c r="AO105" s="116">
        <f t="shared" si="115"/>
        <v>1764.2741501683865</v>
      </c>
      <c r="AP105" s="116">
        <f t="shared" si="115"/>
        <v>1764.2741501683865</v>
      </c>
      <c r="AQ105" s="116">
        <f t="shared" si="115"/>
        <v>1764.2741501683865</v>
      </c>
      <c r="AR105" s="116">
        <f t="shared" si="115"/>
        <v>1764.2741501683865</v>
      </c>
      <c r="AS105" s="116">
        <f t="shared" si="115"/>
        <v>1764.2741501683865</v>
      </c>
      <c r="AT105" s="116">
        <f t="shared" si="115"/>
        <v>1764.2741501683865</v>
      </c>
      <c r="AU105" s="116">
        <f t="shared" si="115"/>
        <v>1764.2741501683865</v>
      </c>
      <c r="AV105" s="116">
        <f t="shared" si="115"/>
        <v>1764.2741501683865</v>
      </c>
      <c r="AW105" s="116">
        <f t="shared" si="115"/>
        <v>1772.6040104499812</v>
      </c>
      <c r="AX105" s="116">
        <f t="shared" si="115"/>
        <v>1772.6040104499812</v>
      </c>
      <c r="AY105" s="116">
        <f t="shared" si="115"/>
        <v>1772.6040104499812</v>
      </c>
      <c r="AZ105" s="116">
        <f t="shared" si="115"/>
        <v>1772.6040104499812</v>
      </c>
      <c r="BA105" s="116">
        <f t="shared" si="115"/>
        <v>1772.6040104499812</v>
      </c>
      <c r="BB105" s="116">
        <f t="shared" si="115"/>
        <v>1783.0772265935066</v>
      </c>
      <c r="BM105" s="83" t="s">
        <v>228</v>
      </c>
      <c r="BN105" s="114">
        <f t="shared" si="78"/>
        <v>6321</v>
      </c>
      <c r="BO105" s="116">
        <f t="shared" si="112"/>
        <v>6321</v>
      </c>
      <c r="BP105" s="116">
        <f t="shared" si="112"/>
        <v>4982.66911475713</v>
      </c>
      <c r="BQ105" s="116">
        <f t="shared" si="112"/>
        <v>4982.66911475713</v>
      </c>
      <c r="BR105" s="116">
        <f t="shared" si="112"/>
        <v>4982.66911475713</v>
      </c>
      <c r="BS105" s="116">
        <f t="shared" si="112"/>
        <v>4982.66911475713</v>
      </c>
      <c r="BT105" s="116">
        <f t="shared" si="112"/>
        <v>4982.66911475713</v>
      </c>
      <c r="BU105" s="116">
        <f t="shared" si="112"/>
        <v>281.46159477809204</v>
      </c>
      <c r="BV105" s="116">
        <f t="shared" si="112"/>
        <v>281.46159477809204</v>
      </c>
      <c r="BW105" s="116">
        <f t="shared" si="112"/>
        <v>281.46159477809204</v>
      </c>
      <c r="BX105" s="116">
        <f t="shared" si="112"/>
        <v>281.46159477809204</v>
      </c>
      <c r="BY105" s="116">
        <f t="shared" si="112"/>
        <v>281.46159477809204</v>
      </c>
      <c r="BZ105" s="116">
        <f t="shared" si="112"/>
        <v>293.54232781806553</v>
      </c>
      <c r="CA105" s="116">
        <f t="shared" si="112"/>
        <v>293.54232781806553</v>
      </c>
      <c r="CB105" s="116">
        <f t="shared" si="112"/>
        <v>293.54232781806553</v>
      </c>
      <c r="CC105" s="116">
        <f t="shared" si="112"/>
        <v>293.54232781806553</v>
      </c>
      <c r="CD105" s="116">
        <f t="shared" si="112"/>
        <v>293.54232781806553</v>
      </c>
      <c r="CE105" s="116">
        <f t="shared" si="110"/>
        <v>297.63418900902428</v>
      </c>
      <c r="CF105" s="116">
        <f t="shared" si="110"/>
        <v>297.63418900902428</v>
      </c>
      <c r="CG105" s="116">
        <f t="shared" si="110"/>
        <v>297.63418900902428</v>
      </c>
      <c r="CH105" s="116">
        <f t="shared" si="110"/>
        <v>297.63418900902428</v>
      </c>
      <c r="CI105" s="116">
        <f t="shared" si="110"/>
        <v>297.63418900902428</v>
      </c>
      <c r="CJ105" s="116">
        <f t="shared" si="110"/>
        <v>308.10740515254969</v>
      </c>
      <c r="CK105" s="116">
        <f t="shared" si="110"/>
        <v>308.10740515254969</v>
      </c>
      <c r="CL105" s="116">
        <f t="shared" si="110"/>
        <v>308.10740515254969</v>
      </c>
      <c r="CM105" s="116">
        <f t="shared" si="110"/>
        <v>308.10740515254969</v>
      </c>
      <c r="CN105" s="116">
        <f t="shared" si="110"/>
        <v>308.10740515254969</v>
      </c>
      <c r="CO105" s="116">
        <f t="shared" si="110"/>
        <v>321.35724138993993</v>
      </c>
      <c r="CR105" s="83" t="s">
        <v>228</v>
      </c>
      <c r="CS105" s="114">
        <f t="shared" si="81"/>
        <v>6321</v>
      </c>
      <c r="CT105" s="116">
        <f t="shared" si="113"/>
        <v>295.97795947935055</v>
      </c>
      <c r="CU105" s="116">
        <f t="shared" si="113"/>
        <v>295.97795947935055</v>
      </c>
      <c r="CV105" s="116">
        <f t="shared" si="113"/>
        <v>295.97795947935055</v>
      </c>
      <c r="CW105" s="116">
        <f t="shared" si="113"/>
        <v>295.97795947935055</v>
      </c>
      <c r="CX105" s="116">
        <f t="shared" si="113"/>
        <v>295.97795947935055</v>
      </c>
      <c r="CY105" s="116">
        <f t="shared" si="113"/>
        <v>295.97795947935055</v>
      </c>
      <c r="CZ105" s="116">
        <f t="shared" si="113"/>
        <v>295.97795947935055</v>
      </c>
      <c r="DA105" s="116">
        <f t="shared" si="113"/>
        <v>295.97795947935055</v>
      </c>
      <c r="DB105" s="116">
        <f t="shared" si="113"/>
        <v>295.97795947935055</v>
      </c>
      <c r="DC105" s="116">
        <f t="shared" si="113"/>
        <v>295.97795947935055</v>
      </c>
      <c r="DD105" s="116">
        <f t="shared" si="113"/>
        <v>295.97795947935055</v>
      </c>
      <c r="DE105" s="116">
        <f t="shared" si="113"/>
        <v>304.45395766062222</v>
      </c>
      <c r="DF105" s="116">
        <f t="shared" si="113"/>
        <v>304.45395766062222</v>
      </c>
      <c r="DG105" s="116">
        <f t="shared" si="113"/>
        <v>304.45395766062222</v>
      </c>
      <c r="DH105" s="116">
        <f t="shared" si="113"/>
        <v>304.45395766062222</v>
      </c>
      <c r="DI105" s="116">
        <f t="shared" si="113"/>
        <v>304.45395766062222</v>
      </c>
      <c r="DJ105" s="116">
        <f t="shared" si="111"/>
        <v>320.28556345897459</v>
      </c>
      <c r="DK105" s="116">
        <f t="shared" si="111"/>
        <v>320.28556345897459</v>
      </c>
      <c r="DL105" s="116">
        <f t="shared" si="111"/>
        <v>320.28556345897459</v>
      </c>
      <c r="DM105" s="116">
        <f t="shared" si="111"/>
        <v>320.28556345897459</v>
      </c>
      <c r="DN105" s="116">
        <f t="shared" si="111"/>
        <v>320.28556345897459</v>
      </c>
      <c r="DO105" s="116">
        <f t="shared" si="111"/>
        <v>330.7587796025</v>
      </c>
      <c r="DP105" s="116">
        <f t="shared" si="111"/>
        <v>330.7587796025</v>
      </c>
      <c r="DQ105" s="116">
        <f t="shared" si="111"/>
        <v>330.7587796025</v>
      </c>
      <c r="DR105" s="116">
        <f t="shared" si="111"/>
        <v>330.7587796025</v>
      </c>
      <c r="DS105" s="116">
        <f t="shared" si="111"/>
        <v>330.7587796025</v>
      </c>
      <c r="DT105" s="116">
        <f t="shared" si="111"/>
        <v>344.057328473116</v>
      </c>
      <c r="DW105" s="83" t="s">
        <v>228</v>
      </c>
      <c r="DX105" s="114">
        <f t="shared" si="84"/>
        <v>8351.1697876320723</v>
      </c>
      <c r="DY105" s="116">
        <f t="shared" si="119"/>
        <v>8351.1697876320723</v>
      </c>
      <c r="DZ105" s="116">
        <f t="shared" si="119"/>
        <v>7306.2561933194593</v>
      </c>
      <c r="EA105" s="116">
        <f t="shared" si="119"/>
        <v>7306.2561933194593</v>
      </c>
      <c r="EB105" s="116">
        <f t="shared" si="119"/>
        <v>7306.2561933194593</v>
      </c>
      <c r="EC105" s="116">
        <f t="shared" si="119"/>
        <v>7306.2561933194593</v>
      </c>
      <c r="ED105" s="116">
        <f t="shared" si="119"/>
        <v>7306.2561933194593</v>
      </c>
      <c r="EE105" s="116">
        <f t="shared" si="119"/>
        <v>4545.6719742648502</v>
      </c>
      <c r="EF105" s="116">
        <f t="shared" si="119"/>
        <v>4545.6719742648502</v>
      </c>
      <c r="EG105" s="116">
        <f t="shared" si="119"/>
        <v>4545.6719742648502</v>
      </c>
      <c r="EH105" s="116">
        <f t="shared" si="119"/>
        <v>4545.6719742648502</v>
      </c>
      <c r="EI105" s="116">
        <f t="shared" si="119"/>
        <v>4545.6719742648502</v>
      </c>
      <c r="EJ105" s="116">
        <f t="shared" si="119"/>
        <v>4047.4846326630759</v>
      </c>
      <c r="EK105" s="116">
        <f t="shared" si="119"/>
        <v>4047.4846326630759</v>
      </c>
      <c r="EL105" s="116">
        <f t="shared" si="119"/>
        <v>4047.4846326630759</v>
      </c>
      <c r="EM105" s="116">
        <f t="shared" si="119"/>
        <v>4047.4846326630759</v>
      </c>
      <c r="EN105" s="116">
        <f t="shared" si="119"/>
        <v>4047.4846326630759</v>
      </c>
      <c r="EO105" s="116">
        <f t="shared" si="116"/>
        <v>3932.8903382707176</v>
      </c>
      <c r="EP105" s="116">
        <f t="shared" si="116"/>
        <v>3932.8903382707176</v>
      </c>
      <c r="EQ105" s="116">
        <f t="shared" si="116"/>
        <v>3932.8903382707176</v>
      </c>
      <c r="ER105" s="116">
        <f t="shared" si="116"/>
        <v>3932.8903382707176</v>
      </c>
      <c r="ES105" s="116">
        <f t="shared" si="116"/>
        <v>3932.8903382707176</v>
      </c>
      <c r="ET105" s="116">
        <f t="shared" si="116"/>
        <v>3793.7022092094903</v>
      </c>
      <c r="EU105" s="116">
        <f t="shared" si="116"/>
        <v>3793.7022092094903</v>
      </c>
      <c r="EV105" s="116">
        <f t="shared" si="116"/>
        <v>3793.7022092094903</v>
      </c>
      <c r="EW105" s="116">
        <f t="shared" si="116"/>
        <v>3793.7022092094903</v>
      </c>
      <c r="EX105" s="116">
        <f t="shared" si="116"/>
        <v>3793.7022092094903</v>
      </c>
      <c r="EY105" s="116">
        <f t="shared" si="116"/>
        <v>3571.885873023356</v>
      </c>
      <c r="FB105" s="83" t="s">
        <v>228</v>
      </c>
      <c r="FC105" s="114">
        <f t="shared" si="86"/>
        <v>9027.7066640987414</v>
      </c>
      <c r="FD105" s="116">
        <f t="shared" si="120"/>
        <v>9027.7066640987414</v>
      </c>
      <c r="FE105" s="116">
        <f t="shared" si="120"/>
        <v>7870.6758522668943</v>
      </c>
      <c r="FF105" s="116">
        <f t="shared" si="120"/>
        <v>7870.6758522668943</v>
      </c>
      <c r="FG105" s="116">
        <f t="shared" si="120"/>
        <v>7870.6758522668943</v>
      </c>
      <c r="FH105" s="116">
        <f t="shared" si="120"/>
        <v>7870.6758522668943</v>
      </c>
      <c r="FI105" s="116">
        <f t="shared" si="120"/>
        <v>7870.6758522668943</v>
      </c>
      <c r="FJ105" s="116">
        <f t="shared" si="120"/>
        <v>4978.2757567496401</v>
      </c>
      <c r="FK105" s="116">
        <f t="shared" si="120"/>
        <v>4978.2757567496401</v>
      </c>
      <c r="FL105" s="116">
        <f t="shared" si="120"/>
        <v>4978.2757567496401</v>
      </c>
      <c r="FM105" s="116">
        <f t="shared" si="120"/>
        <v>4978.2757567496401</v>
      </c>
      <c r="FN105" s="116">
        <f t="shared" si="120"/>
        <v>4978.2757567496401</v>
      </c>
      <c r="FO105" s="116">
        <f t="shared" si="120"/>
        <v>4409.314790201478</v>
      </c>
      <c r="FP105" s="116">
        <f t="shared" si="120"/>
        <v>4409.314790201478</v>
      </c>
      <c r="FQ105" s="116">
        <f t="shared" si="120"/>
        <v>4409.314790201478</v>
      </c>
      <c r="FR105" s="116">
        <f t="shared" si="120"/>
        <v>4409.314790201478</v>
      </c>
      <c r="FS105" s="116">
        <f t="shared" si="120"/>
        <v>4409.314790201478</v>
      </c>
      <c r="FT105" s="116">
        <f t="shared" si="117"/>
        <v>4308.6393087152428</v>
      </c>
      <c r="FU105" s="116">
        <f t="shared" si="117"/>
        <v>4308.6393087152428</v>
      </c>
      <c r="FV105" s="116">
        <f t="shared" si="117"/>
        <v>4308.6393087152428</v>
      </c>
      <c r="FW105" s="116">
        <f t="shared" si="117"/>
        <v>4308.6393087152428</v>
      </c>
      <c r="FX105" s="116">
        <f t="shared" si="117"/>
        <v>4308.6393087152428</v>
      </c>
      <c r="FY105" s="116">
        <f t="shared" si="117"/>
        <v>4169.2152675708612</v>
      </c>
      <c r="FZ105" s="116">
        <f t="shared" si="117"/>
        <v>4169.2152675708612</v>
      </c>
      <c r="GA105" s="116">
        <f t="shared" si="117"/>
        <v>4169.2152675708612</v>
      </c>
      <c r="GB105" s="116">
        <f t="shared" si="117"/>
        <v>4169.2152675708612</v>
      </c>
      <c r="GC105" s="116">
        <f t="shared" si="117"/>
        <v>4169.2152675708612</v>
      </c>
      <c r="GD105" s="116">
        <f t="shared" si="117"/>
        <v>3939.8497447237792</v>
      </c>
      <c r="GH105" s="123" t="s">
        <v>228</v>
      </c>
      <c r="GI105" s="103">
        <f t="shared" si="121"/>
        <v>15892.49658988448</v>
      </c>
      <c r="GJ105" s="103">
        <f t="shared" si="121"/>
        <v>15892.49658988448</v>
      </c>
      <c r="GK105" s="103">
        <f t="shared" si="121"/>
        <v>15892.49658988448</v>
      </c>
      <c r="GL105" s="103">
        <f t="shared" si="121"/>
        <v>15892.49658988448</v>
      </c>
      <c r="GM105" s="103">
        <f t="shared" si="121"/>
        <v>15892.49658988448</v>
      </c>
      <c r="GN105" s="103">
        <f t="shared" si="121"/>
        <v>15892.49658988448</v>
      </c>
      <c r="GO105" s="103">
        <f t="shared" si="121"/>
        <v>15892.49658988448</v>
      </c>
      <c r="GP105" s="103">
        <f t="shared" si="121"/>
        <v>15892.49658988448</v>
      </c>
      <c r="GQ105" s="103">
        <f t="shared" si="121"/>
        <v>15892.49658988448</v>
      </c>
      <c r="GR105" s="103">
        <f t="shared" si="121"/>
        <v>15892.49658988448</v>
      </c>
      <c r="GS105" s="103">
        <f t="shared" si="121"/>
        <v>15892.49658988448</v>
      </c>
      <c r="GT105" s="103">
        <f t="shared" si="121"/>
        <v>15892.49658988448</v>
      </c>
      <c r="GU105" s="103">
        <f t="shared" si="121"/>
        <v>15892.49658988448</v>
      </c>
      <c r="GV105" s="103">
        <f t="shared" si="121"/>
        <v>15892.49658988448</v>
      </c>
      <c r="GW105" s="103">
        <f t="shared" si="121"/>
        <v>15892.49658988448</v>
      </c>
      <c r="GX105" s="103">
        <f t="shared" si="121"/>
        <v>15892.49658988448</v>
      </c>
      <c r="GY105" s="103">
        <f t="shared" si="118"/>
        <v>15892.49658988448</v>
      </c>
      <c r="GZ105" s="103">
        <f t="shared" si="118"/>
        <v>15892.49658988448</v>
      </c>
      <c r="HA105" s="103">
        <f t="shared" si="118"/>
        <v>15892.49658988448</v>
      </c>
      <c r="HB105" s="103">
        <f t="shared" si="118"/>
        <v>15892.49658988448</v>
      </c>
      <c r="HC105" s="103">
        <f t="shared" si="118"/>
        <v>15892.49658988448</v>
      </c>
      <c r="HD105" s="103">
        <f t="shared" si="118"/>
        <v>15892.49658988448</v>
      </c>
      <c r="HE105" s="103">
        <f t="shared" si="118"/>
        <v>15892.49658988448</v>
      </c>
      <c r="HF105" s="103">
        <f t="shared" si="118"/>
        <v>15892.49658988448</v>
      </c>
      <c r="HG105" s="103">
        <f t="shared" si="118"/>
        <v>15892.49658988448</v>
      </c>
      <c r="HH105" s="103">
        <f t="shared" si="118"/>
        <v>15892.49658988448</v>
      </c>
      <c r="HI105" s="103">
        <f t="shared" si="118"/>
        <v>15892.49658988448</v>
      </c>
      <c r="HJ105" s="103">
        <f t="shared" si="118"/>
        <v>15892.49658988448</v>
      </c>
    </row>
    <row r="106" spans="26:218" x14ac:dyDescent="0.25">
      <c r="Z106" s="83" t="s">
        <v>227</v>
      </c>
      <c r="AA106" s="114">
        <f>'US Grid mix, emissions&amp;prices'!O103</f>
        <v>93837</v>
      </c>
      <c r="AB106" s="116">
        <f t="shared" si="109"/>
        <v>93837</v>
      </c>
      <c r="AC106" s="116">
        <f t="shared" si="115"/>
        <v>82421.313607324235</v>
      </c>
      <c r="AD106" s="116">
        <f t="shared" si="115"/>
        <v>82421.313607324235</v>
      </c>
      <c r="AE106" s="116">
        <f t="shared" si="115"/>
        <v>82421.313607324235</v>
      </c>
      <c r="AF106" s="116">
        <f t="shared" si="115"/>
        <v>82421.313607324235</v>
      </c>
      <c r="AG106" s="116">
        <f t="shared" si="115"/>
        <v>82421.313607324235</v>
      </c>
      <c r="AH106" s="116">
        <f t="shared" si="115"/>
        <v>31161.367182743663</v>
      </c>
      <c r="AI106" s="116">
        <f t="shared" si="115"/>
        <v>31161.367182743663</v>
      </c>
      <c r="AJ106" s="116">
        <f t="shared" si="115"/>
        <v>31161.367182743663</v>
      </c>
      <c r="AK106" s="116">
        <f t="shared" si="115"/>
        <v>31161.367182743663</v>
      </c>
      <c r="AL106" s="116">
        <f t="shared" si="115"/>
        <v>31161.367182743663</v>
      </c>
      <c r="AM106" s="116">
        <f t="shared" si="115"/>
        <v>26191.139602808242</v>
      </c>
      <c r="AN106" s="116">
        <f t="shared" si="115"/>
        <v>26191.139602808242</v>
      </c>
      <c r="AO106" s="116">
        <f t="shared" si="115"/>
        <v>26191.139602808242</v>
      </c>
      <c r="AP106" s="116">
        <f t="shared" si="115"/>
        <v>26191.139602808242</v>
      </c>
      <c r="AQ106" s="116">
        <f t="shared" si="115"/>
        <v>26191.139602808242</v>
      </c>
      <c r="AR106" s="116">
        <f t="shared" si="115"/>
        <v>26191.139602808242</v>
      </c>
      <c r="AS106" s="116">
        <f t="shared" si="115"/>
        <v>26191.139602808242</v>
      </c>
      <c r="AT106" s="116">
        <f t="shared" si="115"/>
        <v>26191.139602808242</v>
      </c>
      <c r="AU106" s="116">
        <f t="shared" si="115"/>
        <v>26191.139602808242</v>
      </c>
      <c r="AV106" s="116">
        <f t="shared" si="115"/>
        <v>26191.139602808242</v>
      </c>
      <c r="AW106" s="116">
        <f t="shared" si="115"/>
        <v>26314.798691440417</v>
      </c>
      <c r="AX106" s="116">
        <f t="shared" si="115"/>
        <v>26314.798691440417</v>
      </c>
      <c r="AY106" s="116">
        <f t="shared" si="115"/>
        <v>26314.798691440417</v>
      </c>
      <c r="AZ106" s="116">
        <f t="shared" si="115"/>
        <v>26314.798691440417</v>
      </c>
      <c r="BA106" s="116">
        <f t="shared" si="115"/>
        <v>26314.798691440417</v>
      </c>
      <c r="BB106" s="116">
        <f t="shared" si="115"/>
        <v>26470.276492937017</v>
      </c>
      <c r="BM106" s="83" t="s">
        <v>227</v>
      </c>
      <c r="BN106" s="114">
        <f t="shared" si="78"/>
        <v>93837</v>
      </c>
      <c r="BO106" s="116">
        <f t="shared" si="112"/>
        <v>93837</v>
      </c>
      <c r="BP106" s="116">
        <f t="shared" si="112"/>
        <v>73969.106426430124</v>
      </c>
      <c r="BQ106" s="116">
        <f t="shared" si="112"/>
        <v>73969.106426430124</v>
      </c>
      <c r="BR106" s="116">
        <f t="shared" si="112"/>
        <v>73969.106426430124</v>
      </c>
      <c r="BS106" s="116">
        <f t="shared" si="112"/>
        <v>73969.106426430124</v>
      </c>
      <c r="BT106" s="116">
        <f t="shared" si="112"/>
        <v>73969.106426430124</v>
      </c>
      <c r="BU106" s="116">
        <f t="shared" si="112"/>
        <v>4178.3755211504231</v>
      </c>
      <c r="BV106" s="116">
        <f t="shared" si="112"/>
        <v>4178.3755211504231</v>
      </c>
      <c r="BW106" s="116">
        <f t="shared" si="112"/>
        <v>4178.3755211504231</v>
      </c>
      <c r="BX106" s="116">
        <f t="shared" si="112"/>
        <v>4178.3755211504231</v>
      </c>
      <c r="BY106" s="116">
        <f t="shared" si="112"/>
        <v>4178.3755211504231</v>
      </c>
      <c r="BZ106" s="116">
        <f t="shared" si="112"/>
        <v>4357.7173572953352</v>
      </c>
      <c r="CA106" s="116">
        <f t="shared" si="112"/>
        <v>4357.7173572953352</v>
      </c>
      <c r="CB106" s="116">
        <f t="shared" si="112"/>
        <v>4357.7173572953352</v>
      </c>
      <c r="CC106" s="116">
        <f t="shared" si="112"/>
        <v>4357.7173572953352</v>
      </c>
      <c r="CD106" s="116">
        <f t="shared" si="112"/>
        <v>4357.7173572953352</v>
      </c>
      <c r="CE106" s="116">
        <f t="shared" si="110"/>
        <v>4418.4621727637741</v>
      </c>
      <c r="CF106" s="116">
        <f t="shared" si="110"/>
        <v>4418.4621727637741</v>
      </c>
      <c r="CG106" s="116">
        <f t="shared" si="110"/>
        <v>4418.4621727637741</v>
      </c>
      <c r="CH106" s="116">
        <f t="shared" si="110"/>
        <v>4418.4621727637741</v>
      </c>
      <c r="CI106" s="116">
        <f t="shared" si="110"/>
        <v>4418.4621727637741</v>
      </c>
      <c r="CJ106" s="116">
        <f t="shared" si="110"/>
        <v>4573.9399742603709</v>
      </c>
      <c r="CK106" s="116">
        <f t="shared" si="110"/>
        <v>4573.9399742603709</v>
      </c>
      <c r="CL106" s="116">
        <f t="shared" si="110"/>
        <v>4573.9399742603709</v>
      </c>
      <c r="CM106" s="116">
        <f t="shared" si="110"/>
        <v>4573.9399742603709</v>
      </c>
      <c r="CN106" s="116">
        <f t="shared" si="110"/>
        <v>4573.9399742603709</v>
      </c>
      <c r="CO106" s="116">
        <f t="shared" si="110"/>
        <v>4770.6374719676942</v>
      </c>
      <c r="CR106" s="83" t="s">
        <v>227</v>
      </c>
      <c r="CS106" s="114">
        <f t="shared" si="81"/>
        <v>93837</v>
      </c>
      <c r="CT106" s="116">
        <f t="shared" si="113"/>
        <v>4393.8749855503584</v>
      </c>
      <c r="CU106" s="116">
        <f t="shared" si="113"/>
        <v>4393.8749855503584</v>
      </c>
      <c r="CV106" s="116">
        <f t="shared" si="113"/>
        <v>4393.8749855503584</v>
      </c>
      <c r="CW106" s="116">
        <f t="shared" si="113"/>
        <v>4393.8749855503584</v>
      </c>
      <c r="CX106" s="116">
        <f t="shared" si="113"/>
        <v>4393.8749855503584</v>
      </c>
      <c r="CY106" s="116">
        <f t="shared" si="113"/>
        <v>4393.8749855503584</v>
      </c>
      <c r="CZ106" s="116">
        <f t="shared" si="113"/>
        <v>4393.8749855503584</v>
      </c>
      <c r="DA106" s="116">
        <f t="shared" si="113"/>
        <v>4393.8749855503584</v>
      </c>
      <c r="DB106" s="116">
        <f t="shared" si="113"/>
        <v>4393.8749855503584</v>
      </c>
      <c r="DC106" s="116">
        <f t="shared" si="113"/>
        <v>4393.8749855503584</v>
      </c>
      <c r="DD106" s="116">
        <f t="shared" si="113"/>
        <v>4393.8749855503584</v>
      </c>
      <c r="DE106" s="116">
        <f t="shared" si="113"/>
        <v>4519.7035318778371</v>
      </c>
      <c r="DF106" s="116">
        <f t="shared" si="113"/>
        <v>4519.7035318778371</v>
      </c>
      <c r="DG106" s="116">
        <f t="shared" si="113"/>
        <v>4519.7035318778371</v>
      </c>
      <c r="DH106" s="116">
        <f t="shared" si="113"/>
        <v>4519.7035318778371</v>
      </c>
      <c r="DI106" s="116">
        <f t="shared" si="113"/>
        <v>4519.7035318778371</v>
      </c>
      <c r="DJ106" s="116">
        <f t="shared" si="111"/>
        <v>4754.7281155354849</v>
      </c>
      <c r="DK106" s="116">
        <f t="shared" si="111"/>
        <v>4754.7281155354849</v>
      </c>
      <c r="DL106" s="116">
        <f t="shared" si="111"/>
        <v>4754.7281155354849</v>
      </c>
      <c r="DM106" s="116">
        <f t="shared" si="111"/>
        <v>4754.7281155354849</v>
      </c>
      <c r="DN106" s="116">
        <f t="shared" si="111"/>
        <v>4754.7281155354849</v>
      </c>
      <c r="DO106" s="116">
        <f t="shared" si="111"/>
        <v>4910.2059170320817</v>
      </c>
      <c r="DP106" s="116">
        <f t="shared" si="111"/>
        <v>4910.2059170320817</v>
      </c>
      <c r="DQ106" s="116">
        <f t="shared" si="111"/>
        <v>4910.2059170320817</v>
      </c>
      <c r="DR106" s="116">
        <f t="shared" si="111"/>
        <v>4910.2059170320817</v>
      </c>
      <c r="DS106" s="116">
        <f t="shared" si="111"/>
        <v>4910.2059170320817</v>
      </c>
      <c r="DT106" s="116">
        <f t="shared" si="111"/>
        <v>5107.6265673045064</v>
      </c>
      <c r="DW106" s="83" t="s">
        <v>227</v>
      </c>
      <c r="DX106" s="114">
        <f t="shared" si="84"/>
        <v>123975.43416580142</v>
      </c>
      <c r="DY106" s="116">
        <f t="shared" si="119"/>
        <v>123975.43416580142</v>
      </c>
      <c r="DZ106" s="116">
        <f t="shared" si="119"/>
        <v>108463.40174221137</v>
      </c>
      <c r="EA106" s="116">
        <f t="shared" si="119"/>
        <v>108463.40174221137</v>
      </c>
      <c r="EB106" s="116">
        <f t="shared" si="119"/>
        <v>108463.40174221137</v>
      </c>
      <c r="EC106" s="116">
        <f t="shared" si="119"/>
        <v>108463.40174221137</v>
      </c>
      <c r="ED106" s="116">
        <f t="shared" si="119"/>
        <v>108463.40174221137</v>
      </c>
      <c r="EE106" s="116">
        <f t="shared" si="119"/>
        <v>67481.762545339458</v>
      </c>
      <c r="EF106" s="116">
        <f t="shared" si="119"/>
        <v>67481.762545339458</v>
      </c>
      <c r="EG106" s="116">
        <f t="shared" si="119"/>
        <v>67481.762545339458</v>
      </c>
      <c r="EH106" s="116">
        <f t="shared" si="119"/>
        <v>67481.762545339458</v>
      </c>
      <c r="EI106" s="116">
        <f t="shared" si="119"/>
        <v>67481.762545339458</v>
      </c>
      <c r="EJ106" s="116">
        <f t="shared" si="119"/>
        <v>60086.03313956732</v>
      </c>
      <c r="EK106" s="116">
        <f t="shared" si="119"/>
        <v>60086.03313956732</v>
      </c>
      <c r="EL106" s="116">
        <f t="shared" si="119"/>
        <v>60086.03313956732</v>
      </c>
      <c r="EM106" s="116">
        <f t="shared" si="119"/>
        <v>60086.03313956732</v>
      </c>
      <c r="EN106" s="116">
        <f t="shared" si="119"/>
        <v>60086.03313956732</v>
      </c>
      <c r="EO106" s="116">
        <f t="shared" si="116"/>
        <v>58384.849022671944</v>
      </c>
      <c r="EP106" s="116">
        <f t="shared" si="116"/>
        <v>58384.849022671944</v>
      </c>
      <c r="EQ106" s="116">
        <f t="shared" si="116"/>
        <v>58384.849022671944</v>
      </c>
      <c r="ER106" s="116">
        <f t="shared" si="116"/>
        <v>58384.849022671944</v>
      </c>
      <c r="ES106" s="116">
        <f t="shared" si="116"/>
        <v>58384.849022671944</v>
      </c>
      <c r="ET106" s="116">
        <f t="shared" si="116"/>
        <v>56318.562601738799</v>
      </c>
      <c r="EU106" s="116">
        <f t="shared" si="116"/>
        <v>56318.562601738799</v>
      </c>
      <c r="EV106" s="116">
        <f t="shared" si="116"/>
        <v>56318.562601738799</v>
      </c>
      <c r="EW106" s="116">
        <f t="shared" si="116"/>
        <v>56318.562601738799</v>
      </c>
      <c r="EX106" s="116">
        <f t="shared" si="116"/>
        <v>56318.562601738799</v>
      </c>
      <c r="EY106" s="116">
        <f t="shared" si="116"/>
        <v>53025.637504650003</v>
      </c>
      <c r="FB106" s="83" t="s">
        <v>227</v>
      </c>
      <c r="FC106" s="114">
        <f t="shared" si="86"/>
        <v>134018.81193466758</v>
      </c>
      <c r="FD106" s="116">
        <f t="shared" si="120"/>
        <v>134018.81193466758</v>
      </c>
      <c r="FE106" s="116">
        <f t="shared" si="120"/>
        <v>116842.36828811401</v>
      </c>
      <c r="FF106" s="116">
        <f t="shared" si="120"/>
        <v>116842.36828811401</v>
      </c>
      <c r="FG106" s="116">
        <f t="shared" si="120"/>
        <v>116842.36828811401</v>
      </c>
      <c r="FH106" s="116">
        <f t="shared" si="120"/>
        <v>116842.36828811401</v>
      </c>
      <c r="FI106" s="116">
        <f t="shared" si="120"/>
        <v>116842.36828811401</v>
      </c>
      <c r="FJ106" s="116">
        <f t="shared" si="120"/>
        <v>73903.885807010927</v>
      </c>
      <c r="FK106" s="116">
        <f t="shared" si="120"/>
        <v>73903.885807010927</v>
      </c>
      <c r="FL106" s="116">
        <f t="shared" si="120"/>
        <v>73903.885807010927</v>
      </c>
      <c r="FM106" s="116">
        <f t="shared" si="120"/>
        <v>73903.885807010927</v>
      </c>
      <c r="FN106" s="116">
        <f t="shared" si="120"/>
        <v>73903.885807010927</v>
      </c>
      <c r="FO106" s="116">
        <f t="shared" si="120"/>
        <v>65457.502288899894</v>
      </c>
      <c r="FP106" s="116">
        <f t="shared" si="120"/>
        <v>65457.502288899894</v>
      </c>
      <c r="FQ106" s="116">
        <f t="shared" si="120"/>
        <v>65457.502288899894</v>
      </c>
      <c r="FR106" s="116">
        <f t="shared" si="120"/>
        <v>65457.502288899894</v>
      </c>
      <c r="FS106" s="116">
        <f t="shared" si="120"/>
        <v>65457.502288899894</v>
      </c>
      <c r="FT106" s="116">
        <f t="shared" si="117"/>
        <v>63962.946814097821</v>
      </c>
      <c r="FU106" s="116">
        <f t="shared" si="117"/>
        <v>63962.946814097821</v>
      </c>
      <c r="FV106" s="116">
        <f t="shared" si="117"/>
        <v>63962.946814097821</v>
      </c>
      <c r="FW106" s="116">
        <f t="shared" si="117"/>
        <v>63962.946814097821</v>
      </c>
      <c r="FX106" s="116">
        <f t="shared" si="117"/>
        <v>63962.946814097821</v>
      </c>
      <c r="FY106" s="116">
        <f t="shared" si="117"/>
        <v>61893.158212790222</v>
      </c>
      <c r="FZ106" s="116">
        <f t="shared" si="117"/>
        <v>61893.158212790222</v>
      </c>
      <c r="GA106" s="116">
        <f t="shared" si="117"/>
        <v>61893.158212790222</v>
      </c>
      <c r="GB106" s="116">
        <f t="shared" si="117"/>
        <v>61893.158212790222</v>
      </c>
      <c r="GC106" s="116">
        <f t="shared" si="117"/>
        <v>61893.158212790222</v>
      </c>
      <c r="GD106" s="116">
        <f t="shared" si="117"/>
        <v>58488.16334371861</v>
      </c>
      <c r="GH106" s="123" t="s">
        <v>227</v>
      </c>
      <c r="GI106" s="103">
        <f t="shared" si="121"/>
        <v>235928.52436402309</v>
      </c>
      <c r="GJ106" s="103">
        <f t="shared" si="121"/>
        <v>235928.52436402309</v>
      </c>
      <c r="GK106" s="103">
        <f t="shared" si="121"/>
        <v>235928.52436402309</v>
      </c>
      <c r="GL106" s="103">
        <f t="shared" si="121"/>
        <v>235928.52436402309</v>
      </c>
      <c r="GM106" s="103">
        <f t="shared" si="121"/>
        <v>235928.52436402309</v>
      </c>
      <c r="GN106" s="103">
        <f t="shared" si="121"/>
        <v>235928.52436402309</v>
      </c>
      <c r="GO106" s="103">
        <f t="shared" si="121"/>
        <v>235928.52436402309</v>
      </c>
      <c r="GP106" s="103">
        <f t="shared" si="121"/>
        <v>235928.52436402309</v>
      </c>
      <c r="GQ106" s="103">
        <f t="shared" si="121"/>
        <v>235928.52436402309</v>
      </c>
      <c r="GR106" s="103">
        <f t="shared" si="121"/>
        <v>235928.52436402309</v>
      </c>
      <c r="GS106" s="103">
        <f t="shared" si="121"/>
        <v>235928.52436402309</v>
      </c>
      <c r="GT106" s="103">
        <f t="shared" si="121"/>
        <v>235928.52436402309</v>
      </c>
      <c r="GU106" s="103">
        <f t="shared" si="121"/>
        <v>235928.52436402309</v>
      </c>
      <c r="GV106" s="103">
        <f t="shared" si="121"/>
        <v>235928.52436402309</v>
      </c>
      <c r="GW106" s="103">
        <f t="shared" si="121"/>
        <v>235928.52436402309</v>
      </c>
      <c r="GX106" s="103">
        <f t="shared" si="121"/>
        <v>235928.52436402309</v>
      </c>
      <c r="GY106" s="103">
        <f t="shared" si="118"/>
        <v>235928.52436402309</v>
      </c>
      <c r="GZ106" s="103">
        <f t="shared" si="118"/>
        <v>235928.52436402309</v>
      </c>
      <c r="HA106" s="103">
        <f t="shared" si="118"/>
        <v>235928.52436402309</v>
      </c>
      <c r="HB106" s="103">
        <f t="shared" si="118"/>
        <v>235928.52436402309</v>
      </c>
      <c r="HC106" s="103">
        <f t="shared" si="118"/>
        <v>235928.52436402309</v>
      </c>
      <c r="HD106" s="103">
        <f t="shared" si="118"/>
        <v>235928.52436402309</v>
      </c>
      <c r="HE106" s="103">
        <f t="shared" si="118"/>
        <v>235928.52436402309</v>
      </c>
      <c r="HF106" s="103">
        <f t="shared" si="118"/>
        <v>235928.52436402309</v>
      </c>
      <c r="HG106" s="103">
        <f t="shared" si="118"/>
        <v>235928.52436402309</v>
      </c>
      <c r="HH106" s="103">
        <f t="shared" si="118"/>
        <v>235928.52436402309</v>
      </c>
      <c r="HI106" s="103">
        <f t="shared" si="118"/>
        <v>235928.52436402309</v>
      </c>
      <c r="HJ106" s="103">
        <f t="shared" si="118"/>
        <v>235928.52436402309</v>
      </c>
    </row>
    <row r="107" spans="26:218" x14ac:dyDescent="0.25">
      <c r="Z107" s="83" t="s">
        <v>229</v>
      </c>
      <c r="AA107" s="114">
        <f>'US Grid mix, emissions&amp;prices'!O104</f>
        <v>42945</v>
      </c>
      <c r="AB107" s="116">
        <f t="shared" si="109"/>
        <v>42945</v>
      </c>
      <c r="AC107" s="116">
        <f t="shared" si="115"/>
        <v>37720.55066622483</v>
      </c>
      <c r="AD107" s="116">
        <f t="shared" si="115"/>
        <v>37720.55066622483</v>
      </c>
      <c r="AE107" s="116">
        <f t="shared" si="115"/>
        <v>37720.55066622483</v>
      </c>
      <c r="AF107" s="116">
        <f t="shared" si="115"/>
        <v>37720.55066622483</v>
      </c>
      <c r="AG107" s="116">
        <f t="shared" si="115"/>
        <v>37720.55066622483</v>
      </c>
      <c r="AH107" s="116">
        <f t="shared" si="115"/>
        <v>14261.164718212714</v>
      </c>
      <c r="AI107" s="116">
        <f t="shared" si="115"/>
        <v>14261.164718212714</v>
      </c>
      <c r="AJ107" s="116">
        <f t="shared" si="115"/>
        <v>14261.164718212714</v>
      </c>
      <c r="AK107" s="116">
        <f t="shared" si="115"/>
        <v>14261.164718212714</v>
      </c>
      <c r="AL107" s="116">
        <f t="shared" si="115"/>
        <v>14261.164718212714</v>
      </c>
      <c r="AM107" s="116">
        <f t="shared" si="115"/>
        <v>11986.513744499503</v>
      </c>
      <c r="AN107" s="116">
        <f t="shared" si="115"/>
        <v>11986.513744499503</v>
      </c>
      <c r="AO107" s="116">
        <f t="shared" si="115"/>
        <v>11986.513744499503</v>
      </c>
      <c r="AP107" s="116">
        <f t="shared" si="115"/>
        <v>11986.513744499503</v>
      </c>
      <c r="AQ107" s="116">
        <f t="shared" si="115"/>
        <v>11986.513744499503</v>
      </c>
      <c r="AR107" s="116">
        <f t="shared" si="115"/>
        <v>11986.513744499503</v>
      </c>
      <c r="AS107" s="116">
        <f t="shared" si="115"/>
        <v>11986.513744499503</v>
      </c>
      <c r="AT107" s="116">
        <f t="shared" si="115"/>
        <v>11986.513744499503</v>
      </c>
      <c r="AU107" s="116">
        <f t="shared" si="115"/>
        <v>11986.513744499503</v>
      </c>
      <c r="AV107" s="116">
        <f t="shared" si="115"/>
        <v>11986.513744499503</v>
      </c>
      <c r="AW107" s="116">
        <f t="shared" si="115"/>
        <v>12043.106981296383</v>
      </c>
      <c r="AX107" s="116">
        <f t="shared" si="115"/>
        <v>12043.106981296383</v>
      </c>
      <c r="AY107" s="116">
        <f t="shared" si="115"/>
        <v>12043.106981296383</v>
      </c>
      <c r="AZ107" s="116">
        <f t="shared" si="115"/>
        <v>12043.106981296383</v>
      </c>
      <c r="BA107" s="116">
        <f t="shared" si="115"/>
        <v>12043.106981296383</v>
      </c>
      <c r="BB107" s="116">
        <f t="shared" si="115"/>
        <v>12114.262220543924</v>
      </c>
      <c r="BM107" s="83" t="s">
        <v>229</v>
      </c>
      <c r="BN107" s="114">
        <f t="shared" si="78"/>
        <v>42945</v>
      </c>
      <c r="BO107" s="116">
        <f t="shared" si="112"/>
        <v>42945</v>
      </c>
      <c r="BP107" s="116">
        <f t="shared" si="112"/>
        <v>33852.353287967875</v>
      </c>
      <c r="BQ107" s="116">
        <f t="shared" si="112"/>
        <v>33852.353287967875</v>
      </c>
      <c r="BR107" s="116">
        <f t="shared" si="112"/>
        <v>33852.353287967875</v>
      </c>
      <c r="BS107" s="116">
        <f t="shared" si="112"/>
        <v>33852.353287967875</v>
      </c>
      <c r="BT107" s="116">
        <f t="shared" si="112"/>
        <v>33852.353287967875</v>
      </c>
      <c r="BU107" s="116">
        <f t="shared" si="112"/>
        <v>1912.2556854524857</v>
      </c>
      <c r="BV107" s="116">
        <f t="shared" si="112"/>
        <v>1912.2556854524857</v>
      </c>
      <c r="BW107" s="116">
        <f t="shared" si="112"/>
        <v>1912.2556854524857</v>
      </c>
      <c r="BX107" s="116">
        <f t="shared" si="112"/>
        <v>1912.2556854524857</v>
      </c>
      <c r="BY107" s="116">
        <f t="shared" si="112"/>
        <v>1912.2556854524857</v>
      </c>
      <c r="BZ107" s="116">
        <f t="shared" si="112"/>
        <v>1994.3324265380199</v>
      </c>
      <c r="CA107" s="116">
        <f t="shared" si="112"/>
        <v>1994.3324265380199</v>
      </c>
      <c r="CB107" s="116">
        <f t="shared" si="112"/>
        <v>1994.3324265380199</v>
      </c>
      <c r="CC107" s="116">
        <f t="shared" si="112"/>
        <v>1994.3324265380199</v>
      </c>
      <c r="CD107" s="116">
        <f t="shared" si="112"/>
        <v>1994.3324265380199</v>
      </c>
      <c r="CE107" s="116">
        <f t="shared" si="110"/>
        <v>2022.1326130347331</v>
      </c>
      <c r="CF107" s="116">
        <f t="shared" si="110"/>
        <v>2022.1326130347331</v>
      </c>
      <c r="CG107" s="116">
        <f t="shared" si="110"/>
        <v>2022.1326130347331</v>
      </c>
      <c r="CH107" s="116">
        <f t="shared" si="110"/>
        <v>2022.1326130347331</v>
      </c>
      <c r="CI107" s="116">
        <f t="shared" si="110"/>
        <v>2022.1326130347331</v>
      </c>
      <c r="CJ107" s="116">
        <f t="shared" si="110"/>
        <v>2093.287852282273</v>
      </c>
      <c r="CK107" s="116">
        <f t="shared" si="110"/>
        <v>2093.287852282273</v>
      </c>
      <c r="CL107" s="116">
        <f t="shared" si="110"/>
        <v>2093.287852282273</v>
      </c>
      <c r="CM107" s="116">
        <f t="shared" si="110"/>
        <v>2093.287852282273</v>
      </c>
      <c r="CN107" s="116">
        <f t="shared" si="110"/>
        <v>2093.287852282273</v>
      </c>
      <c r="CO107" s="116">
        <f t="shared" si="110"/>
        <v>2183.3075037954391</v>
      </c>
      <c r="CR107" s="83" t="s">
        <v>229</v>
      </c>
      <c r="CS107" s="114">
        <f t="shared" si="81"/>
        <v>42945</v>
      </c>
      <c r="CT107" s="116">
        <f t="shared" si="113"/>
        <v>2010.8801565955873</v>
      </c>
      <c r="CU107" s="116">
        <f t="shared" si="113"/>
        <v>2010.8801565955873</v>
      </c>
      <c r="CV107" s="116">
        <f t="shared" si="113"/>
        <v>2010.8801565955873</v>
      </c>
      <c r="CW107" s="116">
        <f t="shared" si="113"/>
        <v>2010.8801565955873</v>
      </c>
      <c r="CX107" s="116">
        <f t="shared" si="113"/>
        <v>2010.8801565955873</v>
      </c>
      <c r="CY107" s="116">
        <f t="shared" si="113"/>
        <v>2010.8801565955873</v>
      </c>
      <c r="CZ107" s="116">
        <f t="shared" si="113"/>
        <v>2010.8801565955873</v>
      </c>
      <c r="DA107" s="116">
        <f t="shared" si="113"/>
        <v>2010.8801565955873</v>
      </c>
      <c r="DB107" s="116">
        <f t="shared" si="113"/>
        <v>2010.8801565955873</v>
      </c>
      <c r="DC107" s="116">
        <f t="shared" si="113"/>
        <v>2010.8801565955873</v>
      </c>
      <c r="DD107" s="116">
        <f t="shared" si="113"/>
        <v>2010.8801565955873</v>
      </c>
      <c r="DE107" s="116">
        <f t="shared" si="113"/>
        <v>2068.4662571959216</v>
      </c>
      <c r="DF107" s="116">
        <f t="shared" si="113"/>
        <v>2068.4662571959216</v>
      </c>
      <c r="DG107" s="116">
        <f t="shared" si="113"/>
        <v>2068.4662571959216</v>
      </c>
      <c r="DH107" s="116">
        <f t="shared" si="113"/>
        <v>2068.4662571959216</v>
      </c>
      <c r="DI107" s="116">
        <f t="shared" si="113"/>
        <v>2068.4662571959216</v>
      </c>
      <c r="DJ107" s="116">
        <f t="shared" si="111"/>
        <v>2176.0265025701096</v>
      </c>
      <c r="DK107" s="116">
        <f t="shared" si="111"/>
        <v>2176.0265025701096</v>
      </c>
      <c r="DL107" s="116">
        <f t="shared" si="111"/>
        <v>2176.0265025701096</v>
      </c>
      <c r="DM107" s="116">
        <f t="shared" si="111"/>
        <v>2176.0265025701096</v>
      </c>
      <c r="DN107" s="116">
        <f t="shared" si="111"/>
        <v>2176.0265025701096</v>
      </c>
      <c r="DO107" s="116">
        <f t="shared" si="111"/>
        <v>2247.1817418176493</v>
      </c>
      <c r="DP107" s="116">
        <f t="shared" si="111"/>
        <v>2247.1817418176493</v>
      </c>
      <c r="DQ107" s="116">
        <f t="shared" si="111"/>
        <v>2247.1817418176493</v>
      </c>
      <c r="DR107" s="116">
        <f t="shared" si="111"/>
        <v>2247.1817418176493</v>
      </c>
      <c r="DS107" s="116">
        <f t="shared" si="111"/>
        <v>2247.1817418176493</v>
      </c>
      <c r="DT107" s="116">
        <f t="shared" si="111"/>
        <v>2337.5323479319673</v>
      </c>
      <c r="DW107" s="83" t="s">
        <v>229</v>
      </c>
      <c r="DX107" s="114">
        <f t="shared" si="84"/>
        <v>56738.014005673045</v>
      </c>
      <c r="DY107" s="116">
        <f t="shared" si="119"/>
        <v>56738.014005673045</v>
      </c>
      <c r="DZ107" s="116">
        <f t="shared" si="119"/>
        <v>49638.850217070736</v>
      </c>
      <c r="EA107" s="116">
        <f t="shared" si="119"/>
        <v>49638.850217070736</v>
      </c>
      <c r="EB107" s="116">
        <f t="shared" si="119"/>
        <v>49638.850217070736</v>
      </c>
      <c r="EC107" s="116">
        <f t="shared" si="119"/>
        <v>49638.850217070736</v>
      </c>
      <c r="ED107" s="116">
        <f t="shared" si="119"/>
        <v>49638.850217070736</v>
      </c>
      <c r="EE107" s="116">
        <f t="shared" si="119"/>
        <v>30883.386004556873</v>
      </c>
      <c r="EF107" s="116">
        <f t="shared" si="119"/>
        <v>30883.386004556873</v>
      </c>
      <c r="EG107" s="116">
        <f t="shared" si="119"/>
        <v>30883.386004556873</v>
      </c>
      <c r="EH107" s="116">
        <f t="shared" si="119"/>
        <v>30883.386004556873</v>
      </c>
      <c r="EI107" s="116">
        <f t="shared" si="119"/>
        <v>30883.386004556873</v>
      </c>
      <c r="EJ107" s="116">
        <f t="shared" si="119"/>
        <v>27498.69127506973</v>
      </c>
      <c r="EK107" s="116">
        <f t="shared" si="119"/>
        <v>27498.69127506973</v>
      </c>
      <c r="EL107" s="116">
        <f t="shared" si="119"/>
        <v>27498.69127506973</v>
      </c>
      <c r="EM107" s="116">
        <f t="shared" si="119"/>
        <v>27498.69127506973</v>
      </c>
      <c r="EN107" s="116">
        <f t="shared" si="119"/>
        <v>27498.69127506973</v>
      </c>
      <c r="EO107" s="116">
        <f t="shared" si="116"/>
        <v>26720.135354696402</v>
      </c>
      <c r="EP107" s="116">
        <f t="shared" si="116"/>
        <v>26720.135354696402</v>
      </c>
      <c r="EQ107" s="116">
        <f t="shared" si="116"/>
        <v>26720.135354696402</v>
      </c>
      <c r="ER107" s="116">
        <f t="shared" si="116"/>
        <v>26720.135354696402</v>
      </c>
      <c r="ES107" s="116">
        <f t="shared" si="116"/>
        <v>26720.135354696402</v>
      </c>
      <c r="ET107" s="116">
        <f t="shared" si="116"/>
        <v>25774.488431340222</v>
      </c>
      <c r="EU107" s="116">
        <f t="shared" si="116"/>
        <v>25774.488431340222</v>
      </c>
      <c r="EV107" s="116">
        <f t="shared" si="116"/>
        <v>25774.488431340222</v>
      </c>
      <c r="EW107" s="116">
        <f t="shared" si="116"/>
        <v>25774.488431340222</v>
      </c>
      <c r="EX107" s="116">
        <f t="shared" si="116"/>
        <v>25774.488431340222</v>
      </c>
      <c r="EY107" s="116">
        <f t="shared" si="116"/>
        <v>24267.463821703532</v>
      </c>
      <c r="FB107" s="83" t="s">
        <v>229</v>
      </c>
      <c r="FC107" s="114">
        <f t="shared" si="86"/>
        <v>61334.41903017251</v>
      </c>
      <c r="FD107" s="116">
        <f t="shared" si="120"/>
        <v>61334.41903017251</v>
      </c>
      <c r="FE107" s="116">
        <f t="shared" si="120"/>
        <v>53473.528630849825</v>
      </c>
      <c r="FF107" s="116">
        <f t="shared" si="120"/>
        <v>53473.528630849825</v>
      </c>
      <c r="FG107" s="116">
        <f t="shared" si="120"/>
        <v>53473.528630849825</v>
      </c>
      <c r="FH107" s="116">
        <f t="shared" si="120"/>
        <v>53473.528630849825</v>
      </c>
      <c r="FI107" s="116">
        <f t="shared" si="120"/>
        <v>53473.528630849825</v>
      </c>
      <c r="FJ107" s="116">
        <f t="shared" si="120"/>
        <v>33822.504726089748</v>
      </c>
      <c r="FK107" s="116">
        <f t="shared" si="120"/>
        <v>33822.504726089748</v>
      </c>
      <c r="FL107" s="116">
        <f t="shared" si="120"/>
        <v>33822.504726089748</v>
      </c>
      <c r="FM107" s="116">
        <f t="shared" si="120"/>
        <v>33822.504726089748</v>
      </c>
      <c r="FN107" s="116">
        <f t="shared" si="120"/>
        <v>33822.504726089748</v>
      </c>
      <c r="FO107" s="116">
        <f t="shared" si="120"/>
        <v>29956.972577946919</v>
      </c>
      <c r="FP107" s="116">
        <f t="shared" si="120"/>
        <v>29956.972577946919</v>
      </c>
      <c r="FQ107" s="116">
        <f t="shared" si="120"/>
        <v>29956.972577946919</v>
      </c>
      <c r="FR107" s="116">
        <f t="shared" si="120"/>
        <v>29956.972577946919</v>
      </c>
      <c r="FS107" s="116">
        <f t="shared" si="120"/>
        <v>29956.972577946919</v>
      </c>
      <c r="FT107" s="116">
        <f t="shared" si="117"/>
        <v>29272.981349909209</v>
      </c>
      <c r="FU107" s="116">
        <f t="shared" si="117"/>
        <v>29272.981349909209</v>
      </c>
      <c r="FV107" s="116">
        <f t="shared" si="117"/>
        <v>29272.981349909209</v>
      </c>
      <c r="FW107" s="116">
        <f t="shared" si="117"/>
        <v>29272.981349909209</v>
      </c>
      <c r="FX107" s="116">
        <f t="shared" si="117"/>
        <v>29272.981349909209</v>
      </c>
      <c r="FY107" s="116">
        <f t="shared" si="117"/>
        <v>28325.73163515751</v>
      </c>
      <c r="FZ107" s="116">
        <f t="shared" si="117"/>
        <v>28325.73163515751</v>
      </c>
      <c r="GA107" s="116">
        <f t="shared" si="117"/>
        <v>28325.73163515751</v>
      </c>
      <c r="GB107" s="116">
        <f t="shared" si="117"/>
        <v>28325.73163515751</v>
      </c>
      <c r="GC107" s="116">
        <f t="shared" si="117"/>
        <v>28325.73163515751</v>
      </c>
      <c r="GD107" s="116">
        <f t="shared" si="117"/>
        <v>26767.417700864215</v>
      </c>
      <c r="GH107" s="123" t="s">
        <v>229</v>
      </c>
      <c r="GI107" s="103">
        <f t="shared" si="121"/>
        <v>107973.93862562711</v>
      </c>
      <c r="GJ107" s="103">
        <f t="shared" si="121"/>
        <v>107973.93862562711</v>
      </c>
      <c r="GK107" s="103">
        <f t="shared" si="121"/>
        <v>107973.93862562711</v>
      </c>
      <c r="GL107" s="103">
        <f t="shared" si="121"/>
        <v>107973.93862562711</v>
      </c>
      <c r="GM107" s="103">
        <f t="shared" si="121"/>
        <v>107973.93862562711</v>
      </c>
      <c r="GN107" s="103">
        <f t="shared" si="121"/>
        <v>107973.93862562711</v>
      </c>
      <c r="GO107" s="103">
        <f t="shared" si="121"/>
        <v>107973.93862562711</v>
      </c>
      <c r="GP107" s="103">
        <f t="shared" si="121"/>
        <v>107973.93862562711</v>
      </c>
      <c r="GQ107" s="103">
        <f t="shared" si="121"/>
        <v>107973.93862562711</v>
      </c>
      <c r="GR107" s="103">
        <f t="shared" si="121"/>
        <v>107973.93862562711</v>
      </c>
      <c r="GS107" s="103">
        <f t="shared" si="121"/>
        <v>107973.93862562711</v>
      </c>
      <c r="GT107" s="103">
        <f t="shared" si="121"/>
        <v>107973.93862562711</v>
      </c>
      <c r="GU107" s="103">
        <f t="shared" si="121"/>
        <v>107973.93862562711</v>
      </c>
      <c r="GV107" s="103">
        <f t="shared" si="121"/>
        <v>107973.93862562711</v>
      </c>
      <c r="GW107" s="103">
        <f t="shared" si="121"/>
        <v>107973.93862562711</v>
      </c>
      <c r="GX107" s="103">
        <f t="shared" si="121"/>
        <v>107973.93862562711</v>
      </c>
      <c r="GY107" s="103">
        <f t="shared" si="118"/>
        <v>107973.93862562711</v>
      </c>
      <c r="GZ107" s="103">
        <f t="shared" si="118"/>
        <v>107973.93862562711</v>
      </c>
      <c r="HA107" s="103">
        <f t="shared" si="118"/>
        <v>107973.93862562711</v>
      </c>
      <c r="HB107" s="103">
        <f t="shared" si="118"/>
        <v>107973.93862562711</v>
      </c>
      <c r="HC107" s="103">
        <f t="shared" si="118"/>
        <v>107973.93862562711</v>
      </c>
      <c r="HD107" s="103">
        <f t="shared" si="118"/>
        <v>107973.93862562711</v>
      </c>
      <c r="HE107" s="103">
        <f t="shared" si="118"/>
        <v>107973.93862562711</v>
      </c>
      <c r="HF107" s="103">
        <f t="shared" si="118"/>
        <v>107973.93862562711</v>
      </c>
      <c r="HG107" s="103">
        <f t="shared" si="118"/>
        <v>107973.93862562711</v>
      </c>
      <c r="HH107" s="103">
        <f t="shared" si="118"/>
        <v>107973.93862562711</v>
      </c>
      <c r="HI107" s="103">
        <f t="shared" si="118"/>
        <v>107973.93862562711</v>
      </c>
      <c r="HJ107" s="103">
        <f t="shared" si="118"/>
        <v>107973.93862562711</v>
      </c>
    </row>
    <row r="108" spans="26:218" x14ac:dyDescent="0.25">
      <c r="Z108" s="83" t="s">
        <v>159</v>
      </c>
      <c r="AA108" s="114">
        <f>'US Grid mix, emissions&amp;prices'!O105</f>
        <v>296801</v>
      </c>
      <c r="AB108" s="116">
        <f t="shared" si="109"/>
        <v>296801</v>
      </c>
      <c r="AC108" s="116">
        <f t="shared" si="115"/>
        <v>260693.8446451553</v>
      </c>
      <c r="AD108" s="116">
        <f t="shared" si="115"/>
        <v>260693.8446451553</v>
      </c>
      <c r="AE108" s="116">
        <f t="shared" si="115"/>
        <v>260693.8446451553</v>
      </c>
      <c r="AF108" s="116">
        <f t="shared" si="115"/>
        <v>260693.8446451553</v>
      </c>
      <c r="AG108" s="116">
        <f t="shared" si="115"/>
        <v>260693.8446451553</v>
      </c>
      <c r="AH108" s="116">
        <f t="shared" si="115"/>
        <v>98561.600873914358</v>
      </c>
      <c r="AI108" s="116">
        <f t="shared" si="115"/>
        <v>98561.600873914358</v>
      </c>
      <c r="AJ108" s="116">
        <f t="shared" si="115"/>
        <v>98561.600873914358</v>
      </c>
      <c r="AK108" s="116">
        <f t="shared" si="115"/>
        <v>98561.600873914358</v>
      </c>
      <c r="AL108" s="116">
        <f t="shared" si="115"/>
        <v>98561.600873914358</v>
      </c>
      <c r="AM108" s="116">
        <f t="shared" si="115"/>
        <v>82841.058700225796</v>
      </c>
      <c r="AN108" s="116">
        <f t="shared" si="115"/>
        <v>82841.058700225796</v>
      </c>
      <c r="AO108" s="116">
        <f t="shared" si="115"/>
        <v>82841.058700225796</v>
      </c>
      <c r="AP108" s="116">
        <f t="shared" si="115"/>
        <v>82841.058700225796</v>
      </c>
      <c r="AQ108" s="116">
        <f t="shared" si="115"/>
        <v>82841.058700225796</v>
      </c>
      <c r="AR108" s="116">
        <f t="shared" si="115"/>
        <v>82841.058700225796</v>
      </c>
      <c r="AS108" s="116">
        <f t="shared" si="115"/>
        <v>82841.058700225796</v>
      </c>
      <c r="AT108" s="116">
        <f t="shared" si="115"/>
        <v>82841.058700225796</v>
      </c>
      <c r="AU108" s="116">
        <f t="shared" si="115"/>
        <v>82841.058700225796</v>
      </c>
      <c r="AV108" s="116">
        <f t="shared" si="115"/>
        <v>82841.058700225796</v>
      </c>
      <c r="AW108" s="116">
        <f t="shared" si="115"/>
        <v>83232.185240557636</v>
      </c>
      <c r="AX108" s="116">
        <f t="shared" si="115"/>
        <v>83232.185240557636</v>
      </c>
      <c r="AY108" s="116">
        <f t="shared" si="115"/>
        <v>83232.185240557636</v>
      </c>
      <c r="AZ108" s="116">
        <f t="shared" si="115"/>
        <v>83232.185240557636</v>
      </c>
      <c r="BA108" s="116">
        <f t="shared" si="115"/>
        <v>83232.185240557636</v>
      </c>
      <c r="BB108" s="116">
        <f t="shared" si="115"/>
        <v>83723.952528109381</v>
      </c>
      <c r="BM108" s="83" t="s">
        <v>159</v>
      </c>
      <c r="BN108" s="114">
        <f t="shared" si="78"/>
        <v>296801</v>
      </c>
      <c r="BO108" s="116">
        <f t="shared" si="112"/>
        <v>296801</v>
      </c>
      <c r="BP108" s="116">
        <f t="shared" si="112"/>
        <v>233960.00252001756</v>
      </c>
      <c r="BQ108" s="116">
        <f t="shared" si="112"/>
        <v>233960.00252001756</v>
      </c>
      <c r="BR108" s="116">
        <f t="shared" si="112"/>
        <v>233960.00252001756</v>
      </c>
      <c r="BS108" s="116">
        <f t="shared" si="112"/>
        <v>233960.00252001756</v>
      </c>
      <c r="BT108" s="116">
        <f t="shared" si="112"/>
        <v>233960.00252001756</v>
      </c>
      <c r="BU108" s="116">
        <f t="shared" si="112"/>
        <v>13215.959941739044</v>
      </c>
      <c r="BV108" s="116">
        <f t="shared" si="112"/>
        <v>13215.959941739044</v>
      </c>
      <c r="BW108" s="116">
        <f t="shared" si="112"/>
        <v>13215.959941739044</v>
      </c>
      <c r="BX108" s="116">
        <f t="shared" si="112"/>
        <v>13215.959941739044</v>
      </c>
      <c r="BY108" s="116">
        <f t="shared" si="112"/>
        <v>13215.959941739044</v>
      </c>
      <c r="BZ108" s="116">
        <f t="shared" si="112"/>
        <v>13783.20778970569</v>
      </c>
      <c r="CA108" s="116">
        <f t="shared" si="112"/>
        <v>13783.20778970569</v>
      </c>
      <c r="CB108" s="116">
        <f t="shared" si="112"/>
        <v>13783.20778970569</v>
      </c>
      <c r="CC108" s="116">
        <f t="shared" si="112"/>
        <v>13783.20778970569</v>
      </c>
      <c r="CD108" s="116">
        <f t="shared" si="112"/>
        <v>13783.20778970569</v>
      </c>
      <c r="CE108" s="116">
        <f t="shared" si="110"/>
        <v>13975.340125307297</v>
      </c>
      <c r="CF108" s="116">
        <f t="shared" si="110"/>
        <v>13975.340125307297</v>
      </c>
      <c r="CG108" s="116">
        <f t="shared" si="110"/>
        <v>13975.340125307297</v>
      </c>
      <c r="CH108" s="116">
        <f t="shared" si="110"/>
        <v>13975.340125307297</v>
      </c>
      <c r="CI108" s="116">
        <f t="shared" si="110"/>
        <v>13975.340125307297</v>
      </c>
      <c r="CJ108" s="116">
        <f t="shared" si="110"/>
        <v>14467.107412859026</v>
      </c>
      <c r="CK108" s="116">
        <f t="shared" si="110"/>
        <v>14467.107412859026</v>
      </c>
      <c r="CL108" s="116">
        <f t="shared" si="110"/>
        <v>14467.107412859026</v>
      </c>
      <c r="CM108" s="116">
        <f t="shared" si="110"/>
        <v>14467.107412859026</v>
      </c>
      <c r="CN108" s="116">
        <f t="shared" si="110"/>
        <v>14467.107412859026</v>
      </c>
      <c r="CO108" s="116">
        <f t="shared" si="110"/>
        <v>15089.250213854701</v>
      </c>
      <c r="CR108" s="83" t="s">
        <v>159</v>
      </c>
      <c r="CS108" s="114">
        <f t="shared" si="81"/>
        <v>296801</v>
      </c>
      <c r="CT108" s="116">
        <f t="shared" si="113"/>
        <v>13897.572275182836</v>
      </c>
      <c r="CU108" s="116">
        <f t="shared" si="113"/>
        <v>13897.572275182836</v>
      </c>
      <c r="CV108" s="116">
        <f t="shared" si="113"/>
        <v>13897.572275182836</v>
      </c>
      <c r="CW108" s="116">
        <f t="shared" si="113"/>
        <v>13897.572275182836</v>
      </c>
      <c r="CX108" s="116">
        <f t="shared" si="113"/>
        <v>13897.572275182836</v>
      </c>
      <c r="CY108" s="116">
        <f t="shared" si="113"/>
        <v>13897.572275182836</v>
      </c>
      <c r="CZ108" s="116">
        <f t="shared" si="113"/>
        <v>13897.572275182836</v>
      </c>
      <c r="DA108" s="116">
        <f t="shared" si="113"/>
        <v>13897.572275182836</v>
      </c>
      <c r="DB108" s="116">
        <f t="shared" si="113"/>
        <v>13897.572275182836</v>
      </c>
      <c r="DC108" s="116">
        <f t="shared" si="113"/>
        <v>13897.572275182836</v>
      </c>
      <c r="DD108" s="116">
        <f t="shared" si="113"/>
        <v>13897.572275182836</v>
      </c>
      <c r="DE108" s="116">
        <f t="shared" si="113"/>
        <v>14295.560684643306</v>
      </c>
      <c r="DF108" s="116">
        <f t="shared" si="113"/>
        <v>14295.560684643306</v>
      </c>
      <c r="DG108" s="116">
        <f t="shared" si="113"/>
        <v>14295.560684643306</v>
      </c>
      <c r="DH108" s="116">
        <f t="shared" si="113"/>
        <v>14295.560684643306</v>
      </c>
      <c r="DI108" s="116">
        <f t="shared" si="113"/>
        <v>14295.560684643306</v>
      </c>
      <c r="DJ108" s="116">
        <f t="shared" si="111"/>
        <v>15038.929840244758</v>
      </c>
      <c r="DK108" s="116">
        <f t="shared" si="111"/>
        <v>15038.929840244758</v>
      </c>
      <c r="DL108" s="116">
        <f t="shared" si="111"/>
        <v>15038.929840244758</v>
      </c>
      <c r="DM108" s="116">
        <f t="shared" si="111"/>
        <v>15038.929840244758</v>
      </c>
      <c r="DN108" s="116">
        <f t="shared" si="111"/>
        <v>15038.929840244758</v>
      </c>
      <c r="DO108" s="116">
        <f t="shared" si="111"/>
        <v>15530.697127796488</v>
      </c>
      <c r="DP108" s="116">
        <f t="shared" si="111"/>
        <v>15530.697127796488</v>
      </c>
      <c r="DQ108" s="116">
        <f t="shared" si="111"/>
        <v>15530.697127796488</v>
      </c>
      <c r="DR108" s="116">
        <f t="shared" si="111"/>
        <v>15530.697127796488</v>
      </c>
      <c r="DS108" s="116">
        <f t="shared" si="111"/>
        <v>15530.697127796488</v>
      </c>
      <c r="DT108" s="116">
        <f t="shared" si="111"/>
        <v>16155.127218501708</v>
      </c>
      <c r="DW108" s="83" t="s">
        <v>159</v>
      </c>
      <c r="DX108" s="114">
        <f t="shared" si="84"/>
        <v>392127.12294557609</v>
      </c>
      <c r="DY108" s="116">
        <f t="shared" si="119"/>
        <v>392127.12294557609</v>
      </c>
      <c r="DZ108" s="116">
        <f t="shared" si="119"/>
        <v>343063.46217899199</v>
      </c>
      <c r="EA108" s="116">
        <f t="shared" si="119"/>
        <v>343063.46217899199</v>
      </c>
      <c r="EB108" s="116">
        <f t="shared" si="119"/>
        <v>343063.46217899199</v>
      </c>
      <c r="EC108" s="116">
        <f t="shared" si="119"/>
        <v>343063.46217899199</v>
      </c>
      <c r="ED108" s="116">
        <f t="shared" si="119"/>
        <v>343063.46217899199</v>
      </c>
      <c r="EE108" s="116">
        <f t="shared" si="119"/>
        <v>213440.90929184968</v>
      </c>
      <c r="EF108" s="116">
        <f t="shared" si="119"/>
        <v>213440.90929184968</v>
      </c>
      <c r="EG108" s="116">
        <f t="shared" si="119"/>
        <v>213440.90929184968</v>
      </c>
      <c r="EH108" s="116">
        <f t="shared" si="119"/>
        <v>213440.90929184968</v>
      </c>
      <c r="EI108" s="116">
        <f t="shared" si="119"/>
        <v>213440.90929184968</v>
      </c>
      <c r="EJ108" s="116">
        <f t="shared" si="119"/>
        <v>190048.64522370408</v>
      </c>
      <c r="EK108" s="116">
        <f t="shared" si="119"/>
        <v>190048.64522370408</v>
      </c>
      <c r="EL108" s="116">
        <f t="shared" si="119"/>
        <v>190048.64522370408</v>
      </c>
      <c r="EM108" s="116">
        <f t="shared" si="119"/>
        <v>190048.64522370408</v>
      </c>
      <c r="EN108" s="116">
        <f t="shared" si="119"/>
        <v>190048.64522370408</v>
      </c>
      <c r="EO108" s="116">
        <f t="shared" si="116"/>
        <v>184667.89832132371</v>
      </c>
      <c r="EP108" s="116">
        <f t="shared" si="116"/>
        <v>184667.89832132371</v>
      </c>
      <c r="EQ108" s="116">
        <f t="shared" si="116"/>
        <v>184667.89832132371</v>
      </c>
      <c r="ER108" s="116">
        <f t="shared" si="116"/>
        <v>184667.89832132371</v>
      </c>
      <c r="ES108" s="116">
        <f t="shared" si="116"/>
        <v>184667.89832132371</v>
      </c>
      <c r="ET108" s="116">
        <f t="shared" si="116"/>
        <v>178132.35396228221</v>
      </c>
      <c r="EU108" s="116">
        <f t="shared" si="116"/>
        <v>178132.35396228221</v>
      </c>
      <c r="EV108" s="116">
        <f t="shared" si="116"/>
        <v>178132.35396228221</v>
      </c>
      <c r="EW108" s="116">
        <f t="shared" si="116"/>
        <v>178132.35396228221</v>
      </c>
      <c r="EX108" s="116">
        <f t="shared" si="116"/>
        <v>178132.35396228221</v>
      </c>
      <c r="EY108" s="116">
        <f t="shared" si="116"/>
        <v>167717.02246467411</v>
      </c>
      <c r="FB108" s="83" t="s">
        <v>159</v>
      </c>
      <c r="FC108" s="114">
        <f t="shared" si="86"/>
        <v>423893.7455483579</v>
      </c>
      <c r="FD108" s="116">
        <f t="shared" si="120"/>
        <v>423893.7455483579</v>
      </c>
      <c r="FE108" s="116">
        <f t="shared" si="120"/>
        <v>369565.6484145968</v>
      </c>
      <c r="FF108" s="116">
        <f t="shared" si="120"/>
        <v>369565.6484145968</v>
      </c>
      <c r="FG108" s="116">
        <f t="shared" si="120"/>
        <v>369565.6484145968</v>
      </c>
      <c r="FH108" s="116">
        <f t="shared" si="120"/>
        <v>369565.6484145968</v>
      </c>
      <c r="FI108" s="116">
        <f t="shared" si="120"/>
        <v>369565.6484145968</v>
      </c>
      <c r="FJ108" s="116">
        <f t="shared" si="120"/>
        <v>233753.71347556554</v>
      </c>
      <c r="FK108" s="116">
        <f t="shared" si="120"/>
        <v>233753.71347556554</v>
      </c>
      <c r="FL108" s="116">
        <f t="shared" si="120"/>
        <v>233753.71347556554</v>
      </c>
      <c r="FM108" s="116">
        <f t="shared" si="120"/>
        <v>233753.71347556554</v>
      </c>
      <c r="FN108" s="116">
        <f t="shared" si="120"/>
        <v>233753.71347556554</v>
      </c>
      <c r="FO108" s="116">
        <f t="shared" si="120"/>
        <v>207038.29125875476</v>
      </c>
      <c r="FP108" s="116">
        <f t="shared" si="120"/>
        <v>207038.29125875476</v>
      </c>
      <c r="FQ108" s="116">
        <f t="shared" si="120"/>
        <v>207038.29125875476</v>
      </c>
      <c r="FR108" s="116">
        <f t="shared" si="120"/>
        <v>207038.29125875476</v>
      </c>
      <c r="FS108" s="116">
        <f t="shared" si="120"/>
        <v>207038.29125875476</v>
      </c>
      <c r="FT108" s="116">
        <f t="shared" si="117"/>
        <v>202311.09879227856</v>
      </c>
      <c r="FU108" s="116">
        <f t="shared" si="117"/>
        <v>202311.09879227856</v>
      </c>
      <c r="FV108" s="116">
        <f t="shared" si="117"/>
        <v>202311.09879227856</v>
      </c>
      <c r="FW108" s="116">
        <f t="shared" si="117"/>
        <v>202311.09879227856</v>
      </c>
      <c r="FX108" s="116">
        <f t="shared" si="117"/>
        <v>202311.09879227856</v>
      </c>
      <c r="FY108" s="116">
        <f t="shared" si="117"/>
        <v>195764.47723940818</v>
      </c>
      <c r="FZ108" s="116">
        <f t="shared" si="117"/>
        <v>195764.47723940818</v>
      </c>
      <c r="GA108" s="116">
        <f t="shared" si="117"/>
        <v>195764.47723940818</v>
      </c>
      <c r="GB108" s="116">
        <f t="shared" si="117"/>
        <v>195764.47723940818</v>
      </c>
      <c r="GC108" s="116">
        <f t="shared" si="117"/>
        <v>195764.47723940818</v>
      </c>
      <c r="GD108" s="116">
        <f t="shared" si="117"/>
        <v>184994.67553927578</v>
      </c>
      <c r="GH108" s="123" t="s">
        <v>159</v>
      </c>
      <c r="GI108" s="103">
        <f t="shared" si="121"/>
        <v>746228.26773838059</v>
      </c>
      <c r="GJ108" s="103">
        <f t="shared" si="121"/>
        <v>746228.26773838059</v>
      </c>
      <c r="GK108" s="103">
        <f t="shared" si="121"/>
        <v>746228.26773838059</v>
      </c>
      <c r="GL108" s="103">
        <f t="shared" si="121"/>
        <v>746228.26773838059</v>
      </c>
      <c r="GM108" s="103">
        <f t="shared" si="121"/>
        <v>746228.26773838059</v>
      </c>
      <c r="GN108" s="103">
        <f t="shared" si="121"/>
        <v>746228.26773838059</v>
      </c>
      <c r="GO108" s="103">
        <f t="shared" si="121"/>
        <v>746228.26773838059</v>
      </c>
      <c r="GP108" s="103">
        <f t="shared" si="121"/>
        <v>746228.26773838059</v>
      </c>
      <c r="GQ108" s="103">
        <f t="shared" si="121"/>
        <v>746228.26773838059</v>
      </c>
      <c r="GR108" s="103">
        <f t="shared" si="121"/>
        <v>746228.26773838059</v>
      </c>
      <c r="GS108" s="103">
        <f t="shared" si="121"/>
        <v>746228.26773838059</v>
      </c>
      <c r="GT108" s="103">
        <f t="shared" si="121"/>
        <v>746228.26773838059</v>
      </c>
      <c r="GU108" s="103">
        <f t="shared" si="121"/>
        <v>746228.26773838059</v>
      </c>
      <c r="GV108" s="103">
        <f t="shared" si="121"/>
        <v>746228.26773838059</v>
      </c>
      <c r="GW108" s="103">
        <f t="shared" si="121"/>
        <v>746228.26773838059</v>
      </c>
      <c r="GX108" s="103">
        <f t="shared" si="121"/>
        <v>746228.26773838059</v>
      </c>
      <c r="GY108" s="103">
        <f t="shared" si="118"/>
        <v>746228.26773838059</v>
      </c>
      <c r="GZ108" s="103">
        <f t="shared" si="118"/>
        <v>746228.26773838059</v>
      </c>
      <c r="HA108" s="103">
        <f t="shared" si="118"/>
        <v>746228.26773838059</v>
      </c>
      <c r="HB108" s="103">
        <f t="shared" si="118"/>
        <v>746228.26773838059</v>
      </c>
      <c r="HC108" s="103">
        <f t="shared" si="118"/>
        <v>746228.26773838059</v>
      </c>
      <c r="HD108" s="103">
        <f t="shared" si="118"/>
        <v>746228.26773838059</v>
      </c>
      <c r="HE108" s="103">
        <f t="shared" si="118"/>
        <v>746228.26773838059</v>
      </c>
      <c r="HF108" s="103">
        <f t="shared" si="118"/>
        <v>746228.26773838059</v>
      </c>
      <c r="HG108" s="103">
        <f t="shared" si="118"/>
        <v>746228.26773838059</v>
      </c>
      <c r="HH108" s="103">
        <f t="shared" si="118"/>
        <v>746228.26773838059</v>
      </c>
      <c r="HI108" s="103">
        <f t="shared" si="118"/>
        <v>746228.26773838059</v>
      </c>
      <c r="HJ108" s="103">
        <f t="shared" si="118"/>
        <v>746228.26773838059</v>
      </c>
    </row>
    <row r="109" spans="26:218" x14ac:dyDescent="0.25">
      <c r="Z109" s="83" t="s">
        <v>158</v>
      </c>
      <c r="AA109" s="114">
        <f>'US Grid mix, emissions&amp;prices'!O106</f>
        <v>175943</v>
      </c>
      <c r="AB109" s="116">
        <f t="shared" si="109"/>
        <v>175943</v>
      </c>
      <c r="AC109" s="116">
        <f t="shared" si="115"/>
        <v>154538.75528856897</v>
      </c>
      <c r="AD109" s="116">
        <f t="shared" si="115"/>
        <v>154538.75528856897</v>
      </c>
      <c r="AE109" s="116">
        <f t="shared" si="115"/>
        <v>154538.75528856897</v>
      </c>
      <c r="AF109" s="116">
        <f t="shared" si="115"/>
        <v>154538.75528856897</v>
      </c>
      <c r="AG109" s="116">
        <f t="shared" si="115"/>
        <v>154538.75528856897</v>
      </c>
      <c r="AH109" s="116">
        <f t="shared" si="115"/>
        <v>58427.106857992774</v>
      </c>
      <c r="AI109" s="116">
        <f t="shared" si="115"/>
        <v>58427.106857992774</v>
      </c>
      <c r="AJ109" s="116">
        <f t="shared" si="115"/>
        <v>58427.106857992774</v>
      </c>
      <c r="AK109" s="116">
        <f t="shared" si="115"/>
        <v>58427.106857992774</v>
      </c>
      <c r="AL109" s="116">
        <f t="shared" si="115"/>
        <v>58427.106857992774</v>
      </c>
      <c r="AM109" s="116">
        <f t="shared" si="115"/>
        <v>49108.002974699644</v>
      </c>
      <c r="AN109" s="116">
        <f t="shared" si="115"/>
        <v>49108.002974699644</v>
      </c>
      <c r="AO109" s="116">
        <f t="shared" si="115"/>
        <v>49108.002974699644</v>
      </c>
      <c r="AP109" s="116">
        <f t="shared" si="115"/>
        <v>49108.002974699644</v>
      </c>
      <c r="AQ109" s="116">
        <f t="shared" si="115"/>
        <v>49108.002974699644</v>
      </c>
      <c r="AR109" s="116">
        <f t="shared" si="115"/>
        <v>49108.002974699644</v>
      </c>
      <c r="AS109" s="116">
        <f t="shared" si="115"/>
        <v>49108.002974699644</v>
      </c>
      <c r="AT109" s="116">
        <f t="shared" si="115"/>
        <v>49108.002974699644</v>
      </c>
      <c r="AU109" s="116">
        <f t="shared" si="115"/>
        <v>49108.002974699644</v>
      </c>
      <c r="AV109" s="116">
        <f t="shared" si="115"/>
        <v>49108.002974699644</v>
      </c>
      <c r="AW109" s="116">
        <f t="shared" si="115"/>
        <v>49339.861953899861</v>
      </c>
      <c r="AX109" s="116">
        <f t="shared" si="115"/>
        <v>49339.861953899861</v>
      </c>
      <c r="AY109" s="116">
        <f t="shared" si="115"/>
        <v>49339.861953899861</v>
      </c>
      <c r="AZ109" s="116">
        <f t="shared" si="115"/>
        <v>49339.861953899861</v>
      </c>
      <c r="BA109" s="116">
        <f t="shared" si="115"/>
        <v>49339.861953899861</v>
      </c>
      <c r="BB109" s="116">
        <f t="shared" si="115"/>
        <v>49631.380553479095</v>
      </c>
      <c r="BM109" s="83" t="s">
        <v>158</v>
      </c>
      <c r="BN109" s="114">
        <f t="shared" si="78"/>
        <v>175943</v>
      </c>
      <c r="BO109" s="116">
        <f t="shared" si="112"/>
        <v>175943</v>
      </c>
      <c r="BP109" s="116">
        <f t="shared" si="112"/>
        <v>138690.99067516433</v>
      </c>
      <c r="BQ109" s="116">
        <f t="shared" si="112"/>
        <v>138690.99067516433</v>
      </c>
      <c r="BR109" s="116">
        <f t="shared" si="112"/>
        <v>138690.99067516433</v>
      </c>
      <c r="BS109" s="116">
        <f t="shared" si="112"/>
        <v>138690.99067516433</v>
      </c>
      <c r="BT109" s="116">
        <f t="shared" si="112"/>
        <v>138690.99067516433</v>
      </c>
      <c r="BU109" s="116">
        <f t="shared" si="112"/>
        <v>7834.3928761338157</v>
      </c>
      <c r="BV109" s="116">
        <f t="shared" si="112"/>
        <v>7834.3928761338157</v>
      </c>
      <c r="BW109" s="116">
        <f t="shared" si="112"/>
        <v>7834.3928761338157</v>
      </c>
      <c r="BX109" s="116">
        <f t="shared" si="112"/>
        <v>7834.3928761338157</v>
      </c>
      <c r="BY109" s="116">
        <f t="shared" si="112"/>
        <v>7834.3928761338157</v>
      </c>
      <c r="BZ109" s="116">
        <f t="shared" si="112"/>
        <v>8170.6561909972952</v>
      </c>
      <c r="CA109" s="116">
        <f t="shared" si="112"/>
        <v>8170.6561909972952</v>
      </c>
      <c r="CB109" s="116">
        <f t="shared" si="112"/>
        <v>8170.6561909972952</v>
      </c>
      <c r="CC109" s="116">
        <f t="shared" si="112"/>
        <v>8170.6561909972952</v>
      </c>
      <c r="CD109" s="116">
        <f t="shared" ref="CD109:CO109" si="122">$AA109*CD$112</f>
        <v>8170.6561909972952</v>
      </c>
      <c r="CE109" s="116">
        <f t="shared" si="122"/>
        <v>8284.551829902668</v>
      </c>
      <c r="CF109" s="116">
        <f t="shared" si="122"/>
        <v>8284.551829902668</v>
      </c>
      <c r="CG109" s="116">
        <f t="shared" si="122"/>
        <v>8284.551829902668</v>
      </c>
      <c r="CH109" s="116">
        <f t="shared" si="122"/>
        <v>8284.551829902668</v>
      </c>
      <c r="CI109" s="116">
        <f t="shared" si="122"/>
        <v>8284.551829902668</v>
      </c>
      <c r="CJ109" s="116">
        <f t="shared" si="122"/>
        <v>8576.0704294818934</v>
      </c>
      <c r="CK109" s="116">
        <f t="shared" si="122"/>
        <v>8576.0704294818934</v>
      </c>
      <c r="CL109" s="116">
        <f t="shared" si="122"/>
        <v>8576.0704294818934</v>
      </c>
      <c r="CM109" s="116">
        <f t="shared" si="122"/>
        <v>8576.0704294818934</v>
      </c>
      <c r="CN109" s="116">
        <f t="shared" si="122"/>
        <v>8576.0704294818934</v>
      </c>
      <c r="CO109" s="116">
        <f t="shared" si="122"/>
        <v>8944.875355461194</v>
      </c>
      <c r="CR109" s="83" t="s">
        <v>158</v>
      </c>
      <c r="CS109" s="114">
        <f t="shared" si="81"/>
        <v>175943</v>
      </c>
      <c r="CT109" s="116">
        <f t="shared" si="113"/>
        <v>8238.451214155255</v>
      </c>
      <c r="CU109" s="116">
        <f t="shared" si="113"/>
        <v>8238.451214155255</v>
      </c>
      <c r="CV109" s="116">
        <f t="shared" si="113"/>
        <v>8238.451214155255</v>
      </c>
      <c r="CW109" s="116">
        <f t="shared" si="113"/>
        <v>8238.451214155255</v>
      </c>
      <c r="CX109" s="116">
        <f t="shared" si="113"/>
        <v>8238.451214155255</v>
      </c>
      <c r="CY109" s="116">
        <f t="shared" si="113"/>
        <v>8238.451214155255</v>
      </c>
      <c r="CZ109" s="116">
        <f t="shared" si="113"/>
        <v>8238.451214155255</v>
      </c>
      <c r="DA109" s="116">
        <f t="shared" si="113"/>
        <v>8238.451214155255</v>
      </c>
      <c r="DB109" s="116">
        <f t="shared" si="113"/>
        <v>8238.451214155255</v>
      </c>
      <c r="DC109" s="116">
        <f t="shared" si="113"/>
        <v>8238.451214155255</v>
      </c>
      <c r="DD109" s="116">
        <f t="shared" si="113"/>
        <v>8238.451214155255</v>
      </c>
      <c r="DE109" s="116">
        <f t="shared" si="113"/>
        <v>8474.3778947449537</v>
      </c>
      <c r="DF109" s="116">
        <f t="shared" si="113"/>
        <v>8474.3778947449537</v>
      </c>
      <c r="DG109" s="116">
        <f t="shared" si="113"/>
        <v>8474.3778947449537</v>
      </c>
      <c r="DH109" s="116">
        <f t="shared" si="113"/>
        <v>8474.3778947449537</v>
      </c>
      <c r="DI109" s="116">
        <f t="shared" ref="DI109:DT109" si="123">$AA109*DI$112</f>
        <v>8474.3778947449537</v>
      </c>
      <c r="DJ109" s="116">
        <f t="shared" si="123"/>
        <v>8915.0455452716924</v>
      </c>
      <c r="DK109" s="116">
        <f t="shared" si="123"/>
        <v>8915.0455452716924</v>
      </c>
      <c r="DL109" s="116">
        <f t="shared" si="123"/>
        <v>8915.0455452716924</v>
      </c>
      <c r="DM109" s="116">
        <f t="shared" si="123"/>
        <v>8915.0455452716924</v>
      </c>
      <c r="DN109" s="116">
        <f t="shared" si="123"/>
        <v>8915.0455452716924</v>
      </c>
      <c r="DO109" s="116">
        <f t="shared" si="123"/>
        <v>9206.5641448509177</v>
      </c>
      <c r="DP109" s="116">
        <f t="shared" si="123"/>
        <v>9206.5641448509177</v>
      </c>
      <c r="DQ109" s="116">
        <f t="shared" si="123"/>
        <v>9206.5641448509177</v>
      </c>
      <c r="DR109" s="116">
        <f t="shared" si="123"/>
        <v>9206.5641448509177</v>
      </c>
      <c r="DS109" s="116">
        <f t="shared" si="123"/>
        <v>9206.5641448509177</v>
      </c>
      <c r="DT109" s="116">
        <f t="shared" si="123"/>
        <v>9576.724971293379</v>
      </c>
      <c r="DW109" s="83" t="s">
        <v>158</v>
      </c>
      <c r="DX109" s="114">
        <f t="shared" si="84"/>
        <v>232452.12244033374</v>
      </c>
      <c r="DY109" s="116">
        <f t="shared" si="119"/>
        <v>232452.12244033374</v>
      </c>
      <c r="DZ109" s="116">
        <f t="shared" si="119"/>
        <v>203367.28894497792</v>
      </c>
      <c r="EA109" s="116">
        <f t="shared" si="119"/>
        <v>203367.28894497792</v>
      </c>
      <c r="EB109" s="116">
        <f t="shared" si="119"/>
        <v>203367.28894497792</v>
      </c>
      <c r="EC109" s="116">
        <f t="shared" si="119"/>
        <v>203367.28894497792</v>
      </c>
      <c r="ED109" s="116">
        <f t="shared" si="119"/>
        <v>203367.28894497792</v>
      </c>
      <c r="EE109" s="116">
        <f t="shared" si="119"/>
        <v>126527.31595761438</v>
      </c>
      <c r="EF109" s="116">
        <f t="shared" si="119"/>
        <v>126527.31595761438</v>
      </c>
      <c r="EG109" s="116">
        <f t="shared" si="119"/>
        <v>126527.31595761438</v>
      </c>
      <c r="EH109" s="116">
        <f t="shared" si="119"/>
        <v>126527.31595761438</v>
      </c>
      <c r="EI109" s="116">
        <f t="shared" si="119"/>
        <v>126527.31595761438</v>
      </c>
      <c r="EJ109" s="116">
        <f t="shared" si="119"/>
        <v>112660.43169192209</v>
      </c>
      <c r="EK109" s="116">
        <f t="shared" si="119"/>
        <v>112660.43169192209</v>
      </c>
      <c r="EL109" s="116">
        <f t="shared" si="119"/>
        <v>112660.43169192209</v>
      </c>
      <c r="EM109" s="116">
        <f t="shared" si="119"/>
        <v>112660.43169192209</v>
      </c>
      <c r="EN109" s="116">
        <f t="shared" si="119"/>
        <v>112660.43169192209</v>
      </c>
      <c r="EO109" s="116">
        <f t="shared" si="116"/>
        <v>109470.73640031085</v>
      </c>
      <c r="EP109" s="116">
        <f t="shared" si="116"/>
        <v>109470.73640031085</v>
      </c>
      <c r="EQ109" s="116">
        <f t="shared" si="116"/>
        <v>109470.73640031085</v>
      </c>
      <c r="ER109" s="116">
        <f t="shared" si="116"/>
        <v>109470.73640031085</v>
      </c>
      <c r="ES109" s="116">
        <f t="shared" si="116"/>
        <v>109470.73640031085</v>
      </c>
      <c r="ET109" s="116">
        <f t="shared" si="116"/>
        <v>105596.47963849791</v>
      </c>
      <c r="EU109" s="116">
        <f t="shared" si="116"/>
        <v>105596.47963849791</v>
      </c>
      <c r="EV109" s="116">
        <f t="shared" si="116"/>
        <v>105596.47963849791</v>
      </c>
      <c r="EW109" s="116">
        <f t="shared" si="116"/>
        <v>105596.47963849791</v>
      </c>
      <c r="EX109" s="116">
        <f t="shared" si="116"/>
        <v>105596.47963849791</v>
      </c>
      <c r="EY109" s="116">
        <f t="shared" si="116"/>
        <v>99422.293332913832</v>
      </c>
      <c r="FB109" s="83" t="s">
        <v>158</v>
      </c>
      <c r="FC109" s="114">
        <f t="shared" si="86"/>
        <v>251283.30859065417</v>
      </c>
      <c r="FD109" s="116">
        <f t="shared" si="120"/>
        <v>251283.30859065417</v>
      </c>
      <c r="FE109" s="116">
        <f t="shared" si="120"/>
        <v>219077.72844097362</v>
      </c>
      <c r="FF109" s="116">
        <f t="shared" si="120"/>
        <v>219077.72844097362</v>
      </c>
      <c r="FG109" s="116">
        <f t="shared" si="120"/>
        <v>219077.72844097362</v>
      </c>
      <c r="FH109" s="116">
        <f t="shared" si="120"/>
        <v>219077.72844097362</v>
      </c>
      <c r="FI109" s="116">
        <f t="shared" si="120"/>
        <v>219077.72844097362</v>
      </c>
      <c r="FJ109" s="116">
        <f t="shared" si="120"/>
        <v>138568.70296943554</v>
      </c>
      <c r="FK109" s="116">
        <f t="shared" si="120"/>
        <v>138568.70296943554</v>
      </c>
      <c r="FL109" s="116">
        <f t="shared" si="120"/>
        <v>138568.70296943554</v>
      </c>
      <c r="FM109" s="116">
        <f t="shared" si="120"/>
        <v>138568.70296943554</v>
      </c>
      <c r="FN109" s="116">
        <f t="shared" si="120"/>
        <v>138568.70296943554</v>
      </c>
      <c r="FO109" s="116">
        <f t="shared" si="120"/>
        <v>122731.85763841461</v>
      </c>
      <c r="FP109" s="116">
        <f t="shared" si="120"/>
        <v>122731.85763841461</v>
      </c>
      <c r="FQ109" s="116">
        <f t="shared" si="120"/>
        <v>122731.85763841461</v>
      </c>
      <c r="FR109" s="116">
        <f t="shared" si="120"/>
        <v>122731.85763841461</v>
      </c>
      <c r="FS109" s="116">
        <f t="shared" si="120"/>
        <v>122731.85763841461</v>
      </c>
      <c r="FT109" s="116">
        <f t="shared" si="117"/>
        <v>119929.58802298467</v>
      </c>
      <c r="FU109" s="116">
        <f t="shared" si="117"/>
        <v>119929.58802298467</v>
      </c>
      <c r="FV109" s="116">
        <f t="shared" si="117"/>
        <v>119929.58802298467</v>
      </c>
      <c r="FW109" s="116">
        <f t="shared" si="117"/>
        <v>119929.58802298467</v>
      </c>
      <c r="FX109" s="116">
        <f t="shared" si="117"/>
        <v>119929.58802298467</v>
      </c>
      <c r="FY109" s="116">
        <f t="shared" si="117"/>
        <v>116048.76472428731</v>
      </c>
      <c r="FZ109" s="116">
        <f t="shared" si="117"/>
        <v>116048.76472428731</v>
      </c>
      <c r="GA109" s="116">
        <f t="shared" si="117"/>
        <v>116048.76472428731</v>
      </c>
      <c r="GB109" s="116">
        <f t="shared" si="117"/>
        <v>116048.76472428731</v>
      </c>
      <c r="GC109" s="116">
        <f t="shared" si="117"/>
        <v>116048.76472428731</v>
      </c>
      <c r="GD109" s="116">
        <f t="shared" si="117"/>
        <v>109664.4492384015</v>
      </c>
      <c r="GH109" s="123" t="s">
        <v>158</v>
      </c>
      <c r="GI109" s="103">
        <f t="shared" si="121"/>
        <v>442362.52610568661</v>
      </c>
      <c r="GJ109" s="103">
        <f t="shared" si="121"/>
        <v>442362.52610568661</v>
      </c>
      <c r="GK109" s="103">
        <f t="shared" si="121"/>
        <v>442362.52610568661</v>
      </c>
      <c r="GL109" s="103">
        <f t="shared" si="121"/>
        <v>442362.52610568661</v>
      </c>
      <c r="GM109" s="103">
        <f t="shared" si="121"/>
        <v>442362.52610568661</v>
      </c>
      <c r="GN109" s="103">
        <f t="shared" si="121"/>
        <v>442362.52610568661</v>
      </c>
      <c r="GO109" s="103">
        <f t="shared" si="121"/>
        <v>442362.52610568661</v>
      </c>
      <c r="GP109" s="103">
        <f t="shared" si="121"/>
        <v>442362.52610568661</v>
      </c>
      <c r="GQ109" s="103">
        <f t="shared" si="121"/>
        <v>442362.52610568661</v>
      </c>
      <c r="GR109" s="103">
        <f t="shared" si="121"/>
        <v>442362.52610568661</v>
      </c>
      <c r="GS109" s="103">
        <f t="shared" si="121"/>
        <v>442362.52610568661</v>
      </c>
      <c r="GT109" s="103">
        <f t="shared" si="121"/>
        <v>442362.52610568661</v>
      </c>
      <c r="GU109" s="103">
        <f t="shared" si="121"/>
        <v>442362.52610568661</v>
      </c>
      <c r="GV109" s="103">
        <f t="shared" si="121"/>
        <v>442362.52610568661</v>
      </c>
      <c r="GW109" s="103">
        <f t="shared" si="121"/>
        <v>442362.52610568661</v>
      </c>
      <c r="GX109" s="103">
        <f t="shared" si="121"/>
        <v>442362.52610568661</v>
      </c>
      <c r="GY109" s="103">
        <f t="shared" si="118"/>
        <v>442362.52610568661</v>
      </c>
      <c r="GZ109" s="103">
        <f t="shared" si="118"/>
        <v>442362.52610568661</v>
      </c>
      <c r="HA109" s="103">
        <f t="shared" si="118"/>
        <v>442362.52610568661</v>
      </c>
      <c r="HB109" s="103">
        <f t="shared" si="118"/>
        <v>442362.52610568661</v>
      </c>
      <c r="HC109" s="103">
        <f t="shared" si="118"/>
        <v>442362.52610568661</v>
      </c>
      <c r="HD109" s="103">
        <f t="shared" si="118"/>
        <v>442362.52610568661</v>
      </c>
      <c r="HE109" s="103">
        <f t="shared" si="118"/>
        <v>442362.52610568661</v>
      </c>
      <c r="HF109" s="103">
        <f t="shared" si="118"/>
        <v>442362.52610568661</v>
      </c>
      <c r="HG109" s="103">
        <f t="shared" si="118"/>
        <v>442362.52610568661</v>
      </c>
      <c r="HH109" s="103">
        <f t="shared" si="118"/>
        <v>442362.52610568661</v>
      </c>
      <c r="HI109" s="103">
        <f t="shared" si="118"/>
        <v>442362.52610568661</v>
      </c>
      <c r="HJ109" s="103">
        <f t="shared" si="118"/>
        <v>442362.52610568661</v>
      </c>
    </row>
    <row r="110" spans="26:218" x14ac:dyDescent="0.25">
      <c r="Z110" s="83" t="s">
        <v>160</v>
      </c>
      <c r="AA110" s="114">
        <f>'US Grid mix, emissions&amp;prices'!O107</f>
        <v>245464</v>
      </c>
      <c r="AB110" s="116">
        <f t="shared" si="109"/>
        <v>245464</v>
      </c>
      <c r="AC110" s="116">
        <f t="shared" si="115"/>
        <v>215602.2179237213</v>
      </c>
      <c r="AD110" s="116">
        <f t="shared" si="115"/>
        <v>215602.2179237213</v>
      </c>
      <c r="AE110" s="116">
        <f t="shared" si="115"/>
        <v>215602.2179237213</v>
      </c>
      <c r="AF110" s="116">
        <f t="shared" si="115"/>
        <v>215602.2179237213</v>
      </c>
      <c r="AG110" s="116">
        <f t="shared" si="115"/>
        <v>215602.2179237213</v>
      </c>
      <c r="AH110" s="116">
        <f t="shared" si="115"/>
        <v>81513.622922141483</v>
      </c>
      <c r="AI110" s="116">
        <f t="shared" si="115"/>
        <v>81513.622922141483</v>
      </c>
      <c r="AJ110" s="116">
        <f t="shared" si="115"/>
        <v>81513.622922141483</v>
      </c>
      <c r="AK110" s="116">
        <f t="shared" si="115"/>
        <v>81513.622922141483</v>
      </c>
      <c r="AL110" s="116">
        <f t="shared" si="115"/>
        <v>81513.622922141483</v>
      </c>
      <c r="AM110" s="116">
        <f t="shared" si="115"/>
        <v>68512.227495164188</v>
      </c>
      <c r="AN110" s="116">
        <f t="shared" si="115"/>
        <v>68512.227495164188</v>
      </c>
      <c r="AO110" s="116">
        <f t="shared" si="115"/>
        <v>68512.227495164188</v>
      </c>
      <c r="AP110" s="116">
        <f t="shared" si="115"/>
        <v>68512.227495164188</v>
      </c>
      <c r="AQ110" s="116">
        <f t="shared" si="115"/>
        <v>68512.227495164188</v>
      </c>
      <c r="AR110" s="116">
        <f t="shared" si="115"/>
        <v>68512.227495164188</v>
      </c>
      <c r="AS110" s="116">
        <f t="shared" ref="AS110:BB110" si="124">$AA110*AS$112</f>
        <v>68512.227495164188</v>
      </c>
      <c r="AT110" s="116">
        <f t="shared" si="124"/>
        <v>68512.227495164188</v>
      </c>
      <c r="AU110" s="116">
        <f t="shared" si="124"/>
        <v>68512.227495164188</v>
      </c>
      <c r="AV110" s="116">
        <f t="shared" si="124"/>
        <v>68512.227495164188</v>
      </c>
      <c r="AW110" s="116">
        <f t="shared" si="124"/>
        <v>68835.701759388408</v>
      </c>
      <c r="AX110" s="116">
        <f t="shared" si="124"/>
        <v>68835.701759388408</v>
      </c>
      <c r="AY110" s="116">
        <f t="shared" si="124"/>
        <v>68835.701759388408</v>
      </c>
      <c r="AZ110" s="116">
        <f t="shared" si="124"/>
        <v>68835.701759388408</v>
      </c>
      <c r="BA110" s="116">
        <f t="shared" si="124"/>
        <v>68835.701759388408</v>
      </c>
      <c r="BB110" s="116">
        <f t="shared" si="124"/>
        <v>69242.409167623555</v>
      </c>
      <c r="BM110" s="83" t="s">
        <v>160</v>
      </c>
      <c r="BN110" s="114">
        <f t="shared" si="78"/>
        <v>245464</v>
      </c>
      <c r="BO110" s="116">
        <f t="shared" ref="BO110:CO110" si="125">$AA110*BO$112</f>
        <v>245464</v>
      </c>
      <c r="BP110" s="116">
        <f t="shared" si="125"/>
        <v>193492.46821464074</v>
      </c>
      <c r="BQ110" s="116">
        <f t="shared" si="125"/>
        <v>193492.46821464074</v>
      </c>
      <c r="BR110" s="116">
        <f t="shared" si="125"/>
        <v>193492.46821464074</v>
      </c>
      <c r="BS110" s="116">
        <f t="shared" si="125"/>
        <v>193492.46821464074</v>
      </c>
      <c r="BT110" s="116">
        <f t="shared" si="125"/>
        <v>193492.46821464074</v>
      </c>
      <c r="BU110" s="116">
        <f t="shared" si="125"/>
        <v>10930.025138523903</v>
      </c>
      <c r="BV110" s="116">
        <f t="shared" si="125"/>
        <v>10930.025138523903</v>
      </c>
      <c r="BW110" s="116">
        <f t="shared" si="125"/>
        <v>10930.025138523903</v>
      </c>
      <c r="BX110" s="116">
        <f t="shared" si="125"/>
        <v>10930.025138523903</v>
      </c>
      <c r="BY110" s="116">
        <f t="shared" si="125"/>
        <v>10930.025138523903</v>
      </c>
      <c r="BZ110" s="116">
        <f t="shared" si="125"/>
        <v>11399.157404767226</v>
      </c>
      <c r="CA110" s="116">
        <f t="shared" si="125"/>
        <v>11399.157404767226</v>
      </c>
      <c r="CB110" s="116">
        <f t="shared" si="125"/>
        <v>11399.157404767226</v>
      </c>
      <c r="CC110" s="116">
        <f t="shared" si="125"/>
        <v>11399.157404767226</v>
      </c>
      <c r="CD110" s="116">
        <f t="shared" si="125"/>
        <v>11399.157404767226</v>
      </c>
      <c r="CE110" s="116">
        <f t="shared" si="125"/>
        <v>11558.057043333514</v>
      </c>
      <c r="CF110" s="116">
        <f t="shared" si="125"/>
        <v>11558.057043333514</v>
      </c>
      <c r="CG110" s="116">
        <f t="shared" si="125"/>
        <v>11558.057043333514</v>
      </c>
      <c r="CH110" s="116">
        <f t="shared" si="125"/>
        <v>11558.057043333514</v>
      </c>
      <c r="CI110" s="116">
        <f t="shared" si="125"/>
        <v>11558.057043333514</v>
      </c>
      <c r="CJ110" s="116">
        <f t="shared" si="125"/>
        <v>11964.764451568653</v>
      </c>
      <c r="CK110" s="116">
        <f t="shared" si="125"/>
        <v>11964.764451568653</v>
      </c>
      <c r="CL110" s="116">
        <f t="shared" si="125"/>
        <v>11964.764451568653</v>
      </c>
      <c r="CM110" s="116">
        <f t="shared" si="125"/>
        <v>11964.764451568653</v>
      </c>
      <c r="CN110" s="116">
        <f t="shared" si="125"/>
        <v>11964.764451568653</v>
      </c>
      <c r="CO110" s="116">
        <f t="shared" si="125"/>
        <v>12479.296614545201</v>
      </c>
      <c r="CR110" s="83" t="s">
        <v>160</v>
      </c>
      <c r="CS110" s="114">
        <f t="shared" si="81"/>
        <v>245464</v>
      </c>
      <c r="CT110" s="116">
        <f t="shared" ref="CT110:DT110" si="126">$AA110*CT$112</f>
        <v>11493.740522961445</v>
      </c>
      <c r="CU110" s="116">
        <f t="shared" si="126"/>
        <v>11493.740522961445</v>
      </c>
      <c r="CV110" s="116">
        <f t="shared" si="126"/>
        <v>11493.740522961445</v>
      </c>
      <c r="CW110" s="116">
        <f t="shared" si="126"/>
        <v>11493.740522961445</v>
      </c>
      <c r="CX110" s="116">
        <f t="shared" si="126"/>
        <v>11493.740522961445</v>
      </c>
      <c r="CY110" s="116">
        <f t="shared" si="126"/>
        <v>11493.740522961445</v>
      </c>
      <c r="CZ110" s="116">
        <f t="shared" si="126"/>
        <v>11493.740522961445</v>
      </c>
      <c r="DA110" s="116">
        <f t="shared" si="126"/>
        <v>11493.740522961445</v>
      </c>
      <c r="DB110" s="116">
        <f t="shared" si="126"/>
        <v>11493.740522961445</v>
      </c>
      <c r="DC110" s="116">
        <f t="shared" si="126"/>
        <v>11493.740522961445</v>
      </c>
      <c r="DD110" s="116">
        <f t="shared" si="126"/>
        <v>11493.740522961445</v>
      </c>
      <c r="DE110" s="116">
        <f t="shared" si="126"/>
        <v>11822.889774277326</v>
      </c>
      <c r="DF110" s="116">
        <f t="shared" si="126"/>
        <v>11822.889774277326</v>
      </c>
      <c r="DG110" s="116">
        <f t="shared" si="126"/>
        <v>11822.889774277326</v>
      </c>
      <c r="DH110" s="116">
        <f t="shared" si="126"/>
        <v>11822.889774277326</v>
      </c>
      <c r="DI110" s="116">
        <f t="shared" si="126"/>
        <v>11822.889774277326</v>
      </c>
      <c r="DJ110" s="116">
        <f t="shared" si="126"/>
        <v>12437.680042539747</v>
      </c>
      <c r="DK110" s="116">
        <f t="shared" si="126"/>
        <v>12437.680042539747</v>
      </c>
      <c r="DL110" s="116">
        <f t="shared" si="126"/>
        <v>12437.680042539747</v>
      </c>
      <c r="DM110" s="116">
        <f t="shared" si="126"/>
        <v>12437.680042539747</v>
      </c>
      <c r="DN110" s="116">
        <f t="shared" si="126"/>
        <v>12437.680042539747</v>
      </c>
      <c r="DO110" s="116">
        <f t="shared" si="126"/>
        <v>12844.387450774886</v>
      </c>
      <c r="DP110" s="116">
        <f t="shared" si="126"/>
        <v>12844.387450774886</v>
      </c>
      <c r="DQ110" s="116">
        <f t="shared" si="126"/>
        <v>12844.387450774886</v>
      </c>
      <c r="DR110" s="116">
        <f t="shared" si="126"/>
        <v>12844.387450774886</v>
      </c>
      <c r="DS110" s="116">
        <f t="shared" si="126"/>
        <v>12844.387450774886</v>
      </c>
      <c r="DT110" s="116">
        <f t="shared" si="126"/>
        <v>13360.811276115321</v>
      </c>
      <c r="DW110" s="83" t="s">
        <v>160</v>
      </c>
      <c r="DX110" s="114">
        <f t="shared" si="84"/>
        <v>324301.77831851278</v>
      </c>
      <c r="DY110" s="116">
        <f t="shared" si="119"/>
        <v>324301.77831851278</v>
      </c>
      <c r="DZ110" s="116">
        <f t="shared" si="119"/>
        <v>283724.54836844926</v>
      </c>
      <c r="EA110" s="116">
        <f t="shared" si="119"/>
        <v>283724.54836844926</v>
      </c>
      <c r="EB110" s="116">
        <f t="shared" si="119"/>
        <v>283724.54836844926</v>
      </c>
      <c r="EC110" s="116">
        <f t="shared" si="119"/>
        <v>283724.54836844926</v>
      </c>
      <c r="ED110" s="116">
        <f t="shared" si="119"/>
        <v>283724.54836844926</v>
      </c>
      <c r="EE110" s="116">
        <f t="shared" si="119"/>
        <v>176522.51629345788</v>
      </c>
      <c r="EF110" s="116">
        <f t="shared" si="119"/>
        <v>176522.51629345788</v>
      </c>
      <c r="EG110" s="116">
        <f t="shared" si="119"/>
        <v>176522.51629345788</v>
      </c>
      <c r="EH110" s="116">
        <f t="shared" si="119"/>
        <v>176522.51629345788</v>
      </c>
      <c r="EI110" s="116">
        <f t="shared" si="119"/>
        <v>176522.51629345788</v>
      </c>
      <c r="EJ110" s="116">
        <f t="shared" si="119"/>
        <v>157176.3594165495</v>
      </c>
      <c r="EK110" s="116">
        <f t="shared" si="119"/>
        <v>157176.3594165495</v>
      </c>
      <c r="EL110" s="116">
        <f t="shared" si="119"/>
        <v>157176.3594165495</v>
      </c>
      <c r="EM110" s="116">
        <f t="shared" si="119"/>
        <v>157176.3594165495</v>
      </c>
      <c r="EN110" s="116">
        <f t="shared" si="119"/>
        <v>157176.3594165495</v>
      </c>
      <c r="EO110" s="116">
        <f t="shared" si="116"/>
        <v>152726.30817802303</v>
      </c>
      <c r="EP110" s="116">
        <f t="shared" si="116"/>
        <v>152726.30817802303</v>
      </c>
      <c r="EQ110" s="116">
        <f t="shared" si="116"/>
        <v>152726.30817802303</v>
      </c>
      <c r="ER110" s="116">
        <f t="shared" si="116"/>
        <v>152726.30817802303</v>
      </c>
      <c r="ES110" s="116">
        <f t="shared" si="116"/>
        <v>152726.30817802303</v>
      </c>
      <c r="ET110" s="116">
        <f t="shared" si="116"/>
        <v>147321.20219607631</v>
      </c>
      <c r="EU110" s="116">
        <f t="shared" si="116"/>
        <v>147321.20219607631</v>
      </c>
      <c r="EV110" s="116">
        <f t="shared" si="116"/>
        <v>147321.20219607631</v>
      </c>
      <c r="EW110" s="116">
        <f t="shared" si="116"/>
        <v>147321.20219607631</v>
      </c>
      <c r="EX110" s="116">
        <f t="shared" si="116"/>
        <v>147321.20219607631</v>
      </c>
      <c r="EY110" s="116">
        <f t="shared" si="116"/>
        <v>138707.38711213498</v>
      </c>
      <c r="FB110" s="83" t="s">
        <v>160</v>
      </c>
      <c r="FC110" s="114">
        <f t="shared" si="86"/>
        <v>350573.79980957659</v>
      </c>
      <c r="FD110" s="116">
        <f t="shared" si="120"/>
        <v>350573.79980957659</v>
      </c>
      <c r="FE110" s="116">
        <f t="shared" si="120"/>
        <v>305642.71118507214</v>
      </c>
      <c r="FF110" s="116">
        <f t="shared" si="120"/>
        <v>305642.71118507214</v>
      </c>
      <c r="FG110" s="116">
        <f t="shared" si="120"/>
        <v>305642.71118507214</v>
      </c>
      <c r="FH110" s="116">
        <f t="shared" si="120"/>
        <v>305642.71118507214</v>
      </c>
      <c r="FI110" s="116">
        <f t="shared" si="120"/>
        <v>305642.71118507214</v>
      </c>
      <c r="FJ110" s="116">
        <f t="shared" si="120"/>
        <v>193321.86052124566</v>
      </c>
      <c r="FK110" s="116">
        <f t="shared" si="120"/>
        <v>193321.86052124566</v>
      </c>
      <c r="FL110" s="116">
        <f t="shared" si="120"/>
        <v>193321.86052124566</v>
      </c>
      <c r="FM110" s="116">
        <f t="shared" si="120"/>
        <v>193321.86052124566</v>
      </c>
      <c r="FN110" s="116">
        <f t="shared" si="120"/>
        <v>193321.86052124566</v>
      </c>
      <c r="FO110" s="116">
        <f t="shared" si="120"/>
        <v>171227.34467046603</v>
      </c>
      <c r="FP110" s="116">
        <f t="shared" si="120"/>
        <v>171227.34467046603</v>
      </c>
      <c r="FQ110" s="116">
        <f t="shared" si="120"/>
        <v>171227.34467046603</v>
      </c>
      <c r="FR110" s="116">
        <f t="shared" si="120"/>
        <v>171227.34467046603</v>
      </c>
      <c r="FS110" s="116">
        <f t="shared" si="120"/>
        <v>171227.34467046603</v>
      </c>
      <c r="FT110" s="116">
        <f t="shared" si="117"/>
        <v>167317.80403013423</v>
      </c>
      <c r="FU110" s="116">
        <f t="shared" si="117"/>
        <v>167317.80403013423</v>
      </c>
      <c r="FV110" s="116">
        <f t="shared" si="117"/>
        <v>167317.80403013423</v>
      </c>
      <c r="FW110" s="116">
        <f t="shared" si="117"/>
        <v>167317.80403013423</v>
      </c>
      <c r="FX110" s="116">
        <f t="shared" si="117"/>
        <v>167317.80403013423</v>
      </c>
      <c r="FY110" s="116">
        <f t="shared" si="117"/>
        <v>161903.53685160796</v>
      </c>
      <c r="FZ110" s="116">
        <f t="shared" si="117"/>
        <v>161903.53685160796</v>
      </c>
      <c r="GA110" s="116">
        <f t="shared" si="117"/>
        <v>161903.53685160796</v>
      </c>
      <c r="GB110" s="116">
        <f t="shared" si="117"/>
        <v>161903.53685160796</v>
      </c>
      <c r="GC110" s="116">
        <f t="shared" si="117"/>
        <v>161903.53685160796</v>
      </c>
      <c r="GD110" s="116">
        <f t="shared" si="117"/>
        <v>152996.56347712036</v>
      </c>
      <c r="GH110" s="123" t="s">
        <v>160</v>
      </c>
      <c r="GI110" s="103">
        <f t="shared" si="121"/>
        <v>617154.84621727641</v>
      </c>
      <c r="GJ110" s="103">
        <f t="shared" si="121"/>
        <v>617154.84621727641</v>
      </c>
      <c r="GK110" s="103">
        <f t="shared" si="121"/>
        <v>617154.84621727641</v>
      </c>
      <c r="GL110" s="103">
        <f t="shared" si="121"/>
        <v>617154.84621727641</v>
      </c>
      <c r="GM110" s="103">
        <f t="shared" si="121"/>
        <v>617154.84621727641</v>
      </c>
      <c r="GN110" s="103">
        <f t="shared" si="121"/>
        <v>617154.84621727641</v>
      </c>
      <c r="GO110" s="103">
        <f t="shared" si="121"/>
        <v>617154.84621727641</v>
      </c>
      <c r="GP110" s="103">
        <f t="shared" si="121"/>
        <v>617154.84621727641</v>
      </c>
      <c r="GQ110" s="103">
        <f t="shared" si="121"/>
        <v>617154.84621727641</v>
      </c>
      <c r="GR110" s="103">
        <f t="shared" si="121"/>
        <v>617154.84621727641</v>
      </c>
      <c r="GS110" s="103">
        <f t="shared" si="121"/>
        <v>617154.84621727641</v>
      </c>
      <c r="GT110" s="103">
        <f t="shared" si="121"/>
        <v>617154.84621727641</v>
      </c>
      <c r="GU110" s="103">
        <f t="shared" si="121"/>
        <v>617154.84621727641</v>
      </c>
      <c r="GV110" s="103">
        <f t="shared" si="121"/>
        <v>617154.84621727641</v>
      </c>
      <c r="GW110" s="103">
        <f t="shared" si="121"/>
        <v>617154.84621727641</v>
      </c>
      <c r="GX110" s="103">
        <f t="shared" si="121"/>
        <v>617154.84621727641</v>
      </c>
      <c r="GY110" s="103">
        <f t="shared" si="118"/>
        <v>617154.84621727641</v>
      </c>
      <c r="GZ110" s="103">
        <f t="shared" si="118"/>
        <v>617154.84621727641</v>
      </c>
      <c r="HA110" s="103">
        <f t="shared" si="118"/>
        <v>617154.84621727641</v>
      </c>
      <c r="HB110" s="103">
        <f t="shared" si="118"/>
        <v>617154.84621727641</v>
      </c>
      <c r="HC110" s="103">
        <f t="shared" si="118"/>
        <v>617154.84621727641</v>
      </c>
      <c r="HD110" s="103">
        <f t="shared" si="118"/>
        <v>617154.84621727641</v>
      </c>
      <c r="HE110" s="103">
        <f t="shared" si="118"/>
        <v>617154.84621727641</v>
      </c>
      <c r="HF110" s="103">
        <f t="shared" si="118"/>
        <v>617154.84621727641</v>
      </c>
      <c r="HG110" s="103">
        <f t="shared" si="118"/>
        <v>617154.84621727641</v>
      </c>
      <c r="HH110" s="103">
        <f t="shared" si="118"/>
        <v>617154.84621727641</v>
      </c>
      <c r="HI110" s="103">
        <f t="shared" si="118"/>
        <v>617154.84621727641</v>
      </c>
      <c r="HJ110" s="103">
        <f t="shared" si="118"/>
        <v>617154.84621727641</v>
      </c>
    </row>
    <row r="111" spans="26:218" x14ac:dyDescent="0.25">
      <c r="Z111" s="83" t="s">
        <v>134</v>
      </c>
      <c r="AA111" s="114">
        <f>'US Grid mix, emissions&amp;prices'!O108</f>
        <v>129761</v>
      </c>
      <c r="AB111" s="119">
        <f>AA111</f>
        <v>129761</v>
      </c>
      <c r="AC111" s="119">
        <v>113975</v>
      </c>
      <c r="AD111" s="119">
        <v>113975</v>
      </c>
      <c r="AE111" s="119">
        <v>113975</v>
      </c>
      <c r="AF111" s="119">
        <v>113975</v>
      </c>
      <c r="AG111" s="119">
        <v>113975</v>
      </c>
      <c r="AH111">
        <v>43091</v>
      </c>
      <c r="AI111">
        <v>43091</v>
      </c>
      <c r="AJ111">
        <v>43091</v>
      </c>
      <c r="AK111">
        <v>43091</v>
      </c>
      <c r="AL111">
        <v>43091</v>
      </c>
      <c r="AM111">
        <v>36218</v>
      </c>
      <c r="AN111">
        <v>36218</v>
      </c>
      <c r="AO111">
        <v>36218</v>
      </c>
      <c r="AP111">
        <v>36218</v>
      </c>
      <c r="AQ111">
        <v>36218</v>
      </c>
      <c r="AR111">
        <v>36218</v>
      </c>
      <c r="AS111">
        <v>36218</v>
      </c>
      <c r="AT111">
        <v>36218</v>
      </c>
      <c r="AU111">
        <v>36218</v>
      </c>
      <c r="AV111">
        <v>36218</v>
      </c>
      <c r="AW111">
        <v>36389</v>
      </c>
      <c r="AX111">
        <v>36389</v>
      </c>
      <c r="AY111">
        <v>36389</v>
      </c>
      <c r="AZ111">
        <v>36389</v>
      </c>
      <c r="BA111">
        <v>36389</v>
      </c>
      <c r="BB111">
        <v>36604</v>
      </c>
      <c r="BM111" s="83" t="s">
        <v>134</v>
      </c>
      <c r="BN111" s="114">
        <f t="shared" si="78"/>
        <v>129761</v>
      </c>
      <c r="BO111" s="119">
        <f>BN111</f>
        <v>129761</v>
      </c>
      <c r="BP111" s="119">
        <v>102287</v>
      </c>
      <c r="BQ111" s="119">
        <v>102287</v>
      </c>
      <c r="BR111" s="119">
        <v>102287</v>
      </c>
      <c r="BS111" s="119">
        <v>102287</v>
      </c>
      <c r="BT111" s="119">
        <v>102287</v>
      </c>
      <c r="BU111">
        <v>5778</v>
      </c>
      <c r="BV111">
        <v>5778</v>
      </c>
      <c r="BW111">
        <v>5778</v>
      </c>
      <c r="BX111">
        <v>5778</v>
      </c>
      <c r="BY111">
        <v>5778</v>
      </c>
      <c r="BZ111">
        <v>6026</v>
      </c>
      <c r="CA111">
        <v>6026</v>
      </c>
      <c r="CB111">
        <v>6026</v>
      </c>
      <c r="CC111">
        <v>6026</v>
      </c>
      <c r="CD111">
        <v>6026</v>
      </c>
      <c r="CE111">
        <v>6110</v>
      </c>
      <c r="CF111">
        <v>6110</v>
      </c>
      <c r="CG111">
        <v>6110</v>
      </c>
      <c r="CH111">
        <v>6110</v>
      </c>
      <c r="CI111">
        <v>6110</v>
      </c>
      <c r="CJ111">
        <v>6325</v>
      </c>
      <c r="CK111">
        <v>6325</v>
      </c>
      <c r="CL111">
        <v>6325</v>
      </c>
      <c r="CM111">
        <v>6325</v>
      </c>
      <c r="CN111">
        <v>6325</v>
      </c>
      <c r="CO111">
        <v>6597</v>
      </c>
      <c r="CR111" s="83" t="s">
        <v>134</v>
      </c>
      <c r="CS111">
        <v>6076</v>
      </c>
      <c r="CT111">
        <v>6076</v>
      </c>
      <c r="CU111">
        <v>6076</v>
      </c>
      <c r="CV111">
        <v>6076</v>
      </c>
      <c r="CW111">
        <v>6076</v>
      </c>
      <c r="CX111">
        <v>6076</v>
      </c>
      <c r="CY111">
        <v>6076</v>
      </c>
      <c r="CZ111">
        <v>6076</v>
      </c>
      <c r="DA111">
        <v>6076</v>
      </c>
      <c r="DB111">
        <v>6076</v>
      </c>
      <c r="DC111">
        <v>6076</v>
      </c>
      <c r="DD111">
        <v>6076</v>
      </c>
      <c r="DE111">
        <v>6250</v>
      </c>
      <c r="DF111">
        <v>6250</v>
      </c>
      <c r="DG111">
        <v>6250</v>
      </c>
      <c r="DH111">
        <v>6250</v>
      </c>
      <c r="DI111">
        <v>6250</v>
      </c>
      <c r="DJ111">
        <v>6575</v>
      </c>
      <c r="DK111">
        <v>6575</v>
      </c>
      <c r="DL111">
        <v>6575</v>
      </c>
      <c r="DM111">
        <v>6575</v>
      </c>
      <c r="DN111">
        <v>6575</v>
      </c>
      <c r="DO111">
        <v>6790</v>
      </c>
      <c r="DP111">
        <v>6790</v>
      </c>
      <c r="DQ111">
        <v>6790</v>
      </c>
      <c r="DR111">
        <v>6790</v>
      </c>
      <c r="DS111">
        <v>6790</v>
      </c>
      <c r="DT111">
        <v>7063</v>
      </c>
      <c r="DW111" s="83" t="s">
        <v>134</v>
      </c>
      <c r="DX111" s="114">
        <v>141598</v>
      </c>
      <c r="DY111" s="119">
        <f>DX111</f>
        <v>141598</v>
      </c>
      <c r="DZ111" s="119">
        <v>123881</v>
      </c>
      <c r="EA111" s="119">
        <v>123881</v>
      </c>
      <c r="EB111" s="119">
        <v>123881</v>
      </c>
      <c r="EC111" s="119">
        <v>123881</v>
      </c>
      <c r="ED111" s="119">
        <v>123881</v>
      </c>
      <c r="EE111">
        <v>77074</v>
      </c>
      <c r="EF111">
        <v>77074</v>
      </c>
      <c r="EG111">
        <v>77074</v>
      </c>
      <c r="EH111">
        <v>77074</v>
      </c>
      <c r="EI111">
        <v>77074</v>
      </c>
      <c r="EJ111">
        <v>68627</v>
      </c>
      <c r="EK111">
        <v>68627</v>
      </c>
      <c r="EL111">
        <v>68627</v>
      </c>
      <c r="EM111">
        <v>68627</v>
      </c>
      <c r="EN111">
        <v>68627</v>
      </c>
      <c r="EO111">
        <v>66684</v>
      </c>
      <c r="EP111">
        <v>66684</v>
      </c>
      <c r="EQ111">
        <v>66684</v>
      </c>
      <c r="ER111">
        <v>66684</v>
      </c>
      <c r="ES111">
        <v>66684</v>
      </c>
      <c r="ET111">
        <v>64324</v>
      </c>
      <c r="EU111">
        <v>64324</v>
      </c>
      <c r="EV111">
        <v>64324</v>
      </c>
      <c r="EW111">
        <v>64324</v>
      </c>
      <c r="EX111">
        <v>64324</v>
      </c>
      <c r="EY111">
        <v>60563</v>
      </c>
      <c r="FB111" s="83" t="s">
        <v>134</v>
      </c>
      <c r="FC111" s="114">
        <v>153069</v>
      </c>
      <c r="FD111" s="119">
        <f>FC111</f>
        <v>153069</v>
      </c>
      <c r="FE111" s="119">
        <v>133451</v>
      </c>
      <c r="FF111" s="119">
        <v>133451</v>
      </c>
      <c r="FG111" s="119">
        <v>133451</v>
      </c>
      <c r="FH111" s="119">
        <v>133451</v>
      </c>
      <c r="FI111" s="119">
        <v>133451</v>
      </c>
      <c r="FJ111">
        <v>84409</v>
      </c>
      <c r="FK111">
        <v>84409</v>
      </c>
      <c r="FL111">
        <v>84409</v>
      </c>
      <c r="FM111">
        <v>84409</v>
      </c>
      <c r="FN111">
        <v>84409</v>
      </c>
      <c r="FO111">
        <v>74762</v>
      </c>
      <c r="FP111">
        <v>74762</v>
      </c>
      <c r="FQ111">
        <v>74762</v>
      </c>
      <c r="FR111">
        <v>74762</v>
      </c>
      <c r="FS111">
        <v>74762</v>
      </c>
      <c r="FT111">
        <v>73055</v>
      </c>
      <c r="FU111">
        <v>73055</v>
      </c>
      <c r="FV111">
        <v>73055</v>
      </c>
      <c r="FW111">
        <v>73055</v>
      </c>
      <c r="FX111">
        <v>73055</v>
      </c>
      <c r="FY111">
        <v>70691</v>
      </c>
      <c r="FZ111">
        <v>70691</v>
      </c>
      <c r="GA111">
        <v>70691</v>
      </c>
      <c r="GB111">
        <v>70691</v>
      </c>
      <c r="GC111">
        <v>70691</v>
      </c>
      <c r="GD111">
        <v>66802</v>
      </c>
      <c r="GH111" s="124" t="s">
        <v>134</v>
      </c>
      <c r="GI111" s="103">
        <v>326250</v>
      </c>
      <c r="GJ111" s="103">
        <v>326250</v>
      </c>
      <c r="GK111" s="103">
        <v>326250</v>
      </c>
      <c r="GL111" s="103">
        <v>326250</v>
      </c>
      <c r="GM111" s="103">
        <v>326250</v>
      </c>
      <c r="GN111" s="103">
        <v>326250</v>
      </c>
      <c r="GO111" s="103">
        <v>326250</v>
      </c>
      <c r="GP111" s="103">
        <v>326250</v>
      </c>
      <c r="GQ111" s="103">
        <v>326250</v>
      </c>
      <c r="GR111" s="103">
        <v>326250</v>
      </c>
      <c r="GS111" s="103">
        <v>326250</v>
      </c>
      <c r="GT111" s="103">
        <v>326250</v>
      </c>
      <c r="GU111" s="103">
        <v>326250</v>
      </c>
      <c r="GV111" s="103">
        <v>326250</v>
      </c>
      <c r="GW111" s="103">
        <v>326250</v>
      </c>
      <c r="GX111" s="103">
        <v>326250</v>
      </c>
      <c r="GY111" s="103">
        <v>326250</v>
      </c>
      <c r="GZ111" s="103">
        <v>326250</v>
      </c>
      <c r="HA111" s="103">
        <v>326250</v>
      </c>
      <c r="HB111" s="103">
        <v>326250</v>
      </c>
      <c r="HC111" s="103">
        <v>326250</v>
      </c>
      <c r="HD111" s="103">
        <v>326250</v>
      </c>
      <c r="HE111" s="103">
        <v>326250</v>
      </c>
      <c r="HF111" s="103">
        <v>326250</v>
      </c>
      <c r="HG111" s="103">
        <v>326250</v>
      </c>
      <c r="HH111" s="103">
        <v>326250</v>
      </c>
      <c r="HI111" s="103">
        <v>326250</v>
      </c>
      <c r="HJ111" s="103">
        <v>326250</v>
      </c>
    </row>
    <row r="112" spans="26:218" x14ac:dyDescent="0.25">
      <c r="AB112" s="13">
        <f>AB111/$AA$111</f>
        <v>1</v>
      </c>
      <c r="AC112" s="13">
        <f t="shared" ref="AC112:BB112" si="127">AC111/$AA$111</f>
        <v>0.87834557378565203</v>
      </c>
      <c r="AD112" s="13">
        <f t="shared" si="127"/>
        <v>0.87834557378565203</v>
      </c>
      <c r="AE112" s="13">
        <f t="shared" si="127"/>
        <v>0.87834557378565203</v>
      </c>
      <c r="AF112" s="13">
        <f t="shared" si="127"/>
        <v>0.87834557378565203</v>
      </c>
      <c r="AG112" s="13">
        <f t="shared" si="127"/>
        <v>0.87834557378565203</v>
      </c>
      <c r="AH112" s="13">
        <f t="shared" si="127"/>
        <v>0.33207974661107731</v>
      </c>
      <c r="AI112" s="13">
        <f t="shared" si="127"/>
        <v>0.33207974661107731</v>
      </c>
      <c r="AJ112" s="13">
        <f t="shared" si="127"/>
        <v>0.33207974661107731</v>
      </c>
      <c r="AK112" s="13">
        <f t="shared" si="127"/>
        <v>0.33207974661107731</v>
      </c>
      <c r="AL112" s="13">
        <f t="shared" si="127"/>
        <v>0.33207974661107731</v>
      </c>
      <c r="AM112" s="13">
        <f t="shared" si="127"/>
        <v>0.27911313877050886</v>
      </c>
      <c r="AN112" s="13">
        <f t="shared" si="127"/>
        <v>0.27911313877050886</v>
      </c>
      <c r="AO112" s="13">
        <f t="shared" si="127"/>
        <v>0.27911313877050886</v>
      </c>
      <c r="AP112" s="13">
        <f t="shared" si="127"/>
        <v>0.27911313877050886</v>
      </c>
      <c r="AQ112" s="13">
        <f t="shared" si="127"/>
        <v>0.27911313877050886</v>
      </c>
      <c r="AR112" s="13">
        <f t="shared" si="127"/>
        <v>0.27911313877050886</v>
      </c>
      <c r="AS112" s="13">
        <f t="shared" si="127"/>
        <v>0.27911313877050886</v>
      </c>
      <c r="AT112" s="13">
        <f t="shared" si="127"/>
        <v>0.27911313877050886</v>
      </c>
      <c r="AU112" s="13">
        <f t="shared" si="127"/>
        <v>0.27911313877050886</v>
      </c>
      <c r="AV112" s="13">
        <f t="shared" si="127"/>
        <v>0.27911313877050886</v>
      </c>
      <c r="AW112" s="13">
        <f t="shared" si="127"/>
        <v>0.28043094612402802</v>
      </c>
      <c r="AX112" s="13">
        <f t="shared" si="127"/>
        <v>0.28043094612402802</v>
      </c>
      <c r="AY112" s="13">
        <f t="shared" si="127"/>
        <v>0.28043094612402802</v>
      </c>
      <c r="AZ112" s="13">
        <f t="shared" si="127"/>
        <v>0.28043094612402802</v>
      </c>
      <c r="BA112" s="13">
        <f t="shared" si="127"/>
        <v>0.28043094612402802</v>
      </c>
      <c r="BB112" s="13">
        <f t="shared" si="127"/>
        <v>0.28208783841061646</v>
      </c>
      <c r="BO112" s="13">
        <f>BO111/$AA$111</f>
        <v>1</v>
      </c>
      <c r="BP112" s="13">
        <f t="shared" ref="BP112:CO112" si="128">BP111/$AA$111</f>
        <v>0.78827228520125459</v>
      </c>
      <c r="BQ112" s="13">
        <f t="shared" si="128"/>
        <v>0.78827228520125459</v>
      </c>
      <c r="BR112" s="13">
        <f t="shared" si="128"/>
        <v>0.78827228520125459</v>
      </c>
      <c r="BS112" s="13">
        <f t="shared" si="128"/>
        <v>0.78827228520125459</v>
      </c>
      <c r="BT112" s="13">
        <f t="shared" si="128"/>
        <v>0.78827228520125459</v>
      </c>
      <c r="BU112" s="13">
        <f t="shared" si="128"/>
        <v>4.4528016892594849E-2</v>
      </c>
      <c r="BV112" s="13">
        <f t="shared" si="128"/>
        <v>4.4528016892594849E-2</v>
      </c>
      <c r="BW112" s="13">
        <f t="shared" si="128"/>
        <v>4.4528016892594849E-2</v>
      </c>
      <c r="BX112" s="13">
        <f t="shared" si="128"/>
        <v>4.4528016892594849E-2</v>
      </c>
      <c r="BY112" s="13">
        <f t="shared" si="128"/>
        <v>4.4528016892594849E-2</v>
      </c>
      <c r="BZ112" s="13">
        <f t="shared" si="128"/>
        <v>4.6439222878985213E-2</v>
      </c>
      <c r="CA112" s="13">
        <f t="shared" si="128"/>
        <v>4.6439222878985213E-2</v>
      </c>
      <c r="CB112" s="13">
        <f t="shared" si="128"/>
        <v>4.6439222878985213E-2</v>
      </c>
      <c r="CC112" s="13">
        <f t="shared" si="128"/>
        <v>4.6439222878985213E-2</v>
      </c>
      <c r="CD112" s="13">
        <f t="shared" si="128"/>
        <v>4.6439222878985213E-2</v>
      </c>
      <c r="CE112" s="13">
        <f t="shared" si="128"/>
        <v>4.7086566842117435E-2</v>
      </c>
      <c r="CF112" s="13">
        <f t="shared" si="128"/>
        <v>4.7086566842117435E-2</v>
      </c>
      <c r="CG112" s="13">
        <f t="shared" si="128"/>
        <v>4.7086566842117435E-2</v>
      </c>
      <c r="CH112" s="13">
        <f t="shared" si="128"/>
        <v>4.7086566842117435E-2</v>
      </c>
      <c r="CI112" s="13">
        <f t="shared" si="128"/>
        <v>4.7086566842117435E-2</v>
      </c>
      <c r="CJ112" s="13">
        <f t="shared" si="128"/>
        <v>4.8743459128705854E-2</v>
      </c>
      <c r="CK112" s="13">
        <f t="shared" si="128"/>
        <v>4.8743459128705854E-2</v>
      </c>
      <c r="CL112" s="13">
        <f t="shared" si="128"/>
        <v>4.8743459128705854E-2</v>
      </c>
      <c r="CM112" s="13">
        <f t="shared" si="128"/>
        <v>4.8743459128705854E-2</v>
      </c>
      <c r="CN112" s="13">
        <f t="shared" si="128"/>
        <v>4.8743459128705854E-2</v>
      </c>
      <c r="CO112" s="13">
        <f t="shared" si="128"/>
        <v>5.083962053313399E-2</v>
      </c>
      <c r="CT112" s="13">
        <f>CT111/$AA$111</f>
        <v>4.6824546666563917E-2</v>
      </c>
      <c r="CU112" s="13">
        <f t="shared" ref="CU112:DT112" si="129">CU111/$AA$111</f>
        <v>4.6824546666563917E-2</v>
      </c>
      <c r="CV112" s="13">
        <f t="shared" si="129"/>
        <v>4.6824546666563917E-2</v>
      </c>
      <c r="CW112" s="13">
        <f t="shared" si="129"/>
        <v>4.6824546666563917E-2</v>
      </c>
      <c r="CX112" s="13">
        <f t="shared" si="129"/>
        <v>4.6824546666563917E-2</v>
      </c>
      <c r="CY112" s="13">
        <f t="shared" si="129"/>
        <v>4.6824546666563917E-2</v>
      </c>
      <c r="CZ112" s="13">
        <f t="shared" si="129"/>
        <v>4.6824546666563917E-2</v>
      </c>
      <c r="DA112" s="13">
        <f t="shared" si="129"/>
        <v>4.6824546666563917E-2</v>
      </c>
      <c r="DB112" s="13">
        <f t="shared" si="129"/>
        <v>4.6824546666563917E-2</v>
      </c>
      <c r="DC112" s="13">
        <f t="shared" si="129"/>
        <v>4.6824546666563917E-2</v>
      </c>
      <c r="DD112" s="13">
        <f t="shared" si="129"/>
        <v>4.6824546666563917E-2</v>
      </c>
      <c r="DE112" s="13">
        <f t="shared" si="129"/>
        <v>4.8165473447337799E-2</v>
      </c>
      <c r="DF112" s="13">
        <f t="shared" si="129"/>
        <v>4.8165473447337799E-2</v>
      </c>
      <c r="DG112" s="13">
        <f t="shared" si="129"/>
        <v>4.8165473447337799E-2</v>
      </c>
      <c r="DH112" s="13">
        <f t="shared" si="129"/>
        <v>4.8165473447337799E-2</v>
      </c>
      <c r="DI112" s="13">
        <f t="shared" si="129"/>
        <v>4.8165473447337799E-2</v>
      </c>
      <c r="DJ112" s="13">
        <f t="shared" si="129"/>
        <v>5.0670078066599365E-2</v>
      </c>
      <c r="DK112" s="13">
        <f t="shared" si="129"/>
        <v>5.0670078066599365E-2</v>
      </c>
      <c r="DL112" s="13">
        <f t="shared" si="129"/>
        <v>5.0670078066599365E-2</v>
      </c>
      <c r="DM112" s="13">
        <f t="shared" si="129"/>
        <v>5.0670078066599365E-2</v>
      </c>
      <c r="DN112" s="13">
        <f t="shared" si="129"/>
        <v>5.0670078066599365E-2</v>
      </c>
      <c r="DO112" s="13">
        <f t="shared" si="129"/>
        <v>5.2326970353187785E-2</v>
      </c>
      <c r="DP112" s="13">
        <f t="shared" si="129"/>
        <v>5.2326970353187785E-2</v>
      </c>
      <c r="DQ112" s="13">
        <f t="shared" si="129"/>
        <v>5.2326970353187785E-2</v>
      </c>
      <c r="DR112" s="13">
        <f t="shared" si="129"/>
        <v>5.2326970353187785E-2</v>
      </c>
      <c r="DS112" s="13">
        <f t="shared" si="129"/>
        <v>5.2326970353187785E-2</v>
      </c>
      <c r="DT112" s="13">
        <f t="shared" si="129"/>
        <v>5.4430838233367501E-2</v>
      </c>
      <c r="DY112" s="13">
        <f>DY111/$DX$111</f>
        <v>1</v>
      </c>
      <c r="DZ112" s="13">
        <f t="shared" ref="DZ112:EY112" si="130">DZ111/$DX$111</f>
        <v>0.87487817624542719</v>
      </c>
      <c r="EA112" s="13">
        <f t="shared" si="130"/>
        <v>0.87487817624542719</v>
      </c>
      <c r="EB112" s="13">
        <f t="shared" si="130"/>
        <v>0.87487817624542719</v>
      </c>
      <c r="EC112" s="13">
        <f t="shared" si="130"/>
        <v>0.87487817624542719</v>
      </c>
      <c r="ED112" s="13">
        <f t="shared" si="130"/>
        <v>0.87487817624542719</v>
      </c>
      <c r="EE112" s="13">
        <f t="shared" si="130"/>
        <v>0.54431559767793325</v>
      </c>
      <c r="EF112" s="13">
        <f t="shared" si="130"/>
        <v>0.54431559767793325</v>
      </c>
      <c r="EG112" s="13">
        <f t="shared" si="130"/>
        <v>0.54431559767793325</v>
      </c>
      <c r="EH112" s="13">
        <f t="shared" si="130"/>
        <v>0.54431559767793325</v>
      </c>
      <c r="EI112" s="13">
        <f t="shared" si="130"/>
        <v>0.54431559767793325</v>
      </c>
      <c r="EJ112" s="13">
        <f t="shared" si="130"/>
        <v>0.48466080029378944</v>
      </c>
      <c r="EK112" s="13">
        <f t="shared" si="130"/>
        <v>0.48466080029378944</v>
      </c>
      <c r="EL112" s="13">
        <f t="shared" si="130"/>
        <v>0.48466080029378944</v>
      </c>
      <c r="EM112" s="13">
        <f t="shared" si="130"/>
        <v>0.48466080029378944</v>
      </c>
      <c r="EN112" s="13">
        <f t="shared" si="130"/>
        <v>0.48466080029378944</v>
      </c>
      <c r="EO112" s="13">
        <f t="shared" si="130"/>
        <v>0.47093885506857441</v>
      </c>
      <c r="EP112" s="13">
        <f t="shared" si="130"/>
        <v>0.47093885506857441</v>
      </c>
      <c r="EQ112" s="13">
        <f t="shared" si="130"/>
        <v>0.47093885506857441</v>
      </c>
      <c r="ER112" s="13">
        <f t="shared" si="130"/>
        <v>0.47093885506857441</v>
      </c>
      <c r="ES112" s="13">
        <f t="shared" si="130"/>
        <v>0.47093885506857441</v>
      </c>
      <c r="ET112" s="13">
        <f t="shared" si="130"/>
        <v>0.45427195299368633</v>
      </c>
      <c r="EU112" s="13">
        <f t="shared" si="130"/>
        <v>0.45427195299368633</v>
      </c>
      <c r="EV112" s="13">
        <f t="shared" si="130"/>
        <v>0.45427195299368633</v>
      </c>
      <c r="EW112" s="13">
        <f t="shared" si="130"/>
        <v>0.45427195299368633</v>
      </c>
      <c r="EX112" s="13">
        <f t="shared" si="130"/>
        <v>0.45427195299368633</v>
      </c>
      <c r="EY112" s="13">
        <f t="shared" si="130"/>
        <v>0.42771084337349397</v>
      </c>
      <c r="FD112" s="13">
        <f>FD111/$FC$111</f>
        <v>1</v>
      </c>
      <c r="FE112" s="13">
        <f t="shared" ref="FE112:GD112" si="131">FE111/$FC$111</f>
        <v>0.87183557741933382</v>
      </c>
      <c r="FF112" s="13">
        <f t="shared" si="131"/>
        <v>0.87183557741933382</v>
      </c>
      <c r="FG112" s="13">
        <f t="shared" si="131"/>
        <v>0.87183557741933382</v>
      </c>
      <c r="FH112" s="13">
        <f t="shared" si="131"/>
        <v>0.87183557741933382</v>
      </c>
      <c r="FI112" s="13">
        <f t="shared" si="131"/>
        <v>0.87183557741933382</v>
      </c>
      <c r="FJ112" s="13">
        <f t="shared" si="131"/>
        <v>0.55144411997203879</v>
      </c>
      <c r="FK112" s="13">
        <f t="shared" si="131"/>
        <v>0.55144411997203879</v>
      </c>
      <c r="FL112" s="13">
        <f t="shared" si="131"/>
        <v>0.55144411997203879</v>
      </c>
      <c r="FM112" s="13">
        <f t="shared" si="131"/>
        <v>0.55144411997203879</v>
      </c>
      <c r="FN112" s="13">
        <f t="shared" si="131"/>
        <v>0.55144411997203879</v>
      </c>
      <c r="FO112" s="13">
        <f t="shared" si="131"/>
        <v>0.48842025491771685</v>
      </c>
      <c r="FP112" s="13">
        <f t="shared" si="131"/>
        <v>0.48842025491771685</v>
      </c>
      <c r="FQ112" s="13">
        <f t="shared" si="131"/>
        <v>0.48842025491771685</v>
      </c>
      <c r="FR112" s="13">
        <f t="shared" si="131"/>
        <v>0.48842025491771685</v>
      </c>
      <c r="FS112" s="13">
        <f t="shared" si="131"/>
        <v>0.48842025491771685</v>
      </c>
      <c r="FT112" s="13">
        <f t="shared" si="131"/>
        <v>0.47726842143085796</v>
      </c>
      <c r="FU112" s="13">
        <f t="shared" si="131"/>
        <v>0.47726842143085796</v>
      </c>
      <c r="FV112" s="13">
        <f t="shared" si="131"/>
        <v>0.47726842143085796</v>
      </c>
      <c r="FW112" s="13">
        <f t="shared" si="131"/>
        <v>0.47726842143085796</v>
      </c>
      <c r="FX112" s="13">
        <f t="shared" si="131"/>
        <v>0.47726842143085796</v>
      </c>
      <c r="FY112" s="13">
        <f t="shared" si="131"/>
        <v>0.46182440598684255</v>
      </c>
      <c r="FZ112" s="13">
        <f t="shared" si="131"/>
        <v>0.46182440598684255</v>
      </c>
      <c r="GA112" s="13">
        <f t="shared" si="131"/>
        <v>0.46182440598684255</v>
      </c>
      <c r="GB112" s="13">
        <f t="shared" si="131"/>
        <v>0.46182440598684255</v>
      </c>
      <c r="GC112" s="13">
        <f t="shared" si="131"/>
        <v>0.46182440598684255</v>
      </c>
      <c r="GD112" s="13">
        <f t="shared" si="131"/>
        <v>0.43641756332111664</v>
      </c>
      <c r="GH112" s="103"/>
      <c r="GI112" s="103">
        <f>GI111/$AA$56</f>
        <v>2.514237713951033</v>
      </c>
      <c r="GJ112" s="103">
        <f t="shared" ref="GJ112:HJ112" si="132">GJ111/$AA$56</f>
        <v>2.514237713951033</v>
      </c>
      <c r="GK112" s="103">
        <f t="shared" si="132"/>
        <v>2.514237713951033</v>
      </c>
      <c r="GL112" s="103">
        <f t="shared" si="132"/>
        <v>2.514237713951033</v>
      </c>
      <c r="GM112" s="103">
        <f t="shared" si="132"/>
        <v>2.514237713951033</v>
      </c>
      <c r="GN112" s="103">
        <f t="shared" si="132"/>
        <v>2.514237713951033</v>
      </c>
      <c r="GO112" s="103">
        <f t="shared" si="132"/>
        <v>2.514237713951033</v>
      </c>
      <c r="GP112" s="103">
        <f t="shared" si="132"/>
        <v>2.514237713951033</v>
      </c>
      <c r="GQ112" s="103">
        <f t="shared" si="132"/>
        <v>2.514237713951033</v>
      </c>
      <c r="GR112" s="103">
        <f t="shared" si="132"/>
        <v>2.514237713951033</v>
      </c>
      <c r="GS112" s="103">
        <f t="shared" si="132"/>
        <v>2.514237713951033</v>
      </c>
      <c r="GT112" s="103">
        <f t="shared" si="132"/>
        <v>2.514237713951033</v>
      </c>
      <c r="GU112" s="103">
        <f t="shared" si="132"/>
        <v>2.514237713951033</v>
      </c>
      <c r="GV112" s="103">
        <f t="shared" si="132"/>
        <v>2.514237713951033</v>
      </c>
      <c r="GW112" s="103">
        <f t="shared" si="132"/>
        <v>2.514237713951033</v>
      </c>
      <c r="GX112" s="103">
        <f t="shared" si="132"/>
        <v>2.514237713951033</v>
      </c>
      <c r="GY112" s="103">
        <f t="shared" si="132"/>
        <v>2.514237713951033</v>
      </c>
      <c r="GZ112" s="103">
        <f t="shared" si="132"/>
        <v>2.514237713951033</v>
      </c>
      <c r="HA112" s="103">
        <f t="shared" si="132"/>
        <v>2.514237713951033</v>
      </c>
      <c r="HB112" s="103">
        <f t="shared" si="132"/>
        <v>2.514237713951033</v>
      </c>
      <c r="HC112" s="103">
        <f t="shared" si="132"/>
        <v>2.514237713951033</v>
      </c>
      <c r="HD112" s="103">
        <f t="shared" si="132"/>
        <v>2.514237713951033</v>
      </c>
      <c r="HE112" s="103">
        <f t="shared" si="132"/>
        <v>2.514237713951033</v>
      </c>
      <c r="HF112" s="103">
        <f t="shared" si="132"/>
        <v>2.514237713951033</v>
      </c>
      <c r="HG112" s="103">
        <f t="shared" si="132"/>
        <v>2.514237713951033</v>
      </c>
      <c r="HH112" s="103">
        <f t="shared" si="132"/>
        <v>2.514237713951033</v>
      </c>
      <c r="HI112" s="103">
        <f t="shared" si="132"/>
        <v>2.514237713951033</v>
      </c>
      <c r="HJ112" s="103">
        <f t="shared" si="132"/>
        <v>2.514237713951033</v>
      </c>
    </row>
    <row r="113" spans="17:219" x14ac:dyDescent="0.25">
      <c r="FC113">
        <f>FC111/293</f>
        <v>522.41979522184306</v>
      </c>
      <c r="FD113">
        <f t="shared" ref="FD113:GD113" si="133">FD111/293</f>
        <v>522.41979522184306</v>
      </c>
      <c r="FE113">
        <f t="shared" si="133"/>
        <v>455.46416382252562</v>
      </c>
      <c r="FF113">
        <f t="shared" si="133"/>
        <v>455.46416382252562</v>
      </c>
      <c r="FG113">
        <f t="shared" si="133"/>
        <v>455.46416382252562</v>
      </c>
      <c r="FH113">
        <f t="shared" si="133"/>
        <v>455.46416382252562</v>
      </c>
      <c r="FI113">
        <f t="shared" si="133"/>
        <v>455.46416382252562</v>
      </c>
      <c r="FJ113">
        <f t="shared" si="133"/>
        <v>288.08532423208192</v>
      </c>
      <c r="FK113">
        <f t="shared" si="133"/>
        <v>288.08532423208192</v>
      </c>
      <c r="FL113">
        <f t="shared" si="133"/>
        <v>288.08532423208192</v>
      </c>
      <c r="FM113">
        <f t="shared" si="133"/>
        <v>288.08532423208192</v>
      </c>
      <c r="FN113">
        <f t="shared" si="133"/>
        <v>288.08532423208192</v>
      </c>
      <c r="FO113">
        <f t="shared" si="133"/>
        <v>255.16040955631399</v>
      </c>
      <c r="FP113">
        <f t="shared" si="133"/>
        <v>255.16040955631399</v>
      </c>
      <c r="FQ113">
        <f t="shared" si="133"/>
        <v>255.16040955631399</v>
      </c>
      <c r="FR113">
        <f t="shared" si="133"/>
        <v>255.16040955631399</v>
      </c>
      <c r="FS113">
        <f t="shared" si="133"/>
        <v>255.16040955631399</v>
      </c>
      <c r="FT113">
        <f t="shared" si="133"/>
        <v>249.33447098976109</v>
      </c>
      <c r="FU113">
        <f t="shared" si="133"/>
        <v>249.33447098976109</v>
      </c>
      <c r="FV113">
        <f t="shared" si="133"/>
        <v>249.33447098976109</v>
      </c>
      <c r="FW113">
        <f t="shared" si="133"/>
        <v>249.33447098976109</v>
      </c>
      <c r="FX113">
        <f t="shared" si="133"/>
        <v>249.33447098976109</v>
      </c>
      <c r="FY113">
        <f t="shared" si="133"/>
        <v>241.26621160409556</v>
      </c>
      <c r="FZ113">
        <f t="shared" si="133"/>
        <v>241.26621160409556</v>
      </c>
      <c r="GA113">
        <f t="shared" si="133"/>
        <v>241.26621160409556</v>
      </c>
      <c r="GB113">
        <f t="shared" si="133"/>
        <v>241.26621160409556</v>
      </c>
      <c r="GC113">
        <f t="shared" si="133"/>
        <v>241.26621160409556</v>
      </c>
      <c r="GD113">
        <f t="shared" si="133"/>
        <v>227.99317406143345</v>
      </c>
      <c r="GI113" s="102">
        <f>GI111/293</f>
        <v>1113.4812286689419</v>
      </c>
      <c r="GJ113" s="102">
        <f t="shared" ref="GJ113:HJ113" si="134">GJ111/293</f>
        <v>1113.4812286689419</v>
      </c>
      <c r="GK113" s="102">
        <f t="shared" si="134"/>
        <v>1113.4812286689419</v>
      </c>
      <c r="GL113" s="102">
        <f t="shared" si="134"/>
        <v>1113.4812286689419</v>
      </c>
      <c r="GM113" s="102">
        <f t="shared" si="134"/>
        <v>1113.4812286689419</v>
      </c>
      <c r="GN113" s="102">
        <f t="shared" si="134"/>
        <v>1113.4812286689419</v>
      </c>
      <c r="GO113" s="102">
        <f t="shared" si="134"/>
        <v>1113.4812286689419</v>
      </c>
      <c r="GP113" s="102">
        <f t="shared" si="134"/>
        <v>1113.4812286689419</v>
      </c>
      <c r="GQ113" s="102">
        <f t="shared" si="134"/>
        <v>1113.4812286689419</v>
      </c>
      <c r="GR113" s="102">
        <f t="shared" si="134"/>
        <v>1113.4812286689419</v>
      </c>
      <c r="GS113" s="102">
        <f t="shared" si="134"/>
        <v>1113.4812286689419</v>
      </c>
      <c r="GT113" s="102">
        <f t="shared" si="134"/>
        <v>1113.4812286689419</v>
      </c>
      <c r="GU113" s="102">
        <f t="shared" si="134"/>
        <v>1113.4812286689419</v>
      </c>
      <c r="GV113" s="102">
        <f t="shared" si="134"/>
        <v>1113.4812286689419</v>
      </c>
      <c r="GW113" s="102">
        <f t="shared" si="134"/>
        <v>1113.4812286689419</v>
      </c>
      <c r="GX113" s="102">
        <f t="shared" si="134"/>
        <v>1113.4812286689419</v>
      </c>
      <c r="GY113" s="102">
        <f t="shared" si="134"/>
        <v>1113.4812286689419</v>
      </c>
      <c r="GZ113" s="102">
        <f t="shared" si="134"/>
        <v>1113.4812286689419</v>
      </c>
      <c r="HA113" s="102">
        <f t="shared" si="134"/>
        <v>1113.4812286689419</v>
      </c>
      <c r="HB113" s="102">
        <f t="shared" si="134"/>
        <v>1113.4812286689419</v>
      </c>
      <c r="HC113" s="102">
        <f t="shared" si="134"/>
        <v>1113.4812286689419</v>
      </c>
      <c r="HD113" s="102">
        <f t="shared" si="134"/>
        <v>1113.4812286689419</v>
      </c>
      <c r="HE113" s="102">
        <f t="shared" si="134"/>
        <v>1113.4812286689419</v>
      </c>
      <c r="HF113" s="102">
        <f t="shared" si="134"/>
        <v>1113.4812286689419</v>
      </c>
      <c r="HG113" s="102">
        <f t="shared" si="134"/>
        <v>1113.4812286689419</v>
      </c>
      <c r="HH113" s="102">
        <f t="shared" si="134"/>
        <v>1113.4812286689419</v>
      </c>
      <c r="HI113" s="102">
        <f t="shared" si="134"/>
        <v>1113.4812286689419</v>
      </c>
      <c r="HJ113" s="102">
        <f t="shared" si="134"/>
        <v>1113.4812286689419</v>
      </c>
    </row>
    <row r="115" spans="17:219" x14ac:dyDescent="0.25">
      <c r="V115" s="248" t="s">
        <v>474</v>
      </c>
      <c r="W115" s="249"/>
      <c r="X115" s="250"/>
      <c r="Z115" s="248" t="s">
        <v>463</v>
      </c>
      <c r="AA115" s="249"/>
      <c r="AB115" s="249"/>
      <c r="AC115" s="250"/>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I115" s="248" t="s">
        <v>482</v>
      </c>
      <c r="BJ115" s="249"/>
      <c r="BK115" s="250"/>
      <c r="BM115" s="248" t="s">
        <v>463</v>
      </c>
      <c r="BN115" s="249"/>
      <c r="BO115" s="249"/>
      <c r="BP115" s="250"/>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R115" s="248" t="s">
        <v>463</v>
      </c>
      <c r="CS115" s="249"/>
      <c r="CT115" s="249"/>
      <c r="CU115" s="250"/>
      <c r="CV115" s="248" t="s">
        <v>535</v>
      </c>
      <c r="CW115" s="249"/>
      <c r="CX115" s="249"/>
      <c r="CY115" s="249"/>
      <c r="CZ115" s="249"/>
      <c r="DA115" s="249"/>
      <c r="DB115" s="249"/>
      <c r="DC115" s="250"/>
      <c r="DD115" s="13"/>
      <c r="DE115" s="13"/>
      <c r="DF115" s="13"/>
      <c r="DG115" s="13"/>
      <c r="DH115" s="13"/>
      <c r="DI115" s="13"/>
      <c r="DJ115" s="13"/>
      <c r="DK115" s="13"/>
      <c r="DL115" s="13"/>
      <c r="DM115" s="13"/>
      <c r="DN115" s="13"/>
      <c r="DO115" s="13"/>
      <c r="DP115" s="13"/>
      <c r="DQ115" s="13"/>
      <c r="DR115" s="13"/>
      <c r="DS115" s="13"/>
      <c r="DT115" s="13"/>
      <c r="DW115" s="248" t="s">
        <v>463</v>
      </c>
      <c r="DX115" s="249"/>
      <c r="DY115" s="249"/>
      <c r="DZ115" s="250"/>
      <c r="EA115" s="248" t="s">
        <v>539</v>
      </c>
      <c r="EB115" s="249"/>
      <c r="EC115" s="249"/>
      <c r="ED115" s="249"/>
      <c r="EE115" s="249"/>
      <c r="EF115" s="249"/>
      <c r="EG115" s="249"/>
      <c r="EH115" s="250"/>
      <c r="EI115" s="13"/>
      <c r="EJ115" s="13"/>
      <c r="EK115" s="13"/>
      <c r="EL115" s="13"/>
      <c r="EM115" s="13"/>
      <c r="EN115" s="13"/>
      <c r="EO115" s="13"/>
      <c r="EP115" s="13"/>
      <c r="EQ115" s="13"/>
      <c r="ER115" s="13"/>
      <c r="ES115" s="13"/>
      <c r="ET115" s="13"/>
      <c r="EU115" s="13"/>
      <c r="EV115" s="13"/>
      <c r="EW115" s="13"/>
      <c r="EX115" s="13"/>
      <c r="EY115" s="13"/>
      <c r="FB115" s="248" t="s">
        <v>463</v>
      </c>
      <c r="FC115" s="249"/>
      <c r="FD115" s="249"/>
      <c r="FE115" s="250"/>
      <c r="FF115" s="248" t="s">
        <v>541</v>
      </c>
      <c r="FG115" s="249"/>
      <c r="FH115" s="249"/>
      <c r="FI115" s="249"/>
      <c r="FJ115" s="249"/>
      <c r="FK115" s="249"/>
      <c r="FL115" s="249"/>
      <c r="FM115" s="250"/>
      <c r="FN115" s="13"/>
      <c r="FO115" s="13"/>
      <c r="FP115" s="13"/>
      <c r="FQ115" s="13"/>
      <c r="FR115" s="13"/>
      <c r="FS115" s="13"/>
      <c r="FT115" s="13"/>
      <c r="FU115" s="13"/>
      <c r="FV115" s="13"/>
      <c r="FW115" s="13"/>
      <c r="FX115" s="13"/>
      <c r="FY115" s="13"/>
      <c r="FZ115" s="13"/>
      <c r="GA115" s="13"/>
      <c r="GB115" s="13"/>
      <c r="GC115" s="13"/>
      <c r="GD115" s="13"/>
      <c r="GH115" s="248" t="s">
        <v>463</v>
      </c>
      <c r="GI115" s="249"/>
      <c r="GJ115" s="249"/>
      <c r="GK115" s="250"/>
      <c r="GL115" s="248" t="s">
        <v>543</v>
      </c>
      <c r="GM115" s="249"/>
      <c r="GN115" s="249"/>
      <c r="GO115" s="249"/>
      <c r="GP115" s="249"/>
      <c r="GQ115" s="249"/>
      <c r="GR115" s="249"/>
      <c r="GS115" s="250"/>
      <c r="GT115" s="13"/>
      <c r="GU115" s="13"/>
      <c r="GV115" s="13"/>
      <c r="GW115" s="13"/>
      <c r="GX115" s="13"/>
      <c r="GY115" s="13"/>
      <c r="GZ115" s="13"/>
      <c r="HA115" s="13"/>
      <c r="HB115" s="13"/>
      <c r="HC115" s="13"/>
      <c r="HD115" s="13"/>
      <c r="HE115" s="13"/>
      <c r="HF115" s="13"/>
      <c r="HG115" s="13"/>
      <c r="HH115" s="13"/>
      <c r="HI115" s="13"/>
      <c r="HJ115" s="13"/>
    </row>
    <row r="116" spans="17:219" x14ac:dyDescent="0.25">
      <c r="Z116" s="122" t="s">
        <v>3</v>
      </c>
      <c r="AA116" s="122">
        <v>2023</v>
      </c>
      <c r="AB116" s="122">
        <v>2024</v>
      </c>
      <c r="AC116" s="122">
        <v>2025</v>
      </c>
      <c r="AD116" s="122">
        <v>2026</v>
      </c>
      <c r="AE116" s="122">
        <v>2027</v>
      </c>
      <c r="AF116" s="122">
        <v>2028</v>
      </c>
      <c r="AG116" s="122">
        <v>2029</v>
      </c>
      <c r="AH116" s="122">
        <v>2030</v>
      </c>
      <c r="AI116" s="122">
        <v>2031</v>
      </c>
      <c r="AJ116" s="122">
        <v>2032</v>
      </c>
      <c r="AK116" s="122">
        <v>2033</v>
      </c>
      <c r="AL116" s="122">
        <v>2034</v>
      </c>
      <c r="AM116" s="122">
        <v>2035</v>
      </c>
      <c r="AN116" s="122">
        <v>2036</v>
      </c>
      <c r="AO116" s="122">
        <v>2037</v>
      </c>
      <c r="AP116" s="122">
        <v>2038</v>
      </c>
      <c r="AQ116" s="122">
        <v>2039</v>
      </c>
      <c r="AR116" s="122">
        <v>2040</v>
      </c>
      <c r="AS116" s="122">
        <v>2041</v>
      </c>
      <c r="AT116" s="122">
        <v>2042</v>
      </c>
      <c r="AU116" s="122">
        <v>2043</v>
      </c>
      <c r="AV116" s="122">
        <v>2044</v>
      </c>
      <c r="AW116" s="122">
        <v>2045</v>
      </c>
      <c r="AX116" s="122">
        <v>2046</v>
      </c>
      <c r="AY116" s="122">
        <v>2047</v>
      </c>
      <c r="AZ116" s="122">
        <v>2048</v>
      </c>
      <c r="BA116" s="122">
        <v>2049</v>
      </c>
      <c r="BB116" s="122">
        <v>2050</v>
      </c>
      <c r="BC116" s="37" t="s">
        <v>464</v>
      </c>
      <c r="BM116" s="122" t="s">
        <v>3</v>
      </c>
      <c r="BN116" s="122">
        <v>2023</v>
      </c>
      <c r="BO116" s="122">
        <v>2024</v>
      </c>
      <c r="BP116" s="122">
        <v>2025</v>
      </c>
      <c r="BQ116" s="122">
        <v>2026</v>
      </c>
      <c r="BR116" s="122">
        <v>2027</v>
      </c>
      <c r="BS116" s="122">
        <v>2028</v>
      </c>
      <c r="BT116" s="122">
        <v>2029</v>
      </c>
      <c r="BU116" s="122">
        <v>2030</v>
      </c>
      <c r="BV116" s="122">
        <v>2031</v>
      </c>
      <c r="BW116" s="122">
        <v>2032</v>
      </c>
      <c r="BX116" s="122">
        <v>2033</v>
      </c>
      <c r="BY116" s="122">
        <v>2034</v>
      </c>
      <c r="BZ116" s="122">
        <v>2035</v>
      </c>
      <c r="CA116" s="122">
        <v>2036</v>
      </c>
      <c r="CB116" s="122">
        <v>2037</v>
      </c>
      <c r="CC116" s="122">
        <v>2038</v>
      </c>
      <c r="CD116" s="122">
        <v>2039</v>
      </c>
      <c r="CE116" s="122">
        <v>2040</v>
      </c>
      <c r="CF116" s="122">
        <v>2041</v>
      </c>
      <c r="CG116" s="122">
        <v>2042</v>
      </c>
      <c r="CH116" s="122">
        <v>2043</v>
      </c>
      <c r="CI116" s="122">
        <v>2044</v>
      </c>
      <c r="CJ116" s="122">
        <v>2045</v>
      </c>
      <c r="CK116" s="122">
        <v>2046</v>
      </c>
      <c r="CL116" s="122">
        <v>2047</v>
      </c>
      <c r="CM116" s="122">
        <v>2048</v>
      </c>
      <c r="CN116" s="122">
        <v>2049</v>
      </c>
      <c r="CO116" s="122">
        <v>2050</v>
      </c>
      <c r="CP116" s="37" t="s">
        <v>464</v>
      </c>
      <c r="CR116" s="122" t="s">
        <v>3</v>
      </c>
      <c r="CS116" s="122">
        <v>2023</v>
      </c>
      <c r="CT116" s="122">
        <v>2024</v>
      </c>
      <c r="CU116" s="122">
        <v>2025</v>
      </c>
      <c r="CV116" s="122">
        <v>2026</v>
      </c>
      <c r="CW116" s="122">
        <v>2027</v>
      </c>
      <c r="CX116" s="122">
        <v>2028</v>
      </c>
      <c r="CY116" s="122">
        <v>2029</v>
      </c>
      <c r="CZ116" s="122">
        <v>2030</v>
      </c>
      <c r="DA116" s="122">
        <v>2031</v>
      </c>
      <c r="DB116" s="122">
        <v>2032</v>
      </c>
      <c r="DC116" s="122">
        <v>2033</v>
      </c>
      <c r="DD116" s="122">
        <v>2034</v>
      </c>
      <c r="DE116" s="122">
        <v>2035</v>
      </c>
      <c r="DF116" s="122">
        <v>2036</v>
      </c>
      <c r="DG116" s="122">
        <v>2037</v>
      </c>
      <c r="DH116" s="122">
        <v>2038</v>
      </c>
      <c r="DI116" s="122">
        <v>2039</v>
      </c>
      <c r="DJ116" s="122">
        <v>2040</v>
      </c>
      <c r="DK116" s="122">
        <v>2041</v>
      </c>
      <c r="DL116" s="122">
        <v>2042</v>
      </c>
      <c r="DM116" s="122">
        <v>2043</v>
      </c>
      <c r="DN116" s="122">
        <v>2044</v>
      </c>
      <c r="DO116" s="122">
        <v>2045</v>
      </c>
      <c r="DP116" s="122">
        <v>2046</v>
      </c>
      <c r="DQ116" s="122">
        <v>2047</v>
      </c>
      <c r="DR116" s="122">
        <v>2048</v>
      </c>
      <c r="DS116" s="122">
        <v>2049</v>
      </c>
      <c r="DT116" s="122">
        <v>2050</v>
      </c>
      <c r="DU116" s="37" t="s">
        <v>464</v>
      </c>
      <c r="DW116" s="122" t="s">
        <v>3</v>
      </c>
      <c r="DX116" s="122">
        <v>2023</v>
      </c>
      <c r="DY116" s="122">
        <v>2024</v>
      </c>
      <c r="DZ116" s="122">
        <v>2025</v>
      </c>
      <c r="EA116" s="122">
        <v>2026</v>
      </c>
      <c r="EB116" s="122">
        <v>2027</v>
      </c>
      <c r="EC116" s="122">
        <v>2028</v>
      </c>
      <c r="ED116" s="122">
        <v>2029</v>
      </c>
      <c r="EE116" s="122">
        <v>2030</v>
      </c>
      <c r="EF116" s="122">
        <v>2031</v>
      </c>
      <c r="EG116" s="122">
        <v>2032</v>
      </c>
      <c r="EH116" s="122">
        <v>2033</v>
      </c>
      <c r="EI116" s="122">
        <v>2034</v>
      </c>
      <c r="EJ116" s="122">
        <v>2035</v>
      </c>
      <c r="EK116" s="122">
        <v>2036</v>
      </c>
      <c r="EL116" s="122">
        <v>2037</v>
      </c>
      <c r="EM116" s="122">
        <v>2038</v>
      </c>
      <c r="EN116" s="122">
        <v>2039</v>
      </c>
      <c r="EO116" s="122">
        <v>2040</v>
      </c>
      <c r="EP116" s="122">
        <v>2041</v>
      </c>
      <c r="EQ116" s="122">
        <v>2042</v>
      </c>
      <c r="ER116" s="122">
        <v>2043</v>
      </c>
      <c r="ES116" s="122">
        <v>2044</v>
      </c>
      <c r="ET116" s="122">
        <v>2045</v>
      </c>
      <c r="EU116" s="122">
        <v>2046</v>
      </c>
      <c r="EV116" s="122">
        <v>2047</v>
      </c>
      <c r="EW116" s="122">
        <v>2048</v>
      </c>
      <c r="EX116" s="122">
        <v>2049</v>
      </c>
      <c r="EY116" s="122">
        <v>2050</v>
      </c>
      <c r="EZ116" s="37" t="s">
        <v>464</v>
      </c>
      <c r="FB116" s="122" t="s">
        <v>3</v>
      </c>
      <c r="FC116" s="122">
        <v>2023</v>
      </c>
      <c r="FD116" s="122">
        <v>2024</v>
      </c>
      <c r="FE116" s="122">
        <v>2025</v>
      </c>
      <c r="FF116" s="122">
        <v>2026</v>
      </c>
      <c r="FG116" s="122">
        <v>2027</v>
      </c>
      <c r="FH116" s="122">
        <v>2028</v>
      </c>
      <c r="FI116" s="122">
        <v>2029</v>
      </c>
      <c r="FJ116" s="122">
        <v>2030</v>
      </c>
      <c r="FK116" s="122">
        <v>2031</v>
      </c>
      <c r="FL116" s="122">
        <v>2032</v>
      </c>
      <c r="FM116" s="122">
        <v>2033</v>
      </c>
      <c r="FN116" s="122">
        <v>2034</v>
      </c>
      <c r="FO116" s="122">
        <v>2035</v>
      </c>
      <c r="FP116" s="122">
        <v>2036</v>
      </c>
      <c r="FQ116" s="122">
        <v>2037</v>
      </c>
      <c r="FR116" s="122">
        <v>2038</v>
      </c>
      <c r="FS116" s="122">
        <v>2039</v>
      </c>
      <c r="FT116" s="122">
        <v>2040</v>
      </c>
      <c r="FU116" s="122">
        <v>2041</v>
      </c>
      <c r="FV116" s="122">
        <v>2042</v>
      </c>
      <c r="FW116" s="122">
        <v>2043</v>
      </c>
      <c r="FX116" s="122">
        <v>2044</v>
      </c>
      <c r="FY116" s="122">
        <v>2045</v>
      </c>
      <c r="FZ116" s="122">
        <v>2046</v>
      </c>
      <c r="GA116" s="122">
        <v>2047</v>
      </c>
      <c r="GB116" s="122">
        <v>2048</v>
      </c>
      <c r="GC116" s="122">
        <v>2049</v>
      </c>
      <c r="GD116" s="122">
        <v>2050</v>
      </c>
      <c r="GE116" s="37" t="s">
        <v>464</v>
      </c>
      <c r="GH116" s="122" t="s">
        <v>3</v>
      </c>
      <c r="GI116" s="122">
        <v>2023</v>
      </c>
      <c r="GJ116" s="122">
        <v>2024</v>
      </c>
      <c r="GK116" s="122">
        <v>2025</v>
      </c>
      <c r="GL116" s="122">
        <v>2026</v>
      </c>
      <c r="GM116" s="122">
        <v>2027</v>
      </c>
      <c r="GN116" s="122">
        <v>2028</v>
      </c>
      <c r="GO116" s="122">
        <v>2029</v>
      </c>
      <c r="GP116" s="122">
        <v>2030</v>
      </c>
      <c r="GQ116" s="122">
        <v>2031</v>
      </c>
      <c r="GR116" s="122">
        <v>2032</v>
      </c>
      <c r="GS116" s="122">
        <v>2033</v>
      </c>
      <c r="GT116" s="122">
        <v>2034</v>
      </c>
      <c r="GU116" s="122">
        <v>2035</v>
      </c>
      <c r="GV116" s="122">
        <v>2036</v>
      </c>
      <c r="GW116" s="122">
        <v>2037</v>
      </c>
      <c r="GX116" s="122">
        <v>2038</v>
      </c>
      <c r="GY116" s="122">
        <v>2039</v>
      </c>
      <c r="GZ116" s="122">
        <v>2040</v>
      </c>
      <c r="HA116" s="122">
        <v>2041</v>
      </c>
      <c r="HB116" s="122">
        <v>2042</v>
      </c>
      <c r="HC116" s="122">
        <v>2043</v>
      </c>
      <c r="HD116" s="122">
        <v>2044</v>
      </c>
      <c r="HE116" s="122">
        <v>2045</v>
      </c>
      <c r="HF116" s="122">
        <v>2046</v>
      </c>
      <c r="HG116" s="122">
        <v>2047</v>
      </c>
      <c r="HH116" s="122">
        <v>2048</v>
      </c>
      <c r="HI116" s="122">
        <v>2049</v>
      </c>
      <c r="HJ116" s="122">
        <v>2050</v>
      </c>
      <c r="HK116" s="37" t="s">
        <v>464</v>
      </c>
    </row>
    <row r="117" spans="17:219" x14ac:dyDescent="0.25">
      <c r="Z117" s="70" t="s">
        <v>187</v>
      </c>
      <c r="AA117" s="125">
        <f>AA6/293.07*(1/(VLOOKUP($Z117,'Fuel economy adjusted factor'!$A$2:$L$52,5,FALSE)*m2k))/'TCO Inputs'!$AZ$84</f>
        <v>85.858921522144314</v>
      </c>
      <c r="AB117" s="125">
        <f>AB6/293.07*(1/(VLOOKUP($Z117,'Fuel economy adjusted factor'!$A$2:$L$52,5,FALSE)*m2k))/'TCO Inputs'!$AZ$84</f>
        <v>85.858921522144314</v>
      </c>
      <c r="AC117" s="125">
        <f>AC6/293.07*(1/(VLOOKUP($Z117,'Fuel economy adjusted factor'!$A$2:$L$52,5,FALSE)*m2k))/'TCO Inputs'!$AZ$84</f>
        <v>75.512392473803331</v>
      </c>
      <c r="AD117" s="125">
        <f>AD6/293.07*(1/(VLOOKUP($Z117,'Fuel economy adjusted factor'!$A$2:$L$52,5,FALSE)*m2k))/'TCO Inputs'!$AZ$84</f>
        <v>75.512392473803331</v>
      </c>
      <c r="AE117" s="125">
        <f>AE6/293.07*(1/(VLOOKUP($Z117,'Fuel economy adjusted factor'!$A$2:$L$52,5,FALSE)*m2k))/'TCO Inputs'!$AZ$84</f>
        <v>75.512392473803331</v>
      </c>
      <c r="AF117" s="125">
        <f>AF6/293.07*(1/(VLOOKUP($Z117,'Fuel economy adjusted factor'!$A$2:$L$52,5,FALSE)*m2k))/'TCO Inputs'!$AZ$84</f>
        <v>75.512392473803331</v>
      </c>
      <c r="AG117" s="125">
        <f>AG6/293.07*(1/(VLOOKUP($Z117,'Fuel economy adjusted factor'!$A$2:$L$52,5,FALSE)*m2k))/'TCO Inputs'!$AZ$84</f>
        <v>75.512392473803331</v>
      </c>
      <c r="AH117" s="125">
        <f>AH6/293.07*(1/(VLOOKUP($Z117,'Fuel economy adjusted factor'!$A$2:$L$52,5,FALSE)*m2k))/'TCO Inputs'!$AZ$84</f>
        <v>45.370691107292899</v>
      </c>
      <c r="AI117" s="125">
        <f>AI6/293.07*(1/(VLOOKUP($Z117,'Fuel economy adjusted factor'!$A$2:$L$52,5,FALSE)*m2k))/'TCO Inputs'!$AZ$84</f>
        <v>45.370691107292899</v>
      </c>
      <c r="AJ117" s="125">
        <f>AJ6/293.07*(1/(VLOOKUP($Z117,'Fuel economy adjusted factor'!$A$2:$L$52,5,FALSE)*m2k))/'TCO Inputs'!$AZ$84</f>
        <v>45.370691107292899</v>
      </c>
      <c r="AK117" s="125">
        <f>AK6/293.07*(1/(VLOOKUP($Z117,'Fuel economy adjusted factor'!$A$2:$L$52,5,FALSE)*m2k))/'TCO Inputs'!$AZ$84</f>
        <v>45.370691107292899</v>
      </c>
      <c r="AL117" s="125">
        <f>AL6/293.07*(1/(VLOOKUP($Z117,'Fuel economy adjusted factor'!$A$2:$L$52,5,FALSE)*m2k))/'TCO Inputs'!$AZ$84</f>
        <v>45.370691107292899</v>
      </c>
      <c r="AM117" s="125">
        <f>AM6/293.07*(1/(VLOOKUP($Z117,'Fuel economy adjusted factor'!$A$2:$L$52,5,FALSE)*m2k))/'TCO Inputs'!$AZ$84</f>
        <v>47.479432430888387</v>
      </c>
      <c r="AN117" s="125">
        <f>AN6/293.07*(1/(VLOOKUP($Z117,'Fuel economy adjusted factor'!$A$2:$L$52,5,FALSE)*m2k))/'TCO Inputs'!$AZ$84</f>
        <v>47.479432430888387</v>
      </c>
      <c r="AO117" s="125">
        <f>AO6/293.07*(1/(VLOOKUP($Z117,'Fuel economy adjusted factor'!$A$2:$L$52,5,FALSE)*m2k))/'TCO Inputs'!$AZ$84</f>
        <v>47.479432430888387</v>
      </c>
      <c r="AP117" s="125">
        <f>AP6/293.07*(1/(VLOOKUP($Z117,'Fuel economy adjusted factor'!$A$2:$L$52,5,FALSE)*m2k))/'TCO Inputs'!$AZ$84</f>
        <v>47.479432430888387</v>
      </c>
      <c r="AQ117" s="125">
        <f>AQ6/293.07*(1/(VLOOKUP($Z117,'Fuel economy adjusted factor'!$A$2:$L$52,5,FALSE)*m2k))/'TCO Inputs'!$AZ$84</f>
        <v>47.479432430888387</v>
      </c>
      <c r="AR117" s="125">
        <f>AR6/293.07*(1/(VLOOKUP($Z117,'Fuel economy adjusted factor'!$A$2:$L$52,5,FALSE)*m2k))/'TCO Inputs'!$AZ$84</f>
        <v>49.632505624167237</v>
      </c>
      <c r="AS117" s="125">
        <f>AS6/293.07*(1/(VLOOKUP($Z117,'Fuel economy adjusted factor'!$A$2:$L$52,5,FALSE)*m2k))/'TCO Inputs'!$AZ$84</f>
        <v>49.632505624167237</v>
      </c>
      <c r="AT117" s="125">
        <f>AT6/293.07*(1/(VLOOKUP($Z117,'Fuel economy adjusted factor'!$A$2:$L$52,5,FALSE)*m2k))/'TCO Inputs'!$AZ$84</f>
        <v>49.632505624167237</v>
      </c>
      <c r="AU117" s="125">
        <f>AU6/293.07*(1/(VLOOKUP($Z117,'Fuel economy adjusted factor'!$A$2:$L$52,5,FALSE)*m2k))/'TCO Inputs'!$AZ$84</f>
        <v>49.632505624167237</v>
      </c>
      <c r="AV117" s="125">
        <f>AV6/293.07*(1/(VLOOKUP($Z117,'Fuel economy adjusted factor'!$A$2:$L$52,5,FALSE)*m2k))/'TCO Inputs'!$AZ$84</f>
        <v>49.632505624167237</v>
      </c>
      <c r="AW117" s="125">
        <f>AW6/293.07*(1/(VLOOKUP($Z117,'Fuel economy adjusted factor'!$A$2:$L$52,5,FALSE)*m2k))/'TCO Inputs'!$AZ$84</f>
        <v>50.721613945045242</v>
      </c>
      <c r="AX117" s="125">
        <f>AX6/293.07*(1/(VLOOKUP($Z117,'Fuel economy adjusted factor'!$A$2:$L$52,5,FALSE)*m2k))/'TCO Inputs'!$AZ$84</f>
        <v>50.721613945045242</v>
      </c>
      <c r="AY117" s="125">
        <f>AY6/293.07*(1/(VLOOKUP($Z117,'Fuel economy adjusted factor'!$A$2:$L$52,5,FALSE)*m2k))/'TCO Inputs'!$AZ$84</f>
        <v>50.721613945045242</v>
      </c>
      <c r="AZ117" s="125">
        <f>AZ6/293.07*(1/(VLOOKUP($Z117,'Fuel economy adjusted factor'!$A$2:$L$52,5,FALSE)*m2k))/'TCO Inputs'!$AZ$84</f>
        <v>50.721613945045242</v>
      </c>
      <c r="BA117" s="125">
        <f>BA6/293.07*(1/(VLOOKUP($Z117,'Fuel economy adjusted factor'!$A$2:$L$52,5,FALSE)*m2k))/'TCO Inputs'!$AZ$84</f>
        <v>50.721613945045242</v>
      </c>
      <c r="BB117" s="125">
        <f>BB6/293.07*(1/(VLOOKUP($Z117,'Fuel economy adjusted factor'!$A$2:$L$52,5,FALSE)*m2k))/'TCO Inputs'!$AZ$84</f>
        <v>50.79042759350898</v>
      </c>
      <c r="BC117" s="98" cm="1">
        <f t="array" ref="BC117">SUMPRODUCT(INDEX(AA117:BB117,,'TCO Inputs'!$AZ$12-2023+_xlfn.SEQUENCE('TCO Inputs'!$AZ$13))*INDEX('VKT US'!C63:AA63,,_xlfn.SEQUENCE('TCO Inputs'!$AZ$13)))*m2k*CONVERT(0.9072,"g","ton")</f>
        <v>24.090071154739679</v>
      </c>
      <c r="BM117" s="70" t="s">
        <v>187</v>
      </c>
      <c r="BN117" s="125">
        <f>BN6/293.07*(1/(VLOOKUP($BM117,'Fuel economy adjusted factor'!$A$2:$L$52,5,FALSE)*m2k))</f>
        <v>72.980083293822659</v>
      </c>
      <c r="BO117" s="125">
        <f>BO6/293.07*(1/(VLOOKUP($BM117,'Fuel economy adjusted factor'!$A$2:$L$52,5,FALSE)*m2k))</f>
        <v>72.980083293822659</v>
      </c>
      <c r="BP117" s="125">
        <f>BP6/293.07*(1/(VLOOKUP($BM117,'Fuel economy adjusted factor'!$A$2:$L$52,5,FALSE)*m2k))</f>
        <v>64.101733135637332</v>
      </c>
      <c r="BQ117" s="125">
        <f>BQ6/293.07*(1/(VLOOKUP($BM117,'Fuel economy adjusted factor'!$A$2:$L$52,5,FALSE)*m2k))</f>
        <v>64.101733135637332</v>
      </c>
      <c r="BR117" s="125">
        <f>BR6/293.07*(1/(VLOOKUP($BM117,'Fuel economy adjusted factor'!$A$2:$L$52,5,FALSE)*m2k))</f>
        <v>64.101733135637332</v>
      </c>
      <c r="BS117" s="125">
        <f>BS6/293.07*(1/(VLOOKUP($BM117,'Fuel economy adjusted factor'!$A$2:$L$52,5,FALSE)*m2k))</f>
        <v>64.101733135637332</v>
      </c>
      <c r="BT117" s="125">
        <f>BT6/293.07*(1/(VLOOKUP($BM117,'Fuel economy adjusted factor'!$A$2:$L$52,5,FALSE)*m2k))</f>
        <v>64.101733135637332</v>
      </c>
      <c r="BU117" s="125">
        <f>BU6/293.07*(1/(VLOOKUP($BM117,'Fuel economy adjusted factor'!$A$2:$L$52,5,FALSE)*m2k))</f>
        <v>72.663441260434951</v>
      </c>
      <c r="BV117" s="125">
        <f>BV6/293.07*(1/(VLOOKUP($BM117,'Fuel economy adjusted factor'!$A$2:$L$52,5,FALSE)*m2k))</f>
        <v>72.663441260434951</v>
      </c>
      <c r="BW117" s="125">
        <f>BW6/293.07*(1/(VLOOKUP($BM117,'Fuel economy adjusted factor'!$A$2:$L$52,5,FALSE)*m2k))</f>
        <v>72.663441260434951</v>
      </c>
      <c r="BX117" s="125">
        <f>BX6/293.07*(1/(VLOOKUP($BM117,'Fuel economy adjusted factor'!$A$2:$L$52,5,FALSE)*m2k))</f>
        <v>72.663441260434951</v>
      </c>
      <c r="BY117" s="125">
        <f>BY6/293.07*(1/(VLOOKUP($BM117,'Fuel economy adjusted factor'!$A$2:$L$52,5,FALSE)*m2k))</f>
        <v>72.663441260434951</v>
      </c>
      <c r="BZ117" s="125">
        <f>BZ6/293.07*(1/(VLOOKUP($BM117,'Fuel economy adjusted factor'!$A$2:$L$52,5,FALSE)*m2k))</f>
        <v>74.410877846110964</v>
      </c>
      <c r="CA117" s="125">
        <f>CA6/293.07*(1/(VLOOKUP($BM117,'Fuel economy adjusted factor'!$A$2:$L$52,5,FALSE)*m2k))</f>
        <v>74.410877846110964</v>
      </c>
      <c r="CB117" s="125">
        <f>CB6/293.07*(1/(VLOOKUP($BM117,'Fuel economy adjusted factor'!$A$2:$L$52,5,FALSE)*m2k))</f>
        <v>74.410877846110964</v>
      </c>
      <c r="CC117" s="125">
        <f>CC6/293.07*(1/(VLOOKUP($BM117,'Fuel economy adjusted factor'!$A$2:$L$52,5,FALSE)*m2k))</f>
        <v>74.410877846110964</v>
      </c>
      <c r="CD117" s="125">
        <f>CD6/293.07*(1/(VLOOKUP($BM117,'Fuel economy adjusted factor'!$A$2:$L$52,5,FALSE)*m2k))</f>
        <v>74.410877846110964</v>
      </c>
      <c r="CE117" s="125">
        <f>CE6/293.07*(1/(VLOOKUP($BM117,'Fuel economy adjusted factor'!$A$2:$L$52,5,FALSE)*m2k))</f>
        <v>76.249988768274022</v>
      </c>
      <c r="CF117" s="125">
        <f>CF6/293.07*(1/(VLOOKUP($BM117,'Fuel economy adjusted factor'!$A$2:$L$52,5,FALSE)*m2k))</f>
        <v>76.249988768274022</v>
      </c>
      <c r="CG117" s="125">
        <f>CG6/293.07*(1/(VLOOKUP($BM117,'Fuel economy adjusted factor'!$A$2:$L$52,5,FALSE)*m2k))</f>
        <v>76.249988768274022</v>
      </c>
      <c r="CH117" s="125">
        <f>CH6/293.07*(1/(VLOOKUP($BM117,'Fuel economy adjusted factor'!$A$2:$L$52,5,FALSE)*m2k))</f>
        <v>76.249988768274022</v>
      </c>
      <c r="CI117" s="125">
        <f>CI6/293.07*(1/(VLOOKUP($BM117,'Fuel economy adjusted factor'!$A$2:$L$52,5,FALSE)*m2k))</f>
        <v>76.249988768274022</v>
      </c>
      <c r="CJ117" s="125">
        <f>CJ6/293.07*(1/(VLOOKUP($BM117,'Fuel economy adjusted factor'!$A$2:$L$52,5,FALSE)*m2k))</f>
        <v>76.686426100261357</v>
      </c>
      <c r="CK117" s="125">
        <f>CK6/293.07*(1/(VLOOKUP($BM117,'Fuel economy adjusted factor'!$A$2:$L$52,5,FALSE)*m2k))</f>
        <v>76.686426100261357</v>
      </c>
      <c r="CL117" s="125">
        <f>CL6/293.07*(1/(VLOOKUP($BM117,'Fuel economy adjusted factor'!$A$2:$L$52,5,FALSE)*m2k))</f>
        <v>76.686426100261357</v>
      </c>
      <c r="CM117" s="125">
        <f>CM6/293.07*(1/(VLOOKUP($BM117,'Fuel economy adjusted factor'!$A$2:$L$52,5,FALSE)*m2k))</f>
        <v>76.686426100261357</v>
      </c>
      <c r="CN117" s="125">
        <f>CN6/293.07*(1/(VLOOKUP($BM117,'Fuel economy adjusted factor'!$A$2:$L$52,5,FALSE)*m2k))</f>
        <v>76.686426100261357</v>
      </c>
      <c r="CO117" s="125">
        <f>CO6/293.07*(1/(VLOOKUP($BM117,'Fuel economy adjusted factor'!$A$2:$L$52,5,FALSE)*m2k))</f>
        <v>77.207788737828665</v>
      </c>
      <c r="CP117" s="98" cm="1">
        <f t="array" ref="CP117">SUMPRODUCT(INDEX(BN117:CO117,,'TCO Inputs'!$AZ$12-2023+_xlfn.SEQUENCE('TCO Inputs'!$AZ$13))*INDEX('VKT US'!C63:AA63,,_xlfn.SEQUENCE('TCO Inputs'!$AZ$13)))*m2k*CONVERT(0.9072,"g","ton")</f>
        <v>26.239232666051358</v>
      </c>
      <c r="CQ117" s="194"/>
      <c r="CR117" s="70" t="s">
        <v>187</v>
      </c>
      <c r="CS117" s="125">
        <f>CS6/293.07*(1/(VLOOKUP($BM117,'Fuel economy adjusted factor'!$A$2:$L$52,5,FALSE)*m2k))/'TCO Inputs'!$AZ$84</f>
        <v>103.95227938022981</v>
      </c>
      <c r="CT117" s="125">
        <f>CT6/293.07*(1/(VLOOKUP($BM117,'Fuel economy adjusted factor'!$A$2:$L$52,5,FALSE)*m2k))/'TCO Inputs'!$AZ$84</f>
        <v>103.95227938022981</v>
      </c>
      <c r="CU117" s="125">
        <f>CU6/293.07*(1/(VLOOKUP($BM117,'Fuel economy adjusted factor'!$A$2:$L$52,5,FALSE)*m2k))/'TCO Inputs'!$AZ$84</f>
        <v>103.95227938022981</v>
      </c>
      <c r="CV117" s="125">
        <f>CV6/293.07*(1/(VLOOKUP($BM117,'Fuel economy adjusted factor'!$A$2:$L$52,5,FALSE)*m2k))/'TCO Inputs'!$AZ$84</f>
        <v>103.95227938022981</v>
      </c>
      <c r="CW117" s="125">
        <f>CW6/293.07*(1/(VLOOKUP($BM117,'Fuel economy adjusted factor'!$A$2:$L$52,5,FALSE)*m2k))/'TCO Inputs'!$AZ$84</f>
        <v>103.95227938022981</v>
      </c>
      <c r="CX117" s="125">
        <f>CX6/293.07*(1/(VLOOKUP($BM117,'Fuel economy adjusted factor'!$A$2:$L$52,5,FALSE)*m2k))/'TCO Inputs'!$AZ$84</f>
        <v>103.95227938022981</v>
      </c>
      <c r="CY117" s="125">
        <f>CY6/293.07*(1/(VLOOKUP($BM117,'Fuel economy adjusted factor'!$A$2:$L$52,5,FALSE)*m2k))/'TCO Inputs'!$AZ$84</f>
        <v>103.95227938022981</v>
      </c>
      <c r="CZ117" s="125">
        <f>CZ6/293.07*(1/(VLOOKUP($BM117,'Fuel economy adjusted factor'!$A$2:$L$52,5,FALSE)*m2k))/'TCO Inputs'!$AZ$84</f>
        <v>103.97543781961666</v>
      </c>
      <c r="DA117" s="125">
        <f>DA6/293.07*(1/(VLOOKUP($BM117,'Fuel economy adjusted factor'!$A$2:$L$52,5,FALSE)*m2k))/'TCO Inputs'!$AZ$84</f>
        <v>103.97543781961666</v>
      </c>
      <c r="DB117" s="125">
        <f>DB6/293.07*(1/(VLOOKUP($BM117,'Fuel economy adjusted factor'!$A$2:$L$52,5,FALSE)*m2k))/'TCO Inputs'!$AZ$84</f>
        <v>103.97543781961666</v>
      </c>
      <c r="DC117" s="125">
        <f>DC6/293.07*(1/(VLOOKUP($BM117,'Fuel economy adjusted factor'!$A$2:$L$52,5,FALSE)*m2k))/'TCO Inputs'!$AZ$84</f>
        <v>103.97543781961666</v>
      </c>
      <c r="DD117" s="125">
        <f>DD6/293.07*(1/(VLOOKUP($BM117,'Fuel economy adjusted factor'!$A$2:$L$52,5,FALSE)*m2k))/'TCO Inputs'!$AZ$84</f>
        <v>103.97543781961666</v>
      </c>
      <c r="DE117" s="125">
        <f>DE6/293.07*(1/(VLOOKUP($BM117,'Fuel economy adjusted factor'!$A$2:$L$52,5,FALSE)*m2k))/'TCO Inputs'!$AZ$84</f>
        <v>103.96220442568134</v>
      </c>
      <c r="DF117" s="125">
        <f>DF6/293.07*(1/(VLOOKUP($BM117,'Fuel economy adjusted factor'!$A$2:$L$52,5,FALSE)*m2k))/'TCO Inputs'!$AZ$84</f>
        <v>103.96220442568134</v>
      </c>
      <c r="DG117" s="125">
        <f>DG6/293.07*(1/(VLOOKUP($BM117,'Fuel economy adjusted factor'!$A$2:$L$52,5,FALSE)*m2k))/'TCO Inputs'!$AZ$84</f>
        <v>103.96220442568134</v>
      </c>
      <c r="DH117" s="125">
        <f>DH6/293.07*(1/(VLOOKUP($BM117,'Fuel economy adjusted factor'!$A$2:$L$52,5,FALSE)*m2k))/'TCO Inputs'!$AZ$84</f>
        <v>103.96220442568134</v>
      </c>
      <c r="DI117" s="125">
        <f>DI6/293.07*(1/(VLOOKUP($BM117,'Fuel economy adjusted factor'!$A$2:$L$52,5,FALSE)*m2k))/'TCO Inputs'!$AZ$84</f>
        <v>103.96220442568134</v>
      </c>
      <c r="DJ117" s="125">
        <f>DJ6/293.07*(1/(VLOOKUP($BM117,'Fuel economy adjusted factor'!$A$2:$L$52,5,FALSE)*m2k))/'TCO Inputs'!$AZ$84</f>
        <v>103.95889607719748</v>
      </c>
      <c r="DK117" s="125">
        <f>DK6/293.07*(1/(VLOOKUP($BM117,'Fuel economy adjusted factor'!$A$2:$L$52,5,FALSE)*m2k))/'TCO Inputs'!$AZ$84</f>
        <v>103.95889607719748</v>
      </c>
      <c r="DL117" s="125">
        <f>DL6/293.07*(1/(VLOOKUP($BM117,'Fuel economy adjusted factor'!$A$2:$L$52,5,FALSE)*m2k))/'TCO Inputs'!$AZ$84</f>
        <v>103.95889607719748</v>
      </c>
      <c r="DM117" s="125">
        <f>DM6/293.07*(1/(VLOOKUP($BM117,'Fuel economy adjusted factor'!$A$2:$L$52,5,FALSE)*m2k))/'TCO Inputs'!$AZ$84</f>
        <v>103.95889607719748</v>
      </c>
      <c r="DN117" s="125">
        <f>DN6/293.07*(1/(VLOOKUP($BM117,'Fuel economy adjusted factor'!$A$2:$L$52,5,FALSE)*m2k))/'TCO Inputs'!$AZ$84</f>
        <v>103.95889607719748</v>
      </c>
      <c r="DO117" s="125">
        <f>DO6/293.07*(1/(VLOOKUP($BM117,'Fuel economy adjusted factor'!$A$2:$L$52,5,FALSE)*m2k))/'TCO Inputs'!$AZ$84</f>
        <v>103.89471411661113</v>
      </c>
      <c r="DP117" s="125">
        <f>DP6/293.07*(1/(VLOOKUP($BM117,'Fuel economy adjusted factor'!$A$2:$L$52,5,FALSE)*m2k))/'TCO Inputs'!$AZ$84</f>
        <v>103.89471411661113</v>
      </c>
      <c r="DQ117" s="125">
        <f>DQ6/293.07*(1/(VLOOKUP($BM117,'Fuel economy adjusted factor'!$A$2:$L$52,5,FALSE)*m2k))/'TCO Inputs'!$AZ$84</f>
        <v>103.89471411661113</v>
      </c>
      <c r="DR117" s="125">
        <f>DR6/293.07*(1/(VLOOKUP($BM117,'Fuel economy adjusted factor'!$A$2:$L$52,5,FALSE)*m2k))/'TCO Inputs'!$AZ$84</f>
        <v>103.89471411661113</v>
      </c>
      <c r="DS117" s="125">
        <f>DS6/293.07*(1/(VLOOKUP($BM117,'Fuel economy adjusted factor'!$A$2:$L$52,5,FALSE)*m2k))/'TCO Inputs'!$AZ$84</f>
        <v>103.89471411661113</v>
      </c>
      <c r="DT117" s="125">
        <f>DT6/293.07*(1/(VLOOKUP($BM117,'Fuel economy adjusted factor'!$A$2:$L$52,5,FALSE)*m2k))/'TCO Inputs'!$AZ$84</f>
        <v>103.94830936204923</v>
      </c>
      <c r="DU117" s="98" cm="1">
        <f t="array" ref="DU117">SUMPRODUCT(INDEX(CS117:DT117,,'TCO Inputs'!$AZ$12-2023+_xlfn.SEQUENCE('TCO Inputs'!$AZ$13))*INDEX('VKT US'!C63:AA63,,_xlfn.SEQUENCE('TCO Inputs'!$AZ$13)))*m2k*CONVERT(0.9072,"g","ton")</f>
        <v>39.157411775516557</v>
      </c>
      <c r="DW117" s="70" t="s">
        <v>187</v>
      </c>
      <c r="DX117" s="125">
        <f>DX6/293.07*(1/(VLOOKUP($BM117,'Fuel economy adjusted factor'!$A$2:$L$52,5,FALSE)*m2k))/'TCO Inputs'!$AZ$84</f>
        <v>108.81819552572435</v>
      </c>
      <c r="DY117" s="125">
        <f>DY6/293.07*(1/(VLOOKUP($BM117,'Fuel economy adjusted factor'!$A$2:$L$52,5,FALSE)*m2k))/'TCO Inputs'!$AZ$84</f>
        <v>108.81819552572435</v>
      </c>
      <c r="DZ117" s="125">
        <f>DZ6/293.07*(1/(VLOOKUP($BM117,'Fuel economy adjusted factor'!$A$2:$L$52,5,FALSE)*m2k))/'TCO Inputs'!$AZ$84</f>
        <v>95.390061440973071</v>
      </c>
      <c r="EA117" s="125">
        <f>EA6/293.07*(1/(VLOOKUP($BM117,'Fuel economy adjusted factor'!$A$2:$L$52,5,FALSE)*m2k))/'TCO Inputs'!$AZ$84</f>
        <v>95.390061440973071</v>
      </c>
      <c r="EB117" s="125">
        <f>EB6/293.07*(1/(VLOOKUP($BM117,'Fuel economy adjusted factor'!$A$2:$L$52,5,FALSE)*m2k))/'TCO Inputs'!$AZ$84</f>
        <v>95.390061440973071</v>
      </c>
      <c r="EC117" s="125">
        <f>EC6/293.07*(1/(VLOOKUP($BM117,'Fuel economy adjusted factor'!$A$2:$L$52,5,FALSE)*m2k))/'TCO Inputs'!$AZ$84</f>
        <v>95.390061440973071</v>
      </c>
      <c r="ED117" s="125">
        <f>ED6/293.07*(1/(VLOOKUP($BM117,'Fuel economy adjusted factor'!$A$2:$L$52,5,FALSE)*m2k))/'TCO Inputs'!$AZ$84</f>
        <v>95.390061440973071</v>
      </c>
      <c r="EE117" s="125">
        <f>EE6/293.07*(1/(VLOOKUP($BM117,'Fuel economy adjusted factor'!$A$2:$L$52,5,FALSE)*m2k))/'TCO Inputs'!$AZ$84</f>
        <v>58.792347711837039</v>
      </c>
      <c r="EF117" s="125">
        <f>EF6/293.07*(1/(VLOOKUP($BM117,'Fuel economy adjusted factor'!$A$2:$L$52,5,FALSE)*m2k))/'TCO Inputs'!$AZ$84</f>
        <v>58.792347711837039</v>
      </c>
      <c r="EG117" s="125">
        <f>EG6/293.07*(1/(VLOOKUP($BM117,'Fuel economy adjusted factor'!$A$2:$L$52,5,FALSE)*m2k))/'TCO Inputs'!$AZ$84</f>
        <v>58.792347711837039</v>
      </c>
      <c r="EH117" s="125">
        <f>EH6/293.07*(1/(VLOOKUP($BM117,'Fuel economy adjusted factor'!$A$2:$L$52,5,FALSE)*m2k))/'TCO Inputs'!$AZ$84</f>
        <v>58.792347711837039</v>
      </c>
      <c r="EI117" s="125">
        <f>EI6/293.07*(1/(VLOOKUP($BM117,'Fuel economy adjusted factor'!$A$2:$L$52,5,FALSE)*m2k))/'TCO Inputs'!$AZ$84</f>
        <v>58.792347711837039</v>
      </c>
      <c r="EJ117" s="125">
        <f>EJ6/293.07*(1/(VLOOKUP($BM117,'Fuel economy adjusted factor'!$A$2:$L$52,5,FALSE)*m2k))/'TCO Inputs'!$AZ$84</f>
        <v>52.508474441297189</v>
      </c>
      <c r="EK117" s="125">
        <f>EK6/293.07*(1/(VLOOKUP($BM117,'Fuel economy adjusted factor'!$A$2:$L$52,5,FALSE)*m2k))/'TCO Inputs'!$AZ$84</f>
        <v>52.508474441297189</v>
      </c>
      <c r="EL117" s="125">
        <f>EL6/293.07*(1/(VLOOKUP($BM117,'Fuel economy adjusted factor'!$A$2:$L$52,5,FALSE)*m2k))/'TCO Inputs'!$AZ$84</f>
        <v>52.508474441297189</v>
      </c>
      <c r="EM117" s="125">
        <f>EM6/293.07*(1/(VLOOKUP($BM117,'Fuel economy adjusted factor'!$A$2:$L$52,5,FALSE)*m2k))/'TCO Inputs'!$AZ$84</f>
        <v>52.508474441297189</v>
      </c>
      <c r="EN117" s="125">
        <f>EN6/293.07*(1/(VLOOKUP($BM117,'Fuel economy adjusted factor'!$A$2:$L$52,5,FALSE)*m2k))/'TCO Inputs'!$AZ$84</f>
        <v>52.508474441297189</v>
      </c>
      <c r="EO117" s="125">
        <f>EO6/293.07*(1/(VLOOKUP($BM117,'Fuel economy adjusted factor'!$A$2:$L$52,5,FALSE)*m2k))/'TCO Inputs'!$AZ$84</f>
        <v>50.855793340185024</v>
      </c>
      <c r="EP117" s="125">
        <f>EP6/293.07*(1/(VLOOKUP($BM117,'Fuel economy adjusted factor'!$A$2:$L$52,5,FALSE)*m2k))/'TCO Inputs'!$AZ$84</f>
        <v>50.855793340185024</v>
      </c>
      <c r="EQ117" s="125">
        <f>EQ6/293.07*(1/(VLOOKUP($BM117,'Fuel economy adjusted factor'!$A$2:$L$52,5,FALSE)*m2k))/'TCO Inputs'!$AZ$84</f>
        <v>50.855793340185024</v>
      </c>
      <c r="ER117" s="125">
        <f>ER6/293.07*(1/(VLOOKUP($BM117,'Fuel economy adjusted factor'!$A$2:$L$52,5,FALSE)*m2k))/'TCO Inputs'!$AZ$84</f>
        <v>50.855793340185024</v>
      </c>
      <c r="ES117" s="125">
        <f>ES6/293.07*(1/(VLOOKUP($BM117,'Fuel economy adjusted factor'!$A$2:$L$52,5,FALSE)*m2k))/'TCO Inputs'!$AZ$84</f>
        <v>50.855793340185024</v>
      </c>
      <c r="ET117" s="125">
        <f>ET6/293.07*(1/(VLOOKUP($BM117,'Fuel economy adjusted factor'!$A$2:$L$52,5,FALSE)*m2k))/'TCO Inputs'!$AZ$84</f>
        <v>48.967587157285685</v>
      </c>
      <c r="EU117" s="125">
        <f>EU6/293.07*(1/(VLOOKUP($BM117,'Fuel economy adjusted factor'!$A$2:$L$52,5,FALSE)*m2k))/'TCO Inputs'!$AZ$84</f>
        <v>48.967587157285685</v>
      </c>
      <c r="EV117" s="125">
        <f>EV6/293.07*(1/(VLOOKUP($BM117,'Fuel economy adjusted factor'!$A$2:$L$52,5,FALSE)*m2k))/'TCO Inputs'!$AZ$84</f>
        <v>48.967587157285685</v>
      </c>
      <c r="EW117" s="125">
        <f>EW6/293.07*(1/(VLOOKUP($BM117,'Fuel economy adjusted factor'!$A$2:$L$52,5,FALSE)*m2k))/'TCO Inputs'!$AZ$84</f>
        <v>48.967587157285685</v>
      </c>
      <c r="EX117" s="125">
        <f>EX6/293.07*(1/(VLOOKUP($BM117,'Fuel economy adjusted factor'!$A$2:$L$52,5,FALSE)*m2k))/'TCO Inputs'!$AZ$84</f>
        <v>48.967587157285685</v>
      </c>
      <c r="EY117" s="125">
        <f>EY6/293.07*(1/(VLOOKUP($BM117,'Fuel economy adjusted factor'!$A$2:$L$52,5,FALSE)*m2k))/'TCO Inputs'!$AZ$84</f>
        <v>46.006700414818155</v>
      </c>
      <c r="EZ117" s="98" cm="1">
        <f t="array" ref="EZ117">SUMPRODUCT(INDEX(DX117:EY117,,'TCO Inputs'!$AZ$12-2023+_xlfn.SEQUENCE('TCO Inputs'!$AZ$13))*INDEX('VKT US'!C63:AA63,,_xlfn.SEQUENCE('TCO Inputs'!$AZ$13)))*m2k*CONVERT(0.9072,"g","ton")</f>
        <v>30.30048870170581</v>
      </c>
      <c r="FB117" s="70" t="s">
        <v>187</v>
      </c>
      <c r="FC117" s="125">
        <f>FC6/293.07*(1/(VLOOKUP($BM117,'Fuel economy adjusted factor'!$A$2:$L$52,5,FALSE)*m2k))/'TCO Inputs'!$AZ$84</f>
        <v>118.02930909847645</v>
      </c>
      <c r="FD117" s="125">
        <f>FD6/293.07*(1/(VLOOKUP($BM117,'Fuel economy adjusted factor'!$A$2:$L$52,5,FALSE)*m2k))/'TCO Inputs'!$AZ$84</f>
        <v>118.02930909847645</v>
      </c>
      <c r="FE117" s="125">
        <f>FE6/293.07*(1/(VLOOKUP($BM117,'Fuel economy adjusted factor'!$A$2:$L$52,5,FALSE)*m2k))/'TCO Inputs'!$AZ$84</f>
        <v>103.0750686164306</v>
      </c>
      <c r="FF117" s="125">
        <f>FF6/293.07*(1/(VLOOKUP($BM117,'Fuel economy adjusted factor'!$A$2:$L$52,5,FALSE)*m2k))/'TCO Inputs'!$AZ$84</f>
        <v>103.0750686164306</v>
      </c>
      <c r="FG117" s="125">
        <f>FG6/293.07*(1/(VLOOKUP($BM117,'Fuel economy adjusted factor'!$A$2:$L$52,5,FALSE)*m2k))/'TCO Inputs'!$AZ$84</f>
        <v>103.0750686164306</v>
      </c>
      <c r="FH117" s="125">
        <f>FH6/293.07*(1/(VLOOKUP($BM117,'Fuel economy adjusted factor'!$A$2:$L$52,5,FALSE)*m2k))/'TCO Inputs'!$AZ$84</f>
        <v>103.0750686164306</v>
      </c>
      <c r="FI117" s="125">
        <f>FI6/293.07*(1/(VLOOKUP($BM117,'Fuel economy adjusted factor'!$A$2:$L$52,5,FALSE)*m2k))/'TCO Inputs'!$AZ$84</f>
        <v>103.0750686164306</v>
      </c>
      <c r="FJ117" s="125">
        <f>FJ6/293.07*(1/(VLOOKUP($BM117,'Fuel economy adjusted factor'!$A$2:$L$52,5,FALSE)*m2k))/'TCO Inputs'!$AZ$84</f>
        <v>64.682076967957514</v>
      </c>
      <c r="FK117" s="125">
        <f>FK6/293.07*(1/(VLOOKUP($BM117,'Fuel economy adjusted factor'!$A$2:$L$52,5,FALSE)*m2k))/'TCO Inputs'!$AZ$84</f>
        <v>64.682076967957514</v>
      </c>
      <c r="FL117" s="125">
        <f>FL6/293.07*(1/(VLOOKUP($BM117,'Fuel economy adjusted factor'!$A$2:$L$52,5,FALSE)*m2k))/'TCO Inputs'!$AZ$84</f>
        <v>64.682076967957514</v>
      </c>
      <c r="FM117" s="125">
        <f>FM6/293.07*(1/(VLOOKUP($BM117,'Fuel economy adjusted factor'!$A$2:$L$52,5,FALSE)*m2k))/'TCO Inputs'!$AZ$84</f>
        <v>64.682076967957514</v>
      </c>
      <c r="FN117" s="125">
        <f>FN6/293.07*(1/(VLOOKUP($BM117,'Fuel economy adjusted factor'!$A$2:$L$52,5,FALSE)*m2k))/'TCO Inputs'!$AZ$84</f>
        <v>64.682076967957514</v>
      </c>
      <c r="FO117" s="125">
        <f>FO6/293.07*(1/(VLOOKUP($BM117,'Fuel economy adjusted factor'!$A$2:$L$52,5,FALSE)*m2k))/'TCO Inputs'!$AZ$84</f>
        <v>57.434473515819064</v>
      </c>
      <c r="FP117" s="125">
        <f>FP6/293.07*(1/(VLOOKUP($BM117,'Fuel economy adjusted factor'!$A$2:$L$52,5,FALSE)*m2k))/'TCO Inputs'!$AZ$84</f>
        <v>57.434473515819064</v>
      </c>
      <c r="FQ117" s="125">
        <f>FQ6/293.07*(1/(VLOOKUP($BM117,'Fuel economy adjusted factor'!$A$2:$L$52,5,FALSE)*m2k))/'TCO Inputs'!$AZ$84</f>
        <v>57.434473515819064</v>
      </c>
      <c r="FR117" s="125">
        <f>FR6/293.07*(1/(VLOOKUP($BM117,'Fuel economy adjusted factor'!$A$2:$L$52,5,FALSE)*m2k))/'TCO Inputs'!$AZ$84</f>
        <v>57.434473515819064</v>
      </c>
      <c r="FS117" s="125">
        <f>FS6/293.07*(1/(VLOOKUP($BM117,'Fuel economy adjusted factor'!$A$2:$L$52,5,FALSE)*m2k))/'TCO Inputs'!$AZ$84</f>
        <v>57.434473515819064</v>
      </c>
      <c r="FT117" s="125">
        <f>FT6/293.07*(1/(VLOOKUP($BM117,'Fuel economy adjusted factor'!$A$2:$L$52,5,FALSE)*m2k))/'TCO Inputs'!$AZ$84</f>
        <v>55.972455576153685</v>
      </c>
      <c r="FU117" s="125">
        <f>FU6/293.07*(1/(VLOOKUP($BM117,'Fuel economy adjusted factor'!$A$2:$L$52,5,FALSE)*m2k))/'TCO Inputs'!$AZ$84</f>
        <v>55.972455576153685</v>
      </c>
      <c r="FV117" s="125">
        <f>FV6/293.07*(1/(VLOOKUP($BM117,'Fuel economy adjusted factor'!$A$2:$L$52,5,FALSE)*m2k))/'TCO Inputs'!$AZ$84</f>
        <v>55.972455576153685</v>
      </c>
      <c r="FW117" s="125">
        <f>FW6/293.07*(1/(VLOOKUP($BM117,'Fuel economy adjusted factor'!$A$2:$L$52,5,FALSE)*m2k))/'TCO Inputs'!$AZ$84</f>
        <v>55.972455576153685</v>
      </c>
      <c r="FX117" s="125">
        <f>FX6/293.07*(1/(VLOOKUP($BM117,'Fuel economy adjusted factor'!$A$2:$L$52,5,FALSE)*m2k))/'TCO Inputs'!$AZ$84</f>
        <v>55.972455576153685</v>
      </c>
      <c r="FY117" s="125">
        <f>FY6/293.07*(1/(VLOOKUP($BM117,'Fuel economy adjusted factor'!$A$2:$L$52,5,FALSE)*m2k))/'TCO Inputs'!$AZ$84</f>
        <v>54.080243864652509</v>
      </c>
      <c r="FZ117" s="125">
        <f>FZ6/293.07*(1/(VLOOKUP($BM117,'Fuel economy adjusted factor'!$A$2:$L$52,5,FALSE)*m2k))/'TCO Inputs'!$AZ$84</f>
        <v>54.080243864652509</v>
      </c>
      <c r="GA117" s="125">
        <f>GA6/293.07*(1/(VLOOKUP($BM117,'Fuel economy adjusted factor'!$A$2:$L$52,5,FALSE)*m2k))/'TCO Inputs'!$AZ$84</f>
        <v>54.080243864652509</v>
      </c>
      <c r="GB117" s="125">
        <f>GB6/293.07*(1/(VLOOKUP($BM117,'Fuel economy adjusted factor'!$A$2:$L$52,5,FALSE)*m2k))/'TCO Inputs'!$AZ$84</f>
        <v>54.080243864652509</v>
      </c>
      <c r="GC117" s="125">
        <f>GC6/293.07*(1/(VLOOKUP($BM117,'Fuel economy adjusted factor'!$A$2:$L$52,5,FALSE)*m2k))/'TCO Inputs'!$AZ$84</f>
        <v>54.080243864652509</v>
      </c>
      <c r="GD117" s="125">
        <f>GD6/293.07*(1/(VLOOKUP($BM117,'Fuel economy adjusted factor'!$A$2:$L$52,5,FALSE)*m2k))/'TCO Inputs'!$AZ$84</f>
        <v>51.016815589978307</v>
      </c>
      <c r="GE117" s="98" cm="1">
        <f t="array" ref="GE117">SUMPRODUCT(INDEX(FC117:GD117,,'TCO Inputs'!$AZ$12-2023+_xlfn.SEQUENCE('TCO Inputs'!$AZ$13))*INDEX('VKT US'!C63:AA63,,_xlfn.SEQUENCE('TCO Inputs'!$AZ$13)))*m2k*CONVERT(0.9072,"g","ton")</f>
        <v>32.944617969322323</v>
      </c>
      <c r="GH117" s="70" t="s">
        <v>187</v>
      </c>
      <c r="GI117" s="125">
        <f>GI6/293.07*(1/(VLOOKUP($BM117,'Fuel economy adjusted factor'!$A$2:$L$52,5,FALSE)*m2k))/'TCO Inputs'!$AZ$84</f>
        <v>102.54874215815104</v>
      </c>
      <c r="GJ117" s="125">
        <f>GJ6/293.07*(1/(VLOOKUP($BM117,'Fuel economy adjusted factor'!$A$2:$L$52,5,FALSE)*m2k))/'TCO Inputs'!$AZ$84</f>
        <v>102.54874215815104</v>
      </c>
      <c r="GK117" s="125">
        <f>GK6/293.07*(1/(VLOOKUP($BM117,'Fuel economy adjusted factor'!$A$2:$L$52,5,FALSE)*m2k))/'TCO Inputs'!$AZ$84</f>
        <v>90.159642192712639</v>
      </c>
      <c r="GL117" s="125">
        <f>GL6/293.07*(1/(VLOOKUP($BM117,'Fuel economy adjusted factor'!$A$2:$L$52,5,FALSE)*m2k))/'TCO Inputs'!$AZ$84</f>
        <v>90.159642192712639</v>
      </c>
      <c r="GM117" s="125">
        <f>GM6/293.07*(1/(VLOOKUP($BM117,'Fuel economy adjusted factor'!$A$2:$L$52,5,FALSE)*m2k))/'TCO Inputs'!$AZ$84</f>
        <v>90.159642192712639</v>
      </c>
      <c r="GN117" s="125">
        <f>GN6/293.07*(1/(VLOOKUP($BM117,'Fuel economy adjusted factor'!$A$2:$L$52,5,FALSE)*m2k))/'TCO Inputs'!$AZ$84</f>
        <v>90.159642192712639</v>
      </c>
      <c r="GO117" s="125">
        <f>GO6/293.07*(1/(VLOOKUP($BM117,'Fuel economy adjusted factor'!$A$2:$L$52,5,FALSE)*m2k))/'TCO Inputs'!$AZ$84</f>
        <v>90.159642192712639</v>
      </c>
      <c r="GP117" s="125">
        <f>GP6/293.07*(1/(VLOOKUP($BM117,'Fuel economy adjusted factor'!$A$2:$L$52,5,FALSE)*m2k))/'TCO Inputs'!$AZ$84</f>
        <v>54.783614687132626</v>
      </c>
      <c r="GQ117" s="125">
        <f>GQ6/293.07*(1/(VLOOKUP($BM117,'Fuel economy adjusted factor'!$A$2:$L$52,5,FALSE)*m2k))/'TCO Inputs'!$AZ$84</f>
        <v>54.783614687132626</v>
      </c>
      <c r="GR117" s="125">
        <f>GR6/293.07*(1/(VLOOKUP($BM117,'Fuel economy adjusted factor'!$A$2:$L$52,5,FALSE)*m2k))/'TCO Inputs'!$AZ$84</f>
        <v>54.783614687132626</v>
      </c>
      <c r="GS117" s="125">
        <f>GS6/293.07*(1/(VLOOKUP($BM117,'Fuel economy adjusted factor'!$A$2:$L$52,5,FALSE)*m2k))/'TCO Inputs'!$AZ$84</f>
        <v>54.783614687132626</v>
      </c>
      <c r="GT117" s="125">
        <f>GT6/293.07*(1/(VLOOKUP($BM117,'Fuel economy adjusted factor'!$A$2:$L$52,5,FALSE)*m2k))/'TCO Inputs'!$AZ$84</f>
        <v>54.783614687132626</v>
      </c>
      <c r="GU117" s="125">
        <f>GU6/293.07*(1/(VLOOKUP($BM117,'Fuel economy adjusted factor'!$A$2:$L$52,5,FALSE)*m2k))/'TCO Inputs'!$AZ$84</f>
        <v>49.155847001571367</v>
      </c>
      <c r="GV117" s="125">
        <f>GV6/293.07*(1/(VLOOKUP($BM117,'Fuel economy adjusted factor'!$A$2:$L$52,5,FALSE)*m2k))/'TCO Inputs'!$AZ$84</f>
        <v>49.155847001571367</v>
      </c>
      <c r="GW117" s="125">
        <f>GW6/293.07*(1/(VLOOKUP($BM117,'Fuel economy adjusted factor'!$A$2:$L$52,5,FALSE)*m2k))/'TCO Inputs'!$AZ$84</f>
        <v>49.155847001571367</v>
      </c>
      <c r="GX117" s="125">
        <f>GX6/293.07*(1/(VLOOKUP($BM117,'Fuel economy adjusted factor'!$A$2:$L$52,5,FALSE)*m2k))/'TCO Inputs'!$AZ$84</f>
        <v>49.155847001571367</v>
      </c>
      <c r="GY117" s="125">
        <f>GY6/293.07*(1/(VLOOKUP($BM117,'Fuel economy adjusted factor'!$A$2:$L$52,5,FALSE)*m2k))/'TCO Inputs'!$AZ$84</f>
        <v>49.155847001571367</v>
      </c>
      <c r="GZ117" s="125">
        <f>GZ6/293.07*(1/(VLOOKUP($BM117,'Fuel economy adjusted factor'!$A$2:$L$52,5,FALSE)*m2k))/'TCO Inputs'!$AZ$84</f>
        <v>47.373386773760146</v>
      </c>
      <c r="HA117" s="125">
        <f>HA6/293.07*(1/(VLOOKUP($BM117,'Fuel economy adjusted factor'!$A$2:$L$52,5,FALSE)*m2k))/'TCO Inputs'!$AZ$84</f>
        <v>47.373386773760146</v>
      </c>
      <c r="HB117" s="125">
        <f>HB6/293.07*(1/(VLOOKUP($BM117,'Fuel economy adjusted factor'!$A$2:$L$52,5,FALSE)*m2k))/'TCO Inputs'!$AZ$84</f>
        <v>47.373386773760146</v>
      </c>
      <c r="HC117" s="125">
        <f>HC6/293.07*(1/(VLOOKUP($BM117,'Fuel economy adjusted factor'!$A$2:$L$52,5,FALSE)*m2k))/'TCO Inputs'!$AZ$84</f>
        <v>47.373386773760146</v>
      </c>
      <c r="HD117" s="125">
        <f>HD6/293.07*(1/(VLOOKUP($BM117,'Fuel economy adjusted factor'!$A$2:$L$52,5,FALSE)*m2k))/'TCO Inputs'!$AZ$84</f>
        <v>47.373386773760146</v>
      </c>
      <c r="HE117" s="125">
        <f>HE6/293.07*(1/(VLOOKUP($BM117,'Fuel economy adjusted factor'!$A$2:$L$52,5,FALSE)*m2k))/'TCO Inputs'!$AZ$84</f>
        <v>45.487583908021897</v>
      </c>
      <c r="HF117" s="125">
        <f>HF6/293.07*(1/(VLOOKUP($BM117,'Fuel economy adjusted factor'!$A$2:$L$52,5,FALSE)*m2k))/'TCO Inputs'!$AZ$84</f>
        <v>45.487583908021897</v>
      </c>
      <c r="HG117" s="125">
        <f>HG6/293.07*(1/(VLOOKUP($BM117,'Fuel economy adjusted factor'!$A$2:$L$52,5,FALSE)*m2k))/'TCO Inputs'!$AZ$84</f>
        <v>45.487583908021897</v>
      </c>
      <c r="HH117" s="125">
        <f>HH6/293.07*(1/(VLOOKUP($BM117,'Fuel economy adjusted factor'!$A$2:$L$52,5,FALSE)*m2k))/'TCO Inputs'!$AZ$84</f>
        <v>45.487583908021897</v>
      </c>
      <c r="HI117" s="125">
        <f>HI6/293.07*(1/(VLOOKUP($BM117,'Fuel economy adjusted factor'!$A$2:$L$52,5,FALSE)*m2k))/'TCO Inputs'!$AZ$84</f>
        <v>45.487583908021897</v>
      </c>
      <c r="HJ117" s="125">
        <f>HJ6/293.07*(1/(VLOOKUP($BM117,'Fuel economy adjusted factor'!$A$2:$L$52,5,FALSE)*m2k))/'TCO Inputs'!$AZ$84</f>
        <v>42.597194468946448</v>
      </c>
      <c r="HK117" s="98" cm="1">
        <f t="array" ref="HK117">SUMPRODUCT(INDEX(GI117:HJ117,,'TCO Inputs'!$AZ$12-2023+_xlfn.SEQUENCE('TCO Inputs'!$AZ$13))*INDEX('VKT US'!C63:AA63,,_xlfn.SEQUENCE('TCO Inputs'!$AZ$13)))*m2k*CONVERT(0.9072,"g","ton")</f>
        <v>28.500847870474249</v>
      </c>
    </row>
    <row r="118" spans="17:219" x14ac:dyDescent="0.25">
      <c r="Z118" s="123" t="s">
        <v>231</v>
      </c>
      <c r="AA118" s="125">
        <f>AA7/293.07*(1/(VLOOKUP($Z118,'Fuel economy adjusted factor'!$A$2:$L$52,5,FALSE)*m2k))/'TCO Inputs'!$AZ$84</f>
        <v>204.93193394801827</v>
      </c>
      <c r="AB118" s="125">
        <f>AB7/293.07*(1/(VLOOKUP($Z118,'Fuel economy adjusted factor'!$A$2:$L$52,5,FALSE)*m2k))/'TCO Inputs'!$AZ$84</f>
        <v>204.93193394801827</v>
      </c>
      <c r="AC118" s="125">
        <f>AC7/293.07*(1/(VLOOKUP($Z118,'Fuel economy adjusted factor'!$A$2:$L$52,5,FALSE)*m2k))/'TCO Inputs'!$AZ$84</f>
        <v>180.23637325454976</v>
      </c>
      <c r="AD118" s="125">
        <f>AD7/293.07*(1/(VLOOKUP($Z118,'Fuel economy adjusted factor'!$A$2:$L$52,5,FALSE)*m2k))/'TCO Inputs'!$AZ$84</f>
        <v>180.23637325454976</v>
      </c>
      <c r="AE118" s="125">
        <f>AE7/293.07*(1/(VLOOKUP($Z118,'Fuel economy adjusted factor'!$A$2:$L$52,5,FALSE)*m2k))/'TCO Inputs'!$AZ$84</f>
        <v>180.23637325454976</v>
      </c>
      <c r="AF118" s="125">
        <f>AF7/293.07*(1/(VLOOKUP($Z118,'Fuel economy adjusted factor'!$A$2:$L$52,5,FALSE)*m2k))/'TCO Inputs'!$AZ$84</f>
        <v>180.23637325454976</v>
      </c>
      <c r="AG118" s="125">
        <f>AG7/293.07*(1/(VLOOKUP($Z118,'Fuel economy adjusted factor'!$A$2:$L$52,5,FALSE)*m2k))/'TCO Inputs'!$AZ$84</f>
        <v>180.23637325454976</v>
      </c>
      <c r="AH118" s="125">
        <f>AH7/293.07*(1/(VLOOKUP($Z118,'Fuel economy adjusted factor'!$A$2:$L$52,5,FALSE)*m2k))/'TCO Inputs'!$AZ$84</f>
        <v>108.29280531758859</v>
      </c>
      <c r="AI118" s="125">
        <f>AI7/293.07*(1/(VLOOKUP($Z118,'Fuel economy adjusted factor'!$A$2:$L$52,5,FALSE)*m2k))/'TCO Inputs'!$AZ$84</f>
        <v>108.29280531758859</v>
      </c>
      <c r="AJ118" s="125">
        <f>AJ7/293.07*(1/(VLOOKUP($Z118,'Fuel economy adjusted factor'!$A$2:$L$52,5,FALSE)*m2k))/'TCO Inputs'!$AZ$84</f>
        <v>108.29280531758859</v>
      </c>
      <c r="AK118" s="125">
        <f>AK7/293.07*(1/(VLOOKUP($Z118,'Fuel economy adjusted factor'!$A$2:$L$52,5,FALSE)*m2k))/'TCO Inputs'!$AZ$84</f>
        <v>108.29280531758859</v>
      </c>
      <c r="AL118" s="125">
        <f>AL7/293.07*(1/(VLOOKUP($Z118,'Fuel economy adjusted factor'!$A$2:$L$52,5,FALSE)*m2k))/'TCO Inputs'!$AZ$84</f>
        <v>108.29280531758859</v>
      </c>
      <c r="AM118" s="125">
        <f>AM7/293.07*(1/(VLOOKUP($Z118,'Fuel economy adjusted factor'!$A$2:$L$52,5,FALSE)*m2k))/'TCO Inputs'!$AZ$84</f>
        <v>113.32604391387198</v>
      </c>
      <c r="AN118" s="125">
        <f>AN7/293.07*(1/(VLOOKUP($Z118,'Fuel economy adjusted factor'!$A$2:$L$52,5,FALSE)*m2k))/'TCO Inputs'!$AZ$84</f>
        <v>113.32604391387198</v>
      </c>
      <c r="AO118" s="125">
        <f>AO7/293.07*(1/(VLOOKUP($Z118,'Fuel economy adjusted factor'!$A$2:$L$52,5,FALSE)*m2k))/'TCO Inputs'!$AZ$84</f>
        <v>113.32604391387198</v>
      </c>
      <c r="AP118" s="125">
        <f>AP7/293.07*(1/(VLOOKUP($Z118,'Fuel economy adjusted factor'!$A$2:$L$52,5,FALSE)*m2k))/'TCO Inputs'!$AZ$84</f>
        <v>113.32604391387198</v>
      </c>
      <c r="AQ118" s="125">
        <f>AQ7/293.07*(1/(VLOOKUP($Z118,'Fuel economy adjusted factor'!$A$2:$L$52,5,FALSE)*m2k))/'TCO Inputs'!$AZ$84</f>
        <v>113.32604391387198</v>
      </c>
      <c r="AR118" s="125">
        <f>AR7/293.07*(1/(VLOOKUP($Z118,'Fuel economy adjusted factor'!$A$2:$L$52,5,FALSE)*m2k))/'TCO Inputs'!$AZ$84</f>
        <v>118.4650958097949</v>
      </c>
      <c r="AS118" s="125">
        <f>AS7/293.07*(1/(VLOOKUP($Z118,'Fuel economy adjusted factor'!$A$2:$L$52,5,FALSE)*m2k))/'TCO Inputs'!$AZ$84</f>
        <v>118.4650958097949</v>
      </c>
      <c r="AT118" s="125">
        <f>AT7/293.07*(1/(VLOOKUP($Z118,'Fuel economy adjusted factor'!$A$2:$L$52,5,FALSE)*m2k))/'TCO Inputs'!$AZ$84</f>
        <v>118.4650958097949</v>
      </c>
      <c r="AU118" s="125">
        <f>AU7/293.07*(1/(VLOOKUP($Z118,'Fuel economy adjusted factor'!$A$2:$L$52,5,FALSE)*m2k))/'TCO Inputs'!$AZ$84</f>
        <v>118.4650958097949</v>
      </c>
      <c r="AV118" s="125">
        <f>AV7/293.07*(1/(VLOOKUP($Z118,'Fuel economy adjusted factor'!$A$2:$L$52,5,FALSE)*m2k))/'TCO Inputs'!$AZ$84</f>
        <v>118.4650958097949</v>
      </c>
      <c r="AW118" s="125">
        <f>AW7/293.07*(1/(VLOOKUP($Z118,'Fuel economy adjusted factor'!$A$2:$L$52,5,FALSE)*m2k))/'TCO Inputs'!$AZ$84</f>
        <v>121.06462851437054</v>
      </c>
      <c r="AX118" s="125">
        <f>AX7/293.07*(1/(VLOOKUP($Z118,'Fuel economy adjusted factor'!$A$2:$L$52,5,FALSE)*m2k))/'TCO Inputs'!$AZ$84</f>
        <v>121.06462851437054</v>
      </c>
      <c r="AY118" s="125">
        <f>AY7/293.07*(1/(VLOOKUP($Z118,'Fuel economy adjusted factor'!$A$2:$L$52,5,FALSE)*m2k))/'TCO Inputs'!$AZ$84</f>
        <v>121.06462851437054</v>
      </c>
      <c r="AZ118" s="125">
        <f>AZ7/293.07*(1/(VLOOKUP($Z118,'Fuel economy adjusted factor'!$A$2:$L$52,5,FALSE)*m2k))/'TCO Inputs'!$AZ$84</f>
        <v>121.06462851437054</v>
      </c>
      <c r="BA118" s="125">
        <f>BA7/293.07*(1/(VLOOKUP($Z118,'Fuel economy adjusted factor'!$A$2:$L$52,5,FALSE)*m2k))/'TCO Inputs'!$AZ$84</f>
        <v>121.06462851437054</v>
      </c>
      <c r="BB118" s="125">
        <f>BB7/293.07*(1/(VLOOKUP($Z118,'Fuel economy adjusted factor'!$A$2:$L$52,5,FALSE)*m2k))/'TCO Inputs'!$AZ$84</f>
        <v>121.22887602425868</v>
      </c>
      <c r="BC118" s="98" cm="1">
        <f t="array" ref="BC118">SUMPRODUCT(INDEX(AA118:BB118,,'TCO Inputs'!$AZ$12-2023+_xlfn.SEQUENCE('TCO Inputs'!$AZ$13))*INDEX('VKT US'!C64:AA64,,_xlfn.SEQUENCE('TCO Inputs'!$AZ$13)))*m2k*CONVERT(0.9072,"g","ton")</f>
        <v>35.857570413219861</v>
      </c>
      <c r="BM118" s="123" t="s">
        <v>231</v>
      </c>
      <c r="BN118" s="125">
        <f>BN7/293.07*(1/(VLOOKUP($BM118,'Fuel economy adjusted factor'!$A$2:$L$52,5,FALSE)*m2k))</f>
        <v>174.19214385581552</v>
      </c>
      <c r="BO118" s="125">
        <f>BO7/293.07*(1/(VLOOKUP($BM118,'Fuel economy adjusted factor'!$A$2:$L$52,5,FALSE)*m2k))</f>
        <v>174.19214385581552</v>
      </c>
      <c r="BP118" s="125">
        <f>BP7/293.07*(1/(VLOOKUP($BM118,'Fuel economy adjusted factor'!$A$2:$L$52,5,FALSE)*m2k))</f>
        <v>153.00089854398911</v>
      </c>
      <c r="BQ118" s="125">
        <f>BQ7/293.07*(1/(VLOOKUP($BM118,'Fuel economy adjusted factor'!$A$2:$L$52,5,FALSE)*m2k))</f>
        <v>153.00089854398911</v>
      </c>
      <c r="BR118" s="125">
        <f>BR7/293.07*(1/(VLOOKUP($BM118,'Fuel economy adjusted factor'!$A$2:$L$52,5,FALSE)*m2k))</f>
        <v>153.00089854398911</v>
      </c>
      <c r="BS118" s="125">
        <f>BS7/293.07*(1/(VLOOKUP($BM118,'Fuel economy adjusted factor'!$A$2:$L$52,5,FALSE)*m2k))</f>
        <v>153.00089854398911</v>
      </c>
      <c r="BT118" s="125">
        <f>BT7/293.07*(1/(VLOOKUP($BM118,'Fuel economy adjusted factor'!$A$2:$L$52,5,FALSE)*m2k))</f>
        <v>153.00089854398911</v>
      </c>
      <c r="BU118" s="125">
        <f>BU7/293.07*(1/(VLOOKUP($BM118,'Fuel economy adjusted factor'!$A$2:$L$52,5,FALSE)*m2k))</f>
        <v>173.43636841488313</v>
      </c>
      <c r="BV118" s="125">
        <f>BV7/293.07*(1/(VLOOKUP($BM118,'Fuel economy adjusted factor'!$A$2:$L$52,5,FALSE)*m2k))</f>
        <v>173.43636841488313</v>
      </c>
      <c r="BW118" s="125">
        <f>BW7/293.07*(1/(VLOOKUP($BM118,'Fuel economy adjusted factor'!$A$2:$L$52,5,FALSE)*m2k))</f>
        <v>173.43636841488313</v>
      </c>
      <c r="BX118" s="125">
        <f>BX7/293.07*(1/(VLOOKUP($BM118,'Fuel economy adjusted factor'!$A$2:$L$52,5,FALSE)*m2k))</f>
        <v>173.43636841488313</v>
      </c>
      <c r="BY118" s="125">
        <f>BY7/293.07*(1/(VLOOKUP($BM118,'Fuel economy adjusted factor'!$A$2:$L$52,5,FALSE)*m2k))</f>
        <v>173.43636841488313</v>
      </c>
      <c r="BZ118" s="125">
        <f>BZ7/293.07*(1/(VLOOKUP($BM118,'Fuel economy adjusted factor'!$A$2:$L$52,5,FALSE)*m2k))</f>
        <v>177.60722861910492</v>
      </c>
      <c r="CA118" s="125">
        <f>CA7/293.07*(1/(VLOOKUP($BM118,'Fuel economy adjusted factor'!$A$2:$L$52,5,FALSE)*m2k))</f>
        <v>177.60722861910492</v>
      </c>
      <c r="CB118" s="125">
        <f>CB7/293.07*(1/(VLOOKUP($BM118,'Fuel economy adjusted factor'!$A$2:$L$52,5,FALSE)*m2k))</f>
        <v>177.60722861910492</v>
      </c>
      <c r="CC118" s="125">
        <f>CC7/293.07*(1/(VLOOKUP($BM118,'Fuel economy adjusted factor'!$A$2:$L$52,5,FALSE)*m2k))</f>
        <v>177.60722861910492</v>
      </c>
      <c r="CD118" s="125">
        <f>CD7/293.07*(1/(VLOOKUP($BM118,'Fuel economy adjusted factor'!$A$2:$L$52,5,FALSE)*m2k))</f>
        <v>177.60722861910492</v>
      </c>
      <c r="CE118" s="125">
        <f>CE7/293.07*(1/(VLOOKUP($BM118,'Fuel economy adjusted factor'!$A$2:$L$52,5,FALSE)*m2k))</f>
        <v>181.99690125116319</v>
      </c>
      <c r="CF118" s="125">
        <f>CF7/293.07*(1/(VLOOKUP($BM118,'Fuel economy adjusted factor'!$A$2:$L$52,5,FALSE)*m2k))</f>
        <v>181.99690125116319</v>
      </c>
      <c r="CG118" s="125">
        <f>CG7/293.07*(1/(VLOOKUP($BM118,'Fuel economy adjusted factor'!$A$2:$L$52,5,FALSE)*m2k))</f>
        <v>181.99690125116319</v>
      </c>
      <c r="CH118" s="125">
        <f>CH7/293.07*(1/(VLOOKUP($BM118,'Fuel economy adjusted factor'!$A$2:$L$52,5,FALSE)*m2k))</f>
        <v>181.99690125116319</v>
      </c>
      <c r="CI118" s="125">
        <f>CI7/293.07*(1/(VLOOKUP($BM118,'Fuel economy adjusted factor'!$A$2:$L$52,5,FALSE)*m2k))</f>
        <v>181.99690125116319</v>
      </c>
      <c r="CJ118" s="125">
        <f>CJ7/293.07*(1/(VLOOKUP($BM118,'Fuel economy adjusted factor'!$A$2:$L$52,5,FALSE)*m2k))</f>
        <v>183.03860949656905</v>
      </c>
      <c r="CK118" s="125">
        <f>CK7/293.07*(1/(VLOOKUP($BM118,'Fuel economy adjusted factor'!$A$2:$L$52,5,FALSE)*m2k))</f>
        <v>183.03860949656905</v>
      </c>
      <c r="CL118" s="125">
        <f>CL7/293.07*(1/(VLOOKUP($BM118,'Fuel economy adjusted factor'!$A$2:$L$52,5,FALSE)*m2k))</f>
        <v>183.03860949656905</v>
      </c>
      <c r="CM118" s="125">
        <f>CM7/293.07*(1/(VLOOKUP($BM118,'Fuel economy adjusted factor'!$A$2:$L$52,5,FALSE)*m2k))</f>
        <v>183.03860949656905</v>
      </c>
      <c r="CN118" s="125">
        <f>CN7/293.07*(1/(VLOOKUP($BM118,'Fuel economy adjusted factor'!$A$2:$L$52,5,FALSE)*m2k))</f>
        <v>183.03860949656905</v>
      </c>
      <c r="CO118" s="125">
        <f>CO7/293.07*(1/(VLOOKUP($BM118,'Fuel economy adjusted factor'!$A$2:$L$52,5,FALSE)*m2k))</f>
        <v>184.28302127941862</v>
      </c>
      <c r="CP118" s="98" cm="1">
        <f t="array" ref="CP118">SUMPRODUCT(INDEX(BN118:CO118,,'TCO Inputs'!$AZ$12-2023+_xlfn.SEQUENCE('TCO Inputs'!$AZ$13))*INDEX('VKT US'!C64:AA64,,_xlfn.SEQUENCE('TCO Inputs'!$AZ$13)))*m2k*CONVERT(0.9072,"g","ton")</f>
        <v>39.056552671355604</v>
      </c>
      <c r="CQ118" s="194"/>
      <c r="CR118" s="123" t="s">
        <v>231</v>
      </c>
      <c r="CS118" s="125">
        <f>CS7/293.07*(1/(VLOOKUP($BM118,'Fuel economy adjusted factor'!$A$2:$L$52,5,FALSE)*m2k))/'TCO Inputs'!$AZ$84</f>
        <v>248.11797392773911</v>
      </c>
      <c r="CT118" s="125">
        <f>CT7/293.07*(1/(VLOOKUP($BM118,'Fuel economy adjusted factor'!$A$2:$L$52,5,FALSE)*m2k))/'TCO Inputs'!$AZ$84</f>
        <v>248.11797392773911</v>
      </c>
      <c r="CU118" s="125">
        <f>CU7/293.07*(1/(VLOOKUP($BM118,'Fuel economy adjusted factor'!$A$2:$L$52,5,FALSE)*m2k))/'TCO Inputs'!$AZ$84</f>
        <v>248.11797392773911</v>
      </c>
      <c r="CV118" s="125">
        <f>CV7/293.07*(1/(VLOOKUP($BM118,'Fuel economy adjusted factor'!$A$2:$L$52,5,FALSE)*m2k))/'TCO Inputs'!$AZ$84</f>
        <v>248.11797392773911</v>
      </c>
      <c r="CW118" s="125">
        <f>CW7/293.07*(1/(VLOOKUP($BM118,'Fuel economy adjusted factor'!$A$2:$L$52,5,FALSE)*m2k))/'TCO Inputs'!$AZ$84</f>
        <v>248.11797392773911</v>
      </c>
      <c r="CX118" s="125">
        <f>CX7/293.07*(1/(VLOOKUP($BM118,'Fuel economy adjusted factor'!$A$2:$L$52,5,FALSE)*m2k))/'TCO Inputs'!$AZ$84</f>
        <v>248.11797392773911</v>
      </c>
      <c r="CY118" s="125">
        <f>CY7/293.07*(1/(VLOOKUP($BM118,'Fuel economy adjusted factor'!$A$2:$L$52,5,FALSE)*m2k))/'TCO Inputs'!$AZ$84</f>
        <v>248.11797392773911</v>
      </c>
      <c r="CZ118" s="125">
        <f>CZ7/293.07*(1/(VLOOKUP($BM118,'Fuel economy adjusted factor'!$A$2:$L$52,5,FALSE)*m2k))/'TCO Inputs'!$AZ$84</f>
        <v>248.17324953202839</v>
      </c>
      <c r="DA118" s="125">
        <f>DA7/293.07*(1/(VLOOKUP($BM118,'Fuel economy adjusted factor'!$A$2:$L$52,5,FALSE)*m2k))/'TCO Inputs'!$AZ$84</f>
        <v>248.17324953202839</v>
      </c>
      <c r="DB118" s="125">
        <f>DB7/293.07*(1/(VLOOKUP($BM118,'Fuel economy adjusted factor'!$A$2:$L$52,5,FALSE)*m2k))/'TCO Inputs'!$AZ$84</f>
        <v>248.17324953202839</v>
      </c>
      <c r="DC118" s="125">
        <f>DC7/293.07*(1/(VLOOKUP($BM118,'Fuel economy adjusted factor'!$A$2:$L$52,5,FALSE)*m2k))/'TCO Inputs'!$AZ$84</f>
        <v>248.17324953202839</v>
      </c>
      <c r="DD118" s="125">
        <f>DD7/293.07*(1/(VLOOKUP($BM118,'Fuel economy adjusted factor'!$A$2:$L$52,5,FALSE)*m2k))/'TCO Inputs'!$AZ$84</f>
        <v>248.17324953202839</v>
      </c>
      <c r="DE118" s="125">
        <f>DE7/293.07*(1/(VLOOKUP($BM118,'Fuel economy adjusted factor'!$A$2:$L$52,5,FALSE)*m2k))/'TCO Inputs'!$AZ$84</f>
        <v>248.14166347243452</v>
      </c>
      <c r="DF118" s="125">
        <f>DF7/293.07*(1/(VLOOKUP($BM118,'Fuel economy adjusted factor'!$A$2:$L$52,5,FALSE)*m2k))/'TCO Inputs'!$AZ$84</f>
        <v>248.14166347243452</v>
      </c>
      <c r="DG118" s="125">
        <f>DG7/293.07*(1/(VLOOKUP($BM118,'Fuel economy adjusted factor'!$A$2:$L$52,5,FALSE)*m2k))/'TCO Inputs'!$AZ$84</f>
        <v>248.14166347243452</v>
      </c>
      <c r="DH118" s="125">
        <f>DH7/293.07*(1/(VLOOKUP($BM118,'Fuel economy adjusted factor'!$A$2:$L$52,5,FALSE)*m2k))/'TCO Inputs'!$AZ$84</f>
        <v>248.14166347243452</v>
      </c>
      <c r="DI118" s="125">
        <f>DI7/293.07*(1/(VLOOKUP($BM118,'Fuel economy adjusted factor'!$A$2:$L$52,5,FALSE)*m2k))/'TCO Inputs'!$AZ$84</f>
        <v>248.14166347243452</v>
      </c>
      <c r="DJ118" s="125">
        <f>DJ7/293.07*(1/(VLOOKUP($BM118,'Fuel economy adjusted factor'!$A$2:$L$52,5,FALSE)*m2k))/'TCO Inputs'!$AZ$84</f>
        <v>248.13376695753607</v>
      </c>
      <c r="DK118" s="125">
        <f>DK7/293.07*(1/(VLOOKUP($BM118,'Fuel economy adjusted factor'!$A$2:$L$52,5,FALSE)*m2k))/'TCO Inputs'!$AZ$84</f>
        <v>248.13376695753607</v>
      </c>
      <c r="DL118" s="125">
        <f>DL7/293.07*(1/(VLOOKUP($BM118,'Fuel economy adjusted factor'!$A$2:$L$52,5,FALSE)*m2k))/'TCO Inputs'!$AZ$84</f>
        <v>248.13376695753607</v>
      </c>
      <c r="DM118" s="125">
        <f>DM7/293.07*(1/(VLOOKUP($BM118,'Fuel economy adjusted factor'!$A$2:$L$52,5,FALSE)*m2k))/'TCO Inputs'!$AZ$84</f>
        <v>248.13376695753607</v>
      </c>
      <c r="DN118" s="125">
        <f>DN7/293.07*(1/(VLOOKUP($BM118,'Fuel economy adjusted factor'!$A$2:$L$52,5,FALSE)*m2k))/'TCO Inputs'!$AZ$84</f>
        <v>248.13376695753607</v>
      </c>
      <c r="DO118" s="125">
        <f>DO7/293.07*(1/(VLOOKUP($BM118,'Fuel economy adjusted factor'!$A$2:$L$52,5,FALSE)*m2k))/'TCO Inputs'!$AZ$84</f>
        <v>247.9805745685058</v>
      </c>
      <c r="DP118" s="125">
        <f>DP7/293.07*(1/(VLOOKUP($BM118,'Fuel economy adjusted factor'!$A$2:$L$52,5,FALSE)*m2k))/'TCO Inputs'!$AZ$84</f>
        <v>247.9805745685058</v>
      </c>
      <c r="DQ118" s="125">
        <f>DQ7/293.07*(1/(VLOOKUP($BM118,'Fuel economy adjusted factor'!$A$2:$L$52,5,FALSE)*m2k))/'TCO Inputs'!$AZ$84</f>
        <v>247.9805745685058</v>
      </c>
      <c r="DR118" s="125">
        <f>DR7/293.07*(1/(VLOOKUP($BM118,'Fuel economy adjusted factor'!$A$2:$L$52,5,FALSE)*m2k))/'TCO Inputs'!$AZ$84</f>
        <v>247.9805745685058</v>
      </c>
      <c r="DS118" s="125">
        <f>DS7/293.07*(1/(VLOOKUP($BM118,'Fuel economy adjusted factor'!$A$2:$L$52,5,FALSE)*m2k))/'TCO Inputs'!$AZ$84</f>
        <v>247.9805745685058</v>
      </c>
      <c r="DT118" s="125">
        <f>DT7/293.07*(1/(VLOOKUP($BM118,'Fuel economy adjusted factor'!$A$2:$L$52,5,FALSE)*m2k))/'TCO Inputs'!$AZ$84</f>
        <v>248.10849810986093</v>
      </c>
      <c r="DU118" s="98" cm="1">
        <f t="array" ref="DU118">SUMPRODUCT(INDEX(CS118:DT118,,'TCO Inputs'!$AZ$12-2023+_xlfn.SEQUENCE('TCO Inputs'!$AZ$13))*INDEX('VKT US'!C64:AA64,,_xlfn.SEQUENCE('TCO Inputs'!$AZ$13)))*m2k*CONVERT(0.9072,"g","ton")</f>
        <v>58.28499388486766</v>
      </c>
      <c r="DW118" s="123" t="s">
        <v>231</v>
      </c>
      <c r="DX118" s="125">
        <f>DX7/293.07*(1/(VLOOKUP($BM118,'Fuel economy adjusted factor'!$A$2:$L$52,5,FALSE)*m2k))/'TCO Inputs'!$AZ$84</f>
        <v>259.73216134643263</v>
      </c>
      <c r="DY118" s="125">
        <f>DY7/293.07*(1/(VLOOKUP($BM118,'Fuel economy adjusted factor'!$A$2:$L$52,5,FALSE)*m2k))/'TCO Inputs'!$AZ$84</f>
        <v>259.73216134643263</v>
      </c>
      <c r="DZ118" s="125">
        <f>DZ7/293.07*(1/(VLOOKUP($BM118,'Fuel economy adjusted factor'!$A$2:$L$52,5,FALSE)*m2k))/'TCO Inputs'!$AZ$84</f>
        <v>227.68128720877368</v>
      </c>
      <c r="EA118" s="125">
        <f>EA7/293.07*(1/(VLOOKUP($BM118,'Fuel economy adjusted factor'!$A$2:$L$52,5,FALSE)*m2k))/'TCO Inputs'!$AZ$84</f>
        <v>227.68128720877368</v>
      </c>
      <c r="EB118" s="125">
        <f>EB7/293.07*(1/(VLOOKUP($BM118,'Fuel economy adjusted factor'!$A$2:$L$52,5,FALSE)*m2k))/'TCO Inputs'!$AZ$84</f>
        <v>227.68128720877368</v>
      </c>
      <c r="EC118" s="125">
        <f>EC7/293.07*(1/(VLOOKUP($BM118,'Fuel economy adjusted factor'!$A$2:$L$52,5,FALSE)*m2k))/'TCO Inputs'!$AZ$84</f>
        <v>227.68128720877368</v>
      </c>
      <c r="ED118" s="125">
        <f>ED7/293.07*(1/(VLOOKUP($BM118,'Fuel economy adjusted factor'!$A$2:$L$52,5,FALSE)*m2k))/'TCO Inputs'!$AZ$84</f>
        <v>227.68128720877368</v>
      </c>
      <c r="EE118" s="125">
        <f>EE7/293.07*(1/(VLOOKUP($BM118,'Fuel economy adjusted factor'!$A$2:$L$52,5,FALSE)*m2k))/'TCO Inputs'!$AZ$84</f>
        <v>140.3282187142735</v>
      </c>
      <c r="EF118" s="125">
        <f>EF7/293.07*(1/(VLOOKUP($BM118,'Fuel economy adjusted factor'!$A$2:$L$52,5,FALSE)*m2k))/'TCO Inputs'!$AZ$84</f>
        <v>140.3282187142735</v>
      </c>
      <c r="EG118" s="125">
        <f>EG7/293.07*(1/(VLOOKUP($BM118,'Fuel economy adjusted factor'!$A$2:$L$52,5,FALSE)*m2k))/'TCO Inputs'!$AZ$84</f>
        <v>140.3282187142735</v>
      </c>
      <c r="EH118" s="125">
        <f>EH7/293.07*(1/(VLOOKUP($BM118,'Fuel economy adjusted factor'!$A$2:$L$52,5,FALSE)*m2k))/'TCO Inputs'!$AZ$84</f>
        <v>140.3282187142735</v>
      </c>
      <c r="EI118" s="125">
        <f>EI7/293.07*(1/(VLOOKUP($BM118,'Fuel economy adjusted factor'!$A$2:$L$52,5,FALSE)*m2k))/'TCO Inputs'!$AZ$84</f>
        <v>140.3282187142735</v>
      </c>
      <c r="EJ118" s="125">
        <f>EJ7/293.07*(1/(VLOOKUP($BM118,'Fuel economy adjusted factor'!$A$2:$L$52,5,FALSE)*m2k))/'TCO Inputs'!$AZ$84</f>
        <v>125.32958748078129</v>
      </c>
      <c r="EK118" s="125">
        <f>EK7/293.07*(1/(VLOOKUP($BM118,'Fuel economy adjusted factor'!$A$2:$L$52,5,FALSE)*m2k))/'TCO Inputs'!$AZ$84</f>
        <v>125.32958748078129</v>
      </c>
      <c r="EL118" s="125">
        <f>EL7/293.07*(1/(VLOOKUP($BM118,'Fuel economy adjusted factor'!$A$2:$L$52,5,FALSE)*m2k))/'TCO Inputs'!$AZ$84</f>
        <v>125.32958748078129</v>
      </c>
      <c r="EM118" s="125">
        <f>EM7/293.07*(1/(VLOOKUP($BM118,'Fuel economy adjusted factor'!$A$2:$L$52,5,FALSE)*m2k))/'TCO Inputs'!$AZ$84</f>
        <v>125.32958748078129</v>
      </c>
      <c r="EN118" s="125">
        <f>EN7/293.07*(1/(VLOOKUP($BM118,'Fuel economy adjusted factor'!$A$2:$L$52,5,FALSE)*m2k))/'TCO Inputs'!$AZ$84</f>
        <v>125.32958748078129</v>
      </c>
      <c r="EO118" s="125">
        <f>EO7/293.07*(1/(VLOOKUP($BM118,'Fuel economy adjusted factor'!$A$2:$L$52,5,FALSE)*m2k))/'TCO Inputs'!$AZ$84</f>
        <v>121.38489392714861</v>
      </c>
      <c r="EP118" s="125">
        <f>EP7/293.07*(1/(VLOOKUP($BM118,'Fuel economy adjusted factor'!$A$2:$L$52,5,FALSE)*m2k))/'TCO Inputs'!$AZ$84</f>
        <v>121.38489392714861</v>
      </c>
      <c r="EQ118" s="125">
        <f>EQ7/293.07*(1/(VLOOKUP($BM118,'Fuel economy adjusted factor'!$A$2:$L$52,5,FALSE)*m2k))/'TCO Inputs'!$AZ$84</f>
        <v>121.38489392714861</v>
      </c>
      <c r="ER118" s="125">
        <f>ER7/293.07*(1/(VLOOKUP($BM118,'Fuel economy adjusted factor'!$A$2:$L$52,5,FALSE)*m2k))/'TCO Inputs'!$AZ$84</f>
        <v>121.38489392714861</v>
      </c>
      <c r="ES118" s="125">
        <f>ES7/293.07*(1/(VLOOKUP($BM118,'Fuel economy adjusted factor'!$A$2:$L$52,5,FALSE)*m2k))/'TCO Inputs'!$AZ$84</f>
        <v>121.38489392714861</v>
      </c>
      <c r="ET118" s="125">
        <f>ET7/293.07*(1/(VLOOKUP($BM118,'Fuel economy adjusted factor'!$A$2:$L$52,5,FALSE)*m2k))/'TCO Inputs'!$AZ$84</f>
        <v>116.87803851953248</v>
      </c>
      <c r="EU118" s="125">
        <f>EU7/293.07*(1/(VLOOKUP($BM118,'Fuel economy adjusted factor'!$A$2:$L$52,5,FALSE)*m2k))/'TCO Inputs'!$AZ$84</f>
        <v>116.87803851953248</v>
      </c>
      <c r="EV118" s="125">
        <f>EV7/293.07*(1/(VLOOKUP($BM118,'Fuel economy adjusted factor'!$A$2:$L$52,5,FALSE)*m2k))/'TCO Inputs'!$AZ$84</f>
        <v>116.87803851953248</v>
      </c>
      <c r="EW118" s="125">
        <f>EW7/293.07*(1/(VLOOKUP($BM118,'Fuel economy adjusted factor'!$A$2:$L$52,5,FALSE)*m2k))/'TCO Inputs'!$AZ$84</f>
        <v>116.87803851953248</v>
      </c>
      <c r="EX118" s="125">
        <f>EX7/293.07*(1/(VLOOKUP($BM118,'Fuel economy adjusted factor'!$A$2:$L$52,5,FALSE)*m2k))/'TCO Inputs'!$AZ$84</f>
        <v>116.87803851953248</v>
      </c>
      <c r="EY118" s="125">
        <f>EY7/293.07*(1/(VLOOKUP($BM118,'Fuel economy adjusted factor'!$A$2:$L$52,5,FALSE)*m2k))/'TCO Inputs'!$AZ$84</f>
        <v>109.81086092659683</v>
      </c>
      <c r="EZ118" s="98" cm="1">
        <f t="array" ref="EZ118">SUMPRODUCT(INDEX(DX118:EY118,,'TCO Inputs'!$AZ$12-2023+_xlfn.SEQUENCE('TCO Inputs'!$AZ$13))*INDEX('VKT US'!C64:AA64,,_xlfn.SEQUENCE('TCO Inputs'!$AZ$13)))*m2k*CONVERT(0.9072,"g","ton")</f>
        <v>45.101647902879748</v>
      </c>
      <c r="FB118" s="123" t="s">
        <v>231</v>
      </c>
      <c r="FC118" s="125">
        <f>FC7/293.07*(1/(VLOOKUP($BM118,'Fuel economy adjusted factor'!$A$2:$L$52,5,FALSE)*m2k))/'TCO Inputs'!$AZ$84</f>
        <v>281.71766133657712</v>
      </c>
      <c r="FD118" s="125">
        <f>FD7/293.07*(1/(VLOOKUP($BM118,'Fuel economy adjusted factor'!$A$2:$L$52,5,FALSE)*m2k))/'TCO Inputs'!$AZ$84</f>
        <v>281.71766133657712</v>
      </c>
      <c r="FE118" s="125">
        <f>FE7/293.07*(1/(VLOOKUP($BM118,'Fuel economy adjusted factor'!$A$2:$L$52,5,FALSE)*m2k))/'TCO Inputs'!$AZ$84</f>
        <v>246.02420783892296</v>
      </c>
      <c r="FF118" s="125">
        <f>FF7/293.07*(1/(VLOOKUP($BM118,'Fuel economy adjusted factor'!$A$2:$L$52,5,FALSE)*m2k))/'TCO Inputs'!$AZ$84</f>
        <v>246.02420783892296</v>
      </c>
      <c r="FG118" s="125">
        <f>FG7/293.07*(1/(VLOOKUP($BM118,'Fuel economy adjusted factor'!$A$2:$L$52,5,FALSE)*m2k))/'TCO Inputs'!$AZ$84</f>
        <v>246.02420783892296</v>
      </c>
      <c r="FH118" s="125">
        <f>FH7/293.07*(1/(VLOOKUP($BM118,'Fuel economy adjusted factor'!$A$2:$L$52,5,FALSE)*m2k))/'TCO Inputs'!$AZ$84</f>
        <v>246.02420783892296</v>
      </c>
      <c r="FI118" s="125">
        <f>FI7/293.07*(1/(VLOOKUP($BM118,'Fuel economy adjusted factor'!$A$2:$L$52,5,FALSE)*m2k))/'TCO Inputs'!$AZ$84</f>
        <v>246.02420783892296</v>
      </c>
      <c r="FJ118" s="125">
        <f>FJ7/293.07*(1/(VLOOKUP($BM118,'Fuel economy adjusted factor'!$A$2:$L$52,5,FALSE)*m2k))/'TCO Inputs'!$AZ$84</f>
        <v>154.38608929416066</v>
      </c>
      <c r="FK118" s="125">
        <f>FK7/293.07*(1/(VLOOKUP($BM118,'Fuel economy adjusted factor'!$A$2:$L$52,5,FALSE)*m2k))/'TCO Inputs'!$AZ$84</f>
        <v>154.38608929416066</v>
      </c>
      <c r="FL118" s="125">
        <f>FL7/293.07*(1/(VLOOKUP($BM118,'Fuel economy adjusted factor'!$A$2:$L$52,5,FALSE)*m2k))/'TCO Inputs'!$AZ$84</f>
        <v>154.38608929416066</v>
      </c>
      <c r="FM118" s="125">
        <f>FM7/293.07*(1/(VLOOKUP($BM118,'Fuel economy adjusted factor'!$A$2:$L$52,5,FALSE)*m2k))/'TCO Inputs'!$AZ$84</f>
        <v>154.38608929416066</v>
      </c>
      <c r="FN118" s="125">
        <f>FN7/293.07*(1/(VLOOKUP($BM118,'Fuel economy adjusted factor'!$A$2:$L$52,5,FALSE)*m2k))/'TCO Inputs'!$AZ$84</f>
        <v>154.38608929416066</v>
      </c>
      <c r="FO118" s="125">
        <f>FO7/293.07*(1/(VLOOKUP($BM118,'Fuel economy adjusted factor'!$A$2:$L$52,5,FALSE)*m2k))/'TCO Inputs'!$AZ$84</f>
        <v>137.08718353569509</v>
      </c>
      <c r="FP118" s="125">
        <f>FP7/293.07*(1/(VLOOKUP($BM118,'Fuel economy adjusted factor'!$A$2:$L$52,5,FALSE)*m2k))/'TCO Inputs'!$AZ$84</f>
        <v>137.08718353569509</v>
      </c>
      <c r="FQ118" s="125">
        <f>FQ7/293.07*(1/(VLOOKUP($BM118,'Fuel economy adjusted factor'!$A$2:$L$52,5,FALSE)*m2k))/'TCO Inputs'!$AZ$84</f>
        <v>137.08718353569509</v>
      </c>
      <c r="FR118" s="125">
        <f>FR7/293.07*(1/(VLOOKUP($BM118,'Fuel economy adjusted factor'!$A$2:$L$52,5,FALSE)*m2k))/'TCO Inputs'!$AZ$84</f>
        <v>137.08718353569509</v>
      </c>
      <c r="FS118" s="125">
        <f>FS7/293.07*(1/(VLOOKUP($BM118,'Fuel economy adjusted factor'!$A$2:$L$52,5,FALSE)*m2k))/'TCO Inputs'!$AZ$84</f>
        <v>137.08718353569509</v>
      </c>
      <c r="FT118" s="125">
        <f>FT7/293.07*(1/(VLOOKUP($BM118,'Fuel economy adjusted factor'!$A$2:$L$52,5,FALSE)*m2k))/'TCO Inputs'!$AZ$84</f>
        <v>133.59757338766815</v>
      </c>
      <c r="FU118" s="125">
        <f>FU7/293.07*(1/(VLOOKUP($BM118,'Fuel economy adjusted factor'!$A$2:$L$52,5,FALSE)*m2k))/'TCO Inputs'!$AZ$84</f>
        <v>133.59757338766815</v>
      </c>
      <c r="FV118" s="125">
        <f>FV7/293.07*(1/(VLOOKUP($BM118,'Fuel economy adjusted factor'!$A$2:$L$52,5,FALSE)*m2k))/'TCO Inputs'!$AZ$84</f>
        <v>133.59757338766815</v>
      </c>
      <c r="FW118" s="125">
        <f>FW7/293.07*(1/(VLOOKUP($BM118,'Fuel economy adjusted factor'!$A$2:$L$52,5,FALSE)*m2k))/'TCO Inputs'!$AZ$84</f>
        <v>133.59757338766815</v>
      </c>
      <c r="FX118" s="125">
        <f>FX7/293.07*(1/(VLOOKUP($BM118,'Fuel economy adjusted factor'!$A$2:$L$52,5,FALSE)*m2k))/'TCO Inputs'!$AZ$84</f>
        <v>133.59757338766815</v>
      </c>
      <c r="FY118" s="125">
        <f>FY7/293.07*(1/(VLOOKUP($BM118,'Fuel economy adjusted factor'!$A$2:$L$52,5,FALSE)*m2k))/'TCO Inputs'!$AZ$84</f>
        <v>129.08115740430395</v>
      </c>
      <c r="FZ118" s="125">
        <f>FZ7/293.07*(1/(VLOOKUP($BM118,'Fuel economy adjusted factor'!$A$2:$L$52,5,FALSE)*m2k))/'TCO Inputs'!$AZ$84</f>
        <v>129.08115740430395</v>
      </c>
      <c r="GA118" s="125">
        <f>GA7/293.07*(1/(VLOOKUP($BM118,'Fuel economy adjusted factor'!$A$2:$L$52,5,FALSE)*m2k))/'TCO Inputs'!$AZ$84</f>
        <v>129.08115740430395</v>
      </c>
      <c r="GB118" s="125">
        <f>GB7/293.07*(1/(VLOOKUP($BM118,'Fuel economy adjusted factor'!$A$2:$L$52,5,FALSE)*m2k))/'TCO Inputs'!$AZ$84</f>
        <v>129.08115740430395</v>
      </c>
      <c r="GC118" s="125">
        <f>GC7/293.07*(1/(VLOOKUP($BM118,'Fuel economy adjusted factor'!$A$2:$L$52,5,FALSE)*m2k))/'TCO Inputs'!$AZ$84</f>
        <v>129.08115740430395</v>
      </c>
      <c r="GD118" s="125">
        <f>GD7/293.07*(1/(VLOOKUP($BM118,'Fuel economy adjusted factor'!$A$2:$L$52,5,FALSE)*m2k))/'TCO Inputs'!$AZ$84</f>
        <v>121.76922907221901</v>
      </c>
      <c r="GE118" s="98" cm="1">
        <f t="array" ref="GE118">SUMPRODUCT(INDEX(FC118:GD118,,'TCO Inputs'!$AZ$12-2023+_xlfn.SEQUENCE('TCO Inputs'!$AZ$13))*INDEX('VKT US'!C64:AA64,,_xlfn.SEQUENCE('TCO Inputs'!$AZ$13)))*m2k*CONVERT(0.9072,"g","ton")</f>
        <v>49.037379382716416</v>
      </c>
      <c r="GH118" s="123" t="s">
        <v>231</v>
      </c>
      <c r="GI118" s="125">
        <f>GI7/293.07*(1/(VLOOKUP($BM118,'Fuel economy adjusted factor'!$A$2:$L$52,5,FALSE)*m2k))/'TCO Inputs'!$AZ$84</f>
        <v>244.76794818563326</v>
      </c>
      <c r="GJ118" s="125">
        <f>GJ7/293.07*(1/(VLOOKUP($BM118,'Fuel economy adjusted factor'!$A$2:$L$52,5,FALSE)*m2k))/'TCO Inputs'!$AZ$84</f>
        <v>244.76794818563326</v>
      </c>
      <c r="GK118" s="125">
        <f>GK7/293.07*(1/(VLOOKUP($BM118,'Fuel economy adjusted factor'!$A$2:$L$52,5,FALSE)*m2k))/'TCO Inputs'!$AZ$84</f>
        <v>215.19708739701042</v>
      </c>
      <c r="GL118" s="125">
        <f>GL7/293.07*(1/(VLOOKUP($BM118,'Fuel economy adjusted factor'!$A$2:$L$52,5,FALSE)*m2k))/'TCO Inputs'!$AZ$84</f>
        <v>215.19708739701042</v>
      </c>
      <c r="GM118" s="125">
        <f>GM7/293.07*(1/(VLOOKUP($BM118,'Fuel economy adjusted factor'!$A$2:$L$52,5,FALSE)*m2k))/'TCO Inputs'!$AZ$84</f>
        <v>215.19708739701042</v>
      </c>
      <c r="GN118" s="125">
        <f>GN7/293.07*(1/(VLOOKUP($BM118,'Fuel economy adjusted factor'!$A$2:$L$52,5,FALSE)*m2k))/'TCO Inputs'!$AZ$84</f>
        <v>215.19708739701042</v>
      </c>
      <c r="GO118" s="125">
        <f>GO7/293.07*(1/(VLOOKUP($BM118,'Fuel economy adjusted factor'!$A$2:$L$52,5,FALSE)*m2k))/'TCO Inputs'!$AZ$84</f>
        <v>215.19708739701042</v>
      </c>
      <c r="GP118" s="125">
        <f>GP7/293.07*(1/(VLOOKUP($BM118,'Fuel economy adjusted factor'!$A$2:$L$52,5,FALSE)*m2k))/'TCO Inputs'!$AZ$84</f>
        <v>130.7599945056561</v>
      </c>
      <c r="GQ118" s="125">
        <f>GQ7/293.07*(1/(VLOOKUP($BM118,'Fuel economy adjusted factor'!$A$2:$L$52,5,FALSE)*m2k))/'TCO Inputs'!$AZ$84</f>
        <v>130.7599945056561</v>
      </c>
      <c r="GR118" s="125">
        <f>GR7/293.07*(1/(VLOOKUP($BM118,'Fuel economy adjusted factor'!$A$2:$L$52,5,FALSE)*m2k))/'TCO Inputs'!$AZ$84</f>
        <v>130.7599945056561</v>
      </c>
      <c r="GS118" s="125">
        <f>GS7/293.07*(1/(VLOOKUP($BM118,'Fuel economy adjusted factor'!$A$2:$L$52,5,FALSE)*m2k))/'TCO Inputs'!$AZ$84</f>
        <v>130.7599945056561</v>
      </c>
      <c r="GT118" s="125">
        <f>GT7/293.07*(1/(VLOOKUP($BM118,'Fuel economy adjusted factor'!$A$2:$L$52,5,FALSE)*m2k))/'TCO Inputs'!$AZ$84</f>
        <v>130.7599945056561</v>
      </c>
      <c r="GU118" s="125">
        <f>GU7/293.07*(1/(VLOOKUP($BM118,'Fuel economy adjusted factor'!$A$2:$L$52,5,FALSE)*m2k))/'TCO Inputs'!$AZ$84</f>
        <v>117.32738557968938</v>
      </c>
      <c r="GV118" s="125">
        <f>GV7/293.07*(1/(VLOOKUP($BM118,'Fuel economy adjusted factor'!$A$2:$L$52,5,FALSE)*m2k))/'TCO Inputs'!$AZ$84</f>
        <v>117.32738557968938</v>
      </c>
      <c r="GW118" s="125">
        <f>GW7/293.07*(1/(VLOOKUP($BM118,'Fuel economy adjusted factor'!$A$2:$L$52,5,FALSE)*m2k))/'TCO Inputs'!$AZ$84</f>
        <v>117.32738557968938</v>
      </c>
      <c r="GX118" s="125">
        <f>GX7/293.07*(1/(VLOOKUP($BM118,'Fuel economy adjusted factor'!$A$2:$L$52,5,FALSE)*m2k))/'TCO Inputs'!$AZ$84</f>
        <v>117.32738557968938</v>
      </c>
      <c r="GY118" s="125">
        <f>GY7/293.07*(1/(VLOOKUP($BM118,'Fuel economy adjusted factor'!$A$2:$L$52,5,FALSE)*m2k))/'TCO Inputs'!$AZ$84</f>
        <v>117.32738557968938</v>
      </c>
      <c r="GZ118" s="125">
        <f>GZ7/293.07*(1/(VLOOKUP($BM118,'Fuel economy adjusted factor'!$A$2:$L$52,5,FALSE)*m2k))/'TCO Inputs'!$AZ$84</f>
        <v>113.07292937182092</v>
      </c>
      <c r="HA118" s="125">
        <f>HA7/293.07*(1/(VLOOKUP($BM118,'Fuel economy adjusted factor'!$A$2:$L$52,5,FALSE)*m2k))/'TCO Inputs'!$AZ$84</f>
        <v>113.07292937182092</v>
      </c>
      <c r="HB118" s="125">
        <f>HB7/293.07*(1/(VLOOKUP($BM118,'Fuel economy adjusted factor'!$A$2:$L$52,5,FALSE)*m2k))/'TCO Inputs'!$AZ$84</f>
        <v>113.07292937182092</v>
      </c>
      <c r="HC118" s="125">
        <f>HC7/293.07*(1/(VLOOKUP($BM118,'Fuel economy adjusted factor'!$A$2:$L$52,5,FALSE)*m2k))/'TCO Inputs'!$AZ$84</f>
        <v>113.07292937182092</v>
      </c>
      <c r="HD118" s="125">
        <f>HD7/293.07*(1/(VLOOKUP($BM118,'Fuel economy adjusted factor'!$A$2:$L$52,5,FALSE)*m2k))/'TCO Inputs'!$AZ$84</f>
        <v>113.07292937182092</v>
      </c>
      <c r="HE118" s="125">
        <f>HE7/293.07*(1/(VLOOKUP($BM118,'Fuel economy adjusted factor'!$A$2:$L$52,5,FALSE)*m2k))/'TCO Inputs'!$AZ$84</f>
        <v>108.57181030965356</v>
      </c>
      <c r="HF118" s="125">
        <f>HF7/293.07*(1/(VLOOKUP($BM118,'Fuel economy adjusted factor'!$A$2:$L$52,5,FALSE)*m2k))/'TCO Inputs'!$AZ$84</f>
        <v>108.57181030965356</v>
      </c>
      <c r="HG118" s="125">
        <f>HG7/293.07*(1/(VLOOKUP($BM118,'Fuel economy adjusted factor'!$A$2:$L$52,5,FALSE)*m2k))/'TCO Inputs'!$AZ$84</f>
        <v>108.57181030965356</v>
      </c>
      <c r="HH118" s="125">
        <f>HH7/293.07*(1/(VLOOKUP($BM118,'Fuel economy adjusted factor'!$A$2:$L$52,5,FALSE)*m2k))/'TCO Inputs'!$AZ$84</f>
        <v>108.57181030965356</v>
      </c>
      <c r="HI118" s="125">
        <f>HI7/293.07*(1/(VLOOKUP($BM118,'Fuel economy adjusted factor'!$A$2:$L$52,5,FALSE)*m2k))/'TCO Inputs'!$AZ$84</f>
        <v>108.57181030965356</v>
      </c>
      <c r="HJ118" s="125">
        <f>HJ7/293.07*(1/(VLOOKUP($BM118,'Fuel economy adjusted factor'!$A$2:$L$52,5,FALSE)*m2k))/'TCO Inputs'!$AZ$84</f>
        <v>101.67289884988303</v>
      </c>
      <c r="HK118" s="98" cm="1">
        <f t="array" ref="HK118">SUMPRODUCT(INDEX(GI118:HJ118,,'TCO Inputs'!$AZ$12-2023+_xlfn.SEQUENCE('TCO Inputs'!$AZ$13))*INDEX('VKT US'!C64:AA64,,_xlfn.SEQUENCE('TCO Inputs'!$AZ$13)))*m2k*CONVERT(0.9072,"g","ton")</f>
        <v>42.422919915324812</v>
      </c>
    </row>
    <row r="119" spans="17:219" x14ac:dyDescent="0.25">
      <c r="Z119" s="123" t="s">
        <v>189</v>
      </c>
      <c r="AA119" s="125">
        <f>AA8/293.07*(1/(VLOOKUP($Z119,'Fuel economy adjusted factor'!$A$2:$L$52,5,FALSE)*m2k))/'TCO Inputs'!$AZ$84</f>
        <v>84.713928938854053</v>
      </c>
      <c r="AB119" s="125">
        <f>AB8/293.07*(1/(VLOOKUP($Z119,'Fuel economy adjusted factor'!$A$2:$L$52,5,FALSE)*m2k))/'TCO Inputs'!$AZ$84</f>
        <v>84.713928938854053</v>
      </c>
      <c r="AC119" s="125">
        <f>AC8/293.07*(1/(VLOOKUP($Z119,'Fuel economy adjusted factor'!$A$2:$L$52,5,FALSE)*m2k))/'TCO Inputs'!$AZ$84</f>
        <v>74.505378551473711</v>
      </c>
      <c r="AD119" s="125">
        <f>AD8/293.07*(1/(VLOOKUP($Z119,'Fuel economy adjusted factor'!$A$2:$L$52,5,FALSE)*m2k))/'TCO Inputs'!$AZ$84</f>
        <v>74.505378551473711</v>
      </c>
      <c r="AE119" s="125">
        <f>AE8/293.07*(1/(VLOOKUP($Z119,'Fuel economy adjusted factor'!$A$2:$L$52,5,FALSE)*m2k))/'TCO Inputs'!$AZ$84</f>
        <v>74.505378551473711</v>
      </c>
      <c r="AF119" s="125">
        <f>AF8/293.07*(1/(VLOOKUP($Z119,'Fuel economy adjusted factor'!$A$2:$L$52,5,FALSE)*m2k))/'TCO Inputs'!$AZ$84</f>
        <v>74.505378551473711</v>
      </c>
      <c r="AG119" s="125">
        <f>AG8/293.07*(1/(VLOOKUP($Z119,'Fuel economy adjusted factor'!$A$2:$L$52,5,FALSE)*m2k))/'TCO Inputs'!$AZ$84</f>
        <v>74.505378551473711</v>
      </c>
      <c r="AH119" s="125">
        <f>AH8/293.07*(1/(VLOOKUP($Z119,'Fuel economy adjusted factor'!$A$2:$L$52,5,FALSE)*m2k))/'TCO Inputs'!$AZ$84</f>
        <v>44.76563919311058</v>
      </c>
      <c r="AI119" s="125">
        <f>AI8/293.07*(1/(VLOOKUP($Z119,'Fuel economy adjusted factor'!$A$2:$L$52,5,FALSE)*m2k))/'TCO Inputs'!$AZ$84</f>
        <v>44.76563919311058</v>
      </c>
      <c r="AJ119" s="125">
        <f>AJ8/293.07*(1/(VLOOKUP($Z119,'Fuel economy adjusted factor'!$A$2:$L$52,5,FALSE)*m2k))/'TCO Inputs'!$AZ$84</f>
        <v>44.76563919311058</v>
      </c>
      <c r="AK119" s="125">
        <f>AK8/293.07*(1/(VLOOKUP($Z119,'Fuel economy adjusted factor'!$A$2:$L$52,5,FALSE)*m2k))/'TCO Inputs'!$AZ$84</f>
        <v>44.76563919311058</v>
      </c>
      <c r="AL119" s="125">
        <f>AL8/293.07*(1/(VLOOKUP($Z119,'Fuel economy adjusted factor'!$A$2:$L$52,5,FALSE)*m2k))/'TCO Inputs'!$AZ$84</f>
        <v>44.76563919311058</v>
      </c>
      <c r="AM119" s="125">
        <f>AM8/293.07*(1/(VLOOKUP($Z119,'Fuel economy adjusted factor'!$A$2:$L$52,5,FALSE)*m2k))/'TCO Inputs'!$AZ$84</f>
        <v>46.846258882602243</v>
      </c>
      <c r="AN119" s="125">
        <f>AN8/293.07*(1/(VLOOKUP($Z119,'Fuel economy adjusted factor'!$A$2:$L$52,5,FALSE)*m2k))/'TCO Inputs'!$AZ$84</f>
        <v>46.846258882602243</v>
      </c>
      <c r="AO119" s="125">
        <f>AO8/293.07*(1/(VLOOKUP($Z119,'Fuel economy adjusted factor'!$A$2:$L$52,5,FALSE)*m2k))/'TCO Inputs'!$AZ$84</f>
        <v>46.846258882602243</v>
      </c>
      <c r="AP119" s="125">
        <f>AP8/293.07*(1/(VLOOKUP($Z119,'Fuel economy adjusted factor'!$A$2:$L$52,5,FALSE)*m2k))/'TCO Inputs'!$AZ$84</f>
        <v>46.846258882602243</v>
      </c>
      <c r="AQ119" s="125">
        <f>AQ8/293.07*(1/(VLOOKUP($Z119,'Fuel economy adjusted factor'!$A$2:$L$52,5,FALSE)*m2k))/'TCO Inputs'!$AZ$84</f>
        <v>46.846258882602243</v>
      </c>
      <c r="AR119" s="125">
        <f>AR8/293.07*(1/(VLOOKUP($Z119,'Fuel economy adjusted factor'!$A$2:$L$52,5,FALSE)*m2k))/'TCO Inputs'!$AZ$84</f>
        <v>48.970619243319497</v>
      </c>
      <c r="AS119" s="125">
        <f>AS8/293.07*(1/(VLOOKUP($Z119,'Fuel economy adjusted factor'!$A$2:$L$52,5,FALSE)*m2k))/'TCO Inputs'!$AZ$84</f>
        <v>48.970619243319497</v>
      </c>
      <c r="AT119" s="125">
        <f>AT8/293.07*(1/(VLOOKUP($Z119,'Fuel economy adjusted factor'!$A$2:$L$52,5,FALSE)*m2k))/'TCO Inputs'!$AZ$84</f>
        <v>48.970619243319497</v>
      </c>
      <c r="AU119" s="125">
        <f>AU8/293.07*(1/(VLOOKUP($Z119,'Fuel economy adjusted factor'!$A$2:$L$52,5,FALSE)*m2k))/'TCO Inputs'!$AZ$84</f>
        <v>48.970619243319497</v>
      </c>
      <c r="AV119" s="125">
        <f>AV8/293.07*(1/(VLOOKUP($Z119,'Fuel economy adjusted factor'!$A$2:$L$52,5,FALSE)*m2k))/'TCO Inputs'!$AZ$84</f>
        <v>48.970619243319497</v>
      </c>
      <c r="AW119" s="125">
        <f>AW8/293.07*(1/(VLOOKUP($Z119,'Fuel economy adjusted factor'!$A$2:$L$52,5,FALSE)*m2k))/'TCO Inputs'!$AZ$84</f>
        <v>50.04520349462269</v>
      </c>
      <c r="AX119" s="125">
        <f>AX8/293.07*(1/(VLOOKUP($Z119,'Fuel economy adjusted factor'!$A$2:$L$52,5,FALSE)*m2k))/'TCO Inputs'!$AZ$84</f>
        <v>50.04520349462269</v>
      </c>
      <c r="AY119" s="125">
        <f>AY8/293.07*(1/(VLOOKUP($Z119,'Fuel economy adjusted factor'!$A$2:$L$52,5,FALSE)*m2k))/'TCO Inputs'!$AZ$84</f>
        <v>50.04520349462269</v>
      </c>
      <c r="AZ119" s="125">
        <f>AZ8/293.07*(1/(VLOOKUP($Z119,'Fuel economy adjusted factor'!$A$2:$L$52,5,FALSE)*m2k))/'TCO Inputs'!$AZ$84</f>
        <v>50.04520349462269</v>
      </c>
      <c r="BA119" s="125">
        <f>BA8/293.07*(1/(VLOOKUP($Z119,'Fuel economy adjusted factor'!$A$2:$L$52,5,FALSE)*m2k))/'TCO Inputs'!$AZ$84</f>
        <v>50.04520349462269</v>
      </c>
      <c r="BB119" s="125">
        <f>BB8/293.07*(1/(VLOOKUP($Z119,'Fuel economy adjusted factor'!$A$2:$L$52,5,FALSE)*m2k))/'TCO Inputs'!$AZ$84</f>
        <v>50.113099461898237</v>
      </c>
      <c r="BC119" s="98" cm="1">
        <f t="array" ref="BC119">SUMPRODUCT(INDEX(AA119:BB119,,'TCO Inputs'!$AZ$12-2023+_xlfn.SEQUENCE('TCO Inputs'!$AZ$13))*INDEX('VKT US'!C65:AA65,,_xlfn.SEQUENCE('TCO Inputs'!$AZ$13)))*m2k*CONVERT(0.9072,"g","ton")</f>
        <v>17.462746302502993</v>
      </c>
      <c r="BM119" s="123" t="s">
        <v>189</v>
      </c>
      <c r="BN119" s="125">
        <f>BN8/293.07*(1/(VLOOKUP($BM119,'Fuel economy adjusted factor'!$A$2:$L$52,5,FALSE)*m2k))</f>
        <v>72.006839598025948</v>
      </c>
      <c r="BO119" s="125">
        <f>BO8/293.07*(1/(VLOOKUP($BM119,'Fuel economy adjusted factor'!$A$2:$L$52,5,FALSE)*m2k))</f>
        <v>72.006839598025948</v>
      </c>
      <c r="BP119" s="125">
        <f>BP8/293.07*(1/(VLOOKUP($BM119,'Fuel economy adjusted factor'!$A$2:$L$52,5,FALSE)*m2k))</f>
        <v>63.246888843219516</v>
      </c>
      <c r="BQ119" s="125">
        <f>BQ8/293.07*(1/(VLOOKUP($BM119,'Fuel economy adjusted factor'!$A$2:$L$52,5,FALSE)*m2k))</f>
        <v>63.246888843219516</v>
      </c>
      <c r="BR119" s="125">
        <f>BR8/293.07*(1/(VLOOKUP($BM119,'Fuel economy adjusted factor'!$A$2:$L$52,5,FALSE)*m2k))</f>
        <v>63.246888843219516</v>
      </c>
      <c r="BS119" s="125">
        <f>BS8/293.07*(1/(VLOOKUP($BM119,'Fuel economy adjusted factor'!$A$2:$L$52,5,FALSE)*m2k))</f>
        <v>63.246888843219516</v>
      </c>
      <c r="BT119" s="125">
        <f>BT8/293.07*(1/(VLOOKUP($BM119,'Fuel economy adjusted factor'!$A$2:$L$52,5,FALSE)*m2k))</f>
        <v>63.246888843219516</v>
      </c>
      <c r="BU119" s="125">
        <f>BU8/293.07*(1/(VLOOKUP($BM119,'Fuel economy adjusted factor'!$A$2:$L$52,5,FALSE)*m2k))</f>
        <v>71.694420221682606</v>
      </c>
      <c r="BV119" s="125">
        <f>BV8/293.07*(1/(VLOOKUP($BM119,'Fuel economy adjusted factor'!$A$2:$L$52,5,FALSE)*m2k))</f>
        <v>71.694420221682606</v>
      </c>
      <c r="BW119" s="125">
        <f>BW8/293.07*(1/(VLOOKUP($BM119,'Fuel economy adjusted factor'!$A$2:$L$52,5,FALSE)*m2k))</f>
        <v>71.694420221682606</v>
      </c>
      <c r="BX119" s="125">
        <f>BX8/293.07*(1/(VLOOKUP($BM119,'Fuel economy adjusted factor'!$A$2:$L$52,5,FALSE)*m2k))</f>
        <v>71.694420221682606</v>
      </c>
      <c r="BY119" s="125">
        <f>BY8/293.07*(1/(VLOOKUP($BM119,'Fuel economy adjusted factor'!$A$2:$L$52,5,FALSE)*m2k))</f>
        <v>71.694420221682606</v>
      </c>
      <c r="BZ119" s="125">
        <f>BZ8/293.07*(1/(VLOOKUP($BM119,'Fuel economy adjusted factor'!$A$2:$L$52,5,FALSE)*m2k))</f>
        <v>73.418553440685741</v>
      </c>
      <c r="CA119" s="125">
        <f>CA8/293.07*(1/(VLOOKUP($BM119,'Fuel economy adjusted factor'!$A$2:$L$52,5,FALSE)*m2k))</f>
        <v>73.418553440685741</v>
      </c>
      <c r="CB119" s="125">
        <f>CB8/293.07*(1/(VLOOKUP($BM119,'Fuel economy adjusted factor'!$A$2:$L$52,5,FALSE)*m2k))</f>
        <v>73.418553440685741</v>
      </c>
      <c r="CC119" s="125">
        <f>CC8/293.07*(1/(VLOOKUP($BM119,'Fuel economy adjusted factor'!$A$2:$L$52,5,FALSE)*m2k))</f>
        <v>73.418553440685741</v>
      </c>
      <c r="CD119" s="125">
        <f>CD8/293.07*(1/(VLOOKUP($BM119,'Fuel economy adjusted factor'!$A$2:$L$52,5,FALSE)*m2k))</f>
        <v>73.418553440685741</v>
      </c>
      <c r="CE119" s="125">
        <f>CE8/293.07*(1/(VLOOKUP($BM119,'Fuel economy adjusted factor'!$A$2:$L$52,5,FALSE)*m2k))</f>
        <v>75.233138450708367</v>
      </c>
      <c r="CF119" s="125">
        <f>CF8/293.07*(1/(VLOOKUP($BM119,'Fuel economy adjusted factor'!$A$2:$L$52,5,FALSE)*m2k))</f>
        <v>75.233138450708367</v>
      </c>
      <c r="CG119" s="125">
        <f>CG8/293.07*(1/(VLOOKUP($BM119,'Fuel economy adjusted factor'!$A$2:$L$52,5,FALSE)*m2k))</f>
        <v>75.233138450708367</v>
      </c>
      <c r="CH119" s="125">
        <f>CH8/293.07*(1/(VLOOKUP($BM119,'Fuel economy adjusted factor'!$A$2:$L$52,5,FALSE)*m2k))</f>
        <v>75.233138450708367</v>
      </c>
      <c r="CI119" s="125">
        <f>CI8/293.07*(1/(VLOOKUP($BM119,'Fuel economy adjusted factor'!$A$2:$L$52,5,FALSE)*m2k))</f>
        <v>75.233138450708367</v>
      </c>
      <c r="CJ119" s="125">
        <f>CJ8/293.07*(1/(VLOOKUP($BM119,'Fuel economy adjusted factor'!$A$2:$L$52,5,FALSE)*m2k))</f>
        <v>75.663755566236674</v>
      </c>
      <c r="CK119" s="125">
        <f>CK8/293.07*(1/(VLOOKUP($BM119,'Fuel economy adjusted factor'!$A$2:$L$52,5,FALSE)*m2k))</f>
        <v>75.663755566236674</v>
      </c>
      <c r="CL119" s="125">
        <f>CL8/293.07*(1/(VLOOKUP($BM119,'Fuel economy adjusted factor'!$A$2:$L$52,5,FALSE)*m2k))</f>
        <v>75.663755566236674</v>
      </c>
      <c r="CM119" s="125">
        <f>CM8/293.07*(1/(VLOOKUP($BM119,'Fuel economy adjusted factor'!$A$2:$L$52,5,FALSE)*m2k))</f>
        <v>75.663755566236674</v>
      </c>
      <c r="CN119" s="125">
        <f>CN8/293.07*(1/(VLOOKUP($BM119,'Fuel economy adjusted factor'!$A$2:$L$52,5,FALSE)*m2k))</f>
        <v>75.663755566236674</v>
      </c>
      <c r="CO119" s="125">
        <f>CO8/293.07*(1/(VLOOKUP($BM119,'Fuel economy adjusted factor'!$A$2:$L$52,5,FALSE)*m2k))</f>
        <v>76.178165445224735</v>
      </c>
      <c r="CP119" s="98" cm="1">
        <f t="array" ref="CP119">SUMPRODUCT(INDEX(BN119:CO119,,'TCO Inputs'!$AZ$12-2023+_xlfn.SEQUENCE('TCO Inputs'!$AZ$13))*INDEX('VKT US'!C65:AA65,,_xlfn.SEQUENCE('TCO Inputs'!$AZ$13)))*m2k*CONVERT(0.9072,"g","ton")</f>
        <v>19.020660432107206</v>
      </c>
      <c r="CQ119" s="194"/>
      <c r="CR119" s="123" t="s">
        <v>189</v>
      </c>
      <c r="CS119" s="125">
        <f>CS8/293.07*(1/(VLOOKUP($BM119,'Fuel economy adjusted factor'!$A$2:$L$52,5,FALSE)*m2k))/'TCO Inputs'!$AZ$84</f>
        <v>102.56599841144569</v>
      </c>
      <c r="CT119" s="125">
        <f>CT8/293.07*(1/(VLOOKUP($BM119,'Fuel economy adjusted factor'!$A$2:$L$52,5,FALSE)*m2k))/'TCO Inputs'!$AZ$84</f>
        <v>102.56599841144569</v>
      </c>
      <c r="CU119" s="125">
        <f>CU8/293.07*(1/(VLOOKUP($BM119,'Fuel economy adjusted factor'!$A$2:$L$52,5,FALSE)*m2k))/'TCO Inputs'!$AZ$84</f>
        <v>102.56599841144569</v>
      </c>
      <c r="CV119" s="125">
        <f>CV8/293.07*(1/(VLOOKUP($BM119,'Fuel economy adjusted factor'!$A$2:$L$52,5,FALSE)*m2k))/'TCO Inputs'!$AZ$84</f>
        <v>102.56599841144569</v>
      </c>
      <c r="CW119" s="125">
        <f>CW8/293.07*(1/(VLOOKUP($BM119,'Fuel economy adjusted factor'!$A$2:$L$52,5,FALSE)*m2k))/'TCO Inputs'!$AZ$84</f>
        <v>102.56599841144569</v>
      </c>
      <c r="CX119" s="125">
        <f>CX8/293.07*(1/(VLOOKUP($BM119,'Fuel economy adjusted factor'!$A$2:$L$52,5,FALSE)*m2k))/'TCO Inputs'!$AZ$84</f>
        <v>102.56599841144569</v>
      </c>
      <c r="CY119" s="125">
        <f>CY8/293.07*(1/(VLOOKUP($BM119,'Fuel economy adjusted factor'!$A$2:$L$52,5,FALSE)*m2k))/'TCO Inputs'!$AZ$84</f>
        <v>102.56599841144569</v>
      </c>
      <c r="CZ119" s="125">
        <f>CZ8/293.07*(1/(VLOOKUP($BM119,'Fuel economy adjusted factor'!$A$2:$L$52,5,FALSE)*m2k))/'TCO Inputs'!$AZ$84</f>
        <v>102.58884801581728</v>
      </c>
      <c r="DA119" s="125">
        <f>DA8/293.07*(1/(VLOOKUP($BM119,'Fuel economy adjusted factor'!$A$2:$L$52,5,FALSE)*m2k))/'TCO Inputs'!$AZ$84</f>
        <v>102.58884801581728</v>
      </c>
      <c r="DB119" s="125">
        <f>DB8/293.07*(1/(VLOOKUP($BM119,'Fuel economy adjusted factor'!$A$2:$L$52,5,FALSE)*m2k))/'TCO Inputs'!$AZ$84</f>
        <v>102.58884801581728</v>
      </c>
      <c r="DC119" s="125">
        <f>DC8/293.07*(1/(VLOOKUP($BM119,'Fuel economy adjusted factor'!$A$2:$L$52,5,FALSE)*m2k))/'TCO Inputs'!$AZ$84</f>
        <v>102.58884801581728</v>
      </c>
      <c r="DD119" s="125">
        <f>DD8/293.07*(1/(VLOOKUP($BM119,'Fuel economy adjusted factor'!$A$2:$L$52,5,FALSE)*m2k))/'TCO Inputs'!$AZ$84</f>
        <v>102.58884801581728</v>
      </c>
      <c r="DE119" s="125">
        <f>DE8/293.07*(1/(VLOOKUP($BM119,'Fuel economy adjusted factor'!$A$2:$L$52,5,FALSE)*m2k))/'TCO Inputs'!$AZ$84</f>
        <v>102.57579109903351</v>
      </c>
      <c r="DF119" s="125">
        <f>DF8/293.07*(1/(VLOOKUP($BM119,'Fuel economy adjusted factor'!$A$2:$L$52,5,FALSE)*m2k))/'TCO Inputs'!$AZ$84</f>
        <v>102.57579109903351</v>
      </c>
      <c r="DG119" s="125">
        <f>DG8/293.07*(1/(VLOOKUP($BM119,'Fuel economy adjusted factor'!$A$2:$L$52,5,FALSE)*m2k))/'TCO Inputs'!$AZ$84</f>
        <v>102.57579109903351</v>
      </c>
      <c r="DH119" s="125">
        <f>DH8/293.07*(1/(VLOOKUP($BM119,'Fuel economy adjusted factor'!$A$2:$L$52,5,FALSE)*m2k))/'TCO Inputs'!$AZ$84</f>
        <v>102.57579109903351</v>
      </c>
      <c r="DI119" s="125">
        <f>DI8/293.07*(1/(VLOOKUP($BM119,'Fuel economy adjusted factor'!$A$2:$L$52,5,FALSE)*m2k))/'TCO Inputs'!$AZ$84</f>
        <v>102.57579109903351</v>
      </c>
      <c r="DJ119" s="125">
        <f>DJ8/293.07*(1/(VLOOKUP($BM119,'Fuel economy adjusted factor'!$A$2:$L$52,5,FALSE)*m2k))/'TCO Inputs'!$AZ$84</f>
        <v>102.57252686983759</v>
      </c>
      <c r="DK119" s="125">
        <f>DK8/293.07*(1/(VLOOKUP($BM119,'Fuel economy adjusted factor'!$A$2:$L$52,5,FALSE)*m2k))/'TCO Inputs'!$AZ$84</f>
        <v>102.57252686983759</v>
      </c>
      <c r="DL119" s="125">
        <f>DL8/293.07*(1/(VLOOKUP($BM119,'Fuel economy adjusted factor'!$A$2:$L$52,5,FALSE)*m2k))/'TCO Inputs'!$AZ$84</f>
        <v>102.57252686983759</v>
      </c>
      <c r="DM119" s="125">
        <f>DM8/293.07*(1/(VLOOKUP($BM119,'Fuel economy adjusted factor'!$A$2:$L$52,5,FALSE)*m2k))/'TCO Inputs'!$AZ$84</f>
        <v>102.57252686983759</v>
      </c>
      <c r="DN119" s="125">
        <f>DN8/293.07*(1/(VLOOKUP($BM119,'Fuel economy adjusted factor'!$A$2:$L$52,5,FALSE)*m2k))/'TCO Inputs'!$AZ$84</f>
        <v>102.57252686983759</v>
      </c>
      <c r="DO119" s="125">
        <f>DO8/293.07*(1/(VLOOKUP($BM119,'Fuel economy adjusted factor'!$A$2:$L$52,5,FALSE)*m2k))/'TCO Inputs'!$AZ$84</f>
        <v>102.50920082343637</v>
      </c>
      <c r="DP119" s="125">
        <f>DP8/293.07*(1/(VLOOKUP($BM119,'Fuel economy adjusted factor'!$A$2:$L$52,5,FALSE)*m2k))/'TCO Inputs'!$AZ$84</f>
        <v>102.50920082343637</v>
      </c>
      <c r="DQ119" s="125">
        <f>DQ8/293.07*(1/(VLOOKUP($BM119,'Fuel economy adjusted factor'!$A$2:$L$52,5,FALSE)*m2k))/'TCO Inputs'!$AZ$84</f>
        <v>102.50920082343637</v>
      </c>
      <c r="DR119" s="125">
        <f>DR8/293.07*(1/(VLOOKUP($BM119,'Fuel economy adjusted factor'!$A$2:$L$52,5,FALSE)*m2k))/'TCO Inputs'!$AZ$84</f>
        <v>102.50920082343637</v>
      </c>
      <c r="DS119" s="125">
        <f>DS8/293.07*(1/(VLOOKUP($BM119,'Fuel economy adjusted factor'!$A$2:$L$52,5,FALSE)*m2k))/'TCO Inputs'!$AZ$84</f>
        <v>102.50920082343637</v>
      </c>
      <c r="DT119" s="125">
        <f>DT8/293.07*(1/(VLOOKUP($BM119,'Fuel economy adjusted factor'!$A$2:$L$52,5,FALSE)*m2k))/'TCO Inputs'!$AZ$84</f>
        <v>102.56208133641057</v>
      </c>
      <c r="DU119" s="98" cm="1">
        <f t="array" ref="DU119">SUMPRODUCT(INDEX(CS119:DT119,,'TCO Inputs'!$AZ$12-2023+_xlfn.SEQUENCE('TCO Inputs'!$AZ$13))*INDEX('VKT US'!C65:AA65,,_xlfn.SEQUENCE('TCO Inputs'!$AZ$13)))*m2k*CONVERT(0.9072,"g","ton")</f>
        <v>28.384970027950832</v>
      </c>
      <c r="DW119" s="123" t="s">
        <v>189</v>
      </c>
      <c r="DX119" s="125">
        <f>DX8/293.07*(1/(VLOOKUP($BM119,'Fuel economy adjusted factor'!$A$2:$L$52,5,FALSE)*m2k))/'TCO Inputs'!$AZ$84</f>
        <v>107.36702394570577</v>
      </c>
      <c r="DY119" s="125">
        <f>DY8/293.07*(1/(VLOOKUP($BM119,'Fuel economy adjusted factor'!$A$2:$L$52,5,FALSE)*m2k))/'TCO Inputs'!$AZ$84</f>
        <v>107.36702394570577</v>
      </c>
      <c r="DZ119" s="125">
        <f>DZ8/293.07*(1/(VLOOKUP($BM119,'Fuel economy adjusted factor'!$A$2:$L$52,5,FALSE)*m2k))/'TCO Inputs'!$AZ$84</f>
        <v>94.117964017278467</v>
      </c>
      <c r="EA119" s="125">
        <f>EA8/293.07*(1/(VLOOKUP($BM119,'Fuel economy adjusted factor'!$A$2:$L$52,5,FALSE)*m2k))/'TCO Inputs'!$AZ$84</f>
        <v>94.117964017278467</v>
      </c>
      <c r="EB119" s="125">
        <f>EB8/293.07*(1/(VLOOKUP($BM119,'Fuel economy adjusted factor'!$A$2:$L$52,5,FALSE)*m2k))/'TCO Inputs'!$AZ$84</f>
        <v>94.117964017278467</v>
      </c>
      <c r="EC119" s="125">
        <f>EC8/293.07*(1/(VLOOKUP($BM119,'Fuel economy adjusted factor'!$A$2:$L$52,5,FALSE)*m2k))/'TCO Inputs'!$AZ$84</f>
        <v>94.117964017278467</v>
      </c>
      <c r="ED119" s="125">
        <f>ED8/293.07*(1/(VLOOKUP($BM119,'Fuel economy adjusted factor'!$A$2:$L$52,5,FALSE)*m2k))/'TCO Inputs'!$AZ$84</f>
        <v>94.117964017278467</v>
      </c>
      <c r="EE119" s="125">
        <f>EE8/293.07*(1/(VLOOKUP($BM119,'Fuel economy adjusted factor'!$A$2:$L$52,5,FALSE)*m2k))/'TCO Inputs'!$AZ$84</f>
        <v>58.008308023347446</v>
      </c>
      <c r="EF119" s="125">
        <f>EF8/293.07*(1/(VLOOKUP($BM119,'Fuel economy adjusted factor'!$A$2:$L$52,5,FALSE)*m2k))/'TCO Inputs'!$AZ$84</f>
        <v>58.008308023347446</v>
      </c>
      <c r="EG119" s="125">
        <f>EG8/293.07*(1/(VLOOKUP($BM119,'Fuel economy adjusted factor'!$A$2:$L$52,5,FALSE)*m2k))/'TCO Inputs'!$AZ$84</f>
        <v>58.008308023347446</v>
      </c>
      <c r="EH119" s="125">
        <f>EH8/293.07*(1/(VLOOKUP($BM119,'Fuel economy adjusted factor'!$A$2:$L$52,5,FALSE)*m2k))/'TCO Inputs'!$AZ$84</f>
        <v>58.008308023347446</v>
      </c>
      <c r="EI119" s="125">
        <f>EI8/293.07*(1/(VLOOKUP($BM119,'Fuel economy adjusted factor'!$A$2:$L$52,5,FALSE)*m2k))/'TCO Inputs'!$AZ$84</f>
        <v>58.008308023347446</v>
      </c>
      <c r="EJ119" s="125">
        <f>EJ8/293.07*(1/(VLOOKUP($BM119,'Fuel economy adjusted factor'!$A$2:$L$52,5,FALSE)*m2k))/'TCO Inputs'!$AZ$84</f>
        <v>51.808234877029363</v>
      </c>
      <c r="EK119" s="125">
        <f>EK8/293.07*(1/(VLOOKUP($BM119,'Fuel economy adjusted factor'!$A$2:$L$52,5,FALSE)*m2k))/'TCO Inputs'!$AZ$84</f>
        <v>51.808234877029363</v>
      </c>
      <c r="EL119" s="125">
        <f>EL8/293.07*(1/(VLOOKUP($BM119,'Fuel economy adjusted factor'!$A$2:$L$52,5,FALSE)*m2k))/'TCO Inputs'!$AZ$84</f>
        <v>51.808234877029363</v>
      </c>
      <c r="EM119" s="125">
        <f>EM8/293.07*(1/(VLOOKUP($BM119,'Fuel economy adjusted factor'!$A$2:$L$52,5,FALSE)*m2k))/'TCO Inputs'!$AZ$84</f>
        <v>51.808234877029363</v>
      </c>
      <c r="EN119" s="125">
        <f>EN8/293.07*(1/(VLOOKUP($BM119,'Fuel economy adjusted factor'!$A$2:$L$52,5,FALSE)*m2k))/'TCO Inputs'!$AZ$84</f>
        <v>51.808234877029363</v>
      </c>
      <c r="EO119" s="125">
        <f>EO8/293.07*(1/(VLOOKUP($BM119,'Fuel economy adjusted factor'!$A$2:$L$52,5,FALSE)*m2k))/'TCO Inputs'!$AZ$84</f>
        <v>50.177593507721078</v>
      </c>
      <c r="EP119" s="125">
        <f>EP8/293.07*(1/(VLOOKUP($BM119,'Fuel economy adjusted factor'!$A$2:$L$52,5,FALSE)*m2k))/'TCO Inputs'!$AZ$84</f>
        <v>50.177593507721078</v>
      </c>
      <c r="EQ119" s="125">
        <f>EQ8/293.07*(1/(VLOOKUP($BM119,'Fuel economy adjusted factor'!$A$2:$L$52,5,FALSE)*m2k))/'TCO Inputs'!$AZ$84</f>
        <v>50.177593507721078</v>
      </c>
      <c r="ER119" s="125">
        <f>ER8/293.07*(1/(VLOOKUP($BM119,'Fuel economy adjusted factor'!$A$2:$L$52,5,FALSE)*m2k))/'TCO Inputs'!$AZ$84</f>
        <v>50.177593507721078</v>
      </c>
      <c r="ES119" s="125">
        <f>ES8/293.07*(1/(VLOOKUP($BM119,'Fuel economy adjusted factor'!$A$2:$L$52,5,FALSE)*m2k))/'TCO Inputs'!$AZ$84</f>
        <v>50.177593507721078</v>
      </c>
      <c r="ET119" s="125">
        <f>ET8/293.07*(1/(VLOOKUP($BM119,'Fuel economy adjusted factor'!$A$2:$L$52,5,FALSE)*m2k))/'TCO Inputs'!$AZ$84</f>
        <v>48.314567958782824</v>
      </c>
      <c r="EU119" s="125">
        <f>EU8/293.07*(1/(VLOOKUP($BM119,'Fuel economy adjusted factor'!$A$2:$L$52,5,FALSE)*m2k))/'TCO Inputs'!$AZ$84</f>
        <v>48.314567958782824</v>
      </c>
      <c r="EV119" s="125">
        <f>EV8/293.07*(1/(VLOOKUP($BM119,'Fuel economy adjusted factor'!$A$2:$L$52,5,FALSE)*m2k))/'TCO Inputs'!$AZ$84</f>
        <v>48.314567958782824</v>
      </c>
      <c r="EW119" s="125">
        <f>EW8/293.07*(1/(VLOOKUP($BM119,'Fuel economy adjusted factor'!$A$2:$L$52,5,FALSE)*m2k))/'TCO Inputs'!$AZ$84</f>
        <v>48.314567958782824</v>
      </c>
      <c r="EX119" s="125">
        <f>EX8/293.07*(1/(VLOOKUP($BM119,'Fuel economy adjusted factor'!$A$2:$L$52,5,FALSE)*m2k))/'TCO Inputs'!$AZ$84</f>
        <v>48.314567958782824</v>
      </c>
      <c r="EY119" s="125">
        <f>EY8/293.07*(1/(VLOOKUP($BM119,'Fuel economy adjusted factor'!$A$2:$L$52,5,FALSE)*m2k))/'TCO Inputs'!$AZ$84</f>
        <v>45.393166843434578</v>
      </c>
      <c r="EZ119" s="98" cm="1">
        <f t="array" ref="EZ119">SUMPRODUCT(INDEX(DX119:EY119,,'TCO Inputs'!$AZ$12-2023+_xlfn.SEQUENCE('TCO Inputs'!$AZ$13))*INDEX('VKT US'!C65:AA65,,_xlfn.SEQUENCE('TCO Inputs'!$AZ$13)))*m2k*CONVERT(0.9072,"g","ton")</f>
        <v>21.964640271958736</v>
      </c>
      <c r="FB119" s="123" t="s">
        <v>189</v>
      </c>
      <c r="FC119" s="125">
        <f>FC8/293.07*(1/(VLOOKUP($BM119,'Fuel economy adjusted factor'!$A$2:$L$52,5,FALSE)*m2k))/'TCO Inputs'!$AZ$84</f>
        <v>116.45530046742495</v>
      </c>
      <c r="FD119" s="125">
        <f>FD8/293.07*(1/(VLOOKUP($BM119,'Fuel economy adjusted factor'!$A$2:$L$52,5,FALSE)*m2k))/'TCO Inputs'!$AZ$84</f>
        <v>116.45530046742495</v>
      </c>
      <c r="FE119" s="125">
        <f>FE8/293.07*(1/(VLOOKUP($BM119,'Fuel economy adjusted factor'!$A$2:$L$52,5,FALSE)*m2k))/'TCO Inputs'!$AZ$84</f>
        <v>101.70048590568101</v>
      </c>
      <c r="FF119" s="125">
        <f>FF8/293.07*(1/(VLOOKUP($BM119,'Fuel economy adjusted factor'!$A$2:$L$52,5,FALSE)*m2k))/'TCO Inputs'!$AZ$84</f>
        <v>101.70048590568101</v>
      </c>
      <c r="FG119" s="125">
        <f>FG8/293.07*(1/(VLOOKUP($BM119,'Fuel economy adjusted factor'!$A$2:$L$52,5,FALSE)*m2k))/'TCO Inputs'!$AZ$84</f>
        <v>101.70048590568101</v>
      </c>
      <c r="FH119" s="125">
        <f>FH8/293.07*(1/(VLOOKUP($BM119,'Fuel economy adjusted factor'!$A$2:$L$52,5,FALSE)*m2k))/'TCO Inputs'!$AZ$84</f>
        <v>101.70048590568101</v>
      </c>
      <c r="FI119" s="125">
        <f>FI8/293.07*(1/(VLOOKUP($BM119,'Fuel economy adjusted factor'!$A$2:$L$52,5,FALSE)*m2k))/'TCO Inputs'!$AZ$84</f>
        <v>101.70048590568101</v>
      </c>
      <c r="FJ119" s="125">
        <f>FJ8/293.07*(1/(VLOOKUP($BM119,'Fuel economy adjusted factor'!$A$2:$L$52,5,FALSE)*m2k))/'TCO Inputs'!$AZ$84</f>
        <v>63.819493358856178</v>
      </c>
      <c r="FK119" s="125">
        <f>FK8/293.07*(1/(VLOOKUP($BM119,'Fuel economy adjusted factor'!$A$2:$L$52,5,FALSE)*m2k))/'TCO Inputs'!$AZ$84</f>
        <v>63.819493358856178</v>
      </c>
      <c r="FL119" s="125">
        <f>FL8/293.07*(1/(VLOOKUP($BM119,'Fuel economy adjusted factor'!$A$2:$L$52,5,FALSE)*m2k))/'TCO Inputs'!$AZ$84</f>
        <v>63.819493358856178</v>
      </c>
      <c r="FM119" s="125">
        <f>FM8/293.07*(1/(VLOOKUP($BM119,'Fuel economy adjusted factor'!$A$2:$L$52,5,FALSE)*m2k))/'TCO Inputs'!$AZ$84</f>
        <v>63.819493358856178</v>
      </c>
      <c r="FN119" s="125">
        <f>FN8/293.07*(1/(VLOOKUP($BM119,'Fuel economy adjusted factor'!$A$2:$L$52,5,FALSE)*m2k))/'TCO Inputs'!$AZ$84</f>
        <v>63.819493358856178</v>
      </c>
      <c r="FO119" s="125">
        <f>FO8/293.07*(1/(VLOOKUP($BM119,'Fuel economy adjusted factor'!$A$2:$L$52,5,FALSE)*m2k))/'TCO Inputs'!$AZ$84</f>
        <v>56.668542089766476</v>
      </c>
      <c r="FP119" s="125">
        <f>FP8/293.07*(1/(VLOOKUP($BM119,'Fuel economy adjusted factor'!$A$2:$L$52,5,FALSE)*m2k))/'TCO Inputs'!$AZ$84</f>
        <v>56.668542089766476</v>
      </c>
      <c r="FQ119" s="125">
        <f>FQ8/293.07*(1/(VLOOKUP($BM119,'Fuel economy adjusted factor'!$A$2:$L$52,5,FALSE)*m2k))/'TCO Inputs'!$AZ$84</f>
        <v>56.668542089766476</v>
      </c>
      <c r="FR119" s="125">
        <f>FR8/293.07*(1/(VLOOKUP($BM119,'Fuel economy adjusted factor'!$A$2:$L$52,5,FALSE)*m2k))/'TCO Inputs'!$AZ$84</f>
        <v>56.668542089766476</v>
      </c>
      <c r="FS119" s="125">
        <f>FS8/293.07*(1/(VLOOKUP($BM119,'Fuel economy adjusted factor'!$A$2:$L$52,5,FALSE)*m2k))/'TCO Inputs'!$AZ$84</f>
        <v>56.668542089766476</v>
      </c>
      <c r="FT119" s="125">
        <f>FT8/293.07*(1/(VLOOKUP($BM119,'Fuel economy adjusted factor'!$A$2:$L$52,5,FALSE)*m2k))/'TCO Inputs'!$AZ$84</f>
        <v>55.226021246825312</v>
      </c>
      <c r="FU119" s="125">
        <f>FU8/293.07*(1/(VLOOKUP($BM119,'Fuel economy adjusted factor'!$A$2:$L$52,5,FALSE)*m2k))/'TCO Inputs'!$AZ$84</f>
        <v>55.226021246825312</v>
      </c>
      <c r="FV119" s="125">
        <f>FV8/293.07*(1/(VLOOKUP($BM119,'Fuel economy adjusted factor'!$A$2:$L$52,5,FALSE)*m2k))/'TCO Inputs'!$AZ$84</f>
        <v>55.226021246825312</v>
      </c>
      <c r="FW119" s="125">
        <f>FW8/293.07*(1/(VLOOKUP($BM119,'Fuel economy adjusted factor'!$A$2:$L$52,5,FALSE)*m2k))/'TCO Inputs'!$AZ$84</f>
        <v>55.226021246825312</v>
      </c>
      <c r="FX119" s="125">
        <f>FX8/293.07*(1/(VLOOKUP($BM119,'Fuel economy adjusted factor'!$A$2:$L$52,5,FALSE)*m2k))/'TCO Inputs'!$AZ$84</f>
        <v>55.226021246825312</v>
      </c>
      <c r="FY119" s="125">
        <f>FY8/293.07*(1/(VLOOKUP($BM119,'Fuel economy adjusted factor'!$A$2:$L$52,5,FALSE)*m2k))/'TCO Inputs'!$AZ$84</f>
        <v>53.35904358598858</v>
      </c>
      <c r="FZ119" s="125">
        <f>FZ8/293.07*(1/(VLOOKUP($BM119,'Fuel economy adjusted factor'!$A$2:$L$52,5,FALSE)*m2k))/'TCO Inputs'!$AZ$84</f>
        <v>53.35904358598858</v>
      </c>
      <c r="GA119" s="125">
        <f>GA8/293.07*(1/(VLOOKUP($BM119,'Fuel economy adjusted factor'!$A$2:$L$52,5,FALSE)*m2k))/'TCO Inputs'!$AZ$84</f>
        <v>53.35904358598858</v>
      </c>
      <c r="GB119" s="125">
        <f>GB8/293.07*(1/(VLOOKUP($BM119,'Fuel economy adjusted factor'!$A$2:$L$52,5,FALSE)*m2k))/'TCO Inputs'!$AZ$84</f>
        <v>53.35904358598858</v>
      </c>
      <c r="GC119" s="125">
        <f>GC8/293.07*(1/(VLOOKUP($BM119,'Fuel economy adjusted factor'!$A$2:$L$52,5,FALSE)*m2k))/'TCO Inputs'!$AZ$84</f>
        <v>53.35904358598858</v>
      </c>
      <c r="GD119" s="125">
        <f>GD8/293.07*(1/(VLOOKUP($BM119,'Fuel economy adjusted factor'!$A$2:$L$52,5,FALSE)*m2k))/'TCO Inputs'!$AZ$84</f>
        <v>50.336468406039536</v>
      </c>
      <c r="GE119" s="98" cm="1">
        <f t="array" ref="GE119">SUMPRODUCT(INDEX(FC119:GD119,,'TCO Inputs'!$AZ$12-2023+_xlfn.SEQUENCE('TCO Inputs'!$AZ$13))*INDEX('VKT US'!C65:AA65,,_xlfn.SEQUENCE('TCO Inputs'!$AZ$13)))*m2k*CONVERT(0.9072,"g","ton")</f>
        <v>23.881353522609544</v>
      </c>
      <c r="GH119" s="123" t="s">
        <v>189</v>
      </c>
      <c r="GI119" s="125">
        <f>GI8/293.07*(1/(VLOOKUP($BM119,'Fuel economy adjusted factor'!$A$2:$L$52,5,FALSE)*m2k))/'TCO Inputs'!$AZ$84</f>
        <v>101.18117840222217</v>
      </c>
      <c r="GJ119" s="125">
        <f>GJ8/293.07*(1/(VLOOKUP($BM119,'Fuel economy adjusted factor'!$A$2:$L$52,5,FALSE)*m2k))/'TCO Inputs'!$AZ$84</f>
        <v>101.18117840222217</v>
      </c>
      <c r="GK119" s="125">
        <f>GK8/293.07*(1/(VLOOKUP($BM119,'Fuel economy adjusted factor'!$A$2:$L$52,5,FALSE)*m2k))/'TCO Inputs'!$AZ$84</f>
        <v>88.957296300257738</v>
      </c>
      <c r="GL119" s="125">
        <f>GL8/293.07*(1/(VLOOKUP($BM119,'Fuel economy adjusted factor'!$A$2:$L$52,5,FALSE)*m2k))/'TCO Inputs'!$AZ$84</f>
        <v>88.957296300257738</v>
      </c>
      <c r="GM119" s="125">
        <f>GM8/293.07*(1/(VLOOKUP($BM119,'Fuel economy adjusted factor'!$A$2:$L$52,5,FALSE)*m2k))/'TCO Inputs'!$AZ$84</f>
        <v>88.957296300257738</v>
      </c>
      <c r="GN119" s="125">
        <f>GN8/293.07*(1/(VLOOKUP($BM119,'Fuel economy adjusted factor'!$A$2:$L$52,5,FALSE)*m2k))/'TCO Inputs'!$AZ$84</f>
        <v>88.957296300257738</v>
      </c>
      <c r="GO119" s="125">
        <f>GO8/293.07*(1/(VLOOKUP($BM119,'Fuel economy adjusted factor'!$A$2:$L$52,5,FALSE)*m2k))/'TCO Inputs'!$AZ$84</f>
        <v>88.957296300257738</v>
      </c>
      <c r="GP119" s="125">
        <f>GP8/293.07*(1/(VLOOKUP($BM119,'Fuel economy adjusted factor'!$A$2:$L$52,5,FALSE)*m2k))/'TCO Inputs'!$AZ$84</f>
        <v>54.053034435359741</v>
      </c>
      <c r="GQ119" s="125">
        <f>GQ8/293.07*(1/(VLOOKUP($BM119,'Fuel economy adjusted factor'!$A$2:$L$52,5,FALSE)*m2k))/'TCO Inputs'!$AZ$84</f>
        <v>54.053034435359741</v>
      </c>
      <c r="GR119" s="125">
        <f>GR8/293.07*(1/(VLOOKUP($BM119,'Fuel economy adjusted factor'!$A$2:$L$52,5,FALSE)*m2k))/'TCO Inputs'!$AZ$84</f>
        <v>54.053034435359741</v>
      </c>
      <c r="GS119" s="125">
        <f>GS8/293.07*(1/(VLOOKUP($BM119,'Fuel economy adjusted factor'!$A$2:$L$52,5,FALSE)*m2k))/'TCO Inputs'!$AZ$84</f>
        <v>54.053034435359741</v>
      </c>
      <c r="GT119" s="125">
        <f>GT8/293.07*(1/(VLOOKUP($BM119,'Fuel economy adjusted factor'!$A$2:$L$52,5,FALSE)*m2k))/'TCO Inputs'!$AZ$84</f>
        <v>54.053034435359741</v>
      </c>
      <c r="GU119" s="125">
        <f>GU8/293.07*(1/(VLOOKUP($BM119,'Fuel economy adjusted factor'!$A$2:$L$52,5,FALSE)*m2k))/'TCO Inputs'!$AZ$84</f>
        <v>48.500317218010871</v>
      </c>
      <c r="GV119" s="125">
        <f>GV8/293.07*(1/(VLOOKUP($BM119,'Fuel economy adjusted factor'!$A$2:$L$52,5,FALSE)*m2k))/'TCO Inputs'!$AZ$84</f>
        <v>48.500317218010871</v>
      </c>
      <c r="GW119" s="125">
        <f>GW8/293.07*(1/(VLOOKUP($BM119,'Fuel economy adjusted factor'!$A$2:$L$52,5,FALSE)*m2k))/'TCO Inputs'!$AZ$84</f>
        <v>48.500317218010871</v>
      </c>
      <c r="GX119" s="125">
        <f>GX8/293.07*(1/(VLOOKUP($BM119,'Fuel economy adjusted factor'!$A$2:$L$52,5,FALSE)*m2k))/'TCO Inputs'!$AZ$84</f>
        <v>48.500317218010871</v>
      </c>
      <c r="GY119" s="125">
        <f>GY8/293.07*(1/(VLOOKUP($BM119,'Fuel economy adjusted factor'!$A$2:$L$52,5,FALSE)*m2k))/'TCO Inputs'!$AZ$84</f>
        <v>48.500317218010871</v>
      </c>
      <c r="GZ119" s="125">
        <f>GZ8/293.07*(1/(VLOOKUP($BM119,'Fuel economy adjusted factor'!$A$2:$L$52,5,FALSE)*m2k))/'TCO Inputs'!$AZ$84</f>
        <v>46.741627423192192</v>
      </c>
      <c r="HA119" s="125">
        <f>HA8/293.07*(1/(VLOOKUP($BM119,'Fuel economy adjusted factor'!$A$2:$L$52,5,FALSE)*m2k))/'TCO Inputs'!$AZ$84</f>
        <v>46.741627423192192</v>
      </c>
      <c r="HB119" s="125">
        <f>HB8/293.07*(1/(VLOOKUP($BM119,'Fuel economy adjusted factor'!$A$2:$L$52,5,FALSE)*m2k))/'TCO Inputs'!$AZ$84</f>
        <v>46.741627423192192</v>
      </c>
      <c r="HC119" s="125">
        <f>HC8/293.07*(1/(VLOOKUP($BM119,'Fuel economy adjusted factor'!$A$2:$L$52,5,FALSE)*m2k))/'TCO Inputs'!$AZ$84</f>
        <v>46.741627423192192</v>
      </c>
      <c r="HD119" s="125">
        <f>HD8/293.07*(1/(VLOOKUP($BM119,'Fuel economy adjusted factor'!$A$2:$L$52,5,FALSE)*m2k))/'TCO Inputs'!$AZ$84</f>
        <v>46.741627423192192</v>
      </c>
      <c r="HE119" s="125">
        <f>HE8/293.07*(1/(VLOOKUP($BM119,'Fuel economy adjusted factor'!$A$2:$L$52,5,FALSE)*m2k))/'TCO Inputs'!$AZ$84</f>
        <v>44.880973141393007</v>
      </c>
      <c r="HF119" s="125">
        <f>HF8/293.07*(1/(VLOOKUP($BM119,'Fuel economy adjusted factor'!$A$2:$L$52,5,FALSE)*m2k))/'TCO Inputs'!$AZ$84</f>
        <v>44.880973141393007</v>
      </c>
      <c r="HG119" s="125">
        <f>HG8/293.07*(1/(VLOOKUP($BM119,'Fuel economy adjusted factor'!$A$2:$L$52,5,FALSE)*m2k))/'TCO Inputs'!$AZ$84</f>
        <v>44.880973141393007</v>
      </c>
      <c r="HH119" s="125">
        <f>HH8/293.07*(1/(VLOOKUP($BM119,'Fuel economy adjusted factor'!$A$2:$L$52,5,FALSE)*m2k))/'TCO Inputs'!$AZ$84</f>
        <v>44.880973141393007</v>
      </c>
      <c r="HI119" s="125">
        <f>HI8/293.07*(1/(VLOOKUP($BM119,'Fuel economy adjusted factor'!$A$2:$L$52,5,FALSE)*m2k))/'TCO Inputs'!$AZ$84</f>
        <v>44.880973141393007</v>
      </c>
      <c r="HJ119" s="125">
        <f>HJ8/293.07*(1/(VLOOKUP($BM119,'Fuel economy adjusted factor'!$A$2:$L$52,5,FALSE)*m2k))/'TCO Inputs'!$AZ$84</f>
        <v>42.02912919545782</v>
      </c>
      <c r="HK119" s="98" cm="1">
        <f t="array" ref="HK119">SUMPRODUCT(INDEX(GI119:HJ119,,'TCO Inputs'!$AZ$12-2023+_xlfn.SEQUENCE('TCO Inputs'!$AZ$13))*INDEX('VKT US'!C65:AA65,,_xlfn.SEQUENCE('TCO Inputs'!$AZ$13)))*m2k*CONVERT(0.9072,"g","ton")</f>
        <v>20.660091561016511</v>
      </c>
    </row>
    <row r="120" spans="17:219" x14ac:dyDescent="0.25">
      <c r="Q120" s="97" t="s">
        <v>544</v>
      </c>
      <c r="R120" s="37" t="s">
        <v>545</v>
      </c>
      <c r="Z120" s="123" t="s">
        <v>188</v>
      </c>
      <c r="AA120" s="125">
        <f>AA9/293.07*(1/(VLOOKUP($Z120,'Fuel economy adjusted factor'!$A$2:$L$52,5,FALSE)*m2k))/'TCO Inputs'!$AZ$84</f>
        <v>117.45189357990263</v>
      </c>
      <c r="AB120" s="125">
        <f>AB9/293.07*(1/(VLOOKUP($Z120,'Fuel economy adjusted factor'!$A$2:$L$52,5,FALSE)*m2k))/'TCO Inputs'!$AZ$84</f>
        <v>117.45189357990263</v>
      </c>
      <c r="AC120" s="125">
        <f>AC9/293.07*(1/(VLOOKUP($Z120,'Fuel economy adjusted factor'!$A$2:$L$52,5,FALSE)*m2k))/'TCO Inputs'!$AZ$84</f>
        <v>103.29821674395856</v>
      </c>
      <c r="AD120" s="125">
        <f>AD9/293.07*(1/(VLOOKUP($Z120,'Fuel economy adjusted factor'!$A$2:$L$52,5,FALSE)*m2k))/'TCO Inputs'!$AZ$84</f>
        <v>103.29821674395856</v>
      </c>
      <c r="AE120" s="125">
        <f>AE9/293.07*(1/(VLOOKUP($Z120,'Fuel economy adjusted factor'!$A$2:$L$52,5,FALSE)*m2k))/'TCO Inputs'!$AZ$84</f>
        <v>103.29821674395856</v>
      </c>
      <c r="AF120" s="125">
        <f>AF9/293.07*(1/(VLOOKUP($Z120,'Fuel economy adjusted factor'!$A$2:$L$52,5,FALSE)*m2k))/'TCO Inputs'!$AZ$84</f>
        <v>103.29821674395856</v>
      </c>
      <c r="AG120" s="125">
        <f>AG9/293.07*(1/(VLOOKUP($Z120,'Fuel economy adjusted factor'!$A$2:$L$52,5,FALSE)*m2k))/'TCO Inputs'!$AZ$84</f>
        <v>103.29821674395856</v>
      </c>
      <c r="AH120" s="125">
        <f>AH9/293.07*(1/(VLOOKUP($Z120,'Fuel economy adjusted factor'!$A$2:$L$52,5,FALSE)*m2k))/'TCO Inputs'!$AZ$84</f>
        <v>62.065461446612794</v>
      </c>
      <c r="AI120" s="125">
        <f>AI9/293.07*(1/(VLOOKUP($Z120,'Fuel economy adjusted factor'!$A$2:$L$52,5,FALSE)*m2k))/'TCO Inputs'!$AZ$84</f>
        <v>62.065461446612794</v>
      </c>
      <c r="AJ120" s="125">
        <f>AJ9/293.07*(1/(VLOOKUP($Z120,'Fuel economy adjusted factor'!$A$2:$L$52,5,FALSE)*m2k))/'TCO Inputs'!$AZ$84</f>
        <v>62.065461446612794</v>
      </c>
      <c r="AK120" s="125">
        <f>AK9/293.07*(1/(VLOOKUP($Z120,'Fuel economy adjusted factor'!$A$2:$L$52,5,FALSE)*m2k))/'TCO Inputs'!$AZ$84</f>
        <v>62.065461446612794</v>
      </c>
      <c r="AL120" s="125">
        <f>AL9/293.07*(1/(VLOOKUP($Z120,'Fuel economy adjusted factor'!$A$2:$L$52,5,FALSE)*m2k))/'TCO Inputs'!$AZ$84</f>
        <v>62.065461446612794</v>
      </c>
      <c r="AM120" s="125">
        <f>AM9/293.07*(1/(VLOOKUP($Z120,'Fuel economy adjusted factor'!$A$2:$L$52,5,FALSE)*m2k))/'TCO Inputs'!$AZ$84</f>
        <v>64.950143167924665</v>
      </c>
      <c r="AN120" s="125">
        <f>AN9/293.07*(1/(VLOOKUP($Z120,'Fuel economy adjusted factor'!$A$2:$L$52,5,FALSE)*m2k))/'TCO Inputs'!$AZ$84</f>
        <v>64.950143167924665</v>
      </c>
      <c r="AO120" s="125">
        <f>AO9/293.07*(1/(VLOOKUP($Z120,'Fuel economy adjusted factor'!$A$2:$L$52,5,FALSE)*m2k))/'TCO Inputs'!$AZ$84</f>
        <v>64.950143167924665</v>
      </c>
      <c r="AP120" s="125">
        <f>AP9/293.07*(1/(VLOOKUP($Z120,'Fuel economy adjusted factor'!$A$2:$L$52,5,FALSE)*m2k))/'TCO Inputs'!$AZ$84</f>
        <v>64.950143167924665</v>
      </c>
      <c r="AQ120" s="125">
        <f>AQ9/293.07*(1/(VLOOKUP($Z120,'Fuel economy adjusted factor'!$A$2:$L$52,5,FALSE)*m2k))/'TCO Inputs'!$AZ$84</f>
        <v>64.950143167924665</v>
      </c>
      <c r="AR120" s="125">
        <f>AR9/293.07*(1/(VLOOKUP($Z120,'Fuel economy adjusted factor'!$A$2:$L$52,5,FALSE)*m2k))/'TCO Inputs'!$AZ$84</f>
        <v>67.895469280616496</v>
      </c>
      <c r="AS120" s="125">
        <f>AS9/293.07*(1/(VLOOKUP($Z120,'Fuel economy adjusted factor'!$A$2:$L$52,5,FALSE)*m2k))/'TCO Inputs'!$AZ$84</f>
        <v>67.895469280616496</v>
      </c>
      <c r="AT120" s="125">
        <f>AT9/293.07*(1/(VLOOKUP($Z120,'Fuel economy adjusted factor'!$A$2:$L$52,5,FALSE)*m2k))/'TCO Inputs'!$AZ$84</f>
        <v>67.895469280616496</v>
      </c>
      <c r="AU120" s="125">
        <f>AU9/293.07*(1/(VLOOKUP($Z120,'Fuel economy adjusted factor'!$A$2:$L$52,5,FALSE)*m2k))/'TCO Inputs'!$AZ$84</f>
        <v>67.895469280616496</v>
      </c>
      <c r="AV120" s="125">
        <f>AV9/293.07*(1/(VLOOKUP($Z120,'Fuel economy adjusted factor'!$A$2:$L$52,5,FALSE)*m2k))/'TCO Inputs'!$AZ$84</f>
        <v>67.895469280616496</v>
      </c>
      <c r="AW120" s="125">
        <f>AW9/293.07*(1/(VLOOKUP($Z120,'Fuel economy adjusted factor'!$A$2:$L$52,5,FALSE)*m2k))/'TCO Inputs'!$AZ$84</f>
        <v>69.385330000189555</v>
      </c>
      <c r="AX120" s="125">
        <f>AX9/293.07*(1/(VLOOKUP($Z120,'Fuel economy adjusted factor'!$A$2:$L$52,5,FALSE)*m2k))/'TCO Inputs'!$AZ$84</f>
        <v>69.385330000189555</v>
      </c>
      <c r="AY120" s="125">
        <f>AY9/293.07*(1/(VLOOKUP($Z120,'Fuel economy adjusted factor'!$A$2:$L$52,5,FALSE)*m2k))/'TCO Inputs'!$AZ$84</f>
        <v>69.385330000189555</v>
      </c>
      <c r="AZ120" s="125">
        <f>AZ9/293.07*(1/(VLOOKUP($Z120,'Fuel economy adjusted factor'!$A$2:$L$52,5,FALSE)*m2k))/'TCO Inputs'!$AZ$84</f>
        <v>69.385330000189555</v>
      </c>
      <c r="BA120" s="125">
        <f>BA9/293.07*(1/(VLOOKUP($Z120,'Fuel economy adjusted factor'!$A$2:$L$52,5,FALSE)*m2k))/'TCO Inputs'!$AZ$84</f>
        <v>69.385330000189555</v>
      </c>
      <c r="BB120" s="125">
        <f>BB9/293.07*(1/(VLOOKUP($Z120,'Fuel economy adjusted factor'!$A$2:$L$52,5,FALSE)*m2k))/'TCO Inputs'!$AZ$84</f>
        <v>69.479464577853946</v>
      </c>
      <c r="BC120" s="98" cm="1">
        <f t="array" ref="BC120">SUMPRODUCT(INDEX(AA120:BB120,,'TCO Inputs'!$AZ$12-2023+_xlfn.SEQUENCE('TCO Inputs'!$AZ$13))*INDEX('VKT US'!C66:AA66,,_xlfn.SEQUENCE('TCO Inputs'!$AZ$13)))*m2k*CONVERT(0.9072,"g","ton")</f>
        <v>31.857530938827516</v>
      </c>
      <c r="BM120" s="123" t="s">
        <v>188</v>
      </c>
      <c r="BN120" s="125">
        <f>BN9/293.07*(1/(VLOOKUP($BM120,'Fuel economy adjusted factor'!$A$2:$L$52,5,FALSE)*m2k))</f>
        <v>99.834109542917233</v>
      </c>
      <c r="BO120" s="125">
        <f>BO9/293.07*(1/(VLOOKUP($BM120,'Fuel economy adjusted factor'!$A$2:$L$52,5,FALSE)*m2k))</f>
        <v>99.834109542917233</v>
      </c>
      <c r="BP120" s="125">
        <f>BP9/293.07*(1/(VLOOKUP($BM120,'Fuel economy adjusted factor'!$A$2:$L$52,5,FALSE)*m2k))</f>
        <v>87.688848229853278</v>
      </c>
      <c r="BQ120" s="125">
        <f>BQ9/293.07*(1/(VLOOKUP($BM120,'Fuel economy adjusted factor'!$A$2:$L$52,5,FALSE)*m2k))</f>
        <v>87.688848229853278</v>
      </c>
      <c r="BR120" s="125">
        <f>BR9/293.07*(1/(VLOOKUP($BM120,'Fuel economy adjusted factor'!$A$2:$L$52,5,FALSE)*m2k))</f>
        <v>87.688848229853278</v>
      </c>
      <c r="BS120" s="125">
        <f>BS9/293.07*(1/(VLOOKUP($BM120,'Fuel economy adjusted factor'!$A$2:$L$52,5,FALSE)*m2k))</f>
        <v>87.688848229853278</v>
      </c>
      <c r="BT120" s="125">
        <f>BT9/293.07*(1/(VLOOKUP($BM120,'Fuel economy adjusted factor'!$A$2:$L$52,5,FALSE)*m2k))</f>
        <v>87.688848229853278</v>
      </c>
      <c r="BU120" s="125">
        <f>BU9/293.07*(1/(VLOOKUP($BM120,'Fuel economy adjusted factor'!$A$2:$L$52,5,FALSE)*m2k))</f>
        <v>99.400954714635546</v>
      </c>
      <c r="BV120" s="125">
        <f>BV9/293.07*(1/(VLOOKUP($BM120,'Fuel economy adjusted factor'!$A$2:$L$52,5,FALSE)*m2k))</f>
        <v>99.400954714635546</v>
      </c>
      <c r="BW120" s="125">
        <f>BW9/293.07*(1/(VLOOKUP($BM120,'Fuel economy adjusted factor'!$A$2:$L$52,5,FALSE)*m2k))</f>
        <v>99.400954714635546</v>
      </c>
      <c r="BX120" s="125">
        <f>BX9/293.07*(1/(VLOOKUP($BM120,'Fuel economy adjusted factor'!$A$2:$L$52,5,FALSE)*m2k))</f>
        <v>99.400954714635546</v>
      </c>
      <c r="BY120" s="125">
        <f>BY9/293.07*(1/(VLOOKUP($BM120,'Fuel economy adjusted factor'!$A$2:$L$52,5,FALSE)*m2k))</f>
        <v>99.400954714635546</v>
      </c>
      <c r="BZ120" s="125">
        <f>BZ9/293.07*(1/(VLOOKUP($BM120,'Fuel economy adjusted factor'!$A$2:$L$52,5,FALSE)*m2k))</f>
        <v>101.79138464620083</v>
      </c>
      <c r="CA120" s="125">
        <f>CA9/293.07*(1/(VLOOKUP($BM120,'Fuel economy adjusted factor'!$A$2:$L$52,5,FALSE)*m2k))</f>
        <v>101.79138464620083</v>
      </c>
      <c r="CB120" s="125">
        <f>CB9/293.07*(1/(VLOOKUP($BM120,'Fuel economy adjusted factor'!$A$2:$L$52,5,FALSE)*m2k))</f>
        <v>101.79138464620083</v>
      </c>
      <c r="CC120" s="125">
        <f>CC9/293.07*(1/(VLOOKUP($BM120,'Fuel economy adjusted factor'!$A$2:$L$52,5,FALSE)*m2k))</f>
        <v>101.79138464620083</v>
      </c>
      <c r="CD120" s="125">
        <f>CD9/293.07*(1/(VLOOKUP($BM120,'Fuel economy adjusted factor'!$A$2:$L$52,5,FALSE)*m2k))</f>
        <v>101.79138464620083</v>
      </c>
      <c r="CE120" s="125">
        <f>CE9/293.07*(1/(VLOOKUP($BM120,'Fuel economy adjusted factor'!$A$2:$L$52,5,FALSE)*m2k))</f>
        <v>104.30722174829883</v>
      </c>
      <c r="CF120" s="125">
        <f>CF9/293.07*(1/(VLOOKUP($BM120,'Fuel economy adjusted factor'!$A$2:$L$52,5,FALSE)*m2k))</f>
        <v>104.30722174829883</v>
      </c>
      <c r="CG120" s="125">
        <f>CG9/293.07*(1/(VLOOKUP($BM120,'Fuel economy adjusted factor'!$A$2:$L$52,5,FALSE)*m2k))</f>
        <v>104.30722174829883</v>
      </c>
      <c r="CH120" s="125">
        <f>CH9/293.07*(1/(VLOOKUP($BM120,'Fuel economy adjusted factor'!$A$2:$L$52,5,FALSE)*m2k))</f>
        <v>104.30722174829883</v>
      </c>
      <c r="CI120" s="125">
        <f>CI9/293.07*(1/(VLOOKUP($BM120,'Fuel economy adjusted factor'!$A$2:$L$52,5,FALSE)*m2k))</f>
        <v>104.30722174829883</v>
      </c>
      <c r="CJ120" s="125">
        <f>CJ9/293.07*(1/(VLOOKUP($BM120,'Fuel economy adjusted factor'!$A$2:$L$52,5,FALSE)*m2k))</f>
        <v>104.90425220433188</v>
      </c>
      <c r="CK120" s="125">
        <f>CK9/293.07*(1/(VLOOKUP($BM120,'Fuel economy adjusted factor'!$A$2:$L$52,5,FALSE)*m2k))</f>
        <v>104.90425220433188</v>
      </c>
      <c r="CL120" s="125">
        <f>CL9/293.07*(1/(VLOOKUP($BM120,'Fuel economy adjusted factor'!$A$2:$L$52,5,FALSE)*m2k))</f>
        <v>104.90425220433188</v>
      </c>
      <c r="CM120" s="125">
        <f>CM9/293.07*(1/(VLOOKUP($BM120,'Fuel economy adjusted factor'!$A$2:$L$52,5,FALSE)*m2k))</f>
        <v>104.90425220433188</v>
      </c>
      <c r="CN120" s="125">
        <f>CN9/293.07*(1/(VLOOKUP($BM120,'Fuel economy adjusted factor'!$A$2:$L$52,5,FALSE)*m2k))</f>
        <v>104.90425220433188</v>
      </c>
      <c r="CO120" s="125">
        <f>CO9/293.07*(1/(VLOOKUP($BM120,'Fuel economy adjusted factor'!$A$2:$L$52,5,FALSE)*m2k))</f>
        <v>105.61745740116515</v>
      </c>
      <c r="CP120" s="98" cm="1">
        <f t="array" ref="CP120">SUMPRODUCT(INDEX(BN120:CO120,,'TCO Inputs'!$AZ$12-2023+_xlfn.SEQUENCE('TCO Inputs'!$AZ$13))*INDEX('VKT US'!C66:AA66,,_xlfn.SEQUENCE('TCO Inputs'!$AZ$13)))*m2k*CONVERT(0.9072,"g","ton")</f>
        <v>34.699655351800793</v>
      </c>
      <c r="CQ120" s="194"/>
      <c r="CR120" s="123" t="s">
        <v>188</v>
      </c>
      <c r="CS120" s="125">
        <f>CS9/293.07*(1/(VLOOKUP($BM120,'Fuel economy adjusted factor'!$A$2:$L$52,5,FALSE)*m2k))/'TCO Inputs'!$AZ$84</f>
        <v>142.20295152445021</v>
      </c>
      <c r="CT120" s="125">
        <f>CT9/293.07*(1/(VLOOKUP($BM120,'Fuel economy adjusted factor'!$A$2:$L$52,5,FALSE)*m2k))/'TCO Inputs'!$AZ$84</f>
        <v>142.20295152445021</v>
      </c>
      <c r="CU120" s="125">
        <f>CU9/293.07*(1/(VLOOKUP($BM120,'Fuel economy adjusted factor'!$A$2:$L$52,5,FALSE)*m2k))/'TCO Inputs'!$AZ$84</f>
        <v>142.20295152445021</v>
      </c>
      <c r="CV120" s="125">
        <f>CV9/293.07*(1/(VLOOKUP($BM120,'Fuel economy adjusted factor'!$A$2:$L$52,5,FALSE)*m2k))/'TCO Inputs'!$AZ$84</f>
        <v>142.20295152445021</v>
      </c>
      <c r="CW120" s="125">
        <f>CW9/293.07*(1/(VLOOKUP($BM120,'Fuel economy adjusted factor'!$A$2:$L$52,5,FALSE)*m2k))/'TCO Inputs'!$AZ$84</f>
        <v>142.20295152445021</v>
      </c>
      <c r="CX120" s="125">
        <f>CX9/293.07*(1/(VLOOKUP($BM120,'Fuel economy adjusted factor'!$A$2:$L$52,5,FALSE)*m2k))/'TCO Inputs'!$AZ$84</f>
        <v>142.20295152445021</v>
      </c>
      <c r="CY120" s="125">
        <f>CY9/293.07*(1/(VLOOKUP($BM120,'Fuel economy adjusted factor'!$A$2:$L$52,5,FALSE)*m2k))/'TCO Inputs'!$AZ$84</f>
        <v>142.20295152445021</v>
      </c>
      <c r="CZ120" s="125">
        <f>CZ9/293.07*(1/(VLOOKUP($BM120,'Fuel economy adjusted factor'!$A$2:$L$52,5,FALSE)*m2k))/'TCO Inputs'!$AZ$84</f>
        <v>142.23463143039493</v>
      </c>
      <c r="DA120" s="125">
        <f>DA9/293.07*(1/(VLOOKUP($BM120,'Fuel economy adjusted factor'!$A$2:$L$52,5,FALSE)*m2k))/'TCO Inputs'!$AZ$84</f>
        <v>142.23463143039493</v>
      </c>
      <c r="DB120" s="125">
        <f>DB9/293.07*(1/(VLOOKUP($BM120,'Fuel economy adjusted factor'!$A$2:$L$52,5,FALSE)*m2k))/'TCO Inputs'!$AZ$84</f>
        <v>142.23463143039493</v>
      </c>
      <c r="DC120" s="125">
        <f>DC9/293.07*(1/(VLOOKUP($BM120,'Fuel economy adjusted factor'!$A$2:$L$52,5,FALSE)*m2k))/'TCO Inputs'!$AZ$84</f>
        <v>142.23463143039493</v>
      </c>
      <c r="DD120" s="125">
        <f>DD9/293.07*(1/(VLOOKUP($BM120,'Fuel economy adjusted factor'!$A$2:$L$52,5,FALSE)*m2k))/'TCO Inputs'!$AZ$84</f>
        <v>142.23463143039493</v>
      </c>
      <c r="DE120" s="125">
        <f>DE9/293.07*(1/(VLOOKUP($BM120,'Fuel economy adjusted factor'!$A$2:$L$52,5,FALSE)*m2k))/'TCO Inputs'!$AZ$84</f>
        <v>142.21652862699796</v>
      </c>
      <c r="DF120" s="125">
        <f>DF9/293.07*(1/(VLOOKUP($BM120,'Fuel economy adjusted factor'!$A$2:$L$52,5,FALSE)*m2k))/'TCO Inputs'!$AZ$84</f>
        <v>142.21652862699796</v>
      </c>
      <c r="DG120" s="125">
        <f>DG9/293.07*(1/(VLOOKUP($BM120,'Fuel economy adjusted factor'!$A$2:$L$52,5,FALSE)*m2k))/'TCO Inputs'!$AZ$84</f>
        <v>142.21652862699796</v>
      </c>
      <c r="DH120" s="125">
        <f>DH9/293.07*(1/(VLOOKUP($BM120,'Fuel economy adjusted factor'!$A$2:$L$52,5,FALSE)*m2k))/'TCO Inputs'!$AZ$84</f>
        <v>142.21652862699796</v>
      </c>
      <c r="DI120" s="125">
        <f>DI9/293.07*(1/(VLOOKUP($BM120,'Fuel economy adjusted factor'!$A$2:$L$52,5,FALSE)*m2k))/'TCO Inputs'!$AZ$84</f>
        <v>142.21652862699796</v>
      </c>
      <c r="DJ120" s="125">
        <f>DJ9/293.07*(1/(VLOOKUP($BM120,'Fuel economy adjusted factor'!$A$2:$L$52,5,FALSE)*m2k))/'TCO Inputs'!$AZ$84</f>
        <v>142.2120029261487</v>
      </c>
      <c r="DK120" s="125">
        <f>DK9/293.07*(1/(VLOOKUP($BM120,'Fuel economy adjusted factor'!$A$2:$L$52,5,FALSE)*m2k))/'TCO Inputs'!$AZ$84</f>
        <v>142.2120029261487</v>
      </c>
      <c r="DL120" s="125">
        <f>DL9/293.07*(1/(VLOOKUP($BM120,'Fuel economy adjusted factor'!$A$2:$L$52,5,FALSE)*m2k))/'TCO Inputs'!$AZ$84</f>
        <v>142.2120029261487</v>
      </c>
      <c r="DM120" s="125">
        <f>DM9/293.07*(1/(VLOOKUP($BM120,'Fuel economy adjusted factor'!$A$2:$L$52,5,FALSE)*m2k))/'TCO Inputs'!$AZ$84</f>
        <v>142.2120029261487</v>
      </c>
      <c r="DN120" s="125">
        <f>DN9/293.07*(1/(VLOOKUP($BM120,'Fuel economy adjusted factor'!$A$2:$L$52,5,FALSE)*m2k))/'TCO Inputs'!$AZ$84</f>
        <v>142.2120029261487</v>
      </c>
      <c r="DO120" s="125">
        <f>DO9/293.07*(1/(VLOOKUP($BM120,'Fuel economy adjusted factor'!$A$2:$L$52,5,FALSE)*m2k))/'TCO Inputs'!$AZ$84</f>
        <v>142.12420432967326</v>
      </c>
      <c r="DP120" s="125">
        <f>DP9/293.07*(1/(VLOOKUP($BM120,'Fuel economy adjusted factor'!$A$2:$L$52,5,FALSE)*m2k))/'TCO Inputs'!$AZ$84</f>
        <v>142.12420432967326</v>
      </c>
      <c r="DQ120" s="125">
        <f>DQ9/293.07*(1/(VLOOKUP($BM120,'Fuel economy adjusted factor'!$A$2:$L$52,5,FALSE)*m2k))/'TCO Inputs'!$AZ$84</f>
        <v>142.12420432967326</v>
      </c>
      <c r="DR120" s="125">
        <f>DR9/293.07*(1/(VLOOKUP($BM120,'Fuel economy adjusted factor'!$A$2:$L$52,5,FALSE)*m2k))/'TCO Inputs'!$AZ$84</f>
        <v>142.12420432967326</v>
      </c>
      <c r="DS120" s="125">
        <f>DS9/293.07*(1/(VLOOKUP($BM120,'Fuel economy adjusted factor'!$A$2:$L$52,5,FALSE)*m2k))/'TCO Inputs'!$AZ$84</f>
        <v>142.12420432967326</v>
      </c>
      <c r="DT120" s="125">
        <f>DT9/293.07*(1/(VLOOKUP($BM120,'Fuel economy adjusted factor'!$A$2:$L$52,5,FALSE)*m2k))/'TCO Inputs'!$AZ$84</f>
        <v>142.19752068343112</v>
      </c>
      <c r="DU120" s="98" cm="1">
        <f t="array" ref="DU120">SUMPRODUCT(INDEX(CS120:DT120,,'TCO Inputs'!$AZ$12-2023+_xlfn.SEQUENCE('TCO Inputs'!$AZ$13))*INDEX('VKT US'!C66:AA66,,_xlfn.SEQUENCE('TCO Inputs'!$AZ$13)))*m2k*CONVERT(0.9072,"g","ton")</f>
        <v>51.783095579503602</v>
      </c>
      <c r="DW120" s="123" t="s">
        <v>188</v>
      </c>
      <c r="DX120" s="125">
        <f>DX9/293.07*(1/(VLOOKUP($BM120,'Fuel economy adjusted factor'!$A$2:$L$52,5,FALSE)*m2k))/'TCO Inputs'!$AZ$84</f>
        <v>148.85934849703452</v>
      </c>
      <c r="DY120" s="125">
        <f>DY9/293.07*(1/(VLOOKUP($BM120,'Fuel economy adjusted factor'!$A$2:$L$52,5,FALSE)*m2k))/'TCO Inputs'!$AZ$84</f>
        <v>148.85934849703452</v>
      </c>
      <c r="DZ120" s="125">
        <f>DZ9/293.07*(1/(VLOOKUP($BM120,'Fuel economy adjusted factor'!$A$2:$L$52,5,FALSE)*m2k))/'TCO Inputs'!$AZ$84</f>
        <v>130.49014763196078</v>
      </c>
      <c r="EA120" s="125">
        <f>EA9/293.07*(1/(VLOOKUP($BM120,'Fuel economy adjusted factor'!$A$2:$L$52,5,FALSE)*m2k))/'TCO Inputs'!$AZ$84</f>
        <v>130.49014763196078</v>
      </c>
      <c r="EB120" s="125">
        <f>EB9/293.07*(1/(VLOOKUP($BM120,'Fuel economy adjusted factor'!$A$2:$L$52,5,FALSE)*m2k))/'TCO Inputs'!$AZ$84</f>
        <v>130.49014763196078</v>
      </c>
      <c r="EC120" s="125">
        <f>EC9/293.07*(1/(VLOOKUP($BM120,'Fuel economy adjusted factor'!$A$2:$L$52,5,FALSE)*m2k))/'TCO Inputs'!$AZ$84</f>
        <v>130.49014763196078</v>
      </c>
      <c r="ED120" s="125">
        <f>ED9/293.07*(1/(VLOOKUP($BM120,'Fuel economy adjusted factor'!$A$2:$L$52,5,FALSE)*m2k))/'TCO Inputs'!$AZ$84</f>
        <v>130.49014763196078</v>
      </c>
      <c r="EE120" s="125">
        <f>EE9/293.07*(1/(VLOOKUP($BM120,'Fuel economy adjusted factor'!$A$2:$L$52,5,FALSE)*m2k))/'TCO Inputs'!$AZ$84</f>
        <v>80.425801353471968</v>
      </c>
      <c r="EF120" s="125">
        <f>EF9/293.07*(1/(VLOOKUP($BM120,'Fuel economy adjusted factor'!$A$2:$L$52,5,FALSE)*m2k))/'TCO Inputs'!$AZ$84</f>
        <v>80.425801353471968</v>
      </c>
      <c r="EG120" s="125">
        <f>EG9/293.07*(1/(VLOOKUP($BM120,'Fuel economy adjusted factor'!$A$2:$L$52,5,FALSE)*m2k))/'TCO Inputs'!$AZ$84</f>
        <v>80.425801353471968</v>
      </c>
      <c r="EH120" s="125">
        <f>EH9/293.07*(1/(VLOOKUP($BM120,'Fuel economy adjusted factor'!$A$2:$L$52,5,FALSE)*m2k))/'TCO Inputs'!$AZ$84</f>
        <v>80.425801353471968</v>
      </c>
      <c r="EI120" s="125">
        <f>EI9/293.07*(1/(VLOOKUP($BM120,'Fuel economy adjusted factor'!$A$2:$L$52,5,FALSE)*m2k))/'TCO Inputs'!$AZ$84</f>
        <v>80.425801353471968</v>
      </c>
      <c r="EJ120" s="125">
        <f>EJ9/293.07*(1/(VLOOKUP($BM120,'Fuel economy adjusted factor'!$A$2:$L$52,5,FALSE)*m2k))/'TCO Inputs'!$AZ$84</f>
        <v>71.829690412913664</v>
      </c>
      <c r="EK120" s="125">
        <f>EK9/293.07*(1/(VLOOKUP($BM120,'Fuel economy adjusted factor'!$A$2:$L$52,5,FALSE)*m2k))/'TCO Inputs'!$AZ$84</f>
        <v>71.829690412913664</v>
      </c>
      <c r="EL120" s="125">
        <f>EL9/293.07*(1/(VLOOKUP($BM120,'Fuel economy adjusted factor'!$A$2:$L$52,5,FALSE)*m2k))/'TCO Inputs'!$AZ$84</f>
        <v>71.829690412913664</v>
      </c>
      <c r="EM120" s="125">
        <f>EM9/293.07*(1/(VLOOKUP($BM120,'Fuel economy adjusted factor'!$A$2:$L$52,5,FALSE)*m2k))/'TCO Inputs'!$AZ$84</f>
        <v>71.829690412913664</v>
      </c>
      <c r="EN120" s="125">
        <f>EN9/293.07*(1/(VLOOKUP($BM120,'Fuel economy adjusted factor'!$A$2:$L$52,5,FALSE)*m2k))/'TCO Inputs'!$AZ$84</f>
        <v>71.829690412913664</v>
      </c>
      <c r="EO120" s="125">
        <f>EO9/293.07*(1/(VLOOKUP($BM120,'Fuel economy adjusted factor'!$A$2:$L$52,5,FALSE)*m2k))/'TCO Inputs'!$AZ$84</f>
        <v>69.568882550806094</v>
      </c>
      <c r="EP120" s="125">
        <f>EP9/293.07*(1/(VLOOKUP($BM120,'Fuel economy adjusted factor'!$A$2:$L$52,5,FALSE)*m2k))/'TCO Inputs'!$AZ$84</f>
        <v>69.568882550806094</v>
      </c>
      <c r="EQ120" s="125">
        <f>EQ9/293.07*(1/(VLOOKUP($BM120,'Fuel economy adjusted factor'!$A$2:$L$52,5,FALSE)*m2k))/'TCO Inputs'!$AZ$84</f>
        <v>69.568882550806094</v>
      </c>
      <c r="ER120" s="125">
        <f>ER9/293.07*(1/(VLOOKUP($BM120,'Fuel economy adjusted factor'!$A$2:$L$52,5,FALSE)*m2k))/'TCO Inputs'!$AZ$84</f>
        <v>69.568882550806094</v>
      </c>
      <c r="ES120" s="125">
        <f>ES9/293.07*(1/(VLOOKUP($BM120,'Fuel economy adjusted factor'!$A$2:$L$52,5,FALSE)*m2k))/'TCO Inputs'!$AZ$84</f>
        <v>69.568882550806094</v>
      </c>
      <c r="ET120" s="125">
        <f>ET9/293.07*(1/(VLOOKUP($BM120,'Fuel economy adjusted factor'!$A$2:$L$52,5,FALSE)*m2k))/'TCO Inputs'!$AZ$84</f>
        <v>66.985884910967243</v>
      </c>
      <c r="EU120" s="125">
        <f>EU9/293.07*(1/(VLOOKUP($BM120,'Fuel economy adjusted factor'!$A$2:$L$52,5,FALSE)*m2k))/'TCO Inputs'!$AZ$84</f>
        <v>66.985884910967243</v>
      </c>
      <c r="EV120" s="125">
        <f>EV9/293.07*(1/(VLOOKUP($BM120,'Fuel economy adjusted factor'!$A$2:$L$52,5,FALSE)*m2k))/'TCO Inputs'!$AZ$84</f>
        <v>66.985884910967243</v>
      </c>
      <c r="EW120" s="125">
        <f>EW9/293.07*(1/(VLOOKUP($BM120,'Fuel economy adjusted factor'!$A$2:$L$52,5,FALSE)*m2k))/'TCO Inputs'!$AZ$84</f>
        <v>66.985884910967243</v>
      </c>
      <c r="EX120" s="125">
        <f>EX9/293.07*(1/(VLOOKUP($BM120,'Fuel economy adjusted factor'!$A$2:$L$52,5,FALSE)*m2k))/'TCO Inputs'!$AZ$84</f>
        <v>66.985884910967243</v>
      </c>
      <c r="EY120" s="125">
        <f>EY9/293.07*(1/(VLOOKUP($BM120,'Fuel economy adjusted factor'!$A$2:$L$52,5,FALSE)*m2k))/'TCO Inputs'!$AZ$84</f>
        <v>62.93549913377403</v>
      </c>
      <c r="EZ120" s="98" cm="1">
        <f t="array" ref="EZ120">SUMPRODUCT(INDEX(DX120:EY120,,'TCO Inputs'!$AZ$12-2023+_xlfn.SEQUENCE('TCO Inputs'!$AZ$13))*INDEX('VKT US'!C66:AA66,,_xlfn.SEQUENCE('TCO Inputs'!$AZ$13)))*m2k*CONVERT(0.9072,"g","ton")</f>
        <v>40.07039871637182</v>
      </c>
      <c r="FB120" s="123" t="s">
        <v>188</v>
      </c>
      <c r="FC120" s="125">
        <f>FC9/293.07*(1/(VLOOKUP($BM120,'Fuel economy adjusted factor'!$A$2:$L$52,5,FALSE)*m2k))/'TCO Inputs'!$AZ$84</f>
        <v>161.45981810368158</v>
      </c>
      <c r="FD120" s="125">
        <f>FD9/293.07*(1/(VLOOKUP($BM120,'Fuel economy adjusted factor'!$A$2:$L$52,5,FALSE)*m2k))/'TCO Inputs'!$AZ$84</f>
        <v>161.45981810368158</v>
      </c>
      <c r="FE120" s="125">
        <f>FE9/293.07*(1/(VLOOKUP($BM120,'Fuel economy adjusted factor'!$A$2:$L$52,5,FALSE)*m2k))/'TCO Inputs'!$AZ$84</f>
        <v>141.00295898494088</v>
      </c>
      <c r="FF120" s="125">
        <f>FF9/293.07*(1/(VLOOKUP($BM120,'Fuel economy adjusted factor'!$A$2:$L$52,5,FALSE)*m2k))/'TCO Inputs'!$AZ$84</f>
        <v>141.00295898494088</v>
      </c>
      <c r="FG120" s="125">
        <f>FG9/293.07*(1/(VLOOKUP($BM120,'Fuel economy adjusted factor'!$A$2:$L$52,5,FALSE)*m2k))/'TCO Inputs'!$AZ$84</f>
        <v>141.00295898494088</v>
      </c>
      <c r="FH120" s="125">
        <f>FH9/293.07*(1/(VLOOKUP($BM120,'Fuel economy adjusted factor'!$A$2:$L$52,5,FALSE)*m2k))/'TCO Inputs'!$AZ$84</f>
        <v>141.00295898494088</v>
      </c>
      <c r="FI120" s="125">
        <f>FI9/293.07*(1/(VLOOKUP($BM120,'Fuel economy adjusted factor'!$A$2:$L$52,5,FALSE)*m2k))/'TCO Inputs'!$AZ$84</f>
        <v>141.00295898494088</v>
      </c>
      <c r="FJ120" s="125">
        <f>FJ9/293.07*(1/(VLOOKUP($BM120,'Fuel economy adjusted factor'!$A$2:$L$52,5,FALSE)*m2k))/'TCO Inputs'!$AZ$84</f>
        <v>88.482737563949371</v>
      </c>
      <c r="FK120" s="125">
        <f>FK9/293.07*(1/(VLOOKUP($BM120,'Fuel economy adjusted factor'!$A$2:$L$52,5,FALSE)*m2k))/'TCO Inputs'!$AZ$84</f>
        <v>88.482737563949371</v>
      </c>
      <c r="FL120" s="125">
        <f>FL9/293.07*(1/(VLOOKUP($BM120,'Fuel economy adjusted factor'!$A$2:$L$52,5,FALSE)*m2k))/'TCO Inputs'!$AZ$84</f>
        <v>88.482737563949371</v>
      </c>
      <c r="FM120" s="125">
        <f>FM9/293.07*(1/(VLOOKUP($BM120,'Fuel economy adjusted factor'!$A$2:$L$52,5,FALSE)*m2k))/'TCO Inputs'!$AZ$84</f>
        <v>88.482737563949371</v>
      </c>
      <c r="FN120" s="125">
        <f>FN9/293.07*(1/(VLOOKUP($BM120,'Fuel economy adjusted factor'!$A$2:$L$52,5,FALSE)*m2k))/'TCO Inputs'!$AZ$84</f>
        <v>88.482737563949371</v>
      </c>
      <c r="FO120" s="125">
        <f>FO9/293.07*(1/(VLOOKUP($BM120,'Fuel economy adjusted factor'!$A$2:$L$52,5,FALSE)*m2k))/'TCO Inputs'!$AZ$84</f>
        <v>78.568278655327362</v>
      </c>
      <c r="FP120" s="125">
        <f>FP9/293.07*(1/(VLOOKUP($BM120,'Fuel economy adjusted factor'!$A$2:$L$52,5,FALSE)*m2k))/'TCO Inputs'!$AZ$84</f>
        <v>78.568278655327362</v>
      </c>
      <c r="FQ120" s="125">
        <f>FQ9/293.07*(1/(VLOOKUP($BM120,'Fuel economy adjusted factor'!$A$2:$L$52,5,FALSE)*m2k))/'TCO Inputs'!$AZ$84</f>
        <v>78.568278655327362</v>
      </c>
      <c r="FR120" s="125">
        <f>FR9/293.07*(1/(VLOOKUP($BM120,'Fuel economy adjusted factor'!$A$2:$L$52,5,FALSE)*m2k))/'TCO Inputs'!$AZ$84</f>
        <v>78.568278655327362</v>
      </c>
      <c r="FS120" s="125">
        <f>FS9/293.07*(1/(VLOOKUP($BM120,'Fuel economy adjusted factor'!$A$2:$L$52,5,FALSE)*m2k))/'TCO Inputs'!$AZ$84</f>
        <v>78.568278655327362</v>
      </c>
      <c r="FT120" s="125">
        <f>FT9/293.07*(1/(VLOOKUP($BM120,'Fuel economy adjusted factor'!$A$2:$L$52,5,FALSE)*m2k))/'TCO Inputs'!$AZ$84</f>
        <v>76.56829108947845</v>
      </c>
      <c r="FU120" s="125">
        <f>FU9/293.07*(1/(VLOOKUP($BM120,'Fuel economy adjusted factor'!$A$2:$L$52,5,FALSE)*m2k))/'TCO Inputs'!$AZ$84</f>
        <v>76.56829108947845</v>
      </c>
      <c r="FV120" s="125">
        <f>FV9/293.07*(1/(VLOOKUP($BM120,'Fuel economy adjusted factor'!$A$2:$L$52,5,FALSE)*m2k))/'TCO Inputs'!$AZ$84</f>
        <v>76.56829108947845</v>
      </c>
      <c r="FW120" s="125">
        <f>FW9/293.07*(1/(VLOOKUP($BM120,'Fuel economy adjusted factor'!$A$2:$L$52,5,FALSE)*m2k))/'TCO Inputs'!$AZ$84</f>
        <v>76.56829108947845</v>
      </c>
      <c r="FX120" s="125">
        <f>FX9/293.07*(1/(VLOOKUP($BM120,'Fuel economy adjusted factor'!$A$2:$L$52,5,FALSE)*m2k))/'TCO Inputs'!$AZ$84</f>
        <v>76.56829108947845</v>
      </c>
      <c r="FY120" s="125">
        <f>FY9/293.07*(1/(VLOOKUP($BM120,'Fuel economy adjusted factor'!$A$2:$L$52,5,FALSE)*m2k))/'TCO Inputs'!$AZ$84</f>
        <v>73.97981403165096</v>
      </c>
      <c r="FZ120" s="125">
        <f>FZ9/293.07*(1/(VLOOKUP($BM120,'Fuel economy adjusted factor'!$A$2:$L$52,5,FALSE)*m2k))/'TCO Inputs'!$AZ$84</f>
        <v>73.97981403165096</v>
      </c>
      <c r="GA120" s="125">
        <f>GA9/293.07*(1/(VLOOKUP($BM120,'Fuel economy adjusted factor'!$A$2:$L$52,5,FALSE)*m2k))/'TCO Inputs'!$AZ$84</f>
        <v>73.97981403165096</v>
      </c>
      <c r="GB120" s="125">
        <f>GB9/293.07*(1/(VLOOKUP($BM120,'Fuel economy adjusted factor'!$A$2:$L$52,5,FALSE)*m2k))/'TCO Inputs'!$AZ$84</f>
        <v>73.97981403165096</v>
      </c>
      <c r="GC120" s="125">
        <f>GC9/293.07*(1/(VLOOKUP($BM120,'Fuel economy adjusted factor'!$A$2:$L$52,5,FALSE)*m2k))/'TCO Inputs'!$AZ$84</f>
        <v>73.97981403165096</v>
      </c>
      <c r="GD120" s="125">
        <f>GD9/293.07*(1/(VLOOKUP($BM120,'Fuel economy adjusted factor'!$A$2:$L$52,5,FALSE)*m2k))/'TCO Inputs'!$AZ$84</f>
        <v>69.789155153948897</v>
      </c>
      <c r="GE120" s="98" cm="1">
        <f t="array" ref="GE120">SUMPRODUCT(INDEX(FC120:GD120,,'TCO Inputs'!$AZ$12-2023+_xlfn.SEQUENCE('TCO Inputs'!$AZ$13))*INDEX('VKT US'!C66:AA66,,_xlfn.SEQUENCE('TCO Inputs'!$AZ$13)))*m2k*CONVERT(0.9072,"g","ton")</f>
        <v>43.567085355787526</v>
      </c>
      <c r="GH120" s="123" t="s">
        <v>188</v>
      </c>
      <c r="GI120" s="125">
        <f>GI9/293.07*(1/(VLOOKUP($BM120,'Fuel economy adjusted factor'!$A$2:$L$52,5,FALSE)*m2k))/'TCO Inputs'!$AZ$84</f>
        <v>140.28296346123525</v>
      </c>
      <c r="GJ120" s="125">
        <f>GJ9/293.07*(1/(VLOOKUP($BM120,'Fuel economy adjusted factor'!$A$2:$L$52,5,FALSE)*m2k))/'TCO Inputs'!$AZ$84</f>
        <v>140.28296346123525</v>
      </c>
      <c r="GK120" s="125">
        <f>GK9/293.07*(1/(VLOOKUP($BM120,'Fuel economy adjusted factor'!$A$2:$L$52,5,FALSE)*m2k))/'TCO Inputs'!$AZ$84</f>
        <v>123.3351236224114</v>
      </c>
      <c r="GL120" s="125">
        <f>GL9/293.07*(1/(VLOOKUP($BM120,'Fuel economy adjusted factor'!$A$2:$L$52,5,FALSE)*m2k))/'TCO Inputs'!$AZ$84</f>
        <v>123.3351236224114</v>
      </c>
      <c r="GM120" s="125">
        <f>GM9/293.07*(1/(VLOOKUP($BM120,'Fuel economy adjusted factor'!$A$2:$L$52,5,FALSE)*m2k))/'TCO Inputs'!$AZ$84</f>
        <v>123.3351236224114</v>
      </c>
      <c r="GN120" s="125">
        <f>GN9/293.07*(1/(VLOOKUP($BM120,'Fuel economy adjusted factor'!$A$2:$L$52,5,FALSE)*m2k))/'TCO Inputs'!$AZ$84</f>
        <v>123.3351236224114</v>
      </c>
      <c r="GO120" s="125">
        <f>GO9/293.07*(1/(VLOOKUP($BM120,'Fuel economy adjusted factor'!$A$2:$L$52,5,FALSE)*m2k))/'TCO Inputs'!$AZ$84</f>
        <v>123.3351236224114</v>
      </c>
      <c r="GP120" s="125">
        <f>GP9/293.07*(1/(VLOOKUP($BM120,'Fuel economy adjusted factor'!$A$2:$L$52,5,FALSE)*m2k))/'TCO Inputs'!$AZ$84</f>
        <v>74.941999830453909</v>
      </c>
      <c r="GQ120" s="125">
        <f>GQ9/293.07*(1/(VLOOKUP($BM120,'Fuel economy adjusted factor'!$A$2:$L$52,5,FALSE)*m2k))/'TCO Inputs'!$AZ$84</f>
        <v>74.941999830453909</v>
      </c>
      <c r="GR120" s="125">
        <f>GR9/293.07*(1/(VLOOKUP($BM120,'Fuel economy adjusted factor'!$A$2:$L$52,5,FALSE)*m2k))/'TCO Inputs'!$AZ$84</f>
        <v>74.941999830453909</v>
      </c>
      <c r="GS120" s="125">
        <f>GS9/293.07*(1/(VLOOKUP($BM120,'Fuel economy adjusted factor'!$A$2:$L$52,5,FALSE)*m2k))/'TCO Inputs'!$AZ$84</f>
        <v>74.941999830453909</v>
      </c>
      <c r="GT120" s="125">
        <f>GT9/293.07*(1/(VLOOKUP($BM120,'Fuel economy adjusted factor'!$A$2:$L$52,5,FALSE)*m2k))/'TCO Inputs'!$AZ$84</f>
        <v>74.941999830453909</v>
      </c>
      <c r="GU120" s="125">
        <f>GU9/293.07*(1/(VLOOKUP($BM120,'Fuel economy adjusted factor'!$A$2:$L$52,5,FALSE)*m2k))/'TCO Inputs'!$AZ$84</f>
        <v>67.243417556432718</v>
      </c>
      <c r="GV120" s="125">
        <f>GV9/293.07*(1/(VLOOKUP($BM120,'Fuel economy adjusted factor'!$A$2:$L$52,5,FALSE)*m2k))/'TCO Inputs'!$AZ$84</f>
        <v>67.243417556432718</v>
      </c>
      <c r="GW120" s="125">
        <f>GW9/293.07*(1/(VLOOKUP($BM120,'Fuel economy adjusted factor'!$A$2:$L$52,5,FALSE)*m2k))/'TCO Inputs'!$AZ$84</f>
        <v>67.243417556432718</v>
      </c>
      <c r="GX120" s="125">
        <f>GX9/293.07*(1/(VLOOKUP($BM120,'Fuel economy adjusted factor'!$A$2:$L$52,5,FALSE)*m2k))/'TCO Inputs'!$AZ$84</f>
        <v>67.243417556432718</v>
      </c>
      <c r="GY120" s="125">
        <f>GY9/293.07*(1/(VLOOKUP($BM120,'Fuel economy adjusted factor'!$A$2:$L$52,5,FALSE)*m2k))/'TCO Inputs'!$AZ$84</f>
        <v>67.243417556432718</v>
      </c>
      <c r="GZ120" s="125">
        <f>GZ9/293.07*(1/(VLOOKUP($BM120,'Fuel economy adjusted factor'!$A$2:$L$52,5,FALSE)*m2k))/'TCO Inputs'!$AZ$84</f>
        <v>64.805076551493627</v>
      </c>
      <c r="HA120" s="125">
        <f>HA9/293.07*(1/(VLOOKUP($BM120,'Fuel economy adjusted factor'!$A$2:$L$52,5,FALSE)*m2k))/'TCO Inputs'!$AZ$84</f>
        <v>64.805076551493627</v>
      </c>
      <c r="HB120" s="125">
        <f>HB9/293.07*(1/(VLOOKUP($BM120,'Fuel economy adjusted factor'!$A$2:$L$52,5,FALSE)*m2k))/'TCO Inputs'!$AZ$84</f>
        <v>64.805076551493627</v>
      </c>
      <c r="HC120" s="125">
        <f>HC9/293.07*(1/(VLOOKUP($BM120,'Fuel economy adjusted factor'!$A$2:$L$52,5,FALSE)*m2k))/'TCO Inputs'!$AZ$84</f>
        <v>64.805076551493627</v>
      </c>
      <c r="HD120" s="125">
        <f>HD9/293.07*(1/(VLOOKUP($BM120,'Fuel economy adjusted factor'!$A$2:$L$52,5,FALSE)*m2k))/'TCO Inputs'!$AZ$84</f>
        <v>64.805076551493627</v>
      </c>
      <c r="HE120" s="125">
        <f>HE9/293.07*(1/(VLOOKUP($BM120,'Fuel economy adjusted factor'!$A$2:$L$52,5,FALSE)*m2k))/'TCO Inputs'!$AZ$84</f>
        <v>62.225366562447945</v>
      </c>
      <c r="HF120" s="125">
        <f>HF9/293.07*(1/(VLOOKUP($BM120,'Fuel economy adjusted factor'!$A$2:$L$52,5,FALSE)*m2k))/'TCO Inputs'!$AZ$84</f>
        <v>62.225366562447945</v>
      </c>
      <c r="HG120" s="125">
        <f>HG9/293.07*(1/(VLOOKUP($BM120,'Fuel economy adjusted factor'!$A$2:$L$52,5,FALSE)*m2k))/'TCO Inputs'!$AZ$84</f>
        <v>62.225366562447945</v>
      </c>
      <c r="HH120" s="125">
        <f>HH9/293.07*(1/(VLOOKUP($BM120,'Fuel economy adjusted factor'!$A$2:$L$52,5,FALSE)*m2k))/'TCO Inputs'!$AZ$84</f>
        <v>62.225366562447945</v>
      </c>
      <c r="HI120" s="125">
        <f>HI9/293.07*(1/(VLOOKUP($BM120,'Fuel economy adjusted factor'!$A$2:$L$52,5,FALSE)*m2k))/'TCO Inputs'!$AZ$84</f>
        <v>62.225366562447945</v>
      </c>
      <c r="HJ120" s="125">
        <f>HJ9/293.07*(1/(VLOOKUP($BM120,'Fuel economy adjusted factor'!$A$2:$L$52,5,FALSE)*m2k))/'TCO Inputs'!$AZ$84</f>
        <v>58.27141854185458</v>
      </c>
      <c r="HK120" s="98" cm="1">
        <f t="array" ref="HK120">SUMPRODUCT(INDEX(GI120:HJ120,,'TCO Inputs'!$AZ$12-2023+_xlfn.SEQUENCE('TCO Inputs'!$AZ$13))*INDEX('VKT US'!C66:AA66,,_xlfn.SEQUENCE('TCO Inputs'!$AZ$13)))*m2k*CONVERT(0.9072,"g","ton")</f>
        <v>37.690492360285489</v>
      </c>
    </row>
    <row r="121" spans="17:219" x14ac:dyDescent="0.25">
      <c r="Q121" s="198" t="s">
        <v>547</v>
      </c>
      <c r="R121" s="197">
        <f>HK167/'US Grid mix, emissions&amp;prices'!$AK$219</f>
        <v>0.9860643782325067</v>
      </c>
      <c r="Z121" s="123" t="s">
        <v>149</v>
      </c>
      <c r="AA121" s="125">
        <f>AA10/293.07*(1/(VLOOKUP($Z121,'Fuel economy adjusted factor'!$A$2:$L$52,5,FALSE)*m2k))/'TCO Inputs'!$AZ$84</f>
        <v>50.687137895759335</v>
      </c>
      <c r="AB121" s="125">
        <f>AB10/293.07*(1/(VLOOKUP($Z121,'Fuel economy adjusted factor'!$A$2:$L$52,5,FALSE)*m2k))/'TCO Inputs'!$AZ$84</f>
        <v>50.687137895759335</v>
      </c>
      <c r="AC121" s="125">
        <f>AC10/293.07*(1/(VLOOKUP($Z121,'Fuel economy adjusted factor'!$A$2:$L$52,5,FALSE)*m2k))/'TCO Inputs'!$AZ$84</f>
        <v>44.579025479270648</v>
      </c>
      <c r="AD121" s="125">
        <f>AD10/293.07*(1/(VLOOKUP($Z121,'Fuel economy adjusted factor'!$A$2:$L$52,5,FALSE)*m2k))/'TCO Inputs'!$AZ$84</f>
        <v>44.579025479270648</v>
      </c>
      <c r="AE121" s="125">
        <f>AE10/293.07*(1/(VLOOKUP($Z121,'Fuel economy adjusted factor'!$A$2:$L$52,5,FALSE)*m2k))/'TCO Inputs'!$AZ$84</f>
        <v>44.579025479270648</v>
      </c>
      <c r="AF121" s="125">
        <f>AF10/293.07*(1/(VLOOKUP($Z121,'Fuel economy adjusted factor'!$A$2:$L$52,5,FALSE)*m2k))/'TCO Inputs'!$AZ$84</f>
        <v>44.579025479270648</v>
      </c>
      <c r="AG121" s="125">
        <f>AG10/293.07*(1/(VLOOKUP($Z121,'Fuel economy adjusted factor'!$A$2:$L$52,5,FALSE)*m2k))/'TCO Inputs'!$AZ$84</f>
        <v>44.579025479270648</v>
      </c>
      <c r="AH121" s="125">
        <f>AH10/293.07*(1/(VLOOKUP($Z121,'Fuel economy adjusted factor'!$A$2:$L$52,5,FALSE)*m2k))/'TCO Inputs'!$AZ$84</f>
        <v>26.784758482997333</v>
      </c>
      <c r="AI121" s="125">
        <f>AI10/293.07*(1/(VLOOKUP($Z121,'Fuel economy adjusted factor'!$A$2:$L$52,5,FALSE)*m2k))/'TCO Inputs'!$AZ$84</f>
        <v>26.784758482997333</v>
      </c>
      <c r="AJ121" s="125">
        <f>AJ10/293.07*(1/(VLOOKUP($Z121,'Fuel economy adjusted factor'!$A$2:$L$52,5,FALSE)*m2k))/'TCO Inputs'!$AZ$84</f>
        <v>26.784758482997333</v>
      </c>
      <c r="AK121" s="125">
        <f>AK10/293.07*(1/(VLOOKUP($Z121,'Fuel economy adjusted factor'!$A$2:$L$52,5,FALSE)*m2k))/'TCO Inputs'!$AZ$84</f>
        <v>26.784758482997333</v>
      </c>
      <c r="AL121" s="125">
        <f>AL10/293.07*(1/(VLOOKUP($Z121,'Fuel economy adjusted factor'!$A$2:$L$52,5,FALSE)*m2k))/'TCO Inputs'!$AZ$84</f>
        <v>26.784758482997333</v>
      </c>
      <c r="AM121" s="125">
        <f>AM10/293.07*(1/(VLOOKUP($Z121,'Fuel economy adjusted factor'!$A$2:$L$52,5,FALSE)*m2k))/'TCO Inputs'!$AZ$84</f>
        <v>28.029661870562052</v>
      </c>
      <c r="AN121" s="125">
        <f>AN10/293.07*(1/(VLOOKUP($Z121,'Fuel economy adjusted factor'!$A$2:$L$52,5,FALSE)*m2k))/'TCO Inputs'!$AZ$84</f>
        <v>28.029661870562052</v>
      </c>
      <c r="AO121" s="125">
        <f>AO10/293.07*(1/(VLOOKUP($Z121,'Fuel economy adjusted factor'!$A$2:$L$52,5,FALSE)*m2k))/'TCO Inputs'!$AZ$84</f>
        <v>28.029661870562052</v>
      </c>
      <c r="AP121" s="125">
        <f>AP10/293.07*(1/(VLOOKUP($Z121,'Fuel economy adjusted factor'!$A$2:$L$52,5,FALSE)*m2k))/'TCO Inputs'!$AZ$84</f>
        <v>28.029661870562052</v>
      </c>
      <c r="AQ121" s="125">
        <f>AQ10/293.07*(1/(VLOOKUP($Z121,'Fuel economy adjusted factor'!$A$2:$L$52,5,FALSE)*m2k))/'TCO Inputs'!$AZ$84</f>
        <v>28.029661870562052</v>
      </c>
      <c r="AR121" s="125">
        <f>AR10/293.07*(1/(VLOOKUP($Z121,'Fuel economy adjusted factor'!$A$2:$L$52,5,FALSE)*m2k))/'TCO Inputs'!$AZ$84</f>
        <v>29.300736744467159</v>
      </c>
      <c r="AS121" s="125">
        <f>AS10/293.07*(1/(VLOOKUP($Z121,'Fuel economy adjusted factor'!$A$2:$L$52,5,FALSE)*m2k))/'TCO Inputs'!$AZ$84</f>
        <v>29.300736744467159</v>
      </c>
      <c r="AT121" s="125">
        <f>AT10/293.07*(1/(VLOOKUP($Z121,'Fuel economy adjusted factor'!$A$2:$L$52,5,FALSE)*m2k))/'TCO Inputs'!$AZ$84</f>
        <v>29.300736744467159</v>
      </c>
      <c r="AU121" s="125">
        <f>AU10/293.07*(1/(VLOOKUP($Z121,'Fuel economy adjusted factor'!$A$2:$L$52,5,FALSE)*m2k))/'TCO Inputs'!$AZ$84</f>
        <v>29.300736744467159</v>
      </c>
      <c r="AV121" s="125">
        <f>AV10/293.07*(1/(VLOOKUP($Z121,'Fuel economy adjusted factor'!$A$2:$L$52,5,FALSE)*m2k))/'TCO Inputs'!$AZ$84</f>
        <v>29.300736744467159</v>
      </c>
      <c r="AW121" s="125">
        <f>AW10/293.07*(1/(VLOOKUP($Z121,'Fuel economy adjusted factor'!$A$2:$L$52,5,FALSE)*m2k))/'TCO Inputs'!$AZ$84</f>
        <v>29.943695946202808</v>
      </c>
      <c r="AX121" s="125">
        <f>AX10/293.07*(1/(VLOOKUP($Z121,'Fuel economy adjusted factor'!$A$2:$L$52,5,FALSE)*m2k))/'TCO Inputs'!$AZ$84</f>
        <v>29.943695946202808</v>
      </c>
      <c r="AY121" s="125">
        <f>AY10/293.07*(1/(VLOOKUP($Z121,'Fuel economy adjusted factor'!$A$2:$L$52,5,FALSE)*m2k))/'TCO Inputs'!$AZ$84</f>
        <v>29.943695946202808</v>
      </c>
      <c r="AZ121" s="125">
        <f>AZ10/293.07*(1/(VLOOKUP($Z121,'Fuel economy adjusted factor'!$A$2:$L$52,5,FALSE)*m2k))/'TCO Inputs'!$AZ$84</f>
        <v>29.943695946202808</v>
      </c>
      <c r="BA121" s="125">
        <f>BA10/293.07*(1/(VLOOKUP($Z121,'Fuel economy adjusted factor'!$A$2:$L$52,5,FALSE)*m2k))/'TCO Inputs'!$AZ$84</f>
        <v>29.943695946202808</v>
      </c>
      <c r="BB121" s="125">
        <f>BB10/293.07*(1/(VLOOKUP($Z121,'Fuel economy adjusted factor'!$A$2:$L$52,5,FALSE)*m2k))/'TCO Inputs'!$AZ$84</f>
        <v>29.984320342910291</v>
      </c>
      <c r="BC121" s="98" cm="1">
        <f t="array" ref="BC121">SUMPRODUCT(INDEX(AA121:BB121,,'TCO Inputs'!$AZ$12-2023+_xlfn.SEQUENCE('TCO Inputs'!$AZ$13))*INDEX('VKT US'!C67:AA67,,_xlfn.SEQUENCE('TCO Inputs'!$AZ$13)))*m2k*CONVERT(0.9072,"g","ton")</f>
        <v>9.9967516203035451</v>
      </c>
      <c r="BM121" s="123" t="s">
        <v>149</v>
      </c>
      <c r="BN121" s="125">
        <f>BN10/293.07*(1/(VLOOKUP($BM121,'Fuel economy adjusted factor'!$A$2:$L$52,5,FALSE)*m2k))</f>
        <v>43.084067211395435</v>
      </c>
      <c r="BO121" s="125">
        <f>BO10/293.07*(1/(VLOOKUP($BM121,'Fuel economy adjusted factor'!$A$2:$L$52,5,FALSE)*m2k))</f>
        <v>43.084067211395435</v>
      </c>
      <c r="BP121" s="125">
        <f>BP10/293.07*(1/(VLOOKUP($BM121,'Fuel economy adjusted factor'!$A$2:$L$52,5,FALSE)*m2k))</f>
        <v>37.842699735812715</v>
      </c>
      <c r="BQ121" s="125">
        <f>BQ10/293.07*(1/(VLOOKUP($BM121,'Fuel economy adjusted factor'!$A$2:$L$52,5,FALSE)*m2k))</f>
        <v>37.842699735812715</v>
      </c>
      <c r="BR121" s="125">
        <f>BR10/293.07*(1/(VLOOKUP($BM121,'Fuel economy adjusted factor'!$A$2:$L$52,5,FALSE)*m2k))</f>
        <v>37.842699735812715</v>
      </c>
      <c r="BS121" s="125">
        <f>BS10/293.07*(1/(VLOOKUP($BM121,'Fuel economy adjusted factor'!$A$2:$L$52,5,FALSE)*m2k))</f>
        <v>37.842699735812715</v>
      </c>
      <c r="BT121" s="125">
        <f>BT10/293.07*(1/(VLOOKUP($BM121,'Fuel economy adjusted factor'!$A$2:$L$52,5,FALSE)*m2k))</f>
        <v>37.842699735812715</v>
      </c>
      <c r="BU121" s="125">
        <f>BU10/293.07*(1/(VLOOKUP($BM121,'Fuel economy adjusted factor'!$A$2:$L$52,5,FALSE)*m2k))</f>
        <v>42.897136393661171</v>
      </c>
      <c r="BV121" s="125">
        <f>BV10/293.07*(1/(VLOOKUP($BM121,'Fuel economy adjusted factor'!$A$2:$L$52,5,FALSE)*m2k))</f>
        <v>42.897136393661171</v>
      </c>
      <c r="BW121" s="125">
        <f>BW10/293.07*(1/(VLOOKUP($BM121,'Fuel economy adjusted factor'!$A$2:$L$52,5,FALSE)*m2k))</f>
        <v>42.897136393661171</v>
      </c>
      <c r="BX121" s="125">
        <f>BX10/293.07*(1/(VLOOKUP($BM121,'Fuel economy adjusted factor'!$A$2:$L$52,5,FALSE)*m2k))</f>
        <v>42.897136393661171</v>
      </c>
      <c r="BY121" s="125">
        <f>BY10/293.07*(1/(VLOOKUP($BM121,'Fuel economy adjusted factor'!$A$2:$L$52,5,FALSE)*m2k))</f>
        <v>42.897136393661171</v>
      </c>
      <c r="BZ121" s="125">
        <f>BZ10/293.07*(1/(VLOOKUP($BM121,'Fuel economy adjusted factor'!$A$2:$L$52,5,FALSE)*m2k))</f>
        <v>43.928742167551661</v>
      </c>
      <c r="CA121" s="125">
        <f>CA10/293.07*(1/(VLOOKUP($BM121,'Fuel economy adjusted factor'!$A$2:$L$52,5,FALSE)*m2k))</f>
        <v>43.928742167551661</v>
      </c>
      <c r="CB121" s="125">
        <f>CB10/293.07*(1/(VLOOKUP($BM121,'Fuel economy adjusted factor'!$A$2:$L$52,5,FALSE)*m2k))</f>
        <v>43.928742167551661</v>
      </c>
      <c r="CC121" s="125">
        <f>CC10/293.07*(1/(VLOOKUP($BM121,'Fuel economy adjusted factor'!$A$2:$L$52,5,FALSE)*m2k))</f>
        <v>43.928742167551661</v>
      </c>
      <c r="CD121" s="125">
        <f>CD10/293.07*(1/(VLOOKUP($BM121,'Fuel economy adjusted factor'!$A$2:$L$52,5,FALSE)*m2k))</f>
        <v>43.928742167551661</v>
      </c>
      <c r="CE121" s="125">
        <f>CE10/293.07*(1/(VLOOKUP($BM121,'Fuel economy adjusted factor'!$A$2:$L$52,5,FALSE)*m2k))</f>
        <v>45.014468231478922</v>
      </c>
      <c r="CF121" s="125">
        <f>CF10/293.07*(1/(VLOOKUP($BM121,'Fuel economy adjusted factor'!$A$2:$L$52,5,FALSE)*m2k))</f>
        <v>45.014468231478922</v>
      </c>
      <c r="CG121" s="125">
        <f>CG10/293.07*(1/(VLOOKUP($BM121,'Fuel economy adjusted factor'!$A$2:$L$52,5,FALSE)*m2k))</f>
        <v>45.014468231478922</v>
      </c>
      <c r="CH121" s="125">
        <f>CH10/293.07*(1/(VLOOKUP($BM121,'Fuel economy adjusted factor'!$A$2:$L$52,5,FALSE)*m2k))</f>
        <v>45.014468231478922</v>
      </c>
      <c r="CI121" s="125">
        <f>CI10/293.07*(1/(VLOOKUP($BM121,'Fuel economy adjusted factor'!$A$2:$L$52,5,FALSE)*m2k))</f>
        <v>45.014468231478922</v>
      </c>
      <c r="CJ121" s="125">
        <f>CJ10/293.07*(1/(VLOOKUP($BM121,'Fuel economy adjusted factor'!$A$2:$L$52,5,FALSE)*m2k))</f>
        <v>45.272120655212113</v>
      </c>
      <c r="CK121" s="125">
        <f>CK10/293.07*(1/(VLOOKUP($BM121,'Fuel economy adjusted factor'!$A$2:$L$52,5,FALSE)*m2k))</f>
        <v>45.272120655212113</v>
      </c>
      <c r="CL121" s="125">
        <f>CL10/293.07*(1/(VLOOKUP($BM121,'Fuel economy adjusted factor'!$A$2:$L$52,5,FALSE)*m2k))</f>
        <v>45.272120655212113</v>
      </c>
      <c r="CM121" s="125">
        <f>CM10/293.07*(1/(VLOOKUP($BM121,'Fuel economy adjusted factor'!$A$2:$L$52,5,FALSE)*m2k))</f>
        <v>45.272120655212113</v>
      </c>
      <c r="CN121" s="125">
        <f>CN10/293.07*(1/(VLOOKUP($BM121,'Fuel economy adjusted factor'!$A$2:$L$52,5,FALSE)*m2k))</f>
        <v>45.272120655212113</v>
      </c>
      <c r="CO121" s="125">
        <f>CO10/293.07*(1/(VLOOKUP($BM121,'Fuel economy adjusted factor'!$A$2:$L$52,5,FALSE)*m2k))</f>
        <v>45.579909053151113</v>
      </c>
      <c r="CP121" s="98" cm="1">
        <f t="array" ref="CP121">SUMPRODUCT(INDEX(BN121:CO121,,'TCO Inputs'!$AZ$12-2023+_xlfn.SEQUENCE('TCO Inputs'!$AZ$13))*INDEX('VKT US'!C67:AA67,,_xlfn.SEQUENCE('TCO Inputs'!$AZ$13)))*m2k*CONVERT(0.9072,"g","ton")</f>
        <v>10.888597629495258</v>
      </c>
      <c r="CQ121" s="194"/>
      <c r="CR121" s="123" t="s">
        <v>149</v>
      </c>
      <c r="CS121" s="125">
        <f>CS10/293.07*(1/(VLOOKUP($BM121,'Fuel economy adjusted factor'!$A$2:$L$52,5,FALSE)*m2k))/'TCO Inputs'!$AZ$84</f>
        <v>61.368619895432111</v>
      </c>
      <c r="CT121" s="125">
        <f>CT10/293.07*(1/(VLOOKUP($BM121,'Fuel economy adjusted factor'!$A$2:$L$52,5,FALSE)*m2k))/'TCO Inputs'!$AZ$84</f>
        <v>61.368619895432111</v>
      </c>
      <c r="CU121" s="125">
        <f>CU10/293.07*(1/(VLOOKUP($BM121,'Fuel economy adjusted factor'!$A$2:$L$52,5,FALSE)*m2k))/'TCO Inputs'!$AZ$84</f>
        <v>61.368619895432111</v>
      </c>
      <c r="CV121" s="125">
        <f>CV10/293.07*(1/(VLOOKUP($BM121,'Fuel economy adjusted factor'!$A$2:$L$52,5,FALSE)*m2k))/'TCO Inputs'!$AZ$84</f>
        <v>61.368619895432111</v>
      </c>
      <c r="CW121" s="125">
        <f>CW10/293.07*(1/(VLOOKUP($BM121,'Fuel economy adjusted factor'!$A$2:$L$52,5,FALSE)*m2k))/'TCO Inputs'!$AZ$84</f>
        <v>61.368619895432111</v>
      </c>
      <c r="CX121" s="125">
        <f>CX10/293.07*(1/(VLOOKUP($BM121,'Fuel economy adjusted factor'!$A$2:$L$52,5,FALSE)*m2k))/'TCO Inputs'!$AZ$84</f>
        <v>61.368619895432111</v>
      </c>
      <c r="CY121" s="125">
        <f>CY10/293.07*(1/(VLOOKUP($BM121,'Fuel economy adjusted factor'!$A$2:$L$52,5,FALSE)*m2k))/'TCO Inputs'!$AZ$84</f>
        <v>61.368619895432111</v>
      </c>
      <c r="CZ121" s="125">
        <f>CZ10/293.07*(1/(VLOOKUP($BM121,'Fuel economy adjusted factor'!$A$2:$L$52,5,FALSE)*m2k))/'TCO Inputs'!$AZ$84</f>
        <v>61.382291567400955</v>
      </c>
      <c r="DA121" s="125">
        <f>DA10/293.07*(1/(VLOOKUP($BM121,'Fuel economy adjusted factor'!$A$2:$L$52,5,FALSE)*m2k))/'TCO Inputs'!$AZ$84</f>
        <v>61.382291567400955</v>
      </c>
      <c r="DB121" s="125">
        <f>DB10/293.07*(1/(VLOOKUP($BM121,'Fuel economy adjusted factor'!$A$2:$L$52,5,FALSE)*m2k))/'TCO Inputs'!$AZ$84</f>
        <v>61.382291567400955</v>
      </c>
      <c r="DC121" s="125">
        <f>DC10/293.07*(1/(VLOOKUP($BM121,'Fuel economy adjusted factor'!$A$2:$L$52,5,FALSE)*m2k))/'TCO Inputs'!$AZ$84</f>
        <v>61.382291567400955</v>
      </c>
      <c r="DD121" s="125">
        <f>DD10/293.07*(1/(VLOOKUP($BM121,'Fuel economy adjusted factor'!$A$2:$L$52,5,FALSE)*m2k))/'TCO Inputs'!$AZ$84</f>
        <v>61.382291567400955</v>
      </c>
      <c r="DE121" s="125">
        <f>DE10/293.07*(1/(VLOOKUP($BM121,'Fuel economy adjusted factor'!$A$2:$L$52,5,FALSE)*m2k))/'TCO Inputs'!$AZ$84</f>
        <v>61.374479183418764</v>
      </c>
      <c r="DF121" s="125">
        <f>DF10/293.07*(1/(VLOOKUP($BM121,'Fuel economy adjusted factor'!$A$2:$L$52,5,FALSE)*m2k))/'TCO Inputs'!$AZ$84</f>
        <v>61.374479183418764</v>
      </c>
      <c r="DG121" s="125">
        <f>DG10/293.07*(1/(VLOOKUP($BM121,'Fuel economy adjusted factor'!$A$2:$L$52,5,FALSE)*m2k))/'TCO Inputs'!$AZ$84</f>
        <v>61.374479183418764</v>
      </c>
      <c r="DH121" s="125">
        <f>DH10/293.07*(1/(VLOOKUP($BM121,'Fuel economy adjusted factor'!$A$2:$L$52,5,FALSE)*m2k))/'TCO Inputs'!$AZ$84</f>
        <v>61.374479183418764</v>
      </c>
      <c r="DI121" s="125">
        <f>DI10/293.07*(1/(VLOOKUP($BM121,'Fuel economy adjusted factor'!$A$2:$L$52,5,FALSE)*m2k))/'TCO Inputs'!$AZ$84</f>
        <v>61.374479183418764</v>
      </c>
      <c r="DJ121" s="125">
        <f>DJ10/293.07*(1/(VLOOKUP($BM121,'Fuel economy adjusted factor'!$A$2:$L$52,5,FALSE)*m2k))/'TCO Inputs'!$AZ$84</f>
        <v>61.372526087423211</v>
      </c>
      <c r="DK121" s="125">
        <f>DK10/293.07*(1/(VLOOKUP($BM121,'Fuel economy adjusted factor'!$A$2:$L$52,5,FALSE)*m2k))/'TCO Inputs'!$AZ$84</f>
        <v>61.372526087423211</v>
      </c>
      <c r="DL121" s="125">
        <f>DL10/293.07*(1/(VLOOKUP($BM121,'Fuel economy adjusted factor'!$A$2:$L$52,5,FALSE)*m2k))/'TCO Inputs'!$AZ$84</f>
        <v>61.372526087423211</v>
      </c>
      <c r="DM121" s="125">
        <f>DM10/293.07*(1/(VLOOKUP($BM121,'Fuel economy adjusted factor'!$A$2:$L$52,5,FALSE)*m2k))/'TCO Inputs'!$AZ$84</f>
        <v>61.372526087423211</v>
      </c>
      <c r="DN121" s="125">
        <f>DN10/293.07*(1/(VLOOKUP($BM121,'Fuel economy adjusted factor'!$A$2:$L$52,5,FALSE)*m2k))/'TCO Inputs'!$AZ$84</f>
        <v>61.372526087423211</v>
      </c>
      <c r="DO121" s="125">
        <f>DO10/293.07*(1/(VLOOKUP($BM121,'Fuel economy adjusted factor'!$A$2:$L$52,5,FALSE)*m2k))/'TCO Inputs'!$AZ$84</f>
        <v>61.334636025109511</v>
      </c>
      <c r="DP121" s="125">
        <f>DP10/293.07*(1/(VLOOKUP($BM121,'Fuel economy adjusted factor'!$A$2:$L$52,5,FALSE)*m2k))/'TCO Inputs'!$AZ$84</f>
        <v>61.334636025109511</v>
      </c>
      <c r="DQ121" s="125">
        <f>DQ10/293.07*(1/(VLOOKUP($BM121,'Fuel economy adjusted factor'!$A$2:$L$52,5,FALSE)*m2k))/'TCO Inputs'!$AZ$84</f>
        <v>61.334636025109511</v>
      </c>
      <c r="DR121" s="125">
        <f>DR10/293.07*(1/(VLOOKUP($BM121,'Fuel economy adjusted factor'!$A$2:$L$52,5,FALSE)*m2k))/'TCO Inputs'!$AZ$84</f>
        <v>61.334636025109511</v>
      </c>
      <c r="DS121" s="125">
        <f>DS10/293.07*(1/(VLOOKUP($BM121,'Fuel economy adjusted factor'!$A$2:$L$52,5,FALSE)*m2k))/'TCO Inputs'!$AZ$84</f>
        <v>61.334636025109511</v>
      </c>
      <c r="DT121" s="125">
        <f>DT10/293.07*(1/(VLOOKUP($BM121,'Fuel economy adjusted factor'!$A$2:$L$52,5,FALSE)*m2k))/'TCO Inputs'!$AZ$84</f>
        <v>61.366276180237435</v>
      </c>
      <c r="DU121" s="98" cm="1">
        <f t="array" ref="DU121">SUMPRODUCT(INDEX(CS121:DT121,,'TCO Inputs'!$AZ$12-2023+_xlfn.SEQUENCE('TCO Inputs'!$AZ$13))*INDEX('VKT US'!C67:AA67,,_xlfn.SEQUENCE('TCO Inputs'!$AZ$13)))*m2k*CONVERT(0.9072,"g","ton")</f>
        <v>16.249305246936622</v>
      </c>
      <c r="DW121" s="123" t="s">
        <v>149</v>
      </c>
      <c r="DX121" s="125">
        <f>DX10/293.07*(1/(VLOOKUP($BM121,'Fuel economy adjusted factor'!$A$2:$L$52,5,FALSE)*m2k))/'TCO Inputs'!$AZ$84</f>
        <v>64.241231830026123</v>
      </c>
      <c r="DY121" s="125">
        <f>DY10/293.07*(1/(VLOOKUP($BM121,'Fuel economy adjusted factor'!$A$2:$L$52,5,FALSE)*m2k))/'TCO Inputs'!$AZ$84</f>
        <v>64.241231830026123</v>
      </c>
      <c r="DZ121" s="125">
        <f>DZ10/293.07*(1/(VLOOKUP($BM121,'Fuel economy adjusted factor'!$A$2:$L$52,5,FALSE)*m2k))/'TCO Inputs'!$AZ$84</f>
        <v>56.313882266696368</v>
      </c>
      <c r="EA121" s="125">
        <f>EA10/293.07*(1/(VLOOKUP($BM121,'Fuel economy adjusted factor'!$A$2:$L$52,5,FALSE)*m2k))/'TCO Inputs'!$AZ$84</f>
        <v>56.313882266696368</v>
      </c>
      <c r="EB121" s="125">
        <f>EB10/293.07*(1/(VLOOKUP($BM121,'Fuel economy adjusted factor'!$A$2:$L$52,5,FALSE)*m2k))/'TCO Inputs'!$AZ$84</f>
        <v>56.313882266696368</v>
      </c>
      <c r="EC121" s="125">
        <f>EC10/293.07*(1/(VLOOKUP($BM121,'Fuel economy adjusted factor'!$A$2:$L$52,5,FALSE)*m2k))/'TCO Inputs'!$AZ$84</f>
        <v>56.313882266696368</v>
      </c>
      <c r="ED121" s="125">
        <f>ED10/293.07*(1/(VLOOKUP($BM121,'Fuel economy adjusted factor'!$A$2:$L$52,5,FALSE)*m2k))/'TCO Inputs'!$AZ$84</f>
        <v>56.313882266696368</v>
      </c>
      <c r="EE121" s="125">
        <f>EE10/293.07*(1/(VLOOKUP($BM121,'Fuel economy adjusted factor'!$A$2:$L$52,5,FALSE)*m2k))/'TCO Inputs'!$AZ$84</f>
        <v>34.708284041475224</v>
      </c>
      <c r="EF121" s="125">
        <f>EF10/293.07*(1/(VLOOKUP($BM121,'Fuel economy adjusted factor'!$A$2:$L$52,5,FALSE)*m2k))/'TCO Inputs'!$AZ$84</f>
        <v>34.708284041475224</v>
      </c>
      <c r="EG121" s="125">
        <f>EG10/293.07*(1/(VLOOKUP($BM121,'Fuel economy adjusted factor'!$A$2:$L$52,5,FALSE)*m2k))/'TCO Inputs'!$AZ$84</f>
        <v>34.708284041475224</v>
      </c>
      <c r="EH121" s="125">
        <f>EH10/293.07*(1/(VLOOKUP($BM121,'Fuel economy adjusted factor'!$A$2:$L$52,5,FALSE)*m2k))/'TCO Inputs'!$AZ$84</f>
        <v>34.708284041475224</v>
      </c>
      <c r="EI121" s="125">
        <f>EI10/293.07*(1/(VLOOKUP($BM121,'Fuel economy adjusted factor'!$A$2:$L$52,5,FALSE)*m2k))/'TCO Inputs'!$AZ$84</f>
        <v>34.708284041475224</v>
      </c>
      <c r="EJ121" s="125">
        <f>EJ10/293.07*(1/(VLOOKUP($BM121,'Fuel economy adjusted factor'!$A$2:$L$52,5,FALSE)*m2k))/'TCO Inputs'!$AZ$84</f>
        <v>30.998575774278073</v>
      </c>
      <c r="EK121" s="125">
        <f>EK10/293.07*(1/(VLOOKUP($BM121,'Fuel economy adjusted factor'!$A$2:$L$52,5,FALSE)*m2k))/'TCO Inputs'!$AZ$84</f>
        <v>30.998575774278073</v>
      </c>
      <c r="EL121" s="125">
        <f>EL10/293.07*(1/(VLOOKUP($BM121,'Fuel economy adjusted factor'!$A$2:$L$52,5,FALSE)*m2k))/'TCO Inputs'!$AZ$84</f>
        <v>30.998575774278073</v>
      </c>
      <c r="EM121" s="125">
        <f>EM10/293.07*(1/(VLOOKUP($BM121,'Fuel economy adjusted factor'!$A$2:$L$52,5,FALSE)*m2k))/'TCO Inputs'!$AZ$84</f>
        <v>30.998575774278073</v>
      </c>
      <c r="EN121" s="125">
        <f>EN10/293.07*(1/(VLOOKUP($BM121,'Fuel economy adjusted factor'!$A$2:$L$52,5,FALSE)*m2k))/'TCO Inputs'!$AZ$84</f>
        <v>30.998575774278073</v>
      </c>
      <c r="EO121" s="125">
        <f>EO10/293.07*(1/(VLOOKUP($BM121,'Fuel economy adjusted factor'!$A$2:$L$52,5,FALSE)*m2k))/'TCO Inputs'!$AZ$84</f>
        <v>30.022909257803356</v>
      </c>
      <c r="EP121" s="125">
        <f>EP10/293.07*(1/(VLOOKUP($BM121,'Fuel economy adjusted factor'!$A$2:$L$52,5,FALSE)*m2k))/'TCO Inputs'!$AZ$84</f>
        <v>30.022909257803356</v>
      </c>
      <c r="EQ121" s="125">
        <f>EQ10/293.07*(1/(VLOOKUP($BM121,'Fuel economy adjusted factor'!$A$2:$L$52,5,FALSE)*m2k))/'TCO Inputs'!$AZ$84</f>
        <v>30.022909257803356</v>
      </c>
      <c r="ER121" s="125">
        <f>ER10/293.07*(1/(VLOOKUP($BM121,'Fuel economy adjusted factor'!$A$2:$L$52,5,FALSE)*m2k))/'TCO Inputs'!$AZ$84</f>
        <v>30.022909257803356</v>
      </c>
      <c r="ES121" s="125">
        <f>ES10/293.07*(1/(VLOOKUP($BM121,'Fuel economy adjusted factor'!$A$2:$L$52,5,FALSE)*m2k))/'TCO Inputs'!$AZ$84</f>
        <v>30.022909257803356</v>
      </c>
      <c r="ET121" s="125">
        <f>ET10/293.07*(1/(VLOOKUP($BM121,'Fuel economy adjusted factor'!$A$2:$L$52,5,FALSE)*m2k))/'TCO Inputs'!$AZ$84</f>
        <v>28.908199621675905</v>
      </c>
      <c r="EU121" s="125">
        <f>EU10/293.07*(1/(VLOOKUP($BM121,'Fuel economy adjusted factor'!$A$2:$L$52,5,FALSE)*m2k))/'TCO Inputs'!$AZ$84</f>
        <v>28.908199621675905</v>
      </c>
      <c r="EV121" s="125">
        <f>EV10/293.07*(1/(VLOOKUP($BM121,'Fuel economy adjusted factor'!$A$2:$L$52,5,FALSE)*m2k))/'TCO Inputs'!$AZ$84</f>
        <v>28.908199621675905</v>
      </c>
      <c r="EW121" s="125">
        <f>EW10/293.07*(1/(VLOOKUP($BM121,'Fuel economy adjusted factor'!$A$2:$L$52,5,FALSE)*m2k))/'TCO Inputs'!$AZ$84</f>
        <v>28.908199621675905</v>
      </c>
      <c r="EX121" s="125">
        <f>EX10/293.07*(1/(VLOOKUP($BM121,'Fuel economy adjusted factor'!$A$2:$L$52,5,FALSE)*m2k))/'TCO Inputs'!$AZ$84</f>
        <v>28.908199621675905</v>
      </c>
      <c r="EY121" s="125">
        <f>EY10/293.07*(1/(VLOOKUP($BM121,'Fuel economy adjusted factor'!$A$2:$L$52,5,FALSE)*m2k))/'TCO Inputs'!$AZ$84</f>
        <v>27.160228974613098</v>
      </c>
      <c r="EZ121" s="98" cm="1">
        <f t="array" ref="EZ121">SUMPRODUCT(INDEX(DX121:EY121,,'TCO Inputs'!$AZ$12-2023+_xlfn.SEQUENCE('TCO Inputs'!$AZ$13))*INDEX('VKT US'!C67:AA67,,_xlfn.SEQUENCE('TCO Inputs'!$AZ$13)))*m2k*CONVERT(0.9072,"g","ton")</f>
        <v>12.573913027449501</v>
      </c>
      <c r="FB121" s="123" t="s">
        <v>149</v>
      </c>
      <c r="FC121" s="125">
        <f>FC10/293.07*(1/(VLOOKUP($BM121,'Fuel economy adjusted factor'!$A$2:$L$52,5,FALSE)*m2k))/'TCO Inputs'!$AZ$84</f>
        <v>69.679047441478559</v>
      </c>
      <c r="FD121" s="125">
        <f>FD10/293.07*(1/(VLOOKUP($BM121,'Fuel economy adjusted factor'!$A$2:$L$52,5,FALSE)*m2k))/'TCO Inputs'!$AZ$84</f>
        <v>69.679047441478559</v>
      </c>
      <c r="FE121" s="125">
        <f>FE10/293.07*(1/(VLOOKUP($BM121,'Fuel economy adjusted factor'!$A$2:$L$52,5,FALSE)*m2k))/'TCO Inputs'!$AZ$84</f>
        <v>60.850755215092889</v>
      </c>
      <c r="FF121" s="125">
        <f>FF10/293.07*(1/(VLOOKUP($BM121,'Fuel economy adjusted factor'!$A$2:$L$52,5,FALSE)*m2k))/'TCO Inputs'!$AZ$84</f>
        <v>60.850755215092889</v>
      </c>
      <c r="FG121" s="125">
        <f>FG10/293.07*(1/(VLOOKUP($BM121,'Fuel economy adjusted factor'!$A$2:$L$52,5,FALSE)*m2k))/'TCO Inputs'!$AZ$84</f>
        <v>60.850755215092889</v>
      </c>
      <c r="FH121" s="125">
        <f>FH10/293.07*(1/(VLOOKUP($BM121,'Fuel economy adjusted factor'!$A$2:$L$52,5,FALSE)*m2k))/'TCO Inputs'!$AZ$84</f>
        <v>60.850755215092889</v>
      </c>
      <c r="FI121" s="125">
        <f>FI10/293.07*(1/(VLOOKUP($BM121,'Fuel economy adjusted factor'!$A$2:$L$52,5,FALSE)*m2k))/'TCO Inputs'!$AZ$84</f>
        <v>60.850755215092889</v>
      </c>
      <c r="FJ121" s="125">
        <f>FJ10/293.07*(1/(VLOOKUP($BM121,'Fuel economy adjusted factor'!$A$2:$L$52,5,FALSE)*m2k))/'TCO Inputs'!$AZ$84</f>
        <v>38.185307904355575</v>
      </c>
      <c r="FK121" s="125">
        <f>FK10/293.07*(1/(VLOOKUP($BM121,'Fuel economy adjusted factor'!$A$2:$L$52,5,FALSE)*m2k))/'TCO Inputs'!$AZ$84</f>
        <v>38.185307904355575</v>
      </c>
      <c r="FL121" s="125">
        <f>FL10/293.07*(1/(VLOOKUP($BM121,'Fuel economy adjusted factor'!$A$2:$L$52,5,FALSE)*m2k))/'TCO Inputs'!$AZ$84</f>
        <v>38.185307904355575</v>
      </c>
      <c r="FM121" s="125">
        <f>FM10/293.07*(1/(VLOOKUP($BM121,'Fuel economy adjusted factor'!$A$2:$L$52,5,FALSE)*m2k))/'TCO Inputs'!$AZ$84</f>
        <v>38.185307904355575</v>
      </c>
      <c r="FN121" s="125">
        <f>FN10/293.07*(1/(VLOOKUP($BM121,'Fuel economy adjusted factor'!$A$2:$L$52,5,FALSE)*m2k))/'TCO Inputs'!$AZ$84</f>
        <v>38.185307904355575</v>
      </c>
      <c r="FO121" s="125">
        <f>FO10/293.07*(1/(VLOOKUP($BM121,'Fuel economy adjusted factor'!$A$2:$L$52,5,FALSE)*m2k))/'TCO Inputs'!$AZ$84</f>
        <v>33.906657892456977</v>
      </c>
      <c r="FP121" s="125">
        <f>FP10/293.07*(1/(VLOOKUP($BM121,'Fuel economy adjusted factor'!$A$2:$L$52,5,FALSE)*m2k))/'TCO Inputs'!$AZ$84</f>
        <v>33.906657892456977</v>
      </c>
      <c r="FQ121" s="125">
        <f>FQ10/293.07*(1/(VLOOKUP($BM121,'Fuel economy adjusted factor'!$A$2:$L$52,5,FALSE)*m2k))/'TCO Inputs'!$AZ$84</f>
        <v>33.906657892456977</v>
      </c>
      <c r="FR121" s="125">
        <f>FR10/293.07*(1/(VLOOKUP($BM121,'Fuel economy adjusted factor'!$A$2:$L$52,5,FALSE)*m2k))/'TCO Inputs'!$AZ$84</f>
        <v>33.906657892456977</v>
      </c>
      <c r="FS121" s="125">
        <f>FS10/293.07*(1/(VLOOKUP($BM121,'Fuel economy adjusted factor'!$A$2:$L$52,5,FALSE)*m2k))/'TCO Inputs'!$AZ$84</f>
        <v>33.906657892456977</v>
      </c>
      <c r="FT121" s="125">
        <f>FT10/293.07*(1/(VLOOKUP($BM121,'Fuel economy adjusted factor'!$A$2:$L$52,5,FALSE)*m2k))/'TCO Inputs'!$AZ$84</f>
        <v>33.043550091891603</v>
      </c>
      <c r="FU121" s="125">
        <f>FU10/293.07*(1/(VLOOKUP($BM121,'Fuel economy adjusted factor'!$A$2:$L$52,5,FALSE)*m2k))/'TCO Inputs'!$AZ$84</f>
        <v>33.043550091891603</v>
      </c>
      <c r="FV121" s="125">
        <f>FV10/293.07*(1/(VLOOKUP($BM121,'Fuel economy adjusted factor'!$A$2:$L$52,5,FALSE)*m2k))/'TCO Inputs'!$AZ$84</f>
        <v>33.043550091891603</v>
      </c>
      <c r="FW121" s="125">
        <f>FW10/293.07*(1/(VLOOKUP($BM121,'Fuel economy adjusted factor'!$A$2:$L$52,5,FALSE)*m2k))/'TCO Inputs'!$AZ$84</f>
        <v>33.043550091891603</v>
      </c>
      <c r="FX121" s="125">
        <f>FX10/293.07*(1/(VLOOKUP($BM121,'Fuel economy adjusted factor'!$A$2:$L$52,5,FALSE)*m2k))/'TCO Inputs'!$AZ$84</f>
        <v>33.043550091891603</v>
      </c>
      <c r="FY121" s="125">
        <f>FY10/293.07*(1/(VLOOKUP($BM121,'Fuel economy adjusted factor'!$A$2:$L$52,5,FALSE)*m2k))/'TCO Inputs'!$AZ$84</f>
        <v>31.926475776858496</v>
      </c>
      <c r="FZ121" s="125">
        <f>FZ10/293.07*(1/(VLOOKUP($BM121,'Fuel economy adjusted factor'!$A$2:$L$52,5,FALSE)*m2k))/'TCO Inputs'!$AZ$84</f>
        <v>31.926475776858496</v>
      </c>
      <c r="GA121" s="125">
        <f>GA10/293.07*(1/(VLOOKUP($BM121,'Fuel economy adjusted factor'!$A$2:$L$52,5,FALSE)*m2k))/'TCO Inputs'!$AZ$84</f>
        <v>31.926475776858496</v>
      </c>
      <c r="GB121" s="125">
        <f>GB10/293.07*(1/(VLOOKUP($BM121,'Fuel economy adjusted factor'!$A$2:$L$52,5,FALSE)*m2k))/'TCO Inputs'!$AZ$84</f>
        <v>31.926475776858496</v>
      </c>
      <c r="GC121" s="125">
        <f>GC10/293.07*(1/(VLOOKUP($BM121,'Fuel economy adjusted factor'!$A$2:$L$52,5,FALSE)*m2k))/'TCO Inputs'!$AZ$84</f>
        <v>31.926475776858496</v>
      </c>
      <c r="GD121" s="125">
        <f>GD10/293.07*(1/(VLOOKUP($BM121,'Fuel economy adjusted factor'!$A$2:$L$52,5,FALSE)*m2k))/'TCO Inputs'!$AZ$84</f>
        <v>30.117969349810828</v>
      </c>
      <c r="GE121" s="98" cm="1">
        <f t="array" ref="GE121">SUMPRODUCT(INDEX(FC121:GD121,,'TCO Inputs'!$AZ$12-2023+_xlfn.SEQUENCE('TCO Inputs'!$AZ$13))*INDEX('VKT US'!C67:AA67,,_xlfn.SEQUENCE('TCO Inputs'!$AZ$13)))*m2k*CONVERT(0.9072,"g","ton")</f>
        <v>13.67115775414832</v>
      </c>
      <c r="GH121" s="123" t="s">
        <v>149</v>
      </c>
      <c r="GI121" s="125">
        <f>GI10/293.07*(1/(VLOOKUP($BM121,'Fuel economy adjusted factor'!$A$2:$L$52,5,FALSE)*m2k))/'TCO Inputs'!$AZ$84</f>
        <v>60.54003640688935</v>
      </c>
      <c r="GJ121" s="125">
        <f>GJ10/293.07*(1/(VLOOKUP($BM121,'Fuel economy adjusted factor'!$A$2:$L$52,5,FALSE)*m2k))/'TCO Inputs'!$AZ$84</f>
        <v>60.54003640688935</v>
      </c>
      <c r="GK121" s="125">
        <f>GK10/293.07*(1/(VLOOKUP($BM121,'Fuel economy adjusted factor'!$A$2:$L$52,5,FALSE)*m2k))/'TCO Inputs'!$AZ$84</f>
        <v>53.226084551687414</v>
      </c>
      <c r="GL121" s="125">
        <f>GL10/293.07*(1/(VLOOKUP($BM121,'Fuel economy adjusted factor'!$A$2:$L$52,5,FALSE)*m2k))/'TCO Inputs'!$AZ$84</f>
        <v>53.226084551687414</v>
      </c>
      <c r="GM121" s="125">
        <f>GM10/293.07*(1/(VLOOKUP($BM121,'Fuel economy adjusted factor'!$A$2:$L$52,5,FALSE)*m2k))/'TCO Inputs'!$AZ$84</f>
        <v>53.226084551687414</v>
      </c>
      <c r="GN121" s="125">
        <f>GN10/293.07*(1/(VLOOKUP($BM121,'Fuel economy adjusted factor'!$A$2:$L$52,5,FALSE)*m2k))/'TCO Inputs'!$AZ$84</f>
        <v>53.226084551687414</v>
      </c>
      <c r="GO121" s="125">
        <f>GO10/293.07*(1/(VLOOKUP($BM121,'Fuel economy adjusted factor'!$A$2:$L$52,5,FALSE)*m2k))/'TCO Inputs'!$AZ$84</f>
        <v>53.226084551687414</v>
      </c>
      <c r="GP121" s="125">
        <f>GP10/293.07*(1/(VLOOKUP($BM121,'Fuel economy adjusted factor'!$A$2:$L$52,5,FALSE)*m2k))/'TCO Inputs'!$AZ$84</f>
        <v>32.341713392692135</v>
      </c>
      <c r="GQ121" s="125">
        <f>GQ10/293.07*(1/(VLOOKUP($BM121,'Fuel economy adjusted factor'!$A$2:$L$52,5,FALSE)*m2k))/'TCO Inputs'!$AZ$84</f>
        <v>32.341713392692135</v>
      </c>
      <c r="GR121" s="125">
        <f>GR10/293.07*(1/(VLOOKUP($BM121,'Fuel economy adjusted factor'!$A$2:$L$52,5,FALSE)*m2k))/'TCO Inputs'!$AZ$84</f>
        <v>32.341713392692135</v>
      </c>
      <c r="GS121" s="125">
        <f>GS10/293.07*(1/(VLOOKUP($BM121,'Fuel economy adjusted factor'!$A$2:$L$52,5,FALSE)*m2k))/'TCO Inputs'!$AZ$84</f>
        <v>32.341713392692135</v>
      </c>
      <c r="GT121" s="125">
        <f>GT10/293.07*(1/(VLOOKUP($BM121,'Fuel economy adjusted factor'!$A$2:$L$52,5,FALSE)*m2k))/'TCO Inputs'!$AZ$84</f>
        <v>32.341713392692135</v>
      </c>
      <c r="GU121" s="125">
        <f>GU10/293.07*(1/(VLOOKUP($BM121,'Fuel economy adjusted factor'!$A$2:$L$52,5,FALSE)*m2k))/'TCO Inputs'!$AZ$84</f>
        <v>29.019339530241858</v>
      </c>
      <c r="GV121" s="125">
        <f>GV10/293.07*(1/(VLOOKUP($BM121,'Fuel economy adjusted factor'!$A$2:$L$52,5,FALSE)*m2k))/'TCO Inputs'!$AZ$84</f>
        <v>29.019339530241858</v>
      </c>
      <c r="GW121" s="125">
        <f>GW10/293.07*(1/(VLOOKUP($BM121,'Fuel economy adjusted factor'!$A$2:$L$52,5,FALSE)*m2k))/'TCO Inputs'!$AZ$84</f>
        <v>29.019339530241858</v>
      </c>
      <c r="GX121" s="125">
        <f>GX10/293.07*(1/(VLOOKUP($BM121,'Fuel economy adjusted factor'!$A$2:$L$52,5,FALSE)*m2k))/'TCO Inputs'!$AZ$84</f>
        <v>29.019339530241858</v>
      </c>
      <c r="GY121" s="125">
        <f>GY10/293.07*(1/(VLOOKUP($BM121,'Fuel economy adjusted factor'!$A$2:$L$52,5,FALSE)*m2k))/'TCO Inputs'!$AZ$84</f>
        <v>29.019339530241858</v>
      </c>
      <c r="GZ121" s="125">
        <f>GZ10/293.07*(1/(VLOOKUP($BM121,'Fuel economy adjusted factor'!$A$2:$L$52,5,FALSE)*m2k))/'TCO Inputs'!$AZ$84</f>
        <v>27.967057417223796</v>
      </c>
      <c r="HA121" s="125">
        <f>HA10/293.07*(1/(VLOOKUP($BM121,'Fuel economy adjusted factor'!$A$2:$L$52,5,FALSE)*m2k))/'TCO Inputs'!$AZ$84</f>
        <v>27.967057417223796</v>
      </c>
      <c r="HB121" s="125">
        <f>HB10/293.07*(1/(VLOOKUP($BM121,'Fuel economy adjusted factor'!$A$2:$L$52,5,FALSE)*m2k))/'TCO Inputs'!$AZ$84</f>
        <v>27.967057417223796</v>
      </c>
      <c r="HC121" s="125">
        <f>HC10/293.07*(1/(VLOOKUP($BM121,'Fuel economy adjusted factor'!$A$2:$L$52,5,FALSE)*m2k))/'TCO Inputs'!$AZ$84</f>
        <v>27.967057417223796</v>
      </c>
      <c r="HD121" s="125">
        <f>HD10/293.07*(1/(VLOOKUP($BM121,'Fuel economy adjusted factor'!$A$2:$L$52,5,FALSE)*m2k))/'TCO Inputs'!$AZ$84</f>
        <v>27.967057417223796</v>
      </c>
      <c r="HE121" s="125">
        <f>HE10/293.07*(1/(VLOOKUP($BM121,'Fuel economy adjusted factor'!$A$2:$L$52,5,FALSE)*m2k))/'TCO Inputs'!$AZ$84</f>
        <v>26.853766588439754</v>
      </c>
      <c r="HF121" s="125">
        <f>HF10/293.07*(1/(VLOOKUP($BM121,'Fuel economy adjusted factor'!$A$2:$L$52,5,FALSE)*m2k))/'TCO Inputs'!$AZ$84</f>
        <v>26.853766588439754</v>
      </c>
      <c r="HG121" s="125">
        <f>HG10/293.07*(1/(VLOOKUP($BM121,'Fuel economy adjusted factor'!$A$2:$L$52,5,FALSE)*m2k))/'TCO Inputs'!$AZ$84</f>
        <v>26.853766588439754</v>
      </c>
      <c r="HH121" s="125">
        <f>HH10/293.07*(1/(VLOOKUP($BM121,'Fuel economy adjusted factor'!$A$2:$L$52,5,FALSE)*m2k))/'TCO Inputs'!$AZ$84</f>
        <v>26.853766588439754</v>
      </c>
      <c r="HI121" s="125">
        <f>HI10/293.07*(1/(VLOOKUP($BM121,'Fuel economy adjusted factor'!$A$2:$L$52,5,FALSE)*m2k))/'TCO Inputs'!$AZ$84</f>
        <v>26.853766588439754</v>
      </c>
      <c r="HJ121" s="125">
        <f>HJ10/293.07*(1/(VLOOKUP($BM121,'Fuel economy adjusted factor'!$A$2:$L$52,5,FALSE)*m2k))/'TCO Inputs'!$AZ$84</f>
        <v>25.147414290116529</v>
      </c>
      <c r="HK121" s="98" cm="1">
        <f t="array" ref="HK121">SUMPRODUCT(INDEX(GI121:HJ121,,'TCO Inputs'!$AZ$12-2023+_xlfn.SEQUENCE('TCO Inputs'!$AZ$13))*INDEX('VKT US'!C67:AA67,,_xlfn.SEQUENCE('TCO Inputs'!$AZ$13)))*m2k*CONVERT(0.9072,"g","ton")</f>
        <v>11.827108990216974</v>
      </c>
    </row>
    <row r="122" spans="17:219" x14ac:dyDescent="0.25">
      <c r="Q122" s="198" t="s">
        <v>546</v>
      </c>
      <c r="R122" s="197">
        <f>'US Grid mix, emissions&amp;prices'!$AK$219/'US Grid mix, emissions&amp;prices'!$AK$219</f>
        <v>1</v>
      </c>
      <c r="S122" s="196"/>
      <c r="T122" s="196"/>
      <c r="U122" s="196"/>
      <c r="V122" s="196"/>
      <c r="W122" s="196"/>
      <c r="Z122" s="123" t="s">
        <v>190</v>
      </c>
      <c r="AA122" s="125">
        <f>AA11/293.07*(1/(VLOOKUP($Z122,'Fuel economy adjusted factor'!$A$2:$L$52,5,FALSE)*m2k))/'TCO Inputs'!$AZ$84</f>
        <v>131.09602579926135</v>
      </c>
      <c r="AB122" s="125">
        <f>AB11/293.07*(1/(VLOOKUP($Z122,'Fuel economy adjusted factor'!$A$2:$L$52,5,FALSE)*m2k))/'TCO Inputs'!$AZ$84</f>
        <v>131.09602579926135</v>
      </c>
      <c r="AC122" s="125">
        <f>AC11/293.07*(1/(VLOOKUP($Z122,'Fuel economy adjusted factor'!$A$2:$L$52,5,FALSE)*m2k))/'TCO Inputs'!$AZ$84</f>
        <v>115.2981469649194</v>
      </c>
      <c r="AD122" s="125">
        <f>AD11/293.07*(1/(VLOOKUP($Z122,'Fuel economy adjusted factor'!$A$2:$L$52,5,FALSE)*m2k))/'TCO Inputs'!$AZ$84</f>
        <v>115.2981469649194</v>
      </c>
      <c r="AE122" s="125">
        <f>AE11/293.07*(1/(VLOOKUP($Z122,'Fuel economy adjusted factor'!$A$2:$L$52,5,FALSE)*m2k))/'TCO Inputs'!$AZ$84</f>
        <v>115.2981469649194</v>
      </c>
      <c r="AF122" s="125">
        <f>AF11/293.07*(1/(VLOOKUP($Z122,'Fuel economy adjusted factor'!$A$2:$L$52,5,FALSE)*m2k))/'TCO Inputs'!$AZ$84</f>
        <v>115.2981469649194</v>
      </c>
      <c r="AG122" s="125">
        <f>AG11/293.07*(1/(VLOOKUP($Z122,'Fuel economy adjusted factor'!$A$2:$L$52,5,FALSE)*m2k))/'TCO Inputs'!$AZ$84</f>
        <v>115.2981469649194</v>
      </c>
      <c r="AH122" s="125">
        <f>AH11/293.07*(1/(VLOOKUP($Z122,'Fuel economy adjusted factor'!$A$2:$L$52,5,FALSE)*m2k))/'TCO Inputs'!$AZ$84</f>
        <v>69.275471744633236</v>
      </c>
      <c r="AI122" s="125">
        <f>AI11/293.07*(1/(VLOOKUP($Z122,'Fuel economy adjusted factor'!$A$2:$L$52,5,FALSE)*m2k))/'TCO Inputs'!$AZ$84</f>
        <v>69.275471744633236</v>
      </c>
      <c r="AJ122" s="125">
        <f>AJ11/293.07*(1/(VLOOKUP($Z122,'Fuel economy adjusted factor'!$A$2:$L$52,5,FALSE)*m2k))/'TCO Inputs'!$AZ$84</f>
        <v>69.275471744633236</v>
      </c>
      <c r="AK122" s="125">
        <f>AK11/293.07*(1/(VLOOKUP($Z122,'Fuel economy adjusted factor'!$A$2:$L$52,5,FALSE)*m2k))/'TCO Inputs'!$AZ$84</f>
        <v>69.275471744633236</v>
      </c>
      <c r="AL122" s="125">
        <f>AL11/293.07*(1/(VLOOKUP($Z122,'Fuel economy adjusted factor'!$A$2:$L$52,5,FALSE)*m2k))/'TCO Inputs'!$AZ$84</f>
        <v>69.275471744633236</v>
      </c>
      <c r="AM122" s="125">
        <f>AM11/293.07*(1/(VLOOKUP($Z122,'Fuel economy adjusted factor'!$A$2:$L$52,5,FALSE)*m2k))/'TCO Inputs'!$AZ$84</f>
        <v>72.495260696801026</v>
      </c>
      <c r="AN122" s="125">
        <f>AN11/293.07*(1/(VLOOKUP($Z122,'Fuel economy adjusted factor'!$A$2:$L$52,5,FALSE)*m2k))/'TCO Inputs'!$AZ$84</f>
        <v>72.495260696801026</v>
      </c>
      <c r="AO122" s="125">
        <f>AO11/293.07*(1/(VLOOKUP($Z122,'Fuel economy adjusted factor'!$A$2:$L$52,5,FALSE)*m2k))/'TCO Inputs'!$AZ$84</f>
        <v>72.495260696801026</v>
      </c>
      <c r="AP122" s="125">
        <f>AP11/293.07*(1/(VLOOKUP($Z122,'Fuel economy adjusted factor'!$A$2:$L$52,5,FALSE)*m2k))/'TCO Inputs'!$AZ$84</f>
        <v>72.495260696801026</v>
      </c>
      <c r="AQ122" s="125">
        <f>AQ11/293.07*(1/(VLOOKUP($Z122,'Fuel economy adjusted factor'!$A$2:$L$52,5,FALSE)*m2k))/'TCO Inputs'!$AZ$84</f>
        <v>72.495260696801026</v>
      </c>
      <c r="AR122" s="125">
        <f>AR11/293.07*(1/(VLOOKUP($Z122,'Fuel economy adjusted factor'!$A$2:$L$52,5,FALSE)*m2k))/'TCO Inputs'!$AZ$84</f>
        <v>75.782738968013462</v>
      </c>
      <c r="AS122" s="125">
        <f>AS11/293.07*(1/(VLOOKUP($Z122,'Fuel economy adjusted factor'!$A$2:$L$52,5,FALSE)*m2k))/'TCO Inputs'!$AZ$84</f>
        <v>75.782738968013462</v>
      </c>
      <c r="AT122" s="125">
        <f>AT11/293.07*(1/(VLOOKUP($Z122,'Fuel economy adjusted factor'!$A$2:$L$52,5,FALSE)*m2k))/'TCO Inputs'!$AZ$84</f>
        <v>75.782738968013462</v>
      </c>
      <c r="AU122" s="125">
        <f>AU11/293.07*(1/(VLOOKUP($Z122,'Fuel economy adjusted factor'!$A$2:$L$52,5,FALSE)*m2k))/'TCO Inputs'!$AZ$84</f>
        <v>75.782738968013462</v>
      </c>
      <c r="AV122" s="125">
        <f>AV11/293.07*(1/(VLOOKUP($Z122,'Fuel economy adjusted factor'!$A$2:$L$52,5,FALSE)*m2k))/'TCO Inputs'!$AZ$84</f>
        <v>75.782738968013462</v>
      </c>
      <c r="AW122" s="125">
        <f>AW11/293.07*(1/(VLOOKUP($Z122,'Fuel economy adjusted factor'!$A$2:$L$52,5,FALSE)*m2k))/'TCO Inputs'!$AZ$84</f>
        <v>77.44567358215474</v>
      </c>
      <c r="AX122" s="125">
        <f>AX11/293.07*(1/(VLOOKUP($Z122,'Fuel economy adjusted factor'!$A$2:$L$52,5,FALSE)*m2k))/'TCO Inputs'!$AZ$84</f>
        <v>77.44567358215474</v>
      </c>
      <c r="AY122" s="125">
        <f>AY11/293.07*(1/(VLOOKUP($Z122,'Fuel economy adjusted factor'!$A$2:$L$52,5,FALSE)*m2k))/'TCO Inputs'!$AZ$84</f>
        <v>77.44567358215474</v>
      </c>
      <c r="AZ122" s="125">
        <f>AZ11/293.07*(1/(VLOOKUP($Z122,'Fuel economy adjusted factor'!$A$2:$L$52,5,FALSE)*m2k))/'TCO Inputs'!$AZ$84</f>
        <v>77.44567358215474</v>
      </c>
      <c r="BA122" s="125">
        <f>BA11/293.07*(1/(VLOOKUP($Z122,'Fuel economy adjusted factor'!$A$2:$L$52,5,FALSE)*m2k))/'TCO Inputs'!$AZ$84</f>
        <v>77.44567358215474</v>
      </c>
      <c r="BB122" s="125">
        <f>BB11/293.07*(1/(VLOOKUP($Z122,'Fuel economy adjusted factor'!$A$2:$L$52,5,FALSE)*m2k))/'TCO Inputs'!$AZ$84</f>
        <v>77.550743569925487</v>
      </c>
      <c r="BC122" s="98" cm="1">
        <f t="array" ref="BC122">SUMPRODUCT(INDEX(AA122:BB122,,'TCO Inputs'!$AZ$12-2023+_xlfn.SEQUENCE('TCO Inputs'!$AZ$13))*INDEX('VKT US'!C68:AA68,,_xlfn.SEQUENCE('TCO Inputs'!$AZ$13)))*m2k*CONVERT(0.9072,"g","ton")</f>
        <v>26.629538665700295</v>
      </c>
      <c r="BM122" s="123" t="s">
        <v>190</v>
      </c>
      <c r="BN122" s="125">
        <f>BN11/293.07*(1/(VLOOKUP($BM122,'Fuel economy adjusted factor'!$A$2:$L$52,5,FALSE)*m2k))</f>
        <v>111.43162192937216</v>
      </c>
      <c r="BO122" s="125">
        <f>BO11/293.07*(1/(VLOOKUP($BM122,'Fuel economy adjusted factor'!$A$2:$L$52,5,FALSE)*m2k))</f>
        <v>111.43162192937216</v>
      </c>
      <c r="BP122" s="125">
        <f>BP11/293.07*(1/(VLOOKUP($BM122,'Fuel economy adjusted factor'!$A$2:$L$52,5,FALSE)*m2k))</f>
        <v>97.875471901420241</v>
      </c>
      <c r="BQ122" s="125">
        <f>BQ11/293.07*(1/(VLOOKUP($BM122,'Fuel economy adjusted factor'!$A$2:$L$52,5,FALSE)*m2k))</f>
        <v>97.875471901420241</v>
      </c>
      <c r="BR122" s="125">
        <f>BR11/293.07*(1/(VLOOKUP($BM122,'Fuel economy adjusted factor'!$A$2:$L$52,5,FALSE)*m2k))</f>
        <v>97.875471901420241</v>
      </c>
      <c r="BS122" s="125">
        <f>BS11/293.07*(1/(VLOOKUP($BM122,'Fuel economy adjusted factor'!$A$2:$L$52,5,FALSE)*m2k))</f>
        <v>97.875471901420241</v>
      </c>
      <c r="BT122" s="125">
        <f>BT11/293.07*(1/(VLOOKUP($BM122,'Fuel economy adjusted factor'!$A$2:$L$52,5,FALSE)*m2k))</f>
        <v>97.875471901420241</v>
      </c>
      <c r="BU122" s="125">
        <f>BU11/293.07*(1/(VLOOKUP($BM122,'Fuel economy adjusted factor'!$A$2:$L$52,5,FALSE)*m2k))</f>
        <v>110.94814844237501</v>
      </c>
      <c r="BV122" s="125">
        <f>BV11/293.07*(1/(VLOOKUP($BM122,'Fuel economy adjusted factor'!$A$2:$L$52,5,FALSE)*m2k))</f>
        <v>110.94814844237501</v>
      </c>
      <c r="BW122" s="125">
        <f>BW11/293.07*(1/(VLOOKUP($BM122,'Fuel economy adjusted factor'!$A$2:$L$52,5,FALSE)*m2k))</f>
        <v>110.94814844237501</v>
      </c>
      <c r="BX122" s="125">
        <f>BX11/293.07*(1/(VLOOKUP($BM122,'Fuel economy adjusted factor'!$A$2:$L$52,5,FALSE)*m2k))</f>
        <v>110.94814844237501</v>
      </c>
      <c r="BY122" s="125">
        <f>BY11/293.07*(1/(VLOOKUP($BM122,'Fuel economy adjusted factor'!$A$2:$L$52,5,FALSE)*m2k))</f>
        <v>110.94814844237501</v>
      </c>
      <c r="BZ122" s="125">
        <f>BZ11/293.07*(1/(VLOOKUP($BM122,'Fuel economy adjusted factor'!$A$2:$L$52,5,FALSE)*m2k))</f>
        <v>113.61626944432908</v>
      </c>
      <c r="CA122" s="125">
        <f>CA11/293.07*(1/(VLOOKUP($BM122,'Fuel economy adjusted factor'!$A$2:$L$52,5,FALSE)*m2k))</f>
        <v>113.61626944432908</v>
      </c>
      <c r="CB122" s="125">
        <f>CB11/293.07*(1/(VLOOKUP($BM122,'Fuel economy adjusted factor'!$A$2:$L$52,5,FALSE)*m2k))</f>
        <v>113.61626944432908</v>
      </c>
      <c r="CC122" s="125">
        <f>CC11/293.07*(1/(VLOOKUP($BM122,'Fuel economy adjusted factor'!$A$2:$L$52,5,FALSE)*m2k))</f>
        <v>113.61626944432908</v>
      </c>
      <c r="CD122" s="125">
        <f>CD11/293.07*(1/(VLOOKUP($BM122,'Fuel economy adjusted factor'!$A$2:$L$52,5,FALSE)*m2k))</f>
        <v>113.61626944432908</v>
      </c>
      <c r="CE122" s="125">
        <f>CE11/293.07*(1/(VLOOKUP($BM122,'Fuel economy adjusted factor'!$A$2:$L$52,5,FALSE)*m2k))</f>
        <v>116.42436589633736</v>
      </c>
      <c r="CF122" s="125">
        <f>CF11/293.07*(1/(VLOOKUP($BM122,'Fuel economy adjusted factor'!$A$2:$L$52,5,FALSE)*m2k))</f>
        <v>116.42436589633736</v>
      </c>
      <c r="CG122" s="125">
        <f>CG11/293.07*(1/(VLOOKUP($BM122,'Fuel economy adjusted factor'!$A$2:$L$52,5,FALSE)*m2k))</f>
        <v>116.42436589633736</v>
      </c>
      <c r="CH122" s="125">
        <f>CH11/293.07*(1/(VLOOKUP($BM122,'Fuel economy adjusted factor'!$A$2:$L$52,5,FALSE)*m2k))</f>
        <v>116.42436589633736</v>
      </c>
      <c r="CI122" s="125">
        <f>CI11/293.07*(1/(VLOOKUP($BM122,'Fuel economy adjusted factor'!$A$2:$L$52,5,FALSE)*m2k))</f>
        <v>116.42436589633736</v>
      </c>
      <c r="CJ122" s="125">
        <f>CJ11/293.07*(1/(VLOOKUP($BM122,'Fuel economy adjusted factor'!$A$2:$L$52,5,FALSE)*m2k))</f>
        <v>117.0907520880066</v>
      </c>
      <c r="CK122" s="125">
        <f>CK11/293.07*(1/(VLOOKUP($BM122,'Fuel economy adjusted factor'!$A$2:$L$52,5,FALSE)*m2k))</f>
        <v>117.0907520880066</v>
      </c>
      <c r="CL122" s="125">
        <f>CL11/293.07*(1/(VLOOKUP($BM122,'Fuel economy adjusted factor'!$A$2:$L$52,5,FALSE)*m2k))</f>
        <v>117.0907520880066</v>
      </c>
      <c r="CM122" s="125">
        <f>CM11/293.07*(1/(VLOOKUP($BM122,'Fuel economy adjusted factor'!$A$2:$L$52,5,FALSE)*m2k))</f>
        <v>117.0907520880066</v>
      </c>
      <c r="CN122" s="125">
        <f>CN11/293.07*(1/(VLOOKUP($BM122,'Fuel economy adjusted factor'!$A$2:$L$52,5,FALSE)*m2k))</f>
        <v>117.0907520880066</v>
      </c>
      <c r="CO122" s="125">
        <f>CO11/293.07*(1/(VLOOKUP($BM122,'Fuel economy adjusted factor'!$A$2:$L$52,5,FALSE)*m2k))</f>
        <v>117.88680878862181</v>
      </c>
      <c r="CP122" s="98" cm="1">
        <f t="array" ref="CP122">SUMPRODUCT(INDEX(BN122:CO122,,'TCO Inputs'!$AZ$12-2023+_xlfn.SEQUENCE('TCO Inputs'!$AZ$13))*INDEX('VKT US'!C68:AA68,,_xlfn.SEQUENCE('TCO Inputs'!$AZ$13)))*m2k*CONVERT(0.9072,"g","ton")</f>
        <v>29.005255167187212</v>
      </c>
      <c r="CQ122" s="194"/>
      <c r="CR122" s="123" t="s">
        <v>190</v>
      </c>
      <c r="CS122" s="125">
        <f>CS11/293.07*(1/(VLOOKUP($BM122,'Fuel economy adjusted factor'!$A$2:$L$52,5,FALSE)*m2k))/'TCO Inputs'!$AZ$84</f>
        <v>158.72236056456683</v>
      </c>
      <c r="CT122" s="125">
        <f>CT11/293.07*(1/(VLOOKUP($BM122,'Fuel economy adjusted factor'!$A$2:$L$52,5,FALSE)*m2k))/'TCO Inputs'!$AZ$84</f>
        <v>158.72236056456683</v>
      </c>
      <c r="CU122" s="125">
        <f>CU11/293.07*(1/(VLOOKUP($BM122,'Fuel economy adjusted factor'!$A$2:$L$52,5,FALSE)*m2k))/'TCO Inputs'!$AZ$84</f>
        <v>158.72236056456683</v>
      </c>
      <c r="CV122" s="125">
        <f>CV11/293.07*(1/(VLOOKUP($BM122,'Fuel economy adjusted factor'!$A$2:$L$52,5,FALSE)*m2k))/'TCO Inputs'!$AZ$84</f>
        <v>158.72236056456683</v>
      </c>
      <c r="CW122" s="125">
        <f>CW11/293.07*(1/(VLOOKUP($BM122,'Fuel economy adjusted factor'!$A$2:$L$52,5,FALSE)*m2k))/'TCO Inputs'!$AZ$84</f>
        <v>158.72236056456683</v>
      </c>
      <c r="CX122" s="125">
        <f>CX11/293.07*(1/(VLOOKUP($BM122,'Fuel economy adjusted factor'!$A$2:$L$52,5,FALSE)*m2k))/'TCO Inputs'!$AZ$84</f>
        <v>158.72236056456683</v>
      </c>
      <c r="CY122" s="125">
        <f>CY11/293.07*(1/(VLOOKUP($BM122,'Fuel economy adjusted factor'!$A$2:$L$52,5,FALSE)*m2k))/'TCO Inputs'!$AZ$84</f>
        <v>158.72236056456683</v>
      </c>
      <c r="CZ122" s="125">
        <f>CZ11/293.07*(1/(VLOOKUP($BM122,'Fuel economy adjusted factor'!$A$2:$L$52,5,FALSE)*m2k))/'TCO Inputs'!$AZ$84</f>
        <v>158.7577206566051</v>
      </c>
      <c r="DA122" s="125">
        <f>DA11/293.07*(1/(VLOOKUP($BM122,'Fuel economy adjusted factor'!$A$2:$L$52,5,FALSE)*m2k))/'TCO Inputs'!$AZ$84</f>
        <v>158.7577206566051</v>
      </c>
      <c r="DB122" s="125">
        <f>DB11/293.07*(1/(VLOOKUP($BM122,'Fuel economy adjusted factor'!$A$2:$L$52,5,FALSE)*m2k))/'TCO Inputs'!$AZ$84</f>
        <v>158.7577206566051</v>
      </c>
      <c r="DC122" s="125">
        <f>DC11/293.07*(1/(VLOOKUP($BM122,'Fuel economy adjusted factor'!$A$2:$L$52,5,FALSE)*m2k))/'TCO Inputs'!$AZ$84</f>
        <v>158.7577206566051</v>
      </c>
      <c r="DD122" s="125">
        <f>DD11/293.07*(1/(VLOOKUP($BM122,'Fuel economy adjusted factor'!$A$2:$L$52,5,FALSE)*m2k))/'TCO Inputs'!$AZ$84</f>
        <v>158.7577206566051</v>
      </c>
      <c r="DE122" s="125">
        <f>DE11/293.07*(1/(VLOOKUP($BM122,'Fuel economy adjusted factor'!$A$2:$L$52,5,FALSE)*m2k))/'TCO Inputs'!$AZ$84</f>
        <v>158.7375148897261</v>
      </c>
      <c r="DF122" s="125">
        <f>DF11/293.07*(1/(VLOOKUP($BM122,'Fuel economy adjusted factor'!$A$2:$L$52,5,FALSE)*m2k))/'TCO Inputs'!$AZ$84</f>
        <v>158.7375148897261</v>
      </c>
      <c r="DG122" s="125">
        <f>DG11/293.07*(1/(VLOOKUP($BM122,'Fuel economy adjusted factor'!$A$2:$L$52,5,FALSE)*m2k))/'TCO Inputs'!$AZ$84</f>
        <v>158.7375148897261</v>
      </c>
      <c r="DH122" s="125">
        <f>DH11/293.07*(1/(VLOOKUP($BM122,'Fuel economy adjusted factor'!$A$2:$L$52,5,FALSE)*m2k))/'TCO Inputs'!$AZ$84</f>
        <v>158.7375148897261</v>
      </c>
      <c r="DI122" s="125">
        <f>DI11/293.07*(1/(VLOOKUP($BM122,'Fuel economy adjusted factor'!$A$2:$L$52,5,FALSE)*m2k))/'TCO Inputs'!$AZ$84</f>
        <v>158.7375148897261</v>
      </c>
      <c r="DJ122" s="125">
        <f>DJ11/293.07*(1/(VLOOKUP($BM122,'Fuel economy adjusted factor'!$A$2:$L$52,5,FALSE)*m2k))/'TCO Inputs'!$AZ$84</f>
        <v>158.73246344800634</v>
      </c>
      <c r="DK122" s="125">
        <f>DK11/293.07*(1/(VLOOKUP($BM122,'Fuel economy adjusted factor'!$A$2:$L$52,5,FALSE)*m2k))/'TCO Inputs'!$AZ$84</f>
        <v>158.73246344800634</v>
      </c>
      <c r="DL122" s="125">
        <f>DL11/293.07*(1/(VLOOKUP($BM122,'Fuel economy adjusted factor'!$A$2:$L$52,5,FALSE)*m2k))/'TCO Inputs'!$AZ$84</f>
        <v>158.73246344800634</v>
      </c>
      <c r="DM122" s="125">
        <f>DM11/293.07*(1/(VLOOKUP($BM122,'Fuel economy adjusted factor'!$A$2:$L$52,5,FALSE)*m2k))/'TCO Inputs'!$AZ$84</f>
        <v>158.73246344800634</v>
      </c>
      <c r="DN122" s="125">
        <f>DN11/293.07*(1/(VLOOKUP($BM122,'Fuel economy adjusted factor'!$A$2:$L$52,5,FALSE)*m2k))/'TCO Inputs'!$AZ$84</f>
        <v>158.73246344800634</v>
      </c>
      <c r="DO122" s="125">
        <f>DO11/293.07*(1/(VLOOKUP($BM122,'Fuel economy adjusted factor'!$A$2:$L$52,5,FALSE)*m2k))/'TCO Inputs'!$AZ$84</f>
        <v>158.63446547864325</v>
      </c>
      <c r="DP122" s="125">
        <f>DP11/293.07*(1/(VLOOKUP($BM122,'Fuel economy adjusted factor'!$A$2:$L$52,5,FALSE)*m2k))/'TCO Inputs'!$AZ$84</f>
        <v>158.63446547864325</v>
      </c>
      <c r="DQ122" s="125">
        <f>DQ11/293.07*(1/(VLOOKUP($BM122,'Fuel economy adjusted factor'!$A$2:$L$52,5,FALSE)*m2k))/'TCO Inputs'!$AZ$84</f>
        <v>158.63446547864325</v>
      </c>
      <c r="DR122" s="125">
        <f>DR11/293.07*(1/(VLOOKUP($BM122,'Fuel economy adjusted factor'!$A$2:$L$52,5,FALSE)*m2k))/'TCO Inputs'!$AZ$84</f>
        <v>158.63446547864325</v>
      </c>
      <c r="DS122" s="125">
        <f>DS11/293.07*(1/(VLOOKUP($BM122,'Fuel economy adjusted factor'!$A$2:$L$52,5,FALSE)*m2k))/'TCO Inputs'!$AZ$84</f>
        <v>158.63446547864325</v>
      </c>
      <c r="DT122" s="125">
        <f>DT11/293.07*(1/(VLOOKUP($BM122,'Fuel economy adjusted factor'!$A$2:$L$52,5,FALSE)*m2k))/'TCO Inputs'!$AZ$84</f>
        <v>158.71629883450316</v>
      </c>
      <c r="DU122" s="98" cm="1">
        <f t="array" ref="DU122">SUMPRODUCT(INDEX(CS122:DT122,,'TCO Inputs'!$AZ$12-2023+_xlfn.SEQUENCE('TCO Inputs'!$AZ$13))*INDEX('VKT US'!C68:AA68,,_xlfn.SEQUENCE('TCO Inputs'!$AZ$13)))*m2k*CONVERT(0.9072,"g","ton")</f>
        <v>43.285210916436327</v>
      </c>
      <c r="DW122" s="123" t="s">
        <v>190</v>
      </c>
      <c r="DX122" s="125">
        <f>DX11/293.07*(1/(VLOOKUP($BM122,'Fuel economy adjusted factor'!$A$2:$L$52,5,FALSE)*m2k))/'TCO Inputs'!$AZ$84</f>
        <v>166.15201676380374</v>
      </c>
      <c r="DY122" s="125">
        <f>DY11/293.07*(1/(VLOOKUP($BM122,'Fuel economy adjusted factor'!$A$2:$L$52,5,FALSE)*m2k))/'TCO Inputs'!$AZ$84</f>
        <v>166.15201676380374</v>
      </c>
      <c r="DZ122" s="125">
        <f>DZ11/293.07*(1/(VLOOKUP($BM122,'Fuel economy adjusted factor'!$A$2:$L$52,5,FALSE)*m2k))/'TCO Inputs'!$AZ$84</f>
        <v>145.64890559956126</v>
      </c>
      <c r="EA122" s="125">
        <f>EA11/293.07*(1/(VLOOKUP($BM122,'Fuel economy adjusted factor'!$A$2:$L$52,5,FALSE)*m2k))/'TCO Inputs'!$AZ$84</f>
        <v>145.64890559956126</v>
      </c>
      <c r="EB122" s="125">
        <f>EB11/293.07*(1/(VLOOKUP($BM122,'Fuel economy adjusted factor'!$A$2:$L$52,5,FALSE)*m2k))/'TCO Inputs'!$AZ$84</f>
        <v>145.64890559956126</v>
      </c>
      <c r="EC122" s="125">
        <f>EC11/293.07*(1/(VLOOKUP($BM122,'Fuel economy adjusted factor'!$A$2:$L$52,5,FALSE)*m2k))/'TCO Inputs'!$AZ$84</f>
        <v>145.64890559956126</v>
      </c>
      <c r="ED122" s="125">
        <f>ED11/293.07*(1/(VLOOKUP($BM122,'Fuel economy adjusted factor'!$A$2:$L$52,5,FALSE)*m2k))/'TCO Inputs'!$AZ$84</f>
        <v>145.64890559956126</v>
      </c>
      <c r="EE122" s="125">
        <f>EE11/293.07*(1/(VLOOKUP($BM122,'Fuel economy adjusted factor'!$A$2:$L$52,5,FALSE)*m2k))/'TCO Inputs'!$AZ$84</f>
        <v>89.768692592327398</v>
      </c>
      <c r="EF122" s="125">
        <f>EF11/293.07*(1/(VLOOKUP($BM122,'Fuel economy adjusted factor'!$A$2:$L$52,5,FALSE)*m2k))/'TCO Inputs'!$AZ$84</f>
        <v>89.768692592327398</v>
      </c>
      <c r="EG122" s="125">
        <f>EG11/293.07*(1/(VLOOKUP($BM122,'Fuel economy adjusted factor'!$A$2:$L$52,5,FALSE)*m2k))/'TCO Inputs'!$AZ$84</f>
        <v>89.768692592327398</v>
      </c>
      <c r="EH122" s="125">
        <f>EH11/293.07*(1/(VLOOKUP($BM122,'Fuel economy adjusted factor'!$A$2:$L$52,5,FALSE)*m2k))/'TCO Inputs'!$AZ$84</f>
        <v>89.768692592327398</v>
      </c>
      <c r="EI122" s="125">
        <f>EI11/293.07*(1/(VLOOKUP($BM122,'Fuel economy adjusted factor'!$A$2:$L$52,5,FALSE)*m2k))/'TCO Inputs'!$AZ$84</f>
        <v>89.768692592327398</v>
      </c>
      <c r="EJ122" s="125">
        <f>EJ11/293.07*(1/(VLOOKUP($BM122,'Fuel economy adjusted factor'!$A$2:$L$52,5,FALSE)*m2k))/'TCO Inputs'!$AZ$84</f>
        <v>80.173990052516032</v>
      </c>
      <c r="EK122" s="125">
        <f>EK11/293.07*(1/(VLOOKUP($BM122,'Fuel economy adjusted factor'!$A$2:$L$52,5,FALSE)*m2k))/'TCO Inputs'!$AZ$84</f>
        <v>80.173990052516032</v>
      </c>
      <c r="EL122" s="125">
        <f>EL11/293.07*(1/(VLOOKUP($BM122,'Fuel economy adjusted factor'!$A$2:$L$52,5,FALSE)*m2k))/'TCO Inputs'!$AZ$84</f>
        <v>80.173990052516032</v>
      </c>
      <c r="EM122" s="125">
        <f>EM11/293.07*(1/(VLOOKUP($BM122,'Fuel economy adjusted factor'!$A$2:$L$52,5,FALSE)*m2k))/'TCO Inputs'!$AZ$84</f>
        <v>80.173990052516032</v>
      </c>
      <c r="EN122" s="125">
        <f>EN11/293.07*(1/(VLOOKUP($BM122,'Fuel economy adjusted factor'!$A$2:$L$52,5,FALSE)*m2k))/'TCO Inputs'!$AZ$84</f>
        <v>80.173990052516032</v>
      </c>
      <c r="EO122" s="125">
        <f>EO11/293.07*(1/(VLOOKUP($BM122,'Fuel economy adjusted factor'!$A$2:$L$52,5,FALSE)*m2k))/'TCO Inputs'!$AZ$84</f>
        <v>77.650549035224998</v>
      </c>
      <c r="EP122" s="125">
        <f>EP11/293.07*(1/(VLOOKUP($BM122,'Fuel economy adjusted factor'!$A$2:$L$52,5,FALSE)*m2k))/'TCO Inputs'!$AZ$84</f>
        <v>77.650549035224998</v>
      </c>
      <c r="EQ122" s="125">
        <f>EQ11/293.07*(1/(VLOOKUP($BM122,'Fuel economy adjusted factor'!$A$2:$L$52,5,FALSE)*m2k))/'TCO Inputs'!$AZ$84</f>
        <v>77.650549035224998</v>
      </c>
      <c r="ER122" s="125">
        <f>ER11/293.07*(1/(VLOOKUP($BM122,'Fuel economy adjusted factor'!$A$2:$L$52,5,FALSE)*m2k))/'TCO Inputs'!$AZ$84</f>
        <v>77.650549035224998</v>
      </c>
      <c r="ES122" s="125">
        <f>ES11/293.07*(1/(VLOOKUP($BM122,'Fuel economy adjusted factor'!$A$2:$L$52,5,FALSE)*m2k))/'TCO Inputs'!$AZ$84</f>
        <v>77.650549035224998</v>
      </c>
      <c r="ET122" s="125">
        <f>ET11/293.07*(1/(VLOOKUP($BM122,'Fuel economy adjusted factor'!$A$2:$L$52,5,FALSE)*m2k))/'TCO Inputs'!$AZ$84</f>
        <v>74.767490151194494</v>
      </c>
      <c r="EU122" s="125">
        <f>EU11/293.07*(1/(VLOOKUP($BM122,'Fuel economy adjusted factor'!$A$2:$L$52,5,FALSE)*m2k))/'TCO Inputs'!$AZ$84</f>
        <v>74.767490151194494</v>
      </c>
      <c r="EV122" s="125">
        <f>EV11/293.07*(1/(VLOOKUP($BM122,'Fuel economy adjusted factor'!$A$2:$L$52,5,FALSE)*m2k))/'TCO Inputs'!$AZ$84</f>
        <v>74.767490151194494</v>
      </c>
      <c r="EW122" s="125">
        <f>EW11/293.07*(1/(VLOOKUP($BM122,'Fuel economy adjusted factor'!$A$2:$L$52,5,FALSE)*m2k))/'TCO Inputs'!$AZ$84</f>
        <v>74.767490151194494</v>
      </c>
      <c r="EX122" s="125">
        <f>EX11/293.07*(1/(VLOOKUP($BM122,'Fuel economy adjusted factor'!$A$2:$L$52,5,FALSE)*m2k))/'TCO Inputs'!$AZ$84</f>
        <v>74.767490151194494</v>
      </c>
      <c r="EY122" s="125">
        <f>EY11/293.07*(1/(VLOOKUP($BM122,'Fuel economy adjusted factor'!$A$2:$L$52,5,FALSE)*m2k))/'TCO Inputs'!$AZ$84</f>
        <v>70.2465798264695</v>
      </c>
      <c r="EZ122" s="98" cm="1">
        <f t="array" ref="EZ122">SUMPRODUCT(INDEX(DX122:EY122,,'TCO Inputs'!$AZ$12-2023+_xlfn.SEQUENCE('TCO Inputs'!$AZ$13))*INDEX('VKT US'!C68:AA68,,_xlfn.SEQUENCE('TCO Inputs'!$AZ$13)))*m2k*CONVERT(0.9072,"g","ton")</f>
        <v>33.494630642173746</v>
      </c>
      <c r="FB122" s="123" t="s">
        <v>190</v>
      </c>
      <c r="FC122" s="125">
        <f>FC11/293.07*(1/(VLOOKUP($BM122,'Fuel economy adjusted factor'!$A$2:$L$52,5,FALSE)*m2k))/'TCO Inputs'!$AZ$84</f>
        <v>180.21625564737732</v>
      </c>
      <c r="FD122" s="125">
        <f>FD11/293.07*(1/(VLOOKUP($BM122,'Fuel economy adjusted factor'!$A$2:$L$52,5,FALSE)*m2k))/'TCO Inputs'!$AZ$84</f>
        <v>180.21625564737732</v>
      </c>
      <c r="FE122" s="125">
        <f>FE11/293.07*(1/(VLOOKUP($BM122,'Fuel economy adjusted factor'!$A$2:$L$52,5,FALSE)*m2k))/'TCO Inputs'!$AZ$84</f>
        <v>157.3829674894657</v>
      </c>
      <c r="FF122" s="125">
        <f>FF11/293.07*(1/(VLOOKUP($BM122,'Fuel economy adjusted factor'!$A$2:$L$52,5,FALSE)*m2k))/'TCO Inputs'!$AZ$84</f>
        <v>157.3829674894657</v>
      </c>
      <c r="FG122" s="125">
        <f>FG11/293.07*(1/(VLOOKUP($BM122,'Fuel economy adjusted factor'!$A$2:$L$52,5,FALSE)*m2k))/'TCO Inputs'!$AZ$84</f>
        <v>157.3829674894657</v>
      </c>
      <c r="FH122" s="125">
        <f>FH11/293.07*(1/(VLOOKUP($BM122,'Fuel economy adjusted factor'!$A$2:$L$52,5,FALSE)*m2k))/'TCO Inputs'!$AZ$84</f>
        <v>157.3829674894657</v>
      </c>
      <c r="FI122" s="125">
        <f>FI11/293.07*(1/(VLOOKUP($BM122,'Fuel economy adjusted factor'!$A$2:$L$52,5,FALSE)*m2k))/'TCO Inputs'!$AZ$84</f>
        <v>157.3829674894657</v>
      </c>
      <c r="FJ122" s="125">
        <f>FJ11/293.07*(1/(VLOOKUP($BM122,'Fuel economy adjusted factor'!$A$2:$L$52,5,FALSE)*m2k))/'TCO Inputs'!$AZ$84</f>
        <v>98.761585640860446</v>
      </c>
      <c r="FK122" s="125">
        <f>FK11/293.07*(1/(VLOOKUP($BM122,'Fuel economy adjusted factor'!$A$2:$L$52,5,FALSE)*m2k))/'TCO Inputs'!$AZ$84</f>
        <v>98.761585640860446</v>
      </c>
      <c r="FL122" s="125">
        <f>FL11/293.07*(1/(VLOOKUP($BM122,'Fuel economy adjusted factor'!$A$2:$L$52,5,FALSE)*m2k))/'TCO Inputs'!$AZ$84</f>
        <v>98.761585640860446</v>
      </c>
      <c r="FM122" s="125">
        <f>FM11/293.07*(1/(VLOOKUP($BM122,'Fuel economy adjusted factor'!$A$2:$L$52,5,FALSE)*m2k))/'TCO Inputs'!$AZ$84</f>
        <v>98.761585640860446</v>
      </c>
      <c r="FN122" s="125">
        <f>FN11/293.07*(1/(VLOOKUP($BM122,'Fuel economy adjusted factor'!$A$2:$L$52,5,FALSE)*m2k))/'TCO Inputs'!$AZ$84</f>
        <v>98.761585640860446</v>
      </c>
      <c r="FO122" s="125">
        <f>FO11/293.07*(1/(VLOOKUP($BM122,'Fuel economy adjusted factor'!$A$2:$L$52,5,FALSE)*m2k))/'TCO Inputs'!$AZ$84</f>
        <v>87.695385503472195</v>
      </c>
      <c r="FP122" s="125">
        <f>FP11/293.07*(1/(VLOOKUP($BM122,'Fuel economy adjusted factor'!$A$2:$L$52,5,FALSE)*m2k))/'TCO Inputs'!$AZ$84</f>
        <v>87.695385503472195</v>
      </c>
      <c r="FQ122" s="125">
        <f>FQ11/293.07*(1/(VLOOKUP($BM122,'Fuel economy adjusted factor'!$A$2:$L$52,5,FALSE)*m2k))/'TCO Inputs'!$AZ$84</f>
        <v>87.695385503472195</v>
      </c>
      <c r="FR122" s="125">
        <f>FR11/293.07*(1/(VLOOKUP($BM122,'Fuel economy adjusted factor'!$A$2:$L$52,5,FALSE)*m2k))/'TCO Inputs'!$AZ$84</f>
        <v>87.695385503472195</v>
      </c>
      <c r="FS122" s="125">
        <f>FS11/293.07*(1/(VLOOKUP($BM122,'Fuel economy adjusted factor'!$A$2:$L$52,5,FALSE)*m2k))/'TCO Inputs'!$AZ$84</f>
        <v>87.695385503472195</v>
      </c>
      <c r="FT122" s="125">
        <f>FT11/293.07*(1/(VLOOKUP($BM122,'Fuel economy adjusted factor'!$A$2:$L$52,5,FALSE)*m2k))/'TCO Inputs'!$AZ$84</f>
        <v>85.463063711636948</v>
      </c>
      <c r="FU122" s="125">
        <f>FU11/293.07*(1/(VLOOKUP($BM122,'Fuel economy adjusted factor'!$A$2:$L$52,5,FALSE)*m2k))/'TCO Inputs'!$AZ$84</f>
        <v>85.463063711636948</v>
      </c>
      <c r="FV122" s="125">
        <f>FV11/293.07*(1/(VLOOKUP($BM122,'Fuel economy adjusted factor'!$A$2:$L$52,5,FALSE)*m2k))/'TCO Inputs'!$AZ$84</f>
        <v>85.463063711636948</v>
      </c>
      <c r="FW122" s="125">
        <f>FW11/293.07*(1/(VLOOKUP($BM122,'Fuel economy adjusted factor'!$A$2:$L$52,5,FALSE)*m2k))/'TCO Inputs'!$AZ$84</f>
        <v>85.463063711636948</v>
      </c>
      <c r="FX122" s="125">
        <f>FX11/293.07*(1/(VLOOKUP($BM122,'Fuel economy adjusted factor'!$A$2:$L$52,5,FALSE)*m2k))/'TCO Inputs'!$AZ$84</f>
        <v>85.463063711636948</v>
      </c>
      <c r="FY122" s="125">
        <f>FY11/293.07*(1/(VLOOKUP($BM122,'Fuel economy adjusted factor'!$A$2:$L$52,5,FALSE)*m2k))/'TCO Inputs'!$AZ$84</f>
        <v>82.573888877491825</v>
      </c>
      <c r="FZ122" s="125">
        <f>FZ11/293.07*(1/(VLOOKUP($BM122,'Fuel economy adjusted factor'!$A$2:$L$52,5,FALSE)*m2k))/'TCO Inputs'!$AZ$84</f>
        <v>82.573888877491825</v>
      </c>
      <c r="GA122" s="125">
        <f>GA11/293.07*(1/(VLOOKUP($BM122,'Fuel economy adjusted factor'!$A$2:$L$52,5,FALSE)*m2k))/'TCO Inputs'!$AZ$84</f>
        <v>82.573888877491825</v>
      </c>
      <c r="GB122" s="125">
        <f>GB11/293.07*(1/(VLOOKUP($BM122,'Fuel economy adjusted factor'!$A$2:$L$52,5,FALSE)*m2k))/'TCO Inputs'!$AZ$84</f>
        <v>82.573888877491825</v>
      </c>
      <c r="GC122" s="125">
        <f>GC11/293.07*(1/(VLOOKUP($BM122,'Fuel economy adjusted factor'!$A$2:$L$52,5,FALSE)*m2k))/'TCO Inputs'!$AZ$84</f>
        <v>82.573888877491825</v>
      </c>
      <c r="GD122" s="125">
        <f>GD11/293.07*(1/(VLOOKUP($BM122,'Fuel economy adjusted factor'!$A$2:$L$52,5,FALSE)*m2k))/'TCO Inputs'!$AZ$84</f>
        <v>77.896410229832611</v>
      </c>
      <c r="GE122" s="98" cm="1">
        <f t="array" ref="GE122">SUMPRODUCT(INDEX(FC122:GD122,,'TCO Inputs'!$AZ$12-2023+_xlfn.SEQUENCE('TCO Inputs'!$AZ$13))*INDEX('VKT US'!C68:AA68,,_xlfn.SEQUENCE('TCO Inputs'!$AZ$13)))*m2k*CONVERT(0.9072,"g","ton")</f>
        <v>36.417492186119425</v>
      </c>
      <c r="GH122" s="123" t="s">
        <v>190</v>
      </c>
      <c r="GI122" s="125">
        <f>GI11/293.07*(1/(VLOOKUP($BM122,'Fuel economy adjusted factor'!$A$2:$L$52,5,FALSE)*m2k))/'TCO Inputs'!$AZ$84</f>
        <v>156.57933164440499</v>
      </c>
      <c r="GJ122" s="125">
        <f>GJ11/293.07*(1/(VLOOKUP($BM122,'Fuel economy adjusted factor'!$A$2:$L$52,5,FALSE)*m2k))/'TCO Inputs'!$AZ$84</f>
        <v>156.57933164440499</v>
      </c>
      <c r="GK122" s="125">
        <f>GK11/293.07*(1/(VLOOKUP($BM122,'Fuel economy adjusted factor'!$A$2:$L$52,5,FALSE)*m2k))/'TCO Inputs'!$AZ$84</f>
        <v>137.6626979398942</v>
      </c>
      <c r="GL122" s="125">
        <f>GL11/293.07*(1/(VLOOKUP($BM122,'Fuel economy adjusted factor'!$A$2:$L$52,5,FALSE)*m2k))/'TCO Inputs'!$AZ$84</f>
        <v>137.6626979398942</v>
      </c>
      <c r="GM122" s="125">
        <f>GM11/293.07*(1/(VLOOKUP($BM122,'Fuel economy adjusted factor'!$A$2:$L$52,5,FALSE)*m2k))/'TCO Inputs'!$AZ$84</f>
        <v>137.6626979398942</v>
      </c>
      <c r="GN122" s="125">
        <f>GN11/293.07*(1/(VLOOKUP($BM122,'Fuel economy adjusted factor'!$A$2:$L$52,5,FALSE)*m2k))/'TCO Inputs'!$AZ$84</f>
        <v>137.6626979398942</v>
      </c>
      <c r="GO122" s="125">
        <f>GO11/293.07*(1/(VLOOKUP($BM122,'Fuel economy adjusted factor'!$A$2:$L$52,5,FALSE)*m2k))/'TCO Inputs'!$AZ$84</f>
        <v>137.6626979398942</v>
      </c>
      <c r="GP122" s="125">
        <f>GP11/293.07*(1/(VLOOKUP($BM122,'Fuel economy adjusted factor'!$A$2:$L$52,5,FALSE)*m2k))/'TCO Inputs'!$AZ$84</f>
        <v>83.647849717618584</v>
      </c>
      <c r="GQ122" s="125">
        <f>GQ11/293.07*(1/(VLOOKUP($BM122,'Fuel economy adjusted factor'!$A$2:$L$52,5,FALSE)*m2k))/'TCO Inputs'!$AZ$84</f>
        <v>83.647849717618584</v>
      </c>
      <c r="GR122" s="125">
        <f>GR11/293.07*(1/(VLOOKUP($BM122,'Fuel economy adjusted factor'!$A$2:$L$52,5,FALSE)*m2k))/'TCO Inputs'!$AZ$84</f>
        <v>83.647849717618584</v>
      </c>
      <c r="GS122" s="125">
        <f>GS11/293.07*(1/(VLOOKUP($BM122,'Fuel economy adjusted factor'!$A$2:$L$52,5,FALSE)*m2k))/'TCO Inputs'!$AZ$84</f>
        <v>83.647849717618584</v>
      </c>
      <c r="GT122" s="125">
        <f>GT11/293.07*(1/(VLOOKUP($BM122,'Fuel economy adjusted factor'!$A$2:$L$52,5,FALSE)*m2k))/'TCO Inputs'!$AZ$84</f>
        <v>83.647849717618584</v>
      </c>
      <c r="GU122" s="125">
        <f>GU11/293.07*(1/(VLOOKUP($BM122,'Fuel economy adjusted factor'!$A$2:$L$52,5,FALSE)*m2k))/'TCO Inputs'!$AZ$84</f>
        <v>75.054939806581501</v>
      </c>
      <c r="GV122" s="125">
        <f>GV11/293.07*(1/(VLOOKUP($BM122,'Fuel economy adjusted factor'!$A$2:$L$52,5,FALSE)*m2k))/'TCO Inputs'!$AZ$84</f>
        <v>75.054939806581501</v>
      </c>
      <c r="GW122" s="125">
        <f>GW11/293.07*(1/(VLOOKUP($BM122,'Fuel economy adjusted factor'!$A$2:$L$52,5,FALSE)*m2k))/'TCO Inputs'!$AZ$84</f>
        <v>75.054939806581501</v>
      </c>
      <c r="GX122" s="125">
        <f>GX11/293.07*(1/(VLOOKUP($BM122,'Fuel economy adjusted factor'!$A$2:$L$52,5,FALSE)*m2k))/'TCO Inputs'!$AZ$84</f>
        <v>75.054939806581501</v>
      </c>
      <c r="GY122" s="125">
        <f>GY11/293.07*(1/(VLOOKUP($BM122,'Fuel economy adjusted factor'!$A$2:$L$52,5,FALSE)*m2k))/'TCO Inputs'!$AZ$84</f>
        <v>75.054939806581501</v>
      </c>
      <c r="GZ122" s="125">
        <f>GZ11/293.07*(1/(VLOOKUP($BM122,'Fuel economy adjusted factor'!$A$2:$L$52,5,FALSE)*m2k))/'TCO Inputs'!$AZ$84</f>
        <v>72.333342005576881</v>
      </c>
      <c r="HA122" s="125">
        <f>HA11/293.07*(1/(VLOOKUP($BM122,'Fuel economy adjusted factor'!$A$2:$L$52,5,FALSE)*m2k))/'TCO Inputs'!$AZ$84</f>
        <v>72.333342005576881</v>
      </c>
      <c r="HB122" s="125">
        <f>HB11/293.07*(1/(VLOOKUP($BM122,'Fuel economy adjusted factor'!$A$2:$L$52,5,FALSE)*m2k))/'TCO Inputs'!$AZ$84</f>
        <v>72.333342005576881</v>
      </c>
      <c r="HC122" s="125">
        <f>HC11/293.07*(1/(VLOOKUP($BM122,'Fuel economy adjusted factor'!$A$2:$L$52,5,FALSE)*m2k))/'TCO Inputs'!$AZ$84</f>
        <v>72.333342005576881</v>
      </c>
      <c r="HD122" s="125">
        <f>HD11/293.07*(1/(VLOOKUP($BM122,'Fuel economy adjusted factor'!$A$2:$L$52,5,FALSE)*m2k))/'TCO Inputs'!$AZ$84</f>
        <v>72.333342005576881</v>
      </c>
      <c r="HE122" s="125">
        <f>HE11/293.07*(1/(VLOOKUP($BM122,'Fuel economy adjusted factor'!$A$2:$L$52,5,FALSE)*m2k))/'TCO Inputs'!$AZ$84</f>
        <v>69.453952691615129</v>
      </c>
      <c r="HF122" s="125">
        <f>HF11/293.07*(1/(VLOOKUP($BM122,'Fuel economy adjusted factor'!$A$2:$L$52,5,FALSE)*m2k))/'TCO Inputs'!$AZ$84</f>
        <v>69.453952691615129</v>
      </c>
      <c r="HG122" s="125">
        <f>HG11/293.07*(1/(VLOOKUP($BM122,'Fuel economy adjusted factor'!$A$2:$L$52,5,FALSE)*m2k))/'TCO Inputs'!$AZ$84</f>
        <v>69.453952691615129</v>
      </c>
      <c r="HH122" s="125">
        <f>HH11/293.07*(1/(VLOOKUP($BM122,'Fuel economy adjusted factor'!$A$2:$L$52,5,FALSE)*m2k))/'TCO Inputs'!$AZ$84</f>
        <v>69.453952691615129</v>
      </c>
      <c r="HI122" s="125">
        <f>HI11/293.07*(1/(VLOOKUP($BM122,'Fuel economy adjusted factor'!$A$2:$L$52,5,FALSE)*m2k))/'TCO Inputs'!$AZ$84</f>
        <v>69.453952691615129</v>
      </c>
      <c r="HJ122" s="125">
        <f>HJ11/293.07*(1/(VLOOKUP($BM122,'Fuel economy adjusted factor'!$A$2:$L$52,5,FALSE)*m2k))/'TCO Inputs'!$AZ$84</f>
        <v>65.0406830889074</v>
      </c>
      <c r="HK122" s="98" cm="1">
        <f t="array" ref="HK122">SUMPRODUCT(INDEX(GI122:HJ122,,'TCO Inputs'!$AZ$12-2023+_xlfn.SEQUENCE('TCO Inputs'!$AZ$13))*INDEX('VKT US'!C68:AA68,,_xlfn.SEQUENCE('TCO Inputs'!$AZ$13)))*m2k*CONVERT(0.9072,"g","ton")</f>
        <v>31.505279726943062</v>
      </c>
    </row>
    <row r="123" spans="17:219" x14ac:dyDescent="0.25">
      <c r="Q123" s="198" t="s">
        <v>548</v>
      </c>
      <c r="R123" s="197">
        <f>EZ167/'US Grid mix, emissions&amp;prices'!$AK$219</f>
        <v>1.0483278493178196</v>
      </c>
      <c r="S123" s="196"/>
      <c r="T123" s="196"/>
      <c r="U123" s="196"/>
      <c r="V123" s="196"/>
      <c r="W123" s="196"/>
      <c r="Z123" s="123" t="s">
        <v>191</v>
      </c>
      <c r="AA123" s="125">
        <f>AA12/293.07*(1/(VLOOKUP($Z123,'Fuel economy adjusted factor'!$A$2:$L$52,5,FALSE)*m2k))/'TCO Inputs'!$AZ$84</f>
        <v>77.242686790273993</v>
      </c>
      <c r="AB123" s="125">
        <f>AB12/293.07*(1/(VLOOKUP($Z123,'Fuel economy adjusted factor'!$A$2:$L$52,5,FALSE)*m2k))/'TCO Inputs'!$AZ$84</f>
        <v>77.242686790273993</v>
      </c>
      <c r="AC123" s="125">
        <f>AC12/293.07*(1/(VLOOKUP($Z123,'Fuel economy adjusted factor'!$A$2:$L$52,5,FALSE)*m2k))/'TCO Inputs'!$AZ$84</f>
        <v>67.934467114566232</v>
      </c>
      <c r="AD123" s="125">
        <f>AD12/293.07*(1/(VLOOKUP($Z123,'Fuel economy adjusted factor'!$A$2:$L$52,5,FALSE)*m2k))/'TCO Inputs'!$AZ$84</f>
        <v>67.934467114566232</v>
      </c>
      <c r="AE123" s="125">
        <f>AE12/293.07*(1/(VLOOKUP($Z123,'Fuel economy adjusted factor'!$A$2:$L$52,5,FALSE)*m2k))/'TCO Inputs'!$AZ$84</f>
        <v>67.934467114566232</v>
      </c>
      <c r="AF123" s="125">
        <f>AF12/293.07*(1/(VLOOKUP($Z123,'Fuel economy adjusted factor'!$A$2:$L$52,5,FALSE)*m2k))/'TCO Inputs'!$AZ$84</f>
        <v>67.934467114566232</v>
      </c>
      <c r="AG123" s="125">
        <f>AG12/293.07*(1/(VLOOKUP($Z123,'Fuel economy adjusted factor'!$A$2:$L$52,5,FALSE)*m2k))/'TCO Inputs'!$AZ$84</f>
        <v>67.934467114566232</v>
      </c>
      <c r="AH123" s="125">
        <f>AH12/293.07*(1/(VLOOKUP($Z123,'Fuel economy adjusted factor'!$A$2:$L$52,5,FALSE)*m2k))/'TCO Inputs'!$AZ$84</f>
        <v>40.817587974885264</v>
      </c>
      <c r="AI123" s="125">
        <f>AI12/293.07*(1/(VLOOKUP($Z123,'Fuel economy adjusted factor'!$A$2:$L$52,5,FALSE)*m2k))/'TCO Inputs'!$AZ$84</f>
        <v>40.817587974885264</v>
      </c>
      <c r="AJ123" s="125">
        <f>AJ12/293.07*(1/(VLOOKUP($Z123,'Fuel economy adjusted factor'!$A$2:$L$52,5,FALSE)*m2k))/'TCO Inputs'!$AZ$84</f>
        <v>40.817587974885264</v>
      </c>
      <c r="AK123" s="125">
        <f>AK12/293.07*(1/(VLOOKUP($Z123,'Fuel economy adjusted factor'!$A$2:$L$52,5,FALSE)*m2k))/'TCO Inputs'!$AZ$84</f>
        <v>40.817587974885264</v>
      </c>
      <c r="AL123" s="125">
        <f>AL12/293.07*(1/(VLOOKUP($Z123,'Fuel economy adjusted factor'!$A$2:$L$52,5,FALSE)*m2k))/'TCO Inputs'!$AZ$84</f>
        <v>40.817587974885264</v>
      </c>
      <c r="AM123" s="125">
        <f>AM12/293.07*(1/(VLOOKUP($Z123,'Fuel economy adjusted factor'!$A$2:$L$52,5,FALSE)*m2k))/'TCO Inputs'!$AZ$84</f>
        <v>42.714709936033863</v>
      </c>
      <c r="AN123" s="125">
        <f>AN12/293.07*(1/(VLOOKUP($Z123,'Fuel economy adjusted factor'!$A$2:$L$52,5,FALSE)*m2k))/'TCO Inputs'!$AZ$84</f>
        <v>42.714709936033863</v>
      </c>
      <c r="AO123" s="125">
        <f>AO12/293.07*(1/(VLOOKUP($Z123,'Fuel economy adjusted factor'!$A$2:$L$52,5,FALSE)*m2k))/'TCO Inputs'!$AZ$84</f>
        <v>42.714709936033863</v>
      </c>
      <c r="AP123" s="125">
        <f>AP12/293.07*(1/(VLOOKUP($Z123,'Fuel economy adjusted factor'!$A$2:$L$52,5,FALSE)*m2k))/'TCO Inputs'!$AZ$84</f>
        <v>42.714709936033863</v>
      </c>
      <c r="AQ123" s="125">
        <f>AQ12/293.07*(1/(VLOOKUP($Z123,'Fuel economy adjusted factor'!$A$2:$L$52,5,FALSE)*m2k))/'TCO Inputs'!$AZ$84</f>
        <v>42.714709936033863</v>
      </c>
      <c r="AR123" s="125">
        <f>AR12/293.07*(1/(VLOOKUP($Z123,'Fuel economy adjusted factor'!$A$2:$L$52,5,FALSE)*m2k))/'TCO Inputs'!$AZ$84</f>
        <v>44.65171491299575</v>
      </c>
      <c r="AS123" s="125">
        <f>AS12/293.07*(1/(VLOOKUP($Z123,'Fuel economy adjusted factor'!$A$2:$L$52,5,FALSE)*m2k))/'TCO Inputs'!$AZ$84</f>
        <v>44.65171491299575</v>
      </c>
      <c r="AT123" s="125">
        <f>AT12/293.07*(1/(VLOOKUP($Z123,'Fuel economy adjusted factor'!$A$2:$L$52,5,FALSE)*m2k))/'TCO Inputs'!$AZ$84</f>
        <v>44.65171491299575</v>
      </c>
      <c r="AU123" s="125">
        <f>AU12/293.07*(1/(VLOOKUP($Z123,'Fuel economy adjusted factor'!$A$2:$L$52,5,FALSE)*m2k))/'TCO Inputs'!$AZ$84</f>
        <v>44.65171491299575</v>
      </c>
      <c r="AV123" s="125">
        <f>AV12/293.07*(1/(VLOOKUP($Z123,'Fuel economy adjusted factor'!$A$2:$L$52,5,FALSE)*m2k))/'TCO Inputs'!$AZ$84</f>
        <v>44.65171491299575</v>
      </c>
      <c r="AW123" s="125">
        <f>AW12/293.07*(1/(VLOOKUP($Z123,'Fuel economy adjusted factor'!$A$2:$L$52,5,FALSE)*m2k))/'TCO Inputs'!$AZ$84</f>
        <v>45.63152751043868</v>
      </c>
      <c r="AX123" s="125">
        <f>AX12/293.07*(1/(VLOOKUP($Z123,'Fuel economy adjusted factor'!$A$2:$L$52,5,FALSE)*m2k))/'TCO Inputs'!$AZ$84</f>
        <v>45.63152751043868</v>
      </c>
      <c r="AY123" s="125">
        <f>AY12/293.07*(1/(VLOOKUP($Z123,'Fuel economy adjusted factor'!$A$2:$L$52,5,FALSE)*m2k))/'TCO Inputs'!$AZ$84</f>
        <v>45.63152751043868</v>
      </c>
      <c r="AZ123" s="125">
        <f>AZ12/293.07*(1/(VLOOKUP($Z123,'Fuel economy adjusted factor'!$A$2:$L$52,5,FALSE)*m2k))/'TCO Inputs'!$AZ$84</f>
        <v>45.63152751043868</v>
      </c>
      <c r="BA123" s="125">
        <f>BA12/293.07*(1/(VLOOKUP($Z123,'Fuel economy adjusted factor'!$A$2:$L$52,5,FALSE)*m2k))/'TCO Inputs'!$AZ$84</f>
        <v>45.63152751043868</v>
      </c>
      <c r="BB123" s="125">
        <f>BB12/293.07*(1/(VLOOKUP($Z123,'Fuel economy adjusted factor'!$A$2:$L$52,5,FALSE)*m2k))/'TCO Inputs'!$AZ$84</f>
        <v>45.693435475283188</v>
      </c>
      <c r="BC123" s="98" cm="1">
        <f t="array" ref="BC123">SUMPRODUCT(INDEX(AA123:BB123,,'TCO Inputs'!$AZ$12-2023+_xlfn.SEQUENCE('TCO Inputs'!$AZ$13))*INDEX('VKT US'!C69:AA69,,_xlfn.SEQUENCE('TCO Inputs'!$AZ$13)))*m2k*CONVERT(0.9072,"g","ton")</f>
        <v>14.739086018606315</v>
      </c>
      <c r="BM123" s="123" t="s">
        <v>191</v>
      </c>
      <c r="BN123" s="125">
        <f>BN12/293.07*(1/(VLOOKUP($BM123,'Fuel economy adjusted factor'!$A$2:$L$52,5,FALSE)*m2k))</f>
        <v>65.656283771732888</v>
      </c>
      <c r="BO123" s="125">
        <f>BO12/293.07*(1/(VLOOKUP($BM123,'Fuel economy adjusted factor'!$A$2:$L$52,5,FALSE)*m2k))</f>
        <v>65.656283771732888</v>
      </c>
      <c r="BP123" s="125">
        <f>BP12/293.07*(1/(VLOOKUP($BM123,'Fuel economy adjusted factor'!$A$2:$L$52,5,FALSE)*m2k))</f>
        <v>57.668906242116314</v>
      </c>
      <c r="BQ123" s="125">
        <f>BQ12/293.07*(1/(VLOOKUP($BM123,'Fuel economy adjusted factor'!$A$2:$L$52,5,FALSE)*m2k))</f>
        <v>57.668906242116314</v>
      </c>
      <c r="BR123" s="125">
        <f>BR12/293.07*(1/(VLOOKUP($BM123,'Fuel economy adjusted factor'!$A$2:$L$52,5,FALSE)*m2k))</f>
        <v>57.668906242116314</v>
      </c>
      <c r="BS123" s="125">
        <f>BS12/293.07*(1/(VLOOKUP($BM123,'Fuel economy adjusted factor'!$A$2:$L$52,5,FALSE)*m2k))</f>
        <v>57.668906242116314</v>
      </c>
      <c r="BT123" s="125">
        <f>BT12/293.07*(1/(VLOOKUP($BM123,'Fuel economy adjusted factor'!$A$2:$L$52,5,FALSE)*m2k))</f>
        <v>57.668906242116314</v>
      </c>
      <c r="BU123" s="125">
        <f>BU12/293.07*(1/(VLOOKUP($BM123,'Fuel economy adjusted factor'!$A$2:$L$52,5,FALSE)*m2k))</f>
        <v>65.371417843114216</v>
      </c>
      <c r="BV123" s="125">
        <f>BV12/293.07*(1/(VLOOKUP($BM123,'Fuel economy adjusted factor'!$A$2:$L$52,5,FALSE)*m2k))</f>
        <v>65.371417843114216</v>
      </c>
      <c r="BW123" s="125">
        <f>BW12/293.07*(1/(VLOOKUP($BM123,'Fuel economy adjusted factor'!$A$2:$L$52,5,FALSE)*m2k))</f>
        <v>65.371417843114216</v>
      </c>
      <c r="BX123" s="125">
        <f>BX12/293.07*(1/(VLOOKUP($BM123,'Fuel economy adjusted factor'!$A$2:$L$52,5,FALSE)*m2k))</f>
        <v>65.371417843114216</v>
      </c>
      <c r="BY123" s="125">
        <f>BY12/293.07*(1/(VLOOKUP($BM123,'Fuel economy adjusted factor'!$A$2:$L$52,5,FALSE)*m2k))</f>
        <v>65.371417843114216</v>
      </c>
      <c r="BZ123" s="125">
        <f>BZ12/293.07*(1/(VLOOKUP($BM123,'Fuel economy adjusted factor'!$A$2:$L$52,5,FALSE)*m2k))</f>
        <v>66.943493225384501</v>
      </c>
      <c r="CA123" s="125">
        <f>CA12/293.07*(1/(VLOOKUP($BM123,'Fuel economy adjusted factor'!$A$2:$L$52,5,FALSE)*m2k))</f>
        <v>66.943493225384501</v>
      </c>
      <c r="CB123" s="125">
        <f>CB12/293.07*(1/(VLOOKUP($BM123,'Fuel economy adjusted factor'!$A$2:$L$52,5,FALSE)*m2k))</f>
        <v>66.943493225384501</v>
      </c>
      <c r="CC123" s="125">
        <f>CC12/293.07*(1/(VLOOKUP($BM123,'Fuel economy adjusted factor'!$A$2:$L$52,5,FALSE)*m2k))</f>
        <v>66.943493225384501</v>
      </c>
      <c r="CD123" s="125">
        <f>CD12/293.07*(1/(VLOOKUP($BM123,'Fuel economy adjusted factor'!$A$2:$L$52,5,FALSE)*m2k))</f>
        <v>66.943493225384501</v>
      </c>
      <c r="CE123" s="125">
        <f>CE12/293.07*(1/(VLOOKUP($BM123,'Fuel economy adjusted factor'!$A$2:$L$52,5,FALSE)*m2k))</f>
        <v>68.598043112743312</v>
      </c>
      <c r="CF123" s="125">
        <f>CF12/293.07*(1/(VLOOKUP($BM123,'Fuel economy adjusted factor'!$A$2:$L$52,5,FALSE)*m2k))</f>
        <v>68.598043112743312</v>
      </c>
      <c r="CG123" s="125">
        <f>CG12/293.07*(1/(VLOOKUP($BM123,'Fuel economy adjusted factor'!$A$2:$L$52,5,FALSE)*m2k))</f>
        <v>68.598043112743312</v>
      </c>
      <c r="CH123" s="125">
        <f>CH12/293.07*(1/(VLOOKUP($BM123,'Fuel economy adjusted factor'!$A$2:$L$52,5,FALSE)*m2k))</f>
        <v>68.598043112743312</v>
      </c>
      <c r="CI123" s="125">
        <f>CI12/293.07*(1/(VLOOKUP($BM123,'Fuel economy adjusted factor'!$A$2:$L$52,5,FALSE)*m2k))</f>
        <v>68.598043112743312</v>
      </c>
      <c r="CJ123" s="125">
        <f>CJ12/293.07*(1/(VLOOKUP($BM123,'Fuel economy adjusted factor'!$A$2:$L$52,5,FALSE)*m2k))</f>
        <v>68.990682474391775</v>
      </c>
      <c r="CK123" s="125">
        <f>CK12/293.07*(1/(VLOOKUP($BM123,'Fuel economy adjusted factor'!$A$2:$L$52,5,FALSE)*m2k))</f>
        <v>68.990682474391775</v>
      </c>
      <c r="CL123" s="125">
        <f>CL12/293.07*(1/(VLOOKUP($BM123,'Fuel economy adjusted factor'!$A$2:$L$52,5,FALSE)*m2k))</f>
        <v>68.990682474391775</v>
      </c>
      <c r="CM123" s="125">
        <f>CM12/293.07*(1/(VLOOKUP($BM123,'Fuel economy adjusted factor'!$A$2:$L$52,5,FALSE)*m2k))</f>
        <v>68.990682474391775</v>
      </c>
      <c r="CN123" s="125">
        <f>CN12/293.07*(1/(VLOOKUP($BM123,'Fuel economy adjusted factor'!$A$2:$L$52,5,FALSE)*m2k))</f>
        <v>68.990682474391775</v>
      </c>
      <c r="CO123" s="125">
        <f>CO12/293.07*(1/(VLOOKUP($BM123,'Fuel economy adjusted factor'!$A$2:$L$52,5,FALSE)*m2k))</f>
        <v>69.459724598422852</v>
      </c>
      <c r="CP123" s="98" cm="1">
        <f t="array" ref="CP123">SUMPRODUCT(INDEX(BN123:CO123,,'TCO Inputs'!$AZ$12-2023+_xlfn.SEQUENCE('TCO Inputs'!$AZ$13))*INDEX('VKT US'!C69:AA69,,_xlfn.SEQUENCE('TCO Inputs'!$AZ$13)))*m2k*CONVERT(0.9072,"g","ton")</f>
        <v>16.054012661189862</v>
      </c>
      <c r="CQ123" s="194"/>
      <c r="CR123" s="123" t="s">
        <v>191</v>
      </c>
      <c r="CS123" s="125">
        <f>CS12/293.07*(1/(VLOOKUP($BM123,'Fuel economy adjusted factor'!$A$2:$L$52,5,FALSE)*m2k))/'TCO Inputs'!$AZ$84</f>
        <v>93.520314662131028</v>
      </c>
      <c r="CT123" s="125">
        <f>CT12/293.07*(1/(VLOOKUP($BM123,'Fuel economy adjusted factor'!$A$2:$L$52,5,FALSE)*m2k))/'TCO Inputs'!$AZ$84</f>
        <v>93.520314662131042</v>
      </c>
      <c r="CU123" s="125">
        <f>CU12/293.07*(1/(VLOOKUP($BM123,'Fuel economy adjusted factor'!$A$2:$L$52,5,FALSE)*m2k))/'TCO Inputs'!$AZ$84</f>
        <v>93.520314662131042</v>
      </c>
      <c r="CV123" s="125">
        <f>CV12/293.07*(1/(VLOOKUP($BM123,'Fuel economy adjusted factor'!$A$2:$L$52,5,FALSE)*m2k))/'TCO Inputs'!$AZ$84</f>
        <v>93.520314662131042</v>
      </c>
      <c r="CW123" s="125">
        <f>CW12/293.07*(1/(VLOOKUP($BM123,'Fuel economy adjusted factor'!$A$2:$L$52,5,FALSE)*m2k))/'TCO Inputs'!$AZ$84</f>
        <v>93.520314662131042</v>
      </c>
      <c r="CX123" s="125">
        <f>CX12/293.07*(1/(VLOOKUP($BM123,'Fuel economy adjusted factor'!$A$2:$L$52,5,FALSE)*m2k))/'TCO Inputs'!$AZ$84</f>
        <v>93.520314662131042</v>
      </c>
      <c r="CY123" s="125">
        <f>CY12/293.07*(1/(VLOOKUP($BM123,'Fuel economy adjusted factor'!$A$2:$L$52,5,FALSE)*m2k))/'TCO Inputs'!$AZ$84</f>
        <v>93.520314662131042</v>
      </c>
      <c r="CZ123" s="125">
        <f>CZ12/293.07*(1/(VLOOKUP($BM123,'Fuel economy adjusted factor'!$A$2:$L$52,5,FALSE)*m2k))/'TCO Inputs'!$AZ$84</f>
        <v>93.541149073376786</v>
      </c>
      <c r="DA123" s="125">
        <f>DA12/293.07*(1/(VLOOKUP($BM123,'Fuel economy adjusted factor'!$A$2:$L$52,5,FALSE)*m2k))/'TCO Inputs'!$AZ$84</f>
        <v>93.541149073376786</v>
      </c>
      <c r="DB123" s="125">
        <f>DB12/293.07*(1/(VLOOKUP($BM123,'Fuel economy adjusted factor'!$A$2:$L$52,5,FALSE)*m2k))/'TCO Inputs'!$AZ$84</f>
        <v>93.541149073376786</v>
      </c>
      <c r="DC123" s="125">
        <f>DC12/293.07*(1/(VLOOKUP($BM123,'Fuel economy adjusted factor'!$A$2:$L$52,5,FALSE)*m2k))/'TCO Inputs'!$AZ$84</f>
        <v>93.541149073376786</v>
      </c>
      <c r="DD123" s="125">
        <f>DD12/293.07*(1/(VLOOKUP($BM123,'Fuel economy adjusted factor'!$A$2:$L$52,5,FALSE)*m2k))/'TCO Inputs'!$AZ$84</f>
        <v>93.541149073376786</v>
      </c>
      <c r="DE123" s="125">
        <f>DE12/293.07*(1/(VLOOKUP($BM123,'Fuel economy adjusted factor'!$A$2:$L$52,5,FALSE)*m2k))/'TCO Inputs'!$AZ$84</f>
        <v>93.529243695522069</v>
      </c>
      <c r="DF123" s="125">
        <f>DF12/293.07*(1/(VLOOKUP($BM123,'Fuel economy adjusted factor'!$A$2:$L$52,5,FALSE)*m2k))/'TCO Inputs'!$AZ$84</f>
        <v>93.529243695522069</v>
      </c>
      <c r="DG123" s="125">
        <f>DG12/293.07*(1/(VLOOKUP($BM123,'Fuel economy adjusted factor'!$A$2:$L$52,5,FALSE)*m2k))/'TCO Inputs'!$AZ$84</f>
        <v>93.529243695522069</v>
      </c>
      <c r="DH123" s="125">
        <f>DH12/293.07*(1/(VLOOKUP($BM123,'Fuel economy adjusted factor'!$A$2:$L$52,5,FALSE)*m2k))/'TCO Inputs'!$AZ$84</f>
        <v>93.529243695522069</v>
      </c>
      <c r="DI123" s="125">
        <f>DI12/293.07*(1/(VLOOKUP($BM123,'Fuel economy adjusted factor'!$A$2:$L$52,5,FALSE)*m2k))/'TCO Inputs'!$AZ$84</f>
        <v>93.529243695522069</v>
      </c>
      <c r="DJ123" s="125">
        <f>DJ12/293.07*(1/(VLOOKUP($BM123,'Fuel economy adjusted factor'!$A$2:$L$52,5,FALSE)*m2k))/'TCO Inputs'!$AZ$84</f>
        <v>93.526267351058394</v>
      </c>
      <c r="DK123" s="125">
        <f>DK12/293.07*(1/(VLOOKUP($BM123,'Fuel economy adjusted factor'!$A$2:$L$52,5,FALSE)*m2k))/'TCO Inputs'!$AZ$84</f>
        <v>93.526267351058394</v>
      </c>
      <c r="DL123" s="125">
        <f>DL12/293.07*(1/(VLOOKUP($BM123,'Fuel economy adjusted factor'!$A$2:$L$52,5,FALSE)*m2k))/'TCO Inputs'!$AZ$84</f>
        <v>93.526267351058394</v>
      </c>
      <c r="DM123" s="125">
        <f>DM12/293.07*(1/(VLOOKUP($BM123,'Fuel economy adjusted factor'!$A$2:$L$52,5,FALSE)*m2k))/'TCO Inputs'!$AZ$84</f>
        <v>93.526267351058394</v>
      </c>
      <c r="DN123" s="125">
        <f>DN12/293.07*(1/(VLOOKUP($BM123,'Fuel economy adjusted factor'!$A$2:$L$52,5,FALSE)*m2k))/'TCO Inputs'!$AZ$84</f>
        <v>93.526267351058394</v>
      </c>
      <c r="DO123" s="125">
        <f>DO12/293.07*(1/(VLOOKUP($BM123,'Fuel economy adjusted factor'!$A$2:$L$52,5,FALSE)*m2k))/'TCO Inputs'!$AZ$84</f>
        <v>93.468526268463037</v>
      </c>
      <c r="DP123" s="125">
        <f>DP12/293.07*(1/(VLOOKUP($BM123,'Fuel economy adjusted factor'!$A$2:$L$52,5,FALSE)*m2k))/'TCO Inputs'!$AZ$84</f>
        <v>93.468526268463037</v>
      </c>
      <c r="DQ123" s="125">
        <f>DQ12/293.07*(1/(VLOOKUP($BM123,'Fuel economy adjusted factor'!$A$2:$L$52,5,FALSE)*m2k))/'TCO Inputs'!$AZ$84</f>
        <v>93.468526268463037</v>
      </c>
      <c r="DR123" s="125">
        <f>DR12/293.07*(1/(VLOOKUP($BM123,'Fuel economy adjusted factor'!$A$2:$L$52,5,FALSE)*m2k))/'TCO Inputs'!$AZ$84</f>
        <v>93.468526268463037</v>
      </c>
      <c r="DS123" s="125">
        <f>DS12/293.07*(1/(VLOOKUP($BM123,'Fuel economy adjusted factor'!$A$2:$L$52,5,FALSE)*m2k))/'TCO Inputs'!$AZ$84</f>
        <v>93.468526268463037</v>
      </c>
      <c r="DT123" s="125">
        <f>DT12/293.07*(1/(VLOOKUP($BM123,'Fuel economy adjusted factor'!$A$2:$L$52,5,FALSE)*m2k))/'TCO Inputs'!$AZ$84</f>
        <v>93.516743048774615</v>
      </c>
      <c r="DU123" s="98" cm="1">
        <f t="array" ref="DU123">SUMPRODUCT(INDEX(CS123:DT123,,'TCO Inputs'!$AZ$12-2023+_xlfn.SEQUENCE('TCO Inputs'!$AZ$13))*INDEX('VKT US'!C69:AA69,,_xlfn.SEQUENCE('TCO Inputs'!$AZ$13)))*m2k*CONVERT(0.9072,"g","ton")</f>
        <v>23.957773172113441</v>
      </c>
      <c r="DW123" s="123" t="s">
        <v>191</v>
      </c>
      <c r="DX123" s="125">
        <f>DX12/293.07*(1/(VLOOKUP($BM123,'Fuel economy adjusted factor'!$A$2:$L$52,5,FALSE)*m2k))/'TCO Inputs'!$AZ$84</f>
        <v>97.897919576225277</v>
      </c>
      <c r="DY123" s="125">
        <f>DY12/293.07*(1/(VLOOKUP($BM123,'Fuel economy adjusted factor'!$A$2:$L$52,5,FALSE)*m2k))/'TCO Inputs'!$AZ$84</f>
        <v>97.897919576225277</v>
      </c>
      <c r="DZ123" s="125">
        <f>DZ12/293.07*(1/(VLOOKUP($BM123,'Fuel economy adjusted factor'!$A$2:$L$52,5,FALSE)*m2k))/'TCO Inputs'!$AZ$84</f>
        <v>85.817344408288534</v>
      </c>
      <c r="EA123" s="125">
        <f>EA12/293.07*(1/(VLOOKUP($BM123,'Fuel economy adjusted factor'!$A$2:$L$52,5,FALSE)*m2k))/'TCO Inputs'!$AZ$84</f>
        <v>85.817344408288534</v>
      </c>
      <c r="EB123" s="125">
        <f>EB12/293.07*(1/(VLOOKUP($BM123,'Fuel economy adjusted factor'!$A$2:$L$52,5,FALSE)*m2k))/'TCO Inputs'!$AZ$84</f>
        <v>85.817344408288534</v>
      </c>
      <c r="EC123" s="125">
        <f>EC12/293.07*(1/(VLOOKUP($BM123,'Fuel economy adjusted factor'!$A$2:$L$52,5,FALSE)*m2k))/'TCO Inputs'!$AZ$84</f>
        <v>85.817344408288534</v>
      </c>
      <c r="ED123" s="125">
        <f>ED12/293.07*(1/(VLOOKUP($BM123,'Fuel economy adjusted factor'!$A$2:$L$52,5,FALSE)*m2k))/'TCO Inputs'!$AZ$84</f>
        <v>85.817344408288534</v>
      </c>
      <c r="EE123" s="125">
        <f>EE12/293.07*(1/(VLOOKUP($BM123,'Fuel economy adjusted factor'!$A$2:$L$52,5,FALSE)*m2k))/'TCO Inputs'!$AZ$84</f>
        <v>52.892335699779856</v>
      </c>
      <c r="EF123" s="125">
        <f>EF12/293.07*(1/(VLOOKUP($BM123,'Fuel economy adjusted factor'!$A$2:$L$52,5,FALSE)*m2k))/'TCO Inputs'!$AZ$84</f>
        <v>52.892335699779856</v>
      </c>
      <c r="EG123" s="125">
        <f>EG12/293.07*(1/(VLOOKUP($BM123,'Fuel economy adjusted factor'!$A$2:$L$52,5,FALSE)*m2k))/'TCO Inputs'!$AZ$84</f>
        <v>52.892335699779856</v>
      </c>
      <c r="EH123" s="125">
        <f>EH12/293.07*(1/(VLOOKUP($BM123,'Fuel economy adjusted factor'!$A$2:$L$52,5,FALSE)*m2k))/'TCO Inputs'!$AZ$84</f>
        <v>52.892335699779856</v>
      </c>
      <c r="EI123" s="125">
        <f>EI12/293.07*(1/(VLOOKUP($BM123,'Fuel economy adjusted factor'!$A$2:$L$52,5,FALSE)*m2k))/'TCO Inputs'!$AZ$84</f>
        <v>52.892335699779856</v>
      </c>
      <c r="EJ123" s="125">
        <f>EJ12/293.07*(1/(VLOOKUP($BM123,'Fuel economy adjusted factor'!$A$2:$L$52,5,FALSE)*m2k))/'TCO Inputs'!$AZ$84</f>
        <v>47.23907047980039</v>
      </c>
      <c r="EK123" s="125">
        <f>EK12/293.07*(1/(VLOOKUP($BM123,'Fuel economy adjusted factor'!$A$2:$L$52,5,FALSE)*m2k))/'TCO Inputs'!$AZ$84</f>
        <v>47.23907047980039</v>
      </c>
      <c r="EL123" s="125">
        <f>EL12/293.07*(1/(VLOOKUP($BM123,'Fuel economy adjusted factor'!$A$2:$L$52,5,FALSE)*m2k))/'TCO Inputs'!$AZ$84</f>
        <v>47.23907047980039</v>
      </c>
      <c r="EM123" s="125">
        <f>EM12/293.07*(1/(VLOOKUP($BM123,'Fuel economy adjusted factor'!$A$2:$L$52,5,FALSE)*m2k))/'TCO Inputs'!$AZ$84</f>
        <v>47.23907047980039</v>
      </c>
      <c r="EN123" s="125">
        <f>EN12/293.07*(1/(VLOOKUP($BM123,'Fuel economy adjusted factor'!$A$2:$L$52,5,FALSE)*m2k))/'TCO Inputs'!$AZ$84</f>
        <v>47.23907047980039</v>
      </c>
      <c r="EO123" s="125">
        <f>EO12/293.07*(1/(VLOOKUP($BM123,'Fuel economy adjusted factor'!$A$2:$L$52,5,FALSE)*m2k))/'TCO Inputs'!$AZ$84</f>
        <v>45.752241547008751</v>
      </c>
      <c r="EP123" s="125">
        <f>EP12/293.07*(1/(VLOOKUP($BM123,'Fuel economy adjusted factor'!$A$2:$L$52,5,FALSE)*m2k))/'TCO Inputs'!$AZ$84</f>
        <v>45.752241547008751</v>
      </c>
      <c r="EQ123" s="125">
        <f>EQ12/293.07*(1/(VLOOKUP($BM123,'Fuel economy adjusted factor'!$A$2:$L$52,5,FALSE)*m2k))/'TCO Inputs'!$AZ$84</f>
        <v>45.752241547008751</v>
      </c>
      <c r="ER123" s="125">
        <f>ER12/293.07*(1/(VLOOKUP($BM123,'Fuel economy adjusted factor'!$A$2:$L$52,5,FALSE)*m2k))/'TCO Inputs'!$AZ$84</f>
        <v>45.752241547008751</v>
      </c>
      <c r="ES123" s="125">
        <f>ES12/293.07*(1/(VLOOKUP($BM123,'Fuel economy adjusted factor'!$A$2:$L$52,5,FALSE)*m2k))/'TCO Inputs'!$AZ$84</f>
        <v>45.752241547008751</v>
      </c>
      <c r="ET123" s="125">
        <f>ET12/293.07*(1/(VLOOKUP($BM123,'Fuel economy adjusted factor'!$A$2:$L$52,5,FALSE)*m2k))/'TCO Inputs'!$AZ$84</f>
        <v>44.053523275273463</v>
      </c>
      <c r="EU123" s="125">
        <f>EU12/293.07*(1/(VLOOKUP($BM123,'Fuel economy adjusted factor'!$A$2:$L$52,5,FALSE)*m2k))/'TCO Inputs'!$AZ$84</f>
        <v>44.053523275273463</v>
      </c>
      <c r="EV123" s="125">
        <f>EV12/293.07*(1/(VLOOKUP($BM123,'Fuel economy adjusted factor'!$A$2:$L$52,5,FALSE)*m2k))/'TCO Inputs'!$AZ$84</f>
        <v>44.053523275273463</v>
      </c>
      <c r="EW123" s="125">
        <f>EW12/293.07*(1/(VLOOKUP($BM123,'Fuel economy adjusted factor'!$A$2:$L$52,5,FALSE)*m2k))/'TCO Inputs'!$AZ$84</f>
        <v>44.053523275273463</v>
      </c>
      <c r="EX123" s="125">
        <f>EX12/293.07*(1/(VLOOKUP($BM123,'Fuel economy adjusted factor'!$A$2:$L$52,5,FALSE)*m2k))/'TCO Inputs'!$AZ$84</f>
        <v>44.053523275273463</v>
      </c>
      <c r="EY123" s="125">
        <f>EY12/293.07*(1/(VLOOKUP($BM123,'Fuel economy adjusted factor'!$A$2:$L$52,5,FALSE)*m2k))/'TCO Inputs'!$AZ$84</f>
        <v>41.389771585696195</v>
      </c>
      <c r="EZ123" s="98" cm="1">
        <f t="array" ref="EZ123">SUMPRODUCT(INDEX(DX123:EY123,,'TCO Inputs'!$AZ$12-2023+_xlfn.SEQUENCE('TCO Inputs'!$AZ$13))*INDEX('VKT US'!C69:AA69,,_xlfn.SEQUENCE('TCO Inputs'!$AZ$13)))*m2k*CONVERT(0.9072,"g","ton")</f>
        <v>18.538820683075581</v>
      </c>
      <c r="FB123" s="123" t="s">
        <v>191</v>
      </c>
      <c r="FC123" s="125">
        <f>FC12/293.07*(1/(VLOOKUP($BM123,'Fuel economy adjusted factor'!$A$2:$L$52,5,FALSE)*m2k))/'TCO Inputs'!$AZ$84</f>
        <v>106.18466658021863</v>
      </c>
      <c r="FD123" s="125">
        <f>FD12/293.07*(1/(VLOOKUP($BM123,'Fuel economy adjusted factor'!$A$2:$L$52,5,FALSE)*m2k))/'TCO Inputs'!$AZ$84</f>
        <v>106.18466658021863</v>
      </c>
      <c r="FE123" s="125">
        <f>FE12/293.07*(1/(VLOOKUP($BM123,'Fuel economy adjusted factor'!$A$2:$L$52,5,FALSE)*m2k))/'TCO Inputs'!$AZ$84</f>
        <v>92.73113498137154</v>
      </c>
      <c r="FF123" s="125">
        <f>FF12/293.07*(1/(VLOOKUP($BM123,'Fuel economy adjusted factor'!$A$2:$L$52,5,FALSE)*m2k))/'TCO Inputs'!$AZ$84</f>
        <v>92.73113498137154</v>
      </c>
      <c r="FG123" s="125">
        <f>FG12/293.07*(1/(VLOOKUP($BM123,'Fuel economy adjusted factor'!$A$2:$L$52,5,FALSE)*m2k))/'TCO Inputs'!$AZ$84</f>
        <v>92.73113498137154</v>
      </c>
      <c r="FH123" s="125">
        <f>FH12/293.07*(1/(VLOOKUP($BM123,'Fuel economy adjusted factor'!$A$2:$L$52,5,FALSE)*m2k))/'TCO Inputs'!$AZ$84</f>
        <v>92.73113498137154</v>
      </c>
      <c r="FI123" s="125">
        <f>FI12/293.07*(1/(VLOOKUP($BM123,'Fuel economy adjusted factor'!$A$2:$L$52,5,FALSE)*m2k))/'TCO Inputs'!$AZ$84</f>
        <v>92.73113498137154</v>
      </c>
      <c r="FJ123" s="125">
        <f>FJ12/293.07*(1/(VLOOKUP($BM123,'Fuel economy adjusted factor'!$A$2:$L$52,5,FALSE)*m2k))/'TCO Inputs'!$AZ$84</f>
        <v>58.191010597445469</v>
      </c>
      <c r="FK123" s="125">
        <f>FK12/293.07*(1/(VLOOKUP($BM123,'Fuel economy adjusted factor'!$A$2:$L$52,5,FALSE)*m2k))/'TCO Inputs'!$AZ$84</f>
        <v>58.191010597445469</v>
      </c>
      <c r="FL123" s="125">
        <f>FL12/293.07*(1/(VLOOKUP($BM123,'Fuel economy adjusted factor'!$A$2:$L$52,5,FALSE)*m2k))/'TCO Inputs'!$AZ$84</f>
        <v>58.191010597445469</v>
      </c>
      <c r="FM123" s="125">
        <f>FM12/293.07*(1/(VLOOKUP($BM123,'Fuel economy adjusted factor'!$A$2:$L$52,5,FALSE)*m2k))/'TCO Inputs'!$AZ$84</f>
        <v>58.191010597445469</v>
      </c>
      <c r="FN123" s="125">
        <f>FN12/293.07*(1/(VLOOKUP($BM123,'Fuel economy adjusted factor'!$A$2:$L$52,5,FALSE)*m2k))/'TCO Inputs'!$AZ$84</f>
        <v>58.191010597445469</v>
      </c>
      <c r="FO123" s="125">
        <f>FO12/293.07*(1/(VLOOKUP($BM123,'Fuel economy adjusted factor'!$A$2:$L$52,5,FALSE)*m2k))/'TCO Inputs'!$AZ$84</f>
        <v>51.670728796686383</v>
      </c>
      <c r="FP123" s="125">
        <f>FP12/293.07*(1/(VLOOKUP($BM123,'Fuel economy adjusted factor'!$A$2:$L$52,5,FALSE)*m2k))/'TCO Inputs'!$AZ$84</f>
        <v>51.670728796686383</v>
      </c>
      <c r="FQ123" s="125">
        <f>FQ12/293.07*(1/(VLOOKUP($BM123,'Fuel economy adjusted factor'!$A$2:$L$52,5,FALSE)*m2k))/'TCO Inputs'!$AZ$84</f>
        <v>51.670728796686383</v>
      </c>
      <c r="FR123" s="125">
        <f>FR12/293.07*(1/(VLOOKUP($BM123,'Fuel economy adjusted factor'!$A$2:$L$52,5,FALSE)*m2k))/'TCO Inputs'!$AZ$84</f>
        <v>51.670728796686383</v>
      </c>
      <c r="FS123" s="125">
        <f>FS12/293.07*(1/(VLOOKUP($BM123,'Fuel economy adjusted factor'!$A$2:$L$52,5,FALSE)*m2k))/'TCO Inputs'!$AZ$84</f>
        <v>51.670728796686383</v>
      </c>
      <c r="FT123" s="125">
        <f>FT12/293.07*(1/(VLOOKUP($BM123,'Fuel economy adjusted factor'!$A$2:$L$52,5,FALSE)*m2k))/'TCO Inputs'!$AZ$84</f>
        <v>50.355429328753878</v>
      </c>
      <c r="FU123" s="125">
        <f>FU12/293.07*(1/(VLOOKUP($BM123,'Fuel economy adjusted factor'!$A$2:$L$52,5,FALSE)*m2k))/'TCO Inputs'!$AZ$84</f>
        <v>50.355429328753878</v>
      </c>
      <c r="FV123" s="125">
        <f>FV12/293.07*(1/(VLOOKUP($BM123,'Fuel economy adjusted factor'!$A$2:$L$52,5,FALSE)*m2k))/'TCO Inputs'!$AZ$84</f>
        <v>50.355429328753878</v>
      </c>
      <c r="FW123" s="125">
        <f>FW12/293.07*(1/(VLOOKUP($BM123,'Fuel economy adjusted factor'!$A$2:$L$52,5,FALSE)*m2k))/'TCO Inputs'!$AZ$84</f>
        <v>50.355429328753878</v>
      </c>
      <c r="FX123" s="125">
        <f>FX12/293.07*(1/(VLOOKUP($BM123,'Fuel economy adjusted factor'!$A$2:$L$52,5,FALSE)*m2k))/'TCO Inputs'!$AZ$84</f>
        <v>50.355429328753878</v>
      </c>
      <c r="FY123" s="125">
        <f>FY12/293.07*(1/(VLOOKUP($BM123,'Fuel economy adjusted factor'!$A$2:$L$52,5,FALSE)*m2k))/'TCO Inputs'!$AZ$84</f>
        <v>48.653107496832483</v>
      </c>
      <c r="FZ123" s="125">
        <f>FZ12/293.07*(1/(VLOOKUP($BM123,'Fuel economy adjusted factor'!$A$2:$L$52,5,FALSE)*m2k))/'TCO Inputs'!$AZ$84</f>
        <v>48.653107496832483</v>
      </c>
      <c r="GA123" s="125">
        <f>GA12/293.07*(1/(VLOOKUP($BM123,'Fuel economy adjusted factor'!$A$2:$L$52,5,FALSE)*m2k))/'TCO Inputs'!$AZ$84</f>
        <v>48.653107496832483</v>
      </c>
      <c r="GB123" s="125">
        <f>GB12/293.07*(1/(VLOOKUP($BM123,'Fuel economy adjusted factor'!$A$2:$L$52,5,FALSE)*m2k))/'TCO Inputs'!$AZ$84</f>
        <v>48.653107496832483</v>
      </c>
      <c r="GC123" s="125">
        <f>GC12/293.07*(1/(VLOOKUP($BM123,'Fuel economy adjusted factor'!$A$2:$L$52,5,FALSE)*m2k))/'TCO Inputs'!$AZ$84</f>
        <v>48.653107496832483</v>
      </c>
      <c r="GD123" s="125">
        <f>GD12/293.07*(1/(VLOOKUP($BM123,'Fuel economy adjusted factor'!$A$2:$L$52,5,FALSE)*m2k))/'TCO Inputs'!$AZ$84</f>
        <v>45.89710466649062</v>
      </c>
      <c r="GE123" s="98" cm="1">
        <f t="array" ref="GE123">SUMPRODUCT(INDEX(FC123:GD123,,'TCO Inputs'!$AZ$12-2023+_xlfn.SEQUENCE('TCO Inputs'!$AZ$13))*INDEX('VKT US'!C69:AA69,,_xlfn.SEQUENCE('TCO Inputs'!$AZ$13)))*m2k*CONVERT(0.9072,"g","ton")</f>
        <v>20.156584635260781</v>
      </c>
      <c r="GH123" s="123" t="s">
        <v>191</v>
      </c>
      <c r="GI123" s="125">
        <f>GI12/293.07*(1/(VLOOKUP($BM123,'Fuel economy adjusted factor'!$A$2:$L$52,5,FALSE)*m2k))/'TCO Inputs'!$AZ$84</f>
        <v>92.257627172915832</v>
      </c>
      <c r="GJ123" s="125">
        <f>GJ12/293.07*(1/(VLOOKUP($BM123,'Fuel economy adjusted factor'!$A$2:$L$52,5,FALSE)*m2k))/'TCO Inputs'!$AZ$84</f>
        <v>92.257627172915832</v>
      </c>
      <c r="GK123" s="125">
        <f>GK12/293.07*(1/(VLOOKUP($BM123,'Fuel economy adjusted factor'!$A$2:$L$52,5,FALSE)*m2k))/'TCO Inputs'!$AZ$84</f>
        <v>81.111815517257696</v>
      </c>
      <c r="GL123" s="125">
        <f>GL12/293.07*(1/(VLOOKUP($BM123,'Fuel economy adjusted factor'!$A$2:$L$52,5,FALSE)*m2k))/'TCO Inputs'!$AZ$84</f>
        <v>81.111815517257696</v>
      </c>
      <c r="GM123" s="125">
        <f>GM12/293.07*(1/(VLOOKUP($BM123,'Fuel economy adjusted factor'!$A$2:$L$52,5,FALSE)*m2k))/'TCO Inputs'!$AZ$84</f>
        <v>81.111815517257696</v>
      </c>
      <c r="GN123" s="125">
        <f>GN12/293.07*(1/(VLOOKUP($BM123,'Fuel economy adjusted factor'!$A$2:$L$52,5,FALSE)*m2k))/'TCO Inputs'!$AZ$84</f>
        <v>81.111815517257696</v>
      </c>
      <c r="GO123" s="125">
        <f>GO12/293.07*(1/(VLOOKUP($BM123,'Fuel economy adjusted factor'!$A$2:$L$52,5,FALSE)*m2k))/'TCO Inputs'!$AZ$84</f>
        <v>81.111815517257696</v>
      </c>
      <c r="GP123" s="125">
        <f>GP12/293.07*(1/(VLOOKUP($BM123,'Fuel economy adjusted factor'!$A$2:$L$52,5,FALSE)*m2k))/'TCO Inputs'!$AZ$84</f>
        <v>49.285892665514531</v>
      </c>
      <c r="GQ123" s="125">
        <f>GQ12/293.07*(1/(VLOOKUP($BM123,'Fuel economy adjusted factor'!$A$2:$L$52,5,FALSE)*m2k))/'TCO Inputs'!$AZ$84</f>
        <v>49.285892665514531</v>
      </c>
      <c r="GR123" s="125">
        <f>GR12/293.07*(1/(VLOOKUP($BM123,'Fuel economy adjusted factor'!$A$2:$L$52,5,FALSE)*m2k))/'TCO Inputs'!$AZ$84</f>
        <v>49.285892665514531</v>
      </c>
      <c r="GS123" s="125">
        <f>GS12/293.07*(1/(VLOOKUP($BM123,'Fuel economy adjusted factor'!$A$2:$L$52,5,FALSE)*m2k))/'TCO Inputs'!$AZ$84</f>
        <v>49.285892665514531</v>
      </c>
      <c r="GT123" s="125">
        <f>GT12/293.07*(1/(VLOOKUP($BM123,'Fuel economy adjusted factor'!$A$2:$L$52,5,FALSE)*m2k))/'TCO Inputs'!$AZ$84</f>
        <v>49.285892665514531</v>
      </c>
      <c r="GU123" s="125">
        <f>GU12/293.07*(1/(VLOOKUP($BM123,'Fuel economy adjusted factor'!$A$2:$L$52,5,FALSE)*m2k))/'TCO Inputs'!$AZ$84</f>
        <v>44.222890604020932</v>
      </c>
      <c r="GV123" s="125">
        <f>GV12/293.07*(1/(VLOOKUP($BM123,'Fuel economy adjusted factor'!$A$2:$L$52,5,FALSE)*m2k))/'TCO Inputs'!$AZ$84</f>
        <v>44.222890604020932</v>
      </c>
      <c r="GW123" s="125">
        <f>GW12/293.07*(1/(VLOOKUP($BM123,'Fuel economy adjusted factor'!$A$2:$L$52,5,FALSE)*m2k))/'TCO Inputs'!$AZ$84</f>
        <v>44.222890604020932</v>
      </c>
      <c r="GX123" s="125">
        <f>GX12/293.07*(1/(VLOOKUP($BM123,'Fuel economy adjusted factor'!$A$2:$L$52,5,FALSE)*m2k))/'TCO Inputs'!$AZ$84</f>
        <v>44.222890604020932</v>
      </c>
      <c r="GY123" s="125">
        <f>GY12/293.07*(1/(VLOOKUP($BM123,'Fuel economy adjusted factor'!$A$2:$L$52,5,FALSE)*m2k))/'TCO Inputs'!$AZ$84</f>
        <v>44.222890604020932</v>
      </c>
      <c r="GZ123" s="125">
        <f>GZ12/293.07*(1/(VLOOKUP($BM123,'Fuel economy adjusted factor'!$A$2:$L$52,5,FALSE)*m2k))/'TCO Inputs'!$AZ$84</f>
        <v>42.619306321199119</v>
      </c>
      <c r="HA123" s="125">
        <f>HA12/293.07*(1/(VLOOKUP($BM123,'Fuel economy adjusted factor'!$A$2:$L$52,5,FALSE)*m2k))/'TCO Inputs'!$AZ$84</f>
        <v>42.619306321199119</v>
      </c>
      <c r="HB123" s="125">
        <f>HB12/293.07*(1/(VLOOKUP($BM123,'Fuel economy adjusted factor'!$A$2:$L$52,5,FALSE)*m2k))/'TCO Inputs'!$AZ$84</f>
        <v>42.619306321199119</v>
      </c>
      <c r="HC123" s="125">
        <f>HC12/293.07*(1/(VLOOKUP($BM123,'Fuel economy adjusted factor'!$A$2:$L$52,5,FALSE)*m2k))/'TCO Inputs'!$AZ$84</f>
        <v>42.619306321199119</v>
      </c>
      <c r="HD123" s="125">
        <f>HD12/293.07*(1/(VLOOKUP($BM123,'Fuel economy adjusted factor'!$A$2:$L$52,5,FALSE)*m2k))/'TCO Inputs'!$AZ$84</f>
        <v>42.619306321199119</v>
      </c>
      <c r="HE123" s="125">
        <f>HE12/293.07*(1/(VLOOKUP($BM123,'Fuel economy adjusted factor'!$A$2:$L$52,5,FALSE)*m2k))/'TCO Inputs'!$AZ$84</f>
        <v>40.922750185575488</v>
      </c>
      <c r="HF123" s="125">
        <f>HF12/293.07*(1/(VLOOKUP($BM123,'Fuel economy adjusted factor'!$A$2:$L$52,5,FALSE)*m2k))/'TCO Inputs'!$AZ$84</f>
        <v>40.922750185575488</v>
      </c>
      <c r="HG123" s="125">
        <f>HG12/293.07*(1/(VLOOKUP($BM123,'Fuel economy adjusted factor'!$A$2:$L$52,5,FALSE)*m2k))/'TCO Inputs'!$AZ$84</f>
        <v>40.922750185575488</v>
      </c>
      <c r="HH123" s="125">
        <f>HH12/293.07*(1/(VLOOKUP($BM123,'Fuel economy adjusted factor'!$A$2:$L$52,5,FALSE)*m2k))/'TCO Inputs'!$AZ$84</f>
        <v>40.922750185575488</v>
      </c>
      <c r="HI123" s="125">
        <f>HI12/293.07*(1/(VLOOKUP($BM123,'Fuel economy adjusted factor'!$A$2:$L$52,5,FALSE)*m2k))/'TCO Inputs'!$AZ$84</f>
        <v>40.922750185575488</v>
      </c>
      <c r="HJ123" s="125">
        <f>HJ12/293.07*(1/(VLOOKUP($BM123,'Fuel economy adjusted factor'!$A$2:$L$52,5,FALSE)*m2k))/'TCO Inputs'!$AZ$84</f>
        <v>38.322421155273872</v>
      </c>
      <c r="HK123" s="98" cm="1">
        <f t="array" ref="HK123">SUMPRODUCT(INDEX(GI123:HJ123,,'TCO Inputs'!$AZ$12-2023+_xlfn.SEQUENCE('TCO Inputs'!$AZ$13))*INDEX('VKT US'!C69:AA69,,_xlfn.SEQUENCE('TCO Inputs'!$AZ$13)))*m2k*CONVERT(0.9072,"g","ton")</f>
        <v>17.437742116568355</v>
      </c>
    </row>
    <row r="124" spans="17:219" x14ac:dyDescent="0.25">
      <c r="Q124" s="198" t="s">
        <v>549</v>
      </c>
      <c r="R124" s="197">
        <f>EZ223/'US Grid mix, emissions&amp;prices'!$AK$219</f>
        <v>1.0941791240006296</v>
      </c>
      <c r="S124" s="196"/>
      <c r="T124" s="196"/>
      <c r="U124" s="196"/>
      <c r="V124" s="196"/>
      <c r="W124" s="196"/>
      <c r="Z124" s="123" t="s">
        <v>192</v>
      </c>
      <c r="AA124" s="125">
        <f>AA13/293.07*(1/(VLOOKUP($Z124,'Fuel economy adjusted factor'!$A$2:$L$52,5,FALSE)*m2k))/'TCO Inputs'!$AZ$84</f>
        <v>115.37945831803361</v>
      </c>
      <c r="AB124" s="125">
        <f>AB13/293.07*(1/(VLOOKUP($Z124,'Fuel economy adjusted factor'!$A$2:$L$52,5,FALSE)*m2k))/'TCO Inputs'!$AZ$84</f>
        <v>115.37945831803361</v>
      </c>
      <c r="AC124" s="125">
        <f>AC13/293.07*(1/(VLOOKUP($Z124,'Fuel economy adjusted factor'!$A$2:$L$52,5,FALSE)*m2k))/'TCO Inputs'!$AZ$84</f>
        <v>101.47552270009686</v>
      </c>
      <c r="AD124" s="125">
        <f>AD13/293.07*(1/(VLOOKUP($Z124,'Fuel economy adjusted factor'!$A$2:$L$52,5,FALSE)*m2k))/'TCO Inputs'!$AZ$84</f>
        <v>101.47552270009686</v>
      </c>
      <c r="AE124" s="125">
        <f>AE13/293.07*(1/(VLOOKUP($Z124,'Fuel economy adjusted factor'!$A$2:$L$52,5,FALSE)*m2k))/'TCO Inputs'!$AZ$84</f>
        <v>101.47552270009686</v>
      </c>
      <c r="AF124" s="125">
        <f>AF13/293.07*(1/(VLOOKUP($Z124,'Fuel economy adjusted factor'!$A$2:$L$52,5,FALSE)*m2k))/'TCO Inputs'!$AZ$84</f>
        <v>101.47552270009686</v>
      </c>
      <c r="AG124" s="125">
        <f>AG13/293.07*(1/(VLOOKUP($Z124,'Fuel economy adjusted factor'!$A$2:$L$52,5,FALSE)*m2k))/'TCO Inputs'!$AZ$84</f>
        <v>101.47552270009686</v>
      </c>
      <c r="AH124" s="125">
        <f>AH13/293.07*(1/(VLOOKUP($Z124,'Fuel economy adjusted factor'!$A$2:$L$52,5,FALSE)*m2k))/'TCO Inputs'!$AZ$84</f>
        <v>60.970318176243744</v>
      </c>
      <c r="AI124" s="125">
        <f>AI13/293.07*(1/(VLOOKUP($Z124,'Fuel economy adjusted factor'!$A$2:$L$52,5,FALSE)*m2k))/'TCO Inputs'!$AZ$84</f>
        <v>60.970318176243744</v>
      </c>
      <c r="AJ124" s="125">
        <f>AJ13/293.07*(1/(VLOOKUP($Z124,'Fuel economy adjusted factor'!$A$2:$L$52,5,FALSE)*m2k))/'TCO Inputs'!$AZ$84</f>
        <v>60.970318176243744</v>
      </c>
      <c r="AK124" s="125">
        <f>AK13/293.07*(1/(VLOOKUP($Z124,'Fuel economy adjusted factor'!$A$2:$L$52,5,FALSE)*m2k))/'TCO Inputs'!$AZ$84</f>
        <v>60.970318176243744</v>
      </c>
      <c r="AL124" s="125">
        <f>AL13/293.07*(1/(VLOOKUP($Z124,'Fuel economy adjusted factor'!$A$2:$L$52,5,FALSE)*m2k))/'TCO Inputs'!$AZ$84</f>
        <v>60.970318176243744</v>
      </c>
      <c r="AM124" s="125">
        <f>AM13/293.07*(1/(VLOOKUP($Z124,'Fuel economy adjusted factor'!$A$2:$L$52,5,FALSE)*m2k))/'TCO Inputs'!$AZ$84</f>
        <v>63.804099772097452</v>
      </c>
      <c r="AN124" s="125">
        <f>AN13/293.07*(1/(VLOOKUP($Z124,'Fuel economy adjusted factor'!$A$2:$L$52,5,FALSE)*m2k))/'TCO Inputs'!$AZ$84</f>
        <v>63.804099772097452</v>
      </c>
      <c r="AO124" s="125">
        <f>AO13/293.07*(1/(VLOOKUP($Z124,'Fuel economy adjusted factor'!$A$2:$L$52,5,FALSE)*m2k))/'TCO Inputs'!$AZ$84</f>
        <v>63.804099772097452</v>
      </c>
      <c r="AP124" s="125">
        <f>AP13/293.07*(1/(VLOOKUP($Z124,'Fuel economy adjusted factor'!$A$2:$L$52,5,FALSE)*m2k))/'TCO Inputs'!$AZ$84</f>
        <v>63.804099772097452</v>
      </c>
      <c r="AQ124" s="125">
        <f>AQ13/293.07*(1/(VLOOKUP($Z124,'Fuel economy adjusted factor'!$A$2:$L$52,5,FALSE)*m2k))/'TCO Inputs'!$AZ$84</f>
        <v>63.804099772097452</v>
      </c>
      <c r="AR124" s="125">
        <f>AR13/293.07*(1/(VLOOKUP($Z124,'Fuel economy adjusted factor'!$A$2:$L$52,5,FALSE)*m2k))/'TCO Inputs'!$AZ$84</f>
        <v>66.697455690800936</v>
      </c>
      <c r="AS124" s="125">
        <f>AS13/293.07*(1/(VLOOKUP($Z124,'Fuel economy adjusted factor'!$A$2:$L$52,5,FALSE)*m2k))/'TCO Inputs'!$AZ$84</f>
        <v>66.697455690800936</v>
      </c>
      <c r="AT124" s="125">
        <f>AT13/293.07*(1/(VLOOKUP($Z124,'Fuel economy adjusted factor'!$A$2:$L$52,5,FALSE)*m2k))/'TCO Inputs'!$AZ$84</f>
        <v>66.697455690800936</v>
      </c>
      <c r="AU124" s="125">
        <f>AU13/293.07*(1/(VLOOKUP($Z124,'Fuel economy adjusted factor'!$A$2:$L$52,5,FALSE)*m2k))/'TCO Inputs'!$AZ$84</f>
        <v>66.697455690800936</v>
      </c>
      <c r="AV124" s="125">
        <f>AV13/293.07*(1/(VLOOKUP($Z124,'Fuel economy adjusted factor'!$A$2:$L$52,5,FALSE)*m2k))/'TCO Inputs'!$AZ$84</f>
        <v>66.697455690800936</v>
      </c>
      <c r="AW124" s="125">
        <f>AW13/293.07*(1/(VLOOKUP($Z124,'Fuel economy adjusted factor'!$A$2:$L$52,5,FALSE)*m2k))/'TCO Inputs'!$AZ$84</f>
        <v>68.161027861110057</v>
      </c>
      <c r="AX124" s="125">
        <f>AX13/293.07*(1/(VLOOKUP($Z124,'Fuel economy adjusted factor'!$A$2:$L$52,5,FALSE)*m2k))/'TCO Inputs'!$AZ$84</f>
        <v>68.161027861110057</v>
      </c>
      <c r="AY124" s="125">
        <f>AY13/293.07*(1/(VLOOKUP($Z124,'Fuel economy adjusted factor'!$A$2:$L$52,5,FALSE)*m2k))/'TCO Inputs'!$AZ$84</f>
        <v>68.161027861110057</v>
      </c>
      <c r="AZ124" s="125">
        <f>AZ13/293.07*(1/(VLOOKUP($Z124,'Fuel economy adjusted factor'!$A$2:$L$52,5,FALSE)*m2k))/'TCO Inputs'!$AZ$84</f>
        <v>68.161027861110057</v>
      </c>
      <c r="BA124" s="125">
        <f>BA13/293.07*(1/(VLOOKUP($Z124,'Fuel economy adjusted factor'!$A$2:$L$52,5,FALSE)*m2k))/'TCO Inputs'!$AZ$84</f>
        <v>68.161027861110057</v>
      </c>
      <c r="BB124" s="125">
        <f>BB13/293.07*(1/(VLOOKUP($Z124,'Fuel economy adjusted factor'!$A$2:$L$52,5,FALSE)*m2k))/'TCO Inputs'!$AZ$84</f>
        <v>68.25350143687686</v>
      </c>
      <c r="BC124" s="98" cm="1">
        <f t="array" ref="BC124">SUMPRODUCT(INDEX(AA124:BB124,,'TCO Inputs'!$AZ$12-2023+_xlfn.SEQUENCE('TCO Inputs'!$AZ$13))*INDEX('VKT US'!C70:AA70,,_xlfn.SEQUENCE('TCO Inputs'!$AZ$13)))*m2k*CONVERT(0.9072,"g","ton")</f>
        <v>22.910112100604252</v>
      </c>
      <c r="BM124" s="123" t="s">
        <v>192</v>
      </c>
      <c r="BN124" s="125">
        <f>BN13/293.07*(1/(VLOOKUP($BM124,'Fuel economy adjusted factor'!$A$2:$L$52,5,FALSE)*m2k))</f>
        <v>98.072539570328573</v>
      </c>
      <c r="BO124" s="125">
        <f>BO13/293.07*(1/(VLOOKUP($BM124,'Fuel economy adjusted factor'!$A$2:$L$52,5,FALSE)*m2k))</f>
        <v>98.072539570328573</v>
      </c>
      <c r="BP124" s="125">
        <f>BP13/293.07*(1/(VLOOKUP($BM124,'Fuel economy adjusted factor'!$A$2:$L$52,5,FALSE)*m2k))</f>
        <v>86.141581041516304</v>
      </c>
      <c r="BQ124" s="125">
        <f>BQ13/293.07*(1/(VLOOKUP($BM124,'Fuel economy adjusted factor'!$A$2:$L$52,5,FALSE)*m2k))</f>
        <v>86.141581041516304</v>
      </c>
      <c r="BR124" s="125">
        <f>BR13/293.07*(1/(VLOOKUP($BM124,'Fuel economy adjusted factor'!$A$2:$L$52,5,FALSE)*m2k))</f>
        <v>86.141581041516304</v>
      </c>
      <c r="BS124" s="125">
        <f>BS13/293.07*(1/(VLOOKUP($BM124,'Fuel economy adjusted factor'!$A$2:$L$52,5,FALSE)*m2k))</f>
        <v>86.141581041516304</v>
      </c>
      <c r="BT124" s="125">
        <f>BT13/293.07*(1/(VLOOKUP($BM124,'Fuel economy adjusted factor'!$A$2:$L$52,5,FALSE)*m2k))</f>
        <v>86.141581041516304</v>
      </c>
      <c r="BU124" s="125">
        <f>BU13/293.07*(1/(VLOOKUP($BM124,'Fuel economy adjusted factor'!$A$2:$L$52,5,FALSE)*m2k))</f>
        <v>97.647027746451627</v>
      </c>
      <c r="BV124" s="125">
        <f>BV13/293.07*(1/(VLOOKUP($BM124,'Fuel economy adjusted factor'!$A$2:$L$52,5,FALSE)*m2k))</f>
        <v>97.647027746451627</v>
      </c>
      <c r="BW124" s="125">
        <f>BW13/293.07*(1/(VLOOKUP($BM124,'Fuel economy adjusted factor'!$A$2:$L$52,5,FALSE)*m2k))</f>
        <v>97.647027746451627</v>
      </c>
      <c r="BX124" s="125">
        <f>BX13/293.07*(1/(VLOOKUP($BM124,'Fuel economy adjusted factor'!$A$2:$L$52,5,FALSE)*m2k))</f>
        <v>97.647027746451627</v>
      </c>
      <c r="BY124" s="125">
        <f>BY13/293.07*(1/(VLOOKUP($BM124,'Fuel economy adjusted factor'!$A$2:$L$52,5,FALSE)*m2k))</f>
        <v>97.647027746451627</v>
      </c>
      <c r="BZ124" s="125">
        <f>BZ13/293.07*(1/(VLOOKUP($BM124,'Fuel economy adjusted factor'!$A$2:$L$52,5,FALSE)*m2k))</f>
        <v>99.995278611079755</v>
      </c>
      <c r="CA124" s="125">
        <f>CA13/293.07*(1/(VLOOKUP($BM124,'Fuel economy adjusted factor'!$A$2:$L$52,5,FALSE)*m2k))</f>
        <v>99.995278611079755</v>
      </c>
      <c r="CB124" s="125">
        <f>CB13/293.07*(1/(VLOOKUP($BM124,'Fuel economy adjusted factor'!$A$2:$L$52,5,FALSE)*m2k))</f>
        <v>99.995278611079755</v>
      </c>
      <c r="CC124" s="125">
        <f>CC13/293.07*(1/(VLOOKUP($BM124,'Fuel economy adjusted factor'!$A$2:$L$52,5,FALSE)*m2k))</f>
        <v>99.995278611079755</v>
      </c>
      <c r="CD124" s="125">
        <f>CD13/293.07*(1/(VLOOKUP($BM124,'Fuel economy adjusted factor'!$A$2:$L$52,5,FALSE)*m2k))</f>
        <v>99.995278611079755</v>
      </c>
      <c r="CE124" s="125">
        <f>CE13/293.07*(1/(VLOOKUP($BM124,'Fuel economy adjusted factor'!$A$2:$L$52,5,FALSE)*m2k))</f>
        <v>102.46672384034721</v>
      </c>
      <c r="CF124" s="125">
        <f>CF13/293.07*(1/(VLOOKUP($BM124,'Fuel economy adjusted factor'!$A$2:$L$52,5,FALSE)*m2k))</f>
        <v>102.46672384034721</v>
      </c>
      <c r="CG124" s="125">
        <f>CG13/293.07*(1/(VLOOKUP($BM124,'Fuel economy adjusted factor'!$A$2:$L$52,5,FALSE)*m2k))</f>
        <v>102.46672384034721</v>
      </c>
      <c r="CH124" s="125">
        <f>CH13/293.07*(1/(VLOOKUP($BM124,'Fuel economy adjusted factor'!$A$2:$L$52,5,FALSE)*m2k))</f>
        <v>102.46672384034721</v>
      </c>
      <c r="CI124" s="125">
        <f>CI13/293.07*(1/(VLOOKUP($BM124,'Fuel economy adjusted factor'!$A$2:$L$52,5,FALSE)*m2k))</f>
        <v>102.46672384034721</v>
      </c>
      <c r="CJ124" s="125">
        <f>CJ13/293.07*(1/(VLOOKUP($BM124,'Fuel economy adjusted factor'!$A$2:$L$52,5,FALSE)*m2k))</f>
        <v>103.05321971126818</v>
      </c>
      <c r="CK124" s="125">
        <f>CK13/293.07*(1/(VLOOKUP($BM124,'Fuel economy adjusted factor'!$A$2:$L$52,5,FALSE)*m2k))</f>
        <v>103.05321971126818</v>
      </c>
      <c r="CL124" s="125">
        <f>CL13/293.07*(1/(VLOOKUP($BM124,'Fuel economy adjusted factor'!$A$2:$L$52,5,FALSE)*m2k))</f>
        <v>103.05321971126818</v>
      </c>
      <c r="CM124" s="125">
        <f>CM13/293.07*(1/(VLOOKUP($BM124,'Fuel economy adjusted factor'!$A$2:$L$52,5,FALSE)*m2k))</f>
        <v>103.05321971126818</v>
      </c>
      <c r="CN124" s="125">
        <f>CN13/293.07*(1/(VLOOKUP($BM124,'Fuel economy adjusted factor'!$A$2:$L$52,5,FALSE)*m2k))</f>
        <v>103.05321971126818</v>
      </c>
      <c r="CO124" s="125">
        <f>CO13/293.07*(1/(VLOOKUP($BM124,'Fuel economy adjusted factor'!$A$2:$L$52,5,FALSE)*m2k))</f>
        <v>103.75384042305134</v>
      </c>
      <c r="CP124" s="98" cm="1">
        <f t="array" ref="CP124">SUMPRODUCT(INDEX(BN124:CO124,,'TCO Inputs'!$AZ$12-2023+_xlfn.SEQUENCE('TCO Inputs'!$AZ$13))*INDEX('VKT US'!C70:AA70,,_xlfn.SEQUENCE('TCO Inputs'!$AZ$13)))*m2k*CONVERT(0.9072,"g","ton")</f>
        <v>24.954005239407493</v>
      </c>
      <c r="CQ124" s="194"/>
      <c r="CR124" s="123" t="s">
        <v>192</v>
      </c>
      <c r="CS124" s="125">
        <f>CS13/293.07*(1/(VLOOKUP($BM124,'Fuel economy adjusted factor'!$A$2:$L$52,5,FALSE)*m2k))/'TCO Inputs'!$AZ$84</f>
        <v>139.69378456171722</v>
      </c>
      <c r="CT124" s="125">
        <f>CT13/293.07*(1/(VLOOKUP($BM124,'Fuel economy adjusted factor'!$A$2:$L$52,5,FALSE)*m2k))/'TCO Inputs'!$AZ$84</f>
        <v>139.69378456171722</v>
      </c>
      <c r="CU124" s="125">
        <f>CU13/293.07*(1/(VLOOKUP($BM124,'Fuel economy adjusted factor'!$A$2:$L$52,5,FALSE)*m2k))/'TCO Inputs'!$AZ$84</f>
        <v>139.69378456171722</v>
      </c>
      <c r="CV124" s="125">
        <f>CV13/293.07*(1/(VLOOKUP($BM124,'Fuel economy adjusted factor'!$A$2:$L$52,5,FALSE)*m2k))/'TCO Inputs'!$AZ$84</f>
        <v>139.69378456171722</v>
      </c>
      <c r="CW124" s="125">
        <f>CW13/293.07*(1/(VLOOKUP($BM124,'Fuel economy adjusted factor'!$A$2:$L$52,5,FALSE)*m2k))/'TCO Inputs'!$AZ$84</f>
        <v>139.69378456171722</v>
      </c>
      <c r="CX124" s="125">
        <f>CX13/293.07*(1/(VLOOKUP($BM124,'Fuel economy adjusted factor'!$A$2:$L$52,5,FALSE)*m2k))/'TCO Inputs'!$AZ$84</f>
        <v>139.69378456171722</v>
      </c>
      <c r="CY124" s="125">
        <f>CY13/293.07*(1/(VLOOKUP($BM124,'Fuel economy adjusted factor'!$A$2:$L$52,5,FALSE)*m2k))/'TCO Inputs'!$AZ$84</f>
        <v>139.69378456171722</v>
      </c>
      <c r="CZ124" s="125">
        <f>CZ13/293.07*(1/(VLOOKUP($BM124,'Fuel economy adjusted factor'!$A$2:$L$52,5,FALSE)*m2k))/'TCO Inputs'!$AZ$84</f>
        <v>139.72490547663875</v>
      </c>
      <c r="DA124" s="125">
        <f>DA13/293.07*(1/(VLOOKUP($BM124,'Fuel economy adjusted factor'!$A$2:$L$52,5,FALSE)*m2k))/'TCO Inputs'!$AZ$84</f>
        <v>139.72490547663875</v>
      </c>
      <c r="DB124" s="125">
        <f>DB13/293.07*(1/(VLOOKUP($BM124,'Fuel economy adjusted factor'!$A$2:$L$52,5,FALSE)*m2k))/'TCO Inputs'!$AZ$84</f>
        <v>139.72490547663875</v>
      </c>
      <c r="DC124" s="125">
        <f>DC13/293.07*(1/(VLOOKUP($BM124,'Fuel economy adjusted factor'!$A$2:$L$52,5,FALSE)*m2k))/'TCO Inputs'!$AZ$84</f>
        <v>139.72490547663875</v>
      </c>
      <c r="DD124" s="125">
        <f>DD13/293.07*(1/(VLOOKUP($BM124,'Fuel economy adjusted factor'!$A$2:$L$52,5,FALSE)*m2k))/'TCO Inputs'!$AZ$84</f>
        <v>139.72490547663875</v>
      </c>
      <c r="DE124" s="125">
        <f>DE13/293.07*(1/(VLOOKUP($BM124,'Fuel economy adjusted factor'!$A$2:$L$52,5,FALSE)*m2k))/'TCO Inputs'!$AZ$84</f>
        <v>139.70712209668361</v>
      </c>
      <c r="DF124" s="125">
        <f>DF13/293.07*(1/(VLOOKUP($BM124,'Fuel economy adjusted factor'!$A$2:$L$52,5,FALSE)*m2k))/'TCO Inputs'!$AZ$84</f>
        <v>139.70712209668361</v>
      </c>
      <c r="DG124" s="125">
        <f>DG13/293.07*(1/(VLOOKUP($BM124,'Fuel economy adjusted factor'!$A$2:$L$52,5,FALSE)*m2k))/'TCO Inputs'!$AZ$84</f>
        <v>139.70712209668361</v>
      </c>
      <c r="DH124" s="125">
        <f>DH13/293.07*(1/(VLOOKUP($BM124,'Fuel economy adjusted factor'!$A$2:$L$52,5,FALSE)*m2k))/'TCO Inputs'!$AZ$84</f>
        <v>139.70712209668361</v>
      </c>
      <c r="DI124" s="125">
        <f>DI13/293.07*(1/(VLOOKUP($BM124,'Fuel economy adjusted factor'!$A$2:$L$52,5,FALSE)*m2k))/'TCO Inputs'!$AZ$84</f>
        <v>139.70712209668361</v>
      </c>
      <c r="DJ124" s="125">
        <f>DJ13/293.07*(1/(VLOOKUP($BM124,'Fuel economy adjusted factor'!$A$2:$L$52,5,FALSE)*m2k))/'TCO Inputs'!$AZ$84</f>
        <v>139.70267625169481</v>
      </c>
      <c r="DK124" s="125">
        <f>DK13/293.07*(1/(VLOOKUP($BM124,'Fuel economy adjusted factor'!$A$2:$L$52,5,FALSE)*m2k))/'TCO Inputs'!$AZ$84</f>
        <v>139.70267625169481</v>
      </c>
      <c r="DL124" s="125">
        <f>DL13/293.07*(1/(VLOOKUP($BM124,'Fuel economy adjusted factor'!$A$2:$L$52,5,FALSE)*m2k))/'TCO Inputs'!$AZ$84</f>
        <v>139.70267625169481</v>
      </c>
      <c r="DM124" s="125">
        <f>DM13/293.07*(1/(VLOOKUP($BM124,'Fuel economy adjusted factor'!$A$2:$L$52,5,FALSE)*m2k))/'TCO Inputs'!$AZ$84</f>
        <v>139.70267625169481</v>
      </c>
      <c r="DN124" s="125">
        <f>DN13/293.07*(1/(VLOOKUP($BM124,'Fuel economy adjusted factor'!$A$2:$L$52,5,FALSE)*m2k))/'TCO Inputs'!$AZ$84</f>
        <v>139.70267625169481</v>
      </c>
      <c r="DO124" s="125">
        <f>DO13/293.07*(1/(VLOOKUP($BM124,'Fuel economy adjusted factor'!$A$2:$L$52,5,FALSE)*m2k))/'TCO Inputs'!$AZ$84</f>
        <v>139.61642685891232</v>
      </c>
      <c r="DP124" s="125">
        <f>DP13/293.07*(1/(VLOOKUP($BM124,'Fuel economy adjusted factor'!$A$2:$L$52,5,FALSE)*m2k))/'TCO Inputs'!$AZ$84</f>
        <v>139.61642685891232</v>
      </c>
      <c r="DQ124" s="125">
        <f>DQ13/293.07*(1/(VLOOKUP($BM124,'Fuel economy adjusted factor'!$A$2:$L$52,5,FALSE)*m2k))/'TCO Inputs'!$AZ$84</f>
        <v>139.61642685891232</v>
      </c>
      <c r="DR124" s="125">
        <f>DR13/293.07*(1/(VLOOKUP($BM124,'Fuel economy adjusted factor'!$A$2:$L$52,5,FALSE)*m2k))/'TCO Inputs'!$AZ$84</f>
        <v>139.61642685891232</v>
      </c>
      <c r="DS124" s="125">
        <f>DS13/293.07*(1/(VLOOKUP($BM124,'Fuel economy adjusted factor'!$A$2:$L$52,5,FALSE)*m2k))/'TCO Inputs'!$AZ$84</f>
        <v>139.61642685891232</v>
      </c>
      <c r="DT124" s="125">
        <f>DT13/293.07*(1/(VLOOKUP($BM124,'Fuel economy adjusted factor'!$A$2:$L$52,5,FALSE)*m2k))/'TCO Inputs'!$AZ$84</f>
        <v>139.68844954773067</v>
      </c>
      <c r="DU124" s="98" cm="1">
        <f t="array" ref="DU124">SUMPRODUCT(INDEX(CS124:DT124,,'TCO Inputs'!$AZ$12-2023+_xlfn.SEQUENCE('TCO Inputs'!$AZ$13))*INDEX('VKT US'!C70:AA70,,_xlfn.SEQUENCE('TCO Inputs'!$AZ$13)))*m2k*CONVERT(0.9072,"g","ton")</f>
        <v>37.239437259615656</v>
      </c>
      <c r="DW124" s="123" t="s">
        <v>192</v>
      </c>
      <c r="DX124" s="125">
        <f>DX13/293.07*(1/(VLOOKUP($BM124,'Fuel economy adjusted factor'!$A$2:$L$52,5,FALSE)*m2k))/'TCO Inputs'!$AZ$84</f>
        <v>146.23272960242954</v>
      </c>
      <c r="DY124" s="125">
        <f>DY13/293.07*(1/(VLOOKUP($BM124,'Fuel economy adjusted factor'!$A$2:$L$52,5,FALSE)*m2k))/'TCO Inputs'!$AZ$84</f>
        <v>146.23272960242954</v>
      </c>
      <c r="DZ124" s="125">
        <f>DZ13/293.07*(1/(VLOOKUP($BM124,'Fuel economy adjusted factor'!$A$2:$L$52,5,FALSE)*m2k))/'TCO Inputs'!$AZ$84</f>
        <v>128.18765275481351</v>
      </c>
      <c r="EA124" s="125">
        <f>EA13/293.07*(1/(VLOOKUP($BM124,'Fuel economy adjusted factor'!$A$2:$L$52,5,FALSE)*m2k))/'TCO Inputs'!$AZ$84</f>
        <v>128.18765275481351</v>
      </c>
      <c r="EB124" s="125">
        <f>EB13/293.07*(1/(VLOOKUP($BM124,'Fuel economy adjusted factor'!$A$2:$L$52,5,FALSE)*m2k))/'TCO Inputs'!$AZ$84</f>
        <v>128.18765275481351</v>
      </c>
      <c r="EC124" s="125">
        <f>EC13/293.07*(1/(VLOOKUP($BM124,'Fuel economy adjusted factor'!$A$2:$L$52,5,FALSE)*m2k))/'TCO Inputs'!$AZ$84</f>
        <v>128.18765275481351</v>
      </c>
      <c r="ED124" s="125">
        <f>ED13/293.07*(1/(VLOOKUP($BM124,'Fuel economy adjusted factor'!$A$2:$L$52,5,FALSE)*m2k))/'TCO Inputs'!$AZ$84</f>
        <v>128.18765275481351</v>
      </c>
      <c r="EE124" s="125">
        <f>EE13/293.07*(1/(VLOOKUP($BM124,'Fuel economy adjusted factor'!$A$2:$L$52,5,FALSE)*m2k))/'TCO Inputs'!$AZ$84</f>
        <v>79.006690416996364</v>
      </c>
      <c r="EF124" s="125">
        <f>EF13/293.07*(1/(VLOOKUP($BM124,'Fuel economy adjusted factor'!$A$2:$L$52,5,FALSE)*m2k))/'TCO Inputs'!$AZ$84</f>
        <v>79.006690416996364</v>
      </c>
      <c r="EG124" s="125">
        <f>EG13/293.07*(1/(VLOOKUP($BM124,'Fuel economy adjusted factor'!$A$2:$L$52,5,FALSE)*m2k))/'TCO Inputs'!$AZ$84</f>
        <v>79.006690416996364</v>
      </c>
      <c r="EH124" s="125">
        <f>EH13/293.07*(1/(VLOOKUP($BM124,'Fuel economy adjusted factor'!$A$2:$L$52,5,FALSE)*m2k))/'TCO Inputs'!$AZ$84</f>
        <v>79.006690416996364</v>
      </c>
      <c r="EI124" s="125">
        <f>EI13/293.07*(1/(VLOOKUP($BM124,'Fuel economy adjusted factor'!$A$2:$L$52,5,FALSE)*m2k))/'TCO Inputs'!$AZ$84</f>
        <v>79.006690416996364</v>
      </c>
      <c r="EJ124" s="125">
        <f>EJ13/293.07*(1/(VLOOKUP($BM124,'Fuel economy adjusted factor'!$A$2:$L$52,5,FALSE)*m2k))/'TCO Inputs'!$AZ$84</f>
        <v>70.562257605118305</v>
      </c>
      <c r="EK124" s="125">
        <f>EK13/293.07*(1/(VLOOKUP($BM124,'Fuel economy adjusted factor'!$A$2:$L$52,5,FALSE)*m2k))/'TCO Inputs'!$AZ$84</f>
        <v>70.562257605118305</v>
      </c>
      <c r="EL124" s="125">
        <f>EL13/293.07*(1/(VLOOKUP($BM124,'Fuel economy adjusted factor'!$A$2:$L$52,5,FALSE)*m2k))/'TCO Inputs'!$AZ$84</f>
        <v>70.562257605118305</v>
      </c>
      <c r="EM124" s="125">
        <f>EM13/293.07*(1/(VLOOKUP($BM124,'Fuel economy adjusted factor'!$A$2:$L$52,5,FALSE)*m2k))/'TCO Inputs'!$AZ$84</f>
        <v>70.562257605118305</v>
      </c>
      <c r="EN124" s="125">
        <f>EN13/293.07*(1/(VLOOKUP($BM124,'Fuel economy adjusted factor'!$A$2:$L$52,5,FALSE)*m2k))/'TCO Inputs'!$AZ$84</f>
        <v>70.562257605118305</v>
      </c>
      <c r="EO124" s="125">
        <f>EO13/293.07*(1/(VLOOKUP($BM124,'Fuel economy adjusted factor'!$A$2:$L$52,5,FALSE)*m2k))/'TCO Inputs'!$AZ$84</f>
        <v>68.341341632284994</v>
      </c>
      <c r="EP124" s="125">
        <f>EP13/293.07*(1/(VLOOKUP($BM124,'Fuel economy adjusted factor'!$A$2:$L$52,5,FALSE)*m2k))/'TCO Inputs'!$AZ$84</f>
        <v>68.341341632284994</v>
      </c>
      <c r="EQ124" s="125">
        <f>EQ13/293.07*(1/(VLOOKUP($BM124,'Fuel economy adjusted factor'!$A$2:$L$52,5,FALSE)*m2k))/'TCO Inputs'!$AZ$84</f>
        <v>68.341341632284994</v>
      </c>
      <c r="ER124" s="125">
        <f>ER13/293.07*(1/(VLOOKUP($BM124,'Fuel economy adjusted factor'!$A$2:$L$52,5,FALSE)*m2k))/'TCO Inputs'!$AZ$84</f>
        <v>68.341341632284994</v>
      </c>
      <c r="ES124" s="125">
        <f>ES13/293.07*(1/(VLOOKUP($BM124,'Fuel economy adjusted factor'!$A$2:$L$52,5,FALSE)*m2k))/'TCO Inputs'!$AZ$84</f>
        <v>68.341341632284994</v>
      </c>
      <c r="ET124" s="125">
        <f>ET13/293.07*(1/(VLOOKUP($BM124,'Fuel economy adjusted factor'!$A$2:$L$52,5,FALSE)*m2k))/'TCO Inputs'!$AZ$84</f>
        <v>65.803920911020768</v>
      </c>
      <c r="EU124" s="125">
        <f>EU13/293.07*(1/(VLOOKUP($BM124,'Fuel economy adjusted factor'!$A$2:$L$52,5,FALSE)*m2k))/'TCO Inputs'!$AZ$84</f>
        <v>65.803920911020768</v>
      </c>
      <c r="EV124" s="125">
        <f>EV13/293.07*(1/(VLOOKUP($BM124,'Fuel economy adjusted factor'!$A$2:$L$52,5,FALSE)*m2k))/'TCO Inputs'!$AZ$84</f>
        <v>65.803920911020768</v>
      </c>
      <c r="EW124" s="125">
        <f>EW13/293.07*(1/(VLOOKUP($BM124,'Fuel economy adjusted factor'!$A$2:$L$52,5,FALSE)*m2k))/'TCO Inputs'!$AZ$84</f>
        <v>65.803920911020768</v>
      </c>
      <c r="EX124" s="125">
        <f>EX13/293.07*(1/(VLOOKUP($BM124,'Fuel economy adjusted factor'!$A$2:$L$52,5,FALSE)*m2k))/'TCO Inputs'!$AZ$84</f>
        <v>65.803920911020768</v>
      </c>
      <c r="EY124" s="125">
        <f>EY13/293.07*(1/(VLOOKUP($BM124,'Fuel economy adjusted factor'!$A$2:$L$52,5,FALSE)*m2k))/'TCO Inputs'!$AZ$84</f>
        <v>61.825004073603466</v>
      </c>
      <c r="EZ124" s="98" cm="1">
        <f t="array" ref="EZ124">SUMPRODUCT(INDEX(DX124:EY124,,'TCO Inputs'!$AZ$12-2023+_xlfn.SEQUENCE('TCO Inputs'!$AZ$13))*INDEX('VKT US'!C70:AA70,,_xlfn.SEQUENCE('TCO Inputs'!$AZ$13)))*m2k*CONVERT(0.9072,"g","ton")</f>
        <v>28.816336340401069</v>
      </c>
      <c r="FB124" s="123" t="s">
        <v>192</v>
      </c>
      <c r="FC124" s="125">
        <f>FC13/293.07*(1/(VLOOKUP($BM124,'Fuel economy adjusted factor'!$A$2:$L$52,5,FALSE)*m2k))/'TCO Inputs'!$AZ$84</f>
        <v>158.61086428766339</v>
      </c>
      <c r="FD124" s="125">
        <f>FD13/293.07*(1/(VLOOKUP($BM124,'Fuel economy adjusted factor'!$A$2:$L$52,5,FALSE)*m2k))/'TCO Inputs'!$AZ$84</f>
        <v>158.61086428766339</v>
      </c>
      <c r="FE124" s="125">
        <f>FE13/293.07*(1/(VLOOKUP($BM124,'Fuel economy adjusted factor'!$A$2:$L$52,5,FALSE)*m2k))/'TCO Inputs'!$AZ$84</f>
        <v>138.51496585582655</v>
      </c>
      <c r="FF124" s="125">
        <f>FF13/293.07*(1/(VLOOKUP($BM124,'Fuel economy adjusted factor'!$A$2:$L$52,5,FALSE)*m2k))/'TCO Inputs'!$AZ$84</f>
        <v>138.51496585582655</v>
      </c>
      <c r="FG124" s="125">
        <f>FG13/293.07*(1/(VLOOKUP($BM124,'Fuel economy adjusted factor'!$A$2:$L$52,5,FALSE)*m2k))/'TCO Inputs'!$AZ$84</f>
        <v>138.51496585582655</v>
      </c>
      <c r="FH124" s="125">
        <f>FH13/293.07*(1/(VLOOKUP($BM124,'Fuel economy adjusted factor'!$A$2:$L$52,5,FALSE)*m2k))/'TCO Inputs'!$AZ$84</f>
        <v>138.51496585582655</v>
      </c>
      <c r="FI124" s="125">
        <f>FI13/293.07*(1/(VLOOKUP($BM124,'Fuel economy adjusted factor'!$A$2:$L$52,5,FALSE)*m2k))/'TCO Inputs'!$AZ$84</f>
        <v>138.51496585582655</v>
      </c>
      <c r="FJ124" s="125">
        <f>FJ13/293.07*(1/(VLOOKUP($BM124,'Fuel economy adjusted factor'!$A$2:$L$52,5,FALSE)*m2k))/'TCO Inputs'!$AZ$84</f>
        <v>86.921462221296153</v>
      </c>
      <c r="FK124" s="125">
        <f>FK13/293.07*(1/(VLOOKUP($BM124,'Fuel economy adjusted factor'!$A$2:$L$52,5,FALSE)*m2k))/'TCO Inputs'!$AZ$84</f>
        <v>86.921462221296153</v>
      </c>
      <c r="FL124" s="125">
        <f>FL13/293.07*(1/(VLOOKUP($BM124,'Fuel economy adjusted factor'!$A$2:$L$52,5,FALSE)*m2k))/'TCO Inputs'!$AZ$84</f>
        <v>86.921462221296153</v>
      </c>
      <c r="FM124" s="125">
        <f>FM13/293.07*(1/(VLOOKUP($BM124,'Fuel economy adjusted factor'!$A$2:$L$52,5,FALSE)*m2k))/'TCO Inputs'!$AZ$84</f>
        <v>86.921462221296153</v>
      </c>
      <c r="FN124" s="125">
        <f>FN13/293.07*(1/(VLOOKUP($BM124,'Fuel economy adjusted factor'!$A$2:$L$52,5,FALSE)*m2k))/'TCO Inputs'!$AZ$84</f>
        <v>86.921462221296153</v>
      </c>
      <c r="FO124" s="125">
        <f>FO13/293.07*(1/(VLOOKUP($BM124,'Fuel economy adjusted factor'!$A$2:$L$52,5,FALSE)*m2k))/'TCO Inputs'!$AZ$84</f>
        <v>77.181943653083408</v>
      </c>
      <c r="FP124" s="125">
        <f>FP13/293.07*(1/(VLOOKUP($BM124,'Fuel economy adjusted factor'!$A$2:$L$52,5,FALSE)*m2k))/'TCO Inputs'!$AZ$84</f>
        <v>77.181943653083408</v>
      </c>
      <c r="FQ124" s="125">
        <f>FQ13/293.07*(1/(VLOOKUP($BM124,'Fuel economy adjusted factor'!$A$2:$L$52,5,FALSE)*m2k))/'TCO Inputs'!$AZ$84</f>
        <v>77.181943653083408</v>
      </c>
      <c r="FR124" s="125">
        <f>FR13/293.07*(1/(VLOOKUP($BM124,'Fuel economy adjusted factor'!$A$2:$L$52,5,FALSE)*m2k))/'TCO Inputs'!$AZ$84</f>
        <v>77.181943653083408</v>
      </c>
      <c r="FS124" s="125">
        <f>FS13/293.07*(1/(VLOOKUP($BM124,'Fuel economy adjusted factor'!$A$2:$L$52,5,FALSE)*m2k))/'TCO Inputs'!$AZ$84</f>
        <v>77.181943653083408</v>
      </c>
      <c r="FT124" s="125">
        <f>FT13/293.07*(1/(VLOOKUP($BM124,'Fuel economy adjusted factor'!$A$2:$L$52,5,FALSE)*m2k))/'TCO Inputs'!$AZ$84</f>
        <v>75.21724580993228</v>
      </c>
      <c r="FU124" s="125">
        <f>FU13/293.07*(1/(VLOOKUP($BM124,'Fuel economy adjusted factor'!$A$2:$L$52,5,FALSE)*m2k))/'TCO Inputs'!$AZ$84</f>
        <v>75.21724580993228</v>
      </c>
      <c r="FV124" s="125">
        <f>FV13/293.07*(1/(VLOOKUP($BM124,'Fuel economy adjusted factor'!$A$2:$L$52,5,FALSE)*m2k))/'TCO Inputs'!$AZ$84</f>
        <v>75.21724580993228</v>
      </c>
      <c r="FW124" s="125">
        <f>FW13/293.07*(1/(VLOOKUP($BM124,'Fuel economy adjusted factor'!$A$2:$L$52,5,FALSE)*m2k))/'TCO Inputs'!$AZ$84</f>
        <v>75.21724580993228</v>
      </c>
      <c r="FX124" s="125">
        <f>FX13/293.07*(1/(VLOOKUP($BM124,'Fuel economy adjusted factor'!$A$2:$L$52,5,FALSE)*m2k))/'TCO Inputs'!$AZ$84</f>
        <v>75.21724580993228</v>
      </c>
      <c r="FY124" s="125">
        <f>FY13/293.07*(1/(VLOOKUP($BM124,'Fuel economy adjusted factor'!$A$2:$L$52,5,FALSE)*m2k))/'TCO Inputs'!$AZ$84</f>
        <v>72.67444235485118</v>
      </c>
      <c r="FZ124" s="125">
        <f>FZ13/293.07*(1/(VLOOKUP($BM124,'Fuel economy adjusted factor'!$A$2:$L$52,5,FALSE)*m2k))/'TCO Inputs'!$AZ$84</f>
        <v>72.67444235485118</v>
      </c>
      <c r="GA124" s="125">
        <f>GA13/293.07*(1/(VLOOKUP($BM124,'Fuel economy adjusted factor'!$A$2:$L$52,5,FALSE)*m2k))/'TCO Inputs'!$AZ$84</f>
        <v>72.67444235485118</v>
      </c>
      <c r="GB124" s="125">
        <f>GB13/293.07*(1/(VLOOKUP($BM124,'Fuel economy adjusted factor'!$A$2:$L$52,5,FALSE)*m2k))/'TCO Inputs'!$AZ$84</f>
        <v>72.67444235485118</v>
      </c>
      <c r="GC124" s="125">
        <f>GC13/293.07*(1/(VLOOKUP($BM124,'Fuel economy adjusted factor'!$A$2:$L$52,5,FALSE)*m2k))/'TCO Inputs'!$AZ$84</f>
        <v>72.67444235485118</v>
      </c>
      <c r="GD124" s="125">
        <f>GD13/293.07*(1/(VLOOKUP($BM124,'Fuel economy adjusted factor'!$A$2:$L$52,5,FALSE)*m2k))/'TCO Inputs'!$AZ$84</f>
        <v>68.557727531722463</v>
      </c>
      <c r="GE124" s="98" cm="1">
        <f t="array" ref="GE124">SUMPRODUCT(INDEX(FC124:GD124,,'TCO Inputs'!$AZ$12-2023+_xlfn.SEQUENCE('TCO Inputs'!$AZ$13))*INDEX('VKT US'!C70:AA70,,_xlfn.SEQUENCE('TCO Inputs'!$AZ$13)))*m2k*CONVERT(0.9072,"g","ton")</f>
        <v>31.330953152467409</v>
      </c>
      <c r="GH124" s="123" t="s">
        <v>192</v>
      </c>
      <c r="GI124" s="125">
        <f>GI13/293.07*(1/(VLOOKUP($BM124,'Fuel economy adjusted factor'!$A$2:$L$52,5,FALSE)*m2k))/'TCO Inputs'!$AZ$84</f>
        <v>137.80767463229213</v>
      </c>
      <c r="GJ124" s="125">
        <f>GJ13/293.07*(1/(VLOOKUP($BM124,'Fuel economy adjusted factor'!$A$2:$L$52,5,FALSE)*m2k))/'TCO Inputs'!$AZ$84</f>
        <v>137.80767463229213</v>
      </c>
      <c r="GK124" s="125">
        <f>GK13/293.07*(1/(VLOOKUP($BM124,'Fuel economy adjusted factor'!$A$2:$L$52,5,FALSE)*m2k))/'TCO Inputs'!$AZ$84</f>
        <v>121.15887893676762</v>
      </c>
      <c r="GL124" s="125">
        <f>GL13/293.07*(1/(VLOOKUP($BM124,'Fuel economy adjusted factor'!$A$2:$L$52,5,FALSE)*m2k))/'TCO Inputs'!$AZ$84</f>
        <v>121.15887893676762</v>
      </c>
      <c r="GM124" s="125">
        <f>GM13/293.07*(1/(VLOOKUP($BM124,'Fuel economy adjusted factor'!$A$2:$L$52,5,FALSE)*m2k))/'TCO Inputs'!$AZ$84</f>
        <v>121.15887893676762</v>
      </c>
      <c r="GN124" s="125">
        <f>GN13/293.07*(1/(VLOOKUP($BM124,'Fuel economy adjusted factor'!$A$2:$L$52,5,FALSE)*m2k))/'TCO Inputs'!$AZ$84</f>
        <v>121.15887893676762</v>
      </c>
      <c r="GO124" s="125">
        <f>GO13/293.07*(1/(VLOOKUP($BM124,'Fuel economy adjusted factor'!$A$2:$L$52,5,FALSE)*m2k))/'TCO Inputs'!$AZ$84</f>
        <v>121.15887893676762</v>
      </c>
      <c r="GP124" s="125">
        <f>GP13/293.07*(1/(VLOOKUP($BM124,'Fuel economy adjusted factor'!$A$2:$L$52,5,FALSE)*m2k))/'TCO Inputs'!$AZ$84</f>
        <v>73.619650413090483</v>
      </c>
      <c r="GQ124" s="125">
        <f>GQ13/293.07*(1/(VLOOKUP($BM124,'Fuel economy adjusted factor'!$A$2:$L$52,5,FALSE)*m2k))/'TCO Inputs'!$AZ$84</f>
        <v>73.619650413090483</v>
      </c>
      <c r="GR124" s="125">
        <f>GR13/293.07*(1/(VLOOKUP($BM124,'Fuel economy adjusted factor'!$A$2:$L$52,5,FALSE)*m2k))/'TCO Inputs'!$AZ$84</f>
        <v>73.619650413090483</v>
      </c>
      <c r="GS124" s="125">
        <f>GS13/293.07*(1/(VLOOKUP($BM124,'Fuel economy adjusted factor'!$A$2:$L$52,5,FALSE)*m2k))/'TCO Inputs'!$AZ$84</f>
        <v>73.619650413090483</v>
      </c>
      <c r="GT124" s="125">
        <f>GT13/293.07*(1/(VLOOKUP($BM124,'Fuel economy adjusted factor'!$A$2:$L$52,5,FALSE)*m2k))/'TCO Inputs'!$AZ$84</f>
        <v>73.619650413090483</v>
      </c>
      <c r="GU124" s="125">
        <f>GU13/293.07*(1/(VLOOKUP($BM124,'Fuel economy adjusted factor'!$A$2:$L$52,5,FALSE)*m2k))/'TCO Inputs'!$AZ$84</f>
        <v>66.056909400412849</v>
      </c>
      <c r="GV124" s="125">
        <f>GV13/293.07*(1/(VLOOKUP($BM124,'Fuel economy adjusted factor'!$A$2:$L$52,5,FALSE)*m2k))/'TCO Inputs'!$AZ$84</f>
        <v>66.056909400412849</v>
      </c>
      <c r="GW124" s="125">
        <f>GW13/293.07*(1/(VLOOKUP($BM124,'Fuel economy adjusted factor'!$A$2:$L$52,5,FALSE)*m2k))/'TCO Inputs'!$AZ$84</f>
        <v>66.056909400412849</v>
      </c>
      <c r="GX124" s="125">
        <f>GX13/293.07*(1/(VLOOKUP($BM124,'Fuel economy adjusted factor'!$A$2:$L$52,5,FALSE)*m2k))/'TCO Inputs'!$AZ$84</f>
        <v>66.056909400412849</v>
      </c>
      <c r="GY124" s="125">
        <f>GY13/293.07*(1/(VLOOKUP($BM124,'Fuel economy adjusted factor'!$A$2:$L$52,5,FALSE)*m2k))/'TCO Inputs'!$AZ$84</f>
        <v>66.056909400412849</v>
      </c>
      <c r="GZ124" s="125">
        <f>GZ13/293.07*(1/(VLOOKUP($BM124,'Fuel economy adjusted factor'!$A$2:$L$52,5,FALSE)*m2k))/'TCO Inputs'!$AZ$84</f>
        <v>63.661592851913518</v>
      </c>
      <c r="HA124" s="125">
        <f>HA13/293.07*(1/(VLOOKUP($BM124,'Fuel economy adjusted factor'!$A$2:$L$52,5,FALSE)*m2k))/'TCO Inputs'!$AZ$84</f>
        <v>63.661592851913518</v>
      </c>
      <c r="HB124" s="125">
        <f>HB13/293.07*(1/(VLOOKUP($BM124,'Fuel economy adjusted factor'!$A$2:$L$52,5,FALSE)*m2k))/'TCO Inputs'!$AZ$84</f>
        <v>63.661592851913518</v>
      </c>
      <c r="HC124" s="125">
        <f>HC13/293.07*(1/(VLOOKUP($BM124,'Fuel economy adjusted factor'!$A$2:$L$52,5,FALSE)*m2k))/'TCO Inputs'!$AZ$84</f>
        <v>63.661592851913518</v>
      </c>
      <c r="HD124" s="125">
        <f>HD13/293.07*(1/(VLOOKUP($BM124,'Fuel economy adjusted factor'!$A$2:$L$52,5,FALSE)*m2k))/'TCO Inputs'!$AZ$84</f>
        <v>63.661592851913518</v>
      </c>
      <c r="HE124" s="125">
        <f>HE13/293.07*(1/(VLOOKUP($BM124,'Fuel economy adjusted factor'!$A$2:$L$52,5,FALSE)*m2k))/'TCO Inputs'!$AZ$84</f>
        <v>61.1274017709394</v>
      </c>
      <c r="HF124" s="125">
        <f>HF13/293.07*(1/(VLOOKUP($BM124,'Fuel economy adjusted factor'!$A$2:$L$52,5,FALSE)*m2k))/'TCO Inputs'!$AZ$84</f>
        <v>61.1274017709394</v>
      </c>
      <c r="HG124" s="125">
        <f>HG13/293.07*(1/(VLOOKUP($BM124,'Fuel economy adjusted factor'!$A$2:$L$52,5,FALSE)*m2k))/'TCO Inputs'!$AZ$84</f>
        <v>61.1274017709394</v>
      </c>
      <c r="HH124" s="125">
        <f>HH13/293.07*(1/(VLOOKUP($BM124,'Fuel economy adjusted factor'!$A$2:$L$52,5,FALSE)*m2k))/'TCO Inputs'!$AZ$84</f>
        <v>61.1274017709394</v>
      </c>
      <c r="HI124" s="125">
        <f>HI13/293.07*(1/(VLOOKUP($BM124,'Fuel economy adjusted factor'!$A$2:$L$52,5,FALSE)*m2k))/'TCO Inputs'!$AZ$84</f>
        <v>61.1274017709394</v>
      </c>
      <c r="HJ124" s="125">
        <f>HJ13/293.07*(1/(VLOOKUP($BM124,'Fuel economy adjusted factor'!$A$2:$L$52,5,FALSE)*m2k))/'TCO Inputs'!$AZ$84</f>
        <v>57.243221048698693</v>
      </c>
      <c r="HK124" s="98" cm="1">
        <f t="array" ref="HK124">SUMPRODUCT(INDEX(GI124:HJ124,,'TCO Inputs'!$AZ$12-2023+_xlfn.SEQUENCE('TCO Inputs'!$AZ$13))*INDEX('VKT US'!C70:AA70,,_xlfn.SEQUENCE('TCO Inputs'!$AZ$13)))*m2k*CONVERT(0.9072,"g","ton")</f>
        <v>27.104843961673591</v>
      </c>
    </row>
    <row r="125" spans="17:219" x14ac:dyDescent="0.25">
      <c r="Q125" s="198" t="s">
        <v>550</v>
      </c>
      <c r="R125" s="197">
        <f>GE167/'US Grid mix, emissions&amp;prices'!$AK$219</f>
        <v>1.1398086955750177</v>
      </c>
      <c r="S125" s="196"/>
      <c r="T125" s="196"/>
      <c r="U125" s="196"/>
      <c r="V125" s="196"/>
      <c r="W125" s="196"/>
      <c r="Z125" s="123" t="s">
        <v>193</v>
      </c>
      <c r="AA125" s="125">
        <f>AA14/293.07*(1/(VLOOKUP($Z125,'Fuel economy adjusted factor'!$A$2:$L$52,5,FALSE)*m2k))/'TCO Inputs'!$AZ$84</f>
        <v>100.54080141423853</v>
      </c>
      <c r="AB125" s="125">
        <f>AB14/293.07*(1/(VLOOKUP($Z125,'Fuel economy adjusted factor'!$A$2:$L$52,5,FALSE)*m2k))/'TCO Inputs'!$AZ$84</f>
        <v>100.54080141423853</v>
      </c>
      <c r="AC125" s="125">
        <f>AC14/293.07*(1/(VLOOKUP($Z125,'Fuel economy adjusted factor'!$A$2:$L$52,5,FALSE)*m2k))/'TCO Inputs'!$AZ$84</f>
        <v>88.42501537903189</v>
      </c>
      <c r="AD125" s="125">
        <f>AD14/293.07*(1/(VLOOKUP($Z125,'Fuel economy adjusted factor'!$A$2:$L$52,5,FALSE)*m2k))/'TCO Inputs'!$AZ$84</f>
        <v>88.42501537903189</v>
      </c>
      <c r="AE125" s="125">
        <f>AE14/293.07*(1/(VLOOKUP($Z125,'Fuel economy adjusted factor'!$A$2:$L$52,5,FALSE)*m2k))/'TCO Inputs'!$AZ$84</f>
        <v>88.42501537903189</v>
      </c>
      <c r="AF125" s="125">
        <f>AF14/293.07*(1/(VLOOKUP($Z125,'Fuel economy adjusted factor'!$A$2:$L$52,5,FALSE)*m2k))/'TCO Inputs'!$AZ$84</f>
        <v>88.42501537903189</v>
      </c>
      <c r="AG125" s="125">
        <f>AG14/293.07*(1/(VLOOKUP($Z125,'Fuel economy adjusted factor'!$A$2:$L$52,5,FALSE)*m2k))/'TCO Inputs'!$AZ$84</f>
        <v>88.42501537903189</v>
      </c>
      <c r="AH125" s="125">
        <f>AH14/293.07*(1/(VLOOKUP($Z125,'Fuel economy adjusted factor'!$A$2:$L$52,5,FALSE)*m2k))/'TCO Inputs'!$AZ$84</f>
        <v>53.129081565141568</v>
      </c>
      <c r="AI125" s="125">
        <f>AI14/293.07*(1/(VLOOKUP($Z125,'Fuel economy adjusted factor'!$A$2:$L$52,5,FALSE)*m2k))/'TCO Inputs'!$AZ$84</f>
        <v>53.129081565141568</v>
      </c>
      <c r="AJ125" s="125">
        <f>AJ14/293.07*(1/(VLOOKUP($Z125,'Fuel economy adjusted factor'!$A$2:$L$52,5,FALSE)*m2k))/'TCO Inputs'!$AZ$84</f>
        <v>53.129081565141568</v>
      </c>
      <c r="AK125" s="125">
        <f>AK14/293.07*(1/(VLOOKUP($Z125,'Fuel economy adjusted factor'!$A$2:$L$52,5,FALSE)*m2k))/'TCO Inputs'!$AZ$84</f>
        <v>53.129081565141568</v>
      </c>
      <c r="AL125" s="125">
        <f>AL14/293.07*(1/(VLOOKUP($Z125,'Fuel economy adjusted factor'!$A$2:$L$52,5,FALSE)*m2k))/'TCO Inputs'!$AZ$84</f>
        <v>53.129081565141568</v>
      </c>
      <c r="AM125" s="125">
        <f>AM14/293.07*(1/(VLOOKUP($Z125,'Fuel economy adjusted factor'!$A$2:$L$52,5,FALSE)*m2k))/'TCO Inputs'!$AZ$84</f>
        <v>55.598417760972204</v>
      </c>
      <c r="AN125" s="125">
        <f>AN14/293.07*(1/(VLOOKUP($Z125,'Fuel economy adjusted factor'!$A$2:$L$52,5,FALSE)*m2k))/'TCO Inputs'!$AZ$84</f>
        <v>55.598417760972204</v>
      </c>
      <c r="AO125" s="125">
        <f>AO14/293.07*(1/(VLOOKUP($Z125,'Fuel economy adjusted factor'!$A$2:$L$52,5,FALSE)*m2k))/'TCO Inputs'!$AZ$84</f>
        <v>55.598417760972204</v>
      </c>
      <c r="AP125" s="125">
        <f>AP14/293.07*(1/(VLOOKUP($Z125,'Fuel economy adjusted factor'!$A$2:$L$52,5,FALSE)*m2k))/'TCO Inputs'!$AZ$84</f>
        <v>55.598417760972204</v>
      </c>
      <c r="AQ125" s="125">
        <f>AQ14/293.07*(1/(VLOOKUP($Z125,'Fuel economy adjusted factor'!$A$2:$L$52,5,FALSE)*m2k))/'TCO Inputs'!$AZ$84</f>
        <v>55.598417760972204</v>
      </c>
      <c r="AR125" s="125">
        <f>AR14/293.07*(1/(VLOOKUP($Z125,'Fuel economy adjusted factor'!$A$2:$L$52,5,FALSE)*m2k))/'TCO Inputs'!$AZ$84</f>
        <v>58.119666578428387</v>
      </c>
      <c r="AS125" s="125">
        <f>AS14/293.07*(1/(VLOOKUP($Z125,'Fuel economy adjusted factor'!$A$2:$L$52,5,FALSE)*m2k))/'TCO Inputs'!$AZ$84</f>
        <v>58.119666578428387</v>
      </c>
      <c r="AT125" s="125">
        <f>AT14/293.07*(1/(VLOOKUP($Z125,'Fuel economy adjusted factor'!$A$2:$L$52,5,FALSE)*m2k))/'TCO Inputs'!$AZ$84</f>
        <v>58.119666578428387</v>
      </c>
      <c r="AU125" s="125">
        <f>AU14/293.07*(1/(VLOOKUP($Z125,'Fuel economy adjusted factor'!$A$2:$L$52,5,FALSE)*m2k))/'TCO Inputs'!$AZ$84</f>
        <v>58.119666578428387</v>
      </c>
      <c r="AV125" s="125">
        <f>AV14/293.07*(1/(VLOOKUP($Z125,'Fuel economy adjusted factor'!$A$2:$L$52,5,FALSE)*m2k))/'TCO Inputs'!$AZ$84</f>
        <v>58.119666578428387</v>
      </c>
      <c r="AW125" s="125">
        <f>AW14/293.07*(1/(VLOOKUP($Z125,'Fuel economy adjusted factor'!$A$2:$L$52,5,FALSE)*m2k))/'TCO Inputs'!$AZ$84</f>
        <v>59.39501247687118</v>
      </c>
      <c r="AX125" s="125">
        <f>AX14/293.07*(1/(VLOOKUP($Z125,'Fuel economy adjusted factor'!$A$2:$L$52,5,FALSE)*m2k))/'TCO Inputs'!$AZ$84</f>
        <v>59.39501247687118</v>
      </c>
      <c r="AY125" s="125">
        <f>AY14/293.07*(1/(VLOOKUP($Z125,'Fuel economy adjusted factor'!$A$2:$L$52,5,FALSE)*m2k))/'TCO Inputs'!$AZ$84</f>
        <v>59.39501247687118</v>
      </c>
      <c r="AZ125" s="125">
        <f>AZ14/293.07*(1/(VLOOKUP($Z125,'Fuel economy adjusted factor'!$A$2:$L$52,5,FALSE)*m2k))/'TCO Inputs'!$AZ$84</f>
        <v>59.39501247687118</v>
      </c>
      <c r="BA125" s="125">
        <f>BA14/293.07*(1/(VLOOKUP($Z125,'Fuel economy adjusted factor'!$A$2:$L$52,5,FALSE)*m2k))/'TCO Inputs'!$AZ$84</f>
        <v>59.39501247687118</v>
      </c>
      <c r="BB125" s="125">
        <f>BB14/293.07*(1/(VLOOKUP($Z125,'Fuel economy adjusted factor'!$A$2:$L$52,5,FALSE)*m2k))/'TCO Inputs'!$AZ$84</f>
        <v>59.475593262678032</v>
      </c>
      <c r="BC125" s="98" cm="1">
        <f t="array" ref="BC125">SUMPRODUCT(INDEX(AA125:BB125,,'TCO Inputs'!$AZ$12-2023+_xlfn.SEQUENCE('TCO Inputs'!$AZ$13))*INDEX('VKT US'!C71:AA71,,_xlfn.SEQUENCE('TCO Inputs'!$AZ$13)))*m2k*CONVERT(0.9072,"g","ton")</f>
        <v>23.047949753733132</v>
      </c>
      <c r="BM125" s="123" t="s">
        <v>193</v>
      </c>
      <c r="BN125" s="125">
        <f>BN14/293.07*(1/(VLOOKUP($BM125,'Fuel economy adjusted factor'!$A$2:$L$52,5,FALSE)*m2k))</f>
        <v>85.459681202102743</v>
      </c>
      <c r="BO125" s="125">
        <f>BO14/293.07*(1/(VLOOKUP($BM125,'Fuel economy adjusted factor'!$A$2:$L$52,5,FALSE)*m2k))</f>
        <v>85.459681202102743</v>
      </c>
      <c r="BP125" s="125">
        <f>BP14/293.07*(1/(VLOOKUP($BM125,'Fuel economy adjusted factor'!$A$2:$L$52,5,FALSE)*m2k))</f>
        <v>75.063132720999832</v>
      </c>
      <c r="BQ125" s="125">
        <f>BQ14/293.07*(1/(VLOOKUP($BM125,'Fuel economy adjusted factor'!$A$2:$L$52,5,FALSE)*m2k))</f>
        <v>75.063132720999832</v>
      </c>
      <c r="BR125" s="125">
        <f>BR14/293.07*(1/(VLOOKUP($BM125,'Fuel economy adjusted factor'!$A$2:$L$52,5,FALSE)*m2k))</f>
        <v>75.063132720999832</v>
      </c>
      <c r="BS125" s="125">
        <f>BS14/293.07*(1/(VLOOKUP($BM125,'Fuel economy adjusted factor'!$A$2:$L$52,5,FALSE)*m2k))</f>
        <v>75.063132720999832</v>
      </c>
      <c r="BT125" s="125">
        <f>BT14/293.07*(1/(VLOOKUP($BM125,'Fuel economy adjusted factor'!$A$2:$L$52,5,FALSE)*m2k))</f>
        <v>75.063132720999832</v>
      </c>
      <c r="BU125" s="125">
        <f>BU14/293.07*(1/(VLOOKUP($BM125,'Fuel economy adjusted factor'!$A$2:$L$52,5,FALSE)*m2k))</f>
        <v>85.08889336510407</v>
      </c>
      <c r="BV125" s="125">
        <f>BV14/293.07*(1/(VLOOKUP($BM125,'Fuel economy adjusted factor'!$A$2:$L$52,5,FALSE)*m2k))</f>
        <v>85.08889336510407</v>
      </c>
      <c r="BW125" s="125">
        <f>BW14/293.07*(1/(VLOOKUP($BM125,'Fuel economy adjusted factor'!$A$2:$L$52,5,FALSE)*m2k))</f>
        <v>85.08889336510407</v>
      </c>
      <c r="BX125" s="125">
        <f>BX14/293.07*(1/(VLOOKUP($BM125,'Fuel economy adjusted factor'!$A$2:$L$52,5,FALSE)*m2k))</f>
        <v>85.08889336510407</v>
      </c>
      <c r="BY125" s="125">
        <f>BY14/293.07*(1/(VLOOKUP($BM125,'Fuel economy adjusted factor'!$A$2:$L$52,5,FALSE)*m2k))</f>
        <v>85.08889336510407</v>
      </c>
      <c r="BZ125" s="125">
        <f>BZ14/293.07*(1/(VLOOKUP($BM125,'Fuel economy adjusted factor'!$A$2:$L$52,5,FALSE)*m2k))</f>
        <v>87.135141694686396</v>
      </c>
      <c r="CA125" s="125">
        <f>CA14/293.07*(1/(VLOOKUP($BM125,'Fuel economy adjusted factor'!$A$2:$L$52,5,FALSE)*m2k))</f>
        <v>87.135141694686396</v>
      </c>
      <c r="CB125" s="125">
        <f>CB14/293.07*(1/(VLOOKUP($BM125,'Fuel economy adjusted factor'!$A$2:$L$52,5,FALSE)*m2k))</f>
        <v>87.135141694686396</v>
      </c>
      <c r="CC125" s="125">
        <f>CC14/293.07*(1/(VLOOKUP($BM125,'Fuel economy adjusted factor'!$A$2:$L$52,5,FALSE)*m2k))</f>
        <v>87.135141694686396</v>
      </c>
      <c r="CD125" s="125">
        <f>CD14/293.07*(1/(VLOOKUP($BM125,'Fuel economy adjusted factor'!$A$2:$L$52,5,FALSE)*m2k))</f>
        <v>87.135141694686396</v>
      </c>
      <c r="CE125" s="125">
        <f>CE14/293.07*(1/(VLOOKUP($BM125,'Fuel economy adjusted factor'!$A$2:$L$52,5,FALSE)*m2k))</f>
        <v>89.288740676898911</v>
      </c>
      <c r="CF125" s="125">
        <f>CF14/293.07*(1/(VLOOKUP($BM125,'Fuel economy adjusted factor'!$A$2:$L$52,5,FALSE)*m2k))</f>
        <v>89.288740676898911</v>
      </c>
      <c r="CG125" s="125">
        <f>CG14/293.07*(1/(VLOOKUP($BM125,'Fuel economy adjusted factor'!$A$2:$L$52,5,FALSE)*m2k))</f>
        <v>89.288740676898911</v>
      </c>
      <c r="CH125" s="125">
        <f>CH14/293.07*(1/(VLOOKUP($BM125,'Fuel economy adjusted factor'!$A$2:$L$52,5,FALSE)*m2k))</f>
        <v>89.288740676898911</v>
      </c>
      <c r="CI125" s="125">
        <f>CI14/293.07*(1/(VLOOKUP($BM125,'Fuel economy adjusted factor'!$A$2:$L$52,5,FALSE)*m2k))</f>
        <v>89.288740676898911</v>
      </c>
      <c r="CJ125" s="125">
        <f>CJ14/293.07*(1/(VLOOKUP($BM125,'Fuel economy adjusted factor'!$A$2:$L$52,5,FALSE)*m2k))</f>
        <v>89.799808814573822</v>
      </c>
      <c r="CK125" s="125">
        <f>CK14/293.07*(1/(VLOOKUP($BM125,'Fuel economy adjusted factor'!$A$2:$L$52,5,FALSE)*m2k))</f>
        <v>89.799808814573822</v>
      </c>
      <c r="CL125" s="125">
        <f>CL14/293.07*(1/(VLOOKUP($BM125,'Fuel economy adjusted factor'!$A$2:$L$52,5,FALSE)*m2k))</f>
        <v>89.799808814573822</v>
      </c>
      <c r="CM125" s="125">
        <f>CM14/293.07*(1/(VLOOKUP($BM125,'Fuel economy adjusted factor'!$A$2:$L$52,5,FALSE)*m2k))</f>
        <v>89.799808814573822</v>
      </c>
      <c r="CN125" s="125">
        <f>CN14/293.07*(1/(VLOOKUP($BM125,'Fuel economy adjusted factor'!$A$2:$L$52,5,FALSE)*m2k))</f>
        <v>89.799808814573822</v>
      </c>
      <c r="CO125" s="125">
        <f>CO14/293.07*(1/(VLOOKUP($BM125,'Fuel economy adjusted factor'!$A$2:$L$52,5,FALSE)*m2k))</f>
        <v>90.410324489347801</v>
      </c>
      <c r="CP125" s="98" cm="1">
        <f t="array" ref="CP125">SUMPRODUCT(INDEX(BN125:CO125,,'TCO Inputs'!$AZ$12-2023+_xlfn.SEQUENCE('TCO Inputs'!$AZ$13))*INDEX('VKT US'!C71:AA71,,_xlfn.SEQUENCE('TCO Inputs'!$AZ$13)))*m2k*CONVERT(0.9072,"g","ton")</f>
        <v>25.104139883151777</v>
      </c>
      <c r="CQ125" s="194"/>
      <c r="CR125" s="123" t="s">
        <v>193</v>
      </c>
      <c r="CS125" s="125">
        <f>CS14/293.07*(1/(VLOOKUP($BM125,'Fuel economy adjusted factor'!$A$2:$L$52,5,FALSE)*m2k))/'TCO Inputs'!$AZ$84</f>
        <v>121.72812437469931</v>
      </c>
      <c r="CT125" s="125">
        <f>CT14/293.07*(1/(VLOOKUP($BM125,'Fuel economy adjusted factor'!$A$2:$L$52,5,FALSE)*m2k))/'TCO Inputs'!$AZ$84</f>
        <v>121.72812437469931</v>
      </c>
      <c r="CU125" s="125">
        <f>CU14/293.07*(1/(VLOOKUP($BM125,'Fuel economy adjusted factor'!$A$2:$L$52,5,FALSE)*m2k))/'TCO Inputs'!$AZ$84</f>
        <v>121.72812437469931</v>
      </c>
      <c r="CV125" s="125">
        <f>CV14/293.07*(1/(VLOOKUP($BM125,'Fuel economy adjusted factor'!$A$2:$L$52,5,FALSE)*m2k))/'TCO Inputs'!$AZ$84</f>
        <v>121.72812437469931</v>
      </c>
      <c r="CW125" s="125">
        <f>CW14/293.07*(1/(VLOOKUP($BM125,'Fuel economy adjusted factor'!$A$2:$L$52,5,FALSE)*m2k))/'TCO Inputs'!$AZ$84</f>
        <v>121.72812437469931</v>
      </c>
      <c r="CX125" s="125">
        <f>CX14/293.07*(1/(VLOOKUP($BM125,'Fuel economy adjusted factor'!$A$2:$L$52,5,FALSE)*m2k))/'TCO Inputs'!$AZ$84</f>
        <v>121.72812437469931</v>
      </c>
      <c r="CY125" s="125">
        <f>CY14/293.07*(1/(VLOOKUP($BM125,'Fuel economy adjusted factor'!$A$2:$L$52,5,FALSE)*m2k))/'TCO Inputs'!$AZ$84</f>
        <v>121.72812437469931</v>
      </c>
      <c r="CZ125" s="125">
        <f>CZ14/293.07*(1/(VLOOKUP($BM125,'Fuel economy adjusted factor'!$A$2:$L$52,5,FALSE)*m2k))/'TCO Inputs'!$AZ$84</f>
        <v>121.7552429083843</v>
      </c>
      <c r="DA125" s="125">
        <f>DA14/293.07*(1/(VLOOKUP($BM125,'Fuel economy adjusted factor'!$A$2:$L$52,5,FALSE)*m2k))/'TCO Inputs'!$AZ$84</f>
        <v>121.7552429083843</v>
      </c>
      <c r="DB125" s="125">
        <f>DB14/293.07*(1/(VLOOKUP($BM125,'Fuel economy adjusted factor'!$A$2:$L$52,5,FALSE)*m2k))/'TCO Inputs'!$AZ$84</f>
        <v>121.7552429083843</v>
      </c>
      <c r="DC125" s="125">
        <f>DC14/293.07*(1/(VLOOKUP($BM125,'Fuel economy adjusted factor'!$A$2:$L$52,5,FALSE)*m2k))/'TCO Inputs'!$AZ$84</f>
        <v>121.7552429083843</v>
      </c>
      <c r="DD125" s="125">
        <f>DD14/293.07*(1/(VLOOKUP($BM125,'Fuel economy adjusted factor'!$A$2:$L$52,5,FALSE)*m2k))/'TCO Inputs'!$AZ$84</f>
        <v>121.7552429083843</v>
      </c>
      <c r="DE125" s="125">
        <f>DE14/293.07*(1/(VLOOKUP($BM125,'Fuel economy adjusted factor'!$A$2:$L$52,5,FALSE)*m2k))/'TCO Inputs'!$AZ$84</f>
        <v>121.73974660342145</v>
      </c>
      <c r="DF125" s="125">
        <f>DF14/293.07*(1/(VLOOKUP($BM125,'Fuel economy adjusted factor'!$A$2:$L$52,5,FALSE)*m2k))/'TCO Inputs'!$AZ$84</f>
        <v>121.73974660342145</v>
      </c>
      <c r="DG125" s="125">
        <f>DG14/293.07*(1/(VLOOKUP($BM125,'Fuel economy adjusted factor'!$A$2:$L$52,5,FALSE)*m2k))/'TCO Inputs'!$AZ$84</f>
        <v>121.73974660342145</v>
      </c>
      <c r="DH125" s="125">
        <f>DH14/293.07*(1/(VLOOKUP($BM125,'Fuel economy adjusted factor'!$A$2:$L$52,5,FALSE)*m2k))/'TCO Inputs'!$AZ$84</f>
        <v>121.73974660342145</v>
      </c>
      <c r="DI125" s="125">
        <f>DI14/293.07*(1/(VLOOKUP($BM125,'Fuel economy adjusted factor'!$A$2:$L$52,5,FALSE)*m2k))/'TCO Inputs'!$AZ$84</f>
        <v>121.73974660342145</v>
      </c>
      <c r="DJ125" s="125">
        <f>DJ14/293.07*(1/(VLOOKUP($BM125,'Fuel economy adjusted factor'!$A$2:$L$52,5,FALSE)*m2k))/'TCO Inputs'!$AZ$84</f>
        <v>121.73587252718073</v>
      </c>
      <c r="DK125" s="125">
        <f>DK14/293.07*(1/(VLOOKUP($BM125,'Fuel economy adjusted factor'!$A$2:$L$52,5,FALSE)*m2k))/'TCO Inputs'!$AZ$84</f>
        <v>121.73587252718073</v>
      </c>
      <c r="DL125" s="125">
        <f>DL14/293.07*(1/(VLOOKUP($BM125,'Fuel economy adjusted factor'!$A$2:$L$52,5,FALSE)*m2k))/'TCO Inputs'!$AZ$84</f>
        <v>121.73587252718073</v>
      </c>
      <c r="DM125" s="125">
        <f>DM14/293.07*(1/(VLOOKUP($BM125,'Fuel economy adjusted factor'!$A$2:$L$52,5,FALSE)*m2k))/'TCO Inputs'!$AZ$84</f>
        <v>121.73587252718073</v>
      </c>
      <c r="DN125" s="125">
        <f>DN14/293.07*(1/(VLOOKUP($BM125,'Fuel economy adjusted factor'!$A$2:$L$52,5,FALSE)*m2k))/'TCO Inputs'!$AZ$84</f>
        <v>121.73587252718073</v>
      </c>
      <c r="DO125" s="125">
        <f>DO14/293.07*(1/(VLOOKUP($BM125,'Fuel economy adjusted factor'!$A$2:$L$52,5,FALSE)*m2k))/'TCO Inputs'!$AZ$84</f>
        <v>121.66071544811089</v>
      </c>
      <c r="DP125" s="125">
        <f>DP14/293.07*(1/(VLOOKUP($BM125,'Fuel economy adjusted factor'!$A$2:$L$52,5,FALSE)*m2k))/'TCO Inputs'!$AZ$84</f>
        <v>121.66071544811089</v>
      </c>
      <c r="DQ125" s="125">
        <f>DQ14/293.07*(1/(VLOOKUP($BM125,'Fuel economy adjusted factor'!$A$2:$L$52,5,FALSE)*m2k))/'TCO Inputs'!$AZ$84</f>
        <v>121.66071544811089</v>
      </c>
      <c r="DR125" s="125">
        <f>DR14/293.07*(1/(VLOOKUP($BM125,'Fuel economy adjusted factor'!$A$2:$L$52,5,FALSE)*m2k))/'TCO Inputs'!$AZ$84</f>
        <v>121.66071544811089</v>
      </c>
      <c r="DS125" s="125">
        <f>DS14/293.07*(1/(VLOOKUP($BM125,'Fuel economy adjusted factor'!$A$2:$L$52,5,FALSE)*m2k))/'TCO Inputs'!$AZ$84</f>
        <v>121.66071544811089</v>
      </c>
      <c r="DT125" s="125">
        <f>DT14/293.07*(1/(VLOOKUP($BM125,'Fuel economy adjusted factor'!$A$2:$L$52,5,FALSE)*m2k))/'TCO Inputs'!$AZ$84</f>
        <v>121.72347548321046</v>
      </c>
      <c r="DU125" s="98" cm="1">
        <f t="array" ref="DU125">SUMPRODUCT(INDEX(CS125:DT125,,'TCO Inputs'!$AZ$12-2023+_xlfn.SEQUENCE('TCO Inputs'!$AZ$13))*INDEX('VKT US'!C71:AA71,,_xlfn.SEQUENCE('TCO Inputs'!$AZ$13)))*m2k*CONVERT(0.9072,"g","ton")</f>
        <v>37.463486649385771</v>
      </c>
      <c r="DW125" s="123" t="s">
        <v>193</v>
      </c>
      <c r="DX125" s="125">
        <f>DX14/293.07*(1/(VLOOKUP($BM125,'Fuel economy adjusted factor'!$A$2:$L$52,5,FALSE)*m2k))/'TCO Inputs'!$AZ$84</f>
        <v>127.42611242543816</v>
      </c>
      <c r="DY125" s="125">
        <f>DY14/293.07*(1/(VLOOKUP($BM125,'Fuel economy adjusted factor'!$A$2:$L$52,5,FALSE)*m2k))/'TCO Inputs'!$AZ$84</f>
        <v>127.42611242543816</v>
      </c>
      <c r="DZ125" s="125">
        <f>DZ14/293.07*(1/(VLOOKUP($BM125,'Fuel economy adjusted factor'!$A$2:$L$52,5,FALSE)*m2k))/'TCO Inputs'!$AZ$84</f>
        <v>111.7017667378378</v>
      </c>
      <c r="EA125" s="125">
        <f>EA14/293.07*(1/(VLOOKUP($BM125,'Fuel economy adjusted factor'!$A$2:$L$52,5,FALSE)*m2k))/'TCO Inputs'!$AZ$84</f>
        <v>111.7017667378378</v>
      </c>
      <c r="EB125" s="125">
        <f>EB14/293.07*(1/(VLOOKUP($BM125,'Fuel economy adjusted factor'!$A$2:$L$52,5,FALSE)*m2k))/'TCO Inputs'!$AZ$84</f>
        <v>111.7017667378378</v>
      </c>
      <c r="EC125" s="125">
        <f>EC14/293.07*(1/(VLOOKUP($BM125,'Fuel economy adjusted factor'!$A$2:$L$52,5,FALSE)*m2k))/'TCO Inputs'!$AZ$84</f>
        <v>111.7017667378378</v>
      </c>
      <c r="ED125" s="125">
        <f>ED14/293.07*(1/(VLOOKUP($BM125,'Fuel economy adjusted factor'!$A$2:$L$52,5,FALSE)*m2k))/'TCO Inputs'!$AZ$84</f>
        <v>111.7017667378378</v>
      </c>
      <c r="EE125" s="125">
        <f>EE14/293.07*(1/(VLOOKUP($BM125,'Fuel economy adjusted factor'!$A$2:$L$52,5,FALSE)*m2k))/'TCO Inputs'!$AZ$84</f>
        <v>68.845842123094059</v>
      </c>
      <c r="EF125" s="125">
        <f>EF14/293.07*(1/(VLOOKUP($BM125,'Fuel economy adjusted factor'!$A$2:$L$52,5,FALSE)*m2k))/'TCO Inputs'!$AZ$84</f>
        <v>68.845842123094059</v>
      </c>
      <c r="EG125" s="125">
        <f>EG14/293.07*(1/(VLOOKUP($BM125,'Fuel economy adjusted factor'!$A$2:$L$52,5,FALSE)*m2k))/'TCO Inputs'!$AZ$84</f>
        <v>68.845842123094059</v>
      </c>
      <c r="EH125" s="125">
        <f>EH14/293.07*(1/(VLOOKUP($BM125,'Fuel economy adjusted factor'!$A$2:$L$52,5,FALSE)*m2k))/'TCO Inputs'!$AZ$84</f>
        <v>68.845842123094059</v>
      </c>
      <c r="EI125" s="125">
        <f>EI14/293.07*(1/(VLOOKUP($BM125,'Fuel economy adjusted factor'!$A$2:$L$52,5,FALSE)*m2k))/'TCO Inputs'!$AZ$84</f>
        <v>68.845842123094059</v>
      </c>
      <c r="EJ125" s="125">
        <f>EJ14/293.07*(1/(VLOOKUP($BM125,'Fuel economy adjusted factor'!$A$2:$L$52,5,FALSE)*m2k))/'TCO Inputs'!$AZ$84</f>
        <v>61.487426207717775</v>
      </c>
      <c r="EK125" s="125">
        <f>EK14/293.07*(1/(VLOOKUP($BM125,'Fuel economy adjusted factor'!$A$2:$L$52,5,FALSE)*m2k))/'TCO Inputs'!$AZ$84</f>
        <v>61.487426207717775</v>
      </c>
      <c r="EL125" s="125">
        <f>EL14/293.07*(1/(VLOOKUP($BM125,'Fuel economy adjusted factor'!$A$2:$L$52,5,FALSE)*m2k))/'TCO Inputs'!$AZ$84</f>
        <v>61.487426207717775</v>
      </c>
      <c r="EM125" s="125">
        <f>EM14/293.07*(1/(VLOOKUP($BM125,'Fuel economy adjusted factor'!$A$2:$L$52,5,FALSE)*m2k))/'TCO Inputs'!$AZ$84</f>
        <v>61.487426207717775</v>
      </c>
      <c r="EN125" s="125">
        <f>EN14/293.07*(1/(VLOOKUP($BM125,'Fuel economy adjusted factor'!$A$2:$L$52,5,FALSE)*m2k))/'TCO Inputs'!$AZ$84</f>
        <v>61.487426207717775</v>
      </c>
      <c r="EO125" s="125">
        <f>EO14/293.07*(1/(VLOOKUP($BM125,'Fuel economy adjusted factor'!$A$2:$L$52,5,FALSE)*m2k))/'TCO Inputs'!$AZ$84</f>
        <v>59.552136555318334</v>
      </c>
      <c r="EP125" s="125">
        <f>EP14/293.07*(1/(VLOOKUP($BM125,'Fuel economy adjusted factor'!$A$2:$L$52,5,FALSE)*m2k))/'TCO Inputs'!$AZ$84</f>
        <v>59.552136555318334</v>
      </c>
      <c r="EQ125" s="125">
        <f>EQ14/293.07*(1/(VLOOKUP($BM125,'Fuel economy adjusted factor'!$A$2:$L$52,5,FALSE)*m2k))/'TCO Inputs'!$AZ$84</f>
        <v>59.552136555318334</v>
      </c>
      <c r="ER125" s="125">
        <f>ER14/293.07*(1/(VLOOKUP($BM125,'Fuel economy adjusted factor'!$A$2:$L$52,5,FALSE)*m2k))/'TCO Inputs'!$AZ$84</f>
        <v>59.552136555318334</v>
      </c>
      <c r="ES125" s="125">
        <f>ES14/293.07*(1/(VLOOKUP($BM125,'Fuel economy adjusted factor'!$A$2:$L$52,5,FALSE)*m2k))/'TCO Inputs'!$AZ$84</f>
        <v>59.552136555318334</v>
      </c>
      <c r="ET125" s="125">
        <f>ET14/293.07*(1/(VLOOKUP($BM125,'Fuel economy adjusted factor'!$A$2:$L$52,5,FALSE)*m2k))/'TCO Inputs'!$AZ$84</f>
        <v>57.341047020318086</v>
      </c>
      <c r="EU125" s="125">
        <f>EU14/293.07*(1/(VLOOKUP($BM125,'Fuel economy adjusted factor'!$A$2:$L$52,5,FALSE)*m2k))/'TCO Inputs'!$AZ$84</f>
        <v>57.341047020318086</v>
      </c>
      <c r="EV125" s="125">
        <f>EV14/293.07*(1/(VLOOKUP($BM125,'Fuel economy adjusted factor'!$A$2:$L$52,5,FALSE)*m2k))/'TCO Inputs'!$AZ$84</f>
        <v>57.341047020318086</v>
      </c>
      <c r="EW125" s="125">
        <f>EW14/293.07*(1/(VLOOKUP($BM125,'Fuel economy adjusted factor'!$A$2:$L$52,5,FALSE)*m2k))/'TCO Inputs'!$AZ$84</f>
        <v>57.341047020318086</v>
      </c>
      <c r="EX125" s="125">
        <f>EX14/293.07*(1/(VLOOKUP($BM125,'Fuel economy adjusted factor'!$A$2:$L$52,5,FALSE)*m2k))/'TCO Inputs'!$AZ$84</f>
        <v>57.341047020318086</v>
      </c>
      <c r="EY125" s="125">
        <f>EY14/293.07*(1/(VLOOKUP($BM125,'Fuel economy adjusted factor'!$A$2:$L$52,5,FALSE)*m2k))/'TCO Inputs'!$AZ$84</f>
        <v>53.873848496193823</v>
      </c>
      <c r="EZ125" s="98" cm="1">
        <f t="array" ref="EZ125">SUMPRODUCT(INDEX(DX125:EY125,,'TCO Inputs'!$AZ$12-2023+_xlfn.SEQUENCE('TCO Inputs'!$AZ$13))*INDEX('VKT US'!C71:AA71,,_xlfn.SEQUENCE('TCO Inputs'!$AZ$13)))*m2k*CONVERT(0.9072,"g","ton")</f>
        <v>28.989708524504383</v>
      </c>
      <c r="FB125" s="123" t="s">
        <v>193</v>
      </c>
      <c r="FC125" s="125">
        <f>FC14/293.07*(1/(VLOOKUP($BM125,'Fuel economy adjusted factor'!$A$2:$L$52,5,FALSE)*m2k))/'TCO Inputs'!$AZ$84</f>
        <v>138.21232688171</v>
      </c>
      <c r="FD125" s="125">
        <f>FD14/293.07*(1/(VLOOKUP($BM125,'Fuel economy adjusted factor'!$A$2:$L$52,5,FALSE)*m2k))/'TCO Inputs'!$AZ$84</f>
        <v>138.21232688171</v>
      </c>
      <c r="FE125" s="125">
        <f>FE14/293.07*(1/(VLOOKUP($BM125,'Fuel economy adjusted factor'!$A$2:$L$52,5,FALSE)*m2k))/'TCO Inputs'!$AZ$84</f>
        <v>120.70091052623715</v>
      </c>
      <c r="FF125" s="125">
        <f>FF14/293.07*(1/(VLOOKUP($BM125,'Fuel economy adjusted factor'!$A$2:$L$52,5,FALSE)*m2k))/'TCO Inputs'!$AZ$84</f>
        <v>120.70091052623715</v>
      </c>
      <c r="FG125" s="125">
        <f>FG14/293.07*(1/(VLOOKUP($BM125,'Fuel economy adjusted factor'!$A$2:$L$52,5,FALSE)*m2k))/'TCO Inputs'!$AZ$84</f>
        <v>120.70091052623715</v>
      </c>
      <c r="FH125" s="125">
        <f>FH14/293.07*(1/(VLOOKUP($BM125,'Fuel economy adjusted factor'!$A$2:$L$52,5,FALSE)*m2k))/'TCO Inputs'!$AZ$84</f>
        <v>120.70091052623715</v>
      </c>
      <c r="FI125" s="125">
        <f>FI14/293.07*(1/(VLOOKUP($BM125,'Fuel economy adjusted factor'!$A$2:$L$52,5,FALSE)*m2k))/'TCO Inputs'!$AZ$84</f>
        <v>120.70091052623715</v>
      </c>
      <c r="FJ125" s="125">
        <f>FJ14/293.07*(1/(VLOOKUP($BM125,'Fuel economy adjusted factor'!$A$2:$L$52,5,FALSE)*m2k))/'TCO Inputs'!$AZ$84</f>
        <v>75.742715377791455</v>
      </c>
      <c r="FK125" s="125">
        <f>FK14/293.07*(1/(VLOOKUP($BM125,'Fuel economy adjusted factor'!$A$2:$L$52,5,FALSE)*m2k))/'TCO Inputs'!$AZ$84</f>
        <v>75.742715377791455</v>
      </c>
      <c r="FL125" s="125">
        <f>FL14/293.07*(1/(VLOOKUP($BM125,'Fuel economy adjusted factor'!$A$2:$L$52,5,FALSE)*m2k))/'TCO Inputs'!$AZ$84</f>
        <v>75.742715377791455</v>
      </c>
      <c r="FM125" s="125">
        <f>FM14/293.07*(1/(VLOOKUP($BM125,'Fuel economy adjusted factor'!$A$2:$L$52,5,FALSE)*m2k))/'TCO Inputs'!$AZ$84</f>
        <v>75.742715377791455</v>
      </c>
      <c r="FN125" s="125">
        <f>FN14/293.07*(1/(VLOOKUP($BM125,'Fuel economy adjusted factor'!$A$2:$L$52,5,FALSE)*m2k))/'TCO Inputs'!$AZ$84</f>
        <v>75.742715377791455</v>
      </c>
      <c r="FO125" s="125">
        <f>FO14/293.07*(1/(VLOOKUP($BM125,'Fuel economy adjusted factor'!$A$2:$L$52,5,FALSE)*m2k))/'TCO Inputs'!$AZ$84</f>
        <v>67.255771371364972</v>
      </c>
      <c r="FP125" s="125">
        <f>FP14/293.07*(1/(VLOOKUP($BM125,'Fuel economy adjusted factor'!$A$2:$L$52,5,FALSE)*m2k))/'TCO Inputs'!$AZ$84</f>
        <v>67.255771371364972</v>
      </c>
      <c r="FQ125" s="125">
        <f>FQ14/293.07*(1/(VLOOKUP($BM125,'Fuel economy adjusted factor'!$A$2:$L$52,5,FALSE)*m2k))/'TCO Inputs'!$AZ$84</f>
        <v>67.255771371364972</v>
      </c>
      <c r="FR125" s="125">
        <f>FR14/293.07*(1/(VLOOKUP($BM125,'Fuel economy adjusted factor'!$A$2:$L$52,5,FALSE)*m2k))/'TCO Inputs'!$AZ$84</f>
        <v>67.255771371364972</v>
      </c>
      <c r="FS125" s="125">
        <f>FS14/293.07*(1/(VLOOKUP($BM125,'Fuel economy adjusted factor'!$A$2:$L$52,5,FALSE)*m2k))/'TCO Inputs'!$AZ$84</f>
        <v>67.255771371364972</v>
      </c>
      <c r="FT125" s="125">
        <f>FT14/293.07*(1/(VLOOKUP($BM125,'Fuel economy adjusted factor'!$A$2:$L$52,5,FALSE)*m2k))/'TCO Inputs'!$AZ$84</f>
        <v>65.543748290594749</v>
      </c>
      <c r="FU125" s="125">
        <f>FU14/293.07*(1/(VLOOKUP($BM125,'Fuel economy adjusted factor'!$A$2:$L$52,5,FALSE)*m2k))/'TCO Inputs'!$AZ$84</f>
        <v>65.543748290594749</v>
      </c>
      <c r="FV125" s="125">
        <f>FV14/293.07*(1/(VLOOKUP($BM125,'Fuel economy adjusted factor'!$A$2:$L$52,5,FALSE)*m2k))/'TCO Inputs'!$AZ$84</f>
        <v>65.543748290594749</v>
      </c>
      <c r="FW125" s="125">
        <f>FW14/293.07*(1/(VLOOKUP($BM125,'Fuel economy adjusted factor'!$A$2:$L$52,5,FALSE)*m2k))/'TCO Inputs'!$AZ$84</f>
        <v>65.543748290594749</v>
      </c>
      <c r="FX125" s="125">
        <f>FX14/293.07*(1/(VLOOKUP($BM125,'Fuel economy adjusted factor'!$A$2:$L$52,5,FALSE)*m2k))/'TCO Inputs'!$AZ$84</f>
        <v>65.543748290594749</v>
      </c>
      <c r="FY125" s="125">
        <f>FY14/293.07*(1/(VLOOKUP($BM125,'Fuel economy adjusted factor'!$A$2:$L$52,5,FALSE)*m2k))/'TCO Inputs'!$AZ$84</f>
        <v>63.327968281400608</v>
      </c>
      <c r="FZ125" s="125">
        <f>FZ14/293.07*(1/(VLOOKUP($BM125,'Fuel economy adjusted factor'!$A$2:$L$52,5,FALSE)*m2k))/'TCO Inputs'!$AZ$84</f>
        <v>63.327968281400608</v>
      </c>
      <c r="GA125" s="125">
        <f>GA14/293.07*(1/(VLOOKUP($BM125,'Fuel economy adjusted factor'!$A$2:$L$52,5,FALSE)*m2k))/'TCO Inputs'!$AZ$84</f>
        <v>63.327968281400608</v>
      </c>
      <c r="GB125" s="125">
        <f>GB14/293.07*(1/(VLOOKUP($BM125,'Fuel economy adjusted factor'!$A$2:$L$52,5,FALSE)*m2k))/'TCO Inputs'!$AZ$84</f>
        <v>63.327968281400608</v>
      </c>
      <c r="GC125" s="125">
        <f>GC14/293.07*(1/(VLOOKUP($BM125,'Fuel economy adjusted factor'!$A$2:$L$52,5,FALSE)*m2k))/'TCO Inputs'!$AZ$84</f>
        <v>63.327968281400608</v>
      </c>
      <c r="GD125" s="125">
        <f>GD14/293.07*(1/(VLOOKUP($BM125,'Fuel economy adjusted factor'!$A$2:$L$52,5,FALSE)*m2k))/'TCO Inputs'!$AZ$84</f>
        <v>59.740693617912747</v>
      </c>
      <c r="GE125" s="98" cm="1">
        <f t="array" ref="GE125">SUMPRODUCT(INDEX(FC125:GD125,,'TCO Inputs'!$AZ$12-2023+_xlfn.SEQUENCE('TCO Inputs'!$AZ$13))*INDEX('VKT US'!C71:AA71,,_xlfn.SEQUENCE('TCO Inputs'!$AZ$13)))*m2k*CONVERT(0.9072,"g","ton")</f>
        <v>31.519454414873415</v>
      </c>
      <c r="GH125" s="123" t="s">
        <v>193</v>
      </c>
      <c r="GI125" s="125">
        <f>GI14/293.07*(1/(VLOOKUP($BM125,'Fuel economy adjusted factor'!$A$2:$L$52,5,FALSE)*m2k))/'TCO Inputs'!$AZ$84</f>
        <v>120.08458221715991</v>
      </c>
      <c r="GJ125" s="125">
        <f>GJ14/293.07*(1/(VLOOKUP($BM125,'Fuel economy adjusted factor'!$A$2:$L$52,5,FALSE)*m2k))/'TCO Inputs'!$AZ$84</f>
        <v>120.08458221715991</v>
      </c>
      <c r="GK125" s="125">
        <f>GK14/293.07*(1/(VLOOKUP($BM125,'Fuel economy adjusted factor'!$A$2:$L$52,5,FALSE)*m2k))/'TCO Inputs'!$AZ$84</f>
        <v>105.57694553545485</v>
      </c>
      <c r="GL125" s="125">
        <f>GL14/293.07*(1/(VLOOKUP($BM125,'Fuel economy adjusted factor'!$A$2:$L$52,5,FALSE)*m2k))/'TCO Inputs'!$AZ$84</f>
        <v>105.57694553545485</v>
      </c>
      <c r="GM125" s="125">
        <f>GM14/293.07*(1/(VLOOKUP($BM125,'Fuel economy adjusted factor'!$A$2:$L$52,5,FALSE)*m2k))/'TCO Inputs'!$AZ$84</f>
        <v>105.57694553545485</v>
      </c>
      <c r="GN125" s="125">
        <f>GN14/293.07*(1/(VLOOKUP($BM125,'Fuel economy adjusted factor'!$A$2:$L$52,5,FALSE)*m2k))/'TCO Inputs'!$AZ$84</f>
        <v>105.57694553545485</v>
      </c>
      <c r="GO125" s="125">
        <f>GO14/293.07*(1/(VLOOKUP($BM125,'Fuel economy adjusted factor'!$A$2:$L$52,5,FALSE)*m2k))/'TCO Inputs'!$AZ$84</f>
        <v>105.57694553545485</v>
      </c>
      <c r="GP125" s="125">
        <f>GP14/293.07*(1/(VLOOKUP($BM125,'Fuel economy adjusted factor'!$A$2:$L$52,5,FALSE)*m2k))/'TCO Inputs'!$AZ$84</f>
        <v>64.151615549847889</v>
      </c>
      <c r="GQ125" s="125">
        <f>GQ14/293.07*(1/(VLOOKUP($BM125,'Fuel economy adjusted factor'!$A$2:$L$52,5,FALSE)*m2k))/'TCO Inputs'!$AZ$84</f>
        <v>64.151615549847889</v>
      </c>
      <c r="GR125" s="125">
        <f>GR14/293.07*(1/(VLOOKUP($BM125,'Fuel economy adjusted factor'!$A$2:$L$52,5,FALSE)*m2k))/'TCO Inputs'!$AZ$84</f>
        <v>64.151615549847889</v>
      </c>
      <c r="GS125" s="125">
        <f>GS14/293.07*(1/(VLOOKUP($BM125,'Fuel economy adjusted factor'!$A$2:$L$52,5,FALSE)*m2k))/'TCO Inputs'!$AZ$84</f>
        <v>64.151615549847889</v>
      </c>
      <c r="GT125" s="125">
        <f>GT14/293.07*(1/(VLOOKUP($BM125,'Fuel economy adjusted factor'!$A$2:$L$52,5,FALSE)*m2k))/'TCO Inputs'!$AZ$84</f>
        <v>64.151615549847889</v>
      </c>
      <c r="GU125" s="125">
        <f>GU14/293.07*(1/(VLOOKUP($BM125,'Fuel economy adjusted factor'!$A$2:$L$52,5,FALSE)*m2k))/'TCO Inputs'!$AZ$84</f>
        <v>57.561499307430971</v>
      </c>
      <c r="GV125" s="125">
        <f>GV14/293.07*(1/(VLOOKUP($BM125,'Fuel economy adjusted factor'!$A$2:$L$52,5,FALSE)*m2k))/'TCO Inputs'!$AZ$84</f>
        <v>57.561499307430971</v>
      </c>
      <c r="GW125" s="125">
        <f>GW14/293.07*(1/(VLOOKUP($BM125,'Fuel economy adjusted factor'!$A$2:$L$52,5,FALSE)*m2k))/'TCO Inputs'!$AZ$84</f>
        <v>57.561499307430971</v>
      </c>
      <c r="GX125" s="125">
        <f>GX14/293.07*(1/(VLOOKUP($BM125,'Fuel economy adjusted factor'!$A$2:$L$52,5,FALSE)*m2k))/'TCO Inputs'!$AZ$84</f>
        <v>57.561499307430971</v>
      </c>
      <c r="GY125" s="125">
        <f>GY14/293.07*(1/(VLOOKUP($BM125,'Fuel economy adjusted factor'!$A$2:$L$52,5,FALSE)*m2k))/'TCO Inputs'!$AZ$84</f>
        <v>57.561499307430971</v>
      </c>
      <c r="GZ125" s="125">
        <f>GZ14/293.07*(1/(VLOOKUP($BM125,'Fuel economy adjusted factor'!$A$2:$L$52,5,FALSE)*m2k))/'TCO Inputs'!$AZ$84</f>
        <v>55.474238291149454</v>
      </c>
      <c r="HA125" s="125">
        <f>HA14/293.07*(1/(VLOOKUP($BM125,'Fuel economy adjusted factor'!$A$2:$L$52,5,FALSE)*m2k))/'TCO Inputs'!$AZ$84</f>
        <v>55.474238291149454</v>
      </c>
      <c r="HB125" s="125">
        <f>HB14/293.07*(1/(VLOOKUP($BM125,'Fuel economy adjusted factor'!$A$2:$L$52,5,FALSE)*m2k))/'TCO Inputs'!$AZ$84</f>
        <v>55.474238291149454</v>
      </c>
      <c r="HC125" s="125">
        <f>HC14/293.07*(1/(VLOOKUP($BM125,'Fuel economy adjusted factor'!$A$2:$L$52,5,FALSE)*m2k))/'TCO Inputs'!$AZ$84</f>
        <v>55.474238291149454</v>
      </c>
      <c r="HD125" s="125">
        <f>HD14/293.07*(1/(VLOOKUP($BM125,'Fuel economy adjusted factor'!$A$2:$L$52,5,FALSE)*m2k))/'TCO Inputs'!$AZ$84</f>
        <v>55.474238291149454</v>
      </c>
      <c r="HE125" s="125">
        <f>HE14/293.07*(1/(VLOOKUP($BM125,'Fuel economy adjusted factor'!$A$2:$L$52,5,FALSE)*m2k))/'TCO Inputs'!$AZ$84</f>
        <v>53.265963040665554</v>
      </c>
      <c r="HF125" s="125">
        <f>HF14/293.07*(1/(VLOOKUP($BM125,'Fuel economy adjusted factor'!$A$2:$L$52,5,FALSE)*m2k))/'TCO Inputs'!$AZ$84</f>
        <v>53.265963040665554</v>
      </c>
      <c r="HG125" s="125">
        <f>HG14/293.07*(1/(VLOOKUP($BM125,'Fuel economy adjusted factor'!$A$2:$L$52,5,FALSE)*m2k))/'TCO Inputs'!$AZ$84</f>
        <v>53.265963040665554</v>
      </c>
      <c r="HH125" s="125">
        <f>HH14/293.07*(1/(VLOOKUP($BM125,'Fuel economy adjusted factor'!$A$2:$L$52,5,FALSE)*m2k))/'TCO Inputs'!$AZ$84</f>
        <v>53.265963040665554</v>
      </c>
      <c r="HI125" s="125">
        <f>HI14/293.07*(1/(VLOOKUP($BM125,'Fuel economy adjusted factor'!$A$2:$L$52,5,FALSE)*m2k))/'TCO Inputs'!$AZ$84</f>
        <v>53.265963040665554</v>
      </c>
      <c r="HJ125" s="125">
        <f>HJ14/293.07*(1/(VLOOKUP($BM125,'Fuel economy adjusted factor'!$A$2:$L$52,5,FALSE)*m2k))/'TCO Inputs'!$AZ$84</f>
        <v>49.881316862353763</v>
      </c>
      <c r="HK125" s="98" cm="1">
        <f t="array" ref="HK125">SUMPRODUCT(INDEX(GI125:HJ125,,'TCO Inputs'!$AZ$12-2023+_xlfn.SEQUENCE('TCO Inputs'!$AZ$13))*INDEX('VKT US'!C71:AA71,,_xlfn.SEQUENCE('TCO Inputs'!$AZ$13)))*m2k*CONVERT(0.9072,"g","ton")</f>
        <v>27.267919029298561</v>
      </c>
    </row>
    <row r="126" spans="17:219" x14ac:dyDescent="0.25">
      <c r="Q126" s="198" t="s">
        <v>551</v>
      </c>
      <c r="R126" s="197">
        <f>GE223/'US Grid mix, emissions&amp;prices'!$AK$219</f>
        <v>1.1854447284196747</v>
      </c>
      <c r="S126" s="196"/>
      <c r="T126" s="196"/>
      <c r="U126" s="196"/>
      <c r="V126" s="196"/>
      <c r="W126" s="196"/>
      <c r="Z126" s="123" t="s">
        <v>194</v>
      </c>
      <c r="AA126" s="125">
        <f>AA15/293.07*(1/(VLOOKUP($Z126,'Fuel economy adjusted factor'!$A$2:$L$52,5,FALSE)*m2k))/'TCO Inputs'!$AZ$84</f>
        <v>87.782037136713427</v>
      </c>
      <c r="AB126" s="125">
        <f>AB15/293.07*(1/(VLOOKUP($Z126,'Fuel economy adjusted factor'!$A$2:$L$52,5,FALSE)*m2k))/'TCO Inputs'!$AZ$84</f>
        <v>87.782037136713427</v>
      </c>
      <c r="AC126" s="125">
        <f>AC15/293.07*(1/(VLOOKUP($Z126,'Fuel economy adjusted factor'!$A$2:$L$52,5,FALSE)*m2k))/'TCO Inputs'!$AZ$84</f>
        <v>77.203760807872044</v>
      </c>
      <c r="AD126" s="125">
        <f>AD15/293.07*(1/(VLOOKUP($Z126,'Fuel economy adjusted factor'!$A$2:$L$52,5,FALSE)*m2k))/'TCO Inputs'!$AZ$84</f>
        <v>77.203760807872044</v>
      </c>
      <c r="AE126" s="125">
        <f>AE15/293.07*(1/(VLOOKUP($Z126,'Fuel economy adjusted factor'!$A$2:$L$52,5,FALSE)*m2k))/'TCO Inputs'!$AZ$84</f>
        <v>77.203760807872044</v>
      </c>
      <c r="AF126" s="125">
        <f>AF15/293.07*(1/(VLOOKUP($Z126,'Fuel economy adjusted factor'!$A$2:$L$52,5,FALSE)*m2k))/'TCO Inputs'!$AZ$84</f>
        <v>77.203760807872044</v>
      </c>
      <c r="AG126" s="125">
        <f>AG15/293.07*(1/(VLOOKUP($Z126,'Fuel economy adjusted factor'!$A$2:$L$52,5,FALSE)*m2k))/'TCO Inputs'!$AZ$84</f>
        <v>77.203760807872044</v>
      </c>
      <c r="AH126" s="125">
        <f>AH15/293.07*(1/(VLOOKUP($Z126,'Fuel economy adjusted factor'!$A$2:$L$52,5,FALSE)*m2k))/'TCO Inputs'!$AZ$84</f>
        <v>46.386928942166286</v>
      </c>
      <c r="AI126" s="125">
        <f>AI15/293.07*(1/(VLOOKUP($Z126,'Fuel economy adjusted factor'!$A$2:$L$52,5,FALSE)*m2k))/'TCO Inputs'!$AZ$84</f>
        <v>46.386928942166286</v>
      </c>
      <c r="AJ126" s="125">
        <f>AJ15/293.07*(1/(VLOOKUP($Z126,'Fuel economy adjusted factor'!$A$2:$L$52,5,FALSE)*m2k))/'TCO Inputs'!$AZ$84</f>
        <v>46.386928942166286</v>
      </c>
      <c r="AK126" s="125">
        <f>AK15/293.07*(1/(VLOOKUP($Z126,'Fuel economy adjusted factor'!$A$2:$L$52,5,FALSE)*m2k))/'TCO Inputs'!$AZ$84</f>
        <v>46.386928942166286</v>
      </c>
      <c r="AL126" s="125">
        <f>AL15/293.07*(1/(VLOOKUP($Z126,'Fuel economy adjusted factor'!$A$2:$L$52,5,FALSE)*m2k))/'TCO Inputs'!$AZ$84</f>
        <v>46.386928942166286</v>
      </c>
      <c r="AM126" s="125">
        <f>AM15/293.07*(1/(VLOOKUP($Z126,'Fuel economy adjusted factor'!$A$2:$L$52,5,FALSE)*m2k))/'TCO Inputs'!$AZ$84</f>
        <v>48.542903020315393</v>
      </c>
      <c r="AN126" s="125">
        <f>AN15/293.07*(1/(VLOOKUP($Z126,'Fuel economy adjusted factor'!$A$2:$L$52,5,FALSE)*m2k))/'TCO Inputs'!$AZ$84</f>
        <v>48.542903020315393</v>
      </c>
      <c r="AO126" s="125">
        <f>AO15/293.07*(1/(VLOOKUP($Z126,'Fuel economy adjusted factor'!$A$2:$L$52,5,FALSE)*m2k))/'TCO Inputs'!$AZ$84</f>
        <v>48.542903020315393</v>
      </c>
      <c r="AP126" s="125">
        <f>AP15/293.07*(1/(VLOOKUP($Z126,'Fuel economy adjusted factor'!$A$2:$L$52,5,FALSE)*m2k))/'TCO Inputs'!$AZ$84</f>
        <v>48.542903020315393</v>
      </c>
      <c r="AQ126" s="125">
        <f>AQ15/293.07*(1/(VLOOKUP($Z126,'Fuel economy adjusted factor'!$A$2:$L$52,5,FALSE)*m2k))/'TCO Inputs'!$AZ$84</f>
        <v>48.542903020315393</v>
      </c>
      <c r="AR126" s="125">
        <f>AR15/293.07*(1/(VLOOKUP($Z126,'Fuel economy adjusted factor'!$A$2:$L$52,5,FALSE)*m2k))/'TCO Inputs'!$AZ$84</f>
        <v>50.74420193788589</v>
      </c>
      <c r="AS126" s="125">
        <f>AS15/293.07*(1/(VLOOKUP($Z126,'Fuel economy adjusted factor'!$A$2:$L$52,5,FALSE)*m2k))/'TCO Inputs'!$AZ$84</f>
        <v>50.74420193788589</v>
      </c>
      <c r="AT126" s="125">
        <f>AT15/293.07*(1/(VLOOKUP($Z126,'Fuel economy adjusted factor'!$A$2:$L$52,5,FALSE)*m2k))/'TCO Inputs'!$AZ$84</f>
        <v>50.74420193788589</v>
      </c>
      <c r="AU126" s="125">
        <f>AU15/293.07*(1/(VLOOKUP($Z126,'Fuel economy adjusted factor'!$A$2:$L$52,5,FALSE)*m2k))/'TCO Inputs'!$AZ$84</f>
        <v>50.74420193788589</v>
      </c>
      <c r="AV126" s="125">
        <f>AV15/293.07*(1/(VLOOKUP($Z126,'Fuel economy adjusted factor'!$A$2:$L$52,5,FALSE)*m2k))/'TCO Inputs'!$AZ$84</f>
        <v>50.74420193788589</v>
      </c>
      <c r="AW126" s="125">
        <f>AW15/293.07*(1/(VLOOKUP($Z126,'Fuel economy adjusted factor'!$A$2:$L$52,5,FALSE)*m2k))/'TCO Inputs'!$AZ$84</f>
        <v>51.857704709342876</v>
      </c>
      <c r="AX126" s="125">
        <f>AX15/293.07*(1/(VLOOKUP($Z126,'Fuel economy adjusted factor'!$A$2:$L$52,5,FALSE)*m2k))/'TCO Inputs'!$AZ$84</f>
        <v>51.857704709342876</v>
      </c>
      <c r="AY126" s="125">
        <f>AY15/293.07*(1/(VLOOKUP($Z126,'Fuel economy adjusted factor'!$A$2:$L$52,5,FALSE)*m2k))/'TCO Inputs'!$AZ$84</f>
        <v>51.857704709342876</v>
      </c>
      <c r="AZ126" s="125">
        <f>AZ15/293.07*(1/(VLOOKUP($Z126,'Fuel economy adjusted factor'!$A$2:$L$52,5,FALSE)*m2k))/'TCO Inputs'!$AZ$84</f>
        <v>51.857704709342876</v>
      </c>
      <c r="BA126" s="125">
        <f>BA15/293.07*(1/(VLOOKUP($Z126,'Fuel economy adjusted factor'!$A$2:$L$52,5,FALSE)*m2k))/'TCO Inputs'!$AZ$84</f>
        <v>51.857704709342876</v>
      </c>
      <c r="BB126" s="125">
        <f>BB15/293.07*(1/(VLOOKUP($Z126,'Fuel economy adjusted factor'!$A$2:$L$52,5,FALSE)*m2k))/'TCO Inputs'!$AZ$84</f>
        <v>51.928059683967149</v>
      </c>
      <c r="BC126" s="98" cm="1">
        <f t="array" ref="BC126">SUMPRODUCT(INDEX(AA126:BB126,,'TCO Inputs'!$AZ$12-2023+_xlfn.SEQUENCE('TCO Inputs'!$AZ$13))*INDEX('VKT US'!C72:AA72,,_xlfn.SEQUENCE('TCO Inputs'!$AZ$13)))*m2k*CONVERT(0.9072,"g","ton")</f>
        <v>25.344338243105735</v>
      </c>
      <c r="BM126" s="123" t="s">
        <v>194</v>
      </c>
      <c r="BN126" s="125">
        <f>BN15/293.07*(1/(VLOOKUP($BM126,'Fuel economy adjusted factor'!$A$2:$L$52,5,FALSE)*m2k))</f>
        <v>74.614731566206416</v>
      </c>
      <c r="BO126" s="125">
        <f>BO15/293.07*(1/(VLOOKUP($BM126,'Fuel economy adjusted factor'!$A$2:$L$52,5,FALSE)*m2k))</f>
        <v>74.614731566206416</v>
      </c>
      <c r="BP126" s="125">
        <f>BP15/293.07*(1/(VLOOKUP($BM126,'Fuel economy adjusted factor'!$A$2:$L$52,5,FALSE)*m2k))</f>
        <v>65.537519210381973</v>
      </c>
      <c r="BQ126" s="125">
        <f>BQ15/293.07*(1/(VLOOKUP($BM126,'Fuel economy adjusted factor'!$A$2:$L$52,5,FALSE)*m2k))</f>
        <v>65.537519210381973</v>
      </c>
      <c r="BR126" s="125">
        <f>BR15/293.07*(1/(VLOOKUP($BM126,'Fuel economy adjusted factor'!$A$2:$L$52,5,FALSE)*m2k))</f>
        <v>65.537519210381973</v>
      </c>
      <c r="BS126" s="125">
        <f>BS15/293.07*(1/(VLOOKUP($BM126,'Fuel economy adjusted factor'!$A$2:$L$52,5,FALSE)*m2k))</f>
        <v>65.537519210381973</v>
      </c>
      <c r="BT126" s="125">
        <f>BT15/293.07*(1/(VLOOKUP($BM126,'Fuel economy adjusted factor'!$A$2:$L$52,5,FALSE)*m2k))</f>
        <v>65.537519210381973</v>
      </c>
      <c r="BU126" s="125">
        <f>BU15/293.07*(1/(VLOOKUP($BM126,'Fuel economy adjusted factor'!$A$2:$L$52,5,FALSE)*m2k))</f>
        <v>74.290997209413746</v>
      </c>
      <c r="BV126" s="125">
        <f>BV15/293.07*(1/(VLOOKUP($BM126,'Fuel economy adjusted factor'!$A$2:$L$52,5,FALSE)*m2k))</f>
        <v>74.290997209413746</v>
      </c>
      <c r="BW126" s="125">
        <f>BW15/293.07*(1/(VLOOKUP($BM126,'Fuel economy adjusted factor'!$A$2:$L$52,5,FALSE)*m2k))</f>
        <v>74.290997209413746</v>
      </c>
      <c r="BX126" s="125">
        <f>BX15/293.07*(1/(VLOOKUP($BM126,'Fuel economy adjusted factor'!$A$2:$L$52,5,FALSE)*m2k))</f>
        <v>74.290997209413746</v>
      </c>
      <c r="BY126" s="125">
        <f>BY15/293.07*(1/(VLOOKUP($BM126,'Fuel economy adjusted factor'!$A$2:$L$52,5,FALSE)*m2k))</f>
        <v>74.290997209413746</v>
      </c>
      <c r="BZ126" s="125">
        <f>BZ15/293.07*(1/(VLOOKUP($BM126,'Fuel economy adjusted factor'!$A$2:$L$52,5,FALSE)*m2k))</f>
        <v>76.077573846278469</v>
      </c>
      <c r="CA126" s="125">
        <f>CA15/293.07*(1/(VLOOKUP($BM126,'Fuel economy adjusted factor'!$A$2:$L$52,5,FALSE)*m2k))</f>
        <v>76.077573846278469</v>
      </c>
      <c r="CB126" s="125">
        <f>CB15/293.07*(1/(VLOOKUP($BM126,'Fuel economy adjusted factor'!$A$2:$L$52,5,FALSE)*m2k))</f>
        <v>76.077573846278469</v>
      </c>
      <c r="CC126" s="125">
        <f>CC15/293.07*(1/(VLOOKUP($BM126,'Fuel economy adjusted factor'!$A$2:$L$52,5,FALSE)*m2k))</f>
        <v>76.077573846278469</v>
      </c>
      <c r="CD126" s="125">
        <f>CD15/293.07*(1/(VLOOKUP($BM126,'Fuel economy adjusted factor'!$A$2:$L$52,5,FALSE)*m2k))</f>
        <v>76.077573846278469</v>
      </c>
      <c r="CE126" s="125">
        <f>CE15/293.07*(1/(VLOOKUP($BM126,'Fuel economy adjusted factor'!$A$2:$L$52,5,FALSE)*m2k))</f>
        <v>77.957878192125804</v>
      </c>
      <c r="CF126" s="125">
        <f>CF15/293.07*(1/(VLOOKUP($BM126,'Fuel economy adjusted factor'!$A$2:$L$52,5,FALSE)*m2k))</f>
        <v>77.957878192125804</v>
      </c>
      <c r="CG126" s="125">
        <f>CG15/293.07*(1/(VLOOKUP($BM126,'Fuel economy adjusted factor'!$A$2:$L$52,5,FALSE)*m2k))</f>
        <v>77.957878192125804</v>
      </c>
      <c r="CH126" s="125">
        <f>CH15/293.07*(1/(VLOOKUP($BM126,'Fuel economy adjusted factor'!$A$2:$L$52,5,FALSE)*m2k))</f>
        <v>77.957878192125804</v>
      </c>
      <c r="CI126" s="125">
        <f>CI15/293.07*(1/(VLOOKUP($BM126,'Fuel economy adjusted factor'!$A$2:$L$52,5,FALSE)*m2k))</f>
        <v>77.957878192125804</v>
      </c>
      <c r="CJ126" s="125">
        <f>CJ15/293.07*(1/(VLOOKUP($BM126,'Fuel economy adjusted factor'!$A$2:$L$52,5,FALSE)*m2k))</f>
        <v>78.404091088877337</v>
      </c>
      <c r="CK126" s="125">
        <f>CK15/293.07*(1/(VLOOKUP($BM126,'Fuel economy adjusted factor'!$A$2:$L$52,5,FALSE)*m2k))</f>
        <v>78.404091088877337</v>
      </c>
      <c r="CL126" s="125">
        <f>CL15/293.07*(1/(VLOOKUP($BM126,'Fuel economy adjusted factor'!$A$2:$L$52,5,FALSE)*m2k))</f>
        <v>78.404091088877337</v>
      </c>
      <c r="CM126" s="125">
        <f>CM15/293.07*(1/(VLOOKUP($BM126,'Fuel economy adjusted factor'!$A$2:$L$52,5,FALSE)*m2k))</f>
        <v>78.404091088877337</v>
      </c>
      <c r="CN126" s="125">
        <f>CN15/293.07*(1/(VLOOKUP($BM126,'Fuel economy adjusted factor'!$A$2:$L$52,5,FALSE)*m2k))</f>
        <v>78.404091088877337</v>
      </c>
      <c r="CO126" s="125">
        <f>CO15/293.07*(1/(VLOOKUP($BM126,'Fuel economy adjusted factor'!$A$2:$L$52,5,FALSE)*m2k))</f>
        <v>78.937131495177169</v>
      </c>
      <c r="CP126" s="98" cm="1">
        <f t="array" ref="CP126">SUMPRODUCT(INDEX(BN126:CO126,,'TCO Inputs'!$AZ$12-2023+_xlfn.SEQUENCE('TCO Inputs'!$AZ$13))*INDEX('VKT US'!C72:AA72,,_xlfn.SEQUENCE('TCO Inputs'!$AZ$13)))*m2k*CONVERT(0.9072,"g","ton")</f>
        <v>27.605397412747525</v>
      </c>
      <c r="CQ126" s="194"/>
      <c r="CR126" s="123" t="s">
        <v>194</v>
      </c>
      <c r="CS126" s="125">
        <f>CS15/293.07*(1/(VLOOKUP($BM126,'Fuel economy adjusted factor'!$A$2:$L$52,5,FALSE)*m2k))/'TCO Inputs'!$AZ$84</f>
        <v>106.28066003190868</v>
      </c>
      <c r="CT126" s="125">
        <f>CT15/293.07*(1/(VLOOKUP($BM126,'Fuel economy adjusted factor'!$A$2:$L$52,5,FALSE)*m2k))/'TCO Inputs'!$AZ$84</f>
        <v>106.28066003190868</v>
      </c>
      <c r="CU126" s="125">
        <f>CU15/293.07*(1/(VLOOKUP($BM126,'Fuel economy adjusted factor'!$A$2:$L$52,5,FALSE)*m2k))/'TCO Inputs'!$AZ$84</f>
        <v>106.28066003190868</v>
      </c>
      <c r="CV126" s="125">
        <f>CV15/293.07*(1/(VLOOKUP($BM126,'Fuel economy adjusted factor'!$A$2:$L$52,5,FALSE)*m2k))/'TCO Inputs'!$AZ$84</f>
        <v>106.28066003190868</v>
      </c>
      <c r="CW126" s="125">
        <f>CW15/293.07*(1/(VLOOKUP($BM126,'Fuel economy adjusted factor'!$A$2:$L$52,5,FALSE)*m2k))/'TCO Inputs'!$AZ$84</f>
        <v>106.28066003190868</v>
      </c>
      <c r="CX126" s="125">
        <f>CX15/293.07*(1/(VLOOKUP($BM126,'Fuel economy adjusted factor'!$A$2:$L$52,5,FALSE)*m2k))/'TCO Inputs'!$AZ$84</f>
        <v>106.28066003190868</v>
      </c>
      <c r="CY126" s="125">
        <f>CY15/293.07*(1/(VLOOKUP($BM126,'Fuel economy adjusted factor'!$A$2:$L$52,5,FALSE)*m2k))/'TCO Inputs'!$AZ$84</f>
        <v>106.28066003190868</v>
      </c>
      <c r="CZ126" s="125">
        <f>CZ15/293.07*(1/(VLOOKUP($BM126,'Fuel economy adjusted factor'!$A$2:$L$52,5,FALSE)*m2k))/'TCO Inputs'!$AZ$84</f>
        <v>106.30433718683028</v>
      </c>
      <c r="DA126" s="125">
        <f>DA15/293.07*(1/(VLOOKUP($BM126,'Fuel economy adjusted factor'!$A$2:$L$52,5,FALSE)*m2k))/'TCO Inputs'!$AZ$84</f>
        <v>106.30433718683028</v>
      </c>
      <c r="DB126" s="125">
        <f>DB15/293.07*(1/(VLOOKUP($BM126,'Fuel economy adjusted factor'!$A$2:$L$52,5,FALSE)*m2k))/'TCO Inputs'!$AZ$84</f>
        <v>106.30433718683028</v>
      </c>
      <c r="DC126" s="125">
        <f>DC15/293.07*(1/(VLOOKUP($BM126,'Fuel economy adjusted factor'!$A$2:$L$52,5,FALSE)*m2k))/'TCO Inputs'!$AZ$84</f>
        <v>106.30433718683028</v>
      </c>
      <c r="DD126" s="125">
        <f>DD15/293.07*(1/(VLOOKUP($BM126,'Fuel economy adjusted factor'!$A$2:$L$52,5,FALSE)*m2k))/'TCO Inputs'!$AZ$84</f>
        <v>106.30433718683028</v>
      </c>
      <c r="DE126" s="125">
        <f>DE15/293.07*(1/(VLOOKUP($BM126,'Fuel economy adjusted factor'!$A$2:$L$52,5,FALSE)*m2k))/'TCO Inputs'!$AZ$84</f>
        <v>106.29080738401794</v>
      </c>
      <c r="DF126" s="125">
        <f>DF15/293.07*(1/(VLOOKUP($BM126,'Fuel economy adjusted factor'!$A$2:$L$52,5,FALSE)*m2k))/'TCO Inputs'!$AZ$84</f>
        <v>106.29080738401794</v>
      </c>
      <c r="DG126" s="125">
        <f>DG15/293.07*(1/(VLOOKUP($BM126,'Fuel economy adjusted factor'!$A$2:$L$52,5,FALSE)*m2k))/'TCO Inputs'!$AZ$84</f>
        <v>106.29080738401794</v>
      </c>
      <c r="DH126" s="125">
        <f>DH15/293.07*(1/(VLOOKUP($BM126,'Fuel economy adjusted factor'!$A$2:$L$52,5,FALSE)*m2k))/'TCO Inputs'!$AZ$84</f>
        <v>106.29080738401794</v>
      </c>
      <c r="DI126" s="125">
        <f>DI15/293.07*(1/(VLOOKUP($BM126,'Fuel economy adjusted factor'!$A$2:$L$52,5,FALSE)*m2k))/'TCO Inputs'!$AZ$84</f>
        <v>106.29080738401794</v>
      </c>
      <c r="DJ126" s="125">
        <f>DJ15/293.07*(1/(VLOOKUP($BM126,'Fuel economy adjusted factor'!$A$2:$L$52,5,FALSE)*m2k))/'TCO Inputs'!$AZ$84</f>
        <v>106.28742493331484</v>
      </c>
      <c r="DK126" s="125">
        <f>DK15/293.07*(1/(VLOOKUP($BM126,'Fuel economy adjusted factor'!$A$2:$L$52,5,FALSE)*m2k))/'TCO Inputs'!$AZ$84</f>
        <v>106.28742493331484</v>
      </c>
      <c r="DL126" s="125">
        <f>DL15/293.07*(1/(VLOOKUP($BM126,'Fuel economy adjusted factor'!$A$2:$L$52,5,FALSE)*m2k))/'TCO Inputs'!$AZ$84</f>
        <v>106.28742493331484</v>
      </c>
      <c r="DM126" s="125">
        <f>DM15/293.07*(1/(VLOOKUP($BM126,'Fuel economy adjusted factor'!$A$2:$L$52,5,FALSE)*m2k))/'TCO Inputs'!$AZ$84</f>
        <v>106.28742493331484</v>
      </c>
      <c r="DN126" s="125">
        <f>DN15/293.07*(1/(VLOOKUP($BM126,'Fuel economy adjusted factor'!$A$2:$L$52,5,FALSE)*m2k))/'TCO Inputs'!$AZ$84</f>
        <v>106.28742493331484</v>
      </c>
      <c r="DO126" s="125">
        <f>DO15/293.07*(1/(VLOOKUP($BM126,'Fuel economy adjusted factor'!$A$2:$L$52,5,FALSE)*m2k))/'TCO Inputs'!$AZ$84</f>
        <v>106.22180538967491</v>
      </c>
      <c r="DP126" s="125">
        <f>DP15/293.07*(1/(VLOOKUP($BM126,'Fuel economy adjusted factor'!$A$2:$L$52,5,FALSE)*m2k))/'TCO Inputs'!$AZ$84</f>
        <v>106.22180538967491</v>
      </c>
      <c r="DQ126" s="125">
        <f>DQ15/293.07*(1/(VLOOKUP($BM126,'Fuel economy adjusted factor'!$A$2:$L$52,5,FALSE)*m2k))/'TCO Inputs'!$AZ$84</f>
        <v>106.22180538967491</v>
      </c>
      <c r="DR126" s="125">
        <f>DR15/293.07*(1/(VLOOKUP($BM126,'Fuel economy adjusted factor'!$A$2:$L$52,5,FALSE)*m2k))/'TCO Inputs'!$AZ$84</f>
        <v>106.22180538967491</v>
      </c>
      <c r="DS126" s="125">
        <f>DS15/293.07*(1/(VLOOKUP($BM126,'Fuel economy adjusted factor'!$A$2:$L$52,5,FALSE)*m2k))/'TCO Inputs'!$AZ$84</f>
        <v>106.22180538967491</v>
      </c>
      <c r="DT126" s="125">
        <f>DT15/293.07*(1/(VLOOKUP($BM126,'Fuel economy adjusted factor'!$A$2:$L$52,5,FALSE)*m2k))/'TCO Inputs'!$AZ$84</f>
        <v>106.27660109106498</v>
      </c>
      <c r="DU126" s="98" cm="1">
        <f t="array" ref="DU126">SUMPRODUCT(INDEX(CS126:DT126,,'TCO Inputs'!$AZ$12-2023+_xlfn.SEQUENCE('TCO Inputs'!$AZ$13))*INDEX('VKT US'!C72:AA72,,_xlfn.SEQUENCE('TCO Inputs'!$AZ$13)))*m2k*CONVERT(0.9072,"g","ton")</f>
        <v>41.196170919902258</v>
      </c>
      <c r="DW126" s="123" t="s">
        <v>194</v>
      </c>
      <c r="DX126" s="125">
        <f>DX15/293.07*(1/(VLOOKUP($BM126,'Fuel economy adjusted factor'!$A$2:$L$52,5,FALSE)*m2k))/'TCO Inputs'!$AZ$84</f>
        <v>111.25556565866719</v>
      </c>
      <c r="DY126" s="125">
        <f>DY15/293.07*(1/(VLOOKUP($BM126,'Fuel economy adjusted factor'!$A$2:$L$52,5,FALSE)*m2k))/'TCO Inputs'!$AZ$84</f>
        <v>111.25556565866719</v>
      </c>
      <c r="DZ126" s="125">
        <f>DZ15/293.07*(1/(VLOOKUP($BM126,'Fuel economy adjusted factor'!$A$2:$L$52,5,FALSE)*m2k))/'TCO Inputs'!$AZ$84</f>
        <v>97.526660799311529</v>
      </c>
      <c r="EA126" s="125">
        <f>EA15/293.07*(1/(VLOOKUP($BM126,'Fuel economy adjusted factor'!$A$2:$L$52,5,FALSE)*m2k))/'TCO Inputs'!$AZ$84</f>
        <v>97.526660799311529</v>
      </c>
      <c r="EB126" s="125">
        <f>EB15/293.07*(1/(VLOOKUP($BM126,'Fuel economy adjusted factor'!$A$2:$L$52,5,FALSE)*m2k))/'TCO Inputs'!$AZ$84</f>
        <v>97.526660799311529</v>
      </c>
      <c r="EC126" s="125">
        <f>EC15/293.07*(1/(VLOOKUP($BM126,'Fuel economy adjusted factor'!$A$2:$L$52,5,FALSE)*m2k))/'TCO Inputs'!$AZ$84</f>
        <v>97.526660799311529</v>
      </c>
      <c r="ED126" s="125">
        <f>ED15/293.07*(1/(VLOOKUP($BM126,'Fuel economy adjusted factor'!$A$2:$L$52,5,FALSE)*m2k))/'TCO Inputs'!$AZ$84</f>
        <v>97.526660799311529</v>
      </c>
      <c r="EE126" s="125">
        <f>EE15/293.07*(1/(VLOOKUP($BM126,'Fuel economy adjusted factor'!$A$2:$L$52,5,FALSE)*m2k))/'TCO Inputs'!$AZ$84</f>
        <v>60.109211235130324</v>
      </c>
      <c r="EF126" s="125">
        <f>EF15/293.07*(1/(VLOOKUP($BM126,'Fuel economy adjusted factor'!$A$2:$L$52,5,FALSE)*m2k))/'TCO Inputs'!$AZ$84</f>
        <v>60.109211235130324</v>
      </c>
      <c r="EG126" s="125">
        <f>EG15/293.07*(1/(VLOOKUP($BM126,'Fuel economy adjusted factor'!$A$2:$L$52,5,FALSE)*m2k))/'TCO Inputs'!$AZ$84</f>
        <v>60.109211235130324</v>
      </c>
      <c r="EH126" s="125">
        <f>EH15/293.07*(1/(VLOOKUP($BM126,'Fuel economy adjusted factor'!$A$2:$L$52,5,FALSE)*m2k))/'TCO Inputs'!$AZ$84</f>
        <v>60.109211235130324</v>
      </c>
      <c r="EI126" s="125">
        <f>EI15/293.07*(1/(VLOOKUP($BM126,'Fuel economy adjusted factor'!$A$2:$L$52,5,FALSE)*m2k))/'TCO Inputs'!$AZ$84</f>
        <v>60.109211235130324</v>
      </c>
      <c r="EJ126" s="125">
        <f>EJ15/293.07*(1/(VLOOKUP($BM126,'Fuel economy adjusted factor'!$A$2:$L$52,5,FALSE)*m2k))/'TCO Inputs'!$AZ$84</f>
        <v>53.684588295338763</v>
      </c>
      <c r="EK126" s="125">
        <f>EK15/293.07*(1/(VLOOKUP($BM126,'Fuel economy adjusted factor'!$A$2:$L$52,5,FALSE)*m2k))/'TCO Inputs'!$AZ$84</f>
        <v>53.684588295338763</v>
      </c>
      <c r="EL126" s="125">
        <f>EL15/293.07*(1/(VLOOKUP($BM126,'Fuel economy adjusted factor'!$A$2:$L$52,5,FALSE)*m2k))/'TCO Inputs'!$AZ$84</f>
        <v>53.684588295338763</v>
      </c>
      <c r="EM126" s="125">
        <f>EM15/293.07*(1/(VLOOKUP($BM126,'Fuel economy adjusted factor'!$A$2:$L$52,5,FALSE)*m2k))/'TCO Inputs'!$AZ$84</f>
        <v>53.684588295338763</v>
      </c>
      <c r="EN126" s="125">
        <f>EN15/293.07*(1/(VLOOKUP($BM126,'Fuel economy adjusted factor'!$A$2:$L$52,5,FALSE)*m2k))/'TCO Inputs'!$AZ$84</f>
        <v>53.684588295338763</v>
      </c>
      <c r="EO126" s="125">
        <f>EO15/293.07*(1/(VLOOKUP($BM126,'Fuel economy adjusted factor'!$A$2:$L$52,5,FALSE)*m2k))/'TCO Inputs'!$AZ$84</f>
        <v>51.994889528792363</v>
      </c>
      <c r="EP126" s="125">
        <f>EP15/293.07*(1/(VLOOKUP($BM126,'Fuel economy adjusted factor'!$A$2:$L$52,5,FALSE)*m2k))/'TCO Inputs'!$AZ$84</f>
        <v>51.994889528792363</v>
      </c>
      <c r="EQ126" s="125">
        <f>EQ15/293.07*(1/(VLOOKUP($BM126,'Fuel economy adjusted factor'!$A$2:$L$52,5,FALSE)*m2k))/'TCO Inputs'!$AZ$84</f>
        <v>51.994889528792363</v>
      </c>
      <c r="ER126" s="125">
        <f>ER15/293.07*(1/(VLOOKUP($BM126,'Fuel economy adjusted factor'!$A$2:$L$52,5,FALSE)*m2k))/'TCO Inputs'!$AZ$84</f>
        <v>51.994889528792363</v>
      </c>
      <c r="ES126" s="125">
        <f>ES15/293.07*(1/(VLOOKUP($BM126,'Fuel economy adjusted factor'!$A$2:$L$52,5,FALSE)*m2k))/'TCO Inputs'!$AZ$84</f>
        <v>51.994889528792363</v>
      </c>
      <c r="ET126" s="125">
        <f>ET15/293.07*(1/(VLOOKUP($BM126,'Fuel economy adjusted factor'!$A$2:$L$52,5,FALSE)*m2k))/'TCO Inputs'!$AZ$84</f>
        <v>50.06439025940319</v>
      </c>
      <c r="EU126" s="125">
        <f>EU15/293.07*(1/(VLOOKUP($BM126,'Fuel economy adjusted factor'!$A$2:$L$52,5,FALSE)*m2k))/'TCO Inputs'!$AZ$84</f>
        <v>50.06439025940319</v>
      </c>
      <c r="EV126" s="125">
        <f>EV15/293.07*(1/(VLOOKUP($BM126,'Fuel economy adjusted factor'!$A$2:$L$52,5,FALSE)*m2k))/'TCO Inputs'!$AZ$84</f>
        <v>50.06439025940319</v>
      </c>
      <c r="EW126" s="125">
        <f>EW15/293.07*(1/(VLOOKUP($BM126,'Fuel economy adjusted factor'!$A$2:$L$52,5,FALSE)*m2k))/'TCO Inputs'!$AZ$84</f>
        <v>50.06439025940319</v>
      </c>
      <c r="EX126" s="125">
        <f>EX15/293.07*(1/(VLOOKUP($BM126,'Fuel economy adjusted factor'!$A$2:$L$52,5,FALSE)*m2k))/'TCO Inputs'!$AZ$84</f>
        <v>50.06439025940319</v>
      </c>
      <c r="EY126" s="125">
        <f>EY15/293.07*(1/(VLOOKUP($BM126,'Fuel economy adjusted factor'!$A$2:$L$52,5,FALSE)*m2k))/'TCO Inputs'!$AZ$84</f>
        <v>47.037183937951184</v>
      </c>
      <c r="EZ126" s="98" cm="1">
        <f t="array" ref="EZ126">SUMPRODUCT(INDEX(DX126:EY126,,'TCO Inputs'!$AZ$12-2023+_xlfn.SEQUENCE('TCO Inputs'!$AZ$13))*INDEX('VKT US'!C72:AA72,,_xlfn.SEQUENCE('TCO Inputs'!$AZ$13)))*m2k*CONVERT(0.9072,"g","ton")</f>
        <v>31.878105699839075</v>
      </c>
      <c r="FB126" s="123" t="s">
        <v>194</v>
      </c>
      <c r="FC126" s="125">
        <f>FC15/293.07*(1/(VLOOKUP($BM126,'Fuel economy adjusted factor'!$A$2:$L$52,5,FALSE)*m2k))/'TCO Inputs'!$AZ$84</f>
        <v>120.6729948480761</v>
      </c>
      <c r="FD126" s="125">
        <f>FD15/293.07*(1/(VLOOKUP($BM126,'Fuel economy adjusted factor'!$A$2:$L$52,5,FALSE)*m2k))/'TCO Inputs'!$AZ$84</f>
        <v>120.6729948480761</v>
      </c>
      <c r="FE126" s="125">
        <f>FE15/293.07*(1/(VLOOKUP($BM126,'Fuel economy adjusted factor'!$A$2:$L$52,5,FALSE)*m2k))/'TCO Inputs'!$AZ$84</f>
        <v>105.38380101621875</v>
      </c>
      <c r="FF126" s="125">
        <f>FF15/293.07*(1/(VLOOKUP($BM126,'Fuel economy adjusted factor'!$A$2:$L$52,5,FALSE)*m2k))/'TCO Inputs'!$AZ$84</f>
        <v>105.38380101621875</v>
      </c>
      <c r="FG126" s="125">
        <f>FG15/293.07*(1/(VLOOKUP($BM126,'Fuel economy adjusted factor'!$A$2:$L$52,5,FALSE)*m2k))/'TCO Inputs'!$AZ$84</f>
        <v>105.38380101621875</v>
      </c>
      <c r="FH126" s="125">
        <f>FH15/293.07*(1/(VLOOKUP($BM126,'Fuel economy adjusted factor'!$A$2:$L$52,5,FALSE)*m2k))/'TCO Inputs'!$AZ$84</f>
        <v>105.38380101621875</v>
      </c>
      <c r="FI126" s="125">
        <f>FI15/293.07*(1/(VLOOKUP($BM126,'Fuel economy adjusted factor'!$A$2:$L$52,5,FALSE)*m2k))/'TCO Inputs'!$AZ$84</f>
        <v>105.38380101621875</v>
      </c>
      <c r="FJ126" s="125">
        <f>FJ15/293.07*(1/(VLOOKUP($BM126,'Fuel economy adjusted factor'!$A$2:$L$52,5,FALSE)*m2k))/'TCO Inputs'!$AZ$84</f>
        <v>66.130861904858449</v>
      </c>
      <c r="FK126" s="125">
        <f>FK15/293.07*(1/(VLOOKUP($BM126,'Fuel economy adjusted factor'!$A$2:$L$52,5,FALSE)*m2k))/'TCO Inputs'!$AZ$84</f>
        <v>66.130861904858449</v>
      </c>
      <c r="FL126" s="125">
        <f>FL15/293.07*(1/(VLOOKUP($BM126,'Fuel economy adjusted factor'!$A$2:$L$52,5,FALSE)*m2k))/'TCO Inputs'!$AZ$84</f>
        <v>66.130861904858449</v>
      </c>
      <c r="FM126" s="125">
        <f>FM15/293.07*(1/(VLOOKUP($BM126,'Fuel economy adjusted factor'!$A$2:$L$52,5,FALSE)*m2k))/'TCO Inputs'!$AZ$84</f>
        <v>66.130861904858449</v>
      </c>
      <c r="FN126" s="125">
        <f>FN15/293.07*(1/(VLOOKUP($BM126,'Fuel economy adjusted factor'!$A$2:$L$52,5,FALSE)*m2k))/'TCO Inputs'!$AZ$84</f>
        <v>66.130861904858449</v>
      </c>
      <c r="FO126" s="125">
        <f>FO15/293.07*(1/(VLOOKUP($BM126,'Fuel economy adjusted factor'!$A$2:$L$52,5,FALSE)*m2k))/'TCO Inputs'!$AZ$84</f>
        <v>58.720922621802082</v>
      </c>
      <c r="FP126" s="125">
        <f>FP15/293.07*(1/(VLOOKUP($BM126,'Fuel economy adjusted factor'!$A$2:$L$52,5,FALSE)*m2k))/'TCO Inputs'!$AZ$84</f>
        <v>58.720922621802082</v>
      </c>
      <c r="FQ126" s="125">
        <f>FQ15/293.07*(1/(VLOOKUP($BM126,'Fuel economy adjusted factor'!$A$2:$L$52,5,FALSE)*m2k))/'TCO Inputs'!$AZ$84</f>
        <v>58.720922621802082</v>
      </c>
      <c r="FR126" s="125">
        <f>FR15/293.07*(1/(VLOOKUP($BM126,'Fuel economy adjusted factor'!$A$2:$L$52,5,FALSE)*m2k))/'TCO Inputs'!$AZ$84</f>
        <v>58.720922621802082</v>
      </c>
      <c r="FS126" s="125">
        <f>FS15/293.07*(1/(VLOOKUP($BM126,'Fuel economy adjusted factor'!$A$2:$L$52,5,FALSE)*m2k))/'TCO Inputs'!$AZ$84</f>
        <v>58.720922621802082</v>
      </c>
      <c r="FT126" s="125">
        <f>FT15/293.07*(1/(VLOOKUP($BM126,'Fuel economy adjusted factor'!$A$2:$L$52,5,FALSE)*m2k))/'TCO Inputs'!$AZ$84</f>
        <v>57.226157595652225</v>
      </c>
      <c r="FU126" s="125">
        <f>FU15/293.07*(1/(VLOOKUP($BM126,'Fuel economy adjusted factor'!$A$2:$L$52,5,FALSE)*m2k))/'TCO Inputs'!$AZ$84</f>
        <v>57.226157595652225</v>
      </c>
      <c r="FV126" s="125">
        <f>FV15/293.07*(1/(VLOOKUP($BM126,'Fuel economy adjusted factor'!$A$2:$L$52,5,FALSE)*m2k))/'TCO Inputs'!$AZ$84</f>
        <v>57.226157595652225</v>
      </c>
      <c r="FW126" s="125">
        <f>FW15/293.07*(1/(VLOOKUP($BM126,'Fuel economy adjusted factor'!$A$2:$L$52,5,FALSE)*m2k))/'TCO Inputs'!$AZ$84</f>
        <v>57.226157595652225</v>
      </c>
      <c r="FX126" s="125">
        <f>FX15/293.07*(1/(VLOOKUP($BM126,'Fuel economy adjusted factor'!$A$2:$L$52,5,FALSE)*m2k))/'TCO Inputs'!$AZ$84</f>
        <v>57.226157595652225</v>
      </c>
      <c r="FY126" s="125">
        <f>FY15/293.07*(1/(VLOOKUP($BM126,'Fuel economy adjusted factor'!$A$2:$L$52,5,FALSE)*m2k))/'TCO Inputs'!$AZ$84</f>
        <v>55.291563079616054</v>
      </c>
      <c r="FZ126" s="125">
        <f>FZ15/293.07*(1/(VLOOKUP($BM126,'Fuel economy adjusted factor'!$A$2:$L$52,5,FALSE)*m2k))/'TCO Inputs'!$AZ$84</f>
        <v>55.291563079616054</v>
      </c>
      <c r="GA126" s="125">
        <f>GA15/293.07*(1/(VLOOKUP($BM126,'Fuel economy adjusted factor'!$A$2:$L$52,5,FALSE)*m2k))/'TCO Inputs'!$AZ$84</f>
        <v>55.291563079616054</v>
      </c>
      <c r="GB126" s="125">
        <f>GB15/293.07*(1/(VLOOKUP($BM126,'Fuel economy adjusted factor'!$A$2:$L$52,5,FALSE)*m2k))/'TCO Inputs'!$AZ$84</f>
        <v>55.291563079616054</v>
      </c>
      <c r="GC126" s="125">
        <f>GC15/293.07*(1/(VLOOKUP($BM126,'Fuel economy adjusted factor'!$A$2:$L$52,5,FALSE)*m2k))/'TCO Inputs'!$AZ$84</f>
        <v>55.291563079616054</v>
      </c>
      <c r="GD126" s="125">
        <f>GD15/293.07*(1/(VLOOKUP($BM126,'Fuel economy adjusted factor'!$A$2:$L$52,5,FALSE)*m2k))/'TCO Inputs'!$AZ$84</f>
        <v>52.159518444001201</v>
      </c>
      <c r="GE126" s="98" cm="1">
        <f t="array" ref="GE126">SUMPRODUCT(INDEX(FC126:GD126,,'TCO Inputs'!$AZ$12-2023+_xlfn.SEQUENCE('TCO Inputs'!$AZ$13))*INDEX('VKT US'!C72:AA72,,_xlfn.SEQUENCE('TCO Inputs'!$AZ$13)))*m2k*CONVERT(0.9072,"g","ton")</f>
        <v>34.659903482274572</v>
      </c>
      <c r="GH126" s="123" t="s">
        <v>194</v>
      </c>
      <c r="GI126" s="125">
        <f>GI15/293.07*(1/(VLOOKUP($BM126,'Fuel economy adjusted factor'!$A$2:$L$52,5,FALSE)*m2k))/'TCO Inputs'!$AZ$84</f>
        <v>104.84568560680482</v>
      </c>
      <c r="GJ126" s="125">
        <f>GJ15/293.07*(1/(VLOOKUP($BM126,'Fuel economy adjusted factor'!$A$2:$L$52,5,FALSE)*m2k))/'TCO Inputs'!$AZ$84</f>
        <v>104.84568560680482</v>
      </c>
      <c r="GK126" s="125">
        <f>GK15/293.07*(1/(VLOOKUP($BM126,'Fuel economy adjusted factor'!$A$2:$L$52,5,FALSE)*m2k))/'TCO Inputs'!$AZ$84</f>
        <v>92.179087727677285</v>
      </c>
      <c r="GL126" s="125">
        <f>GL15/293.07*(1/(VLOOKUP($BM126,'Fuel economy adjusted factor'!$A$2:$L$52,5,FALSE)*m2k))/'TCO Inputs'!$AZ$84</f>
        <v>92.179087727677285</v>
      </c>
      <c r="GM126" s="125">
        <f>GM15/293.07*(1/(VLOOKUP($BM126,'Fuel economy adjusted factor'!$A$2:$L$52,5,FALSE)*m2k))/'TCO Inputs'!$AZ$84</f>
        <v>92.179087727677285</v>
      </c>
      <c r="GN126" s="125">
        <f>GN15/293.07*(1/(VLOOKUP($BM126,'Fuel economy adjusted factor'!$A$2:$L$52,5,FALSE)*m2k))/'TCO Inputs'!$AZ$84</f>
        <v>92.179087727677285</v>
      </c>
      <c r="GO126" s="125">
        <f>GO15/293.07*(1/(VLOOKUP($BM126,'Fuel economy adjusted factor'!$A$2:$L$52,5,FALSE)*m2k))/'TCO Inputs'!$AZ$84</f>
        <v>92.179087727677285</v>
      </c>
      <c r="GP126" s="125">
        <f>GP15/293.07*(1/(VLOOKUP($BM126,'Fuel economy adjusted factor'!$A$2:$L$52,5,FALSE)*m2k))/'TCO Inputs'!$AZ$84</f>
        <v>56.010688390826793</v>
      </c>
      <c r="GQ126" s="125">
        <f>GQ15/293.07*(1/(VLOOKUP($BM126,'Fuel economy adjusted factor'!$A$2:$L$52,5,FALSE)*m2k))/'TCO Inputs'!$AZ$84</f>
        <v>56.010688390826793</v>
      </c>
      <c r="GR126" s="125">
        <f>GR15/293.07*(1/(VLOOKUP($BM126,'Fuel economy adjusted factor'!$A$2:$L$52,5,FALSE)*m2k))/'TCO Inputs'!$AZ$84</f>
        <v>56.010688390826793</v>
      </c>
      <c r="GS126" s="125">
        <f>GS15/293.07*(1/(VLOOKUP($BM126,'Fuel economy adjusted factor'!$A$2:$L$52,5,FALSE)*m2k))/'TCO Inputs'!$AZ$84</f>
        <v>56.010688390826793</v>
      </c>
      <c r="GT126" s="125">
        <f>GT15/293.07*(1/(VLOOKUP($BM126,'Fuel economy adjusted factor'!$A$2:$L$52,5,FALSE)*m2k))/'TCO Inputs'!$AZ$84</f>
        <v>56.010688390826793</v>
      </c>
      <c r="GU126" s="125">
        <f>GU15/293.07*(1/(VLOOKUP($BM126,'Fuel economy adjusted factor'!$A$2:$L$52,5,FALSE)*m2k))/'TCO Inputs'!$AZ$84</f>
        <v>50.256866851811544</v>
      </c>
      <c r="GV126" s="125">
        <f>GV15/293.07*(1/(VLOOKUP($BM126,'Fuel economy adjusted factor'!$A$2:$L$52,5,FALSE)*m2k))/'TCO Inputs'!$AZ$84</f>
        <v>50.256866851811544</v>
      </c>
      <c r="GW126" s="125">
        <f>GW15/293.07*(1/(VLOOKUP($BM126,'Fuel economy adjusted factor'!$A$2:$L$52,5,FALSE)*m2k))/'TCO Inputs'!$AZ$84</f>
        <v>50.256866851811544</v>
      </c>
      <c r="GX126" s="125">
        <f>GX15/293.07*(1/(VLOOKUP($BM126,'Fuel economy adjusted factor'!$A$2:$L$52,5,FALSE)*m2k))/'TCO Inputs'!$AZ$84</f>
        <v>50.256866851811544</v>
      </c>
      <c r="GY126" s="125">
        <f>GY15/293.07*(1/(VLOOKUP($BM126,'Fuel economy adjusted factor'!$A$2:$L$52,5,FALSE)*m2k))/'TCO Inputs'!$AZ$84</f>
        <v>50.256866851811544</v>
      </c>
      <c r="GZ126" s="125">
        <f>GZ15/293.07*(1/(VLOOKUP($BM126,'Fuel economy adjusted factor'!$A$2:$L$52,5,FALSE)*m2k))/'TCO Inputs'!$AZ$84</f>
        <v>48.434482093902794</v>
      </c>
      <c r="HA126" s="125">
        <f>HA15/293.07*(1/(VLOOKUP($BM126,'Fuel economy adjusted factor'!$A$2:$L$52,5,FALSE)*m2k))/'TCO Inputs'!$AZ$84</f>
        <v>48.434482093902794</v>
      </c>
      <c r="HB126" s="125">
        <f>HB15/293.07*(1/(VLOOKUP($BM126,'Fuel economy adjusted factor'!$A$2:$L$52,5,FALSE)*m2k))/'TCO Inputs'!$AZ$84</f>
        <v>48.434482093902794</v>
      </c>
      <c r="HC126" s="125">
        <f>HC15/293.07*(1/(VLOOKUP($BM126,'Fuel economy adjusted factor'!$A$2:$L$52,5,FALSE)*m2k))/'TCO Inputs'!$AZ$84</f>
        <v>48.434482093902794</v>
      </c>
      <c r="HD126" s="125">
        <f>HD15/293.07*(1/(VLOOKUP($BM126,'Fuel economy adjusted factor'!$A$2:$L$52,5,FALSE)*m2k))/'TCO Inputs'!$AZ$84</f>
        <v>48.434482093902794</v>
      </c>
      <c r="HE126" s="125">
        <f>HE15/293.07*(1/(VLOOKUP($BM126,'Fuel economy adjusted factor'!$A$2:$L$52,5,FALSE)*m2k))/'TCO Inputs'!$AZ$84</f>
        <v>46.506439972501809</v>
      </c>
      <c r="HF126" s="125">
        <f>HF15/293.07*(1/(VLOOKUP($BM126,'Fuel economy adjusted factor'!$A$2:$L$52,5,FALSE)*m2k))/'TCO Inputs'!$AZ$84</f>
        <v>46.506439972501809</v>
      </c>
      <c r="HG126" s="125">
        <f>HG15/293.07*(1/(VLOOKUP($BM126,'Fuel economy adjusted factor'!$A$2:$L$52,5,FALSE)*m2k))/'TCO Inputs'!$AZ$84</f>
        <v>46.506439972501809</v>
      </c>
      <c r="HH126" s="125">
        <f>HH15/293.07*(1/(VLOOKUP($BM126,'Fuel economy adjusted factor'!$A$2:$L$52,5,FALSE)*m2k))/'TCO Inputs'!$AZ$84</f>
        <v>46.506439972501809</v>
      </c>
      <c r="HI126" s="125">
        <f>HI15/293.07*(1/(VLOOKUP($BM126,'Fuel economy adjusted factor'!$A$2:$L$52,5,FALSE)*m2k))/'TCO Inputs'!$AZ$84</f>
        <v>46.506439972501809</v>
      </c>
      <c r="HJ126" s="125">
        <f>HJ15/293.07*(1/(VLOOKUP($BM126,'Fuel economy adjusted factor'!$A$2:$L$52,5,FALSE)*m2k))/'TCO Inputs'!$AZ$84</f>
        <v>43.551309992036757</v>
      </c>
      <c r="HK126" s="98" cm="1">
        <f t="array" ref="HK126">SUMPRODUCT(INDEX(GI126:HJ126,,'TCO Inputs'!$AZ$12-2023+_xlfn.SEQUENCE('TCO Inputs'!$AZ$13))*INDEX('VKT US'!C72:AA72,,_xlfn.SEQUENCE('TCO Inputs'!$AZ$13)))*m2k*CONVERT(0.9072,"g","ton")</f>
        <v>29.984765258880575</v>
      </c>
    </row>
    <row r="127" spans="17:219" x14ac:dyDescent="0.25">
      <c r="S127" s="196"/>
      <c r="T127" s="196"/>
      <c r="U127" s="196"/>
      <c r="V127" s="196"/>
      <c r="W127" s="196"/>
      <c r="Z127" s="123" t="s">
        <v>233</v>
      </c>
      <c r="AA127" s="125">
        <f>AA16/293.07*(1/(VLOOKUP($Z127,'Fuel economy adjusted factor'!$A$2:$L$52,5,FALSE)*m2k))/'TCO Inputs'!$AZ$84</f>
        <v>189.22375909220003</v>
      </c>
      <c r="AB127" s="125">
        <f>AB16/293.07*(1/(VLOOKUP($Z127,'Fuel economy adjusted factor'!$A$2:$L$52,5,FALSE)*m2k))/'TCO Inputs'!$AZ$84</f>
        <v>189.22375909220003</v>
      </c>
      <c r="AC127" s="125">
        <f>AC16/293.07*(1/(VLOOKUP($Z127,'Fuel economy adjusted factor'!$A$2:$L$52,5,FALSE)*m2k))/'TCO Inputs'!$AZ$84</f>
        <v>166.42113025206521</v>
      </c>
      <c r="AD127" s="125">
        <f>AD16/293.07*(1/(VLOOKUP($Z127,'Fuel economy adjusted factor'!$A$2:$L$52,5,FALSE)*m2k))/'TCO Inputs'!$AZ$84</f>
        <v>166.42113025206521</v>
      </c>
      <c r="AE127" s="125">
        <f>AE16/293.07*(1/(VLOOKUP($Z127,'Fuel economy adjusted factor'!$A$2:$L$52,5,FALSE)*m2k))/'TCO Inputs'!$AZ$84</f>
        <v>166.42113025206521</v>
      </c>
      <c r="AF127" s="125">
        <f>AF16/293.07*(1/(VLOOKUP($Z127,'Fuel economy adjusted factor'!$A$2:$L$52,5,FALSE)*m2k))/'TCO Inputs'!$AZ$84</f>
        <v>166.42113025206521</v>
      </c>
      <c r="AG127" s="125">
        <f>AG16/293.07*(1/(VLOOKUP($Z127,'Fuel economy adjusted factor'!$A$2:$L$52,5,FALSE)*m2k))/'TCO Inputs'!$AZ$84</f>
        <v>166.42113025206521</v>
      </c>
      <c r="AH127" s="125">
        <f>AH16/293.07*(1/(VLOOKUP($Z127,'Fuel economy adjusted factor'!$A$2:$L$52,5,FALSE)*m2k))/'TCO Inputs'!$AZ$84</f>
        <v>99.992086689776997</v>
      </c>
      <c r="AI127" s="125">
        <f>AI16/293.07*(1/(VLOOKUP($Z127,'Fuel economy adjusted factor'!$A$2:$L$52,5,FALSE)*m2k))/'TCO Inputs'!$AZ$84</f>
        <v>99.992086689776997</v>
      </c>
      <c r="AJ127" s="125">
        <f>AJ16/293.07*(1/(VLOOKUP($Z127,'Fuel economy adjusted factor'!$A$2:$L$52,5,FALSE)*m2k))/'TCO Inputs'!$AZ$84</f>
        <v>99.992086689776997</v>
      </c>
      <c r="AK127" s="125">
        <f>AK16/293.07*(1/(VLOOKUP($Z127,'Fuel economy adjusted factor'!$A$2:$L$52,5,FALSE)*m2k))/'TCO Inputs'!$AZ$84</f>
        <v>99.992086689776997</v>
      </c>
      <c r="AL127" s="125">
        <f>AL16/293.07*(1/(VLOOKUP($Z127,'Fuel economy adjusted factor'!$A$2:$L$52,5,FALSE)*m2k))/'TCO Inputs'!$AZ$84</f>
        <v>99.992086689776997</v>
      </c>
      <c r="AM127" s="125">
        <f>AM16/293.07*(1/(VLOOKUP($Z127,'Fuel economy adjusted factor'!$A$2:$L$52,5,FALSE)*m2k))/'TCO Inputs'!$AZ$84</f>
        <v>104.63952405714348</v>
      </c>
      <c r="AN127" s="125">
        <f>AN16/293.07*(1/(VLOOKUP($Z127,'Fuel economy adjusted factor'!$A$2:$L$52,5,FALSE)*m2k))/'TCO Inputs'!$AZ$84</f>
        <v>104.63952405714348</v>
      </c>
      <c r="AO127" s="125">
        <f>AO16/293.07*(1/(VLOOKUP($Z127,'Fuel economy adjusted factor'!$A$2:$L$52,5,FALSE)*m2k))/'TCO Inputs'!$AZ$84</f>
        <v>104.63952405714348</v>
      </c>
      <c r="AP127" s="125">
        <f>AP16/293.07*(1/(VLOOKUP($Z127,'Fuel economy adjusted factor'!$A$2:$L$52,5,FALSE)*m2k))/'TCO Inputs'!$AZ$84</f>
        <v>104.63952405714348</v>
      </c>
      <c r="AQ127" s="125">
        <f>AQ16/293.07*(1/(VLOOKUP($Z127,'Fuel economy adjusted factor'!$A$2:$L$52,5,FALSE)*m2k))/'TCO Inputs'!$AZ$84</f>
        <v>104.63952405714348</v>
      </c>
      <c r="AR127" s="125">
        <f>AR16/293.07*(1/(VLOOKUP($Z127,'Fuel economy adjusted factor'!$A$2:$L$52,5,FALSE)*m2k))/'TCO Inputs'!$AZ$84</f>
        <v>109.38466406135137</v>
      </c>
      <c r="AS127" s="125">
        <f>AS16/293.07*(1/(VLOOKUP($Z127,'Fuel economy adjusted factor'!$A$2:$L$52,5,FALSE)*m2k))/'TCO Inputs'!$AZ$84</f>
        <v>109.38466406135137</v>
      </c>
      <c r="AT127" s="125">
        <f>AT16/293.07*(1/(VLOOKUP($Z127,'Fuel economy adjusted factor'!$A$2:$L$52,5,FALSE)*m2k))/'TCO Inputs'!$AZ$84</f>
        <v>109.38466406135137</v>
      </c>
      <c r="AU127" s="125">
        <f>AU16/293.07*(1/(VLOOKUP($Z127,'Fuel economy adjusted factor'!$A$2:$L$52,5,FALSE)*m2k))/'TCO Inputs'!$AZ$84</f>
        <v>109.38466406135137</v>
      </c>
      <c r="AV127" s="125">
        <f>AV16/293.07*(1/(VLOOKUP($Z127,'Fuel economy adjusted factor'!$A$2:$L$52,5,FALSE)*m2k))/'TCO Inputs'!$AZ$84</f>
        <v>109.38466406135137</v>
      </c>
      <c r="AW127" s="125">
        <f>AW16/293.07*(1/(VLOOKUP($Z127,'Fuel economy adjusted factor'!$A$2:$L$52,5,FALSE)*m2k))/'TCO Inputs'!$AZ$84</f>
        <v>111.78494078136555</v>
      </c>
      <c r="AX127" s="125">
        <f>AX16/293.07*(1/(VLOOKUP($Z127,'Fuel economy adjusted factor'!$A$2:$L$52,5,FALSE)*m2k))/'TCO Inputs'!$AZ$84</f>
        <v>111.78494078136555</v>
      </c>
      <c r="AY127" s="125">
        <f>AY16/293.07*(1/(VLOOKUP($Z127,'Fuel economy adjusted factor'!$A$2:$L$52,5,FALSE)*m2k))/'TCO Inputs'!$AZ$84</f>
        <v>111.78494078136555</v>
      </c>
      <c r="AZ127" s="125">
        <f>AZ16/293.07*(1/(VLOOKUP($Z127,'Fuel economy adjusted factor'!$A$2:$L$52,5,FALSE)*m2k))/'TCO Inputs'!$AZ$84</f>
        <v>111.78494078136555</v>
      </c>
      <c r="BA127" s="125">
        <f>BA16/293.07*(1/(VLOOKUP($Z127,'Fuel economy adjusted factor'!$A$2:$L$52,5,FALSE)*m2k))/'TCO Inputs'!$AZ$84</f>
        <v>111.78494078136555</v>
      </c>
      <c r="BB127" s="125">
        <f>BB16/293.07*(1/(VLOOKUP($Z127,'Fuel economy adjusted factor'!$A$2:$L$52,5,FALSE)*m2k))/'TCO Inputs'!$AZ$84</f>
        <v>111.93659860571641</v>
      </c>
      <c r="BC127" s="98" cm="1">
        <f t="array" ref="BC127">SUMPRODUCT(INDEX(AA127:BB127,,'TCO Inputs'!$AZ$12-2023+_xlfn.SEQUENCE('TCO Inputs'!$AZ$13))*INDEX('VKT US'!C73:AA73,,_xlfn.SEQUENCE('TCO Inputs'!$AZ$13)))*m2k*CONVERT(0.9072,"g","ton")</f>
        <v>34.828433597667569</v>
      </c>
      <c r="BM127" s="123" t="s">
        <v>233</v>
      </c>
      <c r="BN127" s="125">
        <f>BN16/293.07*(1/(VLOOKUP($BM127,'Fuel economy adjusted factor'!$A$2:$L$52,5,FALSE)*m2k))</f>
        <v>160.84019522837002</v>
      </c>
      <c r="BO127" s="125">
        <f>BO16/293.07*(1/(VLOOKUP($BM127,'Fuel economy adjusted factor'!$A$2:$L$52,5,FALSE)*m2k))</f>
        <v>160.84019522837002</v>
      </c>
      <c r="BP127" s="125">
        <f>BP16/293.07*(1/(VLOOKUP($BM127,'Fuel economy adjusted factor'!$A$2:$L$52,5,FALSE)*m2k))</f>
        <v>141.27327356565897</v>
      </c>
      <c r="BQ127" s="125">
        <f>BQ16/293.07*(1/(VLOOKUP($BM127,'Fuel economy adjusted factor'!$A$2:$L$52,5,FALSE)*m2k))</f>
        <v>141.27327356565897</v>
      </c>
      <c r="BR127" s="125">
        <f>BR16/293.07*(1/(VLOOKUP($BM127,'Fuel economy adjusted factor'!$A$2:$L$52,5,FALSE)*m2k))</f>
        <v>141.27327356565897</v>
      </c>
      <c r="BS127" s="125">
        <f>BS16/293.07*(1/(VLOOKUP($BM127,'Fuel economy adjusted factor'!$A$2:$L$52,5,FALSE)*m2k))</f>
        <v>141.27327356565897</v>
      </c>
      <c r="BT127" s="125">
        <f>BT16/293.07*(1/(VLOOKUP($BM127,'Fuel economy adjusted factor'!$A$2:$L$52,5,FALSE)*m2k))</f>
        <v>141.27327356565897</v>
      </c>
      <c r="BU127" s="125">
        <f>BU16/293.07*(1/(VLOOKUP($BM127,'Fuel economy adjusted factor'!$A$2:$L$52,5,FALSE)*m2k))</f>
        <v>160.14235049910951</v>
      </c>
      <c r="BV127" s="125">
        <f>BV16/293.07*(1/(VLOOKUP($BM127,'Fuel economy adjusted factor'!$A$2:$L$52,5,FALSE)*m2k))</f>
        <v>160.14235049910951</v>
      </c>
      <c r="BW127" s="125">
        <f>BW16/293.07*(1/(VLOOKUP($BM127,'Fuel economy adjusted factor'!$A$2:$L$52,5,FALSE)*m2k))</f>
        <v>160.14235049910951</v>
      </c>
      <c r="BX127" s="125">
        <f>BX16/293.07*(1/(VLOOKUP($BM127,'Fuel economy adjusted factor'!$A$2:$L$52,5,FALSE)*m2k))</f>
        <v>160.14235049910951</v>
      </c>
      <c r="BY127" s="125">
        <f>BY16/293.07*(1/(VLOOKUP($BM127,'Fuel economy adjusted factor'!$A$2:$L$52,5,FALSE)*m2k))</f>
        <v>160.14235049910951</v>
      </c>
      <c r="BZ127" s="125">
        <f>BZ16/293.07*(1/(VLOOKUP($BM127,'Fuel economy adjusted factor'!$A$2:$L$52,5,FALSE)*m2k))</f>
        <v>163.99351137621855</v>
      </c>
      <c r="CA127" s="125">
        <f>CA16/293.07*(1/(VLOOKUP($BM127,'Fuel economy adjusted factor'!$A$2:$L$52,5,FALSE)*m2k))</f>
        <v>163.99351137621855</v>
      </c>
      <c r="CB127" s="125">
        <f>CB16/293.07*(1/(VLOOKUP($BM127,'Fuel economy adjusted factor'!$A$2:$L$52,5,FALSE)*m2k))</f>
        <v>163.99351137621855</v>
      </c>
      <c r="CC127" s="125">
        <f>CC16/293.07*(1/(VLOOKUP($BM127,'Fuel economy adjusted factor'!$A$2:$L$52,5,FALSE)*m2k))</f>
        <v>163.99351137621855</v>
      </c>
      <c r="CD127" s="125">
        <f>CD16/293.07*(1/(VLOOKUP($BM127,'Fuel economy adjusted factor'!$A$2:$L$52,5,FALSE)*m2k))</f>
        <v>163.99351137621855</v>
      </c>
      <c r="CE127" s="125">
        <f>CE16/293.07*(1/(VLOOKUP($BM127,'Fuel economy adjusted factor'!$A$2:$L$52,5,FALSE)*m2k))</f>
        <v>168.04671255682572</v>
      </c>
      <c r="CF127" s="125">
        <f>CF16/293.07*(1/(VLOOKUP($BM127,'Fuel economy adjusted factor'!$A$2:$L$52,5,FALSE)*m2k))</f>
        <v>168.04671255682572</v>
      </c>
      <c r="CG127" s="125">
        <f>CG16/293.07*(1/(VLOOKUP($BM127,'Fuel economy adjusted factor'!$A$2:$L$52,5,FALSE)*m2k))</f>
        <v>168.04671255682572</v>
      </c>
      <c r="CH127" s="125">
        <f>CH16/293.07*(1/(VLOOKUP($BM127,'Fuel economy adjusted factor'!$A$2:$L$52,5,FALSE)*m2k))</f>
        <v>168.04671255682572</v>
      </c>
      <c r="CI127" s="125">
        <f>CI16/293.07*(1/(VLOOKUP($BM127,'Fuel economy adjusted factor'!$A$2:$L$52,5,FALSE)*m2k))</f>
        <v>168.04671255682572</v>
      </c>
      <c r="CJ127" s="125">
        <f>CJ16/293.07*(1/(VLOOKUP($BM127,'Fuel economy adjusted factor'!$A$2:$L$52,5,FALSE)*m2k))</f>
        <v>169.00857314280472</v>
      </c>
      <c r="CK127" s="125">
        <f>CK16/293.07*(1/(VLOOKUP($BM127,'Fuel economy adjusted factor'!$A$2:$L$52,5,FALSE)*m2k))</f>
        <v>169.00857314280472</v>
      </c>
      <c r="CL127" s="125">
        <f>CL16/293.07*(1/(VLOOKUP($BM127,'Fuel economy adjusted factor'!$A$2:$L$52,5,FALSE)*m2k))</f>
        <v>169.00857314280472</v>
      </c>
      <c r="CM127" s="125">
        <f>CM16/293.07*(1/(VLOOKUP($BM127,'Fuel economy adjusted factor'!$A$2:$L$52,5,FALSE)*m2k))</f>
        <v>169.00857314280472</v>
      </c>
      <c r="CN127" s="125">
        <f>CN16/293.07*(1/(VLOOKUP($BM127,'Fuel economy adjusted factor'!$A$2:$L$52,5,FALSE)*m2k))</f>
        <v>169.00857314280472</v>
      </c>
      <c r="CO127" s="125">
        <f>CO16/293.07*(1/(VLOOKUP($BM127,'Fuel economy adjusted factor'!$A$2:$L$52,5,FALSE)*m2k))</f>
        <v>170.15759989950894</v>
      </c>
      <c r="CP127" s="98" cm="1">
        <f t="array" ref="CP127">SUMPRODUCT(INDEX(BN127:CO127,,'TCO Inputs'!$AZ$12-2023+_xlfn.SEQUENCE('TCO Inputs'!$AZ$13))*INDEX('VKT US'!C73:AA73,,_xlfn.SEQUENCE('TCO Inputs'!$AZ$13)))*m2k*CONVERT(0.9072,"g","ton")</f>
        <v>37.935602875274895</v>
      </c>
      <c r="CQ127" s="194"/>
      <c r="CR127" s="123" t="s">
        <v>233</v>
      </c>
      <c r="CS127" s="125">
        <f>CS16/293.07*(1/(VLOOKUP($BM127,'Fuel economy adjusted factor'!$A$2:$L$52,5,FALSE)*m2k))/'TCO Inputs'!$AZ$84</f>
        <v>229.09955915829238</v>
      </c>
      <c r="CT127" s="125">
        <f>CT16/293.07*(1/(VLOOKUP($BM127,'Fuel economy adjusted factor'!$A$2:$L$52,5,FALSE)*m2k))/'TCO Inputs'!$AZ$84</f>
        <v>229.09955915829238</v>
      </c>
      <c r="CU127" s="125">
        <f>CU16/293.07*(1/(VLOOKUP($BM127,'Fuel economy adjusted factor'!$A$2:$L$52,5,FALSE)*m2k))/'TCO Inputs'!$AZ$84</f>
        <v>229.09955915829238</v>
      </c>
      <c r="CV127" s="125">
        <f>CV16/293.07*(1/(VLOOKUP($BM127,'Fuel economy adjusted factor'!$A$2:$L$52,5,FALSE)*m2k))/'TCO Inputs'!$AZ$84</f>
        <v>229.09955915829238</v>
      </c>
      <c r="CW127" s="125">
        <f>CW16/293.07*(1/(VLOOKUP($BM127,'Fuel economy adjusted factor'!$A$2:$L$52,5,FALSE)*m2k))/'TCO Inputs'!$AZ$84</f>
        <v>229.09955915829238</v>
      </c>
      <c r="CX127" s="125">
        <f>CX16/293.07*(1/(VLOOKUP($BM127,'Fuel economy adjusted factor'!$A$2:$L$52,5,FALSE)*m2k))/'TCO Inputs'!$AZ$84</f>
        <v>229.09955915829238</v>
      </c>
      <c r="CY127" s="125">
        <f>CY16/293.07*(1/(VLOOKUP($BM127,'Fuel economy adjusted factor'!$A$2:$L$52,5,FALSE)*m2k))/'TCO Inputs'!$AZ$84</f>
        <v>229.09955915829238</v>
      </c>
      <c r="CZ127" s="125">
        <f>CZ16/293.07*(1/(VLOOKUP($BM127,'Fuel economy adjusted factor'!$A$2:$L$52,5,FALSE)*m2k))/'TCO Inputs'!$AZ$84</f>
        <v>229.15059784917966</v>
      </c>
      <c r="DA127" s="125">
        <f>DA16/293.07*(1/(VLOOKUP($BM127,'Fuel economy adjusted factor'!$A$2:$L$52,5,FALSE)*m2k))/'TCO Inputs'!$AZ$84</f>
        <v>229.15059784917966</v>
      </c>
      <c r="DB127" s="125">
        <f>DB16/293.07*(1/(VLOOKUP($BM127,'Fuel economy adjusted factor'!$A$2:$L$52,5,FALSE)*m2k))/'TCO Inputs'!$AZ$84</f>
        <v>229.15059784917966</v>
      </c>
      <c r="DC127" s="125">
        <f>DC16/293.07*(1/(VLOOKUP($BM127,'Fuel economy adjusted factor'!$A$2:$L$52,5,FALSE)*m2k))/'TCO Inputs'!$AZ$84</f>
        <v>229.15059784917966</v>
      </c>
      <c r="DD127" s="125">
        <f>DD16/293.07*(1/(VLOOKUP($BM127,'Fuel economy adjusted factor'!$A$2:$L$52,5,FALSE)*m2k))/'TCO Inputs'!$AZ$84</f>
        <v>229.15059784917966</v>
      </c>
      <c r="DE127" s="125">
        <f>DE16/293.07*(1/(VLOOKUP($BM127,'Fuel economy adjusted factor'!$A$2:$L$52,5,FALSE)*m2k))/'TCO Inputs'!$AZ$84</f>
        <v>229.12143288295835</v>
      </c>
      <c r="DF127" s="125">
        <f>DF16/293.07*(1/(VLOOKUP($BM127,'Fuel economy adjusted factor'!$A$2:$L$52,5,FALSE)*m2k))/'TCO Inputs'!$AZ$84</f>
        <v>229.12143288295835</v>
      </c>
      <c r="DG127" s="125">
        <f>DG16/293.07*(1/(VLOOKUP($BM127,'Fuel economy adjusted factor'!$A$2:$L$52,5,FALSE)*m2k))/'TCO Inputs'!$AZ$84</f>
        <v>229.12143288295835</v>
      </c>
      <c r="DH127" s="125">
        <f>DH16/293.07*(1/(VLOOKUP($BM127,'Fuel economy adjusted factor'!$A$2:$L$52,5,FALSE)*m2k))/'TCO Inputs'!$AZ$84</f>
        <v>229.12143288295835</v>
      </c>
      <c r="DI127" s="125">
        <f>DI16/293.07*(1/(VLOOKUP($BM127,'Fuel economy adjusted factor'!$A$2:$L$52,5,FALSE)*m2k))/'TCO Inputs'!$AZ$84</f>
        <v>229.12143288295835</v>
      </c>
      <c r="DJ127" s="125">
        <f>DJ16/293.07*(1/(VLOOKUP($BM127,'Fuel economy adjusted factor'!$A$2:$L$52,5,FALSE)*m2k))/'TCO Inputs'!$AZ$84</f>
        <v>229.11414164140305</v>
      </c>
      <c r="DK127" s="125">
        <f>DK16/293.07*(1/(VLOOKUP($BM127,'Fuel economy adjusted factor'!$A$2:$L$52,5,FALSE)*m2k))/'TCO Inputs'!$AZ$84</f>
        <v>229.11414164140305</v>
      </c>
      <c r="DL127" s="125">
        <f>DL16/293.07*(1/(VLOOKUP($BM127,'Fuel economy adjusted factor'!$A$2:$L$52,5,FALSE)*m2k))/'TCO Inputs'!$AZ$84</f>
        <v>229.11414164140305</v>
      </c>
      <c r="DM127" s="125">
        <f>DM16/293.07*(1/(VLOOKUP($BM127,'Fuel economy adjusted factor'!$A$2:$L$52,5,FALSE)*m2k))/'TCO Inputs'!$AZ$84</f>
        <v>229.11414164140305</v>
      </c>
      <c r="DN127" s="125">
        <f>DN16/293.07*(1/(VLOOKUP($BM127,'Fuel economy adjusted factor'!$A$2:$L$52,5,FALSE)*m2k))/'TCO Inputs'!$AZ$84</f>
        <v>229.11414164140305</v>
      </c>
      <c r="DO127" s="125">
        <f>DO16/293.07*(1/(VLOOKUP($BM127,'Fuel economy adjusted factor'!$A$2:$L$52,5,FALSE)*m2k))/'TCO Inputs'!$AZ$84</f>
        <v>228.97269155522963</v>
      </c>
      <c r="DP127" s="125">
        <f>DP16/293.07*(1/(VLOOKUP($BM127,'Fuel economy adjusted factor'!$A$2:$L$52,5,FALSE)*m2k))/'TCO Inputs'!$AZ$84</f>
        <v>228.97269155522963</v>
      </c>
      <c r="DQ127" s="125">
        <f>DQ16/293.07*(1/(VLOOKUP($BM127,'Fuel economy adjusted factor'!$A$2:$L$52,5,FALSE)*m2k))/'TCO Inputs'!$AZ$84</f>
        <v>228.97269155522963</v>
      </c>
      <c r="DR127" s="125">
        <f>DR16/293.07*(1/(VLOOKUP($BM127,'Fuel economy adjusted factor'!$A$2:$L$52,5,FALSE)*m2k))/'TCO Inputs'!$AZ$84</f>
        <v>228.97269155522963</v>
      </c>
      <c r="DS127" s="125">
        <f>DS16/293.07*(1/(VLOOKUP($BM127,'Fuel economy adjusted factor'!$A$2:$L$52,5,FALSE)*m2k))/'TCO Inputs'!$AZ$84</f>
        <v>228.97269155522963</v>
      </c>
      <c r="DT127" s="125">
        <f>DT16/293.07*(1/(VLOOKUP($BM127,'Fuel economy adjusted factor'!$A$2:$L$52,5,FALSE)*m2k))/'TCO Inputs'!$AZ$84</f>
        <v>229.09080966842598</v>
      </c>
      <c r="DU127" s="98" cm="1">
        <f t="array" ref="DU127">SUMPRODUCT(INDEX(CS127:DT127,,'TCO Inputs'!$AZ$12-2023+_xlfn.SEQUENCE('TCO Inputs'!$AZ$13))*INDEX('VKT US'!C73:AA73,,_xlfn.SEQUENCE('TCO Inputs'!$AZ$13)))*m2k*CONVERT(0.9072,"g","ton")</f>
        <v>56.612174663991425</v>
      </c>
      <c r="DW127" s="123" t="s">
        <v>233</v>
      </c>
      <c r="DX127" s="125">
        <f>DX16/293.07*(1/(VLOOKUP($BM127,'Fuel economy adjusted factor'!$A$2:$L$52,5,FALSE)*m2k))/'TCO Inputs'!$AZ$84</f>
        <v>239.82351105699439</v>
      </c>
      <c r="DY127" s="125">
        <f>DY16/293.07*(1/(VLOOKUP($BM127,'Fuel economy adjusted factor'!$A$2:$L$52,5,FALSE)*m2k))/'TCO Inputs'!$AZ$84</f>
        <v>239.82351105699439</v>
      </c>
      <c r="DZ127" s="125">
        <f>DZ16/293.07*(1/(VLOOKUP($BM127,'Fuel economy adjusted factor'!$A$2:$L$52,5,FALSE)*m2k))/'TCO Inputs'!$AZ$84</f>
        <v>210.22935864901896</v>
      </c>
      <c r="EA127" s="125">
        <f>EA16/293.07*(1/(VLOOKUP($BM127,'Fuel economy adjusted factor'!$A$2:$L$52,5,FALSE)*m2k))/'TCO Inputs'!$AZ$84</f>
        <v>210.22935864901896</v>
      </c>
      <c r="EB127" s="125">
        <f>EB16/293.07*(1/(VLOOKUP($BM127,'Fuel economy adjusted factor'!$A$2:$L$52,5,FALSE)*m2k))/'TCO Inputs'!$AZ$84</f>
        <v>210.22935864901896</v>
      </c>
      <c r="EC127" s="125">
        <f>EC16/293.07*(1/(VLOOKUP($BM127,'Fuel economy adjusted factor'!$A$2:$L$52,5,FALSE)*m2k))/'TCO Inputs'!$AZ$84</f>
        <v>210.22935864901896</v>
      </c>
      <c r="ED127" s="125">
        <f>ED16/293.07*(1/(VLOOKUP($BM127,'Fuel economy adjusted factor'!$A$2:$L$52,5,FALSE)*m2k))/'TCO Inputs'!$AZ$84</f>
        <v>210.22935864901896</v>
      </c>
      <c r="EE127" s="125">
        <f>EE16/293.07*(1/(VLOOKUP($BM127,'Fuel economy adjusted factor'!$A$2:$L$52,5,FALSE)*m2k))/'TCO Inputs'!$AZ$84</f>
        <v>129.57196343329599</v>
      </c>
      <c r="EF127" s="125">
        <f>EF16/293.07*(1/(VLOOKUP($BM127,'Fuel economy adjusted factor'!$A$2:$L$52,5,FALSE)*m2k))/'TCO Inputs'!$AZ$84</f>
        <v>129.57196343329599</v>
      </c>
      <c r="EG127" s="125">
        <f>EG16/293.07*(1/(VLOOKUP($BM127,'Fuel economy adjusted factor'!$A$2:$L$52,5,FALSE)*m2k))/'TCO Inputs'!$AZ$84</f>
        <v>129.57196343329599</v>
      </c>
      <c r="EH127" s="125">
        <f>EH16/293.07*(1/(VLOOKUP($BM127,'Fuel economy adjusted factor'!$A$2:$L$52,5,FALSE)*m2k))/'TCO Inputs'!$AZ$84</f>
        <v>129.57196343329599</v>
      </c>
      <c r="EI127" s="125">
        <f>EI16/293.07*(1/(VLOOKUP($BM127,'Fuel economy adjusted factor'!$A$2:$L$52,5,FALSE)*m2k))/'TCO Inputs'!$AZ$84</f>
        <v>129.57196343329599</v>
      </c>
      <c r="EJ127" s="125">
        <f>EJ16/293.07*(1/(VLOOKUP($BM127,'Fuel economy adjusted factor'!$A$2:$L$52,5,FALSE)*m2k))/'TCO Inputs'!$AZ$84</f>
        <v>115.72298768528506</v>
      </c>
      <c r="EK127" s="125">
        <f>EK16/293.07*(1/(VLOOKUP($BM127,'Fuel economy adjusted factor'!$A$2:$L$52,5,FALSE)*m2k))/'TCO Inputs'!$AZ$84</f>
        <v>115.72298768528506</v>
      </c>
      <c r="EL127" s="125">
        <f>EL16/293.07*(1/(VLOOKUP($BM127,'Fuel economy adjusted factor'!$A$2:$L$52,5,FALSE)*m2k))/'TCO Inputs'!$AZ$84</f>
        <v>115.72298768528506</v>
      </c>
      <c r="EM127" s="125">
        <f>EM16/293.07*(1/(VLOOKUP($BM127,'Fuel economy adjusted factor'!$A$2:$L$52,5,FALSE)*m2k))/'TCO Inputs'!$AZ$84</f>
        <v>115.72298768528506</v>
      </c>
      <c r="EN127" s="125">
        <f>EN16/293.07*(1/(VLOOKUP($BM127,'Fuel economy adjusted factor'!$A$2:$L$52,5,FALSE)*m2k))/'TCO Inputs'!$AZ$84</f>
        <v>115.72298768528506</v>
      </c>
      <c r="EO127" s="125">
        <f>EO16/293.07*(1/(VLOOKUP($BM127,'Fuel economy adjusted factor'!$A$2:$L$52,5,FALSE)*m2k))/'TCO Inputs'!$AZ$84</f>
        <v>112.08065762815265</v>
      </c>
      <c r="EP127" s="125">
        <f>EP16/293.07*(1/(VLOOKUP($BM127,'Fuel economy adjusted factor'!$A$2:$L$52,5,FALSE)*m2k))/'TCO Inputs'!$AZ$84</f>
        <v>112.08065762815265</v>
      </c>
      <c r="EQ127" s="125">
        <f>EQ16/293.07*(1/(VLOOKUP($BM127,'Fuel economy adjusted factor'!$A$2:$L$52,5,FALSE)*m2k))/'TCO Inputs'!$AZ$84</f>
        <v>112.08065762815265</v>
      </c>
      <c r="ER127" s="125">
        <f>ER16/293.07*(1/(VLOOKUP($BM127,'Fuel economy adjusted factor'!$A$2:$L$52,5,FALSE)*m2k))/'TCO Inputs'!$AZ$84</f>
        <v>112.08065762815265</v>
      </c>
      <c r="ES127" s="125">
        <f>ES16/293.07*(1/(VLOOKUP($BM127,'Fuel economy adjusted factor'!$A$2:$L$52,5,FALSE)*m2k))/'TCO Inputs'!$AZ$84</f>
        <v>112.08065762815265</v>
      </c>
      <c r="ET127" s="125">
        <f>ET16/293.07*(1/(VLOOKUP($BM127,'Fuel economy adjusted factor'!$A$2:$L$52,5,FALSE)*m2k))/'TCO Inputs'!$AZ$84</f>
        <v>107.91925581299947</v>
      </c>
      <c r="EU127" s="125">
        <f>EU16/293.07*(1/(VLOOKUP($BM127,'Fuel economy adjusted factor'!$A$2:$L$52,5,FALSE)*m2k))/'TCO Inputs'!$AZ$84</f>
        <v>107.91925581299947</v>
      </c>
      <c r="EV127" s="125">
        <f>EV16/293.07*(1/(VLOOKUP($BM127,'Fuel economy adjusted factor'!$A$2:$L$52,5,FALSE)*m2k))/'TCO Inputs'!$AZ$84</f>
        <v>107.91925581299947</v>
      </c>
      <c r="EW127" s="125">
        <f>EW16/293.07*(1/(VLOOKUP($BM127,'Fuel economy adjusted factor'!$A$2:$L$52,5,FALSE)*m2k))/'TCO Inputs'!$AZ$84</f>
        <v>107.91925581299947</v>
      </c>
      <c r="EX127" s="125">
        <f>EX16/293.07*(1/(VLOOKUP($BM127,'Fuel economy adjusted factor'!$A$2:$L$52,5,FALSE)*m2k))/'TCO Inputs'!$AZ$84</f>
        <v>107.91925581299947</v>
      </c>
      <c r="EY127" s="125">
        <f>EY16/293.07*(1/(VLOOKUP($BM127,'Fuel economy adjusted factor'!$A$2:$L$52,5,FALSE)*m2k))/'TCO Inputs'!$AZ$84</f>
        <v>101.39378228359503</v>
      </c>
      <c r="EZ127" s="98" cm="1">
        <f t="array" ref="EZ127">SUMPRODUCT(INDEX(DX127:EY127,,'TCO Inputs'!$AZ$12-2023+_xlfn.SEQUENCE('TCO Inputs'!$AZ$13))*INDEX('VKT US'!C73:AA73,,_xlfn.SEQUENCE('TCO Inputs'!$AZ$13)))*m2k*CONVERT(0.9072,"g","ton")</f>
        <v>43.807199735755248</v>
      </c>
      <c r="FB127" s="123" t="s">
        <v>233</v>
      </c>
      <c r="FC127" s="125">
        <f>FC16/293.07*(1/(VLOOKUP($BM127,'Fuel economy adjusted factor'!$A$2:$L$52,5,FALSE)*m2k))/'TCO Inputs'!$AZ$84</f>
        <v>260.12380722612107</v>
      </c>
      <c r="FD127" s="125">
        <f>FD16/293.07*(1/(VLOOKUP($BM127,'Fuel economy adjusted factor'!$A$2:$L$52,5,FALSE)*m2k))/'TCO Inputs'!$AZ$84</f>
        <v>260.12380722612107</v>
      </c>
      <c r="FE127" s="125">
        <f>FE16/293.07*(1/(VLOOKUP($BM127,'Fuel economy adjusted factor'!$A$2:$L$52,5,FALSE)*m2k))/'TCO Inputs'!$AZ$84</f>
        <v>227.1662816921945</v>
      </c>
      <c r="FF127" s="125">
        <f>FF16/293.07*(1/(VLOOKUP($BM127,'Fuel economy adjusted factor'!$A$2:$L$52,5,FALSE)*m2k))/'TCO Inputs'!$AZ$84</f>
        <v>227.1662816921945</v>
      </c>
      <c r="FG127" s="125">
        <f>FG16/293.07*(1/(VLOOKUP($BM127,'Fuel economy adjusted factor'!$A$2:$L$52,5,FALSE)*m2k))/'TCO Inputs'!$AZ$84</f>
        <v>227.1662816921945</v>
      </c>
      <c r="FH127" s="125">
        <f>FH16/293.07*(1/(VLOOKUP($BM127,'Fuel economy adjusted factor'!$A$2:$L$52,5,FALSE)*m2k))/'TCO Inputs'!$AZ$84</f>
        <v>227.1662816921945</v>
      </c>
      <c r="FI127" s="125">
        <f>FI16/293.07*(1/(VLOOKUP($BM127,'Fuel economy adjusted factor'!$A$2:$L$52,5,FALSE)*m2k))/'TCO Inputs'!$AZ$84</f>
        <v>227.1662816921945</v>
      </c>
      <c r="FJ127" s="125">
        <f>FJ16/293.07*(1/(VLOOKUP($BM127,'Fuel economy adjusted factor'!$A$2:$L$52,5,FALSE)*m2k))/'TCO Inputs'!$AZ$84</f>
        <v>142.55228848421086</v>
      </c>
      <c r="FK127" s="125">
        <f>FK16/293.07*(1/(VLOOKUP($BM127,'Fuel economy adjusted factor'!$A$2:$L$52,5,FALSE)*m2k))/'TCO Inputs'!$AZ$84</f>
        <v>142.55228848421086</v>
      </c>
      <c r="FL127" s="125">
        <f>FL16/293.07*(1/(VLOOKUP($BM127,'Fuel economy adjusted factor'!$A$2:$L$52,5,FALSE)*m2k))/'TCO Inputs'!$AZ$84</f>
        <v>142.55228848421086</v>
      </c>
      <c r="FM127" s="125">
        <f>FM16/293.07*(1/(VLOOKUP($BM127,'Fuel economy adjusted factor'!$A$2:$L$52,5,FALSE)*m2k))/'TCO Inputs'!$AZ$84</f>
        <v>142.55228848421086</v>
      </c>
      <c r="FN127" s="125">
        <f>FN16/293.07*(1/(VLOOKUP($BM127,'Fuel economy adjusted factor'!$A$2:$L$52,5,FALSE)*m2k))/'TCO Inputs'!$AZ$84</f>
        <v>142.55228848421086</v>
      </c>
      <c r="FO127" s="125">
        <f>FO16/293.07*(1/(VLOOKUP($BM127,'Fuel economy adjusted factor'!$A$2:$L$52,5,FALSE)*m2k))/'TCO Inputs'!$AZ$84</f>
        <v>126.57935584878828</v>
      </c>
      <c r="FP127" s="125">
        <f>FP16/293.07*(1/(VLOOKUP($BM127,'Fuel economy adjusted factor'!$A$2:$L$52,5,FALSE)*m2k))/'TCO Inputs'!$AZ$84</f>
        <v>126.57935584878828</v>
      </c>
      <c r="FQ127" s="125">
        <f>FQ16/293.07*(1/(VLOOKUP($BM127,'Fuel economy adjusted factor'!$A$2:$L$52,5,FALSE)*m2k))/'TCO Inputs'!$AZ$84</f>
        <v>126.57935584878828</v>
      </c>
      <c r="FR127" s="125">
        <f>FR16/293.07*(1/(VLOOKUP($BM127,'Fuel economy adjusted factor'!$A$2:$L$52,5,FALSE)*m2k))/'TCO Inputs'!$AZ$84</f>
        <v>126.57935584878828</v>
      </c>
      <c r="FS127" s="125">
        <f>FS16/293.07*(1/(VLOOKUP($BM127,'Fuel economy adjusted factor'!$A$2:$L$52,5,FALSE)*m2k))/'TCO Inputs'!$AZ$84</f>
        <v>126.57935584878828</v>
      </c>
      <c r="FT127" s="125">
        <f>FT16/293.07*(1/(VLOOKUP($BM127,'Fuel economy adjusted factor'!$A$2:$L$52,5,FALSE)*m2k))/'TCO Inputs'!$AZ$84</f>
        <v>123.35722673862512</v>
      </c>
      <c r="FU127" s="125">
        <f>FU16/293.07*(1/(VLOOKUP($BM127,'Fuel economy adjusted factor'!$A$2:$L$52,5,FALSE)*m2k))/'TCO Inputs'!$AZ$84</f>
        <v>123.35722673862512</v>
      </c>
      <c r="FV127" s="125">
        <f>FV16/293.07*(1/(VLOOKUP($BM127,'Fuel economy adjusted factor'!$A$2:$L$52,5,FALSE)*m2k))/'TCO Inputs'!$AZ$84</f>
        <v>123.35722673862512</v>
      </c>
      <c r="FW127" s="125">
        <f>FW16/293.07*(1/(VLOOKUP($BM127,'Fuel economy adjusted factor'!$A$2:$L$52,5,FALSE)*m2k))/'TCO Inputs'!$AZ$84</f>
        <v>123.35722673862512</v>
      </c>
      <c r="FX127" s="125">
        <f>FX16/293.07*(1/(VLOOKUP($BM127,'Fuel economy adjusted factor'!$A$2:$L$52,5,FALSE)*m2k))/'TCO Inputs'!$AZ$84</f>
        <v>123.35722673862512</v>
      </c>
      <c r="FY127" s="125">
        <f>FY16/293.07*(1/(VLOOKUP($BM127,'Fuel economy adjusted factor'!$A$2:$L$52,5,FALSE)*m2k))/'TCO Inputs'!$AZ$84</f>
        <v>119.18699717248512</v>
      </c>
      <c r="FZ127" s="125">
        <f>FZ16/293.07*(1/(VLOOKUP($BM127,'Fuel economy adjusted factor'!$A$2:$L$52,5,FALSE)*m2k))/'TCO Inputs'!$AZ$84</f>
        <v>119.18699717248512</v>
      </c>
      <c r="GA127" s="125">
        <f>GA16/293.07*(1/(VLOOKUP($BM127,'Fuel economy adjusted factor'!$A$2:$L$52,5,FALSE)*m2k))/'TCO Inputs'!$AZ$84</f>
        <v>119.18699717248512</v>
      </c>
      <c r="GB127" s="125">
        <f>GB16/293.07*(1/(VLOOKUP($BM127,'Fuel economy adjusted factor'!$A$2:$L$52,5,FALSE)*m2k))/'TCO Inputs'!$AZ$84</f>
        <v>119.18699717248512</v>
      </c>
      <c r="GC127" s="125">
        <f>GC16/293.07*(1/(VLOOKUP($BM127,'Fuel economy adjusted factor'!$A$2:$L$52,5,FALSE)*m2k))/'TCO Inputs'!$AZ$84</f>
        <v>119.18699717248512</v>
      </c>
      <c r="GD127" s="125">
        <f>GD16/293.07*(1/(VLOOKUP($BM127,'Fuel economy adjusted factor'!$A$2:$L$52,5,FALSE)*m2k))/'TCO Inputs'!$AZ$84</f>
        <v>112.43553321781994</v>
      </c>
      <c r="GE127" s="98" cm="1">
        <f t="array" ref="GE127">SUMPRODUCT(INDEX(FC127:GD127,,'TCO Inputs'!$AZ$12-2023+_xlfn.SEQUENCE('TCO Inputs'!$AZ$13))*INDEX('VKT US'!C73:AA73,,_xlfn.SEQUENCE('TCO Inputs'!$AZ$13)))*m2k*CONVERT(0.9072,"g","ton")</f>
        <v>47.629973028091996</v>
      </c>
      <c r="GH127" s="123" t="s">
        <v>233</v>
      </c>
      <c r="GI127" s="125">
        <f>GI16/293.07*(1/(VLOOKUP($BM127,'Fuel economy adjusted factor'!$A$2:$L$52,5,FALSE)*m2k))/'TCO Inputs'!$AZ$84</f>
        <v>226.0063152125357</v>
      </c>
      <c r="GJ127" s="125">
        <f>GJ16/293.07*(1/(VLOOKUP($BM127,'Fuel economy adjusted factor'!$A$2:$L$52,5,FALSE)*m2k))/'TCO Inputs'!$AZ$84</f>
        <v>226.0063152125357</v>
      </c>
      <c r="GK127" s="125">
        <f>GK16/293.07*(1/(VLOOKUP($BM127,'Fuel economy adjusted factor'!$A$2:$L$52,5,FALSE)*m2k))/'TCO Inputs'!$AZ$84</f>
        <v>198.70208141052285</v>
      </c>
      <c r="GL127" s="125">
        <f>GL16/293.07*(1/(VLOOKUP($BM127,'Fuel economy adjusted factor'!$A$2:$L$52,5,FALSE)*m2k))/'TCO Inputs'!$AZ$84</f>
        <v>198.70208141052285</v>
      </c>
      <c r="GM127" s="125">
        <f>GM16/293.07*(1/(VLOOKUP($BM127,'Fuel economy adjusted factor'!$A$2:$L$52,5,FALSE)*m2k))/'TCO Inputs'!$AZ$84</f>
        <v>198.70208141052285</v>
      </c>
      <c r="GN127" s="125">
        <f>GN16/293.07*(1/(VLOOKUP($BM127,'Fuel economy adjusted factor'!$A$2:$L$52,5,FALSE)*m2k))/'TCO Inputs'!$AZ$84</f>
        <v>198.70208141052285</v>
      </c>
      <c r="GO127" s="125">
        <f>GO16/293.07*(1/(VLOOKUP($BM127,'Fuel economy adjusted factor'!$A$2:$L$52,5,FALSE)*m2k))/'TCO Inputs'!$AZ$84</f>
        <v>198.70208141052285</v>
      </c>
      <c r="GP127" s="125">
        <f>GP16/293.07*(1/(VLOOKUP($BM127,'Fuel economy adjusted factor'!$A$2:$L$52,5,FALSE)*m2k))/'TCO Inputs'!$AZ$84</f>
        <v>120.73715024575816</v>
      </c>
      <c r="GQ127" s="125">
        <f>GQ16/293.07*(1/(VLOOKUP($BM127,'Fuel economy adjusted factor'!$A$2:$L$52,5,FALSE)*m2k))/'TCO Inputs'!$AZ$84</f>
        <v>120.73715024575816</v>
      </c>
      <c r="GR127" s="125">
        <f>GR16/293.07*(1/(VLOOKUP($BM127,'Fuel economy adjusted factor'!$A$2:$L$52,5,FALSE)*m2k))/'TCO Inputs'!$AZ$84</f>
        <v>120.73715024575816</v>
      </c>
      <c r="GS127" s="125">
        <f>GS16/293.07*(1/(VLOOKUP($BM127,'Fuel economy adjusted factor'!$A$2:$L$52,5,FALSE)*m2k))/'TCO Inputs'!$AZ$84</f>
        <v>120.73715024575816</v>
      </c>
      <c r="GT127" s="125">
        <f>GT16/293.07*(1/(VLOOKUP($BM127,'Fuel economy adjusted factor'!$A$2:$L$52,5,FALSE)*m2k))/'TCO Inputs'!$AZ$84</f>
        <v>120.73715024575816</v>
      </c>
      <c r="GU127" s="125">
        <f>GU16/293.07*(1/(VLOOKUP($BM127,'Fuel economy adjusted factor'!$A$2:$L$52,5,FALSE)*m2k))/'TCO Inputs'!$AZ$84</f>
        <v>108.33416010937661</v>
      </c>
      <c r="GV127" s="125">
        <f>GV16/293.07*(1/(VLOOKUP($BM127,'Fuel economy adjusted factor'!$A$2:$L$52,5,FALSE)*m2k))/'TCO Inputs'!$AZ$84</f>
        <v>108.33416010937661</v>
      </c>
      <c r="GW127" s="125">
        <f>GW16/293.07*(1/(VLOOKUP($BM127,'Fuel economy adjusted factor'!$A$2:$L$52,5,FALSE)*m2k))/'TCO Inputs'!$AZ$84</f>
        <v>108.33416010937661</v>
      </c>
      <c r="GX127" s="125">
        <f>GX16/293.07*(1/(VLOOKUP($BM127,'Fuel economy adjusted factor'!$A$2:$L$52,5,FALSE)*m2k))/'TCO Inputs'!$AZ$84</f>
        <v>108.33416010937661</v>
      </c>
      <c r="GY127" s="125">
        <f>GY16/293.07*(1/(VLOOKUP($BM127,'Fuel economy adjusted factor'!$A$2:$L$52,5,FALSE)*m2k))/'TCO Inputs'!$AZ$84</f>
        <v>108.33416010937661</v>
      </c>
      <c r="GZ127" s="125">
        <f>GZ16/293.07*(1/(VLOOKUP($BM127,'Fuel economy adjusted factor'!$A$2:$L$52,5,FALSE)*m2k))/'TCO Inputs'!$AZ$84</f>
        <v>104.40581092027358</v>
      </c>
      <c r="HA127" s="125">
        <f>HA16/293.07*(1/(VLOOKUP($BM127,'Fuel economy adjusted factor'!$A$2:$L$52,5,FALSE)*m2k))/'TCO Inputs'!$AZ$84</f>
        <v>104.40581092027358</v>
      </c>
      <c r="HB127" s="125">
        <f>HB16/293.07*(1/(VLOOKUP($BM127,'Fuel economy adjusted factor'!$A$2:$L$52,5,FALSE)*m2k))/'TCO Inputs'!$AZ$84</f>
        <v>104.40581092027358</v>
      </c>
      <c r="HC127" s="125">
        <f>HC16/293.07*(1/(VLOOKUP($BM127,'Fuel economy adjusted factor'!$A$2:$L$52,5,FALSE)*m2k))/'TCO Inputs'!$AZ$84</f>
        <v>104.40581092027358</v>
      </c>
      <c r="HD127" s="125">
        <f>HD16/293.07*(1/(VLOOKUP($BM127,'Fuel economy adjusted factor'!$A$2:$L$52,5,FALSE)*m2k))/'TCO Inputs'!$AZ$84</f>
        <v>104.40581092027358</v>
      </c>
      <c r="HE127" s="125">
        <f>HE16/293.07*(1/(VLOOKUP($BM127,'Fuel economy adjusted factor'!$A$2:$L$52,5,FALSE)*m2k))/'TCO Inputs'!$AZ$84</f>
        <v>100.24970575571241</v>
      </c>
      <c r="HF127" s="125">
        <f>HF16/293.07*(1/(VLOOKUP($BM127,'Fuel economy adjusted factor'!$A$2:$L$52,5,FALSE)*m2k))/'TCO Inputs'!$AZ$84</f>
        <v>100.24970575571241</v>
      </c>
      <c r="HG127" s="125">
        <f>HG16/293.07*(1/(VLOOKUP($BM127,'Fuel economy adjusted factor'!$A$2:$L$52,5,FALSE)*m2k))/'TCO Inputs'!$AZ$84</f>
        <v>100.24970575571241</v>
      </c>
      <c r="HH127" s="125">
        <f>HH16/293.07*(1/(VLOOKUP($BM127,'Fuel economy adjusted factor'!$A$2:$L$52,5,FALSE)*m2k))/'TCO Inputs'!$AZ$84</f>
        <v>100.24970575571241</v>
      </c>
      <c r="HI127" s="125">
        <f>HI16/293.07*(1/(VLOOKUP($BM127,'Fuel economy adjusted factor'!$A$2:$L$52,5,FALSE)*m2k))/'TCO Inputs'!$AZ$84</f>
        <v>100.24970575571241</v>
      </c>
      <c r="HJ127" s="125">
        <f>HJ16/293.07*(1/(VLOOKUP($BM127,'Fuel economy adjusted factor'!$A$2:$L$52,5,FALSE)*m2k))/'TCO Inputs'!$AZ$84</f>
        <v>93.879600643674763</v>
      </c>
      <c r="HK127" s="98" cm="1">
        <f t="array" ref="HK127">SUMPRODUCT(INDEX(GI127:HJ127,,'TCO Inputs'!$AZ$12-2023+_xlfn.SEQUENCE('TCO Inputs'!$AZ$13))*INDEX('VKT US'!C73:AA73,,_xlfn.SEQUENCE('TCO Inputs'!$AZ$13)))*m2k*CONVERT(0.9072,"g","ton")</f>
        <v>41.205353075046325</v>
      </c>
    </row>
    <row r="128" spans="17:219" x14ac:dyDescent="0.25">
      <c r="Q128" s="97" t="s">
        <v>544</v>
      </c>
      <c r="R128" s="37" t="s">
        <v>582</v>
      </c>
      <c r="Z128" s="123" t="s">
        <v>196</v>
      </c>
      <c r="AA128" s="125">
        <f>AA17/293.07*(1/(VLOOKUP($Z128,'Fuel economy adjusted factor'!$A$2:$L$52,5,FALSE)*m2k))/'TCO Inputs'!$AZ$84</f>
        <v>46.126445665456032</v>
      </c>
      <c r="AB128" s="125">
        <f>AB17/293.07*(1/(VLOOKUP($Z128,'Fuel economy adjusted factor'!$A$2:$L$52,5,FALSE)*m2k))/'TCO Inputs'!$AZ$84</f>
        <v>46.126445665456032</v>
      </c>
      <c r="AC128" s="125">
        <f>AC17/293.07*(1/(VLOOKUP($Z128,'Fuel economy adjusted factor'!$A$2:$L$52,5,FALSE)*m2k))/'TCO Inputs'!$AZ$84</f>
        <v>40.567924762636721</v>
      </c>
      <c r="AD128" s="125">
        <f>AD17/293.07*(1/(VLOOKUP($Z128,'Fuel economy adjusted factor'!$A$2:$L$52,5,FALSE)*m2k))/'TCO Inputs'!$AZ$84</f>
        <v>40.567924762636721</v>
      </c>
      <c r="AE128" s="125">
        <f>AE17/293.07*(1/(VLOOKUP($Z128,'Fuel economy adjusted factor'!$A$2:$L$52,5,FALSE)*m2k))/'TCO Inputs'!$AZ$84</f>
        <v>40.567924762636721</v>
      </c>
      <c r="AF128" s="125">
        <f>AF17/293.07*(1/(VLOOKUP($Z128,'Fuel economy adjusted factor'!$A$2:$L$52,5,FALSE)*m2k))/'TCO Inputs'!$AZ$84</f>
        <v>40.567924762636721</v>
      </c>
      <c r="AG128" s="125">
        <f>AG17/293.07*(1/(VLOOKUP($Z128,'Fuel economy adjusted factor'!$A$2:$L$52,5,FALSE)*m2k))/'TCO Inputs'!$AZ$84</f>
        <v>40.567924762636721</v>
      </c>
      <c r="AH128" s="125">
        <f>AH17/293.07*(1/(VLOOKUP($Z128,'Fuel economy adjusted factor'!$A$2:$L$52,5,FALSE)*m2k))/'TCO Inputs'!$AZ$84</f>
        <v>24.374738012810628</v>
      </c>
      <c r="AI128" s="125">
        <f>AI17/293.07*(1/(VLOOKUP($Z128,'Fuel economy adjusted factor'!$A$2:$L$52,5,FALSE)*m2k))/'TCO Inputs'!$AZ$84</f>
        <v>24.374738012810628</v>
      </c>
      <c r="AJ128" s="125">
        <f>AJ17/293.07*(1/(VLOOKUP($Z128,'Fuel economy adjusted factor'!$A$2:$L$52,5,FALSE)*m2k))/'TCO Inputs'!$AZ$84</f>
        <v>24.374738012810628</v>
      </c>
      <c r="AK128" s="125">
        <f>AK17/293.07*(1/(VLOOKUP($Z128,'Fuel economy adjusted factor'!$A$2:$L$52,5,FALSE)*m2k))/'TCO Inputs'!$AZ$84</f>
        <v>24.374738012810628</v>
      </c>
      <c r="AL128" s="125">
        <f>AL17/293.07*(1/(VLOOKUP($Z128,'Fuel economy adjusted factor'!$A$2:$L$52,5,FALSE)*m2k))/'TCO Inputs'!$AZ$84</f>
        <v>24.374738012810628</v>
      </c>
      <c r="AM128" s="125">
        <f>AM17/293.07*(1/(VLOOKUP($Z128,'Fuel economy adjusted factor'!$A$2:$L$52,5,FALSE)*m2k))/'TCO Inputs'!$AZ$84</f>
        <v>25.507628344542109</v>
      </c>
      <c r="AN128" s="125">
        <f>AN17/293.07*(1/(VLOOKUP($Z128,'Fuel economy adjusted factor'!$A$2:$L$52,5,FALSE)*m2k))/'TCO Inputs'!$AZ$84</f>
        <v>25.507628344542109</v>
      </c>
      <c r="AO128" s="125">
        <f>AO17/293.07*(1/(VLOOKUP($Z128,'Fuel economy adjusted factor'!$A$2:$L$52,5,FALSE)*m2k))/'TCO Inputs'!$AZ$84</f>
        <v>25.507628344542109</v>
      </c>
      <c r="AP128" s="125">
        <f>AP17/293.07*(1/(VLOOKUP($Z128,'Fuel economy adjusted factor'!$A$2:$L$52,5,FALSE)*m2k))/'TCO Inputs'!$AZ$84</f>
        <v>25.507628344542109</v>
      </c>
      <c r="AQ128" s="125">
        <f>AQ17/293.07*(1/(VLOOKUP($Z128,'Fuel economy adjusted factor'!$A$2:$L$52,5,FALSE)*m2k))/'TCO Inputs'!$AZ$84</f>
        <v>25.507628344542109</v>
      </c>
      <c r="AR128" s="125">
        <f>AR17/293.07*(1/(VLOOKUP($Z128,'Fuel economy adjusted factor'!$A$2:$L$52,5,FALSE)*m2k))/'TCO Inputs'!$AZ$84</f>
        <v>26.664335322720405</v>
      </c>
      <c r="AS128" s="125">
        <f>AS17/293.07*(1/(VLOOKUP($Z128,'Fuel economy adjusted factor'!$A$2:$L$52,5,FALSE)*m2k))/'TCO Inputs'!$AZ$84</f>
        <v>26.664335322720405</v>
      </c>
      <c r="AT128" s="125">
        <f>AT17/293.07*(1/(VLOOKUP($Z128,'Fuel economy adjusted factor'!$A$2:$L$52,5,FALSE)*m2k))/'TCO Inputs'!$AZ$84</f>
        <v>26.664335322720405</v>
      </c>
      <c r="AU128" s="125">
        <f>AU17/293.07*(1/(VLOOKUP($Z128,'Fuel economy adjusted factor'!$A$2:$L$52,5,FALSE)*m2k))/'TCO Inputs'!$AZ$84</f>
        <v>26.664335322720405</v>
      </c>
      <c r="AV128" s="125">
        <f>AV17/293.07*(1/(VLOOKUP($Z128,'Fuel economy adjusted factor'!$A$2:$L$52,5,FALSE)*m2k))/'TCO Inputs'!$AZ$84</f>
        <v>26.664335322720405</v>
      </c>
      <c r="AW128" s="125">
        <f>AW17/293.07*(1/(VLOOKUP($Z128,'Fuel economy adjusted factor'!$A$2:$L$52,5,FALSE)*m2k))/'TCO Inputs'!$AZ$84</f>
        <v>27.24944278617507</v>
      </c>
      <c r="AX128" s="125">
        <f>AX17/293.07*(1/(VLOOKUP($Z128,'Fuel economy adjusted factor'!$A$2:$L$52,5,FALSE)*m2k))/'TCO Inputs'!$AZ$84</f>
        <v>27.24944278617507</v>
      </c>
      <c r="AY128" s="125">
        <f>AY17/293.07*(1/(VLOOKUP($Z128,'Fuel economy adjusted factor'!$A$2:$L$52,5,FALSE)*m2k))/'TCO Inputs'!$AZ$84</f>
        <v>27.24944278617507</v>
      </c>
      <c r="AZ128" s="125">
        <f>AZ17/293.07*(1/(VLOOKUP($Z128,'Fuel economy adjusted factor'!$A$2:$L$52,5,FALSE)*m2k))/'TCO Inputs'!$AZ$84</f>
        <v>27.24944278617507</v>
      </c>
      <c r="BA128" s="125">
        <f>BA17/293.07*(1/(VLOOKUP($Z128,'Fuel economy adjusted factor'!$A$2:$L$52,5,FALSE)*m2k))/'TCO Inputs'!$AZ$84</f>
        <v>27.24944278617507</v>
      </c>
      <c r="BB128" s="125">
        <f>BB17/293.07*(1/(VLOOKUP($Z128,'Fuel economy adjusted factor'!$A$2:$L$52,5,FALSE)*m2k))/'TCO Inputs'!$AZ$84</f>
        <v>27.286411909017893</v>
      </c>
      <c r="BC128" s="98" cm="1">
        <f t="array" ref="BC128">SUMPRODUCT(INDEX(AA128:BB128,,'TCO Inputs'!$AZ$12-2023+_xlfn.SEQUENCE('TCO Inputs'!$AZ$13))*INDEX('VKT US'!C74:AA74,,_xlfn.SEQUENCE('TCO Inputs'!$AZ$13)))*m2k*CONVERT(0.9072,"g","ton")</f>
        <v>10.47232141394233</v>
      </c>
      <c r="BM128" s="123" t="s">
        <v>196</v>
      </c>
      <c r="BN128" s="125">
        <f>BN17/293.07*(1/(VLOOKUP($BM128,'Fuel economy adjusted factor'!$A$2:$L$52,5,FALSE)*m2k))</f>
        <v>39.207478815637629</v>
      </c>
      <c r="BO128" s="125">
        <f>BO17/293.07*(1/(VLOOKUP($BM128,'Fuel economy adjusted factor'!$A$2:$L$52,5,FALSE)*m2k))</f>
        <v>39.207478815637629</v>
      </c>
      <c r="BP128" s="125">
        <f>BP17/293.07*(1/(VLOOKUP($BM128,'Fuel economy adjusted factor'!$A$2:$L$52,5,FALSE)*m2k))</f>
        <v>34.43771547701003</v>
      </c>
      <c r="BQ128" s="125">
        <f>BQ17/293.07*(1/(VLOOKUP($BM128,'Fuel economy adjusted factor'!$A$2:$L$52,5,FALSE)*m2k))</f>
        <v>34.43771547701003</v>
      </c>
      <c r="BR128" s="125">
        <f>BR17/293.07*(1/(VLOOKUP($BM128,'Fuel economy adjusted factor'!$A$2:$L$52,5,FALSE)*m2k))</f>
        <v>34.43771547701003</v>
      </c>
      <c r="BS128" s="125">
        <f>BS17/293.07*(1/(VLOOKUP($BM128,'Fuel economy adjusted factor'!$A$2:$L$52,5,FALSE)*m2k))</f>
        <v>34.43771547701003</v>
      </c>
      <c r="BT128" s="125">
        <f>BT17/293.07*(1/(VLOOKUP($BM128,'Fuel economy adjusted factor'!$A$2:$L$52,5,FALSE)*m2k))</f>
        <v>34.43771547701003</v>
      </c>
      <c r="BU128" s="125">
        <f>BU17/293.07*(1/(VLOOKUP($BM128,'Fuel economy adjusted factor'!$A$2:$L$52,5,FALSE)*m2k))</f>
        <v>39.037367529710394</v>
      </c>
      <c r="BV128" s="125">
        <f>BV17/293.07*(1/(VLOOKUP($BM128,'Fuel economy adjusted factor'!$A$2:$L$52,5,FALSE)*m2k))</f>
        <v>39.037367529710394</v>
      </c>
      <c r="BW128" s="125">
        <f>BW17/293.07*(1/(VLOOKUP($BM128,'Fuel economy adjusted factor'!$A$2:$L$52,5,FALSE)*m2k))</f>
        <v>39.037367529710394</v>
      </c>
      <c r="BX128" s="125">
        <f>BX17/293.07*(1/(VLOOKUP($BM128,'Fuel economy adjusted factor'!$A$2:$L$52,5,FALSE)*m2k))</f>
        <v>39.037367529710394</v>
      </c>
      <c r="BY128" s="125">
        <f>BY17/293.07*(1/(VLOOKUP($BM128,'Fuel economy adjusted factor'!$A$2:$L$52,5,FALSE)*m2k))</f>
        <v>39.037367529710394</v>
      </c>
      <c r="BZ128" s="125">
        <f>BZ17/293.07*(1/(VLOOKUP($BM128,'Fuel economy adjusted factor'!$A$2:$L$52,5,FALSE)*m2k))</f>
        <v>39.976152192900301</v>
      </c>
      <c r="CA128" s="125">
        <f>CA17/293.07*(1/(VLOOKUP($BM128,'Fuel economy adjusted factor'!$A$2:$L$52,5,FALSE)*m2k))</f>
        <v>39.976152192900301</v>
      </c>
      <c r="CB128" s="125">
        <f>CB17/293.07*(1/(VLOOKUP($BM128,'Fuel economy adjusted factor'!$A$2:$L$52,5,FALSE)*m2k))</f>
        <v>39.976152192900301</v>
      </c>
      <c r="CC128" s="125">
        <f>CC17/293.07*(1/(VLOOKUP($BM128,'Fuel economy adjusted factor'!$A$2:$L$52,5,FALSE)*m2k))</f>
        <v>39.976152192900301</v>
      </c>
      <c r="CD128" s="125">
        <f>CD17/293.07*(1/(VLOOKUP($BM128,'Fuel economy adjusted factor'!$A$2:$L$52,5,FALSE)*m2k))</f>
        <v>39.976152192900301</v>
      </c>
      <c r="CE128" s="125">
        <f>CE17/293.07*(1/(VLOOKUP($BM128,'Fuel economy adjusted factor'!$A$2:$L$52,5,FALSE)*m2k))</f>
        <v>40.964187548108228</v>
      </c>
      <c r="CF128" s="125">
        <f>CF17/293.07*(1/(VLOOKUP($BM128,'Fuel economy adjusted factor'!$A$2:$L$52,5,FALSE)*m2k))</f>
        <v>40.964187548108228</v>
      </c>
      <c r="CG128" s="125">
        <f>CG17/293.07*(1/(VLOOKUP($BM128,'Fuel economy adjusted factor'!$A$2:$L$52,5,FALSE)*m2k))</f>
        <v>40.964187548108228</v>
      </c>
      <c r="CH128" s="125">
        <f>CH17/293.07*(1/(VLOOKUP($BM128,'Fuel economy adjusted factor'!$A$2:$L$52,5,FALSE)*m2k))</f>
        <v>40.964187548108228</v>
      </c>
      <c r="CI128" s="125">
        <f>CI17/293.07*(1/(VLOOKUP($BM128,'Fuel economy adjusted factor'!$A$2:$L$52,5,FALSE)*m2k))</f>
        <v>40.964187548108228</v>
      </c>
      <c r="CJ128" s="125">
        <f>CJ17/293.07*(1/(VLOOKUP($BM128,'Fuel economy adjusted factor'!$A$2:$L$52,5,FALSE)*m2k))</f>
        <v>41.198657100292124</v>
      </c>
      <c r="CK128" s="125">
        <f>CK17/293.07*(1/(VLOOKUP($BM128,'Fuel economy adjusted factor'!$A$2:$L$52,5,FALSE)*m2k))</f>
        <v>41.198657100292124</v>
      </c>
      <c r="CL128" s="125">
        <f>CL17/293.07*(1/(VLOOKUP($BM128,'Fuel economy adjusted factor'!$A$2:$L$52,5,FALSE)*m2k))</f>
        <v>41.198657100292124</v>
      </c>
      <c r="CM128" s="125">
        <f>CM17/293.07*(1/(VLOOKUP($BM128,'Fuel economy adjusted factor'!$A$2:$L$52,5,FALSE)*m2k))</f>
        <v>41.198657100292124</v>
      </c>
      <c r="CN128" s="125">
        <f>CN17/293.07*(1/(VLOOKUP($BM128,'Fuel economy adjusted factor'!$A$2:$L$52,5,FALSE)*m2k))</f>
        <v>41.198657100292124</v>
      </c>
      <c r="CO128" s="125">
        <f>CO17/293.07*(1/(VLOOKUP($BM128,'Fuel economy adjusted factor'!$A$2:$L$52,5,FALSE)*m2k))</f>
        <v>41.478751526676753</v>
      </c>
      <c r="CP128" s="98" cm="1">
        <f t="array" ref="CP128">SUMPRODUCT(INDEX(BN128:CO128,,'TCO Inputs'!$AZ$12-2023+_xlfn.SEQUENCE('TCO Inputs'!$AZ$13))*INDEX('VKT US'!C74:AA74,,_xlfn.SEQUENCE('TCO Inputs'!$AZ$13)))*m2k*CONVERT(0.9072,"g","ton")</f>
        <v>11.406594707381801</v>
      </c>
      <c r="CQ128" s="194"/>
      <c r="CR128" s="123" t="s">
        <v>196</v>
      </c>
      <c r="CS128" s="125">
        <f>CS17/293.07*(1/(VLOOKUP($BM128,'Fuel economy adjusted factor'!$A$2:$L$52,5,FALSE)*m2k))/'TCO Inputs'!$AZ$84</f>
        <v>55.846836666773029</v>
      </c>
      <c r="CT128" s="125">
        <f>CT17/293.07*(1/(VLOOKUP($BM128,'Fuel economy adjusted factor'!$A$2:$L$52,5,FALSE)*m2k))/'TCO Inputs'!$AZ$84</f>
        <v>55.846836666773029</v>
      </c>
      <c r="CU128" s="125">
        <f>CU17/293.07*(1/(VLOOKUP($BM128,'Fuel economy adjusted factor'!$A$2:$L$52,5,FALSE)*m2k))/'TCO Inputs'!$AZ$84</f>
        <v>55.846836666773029</v>
      </c>
      <c r="CV128" s="125">
        <f>CV17/293.07*(1/(VLOOKUP($BM128,'Fuel economy adjusted factor'!$A$2:$L$52,5,FALSE)*m2k))/'TCO Inputs'!$AZ$84</f>
        <v>55.846836666773029</v>
      </c>
      <c r="CW128" s="125">
        <f>CW17/293.07*(1/(VLOOKUP($BM128,'Fuel economy adjusted factor'!$A$2:$L$52,5,FALSE)*m2k))/'TCO Inputs'!$AZ$84</f>
        <v>55.846836666773029</v>
      </c>
      <c r="CX128" s="125">
        <f>CX17/293.07*(1/(VLOOKUP($BM128,'Fuel economy adjusted factor'!$A$2:$L$52,5,FALSE)*m2k))/'TCO Inputs'!$AZ$84</f>
        <v>55.846836666773029</v>
      </c>
      <c r="CY128" s="125">
        <f>CY17/293.07*(1/(VLOOKUP($BM128,'Fuel economy adjusted factor'!$A$2:$L$52,5,FALSE)*m2k))/'TCO Inputs'!$AZ$84</f>
        <v>55.846836666773029</v>
      </c>
      <c r="CZ128" s="125">
        <f>CZ17/293.07*(1/(VLOOKUP($BM128,'Fuel economy adjusted factor'!$A$2:$L$52,5,FALSE)*m2k))/'TCO Inputs'!$AZ$84</f>
        <v>55.859278198498984</v>
      </c>
      <c r="DA128" s="125">
        <f>DA17/293.07*(1/(VLOOKUP($BM128,'Fuel economy adjusted factor'!$A$2:$L$52,5,FALSE)*m2k))/'TCO Inputs'!$AZ$84</f>
        <v>55.859278198498984</v>
      </c>
      <c r="DB128" s="125">
        <f>DB17/293.07*(1/(VLOOKUP($BM128,'Fuel economy adjusted factor'!$A$2:$L$52,5,FALSE)*m2k))/'TCO Inputs'!$AZ$84</f>
        <v>55.859278198498984</v>
      </c>
      <c r="DC128" s="125">
        <f>DC17/293.07*(1/(VLOOKUP($BM128,'Fuel economy adjusted factor'!$A$2:$L$52,5,FALSE)*m2k))/'TCO Inputs'!$AZ$84</f>
        <v>55.859278198498984</v>
      </c>
      <c r="DD128" s="125">
        <f>DD17/293.07*(1/(VLOOKUP($BM128,'Fuel economy adjusted factor'!$A$2:$L$52,5,FALSE)*m2k))/'TCO Inputs'!$AZ$84</f>
        <v>55.859278198498984</v>
      </c>
      <c r="DE128" s="125">
        <f>DE17/293.07*(1/(VLOOKUP($BM128,'Fuel economy adjusted factor'!$A$2:$L$52,5,FALSE)*m2k))/'TCO Inputs'!$AZ$84</f>
        <v>55.852168751798445</v>
      </c>
      <c r="DF128" s="125">
        <f>DF17/293.07*(1/(VLOOKUP($BM128,'Fuel economy adjusted factor'!$A$2:$L$52,5,FALSE)*m2k))/'TCO Inputs'!$AZ$84</f>
        <v>55.852168751798445</v>
      </c>
      <c r="DG128" s="125">
        <f>DG17/293.07*(1/(VLOOKUP($BM128,'Fuel economy adjusted factor'!$A$2:$L$52,5,FALSE)*m2k))/'TCO Inputs'!$AZ$84</f>
        <v>55.852168751798445</v>
      </c>
      <c r="DH128" s="125">
        <f>DH17/293.07*(1/(VLOOKUP($BM128,'Fuel economy adjusted factor'!$A$2:$L$52,5,FALSE)*m2k))/'TCO Inputs'!$AZ$84</f>
        <v>55.852168751798445</v>
      </c>
      <c r="DI128" s="125">
        <f>DI17/293.07*(1/(VLOOKUP($BM128,'Fuel economy adjusted factor'!$A$2:$L$52,5,FALSE)*m2k))/'TCO Inputs'!$AZ$84</f>
        <v>55.852168751798445</v>
      </c>
      <c r="DJ128" s="125">
        <f>DJ17/293.07*(1/(VLOOKUP($BM128,'Fuel economy adjusted factor'!$A$2:$L$52,5,FALSE)*m2k))/'TCO Inputs'!$AZ$84</f>
        <v>55.850391390123306</v>
      </c>
      <c r="DK128" s="125">
        <f>DK17/293.07*(1/(VLOOKUP($BM128,'Fuel economy adjusted factor'!$A$2:$L$52,5,FALSE)*m2k))/'TCO Inputs'!$AZ$84</f>
        <v>55.850391390123306</v>
      </c>
      <c r="DL128" s="125">
        <f>DL17/293.07*(1/(VLOOKUP($BM128,'Fuel economy adjusted factor'!$A$2:$L$52,5,FALSE)*m2k))/'TCO Inputs'!$AZ$84</f>
        <v>55.850391390123306</v>
      </c>
      <c r="DM128" s="125">
        <f>DM17/293.07*(1/(VLOOKUP($BM128,'Fuel economy adjusted factor'!$A$2:$L$52,5,FALSE)*m2k))/'TCO Inputs'!$AZ$84</f>
        <v>55.850391390123306</v>
      </c>
      <c r="DN128" s="125">
        <f>DN17/293.07*(1/(VLOOKUP($BM128,'Fuel economy adjusted factor'!$A$2:$L$52,5,FALSE)*m2k))/'TCO Inputs'!$AZ$84</f>
        <v>55.850391390123306</v>
      </c>
      <c r="DO128" s="125">
        <f>DO17/293.07*(1/(VLOOKUP($BM128,'Fuel economy adjusted factor'!$A$2:$L$52,5,FALSE)*m2k))/'TCO Inputs'!$AZ$84</f>
        <v>55.815910573625679</v>
      </c>
      <c r="DP128" s="125">
        <f>DP17/293.07*(1/(VLOOKUP($BM128,'Fuel economy adjusted factor'!$A$2:$L$52,5,FALSE)*m2k))/'TCO Inputs'!$AZ$84</f>
        <v>55.815910573625679</v>
      </c>
      <c r="DQ128" s="125">
        <f>DQ17/293.07*(1/(VLOOKUP($BM128,'Fuel economy adjusted factor'!$A$2:$L$52,5,FALSE)*m2k))/'TCO Inputs'!$AZ$84</f>
        <v>55.815910573625679</v>
      </c>
      <c r="DR128" s="125">
        <f>DR17/293.07*(1/(VLOOKUP($BM128,'Fuel economy adjusted factor'!$A$2:$L$52,5,FALSE)*m2k))/'TCO Inputs'!$AZ$84</f>
        <v>55.815910573625679</v>
      </c>
      <c r="DS128" s="125">
        <f>DS17/293.07*(1/(VLOOKUP($BM128,'Fuel economy adjusted factor'!$A$2:$L$52,5,FALSE)*m2k))/'TCO Inputs'!$AZ$84</f>
        <v>55.815910573625679</v>
      </c>
      <c r="DT128" s="125">
        <f>DT17/293.07*(1/(VLOOKUP($BM128,'Fuel economy adjusted factor'!$A$2:$L$52,5,FALSE)*m2k))/'TCO Inputs'!$AZ$84</f>
        <v>55.844703832762875</v>
      </c>
      <c r="DU128" s="98" cm="1">
        <f t="array" ref="DU128">SUMPRODUCT(INDEX(CS128:DT128,,'TCO Inputs'!$AZ$12-2023+_xlfn.SEQUENCE('TCO Inputs'!$AZ$13))*INDEX('VKT US'!C74:AA74,,_xlfn.SEQUENCE('TCO Inputs'!$AZ$13)))*m2k*CONVERT(0.9072,"g","ton")</f>
        <v>17.022324227158585</v>
      </c>
      <c r="DW128" s="123" t="s">
        <v>196</v>
      </c>
      <c r="DX128" s="125">
        <f>DX17/293.07*(1/(VLOOKUP($BM128,'Fuel economy adjusted factor'!$A$2:$L$52,5,FALSE)*m2k))/'TCO Inputs'!$AZ$84</f>
        <v>58.460978711871164</v>
      </c>
      <c r="DY128" s="125">
        <f>DY17/293.07*(1/(VLOOKUP($BM128,'Fuel economy adjusted factor'!$A$2:$L$52,5,FALSE)*m2k))/'TCO Inputs'!$AZ$84</f>
        <v>58.460978711871164</v>
      </c>
      <c r="DZ128" s="125">
        <f>DZ17/293.07*(1/(VLOOKUP($BM128,'Fuel economy adjusted factor'!$A$2:$L$52,5,FALSE)*m2k))/'TCO Inputs'!$AZ$84</f>
        <v>51.246910723735681</v>
      </c>
      <c r="EA128" s="125">
        <f>EA17/293.07*(1/(VLOOKUP($BM128,'Fuel economy adjusted factor'!$A$2:$L$52,5,FALSE)*m2k))/'TCO Inputs'!$AZ$84</f>
        <v>51.246910723735681</v>
      </c>
      <c r="EB128" s="125">
        <f>EB17/293.07*(1/(VLOOKUP($BM128,'Fuel economy adjusted factor'!$A$2:$L$52,5,FALSE)*m2k))/'TCO Inputs'!$AZ$84</f>
        <v>51.246910723735681</v>
      </c>
      <c r="EC128" s="125">
        <f>EC17/293.07*(1/(VLOOKUP($BM128,'Fuel economy adjusted factor'!$A$2:$L$52,5,FALSE)*m2k))/'TCO Inputs'!$AZ$84</f>
        <v>51.246910723735681</v>
      </c>
      <c r="ED128" s="125">
        <f>ED17/293.07*(1/(VLOOKUP($BM128,'Fuel economy adjusted factor'!$A$2:$L$52,5,FALSE)*m2k))/'TCO Inputs'!$AZ$84</f>
        <v>51.246910723735681</v>
      </c>
      <c r="EE128" s="125">
        <f>EE17/293.07*(1/(VLOOKUP($BM128,'Fuel economy adjusted factor'!$A$2:$L$52,5,FALSE)*m2k))/'TCO Inputs'!$AZ$84</f>
        <v>31.585326069757521</v>
      </c>
      <c r="EF128" s="125">
        <f>EF17/293.07*(1/(VLOOKUP($BM128,'Fuel economy adjusted factor'!$A$2:$L$52,5,FALSE)*m2k))/'TCO Inputs'!$AZ$84</f>
        <v>31.585326069757521</v>
      </c>
      <c r="EG128" s="125">
        <f>EG17/293.07*(1/(VLOOKUP($BM128,'Fuel economy adjusted factor'!$A$2:$L$52,5,FALSE)*m2k))/'TCO Inputs'!$AZ$84</f>
        <v>31.585326069757521</v>
      </c>
      <c r="EH128" s="125">
        <f>EH17/293.07*(1/(VLOOKUP($BM128,'Fuel economy adjusted factor'!$A$2:$L$52,5,FALSE)*m2k))/'TCO Inputs'!$AZ$84</f>
        <v>31.585326069757521</v>
      </c>
      <c r="EI128" s="125">
        <f>EI17/293.07*(1/(VLOOKUP($BM128,'Fuel economy adjusted factor'!$A$2:$L$52,5,FALSE)*m2k))/'TCO Inputs'!$AZ$84</f>
        <v>31.585326069757521</v>
      </c>
      <c r="EJ128" s="125">
        <f>EJ17/293.07*(1/(VLOOKUP($BM128,'Fuel economy adjusted factor'!$A$2:$L$52,5,FALSE)*m2k))/'TCO Inputs'!$AZ$84</f>
        <v>28.209407366802342</v>
      </c>
      <c r="EK128" s="125">
        <f>EK17/293.07*(1/(VLOOKUP($BM128,'Fuel economy adjusted factor'!$A$2:$L$52,5,FALSE)*m2k))/'TCO Inputs'!$AZ$84</f>
        <v>28.209407366802342</v>
      </c>
      <c r="EL128" s="125">
        <f>EL17/293.07*(1/(VLOOKUP($BM128,'Fuel economy adjusted factor'!$A$2:$L$52,5,FALSE)*m2k))/'TCO Inputs'!$AZ$84</f>
        <v>28.209407366802342</v>
      </c>
      <c r="EM128" s="125">
        <f>EM17/293.07*(1/(VLOOKUP($BM128,'Fuel economy adjusted factor'!$A$2:$L$52,5,FALSE)*m2k))/'TCO Inputs'!$AZ$84</f>
        <v>28.209407366802342</v>
      </c>
      <c r="EN128" s="125">
        <f>EN17/293.07*(1/(VLOOKUP($BM128,'Fuel economy adjusted factor'!$A$2:$L$52,5,FALSE)*m2k))/'TCO Inputs'!$AZ$84</f>
        <v>28.209407366802342</v>
      </c>
      <c r="EO128" s="125">
        <f>EO17/293.07*(1/(VLOOKUP($BM128,'Fuel economy adjusted factor'!$A$2:$L$52,5,FALSE)*m2k))/'TCO Inputs'!$AZ$84</f>
        <v>27.321528697220931</v>
      </c>
      <c r="EP128" s="125">
        <f>EP17/293.07*(1/(VLOOKUP($BM128,'Fuel economy adjusted factor'!$A$2:$L$52,5,FALSE)*m2k))/'TCO Inputs'!$AZ$84</f>
        <v>27.321528697220931</v>
      </c>
      <c r="EQ128" s="125">
        <f>EQ17/293.07*(1/(VLOOKUP($BM128,'Fuel economy adjusted factor'!$A$2:$L$52,5,FALSE)*m2k))/'TCO Inputs'!$AZ$84</f>
        <v>27.321528697220931</v>
      </c>
      <c r="ER128" s="125">
        <f>ER17/293.07*(1/(VLOOKUP($BM128,'Fuel economy adjusted factor'!$A$2:$L$52,5,FALSE)*m2k))/'TCO Inputs'!$AZ$84</f>
        <v>27.321528697220931</v>
      </c>
      <c r="ES128" s="125">
        <f>ES17/293.07*(1/(VLOOKUP($BM128,'Fuel economy adjusted factor'!$A$2:$L$52,5,FALSE)*m2k))/'TCO Inputs'!$AZ$84</f>
        <v>27.321528697220931</v>
      </c>
      <c r="ET128" s="125">
        <f>ET17/293.07*(1/(VLOOKUP($BM128,'Fuel economy adjusted factor'!$A$2:$L$52,5,FALSE)*m2k))/'TCO Inputs'!$AZ$84</f>
        <v>26.307117633622596</v>
      </c>
      <c r="EU128" s="125">
        <f>EU17/293.07*(1/(VLOOKUP($BM128,'Fuel economy adjusted factor'!$A$2:$L$52,5,FALSE)*m2k))/'TCO Inputs'!$AZ$84</f>
        <v>26.307117633622596</v>
      </c>
      <c r="EV128" s="125">
        <f>EV17/293.07*(1/(VLOOKUP($BM128,'Fuel economy adjusted factor'!$A$2:$L$52,5,FALSE)*m2k))/'TCO Inputs'!$AZ$84</f>
        <v>26.307117633622596</v>
      </c>
      <c r="EW128" s="125">
        <f>EW17/293.07*(1/(VLOOKUP($BM128,'Fuel economy adjusted factor'!$A$2:$L$52,5,FALSE)*m2k))/'TCO Inputs'!$AZ$84</f>
        <v>26.307117633622596</v>
      </c>
      <c r="EX128" s="125">
        <f>EX17/293.07*(1/(VLOOKUP($BM128,'Fuel economy adjusted factor'!$A$2:$L$52,5,FALSE)*m2k))/'TCO Inputs'!$AZ$84</f>
        <v>26.307117633622596</v>
      </c>
      <c r="EY128" s="125">
        <f>EY17/293.07*(1/(VLOOKUP($BM128,'Fuel economy adjusted factor'!$A$2:$L$52,5,FALSE)*m2k))/'TCO Inputs'!$AZ$84</f>
        <v>24.716424680266865</v>
      </c>
      <c r="EZ128" s="98" cm="1">
        <f t="array" ref="EZ128">SUMPRODUCT(INDEX(DX128:EY128,,'TCO Inputs'!$AZ$12-2023+_xlfn.SEQUENCE('TCO Inputs'!$AZ$13))*INDEX('VKT US'!C74:AA74,,_xlfn.SEQUENCE('TCO Inputs'!$AZ$13)))*m2k*CONVERT(0.9072,"g","ton")</f>
        <v>13.172084658677308</v>
      </c>
      <c r="FB128" s="123" t="s">
        <v>196</v>
      </c>
      <c r="FC128" s="125">
        <f>FC17/293.07*(1/(VLOOKUP($BM128,'Fuel economy adjusted factor'!$A$2:$L$52,5,FALSE)*m2k))/'TCO Inputs'!$AZ$84</f>
        <v>63.40951431189395</v>
      </c>
      <c r="FD128" s="125">
        <f>FD17/293.07*(1/(VLOOKUP($BM128,'Fuel economy adjusted factor'!$A$2:$L$52,5,FALSE)*m2k))/'TCO Inputs'!$AZ$84</f>
        <v>63.40951431189395</v>
      </c>
      <c r="FE128" s="125">
        <f>FE17/293.07*(1/(VLOOKUP($BM128,'Fuel economy adjusted factor'!$A$2:$L$52,5,FALSE)*m2k))/'TCO Inputs'!$AZ$84</f>
        <v>55.375568056403836</v>
      </c>
      <c r="FF128" s="125">
        <f>FF17/293.07*(1/(VLOOKUP($BM128,'Fuel economy adjusted factor'!$A$2:$L$52,5,FALSE)*m2k))/'TCO Inputs'!$AZ$84</f>
        <v>55.375568056403836</v>
      </c>
      <c r="FG128" s="125">
        <f>FG17/293.07*(1/(VLOOKUP($BM128,'Fuel economy adjusted factor'!$A$2:$L$52,5,FALSE)*m2k))/'TCO Inputs'!$AZ$84</f>
        <v>55.375568056403836</v>
      </c>
      <c r="FH128" s="125">
        <f>FH17/293.07*(1/(VLOOKUP($BM128,'Fuel economy adjusted factor'!$A$2:$L$52,5,FALSE)*m2k))/'TCO Inputs'!$AZ$84</f>
        <v>55.375568056403836</v>
      </c>
      <c r="FI128" s="125">
        <f>FI17/293.07*(1/(VLOOKUP($BM128,'Fuel economy adjusted factor'!$A$2:$L$52,5,FALSE)*m2k))/'TCO Inputs'!$AZ$84</f>
        <v>55.375568056403836</v>
      </c>
      <c r="FJ128" s="125">
        <f>FJ17/293.07*(1/(VLOOKUP($BM128,'Fuel economy adjusted factor'!$A$2:$L$52,5,FALSE)*m2k))/'TCO Inputs'!$AZ$84</f>
        <v>34.749496684766001</v>
      </c>
      <c r="FK128" s="125">
        <f>FK17/293.07*(1/(VLOOKUP($BM128,'Fuel economy adjusted factor'!$A$2:$L$52,5,FALSE)*m2k))/'TCO Inputs'!$AZ$84</f>
        <v>34.749496684766001</v>
      </c>
      <c r="FL128" s="125">
        <f>FL17/293.07*(1/(VLOOKUP($BM128,'Fuel economy adjusted factor'!$A$2:$L$52,5,FALSE)*m2k))/'TCO Inputs'!$AZ$84</f>
        <v>34.749496684766001</v>
      </c>
      <c r="FM128" s="125">
        <f>FM17/293.07*(1/(VLOOKUP($BM128,'Fuel economy adjusted factor'!$A$2:$L$52,5,FALSE)*m2k))/'TCO Inputs'!$AZ$84</f>
        <v>34.749496684766001</v>
      </c>
      <c r="FN128" s="125">
        <f>FN17/293.07*(1/(VLOOKUP($BM128,'Fuel economy adjusted factor'!$A$2:$L$52,5,FALSE)*m2k))/'TCO Inputs'!$AZ$84</f>
        <v>34.749496684766001</v>
      </c>
      <c r="FO128" s="125">
        <f>FO17/293.07*(1/(VLOOKUP($BM128,'Fuel economy adjusted factor'!$A$2:$L$52,5,FALSE)*m2k))/'TCO Inputs'!$AZ$84</f>
        <v>30.855828083843569</v>
      </c>
      <c r="FP128" s="125">
        <f>FP17/293.07*(1/(VLOOKUP($BM128,'Fuel economy adjusted factor'!$A$2:$L$52,5,FALSE)*m2k))/'TCO Inputs'!$AZ$84</f>
        <v>30.855828083843569</v>
      </c>
      <c r="FQ128" s="125">
        <f>FQ17/293.07*(1/(VLOOKUP($BM128,'Fuel economy adjusted factor'!$A$2:$L$52,5,FALSE)*m2k))/'TCO Inputs'!$AZ$84</f>
        <v>30.855828083843569</v>
      </c>
      <c r="FR128" s="125">
        <f>FR17/293.07*(1/(VLOOKUP($BM128,'Fuel economy adjusted factor'!$A$2:$L$52,5,FALSE)*m2k))/'TCO Inputs'!$AZ$84</f>
        <v>30.855828083843569</v>
      </c>
      <c r="FS128" s="125">
        <f>FS17/293.07*(1/(VLOOKUP($BM128,'Fuel economy adjusted factor'!$A$2:$L$52,5,FALSE)*m2k))/'TCO Inputs'!$AZ$84</f>
        <v>30.855828083843569</v>
      </c>
      <c r="FT128" s="125">
        <f>FT17/293.07*(1/(VLOOKUP($BM128,'Fuel economy adjusted factor'!$A$2:$L$52,5,FALSE)*m2k))/'TCO Inputs'!$AZ$84</f>
        <v>30.070380399894923</v>
      </c>
      <c r="FU128" s="125">
        <f>FU17/293.07*(1/(VLOOKUP($BM128,'Fuel economy adjusted factor'!$A$2:$L$52,5,FALSE)*m2k))/'TCO Inputs'!$AZ$84</f>
        <v>30.070380399894923</v>
      </c>
      <c r="FV128" s="125">
        <f>FV17/293.07*(1/(VLOOKUP($BM128,'Fuel economy adjusted factor'!$A$2:$L$52,5,FALSE)*m2k))/'TCO Inputs'!$AZ$84</f>
        <v>30.070380399894923</v>
      </c>
      <c r="FW128" s="125">
        <f>FW17/293.07*(1/(VLOOKUP($BM128,'Fuel economy adjusted factor'!$A$2:$L$52,5,FALSE)*m2k))/'TCO Inputs'!$AZ$84</f>
        <v>30.070380399894923</v>
      </c>
      <c r="FX128" s="125">
        <f>FX17/293.07*(1/(VLOOKUP($BM128,'Fuel economy adjusted factor'!$A$2:$L$52,5,FALSE)*m2k))/'TCO Inputs'!$AZ$84</f>
        <v>30.070380399894923</v>
      </c>
      <c r="FY128" s="125">
        <f>FY17/293.07*(1/(VLOOKUP($BM128,'Fuel economy adjusted factor'!$A$2:$L$52,5,FALSE)*m2k))/'TCO Inputs'!$AZ$84</f>
        <v>29.053817424833706</v>
      </c>
      <c r="FZ128" s="125">
        <f>FZ17/293.07*(1/(VLOOKUP($BM128,'Fuel economy adjusted factor'!$A$2:$L$52,5,FALSE)*m2k))/'TCO Inputs'!$AZ$84</f>
        <v>29.053817424833706</v>
      </c>
      <c r="GA128" s="125">
        <f>GA17/293.07*(1/(VLOOKUP($BM128,'Fuel economy adjusted factor'!$A$2:$L$52,5,FALSE)*m2k))/'TCO Inputs'!$AZ$84</f>
        <v>29.053817424833706</v>
      </c>
      <c r="GB128" s="125">
        <f>GB17/293.07*(1/(VLOOKUP($BM128,'Fuel economy adjusted factor'!$A$2:$L$52,5,FALSE)*m2k))/'TCO Inputs'!$AZ$84</f>
        <v>29.053817424833706</v>
      </c>
      <c r="GC128" s="125">
        <f>GC17/293.07*(1/(VLOOKUP($BM128,'Fuel economy adjusted factor'!$A$2:$L$52,5,FALSE)*m2k))/'TCO Inputs'!$AZ$84</f>
        <v>29.053817424833706</v>
      </c>
      <c r="GD128" s="125">
        <f>GD17/293.07*(1/(VLOOKUP($BM128,'Fuel economy adjusted factor'!$A$2:$L$52,5,FALSE)*m2k))/'TCO Inputs'!$AZ$84</f>
        <v>27.408035538028429</v>
      </c>
      <c r="GE128" s="98" cm="1">
        <f t="array" ref="GE128">SUMPRODUCT(INDEX(FC128:GD128,,'TCO Inputs'!$AZ$12-2023+_xlfn.SEQUENCE('TCO Inputs'!$AZ$13))*INDEX('VKT US'!C74:AA74,,_xlfn.SEQUENCE('TCO Inputs'!$AZ$13)))*m2k*CONVERT(0.9072,"g","ton")</f>
        <v>14.321527986288402</v>
      </c>
      <c r="GH128" s="123" t="s">
        <v>196</v>
      </c>
      <c r="GI128" s="125">
        <f>GI17/293.07*(1/(VLOOKUP($BM128,'Fuel economy adjusted factor'!$A$2:$L$52,5,FALSE)*m2k))/'TCO Inputs'!$AZ$84</f>
        <v>55.092806890182338</v>
      </c>
      <c r="GJ128" s="125">
        <f>GJ17/293.07*(1/(VLOOKUP($BM128,'Fuel economy adjusted factor'!$A$2:$L$52,5,FALSE)*m2k))/'TCO Inputs'!$AZ$84</f>
        <v>55.092806890182338</v>
      </c>
      <c r="GK128" s="125">
        <f>GK17/293.07*(1/(VLOOKUP($BM128,'Fuel economy adjusted factor'!$A$2:$L$52,5,FALSE)*m2k))/'TCO Inputs'!$AZ$84</f>
        <v>48.4369447355161</v>
      </c>
      <c r="GL128" s="125">
        <f>GL17/293.07*(1/(VLOOKUP($BM128,'Fuel economy adjusted factor'!$A$2:$L$52,5,FALSE)*m2k))/'TCO Inputs'!$AZ$84</f>
        <v>48.4369447355161</v>
      </c>
      <c r="GM128" s="125">
        <f>GM17/293.07*(1/(VLOOKUP($BM128,'Fuel economy adjusted factor'!$A$2:$L$52,5,FALSE)*m2k))/'TCO Inputs'!$AZ$84</f>
        <v>48.4369447355161</v>
      </c>
      <c r="GN128" s="125">
        <f>GN17/293.07*(1/(VLOOKUP($BM128,'Fuel economy adjusted factor'!$A$2:$L$52,5,FALSE)*m2k))/'TCO Inputs'!$AZ$84</f>
        <v>48.4369447355161</v>
      </c>
      <c r="GO128" s="125">
        <f>GO17/293.07*(1/(VLOOKUP($BM128,'Fuel economy adjusted factor'!$A$2:$L$52,5,FALSE)*m2k))/'TCO Inputs'!$AZ$84</f>
        <v>48.4369447355161</v>
      </c>
      <c r="GP128" s="125">
        <f>GP17/293.07*(1/(VLOOKUP($BM128,'Fuel economy adjusted factor'!$A$2:$L$52,5,FALSE)*m2k))/'TCO Inputs'!$AZ$84</f>
        <v>29.431693077714211</v>
      </c>
      <c r="GQ128" s="125">
        <f>GQ17/293.07*(1/(VLOOKUP($BM128,'Fuel economy adjusted factor'!$A$2:$L$52,5,FALSE)*m2k))/'TCO Inputs'!$AZ$84</f>
        <v>29.431693077714211</v>
      </c>
      <c r="GR128" s="125">
        <f>GR17/293.07*(1/(VLOOKUP($BM128,'Fuel economy adjusted factor'!$A$2:$L$52,5,FALSE)*m2k))/'TCO Inputs'!$AZ$84</f>
        <v>29.431693077714211</v>
      </c>
      <c r="GS128" s="125">
        <f>GS17/293.07*(1/(VLOOKUP($BM128,'Fuel economy adjusted factor'!$A$2:$L$52,5,FALSE)*m2k))/'TCO Inputs'!$AZ$84</f>
        <v>29.431693077714211</v>
      </c>
      <c r="GT128" s="125">
        <f>GT17/293.07*(1/(VLOOKUP($BM128,'Fuel economy adjusted factor'!$A$2:$L$52,5,FALSE)*m2k))/'TCO Inputs'!$AZ$84</f>
        <v>29.431693077714211</v>
      </c>
      <c r="GU128" s="125">
        <f>GU17/293.07*(1/(VLOOKUP($BM128,'Fuel economy adjusted factor'!$A$2:$L$52,5,FALSE)*m2k))/'TCO Inputs'!$AZ$84</f>
        <v>26.408257472377631</v>
      </c>
      <c r="GV128" s="125">
        <f>GV17/293.07*(1/(VLOOKUP($BM128,'Fuel economy adjusted factor'!$A$2:$L$52,5,FALSE)*m2k))/'TCO Inputs'!$AZ$84</f>
        <v>26.408257472377631</v>
      </c>
      <c r="GW128" s="125">
        <f>GW17/293.07*(1/(VLOOKUP($BM128,'Fuel economy adjusted factor'!$A$2:$L$52,5,FALSE)*m2k))/'TCO Inputs'!$AZ$84</f>
        <v>26.408257472377631</v>
      </c>
      <c r="GX128" s="125">
        <f>GX17/293.07*(1/(VLOOKUP($BM128,'Fuel economy adjusted factor'!$A$2:$L$52,5,FALSE)*m2k))/'TCO Inputs'!$AZ$84</f>
        <v>26.408257472377631</v>
      </c>
      <c r="GY128" s="125">
        <f>GY17/293.07*(1/(VLOOKUP($BM128,'Fuel economy adjusted factor'!$A$2:$L$52,5,FALSE)*m2k))/'TCO Inputs'!$AZ$84</f>
        <v>26.408257472377631</v>
      </c>
      <c r="GZ128" s="125">
        <f>GZ17/293.07*(1/(VLOOKUP($BM128,'Fuel economy adjusted factor'!$A$2:$L$52,5,FALSE)*m2k))/'TCO Inputs'!$AZ$84</f>
        <v>25.45065687139914</v>
      </c>
      <c r="HA128" s="125">
        <f>HA17/293.07*(1/(VLOOKUP($BM128,'Fuel economy adjusted factor'!$A$2:$L$52,5,FALSE)*m2k))/'TCO Inputs'!$AZ$84</f>
        <v>25.45065687139914</v>
      </c>
      <c r="HB128" s="125">
        <f>HB17/293.07*(1/(VLOOKUP($BM128,'Fuel economy adjusted factor'!$A$2:$L$52,5,FALSE)*m2k))/'TCO Inputs'!$AZ$84</f>
        <v>25.45065687139914</v>
      </c>
      <c r="HC128" s="125">
        <f>HC17/293.07*(1/(VLOOKUP($BM128,'Fuel economy adjusted factor'!$A$2:$L$52,5,FALSE)*m2k))/'TCO Inputs'!$AZ$84</f>
        <v>25.45065687139914</v>
      </c>
      <c r="HD128" s="125">
        <f>HD17/293.07*(1/(VLOOKUP($BM128,'Fuel economy adjusted factor'!$A$2:$L$52,5,FALSE)*m2k))/'TCO Inputs'!$AZ$84</f>
        <v>25.45065687139914</v>
      </c>
      <c r="HE128" s="125">
        <f>HE17/293.07*(1/(VLOOKUP($BM128,'Fuel economy adjusted factor'!$A$2:$L$52,5,FALSE)*m2k))/'TCO Inputs'!$AZ$84</f>
        <v>24.437536954678524</v>
      </c>
      <c r="HF128" s="125">
        <f>HF17/293.07*(1/(VLOOKUP($BM128,'Fuel economy adjusted factor'!$A$2:$L$52,5,FALSE)*m2k))/'TCO Inputs'!$AZ$84</f>
        <v>24.437536954678524</v>
      </c>
      <c r="HG128" s="125">
        <f>HG17/293.07*(1/(VLOOKUP($BM128,'Fuel economy adjusted factor'!$A$2:$L$52,5,FALSE)*m2k))/'TCO Inputs'!$AZ$84</f>
        <v>24.437536954678524</v>
      </c>
      <c r="HH128" s="125">
        <f>HH17/293.07*(1/(VLOOKUP($BM128,'Fuel economy adjusted factor'!$A$2:$L$52,5,FALSE)*m2k))/'TCO Inputs'!$AZ$84</f>
        <v>24.437536954678524</v>
      </c>
      <c r="HI128" s="125">
        <f>HI17/293.07*(1/(VLOOKUP($BM128,'Fuel economy adjusted factor'!$A$2:$L$52,5,FALSE)*m2k))/'TCO Inputs'!$AZ$84</f>
        <v>24.437536954678524</v>
      </c>
      <c r="HJ128" s="125">
        <f>HJ17/293.07*(1/(VLOOKUP($BM128,'Fuel economy adjusted factor'!$A$2:$L$52,5,FALSE)*m2k))/'TCO Inputs'!$AZ$84</f>
        <v>22.884717643069354</v>
      </c>
      <c r="HK128" s="98" cm="1">
        <f t="array" ref="HK128">SUMPRODUCT(INDEX(GI128:HJ128,,'TCO Inputs'!$AZ$12-2023+_xlfn.SEQUENCE('TCO Inputs'!$AZ$13))*INDEX('VKT US'!C74:AA74,,_xlfn.SEQUENCE('TCO Inputs'!$AZ$13)))*m2k*CONVERT(0.9072,"g","ton")</f>
        <v>12.389753336646194</v>
      </c>
    </row>
    <row r="129" spans="17:219" x14ac:dyDescent="0.25">
      <c r="Q129" s="198" t="s">
        <v>547</v>
      </c>
      <c r="R129" s="197">
        <f>'100%NG_methaneleaking'!CO165/'Scenario analysis'!$DU$167</f>
        <v>0.95876800804585749</v>
      </c>
      <c r="Z129" s="123" t="s">
        <v>197</v>
      </c>
      <c r="AA129" s="125">
        <f>AA18/293.07*(1/(VLOOKUP($Z129,'Fuel economy adjusted factor'!$A$2:$L$52,5,FALSE)*m2k))/'TCO Inputs'!$AZ$84</f>
        <v>59.666139463676075</v>
      </c>
      <c r="AB129" s="125">
        <f>AB18/293.07*(1/(VLOOKUP($Z129,'Fuel economy adjusted factor'!$A$2:$L$52,5,FALSE)*m2k))/'TCO Inputs'!$AZ$84</f>
        <v>59.666139463676075</v>
      </c>
      <c r="AC129" s="125">
        <f>AC18/293.07*(1/(VLOOKUP($Z129,'Fuel economy adjusted factor'!$A$2:$L$52,5,FALSE)*m2k))/'TCO Inputs'!$AZ$84</f>
        <v>52.476002035685369</v>
      </c>
      <c r="AD129" s="125">
        <f>AD18/293.07*(1/(VLOOKUP($Z129,'Fuel economy adjusted factor'!$A$2:$L$52,5,FALSE)*m2k))/'TCO Inputs'!$AZ$84</f>
        <v>52.476002035685369</v>
      </c>
      <c r="AE129" s="125">
        <f>AE18/293.07*(1/(VLOOKUP($Z129,'Fuel economy adjusted factor'!$A$2:$L$52,5,FALSE)*m2k))/'TCO Inputs'!$AZ$84</f>
        <v>52.476002035685369</v>
      </c>
      <c r="AF129" s="125">
        <f>AF18/293.07*(1/(VLOOKUP($Z129,'Fuel economy adjusted factor'!$A$2:$L$52,5,FALSE)*m2k))/'TCO Inputs'!$AZ$84</f>
        <v>52.476002035685369</v>
      </c>
      <c r="AG129" s="125">
        <f>AG18/293.07*(1/(VLOOKUP($Z129,'Fuel economy adjusted factor'!$A$2:$L$52,5,FALSE)*m2k))/'TCO Inputs'!$AZ$84</f>
        <v>52.476002035685369</v>
      </c>
      <c r="AH129" s="125">
        <f>AH18/293.07*(1/(VLOOKUP($Z129,'Fuel economy adjusted factor'!$A$2:$L$52,5,FALSE)*m2k))/'TCO Inputs'!$AZ$84</f>
        <v>31.529559598217251</v>
      </c>
      <c r="AI129" s="125">
        <f>AI18/293.07*(1/(VLOOKUP($Z129,'Fuel economy adjusted factor'!$A$2:$L$52,5,FALSE)*m2k))/'TCO Inputs'!$AZ$84</f>
        <v>31.529559598217251</v>
      </c>
      <c r="AJ129" s="125">
        <f>AJ18/293.07*(1/(VLOOKUP($Z129,'Fuel economy adjusted factor'!$A$2:$L$52,5,FALSE)*m2k))/'TCO Inputs'!$AZ$84</f>
        <v>31.529559598217251</v>
      </c>
      <c r="AK129" s="125">
        <f>AK18/293.07*(1/(VLOOKUP($Z129,'Fuel economy adjusted factor'!$A$2:$L$52,5,FALSE)*m2k))/'TCO Inputs'!$AZ$84</f>
        <v>31.529559598217251</v>
      </c>
      <c r="AL129" s="125">
        <f>AL18/293.07*(1/(VLOOKUP($Z129,'Fuel economy adjusted factor'!$A$2:$L$52,5,FALSE)*m2k))/'TCO Inputs'!$AZ$84</f>
        <v>31.529559598217251</v>
      </c>
      <c r="AM129" s="125">
        <f>AM18/293.07*(1/(VLOOKUP($Z129,'Fuel economy adjusted factor'!$A$2:$L$52,5,FALSE)*m2k))/'TCO Inputs'!$AZ$84</f>
        <v>32.994992096970613</v>
      </c>
      <c r="AN129" s="125">
        <f>AN18/293.07*(1/(VLOOKUP($Z129,'Fuel economy adjusted factor'!$A$2:$L$52,5,FALSE)*m2k))/'TCO Inputs'!$AZ$84</f>
        <v>32.994992096970613</v>
      </c>
      <c r="AO129" s="125">
        <f>AO18/293.07*(1/(VLOOKUP($Z129,'Fuel economy adjusted factor'!$A$2:$L$52,5,FALSE)*m2k))/'TCO Inputs'!$AZ$84</f>
        <v>32.994992096970613</v>
      </c>
      <c r="AP129" s="125">
        <f>AP18/293.07*(1/(VLOOKUP($Z129,'Fuel economy adjusted factor'!$A$2:$L$52,5,FALSE)*m2k))/'TCO Inputs'!$AZ$84</f>
        <v>32.994992096970613</v>
      </c>
      <c r="AQ129" s="125">
        <f>AQ18/293.07*(1/(VLOOKUP($Z129,'Fuel economy adjusted factor'!$A$2:$L$52,5,FALSE)*m2k))/'TCO Inputs'!$AZ$84</f>
        <v>32.994992096970613</v>
      </c>
      <c r="AR129" s="125">
        <f>AR18/293.07*(1/(VLOOKUP($Z129,'Fuel economy adjusted factor'!$A$2:$L$52,5,FALSE)*m2k))/'TCO Inputs'!$AZ$84</f>
        <v>34.491232244740765</v>
      </c>
      <c r="AS129" s="125">
        <f>AS18/293.07*(1/(VLOOKUP($Z129,'Fuel economy adjusted factor'!$A$2:$L$52,5,FALSE)*m2k))/'TCO Inputs'!$AZ$84</f>
        <v>34.491232244740765</v>
      </c>
      <c r="AT129" s="125">
        <f>AT18/293.07*(1/(VLOOKUP($Z129,'Fuel economy adjusted factor'!$A$2:$L$52,5,FALSE)*m2k))/'TCO Inputs'!$AZ$84</f>
        <v>34.491232244740765</v>
      </c>
      <c r="AU129" s="125">
        <f>AU18/293.07*(1/(VLOOKUP($Z129,'Fuel economy adjusted factor'!$A$2:$L$52,5,FALSE)*m2k))/'TCO Inputs'!$AZ$84</f>
        <v>34.491232244740765</v>
      </c>
      <c r="AV129" s="125">
        <f>AV18/293.07*(1/(VLOOKUP($Z129,'Fuel economy adjusted factor'!$A$2:$L$52,5,FALSE)*m2k))/'TCO Inputs'!$AZ$84</f>
        <v>34.491232244740765</v>
      </c>
      <c r="AW129" s="125">
        <f>AW18/293.07*(1/(VLOOKUP($Z129,'Fuel economy adjusted factor'!$A$2:$L$52,5,FALSE)*m2k))/'TCO Inputs'!$AZ$84</f>
        <v>35.248088816108215</v>
      </c>
      <c r="AX129" s="125">
        <f>AX18/293.07*(1/(VLOOKUP($Z129,'Fuel economy adjusted factor'!$A$2:$L$52,5,FALSE)*m2k))/'TCO Inputs'!$AZ$84</f>
        <v>35.248088816108215</v>
      </c>
      <c r="AY129" s="125">
        <f>AY18/293.07*(1/(VLOOKUP($Z129,'Fuel economy adjusted factor'!$A$2:$L$52,5,FALSE)*m2k))/'TCO Inputs'!$AZ$84</f>
        <v>35.248088816108215</v>
      </c>
      <c r="AZ129" s="125">
        <f>AZ18/293.07*(1/(VLOOKUP($Z129,'Fuel economy adjusted factor'!$A$2:$L$52,5,FALSE)*m2k))/'TCO Inputs'!$AZ$84</f>
        <v>35.248088816108215</v>
      </c>
      <c r="BA129" s="125">
        <f>BA18/293.07*(1/(VLOOKUP($Z129,'Fuel economy adjusted factor'!$A$2:$L$52,5,FALSE)*m2k))/'TCO Inputs'!$AZ$84</f>
        <v>35.248088816108215</v>
      </c>
      <c r="BB129" s="125">
        <f>BB18/293.07*(1/(VLOOKUP($Z129,'Fuel economy adjusted factor'!$A$2:$L$52,5,FALSE)*m2k))/'TCO Inputs'!$AZ$84</f>
        <v>35.295909644432761</v>
      </c>
      <c r="BC129" s="98" cm="1">
        <f t="array" ref="BC129">SUMPRODUCT(INDEX(AA129:BB129,,'TCO Inputs'!$AZ$12-2023+_xlfn.SEQUENCE('TCO Inputs'!$AZ$13))*INDEX('VKT US'!C75:AA75,,_xlfn.SEQUENCE('TCO Inputs'!$AZ$13)))*m2k*CONVERT(0.9072,"g","ton")</f>
        <v>11.821189382515273</v>
      </c>
      <c r="BM129" s="123" t="s">
        <v>197</v>
      </c>
      <c r="BN129" s="125">
        <f>BN18/293.07*(1/(VLOOKUP($BM129,'Fuel economy adjusted factor'!$A$2:$L$52,5,FALSE)*m2k))</f>
        <v>50.716218544124665</v>
      </c>
      <c r="BO129" s="125">
        <f>BO18/293.07*(1/(VLOOKUP($BM129,'Fuel economy adjusted factor'!$A$2:$L$52,5,FALSE)*m2k))</f>
        <v>50.716218544124665</v>
      </c>
      <c r="BP129" s="125">
        <f>BP18/293.07*(1/(VLOOKUP($BM129,'Fuel economy adjusted factor'!$A$2:$L$52,5,FALSE)*m2k))</f>
        <v>44.546366077377712</v>
      </c>
      <c r="BQ129" s="125">
        <f>BQ18/293.07*(1/(VLOOKUP($BM129,'Fuel economy adjusted factor'!$A$2:$L$52,5,FALSE)*m2k))</f>
        <v>44.546366077377712</v>
      </c>
      <c r="BR129" s="125">
        <f>BR18/293.07*(1/(VLOOKUP($BM129,'Fuel economy adjusted factor'!$A$2:$L$52,5,FALSE)*m2k))</f>
        <v>44.546366077377712</v>
      </c>
      <c r="BS129" s="125">
        <f>BS18/293.07*(1/(VLOOKUP($BM129,'Fuel economy adjusted factor'!$A$2:$L$52,5,FALSE)*m2k))</f>
        <v>44.546366077377712</v>
      </c>
      <c r="BT129" s="125">
        <f>BT18/293.07*(1/(VLOOKUP($BM129,'Fuel economy adjusted factor'!$A$2:$L$52,5,FALSE)*m2k))</f>
        <v>44.546366077377712</v>
      </c>
      <c r="BU129" s="125">
        <f>BU18/293.07*(1/(VLOOKUP($BM129,'Fuel economy adjusted factor'!$A$2:$L$52,5,FALSE)*m2k))</f>
        <v>50.496173761483178</v>
      </c>
      <c r="BV129" s="125">
        <f>BV18/293.07*(1/(VLOOKUP($BM129,'Fuel economy adjusted factor'!$A$2:$L$52,5,FALSE)*m2k))</f>
        <v>50.496173761483178</v>
      </c>
      <c r="BW129" s="125">
        <f>BW18/293.07*(1/(VLOOKUP($BM129,'Fuel economy adjusted factor'!$A$2:$L$52,5,FALSE)*m2k))</f>
        <v>50.496173761483178</v>
      </c>
      <c r="BX129" s="125">
        <f>BX18/293.07*(1/(VLOOKUP($BM129,'Fuel economy adjusted factor'!$A$2:$L$52,5,FALSE)*m2k))</f>
        <v>50.496173761483178</v>
      </c>
      <c r="BY129" s="125">
        <f>BY18/293.07*(1/(VLOOKUP($BM129,'Fuel economy adjusted factor'!$A$2:$L$52,5,FALSE)*m2k))</f>
        <v>50.496173761483178</v>
      </c>
      <c r="BZ129" s="125">
        <f>BZ18/293.07*(1/(VLOOKUP($BM129,'Fuel economy adjusted factor'!$A$2:$L$52,5,FALSE)*m2k))</f>
        <v>51.710523920749793</v>
      </c>
      <c r="CA129" s="125">
        <f>CA18/293.07*(1/(VLOOKUP($BM129,'Fuel economy adjusted factor'!$A$2:$L$52,5,FALSE)*m2k))</f>
        <v>51.710523920749793</v>
      </c>
      <c r="CB129" s="125">
        <f>CB18/293.07*(1/(VLOOKUP($BM129,'Fuel economy adjusted factor'!$A$2:$L$52,5,FALSE)*m2k))</f>
        <v>51.710523920749793</v>
      </c>
      <c r="CC129" s="125">
        <f>CC18/293.07*(1/(VLOOKUP($BM129,'Fuel economy adjusted factor'!$A$2:$L$52,5,FALSE)*m2k))</f>
        <v>51.710523920749793</v>
      </c>
      <c r="CD129" s="125">
        <f>CD18/293.07*(1/(VLOOKUP($BM129,'Fuel economy adjusted factor'!$A$2:$L$52,5,FALSE)*m2k))</f>
        <v>51.710523920749793</v>
      </c>
      <c r="CE129" s="125">
        <f>CE18/293.07*(1/(VLOOKUP($BM129,'Fuel economy adjusted factor'!$A$2:$L$52,5,FALSE)*m2k))</f>
        <v>52.988581539289164</v>
      </c>
      <c r="CF129" s="125">
        <f>CF18/293.07*(1/(VLOOKUP($BM129,'Fuel economy adjusted factor'!$A$2:$L$52,5,FALSE)*m2k))</f>
        <v>52.988581539289164</v>
      </c>
      <c r="CG129" s="125">
        <f>CG18/293.07*(1/(VLOOKUP($BM129,'Fuel economy adjusted factor'!$A$2:$L$52,5,FALSE)*m2k))</f>
        <v>52.988581539289164</v>
      </c>
      <c r="CH129" s="125">
        <f>CH18/293.07*(1/(VLOOKUP($BM129,'Fuel economy adjusted factor'!$A$2:$L$52,5,FALSE)*m2k))</f>
        <v>52.988581539289164</v>
      </c>
      <c r="CI129" s="125">
        <f>CI18/293.07*(1/(VLOOKUP($BM129,'Fuel economy adjusted factor'!$A$2:$L$52,5,FALSE)*m2k))</f>
        <v>52.988581539289164</v>
      </c>
      <c r="CJ129" s="125">
        <f>CJ18/293.07*(1/(VLOOKUP($BM129,'Fuel economy adjusted factor'!$A$2:$L$52,5,FALSE)*m2k))</f>
        <v>53.291875946624508</v>
      </c>
      <c r="CK129" s="125">
        <f>CK18/293.07*(1/(VLOOKUP($BM129,'Fuel economy adjusted factor'!$A$2:$L$52,5,FALSE)*m2k))</f>
        <v>53.291875946624508</v>
      </c>
      <c r="CL129" s="125">
        <f>CL18/293.07*(1/(VLOOKUP($BM129,'Fuel economy adjusted factor'!$A$2:$L$52,5,FALSE)*m2k))</f>
        <v>53.291875946624508</v>
      </c>
      <c r="CM129" s="125">
        <f>CM18/293.07*(1/(VLOOKUP($BM129,'Fuel economy adjusted factor'!$A$2:$L$52,5,FALSE)*m2k))</f>
        <v>53.291875946624508</v>
      </c>
      <c r="CN129" s="125">
        <f>CN18/293.07*(1/(VLOOKUP($BM129,'Fuel economy adjusted factor'!$A$2:$L$52,5,FALSE)*m2k))</f>
        <v>53.291875946624508</v>
      </c>
      <c r="CO129" s="125">
        <f>CO18/293.07*(1/(VLOOKUP($BM129,'Fuel economy adjusted factor'!$A$2:$L$52,5,FALSE)*m2k))</f>
        <v>53.65418769353154</v>
      </c>
      <c r="CP129" s="98" cm="1">
        <f t="array" ref="CP129">SUMPRODUCT(INDEX(BN129:CO129,,'TCO Inputs'!$AZ$12-2023+_xlfn.SEQUENCE('TCO Inputs'!$AZ$13))*INDEX('VKT US'!C75:AA75,,_xlfn.SEQUENCE('TCO Inputs'!$AZ$13)))*m2k*CONVERT(0.9072,"g","ton")</f>
        <v>12.875800017562298</v>
      </c>
      <c r="CQ129" s="194"/>
      <c r="CR129" s="123" t="s">
        <v>197</v>
      </c>
      <c r="CS129" s="125">
        <f>CS18/293.07*(1/(VLOOKUP($BM129,'Fuel economy adjusted factor'!$A$2:$L$52,5,FALSE)*m2k))/'TCO Inputs'!$AZ$84</f>
        <v>72.239798603434721</v>
      </c>
      <c r="CT129" s="125">
        <f>CT18/293.07*(1/(VLOOKUP($BM129,'Fuel economy adjusted factor'!$A$2:$L$52,5,FALSE)*m2k))/'TCO Inputs'!$AZ$84</f>
        <v>72.239798603434735</v>
      </c>
      <c r="CU129" s="125">
        <f>CU18/293.07*(1/(VLOOKUP($BM129,'Fuel economy adjusted factor'!$A$2:$L$52,5,FALSE)*m2k))/'TCO Inputs'!$AZ$84</f>
        <v>72.239798603434735</v>
      </c>
      <c r="CV129" s="125">
        <f>CV18/293.07*(1/(VLOOKUP($BM129,'Fuel economy adjusted factor'!$A$2:$L$52,5,FALSE)*m2k))/'TCO Inputs'!$AZ$84</f>
        <v>72.239798603434735</v>
      </c>
      <c r="CW129" s="125">
        <f>CW18/293.07*(1/(VLOOKUP($BM129,'Fuel economy adjusted factor'!$A$2:$L$52,5,FALSE)*m2k))/'TCO Inputs'!$AZ$84</f>
        <v>72.239798603434735</v>
      </c>
      <c r="CX129" s="125">
        <f>CX18/293.07*(1/(VLOOKUP($BM129,'Fuel economy adjusted factor'!$A$2:$L$52,5,FALSE)*m2k))/'TCO Inputs'!$AZ$84</f>
        <v>72.239798603434735</v>
      </c>
      <c r="CY129" s="125">
        <f>CY18/293.07*(1/(VLOOKUP($BM129,'Fuel economy adjusted factor'!$A$2:$L$52,5,FALSE)*m2k))/'TCO Inputs'!$AZ$84</f>
        <v>72.239798603434735</v>
      </c>
      <c r="CZ129" s="125">
        <f>CZ18/293.07*(1/(VLOOKUP($BM129,'Fuel economy adjusted factor'!$A$2:$L$52,5,FALSE)*m2k))/'TCO Inputs'!$AZ$84</f>
        <v>72.255892151428583</v>
      </c>
      <c r="DA129" s="125">
        <f>DA18/293.07*(1/(VLOOKUP($BM129,'Fuel economy adjusted factor'!$A$2:$L$52,5,FALSE)*m2k))/'TCO Inputs'!$AZ$84</f>
        <v>72.255892151428583</v>
      </c>
      <c r="DB129" s="125">
        <f>DB18/293.07*(1/(VLOOKUP($BM129,'Fuel economy adjusted factor'!$A$2:$L$52,5,FALSE)*m2k))/'TCO Inputs'!$AZ$84</f>
        <v>72.255892151428583</v>
      </c>
      <c r="DC129" s="125">
        <f>DC18/293.07*(1/(VLOOKUP($BM129,'Fuel economy adjusted factor'!$A$2:$L$52,5,FALSE)*m2k))/'TCO Inputs'!$AZ$84</f>
        <v>72.255892151428583</v>
      </c>
      <c r="DD129" s="125">
        <f>DD18/293.07*(1/(VLOOKUP($BM129,'Fuel economy adjusted factor'!$A$2:$L$52,5,FALSE)*m2k))/'TCO Inputs'!$AZ$84</f>
        <v>72.255892151428583</v>
      </c>
      <c r="DE129" s="125">
        <f>DE18/293.07*(1/(VLOOKUP($BM129,'Fuel economy adjusted factor'!$A$2:$L$52,5,FALSE)*m2k))/'TCO Inputs'!$AZ$84</f>
        <v>72.246695838289241</v>
      </c>
      <c r="DF129" s="125">
        <f>DF18/293.07*(1/(VLOOKUP($BM129,'Fuel economy adjusted factor'!$A$2:$L$52,5,FALSE)*m2k))/'TCO Inputs'!$AZ$84</f>
        <v>72.246695838289241</v>
      </c>
      <c r="DG129" s="125">
        <f>DG18/293.07*(1/(VLOOKUP($BM129,'Fuel economy adjusted factor'!$A$2:$L$52,5,FALSE)*m2k))/'TCO Inputs'!$AZ$84</f>
        <v>72.246695838289241</v>
      </c>
      <c r="DH129" s="125">
        <f>DH18/293.07*(1/(VLOOKUP($BM129,'Fuel economy adjusted factor'!$A$2:$L$52,5,FALSE)*m2k))/'TCO Inputs'!$AZ$84</f>
        <v>72.246695838289241</v>
      </c>
      <c r="DI129" s="125">
        <f>DI18/293.07*(1/(VLOOKUP($BM129,'Fuel economy adjusted factor'!$A$2:$L$52,5,FALSE)*m2k))/'TCO Inputs'!$AZ$84</f>
        <v>72.246695838289241</v>
      </c>
      <c r="DJ129" s="125">
        <f>DJ18/293.07*(1/(VLOOKUP($BM129,'Fuel economy adjusted factor'!$A$2:$L$52,5,FALSE)*m2k))/'TCO Inputs'!$AZ$84</f>
        <v>72.244396760004406</v>
      </c>
      <c r="DK129" s="125">
        <f>DK18/293.07*(1/(VLOOKUP($BM129,'Fuel economy adjusted factor'!$A$2:$L$52,5,FALSE)*m2k))/'TCO Inputs'!$AZ$84</f>
        <v>72.244396760004406</v>
      </c>
      <c r="DL129" s="125">
        <f>DL18/293.07*(1/(VLOOKUP($BM129,'Fuel economy adjusted factor'!$A$2:$L$52,5,FALSE)*m2k))/'TCO Inputs'!$AZ$84</f>
        <v>72.244396760004406</v>
      </c>
      <c r="DM129" s="125">
        <f>DM18/293.07*(1/(VLOOKUP($BM129,'Fuel economy adjusted factor'!$A$2:$L$52,5,FALSE)*m2k))/'TCO Inputs'!$AZ$84</f>
        <v>72.244396760004406</v>
      </c>
      <c r="DN129" s="125">
        <f>DN18/293.07*(1/(VLOOKUP($BM129,'Fuel economy adjusted factor'!$A$2:$L$52,5,FALSE)*m2k))/'TCO Inputs'!$AZ$84</f>
        <v>72.244396760004406</v>
      </c>
      <c r="DO129" s="125">
        <f>DO18/293.07*(1/(VLOOKUP($BM129,'Fuel economy adjusted factor'!$A$2:$L$52,5,FALSE)*m2k))/'TCO Inputs'!$AZ$84</f>
        <v>72.199794641278615</v>
      </c>
      <c r="DP129" s="125">
        <f>DP18/293.07*(1/(VLOOKUP($BM129,'Fuel economy adjusted factor'!$A$2:$L$52,5,FALSE)*m2k))/'TCO Inputs'!$AZ$84</f>
        <v>72.199794641278615</v>
      </c>
      <c r="DQ129" s="125">
        <f>DQ18/293.07*(1/(VLOOKUP($BM129,'Fuel economy adjusted factor'!$A$2:$L$52,5,FALSE)*m2k))/'TCO Inputs'!$AZ$84</f>
        <v>72.199794641278615</v>
      </c>
      <c r="DR129" s="125">
        <f>DR18/293.07*(1/(VLOOKUP($BM129,'Fuel economy adjusted factor'!$A$2:$L$52,5,FALSE)*m2k))/'TCO Inputs'!$AZ$84</f>
        <v>72.199794641278615</v>
      </c>
      <c r="DS129" s="125">
        <f>DS18/293.07*(1/(VLOOKUP($BM129,'Fuel economy adjusted factor'!$A$2:$L$52,5,FALSE)*m2k))/'TCO Inputs'!$AZ$84</f>
        <v>72.199794641278615</v>
      </c>
      <c r="DT129" s="125">
        <f>DT18/293.07*(1/(VLOOKUP($BM129,'Fuel economy adjusted factor'!$A$2:$L$52,5,FALSE)*m2k))/'TCO Inputs'!$AZ$84</f>
        <v>72.237039709492919</v>
      </c>
      <c r="DU129" s="98" cm="1">
        <f t="array" ref="DU129">SUMPRODUCT(INDEX(CS129:DT129,,'TCO Inputs'!$AZ$12-2023+_xlfn.SEQUENCE('TCO Inputs'!$AZ$13))*INDEX('VKT US'!C75:AA75,,_xlfn.SEQUENCE('TCO Inputs'!$AZ$13)))*m2k*CONVERT(0.9072,"g","ton")</f>
        <v>19.214853179727641</v>
      </c>
      <c r="DW129" s="123" t="s">
        <v>197</v>
      </c>
      <c r="DX129" s="125">
        <f>DX18/293.07*(1/(VLOOKUP($BM129,'Fuel economy adjusted factor'!$A$2:$L$52,5,FALSE)*m2k))/'TCO Inputs'!$AZ$84</f>
        <v>75.621280995811972</v>
      </c>
      <c r="DY129" s="125">
        <f>DY18/293.07*(1/(VLOOKUP($BM129,'Fuel economy adjusted factor'!$A$2:$L$52,5,FALSE)*m2k))/'TCO Inputs'!$AZ$84</f>
        <v>75.621280995811972</v>
      </c>
      <c r="DZ129" s="125">
        <f>DZ18/293.07*(1/(VLOOKUP($BM129,'Fuel economy adjusted factor'!$A$2:$L$52,5,FALSE)*m2k))/'TCO Inputs'!$AZ$84</f>
        <v>66.289636632784763</v>
      </c>
      <c r="EA129" s="125">
        <f>EA18/293.07*(1/(VLOOKUP($BM129,'Fuel economy adjusted factor'!$A$2:$L$52,5,FALSE)*m2k))/'TCO Inputs'!$AZ$84</f>
        <v>66.289636632784763</v>
      </c>
      <c r="EB129" s="125">
        <f>EB18/293.07*(1/(VLOOKUP($BM129,'Fuel economy adjusted factor'!$A$2:$L$52,5,FALSE)*m2k))/'TCO Inputs'!$AZ$84</f>
        <v>66.289636632784763</v>
      </c>
      <c r="EC129" s="125">
        <f>EC18/293.07*(1/(VLOOKUP($BM129,'Fuel economy adjusted factor'!$A$2:$L$52,5,FALSE)*m2k))/'TCO Inputs'!$AZ$84</f>
        <v>66.289636632784763</v>
      </c>
      <c r="ED129" s="125">
        <f>ED18/293.07*(1/(VLOOKUP($BM129,'Fuel economy adjusted factor'!$A$2:$L$52,5,FALSE)*m2k))/'TCO Inputs'!$AZ$84</f>
        <v>66.289636632784763</v>
      </c>
      <c r="EE129" s="125">
        <f>EE18/293.07*(1/(VLOOKUP($BM129,'Fuel economy adjusted factor'!$A$2:$L$52,5,FALSE)*m2k))/'TCO Inputs'!$AZ$84</f>
        <v>40.856702550901055</v>
      </c>
      <c r="EF129" s="125">
        <f>EF18/293.07*(1/(VLOOKUP($BM129,'Fuel economy adjusted factor'!$A$2:$L$52,5,FALSE)*m2k))/'TCO Inputs'!$AZ$84</f>
        <v>40.856702550901055</v>
      </c>
      <c r="EG129" s="125">
        <f>EG18/293.07*(1/(VLOOKUP($BM129,'Fuel economy adjusted factor'!$A$2:$L$52,5,FALSE)*m2k))/'TCO Inputs'!$AZ$84</f>
        <v>40.856702550901055</v>
      </c>
      <c r="EH129" s="125">
        <f>EH18/293.07*(1/(VLOOKUP($BM129,'Fuel economy adjusted factor'!$A$2:$L$52,5,FALSE)*m2k))/'TCO Inputs'!$AZ$84</f>
        <v>40.856702550901055</v>
      </c>
      <c r="EI129" s="125">
        <f>EI18/293.07*(1/(VLOOKUP($BM129,'Fuel economy adjusted factor'!$A$2:$L$52,5,FALSE)*m2k))/'TCO Inputs'!$AZ$84</f>
        <v>40.856702550901055</v>
      </c>
      <c r="EJ129" s="125">
        <f>EJ18/293.07*(1/(VLOOKUP($BM129,'Fuel economy adjusted factor'!$A$2:$L$52,5,FALSE)*m2k))/'TCO Inputs'!$AZ$84</f>
        <v>36.48983592498616</v>
      </c>
      <c r="EK129" s="125">
        <f>EK18/293.07*(1/(VLOOKUP($BM129,'Fuel economy adjusted factor'!$A$2:$L$52,5,FALSE)*m2k))/'TCO Inputs'!$AZ$84</f>
        <v>36.48983592498616</v>
      </c>
      <c r="EL129" s="125">
        <f>EL18/293.07*(1/(VLOOKUP($BM129,'Fuel economy adjusted factor'!$A$2:$L$52,5,FALSE)*m2k))/'TCO Inputs'!$AZ$84</f>
        <v>36.48983592498616</v>
      </c>
      <c r="EM129" s="125">
        <f>EM18/293.07*(1/(VLOOKUP($BM129,'Fuel economy adjusted factor'!$A$2:$L$52,5,FALSE)*m2k))/'TCO Inputs'!$AZ$84</f>
        <v>36.48983592498616</v>
      </c>
      <c r="EN129" s="125">
        <f>EN18/293.07*(1/(VLOOKUP($BM129,'Fuel economy adjusted factor'!$A$2:$L$52,5,FALSE)*m2k))/'TCO Inputs'!$AZ$84</f>
        <v>36.48983592498616</v>
      </c>
      <c r="EO129" s="125">
        <f>EO18/293.07*(1/(VLOOKUP($BM129,'Fuel economy adjusted factor'!$A$2:$L$52,5,FALSE)*m2k))/'TCO Inputs'!$AZ$84</f>
        <v>35.341334414371374</v>
      </c>
      <c r="EP129" s="125">
        <f>EP18/293.07*(1/(VLOOKUP($BM129,'Fuel economy adjusted factor'!$A$2:$L$52,5,FALSE)*m2k))/'TCO Inputs'!$AZ$84</f>
        <v>35.341334414371374</v>
      </c>
      <c r="EQ129" s="125">
        <f>EQ18/293.07*(1/(VLOOKUP($BM129,'Fuel economy adjusted factor'!$A$2:$L$52,5,FALSE)*m2k))/'TCO Inputs'!$AZ$84</f>
        <v>35.341334414371374</v>
      </c>
      <c r="ER129" s="125">
        <f>ER18/293.07*(1/(VLOOKUP($BM129,'Fuel economy adjusted factor'!$A$2:$L$52,5,FALSE)*m2k))/'TCO Inputs'!$AZ$84</f>
        <v>35.341334414371374</v>
      </c>
      <c r="ES129" s="125">
        <f>ES18/293.07*(1/(VLOOKUP($BM129,'Fuel economy adjusted factor'!$A$2:$L$52,5,FALSE)*m2k))/'TCO Inputs'!$AZ$84</f>
        <v>35.341334414371374</v>
      </c>
      <c r="ET129" s="125">
        <f>ET18/293.07*(1/(VLOOKUP($BM129,'Fuel economy adjusted factor'!$A$2:$L$52,5,FALSE)*m2k))/'TCO Inputs'!$AZ$84</f>
        <v>34.029158912423206</v>
      </c>
      <c r="EU129" s="125">
        <f>EU18/293.07*(1/(VLOOKUP($BM129,'Fuel economy adjusted factor'!$A$2:$L$52,5,FALSE)*m2k))/'TCO Inputs'!$AZ$84</f>
        <v>34.029158912423206</v>
      </c>
      <c r="EV129" s="125">
        <f>EV18/293.07*(1/(VLOOKUP($BM129,'Fuel economy adjusted factor'!$A$2:$L$52,5,FALSE)*m2k))/'TCO Inputs'!$AZ$84</f>
        <v>34.029158912423206</v>
      </c>
      <c r="EW129" s="125">
        <f>EW18/293.07*(1/(VLOOKUP($BM129,'Fuel economy adjusted factor'!$A$2:$L$52,5,FALSE)*m2k))/'TCO Inputs'!$AZ$84</f>
        <v>34.029158912423206</v>
      </c>
      <c r="EX129" s="125">
        <f>EX18/293.07*(1/(VLOOKUP($BM129,'Fuel economy adjusted factor'!$A$2:$L$52,5,FALSE)*m2k))/'TCO Inputs'!$AZ$84</f>
        <v>34.029158912423206</v>
      </c>
      <c r="EY129" s="125">
        <f>EY18/293.07*(1/(VLOOKUP($BM129,'Fuel economy adjusted factor'!$A$2:$L$52,5,FALSE)*m2k))/'TCO Inputs'!$AZ$84</f>
        <v>31.971543021375094</v>
      </c>
      <c r="EZ129" s="98" cm="1">
        <f t="array" ref="EZ129">SUMPRODUCT(INDEX(DX129:EY129,,'TCO Inputs'!$AZ$12-2023+_xlfn.SEQUENCE('TCO Inputs'!$AZ$13))*INDEX('VKT US'!C75:AA75,,_xlfn.SEQUENCE('TCO Inputs'!$AZ$13)))*m2k*CONVERT(0.9072,"g","ton")</f>
        <v>14.86869063295215</v>
      </c>
      <c r="FB129" s="123" t="s">
        <v>197</v>
      </c>
      <c r="FC129" s="125">
        <f>FC18/293.07*(1/(VLOOKUP($BM129,'Fuel economy adjusted factor'!$A$2:$L$52,5,FALSE)*m2k))/'TCO Inputs'!$AZ$84</f>
        <v>82.022381514013048</v>
      </c>
      <c r="FD129" s="125">
        <f>FD18/293.07*(1/(VLOOKUP($BM129,'Fuel economy adjusted factor'!$A$2:$L$52,5,FALSE)*m2k))/'TCO Inputs'!$AZ$84</f>
        <v>82.022381514013048</v>
      </c>
      <c r="FE129" s="125">
        <f>FE18/293.07*(1/(VLOOKUP($BM129,'Fuel economy adjusted factor'!$A$2:$L$52,5,FALSE)*m2k))/'TCO Inputs'!$AZ$84</f>
        <v>71.630196492856328</v>
      </c>
      <c r="FF129" s="125">
        <f>FF18/293.07*(1/(VLOOKUP($BM129,'Fuel economy adjusted factor'!$A$2:$L$52,5,FALSE)*m2k))/'TCO Inputs'!$AZ$84</f>
        <v>71.630196492856328</v>
      </c>
      <c r="FG129" s="125">
        <f>FG18/293.07*(1/(VLOOKUP($BM129,'Fuel economy adjusted factor'!$A$2:$L$52,5,FALSE)*m2k))/'TCO Inputs'!$AZ$84</f>
        <v>71.630196492856328</v>
      </c>
      <c r="FH129" s="125">
        <f>FH18/293.07*(1/(VLOOKUP($BM129,'Fuel economy adjusted factor'!$A$2:$L$52,5,FALSE)*m2k))/'TCO Inputs'!$AZ$84</f>
        <v>71.630196492856328</v>
      </c>
      <c r="FI129" s="125">
        <f>FI18/293.07*(1/(VLOOKUP($BM129,'Fuel economy adjusted factor'!$A$2:$L$52,5,FALSE)*m2k))/'TCO Inputs'!$AZ$84</f>
        <v>71.630196492856328</v>
      </c>
      <c r="FJ129" s="125">
        <f>FJ18/293.07*(1/(VLOOKUP($BM129,'Fuel economy adjusted factor'!$A$2:$L$52,5,FALSE)*m2k))/'TCO Inputs'!$AZ$84</f>
        <v>44.949665762747848</v>
      </c>
      <c r="FK129" s="125">
        <f>FK18/293.07*(1/(VLOOKUP($BM129,'Fuel economy adjusted factor'!$A$2:$L$52,5,FALSE)*m2k))/'TCO Inputs'!$AZ$84</f>
        <v>44.949665762747848</v>
      </c>
      <c r="FL129" s="125">
        <f>FL18/293.07*(1/(VLOOKUP($BM129,'Fuel economy adjusted factor'!$A$2:$L$52,5,FALSE)*m2k))/'TCO Inputs'!$AZ$84</f>
        <v>44.949665762747848</v>
      </c>
      <c r="FM129" s="125">
        <f>FM18/293.07*(1/(VLOOKUP($BM129,'Fuel economy adjusted factor'!$A$2:$L$52,5,FALSE)*m2k))/'TCO Inputs'!$AZ$84</f>
        <v>44.949665762747848</v>
      </c>
      <c r="FN129" s="125">
        <f>FN18/293.07*(1/(VLOOKUP($BM129,'Fuel economy adjusted factor'!$A$2:$L$52,5,FALSE)*m2k))/'TCO Inputs'!$AZ$84</f>
        <v>44.949665762747848</v>
      </c>
      <c r="FO129" s="125">
        <f>FO18/293.07*(1/(VLOOKUP($BM129,'Fuel economy adjusted factor'!$A$2:$L$52,5,FALSE)*m2k))/'TCO Inputs'!$AZ$84</f>
        <v>39.913071886581086</v>
      </c>
      <c r="FP129" s="125">
        <f>FP18/293.07*(1/(VLOOKUP($BM129,'Fuel economy adjusted factor'!$A$2:$L$52,5,FALSE)*m2k))/'TCO Inputs'!$AZ$84</f>
        <v>39.913071886581086</v>
      </c>
      <c r="FQ129" s="125">
        <f>FQ18/293.07*(1/(VLOOKUP($BM129,'Fuel economy adjusted factor'!$A$2:$L$52,5,FALSE)*m2k))/'TCO Inputs'!$AZ$84</f>
        <v>39.913071886581086</v>
      </c>
      <c r="FR129" s="125">
        <f>FR18/293.07*(1/(VLOOKUP($BM129,'Fuel economy adjusted factor'!$A$2:$L$52,5,FALSE)*m2k))/'TCO Inputs'!$AZ$84</f>
        <v>39.913071886581086</v>
      </c>
      <c r="FS129" s="125">
        <f>FS18/293.07*(1/(VLOOKUP($BM129,'Fuel economy adjusted factor'!$A$2:$L$52,5,FALSE)*m2k))/'TCO Inputs'!$AZ$84</f>
        <v>39.913071886581086</v>
      </c>
      <c r="FT129" s="125">
        <f>FT18/293.07*(1/(VLOOKUP($BM129,'Fuel economy adjusted factor'!$A$2:$L$52,5,FALSE)*m2k))/'TCO Inputs'!$AZ$84</f>
        <v>38.897068368950457</v>
      </c>
      <c r="FU129" s="125">
        <f>FU18/293.07*(1/(VLOOKUP($BM129,'Fuel economy adjusted factor'!$A$2:$L$52,5,FALSE)*m2k))/'TCO Inputs'!$AZ$84</f>
        <v>38.897068368950457</v>
      </c>
      <c r="FV129" s="125">
        <f>FV18/293.07*(1/(VLOOKUP($BM129,'Fuel economy adjusted factor'!$A$2:$L$52,5,FALSE)*m2k))/'TCO Inputs'!$AZ$84</f>
        <v>38.897068368950457</v>
      </c>
      <c r="FW129" s="125">
        <f>FW18/293.07*(1/(VLOOKUP($BM129,'Fuel economy adjusted factor'!$A$2:$L$52,5,FALSE)*m2k))/'TCO Inputs'!$AZ$84</f>
        <v>38.897068368950457</v>
      </c>
      <c r="FX129" s="125">
        <f>FX18/293.07*(1/(VLOOKUP($BM129,'Fuel economy adjusted factor'!$A$2:$L$52,5,FALSE)*m2k))/'TCO Inputs'!$AZ$84</f>
        <v>38.897068368950457</v>
      </c>
      <c r="FY129" s="125">
        <f>FY18/293.07*(1/(VLOOKUP($BM129,'Fuel economy adjusted factor'!$A$2:$L$52,5,FALSE)*m2k))/'TCO Inputs'!$AZ$84</f>
        <v>37.582109295721118</v>
      </c>
      <c r="FZ129" s="125">
        <f>FZ18/293.07*(1/(VLOOKUP($BM129,'Fuel economy adjusted factor'!$A$2:$L$52,5,FALSE)*m2k))/'TCO Inputs'!$AZ$84</f>
        <v>37.582109295721118</v>
      </c>
      <c r="GA129" s="125">
        <f>GA18/293.07*(1/(VLOOKUP($BM129,'Fuel economy adjusted factor'!$A$2:$L$52,5,FALSE)*m2k))/'TCO Inputs'!$AZ$84</f>
        <v>37.582109295721118</v>
      </c>
      <c r="GB129" s="125">
        <f>GB18/293.07*(1/(VLOOKUP($BM129,'Fuel economy adjusted factor'!$A$2:$L$52,5,FALSE)*m2k))/'TCO Inputs'!$AZ$84</f>
        <v>37.582109295721118</v>
      </c>
      <c r="GC129" s="125">
        <f>GC18/293.07*(1/(VLOOKUP($BM129,'Fuel economy adjusted factor'!$A$2:$L$52,5,FALSE)*m2k))/'TCO Inputs'!$AZ$84</f>
        <v>37.582109295721118</v>
      </c>
      <c r="GD129" s="125">
        <f>GD18/293.07*(1/(VLOOKUP($BM129,'Fuel economy adjusted factor'!$A$2:$L$52,5,FALSE)*m2k))/'TCO Inputs'!$AZ$84</f>
        <v>35.453233979874796</v>
      </c>
      <c r="GE129" s="98" cm="1">
        <f t="array" ref="GE129">SUMPRODUCT(INDEX(FC129:GD129,,'TCO Inputs'!$AZ$12-2023+_xlfn.SEQUENCE('TCO Inputs'!$AZ$13))*INDEX('VKT US'!C75:AA75,,_xlfn.SEQUENCE('TCO Inputs'!$AZ$13)))*m2k*CONVERT(0.9072,"g","ton")</f>
        <v>16.166185880001112</v>
      </c>
      <c r="GH129" s="123" t="s">
        <v>197</v>
      </c>
      <c r="GI129" s="125">
        <f>GI18/293.07*(1/(VLOOKUP($BM129,'Fuel economy adjusted factor'!$A$2:$L$52,5,FALSE)*m2k))/'TCO Inputs'!$AZ$84</f>
        <v>71.264435226509335</v>
      </c>
      <c r="GJ129" s="125">
        <f>GJ18/293.07*(1/(VLOOKUP($BM129,'Fuel economy adjusted factor'!$A$2:$L$52,5,FALSE)*m2k))/'TCO Inputs'!$AZ$84</f>
        <v>71.264435226509335</v>
      </c>
      <c r="GK129" s="125">
        <f>GK18/293.07*(1/(VLOOKUP($BM129,'Fuel economy adjusted factor'!$A$2:$L$52,5,FALSE)*m2k))/'TCO Inputs'!$AZ$84</f>
        <v>62.654849253820153</v>
      </c>
      <c r="GL129" s="125">
        <f>GL18/293.07*(1/(VLOOKUP($BM129,'Fuel economy adjusted factor'!$A$2:$L$52,5,FALSE)*m2k))/'TCO Inputs'!$AZ$84</f>
        <v>62.654849253820153</v>
      </c>
      <c r="GM129" s="125">
        <f>GM18/293.07*(1/(VLOOKUP($BM129,'Fuel economy adjusted factor'!$A$2:$L$52,5,FALSE)*m2k))/'TCO Inputs'!$AZ$84</f>
        <v>62.654849253820153</v>
      </c>
      <c r="GN129" s="125">
        <f>GN18/293.07*(1/(VLOOKUP($BM129,'Fuel economy adjusted factor'!$A$2:$L$52,5,FALSE)*m2k))/'TCO Inputs'!$AZ$84</f>
        <v>62.654849253820153</v>
      </c>
      <c r="GO129" s="125">
        <f>GO18/293.07*(1/(VLOOKUP($BM129,'Fuel economy adjusted factor'!$A$2:$L$52,5,FALSE)*m2k))/'TCO Inputs'!$AZ$84</f>
        <v>62.654849253820153</v>
      </c>
      <c r="GP129" s="125">
        <f>GP18/293.07*(1/(VLOOKUP($BM129,'Fuel economy adjusted factor'!$A$2:$L$52,5,FALSE)*m2k))/'TCO Inputs'!$AZ$84</f>
        <v>38.070904412696294</v>
      </c>
      <c r="GQ129" s="125">
        <f>GQ18/293.07*(1/(VLOOKUP($BM129,'Fuel economy adjusted factor'!$A$2:$L$52,5,FALSE)*m2k))/'TCO Inputs'!$AZ$84</f>
        <v>38.070904412696294</v>
      </c>
      <c r="GR129" s="125">
        <f>GR18/293.07*(1/(VLOOKUP($BM129,'Fuel economy adjusted factor'!$A$2:$L$52,5,FALSE)*m2k))/'TCO Inputs'!$AZ$84</f>
        <v>38.070904412696294</v>
      </c>
      <c r="GS129" s="125">
        <f>GS18/293.07*(1/(VLOOKUP($BM129,'Fuel economy adjusted factor'!$A$2:$L$52,5,FALSE)*m2k))/'TCO Inputs'!$AZ$84</f>
        <v>38.070904412696294</v>
      </c>
      <c r="GT129" s="125">
        <f>GT18/293.07*(1/(VLOOKUP($BM129,'Fuel economy adjusted factor'!$A$2:$L$52,5,FALSE)*m2k))/'TCO Inputs'!$AZ$84</f>
        <v>38.070904412696294</v>
      </c>
      <c r="GU129" s="125">
        <f>GU18/293.07*(1/(VLOOKUP($BM129,'Fuel economy adjusted factor'!$A$2:$L$52,5,FALSE)*m2k))/'TCO Inputs'!$AZ$84</f>
        <v>34.159986762638667</v>
      </c>
      <c r="GV129" s="125">
        <f>GV18/293.07*(1/(VLOOKUP($BM129,'Fuel economy adjusted factor'!$A$2:$L$52,5,FALSE)*m2k))/'TCO Inputs'!$AZ$84</f>
        <v>34.159986762638667</v>
      </c>
      <c r="GW129" s="125">
        <f>GW18/293.07*(1/(VLOOKUP($BM129,'Fuel economy adjusted factor'!$A$2:$L$52,5,FALSE)*m2k))/'TCO Inputs'!$AZ$84</f>
        <v>34.159986762638667</v>
      </c>
      <c r="GX129" s="125">
        <f>GX18/293.07*(1/(VLOOKUP($BM129,'Fuel economy adjusted factor'!$A$2:$L$52,5,FALSE)*m2k))/'TCO Inputs'!$AZ$84</f>
        <v>34.159986762638667</v>
      </c>
      <c r="GY129" s="125">
        <f>GY18/293.07*(1/(VLOOKUP($BM129,'Fuel economy adjusted factor'!$A$2:$L$52,5,FALSE)*m2k))/'TCO Inputs'!$AZ$84</f>
        <v>34.159986762638667</v>
      </c>
      <c r="GZ129" s="125">
        <f>GZ18/293.07*(1/(VLOOKUP($BM129,'Fuel economy adjusted factor'!$A$2:$L$52,5,FALSE)*m2k))/'TCO Inputs'!$AZ$84</f>
        <v>32.921297542513642</v>
      </c>
      <c r="HA129" s="125">
        <f>HA18/293.07*(1/(VLOOKUP($BM129,'Fuel economy adjusted factor'!$A$2:$L$52,5,FALSE)*m2k))/'TCO Inputs'!$AZ$84</f>
        <v>32.921297542513642</v>
      </c>
      <c r="HB129" s="125">
        <f>HB18/293.07*(1/(VLOOKUP($BM129,'Fuel economy adjusted factor'!$A$2:$L$52,5,FALSE)*m2k))/'TCO Inputs'!$AZ$84</f>
        <v>32.921297542513642</v>
      </c>
      <c r="HC129" s="125">
        <f>HC18/293.07*(1/(VLOOKUP($BM129,'Fuel economy adjusted factor'!$A$2:$L$52,5,FALSE)*m2k))/'TCO Inputs'!$AZ$84</f>
        <v>32.921297542513642</v>
      </c>
      <c r="HD129" s="125">
        <f>HD18/293.07*(1/(VLOOKUP($BM129,'Fuel economy adjusted factor'!$A$2:$L$52,5,FALSE)*m2k))/'TCO Inputs'!$AZ$84</f>
        <v>32.921297542513642</v>
      </c>
      <c r="HE129" s="125">
        <f>HE18/293.07*(1/(VLOOKUP($BM129,'Fuel economy adjusted factor'!$A$2:$L$52,5,FALSE)*m2k))/'TCO Inputs'!$AZ$84</f>
        <v>31.61079218333419</v>
      </c>
      <c r="HF129" s="125">
        <f>HF18/293.07*(1/(VLOOKUP($BM129,'Fuel economy adjusted factor'!$A$2:$L$52,5,FALSE)*m2k))/'TCO Inputs'!$AZ$84</f>
        <v>31.61079218333419</v>
      </c>
      <c r="HG129" s="125">
        <f>HG18/293.07*(1/(VLOOKUP($BM129,'Fuel economy adjusted factor'!$A$2:$L$52,5,FALSE)*m2k))/'TCO Inputs'!$AZ$84</f>
        <v>31.61079218333419</v>
      </c>
      <c r="HH129" s="125">
        <f>HH18/293.07*(1/(VLOOKUP($BM129,'Fuel economy adjusted factor'!$A$2:$L$52,5,FALSE)*m2k))/'TCO Inputs'!$AZ$84</f>
        <v>31.61079218333419</v>
      </c>
      <c r="HI129" s="125">
        <f>HI18/293.07*(1/(VLOOKUP($BM129,'Fuel economy adjusted factor'!$A$2:$L$52,5,FALSE)*m2k))/'TCO Inputs'!$AZ$84</f>
        <v>31.61079218333419</v>
      </c>
      <c r="HJ129" s="125">
        <f>HJ18/293.07*(1/(VLOOKUP($BM129,'Fuel economy adjusted factor'!$A$2:$L$52,5,FALSE)*m2k))/'TCO Inputs'!$AZ$84</f>
        <v>29.602167146834834</v>
      </c>
      <c r="HK129" s="98" cm="1">
        <f t="array" ref="HK129">SUMPRODUCT(INDEX(GI129:HJ129,,'TCO Inputs'!$AZ$12-2023+_xlfn.SEQUENCE('TCO Inputs'!$AZ$13))*INDEX('VKT US'!C75:AA75,,_xlfn.SEQUENCE('TCO Inputs'!$AZ$13)))*m2k*CONVERT(0.9072,"g","ton")</f>
        <v>13.985592573596282</v>
      </c>
    </row>
    <row r="130" spans="17:219" x14ac:dyDescent="0.25">
      <c r="Q130" s="198" t="s">
        <v>546</v>
      </c>
      <c r="R130" s="197">
        <f>'Scenario analysis'!$DU$167/'Scenario analysis'!$DU$167</f>
        <v>1</v>
      </c>
      <c r="Z130" s="123" t="s">
        <v>198</v>
      </c>
      <c r="AA130" s="125">
        <f>AA19/293.07*(1/(VLOOKUP($Z130,'Fuel economy adjusted factor'!$A$2:$L$52,5,FALSE)*m2k))/'TCO Inputs'!$AZ$84</f>
        <v>175.04457916662338</v>
      </c>
      <c r="AB130" s="125">
        <f>AB19/293.07*(1/(VLOOKUP($Z130,'Fuel economy adjusted factor'!$A$2:$L$52,5,FALSE)*m2k))/'TCO Inputs'!$AZ$84</f>
        <v>175.04457916662338</v>
      </c>
      <c r="AC130" s="125">
        <f>AC19/293.07*(1/(VLOOKUP($Z130,'Fuel economy adjusted factor'!$A$2:$L$52,5,FALSE)*m2k))/'TCO Inputs'!$AZ$84</f>
        <v>153.95062887008987</v>
      </c>
      <c r="AD130" s="125">
        <f>AD19/293.07*(1/(VLOOKUP($Z130,'Fuel economy adjusted factor'!$A$2:$L$52,5,FALSE)*m2k))/'TCO Inputs'!$AZ$84</f>
        <v>153.95062887008987</v>
      </c>
      <c r="AE130" s="125">
        <f>AE19/293.07*(1/(VLOOKUP($Z130,'Fuel economy adjusted factor'!$A$2:$L$52,5,FALSE)*m2k))/'TCO Inputs'!$AZ$84</f>
        <v>153.95062887008987</v>
      </c>
      <c r="AF130" s="125">
        <f>AF19/293.07*(1/(VLOOKUP($Z130,'Fuel economy adjusted factor'!$A$2:$L$52,5,FALSE)*m2k))/'TCO Inputs'!$AZ$84</f>
        <v>153.95062887008987</v>
      </c>
      <c r="AG130" s="125">
        <f>AG19/293.07*(1/(VLOOKUP($Z130,'Fuel economy adjusted factor'!$A$2:$L$52,5,FALSE)*m2k))/'TCO Inputs'!$AZ$84</f>
        <v>153.95062887008987</v>
      </c>
      <c r="AH130" s="125">
        <f>AH19/293.07*(1/(VLOOKUP($Z130,'Fuel economy adjusted factor'!$A$2:$L$52,5,FALSE)*m2k))/'TCO Inputs'!$AZ$84</f>
        <v>92.499339504592015</v>
      </c>
      <c r="AI130" s="125">
        <f>AI19/293.07*(1/(VLOOKUP($Z130,'Fuel economy adjusted factor'!$A$2:$L$52,5,FALSE)*m2k))/'TCO Inputs'!$AZ$84</f>
        <v>92.499339504592015</v>
      </c>
      <c r="AJ130" s="125">
        <f>AJ19/293.07*(1/(VLOOKUP($Z130,'Fuel economy adjusted factor'!$A$2:$L$52,5,FALSE)*m2k))/'TCO Inputs'!$AZ$84</f>
        <v>92.499339504592015</v>
      </c>
      <c r="AK130" s="125">
        <f>AK19/293.07*(1/(VLOOKUP($Z130,'Fuel economy adjusted factor'!$A$2:$L$52,5,FALSE)*m2k))/'TCO Inputs'!$AZ$84</f>
        <v>92.499339504592015</v>
      </c>
      <c r="AL130" s="125">
        <f>AL19/293.07*(1/(VLOOKUP($Z130,'Fuel economy adjusted factor'!$A$2:$L$52,5,FALSE)*m2k))/'TCO Inputs'!$AZ$84</f>
        <v>92.499339504592015</v>
      </c>
      <c r="AM130" s="125">
        <f>AM19/293.07*(1/(VLOOKUP($Z130,'Fuel economy adjusted factor'!$A$2:$L$52,5,FALSE)*m2k))/'TCO Inputs'!$AZ$84</f>
        <v>96.798528581464325</v>
      </c>
      <c r="AN130" s="125">
        <f>AN19/293.07*(1/(VLOOKUP($Z130,'Fuel economy adjusted factor'!$A$2:$L$52,5,FALSE)*m2k))/'TCO Inputs'!$AZ$84</f>
        <v>96.798528581464325</v>
      </c>
      <c r="AO130" s="125">
        <f>AO19/293.07*(1/(VLOOKUP($Z130,'Fuel economy adjusted factor'!$A$2:$L$52,5,FALSE)*m2k))/'TCO Inputs'!$AZ$84</f>
        <v>96.798528581464325</v>
      </c>
      <c r="AP130" s="125">
        <f>AP19/293.07*(1/(VLOOKUP($Z130,'Fuel economy adjusted factor'!$A$2:$L$52,5,FALSE)*m2k))/'TCO Inputs'!$AZ$84</f>
        <v>96.798528581464325</v>
      </c>
      <c r="AQ130" s="125">
        <f>AQ19/293.07*(1/(VLOOKUP($Z130,'Fuel economy adjusted factor'!$A$2:$L$52,5,FALSE)*m2k))/'TCO Inputs'!$AZ$84</f>
        <v>96.798528581464325</v>
      </c>
      <c r="AR130" s="125">
        <f>AR19/293.07*(1/(VLOOKUP($Z130,'Fuel economy adjusted factor'!$A$2:$L$52,5,FALSE)*m2k))/'TCO Inputs'!$AZ$84</f>
        <v>101.18809910425772</v>
      </c>
      <c r="AS130" s="125">
        <f>AS19/293.07*(1/(VLOOKUP($Z130,'Fuel economy adjusted factor'!$A$2:$L$52,5,FALSE)*m2k))/'TCO Inputs'!$AZ$84</f>
        <v>101.18809910425772</v>
      </c>
      <c r="AT130" s="125">
        <f>AT19/293.07*(1/(VLOOKUP($Z130,'Fuel economy adjusted factor'!$A$2:$L$52,5,FALSE)*m2k))/'TCO Inputs'!$AZ$84</f>
        <v>101.18809910425772</v>
      </c>
      <c r="AU130" s="125">
        <f>AU19/293.07*(1/(VLOOKUP($Z130,'Fuel economy adjusted factor'!$A$2:$L$52,5,FALSE)*m2k))/'TCO Inputs'!$AZ$84</f>
        <v>101.18809910425772</v>
      </c>
      <c r="AV130" s="125">
        <f>AV19/293.07*(1/(VLOOKUP($Z130,'Fuel economy adjusted factor'!$A$2:$L$52,5,FALSE)*m2k))/'TCO Inputs'!$AZ$84</f>
        <v>101.18809910425772</v>
      </c>
      <c r="AW130" s="125">
        <f>AW19/293.07*(1/(VLOOKUP($Z130,'Fuel economy adjusted factor'!$A$2:$L$52,5,FALSE)*m2k))/'TCO Inputs'!$AZ$84</f>
        <v>103.40851492494546</v>
      </c>
      <c r="AX130" s="125">
        <f>AX19/293.07*(1/(VLOOKUP($Z130,'Fuel economy adjusted factor'!$A$2:$L$52,5,FALSE)*m2k))/'TCO Inputs'!$AZ$84</f>
        <v>103.40851492494546</v>
      </c>
      <c r="AY130" s="125">
        <f>AY19/293.07*(1/(VLOOKUP($Z130,'Fuel economy adjusted factor'!$A$2:$L$52,5,FALSE)*m2k))/'TCO Inputs'!$AZ$84</f>
        <v>103.40851492494546</v>
      </c>
      <c r="AZ130" s="125">
        <f>AZ19/293.07*(1/(VLOOKUP($Z130,'Fuel economy adjusted factor'!$A$2:$L$52,5,FALSE)*m2k))/'TCO Inputs'!$AZ$84</f>
        <v>103.40851492494546</v>
      </c>
      <c r="BA130" s="125">
        <f>BA19/293.07*(1/(VLOOKUP($Z130,'Fuel economy adjusted factor'!$A$2:$L$52,5,FALSE)*m2k))/'TCO Inputs'!$AZ$84</f>
        <v>103.40851492494546</v>
      </c>
      <c r="BB130" s="125">
        <f>BB19/293.07*(1/(VLOOKUP($Z130,'Fuel economy adjusted factor'!$A$2:$L$52,5,FALSE)*m2k))/'TCO Inputs'!$AZ$84</f>
        <v>103.54880851264383</v>
      </c>
      <c r="BC130" s="98" cm="1">
        <f t="array" ref="BC130">SUMPRODUCT(INDEX(AA130:BB130,,'TCO Inputs'!$AZ$12-2023+_xlfn.SEQUENCE('TCO Inputs'!$AZ$13))*INDEX('VKT US'!C76:AA76,,_xlfn.SEQUENCE('TCO Inputs'!$AZ$13)))*m2k*CONVERT(0.9072,"g","ton")</f>
        <v>49.684156197892271</v>
      </c>
      <c r="BM130" s="123" t="s">
        <v>198</v>
      </c>
      <c r="BN130" s="125">
        <f>BN19/293.07*(1/(VLOOKUP($BM130,'Fuel economy adjusted factor'!$A$2:$L$52,5,FALSE)*m2k))</f>
        <v>148.78789229162987</v>
      </c>
      <c r="BO130" s="125">
        <f>BO19/293.07*(1/(VLOOKUP($BM130,'Fuel economy adjusted factor'!$A$2:$L$52,5,FALSE)*m2k))</f>
        <v>148.78789229162987</v>
      </c>
      <c r="BP130" s="125">
        <f>BP19/293.07*(1/(VLOOKUP($BM130,'Fuel economy adjusted factor'!$A$2:$L$52,5,FALSE)*m2k))</f>
        <v>130.68718662724942</v>
      </c>
      <c r="BQ130" s="125">
        <f>BQ19/293.07*(1/(VLOOKUP($BM130,'Fuel economy adjusted factor'!$A$2:$L$52,5,FALSE)*m2k))</f>
        <v>130.68718662724942</v>
      </c>
      <c r="BR130" s="125">
        <f>BR19/293.07*(1/(VLOOKUP($BM130,'Fuel economy adjusted factor'!$A$2:$L$52,5,FALSE)*m2k))</f>
        <v>130.68718662724942</v>
      </c>
      <c r="BS130" s="125">
        <f>BS19/293.07*(1/(VLOOKUP($BM130,'Fuel economy adjusted factor'!$A$2:$L$52,5,FALSE)*m2k))</f>
        <v>130.68718662724942</v>
      </c>
      <c r="BT130" s="125">
        <f>BT19/293.07*(1/(VLOOKUP($BM130,'Fuel economy adjusted factor'!$A$2:$L$52,5,FALSE)*m2k))</f>
        <v>130.68718662724942</v>
      </c>
      <c r="BU130" s="125">
        <f>BU19/293.07*(1/(VLOOKUP($BM130,'Fuel economy adjusted factor'!$A$2:$L$52,5,FALSE)*m2k))</f>
        <v>148.14233944169661</v>
      </c>
      <c r="BV130" s="125">
        <f>BV19/293.07*(1/(VLOOKUP($BM130,'Fuel economy adjusted factor'!$A$2:$L$52,5,FALSE)*m2k))</f>
        <v>148.14233944169661</v>
      </c>
      <c r="BW130" s="125">
        <f>BW19/293.07*(1/(VLOOKUP($BM130,'Fuel economy adjusted factor'!$A$2:$L$52,5,FALSE)*m2k))</f>
        <v>148.14233944169661</v>
      </c>
      <c r="BX130" s="125">
        <f>BX19/293.07*(1/(VLOOKUP($BM130,'Fuel economy adjusted factor'!$A$2:$L$52,5,FALSE)*m2k))</f>
        <v>148.14233944169661</v>
      </c>
      <c r="BY130" s="125">
        <f>BY19/293.07*(1/(VLOOKUP($BM130,'Fuel economy adjusted factor'!$A$2:$L$52,5,FALSE)*m2k))</f>
        <v>148.14233944169661</v>
      </c>
      <c r="BZ130" s="125">
        <f>BZ19/293.07*(1/(VLOOKUP($BM130,'Fuel economy adjusted factor'!$A$2:$L$52,5,FALSE)*m2k))</f>
        <v>151.70491973431223</v>
      </c>
      <c r="CA130" s="125">
        <f>CA19/293.07*(1/(VLOOKUP($BM130,'Fuel economy adjusted factor'!$A$2:$L$52,5,FALSE)*m2k))</f>
        <v>151.70491973431223</v>
      </c>
      <c r="CB130" s="125">
        <f>CB19/293.07*(1/(VLOOKUP($BM130,'Fuel economy adjusted factor'!$A$2:$L$52,5,FALSE)*m2k))</f>
        <v>151.70491973431223</v>
      </c>
      <c r="CC130" s="125">
        <f>CC19/293.07*(1/(VLOOKUP($BM130,'Fuel economy adjusted factor'!$A$2:$L$52,5,FALSE)*m2k))</f>
        <v>151.70491973431223</v>
      </c>
      <c r="CD130" s="125">
        <f>CD19/293.07*(1/(VLOOKUP($BM130,'Fuel economy adjusted factor'!$A$2:$L$52,5,FALSE)*m2k))</f>
        <v>151.70491973431223</v>
      </c>
      <c r="CE130" s="125">
        <f>CE19/293.07*(1/(VLOOKUP($BM130,'Fuel economy adjusted factor'!$A$2:$L$52,5,FALSE)*m2k))</f>
        <v>155.45440076323177</v>
      </c>
      <c r="CF130" s="125">
        <f>CF19/293.07*(1/(VLOOKUP($BM130,'Fuel economy adjusted factor'!$A$2:$L$52,5,FALSE)*m2k))</f>
        <v>155.45440076323177</v>
      </c>
      <c r="CG130" s="125">
        <f>CG19/293.07*(1/(VLOOKUP($BM130,'Fuel economy adjusted factor'!$A$2:$L$52,5,FALSE)*m2k))</f>
        <v>155.45440076323177</v>
      </c>
      <c r="CH130" s="125">
        <f>CH19/293.07*(1/(VLOOKUP($BM130,'Fuel economy adjusted factor'!$A$2:$L$52,5,FALSE)*m2k))</f>
        <v>155.45440076323177</v>
      </c>
      <c r="CI130" s="125">
        <f>CI19/293.07*(1/(VLOOKUP($BM130,'Fuel economy adjusted factor'!$A$2:$L$52,5,FALSE)*m2k))</f>
        <v>155.45440076323177</v>
      </c>
      <c r="CJ130" s="125">
        <f>CJ19/293.07*(1/(VLOOKUP($BM130,'Fuel economy adjusted factor'!$A$2:$L$52,5,FALSE)*m2k))</f>
        <v>156.34418586367264</v>
      </c>
      <c r="CK130" s="125">
        <f>CK19/293.07*(1/(VLOOKUP($BM130,'Fuel economy adjusted factor'!$A$2:$L$52,5,FALSE)*m2k))</f>
        <v>156.34418586367264</v>
      </c>
      <c r="CL130" s="125">
        <f>CL19/293.07*(1/(VLOOKUP($BM130,'Fuel economy adjusted factor'!$A$2:$L$52,5,FALSE)*m2k))</f>
        <v>156.34418586367264</v>
      </c>
      <c r="CM130" s="125">
        <f>CM19/293.07*(1/(VLOOKUP($BM130,'Fuel economy adjusted factor'!$A$2:$L$52,5,FALSE)*m2k))</f>
        <v>156.34418586367264</v>
      </c>
      <c r="CN130" s="125">
        <f>CN19/293.07*(1/(VLOOKUP($BM130,'Fuel economy adjusted factor'!$A$2:$L$52,5,FALSE)*m2k))</f>
        <v>156.34418586367264</v>
      </c>
      <c r="CO130" s="125">
        <f>CO19/293.07*(1/(VLOOKUP($BM130,'Fuel economy adjusted factor'!$A$2:$L$52,5,FALSE)*m2k))</f>
        <v>157.40711213700854</v>
      </c>
      <c r="CP130" s="98" cm="1">
        <f t="array" ref="CP130">SUMPRODUCT(INDEX(BN130:CO130,,'TCO Inputs'!$AZ$12-2023+_xlfn.SEQUENCE('TCO Inputs'!$AZ$13))*INDEX('VKT US'!C76:AA76,,_xlfn.SEQUENCE('TCO Inputs'!$AZ$13)))*m2k*CONVERT(0.9072,"g","ton")</f>
        <v>54.116657685190617</v>
      </c>
      <c r="CQ130" s="194"/>
      <c r="CR130" s="123" t="s">
        <v>198</v>
      </c>
      <c r="CS130" s="125">
        <f>CS19/293.07*(1/(VLOOKUP($BM130,'Fuel economy adjusted factor'!$A$2:$L$52,5,FALSE)*m2k))/'TCO Inputs'!$AZ$84</f>
        <v>211.93234989366243</v>
      </c>
      <c r="CT130" s="125">
        <f>CT19/293.07*(1/(VLOOKUP($BM130,'Fuel economy adjusted factor'!$A$2:$L$52,5,FALSE)*m2k))/'TCO Inputs'!$AZ$84</f>
        <v>211.93234989366243</v>
      </c>
      <c r="CU130" s="125">
        <f>CU19/293.07*(1/(VLOOKUP($BM130,'Fuel economy adjusted factor'!$A$2:$L$52,5,FALSE)*m2k))/'TCO Inputs'!$AZ$84</f>
        <v>211.93234989366243</v>
      </c>
      <c r="CV130" s="125">
        <f>CV19/293.07*(1/(VLOOKUP($BM130,'Fuel economy adjusted factor'!$A$2:$L$52,5,FALSE)*m2k))/'TCO Inputs'!$AZ$84</f>
        <v>211.93234989366243</v>
      </c>
      <c r="CW130" s="125">
        <f>CW19/293.07*(1/(VLOOKUP($BM130,'Fuel economy adjusted factor'!$A$2:$L$52,5,FALSE)*m2k))/'TCO Inputs'!$AZ$84</f>
        <v>211.93234989366243</v>
      </c>
      <c r="CX130" s="125">
        <f>CX19/293.07*(1/(VLOOKUP($BM130,'Fuel economy adjusted factor'!$A$2:$L$52,5,FALSE)*m2k))/'TCO Inputs'!$AZ$84</f>
        <v>211.93234989366243</v>
      </c>
      <c r="CY130" s="125">
        <f>CY19/293.07*(1/(VLOOKUP($BM130,'Fuel economy adjusted factor'!$A$2:$L$52,5,FALSE)*m2k))/'TCO Inputs'!$AZ$84</f>
        <v>211.93234989366243</v>
      </c>
      <c r="CZ130" s="125">
        <f>CZ19/293.07*(1/(VLOOKUP($BM130,'Fuel economy adjusted factor'!$A$2:$L$52,5,FALSE)*m2k))/'TCO Inputs'!$AZ$84</f>
        <v>211.97956408183018</v>
      </c>
      <c r="DA130" s="125">
        <f>DA19/293.07*(1/(VLOOKUP($BM130,'Fuel economy adjusted factor'!$A$2:$L$52,5,FALSE)*m2k))/'TCO Inputs'!$AZ$84</f>
        <v>211.97956408183018</v>
      </c>
      <c r="DB130" s="125">
        <f>DB19/293.07*(1/(VLOOKUP($BM130,'Fuel economy adjusted factor'!$A$2:$L$52,5,FALSE)*m2k))/'TCO Inputs'!$AZ$84</f>
        <v>211.97956408183018</v>
      </c>
      <c r="DC130" s="125">
        <f>DC19/293.07*(1/(VLOOKUP($BM130,'Fuel economy adjusted factor'!$A$2:$L$52,5,FALSE)*m2k))/'TCO Inputs'!$AZ$84</f>
        <v>211.97956408183018</v>
      </c>
      <c r="DD130" s="125">
        <f>DD19/293.07*(1/(VLOOKUP($BM130,'Fuel economy adjusted factor'!$A$2:$L$52,5,FALSE)*m2k))/'TCO Inputs'!$AZ$84</f>
        <v>211.97956408183018</v>
      </c>
      <c r="DE130" s="125">
        <f>DE19/293.07*(1/(VLOOKUP($BM130,'Fuel economy adjusted factor'!$A$2:$L$52,5,FALSE)*m2k))/'TCO Inputs'!$AZ$84</f>
        <v>211.95258454573434</v>
      </c>
      <c r="DF130" s="125">
        <f>DF19/293.07*(1/(VLOOKUP($BM130,'Fuel economy adjusted factor'!$A$2:$L$52,5,FALSE)*m2k))/'TCO Inputs'!$AZ$84</f>
        <v>211.95258454573434</v>
      </c>
      <c r="DG130" s="125">
        <f>DG19/293.07*(1/(VLOOKUP($BM130,'Fuel economy adjusted factor'!$A$2:$L$52,5,FALSE)*m2k))/'TCO Inputs'!$AZ$84</f>
        <v>211.95258454573434</v>
      </c>
      <c r="DH130" s="125">
        <f>DH19/293.07*(1/(VLOOKUP($BM130,'Fuel economy adjusted factor'!$A$2:$L$52,5,FALSE)*m2k))/'TCO Inputs'!$AZ$84</f>
        <v>211.95258454573434</v>
      </c>
      <c r="DI130" s="125">
        <f>DI19/293.07*(1/(VLOOKUP($BM130,'Fuel economy adjusted factor'!$A$2:$L$52,5,FALSE)*m2k))/'TCO Inputs'!$AZ$84</f>
        <v>211.95258454573434</v>
      </c>
      <c r="DJ130" s="125">
        <f>DJ19/293.07*(1/(VLOOKUP($BM130,'Fuel economy adjusted factor'!$A$2:$L$52,5,FALSE)*m2k))/'TCO Inputs'!$AZ$84</f>
        <v>211.94583966171035</v>
      </c>
      <c r="DK130" s="125">
        <f>DK19/293.07*(1/(VLOOKUP($BM130,'Fuel economy adjusted factor'!$A$2:$L$52,5,FALSE)*m2k))/'TCO Inputs'!$AZ$84</f>
        <v>211.94583966171035</v>
      </c>
      <c r="DL130" s="125">
        <f>DL19/293.07*(1/(VLOOKUP($BM130,'Fuel economy adjusted factor'!$A$2:$L$52,5,FALSE)*m2k))/'TCO Inputs'!$AZ$84</f>
        <v>211.94583966171035</v>
      </c>
      <c r="DM130" s="125">
        <f>DM19/293.07*(1/(VLOOKUP($BM130,'Fuel economy adjusted factor'!$A$2:$L$52,5,FALSE)*m2k))/'TCO Inputs'!$AZ$84</f>
        <v>211.94583966171035</v>
      </c>
      <c r="DN130" s="125">
        <f>DN19/293.07*(1/(VLOOKUP($BM130,'Fuel economy adjusted factor'!$A$2:$L$52,5,FALSE)*m2k))/'TCO Inputs'!$AZ$84</f>
        <v>211.94583966171035</v>
      </c>
      <c r="DO130" s="125">
        <f>DO19/293.07*(1/(VLOOKUP($BM130,'Fuel economy adjusted factor'!$A$2:$L$52,5,FALSE)*m2k))/'TCO Inputs'!$AZ$84</f>
        <v>211.81498891164554</v>
      </c>
      <c r="DP130" s="125">
        <f>DP19/293.07*(1/(VLOOKUP($BM130,'Fuel economy adjusted factor'!$A$2:$L$52,5,FALSE)*m2k))/'TCO Inputs'!$AZ$84</f>
        <v>211.81498891164554</v>
      </c>
      <c r="DQ130" s="125">
        <f>DQ19/293.07*(1/(VLOOKUP($BM130,'Fuel economy adjusted factor'!$A$2:$L$52,5,FALSE)*m2k))/'TCO Inputs'!$AZ$84</f>
        <v>211.81498891164554</v>
      </c>
      <c r="DR130" s="125">
        <f>DR19/293.07*(1/(VLOOKUP($BM130,'Fuel economy adjusted factor'!$A$2:$L$52,5,FALSE)*m2k))/'TCO Inputs'!$AZ$84</f>
        <v>211.81498891164554</v>
      </c>
      <c r="DS130" s="125">
        <f>DS19/293.07*(1/(VLOOKUP($BM130,'Fuel economy adjusted factor'!$A$2:$L$52,5,FALSE)*m2k))/'TCO Inputs'!$AZ$84</f>
        <v>211.81498891164554</v>
      </c>
      <c r="DT130" s="125">
        <f>DT19/293.07*(1/(VLOOKUP($BM130,'Fuel economy adjusted factor'!$A$2:$L$52,5,FALSE)*m2k))/'TCO Inputs'!$AZ$84</f>
        <v>211.92425603283368</v>
      </c>
      <c r="DU130" s="98" cm="1">
        <f t="array" ref="DU130">SUMPRODUCT(INDEX(CS130:DT130,,'TCO Inputs'!$AZ$12-2023+_xlfn.SEQUENCE('TCO Inputs'!$AZ$13))*INDEX('VKT US'!C76:AA76,,_xlfn.SEQUENCE('TCO Inputs'!$AZ$13)))*m2k*CONVERT(0.9072,"g","ton")</f>
        <v>80.759535763229792</v>
      </c>
      <c r="DW130" s="123" t="s">
        <v>198</v>
      </c>
      <c r="DX130" s="125">
        <f>DX19/293.07*(1/(VLOOKUP($BM130,'Fuel economy adjusted factor'!$A$2:$L$52,5,FALSE)*m2k))/'TCO Inputs'!$AZ$84</f>
        <v>221.85271959838198</v>
      </c>
      <c r="DY130" s="125">
        <f>DY19/293.07*(1/(VLOOKUP($BM130,'Fuel economy adjusted factor'!$A$2:$L$52,5,FALSE)*m2k))/'TCO Inputs'!$AZ$84</f>
        <v>221.85271959838198</v>
      </c>
      <c r="DZ130" s="125">
        <f>DZ19/293.07*(1/(VLOOKUP($BM130,'Fuel economy adjusted factor'!$A$2:$L$52,5,FALSE)*m2k))/'TCO Inputs'!$AZ$84</f>
        <v>194.47615769675073</v>
      </c>
      <c r="EA130" s="125">
        <f>EA19/293.07*(1/(VLOOKUP($BM130,'Fuel economy adjusted factor'!$A$2:$L$52,5,FALSE)*m2k))/'TCO Inputs'!$AZ$84</f>
        <v>194.47615769675073</v>
      </c>
      <c r="EB130" s="125">
        <f>EB19/293.07*(1/(VLOOKUP($BM130,'Fuel economy adjusted factor'!$A$2:$L$52,5,FALSE)*m2k))/'TCO Inputs'!$AZ$84</f>
        <v>194.47615769675073</v>
      </c>
      <c r="EC130" s="125">
        <f>EC19/293.07*(1/(VLOOKUP($BM130,'Fuel economy adjusted factor'!$A$2:$L$52,5,FALSE)*m2k))/'TCO Inputs'!$AZ$84</f>
        <v>194.47615769675073</v>
      </c>
      <c r="ED130" s="125">
        <f>ED19/293.07*(1/(VLOOKUP($BM130,'Fuel economy adjusted factor'!$A$2:$L$52,5,FALSE)*m2k))/'TCO Inputs'!$AZ$84</f>
        <v>194.47615769675073</v>
      </c>
      <c r="EE130" s="125">
        <f>EE19/293.07*(1/(VLOOKUP($BM130,'Fuel economy adjusted factor'!$A$2:$L$52,5,FALSE)*m2k))/'TCO Inputs'!$AZ$84</f>
        <v>119.86269546586412</v>
      </c>
      <c r="EF130" s="125">
        <f>EF19/293.07*(1/(VLOOKUP($BM130,'Fuel economy adjusted factor'!$A$2:$L$52,5,FALSE)*m2k))/'TCO Inputs'!$AZ$84</f>
        <v>119.86269546586412</v>
      </c>
      <c r="EG130" s="125">
        <f>EG19/293.07*(1/(VLOOKUP($BM130,'Fuel economy adjusted factor'!$A$2:$L$52,5,FALSE)*m2k))/'TCO Inputs'!$AZ$84</f>
        <v>119.86269546586412</v>
      </c>
      <c r="EH130" s="125">
        <f>EH19/293.07*(1/(VLOOKUP($BM130,'Fuel economy adjusted factor'!$A$2:$L$52,5,FALSE)*m2k))/'TCO Inputs'!$AZ$84</f>
        <v>119.86269546586412</v>
      </c>
      <c r="EI130" s="125">
        <f>EI19/293.07*(1/(VLOOKUP($BM130,'Fuel economy adjusted factor'!$A$2:$L$52,5,FALSE)*m2k))/'TCO Inputs'!$AZ$84</f>
        <v>119.86269546586412</v>
      </c>
      <c r="EJ130" s="125">
        <f>EJ19/293.07*(1/(VLOOKUP($BM130,'Fuel economy adjusted factor'!$A$2:$L$52,5,FALSE)*m2k))/'TCO Inputs'!$AZ$84</f>
        <v>107.0514705788342</v>
      </c>
      <c r="EK130" s="125">
        <f>EK19/293.07*(1/(VLOOKUP($BM130,'Fuel economy adjusted factor'!$A$2:$L$52,5,FALSE)*m2k))/'TCO Inputs'!$AZ$84</f>
        <v>107.0514705788342</v>
      </c>
      <c r="EL130" s="125">
        <f>EL19/293.07*(1/(VLOOKUP($BM130,'Fuel economy adjusted factor'!$A$2:$L$52,5,FALSE)*m2k))/'TCO Inputs'!$AZ$84</f>
        <v>107.0514705788342</v>
      </c>
      <c r="EM130" s="125">
        <f>EM19/293.07*(1/(VLOOKUP($BM130,'Fuel economy adjusted factor'!$A$2:$L$52,5,FALSE)*m2k))/'TCO Inputs'!$AZ$84</f>
        <v>107.0514705788342</v>
      </c>
      <c r="EN130" s="125">
        <f>EN19/293.07*(1/(VLOOKUP($BM130,'Fuel economy adjusted factor'!$A$2:$L$52,5,FALSE)*m2k))/'TCO Inputs'!$AZ$84</f>
        <v>107.0514705788342</v>
      </c>
      <c r="EO130" s="125">
        <f>EO19/293.07*(1/(VLOOKUP($BM130,'Fuel economy adjusted factor'!$A$2:$L$52,5,FALSE)*m2k))/'TCO Inputs'!$AZ$84</f>
        <v>103.68207270250291</v>
      </c>
      <c r="EP130" s="125">
        <f>EP19/293.07*(1/(VLOOKUP($BM130,'Fuel economy adjusted factor'!$A$2:$L$52,5,FALSE)*m2k))/'TCO Inputs'!$AZ$84</f>
        <v>103.68207270250291</v>
      </c>
      <c r="EQ130" s="125">
        <f>EQ19/293.07*(1/(VLOOKUP($BM130,'Fuel economy adjusted factor'!$A$2:$L$52,5,FALSE)*m2k))/'TCO Inputs'!$AZ$84</f>
        <v>103.68207270250291</v>
      </c>
      <c r="ER130" s="125">
        <f>ER19/293.07*(1/(VLOOKUP($BM130,'Fuel economy adjusted factor'!$A$2:$L$52,5,FALSE)*m2k))/'TCO Inputs'!$AZ$84</f>
        <v>103.68207270250291</v>
      </c>
      <c r="ES130" s="125">
        <f>ES19/293.07*(1/(VLOOKUP($BM130,'Fuel economy adjusted factor'!$A$2:$L$52,5,FALSE)*m2k))/'TCO Inputs'!$AZ$84</f>
        <v>103.68207270250291</v>
      </c>
      <c r="ET130" s="125">
        <f>ET19/293.07*(1/(VLOOKUP($BM130,'Fuel economy adjusted factor'!$A$2:$L$52,5,FALSE)*m2k))/'TCO Inputs'!$AZ$84</f>
        <v>99.832498880635313</v>
      </c>
      <c r="EU130" s="125">
        <f>EU19/293.07*(1/(VLOOKUP($BM130,'Fuel economy adjusted factor'!$A$2:$L$52,5,FALSE)*m2k))/'TCO Inputs'!$AZ$84</f>
        <v>99.832498880635313</v>
      </c>
      <c r="EV130" s="125">
        <f>EV19/293.07*(1/(VLOOKUP($BM130,'Fuel economy adjusted factor'!$A$2:$L$52,5,FALSE)*m2k))/'TCO Inputs'!$AZ$84</f>
        <v>99.832498880635313</v>
      </c>
      <c r="EW130" s="125">
        <f>EW19/293.07*(1/(VLOOKUP($BM130,'Fuel economy adjusted factor'!$A$2:$L$52,5,FALSE)*m2k))/'TCO Inputs'!$AZ$84</f>
        <v>99.832498880635313</v>
      </c>
      <c r="EX130" s="125">
        <f>EX19/293.07*(1/(VLOOKUP($BM130,'Fuel economy adjusted factor'!$A$2:$L$52,5,FALSE)*m2k))/'TCO Inputs'!$AZ$84</f>
        <v>99.832498880635313</v>
      </c>
      <c r="EY130" s="125">
        <f>EY19/293.07*(1/(VLOOKUP($BM130,'Fuel economy adjusted factor'!$A$2:$L$52,5,FALSE)*m2k))/'TCO Inputs'!$AZ$84</f>
        <v>93.796001279607466</v>
      </c>
      <c r="EZ130" s="98" cm="1">
        <f t="array" ref="EZ130">SUMPRODUCT(INDEX(DX130:EY130,,'TCO Inputs'!$AZ$12-2023+_xlfn.SEQUENCE('TCO Inputs'!$AZ$13))*INDEX('VKT US'!C76:AA76,,_xlfn.SEQUENCE('TCO Inputs'!$AZ$13)))*m2k*CONVERT(0.9072,"g","ton")</f>
        <v>62.492725897649549</v>
      </c>
      <c r="FB130" s="123" t="s">
        <v>198</v>
      </c>
      <c r="FC130" s="125">
        <f>FC19/293.07*(1/(VLOOKUP($BM130,'Fuel economy adjusted factor'!$A$2:$L$52,5,FALSE)*m2k))/'TCO Inputs'!$AZ$84</f>
        <v>240.63184552279165</v>
      </c>
      <c r="FD130" s="125">
        <f>FD19/293.07*(1/(VLOOKUP($BM130,'Fuel economy adjusted factor'!$A$2:$L$52,5,FALSE)*m2k))/'TCO Inputs'!$AZ$84</f>
        <v>240.63184552279165</v>
      </c>
      <c r="FE130" s="125">
        <f>FE19/293.07*(1/(VLOOKUP($BM130,'Fuel economy adjusted factor'!$A$2:$L$52,5,FALSE)*m2k))/'TCO Inputs'!$AZ$84</f>
        <v>210.14393948426701</v>
      </c>
      <c r="FF130" s="125">
        <f>FF19/293.07*(1/(VLOOKUP($BM130,'Fuel economy adjusted factor'!$A$2:$L$52,5,FALSE)*m2k))/'TCO Inputs'!$AZ$84</f>
        <v>210.14393948426701</v>
      </c>
      <c r="FG130" s="125">
        <f>FG19/293.07*(1/(VLOOKUP($BM130,'Fuel economy adjusted factor'!$A$2:$L$52,5,FALSE)*m2k))/'TCO Inputs'!$AZ$84</f>
        <v>210.14393948426701</v>
      </c>
      <c r="FH130" s="125">
        <f>FH19/293.07*(1/(VLOOKUP($BM130,'Fuel economy adjusted factor'!$A$2:$L$52,5,FALSE)*m2k))/'TCO Inputs'!$AZ$84</f>
        <v>210.14393948426701</v>
      </c>
      <c r="FI130" s="125">
        <f>FI19/293.07*(1/(VLOOKUP($BM130,'Fuel economy adjusted factor'!$A$2:$L$52,5,FALSE)*m2k))/'TCO Inputs'!$AZ$84</f>
        <v>210.14393948426701</v>
      </c>
      <c r="FJ130" s="125">
        <f>FJ19/293.07*(1/(VLOOKUP($BM130,'Fuel economy adjusted factor'!$A$2:$L$52,5,FALSE)*m2k))/'TCO Inputs'!$AZ$84</f>
        <v>131.87036060730264</v>
      </c>
      <c r="FK130" s="125">
        <f>FK19/293.07*(1/(VLOOKUP($BM130,'Fuel economy adjusted factor'!$A$2:$L$52,5,FALSE)*m2k))/'TCO Inputs'!$AZ$84</f>
        <v>131.87036060730264</v>
      </c>
      <c r="FL130" s="125">
        <f>FL19/293.07*(1/(VLOOKUP($BM130,'Fuel economy adjusted factor'!$A$2:$L$52,5,FALSE)*m2k))/'TCO Inputs'!$AZ$84</f>
        <v>131.87036060730264</v>
      </c>
      <c r="FM130" s="125">
        <f>FM19/293.07*(1/(VLOOKUP($BM130,'Fuel economy adjusted factor'!$A$2:$L$52,5,FALSE)*m2k))/'TCO Inputs'!$AZ$84</f>
        <v>131.87036060730264</v>
      </c>
      <c r="FN130" s="125">
        <f>FN19/293.07*(1/(VLOOKUP($BM130,'Fuel economy adjusted factor'!$A$2:$L$52,5,FALSE)*m2k))/'TCO Inputs'!$AZ$84</f>
        <v>131.87036060730264</v>
      </c>
      <c r="FO130" s="125">
        <f>FO19/293.07*(1/(VLOOKUP($BM130,'Fuel economy adjusted factor'!$A$2:$L$52,5,FALSE)*m2k))/'TCO Inputs'!$AZ$84</f>
        <v>117.09433414721092</v>
      </c>
      <c r="FP130" s="125">
        <f>FP19/293.07*(1/(VLOOKUP($BM130,'Fuel economy adjusted factor'!$A$2:$L$52,5,FALSE)*m2k))/'TCO Inputs'!$AZ$84</f>
        <v>117.09433414721092</v>
      </c>
      <c r="FQ130" s="125">
        <f>FQ19/293.07*(1/(VLOOKUP($BM130,'Fuel economy adjusted factor'!$A$2:$L$52,5,FALSE)*m2k))/'TCO Inputs'!$AZ$84</f>
        <v>117.09433414721092</v>
      </c>
      <c r="FR130" s="125">
        <f>FR19/293.07*(1/(VLOOKUP($BM130,'Fuel economy adjusted factor'!$A$2:$L$52,5,FALSE)*m2k))/'TCO Inputs'!$AZ$84</f>
        <v>117.09433414721092</v>
      </c>
      <c r="FS130" s="125">
        <f>FS19/293.07*(1/(VLOOKUP($BM130,'Fuel economy adjusted factor'!$A$2:$L$52,5,FALSE)*m2k))/'TCO Inputs'!$AZ$84</f>
        <v>117.09433414721092</v>
      </c>
      <c r="FT130" s="125">
        <f>FT19/293.07*(1/(VLOOKUP($BM130,'Fuel economy adjusted factor'!$A$2:$L$52,5,FALSE)*m2k))/'TCO Inputs'!$AZ$84</f>
        <v>114.11365013155185</v>
      </c>
      <c r="FU130" s="125">
        <f>FU19/293.07*(1/(VLOOKUP($BM130,'Fuel economy adjusted factor'!$A$2:$L$52,5,FALSE)*m2k))/'TCO Inputs'!$AZ$84</f>
        <v>114.11365013155185</v>
      </c>
      <c r="FV130" s="125">
        <f>FV19/293.07*(1/(VLOOKUP($BM130,'Fuel economy adjusted factor'!$A$2:$L$52,5,FALSE)*m2k))/'TCO Inputs'!$AZ$84</f>
        <v>114.11365013155185</v>
      </c>
      <c r="FW130" s="125">
        <f>FW19/293.07*(1/(VLOOKUP($BM130,'Fuel economy adjusted factor'!$A$2:$L$52,5,FALSE)*m2k))/'TCO Inputs'!$AZ$84</f>
        <v>114.11365013155185</v>
      </c>
      <c r="FX130" s="125">
        <f>FX19/293.07*(1/(VLOOKUP($BM130,'Fuel economy adjusted factor'!$A$2:$L$52,5,FALSE)*m2k))/'TCO Inputs'!$AZ$84</f>
        <v>114.11365013155185</v>
      </c>
      <c r="FY130" s="125">
        <f>FY19/293.07*(1/(VLOOKUP($BM130,'Fuel economy adjusted factor'!$A$2:$L$52,5,FALSE)*m2k))/'TCO Inputs'!$AZ$84</f>
        <v>110.2559100521071</v>
      </c>
      <c r="FZ130" s="125">
        <f>FZ19/293.07*(1/(VLOOKUP($BM130,'Fuel economy adjusted factor'!$A$2:$L$52,5,FALSE)*m2k))/'TCO Inputs'!$AZ$84</f>
        <v>110.2559100521071</v>
      </c>
      <c r="GA130" s="125">
        <f>GA19/293.07*(1/(VLOOKUP($BM130,'Fuel economy adjusted factor'!$A$2:$L$52,5,FALSE)*m2k))/'TCO Inputs'!$AZ$84</f>
        <v>110.2559100521071</v>
      </c>
      <c r="GB130" s="125">
        <f>GB19/293.07*(1/(VLOOKUP($BM130,'Fuel economy adjusted factor'!$A$2:$L$52,5,FALSE)*m2k))/'TCO Inputs'!$AZ$84</f>
        <v>110.2559100521071</v>
      </c>
      <c r="GC130" s="125">
        <f>GC19/293.07*(1/(VLOOKUP($BM130,'Fuel economy adjusted factor'!$A$2:$L$52,5,FALSE)*m2k))/'TCO Inputs'!$AZ$84</f>
        <v>110.2559100521071</v>
      </c>
      <c r="GD130" s="125">
        <f>GD19/293.07*(1/(VLOOKUP($BM130,'Fuel economy adjusted factor'!$A$2:$L$52,5,FALSE)*m2k))/'TCO Inputs'!$AZ$84</f>
        <v>104.01035625710425</v>
      </c>
      <c r="GE130" s="98" cm="1">
        <f t="array" ref="GE130">SUMPRODUCT(INDEX(FC130:GD130,,'TCO Inputs'!$AZ$12-2023+_xlfn.SEQUENCE('TCO Inputs'!$AZ$13))*INDEX('VKT US'!C76:AA76,,_xlfn.SEQUENCE('TCO Inputs'!$AZ$13)))*m2k*CONVERT(0.9072,"g","ton")</f>
        <v>67.946065188174231</v>
      </c>
      <c r="GH130" s="123" t="s">
        <v>198</v>
      </c>
      <c r="GI130" s="125">
        <f>GI19/293.07*(1/(VLOOKUP($BM130,'Fuel economy adjusted factor'!$A$2:$L$52,5,FALSE)*m2k))/'TCO Inputs'!$AZ$84</f>
        <v>209.07089323862976</v>
      </c>
      <c r="GJ130" s="125">
        <f>GJ19/293.07*(1/(VLOOKUP($BM130,'Fuel economy adjusted factor'!$A$2:$L$52,5,FALSE)*m2k))/'TCO Inputs'!$AZ$84</f>
        <v>209.07089323862976</v>
      </c>
      <c r="GK130" s="125">
        <f>GK19/293.07*(1/(VLOOKUP($BM130,'Fuel economy adjusted factor'!$A$2:$L$52,5,FALSE)*m2k))/'TCO Inputs'!$AZ$84</f>
        <v>183.81265855251075</v>
      </c>
      <c r="GL130" s="125">
        <f>GL19/293.07*(1/(VLOOKUP($BM130,'Fuel economy adjusted factor'!$A$2:$L$52,5,FALSE)*m2k))/'TCO Inputs'!$AZ$84</f>
        <v>183.81265855251075</v>
      </c>
      <c r="GM130" s="125">
        <f>GM19/293.07*(1/(VLOOKUP($BM130,'Fuel economy adjusted factor'!$A$2:$L$52,5,FALSE)*m2k))/'TCO Inputs'!$AZ$84</f>
        <v>183.81265855251075</v>
      </c>
      <c r="GN130" s="125">
        <f>GN19/293.07*(1/(VLOOKUP($BM130,'Fuel economy adjusted factor'!$A$2:$L$52,5,FALSE)*m2k))/'TCO Inputs'!$AZ$84</f>
        <v>183.81265855251075</v>
      </c>
      <c r="GO130" s="125">
        <f>GO19/293.07*(1/(VLOOKUP($BM130,'Fuel economy adjusted factor'!$A$2:$L$52,5,FALSE)*m2k))/'TCO Inputs'!$AZ$84</f>
        <v>183.81265855251075</v>
      </c>
      <c r="GP130" s="125">
        <f>GP19/293.07*(1/(VLOOKUP($BM130,'Fuel economy adjusted factor'!$A$2:$L$52,5,FALSE)*m2k))/'TCO Inputs'!$AZ$84</f>
        <v>111.68990488265432</v>
      </c>
      <c r="GQ130" s="125">
        <f>GQ19/293.07*(1/(VLOOKUP($BM130,'Fuel economy adjusted factor'!$A$2:$L$52,5,FALSE)*m2k))/'TCO Inputs'!$AZ$84</f>
        <v>111.68990488265432</v>
      </c>
      <c r="GR130" s="125">
        <f>GR19/293.07*(1/(VLOOKUP($BM130,'Fuel economy adjusted factor'!$A$2:$L$52,5,FALSE)*m2k))/'TCO Inputs'!$AZ$84</f>
        <v>111.68990488265432</v>
      </c>
      <c r="GS130" s="125">
        <f>GS19/293.07*(1/(VLOOKUP($BM130,'Fuel economy adjusted factor'!$A$2:$L$52,5,FALSE)*m2k))/'TCO Inputs'!$AZ$84</f>
        <v>111.68990488265432</v>
      </c>
      <c r="GT130" s="125">
        <f>GT19/293.07*(1/(VLOOKUP($BM130,'Fuel economy adjusted factor'!$A$2:$L$52,5,FALSE)*m2k))/'TCO Inputs'!$AZ$84</f>
        <v>111.68990488265432</v>
      </c>
      <c r="GU130" s="125">
        <f>GU19/293.07*(1/(VLOOKUP($BM130,'Fuel economy adjusted factor'!$A$2:$L$52,5,FALSE)*m2k))/'TCO Inputs'!$AZ$84</f>
        <v>100.21631298676127</v>
      </c>
      <c r="GV130" s="125">
        <f>GV19/293.07*(1/(VLOOKUP($BM130,'Fuel economy adjusted factor'!$A$2:$L$52,5,FALSE)*m2k))/'TCO Inputs'!$AZ$84</f>
        <v>100.21631298676127</v>
      </c>
      <c r="GW130" s="125">
        <f>GW19/293.07*(1/(VLOOKUP($BM130,'Fuel economy adjusted factor'!$A$2:$L$52,5,FALSE)*m2k))/'TCO Inputs'!$AZ$84</f>
        <v>100.21631298676127</v>
      </c>
      <c r="GX130" s="125">
        <f>GX19/293.07*(1/(VLOOKUP($BM130,'Fuel economy adjusted factor'!$A$2:$L$52,5,FALSE)*m2k))/'TCO Inputs'!$AZ$84</f>
        <v>100.21631298676127</v>
      </c>
      <c r="GY130" s="125">
        <f>GY19/293.07*(1/(VLOOKUP($BM130,'Fuel economy adjusted factor'!$A$2:$L$52,5,FALSE)*m2k))/'TCO Inputs'!$AZ$84</f>
        <v>100.21631298676127</v>
      </c>
      <c r="GZ130" s="125">
        <f>GZ19/293.07*(1/(VLOOKUP($BM130,'Fuel economy adjusted factor'!$A$2:$L$52,5,FALSE)*m2k))/'TCO Inputs'!$AZ$84</f>
        <v>96.582328364930376</v>
      </c>
      <c r="HA130" s="125">
        <f>HA19/293.07*(1/(VLOOKUP($BM130,'Fuel economy adjusted factor'!$A$2:$L$52,5,FALSE)*m2k))/'TCO Inputs'!$AZ$84</f>
        <v>96.582328364930376</v>
      </c>
      <c r="HB130" s="125">
        <f>HB19/293.07*(1/(VLOOKUP($BM130,'Fuel economy adjusted factor'!$A$2:$L$52,5,FALSE)*m2k))/'TCO Inputs'!$AZ$84</f>
        <v>96.582328364930376</v>
      </c>
      <c r="HC130" s="125">
        <f>HC19/293.07*(1/(VLOOKUP($BM130,'Fuel economy adjusted factor'!$A$2:$L$52,5,FALSE)*m2k))/'TCO Inputs'!$AZ$84</f>
        <v>96.582328364930376</v>
      </c>
      <c r="HD130" s="125">
        <f>HD19/293.07*(1/(VLOOKUP($BM130,'Fuel economy adjusted factor'!$A$2:$L$52,5,FALSE)*m2k))/'TCO Inputs'!$AZ$84</f>
        <v>96.582328364930376</v>
      </c>
      <c r="HE130" s="125">
        <f>HE19/293.07*(1/(VLOOKUP($BM130,'Fuel economy adjusted factor'!$A$2:$L$52,5,FALSE)*m2k))/'TCO Inputs'!$AZ$84</f>
        <v>92.737654297609041</v>
      </c>
      <c r="HF130" s="125">
        <f>HF19/293.07*(1/(VLOOKUP($BM130,'Fuel economy adjusted factor'!$A$2:$L$52,5,FALSE)*m2k))/'TCO Inputs'!$AZ$84</f>
        <v>92.737654297609041</v>
      </c>
      <c r="HG130" s="125">
        <f>HG19/293.07*(1/(VLOOKUP($BM130,'Fuel economy adjusted factor'!$A$2:$L$52,5,FALSE)*m2k))/'TCO Inputs'!$AZ$84</f>
        <v>92.737654297609041</v>
      </c>
      <c r="HH130" s="125">
        <f>HH19/293.07*(1/(VLOOKUP($BM130,'Fuel economy adjusted factor'!$A$2:$L$52,5,FALSE)*m2k))/'TCO Inputs'!$AZ$84</f>
        <v>92.737654297609041</v>
      </c>
      <c r="HI130" s="125">
        <f>HI19/293.07*(1/(VLOOKUP($BM130,'Fuel economy adjusted factor'!$A$2:$L$52,5,FALSE)*m2k))/'TCO Inputs'!$AZ$84</f>
        <v>92.737654297609041</v>
      </c>
      <c r="HJ130" s="125">
        <f>HJ19/293.07*(1/(VLOOKUP($BM130,'Fuel economy adjusted factor'!$A$2:$L$52,5,FALSE)*m2k))/'TCO Inputs'!$AZ$84</f>
        <v>86.84488282993901</v>
      </c>
      <c r="HK130" s="98" cm="1">
        <f t="array" ref="HK130">SUMPRODUCT(INDEX(GI130:HJ130,,'TCO Inputs'!$AZ$12-2023+_xlfn.SEQUENCE('TCO Inputs'!$AZ$13))*INDEX('VKT US'!C76:AA76,,_xlfn.SEQUENCE('TCO Inputs'!$AZ$13)))*m2k*CONVERT(0.9072,"g","ton")</f>
        <v>58.781087373019403</v>
      </c>
    </row>
    <row r="131" spans="17:219" x14ac:dyDescent="0.25">
      <c r="Q131" s="198" t="s">
        <v>548</v>
      </c>
      <c r="R131" s="197">
        <f>'100%NG_methaneleaking'!AD165/'Scenario analysis'!$DU$167</f>
        <v>1.1003100963945265</v>
      </c>
      <c r="Z131" s="123" t="s">
        <v>195</v>
      </c>
      <c r="AA131" s="125">
        <f>AA20/293.07*(1/(VLOOKUP($Z131,'Fuel economy adjusted factor'!$A$2:$L$52,5,FALSE)*m2k))/'TCO Inputs'!$AZ$84</f>
        <v>81.345623148974411</v>
      </c>
      <c r="AB131" s="125">
        <f>AB20/293.07*(1/(VLOOKUP($Z131,'Fuel economy adjusted factor'!$A$2:$L$52,5,FALSE)*m2k))/'TCO Inputs'!$AZ$84</f>
        <v>81.345623148974411</v>
      </c>
      <c r="AC131" s="125">
        <f>AC20/293.07*(1/(VLOOKUP($Z131,'Fuel economy adjusted factor'!$A$2:$L$52,5,FALSE)*m2k))/'TCO Inputs'!$AZ$84</f>
        <v>71.542974362509185</v>
      </c>
      <c r="AD131" s="125">
        <f>AD20/293.07*(1/(VLOOKUP($Z131,'Fuel economy adjusted factor'!$A$2:$L$52,5,FALSE)*m2k))/'TCO Inputs'!$AZ$84</f>
        <v>71.542974362509185</v>
      </c>
      <c r="AE131" s="125">
        <f>AE20/293.07*(1/(VLOOKUP($Z131,'Fuel economy adjusted factor'!$A$2:$L$52,5,FALSE)*m2k))/'TCO Inputs'!$AZ$84</f>
        <v>71.542974362509185</v>
      </c>
      <c r="AF131" s="125">
        <f>AF20/293.07*(1/(VLOOKUP($Z131,'Fuel economy adjusted factor'!$A$2:$L$52,5,FALSE)*m2k))/'TCO Inputs'!$AZ$84</f>
        <v>71.542974362509185</v>
      </c>
      <c r="AG131" s="125">
        <f>AG20/293.07*(1/(VLOOKUP($Z131,'Fuel economy adjusted factor'!$A$2:$L$52,5,FALSE)*m2k))/'TCO Inputs'!$AZ$84</f>
        <v>71.542974362509185</v>
      </c>
      <c r="AH131" s="125">
        <f>AH20/293.07*(1/(VLOOKUP($Z131,'Fuel economy adjusted factor'!$A$2:$L$52,5,FALSE)*m2k))/'TCO Inputs'!$AZ$84</f>
        <v>42.985715117216841</v>
      </c>
      <c r="AI131" s="125">
        <f>AI20/293.07*(1/(VLOOKUP($Z131,'Fuel economy adjusted factor'!$A$2:$L$52,5,FALSE)*m2k))/'TCO Inputs'!$AZ$84</f>
        <v>42.985715117216841</v>
      </c>
      <c r="AJ131" s="125">
        <f>AJ20/293.07*(1/(VLOOKUP($Z131,'Fuel economy adjusted factor'!$A$2:$L$52,5,FALSE)*m2k))/'TCO Inputs'!$AZ$84</f>
        <v>42.985715117216841</v>
      </c>
      <c r="AK131" s="125">
        <f>AK20/293.07*(1/(VLOOKUP($Z131,'Fuel economy adjusted factor'!$A$2:$L$52,5,FALSE)*m2k))/'TCO Inputs'!$AZ$84</f>
        <v>42.985715117216841</v>
      </c>
      <c r="AL131" s="125">
        <f>AL20/293.07*(1/(VLOOKUP($Z131,'Fuel economy adjusted factor'!$A$2:$L$52,5,FALSE)*m2k))/'TCO Inputs'!$AZ$84</f>
        <v>42.985715117216841</v>
      </c>
      <c r="AM131" s="125">
        <f>AM20/293.07*(1/(VLOOKUP($Z131,'Fuel economy adjusted factor'!$A$2:$L$52,5,FALSE)*m2k))/'TCO Inputs'!$AZ$84</f>
        <v>44.983607403618628</v>
      </c>
      <c r="AN131" s="125">
        <f>AN20/293.07*(1/(VLOOKUP($Z131,'Fuel economy adjusted factor'!$A$2:$L$52,5,FALSE)*m2k))/'TCO Inputs'!$AZ$84</f>
        <v>44.983607403618628</v>
      </c>
      <c r="AO131" s="125">
        <f>AO20/293.07*(1/(VLOOKUP($Z131,'Fuel economy adjusted factor'!$A$2:$L$52,5,FALSE)*m2k))/'TCO Inputs'!$AZ$84</f>
        <v>44.983607403618628</v>
      </c>
      <c r="AP131" s="125">
        <f>AP20/293.07*(1/(VLOOKUP($Z131,'Fuel economy adjusted factor'!$A$2:$L$52,5,FALSE)*m2k))/'TCO Inputs'!$AZ$84</f>
        <v>44.983607403618628</v>
      </c>
      <c r="AQ131" s="125">
        <f>AQ20/293.07*(1/(VLOOKUP($Z131,'Fuel economy adjusted factor'!$A$2:$L$52,5,FALSE)*m2k))/'TCO Inputs'!$AZ$84</f>
        <v>44.983607403618628</v>
      </c>
      <c r="AR131" s="125">
        <f>AR20/293.07*(1/(VLOOKUP($Z131,'Fuel economy adjusted factor'!$A$2:$L$52,5,FALSE)*m2k))/'TCO Inputs'!$AZ$84</f>
        <v>47.023501190864117</v>
      </c>
      <c r="AS131" s="125">
        <f>AS20/293.07*(1/(VLOOKUP($Z131,'Fuel economy adjusted factor'!$A$2:$L$52,5,FALSE)*m2k))/'TCO Inputs'!$AZ$84</f>
        <v>47.023501190864117</v>
      </c>
      <c r="AT131" s="125">
        <f>AT20/293.07*(1/(VLOOKUP($Z131,'Fuel economy adjusted factor'!$A$2:$L$52,5,FALSE)*m2k))/'TCO Inputs'!$AZ$84</f>
        <v>47.023501190864117</v>
      </c>
      <c r="AU131" s="125">
        <f>AU20/293.07*(1/(VLOOKUP($Z131,'Fuel economy adjusted factor'!$A$2:$L$52,5,FALSE)*m2k))/'TCO Inputs'!$AZ$84</f>
        <v>47.023501190864117</v>
      </c>
      <c r="AV131" s="125">
        <f>AV20/293.07*(1/(VLOOKUP($Z131,'Fuel economy adjusted factor'!$A$2:$L$52,5,FALSE)*m2k))/'TCO Inputs'!$AZ$84</f>
        <v>47.023501190864117</v>
      </c>
      <c r="AW131" s="125">
        <f>AW20/293.07*(1/(VLOOKUP($Z131,'Fuel economy adjusted factor'!$A$2:$L$52,5,FALSE)*m2k))/'TCO Inputs'!$AZ$84</f>
        <v>48.055358957860463</v>
      </c>
      <c r="AX131" s="125">
        <f>AX20/293.07*(1/(VLOOKUP($Z131,'Fuel economy adjusted factor'!$A$2:$L$52,5,FALSE)*m2k))/'TCO Inputs'!$AZ$84</f>
        <v>48.055358957860463</v>
      </c>
      <c r="AY131" s="125">
        <f>AY20/293.07*(1/(VLOOKUP($Z131,'Fuel economy adjusted factor'!$A$2:$L$52,5,FALSE)*m2k))/'TCO Inputs'!$AZ$84</f>
        <v>48.055358957860463</v>
      </c>
      <c r="AZ131" s="125">
        <f>AZ20/293.07*(1/(VLOOKUP($Z131,'Fuel economy adjusted factor'!$A$2:$L$52,5,FALSE)*m2k))/'TCO Inputs'!$AZ$84</f>
        <v>48.055358957860463</v>
      </c>
      <c r="BA131" s="125">
        <f>BA20/293.07*(1/(VLOOKUP($Z131,'Fuel economy adjusted factor'!$A$2:$L$52,5,FALSE)*m2k))/'TCO Inputs'!$AZ$84</f>
        <v>48.055358957860463</v>
      </c>
      <c r="BB131" s="125">
        <f>BB20/293.07*(1/(VLOOKUP($Z131,'Fuel economy adjusted factor'!$A$2:$L$52,5,FALSE)*m2k))/'TCO Inputs'!$AZ$84</f>
        <v>48.120555317379065</v>
      </c>
      <c r="BC131" s="98" cm="1">
        <f t="array" ref="BC131">SUMPRODUCT(INDEX(AA131:BB131,,'TCO Inputs'!$AZ$12-2023+_xlfn.SEQUENCE('TCO Inputs'!$AZ$13))*INDEX('VKT US'!C77:AA77,,_xlfn.SEQUENCE('TCO Inputs'!$AZ$13)))*m2k*CONVERT(0.9072,"g","ton")</f>
        <v>18.888481324887273</v>
      </c>
      <c r="BM131" s="123" t="s">
        <v>195</v>
      </c>
      <c r="BN131" s="125">
        <f>BN20/293.07*(1/(VLOOKUP($BM131,'Fuel economy adjusted factor'!$A$2:$L$52,5,FALSE)*m2k))</f>
        <v>69.143779676628242</v>
      </c>
      <c r="BO131" s="125">
        <f>BO20/293.07*(1/(VLOOKUP($BM131,'Fuel economy adjusted factor'!$A$2:$L$52,5,FALSE)*m2k))</f>
        <v>69.143779676628242</v>
      </c>
      <c r="BP131" s="125">
        <f>BP20/293.07*(1/(VLOOKUP($BM131,'Fuel economy adjusted factor'!$A$2:$L$52,5,FALSE)*m2k))</f>
        <v>60.732132833776738</v>
      </c>
      <c r="BQ131" s="125">
        <f>BQ20/293.07*(1/(VLOOKUP($BM131,'Fuel economy adjusted factor'!$A$2:$L$52,5,FALSE)*m2k))</f>
        <v>60.732132833776738</v>
      </c>
      <c r="BR131" s="125">
        <f>BR20/293.07*(1/(VLOOKUP($BM131,'Fuel economy adjusted factor'!$A$2:$L$52,5,FALSE)*m2k))</f>
        <v>60.732132833776738</v>
      </c>
      <c r="BS131" s="125">
        <f>BS20/293.07*(1/(VLOOKUP($BM131,'Fuel economy adjusted factor'!$A$2:$L$52,5,FALSE)*m2k))</f>
        <v>60.732132833776738</v>
      </c>
      <c r="BT131" s="125">
        <f>BT20/293.07*(1/(VLOOKUP($BM131,'Fuel economy adjusted factor'!$A$2:$L$52,5,FALSE)*m2k))</f>
        <v>60.732132833776738</v>
      </c>
      <c r="BU131" s="125">
        <f>BU20/293.07*(1/(VLOOKUP($BM131,'Fuel economy adjusted factor'!$A$2:$L$52,5,FALSE)*m2k))</f>
        <v>68.843782389631826</v>
      </c>
      <c r="BV131" s="125">
        <f>BV20/293.07*(1/(VLOOKUP($BM131,'Fuel economy adjusted factor'!$A$2:$L$52,5,FALSE)*m2k))</f>
        <v>68.843782389631826</v>
      </c>
      <c r="BW131" s="125">
        <f>BW20/293.07*(1/(VLOOKUP($BM131,'Fuel economy adjusted factor'!$A$2:$L$52,5,FALSE)*m2k))</f>
        <v>68.843782389631826</v>
      </c>
      <c r="BX131" s="125">
        <f>BX20/293.07*(1/(VLOOKUP($BM131,'Fuel economy adjusted factor'!$A$2:$L$52,5,FALSE)*m2k))</f>
        <v>68.843782389631826</v>
      </c>
      <c r="BY131" s="125">
        <f>BY20/293.07*(1/(VLOOKUP($BM131,'Fuel economy adjusted factor'!$A$2:$L$52,5,FALSE)*m2k))</f>
        <v>68.843782389631826</v>
      </c>
      <c r="BZ131" s="125">
        <f>BZ20/293.07*(1/(VLOOKUP($BM131,'Fuel economy adjusted factor'!$A$2:$L$52,5,FALSE)*m2k))</f>
        <v>70.499362444157327</v>
      </c>
      <c r="CA131" s="125">
        <f>CA20/293.07*(1/(VLOOKUP($BM131,'Fuel economy adjusted factor'!$A$2:$L$52,5,FALSE)*m2k))</f>
        <v>70.499362444157327</v>
      </c>
      <c r="CB131" s="125">
        <f>CB20/293.07*(1/(VLOOKUP($BM131,'Fuel economy adjusted factor'!$A$2:$L$52,5,FALSE)*m2k))</f>
        <v>70.499362444157327</v>
      </c>
      <c r="CC131" s="125">
        <f>CC20/293.07*(1/(VLOOKUP($BM131,'Fuel economy adjusted factor'!$A$2:$L$52,5,FALSE)*m2k))</f>
        <v>70.499362444157327</v>
      </c>
      <c r="CD131" s="125">
        <f>CD20/293.07*(1/(VLOOKUP($BM131,'Fuel economy adjusted factor'!$A$2:$L$52,5,FALSE)*m2k))</f>
        <v>70.499362444157327</v>
      </c>
      <c r="CE131" s="125">
        <f>CE20/293.07*(1/(VLOOKUP($BM131,'Fuel economy adjusted factor'!$A$2:$L$52,5,FALSE)*m2k))</f>
        <v>72.241797841099213</v>
      </c>
      <c r="CF131" s="125">
        <f>CF20/293.07*(1/(VLOOKUP($BM131,'Fuel economy adjusted factor'!$A$2:$L$52,5,FALSE)*m2k))</f>
        <v>72.241797841099213</v>
      </c>
      <c r="CG131" s="125">
        <f>CG20/293.07*(1/(VLOOKUP($BM131,'Fuel economy adjusted factor'!$A$2:$L$52,5,FALSE)*m2k))</f>
        <v>72.241797841099213</v>
      </c>
      <c r="CH131" s="125">
        <f>CH20/293.07*(1/(VLOOKUP($BM131,'Fuel economy adjusted factor'!$A$2:$L$52,5,FALSE)*m2k))</f>
        <v>72.241797841099213</v>
      </c>
      <c r="CI131" s="125">
        <f>CI20/293.07*(1/(VLOOKUP($BM131,'Fuel economy adjusted factor'!$A$2:$L$52,5,FALSE)*m2k))</f>
        <v>72.241797841099213</v>
      </c>
      <c r="CJ131" s="125">
        <f>CJ20/293.07*(1/(VLOOKUP($BM131,'Fuel economy adjusted factor'!$A$2:$L$52,5,FALSE)*m2k))</f>
        <v>72.655293213584486</v>
      </c>
      <c r="CK131" s="125">
        <f>CK20/293.07*(1/(VLOOKUP($BM131,'Fuel economy adjusted factor'!$A$2:$L$52,5,FALSE)*m2k))</f>
        <v>72.655293213584486</v>
      </c>
      <c r="CL131" s="125">
        <f>CL20/293.07*(1/(VLOOKUP($BM131,'Fuel economy adjusted factor'!$A$2:$L$52,5,FALSE)*m2k))</f>
        <v>72.655293213584486</v>
      </c>
      <c r="CM131" s="125">
        <f>CM20/293.07*(1/(VLOOKUP($BM131,'Fuel economy adjusted factor'!$A$2:$L$52,5,FALSE)*m2k))</f>
        <v>72.655293213584486</v>
      </c>
      <c r="CN131" s="125">
        <f>CN20/293.07*(1/(VLOOKUP($BM131,'Fuel economy adjusted factor'!$A$2:$L$52,5,FALSE)*m2k))</f>
        <v>72.655293213584486</v>
      </c>
      <c r="CO131" s="125">
        <f>CO20/293.07*(1/(VLOOKUP($BM131,'Fuel economy adjusted factor'!$A$2:$L$52,5,FALSE)*m2k))</f>
        <v>73.149249670148748</v>
      </c>
      <c r="CP131" s="98" cm="1">
        <f t="array" ref="CP131">SUMPRODUCT(INDEX(BN131:CO131,,'TCO Inputs'!$AZ$12-2023+_xlfn.SEQUENCE('TCO Inputs'!$AZ$13))*INDEX('VKT US'!C77:AA77,,_xlfn.SEQUENCE('TCO Inputs'!$AZ$13)))*m2k*CONVERT(0.9072,"g","ton")</f>
        <v>20.573590381221056</v>
      </c>
      <c r="CQ131" s="194"/>
      <c r="CR131" s="123" t="s">
        <v>195</v>
      </c>
      <c r="CS131" s="125">
        <f>CS20/293.07*(1/(VLOOKUP($BM131,'Fuel economy adjusted factor'!$A$2:$L$52,5,FALSE)*m2k))/'TCO Inputs'!$AZ$84</f>
        <v>98.487877485860722</v>
      </c>
      <c r="CT131" s="125">
        <f>CT20/293.07*(1/(VLOOKUP($BM131,'Fuel economy adjusted factor'!$A$2:$L$52,5,FALSE)*m2k))/'TCO Inputs'!$AZ$84</f>
        <v>98.487877485860722</v>
      </c>
      <c r="CU131" s="125">
        <f>CU20/293.07*(1/(VLOOKUP($BM131,'Fuel economy adjusted factor'!$A$2:$L$52,5,FALSE)*m2k))/'TCO Inputs'!$AZ$84</f>
        <v>98.487877485860722</v>
      </c>
      <c r="CV131" s="125">
        <f>CV20/293.07*(1/(VLOOKUP($BM131,'Fuel economy adjusted factor'!$A$2:$L$52,5,FALSE)*m2k))/'TCO Inputs'!$AZ$84</f>
        <v>98.487877485860722</v>
      </c>
      <c r="CW131" s="125">
        <f>CW20/293.07*(1/(VLOOKUP($BM131,'Fuel economy adjusted factor'!$A$2:$L$52,5,FALSE)*m2k))/'TCO Inputs'!$AZ$84</f>
        <v>98.487877485860722</v>
      </c>
      <c r="CX131" s="125">
        <f>CX20/293.07*(1/(VLOOKUP($BM131,'Fuel economy adjusted factor'!$A$2:$L$52,5,FALSE)*m2k))/'TCO Inputs'!$AZ$84</f>
        <v>98.487877485860722</v>
      </c>
      <c r="CY131" s="125">
        <f>CY20/293.07*(1/(VLOOKUP($BM131,'Fuel economy adjusted factor'!$A$2:$L$52,5,FALSE)*m2k))/'TCO Inputs'!$AZ$84</f>
        <v>98.487877485860722</v>
      </c>
      <c r="CZ131" s="125">
        <f>CZ20/293.07*(1/(VLOOKUP($BM131,'Fuel economy adjusted factor'!$A$2:$L$52,5,FALSE)*m2k))/'TCO Inputs'!$AZ$84</f>
        <v>98.509818568391026</v>
      </c>
      <c r="DA131" s="125">
        <f>DA20/293.07*(1/(VLOOKUP($BM131,'Fuel economy adjusted factor'!$A$2:$L$52,5,FALSE)*m2k))/'TCO Inputs'!$AZ$84</f>
        <v>98.509818568391026</v>
      </c>
      <c r="DB131" s="125">
        <f>DB20/293.07*(1/(VLOOKUP($BM131,'Fuel economy adjusted factor'!$A$2:$L$52,5,FALSE)*m2k))/'TCO Inputs'!$AZ$84</f>
        <v>98.509818568391026</v>
      </c>
      <c r="DC131" s="125">
        <f>DC20/293.07*(1/(VLOOKUP($BM131,'Fuel economy adjusted factor'!$A$2:$L$52,5,FALSE)*m2k))/'TCO Inputs'!$AZ$84</f>
        <v>98.509818568391026</v>
      </c>
      <c r="DD131" s="125">
        <f>DD20/293.07*(1/(VLOOKUP($BM131,'Fuel economy adjusted factor'!$A$2:$L$52,5,FALSE)*m2k))/'TCO Inputs'!$AZ$84</f>
        <v>98.509818568391026</v>
      </c>
      <c r="DE131" s="125">
        <f>DE20/293.07*(1/(VLOOKUP($BM131,'Fuel economy adjusted factor'!$A$2:$L$52,5,FALSE)*m2k))/'TCO Inputs'!$AZ$84</f>
        <v>98.497280806945156</v>
      </c>
      <c r="DF131" s="125">
        <f>DF20/293.07*(1/(VLOOKUP($BM131,'Fuel economy adjusted factor'!$A$2:$L$52,5,FALSE)*m2k))/'TCO Inputs'!$AZ$84</f>
        <v>98.497280806945156</v>
      </c>
      <c r="DG131" s="125">
        <f>DG20/293.07*(1/(VLOOKUP($BM131,'Fuel economy adjusted factor'!$A$2:$L$52,5,FALSE)*m2k))/'TCO Inputs'!$AZ$84</f>
        <v>98.497280806945156</v>
      </c>
      <c r="DH131" s="125">
        <f>DH20/293.07*(1/(VLOOKUP($BM131,'Fuel economy adjusted factor'!$A$2:$L$52,5,FALSE)*m2k))/'TCO Inputs'!$AZ$84</f>
        <v>98.497280806945156</v>
      </c>
      <c r="DI131" s="125">
        <f>DI20/293.07*(1/(VLOOKUP($BM131,'Fuel economy adjusted factor'!$A$2:$L$52,5,FALSE)*m2k))/'TCO Inputs'!$AZ$84</f>
        <v>98.497280806945156</v>
      </c>
      <c r="DJ131" s="125">
        <f>DJ20/293.07*(1/(VLOOKUP($BM131,'Fuel economy adjusted factor'!$A$2:$L$52,5,FALSE)*m2k))/'TCO Inputs'!$AZ$84</f>
        <v>98.494146366583664</v>
      </c>
      <c r="DK131" s="125">
        <f>DK20/293.07*(1/(VLOOKUP($BM131,'Fuel economy adjusted factor'!$A$2:$L$52,5,FALSE)*m2k))/'TCO Inputs'!$AZ$84</f>
        <v>98.494146366583664</v>
      </c>
      <c r="DL131" s="125">
        <f>DL20/293.07*(1/(VLOOKUP($BM131,'Fuel economy adjusted factor'!$A$2:$L$52,5,FALSE)*m2k))/'TCO Inputs'!$AZ$84</f>
        <v>98.494146366583664</v>
      </c>
      <c r="DM131" s="125">
        <f>DM20/293.07*(1/(VLOOKUP($BM131,'Fuel economy adjusted factor'!$A$2:$L$52,5,FALSE)*m2k))/'TCO Inputs'!$AZ$84</f>
        <v>98.494146366583664</v>
      </c>
      <c r="DN131" s="125">
        <f>DN20/293.07*(1/(VLOOKUP($BM131,'Fuel economy adjusted factor'!$A$2:$L$52,5,FALSE)*m2k))/'TCO Inputs'!$AZ$84</f>
        <v>98.494146366583664</v>
      </c>
      <c r="DO131" s="125">
        <f>DO20/293.07*(1/(VLOOKUP($BM131,'Fuel economy adjusted factor'!$A$2:$L$52,5,FALSE)*m2k))/'TCO Inputs'!$AZ$84</f>
        <v>98.433338223571113</v>
      </c>
      <c r="DP131" s="125">
        <f>DP20/293.07*(1/(VLOOKUP($BM131,'Fuel economy adjusted factor'!$A$2:$L$52,5,FALSE)*m2k))/'TCO Inputs'!$AZ$84</f>
        <v>98.433338223571113</v>
      </c>
      <c r="DQ131" s="125">
        <f>DQ20/293.07*(1/(VLOOKUP($BM131,'Fuel economy adjusted factor'!$A$2:$L$52,5,FALSE)*m2k))/'TCO Inputs'!$AZ$84</f>
        <v>98.433338223571113</v>
      </c>
      <c r="DR131" s="125">
        <f>DR20/293.07*(1/(VLOOKUP($BM131,'Fuel economy adjusted factor'!$A$2:$L$52,5,FALSE)*m2k))/'TCO Inputs'!$AZ$84</f>
        <v>98.433338223571113</v>
      </c>
      <c r="DS131" s="125">
        <f>DS20/293.07*(1/(VLOOKUP($BM131,'Fuel economy adjusted factor'!$A$2:$L$52,5,FALSE)*m2k))/'TCO Inputs'!$AZ$84</f>
        <v>98.433338223571113</v>
      </c>
      <c r="DT131" s="125">
        <f>DT20/293.07*(1/(VLOOKUP($BM131,'Fuel economy adjusted factor'!$A$2:$L$52,5,FALSE)*m2k))/'TCO Inputs'!$AZ$84</f>
        <v>98.484116157426953</v>
      </c>
      <c r="DU131" s="98" cm="1">
        <f t="array" ref="DU131">SUMPRODUCT(INDEX(CS131:DT131,,'TCO Inputs'!$AZ$12-2023+_xlfn.SEQUENCE('TCO Inputs'!$AZ$13))*INDEX('VKT US'!C77:AA77,,_xlfn.SEQUENCE('TCO Inputs'!$AZ$13)))*m2k*CONVERT(0.9072,"g","ton")</f>
        <v>30.702443189224272</v>
      </c>
      <c r="DW131" s="123" t="s">
        <v>195</v>
      </c>
      <c r="DX131" s="125">
        <f>DX20/293.07*(1/(VLOOKUP($BM131,'Fuel economy adjusted factor'!$A$2:$L$52,5,FALSE)*m2k))/'TCO Inputs'!$AZ$84</f>
        <v>103.09800971240888</v>
      </c>
      <c r="DY131" s="125">
        <f>DY20/293.07*(1/(VLOOKUP($BM131,'Fuel economy adjusted factor'!$A$2:$L$52,5,FALSE)*m2k))/'TCO Inputs'!$AZ$84</f>
        <v>103.09800971240888</v>
      </c>
      <c r="DZ131" s="125">
        <f>DZ20/293.07*(1/(VLOOKUP($BM131,'Fuel economy adjusted factor'!$A$2:$L$52,5,FALSE)*m2k))/'TCO Inputs'!$AZ$84</f>
        <v>90.375744914680794</v>
      </c>
      <c r="EA131" s="125">
        <f>EA20/293.07*(1/(VLOOKUP($BM131,'Fuel economy adjusted factor'!$A$2:$L$52,5,FALSE)*m2k))/'TCO Inputs'!$AZ$84</f>
        <v>90.375744914680794</v>
      </c>
      <c r="EB131" s="125">
        <f>EB20/293.07*(1/(VLOOKUP($BM131,'Fuel economy adjusted factor'!$A$2:$L$52,5,FALSE)*m2k))/'TCO Inputs'!$AZ$84</f>
        <v>90.375744914680794</v>
      </c>
      <c r="EC131" s="125">
        <f>EC20/293.07*(1/(VLOOKUP($BM131,'Fuel economy adjusted factor'!$A$2:$L$52,5,FALSE)*m2k))/'TCO Inputs'!$AZ$84</f>
        <v>90.375744914680794</v>
      </c>
      <c r="ED131" s="125">
        <f>ED20/293.07*(1/(VLOOKUP($BM131,'Fuel economy adjusted factor'!$A$2:$L$52,5,FALSE)*m2k))/'TCO Inputs'!$AZ$84</f>
        <v>90.375744914680794</v>
      </c>
      <c r="EE131" s="125">
        <f>EE20/293.07*(1/(VLOOKUP($BM131,'Fuel economy adjusted factor'!$A$2:$L$52,5,FALSE)*m2k))/'TCO Inputs'!$AZ$84</f>
        <v>55.70184293285218</v>
      </c>
      <c r="EF131" s="125">
        <f>EF20/293.07*(1/(VLOOKUP($BM131,'Fuel economy adjusted factor'!$A$2:$L$52,5,FALSE)*m2k))/'TCO Inputs'!$AZ$84</f>
        <v>55.70184293285218</v>
      </c>
      <c r="EG131" s="125">
        <f>EG20/293.07*(1/(VLOOKUP($BM131,'Fuel economy adjusted factor'!$A$2:$L$52,5,FALSE)*m2k))/'TCO Inputs'!$AZ$84</f>
        <v>55.70184293285218</v>
      </c>
      <c r="EH131" s="125">
        <f>EH20/293.07*(1/(VLOOKUP($BM131,'Fuel economy adjusted factor'!$A$2:$L$52,5,FALSE)*m2k))/'TCO Inputs'!$AZ$84</f>
        <v>55.70184293285218</v>
      </c>
      <c r="EI131" s="125">
        <f>EI20/293.07*(1/(VLOOKUP($BM131,'Fuel economy adjusted factor'!$A$2:$L$52,5,FALSE)*m2k))/'TCO Inputs'!$AZ$84</f>
        <v>55.70184293285218</v>
      </c>
      <c r="EJ131" s="125">
        <f>EJ20/293.07*(1/(VLOOKUP($BM131,'Fuel economy adjusted factor'!$A$2:$L$52,5,FALSE)*m2k))/'TCO Inputs'!$AZ$84</f>
        <v>49.748290548090267</v>
      </c>
      <c r="EK131" s="125">
        <f>EK20/293.07*(1/(VLOOKUP($BM131,'Fuel economy adjusted factor'!$A$2:$L$52,5,FALSE)*m2k))/'TCO Inputs'!$AZ$84</f>
        <v>49.748290548090267</v>
      </c>
      <c r="EL131" s="125">
        <f>EL20/293.07*(1/(VLOOKUP($BM131,'Fuel economy adjusted factor'!$A$2:$L$52,5,FALSE)*m2k))/'TCO Inputs'!$AZ$84</f>
        <v>49.748290548090267</v>
      </c>
      <c r="EM131" s="125">
        <f>EM20/293.07*(1/(VLOOKUP($BM131,'Fuel economy adjusted factor'!$A$2:$L$52,5,FALSE)*m2k))/'TCO Inputs'!$AZ$84</f>
        <v>49.748290548090267</v>
      </c>
      <c r="EN131" s="125">
        <f>EN20/293.07*(1/(VLOOKUP($BM131,'Fuel economy adjusted factor'!$A$2:$L$52,5,FALSE)*m2k))/'TCO Inputs'!$AZ$84</f>
        <v>49.748290548090267</v>
      </c>
      <c r="EO131" s="125">
        <f>EO20/293.07*(1/(VLOOKUP($BM131,'Fuel economy adjusted factor'!$A$2:$L$52,5,FALSE)*m2k))/'TCO Inputs'!$AZ$84</f>
        <v>48.182485019053566</v>
      </c>
      <c r="EP131" s="125">
        <f>EP20/293.07*(1/(VLOOKUP($BM131,'Fuel economy adjusted factor'!$A$2:$L$52,5,FALSE)*m2k))/'TCO Inputs'!$AZ$84</f>
        <v>48.182485019053566</v>
      </c>
      <c r="EQ131" s="125">
        <f>EQ20/293.07*(1/(VLOOKUP($BM131,'Fuel economy adjusted factor'!$A$2:$L$52,5,FALSE)*m2k))/'TCO Inputs'!$AZ$84</f>
        <v>48.182485019053566</v>
      </c>
      <c r="ER131" s="125">
        <f>ER20/293.07*(1/(VLOOKUP($BM131,'Fuel economy adjusted factor'!$A$2:$L$52,5,FALSE)*m2k))/'TCO Inputs'!$AZ$84</f>
        <v>48.182485019053566</v>
      </c>
      <c r="ES131" s="125">
        <f>ES20/293.07*(1/(VLOOKUP($BM131,'Fuel economy adjusted factor'!$A$2:$L$52,5,FALSE)*m2k))/'TCO Inputs'!$AZ$84</f>
        <v>48.182485019053566</v>
      </c>
      <c r="ET131" s="125">
        <f>ET20/293.07*(1/(VLOOKUP($BM131,'Fuel economy adjusted factor'!$A$2:$L$52,5,FALSE)*m2k))/'TCO Inputs'!$AZ$84</f>
        <v>46.393535124754258</v>
      </c>
      <c r="EU131" s="125">
        <f>EU20/293.07*(1/(VLOOKUP($BM131,'Fuel economy adjusted factor'!$A$2:$L$52,5,FALSE)*m2k))/'TCO Inputs'!$AZ$84</f>
        <v>46.393535124754258</v>
      </c>
      <c r="EV131" s="125">
        <f>EV20/293.07*(1/(VLOOKUP($BM131,'Fuel economy adjusted factor'!$A$2:$L$52,5,FALSE)*m2k))/'TCO Inputs'!$AZ$84</f>
        <v>46.393535124754258</v>
      </c>
      <c r="EW131" s="125">
        <f>EW20/293.07*(1/(VLOOKUP($BM131,'Fuel economy adjusted factor'!$A$2:$L$52,5,FALSE)*m2k))/'TCO Inputs'!$AZ$84</f>
        <v>46.393535124754258</v>
      </c>
      <c r="EX131" s="125">
        <f>EX20/293.07*(1/(VLOOKUP($BM131,'Fuel economy adjusted factor'!$A$2:$L$52,5,FALSE)*m2k))/'TCO Inputs'!$AZ$84</f>
        <v>46.393535124754258</v>
      </c>
      <c r="EY131" s="125">
        <f>EY20/293.07*(1/(VLOOKUP($BM131,'Fuel economy adjusted factor'!$A$2:$L$52,5,FALSE)*m2k))/'TCO Inputs'!$AZ$84</f>
        <v>43.588291675738439</v>
      </c>
      <c r="EZ131" s="98" cm="1">
        <f t="array" ref="EZ131">SUMPRODUCT(INDEX(DX131:EY131,,'TCO Inputs'!$AZ$12-2023+_xlfn.SEQUENCE('TCO Inputs'!$AZ$13))*INDEX('VKT US'!C77:AA77,,_xlfn.SEQUENCE('TCO Inputs'!$AZ$13)))*m2k*CONVERT(0.9072,"g","ton")</f>
        <v>23.757929617593639</v>
      </c>
      <c r="FB131" s="123" t="s">
        <v>195</v>
      </c>
      <c r="FC131" s="125">
        <f>FC20/293.07*(1/(VLOOKUP($BM131,'Fuel economy adjusted factor'!$A$2:$L$52,5,FALSE)*m2k))/'TCO Inputs'!$AZ$84</f>
        <v>111.82492777972055</v>
      </c>
      <c r="FD131" s="125">
        <f>FD20/293.07*(1/(VLOOKUP($BM131,'Fuel economy adjusted factor'!$A$2:$L$52,5,FALSE)*m2k))/'TCO Inputs'!$AZ$84</f>
        <v>111.82492777972055</v>
      </c>
      <c r="FE131" s="125">
        <f>FE20/293.07*(1/(VLOOKUP($BM131,'Fuel economy adjusted factor'!$A$2:$L$52,5,FALSE)*m2k))/'TCO Inputs'!$AZ$84</f>
        <v>97.656778574423399</v>
      </c>
      <c r="FF131" s="125">
        <f>FF20/293.07*(1/(VLOOKUP($BM131,'Fuel economy adjusted factor'!$A$2:$L$52,5,FALSE)*m2k))/'TCO Inputs'!$AZ$84</f>
        <v>97.656778574423399</v>
      </c>
      <c r="FG131" s="125">
        <f>FG20/293.07*(1/(VLOOKUP($BM131,'Fuel economy adjusted factor'!$A$2:$L$52,5,FALSE)*m2k))/'TCO Inputs'!$AZ$84</f>
        <v>97.656778574423399</v>
      </c>
      <c r="FH131" s="125">
        <f>FH20/293.07*(1/(VLOOKUP($BM131,'Fuel economy adjusted factor'!$A$2:$L$52,5,FALSE)*m2k))/'TCO Inputs'!$AZ$84</f>
        <v>97.656778574423399</v>
      </c>
      <c r="FI131" s="125">
        <f>FI20/293.07*(1/(VLOOKUP($BM131,'Fuel economy adjusted factor'!$A$2:$L$52,5,FALSE)*m2k))/'TCO Inputs'!$AZ$84</f>
        <v>97.656778574423399</v>
      </c>
      <c r="FJ131" s="125">
        <f>FJ20/293.07*(1/(VLOOKUP($BM131,'Fuel economy adjusted factor'!$A$2:$L$52,5,FALSE)*m2k))/'TCO Inputs'!$AZ$84</f>
        <v>61.281970053297059</v>
      </c>
      <c r="FK131" s="125">
        <f>FK20/293.07*(1/(VLOOKUP($BM131,'Fuel economy adjusted factor'!$A$2:$L$52,5,FALSE)*m2k))/'TCO Inputs'!$AZ$84</f>
        <v>61.281970053297059</v>
      </c>
      <c r="FL131" s="125">
        <f>FL20/293.07*(1/(VLOOKUP($BM131,'Fuel economy adjusted factor'!$A$2:$L$52,5,FALSE)*m2k))/'TCO Inputs'!$AZ$84</f>
        <v>61.281970053297059</v>
      </c>
      <c r="FM131" s="125">
        <f>FM20/293.07*(1/(VLOOKUP($BM131,'Fuel economy adjusted factor'!$A$2:$L$52,5,FALSE)*m2k))/'TCO Inputs'!$AZ$84</f>
        <v>61.281970053297059</v>
      </c>
      <c r="FN131" s="125">
        <f>FN20/293.07*(1/(VLOOKUP($BM131,'Fuel economy adjusted factor'!$A$2:$L$52,5,FALSE)*m2k))/'TCO Inputs'!$AZ$84</f>
        <v>61.281970053297059</v>
      </c>
      <c r="FO131" s="125">
        <f>FO20/293.07*(1/(VLOOKUP($BM131,'Fuel economy adjusted factor'!$A$2:$L$52,5,FALSE)*m2k))/'TCO Inputs'!$AZ$84</f>
        <v>54.415347357613598</v>
      </c>
      <c r="FP131" s="125">
        <f>FP20/293.07*(1/(VLOOKUP($BM131,'Fuel economy adjusted factor'!$A$2:$L$52,5,FALSE)*m2k))/'TCO Inputs'!$AZ$84</f>
        <v>54.415347357613598</v>
      </c>
      <c r="FQ131" s="125">
        <f>FQ20/293.07*(1/(VLOOKUP($BM131,'Fuel economy adjusted factor'!$A$2:$L$52,5,FALSE)*m2k))/'TCO Inputs'!$AZ$84</f>
        <v>54.415347357613598</v>
      </c>
      <c r="FR131" s="125">
        <f>FR20/293.07*(1/(VLOOKUP($BM131,'Fuel economy adjusted factor'!$A$2:$L$52,5,FALSE)*m2k))/'TCO Inputs'!$AZ$84</f>
        <v>54.415347357613598</v>
      </c>
      <c r="FS131" s="125">
        <f>FS20/293.07*(1/(VLOOKUP($BM131,'Fuel economy adjusted factor'!$A$2:$L$52,5,FALSE)*m2k))/'TCO Inputs'!$AZ$84</f>
        <v>54.415347357613598</v>
      </c>
      <c r="FT131" s="125">
        <f>FT20/293.07*(1/(VLOOKUP($BM131,'Fuel economy adjusted factor'!$A$2:$L$52,5,FALSE)*m2k))/'TCO Inputs'!$AZ$84</f>
        <v>53.030182505218072</v>
      </c>
      <c r="FU131" s="125">
        <f>FU20/293.07*(1/(VLOOKUP($BM131,'Fuel economy adjusted factor'!$A$2:$L$52,5,FALSE)*m2k))/'TCO Inputs'!$AZ$84</f>
        <v>53.030182505218072</v>
      </c>
      <c r="FV131" s="125">
        <f>FV20/293.07*(1/(VLOOKUP($BM131,'Fuel economy adjusted factor'!$A$2:$L$52,5,FALSE)*m2k))/'TCO Inputs'!$AZ$84</f>
        <v>53.030182505218072</v>
      </c>
      <c r="FW131" s="125">
        <f>FW20/293.07*(1/(VLOOKUP($BM131,'Fuel economy adjusted factor'!$A$2:$L$52,5,FALSE)*m2k))/'TCO Inputs'!$AZ$84</f>
        <v>53.030182505218072</v>
      </c>
      <c r="FX131" s="125">
        <f>FX20/293.07*(1/(VLOOKUP($BM131,'Fuel economy adjusted factor'!$A$2:$L$52,5,FALSE)*m2k))/'TCO Inputs'!$AZ$84</f>
        <v>53.030182505218072</v>
      </c>
      <c r="FY131" s="125">
        <f>FY20/293.07*(1/(VLOOKUP($BM131,'Fuel economy adjusted factor'!$A$2:$L$52,5,FALSE)*m2k))/'TCO Inputs'!$AZ$84</f>
        <v>51.237437638720415</v>
      </c>
      <c r="FZ131" s="125">
        <f>FZ20/293.07*(1/(VLOOKUP($BM131,'Fuel economy adjusted factor'!$A$2:$L$52,5,FALSE)*m2k))/'TCO Inputs'!$AZ$84</f>
        <v>51.237437638720415</v>
      </c>
      <c r="GA131" s="125">
        <f>GA20/293.07*(1/(VLOOKUP($BM131,'Fuel economy adjusted factor'!$A$2:$L$52,5,FALSE)*m2k))/'TCO Inputs'!$AZ$84</f>
        <v>51.237437638720415</v>
      </c>
      <c r="GB131" s="125">
        <f>GB20/293.07*(1/(VLOOKUP($BM131,'Fuel economy adjusted factor'!$A$2:$L$52,5,FALSE)*m2k))/'TCO Inputs'!$AZ$84</f>
        <v>51.237437638720415</v>
      </c>
      <c r="GC131" s="125">
        <f>GC20/293.07*(1/(VLOOKUP($BM131,'Fuel economy adjusted factor'!$A$2:$L$52,5,FALSE)*m2k))/'TCO Inputs'!$AZ$84</f>
        <v>51.237437638720415</v>
      </c>
      <c r="GD131" s="125">
        <f>GD20/293.07*(1/(VLOOKUP($BM131,'Fuel economy adjusted factor'!$A$2:$L$52,5,FALSE)*m2k))/'TCO Inputs'!$AZ$84</f>
        <v>48.335042901426988</v>
      </c>
      <c r="GE131" s="98" cm="1">
        <f t="array" ref="GE131">SUMPRODUCT(INDEX(FC131:GD131,,'TCO Inputs'!$AZ$12-2023+_xlfn.SEQUENCE('TCO Inputs'!$AZ$13))*INDEX('VKT US'!C77:AA77,,_xlfn.SEQUENCE('TCO Inputs'!$AZ$13)))*m2k*CONVERT(0.9072,"g","ton")</f>
        <v>25.831131725265116</v>
      </c>
      <c r="GH131" s="123" t="s">
        <v>195</v>
      </c>
      <c r="GI131" s="125">
        <f>GI20/293.07*(1/(VLOOKUP($BM131,'Fuel economy adjusted factor'!$A$2:$L$52,5,FALSE)*m2k))/'TCO Inputs'!$AZ$84</f>
        <v>97.158119227561016</v>
      </c>
      <c r="GJ131" s="125">
        <f>GJ20/293.07*(1/(VLOOKUP($BM131,'Fuel economy adjusted factor'!$A$2:$L$52,5,FALSE)*m2k))/'TCO Inputs'!$AZ$84</f>
        <v>97.158119227561016</v>
      </c>
      <c r="GK131" s="125">
        <f>GK20/293.07*(1/(VLOOKUP($BM131,'Fuel economy adjusted factor'!$A$2:$L$52,5,FALSE)*m2k))/'TCO Inputs'!$AZ$84</f>
        <v>85.420270218083303</v>
      </c>
      <c r="GL131" s="125">
        <f>GL20/293.07*(1/(VLOOKUP($BM131,'Fuel economy adjusted factor'!$A$2:$L$52,5,FALSE)*m2k))/'TCO Inputs'!$AZ$84</f>
        <v>85.420270218083303</v>
      </c>
      <c r="GM131" s="125">
        <f>GM20/293.07*(1/(VLOOKUP($BM131,'Fuel economy adjusted factor'!$A$2:$L$52,5,FALSE)*m2k))/'TCO Inputs'!$AZ$84</f>
        <v>85.420270218083303</v>
      </c>
      <c r="GN131" s="125">
        <f>GN20/293.07*(1/(VLOOKUP($BM131,'Fuel economy adjusted factor'!$A$2:$L$52,5,FALSE)*m2k))/'TCO Inputs'!$AZ$84</f>
        <v>85.420270218083303</v>
      </c>
      <c r="GO131" s="125">
        <f>GO20/293.07*(1/(VLOOKUP($BM131,'Fuel economy adjusted factor'!$A$2:$L$52,5,FALSE)*m2k))/'TCO Inputs'!$AZ$84</f>
        <v>85.420270218083303</v>
      </c>
      <c r="GP131" s="125">
        <f>GP20/293.07*(1/(VLOOKUP($BM131,'Fuel economy adjusted factor'!$A$2:$L$52,5,FALSE)*m2k))/'TCO Inputs'!$AZ$84</f>
        <v>51.903834756749617</v>
      </c>
      <c r="GQ131" s="125">
        <f>GQ20/293.07*(1/(VLOOKUP($BM131,'Fuel economy adjusted factor'!$A$2:$L$52,5,FALSE)*m2k))/'TCO Inputs'!$AZ$84</f>
        <v>51.903834756749617</v>
      </c>
      <c r="GR131" s="125">
        <f>GR20/293.07*(1/(VLOOKUP($BM131,'Fuel economy adjusted factor'!$A$2:$L$52,5,FALSE)*m2k))/'TCO Inputs'!$AZ$84</f>
        <v>51.903834756749617</v>
      </c>
      <c r="GS131" s="125">
        <f>GS20/293.07*(1/(VLOOKUP($BM131,'Fuel economy adjusted factor'!$A$2:$L$52,5,FALSE)*m2k))/'TCO Inputs'!$AZ$84</f>
        <v>51.903834756749617</v>
      </c>
      <c r="GT131" s="125">
        <f>GT20/293.07*(1/(VLOOKUP($BM131,'Fuel economy adjusted factor'!$A$2:$L$52,5,FALSE)*m2k))/'TCO Inputs'!$AZ$84</f>
        <v>51.903834756749617</v>
      </c>
      <c r="GU131" s="125">
        <f>GU20/293.07*(1/(VLOOKUP($BM131,'Fuel economy adjusted factor'!$A$2:$L$52,5,FALSE)*m2k))/'TCO Inputs'!$AZ$84</f>
        <v>46.57189881807642</v>
      </c>
      <c r="GV131" s="125">
        <f>GV20/293.07*(1/(VLOOKUP($BM131,'Fuel economy adjusted factor'!$A$2:$L$52,5,FALSE)*m2k))/'TCO Inputs'!$AZ$84</f>
        <v>46.57189881807642</v>
      </c>
      <c r="GW131" s="125">
        <f>GW20/293.07*(1/(VLOOKUP($BM131,'Fuel economy adjusted factor'!$A$2:$L$52,5,FALSE)*m2k))/'TCO Inputs'!$AZ$84</f>
        <v>46.57189881807642</v>
      </c>
      <c r="GX131" s="125">
        <f>GX20/293.07*(1/(VLOOKUP($BM131,'Fuel economy adjusted factor'!$A$2:$L$52,5,FALSE)*m2k))/'TCO Inputs'!$AZ$84</f>
        <v>46.57189881807642</v>
      </c>
      <c r="GY131" s="125">
        <f>GY20/293.07*(1/(VLOOKUP($BM131,'Fuel economy adjusted factor'!$A$2:$L$52,5,FALSE)*m2k))/'TCO Inputs'!$AZ$84</f>
        <v>46.57189881807642</v>
      </c>
      <c r="GZ131" s="125">
        <f>GZ20/293.07*(1/(VLOOKUP($BM131,'Fuel economy adjusted factor'!$A$2:$L$52,5,FALSE)*m2k))/'TCO Inputs'!$AZ$84</f>
        <v>44.883136189813392</v>
      </c>
      <c r="HA131" s="125">
        <f>HA20/293.07*(1/(VLOOKUP($BM131,'Fuel economy adjusted factor'!$A$2:$L$52,5,FALSE)*m2k))/'TCO Inputs'!$AZ$84</f>
        <v>44.883136189813392</v>
      </c>
      <c r="HB131" s="125">
        <f>HB20/293.07*(1/(VLOOKUP($BM131,'Fuel economy adjusted factor'!$A$2:$L$52,5,FALSE)*m2k))/'TCO Inputs'!$AZ$84</f>
        <v>44.883136189813392</v>
      </c>
      <c r="HC131" s="125">
        <f>HC20/293.07*(1/(VLOOKUP($BM131,'Fuel economy adjusted factor'!$A$2:$L$52,5,FALSE)*m2k))/'TCO Inputs'!$AZ$84</f>
        <v>44.883136189813392</v>
      </c>
      <c r="HD131" s="125">
        <f>HD20/293.07*(1/(VLOOKUP($BM131,'Fuel economy adjusted factor'!$A$2:$L$52,5,FALSE)*m2k))/'TCO Inputs'!$AZ$84</f>
        <v>44.883136189813392</v>
      </c>
      <c r="HE131" s="125">
        <f>HE20/293.07*(1/(VLOOKUP($BM131,'Fuel economy adjusted factor'!$A$2:$L$52,5,FALSE)*m2k))/'TCO Inputs'!$AZ$84</f>
        <v>43.096463278833077</v>
      </c>
      <c r="HF131" s="125">
        <f>HF20/293.07*(1/(VLOOKUP($BM131,'Fuel economy adjusted factor'!$A$2:$L$52,5,FALSE)*m2k))/'TCO Inputs'!$AZ$84</f>
        <v>43.096463278833077</v>
      </c>
      <c r="HG131" s="125">
        <f>HG20/293.07*(1/(VLOOKUP($BM131,'Fuel economy adjusted factor'!$A$2:$L$52,5,FALSE)*m2k))/'TCO Inputs'!$AZ$84</f>
        <v>43.096463278833077</v>
      </c>
      <c r="HH131" s="125">
        <f>HH20/293.07*(1/(VLOOKUP($BM131,'Fuel economy adjusted factor'!$A$2:$L$52,5,FALSE)*m2k))/'TCO Inputs'!$AZ$84</f>
        <v>43.096463278833077</v>
      </c>
      <c r="HI131" s="125">
        <f>HI20/293.07*(1/(VLOOKUP($BM131,'Fuel economy adjusted factor'!$A$2:$L$52,5,FALSE)*m2k))/'TCO Inputs'!$AZ$84</f>
        <v>43.096463278833077</v>
      </c>
      <c r="HJ131" s="125">
        <f>HJ20/293.07*(1/(VLOOKUP($BM131,'Fuel economy adjusted factor'!$A$2:$L$52,5,FALSE)*m2k))/'TCO Inputs'!$AZ$84</f>
        <v>40.358011340508106</v>
      </c>
      <c r="HK131" s="98" cm="1">
        <f t="array" ref="HK131">SUMPRODUCT(INDEX(GI131:HJ131,,'TCO Inputs'!$AZ$12-2023+_xlfn.SEQUENCE('TCO Inputs'!$AZ$13))*INDEX('VKT US'!C77:AA77,,_xlfn.SEQUENCE('TCO Inputs'!$AZ$13)))*m2k*CONVERT(0.9072,"g","ton")</f>
        <v>22.346871841388857</v>
      </c>
    </row>
    <row r="132" spans="17:219" x14ac:dyDescent="0.25">
      <c r="Q132" s="198" t="s">
        <v>549</v>
      </c>
      <c r="R132" s="197">
        <f>'100%NG_methaneleaking'!AD221/'Scenario analysis'!$DU$167</f>
        <v>1.1952252078448478</v>
      </c>
      <c r="Z132" s="123" t="s">
        <v>199</v>
      </c>
      <c r="AA132" s="125">
        <f>AA21/293.07*(1/(VLOOKUP($Z132,'Fuel economy adjusted factor'!$A$2:$L$52,5,FALSE)*m2k))/'TCO Inputs'!$AZ$84</f>
        <v>85.076437942371697</v>
      </c>
      <c r="AB132" s="125">
        <f>AB21/293.07*(1/(VLOOKUP($Z132,'Fuel economy adjusted factor'!$A$2:$L$52,5,FALSE)*m2k))/'TCO Inputs'!$AZ$84</f>
        <v>85.076437942371697</v>
      </c>
      <c r="AC132" s="125">
        <f>AC21/293.07*(1/(VLOOKUP($Z132,'Fuel economy adjusted factor'!$A$2:$L$52,5,FALSE)*m2k))/'TCO Inputs'!$AZ$84</f>
        <v>74.82420298653085</v>
      </c>
      <c r="AD132" s="125">
        <f>AD21/293.07*(1/(VLOOKUP($Z132,'Fuel economy adjusted factor'!$A$2:$L$52,5,FALSE)*m2k))/'TCO Inputs'!$AZ$84</f>
        <v>74.82420298653085</v>
      </c>
      <c r="AE132" s="125">
        <f>AE21/293.07*(1/(VLOOKUP($Z132,'Fuel economy adjusted factor'!$A$2:$L$52,5,FALSE)*m2k))/'TCO Inputs'!$AZ$84</f>
        <v>74.82420298653085</v>
      </c>
      <c r="AF132" s="125">
        <f>AF21/293.07*(1/(VLOOKUP($Z132,'Fuel economy adjusted factor'!$A$2:$L$52,5,FALSE)*m2k))/'TCO Inputs'!$AZ$84</f>
        <v>74.82420298653085</v>
      </c>
      <c r="AG132" s="125">
        <f>AG21/293.07*(1/(VLOOKUP($Z132,'Fuel economy adjusted factor'!$A$2:$L$52,5,FALSE)*m2k))/'TCO Inputs'!$AZ$84</f>
        <v>74.82420298653085</v>
      </c>
      <c r="AH132" s="125">
        <f>AH21/293.07*(1/(VLOOKUP($Z132,'Fuel economy adjusted factor'!$A$2:$L$52,5,FALSE)*m2k))/'TCO Inputs'!$AZ$84</f>
        <v>44.957200928695272</v>
      </c>
      <c r="AI132" s="125">
        <f>AI21/293.07*(1/(VLOOKUP($Z132,'Fuel economy adjusted factor'!$A$2:$L$52,5,FALSE)*m2k))/'TCO Inputs'!$AZ$84</f>
        <v>44.957200928695272</v>
      </c>
      <c r="AJ132" s="125">
        <f>AJ21/293.07*(1/(VLOOKUP($Z132,'Fuel economy adjusted factor'!$A$2:$L$52,5,FALSE)*m2k))/'TCO Inputs'!$AZ$84</f>
        <v>44.957200928695272</v>
      </c>
      <c r="AK132" s="125">
        <f>AK21/293.07*(1/(VLOOKUP($Z132,'Fuel economy adjusted factor'!$A$2:$L$52,5,FALSE)*m2k))/'TCO Inputs'!$AZ$84</f>
        <v>44.957200928695272</v>
      </c>
      <c r="AL132" s="125">
        <f>AL21/293.07*(1/(VLOOKUP($Z132,'Fuel economy adjusted factor'!$A$2:$L$52,5,FALSE)*m2k))/'TCO Inputs'!$AZ$84</f>
        <v>44.957200928695272</v>
      </c>
      <c r="AM132" s="125">
        <f>AM21/293.07*(1/(VLOOKUP($Z132,'Fuel economy adjusted factor'!$A$2:$L$52,5,FALSE)*m2k))/'TCO Inputs'!$AZ$84</f>
        <v>47.046724034423022</v>
      </c>
      <c r="AN132" s="125">
        <f>AN21/293.07*(1/(VLOOKUP($Z132,'Fuel economy adjusted factor'!$A$2:$L$52,5,FALSE)*m2k))/'TCO Inputs'!$AZ$84</f>
        <v>47.046724034423022</v>
      </c>
      <c r="AO132" s="125">
        <f>AO21/293.07*(1/(VLOOKUP($Z132,'Fuel economy adjusted factor'!$A$2:$L$52,5,FALSE)*m2k))/'TCO Inputs'!$AZ$84</f>
        <v>47.046724034423022</v>
      </c>
      <c r="AP132" s="125">
        <f>AP21/293.07*(1/(VLOOKUP($Z132,'Fuel economy adjusted factor'!$A$2:$L$52,5,FALSE)*m2k))/'TCO Inputs'!$AZ$84</f>
        <v>47.046724034423022</v>
      </c>
      <c r="AQ132" s="125">
        <f>AQ21/293.07*(1/(VLOOKUP($Z132,'Fuel economy adjusted factor'!$A$2:$L$52,5,FALSE)*m2k))/'TCO Inputs'!$AZ$84</f>
        <v>47.046724034423022</v>
      </c>
      <c r="AR132" s="125">
        <f>AR21/293.07*(1/(VLOOKUP($Z132,'Fuel economy adjusted factor'!$A$2:$L$52,5,FALSE)*m2k))/'TCO Inputs'!$AZ$84</f>
        <v>49.180174987054997</v>
      </c>
      <c r="AS132" s="125">
        <f>AS21/293.07*(1/(VLOOKUP($Z132,'Fuel economy adjusted factor'!$A$2:$L$52,5,FALSE)*m2k))/'TCO Inputs'!$AZ$84</f>
        <v>49.180174987054997</v>
      </c>
      <c r="AT132" s="125">
        <f>AT21/293.07*(1/(VLOOKUP($Z132,'Fuel economy adjusted factor'!$A$2:$L$52,5,FALSE)*m2k))/'TCO Inputs'!$AZ$84</f>
        <v>49.180174987054997</v>
      </c>
      <c r="AU132" s="125">
        <f>AU21/293.07*(1/(VLOOKUP($Z132,'Fuel economy adjusted factor'!$A$2:$L$52,5,FALSE)*m2k))/'TCO Inputs'!$AZ$84</f>
        <v>49.180174987054997</v>
      </c>
      <c r="AV132" s="125">
        <f>AV21/293.07*(1/(VLOOKUP($Z132,'Fuel economy adjusted factor'!$A$2:$L$52,5,FALSE)*m2k))/'TCO Inputs'!$AZ$84</f>
        <v>49.180174987054997</v>
      </c>
      <c r="AW132" s="125">
        <f>AW21/293.07*(1/(VLOOKUP($Z132,'Fuel economy adjusted factor'!$A$2:$L$52,5,FALSE)*m2k))/'TCO Inputs'!$AZ$84</f>
        <v>50.259357613985621</v>
      </c>
      <c r="AX132" s="125">
        <f>AX21/293.07*(1/(VLOOKUP($Z132,'Fuel economy adjusted factor'!$A$2:$L$52,5,FALSE)*m2k))/'TCO Inputs'!$AZ$84</f>
        <v>50.259357613985621</v>
      </c>
      <c r="AY132" s="125">
        <f>AY21/293.07*(1/(VLOOKUP($Z132,'Fuel economy adjusted factor'!$A$2:$L$52,5,FALSE)*m2k))/'TCO Inputs'!$AZ$84</f>
        <v>50.259357613985621</v>
      </c>
      <c r="AZ132" s="125">
        <f>AZ21/293.07*(1/(VLOOKUP($Z132,'Fuel economy adjusted factor'!$A$2:$L$52,5,FALSE)*m2k))/'TCO Inputs'!$AZ$84</f>
        <v>50.259357613985621</v>
      </c>
      <c r="BA132" s="125">
        <f>BA21/293.07*(1/(VLOOKUP($Z132,'Fuel economy adjusted factor'!$A$2:$L$52,5,FALSE)*m2k))/'TCO Inputs'!$AZ$84</f>
        <v>50.259357613985621</v>
      </c>
      <c r="BB132" s="125">
        <f>BB21/293.07*(1/(VLOOKUP($Z132,'Fuel economy adjusted factor'!$A$2:$L$52,5,FALSE)*m2k))/'TCO Inputs'!$AZ$84</f>
        <v>50.32754412261307</v>
      </c>
      <c r="BC132" s="98" cm="1">
        <f t="array" ref="BC132">SUMPRODUCT(INDEX(AA132:BB132,,'TCO Inputs'!$AZ$12-2023+_xlfn.SEQUENCE('TCO Inputs'!$AZ$13))*INDEX('VKT US'!C78:AA78,,_xlfn.SEQUENCE('TCO Inputs'!$AZ$13)))*m2k*CONVERT(0.9072,"g","ton")</f>
        <v>19.803009187612922</v>
      </c>
      <c r="BM132" s="123" t="s">
        <v>199</v>
      </c>
      <c r="BN132" s="125">
        <f>BN21/293.07*(1/(VLOOKUP($BM132,'Fuel economy adjusted factor'!$A$2:$L$52,5,FALSE)*m2k))</f>
        <v>72.314972251015945</v>
      </c>
      <c r="BO132" s="125">
        <f>BO21/293.07*(1/(VLOOKUP($BM132,'Fuel economy adjusted factor'!$A$2:$L$52,5,FALSE)*m2k))</f>
        <v>72.314972251015945</v>
      </c>
      <c r="BP132" s="125">
        <f>BP21/293.07*(1/(VLOOKUP($BM132,'Fuel economy adjusted factor'!$A$2:$L$52,5,FALSE)*m2k))</f>
        <v>63.51753579511211</v>
      </c>
      <c r="BQ132" s="125">
        <f>BQ21/293.07*(1/(VLOOKUP($BM132,'Fuel economy adjusted factor'!$A$2:$L$52,5,FALSE)*m2k))</f>
        <v>63.51753579511211</v>
      </c>
      <c r="BR132" s="125">
        <f>BR21/293.07*(1/(VLOOKUP($BM132,'Fuel economy adjusted factor'!$A$2:$L$52,5,FALSE)*m2k))</f>
        <v>63.51753579511211</v>
      </c>
      <c r="BS132" s="125">
        <f>BS21/293.07*(1/(VLOOKUP($BM132,'Fuel economy adjusted factor'!$A$2:$L$52,5,FALSE)*m2k))</f>
        <v>63.51753579511211</v>
      </c>
      <c r="BT132" s="125">
        <f>BT21/293.07*(1/(VLOOKUP($BM132,'Fuel economy adjusted factor'!$A$2:$L$52,5,FALSE)*m2k))</f>
        <v>63.51753579511211</v>
      </c>
      <c r="BU132" s="125">
        <f>BU21/293.07*(1/(VLOOKUP($BM132,'Fuel economy adjusted factor'!$A$2:$L$52,5,FALSE)*m2k))</f>
        <v>72.001215965403773</v>
      </c>
      <c r="BV132" s="125">
        <f>BV21/293.07*(1/(VLOOKUP($BM132,'Fuel economy adjusted factor'!$A$2:$L$52,5,FALSE)*m2k))</f>
        <v>72.001215965403773</v>
      </c>
      <c r="BW132" s="125">
        <f>BW21/293.07*(1/(VLOOKUP($BM132,'Fuel economy adjusted factor'!$A$2:$L$52,5,FALSE)*m2k))</f>
        <v>72.001215965403773</v>
      </c>
      <c r="BX132" s="125">
        <f>BX21/293.07*(1/(VLOOKUP($BM132,'Fuel economy adjusted factor'!$A$2:$L$52,5,FALSE)*m2k))</f>
        <v>72.001215965403773</v>
      </c>
      <c r="BY132" s="125">
        <f>BY21/293.07*(1/(VLOOKUP($BM132,'Fuel economy adjusted factor'!$A$2:$L$52,5,FALSE)*m2k))</f>
        <v>72.001215965403773</v>
      </c>
      <c r="BZ132" s="125">
        <f>BZ21/293.07*(1/(VLOOKUP($BM132,'Fuel economy adjusted factor'!$A$2:$L$52,5,FALSE)*m2k))</f>
        <v>73.732727118862101</v>
      </c>
      <c r="CA132" s="125">
        <f>CA21/293.07*(1/(VLOOKUP($BM132,'Fuel economy adjusted factor'!$A$2:$L$52,5,FALSE)*m2k))</f>
        <v>73.732727118862101</v>
      </c>
      <c r="CB132" s="125">
        <f>CB21/293.07*(1/(VLOOKUP($BM132,'Fuel economy adjusted factor'!$A$2:$L$52,5,FALSE)*m2k))</f>
        <v>73.732727118862101</v>
      </c>
      <c r="CC132" s="125">
        <f>CC21/293.07*(1/(VLOOKUP($BM132,'Fuel economy adjusted factor'!$A$2:$L$52,5,FALSE)*m2k))</f>
        <v>73.732727118862101</v>
      </c>
      <c r="CD132" s="125">
        <f>CD21/293.07*(1/(VLOOKUP($BM132,'Fuel economy adjusted factor'!$A$2:$L$52,5,FALSE)*m2k))</f>
        <v>73.732727118862101</v>
      </c>
      <c r="CE132" s="125">
        <f>CE21/293.07*(1/(VLOOKUP($BM132,'Fuel economy adjusted factor'!$A$2:$L$52,5,FALSE)*m2k))</f>
        <v>75.55507712588134</v>
      </c>
      <c r="CF132" s="125">
        <f>CF21/293.07*(1/(VLOOKUP($BM132,'Fuel economy adjusted factor'!$A$2:$L$52,5,FALSE)*m2k))</f>
        <v>75.55507712588134</v>
      </c>
      <c r="CG132" s="125">
        <f>CG21/293.07*(1/(VLOOKUP($BM132,'Fuel economy adjusted factor'!$A$2:$L$52,5,FALSE)*m2k))</f>
        <v>75.55507712588134</v>
      </c>
      <c r="CH132" s="125">
        <f>CH21/293.07*(1/(VLOOKUP($BM132,'Fuel economy adjusted factor'!$A$2:$L$52,5,FALSE)*m2k))</f>
        <v>75.55507712588134</v>
      </c>
      <c r="CI132" s="125">
        <f>CI21/293.07*(1/(VLOOKUP($BM132,'Fuel economy adjusted factor'!$A$2:$L$52,5,FALSE)*m2k))</f>
        <v>75.55507712588134</v>
      </c>
      <c r="CJ132" s="125">
        <f>CJ21/293.07*(1/(VLOOKUP($BM132,'Fuel economy adjusted factor'!$A$2:$L$52,5,FALSE)*m2k))</f>
        <v>75.987536944060821</v>
      </c>
      <c r="CK132" s="125">
        <f>CK21/293.07*(1/(VLOOKUP($BM132,'Fuel economy adjusted factor'!$A$2:$L$52,5,FALSE)*m2k))</f>
        <v>75.987536944060821</v>
      </c>
      <c r="CL132" s="125">
        <f>CL21/293.07*(1/(VLOOKUP($BM132,'Fuel economy adjusted factor'!$A$2:$L$52,5,FALSE)*m2k))</f>
        <v>75.987536944060821</v>
      </c>
      <c r="CM132" s="125">
        <f>CM21/293.07*(1/(VLOOKUP($BM132,'Fuel economy adjusted factor'!$A$2:$L$52,5,FALSE)*m2k))</f>
        <v>75.987536944060821</v>
      </c>
      <c r="CN132" s="125">
        <f>CN21/293.07*(1/(VLOOKUP($BM132,'Fuel economy adjusted factor'!$A$2:$L$52,5,FALSE)*m2k))</f>
        <v>75.987536944060821</v>
      </c>
      <c r="CO132" s="125">
        <f>CO21/293.07*(1/(VLOOKUP($BM132,'Fuel economy adjusted factor'!$A$2:$L$52,5,FALSE)*m2k))</f>
        <v>76.504148092839671</v>
      </c>
      <c r="CP132" s="98" cm="1">
        <f t="array" ref="CP132">SUMPRODUCT(INDEX(BN132:CO132,,'TCO Inputs'!$AZ$12-2023+_xlfn.SEQUENCE('TCO Inputs'!$AZ$13))*INDEX('VKT US'!C78:AA78,,_xlfn.SEQUENCE('TCO Inputs'!$AZ$13)))*m2k*CONVERT(0.9072,"g","ton")</f>
        <v>21.569706549392848</v>
      </c>
      <c r="CQ132" s="194"/>
      <c r="CR132" s="123" t="s">
        <v>199</v>
      </c>
      <c r="CS132" s="125">
        <f>CS21/293.07*(1/(VLOOKUP($BM132,'Fuel economy adjusted factor'!$A$2:$L$52,5,FALSE)*m2k))/'TCO Inputs'!$AZ$84</f>
        <v>103.00490023484907</v>
      </c>
      <c r="CT132" s="125">
        <f>CT21/293.07*(1/(VLOOKUP($BM132,'Fuel economy adjusted factor'!$A$2:$L$52,5,FALSE)*m2k))/'TCO Inputs'!$AZ$84</f>
        <v>103.00490023484909</v>
      </c>
      <c r="CU132" s="125">
        <f>CU21/293.07*(1/(VLOOKUP($BM132,'Fuel economy adjusted factor'!$A$2:$L$52,5,FALSE)*m2k))/'TCO Inputs'!$AZ$84</f>
        <v>103.00490023484909</v>
      </c>
      <c r="CV132" s="125">
        <f>CV21/293.07*(1/(VLOOKUP($BM132,'Fuel economy adjusted factor'!$A$2:$L$52,5,FALSE)*m2k))/'TCO Inputs'!$AZ$84</f>
        <v>103.00490023484909</v>
      </c>
      <c r="CW132" s="125">
        <f>CW21/293.07*(1/(VLOOKUP($BM132,'Fuel economy adjusted factor'!$A$2:$L$52,5,FALSE)*m2k))/'TCO Inputs'!$AZ$84</f>
        <v>103.00490023484909</v>
      </c>
      <c r="CX132" s="125">
        <f>CX21/293.07*(1/(VLOOKUP($BM132,'Fuel economy adjusted factor'!$A$2:$L$52,5,FALSE)*m2k))/'TCO Inputs'!$AZ$84</f>
        <v>103.00490023484909</v>
      </c>
      <c r="CY132" s="125">
        <f>CY21/293.07*(1/(VLOOKUP($BM132,'Fuel economy adjusted factor'!$A$2:$L$52,5,FALSE)*m2k))/'TCO Inputs'!$AZ$84</f>
        <v>103.00490023484909</v>
      </c>
      <c r="CZ132" s="125">
        <f>CZ21/293.07*(1/(VLOOKUP($BM132,'Fuel economy adjusted factor'!$A$2:$L$52,5,FALSE)*m2k))/'TCO Inputs'!$AZ$84</f>
        <v>103.02784761756023</v>
      </c>
      <c r="DA132" s="125">
        <f>DA21/293.07*(1/(VLOOKUP($BM132,'Fuel economy adjusted factor'!$A$2:$L$52,5,FALSE)*m2k))/'TCO Inputs'!$AZ$84</f>
        <v>103.02784761756023</v>
      </c>
      <c r="DB132" s="125">
        <f>DB21/293.07*(1/(VLOOKUP($BM132,'Fuel economy adjusted factor'!$A$2:$L$52,5,FALSE)*m2k))/'TCO Inputs'!$AZ$84</f>
        <v>103.02784761756023</v>
      </c>
      <c r="DC132" s="125">
        <f>DC21/293.07*(1/(VLOOKUP($BM132,'Fuel economy adjusted factor'!$A$2:$L$52,5,FALSE)*m2k))/'TCO Inputs'!$AZ$84</f>
        <v>103.02784761756023</v>
      </c>
      <c r="DD132" s="125">
        <f>DD21/293.07*(1/(VLOOKUP($BM132,'Fuel economy adjusted factor'!$A$2:$L$52,5,FALSE)*m2k))/'TCO Inputs'!$AZ$84</f>
        <v>103.02784761756023</v>
      </c>
      <c r="DE132" s="125">
        <f>DE21/293.07*(1/(VLOOKUP($BM132,'Fuel economy adjusted factor'!$A$2:$L$52,5,FALSE)*m2k))/'TCO Inputs'!$AZ$84</f>
        <v>103.01473482743955</v>
      </c>
      <c r="DF132" s="125">
        <f>DF21/293.07*(1/(VLOOKUP($BM132,'Fuel economy adjusted factor'!$A$2:$L$52,5,FALSE)*m2k))/'TCO Inputs'!$AZ$84</f>
        <v>103.01473482743955</v>
      </c>
      <c r="DG132" s="125">
        <f>DG21/293.07*(1/(VLOOKUP($BM132,'Fuel economy adjusted factor'!$A$2:$L$52,5,FALSE)*m2k))/'TCO Inputs'!$AZ$84</f>
        <v>103.01473482743955</v>
      </c>
      <c r="DH132" s="125">
        <f>DH21/293.07*(1/(VLOOKUP($BM132,'Fuel economy adjusted factor'!$A$2:$L$52,5,FALSE)*m2k))/'TCO Inputs'!$AZ$84</f>
        <v>103.01473482743955</v>
      </c>
      <c r="DI132" s="125">
        <f>DI21/293.07*(1/(VLOOKUP($BM132,'Fuel economy adjusted factor'!$A$2:$L$52,5,FALSE)*m2k))/'TCO Inputs'!$AZ$84</f>
        <v>103.01473482743955</v>
      </c>
      <c r="DJ132" s="125">
        <f>DJ21/293.07*(1/(VLOOKUP($BM132,'Fuel economy adjusted factor'!$A$2:$L$52,5,FALSE)*m2k))/'TCO Inputs'!$AZ$84</f>
        <v>103.01145662990939</v>
      </c>
      <c r="DK132" s="125">
        <f>DK21/293.07*(1/(VLOOKUP($BM132,'Fuel economy adjusted factor'!$A$2:$L$52,5,FALSE)*m2k))/'TCO Inputs'!$AZ$84</f>
        <v>103.01145662990939</v>
      </c>
      <c r="DL132" s="125">
        <f>DL21/293.07*(1/(VLOOKUP($BM132,'Fuel economy adjusted factor'!$A$2:$L$52,5,FALSE)*m2k))/'TCO Inputs'!$AZ$84</f>
        <v>103.01145662990939</v>
      </c>
      <c r="DM132" s="125">
        <f>DM21/293.07*(1/(VLOOKUP($BM132,'Fuel economy adjusted factor'!$A$2:$L$52,5,FALSE)*m2k))/'TCO Inputs'!$AZ$84</f>
        <v>103.01145662990939</v>
      </c>
      <c r="DN132" s="125">
        <f>DN21/293.07*(1/(VLOOKUP($BM132,'Fuel economy adjusted factor'!$A$2:$L$52,5,FALSE)*m2k))/'TCO Inputs'!$AZ$84</f>
        <v>103.01145662990939</v>
      </c>
      <c r="DO132" s="125">
        <f>DO21/293.07*(1/(VLOOKUP($BM132,'Fuel economy adjusted factor'!$A$2:$L$52,5,FALSE)*m2k))/'TCO Inputs'!$AZ$84</f>
        <v>102.94785959782418</v>
      </c>
      <c r="DP132" s="125">
        <f>DP21/293.07*(1/(VLOOKUP($BM132,'Fuel economy adjusted factor'!$A$2:$L$52,5,FALSE)*m2k))/'TCO Inputs'!$AZ$84</f>
        <v>102.94785959782418</v>
      </c>
      <c r="DQ132" s="125">
        <f>DQ21/293.07*(1/(VLOOKUP($BM132,'Fuel economy adjusted factor'!$A$2:$L$52,5,FALSE)*m2k))/'TCO Inputs'!$AZ$84</f>
        <v>102.94785959782418</v>
      </c>
      <c r="DR132" s="125">
        <f>DR21/293.07*(1/(VLOOKUP($BM132,'Fuel economy adjusted factor'!$A$2:$L$52,5,FALSE)*m2k))/'TCO Inputs'!$AZ$84</f>
        <v>102.94785959782418</v>
      </c>
      <c r="DS132" s="125">
        <f>DS21/293.07*(1/(VLOOKUP($BM132,'Fuel economy adjusted factor'!$A$2:$L$52,5,FALSE)*m2k))/'TCO Inputs'!$AZ$84</f>
        <v>102.94785959782418</v>
      </c>
      <c r="DT132" s="125">
        <f>DT21/293.07*(1/(VLOOKUP($BM132,'Fuel economy adjusted factor'!$A$2:$L$52,5,FALSE)*m2k))/'TCO Inputs'!$AZ$84</f>
        <v>103.00096639781287</v>
      </c>
      <c r="DU132" s="98" cm="1">
        <f t="array" ref="DU132">SUMPRODUCT(INDEX(CS132:DT132,,'TCO Inputs'!$AZ$12-2023+_xlfn.SEQUENCE('TCO Inputs'!$AZ$13))*INDEX('VKT US'!C78:AA78,,_xlfn.SEQUENCE('TCO Inputs'!$AZ$13)))*m2k*CONVERT(0.9072,"g","ton")</f>
        <v>32.18897030950162</v>
      </c>
      <c r="DW132" s="123" t="s">
        <v>199</v>
      </c>
      <c r="DX132" s="125">
        <f>DX21/293.07*(1/(VLOOKUP($BM132,'Fuel economy adjusted factor'!$A$2:$L$52,5,FALSE)*m2k))/'TCO Inputs'!$AZ$84</f>
        <v>107.8264703832486</v>
      </c>
      <c r="DY132" s="125">
        <f>DY21/293.07*(1/(VLOOKUP($BM132,'Fuel economy adjusted factor'!$A$2:$L$52,5,FALSE)*m2k))/'TCO Inputs'!$AZ$84</f>
        <v>107.8264703832486</v>
      </c>
      <c r="DZ132" s="125">
        <f>DZ21/293.07*(1/(VLOOKUP($BM132,'Fuel economy adjusted factor'!$A$2:$L$52,5,FALSE)*m2k))/'TCO Inputs'!$AZ$84</f>
        <v>94.520714896341602</v>
      </c>
      <c r="EA132" s="125">
        <f>EA21/293.07*(1/(VLOOKUP($BM132,'Fuel economy adjusted factor'!$A$2:$L$52,5,FALSE)*m2k))/'TCO Inputs'!$AZ$84</f>
        <v>94.520714896341602</v>
      </c>
      <c r="EB132" s="125">
        <f>EB21/293.07*(1/(VLOOKUP($BM132,'Fuel economy adjusted factor'!$A$2:$L$52,5,FALSE)*m2k))/'TCO Inputs'!$AZ$84</f>
        <v>94.520714896341602</v>
      </c>
      <c r="EC132" s="125">
        <f>EC21/293.07*(1/(VLOOKUP($BM132,'Fuel economy adjusted factor'!$A$2:$L$52,5,FALSE)*m2k))/'TCO Inputs'!$AZ$84</f>
        <v>94.520714896341602</v>
      </c>
      <c r="ED132" s="125">
        <f>ED21/293.07*(1/(VLOOKUP($BM132,'Fuel economy adjusted factor'!$A$2:$L$52,5,FALSE)*m2k))/'TCO Inputs'!$AZ$84</f>
        <v>94.520714896341602</v>
      </c>
      <c r="EE132" s="125">
        <f>EE21/293.07*(1/(VLOOKUP($BM132,'Fuel economy adjusted factor'!$A$2:$L$52,5,FALSE)*m2k))/'TCO Inputs'!$AZ$84</f>
        <v>58.25653796853706</v>
      </c>
      <c r="EF132" s="125">
        <f>EF21/293.07*(1/(VLOOKUP($BM132,'Fuel economy adjusted factor'!$A$2:$L$52,5,FALSE)*m2k))/'TCO Inputs'!$AZ$84</f>
        <v>58.25653796853706</v>
      </c>
      <c r="EG132" s="125">
        <f>EG21/293.07*(1/(VLOOKUP($BM132,'Fuel economy adjusted factor'!$A$2:$L$52,5,FALSE)*m2k))/'TCO Inputs'!$AZ$84</f>
        <v>58.25653796853706</v>
      </c>
      <c r="EH132" s="125">
        <f>EH21/293.07*(1/(VLOOKUP($BM132,'Fuel economy adjusted factor'!$A$2:$L$52,5,FALSE)*m2k))/'TCO Inputs'!$AZ$84</f>
        <v>58.25653796853706</v>
      </c>
      <c r="EI132" s="125">
        <f>EI21/293.07*(1/(VLOOKUP($BM132,'Fuel economy adjusted factor'!$A$2:$L$52,5,FALSE)*m2k))/'TCO Inputs'!$AZ$84</f>
        <v>58.25653796853706</v>
      </c>
      <c r="EJ132" s="125">
        <f>EJ21/293.07*(1/(VLOOKUP($BM132,'Fuel economy adjusted factor'!$A$2:$L$52,5,FALSE)*m2k))/'TCO Inputs'!$AZ$84</f>
        <v>52.029933384400415</v>
      </c>
      <c r="EK132" s="125">
        <f>EK21/293.07*(1/(VLOOKUP($BM132,'Fuel economy adjusted factor'!$A$2:$L$52,5,FALSE)*m2k))/'TCO Inputs'!$AZ$84</f>
        <v>52.029933384400415</v>
      </c>
      <c r="EL132" s="125">
        <f>EL21/293.07*(1/(VLOOKUP($BM132,'Fuel economy adjusted factor'!$A$2:$L$52,5,FALSE)*m2k))/'TCO Inputs'!$AZ$84</f>
        <v>52.029933384400415</v>
      </c>
      <c r="EM132" s="125">
        <f>EM21/293.07*(1/(VLOOKUP($BM132,'Fuel economy adjusted factor'!$A$2:$L$52,5,FALSE)*m2k))/'TCO Inputs'!$AZ$84</f>
        <v>52.029933384400415</v>
      </c>
      <c r="EN132" s="125">
        <f>EN21/293.07*(1/(VLOOKUP($BM132,'Fuel economy adjusted factor'!$A$2:$L$52,5,FALSE)*m2k))/'TCO Inputs'!$AZ$84</f>
        <v>52.029933384400415</v>
      </c>
      <c r="EO132" s="125">
        <f>EO21/293.07*(1/(VLOOKUP($BM132,'Fuel economy adjusted factor'!$A$2:$L$52,5,FALSE)*m2k))/'TCO Inputs'!$AZ$84</f>
        <v>50.392314152239031</v>
      </c>
      <c r="EP132" s="125">
        <f>EP21/293.07*(1/(VLOOKUP($BM132,'Fuel economy adjusted factor'!$A$2:$L$52,5,FALSE)*m2k))/'TCO Inputs'!$AZ$84</f>
        <v>50.392314152239031</v>
      </c>
      <c r="EQ132" s="125">
        <f>EQ21/293.07*(1/(VLOOKUP($BM132,'Fuel economy adjusted factor'!$A$2:$L$52,5,FALSE)*m2k))/'TCO Inputs'!$AZ$84</f>
        <v>50.392314152239031</v>
      </c>
      <c r="ER132" s="125">
        <f>ER21/293.07*(1/(VLOOKUP($BM132,'Fuel economy adjusted factor'!$A$2:$L$52,5,FALSE)*m2k))/'TCO Inputs'!$AZ$84</f>
        <v>50.392314152239031</v>
      </c>
      <c r="ES132" s="125">
        <f>ES21/293.07*(1/(VLOOKUP($BM132,'Fuel economy adjusted factor'!$A$2:$L$52,5,FALSE)*m2k))/'TCO Inputs'!$AZ$84</f>
        <v>50.392314152239031</v>
      </c>
      <c r="ET132" s="125">
        <f>ET21/293.07*(1/(VLOOKUP($BM132,'Fuel economy adjusted factor'!$A$2:$L$52,5,FALSE)*m2k))/'TCO Inputs'!$AZ$84</f>
        <v>48.521316318887415</v>
      </c>
      <c r="EU132" s="125">
        <f>EU21/293.07*(1/(VLOOKUP($BM132,'Fuel economy adjusted factor'!$A$2:$L$52,5,FALSE)*m2k))/'TCO Inputs'!$AZ$84</f>
        <v>48.521316318887415</v>
      </c>
      <c r="EV132" s="125">
        <f>EV21/293.07*(1/(VLOOKUP($BM132,'Fuel economy adjusted factor'!$A$2:$L$52,5,FALSE)*m2k))/'TCO Inputs'!$AZ$84</f>
        <v>48.521316318887415</v>
      </c>
      <c r="EW132" s="125">
        <f>EW21/293.07*(1/(VLOOKUP($BM132,'Fuel economy adjusted factor'!$A$2:$L$52,5,FALSE)*m2k))/'TCO Inputs'!$AZ$84</f>
        <v>48.521316318887415</v>
      </c>
      <c r="EX132" s="125">
        <f>EX21/293.07*(1/(VLOOKUP($BM132,'Fuel economy adjusted factor'!$A$2:$L$52,5,FALSE)*m2k))/'TCO Inputs'!$AZ$84</f>
        <v>48.521316318887415</v>
      </c>
      <c r="EY132" s="125">
        <f>EY21/293.07*(1/(VLOOKUP($BM132,'Fuel economy adjusted factor'!$A$2:$L$52,5,FALSE)*m2k))/'TCO Inputs'!$AZ$84</f>
        <v>45.587413903924499</v>
      </c>
      <c r="EZ132" s="98" cm="1">
        <f t="array" ref="EZ132">SUMPRODUCT(INDEX(DX132:EY132,,'TCO Inputs'!$AZ$12-2023+_xlfn.SEQUENCE('TCO Inputs'!$AZ$13))*INDEX('VKT US'!C78:AA78,,_xlfn.SEQUENCE('TCO Inputs'!$AZ$13)))*m2k*CONVERT(0.9072,"g","ton")</f>
        <v>24.908222657158269</v>
      </c>
      <c r="FB132" s="123" t="s">
        <v>199</v>
      </c>
      <c r="FC132" s="125">
        <f>FC21/293.07*(1/(VLOOKUP($BM132,'Fuel economy adjusted factor'!$A$2:$L$52,5,FALSE)*m2k))/'TCO Inputs'!$AZ$84</f>
        <v>116.95363758217813</v>
      </c>
      <c r="FD132" s="125">
        <f>FD21/293.07*(1/(VLOOKUP($BM132,'Fuel economy adjusted factor'!$A$2:$L$52,5,FALSE)*m2k))/'TCO Inputs'!$AZ$84</f>
        <v>116.95363758217813</v>
      </c>
      <c r="FE132" s="125">
        <f>FE21/293.07*(1/(VLOOKUP($BM132,'Fuel economy adjusted factor'!$A$2:$L$52,5,FALSE)*m2k))/'TCO Inputs'!$AZ$84</f>
        <v>102.13568401613036</v>
      </c>
      <c r="FF132" s="125">
        <f>FF21/293.07*(1/(VLOOKUP($BM132,'Fuel economy adjusted factor'!$A$2:$L$52,5,FALSE)*m2k))/'TCO Inputs'!$AZ$84</f>
        <v>102.13568401613036</v>
      </c>
      <c r="FG132" s="125">
        <f>FG21/293.07*(1/(VLOOKUP($BM132,'Fuel economy adjusted factor'!$A$2:$L$52,5,FALSE)*m2k))/'TCO Inputs'!$AZ$84</f>
        <v>102.13568401613036</v>
      </c>
      <c r="FH132" s="125">
        <f>FH21/293.07*(1/(VLOOKUP($BM132,'Fuel economy adjusted factor'!$A$2:$L$52,5,FALSE)*m2k))/'TCO Inputs'!$AZ$84</f>
        <v>102.13568401613036</v>
      </c>
      <c r="FI132" s="125">
        <f>FI21/293.07*(1/(VLOOKUP($BM132,'Fuel economy adjusted factor'!$A$2:$L$52,5,FALSE)*m2k))/'TCO Inputs'!$AZ$84</f>
        <v>102.13568401613036</v>
      </c>
      <c r="FJ132" s="125">
        <f>FJ21/293.07*(1/(VLOOKUP($BM132,'Fuel economy adjusted factor'!$A$2:$L$52,5,FALSE)*m2k))/'TCO Inputs'!$AZ$84</f>
        <v>64.092590607824746</v>
      </c>
      <c r="FK132" s="125">
        <f>FK21/293.07*(1/(VLOOKUP($BM132,'Fuel economy adjusted factor'!$A$2:$L$52,5,FALSE)*m2k))/'TCO Inputs'!$AZ$84</f>
        <v>64.092590607824746</v>
      </c>
      <c r="FL132" s="125">
        <f>FL21/293.07*(1/(VLOOKUP($BM132,'Fuel economy adjusted factor'!$A$2:$L$52,5,FALSE)*m2k))/'TCO Inputs'!$AZ$84</f>
        <v>64.092590607824746</v>
      </c>
      <c r="FM132" s="125">
        <f>FM21/293.07*(1/(VLOOKUP($BM132,'Fuel economy adjusted factor'!$A$2:$L$52,5,FALSE)*m2k))/'TCO Inputs'!$AZ$84</f>
        <v>64.092590607824746</v>
      </c>
      <c r="FN132" s="125">
        <f>FN21/293.07*(1/(VLOOKUP($BM132,'Fuel economy adjusted factor'!$A$2:$L$52,5,FALSE)*m2k))/'TCO Inputs'!$AZ$84</f>
        <v>64.092590607824746</v>
      </c>
      <c r="FO132" s="125">
        <f>FO21/293.07*(1/(VLOOKUP($BM132,'Fuel economy adjusted factor'!$A$2:$L$52,5,FALSE)*m2k))/'TCO Inputs'!$AZ$84</f>
        <v>56.911038890246431</v>
      </c>
      <c r="FP132" s="125">
        <f>FP21/293.07*(1/(VLOOKUP($BM132,'Fuel economy adjusted factor'!$A$2:$L$52,5,FALSE)*m2k))/'TCO Inputs'!$AZ$84</f>
        <v>56.911038890246431</v>
      </c>
      <c r="FQ132" s="125">
        <f>FQ21/293.07*(1/(VLOOKUP($BM132,'Fuel economy adjusted factor'!$A$2:$L$52,5,FALSE)*m2k))/'TCO Inputs'!$AZ$84</f>
        <v>56.911038890246431</v>
      </c>
      <c r="FR132" s="125">
        <f>FR21/293.07*(1/(VLOOKUP($BM132,'Fuel economy adjusted factor'!$A$2:$L$52,5,FALSE)*m2k))/'TCO Inputs'!$AZ$84</f>
        <v>56.911038890246431</v>
      </c>
      <c r="FS132" s="125">
        <f>FS21/293.07*(1/(VLOOKUP($BM132,'Fuel economy adjusted factor'!$A$2:$L$52,5,FALSE)*m2k))/'TCO Inputs'!$AZ$84</f>
        <v>56.911038890246431</v>
      </c>
      <c r="FT132" s="125">
        <f>FT21/293.07*(1/(VLOOKUP($BM132,'Fuel economy adjusted factor'!$A$2:$L$52,5,FALSE)*m2k))/'TCO Inputs'!$AZ$84</f>
        <v>55.462345192381903</v>
      </c>
      <c r="FU132" s="125">
        <f>FU21/293.07*(1/(VLOOKUP($BM132,'Fuel economy adjusted factor'!$A$2:$L$52,5,FALSE)*m2k))/'TCO Inputs'!$AZ$84</f>
        <v>55.462345192381903</v>
      </c>
      <c r="FV132" s="125">
        <f>FV21/293.07*(1/(VLOOKUP($BM132,'Fuel economy adjusted factor'!$A$2:$L$52,5,FALSE)*m2k))/'TCO Inputs'!$AZ$84</f>
        <v>55.462345192381903</v>
      </c>
      <c r="FW132" s="125">
        <f>FW21/293.07*(1/(VLOOKUP($BM132,'Fuel economy adjusted factor'!$A$2:$L$52,5,FALSE)*m2k))/'TCO Inputs'!$AZ$84</f>
        <v>55.462345192381903</v>
      </c>
      <c r="FX132" s="125">
        <f>FX21/293.07*(1/(VLOOKUP($BM132,'Fuel economy adjusted factor'!$A$2:$L$52,5,FALSE)*m2k))/'TCO Inputs'!$AZ$84</f>
        <v>55.462345192381903</v>
      </c>
      <c r="FY132" s="125">
        <f>FY21/293.07*(1/(VLOOKUP($BM132,'Fuel economy adjusted factor'!$A$2:$L$52,5,FALSE)*m2k))/'TCO Inputs'!$AZ$84</f>
        <v>53.587378335200519</v>
      </c>
      <c r="FZ132" s="125">
        <f>FZ21/293.07*(1/(VLOOKUP($BM132,'Fuel economy adjusted factor'!$A$2:$L$52,5,FALSE)*m2k))/'TCO Inputs'!$AZ$84</f>
        <v>53.587378335200519</v>
      </c>
      <c r="GA132" s="125">
        <f>GA21/293.07*(1/(VLOOKUP($BM132,'Fuel economy adjusted factor'!$A$2:$L$52,5,FALSE)*m2k))/'TCO Inputs'!$AZ$84</f>
        <v>53.587378335200519</v>
      </c>
      <c r="GB132" s="125">
        <f>GB21/293.07*(1/(VLOOKUP($BM132,'Fuel economy adjusted factor'!$A$2:$L$52,5,FALSE)*m2k))/'TCO Inputs'!$AZ$84</f>
        <v>53.587378335200519</v>
      </c>
      <c r="GC132" s="125">
        <f>GC21/293.07*(1/(VLOOKUP($BM132,'Fuel economy adjusted factor'!$A$2:$L$52,5,FALSE)*m2k))/'TCO Inputs'!$AZ$84</f>
        <v>53.587378335200519</v>
      </c>
      <c r="GD132" s="125">
        <f>GD21/293.07*(1/(VLOOKUP($BM132,'Fuel economy adjusted factor'!$A$2:$L$52,5,FALSE)*m2k))/'TCO Inputs'!$AZ$84</f>
        <v>50.551868910195601</v>
      </c>
      <c r="GE132" s="98" cm="1">
        <f t="array" ref="GE132">SUMPRODUCT(INDEX(FC132:GD132,,'TCO Inputs'!$AZ$12-2023+_xlfn.SEQUENCE('TCO Inputs'!$AZ$13))*INDEX('VKT US'!C78:AA78,,_xlfn.SEQUENCE('TCO Inputs'!$AZ$13)))*m2k*CONVERT(0.9072,"g","ton")</f>
        <v>27.08180345912049</v>
      </c>
      <c r="GH132" s="123" t="s">
        <v>199</v>
      </c>
      <c r="GI132" s="125">
        <f>GI21/293.07*(1/(VLOOKUP($BM132,'Fuel economy adjusted factor'!$A$2:$L$52,5,FALSE)*m2k))/'TCO Inputs'!$AZ$84</f>
        <v>101.61415428489912</v>
      </c>
      <c r="GJ132" s="125">
        <f>GJ21/293.07*(1/(VLOOKUP($BM132,'Fuel economy adjusted factor'!$A$2:$L$52,5,FALSE)*m2k))/'TCO Inputs'!$AZ$84</f>
        <v>101.61415428489912</v>
      </c>
      <c r="GK132" s="125">
        <f>GK21/293.07*(1/(VLOOKUP($BM132,'Fuel economy adjusted factor'!$A$2:$L$52,5,FALSE)*m2k))/'TCO Inputs'!$AZ$84</f>
        <v>89.337963579433378</v>
      </c>
      <c r="GL132" s="125">
        <f>GL21/293.07*(1/(VLOOKUP($BM132,'Fuel economy adjusted factor'!$A$2:$L$52,5,FALSE)*m2k))/'TCO Inputs'!$AZ$84</f>
        <v>89.337963579433378</v>
      </c>
      <c r="GM132" s="125">
        <f>GM21/293.07*(1/(VLOOKUP($BM132,'Fuel economy adjusted factor'!$A$2:$L$52,5,FALSE)*m2k))/'TCO Inputs'!$AZ$84</f>
        <v>89.337963579433378</v>
      </c>
      <c r="GN132" s="125">
        <f>GN21/293.07*(1/(VLOOKUP($BM132,'Fuel economy adjusted factor'!$A$2:$L$52,5,FALSE)*m2k))/'TCO Inputs'!$AZ$84</f>
        <v>89.337963579433378</v>
      </c>
      <c r="GO132" s="125">
        <f>GO21/293.07*(1/(VLOOKUP($BM132,'Fuel economy adjusted factor'!$A$2:$L$52,5,FALSE)*m2k))/'TCO Inputs'!$AZ$84</f>
        <v>89.337963579433378</v>
      </c>
      <c r="GP132" s="125">
        <f>GP21/293.07*(1/(VLOOKUP($BM132,'Fuel economy adjusted factor'!$A$2:$L$52,5,FALSE)*m2k))/'TCO Inputs'!$AZ$84</f>
        <v>54.284338919707416</v>
      </c>
      <c r="GQ132" s="125">
        <f>GQ21/293.07*(1/(VLOOKUP($BM132,'Fuel economy adjusted factor'!$A$2:$L$52,5,FALSE)*m2k))/'TCO Inputs'!$AZ$84</f>
        <v>54.284338919707416</v>
      </c>
      <c r="GR132" s="125">
        <f>GR21/293.07*(1/(VLOOKUP($BM132,'Fuel economy adjusted factor'!$A$2:$L$52,5,FALSE)*m2k))/'TCO Inputs'!$AZ$84</f>
        <v>54.284338919707416</v>
      </c>
      <c r="GS132" s="125">
        <f>GS21/293.07*(1/(VLOOKUP($BM132,'Fuel economy adjusted factor'!$A$2:$L$52,5,FALSE)*m2k))/'TCO Inputs'!$AZ$84</f>
        <v>54.284338919707416</v>
      </c>
      <c r="GT132" s="125">
        <f>GT21/293.07*(1/(VLOOKUP($BM132,'Fuel economy adjusted factor'!$A$2:$L$52,5,FALSE)*m2k))/'TCO Inputs'!$AZ$84</f>
        <v>54.284338919707416</v>
      </c>
      <c r="GU132" s="125">
        <f>GU21/293.07*(1/(VLOOKUP($BM132,'Fuel economy adjusted factor'!$A$2:$L$52,5,FALSE)*m2k))/'TCO Inputs'!$AZ$84</f>
        <v>48.707860438886406</v>
      </c>
      <c r="GV132" s="125">
        <f>GV21/293.07*(1/(VLOOKUP($BM132,'Fuel economy adjusted factor'!$A$2:$L$52,5,FALSE)*m2k))/'TCO Inputs'!$AZ$84</f>
        <v>48.707860438886406</v>
      </c>
      <c r="GW132" s="125">
        <f>GW21/293.07*(1/(VLOOKUP($BM132,'Fuel economy adjusted factor'!$A$2:$L$52,5,FALSE)*m2k))/'TCO Inputs'!$AZ$84</f>
        <v>48.707860438886406</v>
      </c>
      <c r="GX132" s="125">
        <f>GX21/293.07*(1/(VLOOKUP($BM132,'Fuel economy adjusted factor'!$A$2:$L$52,5,FALSE)*m2k))/'TCO Inputs'!$AZ$84</f>
        <v>48.707860438886406</v>
      </c>
      <c r="GY132" s="125">
        <f>GY21/293.07*(1/(VLOOKUP($BM132,'Fuel economy adjusted factor'!$A$2:$L$52,5,FALSE)*m2k))/'TCO Inputs'!$AZ$84</f>
        <v>48.707860438886406</v>
      </c>
      <c r="GZ132" s="125">
        <f>GZ21/293.07*(1/(VLOOKUP($BM132,'Fuel economy adjusted factor'!$A$2:$L$52,5,FALSE)*m2k))/'TCO Inputs'!$AZ$84</f>
        <v>46.941644834640606</v>
      </c>
      <c r="HA132" s="125">
        <f>HA21/293.07*(1/(VLOOKUP($BM132,'Fuel economy adjusted factor'!$A$2:$L$52,5,FALSE)*m2k))/'TCO Inputs'!$AZ$84</f>
        <v>46.941644834640606</v>
      </c>
      <c r="HB132" s="125">
        <f>HB21/293.07*(1/(VLOOKUP($BM132,'Fuel economy adjusted factor'!$A$2:$L$52,5,FALSE)*m2k))/'TCO Inputs'!$AZ$84</f>
        <v>46.941644834640606</v>
      </c>
      <c r="HC132" s="125">
        <f>HC21/293.07*(1/(VLOOKUP($BM132,'Fuel economy adjusted factor'!$A$2:$L$52,5,FALSE)*m2k))/'TCO Inputs'!$AZ$84</f>
        <v>46.941644834640606</v>
      </c>
      <c r="HD132" s="125">
        <f>HD21/293.07*(1/(VLOOKUP($BM132,'Fuel economy adjusted factor'!$A$2:$L$52,5,FALSE)*m2k))/'TCO Inputs'!$AZ$84</f>
        <v>46.941644834640606</v>
      </c>
      <c r="HE132" s="125">
        <f>HE21/293.07*(1/(VLOOKUP($BM132,'Fuel economy adjusted factor'!$A$2:$L$52,5,FALSE)*m2k))/'TCO Inputs'!$AZ$84</f>
        <v>45.073028415586855</v>
      </c>
      <c r="HF132" s="125">
        <f>HF21/293.07*(1/(VLOOKUP($BM132,'Fuel economy adjusted factor'!$A$2:$L$52,5,FALSE)*m2k))/'TCO Inputs'!$AZ$84</f>
        <v>45.073028415586855</v>
      </c>
      <c r="HG132" s="125">
        <f>HG21/293.07*(1/(VLOOKUP($BM132,'Fuel economy adjusted factor'!$A$2:$L$52,5,FALSE)*m2k))/'TCO Inputs'!$AZ$84</f>
        <v>45.073028415586855</v>
      </c>
      <c r="HH132" s="125">
        <f>HH21/293.07*(1/(VLOOKUP($BM132,'Fuel economy adjusted factor'!$A$2:$L$52,5,FALSE)*m2k))/'TCO Inputs'!$AZ$84</f>
        <v>45.073028415586855</v>
      </c>
      <c r="HI132" s="125">
        <f>HI21/293.07*(1/(VLOOKUP($BM132,'Fuel economy adjusted factor'!$A$2:$L$52,5,FALSE)*m2k))/'TCO Inputs'!$AZ$84</f>
        <v>45.073028415586855</v>
      </c>
      <c r="HJ132" s="125">
        <f>HJ21/293.07*(1/(VLOOKUP($BM132,'Fuel economy adjusted factor'!$A$2:$L$52,5,FALSE)*m2k))/'TCO Inputs'!$AZ$84</f>
        <v>42.208980820027818</v>
      </c>
      <c r="HK132" s="98" cm="1">
        <f t="array" ref="HK132">SUMPRODUCT(INDEX(GI132:HJ132,,'TCO Inputs'!$AZ$12-2023+_xlfn.SEQUENCE('TCO Inputs'!$AZ$13))*INDEX('VKT US'!C78:AA78,,_xlfn.SEQUENCE('TCO Inputs'!$AZ$13)))*m2k*CONVERT(0.9072,"g","ton")</f>
        <v>23.428845378180409</v>
      </c>
    </row>
    <row r="133" spans="17:219" x14ac:dyDescent="0.25">
      <c r="Q133" s="198" t="s">
        <v>550</v>
      </c>
      <c r="R133" s="197">
        <f>'100%NG_methaneleaking'!BI165/'Scenario analysis'!$DU$167</f>
        <v>1.2896820689079622</v>
      </c>
      <c r="Z133" s="123" t="s">
        <v>157</v>
      </c>
      <c r="AA133" s="125">
        <f>AA22/293.07*(1/(VLOOKUP($Z133,'Fuel economy adjusted factor'!$A$2:$L$52,5,FALSE)*m2k))/'TCO Inputs'!$AZ$84</f>
        <v>204.0364321282176</v>
      </c>
      <c r="AB133" s="125">
        <f>AB22/293.07*(1/(VLOOKUP($Z133,'Fuel economy adjusted factor'!$A$2:$L$52,5,FALSE)*m2k))/'TCO Inputs'!$AZ$84</f>
        <v>204.0364321282176</v>
      </c>
      <c r="AC133" s="125">
        <f>AC22/293.07*(1/(VLOOKUP($Z133,'Fuel economy adjusted factor'!$A$2:$L$52,5,FALSE)*m2k))/'TCO Inputs'!$AZ$84</f>
        <v>179.44878492151494</v>
      </c>
      <c r="AD133" s="125">
        <f>AD22/293.07*(1/(VLOOKUP($Z133,'Fuel economy adjusted factor'!$A$2:$L$52,5,FALSE)*m2k))/'TCO Inputs'!$AZ$84</f>
        <v>179.44878492151494</v>
      </c>
      <c r="AE133" s="125">
        <f>AE22/293.07*(1/(VLOOKUP($Z133,'Fuel economy adjusted factor'!$A$2:$L$52,5,FALSE)*m2k))/'TCO Inputs'!$AZ$84</f>
        <v>179.44878492151494</v>
      </c>
      <c r="AF133" s="125">
        <f>AF22/293.07*(1/(VLOOKUP($Z133,'Fuel economy adjusted factor'!$A$2:$L$52,5,FALSE)*m2k))/'TCO Inputs'!$AZ$84</f>
        <v>179.44878492151494</v>
      </c>
      <c r="AG133" s="125">
        <f>AG22/293.07*(1/(VLOOKUP($Z133,'Fuel economy adjusted factor'!$A$2:$L$52,5,FALSE)*m2k))/'TCO Inputs'!$AZ$84</f>
        <v>179.44878492151494</v>
      </c>
      <c r="AH133" s="125">
        <f>AH22/293.07*(1/(VLOOKUP($Z133,'Fuel economy adjusted factor'!$A$2:$L$52,5,FALSE)*m2k))/'TCO Inputs'!$AZ$84</f>
        <v>107.81959256657916</v>
      </c>
      <c r="AI133" s="125">
        <f>AI22/293.07*(1/(VLOOKUP($Z133,'Fuel economy adjusted factor'!$A$2:$L$52,5,FALSE)*m2k))/'TCO Inputs'!$AZ$84</f>
        <v>107.81959256657916</v>
      </c>
      <c r="AJ133" s="125">
        <f>AJ22/293.07*(1/(VLOOKUP($Z133,'Fuel economy adjusted factor'!$A$2:$L$52,5,FALSE)*m2k))/'TCO Inputs'!$AZ$84</f>
        <v>107.81959256657916</v>
      </c>
      <c r="AK133" s="125">
        <f>AK22/293.07*(1/(VLOOKUP($Z133,'Fuel economy adjusted factor'!$A$2:$L$52,5,FALSE)*m2k))/'TCO Inputs'!$AZ$84</f>
        <v>107.81959256657916</v>
      </c>
      <c r="AL133" s="125">
        <f>AL22/293.07*(1/(VLOOKUP($Z133,'Fuel economy adjusted factor'!$A$2:$L$52,5,FALSE)*m2k))/'TCO Inputs'!$AZ$84</f>
        <v>107.81959256657916</v>
      </c>
      <c r="AM133" s="125">
        <f>AM22/293.07*(1/(VLOOKUP($Z133,'Fuel economy adjusted factor'!$A$2:$L$52,5,FALSE)*m2k))/'TCO Inputs'!$AZ$84</f>
        <v>112.83083715619108</v>
      </c>
      <c r="AN133" s="125">
        <f>AN22/293.07*(1/(VLOOKUP($Z133,'Fuel economy adjusted factor'!$A$2:$L$52,5,FALSE)*m2k))/'TCO Inputs'!$AZ$84</f>
        <v>112.83083715619108</v>
      </c>
      <c r="AO133" s="125">
        <f>AO22/293.07*(1/(VLOOKUP($Z133,'Fuel economy adjusted factor'!$A$2:$L$52,5,FALSE)*m2k))/'TCO Inputs'!$AZ$84</f>
        <v>112.83083715619108</v>
      </c>
      <c r="AP133" s="125">
        <f>AP22/293.07*(1/(VLOOKUP($Z133,'Fuel economy adjusted factor'!$A$2:$L$52,5,FALSE)*m2k))/'TCO Inputs'!$AZ$84</f>
        <v>112.83083715619108</v>
      </c>
      <c r="AQ133" s="125">
        <f>AQ22/293.07*(1/(VLOOKUP($Z133,'Fuel economy adjusted factor'!$A$2:$L$52,5,FALSE)*m2k))/'TCO Inputs'!$AZ$84</f>
        <v>112.83083715619108</v>
      </c>
      <c r="AR133" s="125">
        <f>AR22/293.07*(1/(VLOOKUP($Z133,'Fuel economy adjusted factor'!$A$2:$L$52,5,FALSE)*m2k))/'TCO Inputs'!$AZ$84</f>
        <v>117.94743266751739</v>
      </c>
      <c r="AS133" s="125">
        <f>AS22/293.07*(1/(VLOOKUP($Z133,'Fuel economy adjusted factor'!$A$2:$L$52,5,FALSE)*m2k))/'TCO Inputs'!$AZ$84</f>
        <v>117.94743266751739</v>
      </c>
      <c r="AT133" s="125">
        <f>AT22/293.07*(1/(VLOOKUP($Z133,'Fuel economy adjusted factor'!$A$2:$L$52,5,FALSE)*m2k))/'TCO Inputs'!$AZ$84</f>
        <v>117.94743266751739</v>
      </c>
      <c r="AU133" s="125">
        <f>AU22/293.07*(1/(VLOOKUP($Z133,'Fuel economy adjusted factor'!$A$2:$L$52,5,FALSE)*m2k))/'TCO Inputs'!$AZ$84</f>
        <v>117.94743266751739</v>
      </c>
      <c r="AV133" s="125">
        <f>AV22/293.07*(1/(VLOOKUP($Z133,'Fuel economy adjusted factor'!$A$2:$L$52,5,FALSE)*m2k))/'TCO Inputs'!$AZ$84</f>
        <v>117.94743266751739</v>
      </c>
      <c r="AW133" s="125">
        <f>AW22/293.07*(1/(VLOOKUP($Z133,'Fuel economy adjusted factor'!$A$2:$L$52,5,FALSE)*m2k))/'TCO Inputs'!$AZ$84</f>
        <v>120.53560605769665</v>
      </c>
      <c r="AX133" s="125">
        <f>AX22/293.07*(1/(VLOOKUP($Z133,'Fuel economy adjusted factor'!$A$2:$L$52,5,FALSE)*m2k))/'TCO Inputs'!$AZ$84</f>
        <v>120.53560605769665</v>
      </c>
      <c r="AY133" s="125">
        <f>AY22/293.07*(1/(VLOOKUP($Z133,'Fuel economy adjusted factor'!$A$2:$L$52,5,FALSE)*m2k))/'TCO Inputs'!$AZ$84</f>
        <v>120.53560605769665</v>
      </c>
      <c r="AZ133" s="125">
        <f>AZ22/293.07*(1/(VLOOKUP($Z133,'Fuel economy adjusted factor'!$A$2:$L$52,5,FALSE)*m2k))/'TCO Inputs'!$AZ$84</f>
        <v>120.53560605769665</v>
      </c>
      <c r="BA133" s="125">
        <f>BA22/293.07*(1/(VLOOKUP($Z133,'Fuel economy adjusted factor'!$A$2:$L$52,5,FALSE)*m2k))/'TCO Inputs'!$AZ$84</f>
        <v>120.53560605769665</v>
      </c>
      <c r="BB133" s="125">
        <f>BB22/293.07*(1/(VLOOKUP($Z133,'Fuel economy adjusted factor'!$A$2:$L$52,5,FALSE)*m2k))/'TCO Inputs'!$AZ$84</f>
        <v>120.69913584662656</v>
      </c>
      <c r="BC133" s="98" cm="1">
        <f t="array" ref="BC133">SUMPRODUCT(INDEX(AA133:BB133,,'TCO Inputs'!$AZ$12-2023+_xlfn.SEQUENCE('TCO Inputs'!$AZ$13))*INDEX('VKT US'!C79:AA79,,_xlfn.SEQUENCE('TCO Inputs'!$AZ$13)))*m2k*CONVERT(0.9072,"g","ton")</f>
        <v>52.389782759013777</v>
      </c>
      <c r="BM133" s="123" t="s">
        <v>157</v>
      </c>
      <c r="BN133" s="125">
        <f>BN22/293.07*(1/(VLOOKUP($BM133,'Fuel economy adjusted factor'!$A$2:$L$52,5,FALSE)*m2k))</f>
        <v>173.43096730898495</v>
      </c>
      <c r="BO133" s="125">
        <f>BO22/293.07*(1/(VLOOKUP($BM133,'Fuel economy adjusted factor'!$A$2:$L$52,5,FALSE)*m2k))</f>
        <v>173.43096730898495</v>
      </c>
      <c r="BP133" s="125">
        <f>BP22/293.07*(1/(VLOOKUP($BM133,'Fuel economy adjusted factor'!$A$2:$L$52,5,FALSE)*m2k))</f>
        <v>152.33232249321105</v>
      </c>
      <c r="BQ133" s="125">
        <f>BQ22/293.07*(1/(VLOOKUP($BM133,'Fuel economy adjusted factor'!$A$2:$L$52,5,FALSE)*m2k))</f>
        <v>152.33232249321105</v>
      </c>
      <c r="BR133" s="125">
        <f>BR22/293.07*(1/(VLOOKUP($BM133,'Fuel economy adjusted factor'!$A$2:$L$52,5,FALSE)*m2k))</f>
        <v>152.33232249321105</v>
      </c>
      <c r="BS133" s="125">
        <f>BS22/293.07*(1/(VLOOKUP($BM133,'Fuel economy adjusted factor'!$A$2:$L$52,5,FALSE)*m2k))</f>
        <v>152.33232249321105</v>
      </c>
      <c r="BT133" s="125">
        <f>BT22/293.07*(1/(VLOOKUP($BM133,'Fuel economy adjusted factor'!$A$2:$L$52,5,FALSE)*m2k))</f>
        <v>152.33232249321105</v>
      </c>
      <c r="BU133" s="125">
        <f>BU22/293.07*(1/(VLOOKUP($BM133,'Fuel economy adjusted factor'!$A$2:$L$52,5,FALSE)*m2k))</f>
        <v>172.67849441963483</v>
      </c>
      <c r="BV133" s="125">
        <f>BV22/293.07*(1/(VLOOKUP($BM133,'Fuel economy adjusted factor'!$A$2:$L$52,5,FALSE)*m2k))</f>
        <v>172.67849441963483</v>
      </c>
      <c r="BW133" s="125">
        <f>BW22/293.07*(1/(VLOOKUP($BM133,'Fuel economy adjusted factor'!$A$2:$L$52,5,FALSE)*m2k))</f>
        <v>172.67849441963483</v>
      </c>
      <c r="BX133" s="125">
        <f>BX22/293.07*(1/(VLOOKUP($BM133,'Fuel economy adjusted factor'!$A$2:$L$52,5,FALSE)*m2k))</f>
        <v>172.67849441963483</v>
      </c>
      <c r="BY133" s="125">
        <f>BY22/293.07*(1/(VLOOKUP($BM133,'Fuel economy adjusted factor'!$A$2:$L$52,5,FALSE)*m2k))</f>
        <v>172.67849441963483</v>
      </c>
      <c r="BZ133" s="125">
        <f>BZ22/293.07*(1/(VLOOKUP($BM133,'Fuel economy adjusted factor'!$A$2:$L$52,5,FALSE)*m2k))</f>
        <v>176.83112899727382</v>
      </c>
      <c r="CA133" s="125">
        <f>CA22/293.07*(1/(VLOOKUP($BM133,'Fuel economy adjusted factor'!$A$2:$L$52,5,FALSE)*m2k))</f>
        <v>176.83112899727382</v>
      </c>
      <c r="CB133" s="125">
        <f>CB22/293.07*(1/(VLOOKUP($BM133,'Fuel economy adjusted factor'!$A$2:$L$52,5,FALSE)*m2k))</f>
        <v>176.83112899727382</v>
      </c>
      <c r="CC133" s="125">
        <f>CC22/293.07*(1/(VLOOKUP($BM133,'Fuel economy adjusted factor'!$A$2:$L$52,5,FALSE)*m2k))</f>
        <v>176.83112899727382</v>
      </c>
      <c r="CD133" s="125">
        <f>CD22/293.07*(1/(VLOOKUP($BM133,'Fuel economy adjusted factor'!$A$2:$L$52,5,FALSE)*m2k))</f>
        <v>176.83112899727382</v>
      </c>
      <c r="CE133" s="125">
        <f>CE22/293.07*(1/(VLOOKUP($BM133,'Fuel economy adjusted factor'!$A$2:$L$52,5,FALSE)*m2k))</f>
        <v>181.20161984660746</v>
      </c>
      <c r="CF133" s="125">
        <f>CF22/293.07*(1/(VLOOKUP($BM133,'Fuel economy adjusted factor'!$A$2:$L$52,5,FALSE)*m2k))</f>
        <v>181.20161984660746</v>
      </c>
      <c r="CG133" s="125">
        <f>CG22/293.07*(1/(VLOOKUP($BM133,'Fuel economy adjusted factor'!$A$2:$L$52,5,FALSE)*m2k))</f>
        <v>181.20161984660746</v>
      </c>
      <c r="CH133" s="125">
        <f>CH22/293.07*(1/(VLOOKUP($BM133,'Fuel economy adjusted factor'!$A$2:$L$52,5,FALSE)*m2k))</f>
        <v>181.20161984660746</v>
      </c>
      <c r="CI133" s="125">
        <f>CI22/293.07*(1/(VLOOKUP($BM133,'Fuel economy adjusted factor'!$A$2:$L$52,5,FALSE)*m2k))</f>
        <v>181.20161984660746</v>
      </c>
      <c r="CJ133" s="125">
        <f>CJ22/293.07*(1/(VLOOKUP($BM133,'Fuel economy adjusted factor'!$A$2:$L$52,5,FALSE)*m2k))</f>
        <v>182.23877608485913</v>
      </c>
      <c r="CK133" s="125">
        <f>CK22/293.07*(1/(VLOOKUP($BM133,'Fuel economy adjusted factor'!$A$2:$L$52,5,FALSE)*m2k))</f>
        <v>182.23877608485913</v>
      </c>
      <c r="CL133" s="125">
        <f>CL22/293.07*(1/(VLOOKUP($BM133,'Fuel economy adjusted factor'!$A$2:$L$52,5,FALSE)*m2k))</f>
        <v>182.23877608485913</v>
      </c>
      <c r="CM133" s="125">
        <f>CM22/293.07*(1/(VLOOKUP($BM133,'Fuel economy adjusted factor'!$A$2:$L$52,5,FALSE)*m2k))</f>
        <v>182.23877608485913</v>
      </c>
      <c r="CN133" s="125">
        <f>CN22/293.07*(1/(VLOOKUP($BM133,'Fuel economy adjusted factor'!$A$2:$L$52,5,FALSE)*m2k))</f>
        <v>182.23877608485913</v>
      </c>
      <c r="CO133" s="125">
        <f>CO22/293.07*(1/(VLOOKUP($BM133,'Fuel economy adjusted factor'!$A$2:$L$52,5,FALSE)*m2k))</f>
        <v>183.47775009627571</v>
      </c>
      <c r="CP133" s="98" cm="1">
        <f t="array" ref="CP133">SUMPRODUCT(INDEX(BN133:CO133,,'TCO Inputs'!$AZ$12-2023+_xlfn.SEQUENCE('TCO Inputs'!$AZ$13))*INDEX('VKT US'!C79:AA79,,_xlfn.SEQUENCE('TCO Inputs'!$AZ$13)))*m2k*CONVERT(0.9072,"g","ton")</f>
        <v>57.063662880347479</v>
      </c>
      <c r="CQ133" s="194"/>
      <c r="CR133" s="123" t="s">
        <v>157</v>
      </c>
      <c r="CS133" s="125">
        <f>CS22/293.07*(1/(VLOOKUP($BM133,'Fuel economy adjusted factor'!$A$2:$L$52,5,FALSE)*m2k))/'TCO Inputs'!$AZ$84</f>
        <v>247.03375980406864</v>
      </c>
      <c r="CT133" s="125">
        <f>CT22/293.07*(1/(VLOOKUP($BM133,'Fuel economy adjusted factor'!$A$2:$L$52,5,FALSE)*m2k))/'TCO Inputs'!$AZ$84</f>
        <v>247.03375980406864</v>
      </c>
      <c r="CU133" s="125">
        <f>CU22/293.07*(1/(VLOOKUP($BM133,'Fuel economy adjusted factor'!$A$2:$L$52,5,FALSE)*m2k))/'TCO Inputs'!$AZ$84</f>
        <v>247.03375980406864</v>
      </c>
      <c r="CV133" s="125">
        <f>CV22/293.07*(1/(VLOOKUP($BM133,'Fuel economy adjusted factor'!$A$2:$L$52,5,FALSE)*m2k))/'TCO Inputs'!$AZ$84</f>
        <v>247.03375980406864</v>
      </c>
      <c r="CW133" s="125">
        <f>CW22/293.07*(1/(VLOOKUP($BM133,'Fuel economy adjusted factor'!$A$2:$L$52,5,FALSE)*m2k))/'TCO Inputs'!$AZ$84</f>
        <v>247.03375980406864</v>
      </c>
      <c r="CX133" s="125">
        <f>CX22/293.07*(1/(VLOOKUP($BM133,'Fuel economy adjusted factor'!$A$2:$L$52,5,FALSE)*m2k))/'TCO Inputs'!$AZ$84</f>
        <v>247.03375980406864</v>
      </c>
      <c r="CY133" s="125">
        <f>CY22/293.07*(1/(VLOOKUP($BM133,'Fuel economy adjusted factor'!$A$2:$L$52,5,FALSE)*m2k))/'TCO Inputs'!$AZ$84</f>
        <v>247.03375980406864</v>
      </c>
      <c r="CZ133" s="125">
        <f>CZ22/293.07*(1/(VLOOKUP($BM133,'Fuel economy adjusted factor'!$A$2:$L$52,5,FALSE)*m2k))/'TCO Inputs'!$AZ$84</f>
        <v>247.08879386765082</v>
      </c>
      <c r="DA133" s="125">
        <f>DA22/293.07*(1/(VLOOKUP($BM133,'Fuel economy adjusted factor'!$A$2:$L$52,5,FALSE)*m2k))/'TCO Inputs'!$AZ$84</f>
        <v>247.08879386765082</v>
      </c>
      <c r="DB133" s="125">
        <f>DB22/293.07*(1/(VLOOKUP($BM133,'Fuel economy adjusted factor'!$A$2:$L$52,5,FALSE)*m2k))/'TCO Inputs'!$AZ$84</f>
        <v>247.08879386765082</v>
      </c>
      <c r="DC133" s="125">
        <f>DC22/293.07*(1/(VLOOKUP($BM133,'Fuel economy adjusted factor'!$A$2:$L$52,5,FALSE)*m2k))/'TCO Inputs'!$AZ$84</f>
        <v>247.08879386765082</v>
      </c>
      <c r="DD133" s="125">
        <f>DD22/293.07*(1/(VLOOKUP($BM133,'Fuel economy adjusted factor'!$A$2:$L$52,5,FALSE)*m2k))/'TCO Inputs'!$AZ$84</f>
        <v>247.08879386765082</v>
      </c>
      <c r="DE133" s="125">
        <f>DE22/293.07*(1/(VLOOKUP($BM133,'Fuel economy adjusted factor'!$A$2:$L$52,5,FALSE)*m2k))/'TCO Inputs'!$AZ$84</f>
        <v>247.05734583131817</v>
      </c>
      <c r="DF133" s="125">
        <f>DF22/293.07*(1/(VLOOKUP($BM133,'Fuel economy adjusted factor'!$A$2:$L$52,5,FALSE)*m2k))/'TCO Inputs'!$AZ$84</f>
        <v>247.05734583131817</v>
      </c>
      <c r="DG133" s="125">
        <f>DG22/293.07*(1/(VLOOKUP($BM133,'Fuel economy adjusted factor'!$A$2:$L$52,5,FALSE)*m2k))/'TCO Inputs'!$AZ$84</f>
        <v>247.05734583131817</v>
      </c>
      <c r="DH133" s="125">
        <f>DH22/293.07*(1/(VLOOKUP($BM133,'Fuel economy adjusted factor'!$A$2:$L$52,5,FALSE)*m2k))/'TCO Inputs'!$AZ$84</f>
        <v>247.05734583131817</v>
      </c>
      <c r="DI133" s="125">
        <f>DI22/293.07*(1/(VLOOKUP($BM133,'Fuel economy adjusted factor'!$A$2:$L$52,5,FALSE)*m2k))/'TCO Inputs'!$AZ$84</f>
        <v>247.05734583131817</v>
      </c>
      <c r="DJ133" s="125">
        <f>DJ22/293.07*(1/(VLOOKUP($BM133,'Fuel economy adjusted factor'!$A$2:$L$52,5,FALSE)*m2k))/'TCO Inputs'!$AZ$84</f>
        <v>247.04948382223495</v>
      </c>
      <c r="DK133" s="125">
        <f>DK22/293.07*(1/(VLOOKUP($BM133,'Fuel economy adjusted factor'!$A$2:$L$52,5,FALSE)*m2k))/'TCO Inputs'!$AZ$84</f>
        <v>247.04948382223495</v>
      </c>
      <c r="DL133" s="125">
        <f>DL22/293.07*(1/(VLOOKUP($BM133,'Fuel economy adjusted factor'!$A$2:$L$52,5,FALSE)*m2k))/'TCO Inputs'!$AZ$84</f>
        <v>247.04948382223495</v>
      </c>
      <c r="DM133" s="125">
        <f>DM22/293.07*(1/(VLOOKUP($BM133,'Fuel economy adjusted factor'!$A$2:$L$52,5,FALSE)*m2k))/'TCO Inputs'!$AZ$84</f>
        <v>247.04948382223495</v>
      </c>
      <c r="DN133" s="125">
        <f>DN22/293.07*(1/(VLOOKUP($BM133,'Fuel economy adjusted factor'!$A$2:$L$52,5,FALSE)*m2k))/'TCO Inputs'!$AZ$84</f>
        <v>247.04948382223495</v>
      </c>
      <c r="DO133" s="125">
        <f>DO22/293.07*(1/(VLOOKUP($BM133,'Fuel economy adjusted factor'!$A$2:$L$52,5,FALSE)*m2k))/'TCO Inputs'!$AZ$84</f>
        <v>246.8969608460215</v>
      </c>
      <c r="DP133" s="125">
        <f>DP22/293.07*(1/(VLOOKUP($BM133,'Fuel economy adjusted factor'!$A$2:$L$52,5,FALSE)*m2k))/'TCO Inputs'!$AZ$84</f>
        <v>246.8969608460215</v>
      </c>
      <c r="DQ133" s="125">
        <f>DQ22/293.07*(1/(VLOOKUP($BM133,'Fuel economy adjusted factor'!$A$2:$L$52,5,FALSE)*m2k))/'TCO Inputs'!$AZ$84</f>
        <v>246.8969608460215</v>
      </c>
      <c r="DR133" s="125">
        <f>DR22/293.07*(1/(VLOOKUP($BM133,'Fuel economy adjusted factor'!$A$2:$L$52,5,FALSE)*m2k))/'TCO Inputs'!$AZ$84</f>
        <v>246.8969608460215</v>
      </c>
      <c r="DS133" s="125">
        <f>DS22/293.07*(1/(VLOOKUP($BM133,'Fuel economy adjusted factor'!$A$2:$L$52,5,FALSE)*m2k))/'TCO Inputs'!$AZ$84</f>
        <v>246.8969608460215</v>
      </c>
      <c r="DT133" s="125">
        <f>DT22/293.07*(1/(VLOOKUP($BM133,'Fuel economy adjusted factor'!$A$2:$L$52,5,FALSE)*m2k))/'TCO Inputs'!$AZ$84</f>
        <v>247.02432539316885</v>
      </c>
      <c r="DU133" s="98" cm="1">
        <f t="array" ref="DU133">SUMPRODUCT(INDEX(CS133:DT133,,'TCO Inputs'!$AZ$12-2023+_xlfn.SEQUENCE('TCO Inputs'!$AZ$13))*INDEX('VKT US'!C79:AA79,,_xlfn.SEQUENCE('TCO Inputs'!$AZ$13)))*m2k*CONVERT(0.9072,"g","ton")</f>
        <v>85.1574195504583</v>
      </c>
      <c r="DW133" s="123" t="s">
        <v>157</v>
      </c>
      <c r="DX133" s="125">
        <f>DX22/293.07*(1/(VLOOKUP($BM133,'Fuel economy adjusted factor'!$A$2:$L$52,5,FALSE)*m2k))/'TCO Inputs'!$AZ$84</f>
        <v>258.59719609887145</v>
      </c>
      <c r="DY133" s="125">
        <f>DY22/293.07*(1/(VLOOKUP($BM133,'Fuel economy adjusted factor'!$A$2:$L$52,5,FALSE)*m2k))/'TCO Inputs'!$AZ$84</f>
        <v>258.59719609887145</v>
      </c>
      <c r="DZ133" s="125">
        <f>DZ22/293.07*(1/(VLOOKUP($BM133,'Fuel economy adjusted factor'!$A$2:$L$52,5,FALSE)*m2k))/'TCO Inputs'!$AZ$84</f>
        <v>226.68637634689824</v>
      </c>
      <c r="EA133" s="125">
        <f>EA22/293.07*(1/(VLOOKUP($BM133,'Fuel economy adjusted factor'!$A$2:$L$52,5,FALSE)*m2k))/'TCO Inputs'!$AZ$84</f>
        <v>226.68637634689824</v>
      </c>
      <c r="EB133" s="125">
        <f>EB22/293.07*(1/(VLOOKUP($BM133,'Fuel economy adjusted factor'!$A$2:$L$52,5,FALSE)*m2k))/'TCO Inputs'!$AZ$84</f>
        <v>226.68637634689824</v>
      </c>
      <c r="EC133" s="125">
        <f>EC22/293.07*(1/(VLOOKUP($BM133,'Fuel economy adjusted factor'!$A$2:$L$52,5,FALSE)*m2k))/'TCO Inputs'!$AZ$84</f>
        <v>226.68637634689824</v>
      </c>
      <c r="ED133" s="125">
        <f>ED22/293.07*(1/(VLOOKUP($BM133,'Fuel economy adjusted factor'!$A$2:$L$52,5,FALSE)*m2k))/'TCO Inputs'!$AZ$84</f>
        <v>226.68637634689824</v>
      </c>
      <c r="EE133" s="125">
        <f>EE22/293.07*(1/(VLOOKUP($BM133,'Fuel economy adjusted factor'!$A$2:$L$52,5,FALSE)*m2k))/'TCO Inputs'!$AZ$84</f>
        <v>139.71501913718905</v>
      </c>
      <c r="EF133" s="125">
        <f>EF22/293.07*(1/(VLOOKUP($BM133,'Fuel economy adjusted factor'!$A$2:$L$52,5,FALSE)*m2k))/'TCO Inputs'!$AZ$84</f>
        <v>139.71501913718905</v>
      </c>
      <c r="EG133" s="125">
        <f>EG22/293.07*(1/(VLOOKUP($BM133,'Fuel economy adjusted factor'!$A$2:$L$52,5,FALSE)*m2k))/'TCO Inputs'!$AZ$84</f>
        <v>139.71501913718905</v>
      </c>
      <c r="EH133" s="125">
        <f>EH22/293.07*(1/(VLOOKUP($BM133,'Fuel economy adjusted factor'!$A$2:$L$52,5,FALSE)*m2k))/'TCO Inputs'!$AZ$84</f>
        <v>139.71501913718905</v>
      </c>
      <c r="EI133" s="125">
        <f>EI22/293.07*(1/(VLOOKUP($BM133,'Fuel economy adjusted factor'!$A$2:$L$52,5,FALSE)*m2k))/'TCO Inputs'!$AZ$84</f>
        <v>139.71501913718905</v>
      </c>
      <c r="EJ133" s="125">
        <f>EJ22/293.07*(1/(VLOOKUP($BM133,'Fuel economy adjusted factor'!$A$2:$L$52,5,FALSE)*m2k))/'TCO Inputs'!$AZ$84</f>
        <v>124.78192820922834</v>
      </c>
      <c r="EK133" s="125">
        <f>EK22/293.07*(1/(VLOOKUP($BM133,'Fuel economy adjusted factor'!$A$2:$L$52,5,FALSE)*m2k))/'TCO Inputs'!$AZ$84</f>
        <v>124.78192820922834</v>
      </c>
      <c r="EL133" s="125">
        <f>EL22/293.07*(1/(VLOOKUP($BM133,'Fuel economy adjusted factor'!$A$2:$L$52,5,FALSE)*m2k))/'TCO Inputs'!$AZ$84</f>
        <v>124.78192820922834</v>
      </c>
      <c r="EM133" s="125">
        <f>EM22/293.07*(1/(VLOOKUP($BM133,'Fuel economy adjusted factor'!$A$2:$L$52,5,FALSE)*m2k))/'TCO Inputs'!$AZ$84</f>
        <v>124.78192820922834</v>
      </c>
      <c r="EN133" s="125">
        <f>EN22/293.07*(1/(VLOOKUP($BM133,'Fuel economy adjusted factor'!$A$2:$L$52,5,FALSE)*m2k))/'TCO Inputs'!$AZ$84</f>
        <v>124.78192820922834</v>
      </c>
      <c r="EO133" s="125">
        <f>EO22/293.07*(1/(VLOOKUP($BM133,'Fuel economy adjusted factor'!$A$2:$L$52,5,FALSE)*m2k))/'TCO Inputs'!$AZ$84</f>
        <v>120.85447198990362</v>
      </c>
      <c r="EP133" s="125">
        <f>EP22/293.07*(1/(VLOOKUP($BM133,'Fuel economy adjusted factor'!$A$2:$L$52,5,FALSE)*m2k))/'TCO Inputs'!$AZ$84</f>
        <v>120.85447198990362</v>
      </c>
      <c r="EQ133" s="125">
        <f>EQ22/293.07*(1/(VLOOKUP($BM133,'Fuel economy adjusted factor'!$A$2:$L$52,5,FALSE)*m2k))/'TCO Inputs'!$AZ$84</f>
        <v>120.85447198990362</v>
      </c>
      <c r="ER133" s="125">
        <f>ER22/293.07*(1/(VLOOKUP($BM133,'Fuel economy adjusted factor'!$A$2:$L$52,5,FALSE)*m2k))/'TCO Inputs'!$AZ$84</f>
        <v>120.85447198990362</v>
      </c>
      <c r="ES133" s="125">
        <f>ES22/293.07*(1/(VLOOKUP($BM133,'Fuel economy adjusted factor'!$A$2:$L$52,5,FALSE)*m2k))/'TCO Inputs'!$AZ$84</f>
        <v>120.85447198990362</v>
      </c>
      <c r="ET133" s="125">
        <f>ET22/293.07*(1/(VLOOKUP($BM133,'Fuel economy adjusted factor'!$A$2:$L$52,5,FALSE)*m2k))/'TCO Inputs'!$AZ$84</f>
        <v>116.36731042473237</v>
      </c>
      <c r="EU133" s="125">
        <f>EU22/293.07*(1/(VLOOKUP($BM133,'Fuel economy adjusted factor'!$A$2:$L$52,5,FALSE)*m2k))/'TCO Inputs'!$AZ$84</f>
        <v>116.36731042473237</v>
      </c>
      <c r="EV133" s="125">
        <f>EV22/293.07*(1/(VLOOKUP($BM133,'Fuel economy adjusted factor'!$A$2:$L$52,5,FALSE)*m2k))/'TCO Inputs'!$AZ$84</f>
        <v>116.36731042473237</v>
      </c>
      <c r="EW133" s="125">
        <f>EW22/293.07*(1/(VLOOKUP($BM133,'Fuel economy adjusted factor'!$A$2:$L$52,5,FALSE)*m2k))/'TCO Inputs'!$AZ$84</f>
        <v>116.36731042473237</v>
      </c>
      <c r="EX133" s="125">
        <f>EX22/293.07*(1/(VLOOKUP($BM133,'Fuel economy adjusted factor'!$A$2:$L$52,5,FALSE)*m2k))/'TCO Inputs'!$AZ$84</f>
        <v>116.36731042473237</v>
      </c>
      <c r="EY133" s="125">
        <f>EY22/293.07*(1/(VLOOKUP($BM133,'Fuel economy adjusted factor'!$A$2:$L$52,5,FALSE)*m2k))/'TCO Inputs'!$AZ$84</f>
        <v>109.33101464837554</v>
      </c>
      <c r="EZ133" s="98" cm="1">
        <f t="array" ref="EZ133">SUMPRODUCT(INDEX(DX133:EY133,,'TCO Inputs'!$AZ$12-2023+_xlfn.SEQUENCE('TCO Inputs'!$AZ$13))*INDEX('VKT US'!C79:AA79,,_xlfn.SEQUENCE('TCO Inputs'!$AZ$13)))*m2k*CONVERT(0.9072,"g","ton")</f>
        <v>65.895862672119719</v>
      </c>
      <c r="FB133" s="123" t="s">
        <v>157</v>
      </c>
      <c r="FC133" s="125">
        <f>FC22/293.07*(1/(VLOOKUP($BM133,'Fuel economy adjusted factor'!$A$2:$L$52,5,FALSE)*m2k))/'TCO Inputs'!$AZ$84</f>
        <v>280.48662489663957</v>
      </c>
      <c r="FD133" s="125">
        <f>FD22/293.07*(1/(VLOOKUP($BM133,'Fuel economy adjusted factor'!$A$2:$L$52,5,FALSE)*m2k))/'TCO Inputs'!$AZ$84</f>
        <v>280.48662489663957</v>
      </c>
      <c r="FE133" s="125">
        <f>FE22/293.07*(1/(VLOOKUP($BM133,'Fuel economy adjusted factor'!$A$2:$L$52,5,FALSE)*m2k))/'TCO Inputs'!$AZ$84</f>
        <v>244.94914295474211</v>
      </c>
      <c r="FF133" s="125">
        <f>FF22/293.07*(1/(VLOOKUP($BM133,'Fuel economy adjusted factor'!$A$2:$L$52,5,FALSE)*m2k))/'TCO Inputs'!$AZ$84</f>
        <v>244.94914295474211</v>
      </c>
      <c r="FG133" s="125">
        <f>FG22/293.07*(1/(VLOOKUP($BM133,'Fuel economy adjusted factor'!$A$2:$L$52,5,FALSE)*m2k))/'TCO Inputs'!$AZ$84</f>
        <v>244.94914295474211</v>
      </c>
      <c r="FH133" s="125">
        <f>FH22/293.07*(1/(VLOOKUP($BM133,'Fuel economy adjusted factor'!$A$2:$L$52,5,FALSE)*m2k))/'TCO Inputs'!$AZ$84</f>
        <v>244.94914295474211</v>
      </c>
      <c r="FI133" s="125">
        <f>FI22/293.07*(1/(VLOOKUP($BM133,'Fuel economy adjusted factor'!$A$2:$L$52,5,FALSE)*m2k))/'TCO Inputs'!$AZ$84</f>
        <v>244.94914295474211</v>
      </c>
      <c r="FJ133" s="125">
        <f>FJ22/293.07*(1/(VLOOKUP($BM133,'Fuel economy adjusted factor'!$A$2:$L$52,5,FALSE)*m2k))/'TCO Inputs'!$AZ$84</f>
        <v>153.71146030271271</v>
      </c>
      <c r="FK133" s="125">
        <f>FK22/293.07*(1/(VLOOKUP($BM133,'Fuel economy adjusted factor'!$A$2:$L$52,5,FALSE)*m2k))/'TCO Inputs'!$AZ$84</f>
        <v>153.71146030271271</v>
      </c>
      <c r="FL133" s="125">
        <f>FL22/293.07*(1/(VLOOKUP($BM133,'Fuel economy adjusted factor'!$A$2:$L$52,5,FALSE)*m2k))/'TCO Inputs'!$AZ$84</f>
        <v>153.71146030271271</v>
      </c>
      <c r="FM133" s="125">
        <f>FM22/293.07*(1/(VLOOKUP($BM133,'Fuel economy adjusted factor'!$A$2:$L$52,5,FALSE)*m2k))/'TCO Inputs'!$AZ$84</f>
        <v>153.71146030271271</v>
      </c>
      <c r="FN133" s="125">
        <f>FN22/293.07*(1/(VLOOKUP($BM133,'Fuel economy adjusted factor'!$A$2:$L$52,5,FALSE)*m2k))/'TCO Inputs'!$AZ$84</f>
        <v>153.71146030271271</v>
      </c>
      <c r="FO133" s="125">
        <f>FO22/293.07*(1/(VLOOKUP($BM133,'Fuel economy adjusted factor'!$A$2:$L$52,5,FALSE)*m2k))/'TCO Inputs'!$AZ$84</f>
        <v>136.48814648001243</v>
      </c>
      <c r="FP133" s="125">
        <f>FP22/293.07*(1/(VLOOKUP($BM133,'Fuel economy adjusted factor'!$A$2:$L$52,5,FALSE)*m2k))/'TCO Inputs'!$AZ$84</f>
        <v>136.48814648001243</v>
      </c>
      <c r="FQ133" s="125">
        <f>FQ22/293.07*(1/(VLOOKUP($BM133,'Fuel economy adjusted factor'!$A$2:$L$52,5,FALSE)*m2k))/'TCO Inputs'!$AZ$84</f>
        <v>136.48814648001243</v>
      </c>
      <c r="FR133" s="125">
        <f>FR22/293.07*(1/(VLOOKUP($BM133,'Fuel economy adjusted factor'!$A$2:$L$52,5,FALSE)*m2k))/'TCO Inputs'!$AZ$84</f>
        <v>136.48814648001243</v>
      </c>
      <c r="FS133" s="125">
        <f>FS22/293.07*(1/(VLOOKUP($BM133,'Fuel economy adjusted factor'!$A$2:$L$52,5,FALSE)*m2k))/'TCO Inputs'!$AZ$84</f>
        <v>136.48814648001243</v>
      </c>
      <c r="FT133" s="125">
        <f>FT22/293.07*(1/(VLOOKUP($BM133,'Fuel economy adjusted factor'!$A$2:$L$52,5,FALSE)*m2k))/'TCO Inputs'!$AZ$84</f>
        <v>133.01378506446829</v>
      </c>
      <c r="FU133" s="125">
        <f>FU22/293.07*(1/(VLOOKUP($BM133,'Fuel economy adjusted factor'!$A$2:$L$52,5,FALSE)*m2k))/'TCO Inputs'!$AZ$84</f>
        <v>133.01378506446829</v>
      </c>
      <c r="FV133" s="125">
        <f>FV22/293.07*(1/(VLOOKUP($BM133,'Fuel economy adjusted factor'!$A$2:$L$52,5,FALSE)*m2k))/'TCO Inputs'!$AZ$84</f>
        <v>133.01378506446829</v>
      </c>
      <c r="FW133" s="125">
        <f>FW22/293.07*(1/(VLOOKUP($BM133,'Fuel economy adjusted factor'!$A$2:$L$52,5,FALSE)*m2k))/'TCO Inputs'!$AZ$84</f>
        <v>133.01378506446829</v>
      </c>
      <c r="FX133" s="125">
        <f>FX22/293.07*(1/(VLOOKUP($BM133,'Fuel economy adjusted factor'!$A$2:$L$52,5,FALSE)*m2k))/'TCO Inputs'!$AZ$84</f>
        <v>133.01378506446829</v>
      </c>
      <c r="FY133" s="125">
        <f>FY22/293.07*(1/(VLOOKUP($BM133,'Fuel economy adjusted factor'!$A$2:$L$52,5,FALSE)*m2k))/'TCO Inputs'!$AZ$84</f>
        <v>128.51710470089827</v>
      </c>
      <c r="FZ133" s="125">
        <f>FZ22/293.07*(1/(VLOOKUP($BM133,'Fuel economy adjusted factor'!$A$2:$L$52,5,FALSE)*m2k))/'TCO Inputs'!$AZ$84</f>
        <v>128.51710470089827</v>
      </c>
      <c r="GA133" s="125">
        <f>GA22/293.07*(1/(VLOOKUP($BM133,'Fuel economy adjusted factor'!$A$2:$L$52,5,FALSE)*m2k))/'TCO Inputs'!$AZ$84</f>
        <v>128.51710470089827</v>
      </c>
      <c r="GB133" s="125">
        <f>GB22/293.07*(1/(VLOOKUP($BM133,'Fuel economy adjusted factor'!$A$2:$L$52,5,FALSE)*m2k))/'TCO Inputs'!$AZ$84</f>
        <v>128.51710470089827</v>
      </c>
      <c r="GC133" s="125">
        <f>GC22/293.07*(1/(VLOOKUP($BM133,'Fuel economy adjusted factor'!$A$2:$L$52,5,FALSE)*m2k))/'TCO Inputs'!$AZ$84</f>
        <v>128.51710470089827</v>
      </c>
      <c r="GD133" s="125">
        <f>GD22/293.07*(1/(VLOOKUP($BM133,'Fuel economy adjusted factor'!$A$2:$L$52,5,FALSE)*m2k))/'TCO Inputs'!$AZ$84</f>
        <v>121.23712768553341</v>
      </c>
      <c r="GE133" s="98" cm="1">
        <f t="array" ref="GE133">SUMPRODUCT(INDEX(FC133:GD133,,'TCO Inputs'!$AZ$12-2023+_xlfn.SEQUENCE('TCO Inputs'!$AZ$13))*INDEX('VKT US'!C79:AA79,,_xlfn.SEQUENCE('TCO Inputs'!$AZ$13)))*m2k*CONVERT(0.9072,"g","ton")</f>
        <v>71.64617187740923</v>
      </c>
      <c r="GH133" s="123" t="s">
        <v>157</v>
      </c>
      <c r="GI133" s="125">
        <f>GI22/293.07*(1/(VLOOKUP($BM133,'Fuel economy adjusted factor'!$A$2:$L$52,5,FALSE)*m2k))/'TCO Inputs'!$AZ$84</f>
        <v>243.69837284514625</v>
      </c>
      <c r="GJ133" s="125">
        <f>GJ22/293.07*(1/(VLOOKUP($BM133,'Fuel economy adjusted factor'!$A$2:$L$52,5,FALSE)*m2k))/'TCO Inputs'!$AZ$84</f>
        <v>243.69837284514625</v>
      </c>
      <c r="GK133" s="125">
        <f>GK22/293.07*(1/(VLOOKUP($BM133,'Fuel economy adjusted factor'!$A$2:$L$52,5,FALSE)*m2k))/'TCO Inputs'!$AZ$84</f>
        <v>214.25672939780907</v>
      </c>
      <c r="GL133" s="125">
        <f>GL22/293.07*(1/(VLOOKUP($BM133,'Fuel economy adjusted factor'!$A$2:$L$52,5,FALSE)*m2k))/'TCO Inputs'!$AZ$84</f>
        <v>214.25672939780907</v>
      </c>
      <c r="GM133" s="125">
        <f>GM22/293.07*(1/(VLOOKUP($BM133,'Fuel economy adjusted factor'!$A$2:$L$52,5,FALSE)*m2k))/'TCO Inputs'!$AZ$84</f>
        <v>214.25672939780907</v>
      </c>
      <c r="GN133" s="125">
        <f>GN22/293.07*(1/(VLOOKUP($BM133,'Fuel economy adjusted factor'!$A$2:$L$52,5,FALSE)*m2k))/'TCO Inputs'!$AZ$84</f>
        <v>214.25672939780907</v>
      </c>
      <c r="GO133" s="125">
        <f>GO22/293.07*(1/(VLOOKUP($BM133,'Fuel economy adjusted factor'!$A$2:$L$52,5,FALSE)*m2k))/'TCO Inputs'!$AZ$84</f>
        <v>214.25672939780907</v>
      </c>
      <c r="GP133" s="125">
        <f>GP22/293.07*(1/(VLOOKUP($BM133,'Fuel economy adjusted factor'!$A$2:$L$52,5,FALSE)*m2k))/'TCO Inputs'!$AZ$84</f>
        <v>130.18860569971898</v>
      </c>
      <c r="GQ133" s="125">
        <f>GQ22/293.07*(1/(VLOOKUP($BM133,'Fuel economy adjusted factor'!$A$2:$L$52,5,FALSE)*m2k))/'TCO Inputs'!$AZ$84</f>
        <v>130.18860569971898</v>
      </c>
      <c r="GR133" s="125">
        <f>GR22/293.07*(1/(VLOOKUP($BM133,'Fuel economy adjusted factor'!$A$2:$L$52,5,FALSE)*m2k))/'TCO Inputs'!$AZ$84</f>
        <v>130.18860569971898</v>
      </c>
      <c r="GS133" s="125">
        <f>GS22/293.07*(1/(VLOOKUP($BM133,'Fuel economy adjusted factor'!$A$2:$L$52,5,FALSE)*m2k))/'TCO Inputs'!$AZ$84</f>
        <v>130.18860569971898</v>
      </c>
      <c r="GT133" s="125">
        <f>GT22/293.07*(1/(VLOOKUP($BM133,'Fuel economy adjusted factor'!$A$2:$L$52,5,FALSE)*m2k))/'TCO Inputs'!$AZ$84</f>
        <v>130.18860569971898</v>
      </c>
      <c r="GU133" s="125">
        <f>GU22/293.07*(1/(VLOOKUP($BM133,'Fuel economy adjusted factor'!$A$2:$L$52,5,FALSE)*m2k))/'TCO Inputs'!$AZ$84</f>
        <v>116.81469394947366</v>
      </c>
      <c r="GV133" s="125">
        <f>GV22/293.07*(1/(VLOOKUP($BM133,'Fuel economy adjusted factor'!$A$2:$L$52,5,FALSE)*m2k))/'TCO Inputs'!$AZ$84</f>
        <v>116.81469394947366</v>
      </c>
      <c r="GW133" s="125">
        <f>GW22/293.07*(1/(VLOOKUP($BM133,'Fuel economy adjusted factor'!$A$2:$L$52,5,FALSE)*m2k))/'TCO Inputs'!$AZ$84</f>
        <v>116.81469394947366</v>
      </c>
      <c r="GX133" s="125">
        <f>GX22/293.07*(1/(VLOOKUP($BM133,'Fuel economy adjusted factor'!$A$2:$L$52,5,FALSE)*m2k))/'TCO Inputs'!$AZ$84</f>
        <v>116.81469394947366</v>
      </c>
      <c r="GY133" s="125">
        <f>GY22/293.07*(1/(VLOOKUP($BM133,'Fuel economy adjusted factor'!$A$2:$L$52,5,FALSE)*m2k))/'TCO Inputs'!$AZ$84</f>
        <v>116.81469394947366</v>
      </c>
      <c r="GZ133" s="125">
        <f>GZ22/293.07*(1/(VLOOKUP($BM133,'Fuel economy adjusted factor'!$A$2:$L$52,5,FALSE)*m2k))/'TCO Inputs'!$AZ$84</f>
        <v>112.57882866202942</v>
      </c>
      <c r="HA133" s="125">
        <f>HA22/293.07*(1/(VLOOKUP($BM133,'Fuel economy adjusted factor'!$A$2:$L$52,5,FALSE)*m2k))/'TCO Inputs'!$AZ$84</f>
        <v>112.57882866202942</v>
      </c>
      <c r="HB133" s="125">
        <f>HB22/293.07*(1/(VLOOKUP($BM133,'Fuel economy adjusted factor'!$A$2:$L$52,5,FALSE)*m2k))/'TCO Inputs'!$AZ$84</f>
        <v>112.57882866202942</v>
      </c>
      <c r="HC133" s="125">
        <f>HC22/293.07*(1/(VLOOKUP($BM133,'Fuel economy adjusted factor'!$A$2:$L$52,5,FALSE)*m2k))/'TCO Inputs'!$AZ$84</f>
        <v>112.57882866202942</v>
      </c>
      <c r="HD133" s="125">
        <f>HD22/293.07*(1/(VLOOKUP($BM133,'Fuel economy adjusted factor'!$A$2:$L$52,5,FALSE)*m2k))/'TCO Inputs'!$AZ$84</f>
        <v>112.57882866202942</v>
      </c>
      <c r="HE133" s="125">
        <f>HE22/293.07*(1/(VLOOKUP($BM133,'Fuel economy adjusted factor'!$A$2:$L$52,5,FALSE)*m2k))/'TCO Inputs'!$AZ$84</f>
        <v>108.09737837589738</v>
      </c>
      <c r="HF133" s="125">
        <f>HF22/293.07*(1/(VLOOKUP($BM133,'Fuel economy adjusted factor'!$A$2:$L$52,5,FALSE)*m2k))/'TCO Inputs'!$AZ$84</f>
        <v>108.09737837589738</v>
      </c>
      <c r="HG133" s="125">
        <f>HG22/293.07*(1/(VLOOKUP($BM133,'Fuel economy adjusted factor'!$A$2:$L$52,5,FALSE)*m2k))/'TCO Inputs'!$AZ$84</f>
        <v>108.09737837589738</v>
      </c>
      <c r="HH133" s="125">
        <f>HH22/293.07*(1/(VLOOKUP($BM133,'Fuel economy adjusted factor'!$A$2:$L$52,5,FALSE)*m2k))/'TCO Inputs'!$AZ$84</f>
        <v>108.09737837589738</v>
      </c>
      <c r="HI133" s="125">
        <f>HI22/293.07*(1/(VLOOKUP($BM133,'Fuel economy adjusted factor'!$A$2:$L$52,5,FALSE)*m2k))/'TCO Inputs'!$AZ$84</f>
        <v>108.09737837589738</v>
      </c>
      <c r="HJ133" s="125">
        <f>HJ22/293.07*(1/(VLOOKUP($BM133,'Fuel economy adjusted factor'!$A$2:$L$52,5,FALSE)*m2k))/'TCO Inputs'!$AZ$84</f>
        <v>101.2286134513586</v>
      </c>
      <c r="HK133" s="98" cm="1">
        <f t="array" ref="HK133">SUMPRODUCT(INDEX(GI133:HJ133,,'TCO Inputs'!$AZ$12-2023+_xlfn.SEQUENCE('TCO Inputs'!$AZ$13))*INDEX('VKT US'!C79:AA79,,_xlfn.SEQUENCE('TCO Inputs'!$AZ$13)))*m2k*CONVERT(0.9072,"g","ton")</f>
        <v>61.982101206374864</v>
      </c>
    </row>
    <row r="134" spans="17:219" x14ac:dyDescent="0.25">
      <c r="Q134" s="198" t="s">
        <v>551</v>
      </c>
      <c r="R134" s="197">
        <f>'100%NG_methaneleaking'!BI221/'Scenario analysis'!$DU$167</f>
        <v>1.3845971803582833</v>
      </c>
      <c r="Z134" s="123" t="s">
        <v>200</v>
      </c>
      <c r="AA134" s="125">
        <f>AA23/293.07*(1/(VLOOKUP($Z134,'Fuel economy adjusted factor'!$A$2:$L$52,5,FALSE)*m2k))/'TCO Inputs'!$AZ$84</f>
        <v>103.03341751838546</v>
      </c>
      <c r="AB134" s="125">
        <f>AB23/293.07*(1/(VLOOKUP($Z134,'Fuel economy adjusted factor'!$A$2:$L$52,5,FALSE)*m2k))/'TCO Inputs'!$AZ$84</f>
        <v>103.03341751838546</v>
      </c>
      <c r="AC134" s="125">
        <f>AC23/293.07*(1/(VLOOKUP($Z134,'Fuel economy adjusted factor'!$A$2:$L$52,5,FALSE)*m2k))/'TCO Inputs'!$AZ$84</f>
        <v>90.617255884805317</v>
      </c>
      <c r="AD134" s="125">
        <f>AD23/293.07*(1/(VLOOKUP($Z134,'Fuel economy adjusted factor'!$A$2:$L$52,5,FALSE)*m2k))/'TCO Inputs'!$AZ$84</f>
        <v>90.617255884805317</v>
      </c>
      <c r="AE134" s="125">
        <f>AE23/293.07*(1/(VLOOKUP($Z134,'Fuel economy adjusted factor'!$A$2:$L$52,5,FALSE)*m2k))/'TCO Inputs'!$AZ$84</f>
        <v>90.617255884805317</v>
      </c>
      <c r="AF134" s="125">
        <f>AF23/293.07*(1/(VLOOKUP($Z134,'Fuel economy adjusted factor'!$A$2:$L$52,5,FALSE)*m2k))/'TCO Inputs'!$AZ$84</f>
        <v>90.617255884805317</v>
      </c>
      <c r="AG134" s="125">
        <f>AG23/293.07*(1/(VLOOKUP($Z134,'Fuel economy adjusted factor'!$A$2:$L$52,5,FALSE)*m2k))/'TCO Inputs'!$AZ$84</f>
        <v>90.617255884805317</v>
      </c>
      <c r="AH134" s="125">
        <f>AH23/293.07*(1/(VLOOKUP($Z134,'Fuel economy adjusted factor'!$A$2:$L$52,5,FALSE)*m2k))/'TCO Inputs'!$AZ$84</f>
        <v>54.446262276305603</v>
      </c>
      <c r="AI134" s="125">
        <f>AI23/293.07*(1/(VLOOKUP($Z134,'Fuel economy adjusted factor'!$A$2:$L$52,5,FALSE)*m2k))/'TCO Inputs'!$AZ$84</f>
        <v>54.446262276305603</v>
      </c>
      <c r="AJ134" s="125">
        <f>AJ23/293.07*(1/(VLOOKUP($Z134,'Fuel economy adjusted factor'!$A$2:$L$52,5,FALSE)*m2k))/'TCO Inputs'!$AZ$84</f>
        <v>54.446262276305603</v>
      </c>
      <c r="AK134" s="125">
        <f>AK23/293.07*(1/(VLOOKUP($Z134,'Fuel economy adjusted factor'!$A$2:$L$52,5,FALSE)*m2k))/'TCO Inputs'!$AZ$84</f>
        <v>54.446262276305603</v>
      </c>
      <c r="AL134" s="125">
        <f>AL23/293.07*(1/(VLOOKUP($Z134,'Fuel economy adjusted factor'!$A$2:$L$52,5,FALSE)*m2k))/'TCO Inputs'!$AZ$84</f>
        <v>54.446262276305603</v>
      </c>
      <c r="AM134" s="125">
        <f>AM23/293.07*(1/(VLOOKUP($Z134,'Fuel economy adjusted factor'!$A$2:$L$52,5,FALSE)*m2k))/'TCO Inputs'!$AZ$84</f>
        <v>56.976818465230579</v>
      </c>
      <c r="AN134" s="125">
        <f>AN23/293.07*(1/(VLOOKUP($Z134,'Fuel economy adjusted factor'!$A$2:$L$52,5,FALSE)*m2k))/'TCO Inputs'!$AZ$84</f>
        <v>56.976818465230579</v>
      </c>
      <c r="AO134" s="125">
        <f>AO23/293.07*(1/(VLOOKUP($Z134,'Fuel economy adjusted factor'!$A$2:$L$52,5,FALSE)*m2k))/'TCO Inputs'!$AZ$84</f>
        <v>56.976818465230579</v>
      </c>
      <c r="AP134" s="125">
        <f>AP23/293.07*(1/(VLOOKUP($Z134,'Fuel economy adjusted factor'!$A$2:$L$52,5,FALSE)*m2k))/'TCO Inputs'!$AZ$84</f>
        <v>56.976818465230579</v>
      </c>
      <c r="AQ134" s="125">
        <f>AQ23/293.07*(1/(VLOOKUP($Z134,'Fuel economy adjusted factor'!$A$2:$L$52,5,FALSE)*m2k))/'TCO Inputs'!$AZ$84</f>
        <v>56.976818465230579</v>
      </c>
      <c r="AR134" s="125">
        <f>AR23/293.07*(1/(VLOOKUP($Z134,'Fuel economy adjusted factor'!$A$2:$L$52,5,FALSE)*m2k))/'TCO Inputs'!$AZ$84</f>
        <v>59.560574297913945</v>
      </c>
      <c r="AS134" s="125">
        <f>AS23/293.07*(1/(VLOOKUP($Z134,'Fuel economy adjusted factor'!$A$2:$L$52,5,FALSE)*m2k))/'TCO Inputs'!$AZ$84</f>
        <v>59.560574297913945</v>
      </c>
      <c r="AT134" s="125">
        <f>AT23/293.07*(1/(VLOOKUP($Z134,'Fuel economy adjusted factor'!$A$2:$L$52,5,FALSE)*m2k))/'TCO Inputs'!$AZ$84</f>
        <v>59.560574297913945</v>
      </c>
      <c r="AU134" s="125">
        <f>AU23/293.07*(1/(VLOOKUP($Z134,'Fuel economy adjusted factor'!$A$2:$L$52,5,FALSE)*m2k))/'TCO Inputs'!$AZ$84</f>
        <v>59.560574297913945</v>
      </c>
      <c r="AV134" s="125">
        <f>AV23/293.07*(1/(VLOOKUP($Z134,'Fuel economy adjusted factor'!$A$2:$L$52,5,FALSE)*m2k))/'TCO Inputs'!$AZ$84</f>
        <v>59.560574297913945</v>
      </c>
      <c r="AW134" s="125">
        <f>AW23/293.07*(1/(VLOOKUP($Z134,'Fuel economy adjusted factor'!$A$2:$L$52,5,FALSE)*m2k))/'TCO Inputs'!$AZ$84</f>
        <v>60.867538680396066</v>
      </c>
      <c r="AX134" s="125">
        <f>AX23/293.07*(1/(VLOOKUP($Z134,'Fuel economy adjusted factor'!$A$2:$L$52,5,FALSE)*m2k))/'TCO Inputs'!$AZ$84</f>
        <v>60.867538680396066</v>
      </c>
      <c r="AY134" s="125">
        <f>AY23/293.07*(1/(VLOOKUP($Z134,'Fuel economy adjusted factor'!$A$2:$L$52,5,FALSE)*m2k))/'TCO Inputs'!$AZ$84</f>
        <v>60.867538680396066</v>
      </c>
      <c r="AZ134" s="125">
        <f>AZ23/293.07*(1/(VLOOKUP($Z134,'Fuel economy adjusted factor'!$A$2:$L$52,5,FALSE)*m2k))/'TCO Inputs'!$AZ$84</f>
        <v>60.867538680396066</v>
      </c>
      <c r="BA134" s="125">
        <f>BA23/293.07*(1/(VLOOKUP($Z134,'Fuel economy adjusted factor'!$A$2:$L$52,5,FALSE)*m2k))/'TCO Inputs'!$AZ$84</f>
        <v>60.867538680396066</v>
      </c>
      <c r="BB134" s="125">
        <f>BB23/293.07*(1/(VLOOKUP($Z134,'Fuel economy adjusted factor'!$A$2:$L$52,5,FALSE)*m2k))/'TCO Inputs'!$AZ$84</f>
        <v>60.950117231901629</v>
      </c>
      <c r="BC134" s="98" cm="1">
        <f t="array" ref="BC134">SUMPRODUCT(INDEX(AA134:BB134,,'TCO Inputs'!$AZ$12-2023+_xlfn.SEQUENCE('TCO Inputs'!$AZ$13))*INDEX('VKT US'!C80:AA80,,_xlfn.SEQUENCE('TCO Inputs'!$AZ$13)))*m2k*CONVERT(0.9072,"g","ton")</f>
        <v>24.258638374081027</v>
      </c>
      <c r="BM134" s="123" t="s">
        <v>200</v>
      </c>
      <c r="BN134" s="125">
        <f>BN23/293.07*(1/(VLOOKUP($BM134,'Fuel economy adjusted factor'!$A$2:$L$52,5,FALSE)*m2k))</f>
        <v>87.578404890627638</v>
      </c>
      <c r="BO134" s="125">
        <f>BO23/293.07*(1/(VLOOKUP($BM134,'Fuel economy adjusted factor'!$A$2:$L$52,5,FALSE)*m2k))</f>
        <v>87.578404890627638</v>
      </c>
      <c r="BP134" s="125">
        <f>BP23/293.07*(1/(VLOOKUP($BM134,'Fuel economy adjusted factor'!$A$2:$L$52,5,FALSE)*m2k))</f>
        <v>76.924104294890498</v>
      </c>
      <c r="BQ134" s="125">
        <f>BQ23/293.07*(1/(VLOOKUP($BM134,'Fuel economy adjusted factor'!$A$2:$L$52,5,FALSE)*m2k))</f>
        <v>76.924104294890498</v>
      </c>
      <c r="BR134" s="125">
        <f>BR23/293.07*(1/(VLOOKUP($BM134,'Fuel economy adjusted factor'!$A$2:$L$52,5,FALSE)*m2k))</f>
        <v>76.924104294890498</v>
      </c>
      <c r="BS134" s="125">
        <f>BS23/293.07*(1/(VLOOKUP($BM134,'Fuel economy adjusted factor'!$A$2:$L$52,5,FALSE)*m2k))</f>
        <v>76.924104294890498</v>
      </c>
      <c r="BT134" s="125">
        <f>BT23/293.07*(1/(VLOOKUP($BM134,'Fuel economy adjusted factor'!$A$2:$L$52,5,FALSE)*m2k))</f>
        <v>76.924104294890498</v>
      </c>
      <c r="BU134" s="125">
        <f>BU23/293.07*(1/(VLOOKUP($BM134,'Fuel economy adjusted factor'!$A$2:$L$52,5,FALSE)*m2k))</f>
        <v>87.198424450022031</v>
      </c>
      <c r="BV134" s="125">
        <f>BV23/293.07*(1/(VLOOKUP($BM134,'Fuel economy adjusted factor'!$A$2:$L$52,5,FALSE)*m2k))</f>
        <v>87.198424450022031</v>
      </c>
      <c r="BW134" s="125">
        <f>BW23/293.07*(1/(VLOOKUP($BM134,'Fuel economy adjusted factor'!$A$2:$L$52,5,FALSE)*m2k))</f>
        <v>87.198424450022031</v>
      </c>
      <c r="BX134" s="125">
        <f>BX23/293.07*(1/(VLOOKUP($BM134,'Fuel economy adjusted factor'!$A$2:$L$52,5,FALSE)*m2k))</f>
        <v>87.198424450022031</v>
      </c>
      <c r="BY134" s="125">
        <f>BY23/293.07*(1/(VLOOKUP($BM134,'Fuel economy adjusted factor'!$A$2:$L$52,5,FALSE)*m2k))</f>
        <v>87.198424450022031</v>
      </c>
      <c r="BZ134" s="125">
        <f>BZ23/293.07*(1/(VLOOKUP($BM134,'Fuel economy adjusted factor'!$A$2:$L$52,5,FALSE)*m2k))</f>
        <v>89.29540354231618</v>
      </c>
      <c r="CA134" s="125">
        <f>CA23/293.07*(1/(VLOOKUP($BM134,'Fuel economy adjusted factor'!$A$2:$L$52,5,FALSE)*m2k))</f>
        <v>89.29540354231618</v>
      </c>
      <c r="CB134" s="125">
        <f>CB23/293.07*(1/(VLOOKUP($BM134,'Fuel economy adjusted factor'!$A$2:$L$52,5,FALSE)*m2k))</f>
        <v>89.29540354231618</v>
      </c>
      <c r="CC134" s="125">
        <f>CC23/293.07*(1/(VLOOKUP($BM134,'Fuel economy adjusted factor'!$A$2:$L$52,5,FALSE)*m2k))</f>
        <v>89.29540354231618</v>
      </c>
      <c r="CD134" s="125">
        <f>CD23/293.07*(1/(VLOOKUP($BM134,'Fuel economy adjusted factor'!$A$2:$L$52,5,FALSE)*m2k))</f>
        <v>89.29540354231618</v>
      </c>
      <c r="CE134" s="125">
        <f>CE23/293.07*(1/(VLOOKUP($BM134,'Fuel economy adjusted factor'!$A$2:$L$52,5,FALSE)*m2k))</f>
        <v>91.502394733755466</v>
      </c>
      <c r="CF134" s="125">
        <f>CF23/293.07*(1/(VLOOKUP($BM134,'Fuel economy adjusted factor'!$A$2:$L$52,5,FALSE)*m2k))</f>
        <v>91.502394733755466</v>
      </c>
      <c r="CG134" s="125">
        <f>CG23/293.07*(1/(VLOOKUP($BM134,'Fuel economy adjusted factor'!$A$2:$L$52,5,FALSE)*m2k))</f>
        <v>91.502394733755466</v>
      </c>
      <c r="CH134" s="125">
        <f>CH23/293.07*(1/(VLOOKUP($BM134,'Fuel economy adjusted factor'!$A$2:$L$52,5,FALSE)*m2k))</f>
        <v>91.502394733755466</v>
      </c>
      <c r="CI134" s="125">
        <f>CI23/293.07*(1/(VLOOKUP($BM134,'Fuel economy adjusted factor'!$A$2:$L$52,5,FALSE)*m2k))</f>
        <v>91.502394733755466</v>
      </c>
      <c r="CJ134" s="125">
        <f>CJ23/293.07*(1/(VLOOKUP($BM134,'Fuel economy adjusted factor'!$A$2:$L$52,5,FALSE)*m2k))</f>
        <v>92.026133316188776</v>
      </c>
      <c r="CK134" s="125">
        <f>CK23/293.07*(1/(VLOOKUP($BM134,'Fuel economy adjusted factor'!$A$2:$L$52,5,FALSE)*m2k))</f>
        <v>92.026133316188776</v>
      </c>
      <c r="CL134" s="125">
        <f>CL23/293.07*(1/(VLOOKUP($BM134,'Fuel economy adjusted factor'!$A$2:$L$52,5,FALSE)*m2k))</f>
        <v>92.026133316188776</v>
      </c>
      <c r="CM134" s="125">
        <f>CM23/293.07*(1/(VLOOKUP($BM134,'Fuel economy adjusted factor'!$A$2:$L$52,5,FALSE)*m2k))</f>
        <v>92.026133316188776</v>
      </c>
      <c r="CN134" s="125">
        <f>CN23/293.07*(1/(VLOOKUP($BM134,'Fuel economy adjusted factor'!$A$2:$L$52,5,FALSE)*m2k))</f>
        <v>92.026133316188776</v>
      </c>
      <c r="CO134" s="125">
        <f>CO23/293.07*(1/(VLOOKUP($BM134,'Fuel economy adjusted factor'!$A$2:$L$52,5,FALSE)*m2k))</f>
        <v>92.651784947523396</v>
      </c>
      <c r="CP134" s="98" cm="1">
        <f t="array" ref="CP134">SUMPRODUCT(INDEX(BN134:CO134,,'TCO Inputs'!$AZ$12-2023+_xlfn.SEQUENCE('TCO Inputs'!$AZ$13))*INDEX('VKT US'!C80:AA80,,_xlfn.SEQUENCE('TCO Inputs'!$AZ$13)))*m2k*CONVERT(0.9072,"g","ton")</f>
        <v>26.422838370648726</v>
      </c>
      <c r="CQ134" s="194"/>
      <c r="CR134" s="123" t="s">
        <v>200</v>
      </c>
      <c r="CS134" s="125">
        <f>CS23/293.07*(1/(VLOOKUP($BM134,'Fuel economy adjusted factor'!$A$2:$L$52,5,FALSE)*m2k))/'TCO Inputs'!$AZ$84</f>
        <v>124.74601839261003</v>
      </c>
      <c r="CT134" s="125">
        <f>CT23/293.07*(1/(VLOOKUP($BM134,'Fuel economy adjusted factor'!$A$2:$L$52,5,FALSE)*m2k))/'TCO Inputs'!$AZ$84</f>
        <v>124.74601839261003</v>
      </c>
      <c r="CU134" s="125">
        <f>CU23/293.07*(1/(VLOOKUP($BM134,'Fuel economy adjusted factor'!$A$2:$L$52,5,FALSE)*m2k))/'TCO Inputs'!$AZ$84</f>
        <v>124.74601839261003</v>
      </c>
      <c r="CV134" s="125">
        <f>CV23/293.07*(1/(VLOOKUP($BM134,'Fuel economy adjusted factor'!$A$2:$L$52,5,FALSE)*m2k))/'TCO Inputs'!$AZ$84</f>
        <v>124.74601839261003</v>
      </c>
      <c r="CW134" s="125">
        <f>CW23/293.07*(1/(VLOOKUP($BM134,'Fuel economy adjusted factor'!$A$2:$L$52,5,FALSE)*m2k))/'TCO Inputs'!$AZ$84</f>
        <v>124.74601839261003</v>
      </c>
      <c r="CX134" s="125">
        <f>CX23/293.07*(1/(VLOOKUP($BM134,'Fuel economy adjusted factor'!$A$2:$L$52,5,FALSE)*m2k))/'TCO Inputs'!$AZ$84</f>
        <v>124.74601839261003</v>
      </c>
      <c r="CY134" s="125">
        <f>CY23/293.07*(1/(VLOOKUP($BM134,'Fuel economy adjusted factor'!$A$2:$L$52,5,FALSE)*m2k))/'TCO Inputs'!$AZ$84</f>
        <v>124.74601839261003</v>
      </c>
      <c r="CZ134" s="125">
        <f>CZ23/293.07*(1/(VLOOKUP($BM134,'Fuel economy adjusted factor'!$A$2:$L$52,5,FALSE)*m2k))/'TCO Inputs'!$AZ$84</f>
        <v>124.77380925128978</v>
      </c>
      <c r="DA134" s="125">
        <f>DA23/293.07*(1/(VLOOKUP($BM134,'Fuel economy adjusted factor'!$A$2:$L$52,5,FALSE)*m2k))/'TCO Inputs'!$AZ$84</f>
        <v>124.77380925128978</v>
      </c>
      <c r="DB134" s="125">
        <f>DB23/293.07*(1/(VLOOKUP($BM134,'Fuel economy adjusted factor'!$A$2:$L$52,5,FALSE)*m2k))/'TCO Inputs'!$AZ$84</f>
        <v>124.77380925128978</v>
      </c>
      <c r="DC134" s="125">
        <f>DC23/293.07*(1/(VLOOKUP($BM134,'Fuel economy adjusted factor'!$A$2:$L$52,5,FALSE)*m2k))/'TCO Inputs'!$AZ$84</f>
        <v>124.77380925128978</v>
      </c>
      <c r="DD134" s="125">
        <f>DD23/293.07*(1/(VLOOKUP($BM134,'Fuel economy adjusted factor'!$A$2:$L$52,5,FALSE)*m2k))/'TCO Inputs'!$AZ$84</f>
        <v>124.77380925128978</v>
      </c>
      <c r="DE134" s="125">
        <f>DE23/293.07*(1/(VLOOKUP($BM134,'Fuel economy adjusted factor'!$A$2:$L$52,5,FALSE)*m2k))/'TCO Inputs'!$AZ$84</f>
        <v>124.75792876061563</v>
      </c>
      <c r="DF134" s="125">
        <f>DF23/293.07*(1/(VLOOKUP($BM134,'Fuel economy adjusted factor'!$A$2:$L$52,5,FALSE)*m2k))/'TCO Inputs'!$AZ$84</f>
        <v>124.75792876061563</v>
      </c>
      <c r="DG134" s="125">
        <f>DG23/293.07*(1/(VLOOKUP($BM134,'Fuel economy adjusted factor'!$A$2:$L$52,5,FALSE)*m2k))/'TCO Inputs'!$AZ$84</f>
        <v>124.75792876061563</v>
      </c>
      <c r="DH134" s="125">
        <f>DH23/293.07*(1/(VLOOKUP($BM134,'Fuel economy adjusted factor'!$A$2:$L$52,5,FALSE)*m2k))/'TCO Inputs'!$AZ$84</f>
        <v>124.75792876061563</v>
      </c>
      <c r="DI134" s="125">
        <f>DI23/293.07*(1/(VLOOKUP($BM134,'Fuel economy adjusted factor'!$A$2:$L$52,5,FALSE)*m2k))/'TCO Inputs'!$AZ$84</f>
        <v>124.75792876061563</v>
      </c>
      <c r="DJ134" s="125">
        <f>DJ23/293.07*(1/(VLOOKUP($BM134,'Fuel economy adjusted factor'!$A$2:$L$52,5,FALSE)*m2k))/'TCO Inputs'!$AZ$84</f>
        <v>124.75395863794708</v>
      </c>
      <c r="DK134" s="125">
        <f>DK23/293.07*(1/(VLOOKUP($BM134,'Fuel economy adjusted factor'!$A$2:$L$52,5,FALSE)*m2k))/'TCO Inputs'!$AZ$84</f>
        <v>124.75395863794708</v>
      </c>
      <c r="DL134" s="125">
        <f>DL23/293.07*(1/(VLOOKUP($BM134,'Fuel economy adjusted factor'!$A$2:$L$52,5,FALSE)*m2k))/'TCO Inputs'!$AZ$84</f>
        <v>124.75395863794708</v>
      </c>
      <c r="DM134" s="125">
        <f>DM23/293.07*(1/(VLOOKUP($BM134,'Fuel economy adjusted factor'!$A$2:$L$52,5,FALSE)*m2k))/'TCO Inputs'!$AZ$84</f>
        <v>124.75395863794708</v>
      </c>
      <c r="DN134" s="125">
        <f>DN23/293.07*(1/(VLOOKUP($BM134,'Fuel economy adjusted factor'!$A$2:$L$52,5,FALSE)*m2k))/'TCO Inputs'!$AZ$84</f>
        <v>124.75395863794708</v>
      </c>
      <c r="DO134" s="125">
        <f>DO23/293.07*(1/(VLOOKUP($BM134,'Fuel economy adjusted factor'!$A$2:$L$52,5,FALSE)*m2k))/'TCO Inputs'!$AZ$84</f>
        <v>124.67693825817747</v>
      </c>
      <c r="DP134" s="125">
        <f>DP23/293.07*(1/(VLOOKUP($BM134,'Fuel economy adjusted factor'!$A$2:$L$52,5,FALSE)*m2k))/'TCO Inputs'!$AZ$84</f>
        <v>124.67693825817747</v>
      </c>
      <c r="DQ134" s="125">
        <f>DQ23/293.07*(1/(VLOOKUP($BM134,'Fuel economy adjusted factor'!$A$2:$L$52,5,FALSE)*m2k))/'TCO Inputs'!$AZ$84</f>
        <v>124.67693825817747</v>
      </c>
      <c r="DR134" s="125">
        <f>DR23/293.07*(1/(VLOOKUP($BM134,'Fuel economy adjusted factor'!$A$2:$L$52,5,FALSE)*m2k))/'TCO Inputs'!$AZ$84</f>
        <v>124.67693825817747</v>
      </c>
      <c r="DS134" s="125">
        <f>DS23/293.07*(1/(VLOOKUP($BM134,'Fuel economy adjusted factor'!$A$2:$L$52,5,FALSE)*m2k))/'TCO Inputs'!$AZ$84</f>
        <v>124.67693825817747</v>
      </c>
      <c r="DT134" s="125">
        <f>DT23/293.07*(1/(VLOOKUP($BM134,'Fuel economy adjusted factor'!$A$2:$L$52,5,FALSE)*m2k))/'TCO Inputs'!$AZ$84</f>
        <v>124.74125424540779</v>
      </c>
      <c r="DU134" s="98" cm="1">
        <f t="array" ref="DU134">SUMPRODUCT(INDEX(CS134:DT134,,'TCO Inputs'!$AZ$12-2023+_xlfn.SEQUENCE('TCO Inputs'!$AZ$13))*INDEX('VKT US'!C80:AA80,,_xlfn.SEQUENCE('TCO Inputs'!$AZ$13)))*m2k*CONVERT(0.9072,"g","ton")</f>
        <v>39.431410800974142</v>
      </c>
      <c r="DW134" s="123" t="s">
        <v>200</v>
      </c>
      <c r="DX134" s="125">
        <f>DX23/293.07*(1/(VLOOKUP($BM134,'Fuel economy adjusted factor'!$A$2:$L$52,5,FALSE)*m2k))/'TCO Inputs'!$AZ$84</f>
        <v>130.58527144797114</v>
      </c>
      <c r="DY134" s="125">
        <f>DY23/293.07*(1/(VLOOKUP($BM134,'Fuel economy adjusted factor'!$A$2:$L$52,5,FALSE)*m2k))/'TCO Inputs'!$AZ$84</f>
        <v>130.58527144797114</v>
      </c>
      <c r="DZ134" s="125">
        <f>DZ23/293.07*(1/(VLOOKUP($BM134,'Fuel economy adjusted factor'!$A$2:$L$52,5,FALSE)*m2k))/'TCO Inputs'!$AZ$84</f>
        <v>114.47108644402597</v>
      </c>
      <c r="EA134" s="125">
        <f>EA23/293.07*(1/(VLOOKUP($BM134,'Fuel economy adjusted factor'!$A$2:$L$52,5,FALSE)*m2k))/'TCO Inputs'!$AZ$84</f>
        <v>114.47108644402597</v>
      </c>
      <c r="EB134" s="125">
        <f>EB23/293.07*(1/(VLOOKUP($BM134,'Fuel economy adjusted factor'!$A$2:$L$52,5,FALSE)*m2k))/'TCO Inputs'!$AZ$84</f>
        <v>114.47108644402597</v>
      </c>
      <c r="EC134" s="125">
        <f>EC23/293.07*(1/(VLOOKUP($BM134,'Fuel economy adjusted factor'!$A$2:$L$52,5,FALSE)*m2k))/'TCO Inputs'!$AZ$84</f>
        <v>114.47108644402597</v>
      </c>
      <c r="ED134" s="125">
        <f>ED23/293.07*(1/(VLOOKUP($BM134,'Fuel economy adjusted factor'!$A$2:$L$52,5,FALSE)*m2k))/'TCO Inputs'!$AZ$84</f>
        <v>114.47108644402597</v>
      </c>
      <c r="EE134" s="125">
        <f>EE23/293.07*(1/(VLOOKUP($BM134,'Fuel economy adjusted factor'!$A$2:$L$52,5,FALSE)*m2k))/'TCO Inputs'!$AZ$84</f>
        <v>70.552674099423228</v>
      </c>
      <c r="EF134" s="125">
        <f>EF23/293.07*(1/(VLOOKUP($BM134,'Fuel economy adjusted factor'!$A$2:$L$52,5,FALSE)*m2k))/'TCO Inputs'!$AZ$84</f>
        <v>70.552674099423228</v>
      </c>
      <c r="EG134" s="125">
        <f>EG23/293.07*(1/(VLOOKUP($BM134,'Fuel economy adjusted factor'!$A$2:$L$52,5,FALSE)*m2k))/'TCO Inputs'!$AZ$84</f>
        <v>70.552674099423228</v>
      </c>
      <c r="EH134" s="125">
        <f>EH23/293.07*(1/(VLOOKUP($BM134,'Fuel economy adjusted factor'!$A$2:$L$52,5,FALSE)*m2k))/'TCO Inputs'!$AZ$84</f>
        <v>70.552674099423228</v>
      </c>
      <c r="EI134" s="125">
        <f>EI23/293.07*(1/(VLOOKUP($BM134,'Fuel economy adjusted factor'!$A$2:$L$52,5,FALSE)*m2k))/'TCO Inputs'!$AZ$84</f>
        <v>70.552674099423228</v>
      </c>
      <c r="EJ134" s="125">
        <f>EJ23/293.07*(1/(VLOOKUP($BM134,'Fuel economy adjusted factor'!$A$2:$L$52,5,FALSE)*m2k))/'TCO Inputs'!$AZ$84</f>
        <v>63.011827710511049</v>
      </c>
      <c r="EK134" s="125">
        <f>EK23/293.07*(1/(VLOOKUP($BM134,'Fuel economy adjusted factor'!$A$2:$L$52,5,FALSE)*m2k))/'TCO Inputs'!$AZ$84</f>
        <v>63.011827710511049</v>
      </c>
      <c r="EL134" s="125">
        <f>EL23/293.07*(1/(VLOOKUP($BM134,'Fuel economy adjusted factor'!$A$2:$L$52,5,FALSE)*m2k))/'TCO Inputs'!$AZ$84</f>
        <v>63.011827710511049</v>
      </c>
      <c r="EM134" s="125">
        <f>EM23/293.07*(1/(VLOOKUP($BM134,'Fuel economy adjusted factor'!$A$2:$L$52,5,FALSE)*m2k))/'TCO Inputs'!$AZ$84</f>
        <v>63.011827710511049</v>
      </c>
      <c r="EN134" s="125">
        <f>EN23/293.07*(1/(VLOOKUP($BM134,'Fuel economy adjusted factor'!$A$2:$L$52,5,FALSE)*m2k))/'TCO Inputs'!$AZ$84</f>
        <v>63.011827710511049</v>
      </c>
      <c r="EO134" s="125">
        <f>EO23/293.07*(1/(VLOOKUP($BM134,'Fuel economy adjusted factor'!$A$2:$L$52,5,FALSE)*m2k))/'TCO Inputs'!$AZ$84</f>
        <v>61.028558192366496</v>
      </c>
      <c r="EP134" s="125">
        <f>EP23/293.07*(1/(VLOOKUP($BM134,'Fuel economy adjusted factor'!$A$2:$L$52,5,FALSE)*m2k))/'TCO Inputs'!$AZ$84</f>
        <v>61.028558192366496</v>
      </c>
      <c r="EQ134" s="125">
        <f>EQ23/293.07*(1/(VLOOKUP($BM134,'Fuel economy adjusted factor'!$A$2:$L$52,5,FALSE)*m2k))/'TCO Inputs'!$AZ$84</f>
        <v>61.028558192366496</v>
      </c>
      <c r="ER134" s="125">
        <f>ER23/293.07*(1/(VLOOKUP($BM134,'Fuel economy adjusted factor'!$A$2:$L$52,5,FALSE)*m2k))/'TCO Inputs'!$AZ$84</f>
        <v>61.028558192366496</v>
      </c>
      <c r="ES134" s="125">
        <f>ES23/293.07*(1/(VLOOKUP($BM134,'Fuel economy adjusted factor'!$A$2:$L$52,5,FALSE)*m2k))/'TCO Inputs'!$AZ$84</f>
        <v>61.028558192366496</v>
      </c>
      <c r="ET134" s="125">
        <f>ET23/293.07*(1/(VLOOKUP($BM134,'Fuel economy adjusted factor'!$A$2:$L$52,5,FALSE)*m2k))/'TCO Inputs'!$AZ$84</f>
        <v>58.762651137462626</v>
      </c>
      <c r="EU134" s="125">
        <f>EU23/293.07*(1/(VLOOKUP($BM134,'Fuel economy adjusted factor'!$A$2:$L$52,5,FALSE)*m2k))/'TCO Inputs'!$AZ$84</f>
        <v>58.762651137462626</v>
      </c>
      <c r="EV134" s="125">
        <f>EV23/293.07*(1/(VLOOKUP($BM134,'Fuel economy adjusted factor'!$A$2:$L$52,5,FALSE)*m2k))/'TCO Inputs'!$AZ$84</f>
        <v>58.762651137462626</v>
      </c>
      <c r="EW134" s="125">
        <f>EW23/293.07*(1/(VLOOKUP($BM134,'Fuel economy adjusted factor'!$A$2:$L$52,5,FALSE)*m2k))/'TCO Inputs'!$AZ$84</f>
        <v>58.762651137462626</v>
      </c>
      <c r="EX134" s="125">
        <f>EX23/293.07*(1/(VLOOKUP($BM134,'Fuel economy adjusted factor'!$A$2:$L$52,5,FALSE)*m2k))/'TCO Inputs'!$AZ$84</f>
        <v>58.762651137462626</v>
      </c>
      <c r="EY134" s="125">
        <f>EY23/293.07*(1/(VLOOKUP($BM134,'Fuel economy adjusted factor'!$A$2:$L$52,5,FALSE)*m2k))/'TCO Inputs'!$AZ$84</f>
        <v>55.209493532488196</v>
      </c>
      <c r="EZ134" s="98" cm="1">
        <f t="array" ref="EZ134">SUMPRODUCT(INDEX(DX134:EY134,,'TCO Inputs'!$AZ$12-2023+_xlfn.SEQUENCE('TCO Inputs'!$AZ$13))*INDEX('VKT US'!C80:AA80,,_xlfn.SEQUENCE('TCO Inputs'!$AZ$13)))*m2k*CONVERT(0.9072,"g","ton")</f>
        <v>30.512512530623624</v>
      </c>
      <c r="FB134" s="123" t="s">
        <v>200</v>
      </c>
      <c r="FC134" s="125">
        <f>FC23/293.07*(1/(VLOOKUP($BM134,'Fuel economy adjusted factor'!$A$2:$L$52,5,FALSE)*m2k))/'TCO Inputs'!$AZ$84</f>
        <v>141.63889865089212</v>
      </c>
      <c r="FD134" s="125">
        <f>FD23/293.07*(1/(VLOOKUP($BM134,'Fuel economy adjusted factor'!$A$2:$L$52,5,FALSE)*m2k))/'TCO Inputs'!$AZ$84</f>
        <v>141.63889865089212</v>
      </c>
      <c r="FE134" s="125">
        <f>FE23/293.07*(1/(VLOOKUP($BM134,'Fuel economy adjusted factor'!$A$2:$L$52,5,FALSE)*m2k))/'TCO Inputs'!$AZ$84</f>
        <v>123.69333777100638</v>
      </c>
      <c r="FF134" s="125">
        <f>FF23/293.07*(1/(VLOOKUP($BM134,'Fuel economy adjusted factor'!$A$2:$L$52,5,FALSE)*m2k))/'TCO Inputs'!$AZ$84</f>
        <v>123.69333777100638</v>
      </c>
      <c r="FG134" s="125">
        <f>FG23/293.07*(1/(VLOOKUP($BM134,'Fuel economy adjusted factor'!$A$2:$L$52,5,FALSE)*m2k))/'TCO Inputs'!$AZ$84</f>
        <v>123.69333777100638</v>
      </c>
      <c r="FH134" s="125">
        <f>FH23/293.07*(1/(VLOOKUP($BM134,'Fuel economy adjusted factor'!$A$2:$L$52,5,FALSE)*m2k))/'TCO Inputs'!$AZ$84</f>
        <v>123.69333777100638</v>
      </c>
      <c r="FI134" s="125">
        <f>FI23/293.07*(1/(VLOOKUP($BM134,'Fuel economy adjusted factor'!$A$2:$L$52,5,FALSE)*m2k))/'TCO Inputs'!$AZ$84</f>
        <v>123.69333777100638</v>
      </c>
      <c r="FJ134" s="125">
        <f>FJ23/293.07*(1/(VLOOKUP($BM134,'Fuel economy adjusted factor'!$A$2:$L$52,5,FALSE)*m2k))/'TCO Inputs'!$AZ$84</f>
        <v>77.620535222738155</v>
      </c>
      <c r="FK134" s="125">
        <f>FK23/293.07*(1/(VLOOKUP($BM134,'Fuel economy adjusted factor'!$A$2:$L$52,5,FALSE)*m2k))/'TCO Inputs'!$AZ$84</f>
        <v>77.620535222738155</v>
      </c>
      <c r="FL134" s="125">
        <f>FL23/293.07*(1/(VLOOKUP($BM134,'Fuel economy adjusted factor'!$A$2:$L$52,5,FALSE)*m2k))/'TCO Inputs'!$AZ$84</f>
        <v>77.620535222738155</v>
      </c>
      <c r="FM134" s="125">
        <f>FM23/293.07*(1/(VLOOKUP($BM134,'Fuel economy adjusted factor'!$A$2:$L$52,5,FALSE)*m2k))/'TCO Inputs'!$AZ$84</f>
        <v>77.620535222738155</v>
      </c>
      <c r="FN134" s="125">
        <f>FN23/293.07*(1/(VLOOKUP($BM134,'Fuel economy adjusted factor'!$A$2:$L$52,5,FALSE)*m2k))/'TCO Inputs'!$AZ$84</f>
        <v>77.620535222738155</v>
      </c>
      <c r="FO134" s="125">
        <f>FO23/293.07*(1/(VLOOKUP($BM134,'Fuel economy adjusted factor'!$A$2:$L$52,5,FALSE)*m2k))/'TCO Inputs'!$AZ$84</f>
        <v>68.923182178310768</v>
      </c>
      <c r="FP134" s="125">
        <f>FP23/293.07*(1/(VLOOKUP($BM134,'Fuel economy adjusted factor'!$A$2:$L$52,5,FALSE)*m2k))/'TCO Inputs'!$AZ$84</f>
        <v>68.923182178310768</v>
      </c>
      <c r="FQ134" s="125">
        <f>FQ23/293.07*(1/(VLOOKUP($BM134,'Fuel economy adjusted factor'!$A$2:$L$52,5,FALSE)*m2k))/'TCO Inputs'!$AZ$84</f>
        <v>68.923182178310768</v>
      </c>
      <c r="FR134" s="125">
        <f>FR23/293.07*(1/(VLOOKUP($BM134,'Fuel economy adjusted factor'!$A$2:$L$52,5,FALSE)*m2k))/'TCO Inputs'!$AZ$84</f>
        <v>68.923182178310768</v>
      </c>
      <c r="FS134" s="125">
        <f>FS23/293.07*(1/(VLOOKUP($BM134,'Fuel economy adjusted factor'!$A$2:$L$52,5,FALSE)*m2k))/'TCO Inputs'!$AZ$84</f>
        <v>68.923182178310768</v>
      </c>
      <c r="FT134" s="125">
        <f>FT23/293.07*(1/(VLOOKUP($BM134,'Fuel economy adjusted factor'!$A$2:$L$52,5,FALSE)*m2k))/'TCO Inputs'!$AZ$84</f>
        <v>67.168714475638055</v>
      </c>
      <c r="FU134" s="125">
        <f>FU23/293.07*(1/(VLOOKUP($BM134,'Fuel economy adjusted factor'!$A$2:$L$52,5,FALSE)*m2k))/'TCO Inputs'!$AZ$84</f>
        <v>67.168714475638055</v>
      </c>
      <c r="FV134" s="125">
        <f>FV23/293.07*(1/(VLOOKUP($BM134,'Fuel economy adjusted factor'!$A$2:$L$52,5,FALSE)*m2k))/'TCO Inputs'!$AZ$84</f>
        <v>67.168714475638055</v>
      </c>
      <c r="FW134" s="125">
        <f>FW23/293.07*(1/(VLOOKUP($BM134,'Fuel economy adjusted factor'!$A$2:$L$52,5,FALSE)*m2k))/'TCO Inputs'!$AZ$84</f>
        <v>67.168714475638055</v>
      </c>
      <c r="FX134" s="125">
        <f>FX23/293.07*(1/(VLOOKUP($BM134,'Fuel economy adjusted factor'!$A$2:$L$52,5,FALSE)*m2k))/'TCO Inputs'!$AZ$84</f>
        <v>67.168714475638055</v>
      </c>
      <c r="FY134" s="125">
        <f>FY23/293.07*(1/(VLOOKUP($BM134,'Fuel economy adjusted factor'!$A$2:$L$52,5,FALSE)*m2k))/'TCO Inputs'!$AZ$84</f>
        <v>64.898000659904937</v>
      </c>
      <c r="FZ134" s="125">
        <f>FZ23/293.07*(1/(VLOOKUP($BM134,'Fuel economy adjusted factor'!$A$2:$L$52,5,FALSE)*m2k))/'TCO Inputs'!$AZ$84</f>
        <v>64.898000659904937</v>
      </c>
      <c r="GA134" s="125">
        <f>GA23/293.07*(1/(VLOOKUP($BM134,'Fuel economy adjusted factor'!$A$2:$L$52,5,FALSE)*m2k))/'TCO Inputs'!$AZ$84</f>
        <v>64.898000659904937</v>
      </c>
      <c r="GB134" s="125">
        <f>GB23/293.07*(1/(VLOOKUP($BM134,'Fuel economy adjusted factor'!$A$2:$L$52,5,FALSE)*m2k))/'TCO Inputs'!$AZ$84</f>
        <v>64.898000659904937</v>
      </c>
      <c r="GC134" s="125">
        <f>GC23/293.07*(1/(VLOOKUP($BM134,'Fuel economy adjusted factor'!$A$2:$L$52,5,FALSE)*m2k))/'TCO Inputs'!$AZ$84</f>
        <v>64.898000659904937</v>
      </c>
      <c r="GD134" s="125">
        <f>GD23/293.07*(1/(VLOOKUP($BM134,'Fuel economy adjusted factor'!$A$2:$L$52,5,FALSE)*m2k))/'TCO Inputs'!$AZ$84</f>
        <v>61.22178997770196</v>
      </c>
      <c r="GE134" s="98" cm="1">
        <f t="array" ref="GE134">SUMPRODUCT(INDEX(FC134:GD134,,'TCO Inputs'!$AZ$12-2023+_xlfn.SEQUENCE('TCO Inputs'!$AZ$13))*INDEX('VKT US'!C80:AA80,,_xlfn.SEQUENCE('TCO Inputs'!$AZ$13)))*m2k*CONVERT(0.9072,"g","ton")</f>
        <v>33.175143757630707</v>
      </c>
      <c r="GH134" s="123" t="s">
        <v>200</v>
      </c>
      <c r="GI134" s="125">
        <f>GI23/293.07*(1/(VLOOKUP($BM134,'Fuel economy adjusted factor'!$A$2:$L$52,5,FALSE)*m2k))/'TCO Inputs'!$AZ$84</f>
        <v>123.06172939804424</v>
      </c>
      <c r="GJ134" s="125">
        <f>GJ23/293.07*(1/(VLOOKUP($BM134,'Fuel economy adjusted factor'!$A$2:$L$52,5,FALSE)*m2k))/'TCO Inputs'!$AZ$84</f>
        <v>123.06172939804424</v>
      </c>
      <c r="GK134" s="125">
        <f>GK23/293.07*(1/(VLOOKUP($BM134,'Fuel economy adjusted factor'!$A$2:$L$52,5,FALSE)*m2k))/'TCO Inputs'!$AZ$84</f>
        <v>108.19441815320398</v>
      </c>
      <c r="GL134" s="125">
        <f>GL23/293.07*(1/(VLOOKUP($BM134,'Fuel economy adjusted factor'!$A$2:$L$52,5,FALSE)*m2k))/'TCO Inputs'!$AZ$84</f>
        <v>108.19441815320398</v>
      </c>
      <c r="GM134" s="125">
        <f>GM23/293.07*(1/(VLOOKUP($BM134,'Fuel economy adjusted factor'!$A$2:$L$52,5,FALSE)*m2k))/'TCO Inputs'!$AZ$84</f>
        <v>108.19441815320398</v>
      </c>
      <c r="GN134" s="125">
        <f>GN23/293.07*(1/(VLOOKUP($BM134,'Fuel economy adjusted factor'!$A$2:$L$52,5,FALSE)*m2k))/'TCO Inputs'!$AZ$84</f>
        <v>108.19441815320398</v>
      </c>
      <c r="GO134" s="125">
        <f>GO23/293.07*(1/(VLOOKUP($BM134,'Fuel economy adjusted factor'!$A$2:$L$52,5,FALSE)*m2k))/'TCO Inputs'!$AZ$84</f>
        <v>108.19441815320398</v>
      </c>
      <c r="GP134" s="125">
        <f>GP23/293.07*(1/(VLOOKUP($BM134,'Fuel economy adjusted factor'!$A$2:$L$52,5,FALSE)*m2k))/'TCO Inputs'!$AZ$84</f>
        <v>65.742067861519544</v>
      </c>
      <c r="GQ134" s="125">
        <f>GQ23/293.07*(1/(VLOOKUP($BM134,'Fuel economy adjusted factor'!$A$2:$L$52,5,FALSE)*m2k))/'TCO Inputs'!$AZ$84</f>
        <v>65.742067861519544</v>
      </c>
      <c r="GR134" s="125">
        <f>GR23/293.07*(1/(VLOOKUP($BM134,'Fuel economy adjusted factor'!$A$2:$L$52,5,FALSE)*m2k))/'TCO Inputs'!$AZ$84</f>
        <v>65.742067861519544</v>
      </c>
      <c r="GS134" s="125">
        <f>GS23/293.07*(1/(VLOOKUP($BM134,'Fuel economy adjusted factor'!$A$2:$L$52,5,FALSE)*m2k))/'TCO Inputs'!$AZ$84</f>
        <v>65.742067861519544</v>
      </c>
      <c r="GT134" s="125">
        <f>GT23/293.07*(1/(VLOOKUP($BM134,'Fuel economy adjusted factor'!$A$2:$L$52,5,FALSE)*m2k))/'TCO Inputs'!$AZ$84</f>
        <v>65.742067861519544</v>
      </c>
      <c r="GU134" s="125">
        <f>GU23/293.07*(1/(VLOOKUP($BM134,'Fuel economy adjusted factor'!$A$2:$L$52,5,FALSE)*m2k))/'TCO Inputs'!$AZ$84</f>
        <v>58.988568896436917</v>
      </c>
      <c r="GV134" s="125">
        <f>GV23/293.07*(1/(VLOOKUP($BM134,'Fuel economy adjusted factor'!$A$2:$L$52,5,FALSE)*m2k))/'TCO Inputs'!$AZ$84</f>
        <v>58.988568896436917</v>
      </c>
      <c r="GW134" s="125">
        <f>GW23/293.07*(1/(VLOOKUP($BM134,'Fuel economy adjusted factor'!$A$2:$L$52,5,FALSE)*m2k))/'TCO Inputs'!$AZ$84</f>
        <v>58.988568896436917</v>
      </c>
      <c r="GX134" s="125">
        <f>GX23/293.07*(1/(VLOOKUP($BM134,'Fuel economy adjusted factor'!$A$2:$L$52,5,FALSE)*m2k))/'TCO Inputs'!$AZ$84</f>
        <v>58.988568896436917</v>
      </c>
      <c r="GY134" s="125">
        <f>GY23/293.07*(1/(VLOOKUP($BM134,'Fuel economy adjusted factor'!$A$2:$L$52,5,FALSE)*m2k))/'TCO Inputs'!$AZ$84</f>
        <v>58.988568896436917</v>
      </c>
      <c r="GZ134" s="125">
        <f>GZ23/293.07*(1/(VLOOKUP($BM134,'Fuel economy adjusted factor'!$A$2:$L$52,5,FALSE)*m2k))/'TCO Inputs'!$AZ$84</f>
        <v>56.849560327424996</v>
      </c>
      <c r="HA134" s="125">
        <f>HA23/293.07*(1/(VLOOKUP($BM134,'Fuel economy adjusted factor'!$A$2:$L$52,5,FALSE)*m2k))/'TCO Inputs'!$AZ$84</f>
        <v>56.849560327424996</v>
      </c>
      <c r="HB134" s="125">
        <f>HB23/293.07*(1/(VLOOKUP($BM134,'Fuel economy adjusted factor'!$A$2:$L$52,5,FALSE)*m2k))/'TCO Inputs'!$AZ$84</f>
        <v>56.849560327424996</v>
      </c>
      <c r="HC134" s="125">
        <f>HC23/293.07*(1/(VLOOKUP($BM134,'Fuel economy adjusted factor'!$A$2:$L$52,5,FALSE)*m2k))/'TCO Inputs'!$AZ$84</f>
        <v>56.849560327424996</v>
      </c>
      <c r="HD134" s="125">
        <f>HD23/293.07*(1/(VLOOKUP($BM134,'Fuel economy adjusted factor'!$A$2:$L$52,5,FALSE)*m2k))/'TCO Inputs'!$AZ$84</f>
        <v>56.849560327424996</v>
      </c>
      <c r="HE134" s="125">
        <f>HE23/293.07*(1/(VLOOKUP($BM134,'Fuel economy adjusted factor'!$A$2:$L$52,5,FALSE)*m2k))/'TCO Inputs'!$AZ$84</f>
        <v>54.586537329018661</v>
      </c>
      <c r="HF134" s="125">
        <f>HF23/293.07*(1/(VLOOKUP($BM134,'Fuel economy adjusted factor'!$A$2:$L$52,5,FALSE)*m2k))/'TCO Inputs'!$AZ$84</f>
        <v>54.586537329018661</v>
      </c>
      <c r="HG134" s="125">
        <f>HG23/293.07*(1/(VLOOKUP($BM134,'Fuel economy adjusted factor'!$A$2:$L$52,5,FALSE)*m2k))/'TCO Inputs'!$AZ$84</f>
        <v>54.586537329018661</v>
      </c>
      <c r="HH134" s="125">
        <f>HH23/293.07*(1/(VLOOKUP($BM134,'Fuel economy adjusted factor'!$A$2:$L$52,5,FALSE)*m2k))/'TCO Inputs'!$AZ$84</f>
        <v>54.586537329018661</v>
      </c>
      <c r="HI134" s="125">
        <f>HI23/293.07*(1/(VLOOKUP($BM134,'Fuel economy adjusted factor'!$A$2:$L$52,5,FALSE)*m2k))/'TCO Inputs'!$AZ$84</f>
        <v>54.586537329018661</v>
      </c>
      <c r="HJ134" s="125">
        <f>HJ23/293.07*(1/(VLOOKUP($BM134,'Fuel economy adjusted factor'!$A$2:$L$52,5,FALSE)*m2k))/'TCO Inputs'!$AZ$84</f>
        <v>51.117978714638859</v>
      </c>
      <c r="HK134" s="98" cm="1">
        <f t="array" ref="HK134">SUMPRODUCT(INDEX(GI134:HJ134,,'TCO Inputs'!$AZ$12-2023+_xlfn.SEQUENCE('TCO Inputs'!$AZ$13))*INDEX('VKT US'!C80:AA80,,_xlfn.SEQUENCE('TCO Inputs'!$AZ$13)))*m2k*CONVERT(0.9072,"g","ton")</f>
        <v>28.700278940791016</v>
      </c>
    </row>
    <row r="135" spans="17:219" x14ac:dyDescent="0.25">
      <c r="Z135" s="123" t="s">
        <v>203</v>
      </c>
      <c r="AA135" s="125">
        <f>AA24/293.07*(1/(VLOOKUP($Z135,'Fuel economy adjusted factor'!$A$2:$L$52,5,FALSE)*m2k))/'TCO Inputs'!$AZ$84</f>
        <v>47.719474893599724</v>
      </c>
      <c r="AB135" s="125">
        <f>AB24/293.07*(1/(VLOOKUP($Z135,'Fuel economy adjusted factor'!$A$2:$L$52,5,FALSE)*m2k))/'TCO Inputs'!$AZ$84</f>
        <v>47.719474893599724</v>
      </c>
      <c r="AC135" s="125">
        <f>AC24/293.07*(1/(VLOOKUP($Z135,'Fuel economy adjusted factor'!$A$2:$L$52,5,FALSE)*m2k))/'TCO Inputs'!$AZ$84</f>
        <v>41.968984153614528</v>
      </c>
      <c r="AD135" s="125">
        <f>AD24/293.07*(1/(VLOOKUP($Z135,'Fuel economy adjusted factor'!$A$2:$L$52,5,FALSE)*m2k))/'TCO Inputs'!$AZ$84</f>
        <v>41.968984153614528</v>
      </c>
      <c r="AE135" s="125">
        <f>AE24/293.07*(1/(VLOOKUP($Z135,'Fuel economy adjusted factor'!$A$2:$L$52,5,FALSE)*m2k))/'TCO Inputs'!$AZ$84</f>
        <v>41.968984153614528</v>
      </c>
      <c r="AF135" s="125">
        <f>AF24/293.07*(1/(VLOOKUP($Z135,'Fuel economy adjusted factor'!$A$2:$L$52,5,FALSE)*m2k))/'TCO Inputs'!$AZ$84</f>
        <v>41.968984153614528</v>
      </c>
      <c r="AG135" s="125">
        <f>AG24/293.07*(1/(VLOOKUP($Z135,'Fuel economy adjusted factor'!$A$2:$L$52,5,FALSE)*m2k))/'TCO Inputs'!$AZ$84</f>
        <v>41.968984153614528</v>
      </c>
      <c r="AH135" s="125">
        <f>AH24/293.07*(1/(VLOOKUP($Z135,'Fuel economy adjusted factor'!$A$2:$L$52,5,FALSE)*m2k))/'TCO Inputs'!$AZ$84</f>
        <v>25.216547294288212</v>
      </c>
      <c r="AI135" s="125">
        <f>AI24/293.07*(1/(VLOOKUP($Z135,'Fuel economy adjusted factor'!$A$2:$L$52,5,FALSE)*m2k))/'TCO Inputs'!$AZ$84</f>
        <v>25.216547294288212</v>
      </c>
      <c r="AJ135" s="125">
        <f>AJ24/293.07*(1/(VLOOKUP($Z135,'Fuel economy adjusted factor'!$A$2:$L$52,5,FALSE)*m2k))/'TCO Inputs'!$AZ$84</f>
        <v>25.216547294288212</v>
      </c>
      <c r="AK135" s="125">
        <f>AK24/293.07*(1/(VLOOKUP($Z135,'Fuel economy adjusted factor'!$A$2:$L$52,5,FALSE)*m2k))/'TCO Inputs'!$AZ$84</f>
        <v>25.216547294288212</v>
      </c>
      <c r="AL135" s="125">
        <f>AL24/293.07*(1/(VLOOKUP($Z135,'Fuel economy adjusted factor'!$A$2:$L$52,5,FALSE)*m2k))/'TCO Inputs'!$AZ$84</f>
        <v>25.216547294288212</v>
      </c>
      <c r="AM135" s="125">
        <f>AM24/293.07*(1/(VLOOKUP($Z135,'Fuel economy adjusted factor'!$A$2:$L$52,5,FALSE)*m2k))/'TCO Inputs'!$AZ$84</f>
        <v>26.388563281263512</v>
      </c>
      <c r="AN135" s="125">
        <f>AN24/293.07*(1/(VLOOKUP($Z135,'Fuel economy adjusted factor'!$A$2:$L$52,5,FALSE)*m2k))/'TCO Inputs'!$AZ$84</f>
        <v>26.388563281263512</v>
      </c>
      <c r="AO135" s="125">
        <f>AO24/293.07*(1/(VLOOKUP($Z135,'Fuel economy adjusted factor'!$A$2:$L$52,5,FALSE)*m2k))/'TCO Inputs'!$AZ$84</f>
        <v>26.388563281263512</v>
      </c>
      <c r="AP135" s="125">
        <f>AP24/293.07*(1/(VLOOKUP($Z135,'Fuel economy adjusted factor'!$A$2:$L$52,5,FALSE)*m2k))/'TCO Inputs'!$AZ$84</f>
        <v>26.388563281263512</v>
      </c>
      <c r="AQ135" s="125">
        <f>AQ24/293.07*(1/(VLOOKUP($Z135,'Fuel economy adjusted factor'!$A$2:$L$52,5,FALSE)*m2k))/'TCO Inputs'!$AZ$84</f>
        <v>26.388563281263512</v>
      </c>
      <c r="AR135" s="125">
        <f>AR24/293.07*(1/(VLOOKUP($Z135,'Fuel economy adjusted factor'!$A$2:$L$52,5,FALSE)*m2k))/'TCO Inputs'!$AZ$84</f>
        <v>27.585218449640557</v>
      </c>
      <c r="AS135" s="125">
        <f>AS24/293.07*(1/(VLOOKUP($Z135,'Fuel economy adjusted factor'!$A$2:$L$52,5,FALSE)*m2k))/'TCO Inputs'!$AZ$84</f>
        <v>27.585218449640557</v>
      </c>
      <c r="AT135" s="125">
        <f>AT24/293.07*(1/(VLOOKUP($Z135,'Fuel economy adjusted factor'!$A$2:$L$52,5,FALSE)*m2k))/'TCO Inputs'!$AZ$84</f>
        <v>27.585218449640557</v>
      </c>
      <c r="AU135" s="125">
        <f>AU24/293.07*(1/(VLOOKUP($Z135,'Fuel economy adjusted factor'!$A$2:$L$52,5,FALSE)*m2k))/'TCO Inputs'!$AZ$84</f>
        <v>27.585218449640557</v>
      </c>
      <c r="AV135" s="125">
        <f>AV24/293.07*(1/(VLOOKUP($Z135,'Fuel economy adjusted factor'!$A$2:$L$52,5,FALSE)*m2k))/'TCO Inputs'!$AZ$84</f>
        <v>27.585218449640557</v>
      </c>
      <c r="AW135" s="125">
        <f>AW24/293.07*(1/(VLOOKUP($Z135,'Fuel economy adjusted factor'!$A$2:$L$52,5,FALSE)*m2k))/'TCO Inputs'!$AZ$84</f>
        <v>28.190533264375848</v>
      </c>
      <c r="AX135" s="125">
        <f>AX24/293.07*(1/(VLOOKUP($Z135,'Fuel economy adjusted factor'!$A$2:$L$52,5,FALSE)*m2k))/'TCO Inputs'!$AZ$84</f>
        <v>28.190533264375848</v>
      </c>
      <c r="AY135" s="125">
        <f>AY24/293.07*(1/(VLOOKUP($Z135,'Fuel economy adjusted factor'!$A$2:$L$52,5,FALSE)*m2k))/'TCO Inputs'!$AZ$84</f>
        <v>28.190533264375848</v>
      </c>
      <c r="AZ135" s="125">
        <f>AZ24/293.07*(1/(VLOOKUP($Z135,'Fuel economy adjusted factor'!$A$2:$L$52,5,FALSE)*m2k))/'TCO Inputs'!$AZ$84</f>
        <v>28.190533264375848</v>
      </c>
      <c r="BA135" s="125">
        <f>BA24/293.07*(1/(VLOOKUP($Z135,'Fuel economy adjusted factor'!$A$2:$L$52,5,FALSE)*m2k))/'TCO Inputs'!$AZ$84</f>
        <v>28.190533264375848</v>
      </c>
      <c r="BB135" s="125">
        <f>BB24/293.07*(1/(VLOOKUP($Z135,'Fuel economy adjusted factor'!$A$2:$L$52,5,FALSE)*m2k))/'TCO Inputs'!$AZ$84</f>
        <v>28.228779157894966</v>
      </c>
      <c r="BC135" s="98" cm="1">
        <f t="array" ref="BC135">SUMPRODUCT(INDEX(AA135:BB135,,'TCO Inputs'!$AZ$12-2023+_xlfn.SEQUENCE('TCO Inputs'!$AZ$13))*INDEX('VKT US'!C81:AA81,,_xlfn.SEQUENCE('TCO Inputs'!$AZ$13)))*m2k*CONVERT(0.9072,"g","ton")</f>
        <v>10.682197268922542</v>
      </c>
      <c r="BM135" s="123" t="s">
        <v>203</v>
      </c>
      <c r="BN135" s="125">
        <f>BN24/293.07*(1/(VLOOKUP($BM135,'Fuel economy adjusted factor'!$A$2:$L$52,5,FALSE)*m2k))</f>
        <v>40.561553659559763</v>
      </c>
      <c r="BO135" s="125">
        <f>BO24/293.07*(1/(VLOOKUP($BM135,'Fuel economy adjusted factor'!$A$2:$L$52,5,FALSE)*m2k))</f>
        <v>40.561553659559763</v>
      </c>
      <c r="BP135" s="125">
        <f>BP24/293.07*(1/(VLOOKUP($BM135,'Fuel economy adjusted factor'!$A$2:$L$52,5,FALSE)*m2k))</f>
        <v>35.627061122743534</v>
      </c>
      <c r="BQ135" s="125">
        <f>BQ24/293.07*(1/(VLOOKUP($BM135,'Fuel economy adjusted factor'!$A$2:$L$52,5,FALSE)*m2k))</f>
        <v>35.627061122743534</v>
      </c>
      <c r="BR135" s="125">
        <f>BR24/293.07*(1/(VLOOKUP($BM135,'Fuel economy adjusted factor'!$A$2:$L$52,5,FALSE)*m2k))</f>
        <v>35.627061122743534</v>
      </c>
      <c r="BS135" s="125">
        <f>BS24/293.07*(1/(VLOOKUP($BM135,'Fuel economy adjusted factor'!$A$2:$L$52,5,FALSE)*m2k))</f>
        <v>35.627061122743534</v>
      </c>
      <c r="BT135" s="125">
        <f>BT24/293.07*(1/(VLOOKUP($BM135,'Fuel economy adjusted factor'!$A$2:$L$52,5,FALSE)*m2k))</f>
        <v>35.627061122743534</v>
      </c>
      <c r="BU135" s="125">
        <f>BU24/293.07*(1/(VLOOKUP($BM135,'Fuel economy adjusted factor'!$A$2:$L$52,5,FALSE)*m2k))</f>
        <v>40.38556738702539</v>
      </c>
      <c r="BV135" s="125">
        <f>BV24/293.07*(1/(VLOOKUP($BM135,'Fuel economy adjusted factor'!$A$2:$L$52,5,FALSE)*m2k))</f>
        <v>40.38556738702539</v>
      </c>
      <c r="BW135" s="125">
        <f>BW24/293.07*(1/(VLOOKUP($BM135,'Fuel economy adjusted factor'!$A$2:$L$52,5,FALSE)*m2k))</f>
        <v>40.38556738702539</v>
      </c>
      <c r="BX135" s="125">
        <f>BX24/293.07*(1/(VLOOKUP($BM135,'Fuel economy adjusted factor'!$A$2:$L$52,5,FALSE)*m2k))</f>
        <v>40.38556738702539</v>
      </c>
      <c r="BY135" s="125">
        <f>BY24/293.07*(1/(VLOOKUP($BM135,'Fuel economy adjusted factor'!$A$2:$L$52,5,FALSE)*m2k))</f>
        <v>40.38556738702539</v>
      </c>
      <c r="BZ135" s="125">
        <f>BZ24/293.07*(1/(VLOOKUP($BM135,'Fuel economy adjusted factor'!$A$2:$L$52,5,FALSE)*m2k))</f>
        <v>41.356774045576515</v>
      </c>
      <c r="CA135" s="125">
        <f>CA24/293.07*(1/(VLOOKUP($BM135,'Fuel economy adjusted factor'!$A$2:$L$52,5,FALSE)*m2k))</f>
        <v>41.356774045576515</v>
      </c>
      <c r="CB135" s="125">
        <f>CB24/293.07*(1/(VLOOKUP($BM135,'Fuel economy adjusted factor'!$A$2:$L$52,5,FALSE)*m2k))</f>
        <v>41.356774045576515</v>
      </c>
      <c r="CC135" s="125">
        <f>CC24/293.07*(1/(VLOOKUP($BM135,'Fuel economy adjusted factor'!$A$2:$L$52,5,FALSE)*m2k))</f>
        <v>41.356774045576515</v>
      </c>
      <c r="CD135" s="125">
        <f>CD24/293.07*(1/(VLOOKUP($BM135,'Fuel economy adjusted factor'!$A$2:$L$52,5,FALSE)*m2k))</f>
        <v>41.356774045576515</v>
      </c>
      <c r="CE135" s="125">
        <f>CE24/293.07*(1/(VLOOKUP($BM135,'Fuel economy adjusted factor'!$A$2:$L$52,5,FALSE)*m2k))</f>
        <v>42.378932324772585</v>
      </c>
      <c r="CF135" s="125">
        <f>CF24/293.07*(1/(VLOOKUP($BM135,'Fuel economy adjusted factor'!$A$2:$L$52,5,FALSE)*m2k))</f>
        <v>42.378932324772585</v>
      </c>
      <c r="CG135" s="125">
        <f>CG24/293.07*(1/(VLOOKUP($BM135,'Fuel economy adjusted factor'!$A$2:$L$52,5,FALSE)*m2k))</f>
        <v>42.378932324772585</v>
      </c>
      <c r="CH135" s="125">
        <f>CH24/293.07*(1/(VLOOKUP($BM135,'Fuel economy adjusted factor'!$A$2:$L$52,5,FALSE)*m2k))</f>
        <v>42.378932324772585</v>
      </c>
      <c r="CI135" s="125">
        <f>CI24/293.07*(1/(VLOOKUP($BM135,'Fuel economy adjusted factor'!$A$2:$L$52,5,FALSE)*m2k))</f>
        <v>42.378932324772585</v>
      </c>
      <c r="CJ135" s="125">
        <f>CJ24/293.07*(1/(VLOOKUP($BM135,'Fuel economy adjusted factor'!$A$2:$L$52,5,FALSE)*m2k))</f>
        <v>42.62149954943807</v>
      </c>
      <c r="CK135" s="125">
        <f>CK24/293.07*(1/(VLOOKUP($BM135,'Fuel economy adjusted factor'!$A$2:$L$52,5,FALSE)*m2k))</f>
        <v>42.62149954943807</v>
      </c>
      <c r="CL135" s="125">
        <f>CL24/293.07*(1/(VLOOKUP($BM135,'Fuel economy adjusted factor'!$A$2:$L$52,5,FALSE)*m2k))</f>
        <v>42.62149954943807</v>
      </c>
      <c r="CM135" s="125">
        <f>CM24/293.07*(1/(VLOOKUP($BM135,'Fuel economy adjusted factor'!$A$2:$L$52,5,FALSE)*m2k))</f>
        <v>42.62149954943807</v>
      </c>
      <c r="CN135" s="125">
        <f>CN24/293.07*(1/(VLOOKUP($BM135,'Fuel economy adjusted factor'!$A$2:$L$52,5,FALSE)*m2k))</f>
        <v>42.62149954943807</v>
      </c>
      <c r="CO135" s="125">
        <f>CO24/293.07*(1/(VLOOKUP($BM135,'Fuel economy adjusted factor'!$A$2:$L$52,5,FALSE)*m2k))</f>
        <v>42.911267355191818</v>
      </c>
      <c r="CP135" s="98" cm="1">
        <f t="array" ref="CP135">SUMPRODUCT(INDEX(BN135:CO135,,'TCO Inputs'!$AZ$12-2023+_xlfn.SEQUENCE('TCO Inputs'!$AZ$13))*INDEX('VKT US'!C81:AA81,,_xlfn.SEQUENCE('TCO Inputs'!$AZ$13)))*m2k*CONVERT(0.9072,"g","ton")</f>
        <v>11.635194338924554</v>
      </c>
      <c r="CQ135" s="194"/>
      <c r="CR135" s="123" t="s">
        <v>203</v>
      </c>
      <c r="CS135" s="125">
        <f>CS24/293.07*(1/(VLOOKUP($BM135,'Fuel economy adjusted factor'!$A$2:$L$52,5,FALSE)*m2k))/'TCO Inputs'!$AZ$84</f>
        <v>57.775570646294945</v>
      </c>
      <c r="CT135" s="125">
        <f>CT24/293.07*(1/(VLOOKUP($BM135,'Fuel economy adjusted factor'!$A$2:$L$52,5,FALSE)*m2k))/'TCO Inputs'!$AZ$84</f>
        <v>57.775570646294945</v>
      </c>
      <c r="CU135" s="125">
        <f>CU24/293.07*(1/(VLOOKUP($BM135,'Fuel economy adjusted factor'!$A$2:$L$52,5,FALSE)*m2k))/'TCO Inputs'!$AZ$84</f>
        <v>57.775570646294945</v>
      </c>
      <c r="CV135" s="125">
        <f>CV24/293.07*(1/(VLOOKUP($BM135,'Fuel economy adjusted factor'!$A$2:$L$52,5,FALSE)*m2k))/'TCO Inputs'!$AZ$84</f>
        <v>57.775570646294945</v>
      </c>
      <c r="CW135" s="125">
        <f>CW24/293.07*(1/(VLOOKUP($BM135,'Fuel economy adjusted factor'!$A$2:$L$52,5,FALSE)*m2k))/'TCO Inputs'!$AZ$84</f>
        <v>57.775570646294945</v>
      </c>
      <c r="CX135" s="125">
        <f>CX24/293.07*(1/(VLOOKUP($BM135,'Fuel economy adjusted factor'!$A$2:$L$52,5,FALSE)*m2k))/'TCO Inputs'!$AZ$84</f>
        <v>57.775570646294945</v>
      </c>
      <c r="CY135" s="125">
        <f>CY24/293.07*(1/(VLOOKUP($BM135,'Fuel economy adjusted factor'!$A$2:$L$52,5,FALSE)*m2k))/'TCO Inputs'!$AZ$84</f>
        <v>57.775570646294945</v>
      </c>
      <c r="CZ135" s="125">
        <f>CZ24/293.07*(1/(VLOOKUP($BM135,'Fuel economy adjusted factor'!$A$2:$L$52,5,FALSE)*m2k))/'TCO Inputs'!$AZ$84</f>
        <v>57.788441860460033</v>
      </c>
      <c r="DA135" s="125">
        <f>DA24/293.07*(1/(VLOOKUP($BM135,'Fuel economy adjusted factor'!$A$2:$L$52,5,FALSE)*m2k))/'TCO Inputs'!$AZ$84</f>
        <v>57.788441860460033</v>
      </c>
      <c r="DB135" s="125">
        <f>DB24/293.07*(1/(VLOOKUP($BM135,'Fuel economy adjusted factor'!$A$2:$L$52,5,FALSE)*m2k))/'TCO Inputs'!$AZ$84</f>
        <v>57.788441860460033</v>
      </c>
      <c r="DC135" s="125">
        <f>DC24/293.07*(1/(VLOOKUP($BM135,'Fuel economy adjusted factor'!$A$2:$L$52,5,FALSE)*m2k))/'TCO Inputs'!$AZ$84</f>
        <v>57.788441860460033</v>
      </c>
      <c r="DD135" s="125">
        <f>DD24/293.07*(1/(VLOOKUP($BM135,'Fuel economy adjusted factor'!$A$2:$L$52,5,FALSE)*m2k))/'TCO Inputs'!$AZ$84</f>
        <v>57.788441860460033</v>
      </c>
      <c r="DE135" s="125">
        <f>DE24/293.07*(1/(VLOOKUP($BM135,'Fuel economy adjusted factor'!$A$2:$L$52,5,FALSE)*m2k))/'TCO Inputs'!$AZ$84</f>
        <v>57.781086880937124</v>
      </c>
      <c r="DF135" s="125">
        <f>DF24/293.07*(1/(VLOOKUP($BM135,'Fuel economy adjusted factor'!$A$2:$L$52,5,FALSE)*m2k))/'TCO Inputs'!$AZ$84</f>
        <v>57.781086880937124</v>
      </c>
      <c r="DG135" s="125">
        <f>DG24/293.07*(1/(VLOOKUP($BM135,'Fuel economy adjusted factor'!$A$2:$L$52,5,FALSE)*m2k))/'TCO Inputs'!$AZ$84</f>
        <v>57.781086880937124</v>
      </c>
      <c r="DH135" s="125">
        <f>DH24/293.07*(1/(VLOOKUP($BM135,'Fuel economy adjusted factor'!$A$2:$L$52,5,FALSE)*m2k))/'TCO Inputs'!$AZ$84</f>
        <v>57.781086880937124</v>
      </c>
      <c r="DI135" s="125">
        <f>DI24/293.07*(1/(VLOOKUP($BM135,'Fuel economy adjusted factor'!$A$2:$L$52,5,FALSE)*m2k))/'TCO Inputs'!$AZ$84</f>
        <v>57.781086880937124</v>
      </c>
      <c r="DJ135" s="125">
        <f>DJ24/293.07*(1/(VLOOKUP($BM135,'Fuel economy adjusted factor'!$A$2:$L$52,5,FALSE)*m2k))/'TCO Inputs'!$AZ$84</f>
        <v>57.779248136056395</v>
      </c>
      <c r="DK135" s="125">
        <f>DK24/293.07*(1/(VLOOKUP($BM135,'Fuel economy adjusted factor'!$A$2:$L$52,5,FALSE)*m2k))/'TCO Inputs'!$AZ$84</f>
        <v>57.779248136056395</v>
      </c>
      <c r="DL135" s="125">
        <f>DL24/293.07*(1/(VLOOKUP($BM135,'Fuel economy adjusted factor'!$A$2:$L$52,5,FALSE)*m2k))/'TCO Inputs'!$AZ$84</f>
        <v>57.779248136056395</v>
      </c>
      <c r="DM135" s="125">
        <f>DM24/293.07*(1/(VLOOKUP($BM135,'Fuel economy adjusted factor'!$A$2:$L$52,5,FALSE)*m2k))/'TCO Inputs'!$AZ$84</f>
        <v>57.779248136056395</v>
      </c>
      <c r="DN135" s="125">
        <f>DN24/293.07*(1/(VLOOKUP($BM135,'Fuel economy adjusted factor'!$A$2:$L$52,5,FALSE)*m2k))/'TCO Inputs'!$AZ$84</f>
        <v>57.779248136056395</v>
      </c>
      <c r="DO135" s="125">
        <f>DO24/293.07*(1/(VLOOKUP($BM135,'Fuel economy adjusted factor'!$A$2:$L$52,5,FALSE)*m2k))/'TCO Inputs'!$AZ$84</f>
        <v>57.743576485370312</v>
      </c>
      <c r="DP135" s="125">
        <f>DP24/293.07*(1/(VLOOKUP($BM135,'Fuel economy adjusted factor'!$A$2:$L$52,5,FALSE)*m2k))/'TCO Inputs'!$AZ$84</f>
        <v>57.743576485370312</v>
      </c>
      <c r="DQ135" s="125">
        <f>DQ24/293.07*(1/(VLOOKUP($BM135,'Fuel economy adjusted factor'!$A$2:$L$52,5,FALSE)*m2k))/'TCO Inputs'!$AZ$84</f>
        <v>57.743576485370312</v>
      </c>
      <c r="DR135" s="125">
        <f>DR24/293.07*(1/(VLOOKUP($BM135,'Fuel economy adjusted factor'!$A$2:$L$52,5,FALSE)*m2k))/'TCO Inputs'!$AZ$84</f>
        <v>57.743576485370312</v>
      </c>
      <c r="DS135" s="125">
        <f>DS24/293.07*(1/(VLOOKUP($BM135,'Fuel economy adjusted factor'!$A$2:$L$52,5,FALSE)*m2k))/'TCO Inputs'!$AZ$84</f>
        <v>57.743576485370312</v>
      </c>
      <c r="DT135" s="125">
        <f>DT24/293.07*(1/(VLOOKUP($BM135,'Fuel economy adjusted factor'!$A$2:$L$52,5,FALSE)*m2k))/'TCO Inputs'!$AZ$84</f>
        <v>57.77336415243807</v>
      </c>
      <c r="DU135" s="98" cm="1">
        <f t="array" ref="DU135">SUMPRODUCT(INDEX(CS135:DT135,,'TCO Inputs'!$AZ$12-2023+_xlfn.SEQUENCE('TCO Inputs'!$AZ$13))*INDEX('VKT US'!C81:AA81,,_xlfn.SEQUENCE('TCO Inputs'!$AZ$13)))*m2k*CONVERT(0.9072,"g","ton")</f>
        <v>17.363468726998796</v>
      </c>
      <c r="DW135" s="123" t="s">
        <v>203</v>
      </c>
      <c r="DX135" s="125">
        <f>DX24/293.07*(1/(VLOOKUP($BM135,'Fuel economy adjusted factor'!$A$2:$L$52,5,FALSE)*m2k))/'TCO Inputs'!$AZ$84</f>
        <v>60.479995058141313</v>
      </c>
      <c r="DY135" s="125">
        <f>DY24/293.07*(1/(VLOOKUP($BM135,'Fuel economy adjusted factor'!$A$2:$L$52,5,FALSE)*m2k))/'TCO Inputs'!$AZ$84</f>
        <v>60.479995058141313</v>
      </c>
      <c r="DZ135" s="125">
        <f>DZ24/293.07*(1/(VLOOKUP($BM135,'Fuel economy adjusted factor'!$A$2:$L$52,5,FALSE)*m2k))/'TCO Inputs'!$AZ$84</f>
        <v>53.016781032562015</v>
      </c>
      <c r="EA135" s="125">
        <f>EA24/293.07*(1/(VLOOKUP($BM135,'Fuel economy adjusted factor'!$A$2:$L$52,5,FALSE)*m2k))/'TCO Inputs'!$AZ$84</f>
        <v>53.016781032562015</v>
      </c>
      <c r="EB135" s="125">
        <f>EB24/293.07*(1/(VLOOKUP($BM135,'Fuel economy adjusted factor'!$A$2:$L$52,5,FALSE)*m2k))/'TCO Inputs'!$AZ$84</f>
        <v>53.016781032562015</v>
      </c>
      <c r="EC135" s="125">
        <f>EC24/293.07*(1/(VLOOKUP($BM135,'Fuel economy adjusted factor'!$A$2:$L$52,5,FALSE)*m2k))/'TCO Inputs'!$AZ$84</f>
        <v>53.016781032562015</v>
      </c>
      <c r="ED135" s="125">
        <f>ED24/293.07*(1/(VLOOKUP($BM135,'Fuel economy adjusted factor'!$A$2:$L$52,5,FALSE)*m2k))/'TCO Inputs'!$AZ$84</f>
        <v>53.016781032562015</v>
      </c>
      <c r="EE135" s="125">
        <f>EE24/293.07*(1/(VLOOKUP($BM135,'Fuel economy adjusted factor'!$A$2:$L$52,5,FALSE)*m2k))/'TCO Inputs'!$AZ$84</f>
        <v>32.676161205300055</v>
      </c>
      <c r="EF135" s="125">
        <f>EF24/293.07*(1/(VLOOKUP($BM135,'Fuel economy adjusted factor'!$A$2:$L$52,5,FALSE)*m2k))/'TCO Inputs'!$AZ$84</f>
        <v>32.676161205300055</v>
      </c>
      <c r="EG135" s="125">
        <f>EG24/293.07*(1/(VLOOKUP($BM135,'Fuel economy adjusted factor'!$A$2:$L$52,5,FALSE)*m2k))/'TCO Inputs'!$AZ$84</f>
        <v>32.676161205300055</v>
      </c>
      <c r="EH135" s="125">
        <f>EH24/293.07*(1/(VLOOKUP($BM135,'Fuel economy adjusted factor'!$A$2:$L$52,5,FALSE)*m2k))/'TCO Inputs'!$AZ$84</f>
        <v>32.676161205300055</v>
      </c>
      <c r="EI135" s="125">
        <f>EI24/293.07*(1/(VLOOKUP($BM135,'Fuel economy adjusted factor'!$A$2:$L$52,5,FALSE)*m2k))/'TCO Inputs'!$AZ$84</f>
        <v>32.676161205300055</v>
      </c>
      <c r="EJ135" s="125">
        <f>EJ24/293.07*(1/(VLOOKUP($BM135,'Fuel economy adjusted factor'!$A$2:$L$52,5,FALSE)*m2k))/'TCO Inputs'!$AZ$84</f>
        <v>29.18365131288602</v>
      </c>
      <c r="EK135" s="125">
        <f>EK24/293.07*(1/(VLOOKUP($BM135,'Fuel economy adjusted factor'!$A$2:$L$52,5,FALSE)*m2k))/'TCO Inputs'!$AZ$84</f>
        <v>29.18365131288602</v>
      </c>
      <c r="EL135" s="125">
        <f>EL24/293.07*(1/(VLOOKUP($BM135,'Fuel economy adjusted factor'!$A$2:$L$52,5,FALSE)*m2k))/'TCO Inputs'!$AZ$84</f>
        <v>29.18365131288602</v>
      </c>
      <c r="EM135" s="125">
        <f>EM24/293.07*(1/(VLOOKUP($BM135,'Fuel economy adjusted factor'!$A$2:$L$52,5,FALSE)*m2k))/'TCO Inputs'!$AZ$84</f>
        <v>29.18365131288602</v>
      </c>
      <c r="EN135" s="125">
        <f>EN24/293.07*(1/(VLOOKUP($BM135,'Fuel economy adjusted factor'!$A$2:$L$52,5,FALSE)*m2k))/'TCO Inputs'!$AZ$84</f>
        <v>29.18365131288602</v>
      </c>
      <c r="EO135" s="125">
        <f>EO24/293.07*(1/(VLOOKUP($BM135,'Fuel economy adjusted factor'!$A$2:$L$52,5,FALSE)*m2k))/'TCO Inputs'!$AZ$84</f>
        <v>28.265108744292167</v>
      </c>
      <c r="EP135" s="125">
        <f>EP24/293.07*(1/(VLOOKUP($BM135,'Fuel economy adjusted factor'!$A$2:$L$52,5,FALSE)*m2k))/'TCO Inputs'!$AZ$84</f>
        <v>28.265108744292167</v>
      </c>
      <c r="EQ135" s="125">
        <f>EQ24/293.07*(1/(VLOOKUP($BM135,'Fuel economy adjusted factor'!$A$2:$L$52,5,FALSE)*m2k))/'TCO Inputs'!$AZ$84</f>
        <v>28.265108744292167</v>
      </c>
      <c r="ER135" s="125">
        <f>ER24/293.07*(1/(VLOOKUP($BM135,'Fuel economy adjusted factor'!$A$2:$L$52,5,FALSE)*m2k))/'TCO Inputs'!$AZ$84</f>
        <v>28.265108744292167</v>
      </c>
      <c r="ES135" s="125">
        <f>ES24/293.07*(1/(VLOOKUP($BM135,'Fuel economy adjusted factor'!$A$2:$L$52,5,FALSE)*m2k))/'TCO Inputs'!$AZ$84</f>
        <v>28.265108744292167</v>
      </c>
      <c r="ET135" s="125">
        <f>ET24/293.07*(1/(VLOOKUP($BM135,'Fuel economy adjusted factor'!$A$2:$L$52,5,FALSE)*m2k))/'TCO Inputs'!$AZ$84</f>
        <v>27.21566384163793</v>
      </c>
      <c r="EU135" s="125">
        <f>EU24/293.07*(1/(VLOOKUP($BM135,'Fuel economy adjusted factor'!$A$2:$L$52,5,FALSE)*m2k))/'TCO Inputs'!$AZ$84</f>
        <v>27.21566384163793</v>
      </c>
      <c r="EV135" s="125">
        <f>EV24/293.07*(1/(VLOOKUP($BM135,'Fuel economy adjusted factor'!$A$2:$L$52,5,FALSE)*m2k))/'TCO Inputs'!$AZ$84</f>
        <v>27.21566384163793</v>
      </c>
      <c r="EW135" s="125">
        <f>EW24/293.07*(1/(VLOOKUP($BM135,'Fuel economy adjusted factor'!$A$2:$L$52,5,FALSE)*m2k))/'TCO Inputs'!$AZ$84</f>
        <v>27.21566384163793</v>
      </c>
      <c r="EX135" s="125">
        <f>EX24/293.07*(1/(VLOOKUP($BM135,'Fuel economy adjusted factor'!$A$2:$L$52,5,FALSE)*m2k))/'TCO Inputs'!$AZ$84</f>
        <v>27.21566384163793</v>
      </c>
      <c r="EY135" s="125">
        <f>EY24/293.07*(1/(VLOOKUP($BM135,'Fuel economy adjusted factor'!$A$2:$L$52,5,FALSE)*m2k))/'TCO Inputs'!$AZ$84</f>
        <v>25.570034499164411</v>
      </c>
      <c r="EZ135" s="98" cm="1">
        <f t="array" ref="EZ135">SUMPRODUCT(INDEX(DX135:EY135,,'TCO Inputs'!$AZ$12-2023+_xlfn.SEQUENCE('TCO Inputs'!$AZ$13))*INDEX('VKT US'!C81:AA81,,_xlfn.SEQUENCE('TCO Inputs'!$AZ$13)))*m2k*CONVERT(0.9072,"g","ton")</f>
        <v>13.436066484705982</v>
      </c>
      <c r="FB135" s="123" t="s">
        <v>203</v>
      </c>
      <c r="FC135" s="125">
        <f>FC24/293.07*(1/(VLOOKUP($BM135,'Fuel economy adjusted factor'!$A$2:$L$52,5,FALSE)*m2k))/'TCO Inputs'!$AZ$84</f>
        <v>65.599433959591664</v>
      </c>
      <c r="FD135" s="125">
        <f>FD24/293.07*(1/(VLOOKUP($BM135,'Fuel economy adjusted factor'!$A$2:$L$52,5,FALSE)*m2k))/'TCO Inputs'!$AZ$84</f>
        <v>65.599433959591664</v>
      </c>
      <c r="FE135" s="125">
        <f>FE24/293.07*(1/(VLOOKUP($BM135,'Fuel economy adjusted factor'!$A$2:$L$52,5,FALSE)*m2k))/'TCO Inputs'!$AZ$84</f>
        <v>57.288026238825111</v>
      </c>
      <c r="FF135" s="125">
        <f>FF24/293.07*(1/(VLOOKUP($BM135,'Fuel economy adjusted factor'!$A$2:$L$52,5,FALSE)*m2k))/'TCO Inputs'!$AZ$84</f>
        <v>57.288026238825111</v>
      </c>
      <c r="FG135" s="125">
        <f>FG24/293.07*(1/(VLOOKUP($BM135,'Fuel economy adjusted factor'!$A$2:$L$52,5,FALSE)*m2k))/'TCO Inputs'!$AZ$84</f>
        <v>57.288026238825111</v>
      </c>
      <c r="FH135" s="125">
        <f>FH24/293.07*(1/(VLOOKUP($BM135,'Fuel economy adjusted factor'!$A$2:$L$52,5,FALSE)*m2k))/'TCO Inputs'!$AZ$84</f>
        <v>57.288026238825111</v>
      </c>
      <c r="FI135" s="125">
        <f>FI24/293.07*(1/(VLOOKUP($BM135,'Fuel economy adjusted factor'!$A$2:$L$52,5,FALSE)*m2k))/'TCO Inputs'!$AZ$84</f>
        <v>57.288026238825111</v>
      </c>
      <c r="FJ135" s="125">
        <f>FJ24/293.07*(1/(VLOOKUP($BM135,'Fuel economy adjusted factor'!$A$2:$L$52,5,FALSE)*m2k))/'TCO Inputs'!$AZ$84</f>
        <v>35.94961004887832</v>
      </c>
      <c r="FK135" s="125">
        <f>FK24/293.07*(1/(VLOOKUP($BM135,'Fuel economy adjusted factor'!$A$2:$L$52,5,FALSE)*m2k))/'TCO Inputs'!$AZ$84</f>
        <v>35.94961004887832</v>
      </c>
      <c r="FL135" s="125">
        <f>FL24/293.07*(1/(VLOOKUP($BM135,'Fuel economy adjusted factor'!$A$2:$L$52,5,FALSE)*m2k))/'TCO Inputs'!$AZ$84</f>
        <v>35.94961004887832</v>
      </c>
      <c r="FM135" s="125">
        <f>FM24/293.07*(1/(VLOOKUP($BM135,'Fuel economy adjusted factor'!$A$2:$L$52,5,FALSE)*m2k))/'TCO Inputs'!$AZ$84</f>
        <v>35.94961004887832</v>
      </c>
      <c r="FN135" s="125">
        <f>FN24/293.07*(1/(VLOOKUP($BM135,'Fuel economy adjusted factor'!$A$2:$L$52,5,FALSE)*m2k))/'TCO Inputs'!$AZ$84</f>
        <v>35.94961004887832</v>
      </c>
      <c r="FO135" s="125">
        <f>FO24/293.07*(1/(VLOOKUP($BM135,'Fuel economy adjusted factor'!$A$2:$L$52,5,FALSE)*m2k))/'TCO Inputs'!$AZ$84</f>
        <v>31.921469177298803</v>
      </c>
      <c r="FP135" s="125">
        <f>FP24/293.07*(1/(VLOOKUP($BM135,'Fuel economy adjusted factor'!$A$2:$L$52,5,FALSE)*m2k))/'TCO Inputs'!$AZ$84</f>
        <v>31.921469177298803</v>
      </c>
      <c r="FQ135" s="125">
        <f>FQ24/293.07*(1/(VLOOKUP($BM135,'Fuel economy adjusted factor'!$A$2:$L$52,5,FALSE)*m2k))/'TCO Inputs'!$AZ$84</f>
        <v>31.921469177298803</v>
      </c>
      <c r="FR135" s="125">
        <f>FR24/293.07*(1/(VLOOKUP($BM135,'Fuel economy adjusted factor'!$A$2:$L$52,5,FALSE)*m2k))/'TCO Inputs'!$AZ$84</f>
        <v>31.921469177298803</v>
      </c>
      <c r="FS135" s="125">
        <f>FS24/293.07*(1/(VLOOKUP($BM135,'Fuel economy adjusted factor'!$A$2:$L$52,5,FALSE)*m2k))/'TCO Inputs'!$AZ$84</f>
        <v>31.921469177298803</v>
      </c>
      <c r="FT135" s="125">
        <f>FT24/293.07*(1/(VLOOKUP($BM135,'Fuel economy adjusted factor'!$A$2:$L$52,5,FALSE)*m2k))/'TCO Inputs'!$AZ$84</f>
        <v>31.108895164849081</v>
      </c>
      <c r="FU135" s="125">
        <f>FU24/293.07*(1/(VLOOKUP($BM135,'Fuel economy adjusted factor'!$A$2:$L$52,5,FALSE)*m2k))/'TCO Inputs'!$AZ$84</f>
        <v>31.108895164849081</v>
      </c>
      <c r="FV135" s="125">
        <f>FV24/293.07*(1/(VLOOKUP($BM135,'Fuel economy adjusted factor'!$A$2:$L$52,5,FALSE)*m2k))/'TCO Inputs'!$AZ$84</f>
        <v>31.108895164849081</v>
      </c>
      <c r="FW135" s="125">
        <f>FW24/293.07*(1/(VLOOKUP($BM135,'Fuel economy adjusted factor'!$A$2:$L$52,5,FALSE)*m2k))/'TCO Inputs'!$AZ$84</f>
        <v>31.108895164849081</v>
      </c>
      <c r="FX135" s="125">
        <f>FX24/293.07*(1/(VLOOKUP($BM135,'Fuel economy adjusted factor'!$A$2:$L$52,5,FALSE)*m2k))/'TCO Inputs'!$AZ$84</f>
        <v>31.108895164849081</v>
      </c>
      <c r="FY135" s="125">
        <f>FY24/293.07*(1/(VLOOKUP($BM135,'Fuel economy adjusted factor'!$A$2:$L$52,5,FALSE)*m2k))/'TCO Inputs'!$AZ$84</f>
        <v>30.057224032023743</v>
      </c>
      <c r="FZ135" s="125">
        <f>FZ24/293.07*(1/(VLOOKUP($BM135,'Fuel economy adjusted factor'!$A$2:$L$52,5,FALSE)*m2k))/'TCO Inputs'!$AZ$84</f>
        <v>30.057224032023743</v>
      </c>
      <c r="GA135" s="125">
        <f>GA24/293.07*(1/(VLOOKUP($BM135,'Fuel economy adjusted factor'!$A$2:$L$52,5,FALSE)*m2k))/'TCO Inputs'!$AZ$84</f>
        <v>30.057224032023743</v>
      </c>
      <c r="GB135" s="125">
        <f>GB24/293.07*(1/(VLOOKUP($BM135,'Fuel economy adjusted factor'!$A$2:$L$52,5,FALSE)*m2k))/'TCO Inputs'!$AZ$84</f>
        <v>30.057224032023743</v>
      </c>
      <c r="GC135" s="125">
        <f>GC24/293.07*(1/(VLOOKUP($BM135,'Fuel economy adjusted factor'!$A$2:$L$52,5,FALSE)*m2k))/'TCO Inputs'!$AZ$84</f>
        <v>30.057224032023743</v>
      </c>
      <c r="GD135" s="125">
        <f>GD24/293.07*(1/(VLOOKUP($BM135,'Fuel economy adjusted factor'!$A$2:$L$52,5,FALSE)*m2k))/'TCO Inputs'!$AZ$84</f>
        <v>28.354603197170189</v>
      </c>
      <c r="GE135" s="98" cm="1">
        <f t="array" ref="GE135">SUMPRODUCT(INDEX(FC135:GD135,,'TCO Inputs'!$AZ$12-2023+_xlfn.SEQUENCE('TCO Inputs'!$AZ$13))*INDEX('VKT US'!C81:AA81,,_xlfn.SEQUENCE('TCO Inputs'!$AZ$13)))*m2k*CONVERT(0.9072,"g","ton")</f>
        <v>14.608545812798541</v>
      </c>
      <c r="GH135" s="123" t="s">
        <v>203</v>
      </c>
      <c r="GI135" s="125">
        <f>GI24/293.07*(1/(VLOOKUP($BM135,'Fuel economy adjusted factor'!$A$2:$L$52,5,FALSE)*m2k))/'TCO Inputs'!$AZ$84</f>
        <v>56.995499594343208</v>
      </c>
      <c r="GJ135" s="125">
        <f>GJ24/293.07*(1/(VLOOKUP($BM135,'Fuel economy adjusted factor'!$A$2:$L$52,5,FALSE)*m2k))/'TCO Inputs'!$AZ$84</f>
        <v>56.995499594343208</v>
      </c>
      <c r="GK135" s="125">
        <f>GK24/293.07*(1/(VLOOKUP($BM135,'Fuel economy adjusted factor'!$A$2:$L$52,5,FALSE)*m2k))/'TCO Inputs'!$AZ$84</f>
        <v>50.109769675145984</v>
      </c>
      <c r="GL135" s="125">
        <f>GL24/293.07*(1/(VLOOKUP($BM135,'Fuel economy adjusted factor'!$A$2:$L$52,5,FALSE)*m2k))/'TCO Inputs'!$AZ$84</f>
        <v>50.109769675145984</v>
      </c>
      <c r="GM135" s="125">
        <f>GM24/293.07*(1/(VLOOKUP($BM135,'Fuel economy adjusted factor'!$A$2:$L$52,5,FALSE)*m2k))/'TCO Inputs'!$AZ$84</f>
        <v>50.109769675145984</v>
      </c>
      <c r="GN135" s="125">
        <f>GN24/293.07*(1/(VLOOKUP($BM135,'Fuel economy adjusted factor'!$A$2:$L$52,5,FALSE)*m2k))/'TCO Inputs'!$AZ$84</f>
        <v>50.109769675145984</v>
      </c>
      <c r="GO135" s="125">
        <f>GO24/293.07*(1/(VLOOKUP($BM135,'Fuel economy adjusted factor'!$A$2:$L$52,5,FALSE)*m2k))/'TCO Inputs'!$AZ$84</f>
        <v>50.109769675145984</v>
      </c>
      <c r="GP135" s="125">
        <f>GP24/293.07*(1/(VLOOKUP($BM135,'Fuel economy adjusted factor'!$A$2:$L$52,5,FALSE)*m2k))/'TCO Inputs'!$AZ$84</f>
        <v>30.448150050068048</v>
      </c>
      <c r="GQ135" s="125">
        <f>GQ24/293.07*(1/(VLOOKUP($BM135,'Fuel economy adjusted factor'!$A$2:$L$52,5,FALSE)*m2k))/'TCO Inputs'!$AZ$84</f>
        <v>30.448150050068048</v>
      </c>
      <c r="GR135" s="125">
        <f>GR24/293.07*(1/(VLOOKUP($BM135,'Fuel economy adjusted factor'!$A$2:$L$52,5,FALSE)*m2k))/'TCO Inputs'!$AZ$84</f>
        <v>30.448150050068048</v>
      </c>
      <c r="GS135" s="125">
        <f>GS24/293.07*(1/(VLOOKUP($BM135,'Fuel economy adjusted factor'!$A$2:$L$52,5,FALSE)*m2k))/'TCO Inputs'!$AZ$84</f>
        <v>30.448150050068048</v>
      </c>
      <c r="GT135" s="125">
        <f>GT24/293.07*(1/(VLOOKUP($BM135,'Fuel economy adjusted factor'!$A$2:$L$52,5,FALSE)*m2k))/'TCO Inputs'!$AZ$84</f>
        <v>30.448150050068048</v>
      </c>
      <c r="GU135" s="125">
        <f>GU24/293.07*(1/(VLOOKUP($BM135,'Fuel economy adjusted factor'!$A$2:$L$52,5,FALSE)*m2k))/'TCO Inputs'!$AZ$84</f>
        <v>27.320296659679396</v>
      </c>
      <c r="GV135" s="125">
        <f>GV24/293.07*(1/(VLOOKUP($BM135,'Fuel economy adjusted factor'!$A$2:$L$52,5,FALSE)*m2k))/'TCO Inputs'!$AZ$84</f>
        <v>27.320296659679396</v>
      </c>
      <c r="GW135" s="125">
        <f>GW24/293.07*(1/(VLOOKUP($BM135,'Fuel economy adjusted factor'!$A$2:$L$52,5,FALSE)*m2k))/'TCO Inputs'!$AZ$84</f>
        <v>27.320296659679396</v>
      </c>
      <c r="GX135" s="125">
        <f>GX24/293.07*(1/(VLOOKUP($BM135,'Fuel economy adjusted factor'!$A$2:$L$52,5,FALSE)*m2k))/'TCO Inputs'!$AZ$84</f>
        <v>27.320296659679396</v>
      </c>
      <c r="GY135" s="125">
        <f>GY24/293.07*(1/(VLOOKUP($BM135,'Fuel economy adjusted factor'!$A$2:$L$52,5,FALSE)*m2k))/'TCO Inputs'!$AZ$84</f>
        <v>27.320296659679396</v>
      </c>
      <c r="GZ135" s="125">
        <f>GZ24/293.07*(1/(VLOOKUP($BM135,'Fuel economy adjusted factor'!$A$2:$L$52,5,FALSE)*m2k))/'TCO Inputs'!$AZ$84</f>
        <v>26.329624233542059</v>
      </c>
      <c r="HA135" s="125">
        <f>HA24/293.07*(1/(VLOOKUP($BM135,'Fuel economy adjusted factor'!$A$2:$L$52,5,FALSE)*m2k))/'TCO Inputs'!$AZ$84</f>
        <v>26.329624233542059</v>
      </c>
      <c r="HB135" s="125">
        <f>HB24/293.07*(1/(VLOOKUP($BM135,'Fuel economy adjusted factor'!$A$2:$L$52,5,FALSE)*m2k))/'TCO Inputs'!$AZ$84</f>
        <v>26.329624233542059</v>
      </c>
      <c r="HC135" s="125">
        <f>HC24/293.07*(1/(VLOOKUP($BM135,'Fuel economy adjusted factor'!$A$2:$L$52,5,FALSE)*m2k))/'TCO Inputs'!$AZ$84</f>
        <v>26.329624233542059</v>
      </c>
      <c r="HD135" s="125">
        <f>HD24/293.07*(1/(VLOOKUP($BM135,'Fuel economy adjusted factor'!$A$2:$L$52,5,FALSE)*m2k))/'TCO Inputs'!$AZ$84</f>
        <v>26.329624233542059</v>
      </c>
      <c r="HE135" s="125">
        <f>HE24/293.07*(1/(VLOOKUP($BM135,'Fuel economy adjusted factor'!$A$2:$L$52,5,FALSE)*m2k))/'TCO Inputs'!$AZ$84</f>
        <v>25.28151506899048</v>
      </c>
      <c r="HF135" s="125">
        <f>HF24/293.07*(1/(VLOOKUP($BM135,'Fuel economy adjusted factor'!$A$2:$L$52,5,FALSE)*m2k))/'TCO Inputs'!$AZ$84</f>
        <v>25.28151506899048</v>
      </c>
      <c r="HG135" s="125">
        <f>HG24/293.07*(1/(VLOOKUP($BM135,'Fuel economy adjusted factor'!$A$2:$L$52,5,FALSE)*m2k))/'TCO Inputs'!$AZ$84</f>
        <v>25.28151506899048</v>
      </c>
      <c r="HH135" s="125">
        <f>HH24/293.07*(1/(VLOOKUP($BM135,'Fuel economy adjusted factor'!$A$2:$L$52,5,FALSE)*m2k))/'TCO Inputs'!$AZ$84</f>
        <v>25.28151506899048</v>
      </c>
      <c r="HI135" s="125">
        <f>HI24/293.07*(1/(VLOOKUP($BM135,'Fuel economy adjusted factor'!$A$2:$L$52,5,FALSE)*m2k))/'TCO Inputs'!$AZ$84</f>
        <v>25.28151506899048</v>
      </c>
      <c r="HJ135" s="125">
        <f>HJ24/293.07*(1/(VLOOKUP($BM135,'Fuel economy adjusted factor'!$A$2:$L$52,5,FALSE)*m2k))/'TCO Inputs'!$AZ$84</f>
        <v>23.675067377528233</v>
      </c>
      <c r="HK135" s="98" cm="1">
        <f t="array" ref="HK135">SUMPRODUCT(INDEX(GI135:HJ135,,'TCO Inputs'!$AZ$12-2023+_xlfn.SEQUENCE('TCO Inputs'!$AZ$13))*INDEX('VKT US'!C81:AA81,,_xlfn.SEQUENCE('TCO Inputs'!$AZ$13)))*m2k*CONVERT(0.9072,"g","ton")</f>
        <v>12.638056456053949</v>
      </c>
    </row>
    <row r="136" spans="17:219" x14ac:dyDescent="0.25">
      <c r="Z136" s="123" t="s">
        <v>202</v>
      </c>
      <c r="AA136" s="125">
        <f>AA25/293.07*(1/(VLOOKUP($Z136,'Fuel economy adjusted factor'!$A$2:$L$52,5,FALSE)*m2k))/'TCO Inputs'!$AZ$84</f>
        <v>65.173645718960458</v>
      </c>
      <c r="AB136" s="125">
        <f>AB25/293.07*(1/(VLOOKUP($Z136,'Fuel economy adjusted factor'!$A$2:$L$52,5,FALSE)*m2k))/'TCO Inputs'!$AZ$84</f>
        <v>65.173645718960458</v>
      </c>
      <c r="AC136" s="125">
        <f>AC25/293.07*(1/(VLOOKUP($Z136,'Fuel economy adjusted factor'!$A$2:$L$52,5,FALSE)*m2k))/'TCO Inputs'!$AZ$84</f>
        <v>57.319819853658984</v>
      </c>
      <c r="AD136" s="125">
        <f>AD25/293.07*(1/(VLOOKUP($Z136,'Fuel economy adjusted factor'!$A$2:$L$52,5,FALSE)*m2k))/'TCO Inputs'!$AZ$84</f>
        <v>57.319819853658984</v>
      </c>
      <c r="AE136" s="125">
        <f>AE25/293.07*(1/(VLOOKUP($Z136,'Fuel economy adjusted factor'!$A$2:$L$52,5,FALSE)*m2k))/'TCO Inputs'!$AZ$84</f>
        <v>57.319819853658984</v>
      </c>
      <c r="AF136" s="125">
        <f>AF25/293.07*(1/(VLOOKUP($Z136,'Fuel economy adjusted factor'!$A$2:$L$52,5,FALSE)*m2k))/'TCO Inputs'!$AZ$84</f>
        <v>57.319819853658984</v>
      </c>
      <c r="AG136" s="125">
        <f>AG25/293.07*(1/(VLOOKUP($Z136,'Fuel economy adjusted factor'!$A$2:$L$52,5,FALSE)*m2k))/'TCO Inputs'!$AZ$84</f>
        <v>57.319819853658984</v>
      </c>
      <c r="AH136" s="125">
        <f>AH25/293.07*(1/(VLOOKUP($Z136,'Fuel economy adjusted factor'!$A$2:$L$52,5,FALSE)*m2k))/'TCO Inputs'!$AZ$84</f>
        <v>34.439907884103221</v>
      </c>
      <c r="AI136" s="125">
        <f>AI25/293.07*(1/(VLOOKUP($Z136,'Fuel economy adjusted factor'!$A$2:$L$52,5,FALSE)*m2k))/'TCO Inputs'!$AZ$84</f>
        <v>34.439907884103221</v>
      </c>
      <c r="AJ136" s="125">
        <f>AJ25/293.07*(1/(VLOOKUP($Z136,'Fuel economy adjusted factor'!$A$2:$L$52,5,FALSE)*m2k))/'TCO Inputs'!$AZ$84</f>
        <v>34.439907884103221</v>
      </c>
      <c r="AK136" s="125">
        <f>AK25/293.07*(1/(VLOOKUP($Z136,'Fuel economy adjusted factor'!$A$2:$L$52,5,FALSE)*m2k))/'TCO Inputs'!$AZ$84</f>
        <v>34.439907884103221</v>
      </c>
      <c r="AL136" s="125">
        <f>AL25/293.07*(1/(VLOOKUP($Z136,'Fuel economy adjusted factor'!$A$2:$L$52,5,FALSE)*m2k))/'TCO Inputs'!$AZ$84</f>
        <v>34.439907884103221</v>
      </c>
      <c r="AM136" s="125">
        <f>AM25/293.07*(1/(VLOOKUP($Z136,'Fuel economy adjusted factor'!$A$2:$L$52,5,FALSE)*m2k))/'TCO Inputs'!$AZ$84</f>
        <v>36.040607700737858</v>
      </c>
      <c r="AN136" s="125">
        <f>AN25/293.07*(1/(VLOOKUP($Z136,'Fuel economy adjusted factor'!$A$2:$L$52,5,FALSE)*m2k))/'TCO Inputs'!$AZ$84</f>
        <v>36.040607700737858</v>
      </c>
      <c r="AO136" s="125">
        <f>AO25/293.07*(1/(VLOOKUP($Z136,'Fuel economy adjusted factor'!$A$2:$L$52,5,FALSE)*m2k))/'TCO Inputs'!$AZ$84</f>
        <v>36.040607700737858</v>
      </c>
      <c r="AP136" s="125">
        <f>AP25/293.07*(1/(VLOOKUP($Z136,'Fuel economy adjusted factor'!$A$2:$L$52,5,FALSE)*m2k))/'TCO Inputs'!$AZ$84</f>
        <v>36.040607700737858</v>
      </c>
      <c r="AQ136" s="125">
        <f>AQ25/293.07*(1/(VLOOKUP($Z136,'Fuel economy adjusted factor'!$A$2:$L$52,5,FALSE)*m2k))/'TCO Inputs'!$AZ$84</f>
        <v>36.040607700737858</v>
      </c>
      <c r="AR136" s="125">
        <f>AR25/293.07*(1/(VLOOKUP($Z136,'Fuel economy adjusted factor'!$A$2:$L$52,5,FALSE)*m2k))/'TCO Inputs'!$AZ$84</f>
        <v>37.674958878437607</v>
      </c>
      <c r="AS136" s="125">
        <f>AS25/293.07*(1/(VLOOKUP($Z136,'Fuel economy adjusted factor'!$A$2:$L$52,5,FALSE)*m2k))/'TCO Inputs'!$AZ$84</f>
        <v>37.674958878437607</v>
      </c>
      <c r="AT136" s="125">
        <f>AT25/293.07*(1/(VLOOKUP($Z136,'Fuel economy adjusted factor'!$A$2:$L$52,5,FALSE)*m2k))/'TCO Inputs'!$AZ$84</f>
        <v>37.674958878437607</v>
      </c>
      <c r="AU136" s="125">
        <f>AU25/293.07*(1/(VLOOKUP($Z136,'Fuel economy adjusted factor'!$A$2:$L$52,5,FALSE)*m2k))/'TCO Inputs'!$AZ$84</f>
        <v>37.674958878437607</v>
      </c>
      <c r="AV136" s="125">
        <f>AV25/293.07*(1/(VLOOKUP($Z136,'Fuel economy adjusted factor'!$A$2:$L$52,5,FALSE)*m2k))/'TCO Inputs'!$AZ$84</f>
        <v>37.674958878437607</v>
      </c>
      <c r="AW136" s="125">
        <f>AW25/293.07*(1/(VLOOKUP($Z136,'Fuel economy adjusted factor'!$A$2:$L$52,5,FALSE)*m2k))/'TCO Inputs'!$AZ$84</f>
        <v>38.501677390574613</v>
      </c>
      <c r="AX136" s="125">
        <f>AX25/293.07*(1/(VLOOKUP($Z136,'Fuel economy adjusted factor'!$A$2:$L$52,5,FALSE)*m2k))/'TCO Inputs'!$AZ$84</f>
        <v>38.501677390574613</v>
      </c>
      <c r="AY136" s="125">
        <f>AY25/293.07*(1/(VLOOKUP($Z136,'Fuel economy adjusted factor'!$A$2:$L$52,5,FALSE)*m2k))/'TCO Inputs'!$AZ$84</f>
        <v>38.501677390574613</v>
      </c>
      <c r="AZ136" s="125">
        <f>AZ25/293.07*(1/(VLOOKUP($Z136,'Fuel economy adjusted factor'!$A$2:$L$52,5,FALSE)*m2k))/'TCO Inputs'!$AZ$84</f>
        <v>38.501677390574613</v>
      </c>
      <c r="BA136" s="125">
        <f>BA25/293.07*(1/(VLOOKUP($Z136,'Fuel economy adjusted factor'!$A$2:$L$52,5,FALSE)*m2k))/'TCO Inputs'!$AZ$84</f>
        <v>38.501677390574613</v>
      </c>
      <c r="BB136" s="125">
        <f>BB25/293.07*(1/(VLOOKUP($Z136,'Fuel economy adjusted factor'!$A$2:$L$52,5,FALSE)*m2k))/'TCO Inputs'!$AZ$84</f>
        <v>38.553912339093593</v>
      </c>
      <c r="BC136" s="98" cm="1">
        <f t="array" ref="BC136">SUMPRODUCT(INDEX(AA136:BB136,,'TCO Inputs'!$AZ$12-2023+_xlfn.SEQUENCE('TCO Inputs'!$AZ$13))*INDEX('VKT US'!C82:AA82,,_xlfn.SEQUENCE('TCO Inputs'!$AZ$13)))*m2k*CONVERT(0.9072,"g","ton")</f>
        <v>13.84528943063181</v>
      </c>
      <c r="BM136" s="123" t="s">
        <v>202</v>
      </c>
      <c r="BN136" s="125">
        <f>BN25/293.07*(1/(VLOOKUP($BM136,'Fuel economy adjusted factor'!$A$2:$L$52,5,FALSE)*m2k))</f>
        <v>55.397598861116393</v>
      </c>
      <c r="BO136" s="125">
        <f>BO25/293.07*(1/(VLOOKUP($BM136,'Fuel economy adjusted factor'!$A$2:$L$52,5,FALSE)*m2k))</f>
        <v>55.397598861116393</v>
      </c>
      <c r="BP136" s="125">
        <f>BP25/293.07*(1/(VLOOKUP($BM136,'Fuel economy adjusted factor'!$A$2:$L$52,5,FALSE)*m2k))</f>
        <v>48.658235758014648</v>
      </c>
      <c r="BQ136" s="125">
        <f>BQ25/293.07*(1/(VLOOKUP($BM136,'Fuel economy adjusted factor'!$A$2:$L$52,5,FALSE)*m2k))</f>
        <v>48.658235758014648</v>
      </c>
      <c r="BR136" s="125">
        <f>BR25/293.07*(1/(VLOOKUP($BM136,'Fuel economy adjusted factor'!$A$2:$L$52,5,FALSE)*m2k))</f>
        <v>48.658235758014648</v>
      </c>
      <c r="BS136" s="125">
        <f>BS25/293.07*(1/(VLOOKUP($BM136,'Fuel economy adjusted factor'!$A$2:$L$52,5,FALSE)*m2k))</f>
        <v>48.658235758014648</v>
      </c>
      <c r="BT136" s="125">
        <f>BT25/293.07*(1/(VLOOKUP($BM136,'Fuel economy adjusted factor'!$A$2:$L$52,5,FALSE)*m2k))</f>
        <v>48.658235758014648</v>
      </c>
      <c r="BU136" s="125">
        <f>BU25/293.07*(1/(VLOOKUP($BM136,'Fuel economy adjusted factor'!$A$2:$L$52,5,FALSE)*m2k))</f>
        <v>55.157242759061006</v>
      </c>
      <c r="BV136" s="125">
        <f>BV25/293.07*(1/(VLOOKUP($BM136,'Fuel economy adjusted factor'!$A$2:$L$52,5,FALSE)*m2k))</f>
        <v>55.157242759061006</v>
      </c>
      <c r="BW136" s="125">
        <f>BW25/293.07*(1/(VLOOKUP($BM136,'Fuel economy adjusted factor'!$A$2:$L$52,5,FALSE)*m2k))</f>
        <v>55.157242759061006</v>
      </c>
      <c r="BX136" s="125">
        <f>BX25/293.07*(1/(VLOOKUP($BM136,'Fuel economy adjusted factor'!$A$2:$L$52,5,FALSE)*m2k))</f>
        <v>55.157242759061006</v>
      </c>
      <c r="BY136" s="125">
        <f>BY25/293.07*(1/(VLOOKUP($BM136,'Fuel economy adjusted factor'!$A$2:$L$52,5,FALSE)*m2k))</f>
        <v>55.157242759061006</v>
      </c>
      <c r="BZ136" s="125">
        <f>BZ25/293.07*(1/(VLOOKUP($BM136,'Fuel economy adjusted factor'!$A$2:$L$52,5,FALSE)*m2k))</f>
        <v>56.483683983014949</v>
      </c>
      <c r="CA136" s="125">
        <f>CA25/293.07*(1/(VLOOKUP($BM136,'Fuel economy adjusted factor'!$A$2:$L$52,5,FALSE)*m2k))</f>
        <v>56.483683983014949</v>
      </c>
      <c r="CB136" s="125">
        <f>CB25/293.07*(1/(VLOOKUP($BM136,'Fuel economy adjusted factor'!$A$2:$L$52,5,FALSE)*m2k))</f>
        <v>56.483683983014949</v>
      </c>
      <c r="CC136" s="125">
        <f>CC25/293.07*(1/(VLOOKUP($BM136,'Fuel economy adjusted factor'!$A$2:$L$52,5,FALSE)*m2k))</f>
        <v>56.483683983014949</v>
      </c>
      <c r="CD136" s="125">
        <f>CD25/293.07*(1/(VLOOKUP($BM136,'Fuel economy adjusted factor'!$A$2:$L$52,5,FALSE)*m2k))</f>
        <v>56.483683983014949</v>
      </c>
      <c r="CE136" s="125">
        <f>CE25/293.07*(1/(VLOOKUP($BM136,'Fuel economy adjusted factor'!$A$2:$L$52,5,FALSE)*m2k))</f>
        <v>57.879713208096838</v>
      </c>
      <c r="CF136" s="125">
        <f>CF25/293.07*(1/(VLOOKUP($BM136,'Fuel economy adjusted factor'!$A$2:$L$52,5,FALSE)*m2k))</f>
        <v>57.879713208096838</v>
      </c>
      <c r="CG136" s="125">
        <f>CG25/293.07*(1/(VLOOKUP($BM136,'Fuel economy adjusted factor'!$A$2:$L$52,5,FALSE)*m2k))</f>
        <v>57.879713208096838</v>
      </c>
      <c r="CH136" s="125">
        <f>CH25/293.07*(1/(VLOOKUP($BM136,'Fuel economy adjusted factor'!$A$2:$L$52,5,FALSE)*m2k))</f>
        <v>57.879713208096838</v>
      </c>
      <c r="CI136" s="125">
        <f>CI25/293.07*(1/(VLOOKUP($BM136,'Fuel economy adjusted factor'!$A$2:$L$52,5,FALSE)*m2k))</f>
        <v>57.879713208096838</v>
      </c>
      <c r="CJ136" s="125">
        <f>CJ25/293.07*(1/(VLOOKUP($BM136,'Fuel economy adjusted factor'!$A$2:$L$52,5,FALSE)*m2k))</f>
        <v>58.21100332389608</v>
      </c>
      <c r="CK136" s="125">
        <f>CK25/293.07*(1/(VLOOKUP($BM136,'Fuel economy adjusted factor'!$A$2:$L$52,5,FALSE)*m2k))</f>
        <v>58.21100332389608</v>
      </c>
      <c r="CL136" s="125">
        <f>CL25/293.07*(1/(VLOOKUP($BM136,'Fuel economy adjusted factor'!$A$2:$L$52,5,FALSE)*m2k))</f>
        <v>58.21100332389608</v>
      </c>
      <c r="CM136" s="125">
        <f>CM25/293.07*(1/(VLOOKUP($BM136,'Fuel economy adjusted factor'!$A$2:$L$52,5,FALSE)*m2k))</f>
        <v>58.21100332389608</v>
      </c>
      <c r="CN136" s="125">
        <f>CN25/293.07*(1/(VLOOKUP($BM136,'Fuel economy adjusted factor'!$A$2:$L$52,5,FALSE)*m2k))</f>
        <v>58.21100332389608</v>
      </c>
      <c r="CO136" s="125">
        <f>CO25/293.07*(1/(VLOOKUP($BM136,'Fuel economy adjusted factor'!$A$2:$L$52,5,FALSE)*m2k))</f>
        <v>58.606758397795438</v>
      </c>
      <c r="CP136" s="98" cm="1">
        <f t="array" ref="CP136">SUMPRODUCT(INDEX(BN136:CO136,,'TCO Inputs'!$AZ$12-2023+_xlfn.SEQUENCE('TCO Inputs'!$AZ$13))*INDEX('VKT US'!C82:AA82,,_xlfn.SEQUENCE('TCO Inputs'!$AZ$13)))*m2k*CONVERT(0.9072,"g","ton")</f>
        <v>15.080477279025933</v>
      </c>
      <c r="CQ136" s="194"/>
      <c r="CR136" s="123" t="s">
        <v>202</v>
      </c>
      <c r="CS136" s="125">
        <f>CS25/293.07*(1/(VLOOKUP($BM136,'Fuel economy adjusted factor'!$A$2:$L$52,5,FALSE)*m2k))/'TCO Inputs'!$AZ$84</f>
        <v>78.907921365610633</v>
      </c>
      <c r="CT136" s="125">
        <f>CT25/293.07*(1/(VLOOKUP($BM136,'Fuel economy adjusted factor'!$A$2:$L$52,5,FALSE)*m2k))/'TCO Inputs'!$AZ$84</f>
        <v>78.907921365610633</v>
      </c>
      <c r="CU136" s="125">
        <f>CU25/293.07*(1/(VLOOKUP($BM136,'Fuel economy adjusted factor'!$A$2:$L$52,5,FALSE)*m2k))/'TCO Inputs'!$AZ$84</f>
        <v>78.907921365610633</v>
      </c>
      <c r="CV136" s="125">
        <f>CV25/293.07*(1/(VLOOKUP($BM136,'Fuel economy adjusted factor'!$A$2:$L$52,5,FALSE)*m2k))/'TCO Inputs'!$AZ$84</f>
        <v>78.907921365610633</v>
      </c>
      <c r="CW136" s="125">
        <f>CW25/293.07*(1/(VLOOKUP($BM136,'Fuel economy adjusted factor'!$A$2:$L$52,5,FALSE)*m2k))/'TCO Inputs'!$AZ$84</f>
        <v>78.907921365610633</v>
      </c>
      <c r="CX136" s="125">
        <f>CX25/293.07*(1/(VLOOKUP($BM136,'Fuel economy adjusted factor'!$A$2:$L$52,5,FALSE)*m2k))/'TCO Inputs'!$AZ$84</f>
        <v>78.907921365610633</v>
      </c>
      <c r="CY136" s="125">
        <f>CY25/293.07*(1/(VLOOKUP($BM136,'Fuel economy adjusted factor'!$A$2:$L$52,5,FALSE)*m2k))/'TCO Inputs'!$AZ$84</f>
        <v>78.907921365610633</v>
      </c>
      <c r="CZ136" s="125">
        <f>CZ25/293.07*(1/(VLOOKUP($BM136,'Fuel economy adjusted factor'!$A$2:$L$52,5,FALSE)*m2k))/'TCO Inputs'!$AZ$84</f>
        <v>78.925500434823746</v>
      </c>
      <c r="DA136" s="125">
        <f>DA25/293.07*(1/(VLOOKUP($BM136,'Fuel economy adjusted factor'!$A$2:$L$52,5,FALSE)*m2k))/'TCO Inputs'!$AZ$84</f>
        <v>78.925500434823746</v>
      </c>
      <c r="DB136" s="125">
        <f>DB25/293.07*(1/(VLOOKUP($BM136,'Fuel economy adjusted factor'!$A$2:$L$52,5,FALSE)*m2k))/'TCO Inputs'!$AZ$84</f>
        <v>78.925500434823746</v>
      </c>
      <c r="DC136" s="125">
        <f>DC25/293.07*(1/(VLOOKUP($BM136,'Fuel economy adjusted factor'!$A$2:$L$52,5,FALSE)*m2k))/'TCO Inputs'!$AZ$84</f>
        <v>78.925500434823746</v>
      </c>
      <c r="DD136" s="125">
        <f>DD25/293.07*(1/(VLOOKUP($BM136,'Fuel economy adjusted factor'!$A$2:$L$52,5,FALSE)*m2k))/'TCO Inputs'!$AZ$84</f>
        <v>78.925500434823746</v>
      </c>
      <c r="DE136" s="125">
        <f>DE25/293.07*(1/(VLOOKUP($BM136,'Fuel economy adjusted factor'!$A$2:$L$52,5,FALSE)*m2k))/'TCO Inputs'!$AZ$84</f>
        <v>78.915455252416251</v>
      </c>
      <c r="DF136" s="125">
        <f>DF25/293.07*(1/(VLOOKUP($BM136,'Fuel economy adjusted factor'!$A$2:$L$52,5,FALSE)*m2k))/'TCO Inputs'!$AZ$84</f>
        <v>78.915455252416251</v>
      </c>
      <c r="DG136" s="125">
        <f>DG25/293.07*(1/(VLOOKUP($BM136,'Fuel economy adjusted factor'!$A$2:$L$52,5,FALSE)*m2k))/'TCO Inputs'!$AZ$84</f>
        <v>78.915455252416251</v>
      </c>
      <c r="DH136" s="125">
        <f>DH25/293.07*(1/(VLOOKUP($BM136,'Fuel economy adjusted factor'!$A$2:$L$52,5,FALSE)*m2k))/'TCO Inputs'!$AZ$84</f>
        <v>78.915455252416251</v>
      </c>
      <c r="DI136" s="125">
        <f>DI25/293.07*(1/(VLOOKUP($BM136,'Fuel economy adjusted factor'!$A$2:$L$52,5,FALSE)*m2k))/'TCO Inputs'!$AZ$84</f>
        <v>78.915455252416251</v>
      </c>
      <c r="DJ136" s="125">
        <f>DJ25/293.07*(1/(VLOOKUP($BM136,'Fuel economy adjusted factor'!$A$2:$L$52,5,FALSE)*m2k))/'TCO Inputs'!$AZ$84</f>
        <v>78.912943956814374</v>
      </c>
      <c r="DK136" s="125">
        <f>DK25/293.07*(1/(VLOOKUP($BM136,'Fuel economy adjusted factor'!$A$2:$L$52,5,FALSE)*m2k))/'TCO Inputs'!$AZ$84</f>
        <v>78.912943956814374</v>
      </c>
      <c r="DL136" s="125">
        <f>DL25/293.07*(1/(VLOOKUP($BM136,'Fuel economy adjusted factor'!$A$2:$L$52,5,FALSE)*m2k))/'TCO Inputs'!$AZ$84</f>
        <v>78.912943956814374</v>
      </c>
      <c r="DM136" s="125">
        <f>DM25/293.07*(1/(VLOOKUP($BM136,'Fuel economy adjusted factor'!$A$2:$L$52,5,FALSE)*m2k))/'TCO Inputs'!$AZ$84</f>
        <v>78.912943956814374</v>
      </c>
      <c r="DN136" s="125">
        <f>DN25/293.07*(1/(VLOOKUP($BM136,'Fuel economy adjusted factor'!$A$2:$L$52,5,FALSE)*m2k))/'TCO Inputs'!$AZ$84</f>
        <v>78.912943956814374</v>
      </c>
      <c r="DO136" s="125">
        <f>DO25/293.07*(1/(VLOOKUP($BM136,'Fuel economy adjusted factor'!$A$2:$L$52,5,FALSE)*m2k))/'TCO Inputs'!$AZ$84</f>
        <v>78.864224822138027</v>
      </c>
      <c r="DP136" s="125">
        <f>DP25/293.07*(1/(VLOOKUP($BM136,'Fuel economy adjusted factor'!$A$2:$L$52,5,FALSE)*m2k))/'TCO Inputs'!$AZ$84</f>
        <v>78.864224822138027</v>
      </c>
      <c r="DQ136" s="125">
        <f>DQ25/293.07*(1/(VLOOKUP($BM136,'Fuel economy adjusted factor'!$A$2:$L$52,5,FALSE)*m2k))/'TCO Inputs'!$AZ$84</f>
        <v>78.864224822138027</v>
      </c>
      <c r="DR136" s="125">
        <f>DR25/293.07*(1/(VLOOKUP($BM136,'Fuel economy adjusted factor'!$A$2:$L$52,5,FALSE)*m2k))/'TCO Inputs'!$AZ$84</f>
        <v>78.864224822138027</v>
      </c>
      <c r="DS136" s="125">
        <f>DS25/293.07*(1/(VLOOKUP($BM136,'Fuel economy adjusted factor'!$A$2:$L$52,5,FALSE)*m2k))/'TCO Inputs'!$AZ$84</f>
        <v>78.864224822138027</v>
      </c>
      <c r="DT136" s="125">
        <f>DT25/293.07*(1/(VLOOKUP($BM136,'Fuel economy adjusted factor'!$A$2:$L$52,5,FALSE)*m2k))/'TCO Inputs'!$AZ$84</f>
        <v>78.904907810888389</v>
      </c>
      <c r="DU136" s="98" cm="1">
        <f t="array" ref="DU136">SUMPRODUCT(INDEX(CS136:DT136,,'TCO Inputs'!$AZ$12-2023+_xlfn.SEQUENCE('TCO Inputs'!$AZ$13))*INDEX('VKT US'!C82:AA82,,_xlfn.SEQUENCE('TCO Inputs'!$AZ$13)))*m2k*CONVERT(0.9072,"g","ton")</f>
        <v>22.504943879328916</v>
      </c>
      <c r="DW136" s="123" t="s">
        <v>202</v>
      </c>
      <c r="DX136" s="125">
        <f>DX25/293.07*(1/(VLOOKUP($BM136,'Fuel economy adjusted factor'!$A$2:$L$52,5,FALSE)*m2k))/'TCO Inputs'!$AZ$84</f>
        <v>82.601532807991006</v>
      </c>
      <c r="DY136" s="125">
        <f>DY25/293.07*(1/(VLOOKUP($BM136,'Fuel economy adjusted factor'!$A$2:$L$52,5,FALSE)*m2k))/'TCO Inputs'!$AZ$84</f>
        <v>82.601532807991006</v>
      </c>
      <c r="DZ136" s="125">
        <f>DZ25/293.07*(1/(VLOOKUP($BM136,'Fuel economy adjusted factor'!$A$2:$L$52,5,FALSE)*m2k))/'TCO Inputs'!$AZ$84</f>
        <v>72.408527375462242</v>
      </c>
      <c r="EA136" s="125">
        <f>EA25/293.07*(1/(VLOOKUP($BM136,'Fuel economy adjusted factor'!$A$2:$L$52,5,FALSE)*m2k))/'TCO Inputs'!$AZ$84</f>
        <v>72.408527375462242</v>
      </c>
      <c r="EB136" s="125">
        <f>EB25/293.07*(1/(VLOOKUP($BM136,'Fuel economy adjusted factor'!$A$2:$L$52,5,FALSE)*m2k))/'TCO Inputs'!$AZ$84</f>
        <v>72.408527375462242</v>
      </c>
      <c r="EC136" s="125">
        <f>EC25/293.07*(1/(VLOOKUP($BM136,'Fuel economy adjusted factor'!$A$2:$L$52,5,FALSE)*m2k))/'TCO Inputs'!$AZ$84</f>
        <v>72.408527375462242</v>
      </c>
      <c r="ED136" s="125">
        <f>ED25/293.07*(1/(VLOOKUP($BM136,'Fuel economy adjusted factor'!$A$2:$L$52,5,FALSE)*m2k))/'TCO Inputs'!$AZ$84</f>
        <v>72.408527375462242</v>
      </c>
      <c r="EE136" s="125">
        <f>EE25/293.07*(1/(VLOOKUP($BM136,'Fuel economy adjusted factor'!$A$2:$L$52,5,FALSE)*m2k))/'TCO Inputs'!$AZ$84</f>
        <v>44.627996401852627</v>
      </c>
      <c r="EF136" s="125">
        <f>EF25/293.07*(1/(VLOOKUP($BM136,'Fuel economy adjusted factor'!$A$2:$L$52,5,FALSE)*m2k))/'TCO Inputs'!$AZ$84</f>
        <v>44.627996401852627</v>
      </c>
      <c r="EG136" s="125">
        <f>EG25/293.07*(1/(VLOOKUP($BM136,'Fuel economy adjusted factor'!$A$2:$L$52,5,FALSE)*m2k))/'TCO Inputs'!$AZ$84</f>
        <v>44.627996401852627</v>
      </c>
      <c r="EH136" s="125">
        <f>EH25/293.07*(1/(VLOOKUP($BM136,'Fuel economy adjusted factor'!$A$2:$L$52,5,FALSE)*m2k))/'TCO Inputs'!$AZ$84</f>
        <v>44.627996401852627</v>
      </c>
      <c r="EI136" s="125">
        <f>EI25/293.07*(1/(VLOOKUP($BM136,'Fuel economy adjusted factor'!$A$2:$L$52,5,FALSE)*m2k))/'TCO Inputs'!$AZ$84</f>
        <v>44.627996401852627</v>
      </c>
      <c r="EJ136" s="125">
        <f>EJ25/293.07*(1/(VLOOKUP($BM136,'Fuel economy adjusted factor'!$A$2:$L$52,5,FALSE)*m2k))/'TCO Inputs'!$AZ$84</f>
        <v>39.85804445025046</v>
      </c>
      <c r="EK136" s="125">
        <f>EK25/293.07*(1/(VLOOKUP($BM136,'Fuel economy adjusted factor'!$A$2:$L$52,5,FALSE)*m2k))/'TCO Inputs'!$AZ$84</f>
        <v>39.85804445025046</v>
      </c>
      <c r="EL136" s="125">
        <f>EL25/293.07*(1/(VLOOKUP($BM136,'Fuel economy adjusted factor'!$A$2:$L$52,5,FALSE)*m2k))/'TCO Inputs'!$AZ$84</f>
        <v>39.85804445025046</v>
      </c>
      <c r="EM136" s="125">
        <f>EM25/293.07*(1/(VLOOKUP($BM136,'Fuel economy adjusted factor'!$A$2:$L$52,5,FALSE)*m2k))/'TCO Inputs'!$AZ$84</f>
        <v>39.85804445025046</v>
      </c>
      <c r="EN136" s="125">
        <f>EN25/293.07*(1/(VLOOKUP($BM136,'Fuel economy adjusted factor'!$A$2:$L$52,5,FALSE)*m2k))/'TCO Inputs'!$AZ$84</f>
        <v>39.85804445025046</v>
      </c>
      <c r="EO136" s="125">
        <f>EO25/293.07*(1/(VLOOKUP($BM136,'Fuel economy adjusted factor'!$A$2:$L$52,5,FALSE)*m2k))/'TCO Inputs'!$AZ$84</f>
        <v>38.60353006012356</v>
      </c>
      <c r="EP136" s="125">
        <f>EP25/293.07*(1/(VLOOKUP($BM136,'Fuel economy adjusted factor'!$A$2:$L$52,5,FALSE)*m2k))/'TCO Inputs'!$AZ$84</f>
        <v>38.60353006012356</v>
      </c>
      <c r="EQ136" s="125">
        <f>EQ25/293.07*(1/(VLOOKUP($BM136,'Fuel economy adjusted factor'!$A$2:$L$52,5,FALSE)*m2k))/'TCO Inputs'!$AZ$84</f>
        <v>38.60353006012356</v>
      </c>
      <c r="ER136" s="125">
        <f>ER25/293.07*(1/(VLOOKUP($BM136,'Fuel economy adjusted factor'!$A$2:$L$52,5,FALSE)*m2k))/'TCO Inputs'!$AZ$84</f>
        <v>38.60353006012356</v>
      </c>
      <c r="ES136" s="125">
        <f>ES25/293.07*(1/(VLOOKUP($BM136,'Fuel economy adjusted factor'!$A$2:$L$52,5,FALSE)*m2k))/'TCO Inputs'!$AZ$84</f>
        <v>38.60353006012356</v>
      </c>
      <c r="ET136" s="125">
        <f>ET25/293.07*(1/(VLOOKUP($BM136,'Fuel economy adjusted factor'!$A$2:$L$52,5,FALSE)*m2k))/'TCO Inputs'!$AZ$84</f>
        <v>37.17023368710899</v>
      </c>
      <c r="EU136" s="125">
        <f>EU25/293.07*(1/(VLOOKUP($BM136,'Fuel economy adjusted factor'!$A$2:$L$52,5,FALSE)*m2k))/'TCO Inputs'!$AZ$84</f>
        <v>37.17023368710899</v>
      </c>
      <c r="EV136" s="125">
        <f>EV25/293.07*(1/(VLOOKUP($BM136,'Fuel economy adjusted factor'!$A$2:$L$52,5,FALSE)*m2k))/'TCO Inputs'!$AZ$84</f>
        <v>37.17023368710899</v>
      </c>
      <c r="EW136" s="125">
        <f>EW25/293.07*(1/(VLOOKUP($BM136,'Fuel economy adjusted factor'!$A$2:$L$52,5,FALSE)*m2k))/'TCO Inputs'!$AZ$84</f>
        <v>37.17023368710899</v>
      </c>
      <c r="EX136" s="125">
        <f>EX25/293.07*(1/(VLOOKUP($BM136,'Fuel economy adjusted factor'!$A$2:$L$52,5,FALSE)*m2k))/'TCO Inputs'!$AZ$84</f>
        <v>37.17023368710899</v>
      </c>
      <c r="EY136" s="125">
        <f>EY25/293.07*(1/(VLOOKUP($BM136,'Fuel economy adjusted factor'!$A$2:$L$52,5,FALSE)*m2k))/'TCO Inputs'!$AZ$84</f>
        <v>34.92268875937804</v>
      </c>
      <c r="EZ136" s="98" cm="1">
        <f t="array" ref="EZ136">SUMPRODUCT(INDEX(DX136:EY136,,'TCO Inputs'!$AZ$12-2023+_xlfn.SEQUENCE('TCO Inputs'!$AZ$13))*INDEX('VKT US'!C82:AA82,,_xlfn.SEQUENCE('TCO Inputs'!$AZ$13)))*m2k*CONVERT(0.9072,"g","ton")</f>
        <v>17.414603438486171</v>
      </c>
      <c r="FB136" s="123" t="s">
        <v>202</v>
      </c>
      <c r="FC136" s="125">
        <f>FC25/293.07*(1/(VLOOKUP($BM136,'Fuel economy adjusted factor'!$A$2:$L$52,5,FALSE)*m2k))/'TCO Inputs'!$AZ$84</f>
        <v>89.593489404054466</v>
      </c>
      <c r="FD136" s="125">
        <f>FD25/293.07*(1/(VLOOKUP($BM136,'Fuel economy adjusted factor'!$A$2:$L$52,5,FALSE)*m2k))/'TCO Inputs'!$AZ$84</f>
        <v>89.593489404054466</v>
      </c>
      <c r="FE136" s="125">
        <f>FE25/293.07*(1/(VLOOKUP($BM136,'Fuel economy adjusted factor'!$A$2:$L$52,5,FALSE)*m2k))/'TCO Inputs'!$AZ$84</f>
        <v>78.242049694651385</v>
      </c>
      <c r="FF136" s="125">
        <f>FF25/293.07*(1/(VLOOKUP($BM136,'Fuel economy adjusted factor'!$A$2:$L$52,5,FALSE)*m2k))/'TCO Inputs'!$AZ$84</f>
        <v>78.242049694651385</v>
      </c>
      <c r="FG136" s="125">
        <f>FG25/293.07*(1/(VLOOKUP($BM136,'Fuel economy adjusted factor'!$A$2:$L$52,5,FALSE)*m2k))/'TCO Inputs'!$AZ$84</f>
        <v>78.242049694651385</v>
      </c>
      <c r="FH136" s="125">
        <f>FH25/293.07*(1/(VLOOKUP($BM136,'Fuel economy adjusted factor'!$A$2:$L$52,5,FALSE)*m2k))/'TCO Inputs'!$AZ$84</f>
        <v>78.242049694651385</v>
      </c>
      <c r="FI136" s="125">
        <f>FI25/293.07*(1/(VLOOKUP($BM136,'Fuel economy adjusted factor'!$A$2:$L$52,5,FALSE)*m2k))/'TCO Inputs'!$AZ$84</f>
        <v>78.242049694651385</v>
      </c>
      <c r="FJ136" s="125">
        <f>FJ25/293.07*(1/(VLOOKUP($BM136,'Fuel economy adjusted factor'!$A$2:$L$52,5,FALSE)*m2k))/'TCO Inputs'!$AZ$84</f>
        <v>49.098762178010091</v>
      </c>
      <c r="FK136" s="125">
        <f>FK25/293.07*(1/(VLOOKUP($BM136,'Fuel economy adjusted factor'!$A$2:$L$52,5,FALSE)*m2k))/'TCO Inputs'!$AZ$84</f>
        <v>49.098762178010091</v>
      </c>
      <c r="FL136" s="125">
        <f>FL25/293.07*(1/(VLOOKUP($BM136,'Fuel economy adjusted factor'!$A$2:$L$52,5,FALSE)*m2k))/'TCO Inputs'!$AZ$84</f>
        <v>49.098762178010091</v>
      </c>
      <c r="FM136" s="125">
        <f>FM25/293.07*(1/(VLOOKUP($BM136,'Fuel economy adjusted factor'!$A$2:$L$52,5,FALSE)*m2k))/'TCO Inputs'!$AZ$84</f>
        <v>49.098762178010091</v>
      </c>
      <c r="FN136" s="125">
        <f>FN25/293.07*(1/(VLOOKUP($BM136,'Fuel economy adjusted factor'!$A$2:$L$52,5,FALSE)*m2k))/'TCO Inputs'!$AZ$84</f>
        <v>49.098762178010091</v>
      </c>
      <c r="FO136" s="125">
        <f>FO25/293.07*(1/(VLOOKUP($BM136,'Fuel economy adjusted factor'!$A$2:$L$52,5,FALSE)*m2k))/'TCO Inputs'!$AZ$84</f>
        <v>43.597263541326662</v>
      </c>
      <c r="FP136" s="125">
        <f>FP25/293.07*(1/(VLOOKUP($BM136,'Fuel economy adjusted factor'!$A$2:$L$52,5,FALSE)*m2k))/'TCO Inputs'!$AZ$84</f>
        <v>43.597263541326662</v>
      </c>
      <c r="FQ136" s="125">
        <f>FQ25/293.07*(1/(VLOOKUP($BM136,'Fuel economy adjusted factor'!$A$2:$L$52,5,FALSE)*m2k))/'TCO Inputs'!$AZ$84</f>
        <v>43.597263541326662</v>
      </c>
      <c r="FR136" s="125">
        <f>FR25/293.07*(1/(VLOOKUP($BM136,'Fuel economy adjusted factor'!$A$2:$L$52,5,FALSE)*m2k))/'TCO Inputs'!$AZ$84</f>
        <v>43.597263541326662</v>
      </c>
      <c r="FS136" s="125">
        <f>FS25/293.07*(1/(VLOOKUP($BM136,'Fuel economy adjusted factor'!$A$2:$L$52,5,FALSE)*m2k))/'TCO Inputs'!$AZ$84</f>
        <v>43.597263541326662</v>
      </c>
      <c r="FT136" s="125">
        <f>FT25/293.07*(1/(VLOOKUP($BM136,'Fuel economy adjusted factor'!$A$2:$L$52,5,FALSE)*m2k))/'TCO Inputs'!$AZ$84</f>
        <v>42.487477423061243</v>
      </c>
      <c r="FU136" s="125">
        <f>FU25/293.07*(1/(VLOOKUP($BM136,'Fuel economy adjusted factor'!$A$2:$L$52,5,FALSE)*m2k))/'TCO Inputs'!$AZ$84</f>
        <v>42.487477423061243</v>
      </c>
      <c r="FV136" s="125">
        <f>FV25/293.07*(1/(VLOOKUP($BM136,'Fuel economy adjusted factor'!$A$2:$L$52,5,FALSE)*m2k))/'TCO Inputs'!$AZ$84</f>
        <v>42.487477423061243</v>
      </c>
      <c r="FW136" s="125">
        <f>FW25/293.07*(1/(VLOOKUP($BM136,'Fuel economy adjusted factor'!$A$2:$L$52,5,FALSE)*m2k))/'TCO Inputs'!$AZ$84</f>
        <v>42.487477423061243</v>
      </c>
      <c r="FX136" s="125">
        <f>FX25/293.07*(1/(VLOOKUP($BM136,'Fuel economy adjusted factor'!$A$2:$L$52,5,FALSE)*m2k))/'TCO Inputs'!$AZ$84</f>
        <v>42.487477423061243</v>
      </c>
      <c r="FY136" s="125">
        <f>FY25/293.07*(1/(VLOOKUP($BM136,'Fuel economy adjusted factor'!$A$2:$L$52,5,FALSE)*m2k))/'TCO Inputs'!$AZ$84</f>
        <v>41.051140540133602</v>
      </c>
      <c r="FZ136" s="125">
        <f>FZ25/293.07*(1/(VLOOKUP($BM136,'Fuel economy adjusted factor'!$A$2:$L$52,5,FALSE)*m2k))/'TCO Inputs'!$AZ$84</f>
        <v>41.051140540133602</v>
      </c>
      <c r="GA136" s="125">
        <f>GA25/293.07*(1/(VLOOKUP($BM136,'Fuel economy adjusted factor'!$A$2:$L$52,5,FALSE)*m2k))/'TCO Inputs'!$AZ$84</f>
        <v>41.051140540133602</v>
      </c>
      <c r="GB136" s="125">
        <f>GB25/293.07*(1/(VLOOKUP($BM136,'Fuel economy adjusted factor'!$A$2:$L$52,5,FALSE)*m2k))/'TCO Inputs'!$AZ$84</f>
        <v>41.051140540133602</v>
      </c>
      <c r="GC136" s="125">
        <f>GC25/293.07*(1/(VLOOKUP($BM136,'Fuel economy adjusted factor'!$A$2:$L$52,5,FALSE)*m2k))/'TCO Inputs'!$AZ$84</f>
        <v>41.051140540133602</v>
      </c>
      <c r="GD136" s="125">
        <f>GD25/293.07*(1/(VLOOKUP($BM136,'Fuel economy adjusted factor'!$A$2:$L$52,5,FALSE)*m2k))/'TCO Inputs'!$AZ$84</f>
        <v>38.725758558628414</v>
      </c>
      <c r="GE136" s="98" cm="1">
        <f t="array" ref="GE136">SUMPRODUCT(INDEX(FC136:GD136,,'TCO Inputs'!$AZ$12-2023+_xlfn.SEQUENCE('TCO Inputs'!$AZ$13))*INDEX('VKT US'!C82:AA82,,_xlfn.SEQUENCE('TCO Inputs'!$AZ$13)))*m2k*CONVERT(0.9072,"g","ton")</f>
        <v>18.934264163728663</v>
      </c>
      <c r="GH136" s="123" t="s">
        <v>202</v>
      </c>
      <c r="GI136" s="125">
        <f>GI25/293.07*(1/(VLOOKUP($BM136,'Fuel economy adjusted factor'!$A$2:$L$52,5,FALSE)*m2k))/'TCO Inputs'!$AZ$84</f>
        <v>77.842526692075836</v>
      </c>
      <c r="GJ136" s="125">
        <f>GJ25/293.07*(1/(VLOOKUP($BM136,'Fuel economy adjusted factor'!$A$2:$L$52,5,FALSE)*m2k))/'TCO Inputs'!$AZ$84</f>
        <v>77.842526692075836</v>
      </c>
      <c r="GK136" s="125">
        <f>GK25/293.07*(1/(VLOOKUP($BM136,'Fuel economy adjusted factor'!$A$2:$L$52,5,FALSE)*m2k))/'TCO Inputs'!$AZ$84</f>
        <v>68.438229530993766</v>
      </c>
      <c r="GL136" s="125">
        <f>GL25/293.07*(1/(VLOOKUP($BM136,'Fuel economy adjusted factor'!$A$2:$L$52,5,FALSE)*m2k))/'TCO Inputs'!$AZ$84</f>
        <v>68.438229530993766</v>
      </c>
      <c r="GM136" s="125">
        <f>GM25/293.07*(1/(VLOOKUP($BM136,'Fuel economy adjusted factor'!$A$2:$L$52,5,FALSE)*m2k))/'TCO Inputs'!$AZ$84</f>
        <v>68.438229530993766</v>
      </c>
      <c r="GN136" s="125">
        <f>GN25/293.07*(1/(VLOOKUP($BM136,'Fuel economy adjusted factor'!$A$2:$L$52,5,FALSE)*m2k))/'TCO Inputs'!$AZ$84</f>
        <v>68.438229530993766</v>
      </c>
      <c r="GO136" s="125">
        <f>GO25/293.07*(1/(VLOOKUP($BM136,'Fuel economy adjusted factor'!$A$2:$L$52,5,FALSE)*m2k))/'TCO Inputs'!$AZ$84</f>
        <v>68.438229530993766</v>
      </c>
      <c r="GP136" s="125">
        <f>GP25/293.07*(1/(VLOOKUP($BM136,'Fuel economy adjusted factor'!$A$2:$L$52,5,FALSE)*m2k))/'TCO Inputs'!$AZ$84</f>
        <v>41.585054080866236</v>
      </c>
      <c r="GQ136" s="125">
        <f>GQ25/293.07*(1/(VLOOKUP($BM136,'Fuel economy adjusted factor'!$A$2:$L$52,5,FALSE)*m2k))/'TCO Inputs'!$AZ$84</f>
        <v>41.585054080866236</v>
      </c>
      <c r="GR136" s="125">
        <f>GR25/293.07*(1/(VLOOKUP($BM136,'Fuel economy adjusted factor'!$A$2:$L$52,5,FALSE)*m2k))/'TCO Inputs'!$AZ$84</f>
        <v>41.585054080866236</v>
      </c>
      <c r="GS136" s="125">
        <f>GS25/293.07*(1/(VLOOKUP($BM136,'Fuel economy adjusted factor'!$A$2:$L$52,5,FALSE)*m2k))/'TCO Inputs'!$AZ$84</f>
        <v>41.585054080866236</v>
      </c>
      <c r="GT136" s="125">
        <f>GT25/293.07*(1/(VLOOKUP($BM136,'Fuel economy adjusted factor'!$A$2:$L$52,5,FALSE)*m2k))/'TCO Inputs'!$AZ$84</f>
        <v>41.585054080866236</v>
      </c>
      <c r="GU136" s="125">
        <f>GU25/293.07*(1/(VLOOKUP($BM136,'Fuel economy adjusted factor'!$A$2:$L$52,5,FALSE)*m2k))/'TCO Inputs'!$AZ$84</f>
        <v>37.313137653022629</v>
      </c>
      <c r="GV136" s="125">
        <f>GV25/293.07*(1/(VLOOKUP($BM136,'Fuel economy adjusted factor'!$A$2:$L$52,5,FALSE)*m2k))/'TCO Inputs'!$AZ$84</f>
        <v>37.313137653022629</v>
      </c>
      <c r="GW136" s="125">
        <f>GW25/293.07*(1/(VLOOKUP($BM136,'Fuel economy adjusted factor'!$A$2:$L$52,5,FALSE)*m2k))/'TCO Inputs'!$AZ$84</f>
        <v>37.313137653022629</v>
      </c>
      <c r="GX136" s="125">
        <f>GX25/293.07*(1/(VLOOKUP($BM136,'Fuel economy adjusted factor'!$A$2:$L$52,5,FALSE)*m2k))/'TCO Inputs'!$AZ$84</f>
        <v>37.313137653022629</v>
      </c>
      <c r="GY136" s="125">
        <f>GY25/293.07*(1/(VLOOKUP($BM136,'Fuel economy adjusted factor'!$A$2:$L$52,5,FALSE)*m2k))/'TCO Inputs'!$AZ$84</f>
        <v>37.313137653022629</v>
      </c>
      <c r="GZ136" s="125">
        <f>GZ25/293.07*(1/(VLOOKUP($BM136,'Fuel economy adjusted factor'!$A$2:$L$52,5,FALSE)*m2k))/'TCO Inputs'!$AZ$84</f>
        <v>35.960110741712725</v>
      </c>
      <c r="HA136" s="125">
        <f>HA25/293.07*(1/(VLOOKUP($BM136,'Fuel economy adjusted factor'!$A$2:$L$52,5,FALSE)*m2k))/'TCO Inputs'!$AZ$84</f>
        <v>35.960110741712725</v>
      </c>
      <c r="HB136" s="125">
        <f>HB25/293.07*(1/(VLOOKUP($BM136,'Fuel economy adjusted factor'!$A$2:$L$52,5,FALSE)*m2k))/'TCO Inputs'!$AZ$84</f>
        <v>35.960110741712725</v>
      </c>
      <c r="HC136" s="125">
        <f>HC25/293.07*(1/(VLOOKUP($BM136,'Fuel economy adjusted factor'!$A$2:$L$52,5,FALSE)*m2k))/'TCO Inputs'!$AZ$84</f>
        <v>35.960110741712725</v>
      </c>
      <c r="HD136" s="125">
        <f>HD25/293.07*(1/(VLOOKUP($BM136,'Fuel economy adjusted factor'!$A$2:$L$52,5,FALSE)*m2k))/'TCO Inputs'!$AZ$84</f>
        <v>35.960110741712725</v>
      </c>
      <c r="HE136" s="125">
        <f>HE25/293.07*(1/(VLOOKUP($BM136,'Fuel economy adjusted factor'!$A$2:$L$52,5,FALSE)*m2k))/'TCO Inputs'!$AZ$84</f>
        <v>34.52863867464599</v>
      </c>
      <c r="HF136" s="125">
        <f>HF25/293.07*(1/(VLOOKUP($BM136,'Fuel economy adjusted factor'!$A$2:$L$52,5,FALSE)*m2k))/'TCO Inputs'!$AZ$84</f>
        <v>34.52863867464599</v>
      </c>
      <c r="HG136" s="125">
        <f>HG25/293.07*(1/(VLOOKUP($BM136,'Fuel economy adjusted factor'!$A$2:$L$52,5,FALSE)*m2k))/'TCO Inputs'!$AZ$84</f>
        <v>34.52863867464599</v>
      </c>
      <c r="HH136" s="125">
        <f>HH25/293.07*(1/(VLOOKUP($BM136,'Fuel economy adjusted factor'!$A$2:$L$52,5,FALSE)*m2k))/'TCO Inputs'!$AZ$84</f>
        <v>34.52863867464599</v>
      </c>
      <c r="HI136" s="125">
        <f>HI25/293.07*(1/(VLOOKUP($BM136,'Fuel economy adjusted factor'!$A$2:$L$52,5,FALSE)*m2k))/'TCO Inputs'!$AZ$84</f>
        <v>34.52863867464599</v>
      </c>
      <c r="HJ136" s="125">
        <f>HJ25/293.07*(1/(VLOOKUP($BM136,'Fuel economy adjusted factor'!$A$2:$L$52,5,FALSE)*m2k))/'TCO Inputs'!$AZ$84</f>
        <v>32.334606721384816</v>
      </c>
      <c r="HK136" s="98" cm="1">
        <f t="array" ref="HK136">SUMPRODUCT(INDEX(GI136:HJ136,,'TCO Inputs'!$AZ$12-2023+_xlfn.SEQUENCE('TCO Inputs'!$AZ$13))*INDEX('VKT US'!C82:AA82,,_xlfn.SEQUENCE('TCO Inputs'!$AZ$13)))*m2k*CONVERT(0.9072,"g","ton")</f>
        <v>16.38029565169985</v>
      </c>
    </row>
    <row r="137" spans="17:219" x14ac:dyDescent="0.25">
      <c r="Z137" s="123" t="s">
        <v>201</v>
      </c>
      <c r="AA137" s="125">
        <f>AA26/293.07*(1/(VLOOKUP($Z137,'Fuel economy adjusted factor'!$A$2:$L$52,5,FALSE)*m2k))/'TCO Inputs'!$AZ$84</f>
        <v>103.12775102356734</v>
      </c>
      <c r="AB137" s="125">
        <f>AB26/293.07*(1/(VLOOKUP($Z137,'Fuel economy adjusted factor'!$A$2:$L$52,5,FALSE)*m2k))/'TCO Inputs'!$AZ$84</f>
        <v>103.12775102356734</v>
      </c>
      <c r="AC137" s="125">
        <f>AC26/293.07*(1/(VLOOKUP($Z137,'Fuel economy adjusted factor'!$A$2:$L$52,5,FALSE)*m2k))/'TCO Inputs'!$AZ$84</f>
        <v>90.700221621393169</v>
      </c>
      <c r="AD137" s="125">
        <f>AD26/293.07*(1/(VLOOKUP($Z137,'Fuel economy adjusted factor'!$A$2:$L$52,5,FALSE)*m2k))/'TCO Inputs'!$AZ$84</f>
        <v>90.700221621393169</v>
      </c>
      <c r="AE137" s="125">
        <f>AE26/293.07*(1/(VLOOKUP($Z137,'Fuel economy adjusted factor'!$A$2:$L$52,5,FALSE)*m2k))/'TCO Inputs'!$AZ$84</f>
        <v>90.700221621393169</v>
      </c>
      <c r="AF137" s="125">
        <f>AF26/293.07*(1/(VLOOKUP($Z137,'Fuel economy adjusted factor'!$A$2:$L$52,5,FALSE)*m2k))/'TCO Inputs'!$AZ$84</f>
        <v>90.700221621393169</v>
      </c>
      <c r="AG137" s="125">
        <f>AG26/293.07*(1/(VLOOKUP($Z137,'Fuel economy adjusted factor'!$A$2:$L$52,5,FALSE)*m2k))/'TCO Inputs'!$AZ$84</f>
        <v>90.700221621393169</v>
      </c>
      <c r="AH137" s="125">
        <f>AH26/293.07*(1/(VLOOKUP($Z137,'Fuel economy adjusted factor'!$A$2:$L$52,5,FALSE)*m2k))/'TCO Inputs'!$AZ$84</f>
        <v>54.496111217438312</v>
      </c>
      <c r="AI137" s="125">
        <f>AI26/293.07*(1/(VLOOKUP($Z137,'Fuel economy adjusted factor'!$A$2:$L$52,5,FALSE)*m2k))/'TCO Inputs'!$AZ$84</f>
        <v>54.496111217438312</v>
      </c>
      <c r="AJ137" s="125">
        <f>AJ26/293.07*(1/(VLOOKUP($Z137,'Fuel economy adjusted factor'!$A$2:$L$52,5,FALSE)*m2k))/'TCO Inputs'!$AZ$84</f>
        <v>54.496111217438312</v>
      </c>
      <c r="AK137" s="125">
        <f>AK26/293.07*(1/(VLOOKUP($Z137,'Fuel economy adjusted factor'!$A$2:$L$52,5,FALSE)*m2k))/'TCO Inputs'!$AZ$84</f>
        <v>54.496111217438312</v>
      </c>
      <c r="AL137" s="125">
        <f>AL26/293.07*(1/(VLOOKUP($Z137,'Fuel economy adjusted factor'!$A$2:$L$52,5,FALSE)*m2k))/'TCO Inputs'!$AZ$84</f>
        <v>54.496111217438312</v>
      </c>
      <c r="AM137" s="125">
        <f>AM26/293.07*(1/(VLOOKUP($Z137,'Fuel economy adjusted factor'!$A$2:$L$52,5,FALSE)*m2k))/'TCO Inputs'!$AZ$84</f>
        <v>57.028984288022762</v>
      </c>
      <c r="AN137" s="125">
        <f>AN26/293.07*(1/(VLOOKUP($Z137,'Fuel economy adjusted factor'!$A$2:$L$52,5,FALSE)*m2k))/'TCO Inputs'!$AZ$84</f>
        <v>57.028984288022762</v>
      </c>
      <c r="AO137" s="125">
        <f>AO26/293.07*(1/(VLOOKUP($Z137,'Fuel economy adjusted factor'!$A$2:$L$52,5,FALSE)*m2k))/'TCO Inputs'!$AZ$84</f>
        <v>57.028984288022762</v>
      </c>
      <c r="AP137" s="125">
        <f>AP26/293.07*(1/(VLOOKUP($Z137,'Fuel economy adjusted factor'!$A$2:$L$52,5,FALSE)*m2k))/'TCO Inputs'!$AZ$84</f>
        <v>57.028984288022762</v>
      </c>
      <c r="AQ137" s="125">
        <f>AQ26/293.07*(1/(VLOOKUP($Z137,'Fuel economy adjusted factor'!$A$2:$L$52,5,FALSE)*m2k))/'TCO Inputs'!$AZ$84</f>
        <v>57.028984288022762</v>
      </c>
      <c r="AR137" s="125">
        <f>AR26/293.07*(1/(VLOOKUP($Z137,'Fuel economy adjusted factor'!$A$2:$L$52,5,FALSE)*m2k))/'TCO Inputs'!$AZ$84</f>
        <v>59.615105709949894</v>
      </c>
      <c r="AS137" s="125">
        <f>AS26/293.07*(1/(VLOOKUP($Z137,'Fuel economy adjusted factor'!$A$2:$L$52,5,FALSE)*m2k))/'TCO Inputs'!$AZ$84</f>
        <v>59.615105709949894</v>
      </c>
      <c r="AT137" s="125">
        <f>AT26/293.07*(1/(VLOOKUP($Z137,'Fuel economy adjusted factor'!$A$2:$L$52,5,FALSE)*m2k))/'TCO Inputs'!$AZ$84</f>
        <v>59.615105709949894</v>
      </c>
      <c r="AU137" s="125">
        <f>AU26/293.07*(1/(VLOOKUP($Z137,'Fuel economy adjusted factor'!$A$2:$L$52,5,FALSE)*m2k))/'TCO Inputs'!$AZ$84</f>
        <v>59.615105709949894</v>
      </c>
      <c r="AV137" s="125">
        <f>AV26/293.07*(1/(VLOOKUP($Z137,'Fuel economy adjusted factor'!$A$2:$L$52,5,FALSE)*m2k))/'TCO Inputs'!$AZ$84</f>
        <v>59.615105709949894</v>
      </c>
      <c r="AW137" s="125">
        <f>AW26/293.07*(1/(VLOOKUP($Z137,'Fuel economy adjusted factor'!$A$2:$L$52,5,FALSE)*m2k))/'TCO Inputs'!$AZ$84</f>
        <v>60.923266699652459</v>
      </c>
      <c r="AX137" s="125">
        <f>AX26/293.07*(1/(VLOOKUP($Z137,'Fuel economy adjusted factor'!$A$2:$L$52,5,FALSE)*m2k))/'TCO Inputs'!$AZ$84</f>
        <v>60.923266699652459</v>
      </c>
      <c r="AY137" s="125">
        <f>AY26/293.07*(1/(VLOOKUP($Z137,'Fuel economy adjusted factor'!$A$2:$L$52,5,FALSE)*m2k))/'TCO Inputs'!$AZ$84</f>
        <v>60.923266699652459</v>
      </c>
      <c r="AZ137" s="125">
        <f>AZ26/293.07*(1/(VLOOKUP($Z137,'Fuel economy adjusted factor'!$A$2:$L$52,5,FALSE)*m2k))/'TCO Inputs'!$AZ$84</f>
        <v>60.923266699652459</v>
      </c>
      <c r="BA137" s="125">
        <f>BA26/293.07*(1/(VLOOKUP($Z137,'Fuel economy adjusted factor'!$A$2:$L$52,5,FALSE)*m2k))/'TCO Inputs'!$AZ$84</f>
        <v>60.923266699652459</v>
      </c>
      <c r="BB137" s="125">
        <f>BB26/293.07*(1/(VLOOKUP($Z137,'Fuel economy adjusted factor'!$A$2:$L$52,5,FALSE)*m2k))/'TCO Inputs'!$AZ$84</f>
        <v>61.005920856960522</v>
      </c>
      <c r="BC137" s="98" cm="1">
        <f t="array" ref="BC137">SUMPRODUCT(INDEX(AA137:BB137,,'TCO Inputs'!$AZ$12-2023+_xlfn.SEQUENCE('TCO Inputs'!$AZ$13))*INDEX('VKT US'!C83:AA83,,_xlfn.SEQUENCE('TCO Inputs'!$AZ$13)))*m2k*CONVERT(0.9072,"g","ton")</f>
        <v>21.289388347024932</v>
      </c>
      <c r="BM137" s="123" t="s">
        <v>201</v>
      </c>
      <c r="BN137" s="125">
        <f>BN26/293.07*(1/(VLOOKUP($BM137,'Fuel economy adjusted factor'!$A$2:$L$52,5,FALSE)*m2k))</f>
        <v>87.658588370032234</v>
      </c>
      <c r="BO137" s="125">
        <f>BO26/293.07*(1/(VLOOKUP($BM137,'Fuel economy adjusted factor'!$A$2:$L$52,5,FALSE)*m2k))</f>
        <v>87.658588370032234</v>
      </c>
      <c r="BP137" s="125">
        <f>BP26/293.07*(1/(VLOOKUP($BM137,'Fuel economy adjusted factor'!$A$2:$L$52,5,FALSE)*m2k))</f>
        <v>76.994533099116254</v>
      </c>
      <c r="BQ137" s="125">
        <f>BQ26/293.07*(1/(VLOOKUP($BM137,'Fuel economy adjusted factor'!$A$2:$L$52,5,FALSE)*m2k))</f>
        <v>76.994533099116254</v>
      </c>
      <c r="BR137" s="125">
        <f>BR26/293.07*(1/(VLOOKUP($BM137,'Fuel economy adjusted factor'!$A$2:$L$52,5,FALSE)*m2k))</f>
        <v>76.994533099116254</v>
      </c>
      <c r="BS137" s="125">
        <f>BS26/293.07*(1/(VLOOKUP($BM137,'Fuel economy adjusted factor'!$A$2:$L$52,5,FALSE)*m2k))</f>
        <v>76.994533099116254</v>
      </c>
      <c r="BT137" s="125">
        <f>BT26/293.07*(1/(VLOOKUP($BM137,'Fuel economy adjusted factor'!$A$2:$L$52,5,FALSE)*m2k))</f>
        <v>76.994533099116254</v>
      </c>
      <c r="BU137" s="125">
        <f>BU26/293.07*(1/(VLOOKUP($BM137,'Fuel economy adjusted factor'!$A$2:$L$52,5,FALSE)*m2k))</f>
        <v>87.278260033688284</v>
      </c>
      <c r="BV137" s="125">
        <f>BV26/293.07*(1/(VLOOKUP($BM137,'Fuel economy adjusted factor'!$A$2:$L$52,5,FALSE)*m2k))</f>
        <v>87.278260033688284</v>
      </c>
      <c r="BW137" s="125">
        <f>BW26/293.07*(1/(VLOOKUP($BM137,'Fuel economy adjusted factor'!$A$2:$L$52,5,FALSE)*m2k))</f>
        <v>87.278260033688284</v>
      </c>
      <c r="BX137" s="125">
        <f>BX26/293.07*(1/(VLOOKUP($BM137,'Fuel economy adjusted factor'!$A$2:$L$52,5,FALSE)*m2k))</f>
        <v>87.278260033688284</v>
      </c>
      <c r="BY137" s="125">
        <f>BY26/293.07*(1/(VLOOKUP($BM137,'Fuel economy adjusted factor'!$A$2:$L$52,5,FALSE)*m2k))</f>
        <v>87.278260033688284</v>
      </c>
      <c r="BZ137" s="125">
        <f>BZ26/293.07*(1/(VLOOKUP($BM137,'Fuel economy adjusted factor'!$A$2:$L$52,5,FALSE)*m2k))</f>
        <v>89.377159040829795</v>
      </c>
      <c r="CA137" s="125">
        <f>CA26/293.07*(1/(VLOOKUP($BM137,'Fuel economy adjusted factor'!$A$2:$L$52,5,FALSE)*m2k))</f>
        <v>89.377159040829795</v>
      </c>
      <c r="CB137" s="125">
        <f>CB26/293.07*(1/(VLOOKUP($BM137,'Fuel economy adjusted factor'!$A$2:$L$52,5,FALSE)*m2k))</f>
        <v>89.377159040829795</v>
      </c>
      <c r="CC137" s="125">
        <f>CC26/293.07*(1/(VLOOKUP($BM137,'Fuel economy adjusted factor'!$A$2:$L$52,5,FALSE)*m2k))</f>
        <v>89.377159040829795</v>
      </c>
      <c r="CD137" s="125">
        <f>CD26/293.07*(1/(VLOOKUP($BM137,'Fuel economy adjusted factor'!$A$2:$L$52,5,FALSE)*m2k))</f>
        <v>89.377159040829795</v>
      </c>
      <c r="CE137" s="125">
        <f>CE26/293.07*(1/(VLOOKUP($BM137,'Fuel economy adjusted factor'!$A$2:$L$52,5,FALSE)*m2k))</f>
        <v>91.586170870038941</v>
      </c>
      <c r="CF137" s="125">
        <f>CF26/293.07*(1/(VLOOKUP($BM137,'Fuel economy adjusted factor'!$A$2:$L$52,5,FALSE)*m2k))</f>
        <v>91.586170870038941</v>
      </c>
      <c r="CG137" s="125">
        <f>CG26/293.07*(1/(VLOOKUP($BM137,'Fuel economy adjusted factor'!$A$2:$L$52,5,FALSE)*m2k))</f>
        <v>91.586170870038941</v>
      </c>
      <c r="CH137" s="125">
        <f>CH26/293.07*(1/(VLOOKUP($BM137,'Fuel economy adjusted factor'!$A$2:$L$52,5,FALSE)*m2k))</f>
        <v>91.586170870038941</v>
      </c>
      <c r="CI137" s="125">
        <f>CI26/293.07*(1/(VLOOKUP($BM137,'Fuel economy adjusted factor'!$A$2:$L$52,5,FALSE)*m2k))</f>
        <v>91.586170870038941</v>
      </c>
      <c r="CJ137" s="125">
        <f>CJ26/293.07*(1/(VLOOKUP($BM137,'Fuel economy adjusted factor'!$A$2:$L$52,5,FALSE)*m2k))</f>
        <v>92.110388967735034</v>
      </c>
      <c r="CK137" s="125">
        <f>CK26/293.07*(1/(VLOOKUP($BM137,'Fuel economy adjusted factor'!$A$2:$L$52,5,FALSE)*m2k))</f>
        <v>92.110388967735034</v>
      </c>
      <c r="CL137" s="125">
        <f>CL26/293.07*(1/(VLOOKUP($BM137,'Fuel economy adjusted factor'!$A$2:$L$52,5,FALSE)*m2k))</f>
        <v>92.110388967735034</v>
      </c>
      <c r="CM137" s="125">
        <f>CM26/293.07*(1/(VLOOKUP($BM137,'Fuel economy adjusted factor'!$A$2:$L$52,5,FALSE)*m2k))</f>
        <v>92.110388967735034</v>
      </c>
      <c r="CN137" s="125">
        <f>CN26/293.07*(1/(VLOOKUP($BM137,'Fuel economy adjusted factor'!$A$2:$L$52,5,FALSE)*m2k))</f>
        <v>92.110388967735034</v>
      </c>
      <c r="CO137" s="125">
        <f>CO26/293.07*(1/(VLOOKUP($BM137,'Fuel economy adjusted factor'!$A$2:$L$52,5,FALSE)*m2k))</f>
        <v>92.736613422070462</v>
      </c>
      <c r="CP137" s="98" cm="1">
        <f t="array" ref="CP137">SUMPRODUCT(INDEX(BN137:CO137,,'TCO Inputs'!$AZ$12-2023+_xlfn.SEQUENCE('TCO Inputs'!$AZ$13))*INDEX('VKT US'!C83:AA83,,_xlfn.SEQUENCE('TCO Inputs'!$AZ$13)))*m2k*CONVERT(0.9072,"g","ton")</f>
        <v>23.188690916157903</v>
      </c>
      <c r="CQ137" s="194"/>
      <c r="CR137" s="123" t="s">
        <v>201</v>
      </c>
      <c r="CS137" s="125">
        <f>CS26/293.07*(1/(VLOOKUP($BM137,'Fuel economy adjusted factor'!$A$2:$L$52,5,FALSE)*m2k))/'TCO Inputs'!$AZ$84</f>
        <v>124.86023113499874</v>
      </c>
      <c r="CT137" s="125">
        <f>CT26/293.07*(1/(VLOOKUP($BM137,'Fuel economy adjusted factor'!$A$2:$L$52,5,FALSE)*m2k))/'TCO Inputs'!$AZ$84</f>
        <v>124.86023113499874</v>
      </c>
      <c r="CU137" s="125">
        <f>CU26/293.07*(1/(VLOOKUP($BM137,'Fuel economy adjusted factor'!$A$2:$L$52,5,FALSE)*m2k))/'TCO Inputs'!$AZ$84</f>
        <v>124.86023113499874</v>
      </c>
      <c r="CV137" s="125">
        <f>CV26/293.07*(1/(VLOOKUP($BM137,'Fuel economy adjusted factor'!$A$2:$L$52,5,FALSE)*m2k))/'TCO Inputs'!$AZ$84</f>
        <v>124.86023113499874</v>
      </c>
      <c r="CW137" s="125">
        <f>CW26/293.07*(1/(VLOOKUP($BM137,'Fuel economy adjusted factor'!$A$2:$L$52,5,FALSE)*m2k))/'TCO Inputs'!$AZ$84</f>
        <v>124.86023113499874</v>
      </c>
      <c r="CX137" s="125">
        <f>CX26/293.07*(1/(VLOOKUP($BM137,'Fuel economy adjusted factor'!$A$2:$L$52,5,FALSE)*m2k))/'TCO Inputs'!$AZ$84</f>
        <v>124.86023113499874</v>
      </c>
      <c r="CY137" s="125">
        <f>CY26/293.07*(1/(VLOOKUP($BM137,'Fuel economy adjusted factor'!$A$2:$L$52,5,FALSE)*m2k))/'TCO Inputs'!$AZ$84</f>
        <v>124.86023113499874</v>
      </c>
      <c r="CZ137" s="125">
        <f>CZ26/293.07*(1/(VLOOKUP($BM137,'Fuel economy adjusted factor'!$A$2:$L$52,5,FALSE)*m2k))/'TCO Inputs'!$AZ$84</f>
        <v>124.88804743793897</v>
      </c>
      <c r="DA137" s="125">
        <f>DA26/293.07*(1/(VLOOKUP($BM137,'Fuel economy adjusted factor'!$A$2:$L$52,5,FALSE)*m2k))/'TCO Inputs'!$AZ$84</f>
        <v>124.88804743793897</v>
      </c>
      <c r="DB137" s="125">
        <f>DB26/293.07*(1/(VLOOKUP($BM137,'Fuel economy adjusted factor'!$A$2:$L$52,5,FALSE)*m2k))/'TCO Inputs'!$AZ$84</f>
        <v>124.88804743793897</v>
      </c>
      <c r="DC137" s="125">
        <f>DC26/293.07*(1/(VLOOKUP($BM137,'Fuel economy adjusted factor'!$A$2:$L$52,5,FALSE)*m2k))/'TCO Inputs'!$AZ$84</f>
        <v>124.88804743793897</v>
      </c>
      <c r="DD137" s="125">
        <f>DD26/293.07*(1/(VLOOKUP($BM137,'Fuel economy adjusted factor'!$A$2:$L$52,5,FALSE)*m2k))/'TCO Inputs'!$AZ$84</f>
        <v>124.88804743793897</v>
      </c>
      <c r="DE137" s="125">
        <f>DE26/293.07*(1/(VLOOKUP($BM137,'Fuel economy adjusted factor'!$A$2:$L$52,5,FALSE)*m2k))/'TCO Inputs'!$AZ$84</f>
        <v>124.87215240768741</v>
      </c>
      <c r="DF137" s="125">
        <f>DF26/293.07*(1/(VLOOKUP($BM137,'Fuel economy adjusted factor'!$A$2:$L$52,5,FALSE)*m2k))/'TCO Inputs'!$AZ$84</f>
        <v>124.87215240768741</v>
      </c>
      <c r="DG137" s="125">
        <f>DG26/293.07*(1/(VLOOKUP($BM137,'Fuel economy adjusted factor'!$A$2:$L$52,5,FALSE)*m2k))/'TCO Inputs'!$AZ$84</f>
        <v>124.87215240768741</v>
      </c>
      <c r="DH137" s="125">
        <f>DH26/293.07*(1/(VLOOKUP($BM137,'Fuel economy adjusted factor'!$A$2:$L$52,5,FALSE)*m2k))/'TCO Inputs'!$AZ$84</f>
        <v>124.87215240768741</v>
      </c>
      <c r="DI137" s="125">
        <f>DI26/293.07*(1/(VLOOKUP($BM137,'Fuel economy adjusted factor'!$A$2:$L$52,5,FALSE)*m2k))/'TCO Inputs'!$AZ$84</f>
        <v>124.87215240768741</v>
      </c>
      <c r="DJ137" s="125">
        <f>DJ26/293.07*(1/(VLOOKUP($BM137,'Fuel economy adjusted factor'!$A$2:$L$52,5,FALSE)*m2k))/'TCO Inputs'!$AZ$84</f>
        <v>124.86817865012452</v>
      </c>
      <c r="DK137" s="125">
        <f>DK26/293.07*(1/(VLOOKUP($BM137,'Fuel economy adjusted factor'!$A$2:$L$52,5,FALSE)*m2k))/'TCO Inputs'!$AZ$84</f>
        <v>124.86817865012452</v>
      </c>
      <c r="DL137" s="125">
        <f>DL26/293.07*(1/(VLOOKUP($BM137,'Fuel economy adjusted factor'!$A$2:$L$52,5,FALSE)*m2k))/'TCO Inputs'!$AZ$84</f>
        <v>124.86817865012452</v>
      </c>
      <c r="DM137" s="125">
        <f>DM26/293.07*(1/(VLOOKUP($BM137,'Fuel economy adjusted factor'!$A$2:$L$52,5,FALSE)*m2k))/'TCO Inputs'!$AZ$84</f>
        <v>124.86817865012452</v>
      </c>
      <c r="DN137" s="125">
        <f>DN26/293.07*(1/(VLOOKUP($BM137,'Fuel economy adjusted factor'!$A$2:$L$52,5,FALSE)*m2k))/'TCO Inputs'!$AZ$84</f>
        <v>124.86817865012452</v>
      </c>
      <c r="DO137" s="125">
        <f>DO26/293.07*(1/(VLOOKUP($BM137,'Fuel economy adjusted factor'!$A$2:$L$52,5,FALSE)*m2k))/'TCO Inputs'!$AZ$84</f>
        <v>124.79108775340451</v>
      </c>
      <c r="DP137" s="125">
        <f>DP26/293.07*(1/(VLOOKUP($BM137,'Fuel economy adjusted factor'!$A$2:$L$52,5,FALSE)*m2k))/'TCO Inputs'!$AZ$84</f>
        <v>124.79108775340451</v>
      </c>
      <c r="DQ137" s="125">
        <f>DQ26/293.07*(1/(VLOOKUP($BM137,'Fuel economy adjusted factor'!$A$2:$L$52,5,FALSE)*m2k))/'TCO Inputs'!$AZ$84</f>
        <v>124.79108775340451</v>
      </c>
      <c r="DR137" s="125">
        <f>DR26/293.07*(1/(VLOOKUP($BM137,'Fuel economy adjusted factor'!$A$2:$L$52,5,FALSE)*m2k))/'TCO Inputs'!$AZ$84</f>
        <v>124.79108775340451</v>
      </c>
      <c r="DS137" s="125">
        <f>DS26/293.07*(1/(VLOOKUP($BM137,'Fuel economy adjusted factor'!$A$2:$L$52,5,FALSE)*m2k))/'TCO Inputs'!$AZ$84</f>
        <v>124.79108775340451</v>
      </c>
      <c r="DT137" s="125">
        <f>DT26/293.07*(1/(VLOOKUP($BM137,'Fuel economy adjusted factor'!$A$2:$L$52,5,FALSE)*m2k))/'TCO Inputs'!$AZ$84</f>
        <v>124.85546262592328</v>
      </c>
      <c r="DU137" s="98" cm="1">
        <f t="array" ref="DU137">SUMPRODUCT(INDEX(CS137:DT137,,'TCO Inputs'!$AZ$12-2023+_xlfn.SEQUENCE('TCO Inputs'!$AZ$13))*INDEX('VKT US'!C83:AA83,,_xlfn.SEQUENCE('TCO Inputs'!$AZ$13)))*m2k*CONVERT(0.9072,"g","ton")</f>
        <v>34.605018000925341</v>
      </c>
      <c r="DW137" s="123" t="s">
        <v>201</v>
      </c>
      <c r="DX137" s="125">
        <f>DX26/293.07*(1/(VLOOKUP($BM137,'Fuel economy adjusted factor'!$A$2:$L$52,5,FALSE)*m2k))/'TCO Inputs'!$AZ$84</f>
        <v>130.70483038989028</v>
      </c>
      <c r="DY137" s="125">
        <f>DY26/293.07*(1/(VLOOKUP($BM137,'Fuel economy adjusted factor'!$A$2:$L$52,5,FALSE)*m2k))/'TCO Inputs'!$AZ$84</f>
        <v>130.70483038989028</v>
      </c>
      <c r="DZ137" s="125">
        <f>DZ26/293.07*(1/(VLOOKUP($BM137,'Fuel economy adjusted factor'!$A$2:$L$52,5,FALSE)*m2k))/'TCO Inputs'!$AZ$84</f>
        <v>114.57589184683921</v>
      </c>
      <c r="EA137" s="125">
        <f>EA26/293.07*(1/(VLOOKUP($BM137,'Fuel economy adjusted factor'!$A$2:$L$52,5,FALSE)*m2k))/'TCO Inputs'!$AZ$84</f>
        <v>114.57589184683921</v>
      </c>
      <c r="EB137" s="125">
        <f>EB26/293.07*(1/(VLOOKUP($BM137,'Fuel economy adjusted factor'!$A$2:$L$52,5,FALSE)*m2k))/'TCO Inputs'!$AZ$84</f>
        <v>114.57589184683921</v>
      </c>
      <c r="EC137" s="125">
        <f>EC26/293.07*(1/(VLOOKUP($BM137,'Fuel economy adjusted factor'!$A$2:$L$52,5,FALSE)*m2k))/'TCO Inputs'!$AZ$84</f>
        <v>114.57589184683921</v>
      </c>
      <c r="ED137" s="125">
        <f>ED26/293.07*(1/(VLOOKUP($BM137,'Fuel economy adjusted factor'!$A$2:$L$52,5,FALSE)*m2k))/'TCO Inputs'!$AZ$84</f>
        <v>114.57589184683921</v>
      </c>
      <c r="EE137" s="125">
        <f>EE26/293.07*(1/(VLOOKUP($BM137,'Fuel economy adjusted factor'!$A$2:$L$52,5,FALSE)*m2k))/'TCO Inputs'!$AZ$84</f>
        <v>70.617269462831047</v>
      </c>
      <c r="EF137" s="125">
        <f>EF26/293.07*(1/(VLOOKUP($BM137,'Fuel economy adjusted factor'!$A$2:$L$52,5,FALSE)*m2k))/'TCO Inputs'!$AZ$84</f>
        <v>70.617269462831047</v>
      </c>
      <c r="EG137" s="125">
        <f>EG26/293.07*(1/(VLOOKUP($BM137,'Fuel economy adjusted factor'!$A$2:$L$52,5,FALSE)*m2k))/'TCO Inputs'!$AZ$84</f>
        <v>70.617269462831047</v>
      </c>
      <c r="EH137" s="125">
        <f>EH26/293.07*(1/(VLOOKUP($BM137,'Fuel economy adjusted factor'!$A$2:$L$52,5,FALSE)*m2k))/'TCO Inputs'!$AZ$84</f>
        <v>70.617269462831047</v>
      </c>
      <c r="EI137" s="125">
        <f>EI26/293.07*(1/(VLOOKUP($BM137,'Fuel economy adjusted factor'!$A$2:$L$52,5,FALSE)*m2k))/'TCO Inputs'!$AZ$84</f>
        <v>70.617269462831047</v>
      </c>
      <c r="EJ137" s="125">
        <f>EJ26/293.07*(1/(VLOOKUP($BM137,'Fuel economy adjusted factor'!$A$2:$L$52,5,FALSE)*m2k))/'TCO Inputs'!$AZ$84</f>
        <v>63.069518959806821</v>
      </c>
      <c r="EK137" s="125">
        <f>EK26/293.07*(1/(VLOOKUP($BM137,'Fuel economy adjusted factor'!$A$2:$L$52,5,FALSE)*m2k))/'TCO Inputs'!$AZ$84</f>
        <v>63.069518959806821</v>
      </c>
      <c r="EL137" s="125">
        <f>EL26/293.07*(1/(VLOOKUP($BM137,'Fuel economy adjusted factor'!$A$2:$L$52,5,FALSE)*m2k))/'TCO Inputs'!$AZ$84</f>
        <v>63.069518959806821</v>
      </c>
      <c r="EM137" s="125">
        <f>EM26/293.07*(1/(VLOOKUP($BM137,'Fuel economy adjusted factor'!$A$2:$L$52,5,FALSE)*m2k))/'TCO Inputs'!$AZ$84</f>
        <v>63.069518959806821</v>
      </c>
      <c r="EN137" s="125">
        <f>EN26/293.07*(1/(VLOOKUP($BM137,'Fuel economy adjusted factor'!$A$2:$L$52,5,FALSE)*m2k))/'TCO Inputs'!$AZ$84</f>
        <v>63.069518959806821</v>
      </c>
      <c r="EO137" s="125">
        <f>EO26/293.07*(1/(VLOOKUP($BM137,'Fuel economy adjusted factor'!$A$2:$L$52,5,FALSE)*m2k))/'TCO Inputs'!$AZ$84</f>
        <v>61.084433635005816</v>
      </c>
      <c r="EP137" s="125">
        <f>EP26/293.07*(1/(VLOOKUP($BM137,'Fuel economy adjusted factor'!$A$2:$L$52,5,FALSE)*m2k))/'TCO Inputs'!$AZ$84</f>
        <v>61.084433635005816</v>
      </c>
      <c r="EQ137" s="125">
        <f>EQ26/293.07*(1/(VLOOKUP($BM137,'Fuel economy adjusted factor'!$A$2:$L$52,5,FALSE)*m2k))/'TCO Inputs'!$AZ$84</f>
        <v>61.084433635005816</v>
      </c>
      <c r="ER137" s="125">
        <f>ER26/293.07*(1/(VLOOKUP($BM137,'Fuel economy adjusted factor'!$A$2:$L$52,5,FALSE)*m2k))/'TCO Inputs'!$AZ$84</f>
        <v>61.084433635005816</v>
      </c>
      <c r="ES137" s="125">
        <f>ES26/293.07*(1/(VLOOKUP($BM137,'Fuel economy adjusted factor'!$A$2:$L$52,5,FALSE)*m2k))/'TCO Inputs'!$AZ$84</f>
        <v>61.084433635005816</v>
      </c>
      <c r="ET137" s="125">
        <f>ET26/293.07*(1/(VLOOKUP($BM137,'Fuel economy adjusted factor'!$A$2:$L$52,5,FALSE)*m2k))/'TCO Inputs'!$AZ$84</f>
        <v>58.81645200119295</v>
      </c>
      <c r="EU137" s="125">
        <f>EU26/293.07*(1/(VLOOKUP($BM137,'Fuel economy adjusted factor'!$A$2:$L$52,5,FALSE)*m2k))/'TCO Inputs'!$AZ$84</f>
        <v>58.81645200119295</v>
      </c>
      <c r="EV137" s="125">
        <f>EV26/293.07*(1/(VLOOKUP($BM137,'Fuel economy adjusted factor'!$A$2:$L$52,5,FALSE)*m2k))/'TCO Inputs'!$AZ$84</f>
        <v>58.81645200119295</v>
      </c>
      <c r="EW137" s="125">
        <f>EW26/293.07*(1/(VLOOKUP($BM137,'Fuel economy adjusted factor'!$A$2:$L$52,5,FALSE)*m2k))/'TCO Inputs'!$AZ$84</f>
        <v>58.81645200119295</v>
      </c>
      <c r="EX137" s="125">
        <f>EX26/293.07*(1/(VLOOKUP($BM137,'Fuel economy adjusted factor'!$A$2:$L$52,5,FALSE)*m2k))/'TCO Inputs'!$AZ$84</f>
        <v>58.81645200119295</v>
      </c>
      <c r="EY137" s="125">
        <f>EY26/293.07*(1/(VLOOKUP($BM137,'Fuel economy adjusted factor'!$A$2:$L$52,5,FALSE)*m2k))/'TCO Inputs'!$AZ$84</f>
        <v>55.260041259329412</v>
      </c>
      <c r="EZ137" s="98" cm="1">
        <f t="array" ref="EZ137">SUMPRODUCT(INDEX(DX137:EY137,,'TCO Inputs'!$AZ$12-2023+_xlfn.SEQUENCE('TCO Inputs'!$AZ$13))*INDEX('VKT US'!C83:AA83,,_xlfn.SEQUENCE('TCO Inputs'!$AZ$13)))*m2k*CONVERT(0.9072,"g","ton")</f>
        <v>26.777790191306174</v>
      </c>
      <c r="FB137" s="123" t="s">
        <v>201</v>
      </c>
      <c r="FC137" s="125">
        <f>FC26/293.07*(1/(VLOOKUP($BM137,'Fuel economy adjusted factor'!$A$2:$L$52,5,FALSE)*m2k))/'TCO Inputs'!$AZ$84</f>
        <v>141.76857787634782</v>
      </c>
      <c r="FD137" s="125">
        <f>FD26/293.07*(1/(VLOOKUP($BM137,'Fuel economy adjusted factor'!$A$2:$L$52,5,FALSE)*m2k))/'TCO Inputs'!$AZ$84</f>
        <v>141.76857787634782</v>
      </c>
      <c r="FE137" s="125">
        <f>FE26/293.07*(1/(VLOOKUP($BM137,'Fuel economy adjusted factor'!$A$2:$L$52,5,FALSE)*m2k))/'TCO Inputs'!$AZ$84</f>
        <v>123.80658671878105</v>
      </c>
      <c r="FF137" s="125">
        <f>FF26/293.07*(1/(VLOOKUP($BM137,'Fuel economy adjusted factor'!$A$2:$L$52,5,FALSE)*m2k))/'TCO Inputs'!$AZ$84</f>
        <v>123.80658671878105</v>
      </c>
      <c r="FG137" s="125">
        <f>FG26/293.07*(1/(VLOOKUP($BM137,'Fuel economy adjusted factor'!$A$2:$L$52,5,FALSE)*m2k))/'TCO Inputs'!$AZ$84</f>
        <v>123.80658671878105</v>
      </c>
      <c r="FH137" s="125">
        <f>FH26/293.07*(1/(VLOOKUP($BM137,'Fuel economy adjusted factor'!$A$2:$L$52,5,FALSE)*m2k))/'TCO Inputs'!$AZ$84</f>
        <v>123.80658671878105</v>
      </c>
      <c r="FI137" s="125">
        <f>FI26/293.07*(1/(VLOOKUP($BM137,'Fuel economy adjusted factor'!$A$2:$L$52,5,FALSE)*m2k))/'TCO Inputs'!$AZ$84</f>
        <v>123.80658671878105</v>
      </c>
      <c r="FJ137" s="125">
        <f>FJ26/293.07*(1/(VLOOKUP($BM137,'Fuel economy adjusted factor'!$A$2:$L$52,5,FALSE)*m2k))/'TCO Inputs'!$AZ$84</f>
        <v>77.691601652815038</v>
      </c>
      <c r="FK137" s="125">
        <f>FK26/293.07*(1/(VLOOKUP($BM137,'Fuel economy adjusted factor'!$A$2:$L$52,5,FALSE)*m2k))/'TCO Inputs'!$AZ$84</f>
        <v>77.691601652815038</v>
      </c>
      <c r="FL137" s="125">
        <f>FL26/293.07*(1/(VLOOKUP($BM137,'Fuel economy adjusted factor'!$A$2:$L$52,5,FALSE)*m2k))/'TCO Inputs'!$AZ$84</f>
        <v>77.691601652815038</v>
      </c>
      <c r="FM137" s="125">
        <f>FM26/293.07*(1/(VLOOKUP($BM137,'Fuel economy adjusted factor'!$A$2:$L$52,5,FALSE)*m2k))/'TCO Inputs'!$AZ$84</f>
        <v>77.691601652815038</v>
      </c>
      <c r="FN137" s="125">
        <f>FN26/293.07*(1/(VLOOKUP($BM137,'Fuel economy adjusted factor'!$A$2:$L$52,5,FALSE)*m2k))/'TCO Inputs'!$AZ$84</f>
        <v>77.691601652815038</v>
      </c>
      <c r="FO137" s="125">
        <f>FO26/293.07*(1/(VLOOKUP($BM137,'Fuel economy adjusted factor'!$A$2:$L$52,5,FALSE)*m2k))/'TCO Inputs'!$AZ$84</f>
        <v>68.986285640466704</v>
      </c>
      <c r="FP137" s="125">
        <f>FP26/293.07*(1/(VLOOKUP($BM137,'Fuel economy adjusted factor'!$A$2:$L$52,5,FALSE)*m2k))/'TCO Inputs'!$AZ$84</f>
        <v>68.986285640466704</v>
      </c>
      <c r="FQ137" s="125">
        <f>FQ26/293.07*(1/(VLOOKUP($BM137,'Fuel economy adjusted factor'!$A$2:$L$52,5,FALSE)*m2k))/'TCO Inputs'!$AZ$84</f>
        <v>68.986285640466704</v>
      </c>
      <c r="FR137" s="125">
        <f>FR26/293.07*(1/(VLOOKUP($BM137,'Fuel economy adjusted factor'!$A$2:$L$52,5,FALSE)*m2k))/'TCO Inputs'!$AZ$84</f>
        <v>68.986285640466704</v>
      </c>
      <c r="FS137" s="125">
        <f>FS26/293.07*(1/(VLOOKUP($BM137,'Fuel economy adjusted factor'!$A$2:$L$52,5,FALSE)*m2k))/'TCO Inputs'!$AZ$84</f>
        <v>68.986285640466704</v>
      </c>
      <c r="FT137" s="125">
        <f>FT26/293.07*(1/(VLOOKUP($BM137,'Fuel economy adjusted factor'!$A$2:$L$52,5,FALSE)*m2k))/'TCO Inputs'!$AZ$84</f>
        <v>67.23021161343722</v>
      </c>
      <c r="FU137" s="125">
        <f>FU26/293.07*(1/(VLOOKUP($BM137,'Fuel economy adjusted factor'!$A$2:$L$52,5,FALSE)*m2k))/'TCO Inputs'!$AZ$84</f>
        <v>67.23021161343722</v>
      </c>
      <c r="FV137" s="125">
        <f>FV26/293.07*(1/(VLOOKUP($BM137,'Fuel economy adjusted factor'!$A$2:$L$52,5,FALSE)*m2k))/'TCO Inputs'!$AZ$84</f>
        <v>67.23021161343722</v>
      </c>
      <c r="FW137" s="125">
        <f>FW26/293.07*(1/(VLOOKUP($BM137,'Fuel economy adjusted factor'!$A$2:$L$52,5,FALSE)*m2k))/'TCO Inputs'!$AZ$84</f>
        <v>67.23021161343722</v>
      </c>
      <c r="FX137" s="125">
        <f>FX26/293.07*(1/(VLOOKUP($BM137,'Fuel economy adjusted factor'!$A$2:$L$52,5,FALSE)*m2k))/'TCO Inputs'!$AZ$84</f>
        <v>67.23021161343722</v>
      </c>
      <c r="FY137" s="125">
        <f>FY26/293.07*(1/(VLOOKUP($BM137,'Fuel economy adjusted factor'!$A$2:$L$52,5,FALSE)*m2k))/'TCO Inputs'!$AZ$84</f>
        <v>64.957418817906458</v>
      </c>
      <c r="FZ137" s="125">
        <f>FZ26/293.07*(1/(VLOOKUP($BM137,'Fuel economy adjusted factor'!$A$2:$L$52,5,FALSE)*m2k))/'TCO Inputs'!$AZ$84</f>
        <v>64.957418817906458</v>
      </c>
      <c r="GA137" s="125">
        <f>GA26/293.07*(1/(VLOOKUP($BM137,'Fuel economy adjusted factor'!$A$2:$L$52,5,FALSE)*m2k))/'TCO Inputs'!$AZ$84</f>
        <v>64.957418817906458</v>
      </c>
      <c r="GB137" s="125">
        <f>GB26/293.07*(1/(VLOOKUP($BM137,'Fuel economy adjusted factor'!$A$2:$L$52,5,FALSE)*m2k))/'TCO Inputs'!$AZ$84</f>
        <v>64.957418817906458</v>
      </c>
      <c r="GC137" s="125">
        <f>GC26/293.07*(1/(VLOOKUP($BM137,'Fuel economy adjusted factor'!$A$2:$L$52,5,FALSE)*m2k))/'TCO Inputs'!$AZ$84</f>
        <v>64.957418817906458</v>
      </c>
      <c r="GD137" s="125">
        <f>GD26/293.07*(1/(VLOOKUP($BM137,'Fuel economy adjusted factor'!$A$2:$L$52,5,FALSE)*m2k))/'TCO Inputs'!$AZ$84</f>
        <v>61.277842336064957</v>
      </c>
      <c r="GE137" s="98" cm="1">
        <f t="array" ref="GE137">SUMPRODUCT(INDEX(FC137:GD137,,'TCO Inputs'!$AZ$12-2023+_xlfn.SEQUENCE('TCO Inputs'!$AZ$13))*INDEX('VKT US'!C83:AA83,,_xlfn.SEQUENCE('TCO Inputs'!$AZ$13)))*m2k*CONVERT(0.9072,"g","ton")</f>
        <v>29.1145161584666</v>
      </c>
      <c r="GH137" s="123" t="s">
        <v>201</v>
      </c>
      <c r="GI137" s="125">
        <f>GI26/293.07*(1/(VLOOKUP($BM137,'Fuel economy adjusted factor'!$A$2:$L$52,5,FALSE)*m2k))/'TCO Inputs'!$AZ$84</f>
        <v>123.17440006905045</v>
      </c>
      <c r="GJ137" s="125">
        <f>GJ26/293.07*(1/(VLOOKUP($BM137,'Fuel economy adjusted factor'!$A$2:$L$52,5,FALSE)*m2k))/'TCO Inputs'!$AZ$84</f>
        <v>123.17440006905045</v>
      </c>
      <c r="GK137" s="125">
        <f>GK26/293.07*(1/(VLOOKUP($BM137,'Fuel economy adjusted factor'!$A$2:$L$52,5,FALSE)*m2k))/'TCO Inputs'!$AZ$84</f>
        <v>108.29347687561977</v>
      </c>
      <c r="GL137" s="125">
        <f>GL26/293.07*(1/(VLOOKUP($BM137,'Fuel economy adjusted factor'!$A$2:$L$52,5,FALSE)*m2k))/'TCO Inputs'!$AZ$84</f>
        <v>108.29347687561977</v>
      </c>
      <c r="GM137" s="125">
        <f>GM26/293.07*(1/(VLOOKUP($BM137,'Fuel economy adjusted factor'!$A$2:$L$52,5,FALSE)*m2k))/'TCO Inputs'!$AZ$84</f>
        <v>108.29347687561977</v>
      </c>
      <c r="GN137" s="125">
        <f>GN26/293.07*(1/(VLOOKUP($BM137,'Fuel economy adjusted factor'!$A$2:$L$52,5,FALSE)*m2k))/'TCO Inputs'!$AZ$84</f>
        <v>108.29347687561977</v>
      </c>
      <c r="GO137" s="125">
        <f>GO26/293.07*(1/(VLOOKUP($BM137,'Fuel economy adjusted factor'!$A$2:$L$52,5,FALSE)*m2k))/'TCO Inputs'!$AZ$84</f>
        <v>108.29347687561977</v>
      </c>
      <c r="GP137" s="125">
        <f>GP26/293.07*(1/(VLOOKUP($BM137,'Fuel economy adjusted factor'!$A$2:$L$52,5,FALSE)*m2k))/'TCO Inputs'!$AZ$84</f>
        <v>65.802258815567768</v>
      </c>
      <c r="GQ137" s="125">
        <f>GQ26/293.07*(1/(VLOOKUP($BM137,'Fuel economy adjusted factor'!$A$2:$L$52,5,FALSE)*m2k))/'TCO Inputs'!$AZ$84</f>
        <v>65.802258815567768</v>
      </c>
      <c r="GR137" s="125">
        <f>GR26/293.07*(1/(VLOOKUP($BM137,'Fuel economy adjusted factor'!$A$2:$L$52,5,FALSE)*m2k))/'TCO Inputs'!$AZ$84</f>
        <v>65.802258815567768</v>
      </c>
      <c r="GS137" s="125">
        <f>GS26/293.07*(1/(VLOOKUP($BM137,'Fuel economy adjusted factor'!$A$2:$L$52,5,FALSE)*m2k))/'TCO Inputs'!$AZ$84</f>
        <v>65.802258815567768</v>
      </c>
      <c r="GT137" s="125">
        <f>GT26/293.07*(1/(VLOOKUP($BM137,'Fuel economy adjusted factor'!$A$2:$L$52,5,FALSE)*m2k))/'TCO Inputs'!$AZ$84</f>
        <v>65.802258815567768</v>
      </c>
      <c r="GU137" s="125">
        <f>GU26/293.07*(1/(VLOOKUP($BM137,'Fuel economy adjusted factor'!$A$2:$L$52,5,FALSE)*m2k))/'TCO Inputs'!$AZ$84</f>
        <v>59.042576601933732</v>
      </c>
      <c r="GV137" s="125">
        <f>GV26/293.07*(1/(VLOOKUP($BM137,'Fuel economy adjusted factor'!$A$2:$L$52,5,FALSE)*m2k))/'TCO Inputs'!$AZ$84</f>
        <v>59.042576601933732</v>
      </c>
      <c r="GW137" s="125">
        <f>GW26/293.07*(1/(VLOOKUP($BM137,'Fuel economy adjusted factor'!$A$2:$L$52,5,FALSE)*m2k))/'TCO Inputs'!$AZ$84</f>
        <v>59.042576601933732</v>
      </c>
      <c r="GX137" s="125">
        <f>GX26/293.07*(1/(VLOOKUP($BM137,'Fuel economy adjusted factor'!$A$2:$L$52,5,FALSE)*m2k))/'TCO Inputs'!$AZ$84</f>
        <v>59.042576601933732</v>
      </c>
      <c r="GY137" s="125">
        <f>GY26/293.07*(1/(VLOOKUP($BM137,'Fuel economy adjusted factor'!$A$2:$L$52,5,FALSE)*m2k))/'TCO Inputs'!$AZ$84</f>
        <v>59.042576601933732</v>
      </c>
      <c r="GZ137" s="125">
        <f>GZ26/293.07*(1/(VLOOKUP($BM137,'Fuel economy adjusted factor'!$A$2:$L$52,5,FALSE)*m2k))/'TCO Inputs'!$AZ$84</f>
        <v>56.901609637473129</v>
      </c>
      <c r="HA137" s="125">
        <f>HA26/293.07*(1/(VLOOKUP($BM137,'Fuel economy adjusted factor'!$A$2:$L$52,5,FALSE)*m2k))/'TCO Inputs'!$AZ$84</f>
        <v>56.901609637473129</v>
      </c>
      <c r="HB137" s="125">
        <f>HB26/293.07*(1/(VLOOKUP($BM137,'Fuel economy adjusted factor'!$A$2:$L$52,5,FALSE)*m2k))/'TCO Inputs'!$AZ$84</f>
        <v>56.901609637473129</v>
      </c>
      <c r="HC137" s="125">
        <f>HC26/293.07*(1/(VLOOKUP($BM137,'Fuel economy adjusted factor'!$A$2:$L$52,5,FALSE)*m2k))/'TCO Inputs'!$AZ$84</f>
        <v>56.901609637473129</v>
      </c>
      <c r="HD137" s="125">
        <f>HD26/293.07*(1/(VLOOKUP($BM137,'Fuel economy adjusted factor'!$A$2:$L$52,5,FALSE)*m2k))/'TCO Inputs'!$AZ$84</f>
        <v>56.901609637473129</v>
      </c>
      <c r="HE137" s="125">
        <f>HE26/293.07*(1/(VLOOKUP($BM137,'Fuel economy adjusted factor'!$A$2:$L$52,5,FALSE)*m2k))/'TCO Inputs'!$AZ$84</f>
        <v>54.636514700690988</v>
      </c>
      <c r="HF137" s="125">
        <f>HF26/293.07*(1/(VLOOKUP($BM137,'Fuel economy adjusted factor'!$A$2:$L$52,5,FALSE)*m2k))/'TCO Inputs'!$AZ$84</f>
        <v>54.636514700690988</v>
      </c>
      <c r="HG137" s="125">
        <f>HG26/293.07*(1/(VLOOKUP($BM137,'Fuel economy adjusted factor'!$A$2:$L$52,5,FALSE)*m2k))/'TCO Inputs'!$AZ$84</f>
        <v>54.636514700690988</v>
      </c>
      <c r="HH137" s="125">
        <f>HH26/293.07*(1/(VLOOKUP($BM137,'Fuel economy adjusted factor'!$A$2:$L$52,5,FALSE)*m2k))/'TCO Inputs'!$AZ$84</f>
        <v>54.636514700690988</v>
      </c>
      <c r="HI137" s="125">
        <f>HI26/293.07*(1/(VLOOKUP($BM137,'Fuel economy adjusted factor'!$A$2:$L$52,5,FALSE)*m2k))/'TCO Inputs'!$AZ$84</f>
        <v>54.636514700690988</v>
      </c>
      <c r="HJ137" s="125">
        <f>HJ26/293.07*(1/(VLOOKUP($BM137,'Fuel economy adjusted factor'!$A$2:$L$52,5,FALSE)*m2k))/'TCO Inputs'!$AZ$84</f>
        <v>51.164780405062302</v>
      </c>
      <c r="HK137" s="98" cm="1">
        <f t="array" ref="HK137">SUMPRODUCT(INDEX(GI137:HJ137,,'TCO Inputs'!$AZ$12-2023+_xlfn.SEQUENCE('TCO Inputs'!$AZ$13))*INDEX('VKT US'!C83:AA83,,_xlfn.SEQUENCE('TCO Inputs'!$AZ$13)))*m2k*CONVERT(0.9072,"g","ton")</f>
        <v>25.187373446783056</v>
      </c>
    </row>
    <row r="138" spans="17:219" x14ac:dyDescent="0.25">
      <c r="Z138" s="123" t="s">
        <v>204</v>
      </c>
      <c r="AA138" s="125">
        <f>AA27/293.07*(1/(VLOOKUP($Z138,'Fuel economy adjusted factor'!$A$2:$L$52,5,FALSE)*m2k))/'TCO Inputs'!$AZ$84</f>
        <v>119.8230352434679</v>
      </c>
      <c r="AB138" s="125">
        <f>AB27/293.07*(1/(VLOOKUP($Z138,'Fuel economy adjusted factor'!$A$2:$L$52,5,FALSE)*m2k))/'TCO Inputs'!$AZ$84</f>
        <v>119.8230352434679</v>
      </c>
      <c r="AC138" s="125">
        <f>AC27/293.07*(1/(VLOOKUP($Z138,'Fuel economy adjusted factor'!$A$2:$L$52,5,FALSE)*m2k))/'TCO Inputs'!$AZ$84</f>
        <v>105.3836212276842</v>
      </c>
      <c r="AD138" s="125">
        <f>AD27/293.07*(1/(VLOOKUP($Z138,'Fuel economy adjusted factor'!$A$2:$L$52,5,FALSE)*m2k))/'TCO Inputs'!$AZ$84</f>
        <v>105.3836212276842</v>
      </c>
      <c r="AE138" s="125">
        <f>AE27/293.07*(1/(VLOOKUP($Z138,'Fuel economy adjusted factor'!$A$2:$L$52,5,FALSE)*m2k))/'TCO Inputs'!$AZ$84</f>
        <v>105.3836212276842</v>
      </c>
      <c r="AF138" s="125">
        <f>AF27/293.07*(1/(VLOOKUP($Z138,'Fuel economy adjusted factor'!$A$2:$L$52,5,FALSE)*m2k))/'TCO Inputs'!$AZ$84</f>
        <v>105.3836212276842</v>
      </c>
      <c r="AG138" s="125">
        <f>AG27/293.07*(1/(VLOOKUP($Z138,'Fuel economy adjusted factor'!$A$2:$L$52,5,FALSE)*m2k))/'TCO Inputs'!$AZ$84</f>
        <v>105.3836212276842</v>
      </c>
      <c r="AH138" s="125">
        <f>AH27/293.07*(1/(VLOOKUP($Z138,'Fuel economy adjusted factor'!$A$2:$L$52,5,FALSE)*m2k))/'TCO Inputs'!$AZ$84</f>
        <v>63.318451049580325</v>
      </c>
      <c r="AI138" s="125">
        <f>AI27/293.07*(1/(VLOOKUP($Z138,'Fuel economy adjusted factor'!$A$2:$L$52,5,FALSE)*m2k))/'TCO Inputs'!$AZ$84</f>
        <v>63.318451049580325</v>
      </c>
      <c r="AJ138" s="125">
        <f>AJ27/293.07*(1/(VLOOKUP($Z138,'Fuel economy adjusted factor'!$A$2:$L$52,5,FALSE)*m2k))/'TCO Inputs'!$AZ$84</f>
        <v>63.318451049580325</v>
      </c>
      <c r="AK138" s="125">
        <f>AK27/293.07*(1/(VLOOKUP($Z138,'Fuel economy adjusted factor'!$A$2:$L$52,5,FALSE)*m2k))/'TCO Inputs'!$AZ$84</f>
        <v>63.318451049580325</v>
      </c>
      <c r="AL138" s="125">
        <f>AL27/293.07*(1/(VLOOKUP($Z138,'Fuel economy adjusted factor'!$A$2:$L$52,5,FALSE)*m2k))/'TCO Inputs'!$AZ$84</f>
        <v>63.318451049580325</v>
      </c>
      <c r="AM138" s="125">
        <f>AM27/293.07*(1/(VLOOKUP($Z138,'Fuel economy adjusted factor'!$A$2:$L$52,5,FALSE)*m2k))/'TCO Inputs'!$AZ$84</f>
        <v>66.261369286345854</v>
      </c>
      <c r="AN138" s="125">
        <f>AN27/293.07*(1/(VLOOKUP($Z138,'Fuel economy adjusted factor'!$A$2:$L$52,5,FALSE)*m2k))/'TCO Inputs'!$AZ$84</f>
        <v>66.261369286345854</v>
      </c>
      <c r="AO138" s="125">
        <f>AO27/293.07*(1/(VLOOKUP($Z138,'Fuel economy adjusted factor'!$A$2:$L$52,5,FALSE)*m2k))/'TCO Inputs'!$AZ$84</f>
        <v>66.261369286345854</v>
      </c>
      <c r="AP138" s="125">
        <f>AP27/293.07*(1/(VLOOKUP($Z138,'Fuel economy adjusted factor'!$A$2:$L$52,5,FALSE)*m2k))/'TCO Inputs'!$AZ$84</f>
        <v>66.261369286345854</v>
      </c>
      <c r="AQ138" s="125">
        <f>AQ27/293.07*(1/(VLOOKUP($Z138,'Fuel economy adjusted factor'!$A$2:$L$52,5,FALSE)*m2k))/'TCO Inputs'!$AZ$84</f>
        <v>66.261369286345854</v>
      </c>
      <c r="AR138" s="125">
        <f>AR27/293.07*(1/(VLOOKUP($Z138,'Fuel economy adjusted factor'!$A$2:$L$52,5,FALSE)*m2k))/'TCO Inputs'!$AZ$84</f>
        <v>69.266156215255492</v>
      </c>
      <c r="AS138" s="125">
        <f>AS27/293.07*(1/(VLOOKUP($Z138,'Fuel economy adjusted factor'!$A$2:$L$52,5,FALSE)*m2k))/'TCO Inputs'!$AZ$84</f>
        <v>69.266156215255492</v>
      </c>
      <c r="AT138" s="125">
        <f>AT27/293.07*(1/(VLOOKUP($Z138,'Fuel economy adjusted factor'!$A$2:$L$52,5,FALSE)*m2k))/'TCO Inputs'!$AZ$84</f>
        <v>69.266156215255492</v>
      </c>
      <c r="AU138" s="125">
        <f>AU27/293.07*(1/(VLOOKUP($Z138,'Fuel economy adjusted factor'!$A$2:$L$52,5,FALSE)*m2k))/'TCO Inputs'!$AZ$84</f>
        <v>69.266156215255492</v>
      </c>
      <c r="AV138" s="125">
        <f>AV27/293.07*(1/(VLOOKUP($Z138,'Fuel economy adjusted factor'!$A$2:$L$52,5,FALSE)*m2k))/'TCO Inputs'!$AZ$84</f>
        <v>69.266156215255492</v>
      </c>
      <c r="AW138" s="125">
        <f>AW27/293.07*(1/(VLOOKUP($Z138,'Fuel economy adjusted factor'!$A$2:$L$52,5,FALSE)*m2k))/'TCO Inputs'!$AZ$84</f>
        <v>70.786094532706414</v>
      </c>
      <c r="AX138" s="125">
        <f>AX27/293.07*(1/(VLOOKUP($Z138,'Fuel economy adjusted factor'!$A$2:$L$52,5,FALSE)*m2k))/'TCO Inputs'!$AZ$84</f>
        <v>70.786094532706414</v>
      </c>
      <c r="AY138" s="125">
        <f>AY27/293.07*(1/(VLOOKUP($Z138,'Fuel economy adjusted factor'!$A$2:$L$52,5,FALSE)*m2k))/'TCO Inputs'!$AZ$84</f>
        <v>70.786094532706414</v>
      </c>
      <c r="AZ138" s="125">
        <f>AZ27/293.07*(1/(VLOOKUP($Z138,'Fuel economy adjusted factor'!$A$2:$L$52,5,FALSE)*m2k))/'TCO Inputs'!$AZ$84</f>
        <v>70.786094532706414</v>
      </c>
      <c r="BA138" s="125">
        <f>BA27/293.07*(1/(VLOOKUP($Z138,'Fuel economy adjusted factor'!$A$2:$L$52,5,FALSE)*m2k))/'TCO Inputs'!$AZ$84</f>
        <v>70.786094532706414</v>
      </c>
      <c r="BB138" s="125">
        <f>BB27/293.07*(1/(VLOOKUP($Z138,'Fuel economy adjusted factor'!$A$2:$L$52,5,FALSE)*m2k))/'TCO Inputs'!$AZ$84</f>
        <v>70.882129517527147</v>
      </c>
      <c r="BC138" s="98" cm="1">
        <f t="array" ref="BC138">SUMPRODUCT(INDEX(AA138:BB138,,'TCO Inputs'!$AZ$12-2023+_xlfn.SEQUENCE('TCO Inputs'!$AZ$13))*INDEX('VKT US'!C84:AA84,,_xlfn.SEQUENCE('TCO Inputs'!$AZ$13)))*m2k*CONVERT(0.9072,"g","ton")</f>
        <v>26.996469192578637</v>
      </c>
      <c r="BM138" s="123" t="s">
        <v>204</v>
      </c>
      <c r="BN138" s="125">
        <f>BN27/293.07*(1/(VLOOKUP($BM138,'Fuel economy adjusted factor'!$A$2:$L$52,5,FALSE)*m2k))</f>
        <v>101.84957995694771</v>
      </c>
      <c r="BO138" s="125">
        <f>BO27/293.07*(1/(VLOOKUP($BM138,'Fuel economy adjusted factor'!$A$2:$L$52,5,FALSE)*m2k))</f>
        <v>101.84957995694771</v>
      </c>
      <c r="BP138" s="125">
        <f>BP27/293.07*(1/(VLOOKUP($BM138,'Fuel economy adjusted factor'!$A$2:$L$52,5,FALSE)*m2k))</f>
        <v>89.459127747112873</v>
      </c>
      <c r="BQ138" s="125">
        <f>BQ27/293.07*(1/(VLOOKUP($BM138,'Fuel economy adjusted factor'!$A$2:$L$52,5,FALSE)*m2k))</f>
        <v>89.459127747112873</v>
      </c>
      <c r="BR138" s="125">
        <f>BR27/293.07*(1/(VLOOKUP($BM138,'Fuel economy adjusted factor'!$A$2:$L$52,5,FALSE)*m2k))</f>
        <v>89.459127747112873</v>
      </c>
      <c r="BS138" s="125">
        <f>BS27/293.07*(1/(VLOOKUP($BM138,'Fuel economy adjusted factor'!$A$2:$L$52,5,FALSE)*m2k))</f>
        <v>89.459127747112873</v>
      </c>
      <c r="BT138" s="125">
        <f>BT27/293.07*(1/(VLOOKUP($BM138,'Fuel economy adjusted factor'!$A$2:$L$52,5,FALSE)*m2k))</f>
        <v>89.459127747112873</v>
      </c>
      <c r="BU138" s="125">
        <f>BU27/293.07*(1/(VLOOKUP($BM138,'Fuel economy adjusted factor'!$A$2:$L$52,5,FALSE)*m2k))</f>
        <v>101.40768051477508</v>
      </c>
      <c r="BV138" s="125">
        <f>BV27/293.07*(1/(VLOOKUP($BM138,'Fuel economy adjusted factor'!$A$2:$L$52,5,FALSE)*m2k))</f>
        <v>101.40768051477508</v>
      </c>
      <c r="BW138" s="125">
        <f>BW27/293.07*(1/(VLOOKUP($BM138,'Fuel economy adjusted factor'!$A$2:$L$52,5,FALSE)*m2k))</f>
        <v>101.40768051477508</v>
      </c>
      <c r="BX138" s="125">
        <f>BX27/293.07*(1/(VLOOKUP($BM138,'Fuel economy adjusted factor'!$A$2:$L$52,5,FALSE)*m2k))</f>
        <v>101.40768051477508</v>
      </c>
      <c r="BY138" s="125">
        <f>BY27/293.07*(1/(VLOOKUP($BM138,'Fuel economy adjusted factor'!$A$2:$L$52,5,FALSE)*m2k))</f>
        <v>101.40768051477508</v>
      </c>
      <c r="BZ138" s="125">
        <f>BZ27/293.07*(1/(VLOOKUP($BM138,'Fuel economy adjusted factor'!$A$2:$L$52,5,FALSE)*m2k))</f>
        <v>103.84636891056608</v>
      </c>
      <c r="CA138" s="125">
        <f>CA27/293.07*(1/(VLOOKUP($BM138,'Fuel economy adjusted factor'!$A$2:$L$52,5,FALSE)*m2k))</f>
        <v>103.84636891056608</v>
      </c>
      <c r="CB138" s="125">
        <f>CB27/293.07*(1/(VLOOKUP($BM138,'Fuel economy adjusted factor'!$A$2:$L$52,5,FALSE)*m2k))</f>
        <v>103.84636891056608</v>
      </c>
      <c r="CC138" s="125">
        <f>CC27/293.07*(1/(VLOOKUP($BM138,'Fuel economy adjusted factor'!$A$2:$L$52,5,FALSE)*m2k))</f>
        <v>103.84636891056608</v>
      </c>
      <c r="CD138" s="125">
        <f>CD27/293.07*(1/(VLOOKUP($BM138,'Fuel economy adjusted factor'!$A$2:$L$52,5,FALSE)*m2k))</f>
        <v>103.84636891056608</v>
      </c>
      <c r="CE138" s="125">
        <f>CE27/293.07*(1/(VLOOKUP($BM138,'Fuel economy adjusted factor'!$A$2:$L$52,5,FALSE)*m2k))</f>
        <v>106.41299622123124</v>
      </c>
      <c r="CF138" s="125">
        <f>CF27/293.07*(1/(VLOOKUP($BM138,'Fuel economy adjusted factor'!$A$2:$L$52,5,FALSE)*m2k))</f>
        <v>106.41299622123124</v>
      </c>
      <c r="CG138" s="125">
        <f>CG27/293.07*(1/(VLOOKUP($BM138,'Fuel economy adjusted factor'!$A$2:$L$52,5,FALSE)*m2k))</f>
        <v>106.41299622123124</v>
      </c>
      <c r="CH138" s="125">
        <f>CH27/293.07*(1/(VLOOKUP($BM138,'Fuel economy adjusted factor'!$A$2:$L$52,5,FALSE)*m2k))</f>
        <v>106.41299622123124</v>
      </c>
      <c r="CI138" s="125">
        <f>CI27/293.07*(1/(VLOOKUP($BM138,'Fuel economy adjusted factor'!$A$2:$L$52,5,FALSE)*m2k))</f>
        <v>106.41299622123124</v>
      </c>
      <c r="CJ138" s="125">
        <f>CJ27/293.07*(1/(VLOOKUP($BM138,'Fuel economy adjusted factor'!$A$2:$L$52,5,FALSE)*m2k))</f>
        <v>107.02207964419028</v>
      </c>
      <c r="CK138" s="125">
        <f>CK27/293.07*(1/(VLOOKUP($BM138,'Fuel economy adjusted factor'!$A$2:$L$52,5,FALSE)*m2k))</f>
        <v>107.02207964419028</v>
      </c>
      <c r="CL138" s="125">
        <f>CL27/293.07*(1/(VLOOKUP($BM138,'Fuel economy adjusted factor'!$A$2:$L$52,5,FALSE)*m2k))</f>
        <v>107.02207964419028</v>
      </c>
      <c r="CM138" s="125">
        <f>CM27/293.07*(1/(VLOOKUP($BM138,'Fuel economy adjusted factor'!$A$2:$L$52,5,FALSE)*m2k))</f>
        <v>107.02207964419028</v>
      </c>
      <c r="CN138" s="125">
        <f>CN27/293.07*(1/(VLOOKUP($BM138,'Fuel economy adjusted factor'!$A$2:$L$52,5,FALSE)*m2k))</f>
        <v>107.02207964419028</v>
      </c>
      <c r="CO138" s="125">
        <f>CO27/293.07*(1/(VLOOKUP($BM138,'Fuel economy adjusted factor'!$A$2:$L$52,5,FALSE)*m2k))</f>
        <v>107.74968316620453</v>
      </c>
      <c r="CP138" s="98" cm="1">
        <f t="array" ref="CP138">SUMPRODUCT(INDEX(BN138:CO138,,'TCO Inputs'!$AZ$12-2023+_xlfn.SEQUENCE('TCO Inputs'!$AZ$13))*INDEX('VKT US'!C84:AA84,,_xlfn.SEQUENCE('TCO Inputs'!$AZ$13)))*m2k*CONVERT(0.9072,"g","ton")</f>
        <v>29.404920880301688</v>
      </c>
      <c r="CQ138" s="194"/>
      <c r="CR138" s="123" t="s">
        <v>204</v>
      </c>
      <c r="CS138" s="125">
        <f>CS27/293.07*(1/(VLOOKUP($BM138,'Fuel economy adjusted factor'!$A$2:$L$52,5,FALSE)*m2k))/'TCO Inputs'!$AZ$84</f>
        <v>145.07377235810654</v>
      </c>
      <c r="CT138" s="125">
        <f>CT27/293.07*(1/(VLOOKUP($BM138,'Fuel economy adjusted factor'!$A$2:$L$52,5,FALSE)*m2k))/'TCO Inputs'!$AZ$84</f>
        <v>145.07377235810657</v>
      </c>
      <c r="CU138" s="125">
        <f>CU27/293.07*(1/(VLOOKUP($BM138,'Fuel economy adjusted factor'!$A$2:$L$52,5,FALSE)*m2k))/'TCO Inputs'!$AZ$84</f>
        <v>145.07377235810657</v>
      </c>
      <c r="CV138" s="125">
        <f>CV27/293.07*(1/(VLOOKUP($BM138,'Fuel economy adjusted factor'!$A$2:$L$52,5,FALSE)*m2k))/'TCO Inputs'!$AZ$84</f>
        <v>145.07377235810657</v>
      </c>
      <c r="CW138" s="125">
        <f>CW27/293.07*(1/(VLOOKUP($BM138,'Fuel economy adjusted factor'!$A$2:$L$52,5,FALSE)*m2k))/'TCO Inputs'!$AZ$84</f>
        <v>145.07377235810657</v>
      </c>
      <c r="CX138" s="125">
        <f>CX27/293.07*(1/(VLOOKUP($BM138,'Fuel economy adjusted factor'!$A$2:$L$52,5,FALSE)*m2k))/'TCO Inputs'!$AZ$84</f>
        <v>145.07377235810657</v>
      </c>
      <c r="CY138" s="125">
        <f>CY27/293.07*(1/(VLOOKUP($BM138,'Fuel economy adjusted factor'!$A$2:$L$52,5,FALSE)*m2k))/'TCO Inputs'!$AZ$84</f>
        <v>145.07377235810657</v>
      </c>
      <c r="CZ138" s="125">
        <f>CZ27/293.07*(1/(VLOOKUP($BM138,'Fuel economy adjusted factor'!$A$2:$L$52,5,FALSE)*m2k))/'TCO Inputs'!$AZ$84</f>
        <v>145.106091824152</v>
      </c>
      <c r="DA138" s="125">
        <f>DA27/293.07*(1/(VLOOKUP($BM138,'Fuel economy adjusted factor'!$A$2:$L$52,5,FALSE)*m2k))/'TCO Inputs'!$AZ$84</f>
        <v>145.106091824152</v>
      </c>
      <c r="DB138" s="125">
        <f>DB27/293.07*(1/(VLOOKUP($BM138,'Fuel economy adjusted factor'!$A$2:$L$52,5,FALSE)*m2k))/'TCO Inputs'!$AZ$84</f>
        <v>145.106091824152</v>
      </c>
      <c r="DC138" s="125">
        <f>DC27/293.07*(1/(VLOOKUP($BM138,'Fuel economy adjusted factor'!$A$2:$L$52,5,FALSE)*m2k))/'TCO Inputs'!$AZ$84</f>
        <v>145.106091824152</v>
      </c>
      <c r="DD138" s="125">
        <f>DD27/293.07*(1/(VLOOKUP($BM138,'Fuel economy adjusted factor'!$A$2:$L$52,5,FALSE)*m2k))/'TCO Inputs'!$AZ$84</f>
        <v>145.106091824152</v>
      </c>
      <c r="DE138" s="125">
        <f>DE27/293.07*(1/(VLOOKUP($BM138,'Fuel economy adjusted factor'!$A$2:$L$52,5,FALSE)*m2k))/'TCO Inputs'!$AZ$84</f>
        <v>145.08762355784032</v>
      </c>
      <c r="DF138" s="125">
        <f>DF27/293.07*(1/(VLOOKUP($BM138,'Fuel economy adjusted factor'!$A$2:$L$52,5,FALSE)*m2k))/'TCO Inputs'!$AZ$84</f>
        <v>145.08762355784032</v>
      </c>
      <c r="DG138" s="125">
        <f>DG27/293.07*(1/(VLOOKUP($BM138,'Fuel economy adjusted factor'!$A$2:$L$52,5,FALSE)*m2k))/'TCO Inputs'!$AZ$84</f>
        <v>145.08762355784032</v>
      </c>
      <c r="DH138" s="125">
        <f>DH27/293.07*(1/(VLOOKUP($BM138,'Fuel economy adjusted factor'!$A$2:$L$52,5,FALSE)*m2k))/'TCO Inputs'!$AZ$84</f>
        <v>145.08762355784032</v>
      </c>
      <c r="DI138" s="125">
        <f>DI27/293.07*(1/(VLOOKUP($BM138,'Fuel economy adjusted factor'!$A$2:$L$52,5,FALSE)*m2k))/'TCO Inputs'!$AZ$84</f>
        <v>145.08762355784032</v>
      </c>
      <c r="DJ138" s="125">
        <f>DJ27/293.07*(1/(VLOOKUP($BM138,'Fuel economy adjusted factor'!$A$2:$L$52,5,FALSE)*m2k))/'TCO Inputs'!$AZ$84</f>
        <v>145.08300649126241</v>
      </c>
      <c r="DK138" s="125">
        <f>DK27/293.07*(1/(VLOOKUP($BM138,'Fuel economy adjusted factor'!$A$2:$L$52,5,FALSE)*m2k))/'TCO Inputs'!$AZ$84</f>
        <v>145.08300649126241</v>
      </c>
      <c r="DL138" s="125">
        <f>DL27/293.07*(1/(VLOOKUP($BM138,'Fuel economy adjusted factor'!$A$2:$L$52,5,FALSE)*m2k))/'TCO Inputs'!$AZ$84</f>
        <v>145.08300649126241</v>
      </c>
      <c r="DM138" s="125">
        <f>DM27/293.07*(1/(VLOOKUP($BM138,'Fuel economy adjusted factor'!$A$2:$L$52,5,FALSE)*m2k))/'TCO Inputs'!$AZ$84</f>
        <v>145.08300649126241</v>
      </c>
      <c r="DN138" s="125">
        <f>DN27/293.07*(1/(VLOOKUP($BM138,'Fuel economy adjusted factor'!$A$2:$L$52,5,FALSE)*m2k))/'TCO Inputs'!$AZ$84</f>
        <v>145.08300649126241</v>
      </c>
      <c r="DO138" s="125">
        <f>DO27/293.07*(1/(VLOOKUP($BM138,'Fuel economy adjusted factor'!$A$2:$L$52,5,FALSE)*m2k))/'TCO Inputs'!$AZ$84</f>
        <v>144.99343539965076</v>
      </c>
      <c r="DP138" s="125">
        <f>DP27/293.07*(1/(VLOOKUP($BM138,'Fuel economy adjusted factor'!$A$2:$L$52,5,FALSE)*m2k))/'TCO Inputs'!$AZ$84</f>
        <v>144.99343539965076</v>
      </c>
      <c r="DQ138" s="125">
        <f>DQ27/293.07*(1/(VLOOKUP($BM138,'Fuel economy adjusted factor'!$A$2:$L$52,5,FALSE)*m2k))/'TCO Inputs'!$AZ$84</f>
        <v>144.99343539965076</v>
      </c>
      <c r="DR138" s="125">
        <f>DR27/293.07*(1/(VLOOKUP($BM138,'Fuel economy adjusted factor'!$A$2:$L$52,5,FALSE)*m2k))/'TCO Inputs'!$AZ$84</f>
        <v>144.99343539965076</v>
      </c>
      <c r="DS138" s="125">
        <f>DS27/293.07*(1/(VLOOKUP($BM138,'Fuel economy adjusted factor'!$A$2:$L$52,5,FALSE)*m2k))/'TCO Inputs'!$AZ$84</f>
        <v>144.99343539965076</v>
      </c>
      <c r="DT138" s="125">
        <f>DT27/293.07*(1/(VLOOKUP($BM138,'Fuel economy adjusted factor'!$A$2:$L$52,5,FALSE)*m2k))/'TCO Inputs'!$AZ$84</f>
        <v>145.06823187821306</v>
      </c>
      <c r="DU138" s="98" cm="1">
        <f t="array" ref="DU138">SUMPRODUCT(INDEX(CS138:DT138,,'TCO Inputs'!$AZ$12-2023+_xlfn.SEQUENCE('TCO Inputs'!$AZ$13))*INDEX('VKT US'!C84:AA84,,_xlfn.SEQUENCE('TCO Inputs'!$AZ$13)))*m2k*CONVERT(0.9072,"g","ton")</f>
        <v>43.881641273229015</v>
      </c>
      <c r="DW138" s="123" t="s">
        <v>204</v>
      </c>
      <c r="DX138" s="125">
        <f>DX27/293.07*(1/(VLOOKUP($BM138,'Fuel economy adjusted factor'!$A$2:$L$52,5,FALSE)*m2k))/'TCO Inputs'!$AZ$84</f>
        <v>151.86454996696543</v>
      </c>
      <c r="DY138" s="125">
        <f>DY27/293.07*(1/(VLOOKUP($BM138,'Fuel economy adjusted factor'!$A$2:$L$52,5,FALSE)*m2k))/'TCO Inputs'!$AZ$84</f>
        <v>151.86454996696543</v>
      </c>
      <c r="DZ138" s="125">
        <f>DZ27/293.07*(1/(VLOOKUP($BM138,'Fuel economy adjusted factor'!$A$2:$L$52,5,FALSE)*m2k))/'TCO Inputs'!$AZ$84</f>
        <v>133.12450810333476</v>
      </c>
      <c r="EA138" s="125">
        <f>EA27/293.07*(1/(VLOOKUP($BM138,'Fuel economy adjusted factor'!$A$2:$L$52,5,FALSE)*m2k))/'TCO Inputs'!$AZ$84</f>
        <v>133.12450810333476</v>
      </c>
      <c r="EB138" s="125">
        <f>EB27/293.07*(1/(VLOOKUP($BM138,'Fuel economy adjusted factor'!$A$2:$L$52,5,FALSE)*m2k))/'TCO Inputs'!$AZ$84</f>
        <v>133.12450810333476</v>
      </c>
      <c r="EC138" s="125">
        <f>EC27/293.07*(1/(VLOOKUP($BM138,'Fuel economy adjusted factor'!$A$2:$L$52,5,FALSE)*m2k))/'TCO Inputs'!$AZ$84</f>
        <v>133.12450810333476</v>
      </c>
      <c r="ED138" s="125">
        <f>ED27/293.07*(1/(VLOOKUP($BM138,'Fuel economy adjusted factor'!$A$2:$L$52,5,FALSE)*m2k))/'TCO Inputs'!$AZ$84</f>
        <v>133.12450810333476</v>
      </c>
      <c r="EE138" s="125">
        <f>EE27/293.07*(1/(VLOOKUP($BM138,'Fuel economy adjusted factor'!$A$2:$L$52,5,FALSE)*m2k))/'TCO Inputs'!$AZ$84</f>
        <v>82.049453068249164</v>
      </c>
      <c r="EF138" s="125">
        <f>EF27/293.07*(1/(VLOOKUP($BM138,'Fuel economy adjusted factor'!$A$2:$L$52,5,FALSE)*m2k))/'TCO Inputs'!$AZ$84</f>
        <v>82.049453068249164</v>
      </c>
      <c r="EG138" s="125">
        <f>EG27/293.07*(1/(VLOOKUP($BM138,'Fuel economy adjusted factor'!$A$2:$L$52,5,FALSE)*m2k))/'TCO Inputs'!$AZ$84</f>
        <v>82.049453068249164</v>
      </c>
      <c r="EH138" s="125">
        <f>EH27/293.07*(1/(VLOOKUP($BM138,'Fuel economy adjusted factor'!$A$2:$L$52,5,FALSE)*m2k))/'TCO Inputs'!$AZ$84</f>
        <v>82.049453068249164</v>
      </c>
      <c r="EI138" s="125">
        <f>EI27/293.07*(1/(VLOOKUP($BM138,'Fuel economy adjusted factor'!$A$2:$L$52,5,FALSE)*m2k))/'TCO Inputs'!$AZ$84</f>
        <v>82.049453068249164</v>
      </c>
      <c r="EJ138" s="125">
        <f>EJ27/293.07*(1/(VLOOKUP($BM138,'Fuel economy adjusted factor'!$A$2:$L$52,5,FALSE)*m2k))/'TCO Inputs'!$AZ$84</f>
        <v>73.279802168695468</v>
      </c>
      <c r="EK138" s="125">
        <f>EK27/293.07*(1/(VLOOKUP($BM138,'Fuel economy adjusted factor'!$A$2:$L$52,5,FALSE)*m2k))/'TCO Inputs'!$AZ$84</f>
        <v>73.279802168695468</v>
      </c>
      <c r="EL138" s="125">
        <f>EL27/293.07*(1/(VLOOKUP($BM138,'Fuel economy adjusted factor'!$A$2:$L$52,5,FALSE)*m2k))/'TCO Inputs'!$AZ$84</f>
        <v>73.279802168695468</v>
      </c>
      <c r="EM138" s="125">
        <f>EM27/293.07*(1/(VLOOKUP($BM138,'Fuel economy adjusted factor'!$A$2:$L$52,5,FALSE)*m2k))/'TCO Inputs'!$AZ$84</f>
        <v>73.279802168695468</v>
      </c>
      <c r="EN138" s="125">
        <f>EN27/293.07*(1/(VLOOKUP($BM138,'Fuel economy adjusted factor'!$A$2:$L$52,5,FALSE)*m2k))/'TCO Inputs'!$AZ$84</f>
        <v>73.279802168695468</v>
      </c>
      <c r="EO138" s="125">
        <f>EO27/293.07*(1/(VLOOKUP($BM138,'Fuel economy adjusted factor'!$A$2:$L$52,5,FALSE)*m2k))/'TCO Inputs'!$AZ$84</f>
        <v>70.973352677902596</v>
      </c>
      <c r="EP138" s="125">
        <f>EP27/293.07*(1/(VLOOKUP($BM138,'Fuel economy adjusted factor'!$A$2:$L$52,5,FALSE)*m2k))/'TCO Inputs'!$AZ$84</f>
        <v>70.973352677902596</v>
      </c>
      <c r="EQ138" s="125">
        <f>EQ27/293.07*(1/(VLOOKUP($BM138,'Fuel economy adjusted factor'!$A$2:$L$52,5,FALSE)*m2k))/'TCO Inputs'!$AZ$84</f>
        <v>70.973352677902596</v>
      </c>
      <c r="ER138" s="125">
        <f>ER27/293.07*(1/(VLOOKUP($BM138,'Fuel economy adjusted factor'!$A$2:$L$52,5,FALSE)*m2k))/'TCO Inputs'!$AZ$84</f>
        <v>70.973352677902596</v>
      </c>
      <c r="ES138" s="125">
        <f>ES27/293.07*(1/(VLOOKUP($BM138,'Fuel economy adjusted factor'!$A$2:$L$52,5,FALSE)*m2k))/'TCO Inputs'!$AZ$84</f>
        <v>70.973352677902596</v>
      </c>
      <c r="ET138" s="125">
        <f>ET27/293.07*(1/(VLOOKUP($BM138,'Fuel economy adjusted factor'!$A$2:$L$52,5,FALSE)*m2k))/'TCO Inputs'!$AZ$84</f>
        <v>68.338208979502795</v>
      </c>
      <c r="EU138" s="125">
        <f>EU27/293.07*(1/(VLOOKUP($BM138,'Fuel economy adjusted factor'!$A$2:$L$52,5,FALSE)*m2k))/'TCO Inputs'!$AZ$84</f>
        <v>68.338208979502795</v>
      </c>
      <c r="EV138" s="125">
        <f>EV27/293.07*(1/(VLOOKUP($BM138,'Fuel economy adjusted factor'!$A$2:$L$52,5,FALSE)*m2k))/'TCO Inputs'!$AZ$84</f>
        <v>68.338208979502795</v>
      </c>
      <c r="EW138" s="125">
        <f>EW27/293.07*(1/(VLOOKUP($BM138,'Fuel economy adjusted factor'!$A$2:$L$52,5,FALSE)*m2k))/'TCO Inputs'!$AZ$84</f>
        <v>68.338208979502795</v>
      </c>
      <c r="EX138" s="125">
        <f>EX27/293.07*(1/(VLOOKUP($BM138,'Fuel economy adjusted factor'!$A$2:$L$52,5,FALSE)*m2k))/'TCO Inputs'!$AZ$84</f>
        <v>68.338208979502795</v>
      </c>
      <c r="EY138" s="125">
        <f>EY27/293.07*(1/(VLOOKUP($BM138,'Fuel economy adjusted factor'!$A$2:$L$52,5,FALSE)*m2k))/'TCO Inputs'!$AZ$84</f>
        <v>64.206053226729921</v>
      </c>
      <c r="EZ138" s="98" cm="1">
        <f t="array" ref="EZ138">SUMPRODUCT(INDEX(DX138:EY138,,'TCO Inputs'!$AZ$12-2023+_xlfn.SEQUENCE('TCO Inputs'!$AZ$13))*INDEX('VKT US'!C84:AA84,,_xlfn.SEQUENCE('TCO Inputs'!$AZ$13)))*m2k*CONVERT(0.9072,"g","ton")</f>
        <v>33.956155816282696</v>
      </c>
      <c r="FB138" s="123" t="s">
        <v>204</v>
      </c>
      <c r="FC138" s="125">
        <f>FC27/293.07*(1/(VLOOKUP($BM138,'Fuel economy adjusted factor'!$A$2:$L$52,5,FALSE)*m2k))/'TCO Inputs'!$AZ$84</f>
        <v>164.71940030391963</v>
      </c>
      <c r="FD138" s="125">
        <f>FD27/293.07*(1/(VLOOKUP($BM138,'Fuel economy adjusted factor'!$A$2:$L$52,5,FALSE)*m2k))/'TCO Inputs'!$AZ$84</f>
        <v>164.71940030391963</v>
      </c>
      <c r="FE138" s="125">
        <f>FE27/293.07*(1/(VLOOKUP($BM138,'Fuel economy adjusted factor'!$A$2:$L$52,5,FALSE)*m2k))/'TCO Inputs'!$AZ$84</f>
        <v>143.84955413589705</v>
      </c>
      <c r="FF138" s="125">
        <f>FF27/293.07*(1/(VLOOKUP($BM138,'Fuel economy adjusted factor'!$A$2:$L$52,5,FALSE)*m2k))/'TCO Inputs'!$AZ$84</f>
        <v>143.84955413589705</v>
      </c>
      <c r="FG138" s="125">
        <f>FG27/293.07*(1/(VLOOKUP($BM138,'Fuel economy adjusted factor'!$A$2:$L$52,5,FALSE)*m2k))/'TCO Inputs'!$AZ$84</f>
        <v>143.84955413589705</v>
      </c>
      <c r="FH138" s="125">
        <f>FH27/293.07*(1/(VLOOKUP($BM138,'Fuel economy adjusted factor'!$A$2:$L$52,5,FALSE)*m2k))/'TCO Inputs'!$AZ$84</f>
        <v>143.84955413589705</v>
      </c>
      <c r="FI138" s="125">
        <f>FI27/293.07*(1/(VLOOKUP($BM138,'Fuel economy adjusted factor'!$A$2:$L$52,5,FALSE)*m2k))/'TCO Inputs'!$AZ$84</f>
        <v>143.84955413589705</v>
      </c>
      <c r="FJ138" s="125">
        <f>FJ27/293.07*(1/(VLOOKUP($BM138,'Fuel economy adjusted factor'!$A$2:$L$52,5,FALSE)*m2k))/'TCO Inputs'!$AZ$84</f>
        <v>90.269044273440258</v>
      </c>
      <c r="FK138" s="125">
        <f>FK27/293.07*(1/(VLOOKUP($BM138,'Fuel economy adjusted factor'!$A$2:$L$52,5,FALSE)*m2k))/'TCO Inputs'!$AZ$84</f>
        <v>90.269044273440258</v>
      </c>
      <c r="FL138" s="125">
        <f>FL27/293.07*(1/(VLOOKUP($BM138,'Fuel economy adjusted factor'!$A$2:$L$52,5,FALSE)*m2k))/'TCO Inputs'!$AZ$84</f>
        <v>90.269044273440258</v>
      </c>
      <c r="FM138" s="125">
        <f>FM27/293.07*(1/(VLOOKUP($BM138,'Fuel economy adjusted factor'!$A$2:$L$52,5,FALSE)*m2k))/'TCO Inputs'!$AZ$84</f>
        <v>90.269044273440258</v>
      </c>
      <c r="FN138" s="125">
        <f>FN27/293.07*(1/(VLOOKUP($BM138,'Fuel economy adjusted factor'!$A$2:$L$52,5,FALSE)*m2k))/'TCO Inputs'!$AZ$84</f>
        <v>90.269044273440258</v>
      </c>
      <c r="FO138" s="125">
        <f>FO27/293.07*(1/(VLOOKUP($BM138,'Fuel economy adjusted factor'!$A$2:$L$52,5,FALSE)*m2k))/'TCO Inputs'!$AZ$84</f>
        <v>80.154430340719415</v>
      </c>
      <c r="FP138" s="125">
        <f>FP27/293.07*(1/(VLOOKUP($BM138,'Fuel economy adjusted factor'!$A$2:$L$52,5,FALSE)*m2k))/'TCO Inputs'!$AZ$84</f>
        <v>80.154430340719415</v>
      </c>
      <c r="FQ138" s="125">
        <f>FQ27/293.07*(1/(VLOOKUP($BM138,'Fuel economy adjusted factor'!$A$2:$L$52,5,FALSE)*m2k))/'TCO Inputs'!$AZ$84</f>
        <v>80.154430340719415</v>
      </c>
      <c r="FR138" s="125">
        <f>FR27/293.07*(1/(VLOOKUP($BM138,'Fuel economy adjusted factor'!$A$2:$L$52,5,FALSE)*m2k))/'TCO Inputs'!$AZ$84</f>
        <v>80.154430340719415</v>
      </c>
      <c r="FS138" s="125">
        <f>FS27/293.07*(1/(VLOOKUP($BM138,'Fuel economy adjusted factor'!$A$2:$L$52,5,FALSE)*m2k))/'TCO Inputs'!$AZ$84</f>
        <v>80.154430340719415</v>
      </c>
      <c r="FT138" s="125">
        <f>FT27/293.07*(1/(VLOOKUP($BM138,'Fuel economy adjusted factor'!$A$2:$L$52,5,FALSE)*m2k))/'TCO Inputs'!$AZ$84</f>
        <v>78.114066637036927</v>
      </c>
      <c r="FU138" s="125">
        <f>FU27/293.07*(1/(VLOOKUP($BM138,'Fuel economy adjusted factor'!$A$2:$L$52,5,FALSE)*m2k))/'TCO Inputs'!$AZ$84</f>
        <v>78.114066637036927</v>
      </c>
      <c r="FV138" s="125">
        <f>FV27/293.07*(1/(VLOOKUP($BM138,'Fuel economy adjusted factor'!$A$2:$L$52,5,FALSE)*m2k))/'TCO Inputs'!$AZ$84</f>
        <v>78.114066637036927</v>
      </c>
      <c r="FW138" s="125">
        <f>FW27/293.07*(1/(VLOOKUP($BM138,'Fuel economy adjusted factor'!$A$2:$L$52,5,FALSE)*m2k))/'TCO Inputs'!$AZ$84</f>
        <v>78.114066637036927</v>
      </c>
      <c r="FX138" s="125">
        <f>FX27/293.07*(1/(VLOOKUP($BM138,'Fuel economy adjusted factor'!$A$2:$L$52,5,FALSE)*m2k))/'TCO Inputs'!$AZ$84</f>
        <v>78.114066637036927</v>
      </c>
      <c r="FY138" s="125">
        <f>FY27/293.07*(1/(VLOOKUP($BM138,'Fuel economy adjusted factor'!$A$2:$L$52,5,FALSE)*m2k))/'TCO Inputs'!$AZ$84</f>
        <v>75.473332901092789</v>
      </c>
      <c r="FZ138" s="125">
        <f>FZ27/293.07*(1/(VLOOKUP($BM138,'Fuel economy adjusted factor'!$A$2:$L$52,5,FALSE)*m2k))/'TCO Inputs'!$AZ$84</f>
        <v>75.473332901092789</v>
      </c>
      <c r="GA138" s="125">
        <f>GA27/293.07*(1/(VLOOKUP($BM138,'Fuel economy adjusted factor'!$A$2:$L$52,5,FALSE)*m2k))/'TCO Inputs'!$AZ$84</f>
        <v>75.473332901092789</v>
      </c>
      <c r="GB138" s="125">
        <f>GB27/293.07*(1/(VLOOKUP($BM138,'Fuel economy adjusted factor'!$A$2:$L$52,5,FALSE)*m2k))/'TCO Inputs'!$AZ$84</f>
        <v>75.473332901092789</v>
      </c>
      <c r="GC138" s="125">
        <f>GC27/293.07*(1/(VLOOKUP($BM138,'Fuel economy adjusted factor'!$A$2:$L$52,5,FALSE)*m2k))/'TCO Inputs'!$AZ$84</f>
        <v>75.473332901092789</v>
      </c>
      <c r="GD138" s="125">
        <f>GD27/293.07*(1/(VLOOKUP($BM138,'Fuel economy adjusted factor'!$A$2:$L$52,5,FALSE)*m2k))/'TCO Inputs'!$AZ$84</f>
        <v>71.198072187184906</v>
      </c>
      <c r="GE138" s="98" cm="1">
        <f t="array" ref="GE138">SUMPRODUCT(INDEX(FC138:GD138,,'TCO Inputs'!$AZ$12-2023+_xlfn.SEQUENCE('TCO Inputs'!$AZ$13))*INDEX('VKT US'!C84:AA84,,_xlfn.SEQUENCE('TCO Inputs'!$AZ$13)))*m2k*CONVERT(0.9072,"g","ton")</f>
        <v>36.919291701431796</v>
      </c>
      <c r="GH138" s="123" t="s">
        <v>204</v>
      </c>
      <c r="GI138" s="125">
        <f>GI27/293.07*(1/(VLOOKUP($BM138,'Fuel economy adjusted factor'!$A$2:$L$52,5,FALSE)*m2k))/'TCO Inputs'!$AZ$84</f>
        <v>143.11502320257136</v>
      </c>
      <c r="GJ138" s="125">
        <f>GJ27/293.07*(1/(VLOOKUP($BM138,'Fuel economy adjusted factor'!$A$2:$L$52,5,FALSE)*m2k))/'TCO Inputs'!$AZ$84</f>
        <v>143.11502320257136</v>
      </c>
      <c r="GK138" s="125">
        <f>GK27/293.07*(1/(VLOOKUP($BM138,'Fuel economy adjusted factor'!$A$2:$L$52,5,FALSE)*m2k))/'TCO Inputs'!$AZ$84</f>
        <v>125.8250370779413</v>
      </c>
      <c r="GL138" s="125">
        <f>GL27/293.07*(1/(VLOOKUP($BM138,'Fuel economy adjusted factor'!$A$2:$L$52,5,FALSE)*m2k))/'TCO Inputs'!$AZ$84</f>
        <v>125.8250370779413</v>
      </c>
      <c r="GM138" s="125">
        <f>GM27/293.07*(1/(VLOOKUP($BM138,'Fuel economy adjusted factor'!$A$2:$L$52,5,FALSE)*m2k))/'TCO Inputs'!$AZ$84</f>
        <v>125.8250370779413</v>
      </c>
      <c r="GN138" s="125">
        <f>GN27/293.07*(1/(VLOOKUP($BM138,'Fuel economy adjusted factor'!$A$2:$L$52,5,FALSE)*m2k))/'TCO Inputs'!$AZ$84</f>
        <v>125.8250370779413</v>
      </c>
      <c r="GO138" s="125">
        <f>GO27/293.07*(1/(VLOOKUP($BM138,'Fuel economy adjusted factor'!$A$2:$L$52,5,FALSE)*m2k))/'TCO Inputs'!$AZ$84</f>
        <v>125.8250370779413</v>
      </c>
      <c r="GP138" s="125">
        <f>GP27/293.07*(1/(VLOOKUP($BM138,'Fuel economy adjusted factor'!$A$2:$L$52,5,FALSE)*m2k))/'TCO Inputs'!$AZ$84</f>
        <v>76.454943493878105</v>
      </c>
      <c r="GQ138" s="125">
        <f>GQ27/293.07*(1/(VLOOKUP($BM138,'Fuel economy adjusted factor'!$A$2:$L$52,5,FALSE)*m2k))/'TCO Inputs'!$AZ$84</f>
        <v>76.454943493878105</v>
      </c>
      <c r="GR138" s="125">
        <f>GR27/293.07*(1/(VLOOKUP($BM138,'Fuel economy adjusted factor'!$A$2:$L$52,5,FALSE)*m2k))/'TCO Inputs'!$AZ$84</f>
        <v>76.454943493878105</v>
      </c>
      <c r="GS138" s="125">
        <f>GS27/293.07*(1/(VLOOKUP($BM138,'Fuel economy adjusted factor'!$A$2:$L$52,5,FALSE)*m2k))/'TCO Inputs'!$AZ$84</f>
        <v>76.454943493878105</v>
      </c>
      <c r="GT138" s="125">
        <f>GT27/293.07*(1/(VLOOKUP($BM138,'Fuel economy adjusted factor'!$A$2:$L$52,5,FALSE)*m2k))/'TCO Inputs'!$AZ$84</f>
        <v>76.454943493878105</v>
      </c>
      <c r="GU138" s="125">
        <f>GU27/293.07*(1/(VLOOKUP($BM138,'Fuel economy adjusted factor'!$A$2:$L$52,5,FALSE)*m2k))/'TCO Inputs'!$AZ$84</f>
        <v>68.600940744086571</v>
      </c>
      <c r="GV138" s="125">
        <f>GV27/293.07*(1/(VLOOKUP($BM138,'Fuel economy adjusted factor'!$A$2:$L$52,5,FALSE)*m2k))/'TCO Inputs'!$AZ$84</f>
        <v>68.600940744086571</v>
      </c>
      <c r="GW138" s="125">
        <f>GW27/293.07*(1/(VLOOKUP($BM138,'Fuel economy adjusted factor'!$A$2:$L$52,5,FALSE)*m2k))/'TCO Inputs'!$AZ$84</f>
        <v>68.600940744086571</v>
      </c>
      <c r="GX138" s="125">
        <f>GX27/293.07*(1/(VLOOKUP($BM138,'Fuel economy adjusted factor'!$A$2:$L$52,5,FALSE)*m2k))/'TCO Inputs'!$AZ$84</f>
        <v>68.600940744086571</v>
      </c>
      <c r="GY138" s="125">
        <f>GY27/293.07*(1/(VLOOKUP($BM138,'Fuel economy adjusted factor'!$A$2:$L$52,5,FALSE)*m2k))/'TCO Inputs'!$AZ$84</f>
        <v>68.600940744086571</v>
      </c>
      <c r="GZ138" s="125">
        <f>GZ27/293.07*(1/(VLOOKUP($BM138,'Fuel economy adjusted factor'!$A$2:$L$52,5,FALSE)*m2k))/'TCO Inputs'!$AZ$84</f>
        <v>66.113374036857223</v>
      </c>
      <c r="HA138" s="125">
        <f>HA27/293.07*(1/(VLOOKUP($BM138,'Fuel economy adjusted factor'!$A$2:$L$52,5,FALSE)*m2k))/'TCO Inputs'!$AZ$84</f>
        <v>66.113374036857223</v>
      </c>
      <c r="HB138" s="125">
        <f>HB27/293.07*(1/(VLOOKUP($BM138,'Fuel economy adjusted factor'!$A$2:$L$52,5,FALSE)*m2k))/'TCO Inputs'!$AZ$84</f>
        <v>66.113374036857223</v>
      </c>
      <c r="HC138" s="125">
        <f>HC27/293.07*(1/(VLOOKUP($BM138,'Fuel economy adjusted factor'!$A$2:$L$52,5,FALSE)*m2k))/'TCO Inputs'!$AZ$84</f>
        <v>66.113374036857223</v>
      </c>
      <c r="HD138" s="125">
        <f>HD27/293.07*(1/(VLOOKUP($BM138,'Fuel economy adjusted factor'!$A$2:$L$52,5,FALSE)*m2k))/'TCO Inputs'!$AZ$84</f>
        <v>66.113374036857223</v>
      </c>
      <c r="HE138" s="125">
        <f>HE27/293.07*(1/(VLOOKUP($BM138,'Fuel economy adjusted factor'!$A$2:$L$52,5,FALSE)*m2k))/'TCO Inputs'!$AZ$84</f>
        <v>63.481584360984023</v>
      </c>
      <c r="HF138" s="125">
        <f>HF27/293.07*(1/(VLOOKUP($BM138,'Fuel economy adjusted factor'!$A$2:$L$52,5,FALSE)*m2k))/'TCO Inputs'!$AZ$84</f>
        <v>63.481584360984023</v>
      </c>
      <c r="HG138" s="125">
        <f>HG27/293.07*(1/(VLOOKUP($BM138,'Fuel economy adjusted factor'!$A$2:$L$52,5,FALSE)*m2k))/'TCO Inputs'!$AZ$84</f>
        <v>63.481584360984023</v>
      </c>
      <c r="HH138" s="125">
        <f>HH27/293.07*(1/(VLOOKUP($BM138,'Fuel economy adjusted factor'!$A$2:$L$52,5,FALSE)*m2k))/'TCO Inputs'!$AZ$84</f>
        <v>63.481584360984023</v>
      </c>
      <c r="HI138" s="125">
        <f>HI27/293.07*(1/(VLOOKUP($BM138,'Fuel economy adjusted factor'!$A$2:$L$52,5,FALSE)*m2k))/'TCO Inputs'!$AZ$84</f>
        <v>63.481584360984023</v>
      </c>
      <c r="HJ138" s="125">
        <f>HJ27/293.07*(1/(VLOOKUP($BM138,'Fuel economy adjusted factor'!$A$2:$L$52,5,FALSE)*m2k))/'TCO Inputs'!$AZ$84</f>
        <v>59.447813268991453</v>
      </c>
      <c r="HK138" s="98" cm="1">
        <f t="array" ref="HK138">SUMPRODUCT(INDEX(GI138:HJ138,,'TCO Inputs'!$AZ$12-2023+_xlfn.SEQUENCE('TCO Inputs'!$AZ$13))*INDEX('VKT US'!C84:AA84,,_xlfn.SEQUENCE('TCO Inputs'!$AZ$13)))*m2k*CONVERT(0.9072,"g","ton")</f>
        <v>31.939393476894978</v>
      </c>
    </row>
    <row r="139" spans="17:219" x14ac:dyDescent="0.25">
      <c r="Z139" s="123" t="s">
        <v>205</v>
      </c>
      <c r="AA139" s="125">
        <f>AA28/293.07*(1/(VLOOKUP($Z139,'Fuel economy adjusted factor'!$A$2:$L$52,5,FALSE)*m2k))/'TCO Inputs'!$AZ$84</f>
        <v>102.39088049050333</v>
      </c>
      <c r="AB139" s="125">
        <f>AB28/293.07*(1/(VLOOKUP($Z139,'Fuel economy adjusted factor'!$A$2:$L$52,5,FALSE)*m2k))/'TCO Inputs'!$AZ$84</f>
        <v>102.39088049050333</v>
      </c>
      <c r="AC139" s="125">
        <f>AC28/293.07*(1/(VLOOKUP($Z139,'Fuel economy adjusted factor'!$A$2:$L$52,5,FALSE)*m2k))/'TCO Inputs'!$AZ$84</f>
        <v>90.052148527663945</v>
      </c>
      <c r="AD139" s="125">
        <f>AD28/293.07*(1/(VLOOKUP($Z139,'Fuel economy adjusted factor'!$A$2:$L$52,5,FALSE)*m2k))/'TCO Inputs'!$AZ$84</f>
        <v>90.052148527663945</v>
      </c>
      <c r="AE139" s="125">
        <f>AE28/293.07*(1/(VLOOKUP($Z139,'Fuel economy adjusted factor'!$A$2:$L$52,5,FALSE)*m2k))/'TCO Inputs'!$AZ$84</f>
        <v>90.052148527663945</v>
      </c>
      <c r="AF139" s="125">
        <f>AF28/293.07*(1/(VLOOKUP($Z139,'Fuel economy adjusted factor'!$A$2:$L$52,5,FALSE)*m2k))/'TCO Inputs'!$AZ$84</f>
        <v>90.052148527663945</v>
      </c>
      <c r="AG139" s="125">
        <f>AG28/293.07*(1/(VLOOKUP($Z139,'Fuel economy adjusted factor'!$A$2:$L$52,5,FALSE)*m2k))/'TCO Inputs'!$AZ$84</f>
        <v>90.052148527663945</v>
      </c>
      <c r="AH139" s="125">
        <f>AH28/293.07*(1/(VLOOKUP($Z139,'Fuel economy adjusted factor'!$A$2:$L$52,5,FALSE)*m2k))/'TCO Inputs'!$AZ$84</f>
        <v>54.106724479880803</v>
      </c>
      <c r="AI139" s="125">
        <f>AI28/293.07*(1/(VLOOKUP($Z139,'Fuel economy adjusted factor'!$A$2:$L$52,5,FALSE)*m2k))/'TCO Inputs'!$AZ$84</f>
        <v>54.106724479880803</v>
      </c>
      <c r="AJ139" s="125">
        <f>AJ28/293.07*(1/(VLOOKUP($Z139,'Fuel economy adjusted factor'!$A$2:$L$52,5,FALSE)*m2k))/'TCO Inputs'!$AZ$84</f>
        <v>54.106724479880803</v>
      </c>
      <c r="AK139" s="125">
        <f>AK28/293.07*(1/(VLOOKUP($Z139,'Fuel economy adjusted factor'!$A$2:$L$52,5,FALSE)*m2k))/'TCO Inputs'!$AZ$84</f>
        <v>54.106724479880803</v>
      </c>
      <c r="AL139" s="125">
        <f>AL28/293.07*(1/(VLOOKUP($Z139,'Fuel economy adjusted factor'!$A$2:$L$52,5,FALSE)*m2k))/'TCO Inputs'!$AZ$84</f>
        <v>54.106724479880803</v>
      </c>
      <c r="AM139" s="125">
        <f>AM28/293.07*(1/(VLOOKUP($Z139,'Fuel economy adjusted factor'!$A$2:$L$52,5,FALSE)*m2k))/'TCO Inputs'!$AZ$84</f>
        <v>56.621499613574557</v>
      </c>
      <c r="AN139" s="125">
        <f>AN28/293.07*(1/(VLOOKUP($Z139,'Fuel economy adjusted factor'!$A$2:$L$52,5,FALSE)*m2k))/'TCO Inputs'!$AZ$84</f>
        <v>56.621499613574557</v>
      </c>
      <c r="AO139" s="125">
        <f>AO28/293.07*(1/(VLOOKUP($Z139,'Fuel economy adjusted factor'!$A$2:$L$52,5,FALSE)*m2k))/'TCO Inputs'!$AZ$84</f>
        <v>56.621499613574557</v>
      </c>
      <c r="AP139" s="125">
        <f>AP28/293.07*(1/(VLOOKUP($Z139,'Fuel economy adjusted factor'!$A$2:$L$52,5,FALSE)*m2k))/'TCO Inputs'!$AZ$84</f>
        <v>56.621499613574557</v>
      </c>
      <c r="AQ139" s="125">
        <f>AQ28/293.07*(1/(VLOOKUP($Z139,'Fuel economy adjusted factor'!$A$2:$L$52,5,FALSE)*m2k))/'TCO Inputs'!$AZ$84</f>
        <v>56.621499613574557</v>
      </c>
      <c r="AR139" s="125">
        <f>AR28/293.07*(1/(VLOOKUP($Z139,'Fuel economy adjusted factor'!$A$2:$L$52,5,FALSE)*m2k))/'TCO Inputs'!$AZ$84</f>
        <v>59.189142627393011</v>
      </c>
      <c r="AS139" s="125">
        <f>AS28/293.07*(1/(VLOOKUP($Z139,'Fuel economy adjusted factor'!$A$2:$L$52,5,FALSE)*m2k))/'TCO Inputs'!$AZ$84</f>
        <v>59.189142627393011</v>
      </c>
      <c r="AT139" s="125">
        <f>AT28/293.07*(1/(VLOOKUP($Z139,'Fuel economy adjusted factor'!$A$2:$L$52,5,FALSE)*m2k))/'TCO Inputs'!$AZ$84</f>
        <v>59.189142627393011</v>
      </c>
      <c r="AU139" s="125">
        <f>AU28/293.07*(1/(VLOOKUP($Z139,'Fuel economy adjusted factor'!$A$2:$L$52,5,FALSE)*m2k))/'TCO Inputs'!$AZ$84</f>
        <v>59.189142627393011</v>
      </c>
      <c r="AV139" s="125">
        <f>AV28/293.07*(1/(VLOOKUP($Z139,'Fuel economy adjusted factor'!$A$2:$L$52,5,FALSE)*m2k))/'TCO Inputs'!$AZ$84</f>
        <v>59.189142627393011</v>
      </c>
      <c r="AW139" s="125">
        <f>AW28/293.07*(1/(VLOOKUP($Z139,'Fuel economy adjusted factor'!$A$2:$L$52,5,FALSE)*m2k))/'TCO Inputs'!$AZ$84</f>
        <v>60.487956518218219</v>
      </c>
      <c r="AX139" s="125">
        <f>AX28/293.07*(1/(VLOOKUP($Z139,'Fuel economy adjusted factor'!$A$2:$L$52,5,FALSE)*m2k))/'TCO Inputs'!$AZ$84</f>
        <v>60.487956518218219</v>
      </c>
      <c r="AY139" s="125">
        <f>AY28/293.07*(1/(VLOOKUP($Z139,'Fuel economy adjusted factor'!$A$2:$L$52,5,FALSE)*m2k))/'TCO Inputs'!$AZ$84</f>
        <v>60.487956518218219</v>
      </c>
      <c r="AZ139" s="125">
        <f>AZ28/293.07*(1/(VLOOKUP($Z139,'Fuel economy adjusted factor'!$A$2:$L$52,5,FALSE)*m2k))/'TCO Inputs'!$AZ$84</f>
        <v>60.487956518218219</v>
      </c>
      <c r="BA139" s="125">
        <f>BA28/293.07*(1/(VLOOKUP($Z139,'Fuel economy adjusted factor'!$A$2:$L$52,5,FALSE)*m2k))/'TCO Inputs'!$AZ$84</f>
        <v>60.487956518218219</v>
      </c>
      <c r="BB139" s="125">
        <f>BB28/293.07*(1/(VLOOKUP($Z139,'Fuel economy adjusted factor'!$A$2:$L$52,5,FALSE)*m2k))/'TCO Inputs'!$AZ$84</f>
        <v>60.570020093337192</v>
      </c>
      <c r="BC139" s="98" cm="1">
        <f t="array" ref="BC139">SUMPRODUCT(INDEX(AA139:BB139,,'TCO Inputs'!$AZ$12-2023+_xlfn.SEQUENCE('TCO Inputs'!$AZ$13))*INDEX('VKT US'!C85:AA85,,_xlfn.SEQUENCE('TCO Inputs'!$AZ$13)))*m2k*CONVERT(0.9072,"g","ton")</f>
        <v>28.876907911314678</v>
      </c>
      <c r="BM139" s="123" t="s">
        <v>205</v>
      </c>
      <c r="BN139" s="125">
        <f>BN28/293.07*(1/(VLOOKUP($BM139,'Fuel economy adjusted factor'!$A$2:$L$52,5,FALSE)*m2k))</f>
        <v>87.032248416927828</v>
      </c>
      <c r="BO139" s="125">
        <f>BO28/293.07*(1/(VLOOKUP($BM139,'Fuel economy adjusted factor'!$A$2:$L$52,5,FALSE)*m2k))</f>
        <v>87.032248416927828</v>
      </c>
      <c r="BP139" s="125">
        <f>BP28/293.07*(1/(VLOOKUP($BM139,'Fuel economy adjusted factor'!$A$2:$L$52,5,FALSE)*m2k))</f>
        <v>76.444390173621898</v>
      </c>
      <c r="BQ139" s="125">
        <f>BQ28/293.07*(1/(VLOOKUP($BM139,'Fuel economy adjusted factor'!$A$2:$L$52,5,FALSE)*m2k))</f>
        <v>76.444390173621898</v>
      </c>
      <c r="BR139" s="125">
        <f>BR28/293.07*(1/(VLOOKUP($BM139,'Fuel economy adjusted factor'!$A$2:$L$52,5,FALSE)*m2k))</f>
        <v>76.444390173621898</v>
      </c>
      <c r="BS139" s="125">
        <f>BS28/293.07*(1/(VLOOKUP($BM139,'Fuel economy adjusted factor'!$A$2:$L$52,5,FALSE)*m2k))</f>
        <v>76.444390173621898</v>
      </c>
      <c r="BT139" s="125">
        <f>BT28/293.07*(1/(VLOOKUP($BM139,'Fuel economy adjusted factor'!$A$2:$L$52,5,FALSE)*m2k))</f>
        <v>76.444390173621898</v>
      </c>
      <c r="BU139" s="125">
        <f>BU28/293.07*(1/(VLOOKUP($BM139,'Fuel economy adjusted factor'!$A$2:$L$52,5,FALSE)*m2k))</f>
        <v>86.654637610454927</v>
      </c>
      <c r="BV139" s="125">
        <f>BV28/293.07*(1/(VLOOKUP($BM139,'Fuel economy adjusted factor'!$A$2:$L$52,5,FALSE)*m2k))</f>
        <v>86.654637610454927</v>
      </c>
      <c r="BW139" s="125">
        <f>BW28/293.07*(1/(VLOOKUP($BM139,'Fuel economy adjusted factor'!$A$2:$L$52,5,FALSE)*m2k))</f>
        <v>86.654637610454927</v>
      </c>
      <c r="BX139" s="125">
        <f>BX28/293.07*(1/(VLOOKUP($BM139,'Fuel economy adjusted factor'!$A$2:$L$52,5,FALSE)*m2k))</f>
        <v>86.654637610454927</v>
      </c>
      <c r="BY139" s="125">
        <f>BY28/293.07*(1/(VLOOKUP($BM139,'Fuel economy adjusted factor'!$A$2:$L$52,5,FALSE)*m2k))</f>
        <v>86.654637610454927</v>
      </c>
      <c r="BZ139" s="125">
        <f>BZ28/293.07*(1/(VLOOKUP($BM139,'Fuel economy adjusted factor'!$A$2:$L$52,5,FALSE)*m2k))</f>
        <v>88.738539521132211</v>
      </c>
      <c r="CA139" s="125">
        <f>CA28/293.07*(1/(VLOOKUP($BM139,'Fuel economy adjusted factor'!$A$2:$L$52,5,FALSE)*m2k))</f>
        <v>88.738539521132211</v>
      </c>
      <c r="CB139" s="125">
        <f>CB28/293.07*(1/(VLOOKUP($BM139,'Fuel economy adjusted factor'!$A$2:$L$52,5,FALSE)*m2k))</f>
        <v>88.738539521132211</v>
      </c>
      <c r="CC139" s="125">
        <f>CC28/293.07*(1/(VLOOKUP($BM139,'Fuel economy adjusted factor'!$A$2:$L$52,5,FALSE)*m2k))</f>
        <v>88.738539521132211</v>
      </c>
      <c r="CD139" s="125">
        <f>CD28/293.07*(1/(VLOOKUP($BM139,'Fuel economy adjusted factor'!$A$2:$L$52,5,FALSE)*m2k))</f>
        <v>88.738539521132211</v>
      </c>
      <c r="CE139" s="125">
        <f>CE28/293.07*(1/(VLOOKUP($BM139,'Fuel economy adjusted factor'!$A$2:$L$52,5,FALSE)*m2k))</f>
        <v>90.931767473470387</v>
      </c>
      <c r="CF139" s="125">
        <f>CF28/293.07*(1/(VLOOKUP($BM139,'Fuel economy adjusted factor'!$A$2:$L$52,5,FALSE)*m2k))</f>
        <v>90.931767473470387</v>
      </c>
      <c r="CG139" s="125">
        <f>CG28/293.07*(1/(VLOOKUP($BM139,'Fuel economy adjusted factor'!$A$2:$L$52,5,FALSE)*m2k))</f>
        <v>90.931767473470387</v>
      </c>
      <c r="CH139" s="125">
        <f>CH28/293.07*(1/(VLOOKUP($BM139,'Fuel economy adjusted factor'!$A$2:$L$52,5,FALSE)*m2k))</f>
        <v>90.931767473470387</v>
      </c>
      <c r="CI139" s="125">
        <f>CI28/293.07*(1/(VLOOKUP($BM139,'Fuel economy adjusted factor'!$A$2:$L$52,5,FALSE)*m2k))</f>
        <v>90.931767473470387</v>
      </c>
      <c r="CJ139" s="125">
        <f>CJ28/293.07*(1/(VLOOKUP($BM139,'Fuel economy adjusted factor'!$A$2:$L$52,5,FALSE)*m2k))</f>
        <v>91.452239917205688</v>
      </c>
      <c r="CK139" s="125">
        <f>CK28/293.07*(1/(VLOOKUP($BM139,'Fuel economy adjusted factor'!$A$2:$L$52,5,FALSE)*m2k))</f>
        <v>91.452239917205688</v>
      </c>
      <c r="CL139" s="125">
        <f>CL28/293.07*(1/(VLOOKUP($BM139,'Fuel economy adjusted factor'!$A$2:$L$52,5,FALSE)*m2k))</f>
        <v>91.452239917205688</v>
      </c>
      <c r="CM139" s="125">
        <f>CM28/293.07*(1/(VLOOKUP($BM139,'Fuel economy adjusted factor'!$A$2:$L$52,5,FALSE)*m2k))</f>
        <v>91.452239917205688</v>
      </c>
      <c r="CN139" s="125">
        <f>CN28/293.07*(1/(VLOOKUP($BM139,'Fuel economy adjusted factor'!$A$2:$L$52,5,FALSE)*m2k))</f>
        <v>91.452239917205688</v>
      </c>
      <c r="CO139" s="125">
        <f>CO28/293.07*(1/(VLOOKUP($BM139,'Fuel economy adjusted factor'!$A$2:$L$52,5,FALSE)*m2k))</f>
        <v>92.073989859657502</v>
      </c>
      <c r="CP139" s="98" cm="1">
        <f t="array" ref="CP139">SUMPRODUCT(INDEX(BN139:CO139,,'TCO Inputs'!$AZ$12-2023+_xlfn.SEQUENCE('TCO Inputs'!$AZ$13))*INDEX('VKT US'!C85:AA85,,_xlfn.SEQUENCE('TCO Inputs'!$AZ$13)))*m2k*CONVERT(0.9072,"g","ton")</f>
        <v>31.453120270757154</v>
      </c>
      <c r="CQ139" s="194"/>
      <c r="CR139" s="123" t="s">
        <v>205</v>
      </c>
      <c r="CS139" s="125">
        <f>CS28/293.07*(1/(VLOOKUP($BM139,'Fuel economy adjusted factor'!$A$2:$L$52,5,FALSE)*m2k))/'TCO Inputs'!$AZ$84</f>
        <v>123.96807723692801</v>
      </c>
      <c r="CT139" s="125">
        <f>CT28/293.07*(1/(VLOOKUP($BM139,'Fuel economy adjusted factor'!$A$2:$L$52,5,FALSE)*m2k))/'TCO Inputs'!$AZ$84</f>
        <v>123.96807723692801</v>
      </c>
      <c r="CU139" s="125">
        <f>CU28/293.07*(1/(VLOOKUP($BM139,'Fuel economy adjusted factor'!$A$2:$L$52,5,FALSE)*m2k))/'TCO Inputs'!$AZ$84</f>
        <v>123.96807723692801</v>
      </c>
      <c r="CV139" s="125">
        <f>CV28/293.07*(1/(VLOOKUP($BM139,'Fuel economy adjusted factor'!$A$2:$L$52,5,FALSE)*m2k))/'TCO Inputs'!$AZ$84</f>
        <v>123.96807723692801</v>
      </c>
      <c r="CW139" s="125">
        <f>CW28/293.07*(1/(VLOOKUP($BM139,'Fuel economy adjusted factor'!$A$2:$L$52,5,FALSE)*m2k))/'TCO Inputs'!$AZ$84</f>
        <v>123.96807723692801</v>
      </c>
      <c r="CX139" s="125">
        <f>CX28/293.07*(1/(VLOOKUP($BM139,'Fuel economy adjusted factor'!$A$2:$L$52,5,FALSE)*m2k))/'TCO Inputs'!$AZ$84</f>
        <v>123.96807723692801</v>
      </c>
      <c r="CY139" s="125">
        <f>CY28/293.07*(1/(VLOOKUP($BM139,'Fuel economy adjusted factor'!$A$2:$L$52,5,FALSE)*m2k))/'TCO Inputs'!$AZ$84</f>
        <v>123.96807723692801</v>
      </c>
      <c r="CZ139" s="125">
        <f>CZ28/293.07*(1/(VLOOKUP($BM139,'Fuel economy adjusted factor'!$A$2:$L$52,5,FALSE)*m2k))/'TCO Inputs'!$AZ$84</f>
        <v>123.9956947862469</v>
      </c>
      <c r="DA139" s="125">
        <f>DA28/293.07*(1/(VLOOKUP($BM139,'Fuel economy adjusted factor'!$A$2:$L$52,5,FALSE)*m2k))/'TCO Inputs'!$AZ$84</f>
        <v>123.9956947862469</v>
      </c>
      <c r="DB139" s="125">
        <f>DB28/293.07*(1/(VLOOKUP($BM139,'Fuel economy adjusted factor'!$A$2:$L$52,5,FALSE)*m2k))/'TCO Inputs'!$AZ$84</f>
        <v>123.9956947862469</v>
      </c>
      <c r="DC139" s="125">
        <f>DC28/293.07*(1/(VLOOKUP($BM139,'Fuel economy adjusted factor'!$A$2:$L$52,5,FALSE)*m2k))/'TCO Inputs'!$AZ$84</f>
        <v>123.9956947862469</v>
      </c>
      <c r="DD139" s="125">
        <f>DD28/293.07*(1/(VLOOKUP($BM139,'Fuel economy adjusted factor'!$A$2:$L$52,5,FALSE)*m2k))/'TCO Inputs'!$AZ$84</f>
        <v>123.9956947862469</v>
      </c>
      <c r="DE139" s="125">
        <f>DE28/293.07*(1/(VLOOKUP($BM139,'Fuel economy adjusted factor'!$A$2:$L$52,5,FALSE)*m2k))/'TCO Inputs'!$AZ$84</f>
        <v>123.97991332949326</v>
      </c>
      <c r="DF139" s="125">
        <f>DF28/293.07*(1/(VLOOKUP($BM139,'Fuel economy adjusted factor'!$A$2:$L$52,5,FALSE)*m2k))/'TCO Inputs'!$AZ$84</f>
        <v>123.97991332949326</v>
      </c>
      <c r="DG139" s="125">
        <f>DG28/293.07*(1/(VLOOKUP($BM139,'Fuel economy adjusted factor'!$A$2:$L$52,5,FALSE)*m2k))/'TCO Inputs'!$AZ$84</f>
        <v>123.97991332949326</v>
      </c>
      <c r="DH139" s="125">
        <f>DH28/293.07*(1/(VLOOKUP($BM139,'Fuel economy adjusted factor'!$A$2:$L$52,5,FALSE)*m2k))/'TCO Inputs'!$AZ$84</f>
        <v>123.97991332949326</v>
      </c>
      <c r="DI139" s="125">
        <f>DI28/293.07*(1/(VLOOKUP($BM139,'Fuel economy adjusted factor'!$A$2:$L$52,5,FALSE)*m2k))/'TCO Inputs'!$AZ$84</f>
        <v>123.97991332949326</v>
      </c>
      <c r="DJ139" s="125">
        <f>DJ28/293.07*(1/(VLOOKUP($BM139,'Fuel economy adjusted factor'!$A$2:$L$52,5,FALSE)*m2k))/'TCO Inputs'!$AZ$84</f>
        <v>123.97596796530486</v>
      </c>
      <c r="DK139" s="125">
        <f>DK28/293.07*(1/(VLOOKUP($BM139,'Fuel economy adjusted factor'!$A$2:$L$52,5,FALSE)*m2k))/'TCO Inputs'!$AZ$84</f>
        <v>123.97596796530486</v>
      </c>
      <c r="DL139" s="125">
        <f>DL28/293.07*(1/(VLOOKUP($BM139,'Fuel economy adjusted factor'!$A$2:$L$52,5,FALSE)*m2k))/'TCO Inputs'!$AZ$84</f>
        <v>123.97596796530486</v>
      </c>
      <c r="DM139" s="125">
        <f>DM28/293.07*(1/(VLOOKUP($BM139,'Fuel economy adjusted factor'!$A$2:$L$52,5,FALSE)*m2k))/'TCO Inputs'!$AZ$84</f>
        <v>123.97596796530486</v>
      </c>
      <c r="DN139" s="125">
        <f>DN28/293.07*(1/(VLOOKUP($BM139,'Fuel economy adjusted factor'!$A$2:$L$52,5,FALSE)*m2k))/'TCO Inputs'!$AZ$84</f>
        <v>123.97596796530486</v>
      </c>
      <c r="DO139" s="125">
        <f>DO28/293.07*(1/(VLOOKUP($BM139,'Fuel economy adjusted factor'!$A$2:$L$52,5,FALSE)*m2k))/'TCO Inputs'!$AZ$84</f>
        <v>123.89942790004966</v>
      </c>
      <c r="DP139" s="125">
        <f>DP28/293.07*(1/(VLOOKUP($BM139,'Fuel economy adjusted factor'!$A$2:$L$52,5,FALSE)*m2k))/'TCO Inputs'!$AZ$84</f>
        <v>123.89942790004966</v>
      </c>
      <c r="DQ139" s="125">
        <f>DQ28/293.07*(1/(VLOOKUP($BM139,'Fuel economy adjusted factor'!$A$2:$L$52,5,FALSE)*m2k))/'TCO Inputs'!$AZ$84</f>
        <v>123.89942790004966</v>
      </c>
      <c r="DR139" s="125">
        <f>DR28/293.07*(1/(VLOOKUP($BM139,'Fuel economy adjusted factor'!$A$2:$L$52,5,FALSE)*m2k))/'TCO Inputs'!$AZ$84</f>
        <v>123.89942790004966</v>
      </c>
      <c r="DS139" s="125">
        <f>DS28/293.07*(1/(VLOOKUP($BM139,'Fuel economy adjusted factor'!$A$2:$L$52,5,FALSE)*m2k))/'TCO Inputs'!$AZ$84</f>
        <v>123.89942790004966</v>
      </c>
      <c r="DT139" s="125">
        <f>DT28/293.07*(1/(VLOOKUP($BM139,'Fuel economy adjusted factor'!$A$2:$L$52,5,FALSE)*m2k))/'TCO Inputs'!$AZ$84</f>
        <v>123.96334279990194</v>
      </c>
      <c r="DU139" s="98" cm="1">
        <f t="array" ref="DU139">SUMPRODUCT(INDEX(CS139:DT139,,'TCO Inputs'!$AZ$12-2023+_xlfn.SEQUENCE('TCO Inputs'!$AZ$13))*INDEX('VKT US'!C85:AA85,,_xlfn.SEQUENCE('TCO Inputs'!$AZ$13)))*m2k*CONVERT(0.9072,"g","ton")</f>
        <v>46.938216438789901</v>
      </c>
      <c r="DW139" s="123" t="s">
        <v>205</v>
      </c>
      <c r="DX139" s="125">
        <f>DX28/293.07*(1/(VLOOKUP($BM139,'Fuel economy adjusted factor'!$A$2:$L$52,5,FALSE)*m2k))/'TCO Inputs'!$AZ$84</f>
        <v>129.77091554071035</v>
      </c>
      <c r="DY139" s="125">
        <f>DY28/293.07*(1/(VLOOKUP($BM139,'Fuel economy adjusted factor'!$A$2:$L$52,5,FALSE)*m2k))/'TCO Inputs'!$AZ$84</f>
        <v>129.77091554071035</v>
      </c>
      <c r="DZ139" s="125">
        <f>DZ28/293.07*(1/(VLOOKUP($BM139,'Fuel economy adjusted factor'!$A$2:$L$52,5,FALSE)*m2k))/'TCO Inputs'!$AZ$84</f>
        <v>113.75722182190896</v>
      </c>
      <c r="EA139" s="125">
        <f>EA28/293.07*(1/(VLOOKUP($BM139,'Fuel economy adjusted factor'!$A$2:$L$52,5,FALSE)*m2k))/'TCO Inputs'!$AZ$84</f>
        <v>113.75722182190896</v>
      </c>
      <c r="EB139" s="125">
        <f>EB28/293.07*(1/(VLOOKUP($BM139,'Fuel economy adjusted factor'!$A$2:$L$52,5,FALSE)*m2k))/'TCO Inputs'!$AZ$84</f>
        <v>113.75722182190896</v>
      </c>
      <c r="EC139" s="125">
        <f>EC28/293.07*(1/(VLOOKUP($BM139,'Fuel economy adjusted factor'!$A$2:$L$52,5,FALSE)*m2k))/'TCO Inputs'!$AZ$84</f>
        <v>113.75722182190896</v>
      </c>
      <c r="ED139" s="125">
        <f>ED28/293.07*(1/(VLOOKUP($BM139,'Fuel economy adjusted factor'!$A$2:$L$52,5,FALSE)*m2k))/'TCO Inputs'!$AZ$84</f>
        <v>113.75722182190896</v>
      </c>
      <c r="EE139" s="125">
        <f>EE28/293.07*(1/(VLOOKUP($BM139,'Fuel economy adjusted factor'!$A$2:$L$52,5,FALSE)*m2k))/'TCO Inputs'!$AZ$84</f>
        <v>70.112693492967139</v>
      </c>
      <c r="EF139" s="125">
        <f>EF28/293.07*(1/(VLOOKUP($BM139,'Fuel economy adjusted factor'!$A$2:$L$52,5,FALSE)*m2k))/'TCO Inputs'!$AZ$84</f>
        <v>70.112693492967139</v>
      </c>
      <c r="EG139" s="125">
        <f>EG28/293.07*(1/(VLOOKUP($BM139,'Fuel economy adjusted factor'!$A$2:$L$52,5,FALSE)*m2k))/'TCO Inputs'!$AZ$84</f>
        <v>70.112693492967139</v>
      </c>
      <c r="EH139" s="125">
        <f>EH28/293.07*(1/(VLOOKUP($BM139,'Fuel economy adjusted factor'!$A$2:$L$52,5,FALSE)*m2k))/'TCO Inputs'!$AZ$84</f>
        <v>70.112693492967139</v>
      </c>
      <c r="EI139" s="125">
        <f>EI28/293.07*(1/(VLOOKUP($BM139,'Fuel economy adjusted factor'!$A$2:$L$52,5,FALSE)*m2k))/'TCO Inputs'!$AZ$84</f>
        <v>70.112693492967139</v>
      </c>
      <c r="EJ139" s="125">
        <f>EJ28/293.07*(1/(VLOOKUP($BM139,'Fuel economy adjusted factor'!$A$2:$L$52,5,FALSE)*m2k))/'TCO Inputs'!$AZ$84</f>
        <v>62.618873332468517</v>
      </c>
      <c r="EK139" s="125">
        <f>EK28/293.07*(1/(VLOOKUP($BM139,'Fuel economy adjusted factor'!$A$2:$L$52,5,FALSE)*m2k))/'TCO Inputs'!$AZ$84</f>
        <v>62.618873332468517</v>
      </c>
      <c r="EL139" s="125">
        <f>EL28/293.07*(1/(VLOOKUP($BM139,'Fuel economy adjusted factor'!$A$2:$L$52,5,FALSE)*m2k))/'TCO Inputs'!$AZ$84</f>
        <v>62.618873332468517</v>
      </c>
      <c r="EM139" s="125">
        <f>EM28/293.07*(1/(VLOOKUP($BM139,'Fuel economy adjusted factor'!$A$2:$L$52,5,FALSE)*m2k))/'TCO Inputs'!$AZ$84</f>
        <v>62.618873332468517</v>
      </c>
      <c r="EN139" s="125">
        <f>EN28/293.07*(1/(VLOOKUP($BM139,'Fuel economy adjusted factor'!$A$2:$L$52,5,FALSE)*m2k))/'TCO Inputs'!$AZ$84</f>
        <v>62.618873332468517</v>
      </c>
      <c r="EO139" s="125">
        <f>EO28/293.07*(1/(VLOOKUP($BM139,'Fuel economy adjusted factor'!$A$2:$L$52,5,FALSE)*m2k))/'TCO Inputs'!$AZ$84</f>
        <v>60.647971880261892</v>
      </c>
      <c r="EP139" s="125">
        <f>EP28/293.07*(1/(VLOOKUP($BM139,'Fuel economy adjusted factor'!$A$2:$L$52,5,FALSE)*m2k))/'TCO Inputs'!$AZ$84</f>
        <v>60.647971880261892</v>
      </c>
      <c r="EQ139" s="125">
        <f>EQ28/293.07*(1/(VLOOKUP($BM139,'Fuel economy adjusted factor'!$A$2:$L$52,5,FALSE)*m2k))/'TCO Inputs'!$AZ$84</f>
        <v>60.647971880261892</v>
      </c>
      <c r="ER139" s="125">
        <f>ER28/293.07*(1/(VLOOKUP($BM139,'Fuel economy adjusted factor'!$A$2:$L$52,5,FALSE)*m2k))/'TCO Inputs'!$AZ$84</f>
        <v>60.647971880261892</v>
      </c>
      <c r="ES139" s="125">
        <f>ES28/293.07*(1/(VLOOKUP($BM139,'Fuel economy adjusted factor'!$A$2:$L$52,5,FALSE)*m2k))/'TCO Inputs'!$AZ$84</f>
        <v>60.647971880261892</v>
      </c>
      <c r="ET139" s="125">
        <f>ET28/293.07*(1/(VLOOKUP($BM139,'Fuel economy adjusted factor'!$A$2:$L$52,5,FALSE)*m2k))/'TCO Inputs'!$AZ$84</f>
        <v>58.396195475583767</v>
      </c>
      <c r="EU139" s="125">
        <f>EU28/293.07*(1/(VLOOKUP($BM139,'Fuel economy adjusted factor'!$A$2:$L$52,5,FALSE)*m2k))/'TCO Inputs'!$AZ$84</f>
        <v>58.396195475583767</v>
      </c>
      <c r="EV139" s="125">
        <f>EV28/293.07*(1/(VLOOKUP($BM139,'Fuel economy adjusted factor'!$A$2:$L$52,5,FALSE)*m2k))/'TCO Inputs'!$AZ$84</f>
        <v>58.396195475583767</v>
      </c>
      <c r="EW139" s="125">
        <f>EW28/293.07*(1/(VLOOKUP($BM139,'Fuel economy adjusted factor'!$A$2:$L$52,5,FALSE)*m2k))/'TCO Inputs'!$AZ$84</f>
        <v>58.396195475583767</v>
      </c>
      <c r="EX139" s="125">
        <f>EX28/293.07*(1/(VLOOKUP($BM139,'Fuel economy adjusted factor'!$A$2:$L$52,5,FALSE)*m2k))/'TCO Inputs'!$AZ$84</f>
        <v>58.396195475583767</v>
      </c>
      <c r="EY139" s="125">
        <f>EY28/293.07*(1/(VLOOKUP($BM139,'Fuel economy adjusted factor'!$A$2:$L$52,5,FALSE)*m2k))/'TCO Inputs'!$AZ$84</f>
        <v>54.865196073084668</v>
      </c>
      <c r="EZ139" s="98" cm="1">
        <f t="array" ref="EZ139">SUMPRODUCT(INDEX(DX139:EY139,,'TCO Inputs'!$AZ$12-2023+_xlfn.SEQUENCE('TCO Inputs'!$AZ$13))*INDEX('VKT US'!C85:AA85,,_xlfn.SEQUENCE('TCO Inputs'!$AZ$13)))*m2k*CONVERT(0.9072,"g","ton")</f>
        <v>36.321371418400219</v>
      </c>
      <c r="FB139" s="123" t="s">
        <v>205</v>
      </c>
      <c r="FC139" s="125">
        <f>FC28/293.07*(1/(VLOOKUP($BM139,'Fuel economy adjusted factor'!$A$2:$L$52,5,FALSE)*m2k))/'TCO Inputs'!$AZ$84</f>
        <v>140.75561011049788</v>
      </c>
      <c r="FD139" s="125">
        <f>FD28/293.07*(1/(VLOOKUP($BM139,'Fuel economy adjusted factor'!$A$2:$L$52,5,FALSE)*m2k))/'TCO Inputs'!$AZ$84</f>
        <v>140.75561011049788</v>
      </c>
      <c r="FE139" s="125">
        <f>FE28/293.07*(1/(VLOOKUP($BM139,'Fuel economy adjusted factor'!$A$2:$L$52,5,FALSE)*m2k))/'TCO Inputs'!$AZ$84</f>
        <v>122.92196134251878</v>
      </c>
      <c r="FF139" s="125">
        <f>FF28/293.07*(1/(VLOOKUP($BM139,'Fuel economy adjusted factor'!$A$2:$L$52,5,FALSE)*m2k))/'TCO Inputs'!$AZ$84</f>
        <v>122.92196134251878</v>
      </c>
      <c r="FG139" s="125">
        <f>FG28/293.07*(1/(VLOOKUP($BM139,'Fuel economy adjusted factor'!$A$2:$L$52,5,FALSE)*m2k))/'TCO Inputs'!$AZ$84</f>
        <v>122.92196134251878</v>
      </c>
      <c r="FH139" s="125">
        <f>FH28/293.07*(1/(VLOOKUP($BM139,'Fuel economy adjusted factor'!$A$2:$L$52,5,FALSE)*m2k))/'TCO Inputs'!$AZ$84</f>
        <v>122.92196134251878</v>
      </c>
      <c r="FI139" s="125">
        <f>FI28/293.07*(1/(VLOOKUP($BM139,'Fuel economy adjusted factor'!$A$2:$L$52,5,FALSE)*m2k))/'TCO Inputs'!$AZ$84</f>
        <v>122.92196134251878</v>
      </c>
      <c r="FJ139" s="125">
        <f>FJ28/293.07*(1/(VLOOKUP($BM139,'Fuel economy adjusted factor'!$A$2:$L$52,5,FALSE)*m2k))/'TCO Inputs'!$AZ$84</f>
        <v>77.13647801871754</v>
      </c>
      <c r="FK139" s="125">
        <f>FK28/293.07*(1/(VLOOKUP($BM139,'Fuel economy adjusted factor'!$A$2:$L$52,5,FALSE)*m2k))/'TCO Inputs'!$AZ$84</f>
        <v>77.13647801871754</v>
      </c>
      <c r="FL139" s="125">
        <f>FL28/293.07*(1/(VLOOKUP($BM139,'Fuel economy adjusted factor'!$A$2:$L$52,5,FALSE)*m2k))/'TCO Inputs'!$AZ$84</f>
        <v>77.13647801871754</v>
      </c>
      <c r="FM139" s="125">
        <f>FM28/293.07*(1/(VLOOKUP($BM139,'Fuel economy adjusted factor'!$A$2:$L$52,5,FALSE)*m2k))/'TCO Inputs'!$AZ$84</f>
        <v>77.13647801871754</v>
      </c>
      <c r="FN139" s="125">
        <f>FN28/293.07*(1/(VLOOKUP($BM139,'Fuel economy adjusted factor'!$A$2:$L$52,5,FALSE)*m2k))/'TCO Inputs'!$AZ$84</f>
        <v>77.13647801871754</v>
      </c>
      <c r="FO139" s="125">
        <f>FO28/293.07*(1/(VLOOKUP($BM139,'Fuel economy adjusted factor'!$A$2:$L$52,5,FALSE)*m2k))/'TCO Inputs'!$AZ$84</f>
        <v>68.493363409840541</v>
      </c>
      <c r="FP139" s="125">
        <f>FP28/293.07*(1/(VLOOKUP($BM139,'Fuel economy adjusted factor'!$A$2:$L$52,5,FALSE)*m2k))/'TCO Inputs'!$AZ$84</f>
        <v>68.493363409840541</v>
      </c>
      <c r="FQ139" s="125">
        <f>FQ28/293.07*(1/(VLOOKUP($BM139,'Fuel economy adjusted factor'!$A$2:$L$52,5,FALSE)*m2k))/'TCO Inputs'!$AZ$84</f>
        <v>68.493363409840541</v>
      </c>
      <c r="FR139" s="125">
        <f>FR28/293.07*(1/(VLOOKUP($BM139,'Fuel economy adjusted factor'!$A$2:$L$52,5,FALSE)*m2k))/'TCO Inputs'!$AZ$84</f>
        <v>68.493363409840541</v>
      </c>
      <c r="FS139" s="125">
        <f>FS28/293.07*(1/(VLOOKUP($BM139,'Fuel economy adjusted factor'!$A$2:$L$52,5,FALSE)*m2k))/'TCO Inputs'!$AZ$84</f>
        <v>68.493363409840541</v>
      </c>
      <c r="FT139" s="125">
        <f>FT28/293.07*(1/(VLOOKUP($BM139,'Fuel economy adjusted factor'!$A$2:$L$52,5,FALSE)*m2k))/'TCO Inputs'!$AZ$84</f>
        <v>66.749836919158483</v>
      </c>
      <c r="FU139" s="125">
        <f>FU28/293.07*(1/(VLOOKUP($BM139,'Fuel economy adjusted factor'!$A$2:$L$52,5,FALSE)*m2k))/'TCO Inputs'!$AZ$84</f>
        <v>66.749836919158483</v>
      </c>
      <c r="FV139" s="125">
        <f>FV28/293.07*(1/(VLOOKUP($BM139,'Fuel economy adjusted factor'!$A$2:$L$52,5,FALSE)*m2k))/'TCO Inputs'!$AZ$84</f>
        <v>66.749836919158483</v>
      </c>
      <c r="FW139" s="125">
        <f>FW28/293.07*(1/(VLOOKUP($BM139,'Fuel economy adjusted factor'!$A$2:$L$52,5,FALSE)*m2k))/'TCO Inputs'!$AZ$84</f>
        <v>66.749836919158483</v>
      </c>
      <c r="FX139" s="125">
        <f>FX28/293.07*(1/(VLOOKUP($BM139,'Fuel economy adjusted factor'!$A$2:$L$52,5,FALSE)*m2k))/'TCO Inputs'!$AZ$84</f>
        <v>66.749836919158483</v>
      </c>
      <c r="FY139" s="125">
        <f>FY28/293.07*(1/(VLOOKUP($BM139,'Fuel economy adjusted factor'!$A$2:$L$52,5,FALSE)*m2k))/'TCO Inputs'!$AZ$84</f>
        <v>64.493283729574358</v>
      </c>
      <c r="FZ139" s="125">
        <f>FZ28/293.07*(1/(VLOOKUP($BM139,'Fuel economy adjusted factor'!$A$2:$L$52,5,FALSE)*m2k))/'TCO Inputs'!$AZ$84</f>
        <v>64.493283729574358</v>
      </c>
      <c r="GA139" s="125">
        <f>GA28/293.07*(1/(VLOOKUP($BM139,'Fuel economy adjusted factor'!$A$2:$L$52,5,FALSE)*m2k))/'TCO Inputs'!$AZ$84</f>
        <v>64.493283729574358</v>
      </c>
      <c r="GB139" s="125">
        <f>GB28/293.07*(1/(VLOOKUP($BM139,'Fuel economy adjusted factor'!$A$2:$L$52,5,FALSE)*m2k))/'TCO Inputs'!$AZ$84</f>
        <v>64.493283729574358</v>
      </c>
      <c r="GC139" s="125">
        <f>GC28/293.07*(1/(VLOOKUP($BM139,'Fuel economy adjusted factor'!$A$2:$L$52,5,FALSE)*m2k))/'TCO Inputs'!$AZ$84</f>
        <v>64.493283729574358</v>
      </c>
      <c r="GD139" s="125">
        <f>GD28/293.07*(1/(VLOOKUP($BM139,'Fuel economy adjusted factor'!$A$2:$L$52,5,FALSE)*m2k))/'TCO Inputs'!$AZ$84</f>
        <v>60.839998633482224</v>
      </c>
      <c r="GE139" s="98" cm="1">
        <f t="array" ref="GE139">SUMPRODUCT(INDEX(FC139:GD139,,'TCO Inputs'!$AZ$12-2023+_xlfn.SEQUENCE('TCO Inputs'!$AZ$13))*INDEX('VKT US'!C85:AA85,,_xlfn.SEQUENCE('TCO Inputs'!$AZ$13)))*m2k*CONVERT(0.9072,"g","ton")</f>
        <v>39.490904495995615</v>
      </c>
      <c r="GH139" s="123" t="s">
        <v>205</v>
      </c>
      <c r="GI139" s="125">
        <f>GI28/293.07*(1/(VLOOKUP($BM139,'Fuel economy adjusted factor'!$A$2:$L$52,5,FALSE)*m2k))/'TCO Inputs'!$AZ$84</f>
        <v>122.29429180587324</v>
      </c>
      <c r="GJ139" s="125">
        <f>GJ28/293.07*(1/(VLOOKUP($BM139,'Fuel economy adjusted factor'!$A$2:$L$52,5,FALSE)*m2k))/'TCO Inputs'!$AZ$84</f>
        <v>122.29429180587324</v>
      </c>
      <c r="GK139" s="125">
        <f>GK28/293.07*(1/(VLOOKUP($BM139,'Fuel economy adjusted factor'!$A$2:$L$52,5,FALSE)*m2k))/'TCO Inputs'!$AZ$84</f>
        <v>107.51969609168259</v>
      </c>
      <c r="GL139" s="125">
        <f>GL28/293.07*(1/(VLOOKUP($BM139,'Fuel economy adjusted factor'!$A$2:$L$52,5,FALSE)*m2k))/'TCO Inputs'!$AZ$84</f>
        <v>107.51969609168259</v>
      </c>
      <c r="GM139" s="125">
        <f>GM28/293.07*(1/(VLOOKUP($BM139,'Fuel economy adjusted factor'!$A$2:$L$52,5,FALSE)*m2k))/'TCO Inputs'!$AZ$84</f>
        <v>107.51969609168259</v>
      </c>
      <c r="GN139" s="125">
        <f>GN28/293.07*(1/(VLOOKUP($BM139,'Fuel economy adjusted factor'!$A$2:$L$52,5,FALSE)*m2k))/'TCO Inputs'!$AZ$84</f>
        <v>107.51969609168259</v>
      </c>
      <c r="GO139" s="125">
        <f>GO28/293.07*(1/(VLOOKUP($BM139,'Fuel economy adjusted factor'!$A$2:$L$52,5,FALSE)*m2k))/'TCO Inputs'!$AZ$84</f>
        <v>107.51969609168259</v>
      </c>
      <c r="GP139" s="125">
        <f>GP28/293.07*(1/(VLOOKUP($BM139,'Fuel economy adjusted factor'!$A$2:$L$52,5,FALSE)*m2k))/'TCO Inputs'!$AZ$84</f>
        <v>65.332087159064145</v>
      </c>
      <c r="GQ139" s="125">
        <f>GQ28/293.07*(1/(VLOOKUP($BM139,'Fuel economy adjusted factor'!$A$2:$L$52,5,FALSE)*m2k))/'TCO Inputs'!$AZ$84</f>
        <v>65.332087159064145</v>
      </c>
      <c r="GR139" s="125">
        <f>GR28/293.07*(1/(VLOOKUP($BM139,'Fuel economy adjusted factor'!$A$2:$L$52,5,FALSE)*m2k))/'TCO Inputs'!$AZ$84</f>
        <v>65.332087159064145</v>
      </c>
      <c r="GS139" s="125">
        <f>GS28/293.07*(1/(VLOOKUP($BM139,'Fuel economy adjusted factor'!$A$2:$L$52,5,FALSE)*m2k))/'TCO Inputs'!$AZ$84</f>
        <v>65.332087159064145</v>
      </c>
      <c r="GT139" s="125">
        <f>GT28/293.07*(1/(VLOOKUP($BM139,'Fuel economy adjusted factor'!$A$2:$L$52,5,FALSE)*m2k))/'TCO Inputs'!$AZ$84</f>
        <v>65.332087159064145</v>
      </c>
      <c r="GU139" s="125">
        <f>GU28/293.07*(1/(VLOOKUP($BM139,'Fuel economy adjusted factor'!$A$2:$L$52,5,FALSE)*m2k))/'TCO Inputs'!$AZ$84</f>
        <v>58.620704366164752</v>
      </c>
      <c r="GV139" s="125">
        <f>GV28/293.07*(1/(VLOOKUP($BM139,'Fuel economy adjusted factor'!$A$2:$L$52,5,FALSE)*m2k))/'TCO Inputs'!$AZ$84</f>
        <v>58.620704366164752</v>
      </c>
      <c r="GW139" s="125">
        <f>GW28/293.07*(1/(VLOOKUP($BM139,'Fuel economy adjusted factor'!$A$2:$L$52,5,FALSE)*m2k))/'TCO Inputs'!$AZ$84</f>
        <v>58.620704366164752</v>
      </c>
      <c r="GX139" s="125">
        <f>GX28/293.07*(1/(VLOOKUP($BM139,'Fuel economy adjusted factor'!$A$2:$L$52,5,FALSE)*m2k))/'TCO Inputs'!$AZ$84</f>
        <v>58.620704366164752</v>
      </c>
      <c r="GY139" s="125">
        <f>GY28/293.07*(1/(VLOOKUP($BM139,'Fuel economy adjusted factor'!$A$2:$L$52,5,FALSE)*m2k))/'TCO Inputs'!$AZ$84</f>
        <v>58.620704366164752</v>
      </c>
      <c r="GZ139" s="125">
        <f>GZ28/293.07*(1/(VLOOKUP($BM139,'Fuel economy adjusted factor'!$A$2:$L$52,5,FALSE)*m2k))/'TCO Inputs'!$AZ$84</f>
        <v>56.495035083004439</v>
      </c>
      <c r="HA139" s="125">
        <f>HA28/293.07*(1/(VLOOKUP($BM139,'Fuel economy adjusted factor'!$A$2:$L$52,5,FALSE)*m2k))/'TCO Inputs'!$AZ$84</f>
        <v>56.495035083004439</v>
      </c>
      <c r="HB139" s="125">
        <f>HB28/293.07*(1/(VLOOKUP($BM139,'Fuel economy adjusted factor'!$A$2:$L$52,5,FALSE)*m2k))/'TCO Inputs'!$AZ$84</f>
        <v>56.495035083004439</v>
      </c>
      <c r="HC139" s="125">
        <f>HC28/293.07*(1/(VLOOKUP($BM139,'Fuel economy adjusted factor'!$A$2:$L$52,5,FALSE)*m2k))/'TCO Inputs'!$AZ$84</f>
        <v>56.495035083004439</v>
      </c>
      <c r="HD139" s="125">
        <f>HD28/293.07*(1/(VLOOKUP($BM139,'Fuel economy adjusted factor'!$A$2:$L$52,5,FALSE)*m2k))/'TCO Inputs'!$AZ$84</f>
        <v>56.495035083004439</v>
      </c>
      <c r="HE139" s="125">
        <f>HE28/293.07*(1/(VLOOKUP($BM139,'Fuel economy adjusted factor'!$A$2:$L$52,5,FALSE)*m2k))/'TCO Inputs'!$AZ$84</f>
        <v>54.246124749269882</v>
      </c>
      <c r="HF139" s="125">
        <f>HF28/293.07*(1/(VLOOKUP($BM139,'Fuel economy adjusted factor'!$A$2:$L$52,5,FALSE)*m2k))/'TCO Inputs'!$AZ$84</f>
        <v>54.246124749269882</v>
      </c>
      <c r="HG139" s="125">
        <f>HG28/293.07*(1/(VLOOKUP($BM139,'Fuel economy adjusted factor'!$A$2:$L$52,5,FALSE)*m2k))/'TCO Inputs'!$AZ$84</f>
        <v>54.246124749269882</v>
      </c>
      <c r="HH139" s="125">
        <f>HH28/293.07*(1/(VLOOKUP($BM139,'Fuel economy adjusted factor'!$A$2:$L$52,5,FALSE)*m2k))/'TCO Inputs'!$AZ$84</f>
        <v>54.246124749269882</v>
      </c>
      <c r="HI139" s="125">
        <f>HI28/293.07*(1/(VLOOKUP($BM139,'Fuel economy adjusted factor'!$A$2:$L$52,5,FALSE)*m2k))/'TCO Inputs'!$AZ$84</f>
        <v>54.246124749269882</v>
      </c>
      <c r="HJ139" s="125">
        <f>HJ28/293.07*(1/(VLOOKUP($BM139,'Fuel economy adjusted factor'!$A$2:$L$52,5,FALSE)*m2k))/'TCO Inputs'!$AZ$84</f>
        <v>50.799196761116001</v>
      </c>
      <c r="HK139" s="98" cm="1">
        <f t="array" ref="HK139">SUMPRODUCT(INDEX(GI139:HJ139,,'TCO Inputs'!$AZ$12-2023+_xlfn.SEQUENCE('TCO Inputs'!$AZ$13))*INDEX('VKT US'!C85:AA85,,_xlfn.SEQUENCE('TCO Inputs'!$AZ$13)))*m2k*CONVERT(0.9072,"g","ton")</f>
        <v>34.164131523876662</v>
      </c>
    </row>
    <row r="140" spans="17:219" x14ac:dyDescent="0.25">
      <c r="Z140" s="123" t="s">
        <v>207</v>
      </c>
      <c r="AA140" s="125">
        <f>AA29/293.07*(1/(VLOOKUP($Z140,'Fuel economy adjusted factor'!$A$2:$L$52,5,FALSE)*m2k))/'TCO Inputs'!$AZ$84</f>
        <v>104.69262564595832</v>
      </c>
      <c r="AB140" s="125">
        <f>AB29/293.07*(1/(VLOOKUP($Z140,'Fuel economy adjusted factor'!$A$2:$L$52,5,FALSE)*m2k))/'TCO Inputs'!$AZ$84</f>
        <v>104.69262564595832</v>
      </c>
      <c r="AC140" s="125">
        <f>AC29/293.07*(1/(VLOOKUP($Z140,'Fuel economy adjusted factor'!$A$2:$L$52,5,FALSE)*m2k))/'TCO Inputs'!$AZ$84</f>
        <v>92.076519210081216</v>
      </c>
      <c r="AD140" s="125">
        <f>AD29/293.07*(1/(VLOOKUP($Z140,'Fuel economy adjusted factor'!$A$2:$L$52,5,FALSE)*m2k))/'TCO Inputs'!$AZ$84</f>
        <v>92.076519210081216</v>
      </c>
      <c r="AE140" s="125">
        <f>AE29/293.07*(1/(VLOOKUP($Z140,'Fuel economy adjusted factor'!$A$2:$L$52,5,FALSE)*m2k))/'TCO Inputs'!$AZ$84</f>
        <v>92.076519210081216</v>
      </c>
      <c r="AF140" s="125">
        <f>AF29/293.07*(1/(VLOOKUP($Z140,'Fuel economy adjusted factor'!$A$2:$L$52,5,FALSE)*m2k))/'TCO Inputs'!$AZ$84</f>
        <v>92.076519210081216</v>
      </c>
      <c r="AG140" s="125">
        <f>AG29/293.07*(1/(VLOOKUP($Z140,'Fuel economy adjusted factor'!$A$2:$L$52,5,FALSE)*m2k))/'TCO Inputs'!$AZ$84</f>
        <v>92.076519210081216</v>
      </c>
      <c r="AH140" s="125">
        <f>AH29/293.07*(1/(VLOOKUP($Z140,'Fuel economy adjusted factor'!$A$2:$L$52,5,FALSE)*m2k))/'TCO Inputs'!$AZ$84</f>
        <v>55.323042674943636</v>
      </c>
      <c r="AI140" s="125">
        <f>AI29/293.07*(1/(VLOOKUP($Z140,'Fuel economy adjusted factor'!$A$2:$L$52,5,FALSE)*m2k))/'TCO Inputs'!$AZ$84</f>
        <v>55.323042674943636</v>
      </c>
      <c r="AJ140" s="125">
        <f>AJ29/293.07*(1/(VLOOKUP($Z140,'Fuel economy adjusted factor'!$A$2:$L$52,5,FALSE)*m2k))/'TCO Inputs'!$AZ$84</f>
        <v>55.323042674943636</v>
      </c>
      <c r="AK140" s="125">
        <f>AK29/293.07*(1/(VLOOKUP($Z140,'Fuel economy adjusted factor'!$A$2:$L$52,5,FALSE)*m2k))/'TCO Inputs'!$AZ$84</f>
        <v>55.323042674943636</v>
      </c>
      <c r="AL140" s="125">
        <f>AL29/293.07*(1/(VLOOKUP($Z140,'Fuel economy adjusted factor'!$A$2:$L$52,5,FALSE)*m2k))/'TCO Inputs'!$AZ$84</f>
        <v>55.323042674943636</v>
      </c>
      <c r="AM140" s="125">
        <f>AM29/293.07*(1/(VLOOKUP($Z140,'Fuel economy adjusted factor'!$A$2:$L$52,5,FALSE)*m2k))/'TCO Inputs'!$AZ$84</f>
        <v>57.894349908501255</v>
      </c>
      <c r="AN140" s="125">
        <f>AN29/293.07*(1/(VLOOKUP($Z140,'Fuel economy adjusted factor'!$A$2:$L$52,5,FALSE)*m2k))/'TCO Inputs'!$AZ$84</f>
        <v>57.894349908501255</v>
      </c>
      <c r="AO140" s="125">
        <f>AO29/293.07*(1/(VLOOKUP($Z140,'Fuel economy adjusted factor'!$A$2:$L$52,5,FALSE)*m2k))/'TCO Inputs'!$AZ$84</f>
        <v>57.894349908501255</v>
      </c>
      <c r="AP140" s="125">
        <f>AP29/293.07*(1/(VLOOKUP($Z140,'Fuel economy adjusted factor'!$A$2:$L$52,5,FALSE)*m2k))/'TCO Inputs'!$AZ$84</f>
        <v>57.894349908501255</v>
      </c>
      <c r="AQ140" s="125">
        <f>AQ29/293.07*(1/(VLOOKUP($Z140,'Fuel economy adjusted factor'!$A$2:$L$52,5,FALSE)*m2k))/'TCO Inputs'!$AZ$84</f>
        <v>57.894349908501255</v>
      </c>
      <c r="AR140" s="125">
        <f>AR29/293.07*(1/(VLOOKUP($Z140,'Fuel economy adjusted factor'!$A$2:$L$52,5,FALSE)*m2k))/'TCO Inputs'!$AZ$84</f>
        <v>60.519713491179779</v>
      </c>
      <c r="AS140" s="125">
        <f>AS29/293.07*(1/(VLOOKUP($Z140,'Fuel economy adjusted factor'!$A$2:$L$52,5,FALSE)*m2k))/'TCO Inputs'!$AZ$84</f>
        <v>60.519713491179779</v>
      </c>
      <c r="AT140" s="125">
        <f>AT29/293.07*(1/(VLOOKUP($Z140,'Fuel economy adjusted factor'!$A$2:$L$52,5,FALSE)*m2k))/'TCO Inputs'!$AZ$84</f>
        <v>60.519713491179779</v>
      </c>
      <c r="AU140" s="125">
        <f>AU29/293.07*(1/(VLOOKUP($Z140,'Fuel economy adjusted factor'!$A$2:$L$52,5,FALSE)*m2k))/'TCO Inputs'!$AZ$84</f>
        <v>60.519713491179779</v>
      </c>
      <c r="AV140" s="125">
        <f>AV29/293.07*(1/(VLOOKUP($Z140,'Fuel economy adjusted factor'!$A$2:$L$52,5,FALSE)*m2k))/'TCO Inputs'!$AZ$84</f>
        <v>60.519713491179779</v>
      </c>
      <c r="AW140" s="125">
        <f>AW29/293.07*(1/(VLOOKUP($Z140,'Fuel economy adjusted factor'!$A$2:$L$52,5,FALSE)*m2k))/'TCO Inputs'!$AZ$84</f>
        <v>61.84772469495632</v>
      </c>
      <c r="AX140" s="125">
        <f>AX29/293.07*(1/(VLOOKUP($Z140,'Fuel economy adjusted factor'!$A$2:$L$52,5,FALSE)*m2k))/'TCO Inputs'!$AZ$84</f>
        <v>61.84772469495632</v>
      </c>
      <c r="AY140" s="125">
        <f>AY29/293.07*(1/(VLOOKUP($Z140,'Fuel economy adjusted factor'!$A$2:$L$52,5,FALSE)*m2k))/'TCO Inputs'!$AZ$84</f>
        <v>61.84772469495632</v>
      </c>
      <c r="AZ140" s="125">
        <f>AZ29/293.07*(1/(VLOOKUP($Z140,'Fuel economy adjusted factor'!$A$2:$L$52,5,FALSE)*m2k))/'TCO Inputs'!$AZ$84</f>
        <v>61.84772469495632</v>
      </c>
      <c r="BA140" s="125">
        <f>BA29/293.07*(1/(VLOOKUP($Z140,'Fuel economy adjusted factor'!$A$2:$L$52,5,FALSE)*m2k))/'TCO Inputs'!$AZ$84</f>
        <v>61.84772469495632</v>
      </c>
      <c r="BB140" s="125">
        <f>BB29/293.07*(1/(VLOOKUP($Z140,'Fuel economy adjusted factor'!$A$2:$L$52,5,FALSE)*m2k))/'TCO Inputs'!$AZ$84</f>
        <v>61.931633057770888</v>
      </c>
      <c r="BC140" s="98" cm="1">
        <f t="array" ref="BC140">SUMPRODUCT(INDEX(AA140:BB140,,'TCO Inputs'!$AZ$12-2023+_xlfn.SEQUENCE('TCO Inputs'!$AZ$13))*INDEX('VKT US'!C86:AA86,,_xlfn.SEQUENCE('TCO Inputs'!$AZ$13)))*m2k*CONVERT(0.9072,"g","ton")</f>
        <v>32.917377832736832</v>
      </c>
      <c r="BM140" s="123" t="s">
        <v>207</v>
      </c>
      <c r="BN140" s="125">
        <f>BN29/293.07*(1/(VLOOKUP($BM140,'Fuel economy adjusted factor'!$A$2:$L$52,5,FALSE)*m2k))</f>
        <v>88.988731799064567</v>
      </c>
      <c r="BO140" s="125">
        <f>BO29/293.07*(1/(VLOOKUP($BM140,'Fuel economy adjusted factor'!$A$2:$L$52,5,FALSE)*m2k))</f>
        <v>88.988731799064567</v>
      </c>
      <c r="BP140" s="125">
        <f>BP29/293.07*(1/(VLOOKUP($BM140,'Fuel economy adjusted factor'!$A$2:$L$52,5,FALSE)*m2k))</f>
        <v>78.162858692506873</v>
      </c>
      <c r="BQ140" s="125">
        <f>BQ29/293.07*(1/(VLOOKUP($BM140,'Fuel economy adjusted factor'!$A$2:$L$52,5,FALSE)*m2k))</f>
        <v>78.162858692506873</v>
      </c>
      <c r="BR140" s="125">
        <f>BR29/293.07*(1/(VLOOKUP($BM140,'Fuel economy adjusted factor'!$A$2:$L$52,5,FALSE)*m2k))</f>
        <v>78.162858692506873</v>
      </c>
      <c r="BS140" s="125">
        <f>BS29/293.07*(1/(VLOOKUP($BM140,'Fuel economy adjusted factor'!$A$2:$L$52,5,FALSE)*m2k))</f>
        <v>78.162858692506873</v>
      </c>
      <c r="BT140" s="125">
        <f>BT29/293.07*(1/(VLOOKUP($BM140,'Fuel economy adjusted factor'!$A$2:$L$52,5,FALSE)*m2k))</f>
        <v>78.162858692506873</v>
      </c>
      <c r="BU140" s="125">
        <f>BU29/293.07*(1/(VLOOKUP($BM140,'Fuel economy adjusted factor'!$A$2:$L$52,5,FALSE)*m2k))</f>
        <v>88.602632308440477</v>
      </c>
      <c r="BV140" s="125">
        <f>BV29/293.07*(1/(VLOOKUP($BM140,'Fuel economy adjusted factor'!$A$2:$L$52,5,FALSE)*m2k))</f>
        <v>88.602632308440477</v>
      </c>
      <c r="BW140" s="125">
        <f>BW29/293.07*(1/(VLOOKUP($BM140,'Fuel economy adjusted factor'!$A$2:$L$52,5,FALSE)*m2k))</f>
        <v>88.602632308440477</v>
      </c>
      <c r="BX140" s="125">
        <f>BX29/293.07*(1/(VLOOKUP($BM140,'Fuel economy adjusted factor'!$A$2:$L$52,5,FALSE)*m2k))</f>
        <v>88.602632308440477</v>
      </c>
      <c r="BY140" s="125">
        <f>BY29/293.07*(1/(VLOOKUP($BM140,'Fuel economy adjusted factor'!$A$2:$L$52,5,FALSE)*m2k))</f>
        <v>88.602632308440477</v>
      </c>
      <c r="BZ140" s="125">
        <f>BZ29/293.07*(1/(VLOOKUP($BM140,'Fuel economy adjusted factor'!$A$2:$L$52,5,FALSE)*m2k))</f>
        <v>90.733380296662617</v>
      </c>
      <c r="CA140" s="125">
        <f>CA29/293.07*(1/(VLOOKUP($BM140,'Fuel economy adjusted factor'!$A$2:$L$52,5,FALSE)*m2k))</f>
        <v>90.733380296662617</v>
      </c>
      <c r="CB140" s="125">
        <f>CB29/293.07*(1/(VLOOKUP($BM140,'Fuel economy adjusted factor'!$A$2:$L$52,5,FALSE)*m2k))</f>
        <v>90.733380296662617</v>
      </c>
      <c r="CC140" s="125">
        <f>CC29/293.07*(1/(VLOOKUP($BM140,'Fuel economy adjusted factor'!$A$2:$L$52,5,FALSE)*m2k))</f>
        <v>90.733380296662617</v>
      </c>
      <c r="CD140" s="125">
        <f>CD29/293.07*(1/(VLOOKUP($BM140,'Fuel economy adjusted factor'!$A$2:$L$52,5,FALSE)*m2k))</f>
        <v>90.733380296662617</v>
      </c>
      <c r="CE140" s="125">
        <f>CE29/293.07*(1/(VLOOKUP($BM140,'Fuel economy adjusted factor'!$A$2:$L$52,5,FALSE)*m2k))</f>
        <v>92.975911973999729</v>
      </c>
      <c r="CF140" s="125">
        <f>CF29/293.07*(1/(VLOOKUP($BM140,'Fuel economy adjusted factor'!$A$2:$L$52,5,FALSE)*m2k))</f>
        <v>92.975911973999729</v>
      </c>
      <c r="CG140" s="125">
        <f>CG29/293.07*(1/(VLOOKUP($BM140,'Fuel economy adjusted factor'!$A$2:$L$52,5,FALSE)*m2k))</f>
        <v>92.975911973999729</v>
      </c>
      <c r="CH140" s="125">
        <f>CH29/293.07*(1/(VLOOKUP($BM140,'Fuel economy adjusted factor'!$A$2:$L$52,5,FALSE)*m2k))</f>
        <v>92.975911973999729</v>
      </c>
      <c r="CI140" s="125">
        <f>CI29/293.07*(1/(VLOOKUP($BM140,'Fuel economy adjusted factor'!$A$2:$L$52,5,FALSE)*m2k))</f>
        <v>92.975911973999729</v>
      </c>
      <c r="CJ140" s="125">
        <f>CJ29/293.07*(1/(VLOOKUP($BM140,'Fuel economy adjusted factor'!$A$2:$L$52,5,FALSE)*m2k))</f>
        <v>93.508084628927449</v>
      </c>
      <c r="CK140" s="125">
        <f>CK29/293.07*(1/(VLOOKUP($BM140,'Fuel economy adjusted factor'!$A$2:$L$52,5,FALSE)*m2k))</f>
        <v>93.508084628927449</v>
      </c>
      <c r="CL140" s="125">
        <f>CL29/293.07*(1/(VLOOKUP($BM140,'Fuel economy adjusted factor'!$A$2:$L$52,5,FALSE)*m2k))</f>
        <v>93.508084628927449</v>
      </c>
      <c r="CM140" s="125">
        <f>CM29/293.07*(1/(VLOOKUP($BM140,'Fuel economy adjusted factor'!$A$2:$L$52,5,FALSE)*m2k))</f>
        <v>93.508084628927449</v>
      </c>
      <c r="CN140" s="125">
        <f>CN29/293.07*(1/(VLOOKUP($BM140,'Fuel economy adjusted factor'!$A$2:$L$52,5,FALSE)*m2k))</f>
        <v>93.508084628927449</v>
      </c>
      <c r="CO140" s="125">
        <f>CO29/293.07*(1/(VLOOKUP($BM140,'Fuel economy adjusted factor'!$A$2:$L$52,5,FALSE)*m2k))</f>
        <v>94.143811498924848</v>
      </c>
      <c r="CP140" s="98" cm="1">
        <f t="array" ref="CP140">SUMPRODUCT(INDEX(BN140:CO140,,'TCO Inputs'!$AZ$12-2023+_xlfn.SEQUENCE('TCO Inputs'!$AZ$13))*INDEX('VKT US'!C86:AA86,,_xlfn.SEQUENCE('TCO Inputs'!$AZ$13)))*m2k*CONVERT(0.9072,"g","ton")</f>
        <v>35.854054982297804</v>
      </c>
      <c r="CQ140" s="194"/>
      <c r="CR140" s="123" t="s">
        <v>207</v>
      </c>
      <c r="CS140" s="125">
        <f>CS29/293.07*(1/(VLOOKUP($BM140,'Fuel economy adjusted factor'!$A$2:$L$52,5,FALSE)*m2k))/'TCO Inputs'!$AZ$84</f>
        <v>126.75487738792032</v>
      </c>
      <c r="CT140" s="125">
        <f>CT29/293.07*(1/(VLOOKUP($BM140,'Fuel economy adjusted factor'!$A$2:$L$52,5,FALSE)*m2k))/'TCO Inputs'!$AZ$84</f>
        <v>126.75487738792033</v>
      </c>
      <c r="CU140" s="125">
        <f>CU29/293.07*(1/(VLOOKUP($BM140,'Fuel economy adjusted factor'!$A$2:$L$52,5,FALSE)*m2k))/'TCO Inputs'!$AZ$84</f>
        <v>126.75487738792033</v>
      </c>
      <c r="CV140" s="125">
        <f>CV29/293.07*(1/(VLOOKUP($BM140,'Fuel economy adjusted factor'!$A$2:$L$52,5,FALSE)*m2k))/'TCO Inputs'!$AZ$84</f>
        <v>126.75487738792033</v>
      </c>
      <c r="CW140" s="125">
        <f>CW29/293.07*(1/(VLOOKUP($BM140,'Fuel economy adjusted factor'!$A$2:$L$52,5,FALSE)*m2k))/'TCO Inputs'!$AZ$84</f>
        <v>126.75487738792033</v>
      </c>
      <c r="CX140" s="125">
        <f>CX29/293.07*(1/(VLOOKUP($BM140,'Fuel economy adjusted factor'!$A$2:$L$52,5,FALSE)*m2k))/'TCO Inputs'!$AZ$84</f>
        <v>126.75487738792033</v>
      </c>
      <c r="CY140" s="125">
        <f>CY29/293.07*(1/(VLOOKUP($BM140,'Fuel economy adjusted factor'!$A$2:$L$52,5,FALSE)*m2k))/'TCO Inputs'!$AZ$84</f>
        <v>126.75487738792033</v>
      </c>
      <c r="CZ140" s="125">
        <f>CZ29/293.07*(1/(VLOOKUP($BM140,'Fuel economy adjusted factor'!$A$2:$L$52,5,FALSE)*m2k))/'TCO Inputs'!$AZ$84</f>
        <v>126.78311577925211</v>
      </c>
      <c r="DA140" s="125">
        <f>DA29/293.07*(1/(VLOOKUP($BM140,'Fuel economy adjusted factor'!$A$2:$L$52,5,FALSE)*m2k))/'TCO Inputs'!$AZ$84</f>
        <v>126.78311577925211</v>
      </c>
      <c r="DB140" s="125">
        <f>DB29/293.07*(1/(VLOOKUP($BM140,'Fuel economy adjusted factor'!$A$2:$L$52,5,FALSE)*m2k))/'TCO Inputs'!$AZ$84</f>
        <v>126.78311577925211</v>
      </c>
      <c r="DC140" s="125">
        <f>DC29/293.07*(1/(VLOOKUP($BM140,'Fuel economy adjusted factor'!$A$2:$L$52,5,FALSE)*m2k))/'TCO Inputs'!$AZ$84</f>
        <v>126.78311577925211</v>
      </c>
      <c r="DD140" s="125">
        <f>DD29/293.07*(1/(VLOOKUP($BM140,'Fuel economy adjusted factor'!$A$2:$L$52,5,FALSE)*m2k))/'TCO Inputs'!$AZ$84</f>
        <v>126.78311577925211</v>
      </c>
      <c r="DE140" s="125">
        <f>DE29/293.07*(1/(VLOOKUP($BM140,'Fuel economy adjusted factor'!$A$2:$L$52,5,FALSE)*m2k))/'TCO Inputs'!$AZ$84</f>
        <v>126.76697955563398</v>
      </c>
      <c r="DF140" s="125">
        <f>DF29/293.07*(1/(VLOOKUP($BM140,'Fuel economy adjusted factor'!$A$2:$L$52,5,FALSE)*m2k))/'TCO Inputs'!$AZ$84</f>
        <v>126.76697955563398</v>
      </c>
      <c r="DG140" s="125">
        <f>DG29/293.07*(1/(VLOOKUP($BM140,'Fuel economy adjusted factor'!$A$2:$L$52,5,FALSE)*m2k))/'TCO Inputs'!$AZ$84</f>
        <v>126.76697955563398</v>
      </c>
      <c r="DH140" s="125">
        <f>DH29/293.07*(1/(VLOOKUP($BM140,'Fuel economy adjusted factor'!$A$2:$L$52,5,FALSE)*m2k))/'TCO Inputs'!$AZ$84</f>
        <v>126.76697955563398</v>
      </c>
      <c r="DI140" s="125">
        <f>DI29/293.07*(1/(VLOOKUP($BM140,'Fuel economy adjusted factor'!$A$2:$L$52,5,FALSE)*m2k))/'TCO Inputs'!$AZ$84</f>
        <v>126.76697955563398</v>
      </c>
      <c r="DJ140" s="125">
        <f>DJ29/293.07*(1/(VLOOKUP($BM140,'Fuel economy adjusted factor'!$A$2:$L$52,5,FALSE)*m2k))/'TCO Inputs'!$AZ$84</f>
        <v>126.76294549972941</v>
      </c>
      <c r="DK140" s="125">
        <f>DK29/293.07*(1/(VLOOKUP($BM140,'Fuel economy adjusted factor'!$A$2:$L$52,5,FALSE)*m2k))/'TCO Inputs'!$AZ$84</f>
        <v>126.76294549972941</v>
      </c>
      <c r="DL140" s="125">
        <f>DL29/293.07*(1/(VLOOKUP($BM140,'Fuel economy adjusted factor'!$A$2:$L$52,5,FALSE)*m2k))/'TCO Inputs'!$AZ$84</f>
        <v>126.76294549972941</v>
      </c>
      <c r="DM140" s="125">
        <f>DM29/293.07*(1/(VLOOKUP($BM140,'Fuel economy adjusted factor'!$A$2:$L$52,5,FALSE)*m2k))/'TCO Inputs'!$AZ$84</f>
        <v>126.76294549972941</v>
      </c>
      <c r="DN140" s="125">
        <f>DN29/293.07*(1/(VLOOKUP($BM140,'Fuel economy adjusted factor'!$A$2:$L$52,5,FALSE)*m2k))/'TCO Inputs'!$AZ$84</f>
        <v>126.76294549972941</v>
      </c>
      <c r="DO140" s="125">
        <f>DO29/293.07*(1/(VLOOKUP($BM140,'Fuel economy adjusted factor'!$A$2:$L$52,5,FALSE)*m2k))/'TCO Inputs'!$AZ$84</f>
        <v>126.68468481518123</v>
      </c>
      <c r="DP140" s="125">
        <f>DP29/293.07*(1/(VLOOKUP($BM140,'Fuel economy adjusted factor'!$A$2:$L$52,5,FALSE)*m2k))/'TCO Inputs'!$AZ$84</f>
        <v>126.68468481518123</v>
      </c>
      <c r="DQ140" s="125">
        <f>DQ29/293.07*(1/(VLOOKUP($BM140,'Fuel economy adjusted factor'!$A$2:$L$52,5,FALSE)*m2k))/'TCO Inputs'!$AZ$84</f>
        <v>126.68468481518123</v>
      </c>
      <c r="DR140" s="125">
        <f>DR29/293.07*(1/(VLOOKUP($BM140,'Fuel economy adjusted factor'!$A$2:$L$52,5,FALSE)*m2k))/'TCO Inputs'!$AZ$84</f>
        <v>126.68468481518123</v>
      </c>
      <c r="DS140" s="125">
        <f>DS29/293.07*(1/(VLOOKUP($BM140,'Fuel economy adjusted factor'!$A$2:$L$52,5,FALSE)*m2k))/'TCO Inputs'!$AZ$84</f>
        <v>126.68468481518123</v>
      </c>
      <c r="DT140" s="125">
        <f>DT29/293.07*(1/(VLOOKUP($BM140,'Fuel economy adjusted factor'!$A$2:$L$52,5,FALSE)*m2k))/'TCO Inputs'!$AZ$84</f>
        <v>126.75003652083485</v>
      </c>
      <c r="DU140" s="98" cm="1">
        <f t="array" ref="DU140">SUMPRODUCT(INDEX(CS140:DT140,,'TCO Inputs'!$AZ$12-2023+_xlfn.SEQUENCE('TCO Inputs'!$AZ$13))*INDEX('VKT US'!C86:AA86,,_xlfn.SEQUENCE('TCO Inputs'!$AZ$13)))*m2k*CONVERT(0.9072,"g","ton")</f>
        <v>53.505832759366349</v>
      </c>
      <c r="DW140" s="123" t="s">
        <v>207</v>
      </c>
      <c r="DX140" s="125">
        <f>DX29/293.07*(1/(VLOOKUP($BM140,'Fuel economy adjusted factor'!$A$2:$L$52,5,FALSE)*m2k))/'TCO Inputs'!$AZ$84</f>
        <v>132.68816339260761</v>
      </c>
      <c r="DY140" s="125">
        <f>DY29/293.07*(1/(VLOOKUP($BM140,'Fuel economy adjusted factor'!$A$2:$L$52,5,FALSE)*m2k))/'TCO Inputs'!$AZ$84</f>
        <v>132.68816339260761</v>
      </c>
      <c r="DZ140" s="125">
        <f>DZ29/293.07*(1/(VLOOKUP($BM140,'Fuel economy adjusted factor'!$A$2:$L$52,5,FALSE)*m2k))/'TCO Inputs'!$AZ$84</f>
        <v>116.31448212646201</v>
      </c>
      <c r="EA140" s="125">
        <f>EA29/293.07*(1/(VLOOKUP($BM140,'Fuel economy adjusted factor'!$A$2:$L$52,5,FALSE)*m2k))/'TCO Inputs'!$AZ$84</f>
        <v>116.31448212646201</v>
      </c>
      <c r="EB140" s="125">
        <f>EB29/293.07*(1/(VLOOKUP($BM140,'Fuel economy adjusted factor'!$A$2:$L$52,5,FALSE)*m2k))/'TCO Inputs'!$AZ$84</f>
        <v>116.31448212646201</v>
      </c>
      <c r="EC140" s="125">
        <f>EC29/293.07*(1/(VLOOKUP($BM140,'Fuel economy adjusted factor'!$A$2:$L$52,5,FALSE)*m2k))/'TCO Inputs'!$AZ$84</f>
        <v>116.31448212646201</v>
      </c>
      <c r="ED140" s="125">
        <f>ED29/293.07*(1/(VLOOKUP($BM140,'Fuel economy adjusted factor'!$A$2:$L$52,5,FALSE)*m2k))/'TCO Inputs'!$AZ$84</f>
        <v>116.31448212646201</v>
      </c>
      <c r="EE140" s="125">
        <f>EE29/293.07*(1/(VLOOKUP($BM140,'Fuel economy adjusted factor'!$A$2:$L$52,5,FALSE)*m2k))/'TCO Inputs'!$AZ$84</f>
        <v>71.688825584128381</v>
      </c>
      <c r="EF140" s="125">
        <f>EF29/293.07*(1/(VLOOKUP($BM140,'Fuel economy adjusted factor'!$A$2:$L$52,5,FALSE)*m2k))/'TCO Inputs'!$AZ$84</f>
        <v>71.688825584128381</v>
      </c>
      <c r="EG140" s="125">
        <f>EG29/293.07*(1/(VLOOKUP($BM140,'Fuel economy adjusted factor'!$A$2:$L$52,5,FALSE)*m2k))/'TCO Inputs'!$AZ$84</f>
        <v>71.688825584128381</v>
      </c>
      <c r="EH140" s="125">
        <f>EH29/293.07*(1/(VLOOKUP($BM140,'Fuel economy adjusted factor'!$A$2:$L$52,5,FALSE)*m2k))/'TCO Inputs'!$AZ$84</f>
        <v>71.688825584128381</v>
      </c>
      <c r="EI140" s="125">
        <f>EI29/293.07*(1/(VLOOKUP($BM140,'Fuel economy adjusted factor'!$A$2:$L$52,5,FALSE)*m2k))/'TCO Inputs'!$AZ$84</f>
        <v>71.688825584128381</v>
      </c>
      <c r="EJ140" s="125">
        <f>EJ29/293.07*(1/(VLOOKUP($BM140,'Fuel economy adjusted factor'!$A$2:$L$52,5,FALSE)*m2k))/'TCO Inputs'!$AZ$84</f>
        <v>64.026544480939862</v>
      </c>
      <c r="EK140" s="125">
        <f>EK29/293.07*(1/(VLOOKUP($BM140,'Fuel economy adjusted factor'!$A$2:$L$52,5,FALSE)*m2k))/'TCO Inputs'!$AZ$84</f>
        <v>64.026544480939862</v>
      </c>
      <c r="EL140" s="125">
        <f>EL29/293.07*(1/(VLOOKUP($BM140,'Fuel economy adjusted factor'!$A$2:$L$52,5,FALSE)*m2k))/'TCO Inputs'!$AZ$84</f>
        <v>64.026544480939862</v>
      </c>
      <c r="EM140" s="125">
        <f>EM29/293.07*(1/(VLOOKUP($BM140,'Fuel economy adjusted factor'!$A$2:$L$52,5,FALSE)*m2k))/'TCO Inputs'!$AZ$84</f>
        <v>64.026544480939862</v>
      </c>
      <c r="EN140" s="125">
        <f>EN29/293.07*(1/(VLOOKUP($BM140,'Fuel economy adjusted factor'!$A$2:$L$52,5,FALSE)*m2k))/'TCO Inputs'!$AZ$84</f>
        <v>64.026544480939862</v>
      </c>
      <c r="EO140" s="125">
        <f>EO29/293.07*(1/(VLOOKUP($BM140,'Fuel economy adjusted factor'!$A$2:$L$52,5,FALSE)*m2k))/'TCO Inputs'!$AZ$84</f>
        <v>62.011337199466382</v>
      </c>
      <c r="EP140" s="125">
        <f>EP29/293.07*(1/(VLOOKUP($BM140,'Fuel economy adjusted factor'!$A$2:$L$52,5,FALSE)*m2k))/'TCO Inputs'!$AZ$84</f>
        <v>62.011337199466382</v>
      </c>
      <c r="EQ140" s="125">
        <f>EQ29/293.07*(1/(VLOOKUP($BM140,'Fuel economy adjusted factor'!$A$2:$L$52,5,FALSE)*m2k))/'TCO Inputs'!$AZ$84</f>
        <v>62.011337199466382</v>
      </c>
      <c r="ER140" s="125">
        <f>ER29/293.07*(1/(VLOOKUP($BM140,'Fuel economy adjusted factor'!$A$2:$L$52,5,FALSE)*m2k))/'TCO Inputs'!$AZ$84</f>
        <v>62.011337199466382</v>
      </c>
      <c r="ES140" s="125">
        <f>ES29/293.07*(1/(VLOOKUP($BM140,'Fuel economy adjusted factor'!$A$2:$L$52,5,FALSE)*m2k))/'TCO Inputs'!$AZ$84</f>
        <v>62.011337199466382</v>
      </c>
      <c r="ET140" s="125">
        <f>ET29/293.07*(1/(VLOOKUP($BM140,'Fuel economy adjusted factor'!$A$2:$L$52,5,FALSE)*m2k))/'TCO Inputs'!$AZ$84</f>
        <v>59.708940901631685</v>
      </c>
      <c r="EU140" s="125">
        <f>EU29/293.07*(1/(VLOOKUP($BM140,'Fuel economy adjusted factor'!$A$2:$L$52,5,FALSE)*m2k))/'TCO Inputs'!$AZ$84</f>
        <v>59.708940901631685</v>
      </c>
      <c r="EV140" s="125">
        <f>EV29/293.07*(1/(VLOOKUP($BM140,'Fuel economy adjusted factor'!$A$2:$L$52,5,FALSE)*m2k))/'TCO Inputs'!$AZ$84</f>
        <v>59.708940901631685</v>
      </c>
      <c r="EW140" s="125">
        <f>EW29/293.07*(1/(VLOOKUP($BM140,'Fuel economy adjusted factor'!$A$2:$L$52,5,FALSE)*m2k))/'TCO Inputs'!$AZ$84</f>
        <v>59.708940901631685</v>
      </c>
      <c r="EX140" s="125">
        <f>EX29/293.07*(1/(VLOOKUP($BM140,'Fuel economy adjusted factor'!$A$2:$L$52,5,FALSE)*m2k))/'TCO Inputs'!$AZ$84</f>
        <v>59.708940901631685</v>
      </c>
      <c r="EY140" s="125">
        <f>EY29/293.07*(1/(VLOOKUP($BM140,'Fuel economy adjusted factor'!$A$2:$L$52,5,FALSE)*m2k))/'TCO Inputs'!$AZ$84</f>
        <v>56.098564695947751</v>
      </c>
      <c r="EZ140" s="98" cm="1">
        <f t="array" ref="EZ140">SUMPRODUCT(INDEX(DX140:EY140,,'TCO Inputs'!$AZ$12-2023+_xlfn.SEQUENCE('TCO Inputs'!$AZ$13))*INDEX('VKT US'!C86:AA86,,_xlfn.SEQUENCE('TCO Inputs'!$AZ$13)))*m2k*CONVERT(0.9072,"g","ton")</f>
        <v>41.403474016488502</v>
      </c>
      <c r="FB140" s="123" t="s">
        <v>207</v>
      </c>
      <c r="FC140" s="125">
        <f>FC29/293.07*(1/(VLOOKUP($BM140,'Fuel economy adjusted factor'!$A$2:$L$52,5,FALSE)*m2k))/'TCO Inputs'!$AZ$84</f>
        <v>143.91979369914276</v>
      </c>
      <c r="FD140" s="125">
        <f>FD29/293.07*(1/(VLOOKUP($BM140,'Fuel economy adjusted factor'!$A$2:$L$52,5,FALSE)*m2k))/'TCO Inputs'!$AZ$84</f>
        <v>143.91979369914276</v>
      </c>
      <c r="FE140" s="125">
        <f>FE29/293.07*(1/(VLOOKUP($BM140,'Fuel economy adjusted factor'!$A$2:$L$52,5,FALSE)*m2k))/'TCO Inputs'!$AZ$84</f>
        <v>125.68524482698312</v>
      </c>
      <c r="FF140" s="125">
        <f>FF29/293.07*(1/(VLOOKUP($BM140,'Fuel economy adjusted factor'!$A$2:$L$52,5,FALSE)*m2k))/'TCO Inputs'!$AZ$84</f>
        <v>125.68524482698312</v>
      </c>
      <c r="FG140" s="125">
        <f>FG29/293.07*(1/(VLOOKUP($BM140,'Fuel economy adjusted factor'!$A$2:$L$52,5,FALSE)*m2k))/'TCO Inputs'!$AZ$84</f>
        <v>125.68524482698312</v>
      </c>
      <c r="FH140" s="125">
        <f>FH29/293.07*(1/(VLOOKUP($BM140,'Fuel economy adjusted factor'!$A$2:$L$52,5,FALSE)*m2k))/'TCO Inputs'!$AZ$84</f>
        <v>125.68524482698312</v>
      </c>
      <c r="FI140" s="125">
        <f>FI29/293.07*(1/(VLOOKUP($BM140,'Fuel economy adjusted factor'!$A$2:$L$52,5,FALSE)*m2k))/'TCO Inputs'!$AZ$84</f>
        <v>125.68524482698312</v>
      </c>
      <c r="FJ140" s="125">
        <f>FJ29/293.07*(1/(VLOOKUP($BM140,'Fuel economy adjusted factor'!$A$2:$L$52,5,FALSE)*m2k))/'TCO Inputs'!$AZ$84</f>
        <v>78.870504659936913</v>
      </c>
      <c r="FK140" s="125">
        <f>FK29/293.07*(1/(VLOOKUP($BM140,'Fuel economy adjusted factor'!$A$2:$L$52,5,FALSE)*m2k))/'TCO Inputs'!$AZ$84</f>
        <v>78.870504659936913</v>
      </c>
      <c r="FL140" s="125">
        <f>FL29/293.07*(1/(VLOOKUP($BM140,'Fuel economy adjusted factor'!$A$2:$L$52,5,FALSE)*m2k))/'TCO Inputs'!$AZ$84</f>
        <v>78.870504659936913</v>
      </c>
      <c r="FM140" s="125">
        <f>FM29/293.07*(1/(VLOOKUP($BM140,'Fuel economy adjusted factor'!$A$2:$L$52,5,FALSE)*m2k))/'TCO Inputs'!$AZ$84</f>
        <v>78.870504659936913</v>
      </c>
      <c r="FN140" s="125">
        <f>FN29/293.07*(1/(VLOOKUP($BM140,'Fuel economy adjusted factor'!$A$2:$L$52,5,FALSE)*m2k))/'TCO Inputs'!$AZ$84</f>
        <v>78.870504659936913</v>
      </c>
      <c r="FO140" s="125">
        <f>FO29/293.07*(1/(VLOOKUP($BM140,'Fuel economy adjusted factor'!$A$2:$L$52,5,FALSE)*m2k))/'TCO Inputs'!$AZ$84</f>
        <v>70.033092989800934</v>
      </c>
      <c r="FP140" s="125">
        <f>FP29/293.07*(1/(VLOOKUP($BM140,'Fuel economy adjusted factor'!$A$2:$L$52,5,FALSE)*m2k))/'TCO Inputs'!$AZ$84</f>
        <v>70.033092989800934</v>
      </c>
      <c r="FQ140" s="125">
        <f>FQ29/293.07*(1/(VLOOKUP($BM140,'Fuel economy adjusted factor'!$A$2:$L$52,5,FALSE)*m2k))/'TCO Inputs'!$AZ$84</f>
        <v>70.033092989800934</v>
      </c>
      <c r="FR140" s="125">
        <f>FR29/293.07*(1/(VLOOKUP($BM140,'Fuel economy adjusted factor'!$A$2:$L$52,5,FALSE)*m2k))/'TCO Inputs'!$AZ$84</f>
        <v>70.033092989800934</v>
      </c>
      <c r="FS140" s="125">
        <f>FS29/293.07*(1/(VLOOKUP($BM140,'Fuel economy adjusted factor'!$A$2:$L$52,5,FALSE)*m2k))/'TCO Inputs'!$AZ$84</f>
        <v>70.033092989800934</v>
      </c>
      <c r="FT140" s="125">
        <f>FT29/293.07*(1/(VLOOKUP($BM140,'Fuel economy adjusted factor'!$A$2:$L$52,5,FALSE)*m2k))/'TCO Inputs'!$AZ$84</f>
        <v>68.250372054905597</v>
      </c>
      <c r="FU140" s="125">
        <f>FU29/293.07*(1/(VLOOKUP($BM140,'Fuel economy adjusted factor'!$A$2:$L$52,5,FALSE)*m2k))/'TCO Inputs'!$AZ$84</f>
        <v>68.250372054905597</v>
      </c>
      <c r="FV140" s="125">
        <f>FV29/293.07*(1/(VLOOKUP($BM140,'Fuel economy adjusted factor'!$A$2:$L$52,5,FALSE)*m2k))/'TCO Inputs'!$AZ$84</f>
        <v>68.250372054905597</v>
      </c>
      <c r="FW140" s="125">
        <f>FW29/293.07*(1/(VLOOKUP($BM140,'Fuel economy adjusted factor'!$A$2:$L$52,5,FALSE)*m2k))/'TCO Inputs'!$AZ$84</f>
        <v>68.250372054905597</v>
      </c>
      <c r="FX140" s="125">
        <f>FX29/293.07*(1/(VLOOKUP($BM140,'Fuel economy adjusted factor'!$A$2:$L$52,5,FALSE)*m2k))/'TCO Inputs'!$AZ$84</f>
        <v>68.250372054905597</v>
      </c>
      <c r="FY140" s="125">
        <f>FY29/293.07*(1/(VLOOKUP($BM140,'Fuel economy adjusted factor'!$A$2:$L$52,5,FALSE)*m2k))/'TCO Inputs'!$AZ$84</f>
        <v>65.94309159012596</v>
      </c>
      <c r="FZ140" s="125">
        <f>FZ29/293.07*(1/(VLOOKUP($BM140,'Fuel economy adjusted factor'!$A$2:$L$52,5,FALSE)*m2k))/'TCO Inputs'!$AZ$84</f>
        <v>65.94309159012596</v>
      </c>
      <c r="GA140" s="125">
        <f>GA29/293.07*(1/(VLOOKUP($BM140,'Fuel economy adjusted factor'!$A$2:$L$52,5,FALSE)*m2k))/'TCO Inputs'!$AZ$84</f>
        <v>65.94309159012596</v>
      </c>
      <c r="GB140" s="125">
        <f>GB29/293.07*(1/(VLOOKUP($BM140,'Fuel economy adjusted factor'!$A$2:$L$52,5,FALSE)*m2k))/'TCO Inputs'!$AZ$84</f>
        <v>65.94309159012596</v>
      </c>
      <c r="GC140" s="125">
        <f>GC29/293.07*(1/(VLOOKUP($BM140,'Fuel economy adjusted factor'!$A$2:$L$52,5,FALSE)*m2k))/'TCO Inputs'!$AZ$84</f>
        <v>65.94309159012596</v>
      </c>
      <c r="GD140" s="125">
        <f>GD29/293.07*(1/(VLOOKUP($BM140,'Fuel economy adjusted factor'!$A$2:$L$52,5,FALSE)*m2k))/'TCO Inputs'!$AZ$84</f>
        <v>62.207680710652113</v>
      </c>
      <c r="GE140" s="98" cm="1">
        <f t="array" ref="GE140">SUMPRODUCT(INDEX(FC140:GD140,,'TCO Inputs'!$AZ$12-2023+_xlfn.SEQUENCE('TCO Inputs'!$AZ$13))*INDEX('VKT US'!C86:AA86,,_xlfn.SEQUENCE('TCO Inputs'!$AZ$13)))*m2k*CONVERT(0.9072,"g","ton")</f>
        <v>45.016489585502534</v>
      </c>
      <c r="GH140" s="123" t="s">
        <v>207</v>
      </c>
      <c r="GI140" s="125">
        <f>GI29/293.07*(1/(VLOOKUP($BM140,'Fuel economy adjusted factor'!$A$2:$L$52,5,FALSE)*m2k))/'TCO Inputs'!$AZ$84</f>
        <v>125.04346529042078</v>
      </c>
      <c r="GJ140" s="125">
        <f>GJ29/293.07*(1/(VLOOKUP($BM140,'Fuel economy adjusted factor'!$A$2:$L$52,5,FALSE)*m2k))/'TCO Inputs'!$AZ$84</f>
        <v>125.04346529042078</v>
      </c>
      <c r="GK140" s="125">
        <f>GK29/293.07*(1/(VLOOKUP($BM140,'Fuel economy adjusted factor'!$A$2:$L$52,5,FALSE)*m2k))/'TCO Inputs'!$AZ$84</f>
        <v>109.9367369297871</v>
      </c>
      <c r="GL140" s="125">
        <f>GL29/293.07*(1/(VLOOKUP($BM140,'Fuel economy adjusted factor'!$A$2:$L$52,5,FALSE)*m2k))/'TCO Inputs'!$AZ$84</f>
        <v>109.9367369297871</v>
      </c>
      <c r="GM140" s="125">
        <f>GM29/293.07*(1/(VLOOKUP($BM140,'Fuel economy adjusted factor'!$A$2:$L$52,5,FALSE)*m2k))/'TCO Inputs'!$AZ$84</f>
        <v>109.9367369297871</v>
      </c>
      <c r="GN140" s="125">
        <f>GN29/293.07*(1/(VLOOKUP($BM140,'Fuel economy adjusted factor'!$A$2:$L$52,5,FALSE)*m2k))/'TCO Inputs'!$AZ$84</f>
        <v>109.9367369297871</v>
      </c>
      <c r="GO140" s="125">
        <f>GO29/293.07*(1/(VLOOKUP($BM140,'Fuel economy adjusted factor'!$A$2:$L$52,5,FALSE)*m2k))/'TCO Inputs'!$AZ$84</f>
        <v>109.9367369297871</v>
      </c>
      <c r="GP140" s="125">
        <f>GP29/293.07*(1/(VLOOKUP($BM140,'Fuel economy adjusted factor'!$A$2:$L$52,5,FALSE)*m2k))/'TCO Inputs'!$AZ$84</f>
        <v>66.800751305653719</v>
      </c>
      <c r="GQ140" s="125">
        <f>GQ29/293.07*(1/(VLOOKUP($BM140,'Fuel economy adjusted factor'!$A$2:$L$52,5,FALSE)*m2k))/'TCO Inputs'!$AZ$84</f>
        <v>66.800751305653719</v>
      </c>
      <c r="GR140" s="125">
        <f>GR29/293.07*(1/(VLOOKUP($BM140,'Fuel economy adjusted factor'!$A$2:$L$52,5,FALSE)*m2k))/'TCO Inputs'!$AZ$84</f>
        <v>66.800751305653719</v>
      </c>
      <c r="GS140" s="125">
        <f>GS29/293.07*(1/(VLOOKUP($BM140,'Fuel economy adjusted factor'!$A$2:$L$52,5,FALSE)*m2k))/'TCO Inputs'!$AZ$84</f>
        <v>66.800751305653719</v>
      </c>
      <c r="GT140" s="125">
        <f>GT29/293.07*(1/(VLOOKUP($BM140,'Fuel economy adjusted factor'!$A$2:$L$52,5,FALSE)*m2k))/'TCO Inputs'!$AZ$84</f>
        <v>66.800751305653719</v>
      </c>
      <c r="GU140" s="125">
        <f>GU29/293.07*(1/(VLOOKUP($BM140,'Fuel economy adjusted factor'!$A$2:$L$52,5,FALSE)*m2k))/'TCO Inputs'!$AZ$84</f>
        <v>59.938496748042866</v>
      </c>
      <c r="GV140" s="125">
        <f>GV29/293.07*(1/(VLOOKUP($BM140,'Fuel economy adjusted factor'!$A$2:$L$52,5,FALSE)*m2k))/'TCO Inputs'!$AZ$84</f>
        <v>59.938496748042866</v>
      </c>
      <c r="GW140" s="125">
        <f>GW29/293.07*(1/(VLOOKUP($BM140,'Fuel economy adjusted factor'!$A$2:$L$52,5,FALSE)*m2k))/'TCO Inputs'!$AZ$84</f>
        <v>59.938496748042866</v>
      </c>
      <c r="GX140" s="125">
        <f>GX29/293.07*(1/(VLOOKUP($BM140,'Fuel economy adjusted factor'!$A$2:$L$52,5,FALSE)*m2k))/'TCO Inputs'!$AZ$84</f>
        <v>59.938496748042866</v>
      </c>
      <c r="GY140" s="125">
        <f>GY29/293.07*(1/(VLOOKUP($BM140,'Fuel economy adjusted factor'!$A$2:$L$52,5,FALSE)*m2k))/'TCO Inputs'!$AZ$84</f>
        <v>59.938496748042866</v>
      </c>
      <c r="GZ140" s="125">
        <f>GZ29/293.07*(1/(VLOOKUP($BM140,'Fuel economy adjusted factor'!$A$2:$L$52,5,FALSE)*m2k))/'TCO Inputs'!$AZ$84</f>
        <v>57.765042457554031</v>
      </c>
      <c r="HA140" s="125">
        <f>HA29/293.07*(1/(VLOOKUP($BM140,'Fuel economy adjusted factor'!$A$2:$L$52,5,FALSE)*m2k))/'TCO Inputs'!$AZ$84</f>
        <v>57.765042457554031</v>
      </c>
      <c r="HB140" s="125">
        <f>HB29/293.07*(1/(VLOOKUP($BM140,'Fuel economy adjusted factor'!$A$2:$L$52,5,FALSE)*m2k))/'TCO Inputs'!$AZ$84</f>
        <v>57.765042457554031</v>
      </c>
      <c r="HC140" s="125">
        <f>HC29/293.07*(1/(VLOOKUP($BM140,'Fuel economy adjusted factor'!$A$2:$L$52,5,FALSE)*m2k))/'TCO Inputs'!$AZ$84</f>
        <v>57.765042457554031</v>
      </c>
      <c r="HD140" s="125">
        <f>HD29/293.07*(1/(VLOOKUP($BM140,'Fuel economy adjusted factor'!$A$2:$L$52,5,FALSE)*m2k))/'TCO Inputs'!$AZ$84</f>
        <v>57.765042457554031</v>
      </c>
      <c r="HE140" s="125">
        <f>HE29/293.07*(1/(VLOOKUP($BM140,'Fuel economy adjusted factor'!$A$2:$L$52,5,FALSE)*m2k))/'TCO Inputs'!$AZ$84</f>
        <v>55.465576659886281</v>
      </c>
      <c r="HF140" s="125">
        <f>HF29/293.07*(1/(VLOOKUP($BM140,'Fuel economy adjusted factor'!$A$2:$L$52,5,FALSE)*m2k))/'TCO Inputs'!$AZ$84</f>
        <v>55.465576659886281</v>
      </c>
      <c r="HG140" s="125">
        <f>HG29/293.07*(1/(VLOOKUP($BM140,'Fuel economy adjusted factor'!$A$2:$L$52,5,FALSE)*m2k))/'TCO Inputs'!$AZ$84</f>
        <v>55.465576659886281</v>
      </c>
      <c r="HH140" s="125">
        <f>HH29/293.07*(1/(VLOOKUP($BM140,'Fuel economy adjusted factor'!$A$2:$L$52,5,FALSE)*m2k))/'TCO Inputs'!$AZ$84</f>
        <v>55.465576659886281</v>
      </c>
      <c r="HI140" s="125">
        <f>HI29/293.07*(1/(VLOOKUP($BM140,'Fuel economy adjusted factor'!$A$2:$L$52,5,FALSE)*m2k))/'TCO Inputs'!$AZ$84</f>
        <v>55.465576659886281</v>
      </c>
      <c r="HJ140" s="125">
        <f>HJ29/293.07*(1/(VLOOKUP($BM140,'Fuel economy adjusted factor'!$A$2:$L$52,5,FALSE)*m2k))/'TCO Inputs'!$AZ$84</f>
        <v>51.941161792432908</v>
      </c>
      <c r="HK140" s="98" cm="1">
        <f t="array" ref="HK140">SUMPRODUCT(INDEX(GI140:HJ140,,'TCO Inputs'!$AZ$12-2023+_xlfn.SEQUENCE('TCO Inputs'!$AZ$13))*INDEX('VKT US'!C86:AA86,,_xlfn.SEQUENCE('TCO Inputs'!$AZ$13)))*m2k*CONVERT(0.9072,"g","ton")</f>
        <v>38.94439214726728</v>
      </c>
    </row>
    <row r="141" spans="17:219" x14ac:dyDescent="0.25">
      <c r="Z141" s="123" t="s">
        <v>206</v>
      </c>
      <c r="AA141" s="125">
        <f>AA30/293.07*(1/(VLOOKUP($Z141,'Fuel economy adjusted factor'!$A$2:$L$52,5,FALSE)*m2k))/'TCO Inputs'!$AZ$84</f>
        <v>172.36254657180297</v>
      </c>
      <c r="AB141" s="125">
        <f>AB30/293.07*(1/(VLOOKUP($Z141,'Fuel economy adjusted factor'!$A$2:$L$52,5,FALSE)*m2k))/'TCO Inputs'!$AZ$84</f>
        <v>172.36254657180297</v>
      </c>
      <c r="AC141" s="125">
        <f>AC30/293.07*(1/(VLOOKUP($Z141,'Fuel economy adjusted factor'!$A$2:$L$52,5,FALSE)*m2k))/'TCO Inputs'!$AZ$84</f>
        <v>151.5917977278261</v>
      </c>
      <c r="AD141" s="125">
        <f>AD30/293.07*(1/(VLOOKUP($Z141,'Fuel economy adjusted factor'!$A$2:$L$52,5,FALSE)*m2k))/'TCO Inputs'!$AZ$84</f>
        <v>151.5917977278261</v>
      </c>
      <c r="AE141" s="125">
        <f>AE30/293.07*(1/(VLOOKUP($Z141,'Fuel economy adjusted factor'!$A$2:$L$52,5,FALSE)*m2k))/'TCO Inputs'!$AZ$84</f>
        <v>151.5917977278261</v>
      </c>
      <c r="AF141" s="125">
        <f>AF30/293.07*(1/(VLOOKUP($Z141,'Fuel economy adjusted factor'!$A$2:$L$52,5,FALSE)*m2k))/'TCO Inputs'!$AZ$84</f>
        <v>151.5917977278261</v>
      </c>
      <c r="AG141" s="125">
        <f>AG30/293.07*(1/(VLOOKUP($Z141,'Fuel economy adjusted factor'!$A$2:$L$52,5,FALSE)*m2k))/'TCO Inputs'!$AZ$84</f>
        <v>151.5917977278261</v>
      </c>
      <c r="AH141" s="125">
        <f>AH30/293.07*(1/(VLOOKUP($Z141,'Fuel economy adjusted factor'!$A$2:$L$52,5,FALSE)*m2k))/'TCO Inputs'!$AZ$84</f>
        <v>91.082064861002365</v>
      </c>
      <c r="AI141" s="125">
        <f>AI30/293.07*(1/(VLOOKUP($Z141,'Fuel economy adjusted factor'!$A$2:$L$52,5,FALSE)*m2k))/'TCO Inputs'!$AZ$84</f>
        <v>91.082064861002365</v>
      </c>
      <c r="AJ141" s="125">
        <f>AJ30/293.07*(1/(VLOOKUP($Z141,'Fuel economy adjusted factor'!$A$2:$L$52,5,FALSE)*m2k))/'TCO Inputs'!$AZ$84</f>
        <v>91.082064861002365</v>
      </c>
      <c r="AK141" s="125">
        <f>AK30/293.07*(1/(VLOOKUP($Z141,'Fuel economy adjusted factor'!$A$2:$L$52,5,FALSE)*m2k))/'TCO Inputs'!$AZ$84</f>
        <v>91.082064861002365</v>
      </c>
      <c r="AL141" s="125">
        <f>AL30/293.07*(1/(VLOOKUP($Z141,'Fuel economy adjusted factor'!$A$2:$L$52,5,FALSE)*m2k))/'TCO Inputs'!$AZ$84</f>
        <v>91.082064861002365</v>
      </c>
      <c r="AM141" s="125">
        <f>AM30/293.07*(1/(VLOOKUP($Z141,'Fuel economy adjusted factor'!$A$2:$L$52,5,FALSE)*m2k))/'TCO Inputs'!$AZ$84</f>
        <v>95.315381773821599</v>
      </c>
      <c r="AN141" s="125">
        <f>AN30/293.07*(1/(VLOOKUP($Z141,'Fuel economy adjusted factor'!$A$2:$L$52,5,FALSE)*m2k))/'TCO Inputs'!$AZ$84</f>
        <v>95.315381773821599</v>
      </c>
      <c r="AO141" s="125">
        <f>AO30/293.07*(1/(VLOOKUP($Z141,'Fuel economy adjusted factor'!$A$2:$L$52,5,FALSE)*m2k))/'TCO Inputs'!$AZ$84</f>
        <v>95.315381773821599</v>
      </c>
      <c r="AP141" s="125">
        <f>AP30/293.07*(1/(VLOOKUP($Z141,'Fuel economy adjusted factor'!$A$2:$L$52,5,FALSE)*m2k))/'TCO Inputs'!$AZ$84</f>
        <v>95.315381773821599</v>
      </c>
      <c r="AQ141" s="125">
        <f>AQ30/293.07*(1/(VLOOKUP($Z141,'Fuel economy adjusted factor'!$A$2:$L$52,5,FALSE)*m2k))/'TCO Inputs'!$AZ$84</f>
        <v>95.315381773821599</v>
      </c>
      <c r="AR141" s="125">
        <f>AR30/293.07*(1/(VLOOKUP($Z141,'Fuel economy adjusted factor'!$A$2:$L$52,5,FALSE)*m2k))/'TCO Inputs'!$AZ$84</f>
        <v>99.637695308278381</v>
      </c>
      <c r="AS141" s="125">
        <f>AS30/293.07*(1/(VLOOKUP($Z141,'Fuel economy adjusted factor'!$A$2:$L$52,5,FALSE)*m2k))/'TCO Inputs'!$AZ$84</f>
        <v>99.637695308278381</v>
      </c>
      <c r="AT141" s="125">
        <f>AT30/293.07*(1/(VLOOKUP($Z141,'Fuel economy adjusted factor'!$A$2:$L$52,5,FALSE)*m2k))/'TCO Inputs'!$AZ$84</f>
        <v>99.637695308278381</v>
      </c>
      <c r="AU141" s="125">
        <f>AU30/293.07*(1/(VLOOKUP($Z141,'Fuel economy adjusted factor'!$A$2:$L$52,5,FALSE)*m2k))/'TCO Inputs'!$AZ$84</f>
        <v>99.637695308278381</v>
      </c>
      <c r="AV141" s="125">
        <f>AV30/293.07*(1/(VLOOKUP($Z141,'Fuel economy adjusted factor'!$A$2:$L$52,5,FALSE)*m2k))/'TCO Inputs'!$AZ$84</f>
        <v>99.637695308278381</v>
      </c>
      <c r="AW141" s="125">
        <f>AW30/293.07*(1/(VLOOKUP($Z141,'Fuel economy adjusted factor'!$A$2:$L$52,5,FALSE)*m2k))/'TCO Inputs'!$AZ$84</f>
        <v>101.82408992343385</v>
      </c>
      <c r="AX141" s="125">
        <f>AX30/293.07*(1/(VLOOKUP($Z141,'Fuel economy adjusted factor'!$A$2:$L$52,5,FALSE)*m2k))/'TCO Inputs'!$AZ$84</f>
        <v>101.82408992343385</v>
      </c>
      <c r="AY141" s="125">
        <f>AY30/293.07*(1/(VLOOKUP($Z141,'Fuel economy adjusted factor'!$A$2:$L$52,5,FALSE)*m2k))/'TCO Inputs'!$AZ$84</f>
        <v>101.82408992343385</v>
      </c>
      <c r="AZ141" s="125">
        <f>AZ30/293.07*(1/(VLOOKUP($Z141,'Fuel economy adjusted factor'!$A$2:$L$52,5,FALSE)*m2k))/'TCO Inputs'!$AZ$84</f>
        <v>101.82408992343385</v>
      </c>
      <c r="BA141" s="125">
        <f>BA30/293.07*(1/(VLOOKUP($Z141,'Fuel economy adjusted factor'!$A$2:$L$52,5,FALSE)*m2k))/'TCO Inputs'!$AZ$84</f>
        <v>101.82408992343385</v>
      </c>
      <c r="BB141" s="125">
        <f>BB30/293.07*(1/(VLOOKUP($Z141,'Fuel economy adjusted factor'!$A$2:$L$52,5,FALSE)*m2k))/'TCO Inputs'!$AZ$84</f>
        <v>101.96223393313991</v>
      </c>
      <c r="BC141" s="98" cm="1">
        <f t="array" ref="BC141">SUMPRODUCT(INDEX(AA141:BB141,,'TCO Inputs'!$AZ$12-2023+_xlfn.SEQUENCE('TCO Inputs'!$AZ$13))*INDEX('VKT US'!C87:AA87,,_xlfn.SEQUENCE('TCO Inputs'!$AZ$13)))*m2k*CONVERT(0.9072,"g","ton")</f>
        <v>50.271912503054971</v>
      </c>
      <c r="BM141" s="123" t="s">
        <v>206</v>
      </c>
      <c r="BN141" s="125">
        <f>BN30/293.07*(1/(VLOOKUP($BM141,'Fuel economy adjusted factor'!$A$2:$L$52,5,FALSE)*m2k))</f>
        <v>146.50816458603251</v>
      </c>
      <c r="BO141" s="125">
        <f>BO30/293.07*(1/(VLOOKUP($BM141,'Fuel economy adjusted factor'!$A$2:$L$52,5,FALSE)*m2k))</f>
        <v>146.50816458603251</v>
      </c>
      <c r="BP141" s="125">
        <f>BP30/293.07*(1/(VLOOKUP($BM141,'Fuel economy adjusted factor'!$A$2:$L$52,5,FALSE)*m2k))</f>
        <v>128.68479788760149</v>
      </c>
      <c r="BQ141" s="125">
        <f>BQ30/293.07*(1/(VLOOKUP($BM141,'Fuel economy adjusted factor'!$A$2:$L$52,5,FALSE)*m2k))</f>
        <v>128.68479788760149</v>
      </c>
      <c r="BR141" s="125">
        <f>BR30/293.07*(1/(VLOOKUP($BM141,'Fuel economy adjusted factor'!$A$2:$L$52,5,FALSE)*m2k))</f>
        <v>128.68479788760149</v>
      </c>
      <c r="BS141" s="125">
        <f>BS30/293.07*(1/(VLOOKUP($BM141,'Fuel economy adjusted factor'!$A$2:$L$52,5,FALSE)*m2k))</f>
        <v>128.68479788760149</v>
      </c>
      <c r="BT141" s="125">
        <f>BT30/293.07*(1/(VLOOKUP($BM141,'Fuel economy adjusted factor'!$A$2:$L$52,5,FALSE)*m2k))</f>
        <v>128.68479788760149</v>
      </c>
      <c r="BU141" s="125">
        <f>BU30/293.07*(1/(VLOOKUP($BM141,'Fuel economy adjusted factor'!$A$2:$L$52,5,FALSE)*m2k))</f>
        <v>145.8725028952168</v>
      </c>
      <c r="BV141" s="125">
        <f>BV30/293.07*(1/(VLOOKUP($BM141,'Fuel economy adjusted factor'!$A$2:$L$52,5,FALSE)*m2k))</f>
        <v>145.8725028952168</v>
      </c>
      <c r="BW141" s="125">
        <f>BW30/293.07*(1/(VLOOKUP($BM141,'Fuel economy adjusted factor'!$A$2:$L$52,5,FALSE)*m2k))</f>
        <v>145.8725028952168</v>
      </c>
      <c r="BX141" s="125">
        <f>BX30/293.07*(1/(VLOOKUP($BM141,'Fuel economy adjusted factor'!$A$2:$L$52,5,FALSE)*m2k))</f>
        <v>145.8725028952168</v>
      </c>
      <c r="BY141" s="125">
        <f>BY30/293.07*(1/(VLOOKUP($BM141,'Fuel economy adjusted factor'!$A$2:$L$52,5,FALSE)*m2k))</f>
        <v>145.8725028952168</v>
      </c>
      <c r="BZ141" s="125">
        <f>BZ30/293.07*(1/(VLOOKUP($BM141,'Fuel economy adjusted factor'!$A$2:$L$52,5,FALSE)*m2k))</f>
        <v>149.38049734168996</v>
      </c>
      <c r="CA141" s="125">
        <f>CA30/293.07*(1/(VLOOKUP($BM141,'Fuel economy adjusted factor'!$A$2:$L$52,5,FALSE)*m2k))</f>
        <v>149.38049734168996</v>
      </c>
      <c r="CB141" s="125">
        <f>CB30/293.07*(1/(VLOOKUP($BM141,'Fuel economy adjusted factor'!$A$2:$L$52,5,FALSE)*m2k))</f>
        <v>149.38049734168996</v>
      </c>
      <c r="CC141" s="125">
        <f>CC30/293.07*(1/(VLOOKUP($BM141,'Fuel economy adjusted factor'!$A$2:$L$52,5,FALSE)*m2k))</f>
        <v>149.38049734168996</v>
      </c>
      <c r="CD141" s="125">
        <f>CD30/293.07*(1/(VLOOKUP($BM141,'Fuel economy adjusted factor'!$A$2:$L$52,5,FALSE)*m2k))</f>
        <v>149.38049734168996</v>
      </c>
      <c r="CE141" s="125">
        <f>CE30/293.07*(1/(VLOOKUP($BM141,'Fuel economy adjusted factor'!$A$2:$L$52,5,FALSE)*m2k))</f>
        <v>153.07252883186285</v>
      </c>
      <c r="CF141" s="125">
        <f>CF30/293.07*(1/(VLOOKUP($BM141,'Fuel economy adjusted factor'!$A$2:$L$52,5,FALSE)*m2k))</f>
        <v>153.07252883186285</v>
      </c>
      <c r="CG141" s="125">
        <f>CG30/293.07*(1/(VLOOKUP($BM141,'Fuel economy adjusted factor'!$A$2:$L$52,5,FALSE)*m2k))</f>
        <v>153.07252883186285</v>
      </c>
      <c r="CH141" s="125">
        <f>CH30/293.07*(1/(VLOOKUP($BM141,'Fuel economy adjusted factor'!$A$2:$L$52,5,FALSE)*m2k))</f>
        <v>153.07252883186285</v>
      </c>
      <c r="CI141" s="125">
        <f>CI30/293.07*(1/(VLOOKUP($BM141,'Fuel economy adjusted factor'!$A$2:$L$52,5,FALSE)*m2k))</f>
        <v>153.07252883186285</v>
      </c>
      <c r="CJ141" s="125">
        <f>CJ30/293.07*(1/(VLOOKUP($BM141,'Fuel economy adjusted factor'!$A$2:$L$52,5,FALSE)*m2k))</f>
        <v>153.94868064726785</v>
      </c>
      <c r="CK141" s="125">
        <f>CK30/293.07*(1/(VLOOKUP($BM141,'Fuel economy adjusted factor'!$A$2:$L$52,5,FALSE)*m2k))</f>
        <v>153.94868064726785</v>
      </c>
      <c r="CL141" s="125">
        <f>CL30/293.07*(1/(VLOOKUP($BM141,'Fuel economy adjusted factor'!$A$2:$L$52,5,FALSE)*m2k))</f>
        <v>153.94868064726785</v>
      </c>
      <c r="CM141" s="125">
        <f>CM30/293.07*(1/(VLOOKUP($BM141,'Fuel economy adjusted factor'!$A$2:$L$52,5,FALSE)*m2k))</f>
        <v>153.94868064726785</v>
      </c>
      <c r="CN141" s="125">
        <f>CN30/293.07*(1/(VLOOKUP($BM141,'Fuel economy adjusted factor'!$A$2:$L$52,5,FALSE)*m2k))</f>
        <v>153.94868064726785</v>
      </c>
      <c r="CO141" s="125">
        <f>CO30/293.07*(1/(VLOOKUP($BM141,'Fuel economy adjusted factor'!$A$2:$L$52,5,FALSE)*m2k))</f>
        <v>154.99532076695905</v>
      </c>
      <c r="CP141" s="98" cm="1">
        <f t="array" ref="CP141">SUMPRODUCT(INDEX(BN141:CO141,,'TCO Inputs'!$AZ$12-2023+_xlfn.SEQUENCE('TCO Inputs'!$AZ$13))*INDEX('VKT US'!C87:AA87,,_xlfn.SEQUENCE('TCO Inputs'!$AZ$13)))*m2k*CONVERT(0.9072,"g","ton")</f>
        <v>54.756849835020319</v>
      </c>
      <c r="CQ141" s="194"/>
      <c r="CR141" s="123" t="s">
        <v>206</v>
      </c>
      <c r="CS141" s="125">
        <f>CS30/293.07*(1/(VLOOKUP($BM141,'Fuel economy adjusted factor'!$A$2:$L$52,5,FALSE)*m2k))/'TCO Inputs'!$AZ$84</f>
        <v>208.6851229699962</v>
      </c>
      <c r="CT141" s="125">
        <f>CT30/293.07*(1/(VLOOKUP($BM141,'Fuel economy adjusted factor'!$A$2:$L$52,5,FALSE)*m2k))/'TCO Inputs'!$AZ$84</f>
        <v>208.6851229699962</v>
      </c>
      <c r="CU141" s="125">
        <f>CU30/293.07*(1/(VLOOKUP($BM141,'Fuel economy adjusted factor'!$A$2:$L$52,5,FALSE)*m2k))/'TCO Inputs'!$AZ$84</f>
        <v>208.6851229699962</v>
      </c>
      <c r="CV141" s="125">
        <f>CV30/293.07*(1/(VLOOKUP($BM141,'Fuel economy adjusted factor'!$A$2:$L$52,5,FALSE)*m2k))/'TCO Inputs'!$AZ$84</f>
        <v>208.6851229699962</v>
      </c>
      <c r="CW141" s="125">
        <f>CW30/293.07*(1/(VLOOKUP($BM141,'Fuel economy adjusted factor'!$A$2:$L$52,5,FALSE)*m2k))/'TCO Inputs'!$AZ$84</f>
        <v>208.6851229699962</v>
      </c>
      <c r="CX141" s="125">
        <f>CX30/293.07*(1/(VLOOKUP($BM141,'Fuel economy adjusted factor'!$A$2:$L$52,5,FALSE)*m2k))/'TCO Inputs'!$AZ$84</f>
        <v>208.6851229699962</v>
      </c>
      <c r="CY141" s="125">
        <f>CY30/293.07*(1/(VLOOKUP($BM141,'Fuel economy adjusted factor'!$A$2:$L$52,5,FALSE)*m2k))/'TCO Inputs'!$AZ$84</f>
        <v>208.6851229699962</v>
      </c>
      <c r="CZ141" s="125">
        <f>CZ30/293.07*(1/(VLOOKUP($BM141,'Fuel economy adjusted factor'!$A$2:$L$52,5,FALSE)*m2k))/'TCO Inputs'!$AZ$84</f>
        <v>208.73161374249344</v>
      </c>
      <c r="DA141" s="125">
        <f>DA30/293.07*(1/(VLOOKUP($BM141,'Fuel economy adjusted factor'!$A$2:$L$52,5,FALSE)*m2k))/'TCO Inputs'!$AZ$84</f>
        <v>208.73161374249344</v>
      </c>
      <c r="DB141" s="125">
        <f>DB30/293.07*(1/(VLOOKUP($BM141,'Fuel economy adjusted factor'!$A$2:$L$52,5,FALSE)*m2k))/'TCO Inputs'!$AZ$84</f>
        <v>208.73161374249344</v>
      </c>
      <c r="DC141" s="125">
        <f>DC30/293.07*(1/(VLOOKUP($BM141,'Fuel economy adjusted factor'!$A$2:$L$52,5,FALSE)*m2k))/'TCO Inputs'!$AZ$84</f>
        <v>208.73161374249344</v>
      </c>
      <c r="DD141" s="125">
        <f>DD30/293.07*(1/(VLOOKUP($BM141,'Fuel economy adjusted factor'!$A$2:$L$52,5,FALSE)*m2k))/'TCO Inputs'!$AZ$84</f>
        <v>208.73161374249344</v>
      </c>
      <c r="DE141" s="125">
        <f>DE30/293.07*(1/(VLOOKUP($BM141,'Fuel economy adjusted factor'!$A$2:$L$52,5,FALSE)*m2k))/'TCO Inputs'!$AZ$84</f>
        <v>208.70504758678078</v>
      </c>
      <c r="DF141" s="125">
        <f>DF30/293.07*(1/(VLOOKUP($BM141,'Fuel economy adjusted factor'!$A$2:$L$52,5,FALSE)*m2k))/'TCO Inputs'!$AZ$84</f>
        <v>208.70504758678078</v>
      </c>
      <c r="DG141" s="125">
        <f>DG30/293.07*(1/(VLOOKUP($BM141,'Fuel economy adjusted factor'!$A$2:$L$52,5,FALSE)*m2k))/'TCO Inputs'!$AZ$84</f>
        <v>208.70504758678078</v>
      </c>
      <c r="DH141" s="125">
        <f>DH30/293.07*(1/(VLOOKUP($BM141,'Fuel economy adjusted factor'!$A$2:$L$52,5,FALSE)*m2k))/'TCO Inputs'!$AZ$84</f>
        <v>208.70504758678078</v>
      </c>
      <c r="DI141" s="125">
        <f>DI30/293.07*(1/(VLOOKUP($BM141,'Fuel economy adjusted factor'!$A$2:$L$52,5,FALSE)*m2k))/'TCO Inputs'!$AZ$84</f>
        <v>208.70504758678078</v>
      </c>
      <c r="DJ141" s="125">
        <f>DJ30/293.07*(1/(VLOOKUP($BM141,'Fuel economy adjusted factor'!$A$2:$L$52,5,FALSE)*m2k))/'TCO Inputs'!$AZ$84</f>
        <v>208.69840604785259</v>
      </c>
      <c r="DK141" s="125">
        <f>DK30/293.07*(1/(VLOOKUP($BM141,'Fuel economy adjusted factor'!$A$2:$L$52,5,FALSE)*m2k))/'TCO Inputs'!$AZ$84</f>
        <v>208.69840604785259</v>
      </c>
      <c r="DL141" s="125">
        <f>DL30/293.07*(1/(VLOOKUP($BM141,'Fuel economy adjusted factor'!$A$2:$L$52,5,FALSE)*m2k))/'TCO Inputs'!$AZ$84</f>
        <v>208.69840604785259</v>
      </c>
      <c r="DM141" s="125">
        <f>DM30/293.07*(1/(VLOOKUP($BM141,'Fuel economy adjusted factor'!$A$2:$L$52,5,FALSE)*m2k))/'TCO Inputs'!$AZ$84</f>
        <v>208.69840604785259</v>
      </c>
      <c r="DN141" s="125">
        <f>DN30/293.07*(1/(VLOOKUP($BM141,'Fuel economy adjusted factor'!$A$2:$L$52,5,FALSE)*m2k))/'TCO Inputs'!$AZ$84</f>
        <v>208.69840604785259</v>
      </c>
      <c r="DO141" s="125">
        <f>DO30/293.07*(1/(VLOOKUP($BM141,'Fuel economy adjusted factor'!$A$2:$L$52,5,FALSE)*m2k))/'TCO Inputs'!$AZ$84</f>
        <v>208.56956019264595</v>
      </c>
      <c r="DP141" s="125">
        <f>DP30/293.07*(1/(VLOOKUP($BM141,'Fuel economy adjusted factor'!$A$2:$L$52,5,FALSE)*m2k))/'TCO Inputs'!$AZ$84</f>
        <v>208.56956019264595</v>
      </c>
      <c r="DQ141" s="125">
        <f>DQ30/293.07*(1/(VLOOKUP($BM141,'Fuel economy adjusted factor'!$A$2:$L$52,5,FALSE)*m2k))/'TCO Inputs'!$AZ$84</f>
        <v>208.56956019264595</v>
      </c>
      <c r="DR141" s="125">
        <f>DR30/293.07*(1/(VLOOKUP($BM141,'Fuel economy adjusted factor'!$A$2:$L$52,5,FALSE)*m2k))/'TCO Inputs'!$AZ$84</f>
        <v>208.56956019264595</v>
      </c>
      <c r="DS141" s="125">
        <f>DS30/293.07*(1/(VLOOKUP($BM141,'Fuel economy adjusted factor'!$A$2:$L$52,5,FALSE)*m2k))/'TCO Inputs'!$AZ$84</f>
        <v>208.56956019264595</v>
      </c>
      <c r="DT141" s="125">
        <f>DT30/293.07*(1/(VLOOKUP($BM141,'Fuel economy adjusted factor'!$A$2:$L$52,5,FALSE)*m2k))/'TCO Inputs'!$AZ$84</f>
        <v>208.67715312328241</v>
      </c>
      <c r="DU141" s="98" cm="1">
        <f t="array" ref="DU141">SUMPRODUCT(INDEX(CS141:DT141,,'TCO Inputs'!$AZ$12-2023+_xlfn.SEQUENCE('TCO Inputs'!$AZ$13))*INDEX('VKT US'!C87:AA87,,_xlfn.SEQUENCE('TCO Inputs'!$AZ$13)))*m2k*CONVERT(0.9072,"g","ton")</f>
        <v>81.714909266158784</v>
      </c>
      <c r="DW141" s="123" t="s">
        <v>206</v>
      </c>
      <c r="DX141" s="125">
        <f>DX30/293.07*(1/(VLOOKUP($BM141,'Fuel economy adjusted factor'!$A$2:$L$52,5,FALSE)*m2k))/'TCO Inputs'!$AZ$84</f>
        <v>218.45349279544266</v>
      </c>
      <c r="DY141" s="125">
        <f>DY30/293.07*(1/(VLOOKUP($BM141,'Fuel economy adjusted factor'!$A$2:$L$52,5,FALSE)*m2k))/'TCO Inputs'!$AZ$84</f>
        <v>218.45349279544266</v>
      </c>
      <c r="DZ141" s="125">
        <f>DZ30/293.07*(1/(VLOOKUP($BM141,'Fuel economy adjusted factor'!$A$2:$L$52,5,FALSE)*m2k))/'TCO Inputs'!$AZ$84</f>
        <v>191.49639450533184</v>
      </c>
      <c r="EA141" s="125">
        <f>EA30/293.07*(1/(VLOOKUP($BM141,'Fuel economy adjusted factor'!$A$2:$L$52,5,FALSE)*m2k))/'TCO Inputs'!$AZ$84</f>
        <v>191.49639450533184</v>
      </c>
      <c r="EB141" s="125">
        <f>EB30/293.07*(1/(VLOOKUP($BM141,'Fuel economy adjusted factor'!$A$2:$L$52,5,FALSE)*m2k))/'TCO Inputs'!$AZ$84</f>
        <v>191.49639450533184</v>
      </c>
      <c r="EC141" s="125">
        <f>EC30/293.07*(1/(VLOOKUP($BM141,'Fuel economy adjusted factor'!$A$2:$L$52,5,FALSE)*m2k))/'TCO Inputs'!$AZ$84</f>
        <v>191.49639450533184</v>
      </c>
      <c r="ED141" s="125">
        <f>ED30/293.07*(1/(VLOOKUP($BM141,'Fuel economy adjusted factor'!$A$2:$L$52,5,FALSE)*m2k))/'TCO Inputs'!$AZ$84</f>
        <v>191.49639450533184</v>
      </c>
      <c r="EE141" s="125">
        <f>EE30/293.07*(1/(VLOOKUP($BM141,'Fuel economy adjusted factor'!$A$2:$L$52,5,FALSE)*m2k))/'TCO Inputs'!$AZ$84</f>
        <v>118.02615955213857</v>
      </c>
      <c r="EF141" s="125">
        <f>EF30/293.07*(1/(VLOOKUP($BM141,'Fuel economy adjusted factor'!$A$2:$L$52,5,FALSE)*m2k))/'TCO Inputs'!$AZ$84</f>
        <v>118.02615955213857</v>
      </c>
      <c r="EG141" s="125">
        <f>EG30/293.07*(1/(VLOOKUP($BM141,'Fuel economy adjusted factor'!$A$2:$L$52,5,FALSE)*m2k))/'TCO Inputs'!$AZ$84</f>
        <v>118.02615955213857</v>
      </c>
      <c r="EH141" s="125">
        <f>EH30/293.07*(1/(VLOOKUP($BM141,'Fuel economy adjusted factor'!$A$2:$L$52,5,FALSE)*m2k))/'TCO Inputs'!$AZ$84</f>
        <v>118.02615955213857</v>
      </c>
      <c r="EI141" s="125">
        <f>EI30/293.07*(1/(VLOOKUP($BM141,'Fuel economy adjusted factor'!$A$2:$L$52,5,FALSE)*m2k))/'TCO Inputs'!$AZ$84</f>
        <v>118.02615955213857</v>
      </c>
      <c r="EJ141" s="125">
        <f>EJ30/293.07*(1/(VLOOKUP($BM141,'Fuel economy adjusted factor'!$A$2:$L$52,5,FALSE)*m2k))/'TCO Inputs'!$AZ$84</f>
        <v>105.41122822010003</v>
      </c>
      <c r="EK141" s="125">
        <f>EK30/293.07*(1/(VLOOKUP($BM141,'Fuel economy adjusted factor'!$A$2:$L$52,5,FALSE)*m2k))/'TCO Inputs'!$AZ$84</f>
        <v>105.41122822010003</v>
      </c>
      <c r="EL141" s="125">
        <f>EL30/293.07*(1/(VLOOKUP($BM141,'Fuel economy adjusted factor'!$A$2:$L$52,5,FALSE)*m2k))/'TCO Inputs'!$AZ$84</f>
        <v>105.41122822010003</v>
      </c>
      <c r="EM141" s="125">
        <f>EM30/293.07*(1/(VLOOKUP($BM141,'Fuel economy adjusted factor'!$A$2:$L$52,5,FALSE)*m2k))/'TCO Inputs'!$AZ$84</f>
        <v>105.41122822010003</v>
      </c>
      <c r="EN141" s="125">
        <f>EN30/293.07*(1/(VLOOKUP($BM141,'Fuel economy adjusted factor'!$A$2:$L$52,5,FALSE)*m2k))/'TCO Inputs'!$AZ$84</f>
        <v>105.41122822010003</v>
      </c>
      <c r="EO141" s="125">
        <f>EO30/293.07*(1/(VLOOKUP($BM141,'Fuel economy adjusted factor'!$A$2:$L$52,5,FALSE)*m2k))/'TCO Inputs'!$AZ$84</f>
        <v>102.0934562494224</v>
      </c>
      <c r="EP141" s="125">
        <f>EP30/293.07*(1/(VLOOKUP($BM141,'Fuel economy adjusted factor'!$A$2:$L$52,5,FALSE)*m2k))/'TCO Inputs'!$AZ$84</f>
        <v>102.0934562494224</v>
      </c>
      <c r="EQ141" s="125">
        <f>EQ30/293.07*(1/(VLOOKUP($BM141,'Fuel economy adjusted factor'!$A$2:$L$52,5,FALSE)*m2k))/'TCO Inputs'!$AZ$84</f>
        <v>102.0934562494224</v>
      </c>
      <c r="ER141" s="125">
        <f>ER30/293.07*(1/(VLOOKUP($BM141,'Fuel economy adjusted factor'!$A$2:$L$52,5,FALSE)*m2k))/'TCO Inputs'!$AZ$84</f>
        <v>102.0934562494224</v>
      </c>
      <c r="ES141" s="125">
        <f>ES30/293.07*(1/(VLOOKUP($BM141,'Fuel economy adjusted factor'!$A$2:$L$52,5,FALSE)*m2k))/'TCO Inputs'!$AZ$84</f>
        <v>102.0934562494224</v>
      </c>
      <c r="ET141" s="125">
        <f>ET30/293.07*(1/(VLOOKUP($BM141,'Fuel economy adjusted factor'!$A$2:$L$52,5,FALSE)*m2k))/'TCO Inputs'!$AZ$84</f>
        <v>98.302865587819298</v>
      </c>
      <c r="EU141" s="125">
        <f>EU30/293.07*(1/(VLOOKUP($BM141,'Fuel economy adjusted factor'!$A$2:$L$52,5,FALSE)*m2k))/'TCO Inputs'!$AZ$84</f>
        <v>98.302865587819298</v>
      </c>
      <c r="EV141" s="125">
        <f>EV30/293.07*(1/(VLOOKUP($BM141,'Fuel economy adjusted factor'!$A$2:$L$52,5,FALSE)*m2k))/'TCO Inputs'!$AZ$84</f>
        <v>98.302865587819298</v>
      </c>
      <c r="EW141" s="125">
        <f>EW30/293.07*(1/(VLOOKUP($BM141,'Fuel economy adjusted factor'!$A$2:$L$52,5,FALSE)*m2k))/'TCO Inputs'!$AZ$84</f>
        <v>98.302865587819298</v>
      </c>
      <c r="EX141" s="125">
        <f>EX30/293.07*(1/(VLOOKUP($BM141,'Fuel economy adjusted factor'!$A$2:$L$52,5,FALSE)*m2k))/'TCO Inputs'!$AZ$84</f>
        <v>98.302865587819298</v>
      </c>
      <c r="EY141" s="125">
        <f>EY30/293.07*(1/(VLOOKUP($BM141,'Fuel economy adjusted factor'!$A$2:$L$52,5,FALSE)*m2k))/'TCO Inputs'!$AZ$84</f>
        <v>92.35885918761349</v>
      </c>
      <c r="EZ141" s="98" cm="1">
        <f t="array" ref="EZ141">SUMPRODUCT(INDEX(DX141:EY141,,'TCO Inputs'!$AZ$12-2023+_xlfn.SEQUENCE('TCO Inputs'!$AZ$13))*INDEX('VKT US'!C87:AA87,,_xlfn.SEQUENCE('TCO Inputs'!$AZ$13)))*m2k*CONVERT(0.9072,"g","ton")</f>
        <v>63.232005710047908</v>
      </c>
      <c r="FB141" s="123" t="s">
        <v>206</v>
      </c>
      <c r="FC141" s="125">
        <f>FC30/293.07*(1/(VLOOKUP($BM141,'Fuel economy adjusted factor'!$A$2:$L$52,5,FALSE)*m2k))/'TCO Inputs'!$AZ$84</f>
        <v>236.94488500041189</v>
      </c>
      <c r="FD141" s="125">
        <f>FD30/293.07*(1/(VLOOKUP($BM141,'Fuel economy adjusted factor'!$A$2:$L$52,5,FALSE)*m2k))/'TCO Inputs'!$AZ$84</f>
        <v>236.94488500041189</v>
      </c>
      <c r="FE141" s="125">
        <f>FE30/293.07*(1/(VLOOKUP($BM141,'Fuel economy adjusted factor'!$A$2:$L$52,5,FALSE)*m2k))/'TCO Inputs'!$AZ$84</f>
        <v>206.92411458032481</v>
      </c>
      <c r="FF141" s="125">
        <f>FF30/293.07*(1/(VLOOKUP($BM141,'Fuel economy adjusted factor'!$A$2:$L$52,5,FALSE)*m2k))/'TCO Inputs'!$AZ$84</f>
        <v>206.92411458032481</v>
      </c>
      <c r="FG141" s="125">
        <f>FG30/293.07*(1/(VLOOKUP($BM141,'Fuel economy adjusted factor'!$A$2:$L$52,5,FALSE)*m2k))/'TCO Inputs'!$AZ$84</f>
        <v>206.92411458032481</v>
      </c>
      <c r="FH141" s="125">
        <f>FH30/293.07*(1/(VLOOKUP($BM141,'Fuel economy adjusted factor'!$A$2:$L$52,5,FALSE)*m2k))/'TCO Inputs'!$AZ$84</f>
        <v>206.92411458032481</v>
      </c>
      <c r="FI141" s="125">
        <f>FI30/293.07*(1/(VLOOKUP($BM141,'Fuel economy adjusted factor'!$A$2:$L$52,5,FALSE)*m2k))/'TCO Inputs'!$AZ$84</f>
        <v>206.92411458032481</v>
      </c>
      <c r="FJ141" s="125">
        <f>FJ30/293.07*(1/(VLOOKUP($BM141,'Fuel economy adjusted factor'!$A$2:$L$52,5,FALSE)*m2k))/'TCO Inputs'!$AZ$84</f>
        <v>129.84984327895486</v>
      </c>
      <c r="FK141" s="125">
        <f>FK30/293.07*(1/(VLOOKUP($BM141,'Fuel economy adjusted factor'!$A$2:$L$52,5,FALSE)*m2k))/'TCO Inputs'!$AZ$84</f>
        <v>129.84984327895486</v>
      </c>
      <c r="FL141" s="125">
        <f>FL30/293.07*(1/(VLOOKUP($BM141,'Fuel economy adjusted factor'!$A$2:$L$52,5,FALSE)*m2k))/'TCO Inputs'!$AZ$84</f>
        <v>129.84984327895486</v>
      </c>
      <c r="FM141" s="125">
        <f>FM30/293.07*(1/(VLOOKUP($BM141,'Fuel economy adjusted factor'!$A$2:$L$52,5,FALSE)*m2k))/'TCO Inputs'!$AZ$84</f>
        <v>129.84984327895486</v>
      </c>
      <c r="FN141" s="125">
        <f>FN30/293.07*(1/(VLOOKUP($BM141,'Fuel economy adjusted factor'!$A$2:$L$52,5,FALSE)*m2k))/'TCO Inputs'!$AZ$84</f>
        <v>129.84984327895486</v>
      </c>
      <c r="FO141" s="125">
        <f>FO30/293.07*(1/(VLOOKUP($BM141,'Fuel economy adjusted factor'!$A$2:$L$52,5,FALSE)*m2k))/'TCO Inputs'!$AZ$84</f>
        <v>115.30021505853766</v>
      </c>
      <c r="FP141" s="125">
        <f>FP30/293.07*(1/(VLOOKUP($BM141,'Fuel economy adjusted factor'!$A$2:$L$52,5,FALSE)*m2k))/'TCO Inputs'!$AZ$84</f>
        <v>115.30021505853766</v>
      </c>
      <c r="FQ141" s="125">
        <f>FQ30/293.07*(1/(VLOOKUP($BM141,'Fuel economy adjusted factor'!$A$2:$L$52,5,FALSE)*m2k))/'TCO Inputs'!$AZ$84</f>
        <v>115.30021505853766</v>
      </c>
      <c r="FR141" s="125">
        <f>FR30/293.07*(1/(VLOOKUP($BM141,'Fuel economy adjusted factor'!$A$2:$L$52,5,FALSE)*m2k))/'TCO Inputs'!$AZ$84</f>
        <v>115.30021505853766</v>
      </c>
      <c r="FS141" s="125">
        <f>FS30/293.07*(1/(VLOOKUP($BM141,'Fuel economy adjusted factor'!$A$2:$L$52,5,FALSE)*m2k))/'TCO Inputs'!$AZ$84</f>
        <v>115.30021505853766</v>
      </c>
      <c r="FT141" s="125">
        <f>FT30/293.07*(1/(VLOOKUP($BM141,'Fuel economy adjusted factor'!$A$2:$L$52,5,FALSE)*m2k))/'TCO Inputs'!$AZ$84</f>
        <v>112.36520107575205</v>
      </c>
      <c r="FU141" s="125">
        <f>FU30/293.07*(1/(VLOOKUP($BM141,'Fuel economy adjusted factor'!$A$2:$L$52,5,FALSE)*m2k))/'TCO Inputs'!$AZ$84</f>
        <v>112.36520107575205</v>
      </c>
      <c r="FV141" s="125">
        <f>FV30/293.07*(1/(VLOOKUP($BM141,'Fuel economy adjusted factor'!$A$2:$L$52,5,FALSE)*m2k))/'TCO Inputs'!$AZ$84</f>
        <v>112.36520107575205</v>
      </c>
      <c r="FW141" s="125">
        <f>FW30/293.07*(1/(VLOOKUP($BM141,'Fuel economy adjusted factor'!$A$2:$L$52,5,FALSE)*m2k))/'TCO Inputs'!$AZ$84</f>
        <v>112.36520107575205</v>
      </c>
      <c r="FX141" s="125">
        <f>FX30/293.07*(1/(VLOOKUP($BM141,'Fuel economy adjusted factor'!$A$2:$L$52,5,FALSE)*m2k))/'TCO Inputs'!$AZ$84</f>
        <v>112.36520107575205</v>
      </c>
      <c r="FY141" s="125">
        <f>FY30/293.07*(1/(VLOOKUP($BM141,'Fuel economy adjusted factor'!$A$2:$L$52,5,FALSE)*m2k))/'TCO Inputs'!$AZ$84</f>
        <v>108.56656927994955</v>
      </c>
      <c r="FZ141" s="125">
        <f>FZ30/293.07*(1/(VLOOKUP($BM141,'Fuel economy adjusted factor'!$A$2:$L$52,5,FALSE)*m2k))/'TCO Inputs'!$AZ$84</f>
        <v>108.56656927994955</v>
      </c>
      <c r="GA141" s="125">
        <f>GA30/293.07*(1/(VLOOKUP($BM141,'Fuel economy adjusted factor'!$A$2:$L$52,5,FALSE)*m2k))/'TCO Inputs'!$AZ$84</f>
        <v>108.56656927994955</v>
      </c>
      <c r="GB141" s="125">
        <f>GB30/293.07*(1/(VLOOKUP($BM141,'Fuel economy adjusted factor'!$A$2:$L$52,5,FALSE)*m2k))/'TCO Inputs'!$AZ$84</f>
        <v>108.56656927994955</v>
      </c>
      <c r="GC141" s="125">
        <f>GC30/293.07*(1/(VLOOKUP($BM141,'Fuel economy adjusted factor'!$A$2:$L$52,5,FALSE)*m2k))/'TCO Inputs'!$AZ$84</f>
        <v>108.56656927994955</v>
      </c>
      <c r="GD141" s="125">
        <f>GD30/293.07*(1/(VLOOKUP($BM141,'Fuel economy adjusted factor'!$A$2:$L$52,5,FALSE)*m2k))/'TCO Inputs'!$AZ$84</f>
        <v>102.41670984423877</v>
      </c>
      <c r="GE141" s="98" cm="1">
        <f t="array" ref="GE141">SUMPRODUCT(INDEX(FC141:GD141,,'TCO Inputs'!$AZ$12-2023+_xlfn.SEQUENCE('TCO Inputs'!$AZ$13))*INDEX('VKT US'!C87:AA87,,_xlfn.SEQUENCE('TCO Inputs'!$AZ$13)))*m2k*CONVERT(0.9072,"g","ton")</f>
        <v>68.749857207229169</v>
      </c>
      <c r="GH141" s="123" t="s">
        <v>206</v>
      </c>
      <c r="GI141" s="125">
        <f>GI30/293.07*(1/(VLOOKUP($BM141,'Fuel economy adjusted factor'!$A$2:$L$52,5,FALSE)*m2k))/'TCO Inputs'!$AZ$84</f>
        <v>205.86750954652203</v>
      </c>
      <c r="GJ141" s="125">
        <f>GJ30/293.07*(1/(VLOOKUP($BM141,'Fuel economy adjusted factor'!$A$2:$L$52,5,FALSE)*m2k))/'TCO Inputs'!$AZ$84</f>
        <v>205.86750954652203</v>
      </c>
      <c r="GK141" s="125">
        <f>GK30/293.07*(1/(VLOOKUP($BM141,'Fuel economy adjusted factor'!$A$2:$L$52,5,FALSE)*m2k))/'TCO Inputs'!$AZ$84</f>
        <v>180.99628146773875</v>
      </c>
      <c r="GL141" s="125">
        <f>GL30/293.07*(1/(VLOOKUP($BM141,'Fuel economy adjusted factor'!$A$2:$L$52,5,FALSE)*m2k))/'TCO Inputs'!$AZ$84</f>
        <v>180.99628146773875</v>
      </c>
      <c r="GM141" s="125">
        <f>GM30/293.07*(1/(VLOOKUP($BM141,'Fuel economy adjusted factor'!$A$2:$L$52,5,FALSE)*m2k))/'TCO Inputs'!$AZ$84</f>
        <v>180.99628146773875</v>
      </c>
      <c r="GN141" s="125">
        <f>GN30/293.07*(1/(VLOOKUP($BM141,'Fuel economy adjusted factor'!$A$2:$L$52,5,FALSE)*m2k))/'TCO Inputs'!$AZ$84</f>
        <v>180.99628146773875</v>
      </c>
      <c r="GO141" s="125">
        <f>GO30/293.07*(1/(VLOOKUP($BM141,'Fuel economy adjusted factor'!$A$2:$L$52,5,FALSE)*m2k))/'TCO Inputs'!$AZ$84</f>
        <v>180.99628146773875</v>
      </c>
      <c r="GP141" s="125">
        <f>GP30/293.07*(1/(VLOOKUP($BM141,'Fuel economy adjusted factor'!$A$2:$L$52,5,FALSE)*m2k))/'TCO Inputs'!$AZ$84</f>
        <v>109.97859244536642</v>
      </c>
      <c r="GQ141" s="125">
        <f>GQ30/293.07*(1/(VLOOKUP($BM141,'Fuel economy adjusted factor'!$A$2:$L$52,5,FALSE)*m2k))/'TCO Inputs'!$AZ$84</f>
        <v>109.97859244536642</v>
      </c>
      <c r="GR141" s="125">
        <f>GR30/293.07*(1/(VLOOKUP($BM141,'Fuel economy adjusted factor'!$A$2:$L$52,5,FALSE)*m2k))/'TCO Inputs'!$AZ$84</f>
        <v>109.97859244536642</v>
      </c>
      <c r="GS141" s="125">
        <f>GS30/293.07*(1/(VLOOKUP($BM141,'Fuel economy adjusted factor'!$A$2:$L$52,5,FALSE)*m2k))/'TCO Inputs'!$AZ$84</f>
        <v>109.97859244536642</v>
      </c>
      <c r="GT141" s="125">
        <f>GT30/293.07*(1/(VLOOKUP($BM141,'Fuel economy adjusted factor'!$A$2:$L$52,5,FALSE)*m2k))/'TCO Inputs'!$AZ$84</f>
        <v>109.97859244536642</v>
      </c>
      <c r="GU141" s="125">
        <f>GU30/293.07*(1/(VLOOKUP($BM141,'Fuel economy adjusted factor'!$A$2:$L$52,5,FALSE)*m2k))/'TCO Inputs'!$AZ$84</f>
        <v>98.680798895191685</v>
      </c>
      <c r="GV141" s="125">
        <f>GV30/293.07*(1/(VLOOKUP($BM141,'Fuel economy adjusted factor'!$A$2:$L$52,5,FALSE)*m2k))/'TCO Inputs'!$AZ$84</f>
        <v>98.680798895191685</v>
      </c>
      <c r="GW141" s="125">
        <f>GW30/293.07*(1/(VLOOKUP($BM141,'Fuel economy adjusted factor'!$A$2:$L$52,5,FALSE)*m2k))/'TCO Inputs'!$AZ$84</f>
        <v>98.680798895191685</v>
      </c>
      <c r="GX141" s="125">
        <f>GX30/293.07*(1/(VLOOKUP($BM141,'Fuel economy adjusted factor'!$A$2:$L$52,5,FALSE)*m2k))/'TCO Inputs'!$AZ$84</f>
        <v>98.680798895191685</v>
      </c>
      <c r="GY141" s="125">
        <f>GY30/293.07*(1/(VLOOKUP($BM141,'Fuel economy adjusted factor'!$A$2:$L$52,5,FALSE)*m2k))/'TCO Inputs'!$AZ$84</f>
        <v>98.680798895191685</v>
      </c>
      <c r="GZ141" s="125">
        <f>GZ30/293.07*(1/(VLOOKUP($BM141,'Fuel economy adjusted factor'!$A$2:$L$52,5,FALSE)*m2k))/'TCO Inputs'!$AZ$84</f>
        <v>95.102494176453064</v>
      </c>
      <c r="HA141" s="125">
        <f>HA30/293.07*(1/(VLOOKUP($BM141,'Fuel economy adjusted factor'!$A$2:$L$52,5,FALSE)*m2k))/'TCO Inputs'!$AZ$84</f>
        <v>95.102494176453064</v>
      </c>
      <c r="HB141" s="125">
        <f>HB30/293.07*(1/(VLOOKUP($BM141,'Fuel economy adjusted factor'!$A$2:$L$52,5,FALSE)*m2k))/'TCO Inputs'!$AZ$84</f>
        <v>95.102494176453064</v>
      </c>
      <c r="HC141" s="125">
        <f>HC30/293.07*(1/(VLOOKUP($BM141,'Fuel economy adjusted factor'!$A$2:$L$52,5,FALSE)*m2k))/'TCO Inputs'!$AZ$84</f>
        <v>95.102494176453064</v>
      </c>
      <c r="HD141" s="125">
        <f>HD30/293.07*(1/(VLOOKUP($BM141,'Fuel economy adjusted factor'!$A$2:$L$52,5,FALSE)*m2k))/'TCO Inputs'!$AZ$84</f>
        <v>95.102494176453064</v>
      </c>
      <c r="HE141" s="125">
        <f>HE30/293.07*(1/(VLOOKUP($BM141,'Fuel economy adjusted factor'!$A$2:$L$52,5,FALSE)*m2k))/'TCO Inputs'!$AZ$84</f>
        <v>91.316728195369606</v>
      </c>
      <c r="HF141" s="125">
        <f>HF30/293.07*(1/(VLOOKUP($BM141,'Fuel economy adjusted factor'!$A$2:$L$52,5,FALSE)*m2k))/'TCO Inputs'!$AZ$84</f>
        <v>91.316728195369606</v>
      </c>
      <c r="HG141" s="125">
        <f>HG30/293.07*(1/(VLOOKUP($BM141,'Fuel economy adjusted factor'!$A$2:$L$52,5,FALSE)*m2k))/'TCO Inputs'!$AZ$84</f>
        <v>91.316728195369606</v>
      </c>
      <c r="HH141" s="125">
        <f>HH30/293.07*(1/(VLOOKUP($BM141,'Fuel economy adjusted factor'!$A$2:$L$52,5,FALSE)*m2k))/'TCO Inputs'!$AZ$84</f>
        <v>91.316728195369606</v>
      </c>
      <c r="HI141" s="125">
        <f>HI30/293.07*(1/(VLOOKUP($BM141,'Fuel economy adjusted factor'!$A$2:$L$52,5,FALSE)*m2k))/'TCO Inputs'!$AZ$84</f>
        <v>91.316728195369606</v>
      </c>
      <c r="HJ141" s="125">
        <f>HJ30/293.07*(1/(VLOOKUP($BM141,'Fuel economy adjusted factor'!$A$2:$L$52,5,FALSE)*m2k))/'TCO Inputs'!$AZ$84</f>
        <v>85.514245757073468</v>
      </c>
      <c r="HK141" s="98" cm="1">
        <f t="array" ref="HK141">SUMPRODUCT(INDEX(GI141:HJ141,,'TCO Inputs'!$AZ$12-2023+_xlfn.SEQUENCE('TCO Inputs'!$AZ$13))*INDEX('VKT US'!C87:AA87,,_xlfn.SEQUENCE('TCO Inputs'!$AZ$13)))*m2k*CONVERT(0.9072,"g","ton")</f>
        <v>59.476459044225876</v>
      </c>
    </row>
    <row r="142" spans="17:219" x14ac:dyDescent="0.25">
      <c r="Z142" s="123" t="s">
        <v>208</v>
      </c>
      <c r="AA142" s="125">
        <f>AA31/293.07*(1/(VLOOKUP($Z142,'Fuel economy adjusted factor'!$A$2:$L$52,5,FALSE)*m2k))/'TCO Inputs'!$AZ$84</f>
        <v>141.43560750239914</v>
      </c>
      <c r="AB142" s="125">
        <f>AB31/293.07*(1/(VLOOKUP($Z142,'Fuel economy adjusted factor'!$A$2:$L$52,5,FALSE)*m2k))/'TCO Inputs'!$AZ$84</f>
        <v>141.43560750239914</v>
      </c>
      <c r="AC142" s="125">
        <f>AC31/293.07*(1/(VLOOKUP($Z142,'Fuel economy adjusted factor'!$A$2:$L$52,5,FALSE)*m2k))/'TCO Inputs'!$AZ$84</f>
        <v>124.39174536728137</v>
      </c>
      <c r="AD142" s="125">
        <f>AD31/293.07*(1/(VLOOKUP($Z142,'Fuel economy adjusted factor'!$A$2:$L$52,5,FALSE)*m2k))/'TCO Inputs'!$AZ$84</f>
        <v>124.39174536728137</v>
      </c>
      <c r="AE142" s="125">
        <f>AE31/293.07*(1/(VLOOKUP($Z142,'Fuel economy adjusted factor'!$A$2:$L$52,5,FALSE)*m2k))/'TCO Inputs'!$AZ$84</f>
        <v>124.39174536728137</v>
      </c>
      <c r="AF142" s="125">
        <f>AF31/293.07*(1/(VLOOKUP($Z142,'Fuel economy adjusted factor'!$A$2:$L$52,5,FALSE)*m2k))/'TCO Inputs'!$AZ$84</f>
        <v>124.39174536728137</v>
      </c>
      <c r="AG142" s="125">
        <f>AG31/293.07*(1/(VLOOKUP($Z142,'Fuel economy adjusted factor'!$A$2:$L$52,5,FALSE)*m2k))/'TCO Inputs'!$AZ$84</f>
        <v>124.39174536728137</v>
      </c>
      <c r="AH142" s="125">
        <f>AH31/293.07*(1/(VLOOKUP($Z142,'Fuel economy adjusted factor'!$A$2:$L$52,5,FALSE)*m2k))/'TCO Inputs'!$AZ$84</f>
        <v>74.739248359981104</v>
      </c>
      <c r="AI142" s="125">
        <f>AI31/293.07*(1/(VLOOKUP($Z142,'Fuel economy adjusted factor'!$A$2:$L$52,5,FALSE)*m2k))/'TCO Inputs'!$AZ$84</f>
        <v>74.739248359981104</v>
      </c>
      <c r="AJ142" s="125">
        <f>AJ31/293.07*(1/(VLOOKUP($Z142,'Fuel economy adjusted factor'!$A$2:$L$52,5,FALSE)*m2k))/'TCO Inputs'!$AZ$84</f>
        <v>74.739248359981104</v>
      </c>
      <c r="AK142" s="125">
        <f>AK31/293.07*(1/(VLOOKUP($Z142,'Fuel economy adjusted factor'!$A$2:$L$52,5,FALSE)*m2k))/'TCO Inputs'!$AZ$84</f>
        <v>74.739248359981104</v>
      </c>
      <c r="AL142" s="125">
        <f>AL31/293.07*(1/(VLOOKUP($Z142,'Fuel economy adjusted factor'!$A$2:$L$52,5,FALSE)*m2k))/'TCO Inputs'!$AZ$84</f>
        <v>74.739248359981104</v>
      </c>
      <c r="AM142" s="125">
        <f>AM31/293.07*(1/(VLOOKUP($Z142,'Fuel economy adjusted factor'!$A$2:$L$52,5,FALSE)*m2k))/'TCO Inputs'!$AZ$84</f>
        <v>78.212983003750367</v>
      </c>
      <c r="AN142" s="125">
        <f>AN31/293.07*(1/(VLOOKUP($Z142,'Fuel economy adjusted factor'!$A$2:$L$52,5,FALSE)*m2k))/'TCO Inputs'!$AZ$84</f>
        <v>78.212983003750367</v>
      </c>
      <c r="AO142" s="125">
        <f>AO31/293.07*(1/(VLOOKUP($Z142,'Fuel economy adjusted factor'!$A$2:$L$52,5,FALSE)*m2k))/'TCO Inputs'!$AZ$84</f>
        <v>78.212983003750367</v>
      </c>
      <c r="AP142" s="125">
        <f>AP31/293.07*(1/(VLOOKUP($Z142,'Fuel economy adjusted factor'!$A$2:$L$52,5,FALSE)*m2k))/'TCO Inputs'!$AZ$84</f>
        <v>78.212983003750367</v>
      </c>
      <c r="AQ142" s="125">
        <f>AQ31/293.07*(1/(VLOOKUP($Z142,'Fuel economy adjusted factor'!$A$2:$L$52,5,FALSE)*m2k))/'TCO Inputs'!$AZ$84</f>
        <v>78.212983003750367</v>
      </c>
      <c r="AR142" s="125">
        <f>AR31/293.07*(1/(VLOOKUP($Z142,'Fuel economy adjusted factor'!$A$2:$L$52,5,FALSE)*m2k))/'TCO Inputs'!$AZ$84</f>
        <v>81.759745642854611</v>
      </c>
      <c r="AS142" s="125">
        <f>AS31/293.07*(1/(VLOOKUP($Z142,'Fuel economy adjusted factor'!$A$2:$L$52,5,FALSE)*m2k))/'TCO Inputs'!$AZ$84</f>
        <v>81.759745642854611</v>
      </c>
      <c r="AT142" s="125">
        <f>AT31/293.07*(1/(VLOOKUP($Z142,'Fuel economy adjusted factor'!$A$2:$L$52,5,FALSE)*m2k))/'TCO Inputs'!$AZ$84</f>
        <v>81.759745642854611</v>
      </c>
      <c r="AU142" s="125">
        <f>AU31/293.07*(1/(VLOOKUP($Z142,'Fuel economy adjusted factor'!$A$2:$L$52,5,FALSE)*m2k))/'TCO Inputs'!$AZ$84</f>
        <v>81.759745642854611</v>
      </c>
      <c r="AV142" s="125">
        <f>AV31/293.07*(1/(VLOOKUP($Z142,'Fuel economy adjusted factor'!$A$2:$L$52,5,FALSE)*m2k))/'TCO Inputs'!$AZ$84</f>
        <v>81.759745642854611</v>
      </c>
      <c r="AW142" s="125">
        <f>AW31/293.07*(1/(VLOOKUP($Z142,'Fuel economy adjusted factor'!$A$2:$L$52,5,FALSE)*m2k))/'TCO Inputs'!$AZ$84</f>
        <v>83.553836393919667</v>
      </c>
      <c r="AX142" s="125">
        <f>AX31/293.07*(1/(VLOOKUP($Z142,'Fuel economy adjusted factor'!$A$2:$L$52,5,FALSE)*m2k))/'TCO Inputs'!$AZ$84</f>
        <v>83.553836393919667</v>
      </c>
      <c r="AY142" s="125">
        <f>AY31/293.07*(1/(VLOOKUP($Z142,'Fuel economy adjusted factor'!$A$2:$L$52,5,FALSE)*m2k))/'TCO Inputs'!$AZ$84</f>
        <v>83.553836393919667</v>
      </c>
      <c r="AZ142" s="125">
        <f>AZ31/293.07*(1/(VLOOKUP($Z142,'Fuel economy adjusted factor'!$A$2:$L$52,5,FALSE)*m2k))/'TCO Inputs'!$AZ$84</f>
        <v>83.553836393919667</v>
      </c>
      <c r="BA142" s="125">
        <f>BA31/293.07*(1/(VLOOKUP($Z142,'Fuel economy adjusted factor'!$A$2:$L$52,5,FALSE)*m2k))/'TCO Inputs'!$AZ$84</f>
        <v>83.553836393919667</v>
      </c>
      <c r="BB142" s="125">
        <f>BB31/293.07*(1/(VLOOKUP($Z142,'Fuel economy adjusted factor'!$A$2:$L$52,5,FALSE)*m2k))/'TCO Inputs'!$AZ$84</f>
        <v>83.667193282200813</v>
      </c>
      <c r="BC142" s="98" cm="1">
        <f t="array" ref="BC142">SUMPRODUCT(INDEX(AA142:BB142,,'TCO Inputs'!$AZ$12-2023+_xlfn.SEQUENCE('TCO Inputs'!$AZ$13))*INDEX('VKT US'!C88:AA88,,_xlfn.SEQUENCE('TCO Inputs'!$AZ$13)))*m2k*CONVERT(0.9072,"g","ton")</f>
        <v>35.369370640662659</v>
      </c>
      <c r="BM142" s="123" t="s">
        <v>208</v>
      </c>
      <c r="BN142" s="125">
        <f>BN31/293.07*(1/(VLOOKUP($BM142,'Fuel economy adjusted factor'!$A$2:$L$52,5,FALSE)*m2k))</f>
        <v>120.22026637703925</v>
      </c>
      <c r="BO142" s="125">
        <f>BO31/293.07*(1/(VLOOKUP($BM142,'Fuel economy adjusted factor'!$A$2:$L$52,5,FALSE)*m2k))</f>
        <v>120.22026637703925</v>
      </c>
      <c r="BP142" s="125">
        <f>BP31/293.07*(1/(VLOOKUP($BM142,'Fuel economy adjusted factor'!$A$2:$L$52,5,FALSE)*m2k))</f>
        <v>105.59493885160447</v>
      </c>
      <c r="BQ142" s="125">
        <f>BQ31/293.07*(1/(VLOOKUP($BM142,'Fuel economy adjusted factor'!$A$2:$L$52,5,FALSE)*m2k))</f>
        <v>105.59493885160447</v>
      </c>
      <c r="BR142" s="125">
        <f>BR31/293.07*(1/(VLOOKUP($BM142,'Fuel economy adjusted factor'!$A$2:$L$52,5,FALSE)*m2k))</f>
        <v>105.59493885160447</v>
      </c>
      <c r="BS142" s="125">
        <f>BS31/293.07*(1/(VLOOKUP($BM142,'Fuel economy adjusted factor'!$A$2:$L$52,5,FALSE)*m2k))</f>
        <v>105.59493885160447</v>
      </c>
      <c r="BT142" s="125">
        <f>BT31/293.07*(1/(VLOOKUP($BM142,'Fuel economy adjusted factor'!$A$2:$L$52,5,FALSE)*m2k))</f>
        <v>105.59493885160447</v>
      </c>
      <c r="BU142" s="125">
        <f>BU31/293.07*(1/(VLOOKUP($BM142,'Fuel economy adjusted factor'!$A$2:$L$52,5,FALSE)*m2k))</f>
        <v>119.69866119543404</v>
      </c>
      <c r="BV142" s="125">
        <f>BV31/293.07*(1/(VLOOKUP($BM142,'Fuel economy adjusted factor'!$A$2:$L$52,5,FALSE)*m2k))</f>
        <v>119.69866119543404</v>
      </c>
      <c r="BW142" s="125">
        <f>BW31/293.07*(1/(VLOOKUP($BM142,'Fuel economy adjusted factor'!$A$2:$L$52,5,FALSE)*m2k))</f>
        <v>119.69866119543404</v>
      </c>
      <c r="BX142" s="125">
        <f>BX31/293.07*(1/(VLOOKUP($BM142,'Fuel economy adjusted factor'!$A$2:$L$52,5,FALSE)*m2k))</f>
        <v>119.69866119543404</v>
      </c>
      <c r="BY142" s="125">
        <f>BY31/293.07*(1/(VLOOKUP($BM142,'Fuel economy adjusted factor'!$A$2:$L$52,5,FALSE)*m2k))</f>
        <v>119.69866119543404</v>
      </c>
      <c r="BZ142" s="125">
        <f>BZ31/293.07*(1/(VLOOKUP($BM142,'Fuel economy adjusted factor'!$A$2:$L$52,5,FALSE)*m2k))</f>
        <v>122.57721767722333</v>
      </c>
      <c r="CA142" s="125">
        <f>CA31/293.07*(1/(VLOOKUP($BM142,'Fuel economy adjusted factor'!$A$2:$L$52,5,FALSE)*m2k))</f>
        <v>122.57721767722333</v>
      </c>
      <c r="CB142" s="125">
        <f>CB31/293.07*(1/(VLOOKUP($BM142,'Fuel economy adjusted factor'!$A$2:$L$52,5,FALSE)*m2k))</f>
        <v>122.57721767722333</v>
      </c>
      <c r="CC142" s="125">
        <f>CC31/293.07*(1/(VLOOKUP($BM142,'Fuel economy adjusted factor'!$A$2:$L$52,5,FALSE)*m2k))</f>
        <v>122.57721767722333</v>
      </c>
      <c r="CD142" s="125">
        <f>CD31/293.07*(1/(VLOOKUP($BM142,'Fuel economy adjusted factor'!$A$2:$L$52,5,FALSE)*m2k))</f>
        <v>122.57721767722333</v>
      </c>
      <c r="CE142" s="125">
        <f>CE31/293.07*(1/(VLOOKUP($BM142,'Fuel economy adjusted factor'!$A$2:$L$52,5,FALSE)*m2k))</f>
        <v>125.60678951354485</v>
      </c>
      <c r="CF142" s="125">
        <f>CF31/293.07*(1/(VLOOKUP($BM142,'Fuel economy adjusted factor'!$A$2:$L$52,5,FALSE)*m2k))</f>
        <v>125.60678951354485</v>
      </c>
      <c r="CG142" s="125">
        <f>CG31/293.07*(1/(VLOOKUP($BM142,'Fuel economy adjusted factor'!$A$2:$L$52,5,FALSE)*m2k))</f>
        <v>125.60678951354485</v>
      </c>
      <c r="CH142" s="125">
        <f>CH31/293.07*(1/(VLOOKUP($BM142,'Fuel economy adjusted factor'!$A$2:$L$52,5,FALSE)*m2k))</f>
        <v>125.60678951354485</v>
      </c>
      <c r="CI142" s="125">
        <f>CI31/293.07*(1/(VLOOKUP($BM142,'Fuel economy adjusted factor'!$A$2:$L$52,5,FALSE)*m2k))</f>
        <v>125.60678951354485</v>
      </c>
      <c r="CJ142" s="125">
        <f>CJ31/293.07*(1/(VLOOKUP($BM142,'Fuel economy adjusted factor'!$A$2:$L$52,5,FALSE)*m2k))</f>
        <v>126.32573377806645</v>
      </c>
      <c r="CK142" s="125">
        <f>CK31/293.07*(1/(VLOOKUP($BM142,'Fuel economy adjusted factor'!$A$2:$L$52,5,FALSE)*m2k))</f>
        <v>126.32573377806645</v>
      </c>
      <c r="CL142" s="125">
        <f>CL31/293.07*(1/(VLOOKUP($BM142,'Fuel economy adjusted factor'!$A$2:$L$52,5,FALSE)*m2k))</f>
        <v>126.32573377806645</v>
      </c>
      <c r="CM142" s="125">
        <f>CM31/293.07*(1/(VLOOKUP($BM142,'Fuel economy adjusted factor'!$A$2:$L$52,5,FALSE)*m2k))</f>
        <v>126.32573377806645</v>
      </c>
      <c r="CN142" s="125">
        <f>CN31/293.07*(1/(VLOOKUP($BM142,'Fuel economy adjusted factor'!$A$2:$L$52,5,FALSE)*m2k))</f>
        <v>126.32573377806645</v>
      </c>
      <c r="CO142" s="125">
        <f>CO31/293.07*(1/(VLOOKUP($BM142,'Fuel economy adjusted factor'!$A$2:$L$52,5,FALSE)*m2k))</f>
        <v>127.18457570230804</v>
      </c>
      <c r="CP142" s="98" cm="1">
        <f t="array" ref="CP142">SUMPRODUCT(INDEX(BN142:CO142,,'TCO Inputs'!$AZ$12-2023+_xlfn.SEQUENCE('TCO Inputs'!$AZ$13))*INDEX('VKT US'!C88:AA88,,_xlfn.SEQUENCE('TCO Inputs'!$AZ$13)))*m2k*CONVERT(0.9072,"g","ton")</f>
        <v>38.524798848904922</v>
      </c>
      <c r="CQ142" s="194"/>
      <c r="CR142" s="123" t="s">
        <v>208</v>
      </c>
      <c r="CS142" s="125">
        <f>CS31/293.07*(1/(VLOOKUP($BM142,'Fuel economy adjusted factor'!$A$2:$L$52,5,FALSE)*m2k))/'TCO Inputs'!$AZ$84</f>
        <v>171.24083932978257</v>
      </c>
      <c r="CT142" s="125">
        <f>CT31/293.07*(1/(VLOOKUP($BM142,'Fuel economy adjusted factor'!$A$2:$L$52,5,FALSE)*m2k))/'TCO Inputs'!$AZ$84</f>
        <v>171.24083932978257</v>
      </c>
      <c r="CU142" s="125">
        <f>CU31/293.07*(1/(VLOOKUP($BM142,'Fuel economy adjusted factor'!$A$2:$L$52,5,FALSE)*m2k))/'TCO Inputs'!$AZ$84</f>
        <v>171.24083932978257</v>
      </c>
      <c r="CV142" s="125">
        <f>CV31/293.07*(1/(VLOOKUP($BM142,'Fuel economy adjusted factor'!$A$2:$L$52,5,FALSE)*m2k))/'TCO Inputs'!$AZ$84</f>
        <v>171.24083932978257</v>
      </c>
      <c r="CW142" s="125">
        <f>CW31/293.07*(1/(VLOOKUP($BM142,'Fuel economy adjusted factor'!$A$2:$L$52,5,FALSE)*m2k))/'TCO Inputs'!$AZ$84</f>
        <v>171.24083932978257</v>
      </c>
      <c r="CX142" s="125">
        <f>CX31/293.07*(1/(VLOOKUP($BM142,'Fuel economy adjusted factor'!$A$2:$L$52,5,FALSE)*m2k))/'TCO Inputs'!$AZ$84</f>
        <v>171.24083932978257</v>
      </c>
      <c r="CY142" s="125">
        <f>CY31/293.07*(1/(VLOOKUP($BM142,'Fuel economy adjusted factor'!$A$2:$L$52,5,FALSE)*m2k))/'TCO Inputs'!$AZ$84</f>
        <v>171.24083932978257</v>
      </c>
      <c r="CZ142" s="125">
        <f>CZ31/293.07*(1/(VLOOKUP($BM142,'Fuel economy adjusted factor'!$A$2:$L$52,5,FALSE)*m2k))/'TCO Inputs'!$AZ$84</f>
        <v>171.27898828256946</v>
      </c>
      <c r="DA142" s="125">
        <f>DA31/293.07*(1/(VLOOKUP($BM142,'Fuel economy adjusted factor'!$A$2:$L$52,5,FALSE)*m2k))/'TCO Inputs'!$AZ$84</f>
        <v>171.27898828256946</v>
      </c>
      <c r="DB142" s="125">
        <f>DB31/293.07*(1/(VLOOKUP($BM142,'Fuel economy adjusted factor'!$A$2:$L$52,5,FALSE)*m2k))/'TCO Inputs'!$AZ$84</f>
        <v>171.27898828256946</v>
      </c>
      <c r="DC142" s="125">
        <f>DC31/293.07*(1/(VLOOKUP($BM142,'Fuel economy adjusted factor'!$A$2:$L$52,5,FALSE)*m2k))/'TCO Inputs'!$AZ$84</f>
        <v>171.27898828256946</v>
      </c>
      <c r="DD142" s="125">
        <f>DD31/293.07*(1/(VLOOKUP($BM142,'Fuel economy adjusted factor'!$A$2:$L$52,5,FALSE)*m2k))/'TCO Inputs'!$AZ$84</f>
        <v>171.27898828256946</v>
      </c>
      <c r="DE142" s="125">
        <f>DE31/293.07*(1/(VLOOKUP($BM142,'Fuel economy adjusted factor'!$A$2:$L$52,5,FALSE)*m2k))/'TCO Inputs'!$AZ$84</f>
        <v>171.257188880977</v>
      </c>
      <c r="DF142" s="125">
        <f>DF31/293.07*(1/(VLOOKUP($BM142,'Fuel economy adjusted factor'!$A$2:$L$52,5,FALSE)*m2k))/'TCO Inputs'!$AZ$84</f>
        <v>171.257188880977</v>
      </c>
      <c r="DG142" s="125">
        <f>DG31/293.07*(1/(VLOOKUP($BM142,'Fuel economy adjusted factor'!$A$2:$L$52,5,FALSE)*m2k))/'TCO Inputs'!$AZ$84</f>
        <v>171.257188880977</v>
      </c>
      <c r="DH142" s="125">
        <f>DH31/293.07*(1/(VLOOKUP($BM142,'Fuel economy adjusted factor'!$A$2:$L$52,5,FALSE)*m2k))/'TCO Inputs'!$AZ$84</f>
        <v>171.257188880977</v>
      </c>
      <c r="DI142" s="125">
        <f>DI31/293.07*(1/(VLOOKUP($BM142,'Fuel economy adjusted factor'!$A$2:$L$52,5,FALSE)*m2k))/'TCO Inputs'!$AZ$84</f>
        <v>171.257188880977</v>
      </c>
      <c r="DJ142" s="125">
        <f>DJ31/293.07*(1/(VLOOKUP($BM142,'Fuel economy adjusted factor'!$A$2:$L$52,5,FALSE)*m2k))/'TCO Inputs'!$AZ$84</f>
        <v>171.25173903057882</v>
      </c>
      <c r="DK142" s="125">
        <f>DK31/293.07*(1/(VLOOKUP($BM142,'Fuel economy adjusted factor'!$A$2:$L$52,5,FALSE)*m2k))/'TCO Inputs'!$AZ$84</f>
        <v>171.25173903057882</v>
      </c>
      <c r="DL142" s="125">
        <f>DL31/293.07*(1/(VLOOKUP($BM142,'Fuel economy adjusted factor'!$A$2:$L$52,5,FALSE)*m2k))/'TCO Inputs'!$AZ$84</f>
        <v>171.25173903057882</v>
      </c>
      <c r="DM142" s="125">
        <f>DM31/293.07*(1/(VLOOKUP($BM142,'Fuel economy adjusted factor'!$A$2:$L$52,5,FALSE)*m2k))/'TCO Inputs'!$AZ$84</f>
        <v>171.25173903057882</v>
      </c>
      <c r="DN142" s="125">
        <f>DN31/293.07*(1/(VLOOKUP($BM142,'Fuel economy adjusted factor'!$A$2:$L$52,5,FALSE)*m2k))/'TCO Inputs'!$AZ$84</f>
        <v>171.25173903057882</v>
      </c>
      <c r="DO142" s="125">
        <f>DO31/293.07*(1/(VLOOKUP($BM142,'Fuel economy adjusted factor'!$A$2:$L$52,5,FALSE)*m2k))/'TCO Inputs'!$AZ$84</f>
        <v>171.14601193285509</v>
      </c>
      <c r="DP142" s="125">
        <f>DP31/293.07*(1/(VLOOKUP($BM142,'Fuel economy adjusted factor'!$A$2:$L$52,5,FALSE)*m2k))/'TCO Inputs'!$AZ$84</f>
        <v>171.14601193285509</v>
      </c>
      <c r="DQ142" s="125">
        <f>DQ31/293.07*(1/(VLOOKUP($BM142,'Fuel economy adjusted factor'!$A$2:$L$52,5,FALSE)*m2k))/'TCO Inputs'!$AZ$84</f>
        <v>171.14601193285509</v>
      </c>
      <c r="DR142" s="125">
        <f>DR31/293.07*(1/(VLOOKUP($BM142,'Fuel economy adjusted factor'!$A$2:$L$52,5,FALSE)*m2k))/'TCO Inputs'!$AZ$84</f>
        <v>171.14601193285509</v>
      </c>
      <c r="DS142" s="125">
        <f>DS31/293.07*(1/(VLOOKUP($BM142,'Fuel economy adjusted factor'!$A$2:$L$52,5,FALSE)*m2k))/'TCO Inputs'!$AZ$84</f>
        <v>171.14601193285509</v>
      </c>
      <c r="DT142" s="125">
        <f>DT31/293.07*(1/(VLOOKUP($BM142,'Fuel economy adjusted factor'!$A$2:$L$52,5,FALSE)*m2k))/'TCO Inputs'!$AZ$84</f>
        <v>171.23429950930483</v>
      </c>
      <c r="DU142" s="98" cm="1">
        <f t="array" ref="DU142">SUMPRODUCT(INDEX(CS142:DT142,,'TCO Inputs'!$AZ$12-2023+_xlfn.SEQUENCE('TCO Inputs'!$AZ$13))*INDEX('VKT US'!C88:AA88,,_xlfn.SEQUENCE('TCO Inputs'!$AZ$13)))*m2k*CONVERT(0.9072,"g","ton")</f>
        <v>57.49144539761155</v>
      </c>
      <c r="DW142" s="123" t="s">
        <v>208</v>
      </c>
      <c r="DX142" s="125">
        <f>DX31/293.07*(1/(VLOOKUP($BM142,'Fuel economy adjusted factor'!$A$2:$L$52,5,FALSE)*m2k))/'TCO Inputs'!$AZ$84</f>
        <v>179.25647467544957</v>
      </c>
      <c r="DY142" s="125">
        <f>DY31/293.07*(1/(VLOOKUP($BM142,'Fuel economy adjusted factor'!$A$2:$L$52,5,FALSE)*m2k))/'TCO Inputs'!$AZ$84</f>
        <v>179.25647467544957</v>
      </c>
      <c r="DZ142" s="125">
        <f>DZ31/293.07*(1/(VLOOKUP($BM142,'Fuel economy adjusted factor'!$A$2:$L$52,5,FALSE)*m2k))/'TCO Inputs'!$AZ$84</f>
        <v>157.13627716737082</v>
      </c>
      <c r="EA142" s="125">
        <f>EA31/293.07*(1/(VLOOKUP($BM142,'Fuel economy adjusted factor'!$A$2:$L$52,5,FALSE)*m2k))/'TCO Inputs'!$AZ$84</f>
        <v>157.13627716737082</v>
      </c>
      <c r="EB142" s="125">
        <f>EB31/293.07*(1/(VLOOKUP($BM142,'Fuel economy adjusted factor'!$A$2:$L$52,5,FALSE)*m2k))/'TCO Inputs'!$AZ$84</f>
        <v>157.13627716737082</v>
      </c>
      <c r="EC142" s="125">
        <f>EC31/293.07*(1/(VLOOKUP($BM142,'Fuel economy adjusted factor'!$A$2:$L$52,5,FALSE)*m2k))/'TCO Inputs'!$AZ$84</f>
        <v>157.13627716737082</v>
      </c>
      <c r="ED142" s="125">
        <f>ED31/293.07*(1/(VLOOKUP($BM142,'Fuel economy adjusted factor'!$A$2:$L$52,5,FALSE)*m2k))/'TCO Inputs'!$AZ$84</f>
        <v>157.13627716737082</v>
      </c>
      <c r="EE142" s="125">
        <f>EE31/293.07*(1/(VLOOKUP($BM142,'Fuel economy adjusted factor'!$A$2:$L$52,5,FALSE)*m2k))/'TCO Inputs'!$AZ$84</f>
        <v>96.848775499367392</v>
      </c>
      <c r="EF142" s="125">
        <f>EF31/293.07*(1/(VLOOKUP($BM142,'Fuel economy adjusted factor'!$A$2:$L$52,5,FALSE)*m2k))/'TCO Inputs'!$AZ$84</f>
        <v>96.848775499367392</v>
      </c>
      <c r="EG142" s="125">
        <f>EG31/293.07*(1/(VLOOKUP($BM142,'Fuel economy adjusted factor'!$A$2:$L$52,5,FALSE)*m2k))/'TCO Inputs'!$AZ$84</f>
        <v>96.848775499367392</v>
      </c>
      <c r="EH142" s="125">
        <f>EH31/293.07*(1/(VLOOKUP($BM142,'Fuel economy adjusted factor'!$A$2:$L$52,5,FALSE)*m2k))/'TCO Inputs'!$AZ$84</f>
        <v>96.848775499367392</v>
      </c>
      <c r="EI142" s="125">
        <f>EI31/293.07*(1/(VLOOKUP($BM142,'Fuel economy adjusted factor'!$A$2:$L$52,5,FALSE)*m2k))/'TCO Inputs'!$AZ$84</f>
        <v>96.848775499367392</v>
      </c>
      <c r="EJ142" s="125">
        <f>EJ31/293.07*(1/(VLOOKUP($BM142,'Fuel economy adjusted factor'!$A$2:$L$52,5,FALSE)*m2k))/'TCO Inputs'!$AZ$84</f>
        <v>86.497335978226118</v>
      </c>
      <c r="EK142" s="125">
        <f>EK31/293.07*(1/(VLOOKUP($BM142,'Fuel economy adjusted factor'!$A$2:$L$52,5,FALSE)*m2k))/'TCO Inputs'!$AZ$84</f>
        <v>86.497335978226118</v>
      </c>
      <c r="EL142" s="125">
        <f>EL31/293.07*(1/(VLOOKUP($BM142,'Fuel economy adjusted factor'!$A$2:$L$52,5,FALSE)*m2k))/'TCO Inputs'!$AZ$84</f>
        <v>86.497335978226118</v>
      </c>
      <c r="EM142" s="125">
        <f>EM31/293.07*(1/(VLOOKUP($BM142,'Fuel economy adjusted factor'!$A$2:$L$52,5,FALSE)*m2k))/'TCO Inputs'!$AZ$84</f>
        <v>86.497335978226118</v>
      </c>
      <c r="EN142" s="125">
        <f>EN31/293.07*(1/(VLOOKUP($BM142,'Fuel economy adjusted factor'!$A$2:$L$52,5,FALSE)*m2k))/'TCO Inputs'!$AZ$84</f>
        <v>86.497335978226118</v>
      </c>
      <c r="EO142" s="125">
        <f>EO31/293.07*(1/(VLOOKUP($BM142,'Fuel economy adjusted factor'!$A$2:$L$52,5,FALSE)*m2k))/'TCO Inputs'!$AZ$84</f>
        <v>83.774870433591431</v>
      </c>
      <c r="EP142" s="125">
        <f>EP31/293.07*(1/(VLOOKUP($BM142,'Fuel economy adjusted factor'!$A$2:$L$52,5,FALSE)*m2k))/'TCO Inputs'!$AZ$84</f>
        <v>83.774870433591431</v>
      </c>
      <c r="EQ142" s="125">
        <f>EQ31/293.07*(1/(VLOOKUP($BM142,'Fuel economy adjusted factor'!$A$2:$L$52,5,FALSE)*m2k))/'TCO Inputs'!$AZ$84</f>
        <v>83.774870433591431</v>
      </c>
      <c r="ER142" s="125">
        <f>ER31/293.07*(1/(VLOOKUP($BM142,'Fuel economy adjusted factor'!$A$2:$L$52,5,FALSE)*m2k))/'TCO Inputs'!$AZ$84</f>
        <v>83.774870433591431</v>
      </c>
      <c r="ES142" s="125">
        <f>ES31/293.07*(1/(VLOOKUP($BM142,'Fuel economy adjusted factor'!$A$2:$L$52,5,FALSE)*m2k))/'TCO Inputs'!$AZ$84</f>
        <v>83.774870433591431</v>
      </c>
      <c r="ET142" s="125">
        <f>ET31/293.07*(1/(VLOOKUP($BM142,'Fuel economy adjusted factor'!$A$2:$L$52,5,FALSE)*m2k))/'TCO Inputs'!$AZ$84</f>
        <v>80.664423856420342</v>
      </c>
      <c r="EU142" s="125">
        <f>EU31/293.07*(1/(VLOOKUP($BM142,'Fuel economy adjusted factor'!$A$2:$L$52,5,FALSE)*m2k))/'TCO Inputs'!$AZ$84</f>
        <v>80.664423856420342</v>
      </c>
      <c r="EV142" s="125">
        <f>EV31/293.07*(1/(VLOOKUP($BM142,'Fuel economy adjusted factor'!$A$2:$L$52,5,FALSE)*m2k))/'TCO Inputs'!$AZ$84</f>
        <v>80.664423856420342</v>
      </c>
      <c r="EW142" s="125">
        <f>EW31/293.07*(1/(VLOOKUP($BM142,'Fuel economy adjusted factor'!$A$2:$L$52,5,FALSE)*m2k))/'TCO Inputs'!$AZ$84</f>
        <v>80.664423856420342</v>
      </c>
      <c r="EX142" s="125">
        <f>EX31/293.07*(1/(VLOOKUP($BM142,'Fuel economy adjusted factor'!$A$2:$L$52,5,FALSE)*m2k))/'TCO Inputs'!$AZ$84</f>
        <v>80.664423856420342</v>
      </c>
      <c r="EY142" s="125">
        <f>EY31/293.07*(1/(VLOOKUP($BM142,'Fuel economy adjusted factor'!$A$2:$L$52,5,FALSE)*m2k))/'TCO Inputs'!$AZ$84</f>
        <v>75.786948018819842</v>
      </c>
      <c r="EZ142" s="98" cm="1">
        <f t="array" ref="EZ142">SUMPRODUCT(INDEX(DX142:EY142,,'TCO Inputs'!$AZ$12-2023+_xlfn.SEQUENCE('TCO Inputs'!$AZ$13))*INDEX('VKT US'!C88:AA88,,_xlfn.SEQUENCE('TCO Inputs'!$AZ$13)))*m2k*CONVERT(0.9072,"g","ton")</f>
        <v>44.48759028563461</v>
      </c>
      <c r="FB142" s="123" t="s">
        <v>208</v>
      </c>
      <c r="FC142" s="125">
        <f>FC31/293.07*(1/(VLOOKUP($BM142,'Fuel economy adjusted factor'!$A$2:$L$52,5,FALSE)*m2k))/'TCO Inputs'!$AZ$84</f>
        <v>194.42996417240047</v>
      </c>
      <c r="FD142" s="125">
        <f>FD31/293.07*(1/(VLOOKUP($BM142,'Fuel economy adjusted factor'!$A$2:$L$52,5,FALSE)*m2k))/'TCO Inputs'!$AZ$84</f>
        <v>194.42996417240047</v>
      </c>
      <c r="FE142" s="125">
        <f>FE31/293.07*(1/(VLOOKUP($BM142,'Fuel economy adjusted factor'!$A$2:$L$52,5,FALSE)*m2k))/'TCO Inputs'!$AZ$84</f>
        <v>169.79580793309086</v>
      </c>
      <c r="FF142" s="125">
        <f>FF31/293.07*(1/(VLOOKUP($BM142,'Fuel economy adjusted factor'!$A$2:$L$52,5,FALSE)*m2k))/'TCO Inputs'!$AZ$84</f>
        <v>169.79580793309086</v>
      </c>
      <c r="FG142" s="125">
        <f>FG31/293.07*(1/(VLOOKUP($BM142,'Fuel economy adjusted factor'!$A$2:$L$52,5,FALSE)*m2k))/'TCO Inputs'!$AZ$84</f>
        <v>169.79580793309086</v>
      </c>
      <c r="FH142" s="125">
        <f>FH31/293.07*(1/(VLOOKUP($BM142,'Fuel economy adjusted factor'!$A$2:$L$52,5,FALSE)*m2k))/'TCO Inputs'!$AZ$84</f>
        <v>169.79580793309086</v>
      </c>
      <c r="FI142" s="125">
        <f>FI31/293.07*(1/(VLOOKUP($BM142,'Fuel economy adjusted factor'!$A$2:$L$52,5,FALSE)*m2k))/'TCO Inputs'!$AZ$84</f>
        <v>169.79580793309086</v>
      </c>
      <c r="FJ142" s="125">
        <f>FJ31/293.07*(1/(VLOOKUP($BM142,'Fuel economy adjusted factor'!$A$2:$L$52,5,FALSE)*m2k))/'TCO Inputs'!$AZ$84</f>
        <v>106.5509406395294</v>
      </c>
      <c r="FK142" s="125">
        <f>FK31/293.07*(1/(VLOOKUP($BM142,'Fuel economy adjusted factor'!$A$2:$L$52,5,FALSE)*m2k))/'TCO Inputs'!$AZ$84</f>
        <v>106.5509406395294</v>
      </c>
      <c r="FL142" s="125">
        <f>FL31/293.07*(1/(VLOOKUP($BM142,'Fuel economy adjusted factor'!$A$2:$L$52,5,FALSE)*m2k))/'TCO Inputs'!$AZ$84</f>
        <v>106.5509406395294</v>
      </c>
      <c r="FM142" s="125">
        <f>FM31/293.07*(1/(VLOOKUP($BM142,'Fuel economy adjusted factor'!$A$2:$L$52,5,FALSE)*m2k))/'TCO Inputs'!$AZ$84</f>
        <v>106.5509406395294</v>
      </c>
      <c r="FN142" s="125">
        <f>FN31/293.07*(1/(VLOOKUP($BM142,'Fuel economy adjusted factor'!$A$2:$L$52,5,FALSE)*m2k))/'TCO Inputs'!$AZ$84</f>
        <v>106.5509406395294</v>
      </c>
      <c r="FO142" s="125">
        <f>FO31/293.07*(1/(VLOOKUP($BM142,'Fuel economy adjusted factor'!$A$2:$L$52,5,FALSE)*m2k))/'TCO Inputs'!$AZ$84</f>
        <v>94.611946077091204</v>
      </c>
      <c r="FP142" s="125">
        <f>FP31/293.07*(1/(VLOOKUP($BM142,'Fuel economy adjusted factor'!$A$2:$L$52,5,FALSE)*m2k))/'TCO Inputs'!$AZ$84</f>
        <v>94.611946077091204</v>
      </c>
      <c r="FQ142" s="125">
        <f>FQ31/293.07*(1/(VLOOKUP($BM142,'Fuel economy adjusted factor'!$A$2:$L$52,5,FALSE)*m2k))/'TCO Inputs'!$AZ$84</f>
        <v>94.611946077091204</v>
      </c>
      <c r="FR142" s="125">
        <f>FR31/293.07*(1/(VLOOKUP($BM142,'Fuel economy adjusted factor'!$A$2:$L$52,5,FALSE)*m2k))/'TCO Inputs'!$AZ$84</f>
        <v>94.611946077091204</v>
      </c>
      <c r="FS142" s="125">
        <f>FS31/293.07*(1/(VLOOKUP($BM142,'Fuel economy adjusted factor'!$A$2:$L$52,5,FALSE)*m2k))/'TCO Inputs'!$AZ$84</f>
        <v>94.611946077091204</v>
      </c>
      <c r="FT142" s="125">
        <f>FT31/293.07*(1/(VLOOKUP($BM142,'Fuel economy adjusted factor'!$A$2:$L$52,5,FALSE)*m2k))/'TCO Inputs'!$AZ$84</f>
        <v>92.203560415938369</v>
      </c>
      <c r="FU142" s="125">
        <f>FU31/293.07*(1/(VLOOKUP($BM142,'Fuel economy adjusted factor'!$A$2:$L$52,5,FALSE)*m2k))/'TCO Inputs'!$AZ$84</f>
        <v>92.203560415938369</v>
      </c>
      <c r="FV142" s="125">
        <f>FV31/293.07*(1/(VLOOKUP($BM142,'Fuel economy adjusted factor'!$A$2:$L$52,5,FALSE)*m2k))/'TCO Inputs'!$AZ$84</f>
        <v>92.203560415938369</v>
      </c>
      <c r="FW142" s="125">
        <f>FW31/293.07*(1/(VLOOKUP($BM142,'Fuel economy adjusted factor'!$A$2:$L$52,5,FALSE)*m2k))/'TCO Inputs'!$AZ$84</f>
        <v>92.203560415938369</v>
      </c>
      <c r="FX142" s="125">
        <f>FX31/293.07*(1/(VLOOKUP($BM142,'Fuel economy adjusted factor'!$A$2:$L$52,5,FALSE)*m2k))/'TCO Inputs'!$AZ$84</f>
        <v>92.203560415938369</v>
      </c>
      <c r="FY142" s="125">
        <f>FY31/293.07*(1/(VLOOKUP($BM142,'Fuel economy adjusted factor'!$A$2:$L$52,5,FALSE)*m2k))/'TCO Inputs'!$AZ$84</f>
        <v>89.086515521887407</v>
      </c>
      <c r="FZ142" s="125">
        <f>FZ31/293.07*(1/(VLOOKUP($BM142,'Fuel economy adjusted factor'!$A$2:$L$52,5,FALSE)*m2k))/'TCO Inputs'!$AZ$84</f>
        <v>89.086515521887407</v>
      </c>
      <c r="GA142" s="125">
        <f>GA31/293.07*(1/(VLOOKUP($BM142,'Fuel economy adjusted factor'!$A$2:$L$52,5,FALSE)*m2k))/'TCO Inputs'!$AZ$84</f>
        <v>89.086515521887407</v>
      </c>
      <c r="GB142" s="125">
        <f>GB31/293.07*(1/(VLOOKUP($BM142,'Fuel economy adjusted factor'!$A$2:$L$52,5,FALSE)*m2k))/'TCO Inputs'!$AZ$84</f>
        <v>89.086515521887407</v>
      </c>
      <c r="GC142" s="125">
        <f>GC31/293.07*(1/(VLOOKUP($BM142,'Fuel economy adjusted factor'!$A$2:$L$52,5,FALSE)*m2k))/'TCO Inputs'!$AZ$84</f>
        <v>89.086515521887407</v>
      </c>
      <c r="GD142" s="125">
        <f>GD31/293.07*(1/(VLOOKUP($BM142,'Fuel economy adjusted factor'!$A$2:$L$52,5,FALSE)*m2k))/'TCO Inputs'!$AZ$84</f>
        <v>84.040122772162235</v>
      </c>
      <c r="GE142" s="98" cm="1">
        <f t="array" ref="GE142">SUMPRODUCT(INDEX(FC142:GD142,,'TCO Inputs'!$AZ$12-2023+_xlfn.SEQUENCE('TCO Inputs'!$AZ$13))*INDEX('VKT US'!C88:AA88,,_xlfn.SEQUENCE('TCO Inputs'!$AZ$13)))*m2k*CONVERT(0.9072,"g","ton")</f>
        <v>48.369736896469846</v>
      </c>
      <c r="GH142" s="123" t="s">
        <v>208</v>
      </c>
      <c r="GI142" s="125">
        <f>GI31/293.07*(1/(VLOOKUP($BM142,'Fuel economy adjusted factor'!$A$2:$L$52,5,FALSE)*m2k))/'TCO Inputs'!$AZ$84</f>
        <v>168.92878909507581</v>
      </c>
      <c r="GJ142" s="125">
        <f>GJ31/293.07*(1/(VLOOKUP($BM142,'Fuel economy adjusted factor'!$A$2:$L$52,5,FALSE)*m2k))/'TCO Inputs'!$AZ$84</f>
        <v>168.92878909507581</v>
      </c>
      <c r="GK142" s="125">
        <f>GK31/293.07*(1/(VLOOKUP($BM142,'Fuel economy adjusted factor'!$A$2:$L$52,5,FALSE)*m2k))/'TCO Inputs'!$AZ$84</f>
        <v>148.5201949856355</v>
      </c>
      <c r="GL142" s="125">
        <f>GL31/293.07*(1/(VLOOKUP($BM142,'Fuel economy adjusted factor'!$A$2:$L$52,5,FALSE)*m2k))/'TCO Inputs'!$AZ$84</f>
        <v>148.5201949856355</v>
      </c>
      <c r="GM142" s="125">
        <f>GM31/293.07*(1/(VLOOKUP($BM142,'Fuel economy adjusted factor'!$A$2:$L$52,5,FALSE)*m2k))/'TCO Inputs'!$AZ$84</f>
        <v>148.5201949856355</v>
      </c>
      <c r="GN142" s="125">
        <f>GN31/293.07*(1/(VLOOKUP($BM142,'Fuel economy adjusted factor'!$A$2:$L$52,5,FALSE)*m2k))/'TCO Inputs'!$AZ$84</f>
        <v>148.5201949856355</v>
      </c>
      <c r="GO142" s="125">
        <f>GO31/293.07*(1/(VLOOKUP($BM142,'Fuel economy adjusted factor'!$A$2:$L$52,5,FALSE)*m2k))/'TCO Inputs'!$AZ$84</f>
        <v>148.5201949856355</v>
      </c>
      <c r="GP142" s="125">
        <f>GP31/293.07*(1/(VLOOKUP($BM142,'Fuel economy adjusted factor'!$A$2:$L$52,5,FALSE)*m2k))/'TCO Inputs'!$AZ$84</f>
        <v>90.245179965992733</v>
      </c>
      <c r="GQ142" s="125">
        <f>GQ31/293.07*(1/(VLOOKUP($BM142,'Fuel economy adjusted factor'!$A$2:$L$52,5,FALSE)*m2k))/'TCO Inputs'!$AZ$84</f>
        <v>90.245179965992733</v>
      </c>
      <c r="GR142" s="125">
        <f>GR31/293.07*(1/(VLOOKUP($BM142,'Fuel economy adjusted factor'!$A$2:$L$52,5,FALSE)*m2k))/'TCO Inputs'!$AZ$84</f>
        <v>90.245179965992733</v>
      </c>
      <c r="GS142" s="125">
        <f>GS31/293.07*(1/(VLOOKUP($BM142,'Fuel economy adjusted factor'!$A$2:$L$52,5,FALSE)*m2k))/'TCO Inputs'!$AZ$84</f>
        <v>90.245179965992733</v>
      </c>
      <c r="GT142" s="125">
        <f>GT31/293.07*(1/(VLOOKUP($BM142,'Fuel economy adjusted factor'!$A$2:$L$52,5,FALSE)*m2k))/'TCO Inputs'!$AZ$84</f>
        <v>90.245179965992733</v>
      </c>
      <c r="GU142" s="125">
        <f>GU31/293.07*(1/(VLOOKUP($BM142,'Fuel economy adjusted factor'!$A$2:$L$52,5,FALSE)*m2k))/'TCO Inputs'!$AZ$84</f>
        <v>80.974544749774267</v>
      </c>
      <c r="GV142" s="125">
        <f>GV31/293.07*(1/(VLOOKUP($BM142,'Fuel economy adjusted factor'!$A$2:$L$52,5,FALSE)*m2k))/'TCO Inputs'!$AZ$84</f>
        <v>80.974544749774267</v>
      </c>
      <c r="GW142" s="125">
        <f>GW31/293.07*(1/(VLOOKUP($BM142,'Fuel economy adjusted factor'!$A$2:$L$52,5,FALSE)*m2k))/'TCO Inputs'!$AZ$84</f>
        <v>80.974544749774267</v>
      </c>
      <c r="GX142" s="125">
        <f>GX31/293.07*(1/(VLOOKUP($BM142,'Fuel economy adjusted factor'!$A$2:$L$52,5,FALSE)*m2k))/'TCO Inputs'!$AZ$84</f>
        <v>80.974544749774267</v>
      </c>
      <c r="GY142" s="125">
        <f>GY31/293.07*(1/(VLOOKUP($BM142,'Fuel economy adjusted factor'!$A$2:$L$52,5,FALSE)*m2k))/'TCO Inputs'!$AZ$84</f>
        <v>80.974544749774267</v>
      </c>
      <c r="GZ142" s="125">
        <f>GZ31/293.07*(1/(VLOOKUP($BM142,'Fuel economy adjusted factor'!$A$2:$L$52,5,FALSE)*m2k))/'TCO Inputs'!$AZ$84</f>
        <v>78.038293738231772</v>
      </c>
      <c r="HA142" s="125">
        <f>HA31/293.07*(1/(VLOOKUP($BM142,'Fuel economy adjusted factor'!$A$2:$L$52,5,FALSE)*m2k))/'TCO Inputs'!$AZ$84</f>
        <v>78.038293738231772</v>
      </c>
      <c r="HB142" s="125">
        <f>HB31/293.07*(1/(VLOOKUP($BM142,'Fuel economy adjusted factor'!$A$2:$L$52,5,FALSE)*m2k))/'TCO Inputs'!$AZ$84</f>
        <v>78.038293738231772</v>
      </c>
      <c r="HC142" s="125">
        <f>HC31/293.07*(1/(VLOOKUP($BM142,'Fuel economy adjusted factor'!$A$2:$L$52,5,FALSE)*m2k))/'TCO Inputs'!$AZ$84</f>
        <v>78.038293738231772</v>
      </c>
      <c r="HD142" s="125">
        <f>HD31/293.07*(1/(VLOOKUP($BM142,'Fuel economy adjusted factor'!$A$2:$L$52,5,FALSE)*m2k))/'TCO Inputs'!$AZ$84</f>
        <v>78.038293738231772</v>
      </c>
      <c r="HE142" s="125">
        <f>HE31/293.07*(1/(VLOOKUP($BM142,'Fuel economy adjusted factor'!$A$2:$L$52,5,FALSE)*m2k))/'TCO Inputs'!$AZ$84</f>
        <v>74.931806151188596</v>
      </c>
      <c r="HF142" s="125">
        <f>HF31/293.07*(1/(VLOOKUP($BM142,'Fuel economy adjusted factor'!$A$2:$L$52,5,FALSE)*m2k))/'TCO Inputs'!$AZ$84</f>
        <v>74.931806151188596</v>
      </c>
      <c r="HG142" s="125">
        <f>HG31/293.07*(1/(VLOOKUP($BM142,'Fuel economy adjusted factor'!$A$2:$L$52,5,FALSE)*m2k))/'TCO Inputs'!$AZ$84</f>
        <v>74.931806151188596</v>
      </c>
      <c r="HH142" s="125">
        <f>HH31/293.07*(1/(VLOOKUP($BM142,'Fuel economy adjusted factor'!$A$2:$L$52,5,FALSE)*m2k))/'TCO Inputs'!$AZ$84</f>
        <v>74.931806151188596</v>
      </c>
      <c r="HI142" s="125">
        <f>HI31/293.07*(1/(VLOOKUP($BM142,'Fuel economy adjusted factor'!$A$2:$L$52,5,FALSE)*m2k))/'TCO Inputs'!$AZ$84</f>
        <v>74.931806151188596</v>
      </c>
      <c r="HJ142" s="125">
        <f>HJ31/293.07*(1/(VLOOKUP($BM142,'Fuel economy adjusted factor'!$A$2:$L$52,5,FALSE)*m2k))/'TCO Inputs'!$AZ$84</f>
        <v>70.170460690673849</v>
      </c>
      <c r="HK142" s="98" cm="1">
        <f t="array" ref="HK142">SUMPRODUCT(INDEX(GI142:HJ142,,'TCO Inputs'!$AZ$12-2023+_xlfn.SEQUENCE('TCO Inputs'!$AZ$13))*INDEX('VKT US'!C88:AA88,,_xlfn.SEQUENCE('TCO Inputs'!$AZ$13)))*m2k*CONVERT(0.9072,"g","ton")</f>
        <v>41.845333101293512</v>
      </c>
    </row>
    <row r="143" spans="17:219" x14ac:dyDescent="0.25">
      <c r="Z143" s="123" t="s">
        <v>211</v>
      </c>
      <c r="AA143" s="125">
        <f>AA32/293.07*(1/(VLOOKUP($Z143,'Fuel economy adjusted factor'!$A$2:$L$52,5,FALSE)*m2k))/'TCO Inputs'!$AZ$84</f>
        <v>128.52697188660164</v>
      </c>
      <c r="AB143" s="125">
        <f>AB32/293.07*(1/(VLOOKUP($Z143,'Fuel economy adjusted factor'!$A$2:$L$52,5,FALSE)*m2k))/'TCO Inputs'!$AZ$84</f>
        <v>128.52697188660164</v>
      </c>
      <c r="AC143" s="125">
        <f>AC32/293.07*(1/(VLOOKUP($Z143,'Fuel economy adjusted factor'!$A$2:$L$52,5,FALSE)*m2k))/'TCO Inputs'!$AZ$84</f>
        <v>113.03867987751734</v>
      </c>
      <c r="AD143" s="125">
        <f>AD32/293.07*(1/(VLOOKUP($Z143,'Fuel economy adjusted factor'!$A$2:$L$52,5,FALSE)*m2k))/'TCO Inputs'!$AZ$84</f>
        <v>113.03867987751734</v>
      </c>
      <c r="AE143" s="125">
        <f>AE32/293.07*(1/(VLOOKUP($Z143,'Fuel economy adjusted factor'!$A$2:$L$52,5,FALSE)*m2k))/'TCO Inputs'!$AZ$84</f>
        <v>113.03867987751734</v>
      </c>
      <c r="AF143" s="125">
        <f>AF32/293.07*(1/(VLOOKUP($Z143,'Fuel economy adjusted factor'!$A$2:$L$52,5,FALSE)*m2k))/'TCO Inputs'!$AZ$84</f>
        <v>113.03867987751734</v>
      </c>
      <c r="AG143" s="125">
        <f>AG32/293.07*(1/(VLOOKUP($Z143,'Fuel economy adjusted factor'!$A$2:$L$52,5,FALSE)*m2k))/'TCO Inputs'!$AZ$84</f>
        <v>113.03867987751734</v>
      </c>
      <c r="AH143" s="125">
        <f>AH32/293.07*(1/(VLOOKUP($Z143,'Fuel economy adjusted factor'!$A$2:$L$52,5,FALSE)*m2k))/'TCO Inputs'!$AZ$84</f>
        <v>67.917898769771142</v>
      </c>
      <c r="AI143" s="125">
        <f>AI32/293.07*(1/(VLOOKUP($Z143,'Fuel economy adjusted factor'!$A$2:$L$52,5,FALSE)*m2k))/'TCO Inputs'!$AZ$84</f>
        <v>67.917898769771142</v>
      </c>
      <c r="AJ143" s="125">
        <f>AJ32/293.07*(1/(VLOOKUP($Z143,'Fuel economy adjusted factor'!$A$2:$L$52,5,FALSE)*m2k))/'TCO Inputs'!$AZ$84</f>
        <v>67.917898769771142</v>
      </c>
      <c r="AK143" s="125">
        <f>AK32/293.07*(1/(VLOOKUP($Z143,'Fuel economy adjusted factor'!$A$2:$L$52,5,FALSE)*m2k))/'TCO Inputs'!$AZ$84</f>
        <v>67.917898769771142</v>
      </c>
      <c r="AL143" s="125">
        <f>AL32/293.07*(1/(VLOOKUP($Z143,'Fuel economy adjusted factor'!$A$2:$L$52,5,FALSE)*m2k))/'TCO Inputs'!$AZ$84</f>
        <v>67.917898769771142</v>
      </c>
      <c r="AM143" s="125">
        <f>AM32/293.07*(1/(VLOOKUP($Z143,'Fuel economy adjusted factor'!$A$2:$L$52,5,FALSE)*m2k))/'TCO Inputs'!$AZ$84</f>
        <v>71.074590375127144</v>
      </c>
      <c r="AN143" s="125">
        <f>AN32/293.07*(1/(VLOOKUP($Z143,'Fuel economy adjusted factor'!$A$2:$L$52,5,FALSE)*m2k))/'TCO Inputs'!$AZ$84</f>
        <v>71.074590375127144</v>
      </c>
      <c r="AO143" s="125">
        <f>AO32/293.07*(1/(VLOOKUP($Z143,'Fuel economy adjusted factor'!$A$2:$L$52,5,FALSE)*m2k))/'TCO Inputs'!$AZ$84</f>
        <v>71.074590375127144</v>
      </c>
      <c r="AP143" s="125">
        <f>AP32/293.07*(1/(VLOOKUP($Z143,'Fuel economy adjusted factor'!$A$2:$L$52,5,FALSE)*m2k))/'TCO Inputs'!$AZ$84</f>
        <v>71.074590375127144</v>
      </c>
      <c r="AQ143" s="125">
        <f>AQ32/293.07*(1/(VLOOKUP($Z143,'Fuel economy adjusted factor'!$A$2:$L$52,5,FALSE)*m2k))/'TCO Inputs'!$AZ$84</f>
        <v>71.074590375127144</v>
      </c>
      <c r="AR143" s="125">
        <f>AR32/293.07*(1/(VLOOKUP($Z143,'Fuel economy adjusted factor'!$A$2:$L$52,5,FALSE)*m2k))/'TCO Inputs'!$AZ$84</f>
        <v>74.297644809965036</v>
      </c>
      <c r="AS143" s="125">
        <f>AS32/293.07*(1/(VLOOKUP($Z143,'Fuel economy adjusted factor'!$A$2:$L$52,5,FALSE)*m2k))/'TCO Inputs'!$AZ$84</f>
        <v>74.297644809965036</v>
      </c>
      <c r="AT143" s="125">
        <f>AT32/293.07*(1/(VLOOKUP($Z143,'Fuel economy adjusted factor'!$A$2:$L$52,5,FALSE)*m2k))/'TCO Inputs'!$AZ$84</f>
        <v>74.297644809965036</v>
      </c>
      <c r="AU143" s="125">
        <f>AU32/293.07*(1/(VLOOKUP($Z143,'Fuel economy adjusted factor'!$A$2:$L$52,5,FALSE)*m2k))/'TCO Inputs'!$AZ$84</f>
        <v>74.297644809965036</v>
      </c>
      <c r="AV143" s="125">
        <f>AV32/293.07*(1/(VLOOKUP($Z143,'Fuel economy adjusted factor'!$A$2:$L$52,5,FALSE)*m2k))/'TCO Inputs'!$AZ$84</f>
        <v>74.297644809965036</v>
      </c>
      <c r="AW143" s="125">
        <f>AW32/293.07*(1/(VLOOKUP($Z143,'Fuel economy adjusted factor'!$A$2:$L$52,5,FALSE)*m2k))/'TCO Inputs'!$AZ$84</f>
        <v>75.927991337237088</v>
      </c>
      <c r="AX143" s="125">
        <f>AX32/293.07*(1/(VLOOKUP($Z143,'Fuel economy adjusted factor'!$A$2:$L$52,5,FALSE)*m2k))/'TCO Inputs'!$AZ$84</f>
        <v>75.927991337237088</v>
      </c>
      <c r="AY143" s="125">
        <f>AY32/293.07*(1/(VLOOKUP($Z143,'Fuel economy adjusted factor'!$A$2:$L$52,5,FALSE)*m2k))/'TCO Inputs'!$AZ$84</f>
        <v>75.927991337237088</v>
      </c>
      <c r="AZ143" s="125">
        <f>AZ32/293.07*(1/(VLOOKUP($Z143,'Fuel economy adjusted factor'!$A$2:$L$52,5,FALSE)*m2k))/'TCO Inputs'!$AZ$84</f>
        <v>75.927991337237088</v>
      </c>
      <c r="BA143" s="125">
        <f>BA32/293.07*(1/(VLOOKUP($Z143,'Fuel economy adjusted factor'!$A$2:$L$52,5,FALSE)*m2k))/'TCO Inputs'!$AZ$84</f>
        <v>75.927991337237088</v>
      </c>
      <c r="BB143" s="125">
        <f>BB32/293.07*(1/(VLOOKUP($Z143,'Fuel economy adjusted factor'!$A$2:$L$52,5,FALSE)*m2k))/'TCO Inputs'!$AZ$84</f>
        <v>76.031002296432902</v>
      </c>
      <c r="BC143" s="98" cm="1">
        <f t="array" ref="BC143">SUMPRODUCT(INDEX(AA143:BB143,,'TCO Inputs'!$AZ$12-2023+_xlfn.SEQUENCE('TCO Inputs'!$AZ$13))*INDEX('VKT US'!C89:AA89,,_xlfn.SEQUENCE('TCO Inputs'!$AZ$13)))*m2k*CONVERT(0.9072,"g","ton")</f>
        <v>30.048431393973097</v>
      </c>
      <c r="BM143" s="123" t="s">
        <v>211</v>
      </c>
      <c r="BN143" s="125">
        <f>BN32/293.07*(1/(VLOOKUP($BM143,'Fuel economy adjusted factor'!$A$2:$L$52,5,FALSE)*m2k))</f>
        <v>109.24792610361141</v>
      </c>
      <c r="BO143" s="125">
        <f>BO32/293.07*(1/(VLOOKUP($BM143,'Fuel economy adjusted factor'!$A$2:$L$52,5,FALSE)*m2k))</f>
        <v>109.24792610361141</v>
      </c>
      <c r="BP143" s="125">
        <f>BP32/293.07*(1/(VLOOKUP($BM143,'Fuel economy adjusted factor'!$A$2:$L$52,5,FALSE)*m2k))</f>
        <v>95.957432338369074</v>
      </c>
      <c r="BQ143" s="125">
        <f>BQ32/293.07*(1/(VLOOKUP($BM143,'Fuel economy adjusted factor'!$A$2:$L$52,5,FALSE)*m2k))</f>
        <v>95.957432338369074</v>
      </c>
      <c r="BR143" s="125">
        <f>BR32/293.07*(1/(VLOOKUP($BM143,'Fuel economy adjusted factor'!$A$2:$L$52,5,FALSE)*m2k))</f>
        <v>95.957432338369074</v>
      </c>
      <c r="BS143" s="125">
        <f>BS32/293.07*(1/(VLOOKUP($BM143,'Fuel economy adjusted factor'!$A$2:$L$52,5,FALSE)*m2k))</f>
        <v>95.957432338369074</v>
      </c>
      <c r="BT143" s="125">
        <f>BT32/293.07*(1/(VLOOKUP($BM143,'Fuel economy adjusted factor'!$A$2:$L$52,5,FALSE)*m2k))</f>
        <v>95.957432338369074</v>
      </c>
      <c r="BU143" s="125">
        <f>BU32/293.07*(1/(VLOOKUP($BM143,'Fuel economy adjusted factor'!$A$2:$L$52,5,FALSE)*m2k))</f>
        <v>108.77392711781184</v>
      </c>
      <c r="BV143" s="125">
        <f>BV32/293.07*(1/(VLOOKUP($BM143,'Fuel economy adjusted factor'!$A$2:$L$52,5,FALSE)*m2k))</f>
        <v>108.77392711781184</v>
      </c>
      <c r="BW143" s="125">
        <f>BW32/293.07*(1/(VLOOKUP($BM143,'Fuel economy adjusted factor'!$A$2:$L$52,5,FALSE)*m2k))</f>
        <v>108.77392711781184</v>
      </c>
      <c r="BX143" s="125">
        <f>BX32/293.07*(1/(VLOOKUP($BM143,'Fuel economy adjusted factor'!$A$2:$L$52,5,FALSE)*m2k))</f>
        <v>108.77392711781184</v>
      </c>
      <c r="BY143" s="125">
        <f>BY32/293.07*(1/(VLOOKUP($BM143,'Fuel economy adjusted factor'!$A$2:$L$52,5,FALSE)*m2k))</f>
        <v>108.77392711781184</v>
      </c>
      <c r="BZ143" s="125">
        <f>BZ32/293.07*(1/(VLOOKUP($BM143,'Fuel economy adjusted factor'!$A$2:$L$52,5,FALSE)*m2k))</f>
        <v>111.38976166289025</v>
      </c>
      <c r="CA143" s="125">
        <f>CA32/293.07*(1/(VLOOKUP($BM143,'Fuel economy adjusted factor'!$A$2:$L$52,5,FALSE)*m2k))</f>
        <v>111.38976166289025</v>
      </c>
      <c r="CB143" s="125">
        <f>CB32/293.07*(1/(VLOOKUP($BM143,'Fuel economy adjusted factor'!$A$2:$L$52,5,FALSE)*m2k))</f>
        <v>111.38976166289025</v>
      </c>
      <c r="CC143" s="125">
        <f>CC32/293.07*(1/(VLOOKUP($BM143,'Fuel economy adjusted factor'!$A$2:$L$52,5,FALSE)*m2k))</f>
        <v>111.38976166289025</v>
      </c>
      <c r="CD143" s="125">
        <f>CD32/293.07*(1/(VLOOKUP($BM143,'Fuel economy adjusted factor'!$A$2:$L$52,5,FALSE)*m2k))</f>
        <v>111.38976166289025</v>
      </c>
      <c r="CE143" s="125">
        <f>CE32/293.07*(1/(VLOOKUP($BM143,'Fuel economy adjusted factor'!$A$2:$L$52,5,FALSE)*m2k))</f>
        <v>114.14282859639734</v>
      </c>
      <c r="CF143" s="125">
        <f>CF32/293.07*(1/(VLOOKUP($BM143,'Fuel economy adjusted factor'!$A$2:$L$52,5,FALSE)*m2k))</f>
        <v>114.14282859639734</v>
      </c>
      <c r="CG143" s="125">
        <f>CG32/293.07*(1/(VLOOKUP($BM143,'Fuel economy adjusted factor'!$A$2:$L$52,5,FALSE)*m2k))</f>
        <v>114.14282859639734</v>
      </c>
      <c r="CH143" s="125">
        <f>CH32/293.07*(1/(VLOOKUP($BM143,'Fuel economy adjusted factor'!$A$2:$L$52,5,FALSE)*m2k))</f>
        <v>114.14282859639734</v>
      </c>
      <c r="CI143" s="125">
        <f>CI32/293.07*(1/(VLOOKUP($BM143,'Fuel economy adjusted factor'!$A$2:$L$52,5,FALSE)*m2k))</f>
        <v>114.14282859639734</v>
      </c>
      <c r="CJ143" s="125">
        <f>CJ32/293.07*(1/(VLOOKUP($BM143,'Fuel economy adjusted factor'!$A$2:$L$52,5,FALSE)*m2k))</f>
        <v>114.79615579529687</v>
      </c>
      <c r="CK143" s="125">
        <f>CK32/293.07*(1/(VLOOKUP($BM143,'Fuel economy adjusted factor'!$A$2:$L$52,5,FALSE)*m2k))</f>
        <v>114.79615579529687</v>
      </c>
      <c r="CL143" s="125">
        <f>CL32/293.07*(1/(VLOOKUP($BM143,'Fuel economy adjusted factor'!$A$2:$L$52,5,FALSE)*m2k))</f>
        <v>114.79615579529687</v>
      </c>
      <c r="CM143" s="125">
        <f>CM32/293.07*(1/(VLOOKUP($BM143,'Fuel economy adjusted factor'!$A$2:$L$52,5,FALSE)*m2k))</f>
        <v>114.79615579529687</v>
      </c>
      <c r="CN143" s="125">
        <f>CN32/293.07*(1/(VLOOKUP($BM143,'Fuel economy adjusted factor'!$A$2:$L$52,5,FALSE)*m2k))</f>
        <v>114.79615579529687</v>
      </c>
      <c r="CO143" s="125">
        <f>CO32/293.07*(1/(VLOOKUP($BM143,'Fuel economy adjusted factor'!$A$2:$L$52,5,FALSE)*m2k))</f>
        <v>115.57661238470391</v>
      </c>
      <c r="CP143" s="98" cm="1">
        <f t="array" ref="CP143">SUMPRODUCT(INDEX(BN143:CO143,,'TCO Inputs'!$AZ$12-2023+_xlfn.SEQUENCE('TCO Inputs'!$AZ$13))*INDEX('VKT US'!C89:AA89,,_xlfn.SEQUENCE('TCO Inputs'!$AZ$13)))*m2k*CONVERT(0.9072,"g","ton")</f>
        <v>32.729159558385774</v>
      </c>
      <c r="CQ143" s="194"/>
      <c r="CR143" s="123" t="s">
        <v>211</v>
      </c>
      <c r="CS143" s="125">
        <f>CS32/293.07*(1/(VLOOKUP($BM143,'Fuel economy adjusted factor'!$A$2:$L$52,5,FALSE)*m2k))/'TCO Inputs'!$AZ$84</f>
        <v>155.61192072515192</v>
      </c>
      <c r="CT143" s="125">
        <f>CT32/293.07*(1/(VLOOKUP($BM143,'Fuel economy adjusted factor'!$A$2:$L$52,5,FALSE)*m2k))/'TCO Inputs'!$AZ$84</f>
        <v>155.61192072515192</v>
      </c>
      <c r="CU143" s="125">
        <f>CU32/293.07*(1/(VLOOKUP($BM143,'Fuel economy adjusted factor'!$A$2:$L$52,5,FALSE)*m2k))/'TCO Inputs'!$AZ$84</f>
        <v>155.61192072515192</v>
      </c>
      <c r="CV143" s="125">
        <f>CV32/293.07*(1/(VLOOKUP($BM143,'Fuel economy adjusted factor'!$A$2:$L$52,5,FALSE)*m2k))/'TCO Inputs'!$AZ$84</f>
        <v>155.61192072515192</v>
      </c>
      <c r="CW143" s="125">
        <f>CW32/293.07*(1/(VLOOKUP($BM143,'Fuel economy adjusted factor'!$A$2:$L$52,5,FALSE)*m2k))/'TCO Inputs'!$AZ$84</f>
        <v>155.61192072515192</v>
      </c>
      <c r="CX143" s="125">
        <f>CX32/293.07*(1/(VLOOKUP($BM143,'Fuel economy adjusted factor'!$A$2:$L$52,5,FALSE)*m2k))/'TCO Inputs'!$AZ$84</f>
        <v>155.61192072515192</v>
      </c>
      <c r="CY143" s="125">
        <f>CY32/293.07*(1/(VLOOKUP($BM143,'Fuel economy adjusted factor'!$A$2:$L$52,5,FALSE)*m2k))/'TCO Inputs'!$AZ$84</f>
        <v>155.61192072515192</v>
      </c>
      <c r="CZ143" s="125">
        <f>CZ32/293.07*(1/(VLOOKUP($BM143,'Fuel economy adjusted factor'!$A$2:$L$52,5,FALSE)*m2k))/'TCO Inputs'!$AZ$84</f>
        <v>155.64658787488122</v>
      </c>
      <c r="DA143" s="125">
        <f>DA32/293.07*(1/(VLOOKUP($BM143,'Fuel economy adjusted factor'!$A$2:$L$52,5,FALSE)*m2k))/'TCO Inputs'!$AZ$84</f>
        <v>155.64658787488122</v>
      </c>
      <c r="DB143" s="125">
        <f>DB32/293.07*(1/(VLOOKUP($BM143,'Fuel economy adjusted factor'!$A$2:$L$52,5,FALSE)*m2k))/'TCO Inputs'!$AZ$84</f>
        <v>155.64658787488122</v>
      </c>
      <c r="DC143" s="125">
        <f>DC32/293.07*(1/(VLOOKUP($BM143,'Fuel economy adjusted factor'!$A$2:$L$52,5,FALSE)*m2k))/'TCO Inputs'!$AZ$84</f>
        <v>155.64658787488122</v>
      </c>
      <c r="DD143" s="125">
        <f>DD32/293.07*(1/(VLOOKUP($BM143,'Fuel economy adjusted factor'!$A$2:$L$52,5,FALSE)*m2k))/'TCO Inputs'!$AZ$84</f>
        <v>155.64658787488122</v>
      </c>
      <c r="DE143" s="125">
        <f>DE32/293.07*(1/(VLOOKUP($BM143,'Fuel economy adjusted factor'!$A$2:$L$52,5,FALSE)*m2k))/'TCO Inputs'!$AZ$84</f>
        <v>155.62677807503593</v>
      </c>
      <c r="DF143" s="125">
        <f>DF32/293.07*(1/(VLOOKUP($BM143,'Fuel economy adjusted factor'!$A$2:$L$52,5,FALSE)*m2k))/'TCO Inputs'!$AZ$84</f>
        <v>155.62677807503593</v>
      </c>
      <c r="DG143" s="125">
        <f>DG32/293.07*(1/(VLOOKUP($BM143,'Fuel economy adjusted factor'!$A$2:$L$52,5,FALSE)*m2k))/'TCO Inputs'!$AZ$84</f>
        <v>155.62677807503593</v>
      </c>
      <c r="DH143" s="125">
        <f>DH32/293.07*(1/(VLOOKUP($BM143,'Fuel economy adjusted factor'!$A$2:$L$52,5,FALSE)*m2k))/'TCO Inputs'!$AZ$84</f>
        <v>155.62677807503593</v>
      </c>
      <c r="DI143" s="125">
        <f>DI32/293.07*(1/(VLOOKUP($BM143,'Fuel economy adjusted factor'!$A$2:$L$52,5,FALSE)*m2k))/'TCO Inputs'!$AZ$84</f>
        <v>155.62677807503593</v>
      </c>
      <c r="DJ143" s="125">
        <f>DJ32/293.07*(1/(VLOOKUP($BM143,'Fuel economy adjusted factor'!$A$2:$L$52,5,FALSE)*m2k))/'TCO Inputs'!$AZ$84</f>
        <v>155.62182562507456</v>
      </c>
      <c r="DK143" s="125">
        <f>DK32/293.07*(1/(VLOOKUP($BM143,'Fuel economy adjusted factor'!$A$2:$L$52,5,FALSE)*m2k))/'TCO Inputs'!$AZ$84</f>
        <v>155.62182562507456</v>
      </c>
      <c r="DL143" s="125">
        <f>DL32/293.07*(1/(VLOOKUP($BM143,'Fuel economy adjusted factor'!$A$2:$L$52,5,FALSE)*m2k))/'TCO Inputs'!$AZ$84</f>
        <v>155.62182562507456</v>
      </c>
      <c r="DM143" s="125">
        <f>DM32/293.07*(1/(VLOOKUP($BM143,'Fuel economy adjusted factor'!$A$2:$L$52,5,FALSE)*m2k))/'TCO Inputs'!$AZ$84</f>
        <v>155.62182562507456</v>
      </c>
      <c r="DN143" s="125">
        <f>DN32/293.07*(1/(VLOOKUP($BM143,'Fuel economy adjusted factor'!$A$2:$L$52,5,FALSE)*m2k))/'TCO Inputs'!$AZ$84</f>
        <v>155.62182562507456</v>
      </c>
      <c r="DO143" s="125">
        <f>DO32/293.07*(1/(VLOOKUP($BM143,'Fuel economy adjusted factor'!$A$2:$L$52,5,FALSE)*m2k))/'TCO Inputs'!$AZ$84</f>
        <v>155.52574809582467</v>
      </c>
      <c r="DP143" s="125">
        <f>DP32/293.07*(1/(VLOOKUP($BM143,'Fuel economy adjusted factor'!$A$2:$L$52,5,FALSE)*m2k))/'TCO Inputs'!$AZ$84</f>
        <v>155.52574809582467</v>
      </c>
      <c r="DQ143" s="125">
        <f>DQ32/293.07*(1/(VLOOKUP($BM143,'Fuel economy adjusted factor'!$A$2:$L$52,5,FALSE)*m2k))/'TCO Inputs'!$AZ$84</f>
        <v>155.52574809582467</v>
      </c>
      <c r="DR143" s="125">
        <f>DR32/293.07*(1/(VLOOKUP($BM143,'Fuel economy adjusted factor'!$A$2:$L$52,5,FALSE)*m2k))/'TCO Inputs'!$AZ$84</f>
        <v>155.52574809582467</v>
      </c>
      <c r="DS143" s="125">
        <f>DS32/293.07*(1/(VLOOKUP($BM143,'Fuel economy adjusted factor'!$A$2:$L$52,5,FALSE)*m2k))/'TCO Inputs'!$AZ$84</f>
        <v>155.52574809582467</v>
      </c>
      <c r="DT143" s="125">
        <f>DT32/293.07*(1/(VLOOKUP($BM143,'Fuel economy adjusted factor'!$A$2:$L$52,5,FALSE)*m2k))/'TCO Inputs'!$AZ$84</f>
        <v>155.60597778519826</v>
      </c>
      <c r="DU143" s="98" cm="1">
        <f t="array" ref="DU143">SUMPRODUCT(INDEX(CS143:DT143,,'TCO Inputs'!$AZ$12-2023+_xlfn.SEQUENCE('TCO Inputs'!$AZ$13))*INDEX('VKT US'!C89:AA89,,_xlfn.SEQUENCE('TCO Inputs'!$AZ$13)))*m2k*CONVERT(0.9072,"g","ton")</f>
        <v>48.842479283032965</v>
      </c>
      <c r="DW143" s="123" t="s">
        <v>211</v>
      </c>
      <c r="DX143" s="125">
        <f>DX32/293.07*(1/(VLOOKUP($BM143,'Fuel economy adjusted factor'!$A$2:$L$52,5,FALSE)*m2k))/'TCO Inputs'!$AZ$84</f>
        <v>162.89597993003298</v>
      </c>
      <c r="DY143" s="125">
        <f>DY32/293.07*(1/(VLOOKUP($BM143,'Fuel economy adjusted factor'!$A$2:$L$52,5,FALSE)*m2k))/'TCO Inputs'!$AZ$84</f>
        <v>162.89597993003298</v>
      </c>
      <c r="DZ143" s="125">
        <f>DZ32/293.07*(1/(VLOOKUP($BM143,'Fuel economy adjusted factor'!$A$2:$L$52,5,FALSE)*m2k))/'TCO Inputs'!$AZ$84</f>
        <v>142.79466277622714</v>
      </c>
      <c r="EA143" s="125">
        <f>EA32/293.07*(1/(VLOOKUP($BM143,'Fuel economy adjusted factor'!$A$2:$L$52,5,FALSE)*m2k))/'TCO Inputs'!$AZ$84</f>
        <v>142.79466277622714</v>
      </c>
      <c r="EB143" s="125">
        <f>EB32/293.07*(1/(VLOOKUP($BM143,'Fuel economy adjusted factor'!$A$2:$L$52,5,FALSE)*m2k))/'TCO Inputs'!$AZ$84</f>
        <v>142.79466277622714</v>
      </c>
      <c r="EC143" s="125">
        <f>EC32/293.07*(1/(VLOOKUP($BM143,'Fuel economy adjusted factor'!$A$2:$L$52,5,FALSE)*m2k))/'TCO Inputs'!$AZ$84</f>
        <v>142.79466277622714</v>
      </c>
      <c r="ED143" s="125">
        <f>ED32/293.07*(1/(VLOOKUP($BM143,'Fuel economy adjusted factor'!$A$2:$L$52,5,FALSE)*m2k))/'TCO Inputs'!$AZ$84</f>
        <v>142.79466277622714</v>
      </c>
      <c r="EE143" s="125">
        <f>EE32/293.07*(1/(VLOOKUP($BM143,'Fuel economy adjusted factor'!$A$2:$L$52,5,FALSE)*m2k))/'TCO Inputs'!$AZ$84</f>
        <v>88.009519424928698</v>
      </c>
      <c r="EF143" s="125">
        <f>EF32/293.07*(1/(VLOOKUP($BM143,'Fuel economy adjusted factor'!$A$2:$L$52,5,FALSE)*m2k))/'TCO Inputs'!$AZ$84</f>
        <v>88.009519424928698</v>
      </c>
      <c r="EG143" s="125">
        <f>EG32/293.07*(1/(VLOOKUP($BM143,'Fuel economy adjusted factor'!$A$2:$L$52,5,FALSE)*m2k))/'TCO Inputs'!$AZ$84</f>
        <v>88.009519424928698</v>
      </c>
      <c r="EH143" s="125">
        <f>EH32/293.07*(1/(VLOOKUP($BM143,'Fuel economy adjusted factor'!$A$2:$L$52,5,FALSE)*m2k))/'TCO Inputs'!$AZ$84</f>
        <v>88.009519424928698</v>
      </c>
      <c r="EI143" s="125">
        <f>EI32/293.07*(1/(VLOOKUP($BM143,'Fuel economy adjusted factor'!$A$2:$L$52,5,FALSE)*m2k))/'TCO Inputs'!$AZ$84</f>
        <v>88.009519424928698</v>
      </c>
      <c r="EJ143" s="125">
        <f>EJ32/293.07*(1/(VLOOKUP($BM143,'Fuel economy adjusted factor'!$A$2:$L$52,5,FALSE)*m2k))/'TCO Inputs'!$AZ$84</f>
        <v>78.602841716155723</v>
      </c>
      <c r="EK143" s="125">
        <f>EK32/293.07*(1/(VLOOKUP($BM143,'Fuel economy adjusted factor'!$A$2:$L$52,5,FALSE)*m2k))/'TCO Inputs'!$AZ$84</f>
        <v>78.602841716155723</v>
      </c>
      <c r="EL143" s="125">
        <f>EL32/293.07*(1/(VLOOKUP($BM143,'Fuel economy adjusted factor'!$A$2:$L$52,5,FALSE)*m2k))/'TCO Inputs'!$AZ$84</f>
        <v>78.602841716155723</v>
      </c>
      <c r="EM143" s="125">
        <f>EM32/293.07*(1/(VLOOKUP($BM143,'Fuel economy adjusted factor'!$A$2:$L$52,5,FALSE)*m2k))/'TCO Inputs'!$AZ$84</f>
        <v>78.602841716155723</v>
      </c>
      <c r="EN143" s="125">
        <f>EN32/293.07*(1/(VLOOKUP($BM143,'Fuel economy adjusted factor'!$A$2:$L$52,5,FALSE)*m2k))/'TCO Inputs'!$AZ$84</f>
        <v>78.602841716155723</v>
      </c>
      <c r="EO143" s="125">
        <f>EO32/293.07*(1/(VLOOKUP($BM143,'Fuel economy adjusted factor'!$A$2:$L$52,5,FALSE)*m2k))/'TCO Inputs'!$AZ$84</f>
        <v>76.128851900602584</v>
      </c>
      <c r="EP143" s="125">
        <f>EP32/293.07*(1/(VLOOKUP($BM143,'Fuel economy adjusted factor'!$A$2:$L$52,5,FALSE)*m2k))/'TCO Inputs'!$AZ$84</f>
        <v>76.128851900602584</v>
      </c>
      <c r="EQ143" s="125">
        <f>EQ32/293.07*(1/(VLOOKUP($BM143,'Fuel economy adjusted factor'!$A$2:$L$52,5,FALSE)*m2k))/'TCO Inputs'!$AZ$84</f>
        <v>76.128851900602584</v>
      </c>
      <c r="ER143" s="125">
        <f>ER32/293.07*(1/(VLOOKUP($BM143,'Fuel economy adjusted factor'!$A$2:$L$52,5,FALSE)*m2k))/'TCO Inputs'!$AZ$84</f>
        <v>76.128851900602584</v>
      </c>
      <c r="ES143" s="125">
        <f>ES32/293.07*(1/(VLOOKUP($BM143,'Fuel economy adjusted factor'!$A$2:$L$52,5,FALSE)*m2k))/'TCO Inputs'!$AZ$84</f>
        <v>76.128851900602584</v>
      </c>
      <c r="ET143" s="125">
        <f>ET32/293.07*(1/(VLOOKUP($BM143,'Fuel economy adjusted factor'!$A$2:$L$52,5,FALSE)*m2k))/'TCO Inputs'!$AZ$84</f>
        <v>73.302291553894534</v>
      </c>
      <c r="EU143" s="125">
        <f>EU32/293.07*(1/(VLOOKUP($BM143,'Fuel economy adjusted factor'!$A$2:$L$52,5,FALSE)*m2k))/'TCO Inputs'!$AZ$84</f>
        <v>73.302291553894534</v>
      </c>
      <c r="EV143" s="125">
        <f>EV32/293.07*(1/(VLOOKUP($BM143,'Fuel economy adjusted factor'!$A$2:$L$52,5,FALSE)*m2k))/'TCO Inputs'!$AZ$84</f>
        <v>73.302291553894534</v>
      </c>
      <c r="EW143" s="125">
        <f>EW32/293.07*(1/(VLOOKUP($BM143,'Fuel economy adjusted factor'!$A$2:$L$52,5,FALSE)*m2k))/'TCO Inputs'!$AZ$84</f>
        <v>73.302291553894534</v>
      </c>
      <c r="EX143" s="125">
        <f>EX32/293.07*(1/(VLOOKUP($BM143,'Fuel economy adjusted factor'!$A$2:$L$52,5,FALSE)*m2k))/'TCO Inputs'!$AZ$84</f>
        <v>73.302291553894534</v>
      </c>
      <c r="EY143" s="125">
        <f>EY32/293.07*(1/(VLOOKUP($BM143,'Fuel economy adjusted factor'!$A$2:$L$52,5,FALSE)*m2k))/'TCO Inputs'!$AZ$84</f>
        <v>68.869976305089736</v>
      </c>
      <c r="EZ143" s="98" cm="1">
        <f t="array" ref="EZ143">SUMPRODUCT(INDEX(DX143:EY143,,'TCO Inputs'!$AZ$12-2023+_xlfn.SEQUENCE('TCO Inputs'!$AZ$13))*INDEX('VKT US'!C89:AA89,,_xlfn.SEQUENCE('TCO Inputs'!$AZ$13)))*m2k*CONVERT(0.9072,"g","ton")</f>
        <v>37.794913518880477</v>
      </c>
      <c r="FB143" s="123" t="s">
        <v>211</v>
      </c>
      <c r="FC143" s="125">
        <f>FC32/293.07*(1/(VLOOKUP($BM143,'Fuel economy adjusted factor'!$A$2:$L$52,5,FALSE)*m2k))/'TCO Inputs'!$AZ$84</f>
        <v>176.68460566887438</v>
      </c>
      <c r="FD143" s="125">
        <f>FD32/293.07*(1/(VLOOKUP($BM143,'Fuel economy adjusted factor'!$A$2:$L$52,5,FALSE)*m2k))/'TCO Inputs'!$AZ$84</f>
        <v>176.68460566887438</v>
      </c>
      <c r="FE143" s="125">
        <f>FE32/293.07*(1/(VLOOKUP($BM143,'Fuel economy adjusted factor'!$A$2:$L$52,5,FALSE)*m2k))/'TCO Inputs'!$AZ$84</f>
        <v>154.29877537952387</v>
      </c>
      <c r="FF143" s="125">
        <f>FF32/293.07*(1/(VLOOKUP($BM143,'Fuel economy adjusted factor'!$A$2:$L$52,5,FALSE)*m2k))/'TCO Inputs'!$AZ$84</f>
        <v>154.29877537952387</v>
      </c>
      <c r="FG143" s="125">
        <f>FG32/293.07*(1/(VLOOKUP($BM143,'Fuel economy adjusted factor'!$A$2:$L$52,5,FALSE)*m2k))/'TCO Inputs'!$AZ$84</f>
        <v>154.29877537952387</v>
      </c>
      <c r="FH143" s="125">
        <f>FH32/293.07*(1/(VLOOKUP($BM143,'Fuel economy adjusted factor'!$A$2:$L$52,5,FALSE)*m2k))/'TCO Inputs'!$AZ$84</f>
        <v>154.29877537952387</v>
      </c>
      <c r="FI143" s="125">
        <f>FI32/293.07*(1/(VLOOKUP($BM143,'Fuel economy adjusted factor'!$A$2:$L$52,5,FALSE)*m2k))/'TCO Inputs'!$AZ$84</f>
        <v>154.29877537952387</v>
      </c>
      <c r="FJ143" s="125">
        <f>FJ32/293.07*(1/(VLOOKUP($BM143,'Fuel economy adjusted factor'!$A$2:$L$52,5,FALSE)*m2k))/'TCO Inputs'!$AZ$84</f>
        <v>96.826181142789352</v>
      </c>
      <c r="FK143" s="125">
        <f>FK32/293.07*(1/(VLOOKUP($BM143,'Fuel economy adjusted factor'!$A$2:$L$52,5,FALSE)*m2k))/'TCO Inputs'!$AZ$84</f>
        <v>96.826181142789352</v>
      </c>
      <c r="FL143" s="125">
        <f>FL32/293.07*(1/(VLOOKUP($BM143,'Fuel economy adjusted factor'!$A$2:$L$52,5,FALSE)*m2k))/'TCO Inputs'!$AZ$84</f>
        <v>96.826181142789352</v>
      </c>
      <c r="FM143" s="125">
        <f>FM32/293.07*(1/(VLOOKUP($BM143,'Fuel economy adjusted factor'!$A$2:$L$52,5,FALSE)*m2k))/'TCO Inputs'!$AZ$84</f>
        <v>96.826181142789352</v>
      </c>
      <c r="FN143" s="125">
        <f>FN32/293.07*(1/(VLOOKUP($BM143,'Fuel economy adjusted factor'!$A$2:$L$52,5,FALSE)*m2k))/'TCO Inputs'!$AZ$84</f>
        <v>96.826181142789352</v>
      </c>
      <c r="FO143" s="125">
        <f>FO32/293.07*(1/(VLOOKUP($BM143,'Fuel economy adjusted factor'!$A$2:$L$52,5,FALSE)*m2k))/'TCO Inputs'!$AZ$84</f>
        <v>85.976842383066113</v>
      </c>
      <c r="FP143" s="125">
        <f>FP32/293.07*(1/(VLOOKUP($BM143,'Fuel economy adjusted factor'!$A$2:$L$52,5,FALSE)*m2k))/'TCO Inputs'!$AZ$84</f>
        <v>85.976842383066113</v>
      </c>
      <c r="FQ143" s="125">
        <f>FQ32/293.07*(1/(VLOOKUP($BM143,'Fuel economy adjusted factor'!$A$2:$L$52,5,FALSE)*m2k))/'TCO Inputs'!$AZ$84</f>
        <v>85.976842383066113</v>
      </c>
      <c r="FR143" s="125">
        <f>FR32/293.07*(1/(VLOOKUP($BM143,'Fuel economy adjusted factor'!$A$2:$L$52,5,FALSE)*m2k))/'TCO Inputs'!$AZ$84</f>
        <v>85.976842383066113</v>
      </c>
      <c r="FS143" s="125">
        <f>FS32/293.07*(1/(VLOOKUP($BM143,'Fuel economy adjusted factor'!$A$2:$L$52,5,FALSE)*m2k))/'TCO Inputs'!$AZ$84</f>
        <v>85.976842383066113</v>
      </c>
      <c r="FT143" s="125">
        <f>FT32/293.07*(1/(VLOOKUP($BM143,'Fuel economy adjusted factor'!$A$2:$L$52,5,FALSE)*m2k))/'TCO Inputs'!$AZ$84</f>
        <v>83.788266807019355</v>
      </c>
      <c r="FU143" s="125">
        <f>FU32/293.07*(1/(VLOOKUP($BM143,'Fuel economy adjusted factor'!$A$2:$L$52,5,FALSE)*m2k))/'TCO Inputs'!$AZ$84</f>
        <v>83.788266807019355</v>
      </c>
      <c r="FV143" s="125">
        <f>FV32/293.07*(1/(VLOOKUP($BM143,'Fuel economy adjusted factor'!$A$2:$L$52,5,FALSE)*m2k))/'TCO Inputs'!$AZ$84</f>
        <v>83.788266807019355</v>
      </c>
      <c r="FW143" s="125">
        <f>FW32/293.07*(1/(VLOOKUP($BM143,'Fuel economy adjusted factor'!$A$2:$L$52,5,FALSE)*m2k))/'TCO Inputs'!$AZ$84</f>
        <v>83.788266807019355</v>
      </c>
      <c r="FX143" s="125">
        <f>FX32/293.07*(1/(VLOOKUP($BM143,'Fuel economy adjusted factor'!$A$2:$L$52,5,FALSE)*m2k))/'TCO Inputs'!$AZ$84</f>
        <v>83.788266807019355</v>
      </c>
      <c r="FY143" s="125">
        <f>FY32/293.07*(1/(VLOOKUP($BM143,'Fuel economy adjusted factor'!$A$2:$L$52,5,FALSE)*m2k))/'TCO Inputs'!$AZ$84</f>
        <v>80.95571036284268</v>
      </c>
      <c r="FZ143" s="125">
        <f>FZ32/293.07*(1/(VLOOKUP($BM143,'Fuel economy adjusted factor'!$A$2:$L$52,5,FALSE)*m2k))/'TCO Inputs'!$AZ$84</f>
        <v>80.95571036284268</v>
      </c>
      <c r="GA143" s="125">
        <f>GA32/293.07*(1/(VLOOKUP($BM143,'Fuel economy adjusted factor'!$A$2:$L$52,5,FALSE)*m2k))/'TCO Inputs'!$AZ$84</f>
        <v>80.95571036284268</v>
      </c>
      <c r="GB143" s="125">
        <f>GB32/293.07*(1/(VLOOKUP($BM143,'Fuel economy adjusted factor'!$A$2:$L$52,5,FALSE)*m2k))/'TCO Inputs'!$AZ$84</f>
        <v>80.95571036284268</v>
      </c>
      <c r="GC143" s="125">
        <f>GC32/293.07*(1/(VLOOKUP($BM143,'Fuel economy adjusted factor'!$A$2:$L$52,5,FALSE)*m2k))/'TCO Inputs'!$AZ$84</f>
        <v>80.95571036284268</v>
      </c>
      <c r="GD143" s="125">
        <f>GD32/293.07*(1/(VLOOKUP($BM143,'Fuel economy adjusted factor'!$A$2:$L$52,5,FALSE)*m2k))/'TCO Inputs'!$AZ$84</f>
        <v>76.369895018841177</v>
      </c>
      <c r="GE143" s="98" cm="1">
        <f t="array" ref="GE143">SUMPRODUCT(INDEX(FC143:GD143,,'TCO Inputs'!$AZ$12-2023+_xlfn.SEQUENCE('TCO Inputs'!$AZ$13))*INDEX('VKT US'!C89:AA89,,_xlfn.SEQUENCE('TCO Inputs'!$AZ$13)))*m2k*CONVERT(0.9072,"g","ton")</f>
        <v>41.093033162630014</v>
      </c>
      <c r="GH143" s="123" t="s">
        <v>211</v>
      </c>
      <c r="GI143" s="125">
        <f>GI32/293.07*(1/(VLOOKUP($BM143,'Fuel economy adjusted factor'!$A$2:$L$52,5,FALSE)*m2k))/'TCO Inputs'!$AZ$84</f>
        <v>153.51088817214702</v>
      </c>
      <c r="GJ143" s="125">
        <f>GJ32/293.07*(1/(VLOOKUP($BM143,'Fuel economy adjusted factor'!$A$2:$L$52,5,FALSE)*m2k))/'TCO Inputs'!$AZ$84</f>
        <v>153.51088817214702</v>
      </c>
      <c r="GK143" s="125">
        <f>GK32/293.07*(1/(VLOOKUP($BM143,'Fuel economy adjusted factor'!$A$2:$L$52,5,FALSE)*m2k))/'TCO Inputs'!$AZ$84</f>
        <v>134.96495870170156</v>
      </c>
      <c r="GL143" s="125">
        <f>GL32/293.07*(1/(VLOOKUP($BM143,'Fuel economy adjusted factor'!$A$2:$L$52,5,FALSE)*m2k))/'TCO Inputs'!$AZ$84</f>
        <v>134.96495870170156</v>
      </c>
      <c r="GM143" s="125">
        <f>GM32/293.07*(1/(VLOOKUP($BM143,'Fuel economy adjusted factor'!$A$2:$L$52,5,FALSE)*m2k))/'TCO Inputs'!$AZ$84</f>
        <v>134.96495870170156</v>
      </c>
      <c r="GN143" s="125">
        <f>GN32/293.07*(1/(VLOOKUP($BM143,'Fuel economy adjusted factor'!$A$2:$L$52,5,FALSE)*m2k))/'TCO Inputs'!$AZ$84</f>
        <v>134.96495870170156</v>
      </c>
      <c r="GO143" s="125">
        <f>GO32/293.07*(1/(VLOOKUP($BM143,'Fuel economy adjusted factor'!$A$2:$L$52,5,FALSE)*m2k))/'TCO Inputs'!$AZ$84</f>
        <v>134.96495870170156</v>
      </c>
      <c r="GP143" s="125">
        <f>GP32/293.07*(1/(VLOOKUP($BM143,'Fuel economy adjusted factor'!$A$2:$L$52,5,FALSE)*m2k))/'TCO Inputs'!$AZ$84</f>
        <v>82.008625078332571</v>
      </c>
      <c r="GQ143" s="125">
        <f>GQ32/293.07*(1/(VLOOKUP($BM143,'Fuel economy adjusted factor'!$A$2:$L$52,5,FALSE)*m2k))/'TCO Inputs'!$AZ$84</f>
        <v>82.008625078332571</v>
      </c>
      <c r="GR143" s="125">
        <f>GR32/293.07*(1/(VLOOKUP($BM143,'Fuel economy adjusted factor'!$A$2:$L$52,5,FALSE)*m2k))/'TCO Inputs'!$AZ$84</f>
        <v>82.008625078332571</v>
      </c>
      <c r="GS143" s="125">
        <f>GS32/293.07*(1/(VLOOKUP($BM143,'Fuel economy adjusted factor'!$A$2:$L$52,5,FALSE)*m2k))/'TCO Inputs'!$AZ$84</f>
        <v>82.008625078332571</v>
      </c>
      <c r="GT143" s="125">
        <f>GT32/293.07*(1/(VLOOKUP($BM143,'Fuel economy adjusted factor'!$A$2:$L$52,5,FALSE)*m2k))/'TCO Inputs'!$AZ$84</f>
        <v>82.008625078332571</v>
      </c>
      <c r="GU143" s="125">
        <f>GU32/293.07*(1/(VLOOKUP($BM143,'Fuel economy adjusted factor'!$A$2:$L$52,5,FALSE)*m2k))/'TCO Inputs'!$AZ$84</f>
        <v>73.584108134919745</v>
      </c>
      <c r="GV143" s="125">
        <f>GV32/293.07*(1/(VLOOKUP($BM143,'Fuel economy adjusted factor'!$A$2:$L$52,5,FALSE)*m2k))/'TCO Inputs'!$AZ$84</f>
        <v>73.584108134919745</v>
      </c>
      <c r="GW143" s="125">
        <f>GW32/293.07*(1/(VLOOKUP($BM143,'Fuel economy adjusted factor'!$A$2:$L$52,5,FALSE)*m2k))/'TCO Inputs'!$AZ$84</f>
        <v>73.584108134919745</v>
      </c>
      <c r="GX143" s="125">
        <f>GX32/293.07*(1/(VLOOKUP($BM143,'Fuel economy adjusted factor'!$A$2:$L$52,5,FALSE)*m2k))/'TCO Inputs'!$AZ$84</f>
        <v>73.584108134919745</v>
      </c>
      <c r="GY143" s="125">
        <f>GY32/293.07*(1/(VLOOKUP($BM143,'Fuel economy adjusted factor'!$A$2:$L$52,5,FALSE)*m2k))/'TCO Inputs'!$AZ$84</f>
        <v>73.584108134919745</v>
      </c>
      <c r="GZ143" s="125">
        <f>GZ32/293.07*(1/(VLOOKUP($BM143,'Fuel economy adjusted factor'!$A$2:$L$52,5,FALSE)*m2k))/'TCO Inputs'!$AZ$84</f>
        <v>70.915844761383298</v>
      </c>
      <c r="HA143" s="125">
        <f>HA32/293.07*(1/(VLOOKUP($BM143,'Fuel economy adjusted factor'!$A$2:$L$52,5,FALSE)*m2k))/'TCO Inputs'!$AZ$84</f>
        <v>70.915844761383298</v>
      </c>
      <c r="HB143" s="125">
        <f>HB32/293.07*(1/(VLOOKUP($BM143,'Fuel economy adjusted factor'!$A$2:$L$52,5,FALSE)*m2k))/'TCO Inputs'!$AZ$84</f>
        <v>70.915844761383298</v>
      </c>
      <c r="HC143" s="125">
        <f>HC32/293.07*(1/(VLOOKUP($BM143,'Fuel economy adjusted factor'!$A$2:$L$52,5,FALSE)*m2k))/'TCO Inputs'!$AZ$84</f>
        <v>70.915844761383298</v>
      </c>
      <c r="HD143" s="125">
        <f>HD32/293.07*(1/(VLOOKUP($BM143,'Fuel economy adjusted factor'!$A$2:$L$52,5,FALSE)*m2k))/'TCO Inputs'!$AZ$84</f>
        <v>70.915844761383298</v>
      </c>
      <c r="HE143" s="125">
        <f>HE32/293.07*(1/(VLOOKUP($BM143,'Fuel economy adjusted factor'!$A$2:$L$52,5,FALSE)*m2k))/'TCO Inputs'!$AZ$84</f>
        <v>68.092882073156417</v>
      </c>
      <c r="HF143" s="125">
        <f>HF32/293.07*(1/(VLOOKUP($BM143,'Fuel economy adjusted factor'!$A$2:$L$52,5,FALSE)*m2k))/'TCO Inputs'!$AZ$84</f>
        <v>68.092882073156417</v>
      </c>
      <c r="HG143" s="125">
        <f>HG32/293.07*(1/(VLOOKUP($BM143,'Fuel economy adjusted factor'!$A$2:$L$52,5,FALSE)*m2k))/'TCO Inputs'!$AZ$84</f>
        <v>68.092882073156417</v>
      </c>
      <c r="HH143" s="125">
        <f>HH32/293.07*(1/(VLOOKUP($BM143,'Fuel economy adjusted factor'!$A$2:$L$52,5,FALSE)*m2k))/'TCO Inputs'!$AZ$84</f>
        <v>68.092882073156417</v>
      </c>
      <c r="HI143" s="125">
        <f>HI32/293.07*(1/(VLOOKUP($BM143,'Fuel economy adjusted factor'!$A$2:$L$52,5,FALSE)*m2k))/'TCO Inputs'!$AZ$84</f>
        <v>68.092882073156417</v>
      </c>
      <c r="HJ143" s="125">
        <f>HJ32/293.07*(1/(VLOOKUP($BM143,'Fuel economy adjusted factor'!$A$2:$L$52,5,FALSE)*m2k))/'TCO Inputs'!$AZ$84</f>
        <v>63.766098139799347</v>
      </c>
      <c r="HK143" s="98" cm="1">
        <f t="array" ref="HK143">SUMPRODUCT(INDEX(GI143:HJ143,,'TCO Inputs'!$AZ$12-2023+_xlfn.SEQUENCE('TCO Inputs'!$AZ$13))*INDEX('VKT US'!C89:AA89,,_xlfn.SEQUENCE('TCO Inputs'!$AZ$13)))*m2k*CONVERT(0.9072,"g","ton")</f>
        <v>35.550155348441677</v>
      </c>
    </row>
    <row r="144" spans="17:219" x14ac:dyDescent="0.25">
      <c r="Z144" s="123" t="s">
        <v>215</v>
      </c>
      <c r="AA144" s="125">
        <f>AA33/293.07*(1/(VLOOKUP($Z144,'Fuel economy adjusted factor'!$A$2:$L$52,5,FALSE)*m2k))/'TCO Inputs'!$AZ$84</f>
        <v>88.531535812563945</v>
      </c>
      <c r="AB144" s="125">
        <f>AB33/293.07*(1/(VLOOKUP($Z144,'Fuel economy adjusted factor'!$A$2:$L$52,5,FALSE)*m2k))/'TCO Inputs'!$AZ$84</f>
        <v>88.531535812563945</v>
      </c>
      <c r="AC144" s="125">
        <f>AC33/293.07*(1/(VLOOKUP($Z144,'Fuel economy adjusted factor'!$A$2:$L$52,5,FALSE)*m2k))/'TCO Inputs'!$AZ$84</f>
        <v>77.862940275375848</v>
      </c>
      <c r="AD144" s="125">
        <f>AD33/293.07*(1/(VLOOKUP($Z144,'Fuel economy adjusted factor'!$A$2:$L$52,5,FALSE)*m2k))/'TCO Inputs'!$AZ$84</f>
        <v>77.862940275375848</v>
      </c>
      <c r="AE144" s="125">
        <f>AE33/293.07*(1/(VLOOKUP($Z144,'Fuel economy adjusted factor'!$A$2:$L$52,5,FALSE)*m2k))/'TCO Inputs'!$AZ$84</f>
        <v>77.862940275375848</v>
      </c>
      <c r="AF144" s="125">
        <f>AF33/293.07*(1/(VLOOKUP($Z144,'Fuel economy adjusted factor'!$A$2:$L$52,5,FALSE)*m2k))/'TCO Inputs'!$AZ$84</f>
        <v>77.862940275375848</v>
      </c>
      <c r="AG144" s="125">
        <f>AG33/293.07*(1/(VLOOKUP($Z144,'Fuel economy adjusted factor'!$A$2:$L$52,5,FALSE)*m2k))/'TCO Inputs'!$AZ$84</f>
        <v>77.862940275375848</v>
      </c>
      <c r="AH144" s="125">
        <f>AH33/293.07*(1/(VLOOKUP($Z144,'Fuel economy adjusted factor'!$A$2:$L$52,5,FALSE)*m2k))/'TCO Inputs'!$AZ$84</f>
        <v>46.782988807634865</v>
      </c>
      <c r="AI144" s="125">
        <f>AI33/293.07*(1/(VLOOKUP($Z144,'Fuel economy adjusted factor'!$A$2:$L$52,5,FALSE)*m2k))/'TCO Inputs'!$AZ$84</f>
        <v>46.782988807634865</v>
      </c>
      <c r="AJ144" s="125">
        <f>AJ33/293.07*(1/(VLOOKUP($Z144,'Fuel economy adjusted factor'!$A$2:$L$52,5,FALSE)*m2k))/'TCO Inputs'!$AZ$84</f>
        <v>46.782988807634865</v>
      </c>
      <c r="AK144" s="125">
        <f>AK33/293.07*(1/(VLOOKUP($Z144,'Fuel economy adjusted factor'!$A$2:$L$52,5,FALSE)*m2k))/'TCO Inputs'!$AZ$84</f>
        <v>46.782988807634865</v>
      </c>
      <c r="AL144" s="125">
        <f>AL33/293.07*(1/(VLOOKUP($Z144,'Fuel economy adjusted factor'!$A$2:$L$52,5,FALSE)*m2k))/'TCO Inputs'!$AZ$84</f>
        <v>46.782988807634865</v>
      </c>
      <c r="AM144" s="125">
        <f>AM33/293.07*(1/(VLOOKUP($Z144,'Fuel economy adjusted factor'!$A$2:$L$52,5,FALSE)*m2k))/'TCO Inputs'!$AZ$84</f>
        <v>48.95737097665824</v>
      </c>
      <c r="AN144" s="125">
        <f>AN33/293.07*(1/(VLOOKUP($Z144,'Fuel economy adjusted factor'!$A$2:$L$52,5,FALSE)*m2k))/'TCO Inputs'!$AZ$84</f>
        <v>48.95737097665824</v>
      </c>
      <c r="AO144" s="125">
        <f>AO33/293.07*(1/(VLOOKUP($Z144,'Fuel economy adjusted factor'!$A$2:$L$52,5,FALSE)*m2k))/'TCO Inputs'!$AZ$84</f>
        <v>48.95737097665824</v>
      </c>
      <c r="AP144" s="125">
        <f>AP33/293.07*(1/(VLOOKUP($Z144,'Fuel economy adjusted factor'!$A$2:$L$52,5,FALSE)*m2k))/'TCO Inputs'!$AZ$84</f>
        <v>48.95737097665824</v>
      </c>
      <c r="AQ144" s="125">
        <f>AQ33/293.07*(1/(VLOOKUP($Z144,'Fuel economy adjusted factor'!$A$2:$L$52,5,FALSE)*m2k))/'TCO Inputs'!$AZ$84</f>
        <v>48.95737097665824</v>
      </c>
      <c r="AR144" s="125">
        <f>AR33/293.07*(1/(VLOOKUP($Z144,'Fuel economy adjusted factor'!$A$2:$L$52,5,FALSE)*m2k))/'TCO Inputs'!$AZ$84</f>
        <v>51.177464976658868</v>
      </c>
      <c r="AS144" s="125">
        <f>AS33/293.07*(1/(VLOOKUP($Z144,'Fuel economy adjusted factor'!$A$2:$L$52,5,FALSE)*m2k))/'TCO Inputs'!$AZ$84</f>
        <v>51.177464976658868</v>
      </c>
      <c r="AT144" s="125">
        <f>AT33/293.07*(1/(VLOOKUP($Z144,'Fuel economy adjusted factor'!$A$2:$L$52,5,FALSE)*m2k))/'TCO Inputs'!$AZ$84</f>
        <v>51.177464976658868</v>
      </c>
      <c r="AU144" s="125">
        <f>AU33/293.07*(1/(VLOOKUP($Z144,'Fuel economy adjusted factor'!$A$2:$L$52,5,FALSE)*m2k))/'TCO Inputs'!$AZ$84</f>
        <v>51.177464976658868</v>
      </c>
      <c r="AV144" s="125">
        <f>AV33/293.07*(1/(VLOOKUP($Z144,'Fuel economy adjusted factor'!$A$2:$L$52,5,FALSE)*m2k))/'TCO Inputs'!$AZ$84</f>
        <v>51.177464976658868</v>
      </c>
      <c r="AW144" s="125">
        <f>AW33/293.07*(1/(VLOOKUP($Z144,'Fuel economy adjusted factor'!$A$2:$L$52,5,FALSE)*m2k))/'TCO Inputs'!$AZ$84</f>
        <v>52.300475033204997</v>
      </c>
      <c r="AX144" s="125">
        <f>AX33/293.07*(1/(VLOOKUP($Z144,'Fuel economy adjusted factor'!$A$2:$L$52,5,FALSE)*m2k))/'TCO Inputs'!$AZ$84</f>
        <v>52.300475033204997</v>
      </c>
      <c r="AY144" s="125">
        <f>AY33/293.07*(1/(VLOOKUP($Z144,'Fuel economy adjusted factor'!$A$2:$L$52,5,FALSE)*m2k))/'TCO Inputs'!$AZ$84</f>
        <v>52.300475033204997</v>
      </c>
      <c r="AZ144" s="125">
        <f>AZ33/293.07*(1/(VLOOKUP($Z144,'Fuel economy adjusted factor'!$A$2:$L$52,5,FALSE)*m2k))/'TCO Inputs'!$AZ$84</f>
        <v>52.300475033204997</v>
      </c>
      <c r="BA144" s="125">
        <f>BA33/293.07*(1/(VLOOKUP($Z144,'Fuel economy adjusted factor'!$A$2:$L$52,5,FALSE)*m2k))/'TCO Inputs'!$AZ$84</f>
        <v>52.300475033204997</v>
      </c>
      <c r="BB144" s="125">
        <f>BB33/293.07*(1/(VLOOKUP($Z144,'Fuel economy adjusted factor'!$A$2:$L$52,5,FALSE)*m2k))/'TCO Inputs'!$AZ$84</f>
        <v>52.371430711139865</v>
      </c>
      <c r="BC144" s="98" cm="1">
        <f t="array" ref="BC144">SUMPRODUCT(INDEX(AA144:BB144,,'TCO Inputs'!$AZ$12-2023+_xlfn.SEQUENCE('TCO Inputs'!$AZ$13))*INDEX('VKT US'!C90:AA90,,_xlfn.SEQUENCE('TCO Inputs'!$AZ$13)))*m2k*CONVERT(0.9072,"g","ton")</f>
        <v>19.540701963291927</v>
      </c>
      <c r="BM144" s="123" t="s">
        <v>215</v>
      </c>
      <c r="BN144" s="125">
        <f>BN33/293.07*(1/(VLOOKUP($BM144,'Fuel economy adjusted factor'!$A$2:$L$52,5,FALSE)*m2k))</f>
        <v>75.251805440679348</v>
      </c>
      <c r="BO144" s="125">
        <f>BO33/293.07*(1/(VLOOKUP($BM144,'Fuel economy adjusted factor'!$A$2:$L$52,5,FALSE)*m2k))</f>
        <v>75.251805440679348</v>
      </c>
      <c r="BP144" s="125">
        <f>BP33/293.07*(1/(VLOOKUP($BM144,'Fuel economy adjusted factor'!$A$2:$L$52,5,FALSE)*m2k))</f>
        <v>66.097090228199747</v>
      </c>
      <c r="BQ144" s="125">
        <f>BQ33/293.07*(1/(VLOOKUP($BM144,'Fuel economy adjusted factor'!$A$2:$L$52,5,FALSE)*m2k))</f>
        <v>66.097090228199747</v>
      </c>
      <c r="BR144" s="125">
        <f>BR33/293.07*(1/(VLOOKUP($BM144,'Fuel economy adjusted factor'!$A$2:$L$52,5,FALSE)*m2k))</f>
        <v>66.097090228199747</v>
      </c>
      <c r="BS144" s="125">
        <f>BS33/293.07*(1/(VLOOKUP($BM144,'Fuel economy adjusted factor'!$A$2:$L$52,5,FALSE)*m2k))</f>
        <v>66.097090228199747</v>
      </c>
      <c r="BT144" s="125">
        <f>BT33/293.07*(1/(VLOOKUP($BM144,'Fuel economy adjusted factor'!$A$2:$L$52,5,FALSE)*m2k))</f>
        <v>66.097090228199747</v>
      </c>
      <c r="BU144" s="125">
        <f>BU33/293.07*(1/(VLOOKUP($BM144,'Fuel economy adjusted factor'!$A$2:$L$52,5,FALSE)*m2k))</f>
        <v>74.925306982258832</v>
      </c>
      <c r="BV144" s="125">
        <f>BV33/293.07*(1/(VLOOKUP($BM144,'Fuel economy adjusted factor'!$A$2:$L$52,5,FALSE)*m2k))</f>
        <v>74.925306982258832</v>
      </c>
      <c r="BW144" s="125">
        <f>BW33/293.07*(1/(VLOOKUP($BM144,'Fuel economy adjusted factor'!$A$2:$L$52,5,FALSE)*m2k))</f>
        <v>74.925306982258832</v>
      </c>
      <c r="BX144" s="125">
        <f>BX33/293.07*(1/(VLOOKUP($BM144,'Fuel economy adjusted factor'!$A$2:$L$52,5,FALSE)*m2k))</f>
        <v>74.925306982258832</v>
      </c>
      <c r="BY144" s="125">
        <f>BY33/293.07*(1/(VLOOKUP($BM144,'Fuel economy adjusted factor'!$A$2:$L$52,5,FALSE)*m2k))</f>
        <v>74.925306982258832</v>
      </c>
      <c r="BZ144" s="125">
        <f>BZ33/293.07*(1/(VLOOKUP($BM144,'Fuel economy adjusted factor'!$A$2:$L$52,5,FALSE)*m2k))</f>
        <v>76.727137728817439</v>
      </c>
      <c r="CA144" s="125">
        <f>CA33/293.07*(1/(VLOOKUP($BM144,'Fuel economy adjusted factor'!$A$2:$L$52,5,FALSE)*m2k))</f>
        <v>76.727137728817439</v>
      </c>
      <c r="CB144" s="125">
        <f>CB33/293.07*(1/(VLOOKUP($BM144,'Fuel economy adjusted factor'!$A$2:$L$52,5,FALSE)*m2k))</f>
        <v>76.727137728817439</v>
      </c>
      <c r="CC144" s="125">
        <f>CC33/293.07*(1/(VLOOKUP($BM144,'Fuel economy adjusted factor'!$A$2:$L$52,5,FALSE)*m2k))</f>
        <v>76.727137728817439</v>
      </c>
      <c r="CD144" s="125">
        <f>CD33/293.07*(1/(VLOOKUP($BM144,'Fuel economy adjusted factor'!$A$2:$L$52,5,FALSE)*m2k))</f>
        <v>76.727137728817439</v>
      </c>
      <c r="CE144" s="125">
        <f>CE33/293.07*(1/(VLOOKUP($BM144,'Fuel economy adjusted factor'!$A$2:$L$52,5,FALSE)*m2k))</f>
        <v>78.623496448240232</v>
      </c>
      <c r="CF144" s="125">
        <f>CF33/293.07*(1/(VLOOKUP($BM144,'Fuel economy adjusted factor'!$A$2:$L$52,5,FALSE)*m2k))</f>
        <v>78.623496448240232</v>
      </c>
      <c r="CG144" s="125">
        <f>CG33/293.07*(1/(VLOOKUP($BM144,'Fuel economy adjusted factor'!$A$2:$L$52,5,FALSE)*m2k))</f>
        <v>78.623496448240232</v>
      </c>
      <c r="CH144" s="125">
        <f>CH33/293.07*(1/(VLOOKUP($BM144,'Fuel economy adjusted factor'!$A$2:$L$52,5,FALSE)*m2k))</f>
        <v>78.623496448240232</v>
      </c>
      <c r="CI144" s="125">
        <f>CI33/293.07*(1/(VLOOKUP($BM144,'Fuel economy adjusted factor'!$A$2:$L$52,5,FALSE)*m2k))</f>
        <v>78.623496448240232</v>
      </c>
      <c r="CJ144" s="125">
        <f>CJ33/293.07*(1/(VLOOKUP($BM144,'Fuel economy adjusted factor'!$A$2:$L$52,5,FALSE)*m2k))</f>
        <v>79.073519190219471</v>
      </c>
      <c r="CK144" s="125">
        <f>CK33/293.07*(1/(VLOOKUP($BM144,'Fuel economy adjusted factor'!$A$2:$L$52,5,FALSE)*m2k))</f>
        <v>79.073519190219471</v>
      </c>
      <c r="CL144" s="125">
        <f>CL33/293.07*(1/(VLOOKUP($BM144,'Fuel economy adjusted factor'!$A$2:$L$52,5,FALSE)*m2k))</f>
        <v>79.073519190219471</v>
      </c>
      <c r="CM144" s="125">
        <f>CM33/293.07*(1/(VLOOKUP($BM144,'Fuel economy adjusted factor'!$A$2:$L$52,5,FALSE)*m2k))</f>
        <v>79.073519190219471</v>
      </c>
      <c r="CN144" s="125">
        <f>CN33/293.07*(1/(VLOOKUP($BM144,'Fuel economy adjusted factor'!$A$2:$L$52,5,FALSE)*m2k))</f>
        <v>79.073519190219471</v>
      </c>
      <c r="CO144" s="125">
        <f>CO33/293.07*(1/(VLOOKUP($BM144,'Fuel economy adjusted factor'!$A$2:$L$52,5,FALSE)*m2k))</f>
        <v>79.611110790496198</v>
      </c>
      <c r="CP144" s="98" cm="1">
        <f t="array" ref="CP144">SUMPRODUCT(INDEX(BN144:CO144,,'TCO Inputs'!$AZ$12-2023+_xlfn.SEQUENCE('TCO Inputs'!$AZ$13))*INDEX('VKT US'!C90:AA90,,_xlfn.SEQUENCE('TCO Inputs'!$AZ$13)))*m2k*CONVERT(0.9072,"g","ton")</f>
        <v>21.283997958300091</v>
      </c>
      <c r="CQ144" s="194"/>
      <c r="CR144" s="123" t="s">
        <v>215</v>
      </c>
      <c r="CS144" s="125">
        <f>CS33/293.07*(1/(VLOOKUP($BM144,'Fuel economy adjusted factor'!$A$2:$L$52,5,FALSE)*m2k))/'TCO Inputs'!$AZ$84</f>
        <v>107.18810324649677</v>
      </c>
      <c r="CT144" s="125">
        <f>CT33/293.07*(1/(VLOOKUP($BM144,'Fuel economy adjusted factor'!$A$2:$L$52,5,FALSE)*m2k))/'TCO Inputs'!$AZ$84</f>
        <v>107.18810324649681</v>
      </c>
      <c r="CU144" s="125">
        <f>CU33/293.07*(1/(VLOOKUP($BM144,'Fuel economy adjusted factor'!$A$2:$L$52,5,FALSE)*m2k))/'TCO Inputs'!$AZ$84</f>
        <v>107.18810324649681</v>
      </c>
      <c r="CV144" s="125">
        <f>CV33/293.07*(1/(VLOOKUP($BM144,'Fuel economy adjusted factor'!$A$2:$L$52,5,FALSE)*m2k))/'TCO Inputs'!$AZ$84</f>
        <v>107.18810324649681</v>
      </c>
      <c r="CW144" s="125">
        <f>CW33/293.07*(1/(VLOOKUP($BM144,'Fuel economy adjusted factor'!$A$2:$L$52,5,FALSE)*m2k))/'TCO Inputs'!$AZ$84</f>
        <v>107.18810324649681</v>
      </c>
      <c r="CX144" s="125">
        <f>CX33/293.07*(1/(VLOOKUP($BM144,'Fuel economy adjusted factor'!$A$2:$L$52,5,FALSE)*m2k))/'TCO Inputs'!$AZ$84</f>
        <v>107.18810324649681</v>
      </c>
      <c r="CY144" s="125">
        <f>CY33/293.07*(1/(VLOOKUP($BM144,'Fuel economy adjusted factor'!$A$2:$L$52,5,FALSE)*m2k))/'TCO Inputs'!$AZ$84</f>
        <v>107.18810324649681</v>
      </c>
      <c r="CZ144" s="125">
        <f>CZ33/293.07*(1/(VLOOKUP($BM144,'Fuel economy adjusted factor'!$A$2:$L$52,5,FALSE)*m2k))/'TCO Inputs'!$AZ$84</f>
        <v>107.2119825611864</v>
      </c>
      <c r="DA144" s="125">
        <f>DA33/293.07*(1/(VLOOKUP($BM144,'Fuel economy adjusted factor'!$A$2:$L$52,5,FALSE)*m2k))/'TCO Inputs'!$AZ$84</f>
        <v>107.2119825611864</v>
      </c>
      <c r="DB144" s="125">
        <f>DB33/293.07*(1/(VLOOKUP($BM144,'Fuel economy adjusted factor'!$A$2:$L$52,5,FALSE)*m2k))/'TCO Inputs'!$AZ$84</f>
        <v>107.2119825611864</v>
      </c>
      <c r="DC144" s="125">
        <f>DC33/293.07*(1/(VLOOKUP($BM144,'Fuel economy adjusted factor'!$A$2:$L$52,5,FALSE)*m2k))/'TCO Inputs'!$AZ$84</f>
        <v>107.2119825611864</v>
      </c>
      <c r="DD144" s="125">
        <f>DD33/293.07*(1/(VLOOKUP($BM144,'Fuel economy adjusted factor'!$A$2:$L$52,5,FALSE)*m2k))/'TCO Inputs'!$AZ$84</f>
        <v>107.2119825611864</v>
      </c>
      <c r="DE144" s="125">
        <f>DE33/293.07*(1/(VLOOKUP($BM144,'Fuel economy adjusted factor'!$A$2:$L$52,5,FALSE)*m2k))/'TCO Inputs'!$AZ$84</f>
        <v>107.19833723850661</v>
      </c>
      <c r="DF144" s="125">
        <f>DF33/293.07*(1/(VLOOKUP($BM144,'Fuel economy adjusted factor'!$A$2:$L$52,5,FALSE)*m2k))/'TCO Inputs'!$AZ$84</f>
        <v>107.19833723850661</v>
      </c>
      <c r="DG144" s="125">
        <f>DG33/293.07*(1/(VLOOKUP($BM144,'Fuel economy adjusted factor'!$A$2:$L$52,5,FALSE)*m2k))/'TCO Inputs'!$AZ$84</f>
        <v>107.19833723850661</v>
      </c>
      <c r="DH144" s="125">
        <f>DH33/293.07*(1/(VLOOKUP($BM144,'Fuel economy adjusted factor'!$A$2:$L$52,5,FALSE)*m2k))/'TCO Inputs'!$AZ$84</f>
        <v>107.19833723850661</v>
      </c>
      <c r="DI144" s="125">
        <f>DI33/293.07*(1/(VLOOKUP($BM144,'Fuel economy adjusted factor'!$A$2:$L$52,5,FALSE)*m2k))/'TCO Inputs'!$AZ$84</f>
        <v>107.19833723850661</v>
      </c>
      <c r="DJ144" s="125">
        <f>DJ33/293.07*(1/(VLOOKUP($BM144,'Fuel economy adjusted factor'!$A$2:$L$52,5,FALSE)*m2k))/'TCO Inputs'!$AZ$84</f>
        <v>107.19492590783666</v>
      </c>
      <c r="DK144" s="125">
        <f>DK33/293.07*(1/(VLOOKUP($BM144,'Fuel economy adjusted factor'!$A$2:$L$52,5,FALSE)*m2k))/'TCO Inputs'!$AZ$84</f>
        <v>107.19492590783666</v>
      </c>
      <c r="DL144" s="125">
        <f>DL33/293.07*(1/(VLOOKUP($BM144,'Fuel economy adjusted factor'!$A$2:$L$52,5,FALSE)*m2k))/'TCO Inputs'!$AZ$84</f>
        <v>107.19492590783666</v>
      </c>
      <c r="DM144" s="125">
        <f>DM33/293.07*(1/(VLOOKUP($BM144,'Fuel economy adjusted factor'!$A$2:$L$52,5,FALSE)*m2k))/'TCO Inputs'!$AZ$84</f>
        <v>107.19492590783666</v>
      </c>
      <c r="DN144" s="125">
        <f>DN33/293.07*(1/(VLOOKUP($BM144,'Fuel economy adjusted factor'!$A$2:$L$52,5,FALSE)*m2k))/'TCO Inputs'!$AZ$84</f>
        <v>107.19492590783666</v>
      </c>
      <c r="DO144" s="125">
        <f>DO33/293.07*(1/(VLOOKUP($BM144,'Fuel economy adjusted factor'!$A$2:$L$52,5,FALSE)*m2k))/'TCO Inputs'!$AZ$84</f>
        <v>107.12874609283973</v>
      </c>
      <c r="DP144" s="125">
        <f>DP33/293.07*(1/(VLOOKUP($BM144,'Fuel economy adjusted factor'!$A$2:$L$52,5,FALSE)*m2k))/'TCO Inputs'!$AZ$84</f>
        <v>107.12874609283973</v>
      </c>
      <c r="DQ144" s="125">
        <f>DQ33/293.07*(1/(VLOOKUP($BM144,'Fuel economy adjusted factor'!$A$2:$L$52,5,FALSE)*m2k))/'TCO Inputs'!$AZ$84</f>
        <v>107.12874609283973</v>
      </c>
      <c r="DR144" s="125">
        <f>DR33/293.07*(1/(VLOOKUP($BM144,'Fuel economy adjusted factor'!$A$2:$L$52,5,FALSE)*m2k))/'TCO Inputs'!$AZ$84</f>
        <v>107.12874609283973</v>
      </c>
      <c r="DS144" s="125">
        <f>DS33/293.07*(1/(VLOOKUP($BM144,'Fuel economy adjusted factor'!$A$2:$L$52,5,FALSE)*m2k))/'TCO Inputs'!$AZ$84</f>
        <v>107.12874609283973</v>
      </c>
      <c r="DT144" s="125">
        <f>DT33/293.07*(1/(VLOOKUP($BM144,'Fuel economy adjusted factor'!$A$2:$L$52,5,FALSE)*m2k))/'TCO Inputs'!$AZ$84</f>
        <v>107.18400964969285</v>
      </c>
      <c r="DU144" s="98" cm="1">
        <f t="array" ref="DU144">SUMPRODUCT(INDEX(CS144:DT144,,'TCO Inputs'!$AZ$12-2023+_xlfn.SEQUENCE('TCO Inputs'!$AZ$13))*INDEX('VKT US'!C90:AA90,,_xlfn.SEQUENCE('TCO Inputs'!$AZ$13)))*m2k*CONVERT(0.9072,"g","ton")</f>
        <v>31.762600792846648</v>
      </c>
      <c r="DW144" s="123" t="s">
        <v>215</v>
      </c>
      <c r="DX144" s="125">
        <f>DX33/293.07*(1/(VLOOKUP($BM144,'Fuel economy adjusted factor'!$A$2:$L$52,5,FALSE)*m2k))/'TCO Inputs'!$AZ$84</f>
        <v>112.20548550402579</v>
      </c>
      <c r="DY144" s="125">
        <f>DY33/293.07*(1/(VLOOKUP($BM144,'Fuel economy adjusted factor'!$A$2:$L$52,5,FALSE)*m2k))/'TCO Inputs'!$AZ$84</f>
        <v>112.20548550402579</v>
      </c>
      <c r="DZ144" s="125">
        <f>DZ33/293.07*(1/(VLOOKUP($BM144,'Fuel economy adjusted factor'!$A$2:$L$52,5,FALSE)*m2k))/'TCO Inputs'!$AZ$84</f>
        <v>98.359360808487224</v>
      </c>
      <c r="EA144" s="125">
        <f>EA33/293.07*(1/(VLOOKUP($BM144,'Fuel economy adjusted factor'!$A$2:$L$52,5,FALSE)*m2k))/'TCO Inputs'!$AZ$84</f>
        <v>98.359360808487224</v>
      </c>
      <c r="EB144" s="125">
        <f>EB33/293.07*(1/(VLOOKUP($BM144,'Fuel economy adjusted factor'!$A$2:$L$52,5,FALSE)*m2k))/'TCO Inputs'!$AZ$84</f>
        <v>98.359360808487224</v>
      </c>
      <c r="EC144" s="125">
        <f>EC33/293.07*(1/(VLOOKUP($BM144,'Fuel economy adjusted factor'!$A$2:$L$52,5,FALSE)*m2k))/'TCO Inputs'!$AZ$84</f>
        <v>98.359360808487224</v>
      </c>
      <c r="ED144" s="125">
        <f>ED33/293.07*(1/(VLOOKUP($BM144,'Fuel economy adjusted factor'!$A$2:$L$52,5,FALSE)*m2k))/'TCO Inputs'!$AZ$84</f>
        <v>98.359360808487224</v>
      </c>
      <c r="EE144" s="125">
        <f>EE33/293.07*(1/(VLOOKUP($BM144,'Fuel economy adjusted factor'!$A$2:$L$52,5,FALSE)*m2k))/'TCO Inputs'!$AZ$84</f>
        <v>60.622434392129776</v>
      </c>
      <c r="EF144" s="125">
        <f>EF33/293.07*(1/(VLOOKUP($BM144,'Fuel economy adjusted factor'!$A$2:$L$52,5,FALSE)*m2k))/'TCO Inputs'!$AZ$84</f>
        <v>60.622434392129776</v>
      </c>
      <c r="EG144" s="125">
        <f>EG33/293.07*(1/(VLOOKUP($BM144,'Fuel economy adjusted factor'!$A$2:$L$52,5,FALSE)*m2k))/'TCO Inputs'!$AZ$84</f>
        <v>60.622434392129776</v>
      </c>
      <c r="EH144" s="125">
        <f>EH33/293.07*(1/(VLOOKUP($BM144,'Fuel economy adjusted factor'!$A$2:$L$52,5,FALSE)*m2k))/'TCO Inputs'!$AZ$84</f>
        <v>60.622434392129776</v>
      </c>
      <c r="EI144" s="125">
        <f>EI33/293.07*(1/(VLOOKUP($BM144,'Fuel economy adjusted factor'!$A$2:$L$52,5,FALSE)*m2k))/'TCO Inputs'!$AZ$84</f>
        <v>60.622434392129776</v>
      </c>
      <c r="EJ144" s="125">
        <f>EJ33/293.07*(1/(VLOOKUP($BM144,'Fuel economy adjusted factor'!$A$2:$L$52,5,FALSE)*m2k))/'TCO Inputs'!$AZ$84</f>
        <v>54.142956876809144</v>
      </c>
      <c r="EK144" s="125">
        <f>EK33/293.07*(1/(VLOOKUP($BM144,'Fuel economy adjusted factor'!$A$2:$L$52,5,FALSE)*m2k))/'TCO Inputs'!$AZ$84</f>
        <v>54.142956876809144</v>
      </c>
      <c r="EL144" s="125">
        <f>EL33/293.07*(1/(VLOOKUP($BM144,'Fuel economy adjusted factor'!$A$2:$L$52,5,FALSE)*m2k))/'TCO Inputs'!$AZ$84</f>
        <v>54.142956876809144</v>
      </c>
      <c r="EM144" s="125">
        <f>EM33/293.07*(1/(VLOOKUP($BM144,'Fuel economy adjusted factor'!$A$2:$L$52,5,FALSE)*m2k))/'TCO Inputs'!$AZ$84</f>
        <v>54.142956876809144</v>
      </c>
      <c r="EN144" s="125">
        <f>EN33/293.07*(1/(VLOOKUP($BM144,'Fuel economy adjusted factor'!$A$2:$L$52,5,FALSE)*m2k))/'TCO Inputs'!$AZ$84</f>
        <v>54.142956876809144</v>
      </c>
      <c r="EO144" s="125">
        <f>EO33/293.07*(1/(VLOOKUP($BM144,'Fuel economy adjusted factor'!$A$2:$L$52,5,FALSE)*m2k))/'TCO Inputs'!$AZ$84</f>
        <v>52.43883116108929</v>
      </c>
      <c r="EP144" s="125">
        <f>EP33/293.07*(1/(VLOOKUP($BM144,'Fuel economy adjusted factor'!$A$2:$L$52,5,FALSE)*m2k))/'TCO Inputs'!$AZ$84</f>
        <v>52.43883116108929</v>
      </c>
      <c r="EQ144" s="125">
        <f>EQ33/293.07*(1/(VLOOKUP($BM144,'Fuel economy adjusted factor'!$A$2:$L$52,5,FALSE)*m2k))/'TCO Inputs'!$AZ$84</f>
        <v>52.43883116108929</v>
      </c>
      <c r="ER144" s="125">
        <f>ER33/293.07*(1/(VLOOKUP($BM144,'Fuel economy adjusted factor'!$A$2:$L$52,5,FALSE)*m2k))/'TCO Inputs'!$AZ$84</f>
        <v>52.43883116108929</v>
      </c>
      <c r="ES144" s="125">
        <f>ES33/293.07*(1/(VLOOKUP($BM144,'Fuel economy adjusted factor'!$A$2:$L$52,5,FALSE)*m2k))/'TCO Inputs'!$AZ$84</f>
        <v>52.43883116108929</v>
      </c>
      <c r="ET144" s="125">
        <f>ET33/293.07*(1/(VLOOKUP($BM144,'Fuel economy adjusted factor'!$A$2:$L$52,5,FALSE)*m2k))/'TCO Inputs'!$AZ$84</f>
        <v>50.491848944922708</v>
      </c>
      <c r="EU144" s="125">
        <f>EU33/293.07*(1/(VLOOKUP($BM144,'Fuel economy adjusted factor'!$A$2:$L$52,5,FALSE)*m2k))/'TCO Inputs'!$AZ$84</f>
        <v>50.491848944922708</v>
      </c>
      <c r="EV144" s="125">
        <f>EV33/293.07*(1/(VLOOKUP($BM144,'Fuel economy adjusted factor'!$A$2:$L$52,5,FALSE)*m2k))/'TCO Inputs'!$AZ$84</f>
        <v>50.491848944922708</v>
      </c>
      <c r="EW144" s="125">
        <f>EW33/293.07*(1/(VLOOKUP($BM144,'Fuel economy adjusted factor'!$A$2:$L$52,5,FALSE)*m2k))/'TCO Inputs'!$AZ$84</f>
        <v>50.491848944922708</v>
      </c>
      <c r="EX144" s="125">
        <f>EX33/293.07*(1/(VLOOKUP($BM144,'Fuel economy adjusted factor'!$A$2:$L$52,5,FALSE)*m2k))/'TCO Inputs'!$AZ$84</f>
        <v>50.491848944922708</v>
      </c>
      <c r="EY144" s="125">
        <f>EY33/293.07*(1/(VLOOKUP($BM144,'Fuel economy adjusted factor'!$A$2:$L$52,5,FALSE)*m2k))/'TCO Inputs'!$AZ$84</f>
        <v>47.438795796449341</v>
      </c>
      <c r="EZ144" s="98" cm="1">
        <f t="array" ref="EZ144">SUMPRODUCT(INDEX(DX144:EY144,,'TCO Inputs'!$AZ$12-2023+_xlfn.SEQUENCE('TCO Inputs'!$AZ$13))*INDEX('VKT US'!C90:AA90,,_xlfn.SEQUENCE('TCO Inputs'!$AZ$13)))*m2k*CONVERT(0.9072,"g","ton")</f>
        <v>24.578292660859752</v>
      </c>
      <c r="FB144" s="123" t="s">
        <v>215</v>
      </c>
      <c r="FC144" s="125">
        <f>FC33/293.07*(1/(VLOOKUP($BM144,'Fuel economy adjusted factor'!$A$2:$L$52,5,FALSE)*m2k))/'TCO Inputs'!$AZ$84</f>
        <v>121.70332238204166</v>
      </c>
      <c r="FD144" s="125">
        <f>FD33/293.07*(1/(VLOOKUP($BM144,'Fuel economy adjusted factor'!$A$2:$L$52,5,FALSE)*m2k))/'TCO Inputs'!$AZ$84</f>
        <v>121.70332238204166</v>
      </c>
      <c r="FE144" s="125">
        <f>FE33/293.07*(1/(VLOOKUP($BM144,'Fuel economy adjusted factor'!$A$2:$L$52,5,FALSE)*m2k))/'TCO Inputs'!$AZ$84</f>
        <v>106.28358668871041</v>
      </c>
      <c r="FF144" s="125">
        <f>FF33/293.07*(1/(VLOOKUP($BM144,'Fuel economy adjusted factor'!$A$2:$L$52,5,FALSE)*m2k))/'TCO Inputs'!$AZ$84</f>
        <v>106.28358668871041</v>
      </c>
      <c r="FG144" s="125">
        <f>FG33/293.07*(1/(VLOOKUP($BM144,'Fuel economy adjusted factor'!$A$2:$L$52,5,FALSE)*m2k))/'TCO Inputs'!$AZ$84</f>
        <v>106.28358668871041</v>
      </c>
      <c r="FH144" s="125">
        <f>FH33/293.07*(1/(VLOOKUP($BM144,'Fuel economy adjusted factor'!$A$2:$L$52,5,FALSE)*m2k))/'TCO Inputs'!$AZ$84</f>
        <v>106.28358668871041</v>
      </c>
      <c r="FI144" s="125">
        <f>FI33/293.07*(1/(VLOOKUP($BM144,'Fuel economy adjusted factor'!$A$2:$L$52,5,FALSE)*m2k))/'TCO Inputs'!$AZ$84</f>
        <v>106.28358668871041</v>
      </c>
      <c r="FJ144" s="125">
        <f>FJ33/293.07*(1/(VLOOKUP($BM144,'Fuel economy adjusted factor'!$A$2:$L$52,5,FALSE)*m2k))/'TCO Inputs'!$AZ$84</f>
        <v>66.695498988335444</v>
      </c>
      <c r="FK144" s="125">
        <f>FK33/293.07*(1/(VLOOKUP($BM144,'Fuel economy adjusted factor'!$A$2:$L$52,5,FALSE)*m2k))/'TCO Inputs'!$AZ$84</f>
        <v>66.695498988335444</v>
      </c>
      <c r="FL144" s="125">
        <f>FL33/293.07*(1/(VLOOKUP($BM144,'Fuel economy adjusted factor'!$A$2:$L$52,5,FALSE)*m2k))/'TCO Inputs'!$AZ$84</f>
        <v>66.695498988335444</v>
      </c>
      <c r="FM144" s="125">
        <f>FM33/293.07*(1/(VLOOKUP($BM144,'Fuel economy adjusted factor'!$A$2:$L$52,5,FALSE)*m2k))/'TCO Inputs'!$AZ$84</f>
        <v>66.695498988335444</v>
      </c>
      <c r="FN144" s="125">
        <f>FN33/293.07*(1/(VLOOKUP($BM144,'Fuel economy adjusted factor'!$A$2:$L$52,5,FALSE)*m2k))/'TCO Inputs'!$AZ$84</f>
        <v>66.695498988335444</v>
      </c>
      <c r="FO144" s="125">
        <f>FO33/293.07*(1/(VLOOKUP($BM144,'Fuel economy adjusted factor'!$A$2:$L$52,5,FALSE)*m2k))/'TCO Inputs'!$AZ$84</f>
        <v>59.22229232322762</v>
      </c>
      <c r="FP144" s="125">
        <f>FP33/293.07*(1/(VLOOKUP($BM144,'Fuel economy adjusted factor'!$A$2:$L$52,5,FALSE)*m2k))/'TCO Inputs'!$AZ$84</f>
        <v>59.22229232322762</v>
      </c>
      <c r="FQ144" s="125">
        <f>FQ33/293.07*(1/(VLOOKUP($BM144,'Fuel economy adjusted factor'!$A$2:$L$52,5,FALSE)*m2k))/'TCO Inputs'!$AZ$84</f>
        <v>59.22229232322762</v>
      </c>
      <c r="FR144" s="125">
        <f>FR33/293.07*(1/(VLOOKUP($BM144,'Fuel economy adjusted factor'!$A$2:$L$52,5,FALSE)*m2k))/'TCO Inputs'!$AZ$84</f>
        <v>59.22229232322762</v>
      </c>
      <c r="FS144" s="125">
        <f>FS33/293.07*(1/(VLOOKUP($BM144,'Fuel economy adjusted factor'!$A$2:$L$52,5,FALSE)*m2k))/'TCO Inputs'!$AZ$84</f>
        <v>59.22229232322762</v>
      </c>
      <c r="FT144" s="125">
        <f>FT33/293.07*(1/(VLOOKUP($BM144,'Fuel economy adjusted factor'!$A$2:$L$52,5,FALSE)*m2k))/'TCO Inputs'!$AZ$84</f>
        <v>57.714764726917032</v>
      </c>
      <c r="FU144" s="125">
        <f>FU33/293.07*(1/(VLOOKUP($BM144,'Fuel economy adjusted factor'!$A$2:$L$52,5,FALSE)*m2k))/'TCO Inputs'!$AZ$84</f>
        <v>57.714764726917032</v>
      </c>
      <c r="FV144" s="125">
        <f>FV33/293.07*(1/(VLOOKUP($BM144,'Fuel economy adjusted factor'!$A$2:$L$52,5,FALSE)*m2k))/'TCO Inputs'!$AZ$84</f>
        <v>57.714764726917032</v>
      </c>
      <c r="FW144" s="125">
        <f>FW33/293.07*(1/(VLOOKUP($BM144,'Fuel economy adjusted factor'!$A$2:$L$52,5,FALSE)*m2k))/'TCO Inputs'!$AZ$84</f>
        <v>57.714764726917032</v>
      </c>
      <c r="FX144" s="125">
        <f>FX33/293.07*(1/(VLOOKUP($BM144,'Fuel economy adjusted factor'!$A$2:$L$52,5,FALSE)*m2k))/'TCO Inputs'!$AZ$84</f>
        <v>57.714764726917032</v>
      </c>
      <c r="FY144" s="125">
        <f>FY33/293.07*(1/(VLOOKUP($BM144,'Fuel economy adjusted factor'!$A$2:$L$52,5,FALSE)*m2k))/'TCO Inputs'!$AZ$84</f>
        <v>55.763652298157815</v>
      </c>
      <c r="FZ144" s="125">
        <f>FZ33/293.07*(1/(VLOOKUP($BM144,'Fuel economy adjusted factor'!$A$2:$L$52,5,FALSE)*m2k))/'TCO Inputs'!$AZ$84</f>
        <v>55.763652298157815</v>
      </c>
      <c r="GA144" s="125">
        <f>GA33/293.07*(1/(VLOOKUP($BM144,'Fuel economy adjusted factor'!$A$2:$L$52,5,FALSE)*m2k))/'TCO Inputs'!$AZ$84</f>
        <v>55.763652298157815</v>
      </c>
      <c r="GB144" s="125">
        <f>GB33/293.07*(1/(VLOOKUP($BM144,'Fuel economy adjusted factor'!$A$2:$L$52,5,FALSE)*m2k))/'TCO Inputs'!$AZ$84</f>
        <v>55.763652298157815</v>
      </c>
      <c r="GC144" s="125">
        <f>GC33/293.07*(1/(VLOOKUP($BM144,'Fuel economy adjusted factor'!$A$2:$L$52,5,FALSE)*m2k))/'TCO Inputs'!$AZ$84</f>
        <v>55.763652298157815</v>
      </c>
      <c r="GD144" s="125">
        <f>GD33/293.07*(1/(VLOOKUP($BM144,'Fuel economy adjusted factor'!$A$2:$L$52,5,FALSE)*m2k))/'TCO Inputs'!$AZ$84</f>
        <v>52.604865707313081</v>
      </c>
      <c r="GE144" s="98" cm="1">
        <f t="array" ref="GE144">SUMPRODUCT(INDEX(FC144:GD144,,'TCO Inputs'!$AZ$12-2023+_xlfn.SEQUENCE('TCO Inputs'!$AZ$13))*INDEX('VKT US'!C90:AA90,,_xlfn.SEQUENCE('TCO Inputs'!$AZ$13)))*m2k*CONVERT(0.9072,"g","ton")</f>
        <v>26.72308258858671</v>
      </c>
      <c r="GH144" s="123" t="s">
        <v>215</v>
      </c>
      <c r="GI144" s="125">
        <f>GI33/293.07*(1/(VLOOKUP($BM144,'Fuel economy adjusted factor'!$A$2:$L$52,5,FALSE)*m2k))/'TCO Inputs'!$AZ$84</f>
        <v>105.74087675403864</v>
      </c>
      <c r="GJ144" s="125">
        <f>GJ33/293.07*(1/(VLOOKUP($BM144,'Fuel economy adjusted factor'!$A$2:$L$52,5,FALSE)*m2k))/'TCO Inputs'!$AZ$84</f>
        <v>105.74087675403864</v>
      </c>
      <c r="GK144" s="125">
        <f>GK33/293.07*(1/(VLOOKUP($BM144,'Fuel economy adjusted factor'!$A$2:$L$52,5,FALSE)*m2k))/'TCO Inputs'!$AZ$84</f>
        <v>92.966129205028736</v>
      </c>
      <c r="GL144" s="125">
        <f>GL33/293.07*(1/(VLOOKUP($BM144,'Fuel economy adjusted factor'!$A$2:$L$52,5,FALSE)*m2k))/'TCO Inputs'!$AZ$84</f>
        <v>92.966129205028736</v>
      </c>
      <c r="GM144" s="125">
        <f>GM33/293.07*(1/(VLOOKUP($BM144,'Fuel economy adjusted factor'!$A$2:$L$52,5,FALSE)*m2k))/'TCO Inputs'!$AZ$84</f>
        <v>92.966129205028736</v>
      </c>
      <c r="GN144" s="125">
        <f>GN33/293.07*(1/(VLOOKUP($BM144,'Fuel economy adjusted factor'!$A$2:$L$52,5,FALSE)*m2k))/'TCO Inputs'!$AZ$84</f>
        <v>92.966129205028736</v>
      </c>
      <c r="GO144" s="125">
        <f>GO33/293.07*(1/(VLOOKUP($BM144,'Fuel economy adjusted factor'!$A$2:$L$52,5,FALSE)*m2k))/'TCO Inputs'!$AZ$84</f>
        <v>92.966129205028736</v>
      </c>
      <c r="GP144" s="125">
        <f>GP33/293.07*(1/(VLOOKUP($BM144,'Fuel economy adjusted factor'!$A$2:$L$52,5,FALSE)*m2k))/'TCO Inputs'!$AZ$84</f>
        <v>56.488917629423959</v>
      </c>
      <c r="GQ144" s="125">
        <f>GQ33/293.07*(1/(VLOOKUP($BM144,'Fuel economy adjusted factor'!$A$2:$L$52,5,FALSE)*m2k))/'TCO Inputs'!$AZ$84</f>
        <v>56.488917629423959</v>
      </c>
      <c r="GR144" s="125">
        <f>GR33/293.07*(1/(VLOOKUP($BM144,'Fuel economy adjusted factor'!$A$2:$L$52,5,FALSE)*m2k))/'TCO Inputs'!$AZ$84</f>
        <v>56.488917629423959</v>
      </c>
      <c r="GS144" s="125">
        <f>GS33/293.07*(1/(VLOOKUP($BM144,'Fuel economy adjusted factor'!$A$2:$L$52,5,FALSE)*m2k))/'TCO Inputs'!$AZ$84</f>
        <v>56.488917629423959</v>
      </c>
      <c r="GT144" s="125">
        <f>GT33/293.07*(1/(VLOOKUP($BM144,'Fuel economy adjusted factor'!$A$2:$L$52,5,FALSE)*m2k))/'TCO Inputs'!$AZ$84</f>
        <v>56.488917629423959</v>
      </c>
      <c r="GU144" s="125">
        <f>GU33/293.07*(1/(VLOOKUP($BM144,'Fuel economy adjusted factor'!$A$2:$L$52,5,FALSE)*m2k))/'TCO Inputs'!$AZ$84</f>
        <v>50.685968936776405</v>
      </c>
      <c r="GV144" s="125">
        <f>GV33/293.07*(1/(VLOOKUP($BM144,'Fuel economy adjusted factor'!$A$2:$L$52,5,FALSE)*m2k))/'TCO Inputs'!$AZ$84</f>
        <v>50.685968936776405</v>
      </c>
      <c r="GW144" s="125">
        <f>GW33/293.07*(1/(VLOOKUP($BM144,'Fuel economy adjusted factor'!$A$2:$L$52,5,FALSE)*m2k))/'TCO Inputs'!$AZ$84</f>
        <v>50.685968936776405</v>
      </c>
      <c r="GX144" s="125">
        <f>GX33/293.07*(1/(VLOOKUP($BM144,'Fuel economy adjusted factor'!$A$2:$L$52,5,FALSE)*m2k))/'TCO Inputs'!$AZ$84</f>
        <v>50.685968936776405</v>
      </c>
      <c r="GY144" s="125">
        <f>GY33/293.07*(1/(VLOOKUP($BM144,'Fuel economy adjusted factor'!$A$2:$L$52,5,FALSE)*m2k))/'TCO Inputs'!$AZ$84</f>
        <v>50.685968936776405</v>
      </c>
      <c r="GZ144" s="125">
        <f>GZ33/293.07*(1/(VLOOKUP($BM144,'Fuel economy adjusted factor'!$A$2:$L$52,5,FALSE)*m2k))/'TCO Inputs'!$AZ$84</f>
        <v>48.848024333055285</v>
      </c>
      <c r="HA144" s="125">
        <f>HA33/293.07*(1/(VLOOKUP($BM144,'Fuel economy adjusted factor'!$A$2:$L$52,5,FALSE)*m2k))/'TCO Inputs'!$AZ$84</f>
        <v>48.848024333055285</v>
      </c>
      <c r="HB144" s="125">
        <f>HB33/293.07*(1/(VLOOKUP($BM144,'Fuel economy adjusted factor'!$A$2:$L$52,5,FALSE)*m2k))/'TCO Inputs'!$AZ$84</f>
        <v>48.848024333055285</v>
      </c>
      <c r="HC144" s="125">
        <f>HC33/293.07*(1/(VLOOKUP($BM144,'Fuel economy adjusted factor'!$A$2:$L$52,5,FALSE)*m2k))/'TCO Inputs'!$AZ$84</f>
        <v>48.848024333055285</v>
      </c>
      <c r="HD144" s="125">
        <f>HD33/293.07*(1/(VLOOKUP($BM144,'Fuel economy adjusted factor'!$A$2:$L$52,5,FALSE)*m2k))/'TCO Inputs'!$AZ$84</f>
        <v>48.848024333055285</v>
      </c>
      <c r="HE144" s="125">
        <f>HE33/293.07*(1/(VLOOKUP($BM144,'Fuel economy adjusted factor'!$A$2:$L$52,5,FALSE)*m2k))/'TCO Inputs'!$AZ$84</f>
        <v>46.90352024444428</v>
      </c>
      <c r="HF144" s="125">
        <f>HF33/293.07*(1/(VLOOKUP($BM144,'Fuel economy adjusted factor'!$A$2:$L$52,5,FALSE)*m2k))/'TCO Inputs'!$AZ$84</f>
        <v>46.90352024444428</v>
      </c>
      <c r="HG144" s="125">
        <f>HG33/293.07*(1/(VLOOKUP($BM144,'Fuel economy adjusted factor'!$A$2:$L$52,5,FALSE)*m2k))/'TCO Inputs'!$AZ$84</f>
        <v>46.90352024444428</v>
      </c>
      <c r="HH144" s="125">
        <f>HH33/293.07*(1/(VLOOKUP($BM144,'Fuel economy adjusted factor'!$A$2:$L$52,5,FALSE)*m2k))/'TCO Inputs'!$AZ$84</f>
        <v>46.90352024444428</v>
      </c>
      <c r="HI144" s="125">
        <f>HI33/293.07*(1/(VLOOKUP($BM144,'Fuel economy adjusted factor'!$A$2:$L$52,5,FALSE)*m2k))/'TCO Inputs'!$AZ$84</f>
        <v>46.90352024444428</v>
      </c>
      <c r="HJ144" s="125">
        <f>HJ33/293.07*(1/(VLOOKUP($BM144,'Fuel economy adjusted factor'!$A$2:$L$52,5,FALSE)*m2k))/'TCO Inputs'!$AZ$84</f>
        <v>43.923158837601228</v>
      </c>
      <c r="HK144" s="98" cm="1">
        <f t="array" ref="HK144">SUMPRODUCT(INDEX(GI144:HJ144,,'TCO Inputs'!$AZ$12-2023+_xlfn.SEQUENCE('TCO Inputs'!$AZ$13))*INDEX('VKT US'!C90:AA90,,_xlfn.SEQUENCE('TCO Inputs'!$AZ$13)))*m2k*CONVERT(0.9072,"g","ton")</f>
        <v>23.118510956680442</v>
      </c>
    </row>
    <row r="145" spans="26:219" x14ac:dyDescent="0.25">
      <c r="Z145" s="123" t="s">
        <v>212</v>
      </c>
      <c r="AA145" s="125">
        <f>AA34/293.07*(1/(VLOOKUP($Z145,'Fuel economy adjusted factor'!$A$2:$L$52,5,FALSE)*m2k))/'TCO Inputs'!$AZ$84</f>
        <v>39.262437973638903</v>
      </c>
      <c r="AB145" s="125">
        <f>AB34/293.07*(1/(VLOOKUP($Z145,'Fuel economy adjusted factor'!$A$2:$L$52,5,FALSE)*m2k))/'TCO Inputs'!$AZ$84</f>
        <v>39.262437973638903</v>
      </c>
      <c r="AC145" s="125">
        <f>AC34/293.07*(1/(VLOOKUP($Z145,'Fuel economy adjusted factor'!$A$2:$L$52,5,FALSE)*m2k))/'TCO Inputs'!$AZ$84</f>
        <v>34.531072289081983</v>
      </c>
      <c r="AD145" s="125">
        <f>AD34/293.07*(1/(VLOOKUP($Z145,'Fuel economy adjusted factor'!$A$2:$L$52,5,FALSE)*m2k))/'TCO Inputs'!$AZ$84</f>
        <v>34.531072289081983</v>
      </c>
      <c r="AE145" s="125">
        <f>AE34/293.07*(1/(VLOOKUP($Z145,'Fuel economy adjusted factor'!$A$2:$L$52,5,FALSE)*m2k))/'TCO Inputs'!$AZ$84</f>
        <v>34.531072289081983</v>
      </c>
      <c r="AF145" s="125">
        <f>AF34/293.07*(1/(VLOOKUP($Z145,'Fuel economy adjusted factor'!$A$2:$L$52,5,FALSE)*m2k))/'TCO Inputs'!$AZ$84</f>
        <v>34.531072289081983</v>
      </c>
      <c r="AG145" s="125">
        <f>AG34/293.07*(1/(VLOOKUP($Z145,'Fuel economy adjusted factor'!$A$2:$L$52,5,FALSE)*m2k))/'TCO Inputs'!$AZ$84</f>
        <v>34.531072289081983</v>
      </c>
      <c r="AH145" s="125">
        <f>AH34/293.07*(1/(VLOOKUP($Z145,'Fuel economy adjusted factor'!$A$2:$L$52,5,FALSE)*m2k))/'TCO Inputs'!$AZ$84</f>
        <v>20.747569545953095</v>
      </c>
      <c r="AI145" s="125">
        <f>AI34/293.07*(1/(VLOOKUP($Z145,'Fuel economy adjusted factor'!$A$2:$L$52,5,FALSE)*m2k))/'TCO Inputs'!$AZ$84</f>
        <v>20.747569545953095</v>
      </c>
      <c r="AJ145" s="125">
        <f>AJ34/293.07*(1/(VLOOKUP($Z145,'Fuel economy adjusted factor'!$A$2:$L$52,5,FALSE)*m2k))/'TCO Inputs'!$AZ$84</f>
        <v>20.747569545953095</v>
      </c>
      <c r="AK145" s="125">
        <f>AK34/293.07*(1/(VLOOKUP($Z145,'Fuel economy adjusted factor'!$A$2:$L$52,5,FALSE)*m2k))/'TCO Inputs'!$AZ$84</f>
        <v>20.747569545953095</v>
      </c>
      <c r="AL145" s="125">
        <f>AL34/293.07*(1/(VLOOKUP($Z145,'Fuel economy adjusted factor'!$A$2:$L$52,5,FALSE)*m2k))/'TCO Inputs'!$AZ$84</f>
        <v>20.747569545953095</v>
      </c>
      <c r="AM145" s="125">
        <f>AM34/293.07*(1/(VLOOKUP($Z145,'Fuel economy adjusted factor'!$A$2:$L$52,5,FALSE)*m2k))/'TCO Inputs'!$AZ$84</f>
        <v>21.711876154425493</v>
      </c>
      <c r="AN145" s="125">
        <f>AN34/293.07*(1/(VLOOKUP($Z145,'Fuel economy adjusted factor'!$A$2:$L$52,5,FALSE)*m2k))/'TCO Inputs'!$AZ$84</f>
        <v>21.711876154425493</v>
      </c>
      <c r="AO145" s="125">
        <f>AO34/293.07*(1/(VLOOKUP($Z145,'Fuel economy adjusted factor'!$A$2:$L$52,5,FALSE)*m2k))/'TCO Inputs'!$AZ$84</f>
        <v>21.711876154425493</v>
      </c>
      <c r="AP145" s="125">
        <f>AP34/293.07*(1/(VLOOKUP($Z145,'Fuel economy adjusted factor'!$A$2:$L$52,5,FALSE)*m2k))/'TCO Inputs'!$AZ$84</f>
        <v>21.711876154425493</v>
      </c>
      <c r="AQ145" s="125">
        <f>AQ34/293.07*(1/(VLOOKUP($Z145,'Fuel economy adjusted factor'!$A$2:$L$52,5,FALSE)*m2k))/'TCO Inputs'!$AZ$84</f>
        <v>21.711876154425493</v>
      </c>
      <c r="AR145" s="125">
        <f>AR34/293.07*(1/(VLOOKUP($Z145,'Fuel economy adjusted factor'!$A$2:$L$52,5,FALSE)*m2k))/'TCO Inputs'!$AZ$84</f>
        <v>22.696455289652725</v>
      </c>
      <c r="AS145" s="125">
        <f>AS34/293.07*(1/(VLOOKUP($Z145,'Fuel economy adjusted factor'!$A$2:$L$52,5,FALSE)*m2k))/'TCO Inputs'!$AZ$84</f>
        <v>22.696455289652725</v>
      </c>
      <c r="AT145" s="125">
        <f>AT34/293.07*(1/(VLOOKUP($Z145,'Fuel economy adjusted factor'!$A$2:$L$52,5,FALSE)*m2k))/'TCO Inputs'!$AZ$84</f>
        <v>22.696455289652725</v>
      </c>
      <c r="AU145" s="125">
        <f>AU34/293.07*(1/(VLOOKUP($Z145,'Fuel economy adjusted factor'!$A$2:$L$52,5,FALSE)*m2k))/'TCO Inputs'!$AZ$84</f>
        <v>22.696455289652725</v>
      </c>
      <c r="AV145" s="125">
        <f>AV34/293.07*(1/(VLOOKUP($Z145,'Fuel economy adjusted factor'!$A$2:$L$52,5,FALSE)*m2k))/'TCO Inputs'!$AZ$84</f>
        <v>22.696455289652725</v>
      </c>
      <c r="AW145" s="125">
        <f>AW34/293.07*(1/(VLOOKUP($Z145,'Fuel economy adjusted factor'!$A$2:$L$52,5,FALSE)*m2k))/'TCO Inputs'!$AZ$84</f>
        <v>23.194493782763981</v>
      </c>
      <c r="AX145" s="125">
        <f>AX34/293.07*(1/(VLOOKUP($Z145,'Fuel economy adjusted factor'!$A$2:$L$52,5,FALSE)*m2k))/'TCO Inputs'!$AZ$84</f>
        <v>23.194493782763981</v>
      </c>
      <c r="AY145" s="125">
        <f>AY34/293.07*(1/(VLOOKUP($Z145,'Fuel economy adjusted factor'!$A$2:$L$52,5,FALSE)*m2k))/'TCO Inputs'!$AZ$84</f>
        <v>23.194493782763981</v>
      </c>
      <c r="AZ145" s="125">
        <f>AZ34/293.07*(1/(VLOOKUP($Z145,'Fuel economy adjusted factor'!$A$2:$L$52,5,FALSE)*m2k))/'TCO Inputs'!$AZ$84</f>
        <v>23.194493782763981</v>
      </c>
      <c r="BA145" s="125">
        <f>BA34/293.07*(1/(VLOOKUP($Z145,'Fuel economy adjusted factor'!$A$2:$L$52,5,FALSE)*m2k))/'TCO Inputs'!$AZ$84</f>
        <v>23.194493782763981</v>
      </c>
      <c r="BB145" s="125">
        <f>BB34/293.07*(1/(VLOOKUP($Z145,'Fuel economy adjusted factor'!$A$2:$L$52,5,FALSE)*m2k))/'TCO Inputs'!$AZ$84</f>
        <v>23.225961585487902</v>
      </c>
      <c r="BC145" s="98" cm="1">
        <f t="array" ref="BC145">SUMPRODUCT(INDEX(AA145:BB145,,'TCO Inputs'!$AZ$12-2023+_xlfn.SEQUENCE('TCO Inputs'!$AZ$13))*INDEX('VKT US'!C91:AA91,,_xlfn.SEQUENCE('TCO Inputs'!$AZ$13)))*m2k*CONVERT(0.9072,"g","ton")</f>
        <v>7.1536666044809651</v>
      </c>
      <c r="BM145" s="123" t="s">
        <v>212</v>
      </c>
      <c r="BN145" s="125">
        <f>BN34/293.07*(1/(VLOOKUP($BM145,'Fuel economy adjusted factor'!$A$2:$L$52,5,FALSE)*m2k))</f>
        <v>33.373072277593067</v>
      </c>
      <c r="BO145" s="125">
        <f>BO34/293.07*(1/(VLOOKUP($BM145,'Fuel economy adjusted factor'!$A$2:$L$52,5,FALSE)*m2k))</f>
        <v>33.373072277593067</v>
      </c>
      <c r="BP145" s="125">
        <f>BP34/293.07*(1/(VLOOKUP($BM145,'Fuel economy adjusted factor'!$A$2:$L$52,5,FALSE)*m2k))</f>
        <v>29.31309031865252</v>
      </c>
      <c r="BQ145" s="125">
        <f>BQ34/293.07*(1/(VLOOKUP($BM145,'Fuel economy adjusted factor'!$A$2:$L$52,5,FALSE)*m2k))</f>
        <v>29.31309031865252</v>
      </c>
      <c r="BR145" s="125">
        <f>BR34/293.07*(1/(VLOOKUP($BM145,'Fuel economy adjusted factor'!$A$2:$L$52,5,FALSE)*m2k))</f>
        <v>29.31309031865252</v>
      </c>
      <c r="BS145" s="125">
        <f>BS34/293.07*(1/(VLOOKUP($BM145,'Fuel economy adjusted factor'!$A$2:$L$52,5,FALSE)*m2k))</f>
        <v>29.31309031865252</v>
      </c>
      <c r="BT145" s="125">
        <f>BT34/293.07*(1/(VLOOKUP($BM145,'Fuel economy adjusted factor'!$A$2:$L$52,5,FALSE)*m2k))</f>
        <v>29.31309031865252</v>
      </c>
      <c r="BU145" s="125">
        <f>BU34/293.07*(1/(VLOOKUP($BM145,'Fuel economy adjusted factor'!$A$2:$L$52,5,FALSE)*m2k))</f>
        <v>33.228274998809113</v>
      </c>
      <c r="BV145" s="125">
        <f>BV34/293.07*(1/(VLOOKUP($BM145,'Fuel economy adjusted factor'!$A$2:$L$52,5,FALSE)*m2k))</f>
        <v>33.228274998809113</v>
      </c>
      <c r="BW145" s="125">
        <f>BW34/293.07*(1/(VLOOKUP($BM145,'Fuel economy adjusted factor'!$A$2:$L$52,5,FALSE)*m2k))</f>
        <v>33.228274998809113</v>
      </c>
      <c r="BX145" s="125">
        <f>BX34/293.07*(1/(VLOOKUP($BM145,'Fuel economy adjusted factor'!$A$2:$L$52,5,FALSE)*m2k))</f>
        <v>33.228274998809113</v>
      </c>
      <c r="BY145" s="125">
        <f>BY34/293.07*(1/(VLOOKUP($BM145,'Fuel economy adjusted factor'!$A$2:$L$52,5,FALSE)*m2k))</f>
        <v>33.228274998809113</v>
      </c>
      <c r="BZ145" s="125">
        <f>BZ34/293.07*(1/(VLOOKUP($BM145,'Fuel economy adjusted factor'!$A$2:$L$52,5,FALSE)*m2k))</f>
        <v>34.02736051422962</v>
      </c>
      <c r="CA145" s="125">
        <f>CA34/293.07*(1/(VLOOKUP($BM145,'Fuel economy adjusted factor'!$A$2:$L$52,5,FALSE)*m2k))</f>
        <v>34.02736051422962</v>
      </c>
      <c r="CB145" s="125">
        <f>CB34/293.07*(1/(VLOOKUP($BM145,'Fuel economy adjusted factor'!$A$2:$L$52,5,FALSE)*m2k))</f>
        <v>34.02736051422962</v>
      </c>
      <c r="CC145" s="125">
        <f>CC34/293.07*(1/(VLOOKUP($BM145,'Fuel economy adjusted factor'!$A$2:$L$52,5,FALSE)*m2k))</f>
        <v>34.02736051422962</v>
      </c>
      <c r="CD145" s="125">
        <f>CD34/293.07*(1/(VLOOKUP($BM145,'Fuel economy adjusted factor'!$A$2:$L$52,5,FALSE)*m2k))</f>
        <v>34.02736051422962</v>
      </c>
      <c r="CE145" s="125">
        <f>CE34/293.07*(1/(VLOOKUP($BM145,'Fuel economy adjusted factor'!$A$2:$L$52,5,FALSE)*m2k))</f>
        <v>34.868367799528976</v>
      </c>
      <c r="CF145" s="125">
        <f>CF34/293.07*(1/(VLOOKUP($BM145,'Fuel economy adjusted factor'!$A$2:$L$52,5,FALSE)*m2k))</f>
        <v>34.868367799528976</v>
      </c>
      <c r="CG145" s="125">
        <f>CG34/293.07*(1/(VLOOKUP($BM145,'Fuel economy adjusted factor'!$A$2:$L$52,5,FALSE)*m2k))</f>
        <v>34.868367799528976</v>
      </c>
      <c r="CH145" s="125">
        <f>CH34/293.07*(1/(VLOOKUP($BM145,'Fuel economy adjusted factor'!$A$2:$L$52,5,FALSE)*m2k))</f>
        <v>34.868367799528976</v>
      </c>
      <c r="CI145" s="125">
        <f>CI34/293.07*(1/(VLOOKUP($BM145,'Fuel economy adjusted factor'!$A$2:$L$52,5,FALSE)*m2k))</f>
        <v>34.868367799528976</v>
      </c>
      <c r="CJ145" s="125">
        <f>CJ34/293.07*(1/(VLOOKUP($BM145,'Fuel economy adjusted factor'!$A$2:$L$52,5,FALSE)*m2k))</f>
        <v>35.067946286804911</v>
      </c>
      <c r="CK145" s="125">
        <f>CK34/293.07*(1/(VLOOKUP($BM145,'Fuel economy adjusted factor'!$A$2:$L$52,5,FALSE)*m2k))</f>
        <v>35.067946286804911</v>
      </c>
      <c r="CL145" s="125">
        <f>CL34/293.07*(1/(VLOOKUP($BM145,'Fuel economy adjusted factor'!$A$2:$L$52,5,FALSE)*m2k))</f>
        <v>35.067946286804911</v>
      </c>
      <c r="CM145" s="125">
        <f>CM34/293.07*(1/(VLOOKUP($BM145,'Fuel economy adjusted factor'!$A$2:$L$52,5,FALSE)*m2k))</f>
        <v>35.067946286804911</v>
      </c>
      <c r="CN145" s="125">
        <f>CN34/293.07*(1/(VLOOKUP($BM145,'Fuel economy adjusted factor'!$A$2:$L$52,5,FALSE)*m2k))</f>
        <v>35.067946286804911</v>
      </c>
      <c r="CO145" s="125">
        <f>CO34/293.07*(1/(VLOOKUP($BM145,'Fuel economy adjusted factor'!$A$2:$L$52,5,FALSE)*m2k))</f>
        <v>35.306360278692523</v>
      </c>
      <c r="CP145" s="98" cm="1">
        <f t="array" ref="CP145">SUMPRODUCT(INDEX(BN145:CO145,,'TCO Inputs'!$AZ$12-2023+_xlfn.SEQUENCE('TCO Inputs'!$AZ$13))*INDEX('VKT US'!C91:AA91,,_xlfn.SEQUENCE('TCO Inputs'!$AZ$13)))*m2k*CONVERT(0.9072,"g","ton")</f>
        <v>7.7918708186715602</v>
      </c>
      <c r="CQ145" s="194"/>
      <c r="CR145" s="123" t="s">
        <v>212</v>
      </c>
      <c r="CS145" s="125">
        <f>CS34/293.07*(1/(VLOOKUP($BM145,'Fuel economy adjusted factor'!$A$2:$L$52,5,FALSE)*m2k))/'TCO Inputs'!$AZ$84</f>
        <v>47.536352064846241</v>
      </c>
      <c r="CT145" s="125">
        <f>CT34/293.07*(1/(VLOOKUP($BM145,'Fuel economy adjusted factor'!$A$2:$L$52,5,FALSE)*m2k))/'TCO Inputs'!$AZ$84</f>
        <v>47.536352064846241</v>
      </c>
      <c r="CU145" s="125">
        <f>CU34/293.07*(1/(VLOOKUP($BM145,'Fuel economy adjusted factor'!$A$2:$L$52,5,FALSE)*m2k))/'TCO Inputs'!$AZ$84</f>
        <v>47.536352064846241</v>
      </c>
      <c r="CV145" s="125">
        <f>CV34/293.07*(1/(VLOOKUP($BM145,'Fuel economy adjusted factor'!$A$2:$L$52,5,FALSE)*m2k))/'TCO Inputs'!$AZ$84</f>
        <v>47.536352064846241</v>
      </c>
      <c r="CW145" s="125">
        <f>CW34/293.07*(1/(VLOOKUP($BM145,'Fuel economy adjusted factor'!$A$2:$L$52,5,FALSE)*m2k))/'TCO Inputs'!$AZ$84</f>
        <v>47.536352064846241</v>
      </c>
      <c r="CX145" s="125">
        <f>CX34/293.07*(1/(VLOOKUP($BM145,'Fuel economy adjusted factor'!$A$2:$L$52,5,FALSE)*m2k))/'TCO Inputs'!$AZ$84</f>
        <v>47.536352064846241</v>
      </c>
      <c r="CY145" s="125">
        <f>CY34/293.07*(1/(VLOOKUP($BM145,'Fuel economy adjusted factor'!$A$2:$L$52,5,FALSE)*m2k))/'TCO Inputs'!$AZ$84</f>
        <v>47.536352064846241</v>
      </c>
      <c r="CZ145" s="125">
        <f>CZ34/293.07*(1/(VLOOKUP($BM145,'Fuel economy adjusted factor'!$A$2:$L$52,5,FALSE)*m2k))/'TCO Inputs'!$AZ$84</f>
        <v>47.546942190762941</v>
      </c>
      <c r="DA145" s="125">
        <f>DA34/293.07*(1/(VLOOKUP($BM145,'Fuel economy adjusted factor'!$A$2:$L$52,5,FALSE)*m2k))/'TCO Inputs'!$AZ$84</f>
        <v>47.546942190762941</v>
      </c>
      <c r="DB145" s="125">
        <f>DB34/293.07*(1/(VLOOKUP($BM145,'Fuel economy adjusted factor'!$A$2:$L$52,5,FALSE)*m2k))/'TCO Inputs'!$AZ$84</f>
        <v>47.546942190762941</v>
      </c>
      <c r="DC145" s="125">
        <f>DC34/293.07*(1/(VLOOKUP($BM145,'Fuel economy adjusted factor'!$A$2:$L$52,5,FALSE)*m2k))/'TCO Inputs'!$AZ$84</f>
        <v>47.546942190762941</v>
      </c>
      <c r="DD145" s="125">
        <f>DD34/293.07*(1/(VLOOKUP($BM145,'Fuel economy adjusted factor'!$A$2:$L$52,5,FALSE)*m2k))/'TCO Inputs'!$AZ$84</f>
        <v>47.546942190762941</v>
      </c>
      <c r="DE145" s="125">
        <f>DE34/293.07*(1/(VLOOKUP($BM145,'Fuel economy adjusted factor'!$A$2:$L$52,5,FALSE)*m2k))/'TCO Inputs'!$AZ$84</f>
        <v>47.54089069023911</v>
      </c>
      <c r="DF145" s="125">
        <f>DF34/293.07*(1/(VLOOKUP($BM145,'Fuel economy adjusted factor'!$A$2:$L$52,5,FALSE)*m2k))/'TCO Inputs'!$AZ$84</f>
        <v>47.54089069023911</v>
      </c>
      <c r="DG145" s="125">
        <f>DG34/293.07*(1/(VLOOKUP($BM145,'Fuel economy adjusted factor'!$A$2:$L$52,5,FALSE)*m2k))/'TCO Inputs'!$AZ$84</f>
        <v>47.54089069023911</v>
      </c>
      <c r="DH145" s="125">
        <f>DH34/293.07*(1/(VLOOKUP($BM145,'Fuel economy adjusted factor'!$A$2:$L$52,5,FALSE)*m2k))/'TCO Inputs'!$AZ$84</f>
        <v>47.54089069023911</v>
      </c>
      <c r="DI145" s="125">
        <f>DI34/293.07*(1/(VLOOKUP($BM145,'Fuel economy adjusted factor'!$A$2:$L$52,5,FALSE)*m2k))/'TCO Inputs'!$AZ$84</f>
        <v>47.54089069023911</v>
      </c>
      <c r="DJ145" s="125">
        <f>DJ34/293.07*(1/(VLOOKUP($BM145,'Fuel economy adjusted factor'!$A$2:$L$52,5,FALSE)*m2k))/'TCO Inputs'!$AZ$84</f>
        <v>47.539377815108161</v>
      </c>
      <c r="DK145" s="125">
        <f>DK34/293.07*(1/(VLOOKUP($BM145,'Fuel economy adjusted factor'!$A$2:$L$52,5,FALSE)*m2k))/'TCO Inputs'!$AZ$84</f>
        <v>47.539377815108161</v>
      </c>
      <c r="DL145" s="125">
        <f>DL34/293.07*(1/(VLOOKUP($BM145,'Fuel economy adjusted factor'!$A$2:$L$52,5,FALSE)*m2k))/'TCO Inputs'!$AZ$84</f>
        <v>47.539377815108161</v>
      </c>
      <c r="DM145" s="125">
        <f>DM34/293.07*(1/(VLOOKUP($BM145,'Fuel economy adjusted factor'!$A$2:$L$52,5,FALSE)*m2k))/'TCO Inputs'!$AZ$84</f>
        <v>47.539377815108161</v>
      </c>
      <c r="DN145" s="125">
        <f>DN34/293.07*(1/(VLOOKUP($BM145,'Fuel economy adjusted factor'!$A$2:$L$52,5,FALSE)*m2k))/'TCO Inputs'!$AZ$84</f>
        <v>47.539377815108161</v>
      </c>
      <c r="DO145" s="125">
        <f>DO34/293.07*(1/(VLOOKUP($BM145,'Fuel economy adjusted factor'!$A$2:$L$52,5,FALSE)*m2k))/'TCO Inputs'!$AZ$84</f>
        <v>47.510028037567579</v>
      </c>
      <c r="DP145" s="125">
        <f>DP34/293.07*(1/(VLOOKUP($BM145,'Fuel economy adjusted factor'!$A$2:$L$52,5,FALSE)*m2k))/'TCO Inputs'!$AZ$84</f>
        <v>47.510028037567579</v>
      </c>
      <c r="DQ145" s="125">
        <f>DQ34/293.07*(1/(VLOOKUP($BM145,'Fuel economy adjusted factor'!$A$2:$L$52,5,FALSE)*m2k))/'TCO Inputs'!$AZ$84</f>
        <v>47.510028037567579</v>
      </c>
      <c r="DR145" s="125">
        <f>DR34/293.07*(1/(VLOOKUP($BM145,'Fuel economy adjusted factor'!$A$2:$L$52,5,FALSE)*m2k))/'TCO Inputs'!$AZ$84</f>
        <v>47.510028037567579</v>
      </c>
      <c r="DS145" s="125">
        <f>DS34/293.07*(1/(VLOOKUP($BM145,'Fuel economy adjusted factor'!$A$2:$L$52,5,FALSE)*m2k))/'TCO Inputs'!$AZ$84</f>
        <v>47.510028037567579</v>
      </c>
      <c r="DT145" s="125">
        <f>DT34/293.07*(1/(VLOOKUP($BM145,'Fuel economy adjusted factor'!$A$2:$L$52,5,FALSE)*m2k))/'TCO Inputs'!$AZ$84</f>
        <v>47.534536614689095</v>
      </c>
      <c r="DU145" s="98" cm="1">
        <f t="array" ref="DU145">SUMPRODUCT(INDEX(CS145:DT145,,'TCO Inputs'!$AZ$12-2023+_xlfn.SEQUENCE('TCO Inputs'!$AZ$13))*INDEX('VKT US'!C91:AA91,,_xlfn.SEQUENCE('TCO Inputs'!$AZ$13)))*m2k*CONVERT(0.9072,"g","ton")</f>
        <v>11.627988441259106</v>
      </c>
      <c r="DW145" s="123" t="s">
        <v>212</v>
      </c>
      <c r="DX145" s="125">
        <f>DX34/293.07*(1/(VLOOKUP($BM145,'Fuel economy adjusted factor'!$A$2:$L$52,5,FALSE)*m2k))/'TCO Inputs'!$AZ$84</f>
        <v>49.761487524975834</v>
      </c>
      <c r="DY145" s="125">
        <f>DY34/293.07*(1/(VLOOKUP($BM145,'Fuel economy adjusted factor'!$A$2:$L$52,5,FALSE)*m2k))/'TCO Inputs'!$AZ$84</f>
        <v>49.761487524975834</v>
      </c>
      <c r="DZ145" s="125">
        <f>DZ34/293.07*(1/(VLOOKUP($BM145,'Fuel economy adjusted factor'!$A$2:$L$52,5,FALSE)*m2k))/'TCO Inputs'!$AZ$84</f>
        <v>43.620934251565856</v>
      </c>
      <c r="EA145" s="125">
        <f>EA34/293.07*(1/(VLOOKUP($BM145,'Fuel economy adjusted factor'!$A$2:$L$52,5,FALSE)*m2k))/'TCO Inputs'!$AZ$84</f>
        <v>43.620934251565856</v>
      </c>
      <c r="EB145" s="125">
        <f>EB34/293.07*(1/(VLOOKUP($BM145,'Fuel economy adjusted factor'!$A$2:$L$52,5,FALSE)*m2k))/'TCO Inputs'!$AZ$84</f>
        <v>43.620934251565856</v>
      </c>
      <c r="EC145" s="125">
        <f>EC34/293.07*(1/(VLOOKUP($BM145,'Fuel economy adjusted factor'!$A$2:$L$52,5,FALSE)*m2k))/'TCO Inputs'!$AZ$84</f>
        <v>43.620934251565856</v>
      </c>
      <c r="ED145" s="125">
        <f>ED34/293.07*(1/(VLOOKUP($BM145,'Fuel economy adjusted factor'!$A$2:$L$52,5,FALSE)*m2k))/'TCO Inputs'!$AZ$84</f>
        <v>43.620934251565856</v>
      </c>
      <c r="EE145" s="125">
        <f>EE34/293.07*(1/(VLOOKUP($BM145,'Fuel economy adjusted factor'!$A$2:$L$52,5,FALSE)*m2k))/'TCO Inputs'!$AZ$84</f>
        <v>26.885160731552627</v>
      </c>
      <c r="EF145" s="125">
        <f>EF34/293.07*(1/(VLOOKUP($BM145,'Fuel economy adjusted factor'!$A$2:$L$52,5,FALSE)*m2k))/'TCO Inputs'!$AZ$84</f>
        <v>26.885160731552627</v>
      </c>
      <c r="EG145" s="125">
        <f>EG34/293.07*(1/(VLOOKUP($BM145,'Fuel economy adjusted factor'!$A$2:$L$52,5,FALSE)*m2k))/'TCO Inputs'!$AZ$84</f>
        <v>26.885160731552627</v>
      </c>
      <c r="EH145" s="125">
        <f>EH34/293.07*(1/(VLOOKUP($BM145,'Fuel economy adjusted factor'!$A$2:$L$52,5,FALSE)*m2k))/'TCO Inputs'!$AZ$84</f>
        <v>26.885160731552627</v>
      </c>
      <c r="EI145" s="125">
        <f>EI34/293.07*(1/(VLOOKUP($BM145,'Fuel economy adjusted factor'!$A$2:$L$52,5,FALSE)*m2k))/'TCO Inputs'!$AZ$84</f>
        <v>26.885160731552627</v>
      </c>
      <c r="EJ145" s="125">
        <f>EJ34/293.07*(1/(VLOOKUP($BM145,'Fuel economy adjusted factor'!$A$2:$L$52,5,FALSE)*m2k))/'TCO Inputs'!$AZ$84</f>
        <v>24.011607463647373</v>
      </c>
      <c r="EK145" s="125">
        <f>EK34/293.07*(1/(VLOOKUP($BM145,'Fuel economy adjusted factor'!$A$2:$L$52,5,FALSE)*m2k))/'TCO Inputs'!$AZ$84</f>
        <v>24.011607463647373</v>
      </c>
      <c r="EL145" s="125">
        <f>EL34/293.07*(1/(VLOOKUP($BM145,'Fuel economy adjusted factor'!$A$2:$L$52,5,FALSE)*m2k))/'TCO Inputs'!$AZ$84</f>
        <v>24.011607463647373</v>
      </c>
      <c r="EM145" s="125">
        <f>EM34/293.07*(1/(VLOOKUP($BM145,'Fuel economy adjusted factor'!$A$2:$L$52,5,FALSE)*m2k))/'TCO Inputs'!$AZ$84</f>
        <v>24.011607463647373</v>
      </c>
      <c r="EN145" s="125">
        <f>EN34/293.07*(1/(VLOOKUP($BM145,'Fuel economy adjusted factor'!$A$2:$L$52,5,FALSE)*m2k))/'TCO Inputs'!$AZ$84</f>
        <v>24.011607463647373</v>
      </c>
      <c r="EO145" s="125">
        <f>EO34/293.07*(1/(VLOOKUP($BM145,'Fuel economy adjusted factor'!$A$2:$L$52,5,FALSE)*m2k))/'TCO Inputs'!$AZ$84</f>
        <v>23.255852696731445</v>
      </c>
      <c r="EP145" s="125">
        <f>EP34/293.07*(1/(VLOOKUP($BM145,'Fuel economy adjusted factor'!$A$2:$L$52,5,FALSE)*m2k))/'TCO Inputs'!$AZ$84</f>
        <v>23.255852696731445</v>
      </c>
      <c r="EQ145" s="125">
        <f>EQ34/293.07*(1/(VLOOKUP($BM145,'Fuel economy adjusted factor'!$A$2:$L$52,5,FALSE)*m2k))/'TCO Inputs'!$AZ$84</f>
        <v>23.255852696731445</v>
      </c>
      <c r="ER145" s="125">
        <f>ER34/293.07*(1/(VLOOKUP($BM145,'Fuel economy adjusted factor'!$A$2:$L$52,5,FALSE)*m2k))/'TCO Inputs'!$AZ$84</f>
        <v>23.255852696731445</v>
      </c>
      <c r="ES145" s="125">
        <f>ES34/293.07*(1/(VLOOKUP($BM145,'Fuel economy adjusted factor'!$A$2:$L$52,5,FALSE)*m2k))/'TCO Inputs'!$AZ$84</f>
        <v>23.255852696731445</v>
      </c>
      <c r="ET145" s="125">
        <f>ET34/293.07*(1/(VLOOKUP($BM145,'Fuel economy adjusted factor'!$A$2:$L$52,5,FALSE)*m2k))/'TCO Inputs'!$AZ$84</f>
        <v>22.392394632930746</v>
      </c>
      <c r="EU145" s="125">
        <f>EU34/293.07*(1/(VLOOKUP($BM145,'Fuel economy adjusted factor'!$A$2:$L$52,5,FALSE)*m2k))/'TCO Inputs'!$AZ$84</f>
        <v>22.392394632930746</v>
      </c>
      <c r="EV145" s="125">
        <f>EV34/293.07*(1/(VLOOKUP($BM145,'Fuel economy adjusted factor'!$A$2:$L$52,5,FALSE)*m2k))/'TCO Inputs'!$AZ$84</f>
        <v>22.392394632930746</v>
      </c>
      <c r="EW145" s="125">
        <f>EW34/293.07*(1/(VLOOKUP($BM145,'Fuel economy adjusted factor'!$A$2:$L$52,5,FALSE)*m2k))/'TCO Inputs'!$AZ$84</f>
        <v>22.392394632930746</v>
      </c>
      <c r="EX145" s="125">
        <f>EX34/293.07*(1/(VLOOKUP($BM145,'Fuel economy adjusted factor'!$A$2:$L$52,5,FALSE)*m2k))/'TCO Inputs'!$AZ$84</f>
        <v>22.392394632930746</v>
      </c>
      <c r="EY145" s="125">
        <f>EY34/293.07*(1/(VLOOKUP($BM145,'Fuel economy adjusted factor'!$A$2:$L$52,5,FALSE)*m2k))/'TCO Inputs'!$AZ$84</f>
        <v>21.038410329236484</v>
      </c>
      <c r="EZ145" s="98" cm="1">
        <f t="array" ref="EZ145">SUMPRODUCT(INDEX(DX145:EY145,,'TCO Inputs'!$AZ$12-2023+_xlfn.SEQUENCE('TCO Inputs'!$AZ$13))*INDEX('VKT US'!C91:AA91,,_xlfn.SEQUENCE('TCO Inputs'!$AZ$13)))*m2k*CONVERT(0.9072,"g","ton")</f>
        <v>8.9978810246145144</v>
      </c>
      <c r="FB145" s="123" t="s">
        <v>212</v>
      </c>
      <c r="FC145" s="125">
        <f>FC34/293.07*(1/(VLOOKUP($BM145,'Fuel economy adjusted factor'!$A$2:$L$52,5,FALSE)*m2k))/'TCO Inputs'!$AZ$84</f>
        <v>53.973638911306097</v>
      </c>
      <c r="FD145" s="125">
        <f>FD34/293.07*(1/(VLOOKUP($BM145,'Fuel economy adjusted factor'!$A$2:$L$52,5,FALSE)*m2k))/'TCO Inputs'!$AZ$84</f>
        <v>53.973638911306097</v>
      </c>
      <c r="FE145" s="125">
        <f>FE34/293.07*(1/(VLOOKUP($BM145,'Fuel economy adjusted factor'!$A$2:$L$52,5,FALSE)*m2k))/'TCO Inputs'!$AZ$84</f>
        <v>47.13521223461214</v>
      </c>
      <c r="FF145" s="125">
        <f>FF34/293.07*(1/(VLOOKUP($BM145,'Fuel economy adjusted factor'!$A$2:$L$52,5,FALSE)*m2k))/'TCO Inputs'!$AZ$84</f>
        <v>47.13521223461214</v>
      </c>
      <c r="FG145" s="125">
        <f>FG34/293.07*(1/(VLOOKUP($BM145,'Fuel economy adjusted factor'!$A$2:$L$52,5,FALSE)*m2k))/'TCO Inputs'!$AZ$84</f>
        <v>47.13521223461214</v>
      </c>
      <c r="FH145" s="125">
        <f>FH34/293.07*(1/(VLOOKUP($BM145,'Fuel economy adjusted factor'!$A$2:$L$52,5,FALSE)*m2k))/'TCO Inputs'!$AZ$84</f>
        <v>47.13521223461214</v>
      </c>
      <c r="FI145" s="125">
        <f>FI34/293.07*(1/(VLOOKUP($BM145,'Fuel economy adjusted factor'!$A$2:$L$52,5,FALSE)*m2k))/'TCO Inputs'!$AZ$84</f>
        <v>47.13521223461214</v>
      </c>
      <c r="FJ145" s="125">
        <f>FJ34/293.07*(1/(VLOOKUP($BM145,'Fuel economy adjusted factor'!$A$2:$L$52,5,FALSE)*m2k))/'TCO Inputs'!$AZ$84</f>
        <v>29.578475829160919</v>
      </c>
      <c r="FK145" s="125">
        <f>FK34/293.07*(1/(VLOOKUP($BM145,'Fuel economy adjusted factor'!$A$2:$L$52,5,FALSE)*m2k))/'TCO Inputs'!$AZ$84</f>
        <v>29.578475829160919</v>
      </c>
      <c r="FL145" s="125">
        <f>FL34/293.07*(1/(VLOOKUP($BM145,'Fuel economy adjusted factor'!$A$2:$L$52,5,FALSE)*m2k))/'TCO Inputs'!$AZ$84</f>
        <v>29.578475829160919</v>
      </c>
      <c r="FM145" s="125">
        <f>FM34/293.07*(1/(VLOOKUP($BM145,'Fuel economy adjusted factor'!$A$2:$L$52,5,FALSE)*m2k))/'TCO Inputs'!$AZ$84</f>
        <v>29.578475829160919</v>
      </c>
      <c r="FN145" s="125">
        <f>FN34/293.07*(1/(VLOOKUP($BM145,'Fuel economy adjusted factor'!$A$2:$L$52,5,FALSE)*m2k))/'TCO Inputs'!$AZ$84</f>
        <v>29.578475829160919</v>
      </c>
      <c r="FO145" s="125">
        <f>FO34/293.07*(1/(VLOOKUP($BM145,'Fuel economy adjusted factor'!$A$2:$L$52,5,FALSE)*m2k))/'TCO Inputs'!$AZ$84</f>
        <v>26.264218254614917</v>
      </c>
      <c r="FP145" s="125">
        <f>FP34/293.07*(1/(VLOOKUP($BM145,'Fuel economy adjusted factor'!$A$2:$L$52,5,FALSE)*m2k))/'TCO Inputs'!$AZ$84</f>
        <v>26.264218254614917</v>
      </c>
      <c r="FQ145" s="125">
        <f>FQ34/293.07*(1/(VLOOKUP($BM145,'Fuel economy adjusted factor'!$A$2:$L$52,5,FALSE)*m2k))/'TCO Inputs'!$AZ$84</f>
        <v>26.264218254614917</v>
      </c>
      <c r="FR145" s="125">
        <f>FR34/293.07*(1/(VLOOKUP($BM145,'Fuel economy adjusted factor'!$A$2:$L$52,5,FALSE)*m2k))/'TCO Inputs'!$AZ$84</f>
        <v>26.264218254614917</v>
      </c>
      <c r="FS145" s="125">
        <f>FS34/293.07*(1/(VLOOKUP($BM145,'Fuel economy adjusted factor'!$A$2:$L$52,5,FALSE)*m2k))/'TCO Inputs'!$AZ$84</f>
        <v>26.264218254614917</v>
      </c>
      <c r="FT145" s="125">
        <f>FT34/293.07*(1/(VLOOKUP($BM145,'Fuel economy adjusted factor'!$A$2:$L$52,5,FALSE)*m2k))/'TCO Inputs'!$AZ$84</f>
        <v>25.59565187089142</v>
      </c>
      <c r="FU145" s="125">
        <f>FU34/293.07*(1/(VLOOKUP($BM145,'Fuel economy adjusted factor'!$A$2:$L$52,5,FALSE)*m2k))/'TCO Inputs'!$AZ$84</f>
        <v>25.59565187089142</v>
      </c>
      <c r="FV145" s="125">
        <f>FV34/293.07*(1/(VLOOKUP($BM145,'Fuel economy adjusted factor'!$A$2:$L$52,5,FALSE)*m2k))/'TCO Inputs'!$AZ$84</f>
        <v>25.59565187089142</v>
      </c>
      <c r="FW145" s="125">
        <f>FW34/293.07*(1/(VLOOKUP($BM145,'Fuel economy adjusted factor'!$A$2:$L$52,5,FALSE)*m2k))/'TCO Inputs'!$AZ$84</f>
        <v>25.59565187089142</v>
      </c>
      <c r="FX145" s="125">
        <f>FX34/293.07*(1/(VLOOKUP($BM145,'Fuel economy adjusted factor'!$A$2:$L$52,5,FALSE)*m2k))/'TCO Inputs'!$AZ$84</f>
        <v>25.59565187089142</v>
      </c>
      <c r="FY145" s="125">
        <f>FY34/293.07*(1/(VLOOKUP($BM145,'Fuel economy adjusted factor'!$A$2:$L$52,5,FALSE)*m2k))/'TCO Inputs'!$AZ$84</f>
        <v>24.730362118368188</v>
      </c>
      <c r="FZ145" s="125">
        <f>FZ34/293.07*(1/(VLOOKUP($BM145,'Fuel economy adjusted factor'!$A$2:$L$52,5,FALSE)*m2k))/'TCO Inputs'!$AZ$84</f>
        <v>24.730362118368188</v>
      </c>
      <c r="GA145" s="125">
        <f>GA34/293.07*(1/(VLOOKUP($BM145,'Fuel economy adjusted factor'!$A$2:$L$52,5,FALSE)*m2k))/'TCO Inputs'!$AZ$84</f>
        <v>24.730362118368188</v>
      </c>
      <c r="GB145" s="125">
        <f>GB34/293.07*(1/(VLOOKUP($BM145,'Fuel economy adjusted factor'!$A$2:$L$52,5,FALSE)*m2k))/'TCO Inputs'!$AZ$84</f>
        <v>24.730362118368188</v>
      </c>
      <c r="GC145" s="125">
        <f>GC34/293.07*(1/(VLOOKUP($BM145,'Fuel economy adjusted factor'!$A$2:$L$52,5,FALSE)*m2k))/'TCO Inputs'!$AZ$84</f>
        <v>24.730362118368188</v>
      </c>
      <c r="GD145" s="125">
        <f>GD34/293.07*(1/(VLOOKUP($BM145,'Fuel economy adjusted factor'!$A$2:$L$52,5,FALSE)*m2k))/'TCO Inputs'!$AZ$84</f>
        <v>23.329486583377154</v>
      </c>
      <c r="GE145" s="98" cm="1">
        <f t="array" ref="GE145">SUMPRODUCT(INDEX(FC145:GD145,,'TCO Inputs'!$AZ$12-2023+_xlfn.SEQUENCE('TCO Inputs'!$AZ$13))*INDEX('VKT US'!C91:AA91,,_xlfn.SEQUENCE('TCO Inputs'!$AZ$13)))*m2k*CONVERT(0.9072,"g","ton")</f>
        <v>9.7830683791133559</v>
      </c>
      <c r="GH145" s="123" t="s">
        <v>212</v>
      </c>
      <c r="GI145" s="125">
        <f>GI34/293.07*(1/(VLOOKUP($BM145,'Fuel economy adjusted factor'!$A$2:$L$52,5,FALSE)*m2k))/'TCO Inputs'!$AZ$84</f>
        <v>46.894528336471694</v>
      </c>
      <c r="GJ145" s="125">
        <f>GJ34/293.07*(1/(VLOOKUP($BM145,'Fuel economy adjusted factor'!$A$2:$L$52,5,FALSE)*m2k))/'TCO Inputs'!$AZ$84</f>
        <v>46.894528336471694</v>
      </c>
      <c r="GK145" s="125">
        <f>GK34/293.07*(1/(VLOOKUP($BM145,'Fuel economy adjusted factor'!$A$2:$L$52,5,FALSE)*m2k))/'TCO Inputs'!$AZ$84</f>
        <v>41.229115117686021</v>
      </c>
      <c r="GL145" s="125">
        <f>GL34/293.07*(1/(VLOOKUP($BM145,'Fuel economy adjusted factor'!$A$2:$L$52,5,FALSE)*m2k))/'TCO Inputs'!$AZ$84</f>
        <v>41.229115117686021</v>
      </c>
      <c r="GM145" s="125">
        <f>GM34/293.07*(1/(VLOOKUP($BM145,'Fuel economy adjusted factor'!$A$2:$L$52,5,FALSE)*m2k))/'TCO Inputs'!$AZ$84</f>
        <v>41.229115117686021</v>
      </c>
      <c r="GN145" s="125">
        <f>GN34/293.07*(1/(VLOOKUP($BM145,'Fuel economy adjusted factor'!$A$2:$L$52,5,FALSE)*m2k))/'TCO Inputs'!$AZ$84</f>
        <v>41.229115117686021</v>
      </c>
      <c r="GO145" s="125">
        <f>GO34/293.07*(1/(VLOOKUP($BM145,'Fuel economy adjusted factor'!$A$2:$L$52,5,FALSE)*m2k))/'TCO Inputs'!$AZ$84</f>
        <v>41.229115117686021</v>
      </c>
      <c r="GP145" s="125">
        <f>GP34/293.07*(1/(VLOOKUP($BM145,'Fuel economy adjusted factor'!$A$2:$L$52,5,FALSE)*m2k))/'TCO Inputs'!$AZ$84</f>
        <v>25.05200665804449</v>
      </c>
      <c r="GQ145" s="125">
        <f>GQ34/293.07*(1/(VLOOKUP($BM145,'Fuel economy adjusted factor'!$A$2:$L$52,5,FALSE)*m2k))/'TCO Inputs'!$AZ$84</f>
        <v>25.05200665804449</v>
      </c>
      <c r="GR145" s="125">
        <f>GR34/293.07*(1/(VLOOKUP($BM145,'Fuel economy adjusted factor'!$A$2:$L$52,5,FALSE)*m2k))/'TCO Inputs'!$AZ$84</f>
        <v>25.05200665804449</v>
      </c>
      <c r="GS145" s="125">
        <f>GS34/293.07*(1/(VLOOKUP($BM145,'Fuel economy adjusted factor'!$A$2:$L$52,5,FALSE)*m2k))/'TCO Inputs'!$AZ$84</f>
        <v>25.05200665804449</v>
      </c>
      <c r="GT145" s="125">
        <f>GT34/293.07*(1/(VLOOKUP($BM145,'Fuel economy adjusted factor'!$A$2:$L$52,5,FALSE)*m2k))/'TCO Inputs'!$AZ$84</f>
        <v>25.05200665804449</v>
      </c>
      <c r="GU145" s="125">
        <f>GU34/293.07*(1/(VLOOKUP($BM145,'Fuel economy adjusted factor'!$A$2:$L$52,5,FALSE)*m2k))/'TCO Inputs'!$AZ$84</f>
        <v>22.478484002889669</v>
      </c>
      <c r="GV145" s="125">
        <f>GV34/293.07*(1/(VLOOKUP($BM145,'Fuel economy adjusted factor'!$A$2:$L$52,5,FALSE)*m2k))/'TCO Inputs'!$AZ$84</f>
        <v>22.478484002889669</v>
      </c>
      <c r="GW145" s="125">
        <f>GW34/293.07*(1/(VLOOKUP($BM145,'Fuel economy adjusted factor'!$A$2:$L$52,5,FALSE)*m2k))/'TCO Inputs'!$AZ$84</f>
        <v>22.478484002889669</v>
      </c>
      <c r="GX145" s="125">
        <f>GX34/293.07*(1/(VLOOKUP($BM145,'Fuel economy adjusted factor'!$A$2:$L$52,5,FALSE)*m2k))/'TCO Inputs'!$AZ$84</f>
        <v>22.478484002889669</v>
      </c>
      <c r="GY145" s="125">
        <f>GY34/293.07*(1/(VLOOKUP($BM145,'Fuel economy adjusted factor'!$A$2:$L$52,5,FALSE)*m2k))/'TCO Inputs'!$AZ$84</f>
        <v>22.478484002889669</v>
      </c>
      <c r="GZ145" s="125">
        <f>GZ34/293.07*(1/(VLOOKUP($BM145,'Fuel economy adjusted factor'!$A$2:$L$52,5,FALSE)*m2k))/'TCO Inputs'!$AZ$84</f>
        <v>21.663382521363754</v>
      </c>
      <c r="HA145" s="125">
        <f>HA34/293.07*(1/(VLOOKUP($BM145,'Fuel economy adjusted factor'!$A$2:$L$52,5,FALSE)*m2k))/'TCO Inputs'!$AZ$84</f>
        <v>21.663382521363754</v>
      </c>
      <c r="HB145" s="125">
        <f>HB34/293.07*(1/(VLOOKUP($BM145,'Fuel economy adjusted factor'!$A$2:$L$52,5,FALSE)*m2k))/'TCO Inputs'!$AZ$84</f>
        <v>21.663382521363754</v>
      </c>
      <c r="HC145" s="125">
        <f>HC34/293.07*(1/(VLOOKUP($BM145,'Fuel economy adjusted factor'!$A$2:$L$52,5,FALSE)*m2k))/'TCO Inputs'!$AZ$84</f>
        <v>21.663382521363754</v>
      </c>
      <c r="HD145" s="125">
        <f>HD34/293.07*(1/(VLOOKUP($BM145,'Fuel economy adjusted factor'!$A$2:$L$52,5,FALSE)*m2k))/'TCO Inputs'!$AZ$84</f>
        <v>21.663382521363754</v>
      </c>
      <c r="HE145" s="125">
        <f>HE34/293.07*(1/(VLOOKUP($BM145,'Fuel economy adjusted factor'!$A$2:$L$52,5,FALSE)*m2k))/'TCO Inputs'!$AZ$84</f>
        <v>20.801023470796576</v>
      </c>
      <c r="HF145" s="125">
        <f>HF34/293.07*(1/(VLOOKUP($BM145,'Fuel economy adjusted factor'!$A$2:$L$52,5,FALSE)*m2k))/'TCO Inputs'!$AZ$84</f>
        <v>20.801023470796576</v>
      </c>
      <c r="HG145" s="125">
        <f>HG34/293.07*(1/(VLOOKUP($BM145,'Fuel economy adjusted factor'!$A$2:$L$52,5,FALSE)*m2k))/'TCO Inputs'!$AZ$84</f>
        <v>20.801023470796576</v>
      </c>
      <c r="HH145" s="125">
        <f>HH34/293.07*(1/(VLOOKUP($BM145,'Fuel economy adjusted factor'!$A$2:$L$52,5,FALSE)*m2k))/'TCO Inputs'!$AZ$84</f>
        <v>20.801023470796576</v>
      </c>
      <c r="HI145" s="125">
        <f>HI34/293.07*(1/(VLOOKUP($BM145,'Fuel economy adjusted factor'!$A$2:$L$52,5,FALSE)*m2k))/'TCO Inputs'!$AZ$84</f>
        <v>20.801023470796576</v>
      </c>
      <c r="HJ145" s="125">
        <f>HJ34/293.07*(1/(VLOOKUP($BM145,'Fuel economy adjusted factor'!$A$2:$L$52,5,FALSE)*m2k))/'TCO Inputs'!$AZ$84</f>
        <v>19.479276888618841</v>
      </c>
      <c r="HK145" s="98" cm="1">
        <f t="array" ref="HK145">SUMPRODUCT(INDEX(GI145:HJ145,,'TCO Inputs'!$AZ$12-2023+_xlfn.SEQUENCE('TCO Inputs'!$AZ$13))*INDEX('VKT US'!C91:AA91,,_xlfn.SEQUENCE('TCO Inputs'!$AZ$13)))*m2k*CONVERT(0.9072,"g","ton")</f>
        <v>8.4634687170813923</v>
      </c>
    </row>
    <row r="146" spans="26:219" x14ac:dyDescent="0.25">
      <c r="Z146" s="123" t="s">
        <v>213</v>
      </c>
      <c r="AA146" s="125">
        <f>AA35/293.07*(1/(VLOOKUP($Z146,'Fuel economy adjusted factor'!$A$2:$L$52,5,FALSE)*m2k))/'TCO Inputs'!$AZ$84</f>
        <v>65.337896342043607</v>
      </c>
      <c r="AB146" s="125">
        <f>AB35/293.07*(1/(VLOOKUP($Z146,'Fuel economy adjusted factor'!$A$2:$L$52,5,FALSE)*m2k))/'TCO Inputs'!$AZ$84</f>
        <v>65.337896342043607</v>
      </c>
      <c r="AC146" s="125">
        <f>AC35/293.07*(1/(VLOOKUP($Z146,'Fuel economy adjusted factor'!$A$2:$L$52,5,FALSE)*m2k))/'TCO Inputs'!$AZ$84</f>
        <v>57.464277264658762</v>
      </c>
      <c r="AD146" s="125">
        <f>AD35/293.07*(1/(VLOOKUP($Z146,'Fuel economy adjusted factor'!$A$2:$L$52,5,FALSE)*m2k))/'TCO Inputs'!$AZ$84</f>
        <v>57.464277264658762</v>
      </c>
      <c r="AE146" s="125">
        <f>AE35/293.07*(1/(VLOOKUP($Z146,'Fuel economy adjusted factor'!$A$2:$L$52,5,FALSE)*m2k))/'TCO Inputs'!$AZ$84</f>
        <v>57.464277264658762</v>
      </c>
      <c r="AF146" s="125">
        <f>AF35/293.07*(1/(VLOOKUP($Z146,'Fuel economy adjusted factor'!$A$2:$L$52,5,FALSE)*m2k))/'TCO Inputs'!$AZ$84</f>
        <v>57.464277264658762</v>
      </c>
      <c r="AG146" s="125">
        <f>AG35/293.07*(1/(VLOOKUP($Z146,'Fuel economy adjusted factor'!$A$2:$L$52,5,FALSE)*m2k))/'TCO Inputs'!$AZ$84</f>
        <v>57.464277264658762</v>
      </c>
      <c r="AH146" s="125">
        <f>AH35/293.07*(1/(VLOOKUP($Z146,'Fuel economy adjusted factor'!$A$2:$L$52,5,FALSE)*m2k))/'TCO Inputs'!$AZ$84</f>
        <v>34.526703340556324</v>
      </c>
      <c r="AI146" s="125">
        <f>AI35/293.07*(1/(VLOOKUP($Z146,'Fuel economy adjusted factor'!$A$2:$L$52,5,FALSE)*m2k))/'TCO Inputs'!$AZ$84</f>
        <v>34.526703340556324</v>
      </c>
      <c r="AJ146" s="125">
        <f>AJ35/293.07*(1/(VLOOKUP($Z146,'Fuel economy adjusted factor'!$A$2:$L$52,5,FALSE)*m2k))/'TCO Inputs'!$AZ$84</f>
        <v>34.526703340556324</v>
      </c>
      <c r="AK146" s="125">
        <f>AK35/293.07*(1/(VLOOKUP($Z146,'Fuel economy adjusted factor'!$A$2:$L$52,5,FALSE)*m2k))/'TCO Inputs'!$AZ$84</f>
        <v>34.526703340556324</v>
      </c>
      <c r="AL146" s="125">
        <f>AL35/293.07*(1/(VLOOKUP($Z146,'Fuel economy adjusted factor'!$A$2:$L$52,5,FALSE)*m2k))/'TCO Inputs'!$AZ$84</f>
        <v>34.526703340556324</v>
      </c>
      <c r="AM146" s="125">
        <f>AM35/293.07*(1/(VLOOKUP($Z146,'Fuel economy adjusted factor'!$A$2:$L$52,5,FALSE)*m2k))/'TCO Inputs'!$AZ$84</f>
        <v>36.131437240896901</v>
      </c>
      <c r="AN146" s="125">
        <f>AN35/293.07*(1/(VLOOKUP($Z146,'Fuel economy adjusted factor'!$A$2:$L$52,5,FALSE)*m2k))/'TCO Inputs'!$AZ$84</f>
        <v>36.131437240896901</v>
      </c>
      <c r="AO146" s="125">
        <f>AO35/293.07*(1/(VLOOKUP($Z146,'Fuel economy adjusted factor'!$A$2:$L$52,5,FALSE)*m2k))/'TCO Inputs'!$AZ$84</f>
        <v>36.131437240896901</v>
      </c>
      <c r="AP146" s="125">
        <f>AP35/293.07*(1/(VLOOKUP($Z146,'Fuel economy adjusted factor'!$A$2:$L$52,5,FALSE)*m2k))/'TCO Inputs'!$AZ$84</f>
        <v>36.131437240896901</v>
      </c>
      <c r="AQ146" s="125">
        <f>AQ35/293.07*(1/(VLOOKUP($Z146,'Fuel economy adjusted factor'!$A$2:$L$52,5,FALSE)*m2k))/'TCO Inputs'!$AZ$84</f>
        <v>36.131437240896901</v>
      </c>
      <c r="AR146" s="125">
        <f>AR35/293.07*(1/(VLOOKUP($Z146,'Fuel economy adjusted factor'!$A$2:$L$52,5,FALSE)*m2k))/'TCO Inputs'!$AZ$84</f>
        <v>37.769907310463338</v>
      </c>
      <c r="AS146" s="125">
        <f>AS35/293.07*(1/(VLOOKUP($Z146,'Fuel economy adjusted factor'!$A$2:$L$52,5,FALSE)*m2k))/'TCO Inputs'!$AZ$84</f>
        <v>37.769907310463338</v>
      </c>
      <c r="AT146" s="125">
        <f>AT35/293.07*(1/(VLOOKUP($Z146,'Fuel economy adjusted factor'!$A$2:$L$52,5,FALSE)*m2k))/'TCO Inputs'!$AZ$84</f>
        <v>37.769907310463338</v>
      </c>
      <c r="AU146" s="125">
        <f>AU35/293.07*(1/(VLOOKUP($Z146,'Fuel economy adjusted factor'!$A$2:$L$52,5,FALSE)*m2k))/'TCO Inputs'!$AZ$84</f>
        <v>37.769907310463338</v>
      </c>
      <c r="AV146" s="125">
        <f>AV35/293.07*(1/(VLOOKUP($Z146,'Fuel economy adjusted factor'!$A$2:$L$52,5,FALSE)*m2k))/'TCO Inputs'!$AZ$84</f>
        <v>37.769907310463338</v>
      </c>
      <c r="AW146" s="125">
        <f>AW35/293.07*(1/(VLOOKUP($Z146,'Fuel economy adjusted factor'!$A$2:$L$52,5,FALSE)*m2k))/'TCO Inputs'!$AZ$84</f>
        <v>38.59870931860911</v>
      </c>
      <c r="AX146" s="125">
        <f>AX35/293.07*(1/(VLOOKUP($Z146,'Fuel economy adjusted factor'!$A$2:$L$52,5,FALSE)*m2k))/'TCO Inputs'!$AZ$84</f>
        <v>38.59870931860911</v>
      </c>
      <c r="AY146" s="125">
        <f>AY35/293.07*(1/(VLOOKUP($Z146,'Fuel economy adjusted factor'!$A$2:$L$52,5,FALSE)*m2k))/'TCO Inputs'!$AZ$84</f>
        <v>38.59870931860911</v>
      </c>
      <c r="AZ146" s="125">
        <f>AZ35/293.07*(1/(VLOOKUP($Z146,'Fuel economy adjusted factor'!$A$2:$L$52,5,FALSE)*m2k))/'TCO Inputs'!$AZ$84</f>
        <v>38.59870931860911</v>
      </c>
      <c r="BA146" s="125">
        <f>BA35/293.07*(1/(VLOOKUP($Z146,'Fuel economy adjusted factor'!$A$2:$L$52,5,FALSE)*m2k))/'TCO Inputs'!$AZ$84</f>
        <v>38.59870931860911</v>
      </c>
      <c r="BB146" s="125">
        <f>BB35/293.07*(1/(VLOOKUP($Z146,'Fuel economy adjusted factor'!$A$2:$L$52,5,FALSE)*m2k))/'TCO Inputs'!$AZ$84</f>
        <v>38.651075909646266</v>
      </c>
      <c r="BC146" s="98" cm="1">
        <f t="array" ref="BC146">SUMPRODUCT(INDEX(AA146:BB146,,'TCO Inputs'!$AZ$12-2023+_xlfn.SEQUENCE('TCO Inputs'!$AZ$13))*INDEX('VKT US'!C92:AA92,,_xlfn.SEQUENCE('TCO Inputs'!$AZ$13)))*m2k*CONVERT(0.9072,"g","ton")</f>
        <v>12.617692802385156</v>
      </c>
      <c r="BM146" s="123" t="s">
        <v>213</v>
      </c>
      <c r="BN146" s="125">
        <f>BN35/293.07*(1/(VLOOKUP($BM146,'Fuel economy adjusted factor'!$A$2:$L$52,5,FALSE)*m2k))</f>
        <v>55.537211890737069</v>
      </c>
      <c r="BO146" s="125">
        <f>BO35/293.07*(1/(VLOOKUP($BM146,'Fuel economy adjusted factor'!$A$2:$L$52,5,FALSE)*m2k))</f>
        <v>55.537211890737069</v>
      </c>
      <c r="BP146" s="125">
        <f>BP35/293.07*(1/(VLOOKUP($BM146,'Fuel economy adjusted factor'!$A$2:$L$52,5,FALSE)*m2k))</f>
        <v>48.780864244624787</v>
      </c>
      <c r="BQ146" s="125">
        <f>BQ35/293.07*(1/(VLOOKUP($BM146,'Fuel economy adjusted factor'!$A$2:$L$52,5,FALSE)*m2k))</f>
        <v>48.780864244624787</v>
      </c>
      <c r="BR146" s="125">
        <f>BR35/293.07*(1/(VLOOKUP($BM146,'Fuel economy adjusted factor'!$A$2:$L$52,5,FALSE)*m2k))</f>
        <v>48.780864244624787</v>
      </c>
      <c r="BS146" s="125">
        <f>BS35/293.07*(1/(VLOOKUP($BM146,'Fuel economy adjusted factor'!$A$2:$L$52,5,FALSE)*m2k))</f>
        <v>48.780864244624787</v>
      </c>
      <c r="BT146" s="125">
        <f>BT35/293.07*(1/(VLOOKUP($BM146,'Fuel economy adjusted factor'!$A$2:$L$52,5,FALSE)*m2k))</f>
        <v>48.780864244624787</v>
      </c>
      <c r="BU146" s="125">
        <f>BU35/293.07*(1/(VLOOKUP($BM146,'Fuel economy adjusted factor'!$A$2:$L$52,5,FALSE)*m2k))</f>
        <v>55.296250043229065</v>
      </c>
      <c r="BV146" s="125">
        <f>BV35/293.07*(1/(VLOOKUP($BM146,'Fuel economy adjusted factor'!$A$2:$L$52,5,FALSE)*m2k))</f>
        <v>55.296250043229065</v>
      </c>
      <c r="BW146" s="125">
        <f>BW35/293.07*(1/(VLOOKUP($BM146,'Fuel economy adjusted factor'!$A$2:$L$52,5,FALSE)*m2k))</f>
        <v>55.296250043229065</v>
      </c>
      <c r="BX146" s="125">
        <f>BX35/293.07*(1/(VLOOKUP($BM146,'Fuel economy adjusted factor'!$A$2:$L$52,5,FALSE)*m2k))</f>
        <v>55.296250043229065</v>
      </c>
      <c r="BY146" s="125">
        <f>BY35/293.07*(1/(VLOOKUP($BM146,'Fuel economy adjusted factor'!$A$2:$L$52,5,FALSE)*m2k))</f>
        <v>55.296250043229065</v>
      </c>
      <c r="BZ146" s="125">
        <f>BZ35/293.07*(1/(VLOOKUP($BM146,'Fuel economy adjusted factor'!$A$2:$L$52,5,FALSE)*m2k))</f>
        <v>56.626034164378879</v>
      </c>
      <c r="CA146" s="125">
        <f>CA35/293.07*(1/(VLOOKUP($BM146,'Fuel economy adjusted factor'!$A$2:$L$52,5,FALSE)*m2k))</f>
        <v>56.626034164378879</v>
      </c>
      <c r="CB146" s="125">
        <f>CB35/293.07*(1/(VLOOKUP($BM146,'Fuel economy adjusted factor'!$A$2:$L$52,5,FALSE)*m2k))</f>
        <v>56.626034164378879</v>
      </c>
      <c r="CC146" s="125">
        <f>CC35/293.07*(1/(VLOOKUP($BM146,'Fuel economy adjusted factor'!$A$2:$L$52,5,FALSE)*m2k))</f>
        <v>56.626034164378879</v>
      </c>
      <c r="CD146" s="125">
        <f>CD35/293.07*(1/(VLOOKUP($BM146,'Fuel economy adjusted factor'!$A$2:$L$52,5,FALSE)*m2k))</f>
        <v>56.626034164378879</v>
      </c>
      <c r="CE146" s="125">
        <f>CE35/293.07*(1/(VLOOKUP($BM146,'Fuel economy adjusted factor'!$A$2:$L$52,5,FALSE)*m2k))</f>
        <v>58.025581662338283</v>
      </c>
      <c r="CF146" s="125">
        <f>CF35/293.07*(1/(VLOOKUP($BM146,'Fuel economy adjusted factor'!$A$2:$L$52,5,FALSE)*m2k))</f>
        <v>58.025581662338283</v>
      </c>
      <c r="CG146" s="125">
        <f>CG35/293.07*(1/(VLOOKUP($BM146,'Fuel economy adjusted factor'!$A$2:$L$52,5,FALSE)*m2k))</f>
        <v>58.025581662338283</v>
      </c>
      <c r="CH146" s="125">
        <f>CH35/293.07*(1/(VLOOKUP($BM146,'Fuel economy adjusted factor'!$A$2:$L$52,5,FALSE)*m2k))</f>
        <v>58.025581662338283</v>
      </c>
      <c r="CI146" s="125">
        <f>CI35/293.07*(1/(VLOOKUP($BM146,'Fuel economy adjusted factor'!$A$2:$L$52,5,FALSE)*m2k))</f>
        <v>58.025581662338283</v>
      </c>
      <c r="CJ146" s="125">
        <f>CJ35/293.07*(1/(VLOOKUP($BM146,'Fuel economy adjusted factor'!$A$2:$L$52,5,FALSE)*m2k))</f>
        <v>58.357706695493185</v>
      </c>
      <c r="CK146" s="125">
        <f>CK35/293.07*(1/(VLOOKUP($BM146,'Fuel economy adjusted factor'!$A$2:$L$52,5,FALSE)*m2k))</f>
        <v>58.357706695493185</v>
      </c>
      <c r="CL146" s="125">
        <f>CL35/293.07*(1/(VLOOKUP($BM146,'Fuel economy adjusted factor'!$A$2:$L$52,5,FALSE)*m2k))</f>
        <v>58.357706695493185</v>
      </c>
      <c r="CM146" s="125">
        <f>CM35/293.07*(1/(VLOOKUP($BM146,'Fuel economy adjusted factor'!$A$2:$L$52,5,FALSE)*m2k))</f>
        <v>58.357706695493185</v>
      </c>
      <c r="CN146" s="125">
        <f>CN35/293.07*(1/(VLOOKUP($BM146,'Fuel economy adjusted factor'!$A$2:$L$52,5,FALSE)*m2k))</f>
        <v>58.357706695493185</v>
      </c>
      <c r="CO146" s="125">
        <f>CO35/293.07*(1/(VLOOKUP($BM146,'Fuel economy adjusted factor'!$A$2:$L$52,5,FALSE)*m2k))</f>
        <v>58.754459151336711</v>
      </c>
      <c r="CP146" s="98" cm="1">
        <f t="array" ref="CP146">SUMPRODUCT(INDEX(BN146:CO146,,'TCO Inputs'!$AZ$12-2023+_xlfn.SEQUENCE('TCO Inputs'!$AZ$13))*INDEX('VKT US'!C92:AA92,,_xlfn.SEQUENCE('TCO Inputs'!$AZ$13)))*m2k*CONVERT(0.9072,"g","ton")</f>
        <v>13.743362359700068</v>
      </c>
      <c r="CQ146" s="194"/>
      <c r="CR146" s="123" t="s">
        <v>213</v>
      </c>
      <c r="CS146" s="125">
        <f>CS35/293.07*(1/(VLOOKUP($BM146,'Fuel economy adjusted factor'!$A$2:$L$52,5,FALSE)*m2k))/'TCO Inputs'!$AZ$84</f>
        <v>79.106785110419167</v>
      </c>
      <c r="CT146" s="125">
        <f>CT35/293.07*(1/(VLOOKUP($BM146,'Fuel economy adjusted factor'!$A$2:$L$52,5,FALSE)*m2k))/'TCO Inputs'!$AZ$84</f>
        <v>79.106785110419167</v>
      </c>
      <c r="CU146" s="125">
        <f>CU35/293.07*(1/(VLOOKUP($BM146,'Fuel economy adjusted factor'!$A$2:$L$52,5,FALSE)*m2k))/'TCO Inputs'!$AZ$84</f>
        <v>79.106785110419167</v>
      </c>
      <c r="CV146" s="125">
        <f>CV35/293.07*(1/(VLOOKUP($BM146,'Fuel economy adjusted factor'!$A$2:$L$52,5,FALSE)*m2k))/'TCO Inputs'!$AZ$84</f>
        <v>79.106785110419167</v>
      </c>
      <c r="CW146" s="125">
        <f>CW35/293.07*(1/(VLOOKUP($BM146,'Fuel economy adjusted factor'!$A$2:$L$52,5,FALSE)*m2k))/'TCO Inputs'!$AZ$84</f>
        <v>79.106785110419167</v>
      </c>
      <c r="CX146" s="125">
        <f>CX35/293.07*(1/(VLOOKUP($BM146,'Fuel economy adjusted factor'!$A$2:$L$52,5,FALSE)*m2k))/'TCO Inputs'!$AZ$84</f>
        <v>79.106785110419167</v>
      </c>
      <c r="CY146" s="125">
        <f>CY35/293.07*(1/(VLOOKUP($BM146,'Fuel economy adjusted factor'!$A$2:$L$52,5,FALSE)*m2k))/'TCO Inputs'!$AZ$84</f>
        <v>79.106785110419167</v>
      </c>
      <c r="CZ146" s="125">
        <f>CZ35/293.07*(1/(VLOOKUP($BM146,'Fuel economy adjusted factor'!$A$2:$L$52,5,FALSE)*m2k))/'TCO Inputs'!$AZ$84</f>
        <v>79.124408482402842</v>
      </c>
      <c r="DA146" s="125">
        <f>DA35/293.07*(1/(VLOOKUP($BM146,'Fuel economy adjusted factor'!$A$2:$L$52,5,FALSE)*m2k))/'TCO Inputs'!$AZ$84</f>
        <v>79.124408482402842</v>
      </c>
      <c r="DB146" s="125">
        <f>DB35/293.07*(1/(VLOOKUP($BM146,'Fuel economy adjusted factor'!$A$2:$L$52,5,FALSE)*m2k))/'TCO Inputs'!$AZ$84</f>
        <v>79.124408482402842</v>
      </c>
      <c r="DC146" s="125">
        <f>DC35/293.07*(1/(VLOOKUP($BM146,'Fuel economy adjusted factor'!$A$2:$L$52,5,FALSE)*m2k))/'TCO Inputs'!$AZ$84</f>
        <v>79.124408482402842</v>
      </c>
      <c r="DD146" s="125">
        <f>DD35/293.07*(1/(VLOOKUP($BM146,'Fuel economy adjusted factor'!$A$2:$L$52,5,FALSE)*m2k))/'TCO Inputs'!$AZ$84</f>
        <v>79.124408482402842</v>
      </c>
      <c r="DE146" s="125">
        <f>DE35/293.07*(1/(VLOOKUP($BM146,'Fuel economy adjusted factor'!$A$2:$L$52,5,FALSE)*m2k))/'TCO Inputs'!$AZ$84</f>
        <v>79.114337984126465</v>
      </c>
      <c r="DF146" s="125">
        <f>DF35/293.07*(1/(VLOOKUP($BM146,'Fuel economy adjusted factor'!$A$2:$L$52,5,FALSE)*m2k))/'TCO Inputs'!$AZ$84</f>
        <v>79.114337984126465</v>
      </c>
      <c r="DG146" s="125">
        <f>DG35/293.07*(1/(VLOOKUP($BM146,'Fuel economy adjusted factor'!$A$2:$L$52,5,FALSE)*m2k))/'TCO Inputs'!$AZ$84</f>
        <v>79.114337984126465</v>
      </c>
      <c r="DH146" s="125">
        <f>DH35/293.07*(1/(VLOOKUP($BM146,'Fuel economy adjusted factor'!$A$2:$L$52,5,FALSE)*m2k))/'TCO Inputs'!$AZ$84</f>
        <v>79.114337984126465</v>
      </c>
      <c r="DI146" s="125">
        <f>DI35/293.07*(1/(VLOOKUP($BM146,'Fuel economy adjusted factor'!$A$2:$L$52,5,FALSE)*m2k))/'TCO Inputs'!$AZ$84</f>
        <v>79.114337984126465</v>
      </c>
      <c r="DJ146" s="125">
        <f>DJ35/293.07*(1/(VLOOKUP($BM146,'Fuel economy adjusted factor'!$A$2:$L$52,5,FALSE)*m2k))/'TCO Inputs'!$AZ$84</f>
        <v>79.111820359557356</v>
      </c>
      <c r="DK146" s="125">
        <f>DK35/293.07*(1/(VLOOKUP($BM146,'Fuel economy adjusted factor'!$A$2:$L$52,5,FALSE)*m2k))/'TCO Inputs'!$AZ$84</f>
        <v>79.111820359557356</v>
      </c>
      <c r="DL146" s="125">
        <f>DL35/293.07*(1/(VLOOKUP($BM146,'Fuel economy adjusted factor'!$A$2:$L$52,5,FALSE)*m2k))/'TCO Inputs'!$AZ$84</f>
        <v>79.111820359557356</v>
      </c>
      <c r="DM146" s="125">
        <f>DM35/293.07*(1/(VLOOKUP($BM146,'Fuel economy adjusted factor'!$A$2:$L$52,5,FALSE)*m2k))/'TCO Inputs'!$AZ$84</f>
        <v>79.111820359557356</v>
      </c>
      <c r="DN146" s="125">
        <f>DN35/293.07*(1/(VLOOKUP($BM146,'Fuel economy adjusted factor'!$A$2:$L$52,5,FALSE)*m2k))/'TCO Inputs'!$AZ$84</f>
        <v>79.111820359557356</v>
      </c>
      <c r="DO146" s="125">
        <f>DO35/293.07*(1/(VLOOKUP($BM146,'Fuel economy adjusted factor'!$A$2:$L$52,5,FALSE)*m2k))/'TCO Inputs'!$AZ$84</f>
        <v>79.062978442916943</v>
      </c>
      <c r="DP146" s="125">
        <f>DP35/293.07*(1/(VLOOKUP($BM146,'Fuel economy adjusted factor'!$A$2:$L$52,5,FALSE)*m2k))/'TCO Inputs'!$AZ$84</f>
        <v>79.062978442916943</v>
      </c>
      <c r="DQ146" s="125">
        <f>DQ35/293.07*(1/(VLOOKUP($BM146,'Fuel economy adjusted factor'!$A$2:$L$52,5,FALSE)*m2k))/'TCO Inputs'!$AZ$84</f>
        <v>79.062978442916943</v>
      </c>
      <c r="DR146" s="125">
        <f>DR35/293.07*(1/(VLOOKUP($BM146,'Fuel economy adjusted factor'!$A$2:$L$52,5,FALSE)*m2k))/'TCO Inputs'!$AZ$84</f>
        <v>79.062978442916943</v>
      </c>
      <c r="DS146" s="125">
        <f>DS35/293.07*(1/(VLOOKUP($BM146,'Fuel economy adjusted factor'!$A$2:$L$52,5,FALSE)*m2k))/'TCO Inputs'!$AZ$84</f>
        <v>79.062978442916943</v>
      </c>
      <c r="DT146" s="125">
        <f>DT35/293.07*(1/(VLOOKUP($BM146,'Fuel economy adjusted factor'!$A$2:$L$52,5,FALSE)*m2k))/'TCO Inputs'!$AZ$84</f>
        <v>79.103763960936263</v>
      </c>
      <c r="DU146" s="98" cm="1">
        <f t="array" ref="DU146">SUMPRODUCT(INDEX(CS146:DT146,,'TCO Inputs'!$AZ$12-2023+_xlfn.SEQUENCE('TCO Inputs'!$AZ$13))*INDEX('VKT US'!C92:AA92,,_xlfn.SEQUENCE('TCO Inputs'!$AZ$13)))*m2k*CONVERT(0.9072,"g","ton")</f>
        <v>20.509536461985846</v>
      </c>
      <c r="DW146" s="123" t="s">
        <v>213</v>
      </c>
      <c r="DX146" s="125">
        <f>DX35/293.07*(1/(VLOOKUP($BM146,'Fuel economy adjusted factor'!$A$2:$L$52,5,FALSE)*m2k))/'TCO Inputs'!$AZ$84</f>
        <v>82.809705192421362</v>
      </c>
      <c r="DY146" s="125">
        <f>DY35/293.07*(1/(VLOOKUP($BM146,'Fuel economy adjusted factor'!$A$2:$L$52,5,FALSE)*m2k))/'TCO Inputs'!$AZ$84</f>
        <v>82.809705192421362</v>
      </c>
      <c r="DZ146" s="125">
        <f>DZ35/293.07*(1/(VLOOKUP($BM146,'Fuel economy adjusted factor'!$A$2:$L$52,5,FALSE)*m2k))/'TCO Inputs'!$AZ$84</f>
        <v>72.591011347422906</v>
      </c>
      <c r="EA146" s="125">
        <f>EA35/293.07*(1/(VLOOKUP($BM146,'Fuel economy adjusted factor'!$A$2:$L$52,5,FALSE)*m2k))/'TCO Inputs'!$AZ$84</f>
        <v>72.591011347422906</v>
      </c>
      <c r="EB146" s="125">
        <f>EB35/293.07*(1/(VLOOKUP($BM146,'Fuel economy adjusted factor'!$A$2:$L$52,5,FALSE)*m2k))/'TCO Inputs'!$AZ$84</f>
        <v>72.591011347422906</v>
      </c>
      <c r="EC146" s="125">
        <f>EC35/293.07*(1/(VLOOKUP($BM146,'Fuel economy adjusted factor'!$A$2:$L$52,5,FALSE)*m2k))/'TCO Inputs'!$AZ$84</f>
        <v>72.591011347422906</v>
      </c>
      <c r="ED146" s="125">
        <f>ED35/293.07*(1/(VLOOKUP($BM146,'Fuel economy adjusted factor'!$A$2:$L$52,5,FALSE)*m2k))/'TCO Inputs'!$AZ$84</f>
        <v>72.591011347422906</v>
      </c>
      <c r="EE146" s="125">
        <f>EE35/293.07*(1/(VLOOKUP($BM146,'Fuel economy adjusted factor'!$A$2:$L$52,5,FALSE)*m2k))/'TCO Inputs'!$AZ$84</f>
        <v>44.740467879166722</v>
      </c>
      <c r="EF146" s="125">
        <f>EF35/293.07*(1/(VLOOKUP($BM146,'Fuel economy adjusted factor'!$A$2:$L$52,5,FALSE)*m2k))/'TCO Inputs'!$AZ$84</f>
        <v>44.740467879166722</v>
      </c>
      <c r="EG146" s="125">
        <f>EG35/293.07*(1/(VLOOKUP($BM146,'Fuel economy adjusted factor'!$A$2:$L$52,5,FALSE)*m2k))/'TCO Inputs'!$AZ$84</f>
        <v>44.740467879166722</v>
      </c>
      <c r="EH146" s="125">
        <f>EH35/293.07*(1/(VLOOKUP($BM146,'Fuel economy adjusted factor'!$A$2:$L$52,5,FALSE)*m2k))/'TCO Inputs'!$AZ$84</f>
        <v>44.740467879166722</v>
      </c>
      <c r="EI146" s="125">
        <f>EI35/293.07*(1/(VLOOKUP($BM146,'Fuel economy adjusted factor'!$A$2:$L$52,5,FALSE)*m2k))/'TCO Inputs'!$AZ$84</f>
        <v>44.740467879166722</v>
      </c>
      <c r="EJ146" s="125">
        <f>EJ35/293.07*(1/(VLOOKUP($BM146,'Fuel economy adjusted factor'!$A$2:$L$52,5,FALSE)*m2k))/'TCO Inputs'!$AZ$84</f>
        <v>39.958494694572529</v>
      </c>
      <c r="EK146" s="125">
        <f>EK35/293.07*(1/(VLOOKUP($BM146,'Fuel economy adjusted factor'!$A$2:$L$52,5,FALSE)*m2k))/'TCO Inputs'!$AZ$84</f>
        <v>39.958494694572529</v>
      </c>
      <c r="EL146" s="125">
        <f>EL35/293.07*(1/(VLOOKUP($BM146,'Fuel economy adjusted factor'!$A$2:$L$52,5,FALSE)*m2k))/'TCO Inputs'!$AZ$84</f>
        <v>39.958494694572529</v>
      </c>
      <c r="EM146" s="125">
        <f>EM35/293.07*(1/(VLOOKUP($BM146,'Fuel economy adjusted factor'!$A$2:$L$52,5,FALSE)*m2k))/'TCO Inputs'!$AZ$84</f>
        <v>39.958494694572529</v>
      </c>
      <c r="EN146" s="125">
        <f>EN35/293.07*(1/(VLOOKUP($BM146,'Fuel economy adjusted factor'!$A$2:$L$52,5,FALSE)*m2k))/'TCO Inputs'!$AZ$84</f>
        <v>39.958494694572529</v>
      </c>
      <c r="EO146" s="125">
        <f>EO35/293.07*(1/(VLOOKUP($BM146,'Fuel economy adjusted factor'!$A$2:$L$52,5,FALSE)*m2k))/'TCO Inputs'!$AZ$84</f>
        <v>38.700818677257658</v>
      </c>
      <c r="EP146" s="125">
        <f>EP35/293.07*(1/(VLOOKUP($BM146,'Fuel economy adjusted factor'!$A$2:$L$52,5,FALSE)*m2k))/'TCO Inputs'!$AZ$84</f>
        <v>38.700818677257658</v>
      </c>
      <c r="EQ146" s="125">
        <f>EQ35/293.07*(1/(VLOOKUP($BM146,'Fuel economy adjusted factor'!$A$2:$L$52,5,FALSE)*m2k))/'TCO Inputs'!$AZ$84</f>
        <v>38.700818677257658</v>
      </c>
      <c r="ER146" s="125">
        <f>ER35/293.07*(1/(VLOOKUP($BM146,'Fuel economy adjusted factor'!$A$2:$L$52,5,FALSE)*m2k))/'TCO Inputs'!$AZ$84</f>
        <v>38.700818677257658</v>
      </c>
      <c r="ES146" s="125">
        <f>ES35/293.07*(1/(VLOOKUP($BM146,'Fuel economy adjusted factor'!$A$2:$L$52,5,FALSE)*m2k))/'TCO Inputs'!$AZ$84</f>
        <v>38.700818677257658</v>
      </c>
      <c r="ET146" s="125">
        <f>ET35/293.07*(1/(VLOOKUP($BM146,'Fuel economy adjusted factor'!$A$2:$L$52,5,FALSE)*m2k))/'TCO Inputs'!$AZ$84</f>
        <v>37.263910110698696</v>
      </c>
      <c r="EU146" s="125">
        <f>EU35/293.07*(1/(VLOOKUP($BM146,'Fuel economy adjusted factor'!$A$2:$L$52,5,FALSE)*m2k))/'TCO Inputs'!$AZ$84</f>
        <v>37.263910110698696</v>
      </c>
      <c r="EV146" s="125">
        <f>EV35/293.07*(1/(VLOOKUP($BM146,'Fuel economy adjusted factor'!$A$2:$L$52,5,FALSE)*m2k))/'TCO Inputs'!$AZ$84</f>
        <v>37.263910110698696</v>
      </c>
      <c r="EW146" s="125">
        <f>EW35/293.07*(1/(VLOOKUP($BM146,'Fuel economy adjusted factor'!$A$2:$L$52,5,FALSE)*m2k))/'TCO Inputs'!$AZ$84</f>
        <v>37.263910110698696</v>
      </c>
      <c r="EX146" s="125">
        <f>EX35/293.07*(1/(VLOOKUP($BM146,'Fuel economy adjusted factor'!$A$2:$L$52,5,FALSE)*m2k))/'TCO Inputs'!$AZ$84</f>
        <v>37.263910110698696</v>
      </c>
      <c r="EY146" s="125">
        <f>EY35/293.07*(1/(VLOOKUP($BM146,'Fuel economy adjusted factor'!$A$2:$L$52,5,FALSE)*m2k))/'TCO Inputs'!$AZ$84</f>
        <v>35.010700920201472</v>
      </c>
      <c r="EZ146" s="98" cm="1">
        <f t="array" ref="EZ146">SUMPRODUCT(INDEX(DX146:EY146,,'TCO Inputs'!$AZ$12-2023+_xlfn.SEQUENCE('TCO Inputs'!$AZ$13))*INDEX('VKT US'!C92:AA92,,_xlfn.SEQUENCE('TCO Inputs'!$AZ$13)))*m2k*CONVERT(0.9072,"g","ton")</f>
        <v>15.870532541994791</v>
      </c>
      <c r="FB146" s="123" t="s">
        <v>213</v>
      </c>
      <c r="FC146" s="125">
        <f>FC35/293.07*(1/(VLOOKUP($BM146,'Fuel economy adjusted factor'!$A$2:$L$52,5,FALSE)*m2k))/'TCO Inputs'!$AZ$84</f>
        <v>89.819282917620782</v>
      </c>
      <c r="FD146" s="125">
        <f>FD35/293.07*(1/(VLOOKUP($BM146,'Fuel economy adjusted factor'!$A$2:$L$52,5,FALSE)*m2k))/'TCO Inputs'!$AZ$84</f>
        <v>89.819282917620782</v>
      </c>
      <c r="FE146" s="125">
        <f>FE35/293.07*(1/(VLOOKUP($BM146,'Fuel economy adjusted factor'!$A$2:$L$52,5,FALSE)*m2k))/'TCO Inputs'!$AZ$84</f>
        <v>78.439235309663104</v>
      </c>
      <c r="FF146" s="125">
        <f>FF35/293.07*(1/(VLOOKUP($BM146,'Fuel economy adjusted factor'!$A$2:$L$52,5,FALSE)*m2k))/'TCO Inputs'!$AZ$84</f>
        <v>78.439235309663104</v>
      </c>
      <c r="FG146" s="125">
        <f>FG35/293.07*(1/(VLOOKUP($BM146,'Fuel economy adjusted factor'!$A$2:$L$52,5,FALSE)*m2k))/'TCO Inputs'!$AZ$84</f>
        <v>78.439235309663104</v>
      </c>
      <c r="FH146" s="125">
        <f>FH35/293.07*(1/(VLOOKUP($BM146,'Fuel economy adjusted factor'!$A$2:$L$52,5,FALSE)*m2k))/'TCO Inputs'!$AZ$84</f>
        <v>78.439235309663104</v>
      </c>
      <c r="FI146" s="125">
        <f>FI35/293.07*(1/(VLOOKUP($BM146,'Fuel economy adjusted factor'!$A$2:$L$52,5,FALSE)*m2k))/'TCO Inputs'!$AZ$84</f>
        <v>78.439235309663104</v>
      </c>
      <c r="FJ146" s="125">
        <f>FJ35/293.07*(1/(VLOOKUP($BM146,'Fuel economy adjusted factor'!$A$2:$L$52,5,FALSE)*m2k))/'TCO Inputs'!$AZ$84</f>
        <v>49.22250087931161</v>
      </c>
      <c r="FK146" s="125">
        <f>FK35/293.07*(1/(VLOOKUP($BM146,'Fuel economy adjusted factor'!$A$2:$L$52,5,FALSE)*m2k))/'TCO Inputs'!$AZ$84</f>
        <v>49.22250087931161</v>
      </c>
      <c r="FL146" s="125">
        <f>FL35/293.07*(1/(VLOOKUP($BM146,'Fuel economy adjusted factor'!$A$2:$L$52,5,FALSE)*m2k))/'TCO Inputs'!$AZ$84</f>
        <v>49.22250087931161</v>
      </c>
      <c r="FM146" s="125">
        <f>FM35/293.07*(1/(VLOOKUP($BM146,'Fuel economy adjusted factor'!$A$2:$L$52,5,FALSE)*m2k))/'TCO Inputs'!$AZ$84</f>
        <v>49.22250087931161</v>
      </c>
      <c r="FN146" s="125">
        <f>FN35/293.07*(1/(VLOOKUP($BM146,'Fuel economy adjusted factor'!$A$2:$L$52,5,FALSE)*m2k))/'TCO Inputs'!$AZ$84</f>
        <v>49.22250087931161</v>
      </c>
      <c r="FO146" s="125">
        <f>FO35/293.07*(1/(VLOOKUP($BM146,'Fuel economy adjusted factor'!$A$2:$L$52,5,FALSE)*m2k))/'TCO Inputs'!$AZ$84</f>
        <v>43.707137365667592</v>
      </c>
      <c r="FP146" s="125">
        <f>FP35/293.07*(1/(VLOOKUP($BM146,'Fuel economy adjusted factor'!$A$2:$L$52,5,FALSE)*m2k))/'TCO Inputs'!$AZ$84</f>
        <v>43.707137365667592</v>
      </c>
      <c r="FQ146" s="125">
        <f>FQ35/293.07*(1/(VLOOKUP($BM146,'Fuel economy adjusted factor'!$A$2:$L$52,5,FALSE)*m2k))/'TCO Inputs'!$AZ$84</f>
        <v>43.707137365667592</v>
      </c>
      <c r="FR146" s="125">
        <f>FR35/293.07*(1/(VLOOKUP($BM146,'Fuel economy adjusted factor'!$A$2:$L$52,5,FALSE)*m2k))/'TCO Inputs'!$AZ$84</f>
        <v>43.707137365667592</v>
      </c>
      <c r="FS146" s="125">
        <f>FS35/293.07*(1/(VLOOKUP($BM146,'Fuel economy adjusted factor'!$A$2:$L$52,5,FALSE)*m2k))/'TCO Inputs'!$AZ$84</f>
        <v>43.707137365667592</v>
      </c>
      <c r="FT146" s="125">
        <f>FT35/293.07*(1/(VLOOKUP($BM146,'Fuel economy adjusted factor'!$A$2:$L$52,5,FALSE)*m2k))/'TCO Inputs'!$AZ$84</f>
        <v>42.594554364407465</v>
      </c>
      <c r="FU146" s="125">
        <f>FU35/293.07*(1/(VLOOKUP($BM146,'Fuel economy adjusted factor'!$A$2:$L$52,5,FALSE)*m2k))/'TCO Inputs'!$AZ$84</f>
        <v>42.594554364407465</v>
      </c>
      <c r="FV146" s="125">
        <f>FV35/293.07*(1/(VLOOKUP($BM146,'Fuel economy adjusted factor'!$A$2:$L$52,5,FALSE)*m2k))/'TCO Inputs'!$AZ$84</f>
        <v>42.594554364407465</v>
      </c>
      <c r="FW146" s="125">
        <f>FW35/293.07*(1/(VLOOKUP($BM146,'Fuel economy adjusted factor'!$A$2:$L$52,5,FALSE)*m2k))/'TCO Inputs'!$AZ$84</f>
        <v>42.594554364407465</v>
      </c>
      <c r="FX146" s="125">
        <f>FX35/293.07*(1/(VLOOKUP($BM146,'Fuel economy adjusted factor'!$A$2:$L$52,5,FALSE)*m2k))/'TCO Inputs'!$AZ$84</f>
        <v>42.594554364407465</v>
      </c>
      <c r="FY146" s="125">
        <f>FY35/293.07*(1/(VLOOKUP($BM146,'Fuel economy adjusted factor'!$A$2:$L$52,5,FALSE)*m2k))/'TCO Inputs'!$AZ$84</f>
        <v>41.154597625242317</v>
      </c>
      <c r="FZ146" s="125">
        <f>FZ35/293.07*(1/(VLOOKUP($BM146,'Fuel economy adjusted factor'!$A$2:$L$52,5,FALSE)*m2k))/'TCO Inputs'!$AZ$84</f>
        <v>41.154597625242317</v>
      </c>
      <c r="GA146" s="125">
        <f>GA35/293.07*(1/(VLOOKUP($BM146,'Fuel economy adjusted factor'!$A$2:$L$52,5,FALSE)*m2k))/'TCO Inputs'!$AZ$84</f>
        <v>41.154597625242317</v>
      </c>
      <c r="GB146" s="125">
        <f>GB35/293.07*(1/(VLOOKUP($BM146,'Fuel economy adjusted factor'!$A$2:$L$52,5,FALSE)*m2k))/'TCO Inputs'!$AZ$84</f>
        <v>41.154597625242317</v>
      </c>
      <c r="GC146" s="125">
        <f>GC35/293.07*(1/(VLOOKUP($BM146,'Fuel economy adjusted factor'!$A$2:$L$52,5,FALSE)*m2k))/'TCO Inputs'!$AZ$84</f>
        <v>41.154597625242317</v>
      </c>
      <c r="GD146" s="125">
        <f>GD35/293.07*(1/(VLOOKUP($BM146,'Fuel economy adjusted factor'!$A$2:$L$52,5,FALSE)*m2k))/'TCO Inputs'!$AZ$84</f>
        <v>38.82335521602657</v>
      </c>
      <c r="GE146" s="98" cm="1">
        <f t="array" ref="GE146">SUMPRODUCT(INDEX(FC146:GD146,,'TCO Inputs'!$AZ$12-2023+_xlfn.SEQUENCE('TCO Inputs'!$AZ$13))*INDEX('VKT US'!C92:AA92,,_xlfn.SEQUENCE('TCO Inputs'!$AZ$13)))*m2k*CONVERT(0.9072,"g","ton")</f>
        <v>17.255452105506187</v>
      </c>
      <c r="GH146" s="123" t="s">
        <v>213</v>
      </c>
      <c r="GI146" s="125">
        <f>GI35/293.07*(1/(VLOOKUP($BM146,'Fuel economy adjusted factor'!$A$2:$L$52,5,FALSE)*m2k))/'TCO Inputs'!$AZ$84</f>
        <v>78.038705429209458</v>
      </c>
      <c r="GJ146" s="125">
        <f>GJ35/293.07*(1/(VLOOKUP($BM146,'Fuel economy adjusted factor'!$A$2:$L$52,5,FALSE)*m2k))/'TCO Inputs'!$AZ$84</f>
        <v>78.038705429209458</v>
      </c>
      <c r="GK146" s="125">
        <f>GK35/293.07*(1/(VLOOKUP($BM146,'Fuel economy adjusted factor'!$A$2:$L$52,5,FALSE)*m2k))/'TCO Inputs'!$AZ$84</f>
        <v>68.610707558257232</v>
      </c>
      <c r="GL146" s="125">
        <f>GL35/293.07*(1/(VLOOKUP($BM146,'Fuel economy adjusted factor'!$A$2:$L$52,5,FALSE)*m2k))/'TCO Inputs'!$AZ$84</f>
        <v>68.610707558257232</v>
      </c>
      <c r="GM146" s="125">
        <f>GM35/293.07*(1/(VLOOKUP($BM146,'Fuel economy adjusted factor'!$A$2:$L$52,5,FALSE)*m2k))/'TCO Inputs'!$AZ$84</f>
        <v>68.610707558257232</v>
      </c>
      <c r="GN146" s="125">
        <f>GN35/293.07*(1/(VLOOKUP($BM146,'Fuel economy adjusted factor'!$A$2:$L$52,5,FALSE)*m2k))/'TCO Inputs'!$AZ$84</f>
        <v>68.610707558257232</v>
      </c>
      <c r="GO146" s="125">
        <f>GO35/293.07*(1/(VLOOKUP($BM146,'Fuel economy adjusted factor'!$A$2:$L$52,5,FALSE)*m2k))/'TCO Inputs'!$AZ$84</f>
        <v>68.610707558257232</v>
      </c>
      <c r="GP146" s="125">
        <f>GP35/293.07*(1/(VLOOKUP($BM146,'Fuel economy adjusted factor'!$A$2:$L$52,5,FALSE)*m2k))/'TCO Inputs'!$AZ$84</f>
        <v>41.689856734889652</v>
      </c>
      <c r="GQ146" s="125">
        <f>GQ35/293.07*(1/(VLOOKUP($BM146,'Fuel economy adjusted factor'!$A$2:$L$52,5,FALSE)*m2k))/'TCO Inputs'!$AZ$84</f>
        <v>41.689856734889652</v>
      </c>
      <c r="GR146" s="125">
        <f>GR35/293.07*(1/(VLOOKUP($BM146,'Fuel economy adjusted factor'!$A$2:$L$52,5,FALSE)*m2k))/'TCO Inputs'!$AZ$84</f>
        <v>41.689856734889652</v>
      </c>
      <c r="GS146" s="125">
        <f>GS35/293.07*(1/(VLOOKUP($BM146,'Fuel economy adjusted factor'!$A$2:$L$52,5,FALSE)*m2k))/'TCO Inputs'!$AZ$84</f>
        <v>41.689856734889652</v>
      </c>
      <c r="GT146" s="125">
        <f>GT35/293.07*(1/(VLOOKUP($BM146,'Fuel economy adjusted factor'!$A$2:$L$52,5,FALSE)*m2k))/'TCO Inputs'!$AZ$84</f>
        <v>41.689856734889652</v>
      </c>
      <c r="GU146" s="125">
        <f>GU35/293.07*(1/(VLOOKUP($BM146,'Fuel economy adjusted factor'!$A$2:$L$52,5,FALSE)*m2k))/'TCO Inputs'!$AZ$84</f>
        <v>37.407174223189713</v>
      </c>
      <c r="GV146" s="125">
        <f>GV35/293.07*(1/(VLOOKUP($BM146,'Fuel economy adjusted factor'!$A$2:$L$52,5,FALSE)*m2k))/'TCO Inputs'!$AZ$84</f>
        <v>37.407174223189713</v>
      </c>
      <c r="GW146" s="125">
        <f>GW35/293.07*(1/(VLOOKUP($BM146,'Fuel economy adjusted factor'!$A$2:$L$52,5,FALSE)*m2k))/'TCO Inputs'!$AZ$84</f>
        <v>37.407174223189713</v>
      </c>
      <c r="GX146" s="125">
        <f>GX35/293.07*(1/(VLOOKUP($BM146,'Fuel economy adjusted factor'!$A$2:$L$52,5,FALSE)*m2k))/'TCO Inputs'!$AZ$84</f>
        <v>37.407174223189713</v>
      </c>
      <c r="GY146" s="125">
        <f>GY35/293.07*(1/(VLOOKUP($BM146,'Fuel economy adjusted factor'!$A$2:$L$52,5,FALSE)*m2k))/'TCO Inputs'!$AZ$84</f>
        <v>37.407174223189713</v>
      </c>
      <c r="GZ146" s="125">
        <f>GZ35/293.07*(1/(VLOOKUP($BM146,'Fuel economy adjusted factor'!$A$2:$L$52,5,FALSE)*m2k))/'TCO Inputs'!$AZ$84</f>
        <v>36.050737413434227</v>
      </c>
      <c r="HA146" s="125">
        <f>HA35/293.07*(1/(VLOOKUP($BM146,'Fuel economy adjusted factor'!$A$2:$L$52,5,FALSE)*m2k))/'TCO Inputs'!$AZ$84</f>
        <v>36.050737413434227</v>
      </c>
      <c r="HB146" s="125">
        <f>HB35/293.07*(1/(VLOOKUP($BM146,'Fuel economy adjusted factor'!$A$2:$L$52,5,FALSE)*m2k))/'TCO Inputs'!$AZ$84</f>
        <v>36.050737413434227</v>
      </c>
      <c r="HC146" s="125">
        <f>HC35/293.07*(1/(VLOOKUP($BM146,'Fuel economy adjusted factor'!$A$2:$L$52,5,FALSE)*m2k))/'TCO Inputs'!$AZ$84</f>
        <v>36.050737413434227</v>
      </c>
      <c r="HD146" s="125">
        <f>HD35/293.07*(1/(VLOOKUP($BM146,'Fuel economy adjusted factor'!$A$2:$L$52,5,FALSE)*m2k))/'TCO Inputs'!$AZ$84</f>
        <v>36.050737413434227</v>
      </c>
      <c r="HE146" s="125">
        <f>HE35/293.07*(1/(VLOOKUP($BM146,'Fuel economy adjusted factor'!$A$2:$L$52,5,FALSE)*m2k))/'TCO Inputs'!$AZ$84</f>
        <v>34.61565775043897</v>
      </c>
      <c r="HF146" s="125">
        <f>HF35/293.07*(1/(VLOOKUP($BM146,'Fuel economy adjusted factor'!$A$2:$L$52,5,FALSE)*m2k))/'TCO Inputs'!$AZ$84</f>
        <v>34.61565775043897</v>
      </c>
      <c r="HG146" s="125">
        <f>HG35/293.07*(1/(VLOOKUP($BM146,'Fuel economy adjusted factor'!$A$2:$L$52,5,FALSE)*m2k))/'TCO Inputs'!$AZ$84</f>
        <v>34.61565775043897</v>
      </c>
      <c r="HH146" s="125">
        <f>HH35/293.07*(1/(VLOOKUP($BM146,'Fuel economy adjusted factor'!$A$2:$L$52,5,FALSE)*m2k))/'TCO Inputs'!$AZ$84</f>
        <v>34.61565775043897</v>
      </c>
      <c r="HI146" s="125">
        <f>HI35/293.07*(1/(VLOOKUP($BM146,'Fuel economy adjusted factor'!$A$2:$L$52,5,FALSE)*m2k))/'TCO Inputs'!$AZ$84</f>
        <v>34.61565775043897</v>
      </c>
      <c r="HJ146" s="125">
        <f>HJ35/293.07*(1/(VLOOKUP($BM146,'Fuel economy adjusted factor'!$A$2:$L$52,5,FALSE)*m2k))/'TCO Inputs'!$AZ$84</f>
        <v>32.41609639781074</v>
      </c>
      <c r="HK146" s="98" cm="1">
        <f t="array" ref="HK146">SUMPRODUCT(INDEX(GI146:HJ146,,'TCO Inputs'!$AZ$12-2023+_xlfn.SEQUENCE('TCO Inputs'!$AZ$13))*INDEX('VKT US'!C92:AA92,,_xlfn.SEQUENCE('TCO Inputs'!$AZ$13)))*m2k*CONVERT(0.9072,"g","ton")</f>
        <v>14.927931956996467</v>
      </c>
    </row>
    <row r="147" spans="26:219" x14ac:dyDescent="0.25">
      <c r="Z147" s="123" t="s">
        <v>214</v>
      </c>
      <c r="AA147" s="125">
        <f>AA36/293.07*(1/(VLOOKUP($Z147,'Fuel economy adjusted factor'!$A$2:$L$52,5,FALSE)*m2k))/'TCO Inputs'!$AZ$84</f>
        <v>94.02935745423288</v>
      </c>
      <c r="AB147" s="125">
        <f>AB36/293.07*(1/(VLOOKUP($Z147,'Fuel economy adjusted factor'!$A$2:$L$52,5,FALSE)*m2k))/'TCO Inputs'!$AZ$84</f>
        <v>94.02935745423288</v>
      </c>
      <c r="AC147" s="125">
        <f>AC36/293.07*(1/(VLOOKUP($Z147,'Fuel economy adjusted factor'!$A$2:$L$52,5,FALSE)*m2k))/'TCO Inputs'!$AZ$84</f>
        <v>82.69824053534478</v>
      </c>
      <c r="AD147" s="125">
        <f>AD36/293.07*(1/(VLOOKUP($Z147,'Fuel economy adjusted factor'!$A$2:$L$52,5,FALSE)*m2k))/'TCO Inputs'!$AZ$84</f>
        <v>82.69824053534478</v>
      </c>
      <c r="AE147" s="125">
        <f>AE36/293.07*(1/(VLOOKUP($Z147,'Fuel economy adjusted factor'!$A$2:$L$52,5,FALSE)*m2k))/'TCO Inputs'!$AZ$84</f>
        <v>82.69824053534478</v>
      </c>
      <c r="AF147" s="125">
        <f>AF36/293.07*(1/(VLOOKUP($Z147,'Fuel economy adjusted factor'!$A$2:$L$52,5,FALSE)*m2k))/'TCO Inputs'!$AZ$84</f>
        <v>82.69824053534478</v>
      </c>
      <c r="AG147" s="125">
        <f>AG36/293.07*(1/(VLOOKUP($Z147,'Fuel economy adjusted factor'!$A$2:$L$52,5,FALSE)*m2k))/'TCO Inputs'!$AZ$84</f>
        <v>82.69824053534478</v>
      </c>
      <c r="AH147" s="125">
        <f>AH36/293.07*(1/(VLOOKUP($Z147,'Fuel economy adjusted factor'!$A$2:$L$52,5,FALSE)*m2k))/'TCO Inputs'!$AZ$84</f>
        <v>49.688219423684686</v>
      </c>
      <c r="AI147" s="125">
        <f>AI36/293.07*(1/(VLOOKUP($Z147,'Fuel economy adjusted factor'!$A$2:$L$52,5,FALSE)*m2k))/'TCO Inputs'!$AZ$84</f>
        <v>49.688219423684686</v>
      </c>
      <c r="AJ147" s="125">
        <f>AJ36/293.07*(1/(VLOOKUP($Z147,'Fuel economy adjusted factor'!$A$2:$L$52,5,FALSE)*m2k))/'TCO Inputs'!$AZ$84</f>
        <v>49.688219423684686</v>
      </c>
      <c r="AK147" s="125">
        <f>AK36/293.07*(1/(VLOOKUP($Z147,'Fuel economy adjusted factor'!$A$2:$L$52,5,FALSE)*m2k))/'TCO Inputs'!$AZ$84</f>
        <v>49.688219423684686</v>
      </c>
      <c r="AL147" s="125">
        <f>AL36/293.07*(1/(VLOOKUP($Z147,'Fuel economy adjusted factor'!$A$2:$L$52,5,FALSE)*m2k))/'TCO Inputs'!$AZ$84</f>
        <v>49.688219423684686</v>
      </c>
      <c r="AM147" s="125">
        <f>AM36/293.07*(1/(VLOOKUP($Z147,'Fuel economy adjusted factor'!$A$2:$L$52,5,FALSE)*m2k))/'TCO Inputs'!$AZ$84</f>
        <v>51.997631051266474</v>
      </c>
      <c r="AN147" s="125">
        <f>AN36/293.07*(1/(VLOOKUP($Z147,'Fuel economy adjusted factor'!$A$2:$L$52,5,FALSE)*m2k))/'TCO Inputs'!$AZ$84</f>
        <v>51.997631051266474</v>
      </c>
      <c r="AO147" s="125">
        <f>AO36/293.07*(1/(VLOOKUP($Z147,'Fuel economy adjusted factor'!$A$2:$L$52,5,FALSE)*m2k))/'TCO Inputs'!$AZ$84</f>
        <v>51.997631051266474</v>
      </c>
      <c r="AP147" s="125">
        <f>AP36/293.07*(1/(VLOOKUP($Z147,'Fuel economy adjusted factor'!$A$2:$L$52,5,FALSE)*m2k))/'TCO Inputs'!$AZ$84</f>
        <v>51.997631051266474</v>
      </c>
      <c r="AQ147" s="125">
        <f>AQ36/293.07*(1/(VLOOKUP($Z147,'Fuel economy adjusted factor'!$A$2:$L$52,5,FALSE)*m2k))/'TCO Inputs'!$AZ$84</f>
        <v>51.997631051266474</v>
      </c>
      <c r="AR147" s="125">
        <f>AR36/293.07*(1/(VLOOKUP($Z147,'Fuel economy adjusted factor'!$A$2:$L$52,5,FALSE)*m2k))/'TCO Inputs'!$AZ$84</f>
        <v>54.355593221379792</v>
      </c>
      <c r="AS147" s="125">
        <f>AS36/293.07*(1/(VLOOKUP($Z147,'Fuel economy adjusted factor'!$A$2:$L$52,5,FALSE)*m2k))/'TCO Inputs'!$AZ$84</f>
        <v>54.355593221379792</v>
      </c>
      <c r="AT147" s="125">
        <f>AT36/293.07*(1/(VLOOKUP($Z147,'Fuel economy adjusted factor'!$A$2:$L$52,5,FALSE)*m2k))/'TCO Inputs'!$AZ$84</f>
        <v>54.355593221379792</v>
      </c>
      <c r="AU147" s="125">
        <f>AU36/293.07*(1/(VLOOKUP($Z147,'Fuel economy adjusted factor'!$A$2:$L$52,5,FALSE)*m2k))/'TCO Inputs'!$AZ$84</f>
        <v>54.355593221379792</v>
      </c>
      <c r="AV147" s="125">
        <f>AV36/293.07*(1/(VLOOKUP($Z147,'Fuel economy adjusted factor'!$A$2:$L$52,5,FALSE)*m2k))/'TCO Inputs'!$AZ$84</f>
        <v>54.355593221379792</v>
      </c>
      <c r="AW147" s="125">
        <f>AW36/293.07*(1/(VLOOKUP($Z147,'Fuel economy adjusted factor'!$A$2:$L$52,5,FALSE)*m2k))/'TCO Inputs'!$AZ$84</f>
        <v>55.548342370736428</v>
      </c>
      <c r="AX147" s="125">
        <f>AX36/293.07*(1/(VLOOKUP($Z147,'Fuel economy adjusted factor'!$A$2:$L$52,5,FALSE)*m2k))/'TCO Inputs'!$AZ$84</f>
        <v>55.548342370736428</v>
      </c>
      <c r="AY147" s="125">
        <f>AY36/293.07*(1/(VLOOKUP($Z147,'Fuel economy adjusted factor'!$A$2:$L$52,5,FALSE)*m2k))/'TCO Inputs'!$AZ$84</f>
        <v>55.548342370736428</v>
      </c>
      <c r="AZ147" s="125">
        <f>AZ36/293.07*(1/(VLOOKUP($Z147,'Fuel economy adjusted factor'!$A$2:$L$52,5,FALSE)*m2k))/'TCO Inputs'!$AZ$84</f>
        <v>55.548342370736428</v>
      </c>
      <c r="BA147" s="125">
        <f>BA36/293.07*(1/(VLOOKUP($Z147,'Fuel economy adjusted factor'!$A$2:$L$52,5,FALSE)*m2k))/'TCO Inputs'!$AZ$84</f>
        <v>55.548342370736428</v>
      </c>
      <c r="BB147" s="125">
        <f>BB36/293.07*(1/(VLOOKUP($Z147,'Fuel economy adjusted factor'!$A$2:$L$52,5,FALSE)*m2k))/'TCO Inputs'!$AZ$84</f>
        <v>55.623704406904771</v>
      </c>
      <c r="BC147" s="98" cm="1">
        <f t="array" ref="BC147">SUMPRODUCT(INDEX(AA147:BB147,,'TCO Inputs'!$AZ$12-2023+_xlfn.SEQUENCE('TCO Inputs'!$AZ$13))*INDEX('VKT US'!C93:AA93,,_xlfn.SEQUENCE('TCO Inputs'!$AZ$13)))*m2k*CONVERT(0.9072,"g","ton")</f>
        <v>28.366714743118983</v>
      </c>
      <c r="BM147" s="123" t="s">
        <v>214</v>
      </c>
      <c r="BN147" s="125">
        <f>BN36/293.07*(1/(VLOOKUP($BM147,'Fuel economy adjusted factor'!$A$2:$L$52,5,FALSE)*m2k))</f>
        <v>79.924953836097941</v>
      </c>
      <c r="BO147" s="125">
        <f>BO36/293.07*(1/(VLOOKUP($BM147,'Fuel economy adjusted factor'!$A$2:$L$52,5,FALSE)*m2k))</f>
        <v>79.924953836097941</v>
      </c>
      <c r="BP147" s="125">
        <f>BP36/293.07*(1/(VLOOKUP($BM147,'Fuel economy adjusted factor'!$A$2:$L$52,5,FALSE)*m2k))</f>
        <v>70.201729436959198</v>
      </c>
      <c r="BQ147" s="125">
        <f>BQ36/293.07*(1/(VLOOKUP($BM147,'Fuel economy adjusted factor'!$A$2:$L$52,5,FALSE)*m2k))</f>
        <v>70.201729436959198</v>
      </c>
      <c r="BR147" s="125">
        <f>BR36/293.07*(1/(VLOOKUP($BM147,'Fuel economy adjusted factor'!$A$2:$L$52,5,FALSE)*m2k))</f>
        <v>70.201729436959198</v>
      </c>
      <c r="BS147" s="125">
        <f>BS36/293.07*(1/(VLOOKUP($BM147,'Fuel economy adjusted factor'!$A$2:$L$52,5,FALSE)*m2k))</f>
        <v>70.201729436959198</v>
      </c>
      <c r="BT147" s="125">
        <f>BT36/293.07*(1/(VLOOKUP($BM147,'Fuel economy adjusted factor'!$A$2:$L$52,5,FALSE)*m2k))</f>
        <v>70.201729436959198</v>
      </c>
      <c r="BU147" s="125">
        <f>BU36/293.07*(1/(VLOOKUP($BM147,'Fuel economy adjusted factor'!$A$2:$L$52,5,FALSE)*m2k))</f>
        <v>79.578179774479096</v>
      </c>
      <c r="BV147" s="125">
        <f>BV36/293.07*(1/(VLOOKUP($BM147,'Fuel economy adjusted factor'!$A$2:$L$52,5,FALSE)*m2k))</f>
        <v>79.578179774479096</v>
      </c>
      <c r="BW147" s="125">
        <f>BW36/293.07*(1/(VLOOKUP($BM147,'Fuel economy adjusted factor'!$A$2:$L$52,5,FALSE)*m2k))</f>
        <v>79.578179774479096</v>
      </c>
      <c r="BX147" s="125">
        <f>BX36/293.07*(1/(VLOOKUP($BM147,'Fuel economy adjusted factor'!$A$2:$L$52,5,FALSE)*m2k))</f>
        <v>79.578179774479096</v>
      </c>
      <c r="BY147" s="125">
        <f>BY36/293.07*(1/(VLOOKUP($BM147,'Fuel economy adjusted factor'!$A$2:$L$52,5,FALSE)*m2k))</f>
        <v>79.578179774479096</v>
      </c>
      <c r="BZ147" s="125">
        <f>BZ36/293.07*(1/(VLOOKUP($BM147,'Fuel economy adjusted factor'!$A$2:$L$52,5,FALSE)*m2k))</f>
        <v>81.491904480428929</v>
      </c>
      <c r="CA147" s="125">
        <f>CA36/293.07*(1/(VLOOKUP($BM147,'Fuel economy adjusted factor'!$A$2:$L$52,5,FALSE)*m2k))</f>
        <v>81.491904480428929</v>
      </c>
      <c r="CB147" s="125">
        <f>CB36/293.07*(1/(VLOOKUP($BM147,'Fuel economy adjusted factor'!$A$2:$L$52,5,FALSE)*m2k))</f>
        <v>81.491904480428929</v>
      </c>
      <c r="CC147" s="125">
        <f>CC36/293.07*(1/(VLOOKUP($BM147,'Fuel economy adjusted factor'!$A$2:$L$52,5,FALSE)*m2k))</f>
        <v>81.491904480428929</v>
      </c>
      <c r="CD147" s="125">
        <f>CD36/293.07*(1/(VLOOKUP($BM147,'Fuel economy adjusted factor'!$A$2:$L$52,5,FALSE)*m2k))</f>
        <v>81.491904480428929</v>
      </c>
      <c r="CE147" s="125">
        <f>CE36/293.07*(1/(VLOOKUP($BM147,'Fuel economy adjusted factor'!$A$2:$L$52,5,FALSE)*m2k))</f>
        <v>83.506027360524186</v>
      </c>
      <c r="CF147" s="125">
        <f>CF36/293.07*(1/(VLOOKUP($BM147,'Fuel economy adjusted factor'!$A$2:$L$52,5,FALSE)*m2k))</f>
        <v>83.506027360524186</v>
      </c>
      <c r="CG147" s="125">
        <f>CG36/293.07*(1/(VLOOKUP($BM147,'Fuel economy adjusted factor'!$A$2:$L$52,5,FALSE)*m2k))</f>
        <v>83.506027360524186</v>
      </c>
      <c r="CH147" s="125">
        <f>CH36/293.07*(1/(VLOOKUP($BM147,'Fuel economy adjusted factor'!$A$2:$L$52,5,FALSE)*m2k))</f>
        <v>83.506027360524186</v>
      </c>
      <c r="CI147" s="125">
        <f>CI36/293.07*(1/(VLOOKUP($BM147,'Fuel economy adjusted factor'!$A$2:$L$52,5,FALSE)*m2k))</f>
        <v>83.506027360524186</v>
      </c>
      <c r="CJ147" s="125">
        <f>CJ36/293.07*(1/(VLOOKUP($BM147,'Fuel economy adjusted factor'!$A$2:$L$52,5,FALSE)*m2k))</f>
        <v>83.983996582222645</v>
      </c>
      <c r="CK147" s="125">
        <f>CK36/293.07*(1/(VLOOKUP($BM147,'Fuel economy adjusted factor'!$A$2:$L$52,5,FALSE)*m2k))</f>
        <v>83.983996582222645</v>
      </c>
      <c r="CL147" s="125">
        <f>CL36/293.07*(1/(VLOOKUP($BM147,'Fuel economy adjusted factor'!$A$2:$L$52,5,FALSE)*m2k))</f>
        <v>83.983996582222645</v>
      </c>
      <c r="CM147" s="125">
        <f>CM36/293.07*(1/(VLOOKUP($BM147,'Fuel economy adjusted factor'!$A$2:$L$52,5,FALSE)*m2k))</f>
        <v>83.983996582222645</v>
      </c>
      <c r="CN147" s="125">
        <f>CN36/293.07*(1/(VLOOKUP($BM147,'Fuel economy adjusted factor'!$A$2:$L$52,5,FALSE)*m2k))</f>
        <v>83.983996582222645</v>
      </c>
      <c r="CO147" s="125">
        <f>CO36/293.07*(1/(VLOOKUP($BM147,'Fuel economy adjusted factor'!$A$2:$L$52,5,FALSE)*m2k))</f>
        <v>84.554972701442296</v>
      </c>
      <c r="CP147" s="98" cm="1">
        <f t="array" ref="CP147">SUMPRODUCT(INDEX(BN147:CO147,,'TCO Inputs'!$AZ$12-2023+_xlfn.SEQUENCE('TCO Inputs'!$AZ$13))*INDEX('VKT US'!C93:AA93,,_xlfn.SEQUENCE('TCO Inputs'!$AZ$13)))*m2k*CONVERT(0.9072,"g","ton")</f>
        <v>30.897410943087397</v>
      </c>
      <c r="CQ147" s="194"/>
      <c r="CR147" s="123" t="s">
        <v>214</v>
      </c>
      <c r="CS147" s="125">
        <f>CS36/293.07*(1/(VLOOKUP($BM147,'Fuel economy adjusted factor'!$A$2:$L$52,5,FALSE)*m2k))/'TCO Inputs'!$AZ$84</f>
        <v>113.84450052176472</v>
      </c>
      <c r="CT147" s="125">
        <f>CT36/293.07*(1/(VLOOKUP($BM147,'Fuel economy adjusted factor'!$A$2:$L$52,5,FALSE)*m2k))/'TCO Inputs'!$AZ$84</f>
        <v>113.84450052176472</v>
      </c>
      <c r="CU147" s="125">
        <f>CU36/293.07*(1/(VLOOKUP($BM147,'Fuel economy adjusted factor'!$A$2:$L$52,5,FALSE)*m2k))/'TCO Inputs'!$AZ$84</f>
        <v>113.84450052176472</v>
      </c>
      <c r="CV147" s="125">
        <f>CV36/293.07*(1/(VLOOKUP($BM147,'Fuel economy adjusted factor'!$A$2:$L$52,5,FALSE)*m2k))/'TCO Inputs'!$AZ$84</f>
        <v>113.84450052176472</v>
      </c>
      <c r="CW147" s="125">
        <f>CW36/293.07*(1/(VLOOKUP($BM147,'Fuel economy adjusted factor'!$A$2:$L$52,5,FALSE)*m2k))/'TCO Inputs'!$AZ$84</f>
        <v>113.84450052176472</v>
      </c>
      <c r="CX147" s="125">
        <f>CX36/293.07*(1/(VLOOKUP($BM147,'Fuel economy adjusted factor'!$A$2:$L$52,5,FALSE)*m2k))/'TCO Inputs'!$AZ$84</f>
        <v>113.84450052176472</v>
      </c>
      <c r="CY147" s="125">
        <f>CY36/293.07*(1/(VLOOKUP($BM147,'Fuel economy adjusted factor'!$A$2:$L$52,5,FALSE)*m2k))/'TCO Inputs'!$AZ$84</f>
        <v>113.84450052176472</v>
      </c>
      <c r="CZ147" s="125">
        <f>CZ36/293.07*(1/(VLOOKUP($BM147,'Fuel economy adjusted factor'!$A$2:$L$52,5,FALSE)*m2k))/'TCO Inputs'!$AZ$84</f>
        <v>113.8698627454752</v>
      </c>
      <c r="DA147" s="125">
        <f>DA36/293.07*(1/(VLOOKUP($BM147,'Fuel economy adjusted factor'!$A$2:$L$52,5,FALSE)*m2k))/'TCO Inputs'!$AZ$84</f>
        <v>113.8698627454752</v>
      </c>
      <c r="DB147" s="125">
        <f>DB36/293.07*(1/(VLOOKUP($BM147,'Fuel economy adjusted factor'!$A$2:$L$52,5,FALSE)*m2k))/'TCO Inputs'!$AZ$84</f>
        <v>113.8698627454752</v>
      </c>
      <c r="DC147" s="125">
        <f>DC36/293.07*(1/(VLOOKUP($BM147,'Fuel economy adjusted factor'!$A$2:$L$52,5,FALSE)*m2k))/'TCO Inputs'!$AZ$84</f>
        <v>113.8698627454752</v>
      </c>
      <c r="DD147" s="125">
        <f>DD36/293.07*(1/(VLOOKUP($BM147,'Fuel economy adjusted factor'!$A$2:$L$52,5,FALSE)*m2k))/'TCO Inputs'!$AZ$84</f>
        <v>113.8698627454752</v>
      </c>
      <c r="DE147" s="125">
        <f>DE36/293.07*(1/(VLOOKUP($BM147,'Fuel economy adjusted factor'!$A$2:$L$52,5,FALSE)*m2k))/'TCO Inputs'!$AZ$84</f>
        <v>113.85537004621207</v>
      </c>
      <c r="DF147" s="125">
        <f>DF36/293.07*(1/(VLOOKUP($BM147,'Fuel economy adjusted factor'!$A$2:$L$52,5,FALSE)*m2k))/'TCO Inputs'!$AZ$84</f>
        <v>113.85537004621207</v>
      </c>
      <c r="DG147" s="125">
        <f>DG36/293.07*(1/(VLOOKUP($BM147,'Fuel economy adjusted factor'!$A$2:$L$52,5,FALSE)*m2k))/'TCO Inputs'!$AZ$84</f>
        <v>113.85537004621207</v>
      </c>
      <c r="DH147" s="125">
        <f>DH36/293.07*(1/(VLOOKUP($BM147,'Fuel economy adjusted factor'!$A$2:$L$52,5,FALSE)*m2k))/'TCO Inputs'!$AZ$84</f>
        <v>113.85537004621207</v>
      </c>
      <c r="DI147" s="125">
        <f>DI36/293.07*(1/(VLOOKUP($BM147,'Fuel economy adjusted factor'!$A$2:$L$52,5,FALSE)*m2k))/'TCO Inputs'!$AZ$84</f>
        <v>113.85537004621207</v>
      </c>
      <c r="DJ147" s="125">
        <f>DJ36/293.07*(1/(VLOOKUP($BM147,'Fuel economy adjusted factor'!$A$2:$L$52,5,FALSE)*m2k))/'TCO Inputs'!$AZ$84</f>
        <v>113.85174687139629</v>
      </c>
      <c r="DK147" s="125">
        <f>DK36/293.07*(1/(VLOOKUP($BM147,'Fuel economy adjusted factor'!$A$2:$L$52,5,FALSE)*m2k))/'TCO Inputs'!$AZ$84</f>
        <v>113.85174687139629</v>
      </c>
      <c r="DL147" s="125">
        <f>DL36/293.07*(1/(VLOOKUP($BM147,'Fuel economy adjusted factor'!$A$2:$L$52,5,FALSE)*m2k))/'TCO Inputs'!$AZ$84</f>
        <v>113.85174687139629</v>
      </c>
      <c r="DM147" s="125">
        <f>DM36/293.07*(1/(VLOOKUP($BM147,'Fuel economy adjusted factor'!$A$2:$L$52,5,FALSE)*m2k))/'TCO Inputs'!$AZ$84</f>
        <v>113.85174687139629</v>
      </c>
      <c r="DN147" s="125">
        <f>DN36/293.07*(1/(VLOOKUP($BM147,'Fuel economy adjusted factor'!$A$2:$L$52,5,FALSE)*m2k))/'TCO Inputs'!$AZ$84</f>
        <v>113.85174687139629</v>
      </c>
      <c r="DO147" s="125">
        <f>DO36/293.07*(1/(VLOOKUP($BM147,'Fuel economy adjusted factor'!$A$2:$L$52,5,FALSE)*m2k))/'TCO Inputs'!$AZ$84</f>
        <v>113.78145727997006</v>
      </c>
      <c r="DP147" s="125">
        <f>DP36/293.07*(1/(VLOOKUP($BM147,'Fuel economy adjusted factor'!$A$2:$L$52,5,FALSE)*m2k))/'TCO Inputs'!$AZ$84</f>
        <v>113.78145727997006</v>
      </c>
      <c r="DQ147" s="125">
        <f>DQ36/293.07*(1/(VLOOKUP($BM147,'Fuel economy adjusted factor'!$A$2:$L$52,5,FALSE)*m2k))/'TCO Inputs'!$AZ$84</f>
        <v>113.78145727997006</v>
      </c>
      <c r="DR147" s="125">
        <f>DR36/293.07*(1/(VLOOKUP($BM147,'Fuel economy adjusted factor'!$A$2:$L$52,5,FALSE)*m2k))/'TCO Inputs'!$AZ$84</f>
        <v>113.78145727997006</v>
      </c>
      <c r="DS147" s="125">
        <f>DS36/293.07*(1/(VLOOKUP($BM147,'Fuel economy adjusted factor'!$A$2:$L$52,5,FALSE)*m2k))/'TCO Inputs'!$AZ$84</f>
        <v>113.78145727997006</v>
      </c>
      <c r="DT147" s="125">
        <f>DT36/293.07*(1/(VLOOKUP($BM147,'Fuel economy adjusted factor'!$A$2:$L$52,5,FALSE)*m2k))/'TCO Inputs'!$AZ$84</f>
        <v>113.84015271198578</v>
      </c>
      <c r="DU147" s="98" cm="1">
        <f t="array" ref="DU147">SUMPRODUCT(INDEX(CS147:DT147,,'TCO Inputs'!$AZ$12-2023+_xlfn.SEQUENCE('TCO Inputs'!$AZ$13))*INDEX('VKT US'!C93:AA93,,_xlfn.SEQUENCE('TCO Inputs'!$AZ$13)))*m2k*CONVERT(0.9072,"g","ton")</f>
        <v>46.108918598871995</v>
      </c>
      <c r="DW147" s="123" t="s">
        <v>214</v>
      </c>
      <c r="DX147" s="125">
        <f>DX36/293.07*(1/(VLOOKUP($BM147,'Fuel economy adjusted factor'!$A$2:$L$52,5,FALSE)*m2k))/'TCO Inputs'!$AZ$84</f>
        <v>119.17346296941228</v>
      </c>
      <c r="DY147" s="125">
        <f>DY36/293.07*(1/(VLOOKUP($BM147,'Fuel economy adjusted factor'!$A$2:$L$52,5,FALSE)*m2k))/'TCO Inputs'!$AZ$84</f>
        <v>119.17346296941228</v>
      </c>
      <c r="DZ147" s="125">
        <f>DZ36/293.07*(1/(VLOOKUP($BM147,'Fuel economy adjusted factor'!$A$2:$L$52,5,FALSE)*m2k))/'TCO Inputs'!$AZ$84</f>
        <v>104.46749185524224</v>
      </c>
      <c r="EA147" s="125">
        <f>EA36/293.07*(1/(VLOOKUP($BM147,'Fuel economy adjusted factor'!$A$2:$L$52,5,FALSE)*m2k))/'TCO Inputs'!$AZ$84</f>
        <v>104.46749185524224</v>
      </c>
      <c r="EB147" s="125">
        <f>EB36/293.07*(1/(VLOOKUP($BM147,'Fuel economy adjusted factor'!$A$2:$L$52,5,FALSE)*m2k))/'TCO Inputs'!$AZ$84</f>
        <v>104.46749185524224</v>
      </c>
      <c r="EC147" s="125">
        <f>EC36/293.07*(1/(VLOOKUP($BM147,'Fuel economy adjusted factor'!$A$2:$L$52,5,FALSE)*m2k))/'TCO Inputs'!$AZ$84</f>
        <v>104.46749185524224</v>
      </c>
      <c r="ED147" s="125">
        <f>ED36/293.07*(1/(VLOOKUP($BM147,'Fuel economy adjusted factor'!$A$2:$L$52,5,FALSE)*m2k))/'TCO Inputs'!$AZ$84</f>
        <v>104.46749185524224</v>
      </c>
      <c r="EE147" s="125">
        <f>EE36/293.07*(1/(VLOOKUP($BM147,'Fuel economy adjusted factor'!$A$2:$L$52,5,FALSE)*m2k))/'TCO Inputs'!$AZ$84</f>
        <v>64.387096653014297</v>
      </c>
      <c r="EF147" s="125">
        <f>EF36/293.07*(1/(VLOOKUP($BM147,'Fuel economy adjusted factor'!$A$2:$L$52,5,FALSE)*m2k))/'TCO Inputs'!$AZ$84</f>
        <v>64.387096653014297</v>
      </c>
      <c r="EG147" s="125">
        <f>EG36/293.07*(1/(VLOOKUP($BM147,'Fuel economy adjusted factor'!$A$2:$L$52,5,FALSE)*m2k))/'TCO Inputs'!$AZ$84</f>
        <v>64.387096653014297</v>
      </c>
      <c r="EH147" s="125">
        <f>EH36/293.07*(1/(VLOOKUP($BM147,'Fuel economy adjusted factor'!$A$2:$L$52,5,FALSE)*m2k))/'TCO Inputs'!$AZ$84</f>
        <v>64.387096653014297</v>
      </c>
      <c r="EI147" s="125">
        <f>EI36/293.07*(1/(VLOOKUP($BM147,'Fuel economy adjusted factor'!$A$2:$L$52,5,FALSE)*m2k))/'TCO Inputs'!$AZ$84</f>
        <v>64.387096653014297</v>
      </c>
      <c r="EJ147" s="125">
        <f>EJ36/293.07*(1/(VLOOKUP($BM147,'Fuel economy adjusted factor'!$A$2:$L$52,5,FALSE)*m2k))/'TCO Inputs'!$AZ$84</f>
        <v>57.505242612950468</v>
      </c>
      <c r="EK147" s="125">
        <f>EK36/293.07*(1/(VLOOKUP($BM147,'Fuel economy adjusted factor'!$A$2:$L$52,5,FALSE)*m2k))/'TCO Inputs'!$AZ$84</f>
        <v>57.505242612950468</v>
      </c>
      <c r="EL147" s="125">
        <f>EL36/293.07*(1/(VLOOKUP($BM147,'Fuel economy adjusted factor'!$A$2:$L$52,5,FALSE)*m2k))/'TCO Inputs'!$AZ$84</f>
        <v>57.505242612950468</v>
      </c>
      <c r="EM147" s="125">
        <f>EM36/293.07*(1/(VLOOKUP($BM147,'Fuel economy adjusted factor'!$A$2:$L$52,5,FALSE)*m2k))/'TCO Inputs'!$AZ$84</f>
        <v>57.505242612950468</v>
      </c>
      <c r="EN147" s="125">
        <f>EN36/293.07*(1/(VLOOKUP($BM147,'Fuel economy adjusted factor'!$A$2:$L$52,5,FALSE)*m2k))/'TCO Inputs'!$AZ$84</f>
        <v>57.505242612950468</v>
      </c>
      <c r="EO147" s="125">
        <f>EO36/293.07*(1/(VLOOKUP($BM147,'Fuel economy adjusted factor'!$A$2:$L$52,5,FALSE)*m2k))/'TCO Inputs'!$AZ$84</f>
        <v>55.695290434896975</v>
      </c>
      <c r="EP147" s="125">
        <f>EP36/293.07*(1/(VLOOKUP($BM147,'Fuel economy adjusted factor'!$A$2:$L$52,5,FALSE)*m2k))/'TCO Inputs'!$AZ$84</f>
        <v>55.695290434896975</v>
      </c>
      <c r="EQ147" s="125">
        <f>EQ36/293.07*(1/(VLOOKUP($BM147,'Fuel economy adjusted factor'!$A$2:$L$52,5,FALSE)*m2k))/'TCO Inputs'!$AZ$84</f>
        <v>55.695290434896975</v>
      </c>
      <c r="ER147" s="125">
        <f>ER36/293.07*(1/(VLOOKUP($BM147,'Fuel economy adjusted factor'!$A$2:$L$52,5,FALSE)*m2k))/'TCO Inputs'!$AZ$84</f>
        <v>55.695290434896975</v>
      </c>
      <c r="ES147" s="125">
        <f>ES36/293.07*(1/(VLOOKUP($BM147,'Fuel economy adjusted factor'!$A$2:$L$52,5,FALSE)*m2k))/'TCO Inputs'!$AZ$84</f>
        <v>55.695290434896975</v>
      </c>
      <c r="ET147" s="125">
        <f>ET36/293.07*(1/(VLOOKUP($BM147,'Fuel economy adjusted factor'!$A$2:$L$52,5,FALSE)*m2k))/'TCO Inputs'!$AZ$84</f>
        <v>53.627400331323493</v>
      </c>
      <c r="EU147" s="125">
        <f>EU36/293.07*(1/(VLOOKUP($BM147,'Fuel economy adjusted factor'!$A$2:$L$52,5,FALSE)*m2k))/'TCO Inputs'!$AZ$84</f>
        <v>53.627400331323493</v>
      </c>
      <c r="EV147" s="125">
        <f>EV36/293.07*(1/(VLOOKUP($BM147,'Fuel economy adjusted factor'!$A$2:$L$52,5,FALSE)*m2k))/'TCO Inputs'!$AZ$84</f>
        <v>53.627400331323493</v>
      </c>
      <c r="EW147" s="125">
        <f>EW36/293.07*(1/(VLOOKUP($BM147,'Fuel economy adjusted factor'!$A$2:$L$52,5,FALSE)*m2k))/'TCO Inputs'!$AZ$84</f>
        <v>53.627400331323493</v>
      </c>
      <c r="EX147" s="125">
        <f>EX36/293.07*(1/(VLOOKUP($BM147,'Fuel economy adjusted factor'!$A$2:$L$52,5,FALSE)*m2k))/'TCO Inputs'!$AZ$84</f>
        <v>53.627400331323493</v>
      </c>
      <c r="EY147" s="125">
        <f>EY36/293.07*(1/(VLOOKUP($BM147,'Fuel economy adjusted factor'!$A$2:$L$52,5,FALSE)*m2k))/'TCO Inputs'!$AZ$84</f>
        <v>50.384752124786523</v>
      </c>
      <c r="EZ147" s="98" cm="1">
        <f t="array" ref="EZ147">SUMPRODUCT(INDEX(DX147:EY147,,'TCO Inputs'!$AZ$12-2023+_xlfn.SEQUENCE('TCO Inputs'!$AZ$13))*INDEX('VKT US'!C93:AA93,,_xlfn.SEQUENCE('TCO Inputs'!$AZ$13)))*m2k*CONVERT(0.9072,"g","ton")</f>
        <v>35.679650510674314</v>
      </c>
      <c r="FB147" s="123" t="s">
        <v>214</v>
      </c>
      <c r="FC147" s="125">
        <f>FC36/293.07*(1/(VLOOKUP($BM147,'Fuel economy adjusted factor'!$A$2:$L$52,5,FALSE)*m2k))/'TCO Inputs'!$AZ$84</f>
        <v>129.26111694093879</v>
      </c>
      <c r="FD147" s="125">
        <f>FD36/293.07*(1/(VLOOKUP($BM147,'Fuel economy adjusted factor'!$A$2:$L$52,5,FALSE)*m2k))/'TCO Inputs'!$AZ$84</f>
        <v>129.26111694093879</v>
      </c>
      <c r="FE147" s="125">
        <f>FE36/293.07*(1/(VLOOKUP($BM147,'Fuel economy adjusted factor'!$A$2:$L$52,5,FALSE)*m2k))/'TCO Inputs'!$AZ$84</f>
        <v>112.88381335018516</v>
      </c>
      <c r="FF147" s="125">
        <f>FF36/293.07*(1/(VLOOKUP($BM147,'Fuel economy adjusted factor'!$A$2:$L$52,5,FALSE)*m2k))/'TCO Inputs'!$AZ$84</f>
        <v>112.88381335018516</v>
      </c>
      <c r="FG147" s="125">
        <f>FG36/293.07*(1/(VLOOKUP($BM147,'Fuel economy adjusted factor'!$A$2:$L$52,5,FALSE)*m2k))/'TCO Inputs'!$AZ$84</f>
        <v>112.88381335018516</v>
      </c>
      <c r="FH147" s="125">
        <f>FH36/293.07*(1/(VLOOKUP($BM147,'Fuel economy adjusted factor'!$A$2:$L$52,5,FALSE)*m2k))/'TCO Inputs'!$AZ$84</f>
        <v>112.88381335018516</v>
      </c>
      <c r="FI147" s="125">
        <f>FI36/293.07*(1/(VLOOKUP($BM147,'Fuel economy adjusted factor'!$A$2:$L$52,5,FALSE)*m2k))/'TCO Inputs'!$AZ$84</f>
        <v>112.88381335018516</v>
      </c>
      <c r="FJ147" s="125">
        <f>FJ36/293.07*(1/(VLOOKUP($BM147,'Fuel economy adjusted factor'!$A$2:$L$52,5,FALSE)*m2k))/'TCO Inputs'!$AZ$84</f>
        <v>70.837299470779385</v>
      </c>
      <c r="FK147" s="125">
        <f>FK36/293.07*(1/(VLOOKUP($BM147,'Fuel economy adjusted factor'!$A$2:$L$52,5,FALSE)*m2k))/'TCO Inputs'!$AZ$84</f>
        <v>70.837299470779385</v>
      </c>
      <c r="FL147" s="125">
        <f>FL36/293.07*(1/(VLOOKUP($BM147,'Fuel economy adjusted factor'!$A$2:$L$52,5,FALSE)*m2k))/'TCO Inputs'!$AZ$84</f>
        <v>70.837299470779385</v>
      </c>
      <c r="FM147" s="125">
        <f>FM36/293.07*(1/(VLOOKUP($BM147,'Fuel economy adjusted factor'!$A$2:$L$52,5,FALSE)*m2k))/'TCO Inputs'!$AZ$84</f>
        <v>70.837299470779385</v>
      </c>
      <c r="FN147" s="125">
        <f>FN36/293.07*(1/(VLOOKUP($BM147,'Fuel economy adjusted factor'!$A$2:$L$52,5,FALSE)*m2k))/'TCO Inputs'!$AZ$84</f>
        <v>70.837299470779385</v>
      </c>
      <c r="FO147" s="125">
        <f>FO36/293.07*(1/(VLOOKUP($BM147,'Fuel economy adjusted factor'!$A$2:$L$52,5,FALSE)*m2k))/'TCO Inputs'!$AZ$84</f>
        <v>62.900005551802145</v>
      </c>
      <c r="FP147" s="125">
        <f>FP36/293.07*(1/(VLOOKUP($BM147,'Fuel economy adjusted factor'!$A$2:$L$52,5,FALSE)*m2k))/'TCO Inputs'!$AZ$84</f>
        <v>62.900005551802145</v>
      </c>
      <c r="FQ147" s="125">
        <f>FQ36/293.07*(1/(VLOOKUP($BM147,'Fuel economy adjusted factor'!$A$2:$L$52,5,FALSE)*m2k))/'TCO Inputs'!$AZ$84</f>
        <v>62.900005551802145</v>
      </c>
      <c r="FR147" s="125">
        <f>FR36/293.07*(1/(VLOOKUP($BM147,'Fuel economy adjusted factor'!$A$2:$L$52,5,FALSE)*m2k))/'TCO Inputs'!$AZ$84</f>
        <v>62.900005551802145</v>
      </c>
      <c r="FS147" s="125">
        <f>FS36/293.07*(1/(VLOOKUP($BM147,'Fuel economy adjusted factor'!$A$2:$L$52,5,FALSE)*m2k))/'TCO Inputs'!$AZ$84</f>
        <v>62.900005551802145</v>
      </c>
      <c r="FT147" s="125">
        <f>FT36/293.07*(1/(VLOOKUP($BM147,'Fuel economy adjusted factor'!$A$2:$L$52,5,FALSE)*m2k))/'TCO Inputs'!$AZ$84</f>
        <v>61.298860265836247</v>
      </c>
      <c r="FU147" s="125">
        <f>FU36/293.07*(1/(VLOOKUP($BM147,'Fuel economy adjusted factor'!$A$2:$L$52,5,FALSE)*m2k))/'TCO Inputs'!$AZ$84</f>
        <v>61.298860265836247</v>
      </c>
      <c r="FV147" s="125">
        <f>FV36/293.07*(1/(VLOOKUP($BM147,'Fuel economy adjusted factor'!$A$2:$L$52,5,FALSE)*m2k))/'TCO Inputs'!$AZ$84</f>
        <v>61.298860265836247</v>
      </c>
      <c r="FW147" s="125">
        <f>FW36/293.07*(1/(VLOOKUP($BM147,'Fuel economy adjusted factor'!$A$2:$L$52,5,FALSE)*m2k))/'TCO Inputs'!$AZ$84</f>
        <v>61.298860265836247</v>
      </c>
      <c r="FX147" s="125">
        <f>FX36/293.07*(1/(VLOOKUP($BM147,'Fuel economy adjusted factor'!$A$2:$L$52,5,FALSE)*m2k))/'TCO Inputs'!$AZ$84</f>
        <v>61.298860265836247</v>
      </c>
      <c r="FY147" s="125">
        <f>FY36/293.07*(1/(VLOOKUP($BM147,'Fuel economy adjusted factor'!$A$2:$L$52,5,FALSE)*m2k))/'TCO Inputs'!$AZ$84</f>
        <v>59.226583462849163</v>
      </c>
      <c r="FZ147" s="125">
        <f>FZ36/293.07*(1/(VLOOKUP($BM147,'Fuel economy adjusted factor'!$A$2:$L$52,5,FALSE)*m2k))/'TCO Inputs'!$AZ$84</f>
        <v>59.226583462849163</v>
      </c>
      <c r="GA147" s="125">
        <f>GA36/293.07*(1/(VLOOKUP($BM147,'Fuel economy adjusted factor'!$A$2:$L$52,5,FALSE)*m2k))/'TCO Inputs'!$AZ$84</f>
        <v>59.226583462849163</v>
      </c>
      <c r="GB147" s="125">
        <f>GB36/293.07*(1/(VLOOKUP($BM147,'Fuel economy adjusted factor'!$A$2:$L$52,5,FALSE)*m2k))/'TCO Inputs'!$AZ$84</f>
        <v>59.226583462849163</v>
      </c>
      <c r="GC147" s="125">
        <f>GC36/293.07*(1/(VLOOKUP($BM147,'Fuel economy adjusted factor'!$A$2:$L$52,5,FALSE)*m2k))/'TCO Inputs'!$AZ$84</f>
        <v>59.226583462849163</v>
      </c>
      <c r="GD147" s="125">
        <f>GD36/293.07*(1/(VLOOKUP($BM147,'Fuel economy adjusted factor'!$A$2:$L$52,5,FALSE)*m2k))/'TCO Inputs'!$AZ$84</f>
        <v>55.871635751323915</v>
      </c>
      <c r="GE147" s="98" cm="1">
        <f t="array" ref="GE147">SUMPRODUCT(INDEX(FC147:GD147,,'TCO Inputs'!$AZ$12-2023+_xlfn.SEQUENCE('TCO Inputs'!$AZ$13))*INDEX('VKT US'!C93:AA93,,_xlfn.SEQUENCE('TCO Inputs'!$AZ$13)))*m2k*CONVERT(0.9072,"g","ton")</f>
        <v>38.793184721371418</v>
      </c>
      <c r="GH147" s="123" t="s">
        <v>214</v>
      </c>
      <c r="GI147" s="125">
        <f>GI36/293.07*(1/(VLOOKUP($BM147,'Fuel economy adjusted factor'!$A$2:$L$52,5,FALSE)*m2k))/'TCO Inputs'!$AZ$84</f>
        <v>112.30740104723745</v>
      </c>
      <c r="GJ147" s="125">
        <f>GJ36/293.07*(1/(VLOOKUP($BM147,'Fuel economy adjusted factor'!$A$2:$L$52,5,FALSE)*m2k))/'TCO Inputs'!$AZ$84</f>
        <v>112.30740104723745</v>
      </c>
      <c r="GK147" s="125">
        <f>GK36/293.07*(1/(VLOOKUP($BM147,'Fuel economy adjusted factor'!$A$2:$L$52,5,FALSE)*m2k))/'TCO Inputs'!$AZ$84</f>
        <v>98.739339760956582</v>
      </c>
      <c r="GL147" s="125">
        <f>GL36/293.07*(1/(VLOOKUP($BM147,'Fuel economy adjusted factor'!$A$2:$L$52,5,FALSE)*m2k))/'TCO Inputs'!$AZ$84</f>
        <v>98.739339760956582</v>
      </c>
      <c r="GM147" s="125">
        <f>GM36/293.07*(1/(VLOOKUP($BM147,'Fuel economy adjusted factor'!$A$2:$L$52,5,FALSE)*m2k))/'TCO Inputs'!$AZ$84</f>
        <v>98.739339760956582</v>
      </c>
      <c r="GN147" s="125">
        <f>GN36/293.07*(1/(VLOOKUP($BM147,'Fuel economy adjusted factor'!$A$2:$L$52,5,FALSE)*m2k))/'TCO Inputs'!$AZ$84</f>
        <v>98.739339760956582</v>
      </c>
      <c r="GO147" s="125">
        <f>GO36/293.07*(1/(VLOOKUP($BM147,'Fuel economy adjusted factor'!$A$2:$L$52,5,FALSE)*m2k))/'TCO Inputs'!$AZ$84</f>
        <v>98.739339760956582</v>
      </c>
      <c r="GP147" s="125">
        <f>GP36/293.07*(1/(VLOOKUP($BM147,'Fuel economy adjusted factor'!$A$2:$L$52,5,FALSE)*m2k))/'TCO Inputs'!$AZ$84</f>
        <v>59.996887879878251</v>
      </c>
      <c r="GQ147" s="125">
        <f>GQ36/293.07*(1/(VLOOKUP($BM147,'Fuel economy adjusted factor'!$A$2:$L$52,5,FALSE)*m2k))/'TCO Inputs'!$AZ$84</f>
        <v>59.996887879878251</v>
      </c>
      <c r="GR147" s="125">
        <f>GR36/293.07*(1/(VLOOKUP($BM147,'Fuel economy adjusted factor'!$A$2:$L$52,5,FALSE)*m2k))/'TCO Inputs'!$AZ$84</f>
        <v>59.996887879878251</v>
      </c>
      <c r="GS147" s="125">
        <f>GS36/293.07*(1/(VLOOKUP($BM147,'Fuel economy adjusted factor'!$A$2:$L$52,5,FALSE)*m2k))/'TCO Inputs'!$AZ$84</f>
        <v>59.996887879878251</v>
      </c>
      <c r="GT147" s="125">
        <f>GT36/293.07*(1/(VLOOKUP($BM147,'Fuel economy adjusted factor'!$A$2:$L$52,5,FALSE)*m2k))/'TCO Inputs'!$AZ$84</f>
        <v>59.996887879878251</v>
      </c>
      <c r="GU147" s="125">
        <f>GU36/293.07*(1/(VLOOKUP($BM147,'Fuel economy adjusted factor'!$A$2:$L$52,5,FALSE)*m2k))/'TCO Inputs'!$AZ$84</f>
        <v>53.83357520376294</v>
      </c>
      <c r="GV147" s="125">
        <f>GV36/293.07*(1/(VLOOKUP($BM147,'Fuel economy adjusted factor'!$A$2:$L$52,5,FALSE)*m2k))/'TCO Inputs'!$AZ$84</f>
        <v>53.83357520376294</v>
      </c>
      <c r="GW147" s="125">
        <f>GW36/293.07*(1/(VLOOKUP($BM147,'Fuel economy adjusted factor'!$A$2:$L$52,5,FALSE)*m2k))/'TCO Inputs'!$AZ$84</f>
        <v>53.83357520376294</v>
      </c>
      <c r="GX147" s="125">
        <f>GX36/293.07*(1/(VLOOKUP($BM147,'Fuel economy adjusted factor'!$A$2:$L$52,5,FALSE)*m2k))/'TCO Inputs'!$AZ$84</f>
        <v>53.83357520376294</v>
      </c>
      <c r="GY147" s="125">
        <f>GY36/293.07*(1/(VLOOKUP($BM147,'Fuel economy adjusted factor'!$A$2:$L$52,5,FALSE)*m2k))/'TCO Inputs'!$AZ$84</f>
        <v>53.83357520376294</v>
      </c>
      <c r="GZ147" s="125">
        <f>GZ36/293.07*(1/(VLOOKUP($BM147,'Fuel economy adjusted factor'!$A$2:$L$52,5,FALSE)*m2k))/'TCO Inputs'!$AZ$84</f>
        <v>51.881493964708625</v>
      </c>
      <c r="HA147" s="125">
        <f>HA36/293.07*(1/(VLOOKUP($BM147,'Fuel economy adjusted factor'!$A$2:$L$52,5,FALSE)*m2k))/'TCO Inputs'!$AZ$84</f>
        <v>51.881493964708625</v>
      </c>
      <c r="HB147" s="125">
        <f>HB36/293.07*(1/(VLOOKUP($BM147,'Fuel economy adjusted factor'!$A$2:$L$52,5,FALSE)*m2k))/'TCO Inputs'!$AZ$84</f>
        <v>51.881493964708625</v>
      </c>
      <c r="HC147" s="125">
        <f>HC36/293.07*(1/(VLOOKUP($BM147,'Fuel economy adjusted factor'!$A$2:$L$52,5,FALSE)*m2k))/'TCO Inputs'!$AZ$84</f>
        <v>51.881493964708625</v>
      </c>
      <c r="HD147" s="125">
        <f>HD36/293.07*(1/(VLOOKUP($BM147,'Fuel economy adjusted factor'!$A$2:$L$52,5,FALSE)*m2k))/'TCO Inputs'!$AZ$84</f>
        <v>51.881493964708625</v>
      </c>
      <c r="HE147" s="125">
        <f>HE36/293.07*(1/(VLOOKUP($BM147,'Fuel economy adjusted factor'!$A$2:$L$52,5,FALSE)*m2k))/'TCO Inputs'!$AZ$84</f>
        <v>49.816235880783303</v>
      </c>
      <c r="HF147" s="125">
        <f>HF36/293.07*(1/(VLOOKUP($BM147,'Fuel economy adjusted factor'!$A$2:$L$52,5,FALSE)*m2k))/'TCO Inputs'!$AZ$84</f>
        <v>49.816235880783303</v>
      </c>
      <c r="HG147" s="125">
        <f>HG36/293.07*(1/(VLOOKUP($BM147,'Fuel economy adjusted factor'!$A$2:$L$52,5,FALSE)*m2k))/'TCO Inputs'!$AZ$84</f>
        <v>49.816235880783303</v>
      </c>
      <c r="HH147" s="125">
        <f>HH36/293.07*(1/(VLOOKUP($BM147,'Fuel economy adjusted factor'!$A$2:$L$52,5,FALSE)*m2k))/'TCO Inputs'!$AZ$84</f>
        <v>49.816235880783303</v>
      </c>
      <c r="HI147" s="125">
        <f>HI36/293.07*(1/(VLOOKUP($BM147,'Fuel economy adjusted factor'!$A$2:$L$52,5,FALSE)*m2k))/'TCO Inputs'!$AZ$84</f>
        <v>49.816235880783303</v>
      </c>
      <c r="HJ147" s="125">
        <f>HJ36/293.07*(1/(VLOOKUP($BM147,'Fuel economy adjusted factor'!$A$2:$L$52,5,FALSE)*m2k))/'TCO Inputs'!$AZ$84</f>
        <v>46.650793583925797</v>
      </c>
      <c r="HK147" s="98" cm="1">
        <f t="array" ref="HK147">SUMPRODUCT(INDEX(GI147:HJ147,,'TCO Inputs'!$AZ$12-2023+_xlfn.SEQUENCE('TCO Inputs'!$AZ$13))*INDEX('VKT US'!C93:AA93,,_xlfn.SEQUENCE('TCO Inputs'!$AZ$13)))*m2k*CONVERT(0.9072,"g","ton")</f>
        <v>33.560524428741964</v>
      </c>
    </row>
    <row r="148" spans="26:219" x14ac:dyDescent="0.25">
      <c r="Z148" s="123" t="s">
        <v>216</v>
      </c>
      <c r="AA148" s="125">
        <f>AA37/293.07*(1/(VLOOKUP($Z148,'Fuel economy adjusted factor'!$A$2:$L$52,5,FALSE)*m2k))/'TCO Inputs'!$AZ$84</f>
        <v>64.968952827554205</v>
      </c>
      <c r="AB148" s="125">
        <f>AB37/293.07*(1/(VLOOKUP($Z148,'Fuel economy adjusted factor'!$A$2:$L$52,5,FALSE)*m2k))/'TCO Inputs'!$AZ$84</f>
        <v>64.968952827554205</v>
      </c>
      <c r="AC148" s="125">
        <f>AC37/293.07*(1/(VLOOKUP($Z148,'Fuel economy adjusted factor'!$A$2:$L$52,5,FALSE)*m2k))/'TCO Inputs'!$AZ$84</f>
        <v>57.139793716847095</v>
      </c>
      <c r="AD148" s="125">
        <f>AD37/293.07*(1/(VLOOKUP($Z148,'Fuel economy adjusted factor'!$A$2:$L$52,5,FALSE)*m2k))/'TCO Inputs'!$AZ$84</f>
        <v>57.139793716847095</v>
      </c>
      <c r="AE148" s="125">
        <f>AE37/293.07*(1/(VLOOKUP($Z148,'Fuel economy adjusted factor'!$A$2:$L$52,5,FALSE)*m2k))/'TCO Inputs'!$AZ$84</f>
        <v>57.139793716847095</v>
      </c>
      <c r="AF148" s="125">
        <f>AF37/293.07*(1/(VLOOKUP($Z148,'Fuel economy adjusted factor'!$A$2:$L$52,5,FALSE)*m2k))/'TCO Inputs'!$AZ$84</f>
        <v>57.139793716847095</v>
      </c>
      <c r="AG148" s="125">
        <f>AG37/293.07*(1/(VLOOKUP($Z148,'Fuel economy adjusted factor'!$A$2:$L$52,5,FALSE)*m2k))/'TCO Inputs'!$AZ$84</f>
        <v>57.139793716847095</v>
      </c>
      <c r="AH148" s="125">
        <f>AH37/293.07*(1/(VLOOKUP($Z148,'Fuel economy adjusted factor'!$A$2:$L$52,5,FALSE)*m2k))/'TCO Inputs'!$AZ$84</f>
        <v>34.331741396763213</v>
      </c>
      <c r="AI148" s="125">
        <f>AI37/293.07*(1/(VLOOKUP($Z148,'Fuel economy adjusted factor'!$A$2:$L$52,5,FALSE)*m2k))/'TCO Inputs'!$AZ$84</f>
        <v>34.331741396763213</v>
      </c>
      <c r="AJ148" s="125">
        <f>AJ37/293.07*(1/(VLOOKUP($Z148,'Fuel economy adjusted factor'!$A$2:$L$52,5,FALSE)*m2k))/'TCO Inputs'!$AZ$84</f>
        <v>34.331741396763213</v>
      </c>
      <c r="AK148" s="125">
        <f>AK37/293.07*(1/(VLOOKUP($Z148,'Fuel economy adjusted factor'!$A$2:$L$52,5,FALSE)*m2k))/'TCO Inputs'!$AZ$84</f>
        <v>34.331741396763213</v>
      </c>
      <c r="AL148" s="125">
        <f>AL37/293.07*(1/(VLOOKUP($Z148,'Fuel economy adjusted factor'!$A$2:$L$52,5,FALSE)*m2k))/'TCO Inputs'!$AZ$84</f>
        <v>34.331741396763213</v>
      </c>
      <c r="AM148" s="125">
        <f>AM37/293.07*(1/(VLOOKUP($Z148,'Fuel economy adjusted factor'!$A$2:$L$52,5,FALSE)*m2k))/'TCO Inputs'!$AZ$84</f>
        <v>35.927413845815046</v>
      </c>
      <c r="AN148" s="125">
        <f>AN37/293.07*(1/(VLOOKUP($Z148,'Fuel economy adjusted factor'!$A$2:$L$52,5,FALSE)*m2k))/'TCO Inputs'!$AZ$84</f>
        <v>35.927413845815046</v>
      </c>
      <c r="AO148" s="125">
        <f>AO37/293.07*(1/(VLOOKUP($Z148,'Fuel economy adjusted factor'!$A$2:$L$52,5,FALSE)*m2k))/'TCO Inputs'!$AZ$84</f>
        <v>35.927413845815046</v>
      </c>
      <c r="AP148" s="125">
        <f>AP37/293.07*(1/(VLOOKUP($Z148,'Fuel economy adjusted factor'!$A$2:$L$52,5,FALSE)*m2k))/'TCO Inputs'!$AZ$84</f>
        <v>35.927413845815046</v>
      </c>
      <c r="AQ148" s="125">
        <f>AQ37/293.07*(1/(VLOOKUP($Z148,'Fuel economy adjusted factor'!$A$2:$L$52,5,FALSE)*m2k))/'TCO Inputs'!$AZ$84</f>
        <v>35.927413845815046</v>
      </c>
      <c r="AR148" s="125">
        <f>AR37/293.07*(1/(VLOOKUP($Z148,'Fuel economy adjusted factor'!$A$2:$L$52,5,FALSE)*m2k))/'TCO Inputs'!$AZ$84</f>
        <v>37.55663196605812</v>
      </c>
      <c r="AS148" s="125">
        <f>AS37/293.07*(1/(VLOOKUP($Z148,'Fuel economy adjusted factor'!$A$2:$L$52,5,FALSE)*m2k))/'TCO Inputs'!$AZ$84</f>
        <v>37.55663196605812</v>
      </c>
      <c r="AT148" s="125">
        <f>AT37/293.07*(1/(VLOOKUP($Z148,'Fuel economy adjusted factor'!$A$2:$L$52,5,FALSE)*m2k))/'TCO Inputs'!$AZ$84</f>
        <v>37.55663196605812</v>
      </c>
      <c r="AU148" s="125">
        <f>AU37/293.07*(1/(VLOOKUP($Z148,'Fuel economy adjusted factor'!$A$2:$L$52,5,FALSE)*m2k))/'TCO Inputs'!$AZ$84</f>
        <v>37.55663196605812</v>
      </c>
      <c r="AV148" s="125">
        <f>AV37/293.07*(1/(VLOOKUP($Z148,'Fuel economy adjusted factor'!$A$2:$L$52,5,FALSE)*m2k))/'TCO Inputs'!$AZ$84</f>
        <v>37.55663196605812</v>
      </c>
      <c r="AW148" s="125">
        <f>AW37/293.07*(1/(VLOOKUP($Z148,'Fuel economy adjusted factor'!$A$2:$L$52,5,FALSE)*m2k))/'TCO Inputs'!$AZ$84</f>
        <v>38.3807539777115</v>
      </c>
      <c r="AX148" s="125">
        <f>AX37/293.07*(1/(VLOOKUP($Z148,'Fuel economy adjusted factor'!$A$2:$L$52,5,FALSE)*m2k))/'TCO Inputs'!$AZ$84</f>
        <v>38.3807539777115</v>
      </c>
      <c r="AY148" s="125">
        <f>AY37/293.07*(1/(VLOOKUP($Z148,'Fuel economy adjusted factor'!$A$2:$L$52,5,FALSE)*m2k))/'TCO Inputs'!$AZ$84</f>
        <v>38.3807539777115</v>
      </c>
      <c r="AZ148" s="125">
        <f>AZ37/293.07*(1/(VLOOKUP($Z148,'Fuel economy adjusted factor'!$A$2:$L$52,5,FALSE)*m2k))/'TCO Inputs'!$AZ$84</f>
        <v>38.3807539777115</v>
      </c>
      <c r="BA148" s="125">
        <f>BA37/293.07*(1/(VLOOKUP($Z148,'Fuel economy adjusted factor'!$A$2:$L$52,5,FALSE)*m2k))/'TCO Inputs'!$AZ$84</f>
        <v>38.3807539777115</v>
      </c>
      <c r="BB148" s="125">
        <f>BB37/293.07*(1/(VLOOKUP($Z148,'Fuel economy adjusted factor'!$A$2:$L$52,5,FALSE)*m2k))/'TCO Inputs'!$AZ$84</f>
        <v>38.432824870306852</v>
      </c>
      <c r="BC148" s="98" cm="1">
        <f t="array" ref="BC148">SUMPRODUCT(INDEX(AA148:BB148,,'TCO Inputs'!$AZ$12-2023+_xlfn.SEQUENCE('TCO Inputs'!$AZ$13))*INDEX('VKT US'!C94:AA94,,_xlfn.SEQUENCE('TCO Inputs'!$AZ$13)))*m2k*CONVERT(0.9072,"g","ton")</f>
        <v>10.401997958254242</v>
      </c>
      <c r="BM148" s="123" t="s">
        <v>216</v>
      </c>
      <c r="BN148" s="125">
        <f>BN37/293.07*(1/(VLOOKUP($BM148,'Fuel economy adjusted factor'!$A$2:$L$52,5,FALSE)*m2k))</f>
        <v>55.223609903421071</v>
      </c>
      <c r="BO148" s="125">
        <f>BO37/293.07*(1/(VLOOKUP($BM148,'Fuel economy adjusted factor'!$A$2:$L$52,5,FALSE)*m2k))</f>
        <v>55.223609903421071</v>
      </c>
      <c r="BP148" s="125">
        <f>BP37/293.07*(1/(VLOOKUP($BM148,'Fuel economy adjusted factor'!$A$2:$L$52,5,FALSE)*m2k))</f>
        <v>48.505413327135393</v>
      </c>
      <c r="BQ148" s="125">
        <f>BQ37/293.07*(1/(VLOOKUP($BM148,'Fuel economy adjusted factor'!$A$2:$L$52,5,FALSE)*m2k))</f>
        <v>48.505413327135393</v>
      </c>
      <c r="BR148" s="125">
        <f>BR37/293.07*(1/(VLOOKUP($BM148,'Fuel economy adjusted factor'!$A$2:$L$52,5,FALSE)*m2k))</f>
        <v>48.505413327135393</v>
      </c>
      <c r="BS148" s="125">
        <f>BS37/293.07*(1/(VLOOKUP($BM148,'Fuel economy adjusted factor'!$A$2:$L$52,5,FALSE)*m2k))</f>
        <v>48.505413327135393</v>
      </c>
      <c r="BT148" s="125">
        <f>BT37/293.07*(1/(VLOOKUP($BM148,'Fuel economy adjusted factor'!$A$2:$L$52,5,FALSE)*m2k))</f>
        <v>48.505413327135393</v>
      </c>
      <c r="BU148" s="125">
        <f>BU37/293.07*(1/(VLOOKUP($BM148,'Fuel economy adjusted factor'!$A$2:$L$52,5,FALSE)*m2k))</f>
        <v>54.984008695233506</v>
      </c>
      <c r="BV148" s="125">
        <f>BV37/293.07*(1/(VLOOKUP($BM148,'Fuel economy adjusted factor'!$A$2:$L$52,5,FALSE)*m2k))</f>
        <v>54.984008695233506</v>
      </c>
      <c r="BW148" s="125">
        <f>BW37/293.07*(1/(VLOOKUP($BM148,'Fuel economy adjusted factor'!$A$2:$L$52,5,FALSE)*m2k))</f>
        <v>54.984008695233506</v>
      </c>
      <c r="BX148" s="125">
        <f>BX37/293.07*(1/(VLOOKUP($BM148,'Fuel economy adjusted factor'!$A$2:$L$52,5,FALSE)*m2k))</f>
        <v>54.984008695233506</v>
      </c>
      <c r="BY148" s="125">
        <f>BY37/293.07*(1/(VLOOKUP($BM148,'Fuel economy adjusted factor'!$A$2:$L$52,5,FALSE)*m2k))</f>
        <v>54.984008695233506</v>
      </c>
      <c r="BZ148" s="125">
        <f>BZ37/293.07*(1/(VLOOKUP($BM148,'Fuel economy adjusted factor'!$A$2:$L$52,5,FALSE)*m2k))</f>
        <v>56.306283924076759</v>
      </c>
      <c r="CA148" s="125">
        <f>CA37/293.07*(1/(VLOOKUP($BM148,'Fuel economy adjusted factor'!$A$2:$L$52,5,FALSE)*m2k))</f>
        <v>56.306283924076759</v>
      </c>
      <c r="CB148" s="125">
        <f>CB37/293.07*(1/(VLOOKUP($BM148,'Fuel economy adjusted factor'!$A$2:$L$52,5,FALSE)*m2k))</f>
        <v>56.306283924076759</v>
      </c>
      <c r="CC148" s="125">
        <f>CC37/293.07*(1/(VLOOKUP($BM148,'Fuel economy adjusted factor'!$A$2:$L$52,5,FALSE)*m2k))</f>
        <v>56.306283924076759</v>
      </c>
      <c r="CD148" s="125">
        <f>CD37/293.07*(1/(VLOOKUP($BM148,'Fuel economy adjusted factor'!$A$2:$L$52,5,FALSE)*m2k))</f>
        <v>56.306283924076759</v>
      </c>
      <c r="CE148" s="125">
        <f>CE37/293.07*(1/(VLOOKUP($BM148,'Fuel economy adjusted factor'!$A$2:$L$52,5,FALSE)*m2k))</f>
        <v>57.697928596853529</v>
      </c>
      <c r="CF148" s="125">
        <f>CF37/293.07*(1/(VLOOKUP($BM148,'Fuel economy adjusted factor'!$A$2:$L$52,5,FALSE)*m2k))</f>
        <v>57.697928596853529</v>
      </c>
      <c r="CG148" s="125">
        <f>CG37/293.07*(1/(VLOOKUP($BM148,'Fuel economy adjusted factor'!$A$2:$L$52,5,FALSE)*m2k))</f>
        <v>57.697928596853529</v>
      </c>
      <c r="CH148" s="125">
        <f>CH37/293.07*(1/(VLOOKUP($BM148,'Fuel economy adjusted factor'!$A$2:$L$52,5,FALSE)*m2k))</f>
        <v>57.697928596853529</v>
      </c>
      <c r="CI148" s="125">
        <f>CI37/293.07*(1/(VLOOKUP($BM148,'Fuel economy adjusted factor'!$A$2:$L$52,5,FALSE)*m2k))</f>
        <v>57.697928596853529</v>
      </c>
      <c r="CJ148" s="125">
        <f>CJ37/293.07*(1/(VLOOKUP($BM148,'Fuel economy adjusted factor'!$A$2:$L$52,5,FALSE)*m2k))</f>
        <v>58.028178219506373</v>
      </c>
      <c r="CK148" s="125">
        <f>CK37/293.07*(1/(VLOOKUP($BM148,'Fuel economy adjusted factor'!$A$2:$L$52,5,FALSE)*m2k))</f>
        <v>58.028178219506373</v>
      </c>
      <c r="CL148" s="125">
        <f>CL37/293.07*(1/(VLOOKUP($BM148,'Fuel economy adjusted factor'!$A$2:$L$52,5,FALSE)*m2k))</f>
        <v>58.028178219506373</v>
      </c>
      <c r="CM148" s="125">
        <f>CM37/293.07*(1/(VLOOKUP($BM148,'Fuel economy adjusted factor'!$A$2:$L$52,5,FALSE)*m2k))</f>
        <v>58.028178219506373</v>
      </c>
      <c r="CN148" s="125">
        <f>CN37/293.07*(1/(VLOOKUP($BM148,'Fuel economy adjusted factor'!$A$2:$L$52,5,FALSE)*m2k))</f>
        <v>58.028178219506373</v>
      </c>
      <c r="CO148" s="125">
        <f>CO37/293.07*(1/(VLOOKUP($BM148,'Fuel economy adjusted factor'!$A$2:$L$52,5,FALSE)*m2k))</f>
        <v>58.4226903331651</v>
      </c>
      <c r="CP148" s="98" cm="1">
        <f t="array" ref="CP148">SUMPRODUCT(INDEX(BN148:CO148,,'TCO Inputs'!$AZ$12-2023+_xlfn.SEQUENCE('TCO Inputs'!$AZ$13))*INDEX('VKT US'!C94:AA94,,_xlfn.SEQUENCE('TCO Inputs'!$AZ$13)))*m2k*CONVERT(0.9072,"g","ton")</f>
        <v>11.329997444392088</v>
      </c>
      <c r="CQ148" s="194"/>
      <c r="CR148" s="123" t="s">
        <v>216</v>
      </c>
      <c r="CS148" s="125">
        <f>CS37/293.07*(1/(VLOOKUP($BM148,'Fuel economy adjusted factor'!$A$2:$L$52,5,FALSE)*m2k))/'TCO Inputs'!$AZ$84</f>
        <v>78.660092808515117</v>
      </c>
      <c r="CT148" s="125">
        <f>CT37/293.07*(1/(VLOOKUP($BM148,'Fuel economy adjusted factor'!$A$2:$L$52,5,FALSE)*m2k))/'TCO Inputs'!$AZ$84</f>
        <v>78.660092808515117</v>
      </c>
      <c r="CU148" s="125">
        <f>CU37/293.07*(1/(VLOOKUP($BM148,'Fuel economy adjusted factor'!$A$2:$L$52,5,FALSE)*m2k))/'TCO Inputs'!$AZ$84</f>
        <v>78.660092808515117</v>
      </c>
      <c r="CV148" s="125">
        <f>CV37/293.07*(1/(VLOOKUP($BM148,'Fuel economy adjusted factor'!$A$2:$L$52,5,FALSE)*m2k))/'TCO Inputs'!$AZ$84</f>
        <v>78.660092808515117</v>
      </c>
      <c r="CW148" s="125">
        <f>CW37/293.07*(1/(VLOOKUP($BM148,'Fuel economy adjusted factor'!$A$2:$L$52,5,FALSE)*m2k))/'TCO Inputs'!$AZ$84</f>
        <v>78.660092808515117</v>
      </c>
      <c r="CX148" s="125">
        <f>CX37/293.07*(1/(VLOOKUP($BM148,'Fuel economy adjusted factor'!$A$2:$L$52,5,FALSE)*m2k))/'TCO Inputs'!$AZ$84</f>
        <v>78.660092808515117</v>
      </c>
      <c r="CY148" s="125">
        <f>CY37/293.07*(1/(VLOOKUP($BM148,'Fuel economy adjusted factor'!$A$2:$L$52,5,FALSE)*m2k))/'TCO Inputs'!$AZ$84</f>
        <v>78.660092808515117</v>
      </c>
      <c r="CZ148" s="125">
        <f>CZ37/293.07*(1/(VLOOKUP($BM148,'Fuel economy adjusted factor'!$A$2:$L$52,5,FALSE)*m2k))/'TCO Inputs'!$AZ$84</f>
        <v>78.677616666600073</v>
      </c>
      <c r="DA148" s="125">
        <f>DA37/293.07*(1/(VLOOKUP($BM148,'Fuel economy adjusted factor'!$A$2:$L$52,5,FALSE)*m2k))/'TCO Inputs'!$AZ$84</f>
        <v>78.677616666600073</v>
      </c>
      <c r="DB148" s="125">
        <f>DB37/293.07*(1/(VLOOKUP($BM148,'Fuel economy adjusted factor'!$A$2:$L$52,5,FALSE)*m2k))/'TCO Inputs'!$AZ$84</f>
        <v>78.677616666600073</v>
      </c>
      <c r="DC148" s="125">
        <f>DC37/293.07*(1/(VLOOKUP($BM148,'Fuel economy adjusted factor'!$A$2:$L$52,5,FALSE)*m2k))/'TCO Inputs'!$AZ$84</f>
        <v>78.677616666600073</v>
      </c>
      <c r="DD148" s="125">
        <f>DD37/293.07*(1/(VLOOKUP($BM148,'Fuel economy adjusted factor'!$A$2:$L$52,5,FALSE)*m2k))/'TCO Inputs'!$AZ$84</f>
        <v>78.677616666600073</v>
      </c>
      <c r="DE148" s="125">
        <f>DE37/293.07*(1/(VLOOKUP($BM148,'Fuel economy adjusted factor'!$A$2:$L$52,5,FALSE)*m2k))/'TCO Inputs'!$AZ$84</f>
        <v>78.667603033408682</v>
      </c>
      <c r="DF148" s="125">
        <f>DF37/293.07*(1/(VLOOKUP($BM148,'Fuel economy adjusted factor'!$A$2:$L$52,5,FALSE)*m2k))/'TCO Inputs'!$AZ$84</f>
        <v>78.667603033408682</v>
      </c>
      <c r="DG148" s="125">
        <f>DG37/293.07*(1/(VLOOKUP($BM148,'Fuel economy adjusted factor'!$A$2:$L$52,5,FALSE)*m2k))/'TCO Inputs'!$AZ$84</f>
        <v>78.667603033408682</v>
      </c>
      <c r="DH148" s="125">
        <f>DH37/293.07*(1/(VLOOKUP($BM148,'Fuel economy adjusted factor'!$A$2:$L$52,5,FALSE)*m2k))/'TCO Inputs'!$AZ$84</f>
        <v>78.667603033408682</v>
      </c>
      <c r="DI148" s="125">
        <f>DI37/293.07*(1/(VLOOKUP($BM148,'Fuel economy adjusted factor'!$A$2:$L$52,5,FALSE)*m2k))/'TCO Inputs'!$AZ$84</f>
        <v>78.667603033408682</v>
      </c>
      <c r="DJ148" s="125">
        <f>DJ37/293.07*(1/(VLOOKUP($BM148,'Fuel economy adjusted factor'!$A$2:$L$52,5,FALSE)*m2k))/'TCO Inputs'!$AZ$84</f>
        <v>78.665099625110813</v>
      </c>
      <c r="DK148" s="125">
        <f>DK37/293.07*(1/(VLOOKUP($BM148,'Fuel economy adjusted factor'!$A$2:$L$52,5,FALSE)*m2k))/'TCO Inputs'!$AZ$84</f>
        <v>78.665099625110813</v>
      </c>
      <c r="DL148" s="125">
        <f>DL37/293.07*(1/(VLOOKUP($BM148,'Fuel economy adjusted factor'!$A$2:$L$52,5,FALSE)*m2k))/'TCO Inputs'!$AZ$84</f>
        <v>78.665099625110813</v>
      </c>
      <c r="DM148" s="125">
        <f>DM37/293.07*(1/(VLOOKUP($BM148,'Fuel economy adjusted factor'!$A$2:$L$52,5,FALSE)*m2k))/'TCO Inputs'!$AZ$84</f>
        <v>78.665099625110813</v>
      </c>
      <c r="DN148" s="125">
        <f>DN37/293.07*(1/(VLOOKUP($BM148,'Fuel economy adjusted factor'!$A$2:$L$52,5,FALSE)*m2k))/'TCO Inputs'!$AZ$84</f>
        <v>78.665099625110813</v>
      </c>
      <c r="DO148" s="125">
        <f>DO37/293.07*(1/(VLOOKUP($BM148,'Fuel economy adjusted factor'!$A$2:$L$52,5,FALSE)*m2k))/'TCO Inputs'!$AZ$84</f>
        <v>78.616533504132491</v>
      </c>
      <c r="DP148" s="125">
        <f>DP37/293.07*(1/(VLOOKUP($BM148,'Fuel economy adjusted factor'!$A$2:$L$52,5,FALSE)*m2k))/'TCO Inputs'!$AZ$84</f>
        <v>78.616533504132491</v>
      </c>
      <c r="DQ148" s="125">
        <f>DQ37/293.07*(1/(VLOOKUP($BM148,'Fuel economy adjusted factor'!$A$2:$L$52,5,FALSE)*m2k))/'TCO Inputs'!$AZ$84</f>
        <v>78.616533504132491</v>
      </c>
      <c r="DR148" s="125">
        <f>DR37/293.07*(1/(VLOOKUP($BM148,'Fuel economy adjusted factor'!$A$2:$L$52,5,FALSE)*m2k))/'TCO Inputs'!$AZ$84</f>
        <v>78.616533504132491</v>
      </c>
      <c r="DS148" s="125">
        <f>DS37/293.07*(1/(VLOOKUP($BM148,'Fuel economy adjusted factor'!$A$2:$L$52,5,FALSE)*m2k))/'TCO Inputs'!$AZ$84</f>
        <v>78.616533504132491</v>
      </c>
      <c r="DT148" s="125">
        <f>DT37/293.07*(1/(VLOOKUP($BM148,'Fuel economy adjusted factor'!$A$2:$L$52,5,FALSE)*m2k))/'TCO Inputs'!$AZ$84</f>
        <v>78.657088718557688</v>
      </c>
      <c r="DU148" s="98" cm="1">
        <f t="array" ref="DU148">SUMPRODUCT(INDEX(CS148:DT148,,'TCO Inputs'!$AZ$12-2023+_xlfn.SEQUENCE('TCO Inputs'!$AZ$13))*INDEX('VKT US'!C94:AA94,,_xlfn.SEQUENCE('TCO Inputs'!$AZ$13)))*m2k*CONVERT(0.9072,"g","ton")</f>
        <v>16.9080163658755</v>
      </c>
      <c r="DW148" s="123" t="s">
        <v>216</v>
      </c>
      <c r="DX148" s="125">
        <f>DX37/293.07*(1/(VLOOKUP($BM148,'Fuel economy adjusted factor'!$A$2:$L$52,5,FALSE)*m2k))/'TCO Inputs'!$AZ$84</f>
        <v>82.342103610828005</v>
      </c>
      <c r="DY148" s="125">
        <f>DY37/293.07*(1/(VLOOKUP($BM148,'Fuel economy adjusted factor'!$A$2:$L$52,5,FALSE)*m2k))/'TCO Inputs'!$AZ$84</f>
        <v>82.342103610828005</v>
      </c>
      <c r="DZ148" s="125">
        <f>DZ37/293.07*(1/(VLOOKUP($BM148,'Fuel economy adjusted factor'!$A$2:$L$52,5,FALSE)*m2k))/'TCO Inputs'!$AZ$84</f>
        <v>72.181111666743647</v>
      </c>
      <c r="EA148" s="125">
        <f>EA37/293.07*(1/(VLOOKUP($BM148,'Fuel economy adjusted factor'!$A$2:$L$52,5,FALSE)*m2k))/'TCO Inputs'!$AZ$84</f>
        <v>72.181111666743647</v>
      </c>
      <c r="EB148" s="125">
        <f>EB37/293.07*(1/(VLOOKUP($BM148,'Fuel economy adjusted factor'!$A$2:$L$52,5,FALSE)*m2k))/'TCO Inputs'!$AZ$84</f>
        <v>72.181111666743647</v>
      </c>
      <c r="EC148" s="125">
        <f>EC37/293.07*(1/(VLOOKUP($BM148,'Fuel economy adjusted factor'!$A$2:$L$52,5,FALSE)*m2k))/'TCO Inputs'!$AZ$84</f>
        <v>72.181111666743647</v>
      </c>
      <c r="ED148" s="125">
        <f>ED37/293.07*(1/(VLOOKUP($BM148,'Fuel economy adjusted factor'!$A$2:$L$52,5,FALSE)*m2k))/'TCO Inputs'!$AZ$84</f>
        <v>72.181111666743647</v>
      </c>
      <c r="EE148" s="125">
        <f>EE37/293.07*(1/(VLOOKUP($BM148,'Fuel economy adjusted factor'!$A$2:$L$52,5,FALSE)*m2k))/'TCO Inputs'!$AZ$84</f>
        <v>44.487831868775025</v>
      </c>
      <c r="EF148" s="125">
        <f>EF37/293.07*(1/(VLOOKUP($BM148,'Fuel economy adjusted factor'!$A$2:$L$52,5,FALSE)*m2k))/'TCO Inputs'!$AZ$84</f>
        <v>44.487831868775025</v>
      </c>
      <c r="EG148" s="125">
        <f>EG37/293.07*(1/(VLOOKUP($BM148,'Fuel economy adjusted factor'!$A$2:$L$52,5,FALSE)*m2k))/'TCO Inputs'!$AZ$84</f>
        <v>44.487831868775025</v>
      </c>
      <c r="EH148" s="125">
        <f>EH37/293.07*(1/(VLOOKUP($BM148,'Fuel economy adjusted factor'!$A$2:$L$52,5,FALSE)*m2k))/'TCO Inputs'!$AZ$84</f>
        <v>44.487831868775025</v>
      </c>
      <c r="EI148" s="125">
        <f>EI37/293.07*(1/(VLOOKUP($BM148,'Fuel economy adjusted factor'!$A$2:$L$52,5,FALSE)*m2k))/'TCO Inputs'!$AZ$84</f>
        <v>44.487831868775025</v>
      </c>
      <c r="EJ148" s="125">
        <f>EJ37/293.07*(1/(VLOOKUP($BM148,'Fuel economy adjusted factor'!$A$2:$L$52,5,FALSE)*m2k))/'TCO Inputs'!$AZ$84</f>
        <v>39.732861053275826</v>
      </c>
      <c r="EK148" s="125">
        <f>EK37/293.07*(1/(VLOOKUP($BM148,'Fuel economy adjusted factor'!$A$2:$L$52,5,FALSE)*m2k))/'TCO Inputs'!$AZ$84</f>
        <v>39.732861053275826</v>
      </c>
      <c r="EL148" s="125">
        <f>EL37/293.07*(1/(VLOOKUP($BM148,'Fuel economy adjusted factor'!$A$2:$L$52,5,FALSE)*m2k))/'TCO Inputs'!$AZ$84</f>
        <v>39.732861053275826</v>
      </c>
      <c r="EM148" s="125">
        <f>EM37/293.07*(1/(VLOOKUP($BM148,'Fuel economy adjusted factor'!$A$2:$L$52,5,FALSE)*m2k))/'TCO Inputs'!$AZ$84</f>
        <v>39.732861053275826</v>
      </c>
      <c r="EN148" s="125">
        <f>EN37/293.07*(1/(VLOOKUP($BM148,'Fuel economy adjusted factor'!$A$2:$L$52,5,FALSE)*m2k))/'TCO Inputs'!$AZ$84</f>
        <v>39.732861053275826</v>
      </c>
      <c r="EO148" s="125">
        <f>EO37/293.07*(1/(VLOOKUP($BM148,'Fuel economy adjusted factor'!$A$2:$L$52,5,FALSE)*m2k))/'TCO Inputs'!$AZ$84</f>
        <v>38.482286755420795</v>
      </c>
      <c r="EP148" s="125">
        <f>EP37/293.07*(1/(VLOOKUP($BM148,'Fuel economy adjusted factor'!$A$2:$L$52,5,FALSE)*m2k))/'TCO Inputs'!$AZ$84</f>
        <v>38.482286755420795</v>
      </c>
      <c r="EQ148" s="125">
        <f>EQ37/293.07*(1/(VLOOKUP($BM148,'Fuel economy adjusted factor'!$A$2:$L$52,5,FALSE)*m2k))/'TCO Inputs'!$AZ$84</f>
        <v>38.482286755420795</v>
      </c>
      <c r="ER148" s="125">
        <f>ER37/293.07*(1/(VLOOKUP($BM148,'Fuel economy adjusted factor'!$A$2:$L$52,5,FALSE)*m2k))/'TCO Inputs'!$AZ$84</f>
        <v>38.482286755420795</v>
      </c>
      <c r="ES148" s="125">
        <f>ES37/293.07*(1/(VLOOKUP($BM148,'Fuel economy adjusted factor'!$A$2:$L$52,5,FALSE)*m2k))/'TCO Inputs'!$AZ$84</f>
        <v>38.482286755420795</v>
      </c>
      <c r="ET148" s="125">
        <f>ET37/293.07*(1/(VLOOKUP($BM148,'Fuel economy adjusted factor'!$A$2:$L$52,5,FALSE)*m2k))/'TCO Inputs'!$AZ$84</f>
        <v>37.053491980799222</v>
      </c>
      <c r="EU148" s="125">
        <f>EU37/293.07*(1/(VLOOKUP($BM148,'Fuel economy adjusted factor'!$A$2:$L$52,5,FALSE)*m2k))/'TCO Inputs'!$AZ$84</f>
        <v>37.053491980799222</v>
      </c>
      <c r="EV148" s="125">
        <f>EV37/293.07*(1/(VLOOKUP($BM148,'Fuel economy adjusted factor'!$A$2:$L$52,5,FALSE)*m2k))/'TCO Inputs'!$AZ$84</f>
        <v>37.053491980799222</v>
      </c>
      <c r="EW148" s="125">
        <f>EW37/293.07*(1/(VLOOKUP($BM148,'Fuel economy adjusted factor'!$A$2:$L$52,5,FALSE)*m2k))/'TCO Inputs'!$AZ$84</f>
        <v>37.053491980799222</v>
      </c>
      <c r="EX148" s="125">
        <f>EX37/293.07*(1/(VLOOKUP($BM148,'Fuel economy adjusted factor'!$A$2:$L$52,5,FALSE)*m2k))/'TCO Inputs'!$AZ$84</f>
        <v>37.053491980799222</v>
      </c>
      <c r="EY148" s="125">
        <f>EY37/293.07*(1/(VLOOKUP($BM148,'Fuel economy adjusted factor'!$A$2:$L$52,5,FALSE)*m2k))/'TCO Inputs'!$AZ$84</f>
        <v>34.813005987162668</v>
      </c>
      <c r="EZ148" s="98" cm="1">
        <f t="array" ref="EZ148">SUMPRODUCT(INDEX(DX148:EY148,,'TCO Inputs'!$AZ$12-2023+_xlfn.SEQUENCE('TCO Inputs'!$AZ$13))*INDEX('VKT US'!C94:AA94,,_xlfn.SEQUENCE('TCO Inputs'!$AZ$13)))*m2k*CONVERT(0.9072,"g","ton")</f>
        <v>13.083631824277008</v>
      </c>
      <c r="FB148" s="123" t="s">
        <v>216</v>
      </c>
      <c r="FC148" s="125">
        <f>FC37/293.07*(1/(VLOOKUP($BM148,'Fuel economy adjusted factor'!$A$2:$L$52,5,FALSE)*m2k))/'TCO Inputs'!$AZ$84</f>
        <v>89.312100351854241</v>
      </c>
      <c r="FD148" s="125">
        <f>FD37/293.07*(1/(VLOOKUP($BM148,'Fuel economy adjusted factor'!$A$2:$L$52,5,FALSE)*m2k))/'TCO Inputs'!$AZ$84</f>
        <v>89.312100351854241</v>
      </c>
      <c r="FE148" s="125">
        <f>FE37/293.07*(1/(VLOOKUP($BM148,'Fuel economy adjusted factor'!$A$2:$L$52,5,FALSE)*m2k))/'TCO Inputs'!$AZ$84</f>
        <v>77.996312461374401</v>
      </c>
      <c r="FF148" s="125">
        <f>FF37/293.07*(1/(VLOOKUP($BM148,'Fuel economy adjusted factor'!$A$2:$L$52,5,FALSE)*m2k))/'TCO Inputs'!$AZ$84</f>
        <v>77.996312461374401</v>
      </c>
      <c r="FG148" s="125">
        <f>FG37/293.07*(1/(VLOOKUP($BM148,'Fuel economy adjusted factor'!$A$2:$L$52,5,FALSE)*m2k))/'TCO Inputs'!$AZ$84</f>
        <v>77.996312461374401</v>
      </c>
      <c r="FH148" s="125">
        <f>FH37/293.07*(1/(VLOOKUP($BM148,'Fuel economy adjusted factor'!$A$2:$L$52,5,FALSE)*m2k))/'TCO Inputs'!$AZ$84</f>
        <v>77.996312461374401</v>
      </c>
      <c r="FI148" s="125">
        <f>FI37/293.07*(1/(VLOOKUP($BM148,'Fuel economy adjusted factor'!$A$2:$L$52,5,FALSE)*m2k))/'TCO Inputs'!$AZ$84</f>
        <v>77.996312461374401</v>
      </c>
      <c r="FJ148" s="125">
        <f>FJ37/293.07*(1/(VLOOKUP($BM148,'Fuel economy adjusted factor'!$A$2:$L$52,5,FALSE)*m2k))/'TCO Inputs'!$AZ$84</f>
        <v>48.944556172134298</v>
      </c>
      <c r="FK148" s="125">
        <f>FK37/293.07*(1/(VLOOKUP($BM148,'Fuel economy adjusted factor'!$A$2:$L$52,5,FALSE)*m2k))/'TCO Inputs'!$AZ$84</f>
        <v>48.944556172134298</v>
      </c>
      <c r="FL148" s="125">
        <f>FL37/293.07*(1/(VLOOKUP($BM148,'Fuel economy adjusted factor'!$A$2:$L$52,5,FALSE)*m2k))/'TCO Inputs'!$AZ$84</f>
        <v>48.944556172134298</v>
      </c>
      <c r="FM148" s="125">
        <f>FM37/293.07*(1/(VLOOKUP($BM148,'Fuel economy adjusted factor'!$A$2:$L$52,5,FALSE)*m2k))/'TCO Inputs'!$AZ$84</f>
        <v>48.944556172134298</v>
      </c>
      <c r="FN148" s="125">
        <f>FN37/293.07*(1/(VLOOKUP($BM148,'Fuel economy adjusted factor'!$A$2:$L$52,5,FALSE)*m2k))/'TCO Inputs'!$AZ$84</f>
        <v>48.944556172134298</v>
      </c>
      <c r="FO148" s="125">
        <f>FO37/293.07*(1/(VLOOKUP($BM148,'Fuel economy adjusted factor'!$A$2:$L$52,5,FALSE)*m2k))/'TCO Inputs'!$AZ$84</f>
        <v>43.460336262927086</v>
      </c>
      <c r="FP148" s="125">
        <f>FP37/293.07*(1/(VLOOKUP($BM148,'Fuel economy adjusted factor'!$A$2:$L$52,5,FALSE)*m2k))/'TCO Inputs'!$AZ$84</f>
        <v>43.460336262927086</v>
      </c>
      <c r="FQ148" s="125">
        <f>FQ37/293.07*(1/(VLOOKUP($BM148,'Fuel economy adjusted factor'!$A$2:$L$52,5,FALSE)*m2k))/'TCO Inputs'!$AZ$84</f>
        <v>43.460336262927086</v>
      </c>
      <c r="FR148" s="125">
        <f>FR37/293.07*(1/(VLOOKUP($BM148,'Fuel economy adjusted factor'!$A$2:$L$52,5,FALSE)*m2k))/'TCO Inputs'!$AZ$84</f>
        <v>43.460336262927086</v>
      </c>
      <c r="FS148" s="125">
        <f>FS37/293.07*(1/(VLOOKUP($BM148,'Fuel economy adjusted factor'!$A$2:$L$52,5,FALSE)*m2k))/'TCO Inputs'!$AZ$84</f>
        <v>43.460336262927086</v>
      </c>
      <c r="FT148" s="125">
        <f>FT37/293.07*(1/(VLOOKUP($BM148,'Fuel economy adjusted factor'!$A$2:$L$52,5,FALSE)*m2k))/'TCO Inputs'!$AZ$84</f>
        <v>42.354035684359268</v>
      </c>
      <c r="FU148" s="125">
        <f>FU37/293.07*(1/(VLOOKUP($BM148,'Fuel economy adjusted factor'!$A$2:$L$52,5,FALSE)*m2k))/'TCO Inputs'!$AZ$84</f>
        <v>42.354035684359268</v>
      </c>
      <c r="FV148" s="125">
        <f>FV37/293.07*(1/(VLOOKUP($BM148,'Fuel economy adjusted factor'!$A$2:$L$52,5,FALSE)*m2k))/'TCO Inputs'!$AZ$84</f>
        <v>42.354035684359268</v>
      </c>
      <c r="FW148" s="125">
        <f>FW37/293.07*(1/(VLOOKUP($BM148,'Fuel economy adjusted factor'!$A$2:$L$52,5,FALSE)*m2k))/'TCO Inputs'!$AZ$84</f>
        <v>42.354035684359268</v>
      </c>
      <c r="FX148" s="125">
        <f>FX37/293.07*(1/(VLOOKUP($BM148,'Fuel economy adjusted factor'!$A$2:$L$52,5,FALSE)*m2k))/'TCO Inputs'!$AZ$84</f>
        <v>42.354035684359268</v>
      </c>
      <c r="FY148" s="125">
        <f>FY37/293.07*(1/(VLOOKUP($BM148,'Fuel economy adjusted factor'!$A$2:$L$52,5,FALSE)*m2k))/'TCO Inputs'!$AZ$84</f>
        <v>40.922209949248469</v>
      </c>
      <c r="FZ148" s="125">
        <f>FZ37/293.07*(1/(VLOOKUP($BM148,'Fuel economy adjusted factor'!$A$2:$L$52,5,FALSE)*m2k))/'TCO Inputs'!$AZ$84</f>
        <v>40.922209949248469</v>
      </c>
      <c r="GA148" s="125">
        <f>GA37/293.07*(1/(VLOOKUP($BM148,'Fuel economy adjusted factor'!$A$2:$L$52,5,FALSE)*m2k))/'TCO Inputs'!$AZ$84</f>
        <v>40.922209949248469</v>
      </c>
      <c r="GB148" s="125">
        <f>GB37/293.07*(1/(VLOOKUP($BM148,'Fuel economy adjusted factor'!$A$2:$L$52,5,FALSE)*m2k))/'TCO Inputs'!$AZ$84</f>
        <v>40.922209949248469</v>
      </c>
      <c r="GC148" s="125">
        <f>GC37/293.07*(1/(VLOOKUP($BM148,'Fuel economy adjusted factor'!$A$2:$L$52,5,FALSE)*m2k))/'TCO Inputs'!$AZ$84</f>
        <v>40.922209949248469</v>
      </c>
      <c r="GD148" s="125">
        <f>GD37/293.07*(1/(VLOOKUP($BM148,'Fuel economy adjusted factor'!$A$2:$L$52,5,FALSE)*m2k))/'TCO Inputs'!$AZ$84</f>
        <v>38.60413136708771</v>
      </c>
      <c r="GE148" s="98" cm="1">
        <f t="array" ref="GE148">SUMPRODUCT(INDEX(FC148:GD148,,'TCO Inputs'!$AZ$12-2023+_xlfn.SEQUENCE('TCO Inputs'!$AZ$13))*INDEX('VKT US'!C94:AA94,,_xlfn.SEQUENCE('TCO Inputs'!$AZ$13)))*m2k*CONVERT(0.9072,"g","ton")</f>
        <v>14.22535644046585</v>
      </c>
      <c r="GH148" s="123" t="s">
        <v>216</v>
      </c>
      <c r="GI148" s="125">
        <f>GI37/293.07*(1/(VLOOKUP($BM148,'Fuel economy adjusted factor'!$A$2:$L$52,5,FALSE)*m2k))/'TCO Inputs'!$AZ$84</f>
        <v>77.598044253090009</v>
      </c>
      <c r="GJ148" s="125">
        <f>GJ37/293.07*(1/(VLOOKUP($BM148,'Fuel economy adjusted factor'!$A$2:$L$52,5,FALSE)*m2k))/'TCO Inputs'!$AZ$84</f>
        <v>77.598044253090009</v>
      </c>
      <c r="GK148" s="125">
        <f>GK37/293.07*(1/(VLOOKUP($BM148,'Fuel economy adjusted factor'!$A$2:$L$52,5,FALSE)*m2k))/'TCO Inputs'!$AZ$84</f>
        <v>68.223283459911116</v>
      </c>
      <c r="GL148" s="125">
        <f>GL37/293.07*(1/(VLOOKUP($BM148,'Fuel economy adjusted factor'!$A$2:$L$52,5,FALSE)*m2k))/'TCO Inputs'!$AZ$84</f>
        <v>68.223283459911116</v>
      </c>
      <c r="GM148" s="125">
        <f>GM37/293.07*(1/(VLOOKUP($BM148,'Fuel economy adjusted factor'!$A$2:$L$52,5,FALSE)*m2k))/'TCO Inputs'!$AZ$84</f>
        <v>68.223283459911116</v>
      </c>
      <c r="GN148" s="125">
        <f>GN37/293.07*(1/(VLOOKUP($BM148,'Fuel economy adjusted factor'!$A$2:$L$52,5,FALSE)*m2k))/'TCO Inputs'!$AZ$84</f>
        <v>68.223283459911116</v>
      </c>
      <c r="GO148" s="125">
        <f>GO37/293.07*(1/(VLOOKUP($BM148,'Fuel economy adjusted factor'!$A$2:$L$52,5,FALSE)*m2k))/'TCO Inputs'!$AZ$84</f>
        <v>68.223283459911116</v>
      </c>
      <c r="GP148" s="125">
        <f>GP37/293.07*(1/(VLOOKUP($BM148,'Fuel economy adjusted factor'!$A$2:$L$52,5,FALSE)*m2k))/'TCO Inputs'!$AZ$84</f>
        <v>41.454446611156712</v>
      </c>
      <c r="GQ148" s="125">
        <f>GQ37/293.07*(1/(VLOOKUP($BM148,'Fuel economy adjusted factor'!$A$2:$L$52,5,FALSE)*m2k))/'TCO Inputs'!$AZ$84</f>
        <v>41.454446611156712</v>
      </c>
      <c r="GR148" s="125">
        <f>GR37/293.07*(1/(VLOOKUP($BM148,'Fuel economy adjusted factor'!$A$2:$L$52,5,FALSE)*m2k))/'TCO Inputs'!$AZ$84</f>
        <v>41.454446611156712</v>
      </c>
      <c r="GS148" s="125">
        <f>GS37/293.07*(1/(VLOOKUP($BM148,'Fuel economy adjusted factor'!$A$2:$L$52,5,FALSE)*m2k))/'TCO Inputs'!$AZ$84</f>
        <v>41.454446611156712</v>
      </c>
      <c r="GT148" s="125">
        <f>GT37/293.07*(1/(VLOOKUP($BM148,'Fuel economy adjusted factor'!$A$2:$L$52,5,FALSE)*m2k))/'TCO Inputs'!$AZ$84</f>
        <v>41.454446611156712</v>
      </c>
      <c r="GU148" s="125">
        <f>GU37/293.07*(1/(VLOOKUP($BM148,'Fuel economy adjusted factor'!$A$2:$L$52,5,FALSE)*m2k))/'TCO Inputs'!$AZ$84</f>
        <v>37.195947123792884</v>
      </c>
      <c r="GV148" s="125">
        <f>GV37/293.07*(1/(VLOOKUP($BM148,'Fuel economy adjusted factor'!$A$2:$L$52,5,FALSE)*m2k))/'TCO Inputs'!$AZ$84</f>
        <v>37.195947123792884</v>
      </c>
      <c r="GW148" s="125">
        <f>GW37/293.07*(1/(VLOOKUP($BM148,'Fuel economy adjusted factor'!$A$2:$L$52,5,FALSE)*m2k))/'TCO Inputs'!$AZ$84</f>
        <v>37.195947123792884</v>
      </c>
      <c r="GX148" s="125">
        <f>GX37/293.07*(1/(VLOOKUP($BM148,'Fuel economy adjusted factor'!$A$2:$L$52,5,FALSE)*m2k))/'TCO Inputs'!$AZ$84</f>
        <v>37.195947123792884</v>
      </c>
      <c r="GY148" s="125">
        <f>GY37/293.07*(1/(VLOOKUP($BM148,'Fuel economy adjusted factor'!$A$2:$L$52,5,FALSE)*m2k))/'TCO Inputs'!$AZ$84</f>
        <v>37.195947123792884</v>
      </c>
      <c r="GZ148" s="125">
        <f>GZ37/293.07*(1/(VLOOKUP($BM148,'Fuel economy adjusted factor'!$A$2:$L$52,5,FALSE)*m2k))/'TCO Inputs'!$AZ$84</f>
        <v>35.847169706086895</v>
      </c>
      <c r="HA148" s="125">
        <f>HA37/293.07*(1/(VLOOKUP($BM148,'Fuel economy adjusted factor'!$A$2:$L$52,5,FALSE)*m2k))/'TCO Inputs'!$AZ$84</f>
        <v>35.847169706086895</v>
      </c>
      <c r="HB148" s="125">
        <f>HB37/293.07*(1/(VLOOKUP($BM148,'Fuel economy adjusted factor'!$A$2:$L$52,5,FALSE)*m2k))/'TCO Inputs'!$AZ$84</f>
        <v>35.847169706086895</v>
      </c>
      <c r="HC148" s="125">
        <f>HC37/293.07*(1/(VLOOKUP($BM148,'Fuel economy adjusted factor'!$A$2:$L$52,5,FALSE)*m2k))/'TCO Inputs'!$AZ$84</f>
        <v>35.847169706086895</v>
      </c>
      <c r="HD148" s="125">
        <f>HD37/293.07*(1/(VLOOKUP($BM148,'Fuel economy adjusted factor'!$A$2:$L$52,5,FALSE)*m2k))/'TCO Inputs'!$AZ$84</f>
        <v>35.847169706086895</v>
      </c>
      <c r="HE148" s="125">
        <f>HE37/293.07*(1/(VLOOKUP($BM148,'Fuel economy adjusted factor'!$A$2:$L$52,5,FALSE)*m2k))/'TCO Inputs'!$AZ$84</f>
        <v>34.420193507758853</v>
      </c>
      <c r="HF148" s="125">
        <f>HF37/293.07*(1/(VLOOKUP($BM148,'Fuel economy adjusted factor'!$A$2:$L$52,5,FALSE)*m2k))/'TCO Inputs'!$AZ$84</f>
        <v>34.420193507758853</v>
      </c>
      <c r="HG148" s="125">
        <f>HG37/293.07*(1/(VLOOKUP($BM148,'Fuel economy adjusted factor'!$A$2:$L$52,5,FALSE)*m2k))/'TCO Inputs'!$AZ$84</f>
        <v>34.420193507758853</v>
      </c>
      <c r="HH148" s="125">
        <f>HH37/293.07*(1/(VLOOKUP($BM148,'Fuel economy adjusted factor'!$A$2:$L$52,5,FALSE)*m2k))/'TCO Inputs'!$AZ$84</f>
        <v>34.420193507758853</v>
      </c>
      <c r="HI148" s="125">
        <f>HI37/293.07*(1/(VLOOKUP($BM148,'Fuel economy adjusted factor'!$A$2:$L$52,5,FALSE)*m2k))/'TCO Inputs'!$AZ$84</f>
        <v>34.420193507758853</v>
      </c>
      <c r="HJ148" s="125">
        <f>HJ37/293.07*(1/(VLOOKUP($BM148,'Fuel economy adjusted factor'!$A$2:$L$52,5,FALSE)*m2k))/'TCO Inputs'!$AZ$84</f>
        <v>32.233052418732704</v>
      </c>
      <c r="HK148" s="98" cm="1">
        <f t="array" ref="HK148">SUMPRODUCT(INDEX(GI148:HJ148,,'TCO Inputs'!$AZ$12-2023+_xlfn.SEQUENCE('TCO Inputs'!$AZ$13))*INDEX('VKT US'!C94:AA94,,_xlfn.SEQUENCE('TCO Inputs'!$AZ$13)))*m2k*CONVERT(0.9072,"g","ton")</f>
        <v>12.306553992841103</v>
      </c>
    </row>
    <row r="149" spans="26:219" x14ac:dyDescent="0.25">
      <c r="Z149" s="123" t="s">
        <v>209</v>
      </c>
      <c r="AA149" s="125">
        <f>AA38/293.07*(1/(VLOOKUP($Z149,'Fuel economy adjusted factor'!$A$2:$L$52,5,FALSE)*m2k))/'TCO Inputs'!$AZ$84</f>
        <v>77.830888261679249</v>
      </c>
      <c r="AB149" s="125">
        <f>AB38/293.07*(1/(VLOOKUP($Z149,'Fuel economy adjusted factor'!$A$2:$L$52,5,FALSE)*m2k))/'TCO Inputs'!$AZ$84</f>
        <v>77.830888261679249</v>
      </c>
      <c r="AC149" s="125">
        <f>AC38/293.07*(1/(VLOOKUP($Z149,'Fuel economy adjusted factor'!$A$2:$L$52,5,FALSE)*m2k))/'TCO Inputs'!$AZ$84</f>
        <v>68.451786684565349</v>
      </c>
      <c r="AD149" s="125">
        <f>AD38/293.07*(1/(VLOOKUP($Z149,'Fuel economy adjusted factor'!$A$2:$L$52,5,FALSE)*m2k))/'TCO Inputs'!$AZ$84</f>
        <v>68.451786684565349</v>
      </c>
      <c r="AE149" s="125">
        <f>AE38/293.07*(1/(VLOOKUP($Z149,'Fuel economy adjusted factor'!$A$2:$L$52,5,FALSE)*m2k))/'TCO Inputs'!$AZ$84</f>
        <v>68.451786684565349</v>
      </c>
      <c r="AF149" s="125">
        <f>AF38/293.07*(1/(VLOOKUP($Z149,'Fuel economy adjusted factor'!$A$2:$L$52,5,FALSE)*m2k))/'TCO Inputs'!$AZ$84</f>
        <v>68.451786684565349</v>
      </c>
      <c r="AG149" s="125">
        <f>AG38/293.07*(1/(VLOOKUP($Z149,'Fuel economy adjusted factor'!$A$2:$L$52,5,FALSE)*m2k))/'TCO Inputs'!$AZ$84</f>
        <v>68.451786684565349</v>
      </c>
      <c r="AH149" s="125">
        <f>AH38/293.07*(1/(VLOOKUP($Z149,'Fuel economy adjusted factor'!$A$2:$L$52,5,FALSE)*m2k))/'TCO Inputs'!$AZ$84</f>
        <v>41.128413067896716</v>
      </c>
      <c r="AI149" s="125">
        <f>AI38/293.07*(1/(VLOOKUP($Z149,'Fuel economy adjusted factor'!$A$2:$L$52,5,FALSE)*m2k))/'TCO Inputs'!$AZ$84</f>
        <v>41.128413067896716</v>
      </c>
      <c r="AJ149" s="125">
        <f>AJ38/293.07*(1/(VLOOKUP($Z149,'Fuel economy adjusted factor'!$A$2:$L$52,5,FALSE)*m2k))/'TCO Inputs'!$AZ$84</f>
        <v>41.128413067896716</v>
      </c>
      <c r="AK149" s="125">
        <f>AK38/293.07*(1/(VLOOKUP($Z149,'Fuel economy adjusted factor'!$A$2:$L$52,5,FALSE)*m2k))/'TCO Inputs'!$AZ$84</f>
        <v>41.128413067896716</v>
      </c>
      <c r="AL149" s="125">
        <f>AL38/293.07*(1/(VLOOKUP($Z149,'Fuel economy adjusted factor'!$A$2:$L$52,5,FALSE)*m2k))/'TCO Inputs'!$AZ$84</f>
        <v>41.128413067896716</v>
      </c>
      <c r="AM149" s="125">
        <f>AM38/293.07*(1/(VLOOKUP($Z149,'Fuel economy adjusted factor'!$A$2:$L$52,5,FALSE)*m2k))/'TCO Inputs'!$AZ$84</f>
        <v>43.039981573764976</v>
      </c>
      <c r="AN149" s="125">
        <f>AN38/293.07*(1/(VLOOKUP($Z149,'Fuel economy adjusted factor'!$A$2:$L$52,5,FALSE)*m2k))/'TCO Inputs'!$AZ$84</f>
        <v>43.039981573764976</v>
      </c>
      <c r="AO149" s="125">
        <f>AO38/293.07*(1/(VLOOKUP($Z149,'Fuel economy adjusted factor'!$A$2:$L$52,5,FALSE)*m2k))/'TCO Inputs'!$AZ$84</f>
        <v>43.039981573764976</v>
      </c>
      <c r="AP149" s="125">
        <f>AP38/293.07*(1/(VLOOKUP($Z149,'Fuel economy adjusted factor'!$A$2:$L$52,5,FALSE)*m2k))/'TCO Inputs'!$AZ$84</f>
        <v>43.039981573764976</v>
      </c>
      <c r="AQ149" s="125">
        <f>AQ38/293.07*(1/(VLOOKUP($Z149,'Fuel economy adjusted factor'!$A$2:$L$52,5,FALSE)*m2k))/'TCO Inputs'!$AZ$84</f>
        <v>43.039981573764976</v>
      </c>
      <c r="AR149" s="125">
        <f>AR38/293.07*(1/(VLOOKUP($Z149,'Fuel economy adjusted factor'!$A$2:$L$52,5,FALSE)*m2k))/'TCO Inputs'!$AZ$84</f>
        <v>44.991736803791753</v>
      </c>
      <c r="AS149" s="125">
        <f>AS38/293.07*(1/(VLOOKUP($Z149,'Fuel economy adjusted factor'!$A$2:$L$52,5,FALSE)*m2k))/'TCO Inputs'!$AZ$84</f>
        <v>44.991736803791753</v>
      </c>
      <c r="AT149" s="125">
        <f>AT38/293.07*(1/(VLOOKUP($Z149,'Fuel economy adjusted factor'!$A$2:$L$52,5,FALSE)*m2k))/'TCO Inputs'!$AZ$84</f>
        <v>44.991736803791753</v>
      </c>
      <c r="AU149" s="125">
        <f>AU38/293.07*(1/(VLOOKUP($Z149,'Fuel economy adjusted factor'!$A$2:$L$52,5,FALSE)*m2k))/'TCO Inputs'!$AZ$84</f>
        <v>44.991736803791753</v>
      </c>
      <c r="AV149" s="125">
        <f>AV38/293.07*(1/(VLOOKUP($Z149,'Fuel economy adjusted factor'!$A$2:$L$52,5,FALSE)*m2k))/'TCO Inputs'!$AZ$84</f>
        <v>44.991736803791753</v>
      </c>
      <c r="AW149" s="125">
        <f>AW38/293.07*(1/(VLOOKUP($Z149,'Fuel economy adjusted factor'!$A$2:$L$52,5,FALSE)*m2k))/'TCO Inputs'!$AZ$84</f>
        <v>45.979010654014267</v>
      </c>
      <c r="AX149" s="125">
        <f>AX38/293.07*(1/(VLOOKUP($Z149,'Fuel economy adjusted factor'!$A$2:$L$52,5,FALSE)*m2k))/'TCO Inputs'!$AZ$84</f>
        <v>45.979010654014267</v>
      </c>
      <c r="AY149" s="125">
        <f>AY38/293.07*(1/(VLOOKUP($Z149,'Fuel economy adjusted factor'!$A$2:$L$52,5,FALSE)*m2k))/'TCO Inputs'!$AZ$84</f>
        <v>45.979010654014267</v>
      </c>
      <c r="AZ149" s="125">
        <f>AZ38/293.07*(1/(VLOOKUP($Z149,'Fuel economy adjusted factor'!$A$2:$L$52,5,FALSE)*m2k))/'TCO Inputs'!$AZ$84</f>
        <v>45.979010654014267</v>
      </c>
      <c r="BA149" s="125">
        <f>BA38/293.07*(1/(VLOOKUP($Z149,'Fuel economy adjusted factor'!$A$2:$L$52,5,FALSE)*m2k))/'TCO Inputs'!$AZ$84</f>
        <v>45.979010654014267</v>
      </c>
      <c r="BB149" s="125">
        <f>BB38/293.07*(1/(VLOOKUP($Z149,'Fuel economy adjusted factor'!$A$2:$L$52,5,FALSE)*m2k))/'TCO Inputs'!$AZ$84</f>
        <v>46.041390046737931</v>
      </c>
      <c r="BC149" s="98" cm="1">
        <f t="array" ref="BC149">SUMPRODUCT(INDEX(AA149:BB149,,'TCO Inputs'!$AZ$12-2023+_xlfn.SEQUENCE('TCO Inputs'!$AZ$13))*INDEX('VKT US'!C95:AA95,,_xlfn.SEQUENCE('TCO Inputs'!$AZ$13)))*m2k*CONVERT(0.9072,"g","ton")</f>
        <v>19.700035349500027</v>
      </c>
      <c r="BM149" s="123" t="s">
        <v>209</v>
      </c>
      <c r="BN149" s="125">
        <f>BN38/293.07*(1/(VLOOKUP($BM149,'Fuel economy adjusted factor'!$A$2:$L$52,5,FALSE)*m2k))</f>
        <v>66.156255022427359</v>
      </c>
      <c r="BO149" s="125">
        <f>BO38/293.07*(1/(VLOOKUP($BM149,'Fuel economy adjusted factor'!$A$2:$L$52,5,FALSE)*m2k))</f>
        <v>66.156255022427359</v>
      </c>
      <c r="BP149" s="125">
        <f>BP38/293.07*(1/(VLOOKUP($BM149,'Fuel economy adjusted factor'!$A$2:$L$52,5,FALSE)*m2k))</f>
        <v>58.108053777183883</v>
      </c>
      <c r="BQ149" s="125">
        <f>BQ38/293.07*(1/(VLOOKUP($BM149,'Fuel economy adjusted factor'!$A$2:$L$52,5,FALSE)*m2k))</f>
        <v>58.108053777183883</v>
      </c>
      <c r="BR149" s="125">
        <f>BR38/293.07*(1/(VLOOKUP($BM149,'Fuel economy adjusted factor'!$A$2:$L$52,5,FALSE)*m2k))</f>
        <v>58.108053777183883</v>
      </c>
      <c r="BS149" s="125">
        <f>BS38/293.07*(1/(VLOOKUP($BM149,'Fuel economy adjusted factor'!$A$2:$L$52,5,FALSE)*m2k))</f>
        <v>58.108053777183883</v>
      </c>
      <c r="BT149" s="125">
        <f>BT38/293.07*(1/(VLOOKUP($BM149,'Fuel economy adjusted factor'!$A$2:$L$52,5,FALSE)*m2k))</f>
        <v>58.108053777183883</v>
      </c>
      <c r="BU149" s="125">
        <f>BU38/293.07*(1/(VLOOKUP($BM149,'Fuel economy adjusted factor'!$A$2:$L$52,5,FALSE)*m2k))</f>
        <v>65.869219845620577</v>
      </c>
      <c r="BV149" s="125">
        <f>BV38/293.07*(1/(VLOOKUP($BM149,'Fuel economy adjusted factor'!$A$2:$L$52,5,FALSE)*m2k))</f>
        <v>65.869219845620577</v>
      </c>
      <c r="BW149" s="125">
        <f>BW38/293.07*(1/(VLOOKUP($BM149,'Fuel economy adjusted factor'!$A$2:$L$52,5,FALSE)*m2k))</f>
        <v>65.869219845620577</v>
      </c>
      <c r="BX149" s="125">
        <f>BX38/293.07*(1/(VLOOKUP($BM149,'Fuel economy adjusted factor'!$A$2:$L$52,5,FALSE)*m2k))</f>
        <v>65.869219845620577</v>
      </c>
      <c r="BY149" s="125">
        <f>BY38/293.07*(1/(VLOOKUP($BM149,'Fuel economy adjusted factor'!$A$2:$L$52,5,FALSE)*m2k))</f>
        <v>65.869219845620577</v>
      </c>
      <c r="BZ149" s="125">
        <f>BZ38/293.07*(1/(VLOOKUP($BM149,'Fuel economy adjusted factor'!$A$2:$L$52,5,FALSE)*m2k))</f>
        <v>67.453266549596961</v>
      </c>
      <c r="CA149" s="125">
        <f>CA38/293.07*(1/(VLOOKUP($BM149,'Fuel economy adjusted factor'!$A$2:$L$52,5,FALSE)*m2k))</f>
        <v>67.453266549596961</v>
      </c>
      <c r="CB149" s="125">
        <f>CB38/293.07*(1/(VLOOKUP($BM149,'Fuel economy adjusted factor'!$A$2:$L$52,5,FALSE)*m2k))</f>
        <v>67.453266549596961</v>
      </c>
      <c r="CC149" s="125">
        <f>CC38/293.07*(1/(VLOOKUP($BM149,'Fuel economy adjusted factor'!$A$2:$L$52,5,FALSE)*m2k))</f>
        <v>67.453266549596961</v>
      </c>
      <c r="CD149" s="125">
        <f>CD38/293.07*(1/(VLOOKUP($BM149,'Fuel economy adjusted factor'!$A$2:$L$52,5,FALSE)*m2k))</f>
        <v>67.453266549596961</v>
      </c>
      <c r="CE149" s="125">
        <f>CE38/293.07*(1/(VLOOKUP($BM149,'Fuel economy adjusted factor'!$A$2:$L$52,5,FALSE)*m2k))</f>
        <v>69.12041580032205</v>
      </c>
      <c r="CF149" s="125">
        <f>CF38/293.07*(1/(VLOOKUP($BM149,'Fuel economy adjusted factor'!$A$2:$L$52,5,FALSE)*m2k))</f>
        <v>69.12041580032205</v>
      </c>
      <c r="CG149" s="125">
        <f>CG38/293.07*(1/(VLOOKUP($BM149,'Fuel economy adjusted factor'!$A$2:$L$52,5,FALSE)*m2k))</f>
        <v>69.12041580032205</v>
      </c>
      <c r="CH149" s="125">
        <f>CH38/293.07*(1/(VLOOKUP($BM149,'Fuel economy adjusted factor'!$A$2:$L$52,5,FALSE)*m2k))</f>
        <v>69.12041580032205</v>
      </c>
      <c r="CI149" s="125">
        <f>CI38/293.07*(1/(VLOOKUP($BM149,'Fuel economy adjusted factor'!$A$2:$L$52,5,FALSE)*m2k))</f>
        <v>69.12041580032205</v>
      </c>
      <c r="CJ149" s="125">
        <f>CJ38/293.07*(1/(VLOOKUP($BM149,'Fuel economy adjusted factor'!$A$2:$L$52,5,FALSE)*m2k))</f>
        <v>69.516045102634791</v>
      </c>
      <c r="CK149" s="125">
        <f>CK38/293.07*(1/(VLOOKUP($BM149,'Fuel economy adjusted factor'!$A$2:$L$52,5,FALSE)*m2k))</f>
        <v>69.516045102634791</v>
      </c>
      <c r="CL149" s="125">
        <f>CL38/293.07*(1/(VLOOKUP($BM149,'Fuel economy adjusted factor'!$A$2:$L$52,5,FALSE)*m2k))</f>
        <v>69.516045102634791</v>
      </c>
      <c r="CM149" s="125">
        <f>CM38/293.07*(1/(VLOOKUP($BM149,'Fuel economy adjusted factor'!$A$2:$L$52,5,FALSE)*m2k))</f>
        <v>69.516045102634791</v>
      </c>
      <c r="CN149" s="125">
        <f>CN38/293.07*(1/(VLOOKUP($BM149,'Fuel economy adjusted factor'!$A$2:$L$52,5,FALSE)*m2k))</f>
        <v>69.516045102634791</v>
      </c>
      <c r="CO149" s="125">
        <f>CO38/293.07*(1/(VLOOKUP($BM149,'Fuel economy adjusted factor'!$A$2:$L$52,5,FALSE)*m2k))</f>
        <v>69.988658972794468</v>
      </c>
      <c r="CP149" s="98" cm="1">
        <f t="array" ref="CP149">SUMPRODUCT(INDEX(BN149:CO149,,'TCO Inputs'!$AZ$12-2023+_xlfn.SEQUENCE('TCO Inputs'!$AZ$13))*INDEX('VKT US'!C95:AA95,,_xlfn.SEQUENCE('TCO Inputs'!$AZ$13)))*m2k*CONVERT(0.9072,"g","ton")</f>
        <v>21.457546046445181</v>
      </c>
      <c r="CQ149" s="194"/>
      <c r="CR149" s="123" t="s">
        <v>209</v>
      </c>
      <c r="CS149" s="125">
        <f>CS38/293.07*(1/(VLOOKUP($BM149,'Fuel economy adjusted factor'!$A$2:$L$52,5,FALSE)*m2k))/'TCO Inputs'!$AZ$84</f>
        <v>94.232469935029627</v>
      </c>
      <c r="CT149" s="125">
        <f>CT38/293.07*(1/(VLOOKUP($BM149,'Fuel economy adjusted factor'!$A$2:$L$52,5,FALSE)*m2k))/'TCO Inputs'!$AZ$84</f>
        <v>94.232469935029627</v>
      </c>
      <c r="CU149" s="125">
        <f>CU38/293.07*(1/(VLOOKUP($BM149,'Fuel economy adjusted factor'!$A$2:$L$52,5,FALSE)*m2k))/'TCO Inputs'!$AZ$84</f>
        <v>94.232469935029627</v>
      </c>
      <c r="CV149" s="125">
        <f>CV38/293.07*(1/(VLOOKUP($BM149,'Fuel economy adjusted factor'!$A$2:$L$52,5,FALSE)*m2k))/'TCO Inputs'!$AZ$84</f>
        <v>94.232469935029627</v>
      </c>
      <c r="CW149" s="125">
        <f>CW38/293.07*(1/(VLOOKUP($BM149,'Fuel economy adjusted factor'!$A$2:$L$52,5,FALSE)*m2k))/'TCO Inputs'!$AZ$84</f>
        <v>94.232469935029627</v>
      </c>
      <c r="CX149" s="125">
        <f>CX38/293.07*(1/(VLOOKUP($BM149,'Fuel economy adjusted factor'!$A$2:$L$52,5,FALSE)*m2k))/'TCO Inputs'!$AZ$84</f>
        <v>94.232469935029627</v>
      </c>
      <c r="CY149" s="125">
        <f>CY38/293.07*(1/(VLOOKUP($BM149,'Fuel economy adjusted factor'!$A$2:$L$52,5,FALSE)*m2k))/'TCO Inputs'!$AZ$84</f>
        <v>94.232469935029627</v>
      </c>
      <c r="CZ149" s="125">
        <f>CZ38/293.07*(1/(VLOOKUP($BM149,'Fuel economy adjusted factor'!$A$2:$L$52,5,FALSE)*m2k))/'TCO Inputs'!$AZ$84</f>
        <v>94.253462999888555</v>
      </c>
      <c r="DA149" s="125">
        <f>DA38/293.07*(1/(VLOOKUP($BM149,'Fuel economy adjusted factor'!$A$2:$L$52,5,FALSE)*m2k))/'TCO Inputs'!$AZ$84</f>
        <v>94.253462999888555</v>
      </c>
      <c r="DB149" s="125">
        <f>DB38/293.07*(1/(VLOOKUP($BM149,'Fuel economy adjusted factor'!$A$2:$L$52,5,FALSE)*m2k))/'TCO Inputs'!$AZ$84</f>
        <v>94.253462999888555</v>
      </c>
      <c r="DC149" s="125">
        <f>DC38/293.07*(1/(VLOOKUP($BM149,'Fuel economy adjusted factor'!$A$2:$L$52,5,FALSE)*m2k))/'TCO Inputs'!$AZ$84</f>
        <v>94.253462999888555</v>
      </c>
      <c r="DD149" s="125">
        <f>DD38/293.07*(1/(VLOOKUP($BM149,'Fuel economy adjusted factor'!$A$2:$L$52,5,FALSE)*m2k))/'TCO Inputs'!$AZ$84</f>
        <v>94.253462999888555</v>
      </c>
      <c r="DE149" s="125">
        <f>DE38/293.07*(1/(VLOOKUP($BM149,'Fuel economy adjusted factor'!$A$2:$L$52,5,FALSE)*m2k))/'TCO Inputs'!$AZ$84</f>
        <v>94.241466962826323</v>
      </c>
      <c r="DF149" s="125">
        <f>DF38/293.07*(1/(VLOOKUP($BM149,'Fuel economy adjusted factor'!$A$2:$L$52,5,FALSE)*m2k))/'TCO Inputs'!$AZ$84</f>
        <v>94.241466962826323</v>
      </c>
      <c r="DG149" s="125">
        <f>DG38/293.07*(1/(VLOOKUP($BM149,'Fuel economy adjusted factor'!$A$2:$L$52,5,FALSE)*m2k))/'TCO Inputs'!$AZ$84</f>
        <v>94.241466962826323</v>
      </c>
      <c r="DH149" s="125">
        <f>DH38/293.07*(1/(VLOOKUP($BM149,'Fuel economy adjusted factor'!$A$2:$L$52,5,FALSE)*m2k))/'TCO Inputs'!$AZ$84</f>
        <v>94.241466962826323</v>
      </c>
      <c r="DI149" s="125">
        <f>DI38/293.07*(1/(VLOOKUP($BM149,'Fuel economy adjusted factor'!$A$2:$L$52,5,FALSE)*m2k))/'TCO Inputs'!$AZ$84</f>
        <v>94.241466962826323</v>
      </c>
      <c r="DJ149" s="125">
        <f>DJ38/293.07*(1/(VLOOKUP($BM149,'Fuel economy adjusted factor'!$A$2:$L$52,5,FALSE)*m2k))/'TCO Inputs'!$AZ$84</f>
        <v>94.238467953560757</v>
      </c>
      <c r="DK149" s="125">
        <f>DK38/293.07*(1/(VLOOKUP($BM149,'Fuel economy adjusted factor'!$A$2:$L$52,5,FALSE)*m2k))/'TCO Inputs'!$AZ$84</f>
        <v>94.238467953560757</v>
      </c>
      <c r="DL149" s="125">
        <f>DL38/293.07*(1/(VLOOKUP($BM149,'Fuel economy adjusted factor'!$A$2:$L$52,5,FALSE)*m2k))/'TCO Inputs'!$AZ$84</f>
        <v>94.238467953560757</v>
      </c>
      <c r="DM149" s="125">
        <f>DM38/293.07*(1/(VLOOKUP($BM149,'Fuel economy adjusted factor'!$A$2:$L$52,5,FALSE)*m2k))/'TCO Inputs'!$AZ$84</f>
        <v>94.238467953560757</v>
      </c>
      <c r="DN149" s="125">
        <f>DN38/293.07*(1/(VLOOKUP($BM149,'Fuel economy adjusted factor'!$A$2:$L$52,5,FALSE)*m2k))/'TCO Inputs'!$AZ$84</f>
        <v>94.238467953560757</v>
      </c>
      <c r="DO149" s="125">
        <f>DO38/293.07*(1/(VLOOKUP($BM149,'Fuel economy adjusted factor'!$A$2:$L$52,5,FALSE)*m2k))/'TCO Inputs'!$AZ$84</f>
        <v>94.180287173808892</v>
      </c>
      <c r="DP149" s="125">
        <f>DP38/293.07*(1/(VLOOKUP($BM149,'Fuel economy adjusted factor'!$A$2:$L$52,5,FALSE)*m2k))/'TCO Inputs'!$AZ$84</f>
        <v>94.180287173808892</v>
      </c>
      <c r="DQ149" s="125">
        <f>DQ38/293.07*(1/(VLOOKUP($BM149,'Fuel economy adjusted factor'!$A$2:$L$52,5,FALSE)*m2k))/'TCO Inputs'!$AZ$84</f>
        <v>94.180287173808892</v>
      </c>
      <c r="DR149" s="125">
        <f>DR38/293.07*(1/(VLOOKUP($BM149,'Fuel economy adjusted factor'!$A$2:$L$52,5,FALSE)*m2k))/'TCO Inputs'!$AZ$84</f>
        <v>94.180287173808892</v>
      </c>
      <c r="DS149" s="125">
        <f>DS38/293.07*(1/(VLOOKUP($BM149,'Fuel economy adjusted factor'!$A$2:$L$52,5,FALSE)*m2k))/'TCO Inputs'!$AZ$84</f>
        <v>94.180287173808892</v>
      </c>
      <c r="DT149" s="125">
        <f>DT38/293.07*(1/(VLOOKUP($BM149,'Fuel economy adjusted factor'!$A$2:$L$52,5,FALSE)*m2k))/'TCO Inputs'!$AZ$84</f>
        <v>94.228871123910963</v>
      </c>
      <c r="DU149" s="98" cm="1">
        <f t="array" ref="DU149">SUMPRODUCT(INDEX(CS149:DT149,,'TCO Inputs'!$AZ$12-2023+_xlfn.SEQUENCE('TCO Inputs'!$AZ$13))*INDEX('VKT US'!C95:AA95,,_xlfn.SEQUENCE('TCO Inputs'!$AZ$13)))*m2k*CONVERT(0.9072,"g","ton")</f>
        <v>32.021590605423867</v>
      </c>
      <c r="DW149" s="123" t="s">
        <v>209</v>
      </c>
      <c r="DX149" s="125">
        <f>DX38/293.07*(1/(VLOOKUP($BM149,'Fuel economy adjusted factor'!$A$2:$L$52,5,FALSE)*m2k))/'TCO Inputs'!$AZ$84</f>
        <v>98.643410220518874</v>
      </c>
      <c r="DY149" s="125">
        <f>DY38/293.07*(1/(VLOOKUP($BM149,'Fuel economy adjusted factor'!$A$2:$L$52,5,FALSE)*m2k))/'TCO Inputs'!$AZ$84</f>
        <v>98.643410220518874</v>
      </c>
      <c r="DZ149" s="125">
        <f>DZ38/293.07*(1/(VLOOKUP($BM149,'Fuel economy adjusted factor'!$A$2:$L$52,5,FALSE)*m2k))/'TCO Inputs'!$AZ$84</f>
        <v>86.470841721116372</v>
      </c>
      <c r="EA149" s="125">
        <f>EA38/293.07*(1/(VLOOKUP($BM149,'Fuel economy adjusted factor'!$A$2:$L$52,5,FALSE)*m2k))/'TCO Inputs'!$AZ$84</f>
        <v>86.470841721116372</v>
      </c>
      <c r="EB149" s="125">
        <f>EB38/293.07*(1/(VLOOKUP($BM149,'Fuel economy adjusted factor'!$A$2:$L$52,5,FALSE)*m2k))/'TCO Inputs'!$AZ$84</f>
        <v>86.470841721116372</v>
      </c>
      <c r="EC149" s="125">
        <f>EC38/293.07*(1/(VLOOKUP($BM149,'Fuel economy adjusted factor'!$A$2:$L$52,5,FALSE)*m2k))/'TCO Inputs'!$AZ$84</f>
        <v>86.470841721116372</v>
      </c>
      <c r="ED149" s="125">
        <f>ED38/293.07*(1/(VLOOKUP($BM149,'Fuel economy adjusted factor'!$A$2:$L$52,5,FALSE)*m2k))/'TCO Inputs'!$AZ$84</f>
        <v>86.470841721116372</v>
      </c>
      <c r="EE149" s="125">
        <f>EE38/293.07*(1/(VLOOKUP($BM149,'Fuel economy adjusted factor'!$A$2:$L$52,5,FALSE)*m2k))/'TCO Inputs'!$AZ$84</f>
        <v>53.295109748398133</v>
      </c>
      <c r="EF149" s="125">
        <f>EF38/293.07*(1/(VLOOKUP($BM149,'Fuel economy adjusted factor'!$A$2:$L$52,5,FALSE)*m2k))/'TCO Inputs'!$AZ$84</f>
        <v>53.295109748398133</v>
      </c>
      <c r="EG149" s="125">
        <f>EG38/293.07*(1/(VLOOKUP($BM149,'Fuel economy adjusted factor'!$A$2:$L$52,5,FALSE)*m2k))/'TCO Inputs'!$AZ$84</f>
        <v>53.295109748398133</v>
      </c>
      <c r="EH149" s="125">
        <f>EH38/293.07*(1/(VLOOKUP($BM149,'Fuel economy adjusted factor'!$A$2:$L$52,5,FALSE)*m2k))/'TCO Inputs'!$AZ$84</f>
        <v>53.295109748398133</v>
      </c>
      <c r="EI149" s="125">
        <f>EI38/293.07*(1/(VLOOKUP($BM149,'Fuel economy adjusted factor'!$A$2:$L$52,5,FALSE)*m2k))/'TCO Inputs'!$AZ$84</f>
        <v>53.295109748398133</v>
      </c>
      <c r="EJ149" s="125">
        <f>EJ38/293.07*(1/(VLOOKUP($BM149,'Fuel economy adjusted factor'!$A$2:$L$52,5,FALSE)*m2k))/'TCO Inputs'!$AZ$84</f>
        <v>47.598795030028413</v>
      </c>
      <c r="EK149" s="125">
        <f>EK38/293.07*(1/(VLOOKUP($BM149,'Fuel economy adjusted factor'!$A$2:$L$52,5,FALSE)*m2k))/'TCO Inputs'!$AZ$84</f>
        <v>47.598795030028413</v>
      </c>
      <c r="EL149" s="125">
        <f>EL38/293.07*(1/(VLOOKUP($BM149,'Fuel economy adjusted factor'!$A$2:$L$52,5,FALSE)*m2k))/'TCO Inputs'!$AZ$84</f>
        <v>47.598795030028413</v>
      </c>
      <c r="EM149" s="125">
        <f>EM38/293.07*(1/(VLOOKUP($BM149,'Fuel economy adjusted factor'!$A$2:$L$52,5,FALSE)*m2k))/'TCO Inputs'!$AZ$84</f>
        <v>47.598795030028413</v>
      </c>
      <c r="EN149" s="125">
        <f>EN38/293.07*(1/(VLOOKUP($BM149,'Fuel economy adjusted factor'!$A$2:$L$52,5,FALSE)*m2k))/'TCO Inputs'!$AZ$84</f>
        <v>47.598795030028413</v>
      </c>
      <c r="EO149" s="125">
        <f>EO38/293.07*(1/(VLOOKUP($BM149,'Fuel economy adjusted factor'!$A$2:$L$52,5,FALSE)*m2k))/'TCO Inputs'!$AZ$84</f>
        <v>46.100643925490331</v>
      </c>
      <c r="EP149" s="125">
        <f>EP38/293.07*(1/(VLOOKUP($BM149,'Fuel economy adjusted factor'!$A$2:$L$52,5,FALSE)*m2k))/'TCO Inputs'!$AZ$84</f>
        <v>46.100643925490331</v>
      </c>
      <c r="EQ149" s="125">
        <f>EQ38/293.07*(1/(VLOOKUP($BM149,'Fuel economy adjusted factor'!$A$2:$L$52,5,FALSE)*m2k))/'TCO Inputs'!$AZ$84</f>
        <v>46.100643925490331</v>
      </c>
      <c r="ER149" s="125">
        <f>ER38/293.07*(1/(VLOOKUP($BM149,'Fuel economy adjusted factor'!$A$2:$L$52,5,FALSE)*m2k))/'TCO Inputs'!$AZ$84</f>
        <v>46.100643925490331</v>
      </c>
      <c r="ES149" s="125">
        <f>ES38/293.07*(1/(VLOOKUP($BM149,'Fuel economy adjusted factor'!$A$2:$L$52,5,FALSE)*m2k))/'TCO Inputs'!$AZ$84</f>
        <v>46.100643925490331</v>
      </c>
      <c r="ET149" s="125">
        <f>ET38/293.07*(1/(VLOOKUP($BM149,'Fuel economy adjusted factor'!$A$2:$L$52,5,FALSE)*m2k))/'TCO Inputs'!$AZ$84</f>
        <v>44.388989949050078</v>
      </c>
      <c r="EU149" s="125">
        <f>EU38/293.07*(1/(VLOOKUP($BM149,'Fuel economy adjusted factor'!$A$2:$L$52,5,FALSE)*m2k))/'TCO Inputs'!$AZ$84</f>
        <v>44.388989949050078</v>
      </c>
      <c r="EV149" s="125">
        <f>EV38/293.07*(1/(VLOOKUP($BM149,'Fuel economy adjusted factor'!$A$2:$L$52,5,FALSE)*m2k))/'TCO Inputs'!$AZ$84</f>
        <v>44.388989949050078</v>
      </c>
      <c r="EW149" s="125">
        <f>EW38/293.07*(1/(VLOOKUP($BM149,'Fuel economy adjusted factor'!$A$2:$L$52,5,FALSE)*m2k))/'TCO Inputs'!$AZ$84</f>
        <v>44.388989949050078</v>
      </c>
      <c r="EX149" s="125">
        <f>EX38/293.07*(1/(VLOOKUP($BM149,'Fuel economy adjusted factor'!$A$2:$L$52,5,FALSE)*m2k))/'TCO Inputs'!$AZ$84</f>
        <v>44.388989949050078</v>
      </c>
      <c r="EY149" s="125">
        <f>EY38/293.07*(1/(VLOOKUP($BM149,'Fuel economy adjusted factor'!$A$2:$L$52,5,FALSE)*m2k))/'TCO Inputs'!$AZ$84</f>
        <v>41.704953845136956</v>
      </c>
      <c r="EZ149" s="98" cm="1">
        <f t="array" ref="EZ149">SUMPRODUCT(INDEX(DX149:EY149,,'TCO Inputs'!$AZ$12-2023+_xlfn.SEQUENCE('TCO Inputs'!$AZ$13))*INDEX('VKT US'!C95:AA95,,_xlfn.SEQUENCE('TCO Inputs'!$AZ$13)))*m2k*CONVERT(0.9072,"g","ton")</f>
        <v>24.778702175534558</v>
      </c>
      <c r="FB149" s="123" t="s">
        <v>209</v>
      </c>
      <c r="FC149" s="125">
        <f>FC38/293.07*(1/(VLOOKUP($BM149,'Fuel economy adjusted factor'!$A$2:$L$52,5,FALSE)*m2k))/'TCO Inputs'!$AZ$84</f>
        <v>106.99326063252997</v>
      </c>
      <c r="FD149" s="125">
        <f>FD38/293.07*(1/(VLOOKUP($BM149,'Fuel economy adjusted factor'!$A$2:$L$52,5,FALSE)*m2k))/'TCO Inputs'!$AZ$84</f>
        <v>106.99326063252997</v>
      </c>
      <c r="FE149" s="125">
        <f>FE38/293.07*(1/(VLOOKUP($BM149,'Fuel economy adjusted factor'!$A$2:$L$52,5,FALSE)*m2k))/'TCO Inputs'!$AZ$84</f>
        <v>93.437280667230681</v>
      </c>
      <c r="FF149" s="125">
        <f>FF38/293.07*(1/(VLOOKUP($BM149,'Fuel economy adjusted factor'!$A$2:$L$52,5,FALSE)*m2k))/'TCO Inputs'!$AZ$84</f>
        <v>93.437280667230681</v>
      </c>
      <c r="FG149" s="125">
        <f>FG38/293.07*(1/(VLOOKUP($BM149,'Fuel economy adjusted factor'!$A$2:$L$52,5,FALSE)*m2k))/'TCO Inputs'!$AZ$84</f>
        <v>93.437280667230681</v>
      </c>
      <c r="FH149" s="125">
        <f>FH38/293.07*(1/(VLOOKUP($BM149,'Fuel economy adjusted factor'!$A$2:$L$52,5,FALSE)*m2k))/'TCO Inputs'!$AZ$84</f>
        <v>93.437280667230681</v>
      </c>
      <c r="FI149" s="125">
        <f>FI38/293.07*(1/(VLOOKUP($BM149,'Fuel economy adjusted factor'!$A$2:$L$52,5,FALSE)*m2k))/'TCO Inputs'!$AZ$84</f>
        <v>93.437280667230681</v>
      </c>
      <c r="FJ149" s="125">
        <f>FJ38/293.07*(1/(VLOOKUP($BM149,'Fuel economy adjusted factor'!$A$2:$L$52,5,FALSE)*m2k))/'TCO Inputs'!$AZ$84</f>
        <v>58.634133946441743</v>
      </c>
      <c r="FK149" s="125">
        <f>FK38/293.07*(1/(VLOOKUP($BM149,'Fuel economy adjusted factor'!$A$2:$L$52,5,FALSE)*m2k))/'TCO Inputs'!$AZ$84</f>
        <v>58.634133946441743</v>
      </c>
      <c r="FL149" s="125">
        <f>FL38/293.07*(1/(VLOOKUP($BM149,'Fuel economy adjusted factor'!$A$2:$L$52,5,FALSE)*m2k))/'TCO Inputs'!$AZ$84</f>
        <v>58.634133946441743</v>
      </c>
      <c r="FM149" s="125">
        <f>FM38/293.07*(1/(VLOOKUP($BM149,'Fuel economy adjusted factor'!$A$2:$L$52,5,FALSE)*m2k))/'TCO Inputs'!$AZ$84</f>
        <v>58.634133946441743</v>
      </c>
      <c r="FN149" s="125">
        <f>FN38/293.07*(1/(VLOOKUP($BM149,'Fuel economy adjusted factor'!$A$2:$L$52,5,FALSE)*m2k))/'TCO Inputs'!$AZ$84</f>
        <v>58.634133946441743</v>
      </c>
      <c r="FO149" s="125">
        <f>FO38/293.07*(1/(VLOOKUP($BM149,'Fuel economy adjusted factor'!$A$2:$L$52,5,FALSE)*m2k))/'TCO Inputs'!$AZ$84</f>
        <v>52.06420033386005</v>
      </c>
      <c r="FP149" s="125">
        <f>FP38/293.07*(1/(VLOOKUP($BM149,'Fuel economy adjusted factor'!$A$2:$L$52,5,FALSE)*m2k))/'TCO Inputs'!$AZ$84</f>
        <v>52.06420033386005</v>
      </c>
      <c r="FQ149" s="125">
        <f>FQ38/293.07*(1/(VLOOKUP($BM149,'Fuel economy adjusted factor'!$A$2:$L$52,5,FALSE)*m2k))/'TCO Inputs'!$AZ$84</f>
        <v>52.06420033386005</v>
      </c>
      <c r="FR149" s="125">
        <f>FR38/293.07*(1/(VLOOKUP($BM149,'Fuel economy adjusted factor'!$A$2:$L$52,5,FALSE)*m2k))/'TCO Inputs'!$AZ$84</f>
        <v>52.06420033386005</v>
      </c>
      <c r="FS149" s="125">
        <f>FS38/293.07*(1/(VLOOKUP($BM149,'Fuel economy adjusted factor'!$A$2:$L$52,5,FALSE)*m2k))/'TCO Inputs'!$AZ$84</f>
        <v>52.06420033386005</v>
      </c>
      <c r="FT149" s="125">
        <f>FT38/293.07*(1/(VLOOKUP($BM149,'Fuel economy adjusted factor'!$A$2:$L$52,5,FALSE)*m2k))/'TCO Inputs'!$AZ$84</f>
        <v>50.738884887528499</v>
      </c>
      <c r="FU149" s="125">
        <f>FU38/293.07*(1/(VLOOKUP($BM149,'Fuel economy adjusted factor'!$A$2:$L$52,5,FALSE)*m2k))/'TCO Inputs'!$AZ$84</f>
        <v>50.738884887528499</v>
      </c>
      <c r="FV149" s="125">
        <f>FV38/293.07*(1/(VLOOKUP($BM149,'Fuel economy adjusted factor'!$A$2:$L$52,5,FALSE)*m2k))/'TCO Inputs'!$AZ$84</f>
        <v>50.738884887528499</v>
      </c>
      <c r="FW149" s="125">
        <f>FW38/293.07*(1/(VLOOKUP($BM149,'Fuel economy adjusted factor'!$A$2:$L$52,5,FALSE)*m2k))/'TCO Inputs'!$AZ$84</f>
        <v>50.738884887528499</v>
      </c>
      <c r="FX149" s="125">
        <f>FX38/293.07*(1/(VLOOKUP($BM149,'Fuel economy adjusted factor'!$A$2:$L$52,5,FALSE)*m2k))/'TCO Inputs'!$AZ$84</f>
        <v>50.738884887528499</v>
      </c>
      <c r="FY149" s="125">
        <f>FY38/293.07*(1/(VLOOKUP($BM149,'Fuel economy adjusted factor'!$A$2:$L$52,5,FALSE)*m2k))/'TCO Inputs'!$AZ$84</f>
        <v>49.023599909865403</v>
      </c>
      <c r="FZ149" s="125">
        <f>FZ38/293.07*(1/(VLOOKUP($BM149,'Fuel economy adjusted factor'!$A$2:$L$52,5,FALSE)*m2k))/'TCO Inputs'!$AZ$84</f>
        <v>49.023599909865403</v>
      </c>
      <c r="GA149" s="125">
        <f>GA38/293.07*(1/(VLOOKUP($BM149,'Fuel economy adjusted factor'!$A$2:$L$52,5,FALSE)*m2k))/'TCO Inputs'!$AZ$84</f>
        <v>49.023599909865403</v>
      </c>
      <c r="GB149" s="125">
        <f>GB38/293.07*(1/(VLOOKUP($BM149,'Fuel economy adjusted factor'!$A$2:$L$52,5,FALSE)*m2k))/'TCO Inputs'!$AZ$84</f>
        <v>49.023599909865403</v>
      </c>
      <c r="GC149" s="125">
        <f>GC38/293.07*(1/(VLOOKUP($BM149,'Fuel economy adjusted factor'!$A$2:$L$52,5,FALSE)*m2k))/'TCO Inputs'!$AZ$84</f>
        <v>49.023599909865403</v>
      </c>
      <c r="GD149" s="125">
        <f>GD38/293.07*(1/(VLOOKUP($BM149,'Fuel economy adjusted factor'!$A$2:$L$52,5,FALSE)*m2k))/'TCO Inputs'!$AZ$84</f>
        <v>46.246610174647941</v>
      </c>
      <c r="GE149" s="98" cm="1">
        <f t="array" ref="GE149">SUMPRODUCT(INDEX(FC149:GD149,,'TCO Inputs'!$AZ$12-2023+_xlfn.SEQUENCE('TCO Inputs'!$AZ$13))*INDEX('VKT US'!C95:AA95,,_xlfn.SEQUENCE('TCO Inputs'!$AZ$13)))*m2k*CONVERT(0.9072,"g","ton")</f>
        <v>26.94098055595537</v>
      </c>
      <c r="GH149" s="123" t="s">
        <v>209</v>
      </c>
      <c r="GI149" s="125">
        <f>GI38/293.07*(1/(VLOOKUP($BM149,'Fuel economy adjusted factor'!$A$2:$L$52,5,FALSE)*m2k))/'TCO Inputs'!$AZ$84</f>
        <v>92.960167106551353</v>
      </c>
      <c r="GJ149" s="125">
        <f>GJ38/293.07*(1/(VLOOKUP($BM149,'Fuel economy adjusted factor'!$A$2:$L$52,5,FALSE)*m2k))/'TCO Inputs'!$AZ$84</f>
        <v>92.960167106551353</v>
      </c>
      <c r="GK149" s="125">
        <f>GK38/293.07*(1/(VLOOKUP($BM149,'Fuel economy adjusted factor'!$A$2:$L$52,5,FALSE)*m2k))/'TCO Inputs'!$AZ$84</f>
        <v>81.729480324349964</v>
      </c>
      <c r="GL149" s="125">
        <f>GL38/293.07*(1/(VLOOKUP($BM149,'Fuel economy adjusted factor'!$A$2:$L$52,5,FALSE)*m2k))/'TCO Inputs'!$AZ$84</f>
        <v>81.729480324349964</v>
      </c>
      <c r="GM149" s="125">
        <f>GM38/293.07*(1/(VLOOKUP($BM149,'Fuel economy adjusted factor'!$A$2:$L$52,5,FALSE)*m2k))/'TCO Inputs'!$AZ$84</f>
        <v>81.729480324349964</v>
      </c>
      <c r="GN149" s="125">
        <f>GN38/293.07*(1/(VLOOKUP($BM149,'Fuel economy adjusted factor'!$A$2:$L$52,5,FALSE)*m2k))/'TCO Inputs'!$AZ$84</f>
        <v>81.729480324349964</v>
      </c>
      <c r="GO149" s="125">
        <f>GO38/293.07*(1/(VLOOKUP($BM149,'Fuel economy adjusted factor'!$A$2:$L$52,5,FALSE)*m2k))/'TCO Inputs'!$AZ$84</f>
        <v>81.729480324349964</v>
      </c>
      <c r="GP149" s="125">
        <f>GP38/293.07*(1/(VLOOKUP($BM149,'Fuel economy adjusted factor'!$A$2:$L$52,5,FALSE)*m2k))/'TCO Inputs'!$AZ$84</f>
        <v>49.661203724593697</v>
      </c>
      <c r="GQ149" s="125">
        <f>GQ38/293.07*(1/(VLOOKUP($BM149,'Fuel economy adjusted factor'!$A$2:$L$52,5,FALSE)*m2k))/'TCO Inputs'!$AZ$84</f>
        <v>49.661203724593697</v>
      </c>
      <c r="GR149" s="125">
        <f>GR38/293.07*(1/(VLOOKUP($BM149,'Fuel economy adjusted factor'!$A$2:$L$52,5,FALSE)*m2k))/'TCO Inputs'!$AZ$84</f>
        <v>49.661203724593697</v>
      </c>
      <c r="GS149" s="125">
        <f>GS38/293.07*(1/(VLOOKUP($BM149,'Fuel economy adjusted factor'!$A$2:$L$52,5,FALSE)*m2k))/'TCO Inputs'!$AZ$84</f>
        <v>49.661203724593697</v>
      </c>
      <c r="GT149" s="125">
        <f>GT38/293.07*(1/(VLOOKUP($BM149,'Fuel economy adjusted factor'!$A$2:$L$52,5,FALSE)*m2k))/'TCO Inputs'!$AZ$84</f>
        <v>49.661203724593697</v>
      </c>
      <c r="GU149" s="125">
        <f>GU38/293.07*(1/(VLOOKUP($BM149,'Fuel economy adjusted factor'!$A$2:$L$52,5,FALSE)*m2k))/'TCO Inputs'!$AZ$84</f>
        <v>44.559647006522908</v>
      </c>
      <c r="GV149" s="125">
        <f>GV38/293.07*(1/(VLOOKUP($BM149,'Fuel economy adjusted factor'!$A$2:$L$52,5,FALSE)*m2k))/'TCO Inputs'!$AZ$84</f>
        <v>44.559647006522908</v>
      </c>
      <c r="GW149" s="125">
        <f>GW38/293.07*(1/(VLOOKUP($BM149,'Fuel economy adjusted factor'!$A$2:$L$52,5,FALSE)*m2k))/'TCO Inputs'!$AZ$84</f>
        <v>44.559647006522908</v>
      </c>
      <c r="GX149" s="125">
        <f>GX38/293.07*(1/(VLOOKUP($BM149,'Fuel economy adjusted factor'!$A$2:$L$52,5,FALSE)*m2k))/'TCO Inputs'!$AZ$84</f>
        <v>44.559647006522908</v>
      </c>
      <c r="GY149" s="125">
        <f>GY38/293.07*(1/(VLOOKUP($BM149,'Fuel economy adjusted factor'!$A$2:$L$52,5,FALSE)*m2k))/'TCO Inputs'!$AZ$84</f>
        <v>44.559647006522908</v>
      </c>
      <c r="GZ149" s="125">
        <f>GZ38/293.07*(1/(VLOOKUP($BM149,'Fuel economy adjusted factor'!$A$2:$L$52,5,FALSE)*m2k))/'TCO Inputs'!$AZ$84</f>
        <v>42.943851462365252</v>
      </c>
      <c r="HA149" s="125">
        <f>HA38/293.07*(1/(VLOOKUP($BM149,'Fuel economy adjusted factor'!$A$2:$L$52,5,FALSE)*m2k))/'TCO Inputs'!$AZ$84</f>
        <v>42.943851462365252</v>
      </c>
      <c r="HB149" s="125">
        <f>HB38/293.07*(1/(VLOOKUP($BM149,'Fuel economy adjusted factor'!$A$2:$L$52,5,FALSE)*m2k))/'TCO Inputs'!$AZ$84</f>
        <v>42.943851462365252</v>
      </c>
      <c r="HC149" s="125">
        <f>HC38/293.07*(1/(VLOOKUP($BM149,'Fuel economy adjusted factor'!$A$2:$L$52,5,FALSE)*m2k))/'TCO Inputs'!$AZ$84</f>
        <v>42.943851462365252</v>
      </c>
      <c r="HD149" s="125">
        <f>HD38/293.07*(1/(VLOOKUP($BM149,'Fuel economy adjusted factor'!$A$2:$L$52,5,FALSE)*m2k))/'TCO Inputs'!$AZ$84</f>
        <v>42.943851462365252</v>
      </c>
      <c r="HE149" s="125">
        <f>HE38/293.07*(1/(VLOOKUP($BM149,'Fuel economy adjusted factor'!$A$2:$L$52,5,FALSE)*m2k))/'TCO Inputs'!$AZ$84</f>
        <v>41.234376086658692</v>
      </c>
      <c r="HF149" s="125">
        <f>HF38/293.07*(1/(VLOOKUP($BM149,'Fuel economy adjusted factor'!$A$2:$L$52,5,FALSE)*m2k))/'TCO Inputs'!$AZ$84</f>
        <v>41.234376086658692</v>
      </c>
      <c r="HG149" s="125">
        <f>HG38/293.07*(1/(VLOOKUP($BM149,'Fuel economy adjusted factor'!$A$2:$L$52,5,FALSE)*m2k))/'TCO Inputs'!$AZ$84</f>
        <v>41.234376086658692</v>
      </c>
      <c r="HH149" s="125">
        <f>HH38/293.07*(1/(VLOOKUP($BM149,'Fuel economy adjusted factor'!$A$2:$L$52,5,FALSE)*m2k))/'TCO Inputs'!$AZ$84</f>
        <v>41.234376086658692</v>
      </c>
      <c r="HI149" s="125">
        <f>HI38/293.07*(1/(VLOOKUP($BM149,'Fuel economy adjusted factor'!$A$2:$L$52,5,FALSE)*m2k))/'TCO Inputs'!$AZ$84</f>
        <v>41.234376086658692</v>
      </c>
      <c r="HJ149" s="125">
        <f>HJ38/293.07*(1/(VLOOKUP($BM149,'Fuel economy adjusted factor'!$A$2:$L$52,5,FALSE)*m2k))/'TCO Inputs'!$AZ$84</f>
        <v>38.614245604267317</v>
      </c>
      <c r="HK149" s="98" cm="1">
        <f t="array" ref="HK149">SUMPRODUCT(INDEX(GI149:HJ149,,'TCO Inputs'!$AZ$12-2023+_xlfn.SEQUENCE('TCO Inputs'!$AZ$13))*INDEX('VKT US'!C95:AA95,,_xlfn.SEQUENCE('TCO Inputs'!$AZ$13)))*m2k*CONVERT(0.9072,"g","ton")</f>
        <v>23.30701752321713</v>
      </c>
    </row>
    <row r="150" spans="26:219" x14ac:dyDescent="0.25">
      <c r="Z150" s="123" t="s">
        <v>210</v>
      </c>
      <c r="AA150" s="125">
        <f>AA39/293.07*(1/(VLOOKUP($Z150,'Fuel economy adjusted factor'!$A$2:$L$52,5,FALSE)*m2k))/'TCO Inputs'!$AZ$84</f>
        <v>169.20719067176509</v>
      </c>
      <c r="AB150" s="125">
        <f>AB39/293.07*(1/(VLOOKUP($Z150,'Fuel economy adjusted factor'!$A$2:$L$52,5,FALSE)*m2k))/'TCO Inputs'!$AZ$84</f>
        <v>169.20719067176509</v>
      </c>
      <c r="AC150" s="125">
        <f>AC39/293.07*(1/(VLOOKUP($Z150,'Fuel economy adjusted factor'!$A$2:$L$52,5,FALSE)*m2k))/'TCO Inputs'!$AZ$84</f>
        <v>148.81668165492343</v>
      </c>
      <c r="AD150" s="125">
        <f>AD39/293.07*(1/(VLOOKUP($Z150,'Fuel economy adjusted factor'!$A$2:$L$52,5,FALSE)*m2k))/'TCO Inputs'!$AZ$84</f>
        <v>148.81668165492343</v>
      </c>
      <c r="AE150" s="125">
        <f>AE39/293.07*(1/(VLOOKUP($Z150,'Fuel economy adjusted factor'!$A$2:$L$52,5,FALSE)*m2k))/'TCO Inputs'!$AZ$84</f>
        <v>148.81668165492343</v>
      </c>
      <c r="AF150" s="125">
        <f>AF39/293.07*(1/(VLOOKUP($Z150,'Fuel economy adjusted factor'!$A$2:$L$52,5,FALSE)*m2k))/'TCO Inputs'!$AZ$84</f>
        <v>148.81668165492343</v>
      </c>
      <c r="AG150" s="125">
        <f>AG39/293.07*(1/(VLOOKUP($Z150,'Fuel economy adjusted factor'!$A$2:$L$52,5,FALSE)*m2k))/'TCO Inputs'!$AZ$84</f>
        <v>148.81668165492343</v>
      </c>
      <c r="AH150" s="125">
        <f>AH39/293.07*(1/(VLOOKUP($Z150,'Fuel economy adjusted factor'!$A$2:$L$52,5,FALSE)*m2k))/'TCO Inputs'!$AZ$84</f>
        <v>89.414670543252072</v>
      </c>
      <c r="AI150" s="125">
        <f>AI39/293.07*(1/(VLOOKUP($Z150,'Fuel economy adjusted factor'!$A$2:$L$52,5,FALSE)*m2k))/'TCO Inputs'!$AZ$84</f>
        <v>89.414670543252072</v>
      </c>
      <c r="AJ150" s="125">
        <f>AJ39/293.07*(1/(VLOOKUP($Z150,'Fuel economy adjusted factor'!$A$2:$L$52,5,FALSE)*m2k))/'TCO Inputs'!$AZ$84</f>
        <v>89.414670543252072</v>
      </c>
      <c r="AK150" s="125">
        <f>AK39/293.07*(1/(VLOOKUP($Z150,'Fuel economy adjusted factor'!$A$2:$L$52,5,FALSE)*m2k))/'TCO Inputs'!$AZ$84</f>
        <v>89.414670543252072</v>
      </c>
      <c r="AL150" s="125">
        <f>AL39/293.07*(1/(VLOOKUP($Z150,'Fuel economy adjusted factor'!$A$2:$L$52,5,FALSE)*m2k))/'TCO Inputs'!$AZ$84</f>
        <v>89.414670543252072</v>
      </c>
      <c r="AM150" s="125">
        <f>AM39/293.07*(1/(VLOOKUP($Z150,'Fuel economy adjusted factor'!$A$2:$L$52,5,FALSE)*m2k))/'TCO Inputs'!$AZ$84</f>
        <v>93.570490216889866</v>
      </c>
      <c r="AN150" s="125">
        <f>AN39/293.07*(1/(VLOOKUP($Z150,'Fuel economy adjusted factor'!$A$2:$L$52,5,FALSE)*m2k))/'TCO Inputs'!$AZ$84</f>
        <v>93.570490216889866</v>
      </c>
      <c r="AO150" s="125">
        <f>AO39/293.07*(1/(VLOOKUP($Z150,'Fuel economy adjusted factor'!$A$2:$L$52,5,FALSE)*m2k))/'TCO Inputs'!$AZ$84</f>
        <v>93.570490216889866</v>
      </c>
      <c r="AP150" s="125">
        <f>AP39/293.07*(1/(VLOOKUP($Z150,'Fuel economy adjusted factor'!$A$2:$L$52,5,FALSE)*m2k))/'TCO Inputs'!$AZ$84</f>
        <v>93.570490216889866</v>
      </c>
      <c r="AQ150" s="125">
        <f>AQ39/293.07*(1/(VLOOKUP($Z150,'Fuel economy adjusted factor'!$A$2:$L$52,5,FALSE)*m2k))/'TCO Inputs'!$AZ$84</f>
        <v>93.570490216889866</v>
      </c>
      <c r="AR150" s="125">
        <f>AR39/293.07*(1/(VLOOKUP($Z150,'Fuel economy adjusted factor'!$A$2:$L$52,5,FALSE)*m2k))/'TCO Inputs'!$AZ$84</f>
        <v>97.813677295025258</v>
      </c>
      <c r="AS150" s="125">
        <f>AS39/293.07*(1/(VLOOKUP($Z150,'Fuel economy adjusted factor'!$A$2:$L$52,5,FALSE)*m2k))/'TCO Inputs'!$AZ$84</f>
        <v>97.813677295025258</v>
      </c>
      <c r="AT150" s="125">
        <f>AT39/293.07*(1/(VLOOKUP($Z150,'Fuel economy adjusted factor'!$A$2:$L$52,5,FALSE)*m2k))/'TCO Inputs'!$AZ$84</f>
        <v>97.813677295025258</v>
      </c>
      <c r="AU150" s="125">
        <f>AU39/293.07*(1/(VLOOKUP($Z150,'Fuel economy adjusted factor'!$A$2:$L$52,5,FALSE)*m2k))/'TCO Inputs'!$AZ$84</f>
        <v>97.813677295025258</v>
      </c>
      <c r="AV150" s="125">
        <f>AV39/293.07*(1/(VLOOKUP($Z150,'Fuel economy adjusted factor'!$A$2:$L$52,5,FALSE)*m2k))/'TCO Inputs'!$AZ$84</f>
        <v>97.813677295025258</v>
      </c>
      <c r="AW150" s="125">
        <f>AW39/293.07*(1/(VLOOKUP($Z150,'Fuel economy adjusted factor'!$A$2:$L$52,5,FALSE)*m2k))/'TCO Inputs'!$AZ$84</f>
        <v>99.96004666521911</v>
      </c>
      <c r="AX150" s="125">
        <f>AX39/293.07*(1/(VLOOKUP($Z150,'Fuel economy adjusted factor'!$A$2:$L$52,5,FALSE)*m2k))/'TCO Inputs'!$AZ$84</f>
        <v>99.96004666521911</v>
      </c>
      <c r="AY150" s="125">
        <f>AY39/293.07*(1/(VLOOKUP($Z150,'Fuel economy adjusted factor'!$A$2:$L$52,5,FALSE)*m2k))/'TCO Inputs'!$AZ$84</f>
        <v>99.96004666521911</v>
      </c>
      <c r="AZ150" s="125">
        <f>AZ39/293.07*(1/(VLOOKUP($Z150,'Fuel economy adjusted factor'!$A$2:$L$52,5,FALSE)*m2k))/'TCO Inputs'!$AZ$84</f>
        <v>99.96004666521911</v>
      </c>
      <c r="BA150" s="125">
        <f>BA39/293.07*(1/(VLOOKUP($Z150,'Fuel economy adjusted factor'!$A$2:$L$52,5,FALSE)*m2k))/'TCO Inputs'!$AZ$84</f>
        <v>99.96004666521911</v>
      </c>
      <c r="BB150" s="125">
        <f>BB39/293.07*(1/(VLOOKUP($Z150,'Fuel economy adjusted factor'!$A$2:$L$52,5,FALSE)*m2k))/'TCO Inputs'!$AZ$84</f>
        <v>100.09566174085714</v>
      </c>
      <c r="BC150" s="98" cm="1">
        <f t="array" ref="BC150">SUMPRODUCT(INDEX(AA150:BB150,,'TCO Inputs'!$AZ$12-2023+_xlfn.SEQUENCE('TCO Inputs'!$AZ$13))*INDEX('VKT US'!C96:AA96,,_xlfn.SEQUENCE('TCO Inputs'!$AZ$13)))*m2k*CONVERT(0.9072,"g","ton")</f>
        <v>47.086674089318173</v>
      </c>
      <c r="BM150" s="123" t="s">
        <v>210</v>
      </c>
      <c r="BN150" s="125">
        <f>BN39/293.07*(1/(VLOOKUP($BM150,'Fuel economy adjusted factor'!$A$2:$L$52,5,FALSE)*m2k))</f>
        <v>143.82611207100032</v>
      </c>
      <c r="BO150" s="125">
        <f>BO39/293.07*(1/(VLOOKUP($BM150,'Fuel economy adjusted factor'!$A$2:$L$52,5,FALSE)*m2k))</f>
        <v>143.82611207100032</v>
      </c>
      <c r="BP150" s="125">
        <f>BP39/293.07*(1/(VLOOKUP($BM150,'Fuel economy adjusted factor'!$A$2:$L$52,5,FALSE)*m2k))</f>
        <v>126.32902893236226</v>
      </c>
      <c r="BQ150" s="125">
        <f>BQ39/293.07*(1/(VLOOKUP($BM150,'Fuel economy adjusted factor'!$A$2:$L$52,5,FALSE)*m2k))</f>
        <v>126.32902893236226</v>
      </c>
      <c r="BR150" s="125">
        <f>BR39/293.07*(1/(VLOOKUP($BM150,'Fuel economy adjusted factor'!$A$2:$L$52,5,FALSE)*m2k))</f>
        <v>126.32902893236226</v>
      </c>
      <c r="BS150" s="125">
        <f>BS39/293.07*(1/(VLOOKUP($BM150,'Fuel economy adjusted factor'!$A$2:$L$52,5,FALSE)*m2k))</f>
        <v>126.32902893236226</v>
      </c>
      <c r="BT150" s="125">
        <f>BT39/293.07*(1/(VLOOKUP($BM150,'Fuel economy adjusted factor'!$A$2:$L$52,5,FALSE)*m2k))</f>
        <v>126.32902893236226</v>
      </c>
      <c r="BU150" s="125">
        <f>BU39/293.07*(1/(VLOOKUP($BM150,'Fuel economy adjusted factor'!$A$2:$L$52,5,FALSE)*m2k))</f>
        <v>143.20208712439873</v>
      </c>
      <c r="BV150" s="125">
        <f>BV39/293.07*(1/(VLOOKUP($BM150,'Fuel economy adjusted factor'!$A$2:$L$52,5,FALSE)*m2k))</f>
        <v>143.20208712439873</v>
      </c>
      <c r="BW150" s="125">
        <f>BW39/293.07*(1/(VLOOKUP($BM150,'Fuel economy adjusted factor'!$A$2:$L$52,5,FALSE)*m2k))</f>
        <v>143.20208712439873</v>
      </c>
      <c r="BX150" s="125">
        <f>BX39/293.07*(1/(VLOOKUP($BM150,'Fuel economy adjusted factor'!$A$2:$L$52,5,FALSE)*m2k))</f>
        <v>143.20208712439873</v>
      </c>
      <c r="BY150" s="125">
        <f>BY39/293.07*(1/(VLOOKUP($BM150,'Fuel economy adjusted factor'!$A$2:$L$52,5,FALSE)*m2k))</f>
        <v>143.20208712439873</v>
      </c>
      <c r="BZ150" s="125">
        <f>BZ39/293.07*(1/(VLOOKUP($BM150,'Fuel economy adjusted factor'!$A$2:$L$52,5,FALSE)*m2k))</f>
        <v>146.64586245138136</v>
      </c>
      <c r="CA150" s="125">
        <f>CA39/293.07*(1/(VLOOKUP($BM150,'Fuel economy adjusted factor'!$A$2:$L$52,5,FALSE)*m2k))</f>
        <v>146.64586245138136</v>
      </c>
      <c r="CB150" s="125">
        <f>CB39/293.07*(1/(VLOOKUP($BM150,'Fuel economy adjusted factor'!$A$2:$L$52,5,FALSE)*m2k))</f>
        <v>146.64586245138136</v>
      </c>
      <c r="CC150" s="125">
        <f>CC39/293.07*(1/(VLOOKUP($BM150,'Fuel economy adjusted factor'!$A$2:$L$52,5,FALSE)*m2k))</f>
        <v>146.64586245138136</v>
      </c>
      <c r="CD150" s="125">
        <f>CD39/293.07*(1/(VLOOKUP($BM150,'Fuel economy adjusted factor'!$A$2:$L$52,5,FALSE)*m2k))</f>
        <v>146.64586245138136</v>
      </c>
      <c r="CE150" s="125">
        <f>CE39/293.07*(1/(VLOOKUP($BM150,'Fuel economy adjusted factor'!$A$2:$L$52,5,FALSE)*m2k))</f>
        <v>150.27030574691832</v>
      </c>
      <c r="CF150" s="125">
        <f>CF39/293.07*(1/(VLOOKUP($BM150,'Fuel economy adjusted factor'!$A$2:$L$52,5,FALSE)*m2k))</f>
        <v>150.27030574691832</v>
      </c>
      <c r="CG150" s="125">
        <f>CG39/293.07*(1/(VLOOKUP($BM150,'Fuel economy adjusted factor'!$A$2:$L$52,5,FALSE)*m2k))</f>
        <v>150.27030574691832</v>
      </c>
      <c r="CH150" s="125">
        <f>CH39/293.07*(1/(VLOOKUP($BM150,'Fuel economy adjusted factor'!$A$2:$L$52,5,FALSE)*m2k))</f>
        <v>150.27030574691832</v>
      </c>
      <c r="CI150" s="125">
        <f>CI39/293.07*(1/(VLOOKUP($BM150,'Fuel economy adjusted factor'!$A$2:$L$52,5,FALSE)*m2k))</f>
        <v>150.27030574691832</v>
      </c>
      <c r="CJ150" s="125">
        <f>CJ39/293.07*(1/(VLOOKUP($BM150,'Fuel economy adjusted factor'!$A$2:$L$52,5,FALSE)*m2k))</f>
        <v>151.13041828433018</v>
      </c>
      <c r="CK150" s="125">
        <f>CK39/293.07*(1/(VLOOKUP($BM150,'Fuel economy adjusted factor'!$A$2:$L$52,5,FALSE)*m2k))</f>
        <v>151.13041828433018</v>
      </c>
      <c r="CL150" s="125">
        <f>CL39/293.07*(1/(VLOOKUP($BM150,'Fuel economy adjusted factor'!$A$2:$L$52,5,FALSE)*m2k))</f>
        <v>151.13041828433018</v>
      </c>
      <c r="CM150" s="125">
        <f>CM39/293.07*(1/(VLOOKUP($BM150,'Fuel economy adjusted factor'!$A$2:$L$52,5,FALSE)*m2k))</f>
        <v>151.13041828433018</v>
      </c>
      <c r="CN150" s="125">
        <f>CN39/293.07*(1/(VLOOKUP($BM150,'Fuel economy adjusted factor'!$A$2:$L$52,5,FALSE)*m2k))</f>
        <v>151.13041828433018</v>
      </c>
      <c r="CO150" s="125">
        <f>CO39/293.07*(1/(VLOOKUP($BM150,'Fuel economy adjusted factor'!$A$2:$L$52,5,FALSE)*m2k))</f>
        <v>152.15789808095485</v>
      </c>
      <c r="CP150" s="98" cm="1">
        <f t="array" ref="CP150">SUMPRODUCT(INDEX(BN150:CO150,,'TCO Inputs'!$AZ$12-2023+_xlfn.SEQUENCE('TCO Inputs'!$AZ$13))*INDEX('VKT US'!C96:AA96,,_xlfn.SEQUENCE('TCO Inputs'!$AZ$13)))*m2k*CONVERT(0.9072,"g","ton")</f>
        <v>51.287444896445031</v>
      </c>
      <c r="CQ150" s="194"/>
      <c r="CR150" s="123" t="s">
        <v>210</v>
      </c>
      <c r="CS150" s="125">
        <f>CS39/293.07*(1/(VLOOKUP($BM150,'Fuel economy adjusted factor'!$A$2:$L$52,5,FALSE)*m2k))/'TCO Inputs'!$AZ$84</f>
        <v>204.8648276267779</v>
      </c>
      <c r="CT150" s="125">
        <f>CT39/293.07*(1/(VLOOKUP($BM150,'Fuel economy adjusted factor'!$A$2:$L$52,5,FALSE)*m2k))/'TCO Inputs'!$AZ$84</f>
        <v>204.86482762677792</v>
      </c>
      <c r="CU150" s="125">
        <f>CU39/293.07*(1/(VLOOKUP($BM150,'Fuel economy adjusted factor'!$A$2:$L$52,5,FALSE)*m2k))/'TCO Inputs'!$AZ$84</f>
        <v>204.86482762677792</v>
      </c>
      <c r="CV150" s="125">
        <f>CV39/293.07*(1/(VLOOKUP($BM150,'Fuel economy adjusted factor'!$A$2:$L$52,5,FALSE)*m2k))/'TCO Inputs'!$AZ$84</f>
        <v>204.86482762677792</v>
      </c>
      <c r="CW150" s="125">
        <f>CW39/293.07*(1/(VLOOKUP($BM150,'Fuel economy adjusted factor'!$A$2:$L$52,5,FALSE)*m2k))/'TCO Inputs'!$AZ$84</f>
        <v>204.86482762677792</v>
      </c>
      <c r="CX150" s="125">
        <f>CX39/293.07*(1/(VLOOKUP($BM150,'Fuel economy adjusted factor'!$A$2:$L$52,5,FALSE)*m2k))/'TCO Inputs'!$AZ$84</f>
        <v>204.86482762677792</v>
      </c>
      <c r="CY150" s="125">
        <f>CY39/293.07*(1/(VLOOKUP($BM150,'Fuel economy adjusted factor'!$A$2:$L$52,5,FALSE)*m2k))/'TCO Inputs'!$AZ$84</f>
        <v>204.86482762677792</v>
      </c>
      <c r="CZ150" s="125">
        <f>CZ39/293.07*(1/(VLOOKUP($BM150,'Fuel economy adjusted factor'!$A$2:$L$52,5,FALSE)*m2k))/'TCO Inputs'!$AZ$84</f>
        <v>204.91046731569455</v>
      </c>
      <c r="DA150" s="125">
        <f>DA39/293.07*(1/(VLOOKUP($BM150,'Fuel economy adjusted factor'!$A$2:$L$52,5,FALSE)*m2k))/'TCO Inputs'!$AZ$84</f>
        <v>204.91046731569455</v>
      </c>
      <c r="DB150" s="125">
        <f>DB39/293.07*(1/(VLOOKUP($BM150,'Fuel economy adjusted factor'!$A$2:$L$52,5,FALSE)*m2k))/'TCO Inputs'!$AZ$84</f>
        <v>204.91046731569455</v>
      </c>
      <c r="DC150" s="125">
        <f>DC39/293.07*(1/(VLOOKUP($BM150,'Fuel economy adjusted factor'!$A$2:$L$52,5,FALSE)*m2k))/'TCO Inputs'!$AZ$84</f>
        <v>204.91046731569455</v>
      </c>
      <c r="DD150" s="125">
        <f>DD39/293.07*(1/(VLOOKUP($BM150,'Fuel economy adjusted factor'!$A$2:$L$52,5,FALSE)*m2k))/'TCO Inputs'!$AZ$84</f>
        <v>204.91046731569455</v>
      </c>
      <c r="DE150" s="125">
        <f>DE39/293.07*(1/(VLOOKUP($BM150,'Fuel economy adjusted factor'!$A$2:$L$52,5,FALSE)*m2k))/'TCO Inputs'!$AZ$84</f>
        <v>204.88438749345647</v>
      </c>
      <c r="DF150" s="125">
        <f>DF39/293.07*(1/(VLOOKUP($BM150,'Fuel economy adjusted factor'!$A$2:$L$52,5,FALSE)*m2k))/'TCO Inputs'!$AZ$84</f>
        <v>204.88438749345647</v>
      </c>
      <c r="DG150" s="125">
        <f>DG39/293.07*(1/(VLOOKUP($BM150,'Fuel economy adjusted factor'!$A$2:$L$52,5,FALSE)*m2k))/'TCO Inputs'!$AZ$84</f>
        <v>204.88438749345647</v>
      </c>
      <c r="DH150" s="125">
        <f>DH39/293.07*(1/(VLOOKUP($BM150,'Fuel economy adjusted factor'!$A$2:$L$52,5,FALSE)*m2k))/'TCO Inputs'!$AZ$84</f>
        <v>204.88438749345647</v>
      </c>
      <c r="DI150" s="125">
        <f>DI39/293.07*(1/(VLOOKUP($BM150,'Fuel economy adjusted factor'!$A$2:$L$52,5,FALSE)*m2k))/'TCO Inputs'!$AZ$84</f>
        <v>204.88438749345647</v>
      </c>
      <c r="DJ150" s="125">
        <f>DJ39/293.07*(1/(VLOOKUP($BM150,'Fuel economy adjusted factor'!$A$2:$L$52,5,FALSE)*m2k))/'TCO Inputs'!$AZ$84</f>
        <v>204.87786753789695</v>
      </c>
      <c r="DK150" s="125">
        <f>DK39/293.07*(1/(VLOOKUP($BM150,'Fuel economy adjusted factor'!$A$2:$L$52,5,FALSE)*m2k))/'TCO Inputs'!$AZ$84</f>
        <v>204.87786753789695</v>
      </c>
      <c r="DL150" s="125">
        <f>DL39/293.07*(1/(VLOOKUP($BM150,'Fuel economy adjusted factor'!$A$2:$L$52,5,FALSE)*m2k))/'TCO Inputs'!$AZ$84</f>
        <v>204.87786753789695</v>
      </c>
      <c r="DM150" s="125">
        <f>DM39/293.07*(1/(VLOOKUP($BM150,'Fuel economy adjusted factor'!$A$2:$L$52,5,FALSE)*m2k))/'TCO Inputs'!$AZ$84</f>
        <v>204.87786753789695</v>
      </c>
      <c r="DN150" s="125">
        <f>DN39/293.07*(1/(VLOOKUP($BM150,'Fuel economy adjusted factor'!$A$2:$L$52,5,FALSE)*m2k))/'TCO Inputs'!$AZ$84</f>
        <v>204.87786753789695</v>
      </c>
      <c r="DO150" s="125">
        <f>DO39/293.07*(1/(VLOOKUP($BM150,'Fuel economy adjusted factor'!$A$2:$L$52,5,FALSE)*m2k))/'TCO Inputs'!$AZ$84</f>
        <v>204.75138040004231</v>
      </c>
      <c r="DP150" s="125">
        <f>DP39/293.07*(1/(VLOOKUP($BM150,'Fuel economy adjusted factor'!$A$2:$L$52,5,FALSE)*m2k))/'TCO Inputs'!$AZ$84</f>
        <v>204.75138040004231</v>
      </c>
      <c r="DQ150" s="125">
        <f>DQ39/293.07*(1/(VLOOKUP($BM150,'Fuel economy adjusted factor'!$A$2:$L$52,5,FALSE)*m2k))/'TCO Inputs'!$AZ$84</f>
        <v>204.75138040004231</v>
      </c>
      <c r="DR150" s="125">
        <f>DR39/293.07*(1/(VLOOKUP($BM150,'Fuel economy adjusted factor'!$A$2:$L$52,5,FALSE)*m2k))/'TCO Inputs'!$AZ$84</f>
        <v>204.75138040004231</v>
      </c>
      <c r="DS150" s="125">
        <f>DS39/293.07*(1/(VLOOKUP($BM150,'Fuel economy adjusted factor'!$A$2:$L$52,5,FALSE)*m2k))/'TCO Inputs'!$AZ$84</f>
        <v>204.75138040004231</v>
      </c>
      <c r="DT150" s="125">
        <f>DT39/293.07*(1/(VLOOKUP($BM150,'Fuel economy adjusted factor'!$A$2:$L$52,5,FALSE)*m2k))/'TCO Inputs'!$AZ$84</f>
        <v>204.85700368010649</v>
      </c>
      <c r="DU150" s="98" cm="1">
        <f t="array" ref="DU150">SUMPRODUCT(INDEX(CS150:DT150,,'TCO Inputs'!$AZ$12-2023+_xlfn.SEQUENCE('TCO Inputs'!$AZ$13))*INDEX('VKT US'!C96:AA96,,_xlfn.SEQUENCE('TCO Inputs'!$AZ$13)))*m2k*CONVERT(0.9072,"g","ton")</f>
        <v>76.537436299444678</v>
      </c>
      <c r="DW150" s="123" t="s">
        <v>210</v>
      </c>
      <c r="DX150" s="125">
        <f>DX39/293.07*(1/(VLOOKUP($BM150,'Fuel economy adjusted factor'!$A$2:$L$52,5,FALSE)*m2k))/'TCO Inputs'!$AZ$84</f>
        <v>214.45437273667264</v>
      </c>
      <c r="DY150" s="125">
        <f>DY39/293.07*(1/(VLOOKUP($BM150,'Fuel economy adjusted factor'!$A$2:$L$52,5,FALSE)*m2k))/'TCO Inputs'!$AZ$84</f>
        <v>214.45437273667264</v>
      </c>
      <c r="DZ150" s="125">
        <f>DZ39/293.07*(1/(VLOOKUP($BM150,'Fuel economy adjusted factor'!$A$2:$L$52,5,FALSE)*m2k))/'TCO Inputs'!$AZ$84</f>
        <v>187.99076471361448</v>
      </c>
      <c r="EA150" s="125">
        <f>EA39/293.07*(1/(VLOOKUP($BM150,'Fuel economy adjusted factor'!$A$2:$L$52,5,FALSE)*m2k))/'TCO Inputs'!$AZ$84</f>
        <v>187.99076471361448</v>
      </c>
      <c r="EB150" s="125">
        <f>EB39/293.07*(1/(VLOOKUP($BM150,'Fuel economy adjusted factor'!$A$2:$L$52,5,FALSE)*m2k))/'TCO Inputs'!$AZ$84</f>
        <v>187.99076471361448</v>
      </c>
      <c r="EC150" s="125">
        <f>EC39/293.07*(1/(VLOOKUP($BM150,'Fuel economy adjusted factor'!$A$2:$L$52,5,FALSE)*m2k))/'TCO Inputs'!$AZ$84</f>
        <v>187.99076471361448</v>
      </c>
      <c r="ED150" s="125">
        <f>ED39/293.07*(1/(VLOOKUP($BM150,'Fuel economy adjusted factor'!$A$2:$L$52,5,FALSE)*m2k))/'TCO Inputs'!$AZ$84</f>
        <v>187.99076471361448</v>
      </c>
      <c r="EE150" s="125">
        <f>EE39/293.07*(1/(VLOOKUP($BM150,'Fuel economy adjusted factor'!$A$2:$L$52,5,FALSE)*m2k))/'TCO Inputs'!$AZ$84</f>
        <v>115.8655130177912</v>
      </c>
      <c r="EF150" s="125">
        <f>EF39/293.07*(1/(VLOOKUP($BM150,'Fuel economy adjusted factor'!$A$2:$L$52,5,FALSE)*m2k))/'TCO Inputs'!$AZ$84</f>
        <v>115.8655130177912</v>
      </c>
      <c r="EG150" s="125">
        <f>EG39/293.07*(1/(VLOOKUP($BM150,'Fuel economy adjusted factor'!$A$2:$L$52,5,FALSE)*m2k))/'TCO Inputs'!$AZ$84</f>
        <v>115.8655130177912</v>
      </c>
      <c r="EH150" s="125">
        <f>EH39/293.07*(1/(VLOOKUP($BM150,'Fuel economy adjusted factor'!$A$2:$L$52,5,FALSE)*m2k))/'TCO Inputs'!$AZ$84</f>
        <v>115.8655130177912</v>
      </c>
      <c r="EI150" s="125">
        <f>EI39/293.07*(1/(VLOOKUP($BM150,'Fuel economy adjusted factor'!$A$2:$L$52,5,FALSE)*m2k))/'TCO Inputs'!$AZ$84</f>
        <v>115.8655130177912</v>
      </c>
      <c r="EJ150" s="125">
        <f>EJ39/293.07*(1/(VLOOKUP($BM150,'Fuel economy adjusted factor'!$A$2:$L$52,5,FALSE)*m2k))/'TCO Inputs'!$AZ$84</f>
        <v>103.48151699506907</v>
      </c>
      <c r="EK150" s="125">
        <f>EK39/293.07*(1/(VLOOKUP($BM150,'Fuel economy adjusted factor'!$A$2:$L$52,5,FALSE)*m2k))/'TCO Inputs'!$AZ$84</f>
        <v>103.48151699506907</v>
      </c>
      <c r="EL150" s="125">
        <f>EL39/293.07*(1/(VLOOKUP($BM150,'Fuel economy adjusted factor'!$A$2:$L$52,5,FALSE)*m2k))/'TCO Inputs'!$AZ$84</f>
        <v>103.48151699506907</v>
      </c>
      <c r="EM150" s="125">
        <f>EM39/293.07*(1/(VLOOKUP($BM150,'Fuel economy adjusted factor'!$A$2:$L$52,5,FALSE)*m2k))/'TCO Inputs'!$AZ$84</f>
        <v>103.48151699506907</v>
      </c>
      <c r="EN150" s="125">
        <f>EN39/293.07*(1/(VLOOKUP($BM150,'Fuel economy adjusted factor'!$A$2:$L$52,5,FALSE)*m2k))/'TCO Inputs'!$AZ$84</f>
        <v>103.48151699506907</v>
      </c>
      <c r="EO150" s="125">
        <f>EO39/293.07*(1/(VLOOKUP($BM150,'Fuel economy adjusted factor'!$A$2:$L$52,5,FALSE)*m2k))/'TCO Inputs'!$AZ$84</f>
        <v>100.22448183509</v>
      </c>
      <c r="EP150" s="125">
        <f>EP39/293.07*(1/(VLOOKUP($BM150,'Fuel economy adjusted factor'!$A$2:$L$52,5,FALSE)*m2k))/'TCO Inputs'!$AZ$84</f>
        <v>100.22448183509</v>
      </c>
      <c r="EQ150" s="125">
        <f>EQ39/293.07*(1/(VLOOKUP($BM150,'Fuel economy adjusted factor'!$A$2:$L$52,5,FALSE)*m2k))/'TCO Inputs'!$AZ$84</f>
        <v>100.22448183509</v>
      </c>
      <c r="ER150" s="125">
        <f>ER39/293.07*(1/(VLOOKUP($BM150,'Fuel economy adjusted factor'!$A$2:$L$52,5,FALSE)*m2k))/'TCO Inputs'!$AZ$84</f>
        <v>100.22448183509</v>
      </c>
      <c r="ES150" s="125">
        <f>ES39/293.07*(1/(VLOOKUP($BM150,'Fuel economy adjusted factor'!$A$2:$L$52,5,FALSE)*m2k))/'TCO Inputs'!$AZ$84</f>
        <v>100.22448183509</v>
      </c>
      <c r="ET150" s="125">
        <f>ET39/293.07*(1/(VLOOKUP($BM150,'Fuel economy adjusted factor'!$A$2:$L$52,5,FALSE)*m2k))/'TCO Inputs'!$AZ$84</f>
        <v>96.503283642132843</v>
      </c>
      <c r="EU150" s="125">
        <f>EU39/293.07*(1/(VLOOKUP($BM150,'Fuel economy adjusted factor'!$A$2:$L$52,5,FALSE)*m2k))/'TCO Inputs'!$AZ$84</f>
        <v>96.503283642132843</v>
      </c>
      <c r="EV150" s="125">
        <f>EV39/293.07*(1/(VLOOKUP($BM150,'Fuel economy adjusted factor'!$A$2:$L$52,5,FALSE)*m2k))/'TCO Inputs'!$AZ$84</f>
        <v>96.503283642132843</v>
      </c>
      <c r="EW150" s="125">
        <f>EW39/293.07*(1/(VLOOKUP($BM150,'Fuel economy adjusted factor'!$A$2:$L$52,5,FALSE)*m2k))/'TCO Inputs'!$AZ$84</f>
        <v>96.503283642132843</v>
      </c>
      <c r="EX150" s="125">
        <f>EX39/293.07*(1/(VLOOKUP($BM150,'Fuel economy adjusted factor'!$A$2:$L$52,5,FALSE)*m2k))/'TCO Inputs'!$AZ$84</f>
        <v>96.503283642132843</v>
      </c>
      <c r="EY150" s="125">
        <f>EY39/293.07*(1/(VLOOKUP($BM150,'Fuel economy adjusted factor'!$A$2:$L$52,5,FALSE)*m2k))/'TCO Inputs'!$AZ$84</f>
        <v>90.668091227550889</v>
      </c>
      <c r="EZ150" s="98" cm="1">
        <f t="array" ref="EZ150">SUMPRODUCT(INDEX(DX150:EY150,,'TCO Inputs'!$AZ$12-2023+_xlfn.SEQUENCE('TCO Inputs'!$AZ$13))*INDEX('VKT US'!C96:AA96,,_xlfn.SEQUENCE('TCO Inputs'!$AZ$13)))*m2k*CONVERT(0.9072,"g","ton")</f>
        <v>59.22561320303857</v>
      </c>
      <c r="FB150" s="123" t="s">
        <v>210</v>
      </c>
      <c r="FC150" s="125">
        <f>FC39/293.07*(1/(VLOOKUP($BM150,'Fuel economy adjusted factor'!$A$2:$L$52,5,FALSE)*m2k))/'TCO Inputs'!$AZ$84</f>
        <v>232.60725216926554</v>
      </c>
      <c r="FD150" s="125">
        <f>FD39/293.07*(1/(VLOOKUP($BM150,'Fuel economy adjusted factor'!$A$2:$L$52,5,FALSE)*m2k))/'TCO Inputs'!$AZ$84</f>
        <v>232.60725216926554</v>
      </c>
      <c r="FE150" s="125">
        <f>FE39/293.07*(1/(VLOOKUP($BM150,'Fuel economy adjusted factor'!$A$2:$L$52,5,FALSE)*m2k))/'TCO Inputs'!$AZ$84</f>
        <v>203.13605714680838</v>
      </c>
      <c r="FF150" s="125">
        <f>FF39/293.07*(1/(VLOOKUP($BM150,'Fuel economy adjusted factor'!$A$2:$L$52,5,FALSE)*m2k))/'TCO Inputs'!$AZ$84</f>
        <v>203.13605714680838</v>
      </c>
      <c r="FG150" s="125">
        <f>FG39/293.07*(1/(VLOOKUP($BM150,'Fuel economy adjusted factor'!$A$2:$L$52,5,FALSE)*m2k))/'TCO Inputs'!$AZ$84</f>
        <v>203.13605714680838</v>
      </c>
      <c r="FH150" s="125">
        <f>FH39/293.07*(1/(VLOOKUP($BM150,'Fuel economy adjusted factor'!$A$2:$L$52,5,FALSE)*m2k))/'TCO Inputs'!$AZ$84</f>
        <v>203.13605714680838</v>
      </c>
      <c r="FI150" s="125">
        <f>FI39/293.07*(1/(VLOOKUP($BM150,'Fuel economy adjusted factor'!$A$2:$L$52,5,FALSE)*m2k))/'TCO Inputs'!$AZ$84</f>
        <v>203.13605714680838</v>
      </c>
      <c r="FJ150" s="125">
        <f>FJ39/293.07*(1/(VLOOKUP($BM150,'Fuel economy adjusted factor'!$A$2:$L$52,5,FALSE)*m2k))/'TCO Inputs'!$AZ$84</f>
        <v>127.47274641389689</v>
      </c>
      <c r="FK150" s="125">
        <f>FK39/293.07*(1/(VLOOKUP($BM150,'Fuel economy adjusted factor'!$A$2:$L$52,5,FALSE)*m2k))/'TCO Inputs'!$AZ$84</f>
        <v>127.47274641389689</v>
      </c>
      <c r="FL150" s="125">
        <f>FL39/293.07*(1/(VLOOKUP($BM150,'Fuel economy adjusted factor'!$A$2:$L$52,5,FALSE)*m2k))/'TCO Inputs'!$AZ$84</f>
        <v>127.47274641389689</v>
      </c>
      <c r="FM150" s="125">
        <f>FM39/293.07*(1/(VLOOKUP($BM150,'Fuel economy adjusted factor'!$A$2:$L$52,5,FALSE)*m2k))/'TCO Inputs'!$AZ$84</f>
        <v>127.47274641389689</v>
      </c>
      <c r="FN150" s="125">
        <f>FN39/293.07*(1/(VLOOKUP($BM150,'Fuel economy adjusted factor'!$A$2:$L$52,5,FALSE)*m2k))/'TCO Inputs'!$AZ$84</f>
        <v>127.47274641389689</v>
      </c>
      <c r="FO150" s="125">
        <f>FO39/293.07*(1/(VLOOKUP($BM150,'Fuel economy adjusted factor'!$A$2:$L$52,5,FALSE)*m2k))/'TCO Inputs'!$AZ$84</f>
        <v>113.189471041948</v>
      </c>
      <c r="FP150" s="125">
        <f>FP39/293.07*(1/(VLOOKUP($BM150,'Fuel economy adjusted factor'!$A$2:$L$52,5,FALSE)*m2k))/'TCO Inputs'!$AZ$84</f>
        <v>113.189471041948</v>
      </c>
      <c r="FQ150" s="125">
        <f>FQ39/293.07*(1/(VLOOKUP($BM150,'Fuel economy adjusted factor'!$A$2:$L$52,5,FALSE)*m2k))/'TCO Inputs'!$AZ$84</f>
        <v>113.189471041948</v>
      </c>
      <c r="FR150" s="125">
        <f>FR39/293.07*(1/(VLOOKUP($BM150,'Fuel economy adjusted factor'!$A$2:$L$52,5,FALSE)*m2k))/'TCO Inputs'!$AZ$84</f>
        <v>113.189471041948</v>
      </c>
      <c r="FS150" s="125">
        <f>FS39/293.07*(1/(VLOOKUP($BM150,'Fuel economy adjusted factor'!$A$2:$L$52,5,FALSE)*m2k))/'TCO Inputs'!$AZ$84</f>
        <v>113.189471041948</v>
      </c>
      <c r="FT150" s="125">
        <f>FT39/293.07*(1/(VLOOKUP($BM150,'Fuel economy adjusted factor'!$A$2:$L$52,5,FALSE)*m2k))/'TCO Inputs'!$AZ$84</f>
        <v>110.30818690866549</v>
      </c>
      <c r="FU150" s="125">
        <f>FU39/293.07*(1/(VLOOKUP($BM150,'Fuel economy adjusted factor'!$A$2:$L$52,5,FALSE)*m2k))/'TCO Inputs'!$AZ$84</f>
        <v>110.30818690866549</v>
      </c>
      <c r="FV150" s="125">
        <f>FV39/293.07*(1/(VLOOKUP($BM150,'Fuel economy adjusted factor'!$A$2:$L$52,5,FALSE)*m2k))/'TCO Inputs'!$AZ$84</f>
        <v>110.30818690866549</v>
      </c>
      <c r="FW150" s="125">
        <f>FW39/293.07*(1/(VLOOKUP($BM150,'Fuel economy adjusted factor'!$A$2:$L$52,5,FALSE)*m2k))/'TCO Inputs'!$AZ$84</f>
        <v>110.30818690866549</v>
      </c>
      <c r="FX150" s="125">
        <f>FX39/293.07*(1/(VLOOKUP($BM150,'Fuel economy adjusted factor'!$A$2:$L$52,5,FALSE)*m2k))/'TCO Inputs'!$AZ$84</f>
        <v>110.30818690866549</v>
      </c>
      <c r="FY150" s="125">
        <f>FY39/293.07*(1/(VLOOKUP($BM150,'Fuel economy adjusted factor'!$A$2:$L$52,5,FALSE)*m2k))/'TCO Inputs'!$AZ$84</f>
        <v>106.57909478657605</v>
      </c>
      <c r="FZ150" s="125">
        <f>FZ39/293.07*(1/(VLOOKUP($BM150,'Fuel economy adjusted factor'!$A$2:$L$52,5,FALSE)*m2k))/'TCO Inputs'!$AZ$84</f>
        <v>106.57909478657605</v>
      </c>
      <c r="GA150" s="125">
        <f>GA39/293.07*(1/(VLOOKUP($BM150,'Fuel economy adjusted factor'!$A$2:$L$52,5,FALSE)*m2k))/'TCO Inputs'!$AZ$84</f>
        <v>106.57909478657605</v>
      </c>
      <c r="GB150" s="125">
        <f>GB39/293.07*(1/(VLOOKUP($BM150,'Fuel economy adjusted factor'!$A$2:$L$52,5,FALSE)*m2k))/'TCO Inputs'!$AZ$84</f>
        <v>106.57909478657605</v>
      </c>
      <c r="GC150" s="125">
        <f>GC39/293.07*(1/(VLOOKUP($BM150,'Fuel economy adjusted factor'!$A$2:$L$52,5,FALSE)*m2k))/'TCO Inputs'!$AZ$84</f>
        <v>106.57909478657605</v>
      </c>
      <c r="GD150" s="125">
        <f>GD39/293.07*(1/(VLOOKUP($BM150,'Fuel economy adjusted factor'!$A$2:$L$52,5,FALSE)*m2k))/'TCO Inputs'!$AZ$84</f>
        <v>100.5418177862077</v>
      </c>
      <c r="GE150" s="98" cm="1">
        <f t="array" ref="GE150">SUMPRODUCT(INDEX(FC150:GD150,,'TCO Inputs'!$AZ$12-2023+_xlfn.SEQUENCE('TCO Inputs'!$AZ$13))*INDEX('VKT US'!C96:AA96,,_xlfn.SEQUENCE('TCO Inputs'!$AZ$13)))*m2k*CONVERT(0.9072,"g","ton")</f>
        <v>64.393852527636412</v>
      </c>
      <c r="GH150" s="123" t="s">
        <v>210</v>
      </c>
      <c r="GI150" s="125">
        <f>GI39/293.07*(1/(VLOOKUP($BM150,'Fuel economy adjusted factor'!$A$2:$L$52,5,FALSE)*m2k))/'TCO Inputs'!$AZ$84</f>
        <v>202.09879485882669</v>
      </c>
      <c r="GJ150" s="125">
        <f>GJ39/293.07*(1/(VLOOKUP($BM150,'Fuel economy adjusted factor'!$A$2:$L$52,5,FALSE)*m2k))/'TCO Inputs'!$AZ$84</f>
        <v>202.09879485882669</v>
      </c>
      <c r="GK150" s="125">
        <f>GK39/293.07*(1/(VLOOKUP($BM150,'Fuel economy adjusted factor'!$A$2:$L$52,5,FALSE)*m2k))/'TCO Inputs'!$AZ$84</f>
        <v>177.6828720526822</v>
      </c>
      <c r="GL150" s="125">
        <f>GL39/293.07*(1/(VLOOKUP($BM150,'Fuel economy adjusted factor'!$A$2:$L$52,5,FALSE)*m2k))/'TCO Inputs'!$AZ$84</f>
        <v>177.6828720526822</v>
      </c>
      <c r="GM150" s="125">
        <f>GM39/293.07*(1/(VLOOKUP($BM150,'Fuel economy adjusted factor'!$A$2:$L$52,5,FALSE)*m2k))/'TCO Inputs'!$AZ$84</f>
        <v>177.6828720526822</v>
      </c>
      <c r="GN150" s="125">
        <f>GN39/293.07*(1/(VLOOKUP($BM150,'Fuel economy adjusted factor'!$A$2:$L$52,5,FALSE)*m2k))/'TCO Inputs'!$AZ$84</f>
        <v>177.6828720526822</v>
      </c>
      <c r="GO150" s="125">
        <f>GO39/293.07*(1/(VLOOKUP($BM150,'Fuel economy adjusted factor'!$A$2:$L$52,5,FALSE)*m2k))/'TCO Inputs'!$AZ$84</f>
        <v>177.6828720526822</v>
      </c>
      <c r="GP150" s="125">
        <f>GP39/293.07*(1/(VLOOKUP($BM150,'Fuel economy adjusted factor'!$A$2:$L$52,5,FALSE)*m2k))/'TCO Inputs'!$AZ$84</f>
        <v>107.96526874220457</v>
      </c>
      <c r="GQ150" s="125">
        <f>GQ39/293.07*(1/(VLOOKUP($BM150,'Fuel economy adjusted factor'!$A$2:$L$52,5,FALSE)*m2k))/'TCO Inputs'!$AZ$84</f>
        <v>107.96526874220457</v>
      </c>
      <c r="GR150" s="125">
        <f>GR39/293.07*(1/(VLOOKUP($BM150,'Fuel economy adjusted factor'!$A$2:$L$52,5,FALSE)*m2k))/'TCO Inputs'!$AZ$84</f>
        <v>107.96526874220457</v>
      </c>
      <c r="GS150" s="125">
        <f>GS39/293.07*(1/(VLOOKUP($BM150,'Fuel economy adjusted factor'!$A$2:$L$52,5,FALSE)*m2k))/'TCO Inputs'!$AZ$84</f>
        <v>107.96526874220457</v>
      </c>
      <c r="GT150" s="125">
        <f>GT39/293.07*(1/(VLOOKUP($BM150,'Fuel economy adjusted factor'!$A$2:$L$52,5,FALSE)*m2k))/'TCO Inputs'!$AZ$84</f>
        <v>107.96526874220457</v>
      </c>
      <c r="GU150" s="125">
        <f>GU39/293.07*(1/(VLOOKUP($BM150,'Fuel economy adjusted factor'!$A$2:$L$52,5,FALSE)*m2k))/'TCO Inputs'!$AZ$84</f>
        <v>96.874298311350046</v>
      </c>
      <c r="GV150" s="125">
        <f>GV39/293.07*(1/(VLOOKUP($BM150,'Fuel economy adjusted factor'!$A$2:$L$52,5,FALSE)*m2k))/'TCO Inputs'!$AZ$84</f>
        <v>96.874298311350046</v>
      </c>
      <c r="GW150" s="125">
        <f>GW39/293.07*(1/(VLOOKUP($BM150,'Fuel economy adjusted factor'!$A$2:$L$52,5,FALSE)*m2k))/'TCO Inputs'!$AZ$84</f>
        <v>96.874298311350046</v>
      </c>
      <c r="GX150" s="125">
        <f>GX39/293.07*(1/(VLOOKUP($BM150,'Fuel economy adjusted factor'!$A$2:$L$52,5,FALSE)*m2k))/'TCO Inputs'!$AZ$84</f>
        <v>96.874298311350046</v>
      </c>
      <c r="GY150" s="125">
        <f>GY39/293.07*(1/(VLOOKUP($BM150,'Fuel economy adjusted factor'!$A$2:$L$52,5,FALSE)*m2k))/'TCO Inputs'!$AZ$84</f>
        <v>96.874298311350046</v>
      </c>
      <c r="GZ150" s="125">
        <f>GZ39/293.07*(1/(VLOOKUP($BM150,'Fuel economy adjusted factor'!$A$2:$L$52,5,FALSE)*m2k))/'TCO Inputs'!$AZ$84</f>
        <v>93.361499847485078</v>
      </c>
      <c r="HA150" s="125">
        <f>HA39/293.07*(1/(VLOOKUP($BM150,'Fuel economy adjusted factor'!$A$2:$L$52,5,FALSE)*m2k))/'TCO Inputs'!$AZ$84</f>
        <v>93.361499847485078</v>
      </c>
      <c r="HB150" s="125">
        <f>HB39/293.07*(1/(VLOOKUP($BM150,'Fuel economy adjusted factor'!$A$2:$L$52,5,FALSE)*m2k))/'TCO Inputs'!$AZ$84</f>
        <v>93.361499847485078</v>
      </c>
      <c r="HC150" s="125">
        <f>HC39/293.07*(1/(VLOOKUP($BM150,'Fuel economy adjusted factor'!$A$2:$L$52,5,FALSE)*m2k))/'TCO Inputs'!$AZ$84</f>
        <v>93.361499847485078</v>
      </c>
      <c r="HD150" s="125">
        <f>HD39/293.07*(1/(VLOOKUP($BM150,'Fuel economy adjusted factor'!$A$2:$L$52,5,FALSE)*m2k))/'TCO Inputs'!$AZ$84</f>
        <v>93.361499847485078</v>
      </c>
      <c r="HE150" s="125">
        <f>HE39/293.07*(1/(VLOOKUP($BM150,'Fuel economy adjusted factor'!$A$2:$L$52,5,FALSE)*m2k))/'TCO Inputs'!$AZ$84</f>
        <v>89.645038012007291</v>
      </c>
      <c r="HF150" s="125">
        <f>HF39/293.07*(1/(VLOOKUP($BM150,'Fuel economy adjusted factor'!$A$2:$L$52,5,FALSE)*m2k))/'TCO Inputs'!$AZ$84</f>
        <v>89.645038012007291</v>
      </c>
      <c r="HG150" s="125">
        <f>HG39/293.07*(1/(VLOOKUP($BM150,'Fuel economy adjusted factor'!$A$2:$L$52,5,FALSE)*m2k))/'TCO Inputs'!$AZ$84</f>
        <v>89.645038012007291</v>
      </c>
      <c r="HH150" s="125">
        <f>HH39/293.07*(1/(VLOOKUP($BM150,'Fuel economy adjusted factor'!$A$2:$L$52,5,FALSE)*m2k))/'TCO Inputs'!$AZ$84</f>
        <v>89.645038012007291</v>
      </c>
      <c r="HI150" s="125">
        <f>HI39/293.07*(1/(VLOOKUP($BM150,'Fuel economy adjusted factor'!$A$2:$L$52,5,FALSE)*m2k))/'TCO Inputs'!$AZ$84</f>
        <v>89.645038012007291</v>
      </c>
      <c r="HJ150" s="125">
        <f>HJ39/293.07*(1/(VLOOKUP($BM150,'Fuel economy adjusted factor'!$A$2:$L$52,5,FALSE)*m2k))/'TCO Inputs'!$AZ$84</f>
        <v>83.948778750153465</v>
      </c>
      <c r="HK150" s="98" cm="1">
        <f t="array" ref="HK150">SUMPRODUCT(INDEX(GI150:HJ150,,'TCO Inputs'!$AZ$12-2023+_xlfn.SEQUENCE('TCO Inputs'!$AZ$13))*INDEX('VKT US'!C96:AA96,,_xlfn.SEQUENCE('TCO Inputs'!$AZ$13)))*m2k*CONVERT(0.9072,"g","ton")</f>
        <v>55.708018723814384</v>
      </c>
    </row>
    <row r="151" spans="26:219" x14ac:dyDescent="0.25">
      <c r="Z151" s="123" t="s">
        <v>217</v>
      </c>
      <c r="AA151" s="125">
        <f>AA40/293.07*(1/(VLOOKUP($Z151,'Fuel economy adjusted factor'!$A$2:$L$52,5,FALSE)*m2k))/'TCO Inputs'!$AZ$84</f>
        <v>141.11714265231214</v>
      </c>
      <c r="AB151" s="125">
        <f>AB40/293.07*(1/(VLOOKUP($Z151,'Fuel economy adjusted factor'!$A$2:$L$52,5,FALSE)*m2k))/'TCO Inputs'!$AZ$84</f>
        <v>141.11714265231214</v>
      </c>
      <c r="AC151" s="125">
        <f>AC40/293.07*(1/(VLOOKUP($Z151,'Fuel economy adjusted factor'!$A$2:$L$52,5,FALSE)*m2k))/'TCO Inputs'!$AZ$84</f>
        <v>124.11165749379607</v>
      </c>
      <c r="AD151" s="125">
        <f>AD40/293.07*(1/(VLOOKUP($Z151,'Fuel economy adjusted factor'!$A$2:$L$52,5,FALSE)*m2k))/'TCO Inputs'!$AZ$84</f>
        <v>124.11165749379607</v>
      </c>
      <c r="AE151" s="125">
        <f>AE40/293.07*(1/(VLOOKUP($Z151,'Fuel economy adjusted factor'!$A$2:$L$52,5,FALSE)*m2k))/'TCO Inputs'!$AZ$84</f>
        <v>124.11165749379607</v>
      </c>
      <c r="AF151" s="125">
        <f>AF40/293.07*(1/(VLOOKUP($Z151,'Fuel economy adjusted factor'!$A$2:$L$52,5,FALSE)*m2k))/'TCO Inputs'!$AZ$84</f>
        <v>124.11165749379607</v>
      </c>
      <c r="AG151" s="125">
        <f>AG40/293.07*(1/(VLOOKUP($Z151,'Fuel economy adjusted factor'!$A$2:$L$52,5,FALSE)*m2k))/'TCO Inputs'!$AZ$84</f>
        <v>124.11165749379607</v>
      </c>
      <c r="AH151" s="125">
        <f>AH40/293.07*(1/(VLOOKUP($Z151,'Fuel economy adjusted factor'!$A$2:$L$52,5,FALSE)*m2k))/'TCO Inputs'!$AZ$84</f>
        <v>74.570961010388643</v>
      </c>
      <c r="AI151" s="125">
        <f>AI40/293.07*(1/(VLOOKUP($Z151,'Fuel economy adjusted factor'!$A$2:$L$52,5,FALSE)*m2k))/'TCO Inputs'!$AZ$84</f>
        <v>74.570961010388643</v>
      </c>
      <c r="AJ151" s="125">
        <f>AJ40/293.07*(1/(VLOOKUP($Z151,'Fuel economy adjusted factor'!$A$2:$L$52,5,FALSE)*m2k))/'TCO Inputs'!$AZ$84</f>
        <v>74.570961010388643</v>
      </c>
      <c r="AK151" s="125">
        <f>AK40/293.07*(1/(VLOOKUP($Z151,'Fuel economy adjusted factor'!$A$2:$L$52,5,FALSE)*m2k))/'TCO Inputs'!$AZ$84</f>
        <v>74.570961010388643</v>
      </c>
      <c r="AL151" s="125">
        <f>AL40/293.07*(1/(VLOOKUP($Z151,'Fuel economy adjusted factor'!$A$2:$L$52,5,FALSE)*m2k))/'TCO Inputs'!$AZ$84</f>
        <v>74.570961010388643</v>
      </c>
      <c r="AM151" s="125">
        <f>AM40/293.07*(1/(VLOOKUP($Z151,'Fuel economy adjusted factor'!$A$2:$L$52,5,FALSE)*m2k))/'TCO Inputs'!$AZ$84</f>
        <v>78.036873986035573</v>
      </c>
      <c r="AN151" s="125">
        <f>AN40/293.07*(1/(VLOOKUP($Z151,'Fuel economy adjusted factor'!$A$2:$L$52,5,FALSE)*m2k))/'TCO Inputs'!$AZ$84</f>
        <v>78.036873986035573</v>
      </c>
      <c r="AO151" s="125">
        <f>AO40/293.07*(1/(VLOOKUP($Z151,'Fuel economy adjusted factor'!$A$2:$L$52,5,FALSE)*m2k))/'TCO Inputs'!$AZ$84</f>
        <v>78.036873986035573</v>
      </c>
      <c r="AP151" s="125">
        <f>AP40/293.07*(1/(VLOOKUP($Z151,'Fuel economy adjusted factor'!$A$2:$L$52,5,FALSE)*m2k))/'TCO Inputs'!$AZ$84</f>
        <v>78.036873986035573</v>
      </c>
      <c r="AQ151" s="125">
        <f>AQ40/293.07*(1/(VLOOKUP($Z151,'Fuel economy adjusted factor'!$A$2:$L$52,5,FALSE)*m2k))/'TCO Inputs'!$AZ$84</f>
        <v>78.036873986035573</v>
      </c>
      <c r="AR151" s="125">
        <f>AR40/293.07*(1/(VLOOKUP($Z151,'Fuel economy adjusted factor'!$A$2:$L$52,5,FALSE)*m2k))/'TCO Inputs'!$AZ$84</f>
        <v>81.575650522827232</v>
      </c>
      <c r="AS151" s="125">
        <f>AS40/293.07*(1/(VLOOKUP($Z151,'Fuel economy adjusted factor'!$A$2:$L$52,5,FALSE)*m2k))/'TCO Inputs'!$AZ$84</f>
        <v>81.575650522827232</v>
      </c>
      <c r="AT151" s="125">
        <f>AT40/293.07*(1/(VLOOKUP($Z151,'Fuel economy adjusted factor'!$A$2:$L$52,5,FALSE)*m2k))/'TCO Inputs'!$AZ$84</f>
        <v>81.575650522827232</v>
      </c>
      <c r="AU151" s="125">
        <f>AU40/293.07*(1/(VLOOKUP($Z151,'Fuel economy adjusted factor'!$A$2:$L$52,5,FALSE)*m2k))/'TCO Inputs'!$AZ$84</f>
        <v>81.575650522827232</v>
      </c>
      <c r="AV151" s="125">
        <f>AV40/293.07*(1/(VLOOKUP($Z151,'Fuel economy adjusted factor'!$A$2:$L$52,5,FALSE)*m2k))/'TCO Inputs'!$AZ$84</f>
        <v>81.575650522827232</v>
      </c>
      <c r="AW151" s="125">
        <f>AW40/293.07*(1/(VLOOKUP($Z151,'Fuel economy adjusted factor'!$A$2:$L$52,5,FALSE)*m2k))/'TCO Inputs'!$AZ$84</f>
        <v>83.365701592144717</v>
      </c>
      <c r="AX151" s="125">
        <f>AX40/293.07*(1/(VLOOKUP($Z151,'Fuel economy adjusted factor'!$A$2:$L$52,5,FALSE)*m2k))/'TCO Inputs'!$AZ$84</f>
        <v>83.365701592144717</v>
      </c>
      <c r="AY151" s="125">
        <f>AY40/293.07*(1/(VLOOKUP($Z151,'Fuel economy adjusted factor'!$A$2:$L$52,5,FALSE)*m2k))/'TCO Inputs'!$AZ$84</f>
        <v>83.365701592144717</v>
      </c>
      <c r="AZ151" s="125">
        <f>AZ40/293.07*(1/(VLOOKUP($Z151,'Fuel economy adjusted factor'!$A$2:$L$52,5,FALSE)*m2k))/'TCO Inputs'!$AZ$84</f>
        <v>83.365701592144717</v>
      </c>
      <c r="BA151" s="125">
        <f>BA40/293.07*(1/(VLOOKUP($Z151,'Fuel economy adjusted factor'!$A$2:$L$52,5,FALSE)*m2k))/'TCO Inputs'!$AZ$84</f>
        <v>83.365701592144717</v>
      </c>
      <c r="BB151" s="125">
        <f>BB40/293.07*(1/(VLOOKUP($Z151,'Fuel economy adjusted factor'!$A$2:$L$52,5,FALSE)*m2k))/'TCO Inputs'!$AZ$84</f>
        <v>83.478803239294791</v>
      </c>
      <c r="BC151" s="98" cm="1">
        <f t="array" ref="BC151">SUMPRODUCT(INDEX(AA151:BB151,,'TCO Inputs'!$AZ$12-2023+_xlfn.SEQUENCE('TCO Inputs'!$AZ$13))*INDEX('VKT US'!C97:AA97,,_xlfn.SEQUENCE('TCO Inputs'!$AZ$13)))*m2k*CONVERT(0.9072,"g","ton")</f>
        <v>31.729645917041022</v>
      </c>
      <c r="BM151" s="123" t="s">
        <v>217</v>
      </c>
      <c r="BN151" s="125">
        <f>BN40/293.07*(1/(VLOOKUP($BM151,'Fuel economy adjusted factor'!$A$2:$L$52,5,FALSE)*m2k))</f>
        <v>119.94957125446531</v>
      </c>
      <c r="BO151" s="125">
        <f>BO40/293.07*(1/(VLOOKUP($BM151,'Fuel economy adjusted factor'!$A$2:$L$52,5,FALSE)*m2k))</f>
        <v>119.94957125446531</v>
      </c>
      <c r="BP151" s="125">
        <f>BP40/293.07*(1/(VLOOKUP($BM151,'Fuel economy adjusted factor'!$A$2:$L$52,5,FALSE)*m2k))</f>
        <v>105.35717498884628</v>
      </c>
      <c r="BQ151" s="125">
        <f>BQ40/293.07*(1/(VLOOKUP($BM151,'Fuel economy adjusted factor'!$A$2:$L$52,5,FALSE)*m2k))</f>
        <v>105.35717498884628</v>
      </c>
      <c r="BR151" s="125">
        <f>BR40/293.07*(1/(VLOOKUP($BM151,'Fuel economy adjusted factor'!$A$2:$L$52,5,FALSE)*m2k))</f>
        <v>105.35717498884628</v>
      </c>
      <c r="BS151" s="125">
        <f>BS40/293.07*(1/(VLOOKUP($BM151,'Fuel economy adjusted factor'!$A$2:$L$52,5,FALSE)*m2k))</f>
        <v>105.35717498884628</v>
      </c>
      <c r="BT151" s="125">
        <f>BT40/293.07*(1/(VLOOKUP($BM151,'Fuel economy adjusted factor'!$A$2:$L$52,5,FALSE)*m2k))</f>
        <v>105.35717498884628</v>
      </c>
      <c r="BU151" s="125">
        <f>BU40/293.07*(1/(VLOOKUP($BM151,'Fuel economy adjusted factor'!$A$2:$L$52,5,FALSE)*m2k))</f>
        <v>119.42914055019929</v>
      </c>
      <c r="BV151" s="125">
        <f>BV40/293.07*(1/(VLOOKUP($BM151,'Fuel economy adjusted factor'!$A$2:$L$52,5,FALSE)*m2k))</f>
        <v>119.42914055019929</v>
      </c>
      <c r="BW151" s="125">
        <f>BW40/293.07*(1/(VLOOKUP($BM151,'Fuel economy adjusted factor'!$A$2:$L$52,5,FALSE)*m2k))</f>
        <v>119.42914055019929</v>
      </c>
      <c r="BX151" s="125">
        <f>BX40/293.07*(1/(VLOOKUP($BM151,'Fuel economy adjusted factor'!$A$2:$L$52,5,FALSE)*m2k))</f>
        <v>119.42914055019929</v>
      </c>
      <c r="BY151" s="125">
        <f>BY40/293.07*(1/(VLOOKUP($BM151,'Fuel economy adjusted factor'!$A$2:$L$52,5,FALSE)*m2k))</f>
        <v>119.42914055019929</v>
      </c>
      <c r="BZ151" s="125">
        <f>BZ40/293.07*(1/(VLOOKUP($BM151,'Fuel economy adjusted factor'!$A$2:$L$52,5,FALSE)*m2k))</f>
        <v>122.30121550251641</v>
      </c>
      <c r="CA151" s="125">
        <f>CA40/293.07*(1/(VLOOKUP($BM151,'Fuel economy adjusted factor'!$A$2:$L$52,5,FALSE)*m2k))</f>
        <v>122.30121550251641</v>
      </c>
      <c r="CB151" s="125">
        <f>CB40/293.07*(1/(VLOOKUP($BM151,'Fuel economy adjusted factor'!$A$2:$L$52,5,FALSE)*m2k))</f>
        <v>122.30121550251641</v>
      </c>
      <c r="CC151" s="125">
        <f>CC40/293.07*(1/(VLOOKUP($BM151,'Fuel economy adjusted factor'!$A$2:$L$52,5,FALSE)*m2k))</f>
        <v>122.30121550251641</v>
      </c>
      <c r="CD151" s="125">
        <f>CD40/293.07*(1/(VLOOKUP($BM151,'Fuel economy adjusted factor'!$A$2:$L$52,5,FALSE)*m2k))</f>
        <v>122.30121550251641</v>
      </c>
      <c r="CE151" s="125">
        <f>CE40/293.07*(1/(VLOOKUP($BM151,'Fuel economy adjusted factor'!$A$2:$L$52,5,FALSE)*m2k))</f>
        <v>125.32396577418588</v>
      </c>
      <c r="CF151" s="125">
        <f>CF40/293.07*(1/(VLOOKUP($BM151,'Fuel economy adjusted factor'!$A$2:$L$52,5,FALSE)*m2k))</f>
        <v>125.32396577418588</v>
      </c>
      <c r="CG151" s="125">
        <f>CG40/293.07*(1/(VLOOKUP($BM151,'Fuel economy adjusted factor'!$A$2:$L$52,5,FALSE)*m2k))</f>
        <v>125.32396577418588</v>
      </c>
      <c r="CH151" s="125">
        <f>CH40/293.07*(1/(VLOOKUP($BM151,'Fuel economy adjusted factor'!$A$2:$L$52,5,FALSE)*m2k))</f>
        <v>125.32396577418588</v>
      </c>
      <c r="CI151" s="125">
        <f>CI40/293.07*(1/(VLOOKUP($BM151,'Fuel economy adjusted factor'!$A$2:$L$52,5,FALSE)*m2k))</f>
        <v>125.32396577418588</v>
      </c>
      <c r="CJ151" s="125">
        <f>CJ40/293.07*(1/(VLOOKUP($BM151,'Fuel economy adjusted factor'!$A$2:$L$52,5,FALSE)*m2k))</f>
        <v>126.04129122091847</v>
      </c>
      <c r="CK151" s="125">
        <f>CK40/293.07*(1/(VLOOKUP($BM151,'Fuel economy adjusted factor'!$A$2:$L$52,5,FALSE)*m2k))</f>
        <v>126.04129122091847</v>
      </c>
      <c r="CL151" s="125">
        <f>CL40/293.07*(1/(VLOOKUP($BM151,'Fuel economy adjusted factor'!$A$2:$L$52,5,FALSE)*m2k))</f>
        <v>126.04129122091847</v>
      </c>
      <c r="CM151" s="125">
        <f>CM40/293.07*(1/(VLOOKUP($BM151,'Fuel economy adjusted factor'!$A$2:$L$52,5,FALSE)*m2k))</f>
        <v>126.04129122091847</v>
      </c>
      <c r="CN151" s="125">
        <f>CN40/293.07*(1/(VLOOKUP($BM151,'Fuel economy adjusted factor'!$A$2:$L$52,5,FALSE)*m2k))</f>
        <v>126.04129122091847</v>
      </c>
      <c r="CO151" s="125">
        <f>CO40/293.07*(1/(VLOOKUP($BM151,'Fuel economy adjusted factor'!$A$2:$L$52,5,FALSE)*m2k))</f>
        <v>126.89819932545593</v>
      </c>
      <c r="CP151" s="98" cm="1">
        <f t="array" ref="CP151">SUMPRODUCT(INDEX(BN151:CO151,,'TCO Inputs'!$AZ$12-2023+_xlfn.SEQUENCE('TCO Inputs'!$AZ$13))*INDEX('VKT US'!C97:AA97,,_xlfn.SEQUENCE('TCO Inputs'!$AZ$13)))*m2k*CONVERT(0.9072,"g","ton")</f>
        <v>34.560361249280092</v>
      </c>
      <c r="CQ151" s="194"/>
      <c r="CR151" s="123" t="s">
        <v>217</v>
      </c>
      <c r="CS151" s="125">
        <f>CS40/293.07*(1/(VLOOKUP($BM151,'Fuel economy adjusted factor'!$A$2:$L$52,5,FALSE)*m2k))/'TCO Inputs'!$AZ$84</f>
        <v>170.85526324191514</v>
      </c>
      <c r="CT151" s="125">
        <f>CT40/293.07*(1/(VLOOKUP($BM151,'Fuel economy adjusted factor'!$A$2:$L$52,5,FALSE)*m2k))/'TCO Inputs'!$AZ$84</f>
        <v>170.85526324191517</v>
      </c>
      <c r="CU151" s="125">
        <f>CU40/293.07*(1/(VLOOKUP($BM151,'Fuel economy adjusted factor'!$A$2:$L$52,5,FALSE)*m2k))/'TCO Inputs'!$AZ$84</f>
        <v>170.85526324191517</v>
      </c>
      <c r="CV151" s="125">
        <f>CV40/293.07*(1/(VLOOKUP($BM151,'Fuel economy adjusted factor'!$A$2:$L$52,5,FALSE)*m2k))/'TCO Inputs'!$AZ$84</f>
        <v>170.85526324191517</v>
      </c>
      <c r="CW151" s="125">
        <f>CW40/293.07*(1/(VLOOKUP($BM151,'Fuel economy adjusted factor'!$A$2:$L$52,5,FALSE)*m2k))/'TCO Inputs'!$AZ$84</f>
        <v>170.85526324191517</v>
      </c>
      <c r="CX151" s="125">
        <f>CX40/293.07*(1/(VLOOKUP($BM151,'Fuel economy adjusted factor'!$A$2:$L$52,5,FALSE)*m2k))/'TCO Inputs'!$AZ$84</f>
        <v>170.85526324191517</v>
      </c>
      <c r="CY151" s="125">
        <f>CY40/293.07*(1/(VLOOKUP($BM151,'Fuel economy adjusted factor'!$A$2:$L$52,5,FALSE)*m2k))/'TCO Inputs'!$AZ$84</f>
        <v>170.85526324191517</v>
      </c>
      <c r="CZ151" s="125">
        <f>CZ40/293.07*(1/(VLOOKUP($BM151,'Fuel economy adjusted factor'!$A$2:$L$52,5,FALSE)*m2k))/'TCO Inputs'!$AZ$84</f>
        <v>170.89332629624448</v>
      </c>
      <c r="DA151" s="125">
        <f>DA40/293.07*(1/(VLOOKUP($BM151,'Fuel economy adjusted factor'!$A$2:$L$52,5,FALSE)*m2k))/'TCO Inputs'!$AZ$84</f>
        <v>170.89332629624448</v>
      </c>
      <c r="DB151" s="125">
        <f>DB40/293.07*(1/(VLOOKUP($BM151,'Fuel economy adjusted factor'!$A$2:$L$52,5,FALSE)*m2k))/'TCO Inputs'!$AZ$84</f>
        <v>170.89332629624448</v>
      </c>
      <c r="DC151" s="125">
        <f>DC40/293.07*(1/(VLOOKUP($BM151,'Fuel economy adjusted factor'!$A$2:$L$52,5,FALSE)*m2k))/'TCO Inputs'!$AZ$84</f>
        <v>170.89332629624448</v>
      </c>
      <c r="DD151" s="125">
        <f>DD40/293.07*(1/(VLOOKUP($BM151,'Fuel economy adjusted factor'!$A$2:$L$52,5,FALSE)*m2k))/'TCO Inputs'!$AZ$84</f>
        <v>170.89332629624448</v>
      </c>
      <c r="DE151" s="125">
        <f>DE40/293.07*(1/(VLOOKUP($BM151,'Fuel economy adjusted factor'!$A$2:$L$52,5,FALSE)*m2k))/'TCO Inputs'!$AZ$84</f>
        <v>170.87157597948487</v>
      </c>
      <c r="DF151" s="125">
        <f>DF40/293.07*(1/(VLOOKUP($BM151,'Fuel economy adjusted factor'!$A$2:$L$52,5,FALSE)*m2k))/'TCO Inputs'!$AZ$84</f>
        <v>170.87157597948487</v>
      </c>
      <c r="DG151" s="125">
        <f>DG40/293.07*(1/(VLOOKUP($BM151,'Fuel economy adjusted factor'!$A$2:$L$52,5,FALSE)*m2k))/'TCO Inputs'!$AZ$84</f>
        <v>170.87157597948487</v>
      </c>
      <c r="DH151" s="125">
        <f>DH40/293.07*(1/(VLOOKUP($BM151,'Fuel economy adjusted factor'!$A$2:$L$52,5,FALSE)*m2k))/'TCO Inputs'!$AZ$84</f>
        <v>170.87157597948487</v>
      </c>
      <c r="DI151" s="125">
        <f>DI40/293.07*(1/(VLOOKUP($BM151,'Fuel economy adjusted factor'!$A$2:$L$52,5,FALSE)*m2k))/'TCO Inputs'!$AZ$84</f>
        <v>170.87157597948487</v>
      </c>
      <c r="DJ151" s="125">
        <f>DJ40/293.07*(1/(VLOOKUP($BM151,'Fuel economy adjusted factor'!$A$2:$L$52,5,FALSE)*m2k))/'TCO Inputs'!$AZ$84</f>
        <v>170.86613840029494</v>
      </c>
      <c r="DK151" s="125">
        <f>DK40/293.07*(1/(VLOOKUP($BM151,'Fuel economy adjusted factor'!$A$2:$L$52,5,FALSE)*m2k))/'TCO Inputs'!$AZ$84</f>
        <v>170.86613840029494</v>
      </c>
      <c r="DL151" s="125">
        <f>DL40/293.07*(1/(VLOOKUP($BM151,'Fuel economy adjusted factor'!$A$2:$L$52,5,FALSE)*m2k))/'TCO Inputs'!$AZ$84</f>
        <v>170.86613840029494</v>
      </c>
      <c r="DM151" s="125">
        <f>DM40/293.07*(1/(VLOOKUP($BM151,'Fuel economy adjusted factor'!$A$2:$L$52,5,FALSE)*m2k))/'TCO Inputs'!$AZ$84</f>
        <v>170.86613840029494</v>
      </c>
      <c r="DN151" s="125">
        <f>DN40/293.07*(1/(VLOOKUP($BM151,'Fuel economy adjusted factor'!$A$2:$L$52,5,FALSE)*m2k))/'TCO Inputs'!$AZ$84</f>
        <v>170.86613840029494</v>
      </c>
      <c r="DO151" s="125">
        <f>DO40/293.07*(1/(VLOOKUP($BM151,'Fuel economy adjusted factor'!$A$2:$L$52,5,FALSE)*m2k))/'TCO Inputs'!$AZ$84</f>
        <v>170.76064936401076</v>
      </c>
      <c r="DP151" s="125">
        <f>DP40/293.07*(1/(VLOOKUP($BM151,'Fuel economy adjusted factor'!$A$2:$L$52,5,FALSE)*m2k))/'TCO Inputs'!$AZ$84</f>
        <v>170.76064936401076</v>
      </c>
      <c r="DQ151" s="125">
        <f>DQ40/293.07*(1/(VLOOKUP($BM151,'Fuel economy adjusted factor'!$A$2:$L$52,5,FALSE)*m2k))/'TCO Inputs'!$AZ$84</f>
        <v>170.76064936401076</v>
      </c>
      <c r="DR151" s="125">
        <f>DR40/293.07*(1/(VLOOKUP($BM151,'Fuel economy adjusted factor'!$A$2:$L$52,5,FALSE)*m2k))/'TCO Inputs'!$AZ$84</f>
        <v>170.76064936401076</v>
      </c>
      <c r="DS151" s="125">
        <f>DS40/293.07*(1/(VLOOKUP($BM151,'Fuel economy adjusted factor'!$A$2:$L$52,5,FALSE)*m2k))/'TCO Inputs'!$AZ$84</f>
        <v>170.76064936401076</v>
      </c>
      <c r="DT151" s="125">
        <f>DT40/293.07*(1/(VLOOKUP($BM151,'Fuel economy adjusted factor'!$A$2:$L$52,5,FALSE)*m2k))/'TCO Inputs'!$AZ$84</f>
        <v>170.84873814688726</v>
      </c>
      <c r="DU151" s="98" cm="1">
        <f t="array" ref="DU151">SUMPRODUCT(INDEX(CS151:DT151,,'TCO Inputs'!$AZ$12-2023+_xlfn.SEQUENCE('TCO Inputs'!$AZ$13))*INDEX('VKT US'!C97:AA97,,_xlfn.SEQUENCE('TCO Inputs'!$AZ$13)))*m2k*CONVERT(0.9072,"g","ton")</f>
        <v>51.575223779298071</v>
      </c>
      <c r="DW151" s="123" t="s">
        <v>217</v>
      </c>
      <c r="DX151" s="125">
        <f>DX40/293.07*(1/(VLOOKUP($BM151,'Fuel economy adjusted factor'!$A$2:$L$52,5,FALSE)*m2k))/'TCO Inputs'!$AZ$84</f>
        <v>178.85285010492785</v>
      </c>
      <c r="DY151" s="125">
        <f>DY40/293.07*(1/(VLOOKUP($BM151,'Fuel economy adjusted factor'!$A$2:$L$52,5,FALSE)*m2k))/'TCO Inputs'!$AZ$84</f>
        <v>178.85285010492785</v>
      </c>
      <c r="DZ151" s="125">
        <f>DZ40/293.07*(1/(VLOOKUP($BM151,'Fuel economy adjusted factor'!$A$2:$L$52,5,FALSE)*m2k))/'TCO Inputs'!$AZ$84</f>
        <v>156.78245975296554</v>
      </c>
      <c r="EA151" s="125">
        <f>EA40/293.07*(1/(VLOOKUP($BM151,'Fuel economy adjusted factor'!$A$2:$L$52,5,FALSE)*m2k))/'TCO Inputs'!$AZ$84</f>
        <v>156.78245975296554</v>
      </c>
      <c r="EB151" s="125">
        <f>EB40/293.07*(1/(VLOOKUP($BM151,'Fuel economy adjusted factor'!$A$2:$L$52,5,FALSE)*m2k))/'TCO Inputs'!$AZ$84</f>
        <v>156.78245975296554</v>
      </c>
      <c r="EC151" s="125">
        <f>EC40/293.07*(1/(VLOOKUP($BM151,'Fuel economy adjusted factor'!$A$2:$L$52,5,FALSE)*m2k))/'TCO Inputs'!$AZ$84</f>
        <v>156.78245975296554</v>
      </c>
      <c r="ED151" s="125">
        <f>ED40/293.07*(1/(VLOOKUP($BM151,'Fuel economy adjusted factor'!$A$2:$L$52,5,FALSE)*m2k))/'TCO Inputs'!$AZ$84</f>
        <v>156.78245975296554</v>
      </c>
      <c r="EE151" s="125">
        <f>EE40/293.07*(1/(VLOOKUP($BM151,'Fuel economy adjusted factor'!$A$2:$L$52,5,FALSE)*m2k))/'TCO Inputs'!$AZ$84</f>
        <v>96.630705019697047</v>
      </c>
      <c r="EF151" s="125">
        <f>EF40/293.07*(1/(VLOOKUP($BM151,'Fuel economy adjusted factor'!$A$2:$L$52,5,FALSE)*m2k))/'TCO Inputs'!$AZ$84</f>
        <v>96.630705019697047</v>
      </c>
      <c r="EG151" s="125">
        <f>EG40/293.07*(1/(VLOOKUP($BM151,'Fuel economy adjusted factor'!$A$2:$L$52,5,FALSE)*m2k))/'TCO Inputs'!$AZ$84</f>
        <v>96.630705019697047</v>
      </c>
      <c r="EH151" s="125">
        <f>EH40/293.07*(1/(VLOOKUP($BM151,'Fuel economy adjusted factor'!$A$2:$L$52,5,FALSE)*m2k))/'TCO Inputs'!$AZ$84</f>
        <v>96.630705019697047</v>
      </c>
      <c r="EI151" s="125">
        <f>EI40/293.07*(1/(VLOOKUP($BM151,'Fuel economy adjusted factor'!$A$2:$L$52,5,FALSE)*m2k))/'TCO Inputs'!$AZ$84</f>
        <v>96.630705019697047</v>
      </c>
      <c r="EJ151" s="125">
        <f>EJ40/293.07*(1/(VLOOKUP($BM151,'Fuel economy adjusted factor'!$A$2:$L$52,5,FALSE)*m2k))/'TCO Inputs'!$AZ$84</f>
        <v>86.302573417215697</v>
      </c>
      <c r="EK151" s="125">
        <f>EK40/293.07*(1/(VLOOKUP($BM151,'Fuel economy adjusted factor'!$A$2:$L$52,5,FALSE)*m2k))/'TCO Inputs'!$AZ$84</f>
        <v>86.302573417215697</v>
      </c>
      <c r="EL151" s="125">
        <f>EL40/293.07*(1/(VLOOKUP($BM151,'Fuel economy adjusted factor'!$A$2:$L$52,5,FALSE)*m2k))/'TCO Inputs'!$AZ$84</f>
        <v>86.302573417215697</v>
      </c>
      <c r="EM151" s="125">
        <f>EM40/293.07*(1/(VLOOKUP($BM151,'Fuel economy adjusted factor'!$A$2:$L$52,5,FALSE)*m2k))/'TCO Inputs'!$AZ$84</f>
        <v>86.302573417215697</v>
      </c>
      <c r="EN151" s="125">
        <f>EN40/293.07*(1/(VLOOKUP($BM151,'Fuel economy adjusted factor'!$A$2:$L$52,5,FALSE)*m2k))/'TCO Inputs'!$AZ$84</f>
        <v>86.302573417215697</v>
      </c>
      <c r="EO151" s="125">
        <f>EO40/293.07*(1/(VLOOKUP($BM151,'Fuel economy adjusted factor'!$A$2:$L$52,5,FALSE)*m2k))/'TCO Inputs'!$AZ$84</f>
        <v>83.586237938388706</v>
      </c>
      <c r="EP151" s="125">
        <f>EP40/293.07*(1/(VLOOKUP($BM151,'Fuel economy adjusted factor'!$A$2:$L$52,5,FALSE)*m2k))/'TCO Inputs'!$AZ$84</f>
        <v>83.586237938388706</v>
      </c>
      <c r="EQ151" s="125">
        <f>EQ40/293.07*(1/(VLOOKUP($BM151,'Fuel economy adjusted factor'!$A$2:$L$52,5,FALSE)*m2k))/'TCO Inputs'!$AZ$84</f>
        <v>83.586237938388706</v>
      </c>
      <c r="ER151" s="125">
        <f>ER40/293.07*(1/(VLOOKUP($BM151,'Fuel economy adjusted factor'!$A$2:$L$52,5,FALSE)*m2k))/'TCO Inputs'!$AZ$84</f>
        <v>83.586237938388706</v>
      </c>
      <c r="ES151" s="125">
        <f>ES40/293.07*(1/(VLOOKUP($BM151,'Fuel economy adjusted factor'!$A$2:$L$52,5,FALSE)*m2k))/'TCO Inputs'!$AZ$84</f>
        <v>83.586237938388706</v>
      </c>
      <c r="ET151" s="125">
        <f>ET40/293.07*(1/(VLOOKUP($BM151,'Fuel economy adjusted factor'!$A$2:$L$52,5,FALSE)*m2k))/'TCO Inputs'!$AZ$84</f>
        <v>80.482795028260142</v>
      </c>
      <c r="EU151" s="125">
        <f>EU40/293.07*(1/(VLOOKUP($BM151,'Fuel economy adjusted factor'!$A$2:$L$52,5,FALSE)*m2k))/'TCO Inputs'!$AZ$84</f>
        <v>80.482795028260142</v>
      </c>
      <c r="EV151" s="125">
        <f>EV40/293.07*(1/(VLOOKUP($BM151,'Fuel economy adjusted factor'!$A$2:$L$52,5,FALSE)*m2k))/'TCO Inputs'!$AZ$84</f>
        <v>80.482795028260142</v>
      </c>
      <c r="EW151" s="125">
        <f>EW40/293.07*(1/(VLOOKUP($BM151,'Fuel economy adjusted factor'!$A$2:$L$52,5,FALSE)*m2k))/'TCO Inputs'!$AZ$84</f>
        <v>80.482795028260142</v>
      </c>
      <c r="EX151" s="125">
        <f>EX40/293.07*(1/(VLOOKUP($BM151,'Fuel economy adjusted factor'!$A$2:$L$52,5,FALSE)*m2k))/'TCO Inputs'!$AZ$84</f>
        <v>80.482795028260142</v>
      </c>
      <c r="EY151" s="125">
        <f>EY40/293.07*(1/(VLOOKUP($BM151,'Fuel economy adjusted factor'!$A$2:$L$52,5,FALSE)*m2k))/'TCO Inputs'!$AZ$84</f>
        <v>75.616301606183242</v>
      </c>
      <c r="EZ151" s="98" cm="1">
        <f t="array" ref="EZ151">SUMPRODUCT(INDEX(DX151:EY151,,'TCO Inputs'!$AZ$12-2023+_xlfn.SEQUENCE('TCO Inputs'!$AZ$13))*INDEX('VKT US'!C97:AA97,,_xlfn.SEQUENCE('TCO Inputs'!$AZ$13)))*m2k*CONVERT(0.9072,"g","ton")</f>
        <v>39.909544950815508</v>
      </c>
      <c r="FB151" s="123" t="s">
        <v>217</v>
      </c>
      <c r="FC151" s="125">
        <f>FC40/293.07*(1/(VLOOKUP($BM151,'Fuel economy adjusted factor'!$A$2:$L$52,5,FALSE)*m2k))/'TCO Inputs'!$AZ$84</f>
        <v>193.99217406787156</v>
      </c>
      <c r="FD151" s="125">
        <f>FD40/293.07*(1/(VLOOKUP($BM151,'Fuel economy adjusted factor'!$A$2:$L$52,5,FALSE)*m2k))/'TCO Inputs'!$AZ$84</f>
        <v>193.99217406787156</v>
      </c>
      <c r="FE151" s="125">
        <f>FE40/293.07*(1/(VLOOKUP($BM151,'Fuel economy adjusted factor'!$A$2:$L$52,5,FALSE)*m2k))/'TCO Inputs'!$AZ$84</f>
        <v>169.41348556410827</v>
      </c>
      <c r="FF151" s="125">
        <f>FF40/293.07*(1/(VLOOKUP($BM151,'Fuel economy adjusted factor'!$A$2:$L$52,5,FALSE)*m2k))/'TCO Inputs'!$AZ$84</f>
        <v>169.41348556410827</v>
      </c>
      <c r="FG151" s="125">
        <f>FG40/293.07*(1/(VLOOKUP($BM151,'Fuel economy adjusted factor'!$A$2:$L$52,5,FALSE)*m2k))/'TCO Inputs'!$AZ$84</f>
        <v>169.41348556410827</v>
      </c>
      <c r="FH151" s="125">
        <f>FH40/293.07*(1/(VLOOKUP($BM151,'Fuel economy adjusted factor'!$A$2:$L$52,5,FALSE)*m2k))/'TCO Inputs'!$AZ$84</f>
        <v>169.41348556410827</v>
      </c>
      <c r="FI151" s="125">
        <f>FI40/293.07*(1/(VLOOKUP($BM151,'Fuel economy adjusted factor'!$A$2:$L$52,5,FALSE)*m2k))/'TCO Inputs'!$AZ$84</f>
        <v>169.41348556410827</v>
      </c>
      <c r="FJ151" s="125">
        <f>FJ40/293.07*(1/(VLOOKUP($BM151,'Fuel economy adjusted factor'!$A$2:$L$52,5,FALSE)*m2k))/'TCO Inputs'!$AZ$84</f>
        <v>106.31102418612272</v>
      </c>
      <c r="FK151" s="125">
        <f>FK40/293.07*(1/(VLOOKUP($BM151,'Fuel economy adjusted factor'!$A$2:$L$52,5,FALSE)*m2k))/'TCO Inputs'!$AZ$84</f>
        <v>106.31102418612272</v>
      </c>
      <c r="FL151" s="125">
        <f>FL40/293.07*(1/(VLOOKUP($BM151,'Fuel economy adjusted factor'!$A$2:$L$52,5,FALSE)*m2k))/'TCO Inputs'!$AZ$84</f>
        <v>106.31102418612272</v>
      </c>
      <c r="FM151" s="125">
        <f>FM40/293.07*(1/(VLOOKUP($BM151,'Fuel economy adjusted factor'!$A$2:$L$52,5,FALSE)*m2k))/'TCO Inputs'!$AZ$84</f>
        <v>106.31102418612272</v>
      </c>
      <c r="FN151" s="125">
        <f>FN40/293.07*(1/(VLOOKUP($BM151,'Fuel economy adjusted factor'!$A$2:$L$52,5,FALSE)*m2k))/'TCO Inputs'!$AZ$84</f>
        <v>106.31102418612272</v>
      </c>
      <c r="FO151" s="125">
        <f>FO40/293.07*(1/(VLOOKUP($BM151,'Fuel economy adjusted factor'!$A$2:$L$52,5,FALSE)*m2k))/'TCO Inputs'!$AZ$84</f>
        <v>94.398912175968604</v>
      </c>
      <c r="FP151" s="125">
        <f>FP40/293.07*(1/(VLOOKUP($BM151,'Fuel economy adjusted factor'!$A$2:$L$52,5,FALSE)*m2k))/'TCO Inputs'!$AZ$84</f>
        <v>94.398912175968604</v>
      </c>
      <c r="FQ151" s="125">
        <f>FQ40/293.07*(1/(VLOOKUP($BM151,'Fuel economy adjusted factor'!$A$2:$L$52,5,FALSE)*m2k))/'TCO Inputs'!$AZ$84</f>
        <v>94.398912175968604</v>
      </c>
      <c r="FR151" s="125">
        <f>FR40/293.07*(1/(VLOOKUP($BM151,'Fuel economy adjusted factor'!$A$2:$L$52,5,FALSE)*m2k))/'TCO Inputs'!$AZ$84</f>
        <v>94.398912175968604</v>
      </c>
      <c r="FS151" s="125">
        <f>FS40/293.07*(1/(VLOOKUP($BM151,'Fuel economy adjusted factor'!$A$2:$L$52,5,FALSE)*m2k))/'TCO Inputs'!$AZ$84</f>
        <v>94.398912175968604</v>
      </c>
      <c r="FT151" s="125">
        <f>FT40/293.07*(1/(VLOOKUP($BM151,'Fuel economy adjusted factor'!$A$2:$L$52,5,FALSE)*m2k))/'TCO Inputs'!$AZ$84</f>
        <v>91.995949379623838</v>
      </c>
      <c r="FU151" s="125">
        <f>FU40/293.07*(1/(VLOOKUP($BM151,'Fuel economy adjusted factor'!$A$2:$L$52,5,FALSE)*m2k))/'TCO Inputs'!$AZ$84</f>
        <v>91.995949379623838</v>
      </c>
      <c r="FV151" s="125">
        <f>FV40/293.07*(1/(VLOOKUP($BM151,'Fuel economy adjusted factor'!$A$2:$L$52,5,FALSE)*m2k))/'TCO Inputs'!$AZ$84</f>
        <v>91.995949379623838</v>
      </c>
      <c r="FW151" s="125">
        <f>FW40/293.07*(1/(VLOOKUP($BM151,'Fuel economy adjusted factor'!$A$2:$L$52,5,FALSE)*m2k))/'TCO Inputs'!$AZ$84</f>
        <v>91.995949379623838</v>
      </c>
      <c r="FX151" s="125">
        <f>FX40/293.07*(1/(VLOOKUP($BM151,'Fuel economy adjusted factor'!$A$2:$L$52,5,FALSE)*m2k))/'TCO Inputs'!$AZ$84</f>
        <v>91.995949379623838</v>
      </c>
      <c r="FY151" s="125">
        <f>FY40/293.07*(1/(VLOOKUP($BM151,'Fuel economy adjusted factor'!$A$2:$L$52,5,FALSE)*m2k))/'TCO Inputs'!$AZ$84</f>
        <v>88.885923009779233</v>
      </c>
      <c r="FZ151" s="125">
        <f>FZ40/293.07*(1/(VLOOKUP($BM151,'Fuel economy adjusted factor'!$A$2:$L$52,5,FALSE)*m2k))/'TCO Inputs'!$AZ$84</f>
        <v>88.885923009779233</v>
      </c>
      <c r="GA151" s="125">
        <f>GA40/293.07*(1/(VLOOKUP($BM151,'Fuel economy adjusted factor'!$A$2:$L$52,5,FALSE)*m2k))/'TCO Inputs'!$AZ$84</f>
        <v>88.885923009779233</v>
      </c>
      <c r="GB151" s="125">
        <f>GB40/293.07*(1/(VLOOKUP($BM151,'Fuel economy adjusted factor'!$A$2:$L$52,5,FALSE)*m2k))/'TCO Inputs'!$AZ$84</f>
        <v>88.885923009779233</v>
      </c>
      <c r="GC151" s="125">
        <f>GC40/293.07*(1/(VLOOKUP($BM151,'Fuel economy adjusted factor'!$A$2:$L$52,5,FALSE)*m2k))/'TCO Inputs'!$AZ$84</f>
        <v>88.885923009779233</v>
      </c>
      <c r="GD151" s="125">
        <f>GD40/293.07*(1/(VLOOKUP($BM151,'Fuel economy adjusted factor'!$A$2:$L$52,5,FALSE)*m2k))/'TCO Inputs'!$AZ$84</f>
        <v>83.850893018972428</v>
      </c>
      <c r="GE151" s="98" cm="1">
        <f t="array" ref="GE151">SUMPRODUCT(INDEX(FC151:GD151,,'TCO Inputs'!$AZ$12-2023+_xlfn.SEQUENCE('TCO Inputs'!$AZ$13))*INDEX('VKT US'!C97:AA97,,_xlfn.SEQUENCE('TCO Inputs'!$AZ$13)))*m2k*CONVERT(0.9072,"g","ton")</f>
        <v>43.392194914007916</v>
      </c>
      <c r="GH151" s="123" t="s">
        <v>217</v>
      </c>
      <c r="GI151" s="125">
        <f>GI40/293.07*(1/(VLOOKUP($BM151,'Fuel economy adjusted factor'!$A$2:$L$52,5,FALSE)*m2k))/'TCO Inputs'!$AZ$84</f>
        <v>168.5484189574241</v>
      </c>
      <c r="GJ151" s="125">
        <f>GJ40/293.07*(1/(VLOOKUP($BM151,'Fuel economy adjusted factor'!$A$2:$L$52,5,FALSE)*m2k))/'TCO Inputs'!$AZ$84</f>
        <v>168.5484189574241</v>
      </c>
      <c r="GK151" s="125">
        <f>GK40/293.07*(1/(VLOOKUP($BM151,'Fuel economy adjusted factor'!$A$2:$L$52,5,FALSE)*m2k))/'TCO Inputs'!$AZ$84</f>
        <v>148.18577805579559</v>
      </c>
      <c r="GL151" s="125">
        <f>GL40/293.07*(1/(VLOOKUP($BM151,'Fuel economy adjusted factor'!$A$2:$L$52,5,FALSE)*m2k))/'TCO Inputs'!$AZ$84</f>
        <v>148.18577805579559</v>
      </c>
      <c r="GM151" s="125">
        <f>GM40/293.07*(1/(VLOOKUP($BM151,'Fuel economy adjusted factor'!$A$2:$L$52,5,FALSE)*m2k))/'TCO Inputs'!$AZ$84</f>
        <v>148.18577805579559</v>
      </c>
      <c r="GN151" s="125">
        <f>GN40/293.07*(1/(VLOOKUP($BM151,'Fuel economy adjusted factor'!$A$2:$L$52,5,FALSE)*m2k))/'TCO Inputs'!$AZ$84</f>
        <v>148.18577805579559</v>
      </c>
      <c r="GO151" s="125">
        <f>GO40/293.07*(1/(VLOOKUP($BM151,'Fuel economy adjusted factor'!$A$2:$L$52,5,FALSE)*m2k))/'TCO Inputs'!$AZ$84</f>
        <v>148.18577805579559</v>
      </c>
      <c r="GP151" s="125">
        <f>GP40/293.07*(1/(VLOOKUP($BM151,'Fuel economy adjusted factor'!$A$2:$L$52,5,FALSE)*m2k))/'TCO Inputs'!$AZ$84</f>
        <v>90.041978535911142</v>
      </c>
      <c r="GQ151" s="125">
        <f>GQ40/293.07*(1/(VLOOKUP($BM151,'Fuel economy adjusted factor'!$A$2:$L$52,5,FALSE)*m2k))/'TCO Inputs'!$AZ$84</f>
        <v>90.041978535911142</v>
      </c>
      <c r="GR151" s="125">
        <f>GR40/293.07*(1/(VLOOKUP($BM151,'Fuel economy adjusted factor'!$A$2:$L$52,5,FALSE)*m2k))/'TCO Inputs'!$AZ$84</f>
        <v>90.041978535911142</v>
      </c>
      <c r="GS151" s="125">
        <f>GS40/293.07*(1/(VLOOKUP($BM151,'Fuel economy adjusted factor'!$A$2:$L$52,5,FALSE)*m2k))/'TCO Inputs'!$AZ$84</f>
        <v>90.041978535911142</v>
      </c>
      <c r="GT151" s="125">
        <f>GT40/293.07*(1/(VLOOKUP($BM151,'Fuel economy adjusted factor'!$A$2:$L$52,5,FALSE)*m2k))/'TCO Inputs'!$AZ$84</f>
        <v>90.041978535911142</v>
      </c>
      <c r="GU151" s="125">
        <f>GU40/293.07*(1/(VLOOKUP($BM151,'Fuel economy adjusted factor'!$A$2:$L$52,5,FALSE)*m2k))/'TCO Inputs'!$AZ$84</f>
        <v>80.792217634912731</v>
      </c>
      <c r="GV151" s="125">
        <f>GV40/293.07*(1/(VLOOKUP($BM151,'Fuel economy adjusted factor'!$A$2:$L$52,5,FALSE)*m2k))/'TCO Inputs'!$AZ$84</f>
        <v>80.792217634912731</v>
      </c>
      <c r="GW151" s="125">
        <f>GW40/293.07*(1/(VLOOKUP($BM151,'Fuel economy adjusted factor'!$A$2:$L$52,5,FALSE)*m2k))/'TCO Inputs'!$AZ$84</f>
        <v>80.792217634912731</v>
      </c>
      <c r="GX151" s="125">
        <f>GX40/293.07*(1/(VLOOKUP($BM151,'Fuel economy adjusted factor'!$A$2:$L$52,5,FALSE)*m2k))/'TCO Inputs'!$AZ$84</f>
        <v>80.792217634912731</v>
      </c>
      <c r="GY151" s="125">
        <f>GY40/293.07*(1/(VLOOKUP($BM151,'Fuel economy adjusted factor'!$A$2:$L$52,5,FALSE)*m2k))/'TCO Inputs'!$AZ$84</f>
        <v>80.792217634912731</v>
      </c>
      <c r="GZ151" s="125">
        <f>GZ40/293.07*(1/(VLOOKUP($BM151,'Fuel economy adjusted factor'!$A$2:$L$52,5,FALSE)*m2k))/'TCO Inputs'!$AZ$84</f>
        <v>77.862578061286911</v>
      </c>
      <c r="HA151" s="125">
        <f>HA40/293.07*(1/(VLOOKUP($BM151,'Fuel economy adjusted factor'!$A$2:$L$52,5,FALSE)*m2k))/'TCO Inputs'!$AZ$84</f>
        <v>77.862578061286911</v>
      </c>
      <c r="HB151" s="125">
        <f>HB40/293.07*(1/(VLOOKUP($BM151,'Fuel economy adjusted factor'!$A$2:$L$52,5,FALSE)*m2k))/'TCO Inputs'!$AZ$84</f>
        <v>77.862578061286911</v>
      </c>
      <c r="HC151" s="125">
        <f>HC40/293.07*(1/(VLOOKUP($BM151,'Fuel economy adjusted factor'!$A$2:$L$52,5,FALSE)*m2k))/'TCO Inputs'!$AZ$84</f>
        <v>77.862578061286911</v>
      </c>
      <c r="HD151" s="125">
        <f>HD40/293.07*(1/(VLOOKUP($BM151,'Fuel economy adjusted factor'!$A$2:$L$52,5,FALSE)*m2k))/'TCO Inputs'!$AZ$84</f>
        <v>77.862578061286911</v>
      </c>
      <c r="HE151" s="125">
        <f>HE40/293.07*(1/(VLOOKUP($BM151,'Fuel economy adjusted factor'!$A$2:$L$52,5,FALSE)*m2k))/'TCO Inputs'!$AZ$84</f>
        <v>74.76308522698794</v>
      </c>
      <c r="HF151" s="125">
        <f>HF40/293.07*(1/(VLOOKUP($BM151,'Fuel economy adjusted factor'!$A$2:$L$52,5,FALSE)*m2k))/'TCO Inputs'!$AZ$84</f>
        <v>74.76308522698794</v>
      </c>
      <c r="HG151" s="125">
        <f>HG40/293.07*(1/(VLOOKUP($BM151,'Fuel economy adjusted factor'!$A$2:$L$52,5,FALSE)*m2k))/'TCO Inputs'!$AZ$84</f>
        <v>74.76308522698794</v>
      </c>
      <c r="HH151" s="125">
        <f>HH40/293.07*(1/(VLOOKUP($BM151,'Fuel economy adjusted factor'!$A$2:$L$52,5,FALSE)*m2k))/'TCO Inputs'!$AZ$84</f>
        <v>74.76308522698794</v>
      </c>
      <c r="HI151" s="125">
        <f>HI40/293.07*(1/(VLOOKUP($BM151,'Fuel economy adjusted factor'!$A$2:$L$52,5,FALSE)*m2k))/'TCO Inputs'!$AZ$84</f>
        <v>74.76308522698794</v>
      </c>
      <c r="HJ151" s="125">
        <f>HJ40/293.07*(1/(VLOOKUP($BM151,'Fuel economy adjusted factor'!$A$2:$L$52,5,FALSE)*m2k))/'TCO Inputs'!$AZ$84</f>
        <v>70.012460695912893</v>
      </c>
      <c r="HK151" s="98" cm="1">
        <f t="array" ref="HK151">SUMPRODUCT(INDEX(GI151:HJ151,,'TCO Inputs'!$AZ$12-2023+_xlfn.SEQUENCE('TCO Inputs'!$AZ$13))*INDEX('VKT US'!C97:AA97,,_xlfn.SEQUENCE('TCO Inputs'!$AZ$13)))*m2k*CONVERT(0.9072,"g","ton")</f>
        <v>37.539192203161107</v>
      </c>
    </row>
    <row r="152" spans="26:219" x14ac:dyDescent="0.25">
      <c r="Z152" s="123" t="s">
        <v>218</v>
      </c>
      <c r="AA152" s="125">
        <f>AA41/293.07*(1/(VLOOKUP($Z152,'Fuel economy adjusted factor'!$A$2:$L$52,5,FALSE)*m2k))/'TCO Inputs'!$AZ$84</f>
        <v>77.330469936443791</v>
      </c>
      <c r="AB152" s="125">
        <f>AB41/293.07*(1/(VLOOKUP($Z152,'Fuel economy adjusted factor'!$A$2:$L$52,5,FALSE)*m2k))/'TCO Inputs'!$AZ$84</f>
        <v>77.330469936443791</v>
      </c>
      <c r="AC152" s="125">
        <f>AC41/293.07*(1/(VLOOKUP($Z152,'Fuel economy adjusted factor'!$A$2:$L$52,5,FALSE)*m2k))/'TCO Inputs'!$AZ$84</f>
        <v>68.011671850761871</v>
      </c>
      <c r="AD152" s="125">
        <f>AD41/293.07*(1/(VLOOKUP($Z152,'Fuel economy adjusted factor'!$A$2:$L$52,5,FALSE)*m2k))/'TCO Inputs'!$AZ$84</f>
        <v>68.011671850761871</v>
      </c>
      <c r="AE152" s="125">
        <f>AE41/293.07*(1/(VLOOKUP($Z152,'Fuel economy adjusted factor'!$A$2:$L$52,5,FALSE)*m2k))/'TCO Inputs'!$AZ$84</f>
        <v>68.011671850761871</v>
      </c>
      <c r="AF152" s="125">
        <f>AF41/293.07*(1/(VLOOKUP($Z152,'Fuel economy adjusted factor'!$A$2:$L$52,5,FALSE)*m2k))/'TCO Inputs'!$AZ$84</f>
        <v>68.011671850761871</v>
      </c>
      <c r="AG152" s="125">
        <f>AG41/293.07*(1/(VLOOKUP($Z152,'Fuel economy adjusted factor'!$A$2:$L$52,5,FALSE)*m2k))/'TCO Inputs'!$AZ$84</f>
        <v>68.011671850761871</v>
      </c>
      <c r="AH152" s="125">
        <f>AH41/293.07*(1/(VLOOKUP($Z152,'Fuel economy adjusted factor'!$A$2:$L$52,5,FALSE)*m2k))/'TCO Inputs'!$AZ$84</f>
        <v>40.863975489877156</v>
      </c>
      <c r="AI152" s="125">
        <f>AI41/293.07*(1/(VLOOKUP($Z152,'Fuel economy adjusted factor'!$A$2:$L$52,5,FALSE)*m2k))/'TCO Inputs'!$AZ$84</f>
        <v>40.863975489877156</v>
      </c>
      <c r="AJ152" s="125">
        <f>AJ41/293.07*(1/(VLOOKUP($Z152,'Fuel economy adjusted factor'!$A$2:$L$52,5,FALSE)*m2k))/'TCO Inputs'!$AZ$84</f>
        <v>40.863975489877156</v>
      </c>
      <c r="AK152" s="125">
        <f>AK41/293.07*(1/(VLOOKUP($Z152,'Fuel economy adjusted factor'!$A$2:$L$52,5,FALSE)*m2k))/'TCO Inputs'!$AZ$84</f>
        <v>40.863975489877156</v>
      </c>
      <c r="AL152" s="125">
        <f>AL41/293.07*(1/(VLOOKUP($Z152,'Fuel economy adjusted factor'!$A$2:$L$52,5,FALSE)*m2k))/'TCO Inputs'!$AZ$84</f>
        <v>40.863975489877156</v>
      </c>
      <c r="AM152" s="125">
        <f>AM41/293.07*(1/(VLOOKUP($Z152,'Fuel economy adjusted factor'!$A$2:$L$52,5,FALSE)*m2k))/'TCO Inputs'!$AZ$84</f>
        <v>42.763253452342354</v>
      </c>
      <c r="AN152" s="125">
        <f>AN41/293.07*(1/(VLOOKUP($Z152,'Fuel economy adjusted factor'!$A$2:$L$52,5,FALSE)*m2k))/'TCO Inputs'!$AZ$84</f>
        <v>42.763253452342354</v>
      </c>
      <c r="AO152" s="125">
        <f>AO41/293.07*(1/(VLOOKUP($Z152,'Fuel economy adjusted factor'!$A$2:$L$52,5,FALSE)*m2k))/'TCO Inputs'!$AZ$84</f>
        <v>42.763253452342354</v>
      </c>
      <c r="AP152" s="125">
        <f>AP41/293.07*(1/(VLOOKUP($Z152,'Fuel economy adjusted factor'!$A$2:$L$52,5,FALSE)*m2k))/'TCO Inputs'!$AZ$84</f>
        <v>42.763253452342354</v>
      </c>
      <c r="AQ152" s="125">
        <f>AQ41/293.07*(1/(VLOOKUP($Z152,'Fuel economy adjusted factor'!$A$2:$L$52,5,FALSE)*m2k))/'TCO Inputs'!$AZ$84</f>
        <v>42.763253452342354</v>
      </c>
      <c r="AR152" s="125">
        <f>AR41/293.07*(1/(VLOOKUP($Z152,'Fuel economy adjusted factor'!$A$2:$L$52,5,FALSE)*m2k))/'TCO Inputs'!$AZ$84</f>
        <v>44.702459756032894</v>
      </c>
      <c r="AS152" s="125">
        <f>AS41/293.07*(1/(VLOOKUP($Z152,'Fuel economy adjusted factor'!$A$2:$L$52,5,FALSE)*m2k))/'TCO Inputs'!$AZ$84</f>
        <v>44.702459756032894</v>
      </c>
      <c r="AT152" s="125">
        <f>AT41/293.07*(1/(VLOOKUP($Z152,'Fuel economy adjusted factor'!$A$2:$L$52,5,FALSE)*m2k))/'TCO Inputs'!$AZ$84</f>
        <v>44.702459756032894</v>
      </c>
      <c r="AU152" s="125">
        <f>AU41/293.07*(1/(VLOOKUP($Z152,'Fuel economy adjusted factor'!$A$2:$L$52,5,FALSE)*m2k))/'TCO Inputs'!$AZ$84</f>
        <v>44.702459756032894</v>
      </c>
      <c r="AV152" s="125">
        <f>AV41/293.07*(1/(VLOOKUP($Z152,'Fuel economy adjusted factor'!$A$2:$L$52,5,FALSE)*m2k))/'TCO Inputs'!$AZ$84</f>
        <v>44.702459756032894</v>
      </c>
      <c r="AW152" s="125">
        <f>AW41/293.07*(1/(VLOOKUP($Z152,'Fuel economy adjusted factor'!$A$2:$L$52,5,FALSE)*m2k))/'TCO Inputs'!$AZ$84</f>
        <v>45.683385870315199</v>
      </c>
      <c r="AX152" s="125">
        <f>AX41/293.07*(1/(VLOOKUP($Z152,'Fuel economy adjusted factor'!$A$2:$L$52,5,FALSE)*m2k))/'TCO Inputs'!$AZ$84</f>
        <v>45.683385870315199</v>
      </c>
      <c r="AY152" s="125">
        <f>AY41/293.07*(1/(VLOOKUP($Z152,'Fuel economy adjusted factor'!$A$2:$L$52,5,FALSE)*m2k))/'TCO Inputs'!$AZ$84</f>
        <v>45.683385870315199</v>
      </c>
      <c r="AZ152" s="125">
        <f>AZ41/293.07*(1/(VLOOKUP($Z152,'Fuel economy adjusted factor'!$A$2:$L$52,5,FALSE)*m2k))/'TCO Inputs'!$AZ$84</f>
        <v>45.683385870315199</v>
      </c>
      <c r="BA152" s="125">
        <f>BA41/293.07*(1/(VLOOKUP($Z152,'Fuel economy adjusted factor'!$A$2:$L$52,5,FALSE)*m2k))/'TCO Inputs'!$AZ$84</f>
        <v>45.683385870315199</v>
      </c>
      <c r="BB152" s="125">
        <f>BB41/293.07*(1/(VLOOKUP($Z152,'Fuel economy adjusted factor'!$A$2:$L$52,5,FALSE)*m2k))/'TCO Inputs'!$AZ$84</f>
        <v>45.745364191023199</v>
      </c>
      <c r="BC152" s="98" cm="1">
        <f t="array" ref="BC152">SUMPRODUCT(INDEX(AA152:BB152,,'TCO Inputs'!$AZ$12-2023+_xlfn.SEQUENCE('TCO Inputs'!$AZ$13))*INDEX('VKT US'!C98:AA98,,_xlfn.SEQUENCE('TCO Inputs'!$AZ$13)))*m2k*CONVERT(0.9072,"g","ton")</f>
        <v>21.553482560591494</v>
      </c>
      <c r="BM152" s="123" t="s">
        <v>218</v>
      </c>
      <c r="BN152" s="125">
        <f>BN41/293.07*(1/(VLOOKUP($BM152,'Fuel economy adjusted factor'!$A$2:$L$52,5,FALSE)*m2k))</f>
        <v>65.730899445977215</v>
      </c>
      <c r="BO152" s="125">
        <f>BO41/293.07*(1/(VLOOKUP($BM152,'Fuel economy adjusted factor'!$A$2:$L$52,5,FALSE)*m2k))</f>
        <v>65.730899445977215</v>
      </c>
      <c r="BP152" s="125">
        <f>BP41/293.07*(1/(VLOOKUP($BM152,'Fuel economy adjusted factor'!$A$2:$L$52,5,FALSE)*m2k))</f>
        <v>57.73444458932385</v>
      </c>
      <c r="BQ152" s="125">
        <f>BQ41/293.07*(1/(VLOOKUP($BM152,'Fuel economy adjusted factor'!$A$2:$L$52,5,FALSE)*m2k))</f>
        <v>57.73444458932385</v>
      </c>
      <c r="BR152" s="125">
        <f>BR41/293.07*(1/(VLOOKUP($BM152,'Fuel economy adjusted factor'!$A$2:$L$52,5,FALSE)*m2k))</f>
        <v>57.73444458932385</v>
      </c>
      <c r="BS152" s="125">
        <f>BS41/293.07*(1/(VLOOKUP($BM152,'Fuel economy adjusted factor'!$A$2:$L$52,5,FALSE)*m2k))</f>
        <v>57.73444458932385</v>
      </c>
      <c r="BT152" s="125">
        <f>BT41/293.07*(1/(VLOOKUP($BM152,'Fuel economy adjusted factor'!$A$2:$L$52,5,FALSE)*m2k))</f>
        <v>57.73444458932385</v>
      </c>
      <c r="BU152" s="125">
        <f>BU41/293.07*(1/(VLOOKUP($BM152,'Fuel economy adjusted factor'!$A$2:$L$52,5,FALSE)*m2k))</f>
        <v>65.44570977891172</v>
      </c>
      <c r="BV152" s="125">
        <f>BV41/293.07*(1/(VLOOKUP($BM152,'Fuel economy adjusted factor'!$A$2:$L$52,5,FALSE)*m2k))</f>
        <v>65.44570977891172</v>
      </c>
      <c r="BW152" s="125">
        <f>BW41/293.07*(1/(VLOOKUP($BM152,'Fuel economy adjusted factor'!$A$2:$L$52,5,FALSE)*m2k))</f>
        <v>65.44570977891172</v>
      </c>
      <c r="BX152" s="125">
        <f>BX41/293.07*(1/(VLOOKUP($BM152,'Fuel economy adjusted factor'!$A$2:$L$52,5,FALSE)*m2k))</f>
        <v>65.44570977891172</v>
      </c>
      <c r="BY152" s="125">
        <f>BY41/293.07*(1/(VLOOKUP($BM152,'Fuel economy adjusted factor'!$A$2:$L$52,5,FALSE)*m2k))</f>
        <v>65.44570977891172</v>
      </c>
      <c r="BZ152" s="125">
        <f>BZ41/293.07*(1/(VLOOKUP($BM152,'Fuel economy adjusted factor'!$A$2:$L$52,5,FALSE)*m2k))</f>
        <v>67.019571760390363</v>
      </c>
      <c r="CA152" s="125">
        <f>CA41/293.07*(1/(VLOOKUP($BM152,'Fuel economy adjusted factor'!$A$2:$L$52,5,FALSE)*m2k))</f>
        <v>67.019571760390363</v>
      </c>
      <c r="CB152" s="125">
        <f>CB41/293.07*(1/(VLOOKUP($BM152,'Fuel economy adjusted factor'!$A$2:$L$52,5,FALSE)*m2k))</f>
        <v>67.019571760390363</v>
      </c>
      <c r="CC152" s="125">
        <f>CC41/293.07*(1/(VLOOKUP($BM152,'Fuel economy adjusted factor'!$A$2:$L$52,5,FALSE)*m2k))</f>
        <v>67.019571760390363</v>
      </c>
      <c r="CD152" s="125">
        <f>CD41/293.07*(1/(VLOOKUP($BM152,'Fuel economy adjusted factor'!$A$2:$L$52,5,FALSE)*m2k))</f>
        <v>67.019571760390363</v>
      </c>
      <c r="CE152" s="125">
        <f>CE41/293.07*(1/(VLOOKUP($BM152,'Fuel economy adjusted factor'!$A$2:$L$52,5,FALSE)*m2k))</f>
        <v>68.676001975850681</v>
      </c>
      <c r="CF152" s="125">
        <f>CF41/293.07*(1/(VLOOKUP($BM152,'Fuel economy adjusted factor'!$A$2:$L$52,5,FALSE)*m2k))</f>
        <v>68.676001975850681</v>
      </c>
      <c r="CG152" s="125">
        <f>CG41/293.07*(1/(VLOOKUP($BM152,'Fuel economy adjusted factor'!$A$2:$L$52,5,FALSE)*m2k))</f>
        <v>68.676001975850681</v>
      </c>
      <c r="CH152" s="125">
        <f>CH41/293.07*(1/(VLOOKUP($BM152,'Fuel economy adjusted factor'!$A$2:$L$52,5,FALSE)*m2k))</f>
        <v>68.676001975850681</v>
      </c>
      <c r="CI152" s="125">
        <f>CI41/293.07*(1/(VLOOKUP($BM152,'Fuel economy adjusted factor'!$A$2:$L$52,5,FALSE)*m2k))</f>
        <v>68.676001975850681</v>
      </c>
      <c r="CJ152" s="125">
        <f>CJ41/293.07*(1/(VLOOKUP($BM152,'Fuel economy adjusted factor'!$A$2:$L$52,5,FALSE)*m2k))</f>
        <v>69.06908755603331</v>
      </c>
      <c r="CK152" s="125">
        <f>CK41/293.07*(1/(VLOOKUP($BM152,'Fuel economy adjusted factor'!$A$2:$L$52,5,FALSE)*m2k))</f>
        <v>69.06908755603331</v>
      </c>
      <c r="CL152" s="125">
        <f>CL41/293.07*(1/(VLOOKUP($BM152,'Fuel economy adjusted factor'!$A$2:$L$52,5,FALSE)*m2k))</f>
        <v>69.06908755603331</v>
      </c>
      <c r="CM152" s="125">
        <f>CM41/293.07*(1/(VLOOKUP($BM152,'Fuel economy adjusted factor'!$A$2:$L$52,5,FALSE)*m2k))</f>
        <v>69.06908755603331</v>
      </c>
      <c r="CN152" s="125">
        <f>CN41/293.07*(1/(VLOOKUP($BM152,'Fuel economy adjusted factor'!$A$2:$L$52,5,FALSE)*m2k))</f>
        <v>69.06908755603331</v>
      </c>
      <c r="CO152" s="125">
        <f>CO41/293.07*(1/(VLOOKUP($BM152,'Fuel economy adjusted factor'!$A$2:$L$52,5,FALSE)*m2k))</f>
        <v>69.538662727205093</v>
      </c>
      <c r="CP152" s="98" cm="1">
        <f t="array" ref="CP152">SUMPRODUCT(INDEX(BN152:CO152,,'TCO Inputs'!$AZ$12-2023+_xlfn.SEQUENCE('TCO Inputs'!$AZ$13))*INDEX('VKT US'!C98:AA98,,_xlfn.SEQUENCE('TCO Inputs'!$AZ$13)))*m2k*CONVERT(0.9072,"g","ton")</f>
        <v>23.476345920205802</v>
      </c>
      <c r="CQ152" s="194"/>
      <c r="CR152" s="123" t="s">
        <v>218</v>
      </c>
      <c r="CS152" s="125">
        <f>CS41/293.07*(1/(VLOOKUP($BM152,'Fuel economy adjusted factor'!$A$2:$L$52,5,FALSE)*m2k))/'TCO Inputs'!$AZ$84</f>
        <v>93.626596664906529</v>
      </c>
      <c r="CT152" s="125">
        <f>CT41/293.07*(1/(VLOOKUP($BM152,'Fuel economy adjusted factor'!$A$2:$L$52,5,FALSE)*m2k))/'TCO Inputs'!$AZ$84</f>
        <v>93.626596664906529</v>
      </c>
      <c r="CU152" s="125">
        <f>CU41/293.07*(1/(VLOOKUP($BM152,'Fuel economy adjusted factor'!$A$2:$L$52,5,FALSE)*m2k))/'TCO Inputs'!$AZ$84</f>
        <v>93.626596664906529</v>
      </c>
      <c r="CV152" s="125">
        <f>CV41/293.07*(1/(VLOOKUP($BM152,'Fuel economy adjusted factor'!$A$2:$L$52,5,FALSE)*m2k))/'TCO Inputs'!$AZ$84</f>
        <v>93.626596664906529</v>
      </c>
      <c r="CW152" s="125">
        <f>CW41/293.07*(1/(VLOOKUP($BM152,'Fuel economy adjusted factor'!$A$2:$L$52,5,FALSE)*m2k))/'TCO Inputs'!$AZ$84</f>
        <v>93.626596664906529</v>
      </c>
      <c r="CX152" s="125">
        <f>CX41/293.07*(1/(VLOOKUP($BM152,'Fuel economy adjusted factor'!$A$2:$L$52,5,FALSE)*m2k))/'TCO Inputs'!$AZ$84</f>
        <v>93.626596664906529</v>
      </c>
      <c r="CY152" s="125">
        <f>CY41/293.07*(1/(VLOOKUP($BM152,'Fuel economy adjusted factor'!$A$2:$L$52,5,FALSE)*m2k))/'TCO Inputs'!$AZ$84</f>
        <v>93.626596664906529</v>
      </c>
      <c r="CZ152" s="125">
        <f>CZ41/293.07*(1/(VLOOKUP($BM152,'Fuel economy adjusted factor'!$A$2:$L$52,5,FALSE)*m2k))/'TCO Inputs'!$AZ$84</f>
        <v>93.647454753606326</v>
      </c>
      <c r="DA152" s="125">
        <f>DA41/293.07*(1/(VLOOKUP($BM152,'Fuel economy adjusted factor'!$A$2:$L$52,5,FALSE)*m2k))/'TCO Inputs'!$AZ$84</f>
        <v>93.647454753606326</v>
      </c>
      <c r="DB152" s="125">
        <f>DB41/293.07*(1/(VLOOKUP($BM152,'Fuel economy adjusted factor'!$A$2:$L$52,5,FALSE)*m2k))/'TCO Inputs'!$AZ$84</f>
        <v>93.647454753606326</v>
      </c>
      <c r="DC152" s="125">
        <f>DC41/293.07*(1/(VLOOKUP($BM152,'Fuel economy adjusted factor'!$A$2:$L$52,5,FALSE)*m2k))/'TCO Inputs'!$AZ$84</f>
        <v>93.647454753606326</v>
      </c>
      <c r="DD152" s="125">
        <f>DD41/293.07*(1/(VLOOKUP($BM152,'Fuel economy adjusted factor'!$A$2:$L$52,5,FALSE)*m2k))/'TCO Inputs'!$AZ$84</f>
        <v>93.647454753606326</v>
      </c>
      <c r="DE152" s="125">
        <f>DE41/293.07*(1/(VLOOKUP($BM152,'Fuel economy adjusted factor'!$A$2:$L$52,5,FALSE)*m2k))/'TCO Inputs'!$AZ$84</f>
        <v>93.635535845777895</v>
      </c>
      <c r="DF152" s="125">
        <f>DF41/293.07*(1/(VLOOKUP($BM152,'Fuel economy adjusted factor'!$A$2:$L$52,5,FALSE)*m2k))/'TCO Inputs'!$AZ$84</f>
        <v>93.635535845777895</v>
      </c>
      <c r="DG152" s="125">
        <f>DG41/293.07*(1/(VLOOKUP($BM152,'Fuel economy adjusted factor'!$A$2:$L$52,5,FALSE)*m2k))/'TCO Inputs'!$AZ$84</f>
        <v>93.635535845777895</v>
      </c>
      <c r="DH152" s="125">
        <f>DH41/293.07*(1/(VLOOKUP($BM152,'Fuel economy adjusted factor'!$A$2:$L$52,5,FALSE)*m2k))/'TCO Inputs'!$AZ$84</f>
        <v>93.635535845777895</v>
      </c>
      <c r="DI152" s="125">
        <f>DI41/293.07*(1/(VLOOKUP($BM152,'Fuel economy adjusted factor'!$A$2:$L$52,5,FALSE)*m2k))/'TCO Inputs'!$AZ$84</f>
        <v>93.635535845777895</v>
      </c>
      <c r="DJ152" s="125">
        <f>DJ41/293.07*(1/(VLOOKUP($BM152,'Fuel economy adjusted factor'!$A$2:$L$52,5,FALSE)*m2k))/'TCO Inputs'!$AZ$84</f>
        <v>93.632556118820759</v>
      </c>
      <c r="DK152" s="125">
        <f>DK41/293.07*(1/(VLOOKUP($BM152,'Fuel economy adjusted factor'!$A$2:$L$52,5,FALSE)*m2k))/'TCO Inputs'!$AZ$84</f>
        <v>93.632556118820759</v>
      </c>
      <c r="DL152" s="125">
        <f>DL41/293.07*(1/(VLOOKUP($BM152,'Fuel economy adjusted factor'!$A$2:$L$52,5,FALSE)*m2k))/'TCO Inputs'!$AZ$84</f>
        <v>93.632556118820759</v>
      </c>
      <c r="DM152" s="125">
        <f>DM41/293.07*(1/(VLOOKUP($BM152,'Fuel economy adjusted factor'!$A$2:$L$52,5,FALSE)*m2k))/'TCO Inputs'!$AZ$84</f>
        <v>93.632556118820759</v>
      </c>
      <c r="DN152" s="125">
        <f>DN41/293.07*(1/(VLOOKUP($BM152,'Fuel economy adjusted factor'!$A$2:$L$52,5,FALSE)*m2k))/'TCO Inputs'!$AZ$84</f>
        <v>93.632556118820759</v>
      </c>
      <c r="DO152" s="125">
        <f>DO41/293.07*(1/(VLOOKUP($BM152,'Fuel economy adjusted factor'!$A$2:$L$52,5,FALSE)*m2k))/'TCO Inputs'!$AZ$84</f>
        <v>93.574749415852722</v>
      </c>
      <c r="DP152" s="125">
        <f>DP41/293.07*(1/(VLOOKUP($BM152,'Fuel economy adjusted factor'!$A$2:$L$52,5,FALSE)*m2k))/'TCO Inputs'!$AZ$84</f>
        <v>93.574749415852722</v>
      </c>
      <c r="DQ152" s="125">
        <f>DQ41/293.07*(1/(VLOOKUP($BM152,'Fuel economy adjusted factor'!$A$2:$L$52,5,FALSE)*m2k))/'TCO Inputs'!$AZ$84</f>
        <v>93.574749415852722</v>
      </c>
      <c r="DR152" s="125">
        <f>DR41/293.07*(1/(VLOOKUP($BM152,'Fuel economy adjusted factor'!$A$2:$L$52,5,FALSE)*m2k))/'TCO Inputs'!$AZ$84</f>
        <v>93.574749415852722</v>
      </c>
      <c r="DS152" s="125">
        <f>DS41/293.07*(1/(VLOOKUP($BM152,'Fuel economy adjusted factor'!$A$2:$L$52,5,FALSE)*m2k))/'TCO Inputs'!$AZ$84</f>
        <v>93.574749415852722</v>
      </c>
      <c r="DT152" s="125">
        <f>DT41/293.07*(1/(VLOOKUP($BM152,'Fuel economy adjusted factor'!$A$2:$L$52,5,FALSE)*m2k))/'TCO Inputs'!$AZ$84</f>
        <v>93.623020992557997</v>
      </c>
      <c r="DU152" s="98" cm="1">
        <f t="array" ref="DU152">SUMPRODUCT(INDEX(CS152:DT152,,'TCO Inputs'!$AZ$12-2023+_xlfn.SEQUENCE('TCO Inputs'!$AZ$13))*INDEX('VKT US'!C98:AA98,,_xlfn.SEQUENCE('TCO Inputs'!$AZ$13)))*m2k*CONVERT(0.9072,"g","ton")</f>
        <v>35.034292194502065</v>
      </c>
      <c r="DW152" s="123" t="s">
        <v>218</v>
      </c>
      <c r="DX152" s="125">
        <f>DX41/293.07*(1/(VLOOKUP($BM152,'Fuel economy adjusted factor'!$A$2:$L$52,5,FALSE)*m2k))/'TCO Inputs'!$AZ$84</f>
        <v>98.009176547480209</v>
      </c>
      <c r="DY152" s="125">
        <f>DY41/293.07*(1/(VLOOKUP($BM152,'Fuel economy adjusted factor'!$A$2:$L$52,5,FALSE)*m2k))/'TCO Inputs'!$AZ$84</f>
        <v>98.009176547480209</v>
      </c>
      <c r="DZ152" s="125">
        <f>DZ41/293.07*(1/(VLOOKUP($BM152,'Fuel economy adjusted factor'!$A$2:$L$52,5,FALSE)*m2k))/'TCO Inputs'!$AZ$84</f>
        <v>85.914872301233927</v>
      </c>
      <c r="EA152" s="125">
        <f>EA41/293.07*(1/(VLOOKUP($BM152,'Fuel economy adjusted factor'!$A$2:$L$52,5,FALSE)*m2k))/'TCO Inputs'!$AZ$84</f>
        <v>85.914872301233927</v>
      </c>
      <c r="EB152" s="125">
        <f>EB41/293.07*(1/(VLOOKUP($BM152,'Fuel economy adjusted factor'!$A$2:$L$52,5,FALSE)*m2k))/'TCO Inputs'!$AZ$84</f>
        <v>85.914872301233927</v>
      </c>
      <c r="EC152" s="125">
        <f>EC41/293.07*(1/(VLOOKUP($BM152,'Fuel economy adjusted factor'!$A$2:$L$52,5,FALSE)*m2k))/'TCO Inputs'!$AZ$84</f>
        <v>85.914872301233927</v>
      </c>
      <c r="ED152" s="125">
        <f>ED41/293.07*(1/(VLOOKUP($BM152,'Fuel economy adjusted factor'!$A$2:$L$52,5,FALSE)*m2k))/'TCO Inputs'!$AZ$84</f>
        <v>85.914872301233927</v>
      </c>
      <c r="EE152" s="125">
        <f>EE41/293.07*(1/(VLOOKUP($BM152,'Fuel economy adjusted factor'!$A$2:$L$52,5,FALSE)*m2k))/'TCO Inputs'!$AZ$84</f>
        <v>52.952445670431217</v>
      </c>
      <c r="EF152" s="125">
        <f>EF41/293.07*(1/(VLOOKUP($BM152,'Fuel economy adjusted factor'!$A$2:$L$52,5,FALSE)*m2k))/'TCO Inputs'!$AZ$84</f>
        <v>52.952445670431217</v>
      </c>
      <c r="EG152" s="125">
        <f>EG41/293.07*(1/(VLOOKUP($BM152,'Fuel economy adjusted factor'!$A$2:$L$52,5,FALSE)*m2k))/'TCO Inputs'!$AZ$84</f>
        <v>52.952445670431217</v>
      </c>
      <c r="EH152" s="125">
        <f>EH41/293.07*(1/(VLOOKUP($BM152,'Fuel economy adjusted factor'!$A$2:$L$52,5,FALSE)*m2k))/'TCO Inputs'!$AZ$84</f>
        <v>52.952445670431217</v>
      </c>
      <c r="EI152" s="125">
        <f>EI41/293.07*(1/(VLOOKUP($BM152,'Fuel economy adjusted factor'!$A$2:$L$52,5,FALSE)*m2k))/'TCO Inputs'!$AZ$84</f>
        <v>52.952445670431217</v>
      </c>
      <c r="EJ152" s="125">
        <f>EJ41/293.07*(1/(VLOOKUP($BM152,'Fuel economy adjusted factor'!$A$2:$L$52,5,FALSE)*m2k))/'TCO Inputs'!$AZ$84</f>
        <v>47.292755746343659</v>
      </c>
      <c r="EK152" s="125">
        <f>EK41/293.07*(1/(VLOOKUP($BM152,'Fuel economy adjusted factor'!$A$2:$L$52,5,FALSE)*m2k))/'TCO Inputs'!$AZ$84</f>
        <v>47.292755746343659</v>
      </c>
      <c r="EL152" s="125">
        <f>EL41/293.07*(1/(VLOOKUP($BM152,'Fuel economy adjusted factor'!$A$2:$L$52,5,FALSE)*m2k))/'TCO Inputs'!$AZ$84</f>
        <v>47.292755746343659</v>
      </c>
      <c r="EM152" s="125">
        <f>EM41/293.07*(1/(VLOOKUP($BM152,'Fuel economy adjusted factor'!$A$2:$L$52,5,FALSE)*m2k))/'TCO Inputs'!$AZ$84</f>
        <v>47.292755746343659</v>
      </c>
      <c r="EN152" s="125">
        <f>EN41/293.07*(1/(VLOOKUP($BM152,'Fuel economy adjusted factor'!$A$2:$L$52,5,FALSE)*m2k))/'TCO Inputs'!$AZ$84</f>
        <v>47.292755746343659</v>
      </c>
      <c r="EO152" s="125">
        <f>EO41/293.07*(1/(VLOOKUP($BM152,'Fuel economy adjusted factor'!$A$2:$L$52,5,FALSE)*m2k))/'TCO Inputs'!$AZ$84</f>
        <v>45.804237093437905</v>
      </c>
      <c r="EP152" s="125">
        <f>EP41/293.07*(1/(VLOOKUP($BM152,'Fuel economy adjusted factor'!$A$2:$L$52,5,FALSE)*m2k))/'TCO Inputs'!$AZ$84</f>
        <v>45.804237093437905</v>
      </c>
      <c r="EQ152" s="125">
        <f>EQ41/293.07*(1/(VLOOKUP($BM152,'Fuel economy adjusted factor'!$A$2:$L$52,5,FALSE)*m2k))/'TCO Inputs'!$AZ$84</f>
        <v>45.804237093437905</v>
      </c>
      <c r="ER152" s="125">
        <f>ER41/293.07*(1/(VLOOKUP($BM152,'Fuel economy adjusted factor'!$A$2:$L$52,5,FALSE)*m2k))/'TCO Inputs'!$AZ$84</f>
        <v>45.804237093437905</v>
      </c>
      <c r="ES152" s="125">
        <f>ES41/293.07*(1/(VLOOKUP($BM152,'Fuel economy adjusted factor'!$A$2:$L$52,5,FALSE)*m2k))/'TCO Inputs'!$AZ$84</f>
        <v>45.804237093437905</v>
      </c>
      <c r="ET152" s="125">
        <f>ET41/293.07*(1/(VLOOKUP($BM152,'Fuel economy adjusted factor'!$A$2:$L$52,5,FALSE)*m2k))/'TCO Inputs'!$AZ$84</f>
        <v>44.103588298043427</v>
      </c>
      <c r="EU152" s="125">
        <f>EU41/293.07*(1/(VLOOKUP($BM152,'Fuel economy adjusted factor'!$A$2:$L$52,5,FALSE)*m2k))/'TCO Inputs'!$AZ$84</f>
        <v>44.103588298043427</v>
      </c>
      <c r="EV152" s="125">
        <f>EV41/293.07*(1/(VLOOKUP($BM152,'Fuel economy adjusted factor'!$A$2:$L$52,5,FALSE)*m2k))/'TCO Inputs'!$AZ$84</f>
        <v>44.103588298043427</v>
      </c>
      <c r="EW152" s="125">
        <f>EW41/293.07*(1/(VLOOKUP($BM152,'Fuel economy adjusted factor'!$A$2:$L$52,5,FALSE)*m2k))/'TCO Inputs'!$AZ$84</f>
        <v>44.103588298043427</v>
      </c>
      <c r="EX152" s="125">
        <f>EX41/293.07*(1/(VLOOKUP($BM152,'Fuel economy adjusted factor'!$A$2:$L$52,5,FALSE)*m2k))/'TCO Inputs'!$AZ$84</f>
        <v>44.103588298043427</v>
      </c>
      <c r="EY152" s="125">
        <f>EY41/293.07*(1/(VLOOKUP($BM152,'Fuel economy adjusted factor'!$A$2:$L$52,5,FALSE)*m2k))/'TCO Inputs'!$AZ$84</f>
        <v>41.436809363899158</v>
      </c>
      <c r="EZ152" s="98" cm="1">
        <f t="array" ref="EZ152">SUMPRODUCT(INDEX(DX152:EY152,,'TCO Inputs'!$AZ$12-2023+_xlfn.SEQUENCE('TCO Inputs'!$AZ$13))*INDEX('VKT US'!C98:AA98,,_xlfn.SEQUENCE('TCO Inputs'!$AZ$13)))*m2k*CONVERT(0.9072,"g","ton")</f>
        <v>27.109967862470302</v>
      </c>
      <c r="FB152" s="123" t="s">
        <v>218</v>
      </c>
      <c r="FC152" s="125">
        <f>FC41/293.07*(1/(VLOOKUP($BM152,'Fuel economy adjusted factor'!$A$2:$L$52,5,FALSE)*m2k))/'TCO Inputs'!$AZ$84</f>
        <v>106.30534109964222</v>
      </c>
      <c r="FD152" s="125">
        <f>FD41/293.07*(1/(VLOOKUP($BM152,'Fuel economy adjusted factor'!$A$2:$L$52,5,FALSE)*m2k))/'TCO Inputs'!$AZ$84</f>
        <v>106.30534109964222</v>
      </c>
      <c r="FE152" s="125">
        <f>FE41/293.07*(1/(VLOOKUP($BM152,'Fuel economy adjusted factor'!$A$2:$L$52,5,FALSE)*m2k))/'TCO Inputs'!$AZ$84</f>
        <v>92.836520113800475</v>
      </c>
      <c r="FF152" s="125">
        <f>FF41/293.07*(1/(VLOOKUP($BM152,'Fuel economy adjusted factor'!$A$2:$L$52,5,FALSE)*m2k))/'TCO Inputs'!$AZ$84</f>
        <v>92.836520113800475</v>
      </c>
      <c r="FG152" s="125">
        <f>FG41/293.07*(1/(VLOOKUP($BM152,'Fuel economy adjusted factor'!$A$2:$L$52,5,FALSE)*m2k))/'TCO Inputs'!$AZ$84</f>
        <v>92.836520113800475</v>
      </c>
      <c r="FH152" s="125">
        <f>FH41/293.07*(1/(VLOOKUP($BM152,'Fuel economy adjusted factor'!$A$2:$L$52,5,FALSE)*m2k))/'TCO Inputs'!$AZ$84</f>
        <v>92.836520113800475</v>
      </c>
      <c r="FI152" s="125">
        <f>FI41/293.07*(1/(VLOOKUP($BM152,'Fuel economy adjusted factor'!$A$2:$L$52,5,FALSE)*m2k))/'TCO Inputs'!$AZ$84</f>
        <v>92.836520113800475</v>
      </c>
      <c r="FJ152" s="125">
        <f>FJ41/293.07*(1/(VLOOKUP($BM152,'Fuel economy adjusted factor'!$A$2:$L$52,5,FALSE)*m2k))/'TCO Inputs'!$AZ$84</f>
        <v>58.257142294843739</v>
      </c>
      <c r="FK152" s="125">
        <f>FK41/293.07*(1/(VLOOKUP($BM152,'Fuel economy adjusted factor'!$A$2:$L$52,5,FALSE)*m2k))/'TCO Inputs'!$AZ$84</f>
        <v>58.257142294843739</v>
      </c>
      <c r="FL152" s="125">
        <f>FL41/293.07*(1/(VLOOKUP($BM152,'Fuel economy adjusted factor'!$A$2:$L$52,5,FALSE)*m2k))/'TCO Inputs'!$AZ$84</f>
        <v>58.257142294843739</v>
      </c>
      <c r="FM152" s="125">
        <f>FM41/293.07*(1/(VLOOKUP($BM152,'Fuel economy adjusted factor'!$A$2:$L$52,5,FALSE)*m2k))/'TCO Inputs'!$AZ$84</f>
        <v>58.257142294843739</v>
      </c>
      <c r="FN152" s="125">
        <f>FN41/293.07*(1/(VLOOKUP($BM152,'Fuel economy adjusted factor'!$A$2:$L$52,5,FALSE)*m2k))/'TCO Inputs'!$AZ$84</f>
        <v>58.257142294843739</v>
      </c>
      <c r="FO152" s="125">
        <f>FO41/293.07*(1/(VLOOKUP($BM152,'Fuel economy adjusted factor'!$A$2:$L$52,5,FALSE)*m2k))/'TCO Inputs'!$AZ$84</f>
        <v>51.729450461184861</v>
      </c>
      <c r="FP152" s="125">
        <f>FP41/293.07*(1/(VLOOKUP($BM152,'Fuel economy adjusted factor'!$A$2:$L$52,5,FALSE)*m2k))/'TCO Inputs'!$AZ$84</f>
        <v>51.729450461184861</v>
      </c>
      <c r="FQ152" s="125">
        <f>FQ41/293.07*(1/(VLOOKUP($BM152,'Fuel economy adjusted factor'!$A$2:$L$52,5,FALSE)*m2k))/'TCO Inputs'!$AZ$84</f>
        <v>51.729450461184861</v>
      </c>
      <c r="FR152" s="125">
        <f>FR41/293.07*(1/(VLOOKUP($BM152,'Fuel economy adjusted factor'!$A$2:$L$52,5,FALSE)*m2k))/'TCO Inputs'!$AZ$84</f>
        <v>51.729450461184861</v>
      </c>
      <c r="FS152" s="125">
        <f>FS41/293.07*(1/(VLOOKUP($BM152,'Fuel economy adjusted factor'!$A$2:$L$52,5,FALSE)*m2k))/'TCO Inputs'!$AZ$84</f>
        <v>51.729450461184861</v>
      </c>
      <c r="FT152" s="125">
        <f>FT41/293.07*(1/(VLOOKUP($BM152,'Fuel economy adjusted factor'!$A$2:$L$52,5,FALSE)*m2k))/'TCO Inputs'!$AZ$84</f>
        <v>50.412656209341442</v>
      </c>
      <c r="FU152" s="125">
        <f>FU41/293.07*(1/(VLOOKUP($BM152,'Fuel economy adjusted factor'!$A$2:$L$52,5,FALSE)*m2k))/'TCO Inputs'!$AZ$84</f>
        <v>50.412656209341442</v>
      </c>
      <c r="FV152" s="125">
        <f>FV41/293.07*(1/(VLOOKUP($BM152,'Fuel economy adjusted factor'!$A$2:$L$52,5,FALSE)*m2k))/'TCO Inputs'!$AZ$84</f>
        <v>50.412656209341442</v>
      </c>
      <c r="FW152" s="125">
        <f>FW41/293.07*(1/(VLOOKUP($BM152,'Fuel economy adjusted factor'!$A$2:$L$52,5,FALSE)*m2k))/'TCO Inputs'!$AZ$84</f>
        <v>50.412656209341442</v>
      </c>
      <c r="FX152" s="125">
        <f>FX41/293.07*(1/(VLOOKUP($BM152,'Fuel economy adjusted factor'!$A$2:$L$52,5,FALSE)*m2k))/'TCO Inputs'!$AZ$84</f>
        <v>50.412656209341442</v>
      </c>
      <c r="FY152" s="125">
        <f>FY41/293.07*(1/(VLOOKUP($BM152,'Fuel economy adjusted factor'!$A$2:$L$52,5,FALSE)*m2k))/'TCO Inputs'!$AZ$84</f>
        <v>48.708399758462448</v>
      </c>
      <c r="FZ152" s="125">
        <f>FZ41/293.07*(1/(VLOOKUP($BM152,'Fuel economy adjusted factor'!$A$2:$L$52,5,FALSE)*m2k))/'TCO Inputs'!$AZ$84</f>
        <v>48.708399758462448</v>
      </c>
      <c r="GA152" s="125">
        <f>GA41/293.07*(1/(VLOOKUP($BM152,'Fuel economy adjusted factor'!$A$2:$L$52,5,FALSE)*m2k))/'TCO Inputs'!$AZ$84</f>
        <v>48.708399758462448</v>
      </c>
      <c r="GB152" s="125">
        <f>GB41/293.07*(1/(VLOOKUP($BM152,'Fuel economy adjusted factor'!$A$2:$L$52,5,FALSE)*m2k))/'TCO Inputs'!$AZ$84</f>
        <v>48.708399758462448</v>
      </c>
      <c r="GC152" s="125">
        <f>GC41/293.07*(1/(VLOOKUP($BM152,'Fuel economy adjusted factor'!$A$2:$L$52,5,FALSE)*m2k))/'TCO Inputs'!$AZ$84</f>
        <v>48.708399758462448</v>
      </c>
      <c r="GD152" s="125">
        <f>GD41/293.07*(1/(VLOOKUP($BM152,'Fuel economy adjusted factor'!$A$2:$L$52,5,FALSE)*m2k))/'TCO Inputs'!$AZ$84</f>
        <v>45.949264843914911</v>
      </c>
      <c r="GE152" s="98" cm="1">
        <f t="array" ref="GE152">SUMPRODUCT(INDEX(FC152:GD152,,'TCO Inputs'!$AZ$12-2023+_xlfn.SEQUENCE('TCO Inputs'!$AZ$13))*INDEX('VKT US'!C98:AA98,,_xlfn.SEQUENCE('TCO Inputs'!$AZ$13)))*m2k*CONVERT(0.9072,"g","ton")</f>
        <v>29.475680844032389</v>
      </c>
      <c r="GH152" s="123" t="s">
        <v>218</v>
      </c>
      <c r="GI152" s="125">
        <f>GI41/293.07*(1/(VLOOKUP($BM152,'Fuel economy adjusted factor'!$A$2:$L$52,5,FALSE)*m2k))/'TCO Inputs'!$AZ$84</f>
        <v>92.36247418313684</v>
      </c>
      <c r="GJ152" s="125">
        <f>GJ41/293.07*(1/(VLOOKUP($BM152,'Fuel economy adjusted factor'!$A$2:$L$52,5,FALSE)*m2k))/'TCO Inputs'!$AZ$84</f>
        <v>92.36247418313684</v>
      </c>
      <c r="GK152" s="125">
        <f>GK41/293.07*(1/(VLOOKUP($BM152,'Fuel economy adjusted factor'!$A$2:$L$52,5,FALSE)*m2k))/'TCO Inputs'!$AZ$84</f>
        <v>81.20399576957054</v>
      </c>
      <c r="GL152" s="125">
        <f>GL41/293.07*(1/(VLOOKUP($BM152,'Fuel economy adjusted factor'!$A$2:$L$52,5,FALSE)*m2k))/'TCO Inputs'!$AZ$84</f>
        <v>81.20399576957054</v>
      </c>
      <c r="GM152" s="125">
        <f>GM41/293.07*(1/(VLOOKUP($BM152,'Fuel economy adjusted factor'!$A$2:$L$52,5,FALSE)*m2k))/'TCO Inputs'!$AZ$84</f>
        <v>81.20399576957054</v>
      </c>
      <c r="GN152" s="125">
        <f>GN41/293.07*(1/(VLOOKUP($BM152,'Fuel economy adjusted factor'!$A$2:$L$52,5,FALSE)*m2k))/'TCO Inputs'!$AZ$84</f>
        <v>81.20399576957054</v>
      </c>
      <c r="GO152" s="125">
        <f>GO41/293.07*(1/(VLOOKUP($BM152,'Fuel economy adjusted factor'!$A$2:$L$52,5,FALSE)*m2k))/'TCO Inputs'!$AZ$84</f>
        <v>81.20399576957054</v>
      </c>
      <c r="GP152" s="125">
        <f>GP41/293.07*(1/(VLOOKUP($BM152,'Fuel economy adjusted factor'!$A$2:$L$52,5,FALSE)*m2k))/'TCO Inputs'!$AZ$84</f>
        <v>49.341904061541094</v>
      </c>
      <c r="GQ152" s="125">
        <f>GQ41/293.07*(1/(VLOOKUP($BM152,'Fuel economy adjusted factor'!$A$2:$L$52,5,FALSE)*m2k))/'TCO Inputs'!$AZ$84</f>
        <v>49.341904061541094</v>
      </c>
      <c r="GR152" s="125">
        <f>GR41/293.07*(1/(VLOOKUP($BM152,'Fuel economy adjusted factor'!$A$2:$L$52,5,FALSE)*m2k))/'TCO Inputs'!$AZ$84</f>
        <v>49.341904061541094</v>
      </c>
      <c r="GS152" s="125">
        <f>GS41/293.07*(1/(VLOOKUP($BM152,'Fuel economy adjusted factor'!$A$2:$L$52,5,FALSE)*m2k))/'TCO Inputs'!$AZ$84</f>
        <v>49.341904061541094</v>
      </c>
      <c r="GT152" s="125">
        <f>GT41/293.07*(1/(VLOOKUP($BM152,'Fuel economy adjusted factor'!$A$2:$L$52,5,FALSE)*m2k))/'TCO Inputs'!$AZ$84</f>
        <v>49.341904061541094</v>
      </c>
      <c r="GU152" s="125">
        <f>GU41/293.07*(1/(VLOOKUP($BM152,'Fuel economy adjusted factor'!$A$2:$L$52,5,FALSE)*m2k))/'TCO Inputs'!$AZ$84</f>
        <v>44.273148105815032</v>
      </c>
      <c r="GV152" s="125">
        <f>GV41/293.07*(1/(VLOOKUP($BM152,'Fuel economy adjusted factor'!$A$2:$L$52,5,FALSE)*m2k))/'TCO Inputs'!$AZ$84</f>
        <v>44.273148105815032</v>
      </c>
      <c r="GW152" s="125">
        <f>GW41/293.07*(1/(VLOOKUP($BM152,'Fuel economy adjusted factor'!$A$2:$L$52,5,FALSE)*m2k))/'TCO Inputs'!$AZ$84</f>
        <v>44.273148105815032</v>
      </c>
      <c r="GX152" s="125">
        <f>GX41/293.07*(1/(VLOOKUP($BM152,'Fuel economy adjusted factor'!$A$2:$L$52,5,FALSE)*m2k))/'TCO Inputs'!$AZ$84</f>
        <v>44.273148105815032</v>
      </c>
      <c r="GY152" s="125">
        <f>GY41/293.07*(1/(VLOOKUP($BM152,'Fuel economy adjusted factor'!$A$2:$L$52,5,FALSE)*m2k))/'TCO Inputs'!$AZ$84</f>
        <v>44.273148105815032</v>
      </c>
      <c r="GZ152" s="125">
        <f>GZ41/293.07*(1/(VLOOKUP($BM152,'Fuel economy adjusted factor'!$A$2:$L$52,5,FALSE)*m2k))/'TCO Inputs'!$AZ$84</f>
        <v>42.667741415211417</v>
      </c>
      <c r="HA152" s="125">
        <f>HA41/293.07*(1/(VLOOKUP($BM152,'Fuel economy adjusted factor'!$A$2:$L$52,5,FALSE)*m2k))/'TCO Inputs'!$AZ$84</f>
        <v>42.667741415211417</v>
      </c>
      <c r="HB152" s="125">
        <f>HB41/293.07*(1/(VLOOKUP($BM152,'Fuel economy adjusted factor'!$A$2:$L$52,5,FALSE)*m2k))/'TCO Inputs'!$AZ$84</f>
        <v>42.667741415211417</v>
      </c>
      <c r="HC152" s="125">
        <f>HC41/293.07*(1/(VLOOKUP($BM152,'Fuel economy adjusted factor'!$A$2:$L$52,5,FALSE)*m2k))/'TCO Inputs'!$AZ$84</f>
        <v>42.667741415211417</v>
      </c>
      <c r="HD152" s="125">
        <f>HD41/293.07*(1/(VLOOKUP($BM152,'Fuel economy adjusted factor'!$A$2:$L$52,5,FALSE)*m2k))/'TCO Inputs'!$AZ$84</f>
        <v>42.667741415211417</v>
      </c>
      <c r="HE152" s="125">
        <f>HE41/293.07*(1/(VLOOKUP($BM152,'Fuel economy adjusted factor'!$A$2:$L$52,5,FALSE)*m2k))/'TCO Inputs'!$AZ$84</f>
        <v>40.969257213107625</v>
      </c>
      <c r="HF152" s="125">
        <f>HF41/293.07*(1/(VLOOKUP($BM152,'Fuel economy adjusted factor'!$A$2:$L$52,5,FALSE)*m2k))/'TCO Inputs'!$AZ$84</f>
        <v>40.969257213107625</v>
      </c>
      <c r="HG152" s="125">
        <f>HG41/293.07*(1/(VLOOKUP($BM152,'Fuel economy adjusted factor'!$A$2:$L$52,5,FALSE)*m2k))/'TCO Inputs'!$AZ$84</f>
        <v>40.969257213107625</v>
      </c>
      <c r="HH152" s="125">
        <f>HH41/293.07*(1/(VLOOKUP($BM152,'Fuel economy adjusted factor'!$A$2:$L$52,5,FALSE)*m2k))/'TCO Inputs'!$AZ$84</f>
        <v>40.969257213107625</v>
      </c>
      <c r="HI152" s="125">
        <f>HI41/293.07*(1/(VLOOKUP($BM152,'Fuel economy adjusted factor'!$A$2:$L$52,5,FALSE)*m2k))/'TCO Inputs'!$AZ$84</f>
        <v>40.969257213107625</v>
      </c>
      <c r="HJ152" s="125">
        <f>HJ41/293.07*(1/(VLOOKUP($BM152,'Fuel economy adjusted factor'!$A$2:$L$52,5,FALSE)*m2k))/'TCO Inputs'!$AZ$84</f>
        <v>38.365973015490603</v>
      </c>
      <c r="HK152" s="98" cm="1">
        <f t="array" ref="HK152">SUMPRODUCT(INDEX(GI152:HJ152,,'TCO Inputs'!$AZ$12-2023+_xlfn.SEQUENCE('TCO Inputs'!$AZ$13))*INDEX('VKT US'!C98:AA98,,_xlfn.SEQUENCE('TCO Inputs'!$AZ$13)))*m2k*CONVERT(0.9072,"g","ton")</f>
        <v>25.49982204670561</v>
      </c>
    </row>
    <row r="153" spans="26:219" x14ac:dyDescent="0.25">
      <c r="Z153" s="123" t="s">
        <v>219</v>
      </c>
      <c r="AA153" s="125">
        <f>AA42/293.07*(1/(VLOOKUP($Z153,'Fuel economy adjusted factor'!$A$2:$L$52,5,FALSE)*m2k))/'TCO Inputs'!$AZ$84</f>
        <v>51.61386005603849</v>
      </c>
      <c r="AB153" s="125">
        <f>AB42/293.07*(1/(VLOOKUP($Z153,'Fuel economy adjusted factor'!$A$2:$L$52,5,FALSE)*m2k))/'TCO Inputs'!$AZ$84</f>
        <v>51.61386005603849</v>
      </c>
      <c r="AC153" s="125">
        <f>AC42/293.07*(1/(VLOOKUP($Z153,'Fuel economy adjusted factor'!$A$2:$L$52,5,FALSE)*m2k))/'TCO Inputs'!$AZ$84</f>
        <v>45.39407190939756</v>
      </c>
      <c r="AD153" s="125">
        <f>AD42/293.07*(1/(VLOOKUP($Z153,'Fuel economy adjusted factor'!$A$2:$L$52,5,FALSE)*m2k))/'TCO Inputs'!$AZ$84</f>
        <v>45.39407190939756</v>
      </c>
      <c r="AE153" s="125">
        <f>AE42/293.07*(1/(VLOOKUP($Z153,'Fuel economy adjusted factor'!$A$2:$L$52,5,FALSE)*m2k))/'TCO Inputs'!$AZ$84</f>
        <v>45.39407190939756</v>
      </c>
      <c r="AF153" s="125">
        <f>AF42/293.07*(1/(VLOOKUP($Z153,'Fuel economy adjusted factor'!$A$2:$L$52,5,FALSE)*m2k))/'TCO Inputs'!$AZ$84</f>
        <v>45.39407190939756</v>
      </c>
      <c r="AG153" s="125">
        <f>AG42/293.07*(1/(VLOOKUP($Z153,'Fuel economy adjusted factor'!$A$2:$L$52,5,FALSE)*m2k))/'TCO Inputs'!$AZ$84</f>
        <v>45.39407190939756</v>
      </c>
      <c r="AH153" s="125">
        <f>AH42/293.07*(1/(VLOOKUP($Z153,'Fuel economy adjusted factor'!$A$2:$L$52,5,FALSE)*m2k))/'TCO Inputs'!$AZ$84</f>
        <v>27.27446909350698</v>
      </c>
      <c r="AI153" s="125">
        <f>AI42/293.07*(1/(VLOOKUP($Z153,'Fuel economy adjusted factor'!$A$2:$L$52,5,FALSE)*m2k))/'TCO Inputs'!$AZ$84</f>
        <v>27.27446909350698</v>
      </c>
      <c r="AJ153" s="125">
        <f>AJ42/293.07*(1/(VLOOKUP($Z153,'Fuel economy adjusted factor'!$A$2:$L$52,5,FALSE)*m2k))/'TCO Inputs'!$AZ$84</f>
        <v>27.27446909350698</v>
      </c>
      <c r="AK153" s="125">
        <f>AK42/293.07*(1/(VLOOKUP($Z153,'Fuel economy adjusted factor'!$A$2:$L$52,5,FALSE)*m2k))/'TCO Inputs'!$AZ$84</f>
        <v>27.27446909350698</v>
      </c>
      <c r="AL153" s="125">
        <f>AL42/293.07*(1/(VLOOKUP($Z153,'Fuel economy adjusted factor'!$A$2:$L$52,5,FALSE)*m2k))/'TCO Inputs'!$AZ$84</f>
        <v>27.27446909350698</v>
      </c>
      <c r="AM153" s="125">
        <f>AM42/293.07*(1/(VLOOKUP($Z153,'Fuel economy adjusted factor'!$A$2:$L$52,5,FALSE)*m2k))/'TCO Inputs'!$AZ$84</f>
        <v>28.5421332761088</v>
      </c>
      <c r="AN153" s="125">
        <f>AN42/293.07*(1/(VLOOKUP($Z153,'Fuel economy adjusted factor'!$A$2:$L$52,5,FALSE)*m2k))/'TCO Inputs'!$AZ$84</f>
        <v>28.5421332761088</v>
      </c>
      <c r="AO153" s="125">
        <f>AO42/293.07*(1/(VLOOKUP($Z153,'Fuel economy adjusted factor'!$A$2:$L$52,5,FALSE)*m2k))/'TCO Inputs'!$AZ$84</f>
        <v>28.5421332761088</v>
      </c>
      <c r="AP153" s="125">
        <f>AP42/293.07*(1/(VLOOKUP($Z153,'Fuel economy adjusted factor'!$A$2:$L$52,5,FALSE)*m2k))/'TCO Inputs'!$AZ$84</f>
        <v>28.5421332761088</v>
      </c>
      <c r="AQ153" s="125">
        <f>AQ42/293.07*(1/(VLOOKUP($Z153,'Fuel economy adjusted factor'!$A$2:$L$52,5,FALSE)*m2k))/'TCO Inputs'!$AZ$84</f>
        <v>28.5421332761088</v>
      </c>
      <c r="AR153" s="125">
        <f>AR42/293.07*(1/(VLOOKUP($Z153,'Fuel economy adjusted factor'!$A$2:$L$52,5,FALSE)*m2k))/'TCO Inputs'!$AZ$84</f>
        <v>29.836447443095405</v>
      </c>
      <c r="AS153" s="125">
        <f>AS42/293.07*(1/(VLOOKUP($Z153,'Fuel economy adjusted factor'!$A$2:$L$52,5,FALSE)*m2k))/'TCO Inputs'!$AZ$84</f>
        <v>29.836447443095405</v>
      </c>
      <c r="AT153" s="125">
        <f>AT42/293.07*(1/(VLOOKUP($Z153,'Fuel economy adjusted factor'!$A$2:$L$52,5,FALSE)*m2k))/'TCO Inputs'!$AZ$84</f>
        <v>29.836447443095405</v>
      </c>
      <c r="AU153" s="125">
        <f>AU42/293.07*(1/(VLOOKUP($Z153,'Fuel economy adjusted factor'!$A$2:$L$52,5,FALSE)*m2k))/'TCO Inputs'!$AZ$84</f>
        <v>29.836447443095405</v>
      </c>
      <c r="AV153" s="125">
        <f>AV42/293.07*(1/(VLOOKUP($Z153,'Fuel economy adjusted factor'!$A$2:$L$52,5,FALSE)*m2k))/'TCO Inputs'!$AZ$84</f>
        <v>29.836447443095405</v>
      </c>
      <c r="AW153" s="125">
        <f>AW42/293.07*(1/(VLOOKUP($Z153,'Fuel economy adjusted factor'!$A$2:$L$52,5,FALSE)*m2k))/'TCO Inputs'!$AZ$84</f>
        <v>30.491161984847089</v>
      </c>
      <c r="AX153" s="125">
        <f>AX42/293.07*(1/(VLOOKUP($Z153,'Fuel economy adjusted factor'!$A$2:$L$52,5,FALSE)*m2k))/'TCO Inputs'!$AZ$84</f>
        <v>30.491161984847089</v>
      </c>
      <c r="AY153" s="125">
        <f>AY42/293.07*(1/(VLOOKUP($Z153,'Fuel economy adjusted factor'!$A$2:$L$52,5,FALSE)*m2k))/'TCO Inputs'!$AZ$84</f>
        <v>30.491161984847089</v>
      </c>
      <c r="AZ153" s="125">
        <f>AZ42/293.07*(1/(VLOOKUP($Z153,'Fuel economy adjusted factor'!$A$2:$L$52,5,FALSE)*m2k))/'TCO Inputs'!$AZ$84</f>
        <v>30.491161984847089</v>
      </c>
      <c r="BA153" s="125">
        <f>BA42/293.07*(1/(VLOOKUP($Z153,'Fuel economy adjusted factor'!$A$2:$L$52,5,FALSE)*m2k))/'TCO Inputs'!$AZ$84</f>
        <v>30.491161984847089</v>
      </c>
      <c r="BB153" s="125">
        <f>BB42/293.07*(1/(VLOOKUP($Z153,'Fuel economy adjusted factor'!$A$2:$L$52,5,FALSE)*m2k))/'TCO Inputs'!$AZ$84</f>
        <v>30.532529124787658</v>
      </c>
      <c r="BC153" s="98" cm="1">
        <f t="array" ref="BC153">SUMPRODUCT(INDEX(AA153:BB153,,'TCO Inputs'!$AZ$12-2023+_xlfn.SEQUENCE('TCO Inputs'!$AZ$13))*INDEX('VKT US'!C99:AA99,,_xlfn.SEQUENCE('TCO Inputs'!$AZ$13)))*m2k*CONVERT(0.9072,"g","ton")</f>
        <v>9.9308068365659068</v>
      </c>
      <c r="BM153" s="123" t="s">
        <v>219</v>
      </c>
      <c r="BN153" s="125">
        <f>BN42/293.07*(1/(VLOOKUP($BM153,'Fuel economy adjusted factor'!$A$2:$L$52,5,FALSE)*m2k))</f>
        <v>43.871781047632716</v>
      </c>
      <c r="BO153" s="125">
        <f>BO42/293.07*(1/(VLOOKUP($BM153,'Fuel economy adjusted factor'!$A$2:$L$52,5,FALSE)*m2k))</f>
        <v>43.871781047632716</v>
      </c>
      <c r="BP153" s="125">
        <f>BP42/293.07*(1/(VLOOKUP($BM153,'Fuel economy adjusted factor'!$A$2:$L$52,5,FALSE)*m2k))</f>
        <v>38.534584697281453</v>
      </c>
      <c r="BQ153" s="125">
        <f>BQ42/293.07*(1/(VLOOKUP($BM153,'Fuel economy adjusted factor'!$A$2:$L$52,5,FALSE)*m2k))</f>
        <v>38.534584697281453</v>
      </c>
      <c r="BR153" s="125">
        <f>BR42/293.07*(1/(VLOOKUP($BM153,'Fuel economy adjusted factor'!$A$2:$L$52,5,FALSE)*m2k))</f>
        <v>38.534584697281453</v>
      </c>
      <c r="BS153" s="125">
        <f>BS42/293.07*(1/(VLOOKUP($BM153,'Fuel economy adjusted factor'!$A$2:$L$52,5,FALSE)*m2k))</f>
        <v>38.534584697281453</v>
      </c>
      <c r="BT153" s="125">
        <f>BT42/293.07*(1/(VLOOKUP($BM153,'Fuel economy adjusted factor'!$A$2:$L$52,5,FALSE)*m2k))</f>
        <v>38.534584697281453</v>
      </c>
      <c r="BU153" s="125">
        <f>BU42/293.07*(1/(VLOOKUP($BM153,'Fuel economy adjusted factor'!$A$2:$L$52,5,FALSE)*m2k))</f>
        <v>43.681432539761957</v>
      </c>
      <c r="BV153" s="125">
        <f>BV42/293.07*(1/(VLOOKUP($BM153,'Fuel economy adjusted factor'!$A$2:$L$52,5,FALSE)*m2k))</f>
        <v>43.681432539761957</v>
      </c>
      <c r="BW153" s="125">
        <f>BW42/293.07*(1/(VLOOKUP($BM153,'Fuel economy adjusted factor'!$A$2:$L$52,5,FALSE)*m2k))</f>
        <v>43.681432539761957</v>
      </c>
      <c r="BX153" s="125">
        <f>BX42/293.07*(1/(VLOOKUP($BM153,'Fuel economy adjusted factor'!$A$2:$L$52,5,FALSE)*m2k))</f>
        <v>43.681432539761957</v>
      </c>
      <c r="BY153" s="125">
        <f>BY42/293.07*(1/(VLOOKUP($BM153,'Fuel economy adjusted factor'!$A$2:$L$52,5,FALSE)*m2k))</f>
        <v>43.681432539761957</v>
      </c>
      <c r="BZ153" s="125">
        <f>BZ42/293.07*(1/(VLOOKUP($BM153,'Fuel economy adjusted factor'!$A$2:$L$52,5,FALSE)*m2k))</f>
        <v>44.731899349627753</v>
      </c>
      <c r="CA153" s="125">
        <f>CA42/293.07*(1/(VLOOKUP($BM153,'Fuel economy adjusted factor'!$A$2:$L$52,5,FALSE)*m2k))</f>
        <v>44.731899349627753</v>
      </c>
      <c r="CB153" s="125">
        <f>CB42/293.07*(1/(VLOOKUP($BM153,'Fuel economy adjusted factor'!$A$2:$L$52,5,FALSE)*m2k))</f>
        <v>44.731899349627753</v>
      </c>
      <c r="CC153" s="125">
        <f>CC42/293.07*(1/(VLOOKUP($BM153,'Fuel economy adjusted factor'!$A$2:$L$52,5,FALSE)*m2k))</f>
        <v>44.731899349627753</v>
      </c>
      <c r="CD153" s="125">
        <f>CD42/293.07*(1/(VLOOKUP($BM153,'Fuel economy adjusted factor'!$A$2:$L$52,5,FALSE)*m2k))</f>
        <v>44.731899349627753</v>
      </c>
      <c r="CE153" s="125">
        <f>CE42/293.07*(1/(VLOOKUP($BM153,'Fuel economy adjusted factor'!$A$2:$L$52,5,FALSE)*m2k))</f>
        <v>45.837475940635521</v>
      </c>
      <c r="CF153" s="125">
        <f>CF42/293.07*(1/(VLOOKUP($BM153,'Fuel economy adjusted factor'!$A$2:$L$52,5,FALSE)*m2k))</f>
        <v>45.837475940635521</v>
      </c>
      <c r="CG153" s="125">
        <f>CG42/293.07*(1/(VLOOKUP($BM153,'Fuel economy adjusted factor'!$A$2:$L$52,5,FALSE)*m2k))</f>
        <v>45.837475940635521</v>
      </c>
      <c r="CH153" s="125">
        <f>CH42/293.07*(1/(VLOOKUP($BM153,'Fuel economy adjusted factor'!$A$2:$L$52,5,FALSE)*m2k))</f>
        <v>45.837475940635521</v>
      </c>
      <c r="CI153" s="125">
        <f>CI42/293.07*(1/(VLOOKUP($BM153,'Fuel economy adjusted factor'!$A$2:$L$52,5,FALSE)*m2k))</f>
        <v>45.837475940635521</v>
      </c>
      <c r="CJ153" s="125">
        <f>CJ42/293.07*(1/(VLOOKUP($BM153,'Fuel economy adjusted factor'!$A$2:$L$52,5,FALSE)*m2k))</f>
        <v>46.099839070489352</v>
      </c>
      <c r="CK153" s="125">
        <f>CK42/293.07*(1/(VLOOKUP($BM153,'Fuel economy adjusted factor'!$A$2:$L$52,5,FALSE)*m2k))</f>
        <v>46.099839070489352</v>
      </c>
      <c r="CL153" s="125">
        <f>CL42/293.07*(1/(VLOOKUP($BM153,'Fuel economy adjusted factor'!$A$2:$L$52,5,FALSE)*m2k))</f>
        <v>46.099839070489352</v>
      </c>
      <c r="CM153" s="125">
        <f>CM42/293.07*(1/(VLOOKUP($BM153,'Fuel economy adjusted factor'!$A$2:$L$52,5,FALSE)*m2k))</f>
        <v>46.099839070489352</v>
      </c>
      <c r="CN153" s="125">
        <f>CN42/293.07*(1/(VLOOKUP($BM153,'Fuel economy adjusted factor'!$A$2:$L$52,5,FALSE)*m2k))</f>
        <v>46.099839070489352</v>
      </c>
      <c r="CO153" s="125">
        <f>CO42/293.07*(1/(VLOOKUP($BM153,'Fuel economy adjusted factor'!$A$2:$L$52,5,FALSE)*m2k))</f>
        <v>46.413254819683296</v>
      </c>
      <c r="CP153" s="98" cm="1">
        <f t="array" ref="CP153">SUMPRODUCT(INDEX(BN153:CO153,,'TCO Inputs'!$AZ$12-2023+_xlfn.SEQUENCE('TCO Inputs'!$AZ$13))*INDEX('VKT US'!C99:AA99,,_xlfn.SEQUENCE('TCO Inputs'!$AZ$13)))*m2k*CONVERT(0.9072,"g","ton")</f>
        <v>10.816769675460183</v>
      </c>
      <c r="CQ153" s="194"/>
      <c r="CR153" s="123" t="s">
        <v>219</v>
      </c>
      <c r="CS153" s="125">
        <f>CS42/293.07*(1/(VLOOKUP($BM153,'Fuel economy adjusted factor'!$A$2:$L$52,5,FALSE)*m2k))/'TCO Inputs'!$AZ$84</f>
        <v>62.490633533681027</v>
      </c>
      <c r="CT153" s="125">
        <f>CT42/293.07*(1/(VLOOKUP($BM153,'Fuel economy adjusted factor'!$A$2:$L$52,5,FALSE)*m2k))/'TCO Inputs'!$AZ$84</f>
        <v>62.490633533681027</v>
      </c>
      <c r="CU153" s="125">
        <f>CU42/293.07*(1/(VLOOKUP($BM153,'Fuel economy adjusted factor'!$A$2:$L$52,5,FALSE)*m2k))/'TCO Inputs'!$AZ$84</f>
        <v>62.490633533681027</v>
      </c>
      <c r="CV153" s="125">
        <f>CV42/293.07*(1/(VLOOKUP($BM153,'Fuel economy adjusted factor'!$A$2:$L$52,5,FALSE)*m2k))/'TCO Inputs'!$AZ$84</f>
        <v>62.490633533681027</v>
      </c>
      <c r="CW153" s="125">
        <f>CW42/293.07*(1/(VLOOKUP($BM153,'Fuel economy adjusted factor'!$A$2:$L$52,5,FALSE)*m2k))/'TCO Inputs'!$AZ$84</f>
        <v>62.490633533681027</v>
      </c>
      <c r="CX153" s="125">
        <f>CX42/293.07*(1/(VLOOKUP($BM153,'Fuel economy adjusted factor'!$A$2:$L$52,5,FALSE)*m2k))/'TCO Inputs'!$AZ$84</f>
        <v>62.490633533681027</v>
      </c>
      <c r="CY153" s="125">
        <f>CY42/293.07*(1/(VLOOKUP($BM153,'Fuel economy adjusted factor'!$A$2:$L$52,5,FALSE)*m2k))/'TCO Inputs'!$AZ$84</f>
        <v>62.490633533681027</v>
      </c>
      <c r="CZ153" s="125">
        <f>CZ42/293.07*(1/(VLOOKUP($BM153,'Fuel economy adjusted factor'!$A$2:$L$52,5,FALSE)*m2k))/'TCO Inputs'!$AZ$84</f>
        <v>62.504555167314869</v>
      </c>
      <c r="DA153" s="125">
        <f>DA42/293.07*(1/(VLOOKUP($BM153,'Fuel economy adjusted factor'!$A$2:$L$52,5,FALSE)*m2k))/'TCO Inputs'!$AZ$84</f>
        <v>62.504555167314869</v>
      </c>
      <c r="DB153" s="125">
        <f>DB42/293.07*(1/(VLOOKUP($BM153,'Fuel economy adjusted factor'!$A$2:$L$52,5,FALSE)*m2k))/'TCO Inputs'!$AZ$84</f>
        <v>62.504555167314869</v>
      </c>
      <c r="DC153" s="125">
        <f>DC42/293.07*(1/(VLOOKUP($BM153,'Fuel economy adjusted factor'!$A$2:$L$52,5,FALSE)*m2k))/'TCO Inputs'!$AZ$84</f>
        <v>62.504555167314869</v>
      </c>
      <c r="DD153" s="125">
        <f>DD42/293.07*(1/(VLOOKUP($BM153,'Fuel economy adjusted factor'!$A$2:$L$52,5,FALSE)*m2k))/'TCO Inputs'!$AZ$84</f>
        <v>62.504555167314869</v>
      </c>
      <c r="DE153" s="125">
        <f>DE42/293.07*(1/(VLOOKUP($BM153,'Fuel economy adjusted factor'!$A$2:$L$52,5,FALSE)*m2k))/'TCO Inputs'!$AZ$84</f>
        <v>62.496599948095529</v>
      </c>
      <c r="DF153" s="125">
        <f>DF42/293.07*(1/(VLOOKUP($BM153,'Fuel economy adjusted factor'!$A$2:$L$52,5,FALSE)*m2k))/'TCO Inputs'!$AZ$84</f>
        <v>62.496599948095529</v>
      </c>
      <c r="DG153" s="125">
        <f>DG42/293.07*(1/(VLOOKUP($BM153,'Fuel economy adjusted factor'!$A$2:$L$52,5,FALSE)*m2k))/'TCO Inputs'!$AZ$84</f>
        <v>62.496599948095529</v>
      </c>
      <c r="DH153" s="125">
        <f>DH42/293.07*(1/(VLOOKUP($BM153,'Fuel economy adjusted factor'!$A$2:$L$52,5,FALSE)*m2k))/'TCO Inputs'!$AZ$84</f>
        <v>62.496599948095529</v>
      </c>
      <c r="DI153" s="125">
        <f>DI42/293.07*(1/(VLOOKUP($BM153,'Fuel economy adjusted factor'!$A$2:$L$52,5,FALSE)*m2k))/'TCO Inputs'!$AZ$84</f>
        <v>62.496599948095529</v>
      </c>
      <c r="DJ153" s="125">
        <f>DJ42/293.07*(1/(VLOOKUP($BM153,'Fuel economy adjusted factor'!$A$2:$L$52,5,FALSE)*m2k))/'TCO Inputs'!$AZ$84</f>
        <v>62.494611143290697</v>
      </c>
      <c r="DK153" s="125">
        <f>DK42/293.07*(1/(VLOOKUP($BM153,'Fuel economy adjusted factor'!$A$2:$L$52,5,FALSE)*m2k))/'TCO Inputs'!$AZ$84</f>
        <v>62.494611143290697</v>
      </c>
      <c r="DL153" s="125">
        <f>DL42/293.07*(1/(VLOOKUP($BM153,'Fuel economy adjusted factor'!$A$2:$L$52,5,FALSE)*m2k))/'TCO Inputs'!$AZ$84</f>
        <v>62.494611143290697</v>
      </c>
      <c r="DM153" s="125">
        <f>DM42/293.07*(1/(VLOOKUP($BM153,'Fuel economy adjusted factor'!$A$2:$L$52,5,FALSE)*m2k))/'TCO Inputs'!$AZ$84</f>
        <v>62.494611143290697</v>
      </c>
      <c r="DN153" s="125">
        <f>DN42/293.07*(1/(VLOOKUP($BM153,'Fuel economy adjusted factor'!$A$2:$L$52,5,FALSE)*m2k))/'TCO Inputs'!$AZ$84</f>
        <v>62.494611143290697</v>
      </c>
      <c r="DO153" s="125">
        <f>DO42/293.07*(1/(VLOOKUP($BM153,'Fuel economy adjusted factor'!$A$2:$L$52,5,FALSE)*m2k))/'TCO Inputs'!$AZ$84</f>
        <v>62.456028330076897</v>
      </c>
      <c r="DP153" s="125">
        <f>DP42/293.07*(1/(VLOOKUP($BM153,'Fuel economy adjusted factor'!$A$2:$L$52,5,FALSE)*m2k))/'TCO Inputs'!$AZ$84</f>
        <v>62.456028330076897</v>
      </c>
      <c r="DQ153" s="125">
        <f>DQ42/293.07*(1/(VLOOKUP($BM153,'Fuel economy adjusted factor'!$A$2:$L$52,5,FALSE)*m2k))/'TCO Inputs'!$AZ$84</f>
        <v>62.456028330076897</v>
      </c>
      <c r="DR153" s="125">
        <f>DR42/293.07*(1/(VLOOKUP($BM153,'Fuel economy adjusted factor'!$A$2:$L$52,5,FALSE)*m2k))/'TCO Inputs'!$AZ$84</f>
        <v>62.456028330076897</v>
      </c>
      <c r="DS153" s="125">
        <f>DS42/293.07*(1/(VLOOKUP($BM153,'Fuel economy adjusted factor'!$A$2:$L$52,5,FALSE)*m2k))/'TCO Inputs'!$AZ$84</f>
        <v>62.456028330076897</v>
      </c>
      <c r="DT153" s="125">
        <f>DT42/293.07*(1/(VLOOKUP($BM153,'Fuel economy adjusted factor'!$A$2:$L$52,5,FALSE)*m2k))/'TCO Inputs'!$AZ$84</f>
        <v>62.488246967915231</v>
      </c>
      <c r="DU153" s="98" cm="1">
        <f t="array" ref="DU153">SUMPRODUCT(INDEX(CS153:DT153,,'TCO Inputs'!$AZ$12-2023+_xlfn.SEQUENCE('TCO Inputs'!$AZ$13))*INDEX('VKT US'!C99:AA99,,_xlfn.SEQUENCE('TCO Inputs'!$AZ$13)))*m2k*CONVERT(0.9072,"g","ton")</f>
        <v>16.142114735348873</v>
      </c>
      <c r="DW153" s="123" t="s">
        <v>219</v>
      </c>
      <c r="DX153" s="125">
        <f>DX42/293.07*(1/(VLOOKUP($BM153,'Fuel economy adjusted factor'!$A$2:$L$52,5,FALSE)*m2k))/'TCO Inputs'!$AZ$84</f>
        <v>65.41576595469796</v>
      </c>
      <c r="DY153" s="125">
        <f>DY42/293.07*(1/(VLOOKUP($BM153,'Fuel economy adjusted factor'!$A$2:$L$52,5,FALSE)*m2k))/'TCO Inputs'!$AZ$84</f>
        <v>65.41576595469796</v>
      </c>
      <c r="DZ153" s="125">
        <f>DZ42/293.07*(1/(VLOOKUP($BM153,'Fuel economy adjusted factor'!$A$2:$L$52,5,FALSE)*m2k))/'TCO Inputs'!$AZ$84</f>
        <v>57.343479217607765</v>
      </c>
      <c r="EA153" s="125">
        <f>EA42/293.07*(1/(VLOOKUP($BM153,'Fuel economy adjusted factor'!$A$2:$L$52,5,FALSE)*m2k))/'TCO Inputs'!$AZ$84</f>
        <v>57.343479217607765</v>
      </c>
      <c r="EB153" s="125">
        <f>EB42/293.07*(1/(VLOOKUP($BM153,'Fuel economy adjusted factor'!$A$2:$L$52,5,FALSE)*m2k))/'TCO Inputs'!$AZ$84</f>
        <v>57.343479217607765</v>
      </c>
      <c r="EC153" s="125">
        <f>EC42/293.07*(1/(VLOOKUP($BM153,'Fuel economy adjusted factor'!$A$2:$L$52,5,FALSE)*m2k))/'TCO Inputs'!$AZ$84</f>
        <v>57.343479217607765</v>
      </c>
      <c r="ED153" s="125">
        <f>ED42/293.07*(1/(VLOOKUP($BM153,'Fuel economy adjusted factor'!$A$2:$L$52,5,FALSE)*m2k))/'TCO Inputs'!$AZ$84</f>
        <v>57.343479217607765</v>
      </c>
      <c r="EE153" s="125">
        <f>EE42/293.07*(1/(VLOOKUP($BM153,'Fuel economy adjusted factor'!$A$2:$L$52,5,FALSE)*m2k))/'TCO Inputs'!$AZ$84</f>
        <v>35.342861910769159</v>
      </c>
      <c r="EF153" s="125">
        <f>EF42/293.07*(1/(VLOOKUP($BM153,'Fuel economy adjusted factor'!$A$2:$L$52,5,FALSE)*m2k))/'TCO Inputs'!$AZ$84</f>
        <v>35.342861910769159</v>
      </c>
      <c r="EG153" s="125">
        <f>EG42/293.07*(1/(VLOOKUP($BM153,'Fuel economy adjusted factor'!$A$2:$L$52,5,FALSE)*m2k))/'TCO Inputs'!$AZ$84</f>
        <v>35.342861910769159</v>
      </c>
      <c r="EH153" s="125">
        <f>EH42/293.07*(1/(VLOOKUP($BM153,'Fuel economy adjusted factor'!$A$2:$L$52,5,FALSE)*m2k))/'TCO Inputs'!$AZ$84</f>
        <v>35.342861910769159</v>
      </c>
      <c r="EI153" s="125">
        <f>EI42/293.07*(1/(VLOOKUP($BM153,'Fuel economy adjusted factor'!$A$2:$L$52,5,FALSE)*m2k))/'TCO Inputs'!$AZ$84</f>
        <v>35.342861910769159</v>
      </c>
      <c r="EJ153" s="125">
        <f>EJ42/293.07*(1/(VLOOKUP($BM153,'Fuel economy adjusted factor'!$A$2:$L$52,5,FALSE)*m2k))/'TCO Inputs'!$AZ$84</f>
        <v>31.565328372662997</v>
      </c>
      <c r="EK153" s="125">
        <f>EK42/293.07*(1/(VLOOKUP($BM153,'Fuel economy adjusted factor'!$A$2:$L$52,5,FALSE)*m2k))/'TCO Inputs'!$AZ$84</f>
        <v>31.565328372662997</v>
      </c>
      <c r="EL153" s="125">
        <f>EL42/293.07*(1/(VLOOKUP($BM153,'Fuel economy adjusted factor'!$A$2:$L$52,5,FALSE)*m2k))/'TCO Inputs'!$AZ$84</f>
        <v>31.565328372662997</v>
      </c>
      <c r="EM153" s="125">
        <f>EM42/293.07*(1/(VLOOKUP($BM153,'Fuel economy adjusted factor'!$A$2:$L$52,5,FALSE)*m2k))/'TCO Inputs'!$AZ$84</f>
        <v>31.565328372662997</v>
      </c>
      <c r="EN153" s="125">
        <f>EN42/293.07*(1/(VLOOKUP($BM153,'Fuel economy adjusted factor'!$A$2:$L$52,5,FALSE)*m2k))/'TCO Inputs'!$AZ$84</f>
        <v>31.565328372662997</v>
      </c>
      <c r="EO153" s="125">
        <f>EO42/293.07*(1/(VLOOKUP($BM153,'Fuel economy adjusted factor'!$A$2:$L$52,5,FALSE)*m2k))/'TCO Inputs'!$AZ$84</f>
        <v>30.571823567829611</v>
      </c>
      <c r="EP153" s="125">
        <f>EP42/293.07*(1/(VLOOKUP($BM153,'Fuel economy adjusted factor'!$A$2:$L$52,5,FALSE)*m2k))/'TCO Inputs'!$AZ$84</f>
        <v>30.571823567829611</v>
      </c>
      <c r="EQ153" s="125">
        <f>EQ42/293.07*(1/(VLOOKUP($BM153,'Fuel economy adjusted factor'!$A$2:$L$52,5,FALSE)*m2k))/'TCO Inputs'!$AZ$84</f>
        <v>30.571823567829611</v>
      </c>
      <c r="ER153" s="125">
        <f>ER42/293.07*(1/(VLOOKUP($BM153,'Fuel economy adjusted factor'!$A$2:$L$52,5,FALSE)*m2k))/'TCO Inputs'!$AZ$84</f>
        <v>30.571823567829611</v>
      </c>
      <c r="ES153" s="125">
        <f>ES42/293.07*(1/(VLOOKUP($BM153,'Fuel economy adjusted factor'!$A$2:$L$52,5,FALSE)*m2k))/'TCO Inputs'!$AZ$84</f>
        <v>30.571823567829611</v>
      </c>
      <c r="ET153" s="125">
        <f>ET42/293.07*(1/(VLOOKUP($BM153,'Fuel economy adjusted factor'!$A$2:$L$52,5,FALSE)*m2k))/'TCO Inputs'!$AZ$84</f>
        <v>29.436733492700068</v>
      </c>
      <c r="EU153" s="125">
        <f>EU42/293.07*(1/(VLOOKUP($BM153,'Fuel economy adjusted factor'!$A$2:$L$52,5,FALSE)*m2k))/'TCO Inputs'!$AZ$84</f>
        <v>29.436733492700068</v>
      </c>
      <c r="EV153" s="125">
        <f>EV42/293.07*(1/(VLOOKUP($BM153,'Fuel economy adjusted factor'!$A$2:$L$52,5,FALSE)*m2k))/'TCO Inputs'!$AZ$84</f>
        <v>29.436733492700068</v>
      </c>
      <c r="EW153" s="125">
        <f>EW42/293.07*(1/(VLOOKUP($BM153,'Fuel economy adjusted factor'!$A$2:$L$52,5,FALSE)*m2k))/'TCO Inputs'!$AZ$84</f>
        <v>29.436733492700068</v>
      </c>
      <c r="EX153" s="125">
        <f>EX42/293.07*(1/(VLOOKUP($BM153,'Fuel economy adjusted factor'!$A$2:$L$52,5,FALSE)*m2k))/'TCO Inputs'!$AZ$84</f>
        <v>29.436733492700068</v>
      </c>
      <c r="EY153" s="125">
        <f>EY42/293.07*(1/(VLOOKUP($BM153,'Fuel economy adjusted factor'!$A$2:$L$52,5,FALSE)*m2k))/'TCO Inputs'!$AZ$84</f>
        <v>27.656804380405262</v>
      </c>
      <c r="EZ153" s="98" cm="1">
        <f t="array" ref="EZ153">SUMPRODUCT(INDEX(DX153:EY153,,'TCO Inputs'!$AZ$12-2023+_xlfn.SEQUENCE('TCO Inputs'!$AZ$13))*INDEX('VKT US'!C99:AA99,,_xlfn.SEQUENCE('TCO Inputs'!$AZ$13)))*m2k*CONVERT(0.9072,"g","ton")</f>
        <v>12.490967686120134</v>
      </c>
      <c r="FB153" s="123" t="s">
        <v>219</v>
      </c>
      <c r="FC153" s="125">
        <f>FC42/293.07*(1/(VLOOKUP($BM153,'Fuel economy adjusted factor'!$A$2:$L$52,5,FALSE)*m2k))/'TCO Inputs'!$AZ$84</f>
        <v>70.953002137913757</v>
      </c>
      <c r="FD153" s="125">
        <f>FD42/293.07*(1/(VLOOKUP($BM153,'Fuel economy adjusted factor'!$A$2:$L$52,5,FALSE)*m2k))/'TCO Inputs'!$AZ$84</f>
        <v>70.953002137913757</v>
      </c>
      <c r="FE153" s="125">
        <f>FE42/293.07*(1/(VLOOKUP($BM153,'Fuel economy adjusted factor'!$A$2:$L$52,5,FALSE)*m2k))/'TCO Inputs'!$AZ$84</f>
        <v>61.963300639210573</v>
      </c>
      <c r="FF153" s="125">
        <f>FF42/293.07*(1/(VLOOKUP($BM153,'Fuel economy adjusted factor'!$A$2:$L$52,5,FALSE)*m2k))/'TCO Inputs'!$AZ$84</f>
        <v>61.963300639210573</v>
      </c>
      <c r="FG153" s="125">
        <f>FG42/293.07*(1/(VLOOKUP($BM153,'Fuel economy adjusted factor'!$A$2:$L$52,5,FALSE)*m2k))/'TCO Inputs'!$AZ$84</f>
        <v>61.963300639210573</v>
      </c>
      <c r="FH153" s="125">
        <f>FH42/293.07*(1/(VLOOKUP($BM153,'Fuel economy adjusted factor'!$A$2:$L$52,5,FALSE)*m2k))/'TCO Inputs'!$AZ$84</f>
        <v>61.963300639210573</v>
      </c>
      <c r="FI153" s="125">
        <f>FI42/293.07*(1/(VLOOKUP($BM153,'Fuel economy adjusted factor'!$A$2:$L$52,5,FALSE)*m2k))/'TCO Inputs'!$AZ$84</f>
        <v>61.963300639210573</v>
      </c>
      <c r="FJ153" s="125">
        <f>FJ42/293.07*(1/(VLOOKUP($BM153,'Fuel economy adjusted factor'!$A$2:$L$52,5,FALSE)*m2k))/'TCO Inputs'!$AZ$84</f>
        <v>38.883456833277634</v>
      </c>
      <c r="FK153" s="125">
        <f>FK42/293.07*(1/(VLOOKUP($BM153,'Fuel economy adjusted factor'!$A$2:$L$52,5,FALSE)*m2k))/'TCO Inputs'!$AZ$84</f>
        <v>38.883456833277634</v>
      </c>
      <c r="FL153" s="125">
        <f>FL42/293.07*(1/(VLOOKUP($BM153,'Fuel economy adjusted factor'!$A$2:$L$52,5,FALSE)*m2k))/'TCO Inputs'!$AZ$84</f>
        <v>38.883456833277634</v>
      </c>
      <c r="FM153" s="125">
        <f>FM42/293.07*(1/(VLOOKUP($BM153,'Fuel economy adjusted factor'!$A$2:$L$52,5,FALSE)*m2k))/'TCO Inputs'!$AZ$84</f>
        <v>38.883456833277634</v>
      </c>
      <c r="FN153" s="125">
        <f>FN42/293.07*(1/(VLOOKUP($BM153,'Fuel economy adjusted factor'!$A$2:$L$52,5,FALSE)*m2k))/'TCO Inputs'!$AZ$84</f>
        <v>38.883456833277634</v>
      </c>
      <c r="FO153" s="125">
        <f>FO42/293.07*(1/(VLOOKUP($BM153,'Fuel economy adjusted factor'!$A$2:$L$52,5,FALSE)*m2k))/'TCO Inputs'!$AZ$84</f>
        <v>34.526579485082017</v>
      </c>
      <c r="FP153" s="125">
        <f>FP42/293.07*(1/(VLOOKUP($BM153,'Fuel economy adjusted factor'!$A$2:$L$52,5,FALSE)*m2k))/'TCO Inputs'!$AZ$84</f>
        <v>34.526579485082017</v>
      </c>
      <c r="FQ153" s="125">
        <f>FQ42/293.07*(1/(VLOOKUP($BM153,'Fuel economy adjusted factor'!$A$2:$L$52,5,FALSE)*m2k))/'TCO Inputs'!$AZ$84</f>
        <v>34.526579485082017</v>
      </c>
      <c r="FR153" s="125">
        <f>FR42/293.07*(1/(VLOOKUP($BM153,'Fuel economy adjusted factor'!$A$2:$L$52,5,FALSE)*m2k))/'TCO Inputs'!$AZ$84</f>
        <v>34.526579485082017</v>
      </c>
      <c r="FS153" s="125">
        <f>FS42/293.07*(1/(VLOOKUP($BM153,'Fuel economy adjusted factor'!$A$2:$L$52,5,FALSE)*m2k))/'TCO Inputs'!$AZ$84</f>
        <v>34.526579485082017</v>
      </c>
      <c r="FT153" s="125">
        <f>FT42/293.07*(1/(VLOOKUP($BM153,'Fuel economy adjusted factor'!$A$2:$L$52,5,FALSE)*m2k))/'TCO Inputs'!$AZ$84</f>
        <v>33.64769132763125</v>
      </c>
      <c r="FU153" s="125">
        <f>FU42/293.07*(1/(VLOOKUP($BM153,'Fuel economy adjusted factor'!$A$2:$L$52,5,FALSE)*m2k))/'TCO Inputs'!$AZ$84</f>
        <v>33.64769132763125</v>
      </c>
      <c r="FV153" s="125">
        <f>FV42/293.07*(1/(VLOOKUP($BM153,'Fuel economy adjusted factor'!$A$2:$L$52,5,FALSE)*m2k))/'TCO Inputs'!$AZ$84</f>
        <v>33.64769132763125</v>
      </c>
      <c r="FW153" s="125">
        <f>FW42/293.07*(1/(VLOOKUP($BM153,'Fuel economy adjusted factor'!$A$2:$L$52,5,FALSE)*m2k))/'TCO Inputs'!$AZ$84</f>
        <v>33.64769132763125</v>
      </c>
      <c r="FX153" s="125">
        <f>FX42/293.07*(1/(VLOOKUP($BM153,'Fuel economy adjusted factor'!$A$2:$L$52,5,FALSE)*m2k))/'TCO Inputs'!$AZ$84</f>
        <v>33.64769132763125</v>
      </c>
      <c r="FY153" s="125">
        <f>FY42/293.07*(1/(VLOOKUP($BM153,'Fuel economy adjusted factor'!$A$2:$L$52,5,FALSE)*m2k))/'TCO Inputs'!$AZ$84</f>
        <v>32.510193339741562</v>
      </c>
      <c r="FZ153" s="125">
        <f>FZ42/293.07*(1/(VLOOKUP($BM153,'Fuel economy adjusted factor'!$A$2:$L$52,5,FALSE)*m2k))/'TCO Inputs'!$AZ$84</f>
        <v>32.510193339741562</v>
      </c>
      <c r="GA153" s="125">
        <f>GA42/293.07*(1/(VLOOKUP($BM153,'Fuel economy adjusted factor'!$A$2:$L$52,5,FALSE)*m2k))/'TCO Inputs'!$AZ$84</f>
        <v>32.510193339741562</v>
      </c>
      <c r="GB153" s="125">
        <f>GB42/293.07*(1/(VLOOKUP($BM153,'Fuel economy adjusted factor'!$A$2:$L$52,5,FALSE)*m2k))/'TCO Inputs'!$AZ$84</f>
        <v>32.510193339741562</v>
      </c>
      <c r="GC153" s="125">
        <f>GC42/293.07*(1/(VLOOKUP($BM153,'Fuel economy adjusted factor'!$A$2:$L$52,5,FALSE)*m2k))/'TCO Inputs'!$AZ$84</f>
        <v>32.510193339741562</v>
      </c>
      <c r="GD153" s="125">
        <f>GD42/293.07*(1/(VLOOKUP($BM153,'Fuel economy adjusted factor'!$A$2:$L$52,5,FALSE)*m2k))/'TCO Inputs'!$AZ$84</f>
        <v>30.668621660787203</v>
      </c>
      <c r="GE153" s="98" cm="1">
        <f t="array" ref="GE153">SUMPRODUCT(INDEX(FC153:GD153,,'TCO Inputs'!$AZ$12-2023+_xlfn.SEQUENCE('TCO Inputs'!$AZ$13))*INDEX('VKT US'!C99:AA99,,_xlfn.SEQUENCE('TCO Inputs'!$AZ$13)))*m2k*CONVERT(0.9072,"g","ton")</f>
        <v>13.580974304985755</v>
      </c>
      <c r="GH153" s="123" t="s">
        <v>219</v>
      </c>
      <c r="GI153" s="125">
        <f>GI42/293.07*(1/(VLOOKUP($BM153,'Fuel economy adjusted factor'!$A$2:$L$52,5,FALSE)*m2k))/'TCO Inputs'!$AZ$84</f>
        <v>61.646900902528301</v>
      </c>
      <c r="GJ153" s="125">
        <f>GJ42/293.07*(1/(VLOOKUP($BM153,'Fuel economy adjusted factor'!$A$2:$L$52,5,FALSE)*m2k))/'TCO Inputs'!$AZ$84</f>
        <v>61.646900902528301</v>
      </c>
      <c r="GK153" s="125">
        <f>GK42/293.07*(1/(VLOOKUP($BM153,'Fuel economy adjusted factor'!$A$2:$L$52,5,FALSE)*m2k))/'TCO Inputs'!$AZ$84</f>
        <v>54.199226735418179</v>
      </c>
      <c r="GL153" s="125">
        <f>GL42/293.07*(1/(VLOOKUP($BM153,'Fuel economy adjusted factor'!$A$2:$L$52,5,FALSE)*m2k))/'TCO Inputs'!$AZ$84</f>
        <v>54.199226735418179</v>
      </c>
      <c r="GM153" s="125">
        <f>GM42/293.07*(1/(VLOOKUP($BM153,'Fuel economy adjusted factor'!$A$2:$L$52,5,FALSE)*m2k))/'TCO Inputs'!$AZ$84</f>
        <v>54.199226735418179</v>
      </c>
      <c r="GN153" s="125">
        <f>GN42/293.07*(1/(VLOOKUP($BM153,'Fuel economy adjusted factor'!$A$2:$L$52,5,FALSE)*m2k))/'TCO Inputs'!$AZ$84</f>
        <v>54.199226735418179</v>
      </c>
      <c r="GO153" s="125">
        <f>GO42/293.07*(1/(VLOOKUP($BM153,'Fuel economy adjusted factor'!$A$2:$L$52,5,FALSE)*m2k))/'TCO Inputs'!$AZ$84</f>
        <v>54.199226735418179</v>
      </c>
      <c r="GP153" s="125">
        <f>GP42/293.07*(1/(VLOOKUP($BM153,'Fuel economy adjusted factor'!$A$2:$L$52,5,FALSE)*m2k))/'TCO Inputs'!$AZ$84</f>
        <v>32.933022820421982</v>
      </c>
      <c r="GQ153" s="125">
        <f>GQ42/293.07*(1/(VLOOKUP($BM153,'Fuel economy adjusted factor'!$A$2:$L$52,5,FALSE)*m2k))/'TCO Inputs'!$AZ$84</f>
        <v>32.933022820421982</v>
      </c>
      <c r="GR153" s="125">
        <f>GR42/293.07*(1/(VLOOKUP($BM153,'Fuel economy adjusted factor'!$A$2:$L$52,5,FALSE)*m2k))/'TCO Inputs'!$AZ$84</f>
        <v>32.933022820421982</v>
      </c>
      <c r="GS153" s="125">
        <f>GS42/293.07*(1/(VLOOKUP($BM153,'Fuel economy adjusted factor'!$A$2:$L$52,5,FALSE)*m2k))/'TCO Inputs'!$AZ$84</f>
        <v>32.933022820421982</v>
      </c>
      <c r="GT153" s="125">
        <f>GT42/293.07*(1/(VLOOKUP($BM153,'Fuel economy adjusted factor'!$A$2:$L$52,5,FALSE)*m2k))/'TCO Inputs'!$AZ$84</f>
        <v>32.933022820421982</v>
      </c>
      <c r="GU153" s="125">
        <f>GU42/293.07*(1/(VLOOKUP($BM153,'Fuel economy adjusted factor'!$A$2:$L$52,5,FALSE)*m2k))/'TCO Inputs'!$AZ$84</f>
        <v>29.549905392426599</v>
      </c>
      <c r="GV153" s="125">
        <f>GV42/293.07*(1/(VLOOKUP($BM153,'Fuel economy adjusted factor'!$A$2:$L$52,5,FALSE)*m2k))/'TCO Inputs'!$AZ$84</f>
        <v>29.549905392426599</v>
      </c>
      <c r="GW153" s="125">
        <f>GW42/293.07*(1/(VLOOKUP($BM153,'Fuel economy adjusted factor'!$A$2:$L$52,5,FALSE)*m2k))/'TCO Inputs'!$AZ$84</f>
        <v>29.549905392426599</v>
      </c>
      <c r="GX153" s="125">
        <f>GX42/293.07*(1/(VLOOKUP($BM153,'Fuel economy adjusted factor'!$A$2:$L$52,5,FALSE)*m2k))/'TCO Inputs'!$AZ$84</f>
        <v>29.549905392426599</v>
      </c>
      <c r="GY153" s="125">
        <f>GY42/293.07*(1/(VLOOKUP($BM153,'Fuel economy adjusted factor'!$A$2:$L$52,5,FALSE)*m2k))/'TCO Inputs'!$AZ$84</f>
        <v>29.549905392426599</v>
      </c>
      <c r="GZ153" s="125">
        <f>GZ42/293.07*(1/(VLOOKUP($BM153,'Fuel economy adjusted factor'!$A$2:$L$52,5,FALSE)*m2k))/'TCO Inputs'!$AZ$84</f>
        <v>28.478384214164713</v>
      </c>
      <c r="HA153" s="125">
        <f>HA42/293.07*(1/(VLOOKUP($BM153,'Fuel economy adjusted factor'!$A$2:$L$52,5,FALSE)*m2k))/'TCO Inputs'!$AZ$84</f>
        <v>28.478384214164713</v>
      </c>
      <c r="HB153" s="125">
        <f>HB42/293.07*(1/(VLOOKUP($BM153,'Fuel economy adjusted factor'!$A$2:$L$52,5,FALSE)*m2k))/'TCO Inputs'!$AZ$84</f>
        <v>28.478384214164713</v>
      </c>
      <c r="HC153" s="125">
        <f>HC42/293.07*(1/(VLOOKUP($BM153,'Fuel economy adjusted factor'!$A$2:$L$52,5,FALSE)*m2k))/'TCO Inputs'!$AZ$84</f>
        <v>28.478384214164713</v>
      </c>
      <c r="HD153" s="125">
        <f>HD42/293.07*(1/(VLOOKUP($BM153,'Fuel economy adjusted factor'!$A$2:$L$52,5,FALSE)*m2k))/'TCO Inputs'!$AZ$84</f>
        <v>28.478384214164713</v>
      </c>
      <c r="HE153" s="125">
        <f>HE42/293.07*(1/(VLOOKUP($BM153,'Fuel economy adjusted factor'!$A$2:$L$52,5,FALSE)*m2k))/'TCO Inputs'!$AZ$84</f>
        <v>27.344738886691239</v>
      </c>
      <c r="HF153" s="125">
        <f>HF42/293.07*(1/(VLOOKUP($BM153,'Fuel economy adjusted factor'!$A$2:$L$52,5,FALSE)*m2k))/'TCO Inputs'!$AZ$84</f>
        <v>27.344738886691239</v>
      </c>
      <c r="HG153" s="125">
        <f>HG42/293.07*(1/(VLOOKUP($BM153,'Fuel economy adjusted factor'!$A$2:$L$52,5,FALSE)*m2k))/'TCO Inputs'!$AZ$84</f>
        <v>27.344738886691239</v>
      </c>
      <c r="HH153" s="125">
        <f>HH42/293.07*(1/(VLOOKUP($BM153,'Fuel economy adjusted factor'!$A$2:$L$52,5,FALSE)*m2k))/'TCO Inputs'!$AZ$84</f>
        <v>27.344738886691239</v>
      </c>
      <c r="HI153" s="125">
        <f>HI42/293.07*(1/(VLOOKUP($BM153,'Fuel economy adjusted factor'!$A$2:$L$52,5,FALSE)*m2k))/'TCO Inputs'!$AZ$84</f>
        <v>27.344738886691239</v>
      </c>
      <c r="HJ153" s="125">
        <f>HJ42/293.07*(1/(VLOOKUP($BM153,'Fuel economy adjusted factor'!$A$2:$L$52,5,FALSE)*m2k))/'TCO Inputs'!$AZ$84</f>
        <v>25.607189038974894</v>
      </c>
      <c r="HK153" s="98" cm="1">
        <f t="array" ref="HK153">SUMPRODUCT(INDEX(GI153:HJ153,,'TCO Inputs'!$AZ$12-2023+_xlfn.SEQUENCE('TCO Inputs'!$AZ$13))*INDEX('VKT US'!C99:AA99,,_xlfn.SEQUENCE('TCO Inputs'!$AZ$13)))*m2k*CONVERT(0.9072,"g","ton")</f>
        <v>11.749090032236939</v>
      </c>
    </row>
    <row r="154" spans="26:219" x14ac:dyDescent="0.25">
      <c r="Z154" s="123" t="s">
        <v>220</v>
      </c>
      <c r="AA154" s="125">
        <f>AA43/293.07*(1/(VLOOKUP($Z154,'Fuel economy adjusted factor'!$A$2:$L$52,5,FALSE)*m2k))/'TCO Inputs'!$AZ$84</f>
        <v>89.606194507563885</v>
      </c>
      <c r="AB154" s="125">
        <f>AB43/293.07*(1/(VLOOKUP($Z154,'Fuel economy adjusted factor'!$A$2:$L$52,5,FALSE)*m2k))/'TCO Inputs'!$AZ$84</f>
        <v>89.606194507563885</v>
      </c>
      <c r="AC154" s="125">
        <f>AC43/293.07*(1/(VLOOKUP($Z154,'Fuel economy adjusted factor'!$A$2:$L$52,5,FALSE)*m2k))/'TCO Inputs'!$AZ$84</f>
        <v>78.808095976304287</v>
      </c>
      <c r="AD154" s="125">
        <f>AD43/293.07*(1/(VLOOKUP($Z154,'Fuel economy adjusted factor'!$A$2:$L$52,5,FALSE)*m2k))/'TCO Inputs'!$AZ$84</f>
        <v>78.808095976304287</v>
      </c>
      <c r="AE154" s="125">
        <f>AE43/293.07*(1/(VLOOKUP($Z154,'Fuel economy adjusted factor'!$A$2:$L$52,5,FALSE)*m2k))/'TCO Inputs'!$AZ$84</f>
        <v>78.808095976304287</v>
      </c>
      <c r="AF154" s="125">
        <f>AF43/293.07*(1/(VLOOKUP($Z154,'Fuel economy adjusted factor'!$A$2:$L$52,5,FALSE)*m2k))/'TCO Inputs'!$AZ$84</f>
        <v>78.808095976304287</v>
      </c>
      <c r="AG154" s="125">
        <f>AG43/293.07*(1/(VLOOKUP($Z154,'Fuel economy adjusted factor'!$A$2:$L$52,5,FALSE)*m2k))/'TCO Inputs'!$AZ$84</f>
        <v>78.808095976304287</v>
      </c>
      <c r="AH154" s="125">
        <f>AH43/293.07*(1/(VLOOKUP($Z154,'Fuel economy adjusted factor'!$A$2:$L$52,5,FALSE)*m2k))/'TCO Inputs'!$AZ$84</f>
        <v>47.350873971252184</v>
      </c>
      <c r="AI154" s="125">
        <f>AI43/293.07*(1/(VLOOKUP($Z154,'Fuel economy adjusted factor'!$A$2:$L$52,5,FALSE)*m2k))/'TCO Inputs'!$AZ$84</f>
        <v>47.350873971252184</v>
      </c>
      <c r="AJ154" s="125">
        <f>AJ43/293.07*(1/(VLOOKUP($Z154,'Fuel economy adjusted factor'!$A$2:$L$52,5,FALSE)*m2k))/'TCO Inputs'!$AZ$84</f>
        <v>47.350873971252184</v>
      </c>
      <c r="AK154" s="125">
        <f>AK43/293.07*(1/(VLOOKUP($Z154,'Fuel economy adjusted factor'!$A$2:$L$52,5,FALSE)*m2k))/'TCO Inputs'!$AZ$84</f>
        <v>47.350873971252184</v>
      </c>
      <c r="AL154" s="125">
        <f>AL43/293.07*(1/(VLOOKUP($Z154,'Fuel economy adjusted factor'!$A$2:$L$52,5,FALSE)*m2k))/'TCO Inputs'!$AZ$84</f>
        <v>47.350873971252184</v>
      </c>
      <c r="AM154" s="125">
        <f>AM43/293.07*(1/(VLOOKUP($Z154,'Fuel economy adjusted factor'!$A$2:$L$52,5,FALSE)*m2k))/'TCO Inputs'!$AZ$84</f>
        <v>49.551650336227844</v>
      </c>
      <c r="AN154" s="125">
        <f>AN43/293.07*(1/(VLOOKUP($Z154,'Fuel economy adjusted factor'!$A$2:$L$52,5,FALSE)*m2k))/'TCO Inputs'!$AZ$84</f>
        <v>49.551650336227844</v>
      </c>
      <c r="AO154" s="125">
        <f>AO43/293.07*(1/(VLOOKUP($Z154,'Fuel economy adjusted factor'!$A$2:$L$52,5,FALSE)*m2k))/'TCO Inputs'!$AZ$84</f>
        <v>49.551650336227844</v>
      </c>
      <c r="AP154" s="125">
        <f>AP43/293.07*(1/(VLOOKUP($Z154,'Fuel economy adjusted factor'!$A$2:$L$52,5,FALSE)*m2k))/'TCO Inputs'!$AZ$84</f>
        <v>49.551650336227844</v>
      </c>
      <c r="AQ154" s="125">
        <f>AQ43/293.07*(1/(VLOOKUP($Z154,'Fuel economy adjusted factor'!$A$2:$L$52,5,FALSE)*m2k))/'TCO Inputs'!$AZ$84</f>
        <v>49.551650336227844</v>
      </c>
      <c r="AR154" s="125">
        <f>AR43/293.07*(1/(VLOOKUP($Z154,'Fuel economy adjusted factor'!$A$2:$L$52,5,FALSE)*m2k))/'TCO Inputs'!$AZ$84</f>
        <v>51.79869341486944</v>
      </c>
      <c r="AS154" s="125">
        <f>AS43/293.07*(1/(VLOOKUP($Z154,'Fuel economy adjusted factor'!$A$2:$L$52,5,FALSE)*m2k))/'TCO Inputs'!$AZ$84</f>
        <v>51.79869341486944</v>
      </c>
      <c r="AT154" s="125">
        <f>AT43/293.07*(1/(VLOOKUP($Z154,'Fuel economy adjusted factor'!$A$2:$L$52,5,FALSE)*m2k))/'TCO Inputs'!$AZ$84</f>
        <v>51.79869341486944</v>
      </c>
      <c r="AU154" s="125">
        <f>AU43/293.07*(1/(VLOOKUP($Z154,'Fuel economy adjusted factor'!$A$2:$L$52,5,FALSE)*m2k))/'TCO Inputs'!$AZ$84</f>
        <v>51.79869341486944</v>
      </c>
      <c r="AV154" s="125">
        <f>AV43/293.07*(1/(VLOOKUP($Z154,'Fuel economy adjusted factor'!$A$2:$L$52,5,FALSE)*m2k))/'TCO Inputs'!$AZ$84</f>
        <v>51.79869341486944</v>
      </c>
      <c r="AW154" s="125">
        <f>AW43/293.07*(1/(VLOOKUP($Z154,'Fuel economy adjusted factor'!$A$2:$L$52,5,FALSE)*m2k))/'TCO Inputs'!$AZ$84</f>
        <v>52.935335365528346</v>
      </c>
      <c r="AX154" s="125">
        <f>AX43/293.07*(1/(VLOOKUP($Z154,'Fuel economy adjusted factor'!$A$2:$L$52,5,FALSE)*m2k))/'TCO Inputs'!$AZ$84</f>
        <v>52.935335365528346</v>
      </c>
      <c r="AY154" s="125">
        <f>AY43/293.07*(1/(VLOOKUP($Z154,'Fuel economy adjusted factor'!$A$2:$L$52,5,FALSE)*m2k))/'TCO Inputs'!$AZ$84</f>
        <v>52.935335365528346</v>
      </c>
      <c r="AZ154" s="125">
        <f>AZ43/293.07*(1/(VLOOKUP($Z154,'Fuel economy adjusted factor'!$A$2:$L$52,5,FALSE)*m2k))/'TCO Inputs'!$AZ$84</f>
        <v>52.935335365528346</v>
      </c>
      <c r="BA154" s="125">
        <f>BA43/293.07*(1/(VLOOKUP($Z154,'Fuel economy adjusted factor'!$A$2:$L$52,5,FALSE)*m2k))/'TCO Inputs'!$AZ$84</f>
        <v>52.935335365528346</v>
      </c>
      <c r="BB154" s="125">
        <f>BB43/293.07*(1/(VLOOKUP($Z154,'Fuel economy adjusted factor'!$A$2:$L$52,5,FALSE)*m2k))/'TCO Inputs'!$AZ$84</f>
        <v>53.007152353905347</v>
      </c>
      <c r="BC154" s="98" cm="1">
        <f t="array" ref="BC154">SUMPRODUCT(INDEX(AA154:BB154,,'TCO Inputs'!$AZ$12-2023+_xlfn.SEQUENCE('TCO Inputs'!$AZ$13))*INDEX('VKT US'!C100:AA100,,_xlfn.SEQUENCE('TCO Inputs'!$AZ$13)))*m2k*CONVERT(0.9072,"g","ton")</f>
        <v>16.149976861131776</v>
      </c>
      <c r="BM154" s="123" t="s">
        <v>220</v>
      </c>
      <c r="BN154" s="125">
        <f>BN43/293.07*(1/(VLOOKUP($BM154,'Fuel economy adjusted factor'!$A$2:$L$52,5,FALSE)*m2k))</f>
        <v>76.165265331429296</v>
      </c>
      <c r="BO154" s="125">
        <f>BO43/293.07*(1/(VLOOKUP($BM154,'Fuel economy adjusted factor'!$A$2:$L$52,5,FALSE)*m2k))</f>
        <v>76.165265331429296</v>
      </c>
      <c r="BP154" s="125">
        <f>BP43/293.07*(1/(VLOOKUP($BM154,'Fuel economy adjusted factor'!$A$2:$L$52,5,FALSE)*m2k))</f>
        <v>66.899423680070697</v>
      </c>
      <c r="BQ154" s="125">
        <f>BQ43/293.07*(1/(VLOOKUP($BM154,'Fuel economy adjusted factor'!$A$2:$L$52,5,FALSE)*m2k))</f>
        <v>66.899423680070697</v>
      </c>
      <c r="BR154" s="125">
        <f>BR43/293.07*(1/(VLOOKUP($BM154,'Fuel economy adjusted factor'!$A$2:$L$52,5,FALSE)*m2k))</f>
        <v>66.899423680070697</v>
      </c>
      <c r="BS154" s="125">
        <f>BS43/293.07*(1/(VLOOKUP($BM154,'Fuel economy adjusted factor'!$A$2:$L$52,5,FALSE)*m2k))</f>
        <v>66.899423680070697</v>
      </c>
      <c r="BT154" s="125">
        <f>BT43/293.07*(1/(VLOOKUP($BM154,'Fuel economy adjusted factor'!$A$2:$L$52,5,FALSE)*m2k))</f>
        <v>66.899423680070697</v>
      </c>
      <c r="BU154" s="125">
        <f>BU43/293.07*(1/(VLOOKUP($BM154,'Fuel economy adjusted factor'!$A$2:$L$52,5,FALSE)*m2k))</f>
        <v>75.834803602700362</v>
      </c>
      <c r="BV154" s="125">
        <f>BV43/293.07*(1/(VLOOKUP($BM154,'Fuel economy adjusted factor'!$A$2:$L$52,5,FALSE)*m2k))</f>
        <v>75.834803602700362</v>
      </c>
      <c r="BW154" s="125">
        <f>BW43/293.07*(1/(VLOOKUP($BM154,'Fuel economy adjusted factor'!$A$2:$L$52,5,FALSE)*m2k))</f>
        <v>75.834803602700362</v>
      </c>
      <c r="BX154" s="125">
        <f>BX43/293.07*(1/(VLOOKUP($BM154,'Fuel economy adjusted factor'!$A$2:$L$52,5,FALSE)*m2k))</f>
        <v>75.834803602700362</v>
      </c>
      <c r="BY154" s="125">
        <f>BY43/293.07*(1/(VLOOKUP($BM154,'Fuel economy adjusted factor'!$A$2:$L$52,5,FALSE)*m2k))</f>
        <v>75.834803602700362</v>
      </c>
      <c r="BZ154" s="125">
        <f>BZ43/293.07*(1/(VLOOKUP($BM154,'Fuel economy adjusted factor'!$A$2:$L$52,5,FALSE)*m2k))</f>
        <v>77.658506251298562</v>
      </c>
      <c r="CA154" s="125">
        <f>CA43/293.07*(1/(VLOOKUP($BM154,'Fuel economy adjusted factor'!$A$2:$L$52,5,FALSE)*m2k))</f>
        <v>77.658506251298562</v>
      </c>
      <c r="CB154" s="125">
        <f>CB43/293.07*(1/(VLOOKUP($BM154,'Fuel economy adjusted factor'!$A$2:$L$52,5,FALSE)*m2k))</f>
        <v>77.658506251298562</v>
      </c>
      <c r="CC154" s="125">
        <f>CC43/293.07*(1/(VLOOKUP($BM154,'Fuel economy adjusted factor'!$A$2:$L$52,5,FALSE)*m2k))</f>
        <v>77.658506251298562</v>
      </c>
      <c r="CD154" s="125">
        <f>CD43/293.07*(1/(VLOOKUP($BM154,'Fuel economy adjusted factor'!$A$2:$L$52,5,FALSE)*m2k))</f>
        <v>77.658506251298562</v>
      </c>
      <c r="CE154" s="125">
        <f>CE43/293.07*(1/(VLOOKUP($BM154,'Fuel economy adjusted factor'!$A$2:$L$52,5,FALSE)*m2k))</f>
        <v>79.577884320470147</v>
      </c>
      <c r="CF154" s="125">
        <f>CF43/293.07*(1/(VLOOKUP($BM154,'Fuel economy adjusted factor'!$A$2:$L$52,5,FALSE)*m2k))</f>
        <v>79.577884320470147</v>
      </c>
      <c r="CG154" s="125">
        <f>CG43/293.07*(1/(VLOOKUP($BM154,'Fuel economy adjusted factor'!$A$2:$L$52,5,FALSE)*m2k))</f>
        <v>79.577884320470147</v>
      </c>
      <c r="CH154" s="125">
        <f>CH43/293.07*(1/(VLOOKUP($BM154,'Fuel economy adjusted factor'!$A$2:$L$52,5,FALSE)*m2k))</f>
        <v>79.577884320470147</v>
      </c>
      <c r="CI154" s="125">
        <f>CI43/293.07*(1/(VLOOKUP($BM154,'Fuel economy adjusted factor'!$A$2:$L$52,5,FALSE)*m2k))</f>
        <v>79.577884320470147</v>
      </c>
      <c r="CJ154" s="125">
        <f>CJ43/293.07*(1/(VLOOKUP($BM154,'Fuel economy adjusted factor'!$A$2:$L$52,5,FALSE)*m2k))</f>
        <v>80.033369758291911</v>
      </c>
      <c r="CK154" s="125">
        <f>CK43/293.07*(1/(VLOOKUP($BM154,'Fuel economy adjusted factor'!$A$2:$L$52,5,FALSE)*m2k))</f>
        <v>80.033369758291911</v>
      </c>
      <c r="CL154" s="125">
        <f>CL43/293.07*(1/(VLOOKUP($BM154,'Fuel economy adjusted factor'!$A$2:$L$52,5,FALSE)*m2k))</f>
        <v>80.033369758291911</v>
      </c>
      <c r="CM154" s="125">
        <f>CM43/293.07*(1/(VLOOKUP($BM154,'Fuel economy adjusted factor'!$A$2:$L$52,5,FALSE)*m2k))</f>
        <v>80.033369758291911</v>
      </c>
      <c r="CN154" s="125">
        <f>CN43/293.07*(1/(VLOOKUP($BM154,'Fuel economy adjusted factor'!$A$2:$L$52,5,FALSE)*m2k))</f>
        <v>80.033369758291911</v>
      </c>
      <c r="CO154" s="125">
        <f>CO43/293.07*(1/(VLOOKUP($BM154,'Fuel economy adjusted factor'!$A$2:$L$52,5,FALSE)*m2k))</f>
        <v>80.577487027442388</v>
      </c>
      <c r="CP154" s="98" cm="1">
        <f t="array" ref="CP154">SUMPRODUCT(INDEX(BN154:CO154,,'TCO Inputs'!$AZ$12-2023+_xlfn.SEQUENCE('TCO Inputs'!$AZ$13))*INDEX('VKT US'!C100:AA100,,_xlfn.SEQUENCE('TCO Inputs'!$AZ$13)))*m2k*CONVERT(0.9072,"g","ton")</f>
        <v>17.590774128004504</v>
      </c>
      <c r="CQ154" s="194"/>
      <c r="CR154" s="123" t="s">
        <v>220</v>
      </c>
      <c r="CS154" s="125">
        <f>CS43/293.07*(1/(VLOOKUP($BM154,'Fuel economy adjusted factor'!$A$2:$L$52,5,FALSE)*m2k))/'TCO Inputs'!$AZ$84</f>
        <v>108.4892286149562</v>
      </c>
      <c r="CT154" s="125">
        <f>CT43/293.07*(1/(VLOOKUP($BM154,'Fuel economy adjusted factor'!$A$2:$L$52,5,FALSE)*m2k))/'TCO Inputs'!$AZ$84</f>
        <v>108.4892286149562</v>
      </c>
      <c r="CU154" s="125">
        <f>CU43/293.07*(1/(VLOOKUP($BM154,'Fuel economy adjusted factor'!$A$2:$L$52,5,FALSE)*m2k))/'TCO Inputs'!$AZ$84</f>
        <v>108.4892286149562</v>
      </c>
      <c r="CV154" s="125">
        <f>CV43/293.07*(1/(VLOOKUP($BM154,'Fuel economy adjusted factor'!$A$2:$L$52,5,FALSE)*m2k))/'TCO Inputs'!$AZ$84</f>
        <v>108.4892286149562</v>
      </c>
      <c r="CW154" s="125">
        <f>CW43/293.07*(1/(VLOOKUP($BM154,'Fuel economy adjusted factor'!$A$2:$L$52,5,FALSE)*m2k))/'TCO Inputs'!$AZ$84</f>
        <v>108.4892286149562</v>
      </c>
      <c r="CX154" s="125">
        <f>CX43/293.07*(1/(VLOOKUP($BM154,'Fuel economy adjusted factor'!$A$2:$L$52,5,FALSE)*m2k))/'TCO Inputs'!$AZ$84</f>
        <v>108.4892286149562</v>
      </c>
      <c r="CY154" s="125">
        <f>CY43/293.07*(1/(VLOOKUP($BM154,'Fuel economy adjusted factor'!$A$2:$L$52,5,FALSE)*m2k))/'TCO Inputs'!$AZ$84</f>
        <v>108.4892286149562</v>
      </c>
      <c r="CZ154" s="125">
        <f>CZ43/293.07*(1/(VLOOKUP($BM154,'Fuel economy adjusted factor'!$A$2:$L$52,5,FALSE)*m2k))/'TCO Inputs'!$AZ$84</f>
        <v>108.5133977937369</v>
      </c>
      <c r="DA154" s="125">
        <f>DA43/293.07*(1/(VLOOKUP($BM154,'Fuel economy adjusted factor'!$A$2:$L$52,5,FALSE)*m2k))/'TCO Inputs'!$AZ$84</f>
        <v>108.5133977937369</v>
      </c>
      <c r="DB154" s="125">
        <f>DB43/293.07*(1/(VLOOKUP($BM154,'Fuel economy adjusted factor'!$A$2:$L$52,5,FALSE)*m2k))/'TCO Inputs'!$AZ$84</f>
        <v>108.5133977937369</v>
      </c>
      <c r="DC154" s="125">
        <f>DC43/293.07*(1/(VLOOKUP($BM154,'Fuel economy adjusted factor'!$A$2:$L$52,5,FALSE)*m2k))/'TCO Inputs'!$AZ$84</f>
        <v>108.5133977937369</v>
      </c>
      <c r="DD154" s="125">
        <f>DD43/293.07*(1/(VLOOKUP($BM154,'Fuel economy adjusted factor'!$A$2:$L$52,5,FALSE)*m2k))/'TCO Inputs'!$AZ$84</f>
        <v>108.5133977937369</v>
      </c>
      <c r="DE154" s="125">
        <f>DE43/293.07*(1/(VLOOKUP($BM154,'Fuel economy adjusted factor'!$A$2:$L$52,5,FALSE)*m2k))/'TCO Inputs'!$AZ$84</f>
        <v>108.49958683443366</v>
      </c>
      <c r="DF154" s="125">
        <f>DF43/293.07*(1/(VLOOKUP($BM154,'Fuel economy adjusted factor'!$A$2:$L$52,5,FALSE)*m2k))/'TCO Inputs'!$AZ$84</f>
        <v>108.49958683443366</v>
      </c>
      <c r="DG154" s="125">
        <f>DG43/293.07*(1/(VLOOKUP($BM154,'Fuel economy adjusted factor'!$A$2:$L$52,5,FALSE)*m2k))/'TCO Inputs'!$AZ$84</f>
        <v>108.49958683443366</v>
      </c>
      <c r="DH154" s="125">
        <f>DH43/293.07*(1/(VLOOKUP($BM154,'Fuel economy adjusted factor'!$A$2:$L$52,5,FALSE)*m2k))/'TCO Inputs'!$AZ$84</f>
        <v>108.49958683443366</v>
      </c>
      <c r="DI154" s="125">
        <f>DI43/293.07*(1/(VLOOKUP($BM154,'Fuel economy adjusted factor'!$A$2:$L$52,5,FALSE)*m2k))/'TCO Inputs'!$AZ$84</f>
        <v>108.49958683443366</v>
      </c>
      <c r="DJ154" s="125">
        <f>DJ43/293.07*(1/(VLOOKUP($BM154,'Fuel economy adjusted factor'!$A$2:$L$52,5,FALSE)*m2k))/'TCO Inputs'!$AZ$84</f>
        <v>108.49613409460783</v>
      </c>
      <c r="DK154" s="125">
        <f>DK43/293.07*(1/(VLOOKUP($BM154,'Fuel economy adjusted factor'!$A$2:$L$52,5,FALSE)*m2k))/'TCO Inputs'!$AZ$84</f>
        <v>108.49613409460783</v>
      </c>
      <c r="DL154" s="125">
        <f>DL43/293.07*(1/(VLOOKUP($BM154,'Fuel economy adjusted factor'!$A$2:$L$52,5,FALSE)*m2k))/'TCO Inputs'!$AZ$84</f>
        <v>108.49613409460783</v>
      </c>
      <c r="DM154" s="125">
        <f>DM43/293.07*(1/(VLOOKUP($BM154,'Fuel economy adjusted factor'!$A$2:$L$52,5,FALSE)*m2k))/'TCO Inputs'!$AZ$84</f>
        <v>108.49613409460783</v>
      </c>
      <c r="DN154" s="125">
        <f>DN43/293.07*(1/(VLOOKUP($BM154,'Fuel economy adjusted factor'!$A$2:$L$52,5,FALSE)*m2k))/'TCO Inputs'!$AZ$84</f>
        <v>108.49613409460783</v>
      </c>
      <c r="DO154" s="125">
        <f>DO43/293.07*(1/(VLOOKUP($BM154,'Fuel economy adjusted factor'!$A$2:$L$52,5,FALSE)*m2k))/'TCO Inputs'!$AZ$84</f>
        <v>108.429150941987</v>
      </c>
      <c r="DP154" s="125">
        <f>DP43/293.07*(1/(VLOOKUP($BM154,'Fuel economy adjusted factor'!$A$2:$L$52,5,FALSE)*m2k))/'TCO Inputs'!$AZ$84</f>
        <v>108.429150941987</v>
      </c>
      <c r="DQ154" s="125">
        <f>DQ43/293.07*(1/(VLOOKUP($BM154,'Fuel economy adjusted factor'!$A$2:$L$52,5,FALSE)*m2k))/'TCO Inputs'!$AZ$84</f>
        <v>108.429150941987</v>
      </c>
      <c r="DR154" s="125">
        <f>DR43/293.07*(1/(VLOOKUP($BM154,'Fuel economy adjusted factor'!$A$2:$L$52,5,FALSE)*m2k))/'TCO Inputs'!$AZ$84</f>
        <v>108.429150941987</v>
      </c>
      <c r="DS154" s="125">
        <f>DS43/293.07*(1/(VLOOKUP($BM154,'Fuel economy adjusted factor'!$A$2:$L$52,5,FALSE)*m2k))/'TCO Inputs'!$AZ$84</f>
        <v>108.429150941987</v>
      </c>
      <c r="DT154" s="125">
        <f>DT43/293.07*(1/(VLOOKUP($BM154,'Fuel economy adjusted factor'!$A$2:$L$52,5,FALSE)*m2k))/'TCO Inputs'!$AZ$84</f>
        <v>108.48508532716521</v>
      </c>
      <c r="DU154" s="98" cm="1">
        <f t="array" ref="DU154">SUMPRODUCT(INDEX(CS154:DT154,,'TCO Inputs'!$AZ$12-2023+_xlfn.SEQUENCE('TCO Inputs'!$AZ$13))*INDEX('VKT US'!C100:AA100,,_xlfn.SEQUENCE('TCO Inputs'!$AZ$13)))*m2k*CONVERT(0.9072,"g","ton")</f>
        <v>26.251117734535178</v>
      </c>
      <c r="DW154" s="123" t="s">
        <v>220</v>
      </c>
      <c r="DX154" s="125">
        <f>DX43/293.07*(1/(VLOOKUP($BM154,'Fuel economy adjusted factor'!$A$2:$L$52,5,FALSE)*m2k))/'TCO Inputs'!$AZ$84</f>
        <v>113.56751542383749</v>
      </c>
      <c r="DY154" s="125">
        <f>DY43/293.07*(1/(VLOOKUP($BM154,'Fuel economy adjusted factor'!$A$2:$L$52,5,FALSE)*m2k))/'TCO Inputs'!$AZ$84</f>
        <v>113.56751542383749</v>
      </c>
      <c r="DZ154" s="125">
        <f>DZ43/293.07*(1/(VLOOKUP($BM154,'Fuel economy adjusted factor'!$A$2:$L$52,5,FALSE)*m2k))/'TCO Inputs'!$AZ$84</f>
        <v>99.553316627250723</v>
      </c>
      <c r="EA154" s="125">
        <f>EA43/293.07*(1/(VLOOKUP($BM154,'Fuel economy adjusted factor'!$A$2:$L$52,5,FALSE)*m2k))/'TCO Inputs'!$AZ$84</f>
        <v>99.553316627250723</v>
      </c>
      <c r="EB154" s="125">
        <f>EB43/293.07*(1/(VLOOKUP($BM154,'Fuel economy adjusted factor'!$A$2:$L$52,5,FALSE)*m2k))/'TCO Inputs'!$AZ$84</f>
        <v>99.553316627250723</v>
      </c>
      <c r="EC154" s="125">
        <f>EC43/293.07*(1/(VLOOKUP($BM154,'Fuel economy adjusted factor'!$A$2:$L$52,5,FALSE)*m2k))/'TCO Inputs'!$AZ$84</f>
        <v>99.553316627250723</v>
      </c>
      <c r="ED154" s="125">
        <f>ED43/293.07*(1/(VLOOKUP($BM154,'Fuel economy adjusted factor'!$A$2:$L$52,5,FALSE)*m2k))/'TCO Inputs'!$AZ$84</f>
        <v>99.553316627250723</v>
      </c>
      <c r="EE154" s="125">
        <f>EE43/293.07*(1/(VLOOKUP($BM154,'Fuel economy adjusted factor'!$A$2:$L$52,5,FALSE)*m2k))/'TCO Inputs'!$AZ$84</f>
        <v>61.358312580999069</v>
      </c>
      <c r="EF154" s="125">
        <f>EF43/293.07*(1/(VLOOKUP($BM154,'Fuel economy adjusted factor'!$A$2:$L$52,5,FALSE)*m2k))/'TCO Inputs'!$AZ$84</f>
        <v>61.358312580999069</v>
      </c>
      <c r="EG154" s="125">
        <f>EG43/293.07*(1/(VLOOKUP($BM154,'Fuel economy adjusted factor'!$A$2:$L$52,5,FALSE)*m2k))/'TCO Inputs'!$AZ$84</f>
        <v>61.358312580999069</v>
      </c>
      <c r="EH154" s="125">
        <f>EH43/293.07*(1/(VLOOKUP($BM154,'Fuel economy adjusted factor'!$A$2:$L$52,5,FALSE)*m2k))/'TCO Inputs'!$AZ$84</f>
        <v>61.358312580999069</v>
      </c>
      <c r="EI154" s="125">
        <f>EI43/293.07*(1/(VLOOKUP($BM154,'Fuel economy adjusted factor'!$A$2:$L$52,5,FALSE)*m2k))/'TCO Inputs'!$AZ$84</f>
        <v>61.358312580999069</v>
      </c>
      <c r="EJ154" s="125">
        <f>EJ43/293.07*(1/(VLOOKUP($BM154,'Fuel economy adjusted factor'!$A$2:$L$52,5,FALSE)*m2k))/'TCO Inputs'!$AZ$84</f>
        <v>54.800182563076</v>
      </c>
      <c r="EK154" s="125">
        <f>EK43/293.07*(1/(VLOOKUP($BM154,'Fuel economy adjusted factor'!$A$2:$L$52,5,FALSE)*m2k))/'TCO Inputs'!$AZ$84</f>
        <v>54.800182563076</v>
      </c>
      <c r="EL154" s="125">
        <f>EL43/293.07*(1/(VLOOKUP($BM154,'Fuel economy adjusted factor'!$A$2:$L$52,5,FALSE)*m2k))/'TCO Inputs'!$AZ$84</f>
        <v>54.800182563076</v>
      </c>
      <c r="EM154" s="125">
        <f>EM43/293.07*(1/(VLOOKUP($BM154,'Fuel economy adjusted factor'!$A$2:$L$52,5,FALSE)*m2k))/'TCO Inputs'!$AZ$84</f>
        <v>54.800182563076</v>
      </c>
      <c r="EN154" s="125">
        <f>EN43/293.07*(1/(VLOOKUP($BM154,'Fuel economy adjusted factor'!$A$2:$L$52,5,FALSE)*m2k))/'TCO Inputs'!$AZ$84</f>
        <v>54.800182563076</v>
      </c>
      <c r="EO154" s="125">
        <f>EO43/293.07*(1/(VLOOKUP($BM154,'Fuel economy adjusted factor'!$A$2:$L$52,5,FALSE)*m2k))/'TCO Inputs'!$AZ$84</f>
        <v>53.075370958413153</v>
      </c>
      <c r="EP154" s="125">
        <f>EP43/293.07*(1/(VLOOKUP($BM154,'Fuel economy adjusted factor'!$A$2:$L$52,5,FALSE)*m2k))/'TCO Inputs'!$AZ$84</f>
        <v>53.075370958413153</v>
      </c>
      <c r="EQ154" s="125">
        <f>EQ43/293.07*(1/(VLOOKUP($BM154,'Fuel economy adjusted factor'!$A$2:$L$52,5,FALSE)*m2k))/'TCO Inputs'!$AZ$84</f>
        <v>53.075370958413153</v>
      </c>
      <c r="ER154" s="125">
        <f>ER43/293.07*(1/(VLOOKUP($BM154,'Fuel economy adjusted factor'!$A$2:$L$52,5,FALSE)*m2k))/'TCO Inputs'!$AZ$84</f>
        <v>53.075370958413153</v>
      </c>
      <c r="ES154" s="125">
        <f>ES43/293.07*(1/(VLOOKUP($BM154,'Fuel economy adjusted factor'!$A$2:$L$52,5,FALSE)*m2k))/'TCO Inputs'!$AZ$84</f>
        <v>53.075370958413153</v>
      </c>
      <c r="ET154" s="125">
        <f>ET43/293.07*(1/(VLOOKUP($BM154,'Fuel economy adjusted factor'!$A$2:$L$52,5,FALSE)*m2k))/'TCO Inputs'!$AZ$84</f>
        <v>51.104754888519658</v>
      </c>
      <c r="EU154" s="125">
        <f>EU43/293.07*(1/(VLOOKUP($BM154,'Fuel economy adjusted factor'!$A$2:$L$52,5,FALSE)*m2k))/'TCO Inputs'!$AZ$84</f>
        <v>51.104754888519658</v>
      </c>
      <c r="EV154" s="125">
        <f>EV43/293.07*(1/(VLOOKUP($BM154,'Fuel economy adjusted factor'!$A$2:$L$52,5,FALSE)*m2k))/'TCO Inputs'!$AZ$84</f>
        <v>51.104754888519658</v>
      </c>
      <c r="EW154" s="125">
        <f>EW43/293.07*(1/(VLOOKUP($BM154,'Fuel economy adjusted factor'!$A$2:$L$52,5,FALSE)*m2k))/'TCO Inputs'!$AZ$84</f>
        <v>51.104754888519658</v>
      </c>
      <c r="EX154" s="125">
        <f>EX43/293.07*(1/(VLOOKUP($BM154,'Fuel economy adjusted factor'!$A$2:$L$52,5,FALSE)*m2k))/'TCO Inputs'!$AZ$84</f>
        <v>51.104754888519658</v>
      </c>
      <c r="EY154" s="125">
        <f>EY43/293.07*(1/(VLOOKUP($BM154,'Fuel economy adjusted factor'!$A$2:$L$52,5,FALSE)*m2k))/'TCO Inputs'!$AZ$84</f>
        <v>48.014641611334078</v>
      </c>
      <c r="EZ154" s="98" cm="1">
        <f t="array" ref="EZ154">SUMPRODUCT(INDEX(DX154:EY154,,'TCO Inputs'!$AZ$12-2023+_xlfn.SEQUENCE('TCO Inputs'!$AZ$13))*INDEX('VKT US'!C100:AA100,,_xlfn.SEQUENCE('TCO Inputs'!$AZ$13)))*m2k*CONVERT(0.9072,"g","ton")</f>
        <v>20.313439021007394</v>
      </c>
      <c r="FB154" s="123" t="s">
        <v>220</v>
      </c>
      <c r="FC154" s="125">
        <f>FC43/293.07*(1/(VLOOKUP($BM154,'Fuel economy adjusted factor'!$A$2:$L$52,5,FALSE)*m2k))/'TCO Inputs'!$AZ$84</f>
        <v>123.18064379534178</v>
      </c>
      <c r="FD154" s="125">
        <f>FD43/293.07*(1/(VLOOKUP($BM154,'Fuel economy adjusted factor'!$A$2:$L$52,5,FALSE)*m2k))/'TCO Inputs'!$AZ$84</f>
        <v>123.18064379534178</v>
      </c>
      <c r="FE154" s="125">
        <f>FE43/293.07*(1/(VLOOKUP($BM154,'Fuel economy adjusted factor'!$A$2:$L$52,5,FALSE)*m2k))/'TCO Inputs'!$AZ$84</f>
        <v>107.5737323924134</v>
      </c>
      <c r="FF154" s="125">
        <f>FF43/293.07*(1/(VLOOKUP($BM154,'Fuel economy adjusted factor'!$A$2:$L$52,5,FALSE)*m2k))/'TCO Inputs'!$AZ$84</f>
        <v>107.5737323924134</v>
      </c>
      <c r="FG154" s="125">
        <f>FG43/293.07*(1/(VLOOKUP($BM154,'Fuel economy adjusted factor'!$A$2:$L$52,5,FALSE)*m2k))/'TCO Inputs'!$AZ$84</f>
        <v>107.5737323924134</v>
      </c>
      <c r="FH154" s="125">
        <f>FH43/293.07*(1/(VLOOKUP($BM154,'Fuel economy adjusted factor'!$A$2:$L$52,5,FALSE)*m2k))/'TCO Inputs'!$AZ$84</f>
        <v>107.5737323924134</v>
      </c>
      <c r="FI154" s="125">
        <f>FI43/293.07*(1/(VLOOKUP($BM154,'Fuel economy adjusted factor'!$A$2:$L$52,5,FALSE)*m2k))/'TCO Inputs'!$AZ$84</f>
        <v>107.5737323924134</v>
      </c>
      <c r="FJ154" s="125">
        <f>FJ43/293.07*(1/(VLOOKUP($BM154,'Fuel economy adjusted factor'!$A$2:$L$52,5,FALSE)*m2k))/'TCO Inputs'!$AZ$84</f>
        <v>67.505096350985113</v>
      </c>
      <c r="FK154" s="125">
        <f>FK43/293.07*(1/(VLOOKUP($BM154,'Fuel economy adjusted factor'!$A$2:$L$52,5,FALSE)*m2k))/'TCO Inputs'!$AZ$84</f>
        <v>67.505096350985113</v>
      </c>
      <c r="FL154" s="125">
        <f>FL43/293.07*(1/(VLOOKUP($BM154,'Fuel economy adjusted factor'!$A$2:$L$52,5,FALSE)*m2k))/'TCO Inputs'!$AZ$84</f>
        <v>67.505096350985113</v>
      </c>
      <c r="FM154" s="125">
        <f>FM43/293.07*(1/(VLOOKUP($BM154,'Fuel economy adjusted factor'!$A$2:$L$52,5,FALSE)*m2k))/'TCO Inputs'!$AZ$84</f>
        <v>67.505096350985113</v>
      </c>
      <c r="FN154" s="125">
        <f>FN43/293.07*(1/(VLOOKUP($BM154,'Fuel economy adjusted factor'!$A$2:$L$52,5,FALSE)*m2k))/'TCO Inputs'!$AZ$84</f>
        <v>67.505096350985113</v>
      </c>
      <c r="FO154" s="125">
        <f>FO43/293.07*(1/(VLOOKUP($BM154,'Fuel economy adjusted factor'!$A$2:$L$52,5,FALSE)*m2k))/'TCO Inputs'!$AZ$84</f>
        <v>59.941174592679388</v>
      </c>
      <c r="FP154" s="125">
        <f>FP43/293.07*(1/(VLOOKUP($BM154,'Fuel economy adjusted factor'!$A$2:$L$52,5,FALSE)*m2k))/'TCO Inputs'!$AZ$84</f>
        <v>59.941174592679388</v>
      </c>
      <c r="FQ154" s="125">
        <f>FQ43/293.07*(1/(VLOOKUP($BM154,'Fuel economy adjusted factor'!$A$2:$L$52,5,FALSE)*m2k))/'TCO Inputs'!$AZ$84</f>
        <v>59.941174592679388</v>
      </c>
      <c r="FR154" s="125">
        <f>FR43/293.07*(1/(VLOOKUP($BM154,'Fuel economy adjusted factor'!$A$2:$L$52,5,FALSE)*m2k))/'TCO Inputs'!$AZ$84</f>
        <v>59.941174592679388</v>
      </c>
      <c r="FS154" s="125">
        <f>FS43/293.07*(1/(VLOOKUP($BM154,'Fuel economy adjusted factor'!$A$2:$L$52,5,FALSE)*m2k))/'TCO Inputs'!$AZ$84</f>
        <v>59.941174592679388</v>
      </c>
      <c r="FT154" s="125">
        <f>FT43/293.07*(1/(VLOOKUP($BM154,'Fuel economy adjusted factor'!$A$2:$L$52,5,FALSE)*m2k))/'TCO Inputs'!$AZ$84</f>
        <v>58.415347555108049</v>
      </c>
      <c r="FU154" s="125">
        <f>FU43/293.07*(1/(VLOOKUP($BM154,'Fuel economy adjusted factor'!$A$2:$L$52,5,FALSE)*m2k))/'TCO Inputs'!$AZ$84</f>
        <v>58.415347555108049</v>
      </c>
      <c r="FV154" s="125">
        <f>FV43/293.07*(1/(VLOOKUP($BM154,'Fuel economy adjusted factor'!$A$2:$L$52,5,FALSE)*m2k))/'TCO Inputs'!$AZ$84</f>
        <v>58.415347555108049</v>
      </c>
      <c r="FW154" s="125">
        <f>FW43/293.07*(1/(VLOOKUP($BM154,'Fuel economy adjusted factor'!$A$2:$L$52,5,FALSE)*m2k))/'TCO Inputs'!$AZ$84</f>
        <v>58.415347555108049</v>
      </c>
      <c r="FX154" s="125">
        <f>FX43/293.07*(1/(VLOOKUP($BM154,'Fuel economy adjusted factor'!$A$2:$L$52,5,FALSE)*m2k))/'TCO Inputs'!$AZ$84</f>
        <v>58.415347555108049</v>
      </c>
      <c r="FY154" s="125">
        <f>FY43/293.07*(1/(VLOOKUP($BM154,'Fuel economy adjusted factor'!$A$2:$L$52,5,FALSE)*m2k))/'TCO Inputs'!$AZ$84</f>
        <v>56.440551137166402</v>
      </c>
      <c r="FZ154" s="125">
        <f>FZ43/293.07*(1/(VLOOKUP($BM154,'Fuel economy adjusted factor'!$A$2:$L$52,5,FALSE)*m2k))/'TCO Inputs'!$AZ$84</f>
        <v>56.440551137166402</v>
      </c>
      <c r="GA154" s="125">
        <f>GA43/293.07*(1/(VLOOKUP($BM154,'Fuel economy adjusted factor'!$A$2:$L$52,5,FALSE)*m2k))/'TCO Inputs'!$AZ$84</f>
        <v>56.440551137166402</v>
      </c>
      <c r="GB154" s="125">
        <f>GB43/293.07*(1/(VLOOKUP($BM154,'Fuel economy adjusted factor'!$A$2:$L$52,5,FALSE)*m2k))/'TCO Inputs'!$AZ$84</f>
        <v>56.440551137166402</v>
      </c>
      <c r="GC154" s="125">
        <f>GC43/293.07*(1/(VLOOKUP($BM154,'Fuel economy adjusted factor'!$A$2:$L$52,5,FALSE)*m2k))/'TCO Inputs'!$AZ$84</f>
        <v>56.440551137166402</v>
      </c>
      <c r="GD154" s="125">
        <f>GD43/293.07*(1/(VLOOKUP($BM154,'Fuel economy adjusted factor'!$A$2:$L$52,5,FALSE)*m2k))/'TCO Inputs'!$AZ$84</f>
        <v>53.243420949948415</v>
      </c>
      <c r="GE154" s="98" cm="1">
        <f t="array" ref="GE154">SUMPRODUCT(INDEX(FC154:GD154,,'TCO Inputs'!$AZ$12-2023+_xlfn.SEQUENCE('TCO Inputs'!$AZ$13))*INDEX('VKT US'!C100:AA100,,_xlfn.SEQUENCE('TCO Inputs'!$AZ$13)))*m2k*CONVERT(0.9072,"g","ton")</f>
        <v>22.086062531147853</v>
      </c>
      <c r="GH154" s="123" t="s">
        <v>220</v>
      </c>
      <c r="GI154" s="125">
        <f>GI43/293.07*(1/(VLOOKUP($BM154,'Fuel economy adjusted factor'!$A$2:$L$52,5,FALSE)*m2k))/'TCO Inputs'!$AZ$84</f>
        <v>107.02443465888771</v>
      </c>
      <c r="GJ154" s="125">
        <f>GJ43/293.07*(1/(VLOOKUP($BM154,'Fuel economy adjusted factor'!$A$2:$L$52,5,FALSE)*m2k))/'TCO Inputs'!$AZ$84</f>
        <v>107.02443465888771</v>
      </c>
      <c r="GK154" s="125">
        <f>GK43/293.07*(1/(VLOOKUP($BM154,'Fuel economy adjusted factor'!$A$2:$L$52,5,FALSE)*m2k))/'TCO Inputs'!$AZ$84</f>
        <v>94.094618145988633</v>
      </c>
      <c r="GL154" s="125">
        <f>GL43/293.07*(1/(VLOOKUP($BM154,'Fuel economy adjusted factor'!$A$2:$L$52,5,FALSE)*m2k))/'TCO Inputs'!$AZ$84</f>
        <v>94.094618145988633</v>
      </c>
      <c r="GM154" s="125">
        <f>GM43/293.07*(1/(VLOOKUP($BM154,'Fuel economy adjusted factor'!$A$2:$L$52,5,FALSE)*m2k))/'TCO Inputs'!$AZ$84</f>
        <v>94.094618145988633</v>
      </c>
      <c r="GN154" s="125">
        <f>GN43/293.07*(1/(VLOOKUP($BM154,'Fuel economy adjusted factor'!$A$2:$L$52,5,FALSE)*m2k))/'TCO Inputs'!$AZ$84</f>
        <v>94.094618145988633</v>
      </c>
      <c r="GO154" s="125">
        <f>GO43/293.07*(1/(VLOOKUP($BM154,'Fuel economy adjusted factor'!$A$2:$L$52,5,FALSE)*m2k))/'TCO Inputs'!$AZ$84</f>
        <v>94.094618145988633</v>
      </c>
      <c r="GP154" s="125">
        <f>GP43/293.07*(1/(VLOOKUP($BM154,'Fuel economy adjusted factor'!$A$2:$L$52,5,FALSE)*m2k))/'TCO Inputs'!$AZ$84</f>
        <v>57.174620254419885</v>
      </c>
      <c r="GQ154" s="125">
        <f>GQ43/293.07*(1/(VLOOKUP($BM154,'Fuel economy adjusted factor'!$A$2:$L$52,5,FALSE)*m2k))/'TCO Inputs'!$AZ$84</f>
        <v>57.174620254419885</v>
      </c>
      <c r="GR154" s="125">
        <f>GR43/293.07*(1/(VLOOKUP($BM154,'Fuel economy adjusted factor'!$A$2:$L$52,5,FALSE)*m2k))/'TCO Inputs'!$AZ$84</f>
        <v>57.174620254419885</v>
      </c>
      <c r="GS154" s="125">
        <f>GS43/293.07*(1/(VLOOKUP($BM154,'Fuel economy adjusted factor'!$A$2:$L$52,5,FALSE)*m2k))/'TCO Inputs'!$AZ$84</f>
        <v>57.174620254419885</v>
      </c>
      <c r="GT154" s="125">
        <f>GT43/293.07*(1/(VLOOKUP($BM154,'Fuel economy adjusted factor'!$A$2:$L$52,5,FALSE)*m2k))/'TCO Inputs'!$AZ$84</f>
        <v>57.174620254419885</v>
      </c>
      <c r="GU154" s="125">
        <f>GU43/293.07*(1/(VLOOKUP($BM154,'Fuel economy adjusted factor'!$A$2:$L$52,5,FALSE)*m2k))/'TCO Inputs'!$AZ$84</f>
        <v>51.301231246782258</v>
      </c>
      <c r="GV154" s="125">
        <f>GV43/293.07*(1/(VLOOKUP($BM154,'Fuel economy adjusted factor'!$A$2:$L$52,5,FALSE)*m2k))/'TCO Inputs'!$AZ$84</f>
        <v>51.301231246782258</v>
      </c>
      <c r="GW154" s="125">
        <f>GW43/293.07*(1/(VLOOKUP($BM154,'Fuel economy adjusted factor'!$A$2:$L$52,5,FALSE)*m2k))/'TCO Inputs'!$AZ$84</f>
        <v>51.301231246782258</v>
      </c>
      <c r="GX154" s="125">
        <f>GX43/293.07*(1/(VLOOKUP($BM154,'Fuel economy adjusted factor'!$A$2:$L$52,5,FALSE)*m2k))/'TCO Inputs'!$AZ$84</f>
        <v>51.301231246782258</v>
      </c>
      <c r="GY154" s="125">
        <f>GY43/293.07*(1/(VLOOKUP($BM154,'Fuel economy adjusted factor'!$A$2:$L$52,5,FALSE)*m2k))/'TCO Inputs'!$AZ$84</f>
        <v>51.301231246782258</v>
      </c>
      <c r="GZ154" s="125">
        <f>GZ43/293.07*(1/(VLOOKUP($BM154,'Fuel economy adjusted factor'!$A$2:$L$52,5,FALSE)*m2k))/'TCO Inputs'!$AZ$84</f>
        <v>49.44097636535966</v>
      </c>
      <c r="HA154" s="125">
        <f>HA43/293.07*(1/(VLOOKUP($BM154,'Fuel economy adjusted factor'!$A$2:$L$52,5,FALSE)*m2k))/'TCO Inputs'!$AZ$84</f>
        <v>49.44097636535966</v>
      </c>
      <c r="HB154" s="125">
        <f>HB43/293.07*(1/(VLOOKUP($BM154,'Fuel economy adjusted factor'!$A$2:$L$52,5,FALSE)*m2k))/'TCO Inputs'!$AZ$84</f>
        <v>49.44097636535966</v>
      </c>
      <c r="HC154" s="125">
        <f>HC43/293.07*(1/(VLOOKUP($BM154,'Fuel economy adjusted factor'!$A$2:$L$52,5,FALSE)*m2k))/'TCO Inputs'!$AZ$84</f>
        <v>49.44097636535966</v>
      </c>
      <c r="HD154" s="125">
        <f>HD43/293.07*(1/(VLOOKUP($BM154,'Fuel economy adjusted factor'!$A$2:$L$52,5,FALSE)*m2k))/'TCO Inputs'!$AZ$84</f>
        <v>49.44097636535966</v>
      </c>
      <c r="HE154" s="125">
        <f>HE43/293.07*(1/(VLOOKUP($BM154,'Fuel economy adjusted factor'!$A$2:$L$52,5,FALSE)*m2k))/'TCO Inputs'!$AZ$84</f>
        <v>47.472868504295036</v>
      </c>
      <c r="HF154" s="125">
        <f>HF43/293.07*(1/(VLOOKUP($BM154,'Fuel economy adjusted factor'!$A$2:$L$52,5,FALSE)*m2k))/'TCO Inputs'!$AZ$84</f>
        <v>47.472868504295036</v>
      </c>
      <c r="HG154" s="125">
        <f>HG43/293.07*(1/(VLOOKUP($BM154,'Fuel economy adjusted factor'!$A$2:$L$52,5,FALSE)*m2k))/'TCO Inputs'!$AZ$84</f>
        <v>47.472868504295036</v>
      </c>
      <c r="HH154" s="125">
        <f>HH43/293.07*(1/(VLOOKUP($BM154,'Fuel economy adjusted factor'!$A$2:$L$52,5,FALSE)*m2k))/'TCO Inputs'!$AZ$84</f>
        <v>47.472868504295036</v>
      </c>
      <c r="HI154" s="125">
        <f>HI43/293.07*(1/(VLOOKUP($BM154,'Fuel economy adjusted factor'!$A$2:$L$52,5,FALSE)*m2k))/'TCO Inputs'!$AZ$84</f>
        <v>47.472868504295036</v>
      </c>
      <c r="HJ154" s="125">
        <f>HJ43/293.07*(1/(VLOOKUP($BM154,'Fuel economy adjusted factor'!$A$2:$L$52,5,FALSE)*m2k))/'TCO Inputs'!$AZ$84</f>
        <v>44.456329352756732</v>
      </c>
      <c r="HK154" s="98" cm="1">
        <f t="array" ref="HK154">SUMPRODUCT(INDEX(GI154:HJ154,,'TCO Inputs'!$AZ$12-2023+_xlfn.SEQUENCE('TCO Inputs'!$AZ$13))*INDEX('VKT US'!C100:AA100,,_xlfn.SEQUENCE('TCO Inputs'!$AZ$13)))*m2k*CONVERT(0.9072,"g","ton")</f>
        <v>19.106960318804834</v>
      </c>
    </row>
    <row r="155" spans="26:219" x14ac:dyDescent="0.25">
      <c r="Z155" s="123" t="s">
        <v>221</v>
      </c>
      <c r="AA155" s="125">
        <f>AA44/293.07*(1/(VLOOKUP($Z155,'Fuel economy adjusted factor'!$A$2:$L$52,5,FALSE)*m2k))/'TCO Inputs'!$AZ$84</f>
        <v>113.7002925399519</v>
      </c>
      <c r="AB155" s="125">
        <f>AB44/293.07*(1/(VLOOKUP($Z155,'Fuel economy adjusted factor'!$A$2:$L$52,5,FALSE)*m2k))/'TCO Inputs'!$AZ$84</f>
        <v>113.7002925399519</v>
      </c>
      <c r="AC155" s="125">
        <f>AC44/293.07*(1/(VLOOKUP($Z155,'Fuel economy adjusted factor'!$A$2:$L$52,5,FALSE)*m2k))/'TCO Inputs'!$AZ$84</f>
        <v>99.998706744164068</v>
      </c>
      <c r="AD155" s="125">
        <f>AD44/293.07*(1/(VLOOKUP($Z155,'Fuel economy adjusted factor'!$A$2:$L$52,5,FALSE)*m2k))/'TCO Inputs'!$AZ$84</f>
        <v>99.998706744164068</v>
      </c>
      <c r="AE155" s="125">
        <f>AE44/293.07*(1/(VLOOKUP($Z155,'Fuel economy adjusted factor'!$A$2:$L$52,5,FALSE)*m2k))/'TCO Inputs'!$AZ$84</f>
        <v>99.998706744164068</v>
      </c>
      <c r="AF155" s="125">
        <f>AF44/293.07*(1/(VLOOKUP($Z155,'Fuel economy adjusted factor'!$A$2:$L$52,5,FALSE)*m2k))/'TCO Inputs'!$AZ$84</f>
        <v>99.998706744164068</v>
      </c>
      <c r="AG155" s="125">
        <f>AG44/293.07*(1/(VLOOKUP($Z155,'Fuel economy adjusted factor'!$A$2:$L$52,5,FALSE)*m2k))/'TCO Inputs'!$AZ$84</f>
        <v>99.998706744164068</v>
      </c>
      <c r="AH155" s="125">
        <f>AH44/293.07*(1/(VLOOKUP($Z155,'Fuel economy adjusted factor'!$A$2:$L$52,5,FALSE)*m2k))/'TCO Inputs'!$AZ$84</f>
        <v>60.082991495630438</v>
      </c>
      <c r="AI155" s="125">
        <f>AI44/293.07*(1/(VLOOKUP($Z155,'Fuel economy adjusted factor'!$A$2:$L$52,5,FALSE)*m2k))/'TCO Inputs'!$AZ$84</f>
        <v>60.082991495630438</v>
      </c>
      <c r="AJ155" s="125">
        <f>AJ44/293.07*(1/(VLOOKUP($Z155,'Fuel economy adjusted factor'!$A$2:$L$52,5,FALSE)*m2k))/'TCO Inputs'!$AZ$84</f>
        <v>60.082991495630438</v>
      </c>
      <c r="AK155" s="125">
        <f>AK44/293.07*(1/(VLOOKUP($Z155,'Fuel economy adjusted factor'!$A$2:$L$52,5,FALSE)*m2k))/'TCO Inputs'!$AZ$84</f>
        <v>60.082991495630438</v>
      </c>
      <c r="AL155" s="125">
        <f>AL44/293.07*(1/(VLOOKUP($Z155,'Fuel economy adjusted factor'!$A$2:$L$52,5,FALSE)*m2k))/'TCO Inputs'!$AZ$84</f>
        <v>60.082991495630438</v>
      </c>
      <c r="AM155" s="125">
        <f>AM44/293.07*(1/(VLOOKUP($Z155,'Fuel economy adjusted factor'!$A$2:$L$52,5,FALSE)*m2k))/'TCO Inputs'!$AZ$84</f>
        <v>62.875531876213408</v>
      </c>
      <c r="AN155" s="125">
        <f>AN44/293.07*(1/(VLOOKUP($Z155,'Fuel economy adjusted factor'!$A$2:$L$52,5,FALSE)*m2k))/'TCO Inputs'!$AZ$84</f>
        <v>62.875531876213408</v>
      </c>
      <c r="AO155" s="125">
        <f>AO44/293.07*(1/(VLOOKUP($Z155,'Fuel economy adjusted factor'!$A$2:$L$52,5,FALSE)*m2k))/'TCO Inputs'!$AZ$84</f>
        <v>62.875531876213408</v>
      </c>
      <c r="AP155" s="125">
        <f>AP44/293.07*(1/(VLOOKUP($Z155,'Fuel economy adjusted factor'!$A$2:$L$52,5,FALSE)*m2k))/'TCO Inputs'!$AZ$84</f>
        <v>62.875531876213408</v>
      </c>
      <c r="AQ155" s="125">
        <f>AQ44/293.07*(1/(VLOOKUP($Z155,'Fuel economy adjusted factor'!$A$2:$L$52,5,FALSE)*m2k))/'TCO Inputs'!$AZ$84</f>
        <v>62.875531876213408</v>
      </c>
      <c r="AR155" s="125">
        <f>AR44/293.07*(1/(VLOOKUP($Z155,'Fuel economy adjusted factor'!$A$2:$L$52,5,FALSE)*m2k))/'TCO Inputs'!$AZ$84</f>
        <v>65.726779569472583</v>
      </c>
      <c r="AS155" s="125">
        <f>AS44/293.07*(1/(VLOOKUP($Z155,'Fuel economy adjusted factor'!$A$2:$L$52,5,FALSE)*m2k))/'TCO Inputs'!$AZ$84</f>
        <v>65.726779569472583</v>
      </c>
      <c r="AT155" s="125">
        <f>AT44/293.07*(1/(VLOOKUP($Z155,'Fuel economy adjusted factor'!$A$2:$L$52,5,FALSE)*m2k))/'TCO Inputs'!$AZ$84</f>
        <v>65.726779569472583</v>
      </c>
      <c r="AU155" s="125">
        <f>AU44/293.07*(1/(VLOOKUP($Z155,'Fuel economy adjusted factor'!$A$2:$L$52,5,FALSE)*m2k))/'TCO Inputs'!$AZ$84</f>
        <v>65.726779569472583</v>
      </c>
      <c r="AV155" s="125">
        <f>AV44/293.07*(1/(VLOOKUP($Z155,'Fuel economy adjusted factor'!$A$2:$L$52,5,FALSE)*m2k))/'TCO Inputs'!$AZ$84</f>
        <v>65.726779569472583</v>
      </c>
      <c r="AW155" s="125">
        <f>AW44/293.07*(1/(VLOOKUP($Z155,'Fuel economy adjusted factor'!$A$2:$L$52,5,FALSE)*m2k))/'TCO Inputs'!$AZ$84</f>
        <v>67.169051758502889</v>
      </c>
      <c r="AX155" s="125">
        <f>AX44/293.07*(1/(VLOOKUP($Z155,'Fuel economy adjusted factor'!$A$2:$L$52,5,FALSE)*m2k))/'TCO Inputs'!$AZ$84</f>
        <v>67.169051758502889</v>
      </c>
      <c r="AY155" s="125">
        <f>AY44/293.07*(1/(VLOOKUP($Z155,'Fuel economy adjusted factor'!$A$2:$L$52,5,FALSE)*m2k))/'TCO Inputs'!$AZ$84</f>
        <v>67.169051758502889</v>
      </c>
      <c r="AZ155" s="125">
        <f>AZ44/293.07*(1/(VLOOKUP($Z155,'Fuel economy adjusted factor'!$A$2:$L$52,5,FALSE)*m2k))/'TCO Inputs'!$AZ$84</f>
        <v>67.169051758502889</v>
      </c>
      <c r="BA155" s="125">
        <f>BA44/293.07*(1/(VLOOKUP($Z155,'Fuel economy adjusted factor'!$A$2:$L$52,5,FALSE)*m2k))/'TCO Inputs'!$AZ$84</f>
        <v>67.169051758502889</v>
      </c>
      <c r="BB155" s="125">
        <f>BB44/293.07*(1/(VLOOKUP($Z155,'Fuel economy adjusted factor'!$A$2:$L$52,5,FALSE)*m2k))/'TCO Inputs'!$AZ$84</f>
        <v>67.260179527433124</v>
      </c>
      <c r="BC155" s="98" cm="1">
        <f t="array" ref="BC155">SUMPRODUCT(INDEX(AA155:BB155,,'TCO Inputs'!$AZ$12-2023+_xlfn.SEQUENCE('TCO Inputs'!$AZ$13))*INDEX('VKT US'!C101:AA101,,_xlfn.SEQUENCE('TCO Inputs'!$AZ$13)))*m2k*CONVERT(0.9072,"g","ton")</f>
        <v>17.835389410283323</v>
      </c>
      <c r="BM155" s="123" t="s">
        <v>221</v>
      </c>
      <c r="BN155" s="125">
        <f>BN44/293.07*(1/(VLOOKUP($BM155,'Fuel economy adjusted factor'!$A$2:$L$52,5,FALSE)*m2k))</f>
        <v>96.645248658959119</v>
      </c>
      <c r="BO155" s="125">
        <f>BO44/293.07*(1/(VLOOKUP($BM155,'Fuel economy adjusted factor'!$A$2:$L$52,5,FALSE)*m2k))</f>
        <v>96.645248658959119</v>
      </c>
      <c r="BP155" s="125">
        <f>BP44/293.07*(1/(VLOOKUP($BM155,'Fuel economy adjusted factor'!$A$2:$L$52,5,FALSE)*m2k))</f>
        <v>84.887926387010467</v>
      </c>
      <c r="BQ155" s="125">
        <f>BQ44/293.07*(1/(VLOOKUP($BM155,'Fuel economy adjusted factor'!$A$2:$L$52,5,FALSE)*m2k))</f>
        <v>84.887926387010467</v>
      </c>
      <c r="BR155" s="125">
        <f>BR44/293.07*(1/(VLOOKUP($BM155,'Fuel economy adjusted factor'!$A$2:$L$52,5,FALSE)*m2k))</f>
        <v>84.887926387010467</v>
      </c>
      <c r="BS155" s="125">
        <f>BS44/293.07*(1/(VLOOKUP($BM155,'Fuel economy adjusted factor'!$A$2:$L$52,5,FALSE)*m2k))</f>
        <v>84.887926387010467</v>
      </c>
      <c r="BT155" s="125">
        <f>BT44/293.07*(1/(VLOOKUP($BM155,'Fuel economy adjusted factor'!$A$2:$L$52,5,FALSE)*m2k))</f>
        <v>84.887926387010467</v>
      </c>
      <c r="BU155" s="125">
        <f>BU44/293.07*(1/(VLOOKUP($BM155,'Fuel economy adjusted factor'!$A$2:$L$52,5,FALSE)*m2k))</f>
        <v>96.225929487597966</v>
      </c>
      <c r="BV155" s="125">
        <f>BV44/293.07*(1/(VLOOKUP($BM155,'Fuel economy adjusted factor'!$A$2:$L$52,5,FALSE)*m2k))</f>
        <v>96.225929487597966</v>
      </c>
      <c r="BW155" s="125">
        <f>BW44/293.07*(1/(VLOOKUP($BM155,'Fuel economy adjusted factor'!$A$2:$L$52,5,FALSE)*m2k))</f>
        <v>96.225929487597966</v>
      </c>
      <c r="BX155" s="125">
        <f>BX44/293.07*(1/(VLOOKUP($BM155,'Fuel economy adjusted factor'!$A$2:$L$52,5,FALSE)*m2k))</f>
        <v>96.225929487597966</v>
      </c>
      <c r="BY155" s="125">
        <f>BY44/293.07*(1/(VLOOKUP($BM155,'Fuel economy adjusted factor'!$A$2:$L$52,5,FALSE)*m2k))</f>
        <v>96.225929487597966</v>
      </c>
      <c r="BZ155" s="125">
        <f>BZ44/293.07*(1/(VLOOKUP($BM155,'Fuel economy adjusted factor'!$A$2:$L$52,5,FALSE)*m2k))</f>
        <v>98.54000526986988</v>
      </c>
      <c r="CA155" s="125">
        <f>CA44/293.07*(1/(VLOOKUP($BM155,'Fuel economy adjusted factor'!$A$2:$L$52,5,FALSE)*m2k))</f>
        <v>98.54000526986988</v>
      </c>
      <c r="CB155" s="125">
        <f>CB44/293.07*(1/(VLOOKUP($BM155,'Fuel economy adjusted factor'!$A$2:$L$52,5,FALSE)*m2k))</f>
        <v>98.54000526986988</v>
      </c>
      <c r="CC155" s="125">
        <f>CC44/293.07*(1/(VLOOKUP($BM155,'Fuel economy adjusted factor'!$A$2:$L$52,5,FALSE)*m2k))</f>
        <v>98.54000526986988</v>
      </c>
      <c r="CD155" s="125">
        <f>CD44/293.07*(1/(VLOOKUP($BM155,'Fuel economy adjusted factor'!$A$2:$L$52,5,FALSE)*m2k))</f>
        <v>98.54000526986988</v>
      </c>
      <c r="CE155" s="125">
        <f>CE44/293.07*(1/(VLOOKUP($BM155,'Fuel economy adjusted factor'!$A$2:$L$52,5,FALSE)*m2k))</f>
        <v>100.9754825173849</v>
      </c>
      <c r="CF155" s="125">
        <f>CF44/293.07*(1/(VLOOKUP($BM155,'Fuel economy adjusted factor'!$A$2:$L$52,5,FALSE)*m2k))</f>
        <v>100.9754825173849</v>
      </c>
      <c r="CG155" s="125">
        <f>CG44/293.07*(1/(VLOOKUP($BM155,'Fuel economy adjusted factor'!$A$2:$L$52,5,FALSE)*m2k))</f>
        <v>100.9754825173849</v>
      </c>
      <c r="CH155" s="125">
        <f>CH44/293.07*(1/(VLOOKUP($BM155,'Fuel economy adjusted factor'!$A$2:$L$52,5,FALSE)*m2k))</f>
        <v>100.9754825173849</v>
      </c>
      <c r="CI155" s="125">
        <f>CI44/293.07*(1/(VLOOKUP($BM155,'Fuel economy adjusted factor'!$A$2:$L$52,5,FALSE)*m2k))</f>
        <v>100.9754825173849</v>
      </c>
      <c r="CJ155" s="125">
        <f>CJ44/293.07*(1/(VLOOKUP($BM155,'Fuel economy adjusted factor'!$A$2:$L$52,5,FALSE)*m2k))</f>
        <v>101.55344286725391</v>
      </c>
      <c r="CK155" s="125">
        <f>CK44/293.07*(1/(VLOOKUP($BM155,'Fuel economy adjusted factor'!$A$2:$L$52,5,FALSE)*m2k))</f>
        <v>101.55344286725391</v>
      </c>
      <c r="CL155" s="125">
        <f>CL44/293.07*(1/(VLOOKUP($BM155,'Fuel economy adjusted factor'!$A$2:$L$52,5,FALSE)*m2k))</f>
        <v>101.55344286725391</v>
      </c>
      <c r="CM155" s="125">
        <f>CM44/293.07*(1/(VLOOKUP($BM155,'Fuel economy adjusted factor'!$A$2:$L$52,5,FALSE)*m2k))</f>
        <v>101.55344286725391</v>
      </c>
      <c r="CN155" s="125">
        <f>CN44/293.07*(1/(VLOOKUP($BM155,'Fuel economy adjusted factor'!$A$2:$L$52,5,FALSE)*m2k))</f>
        <v>101.55344286725391</v>
      </c>
      <c r="CO155" s="125">
        <f>CO44/293.07*(1/(VLOOKUP($BM155,'Fuel economy adjusted factor'!$A$2:$L$52,5,FALSE)*m2k))</f>
        <v>102.24386715118249</v>
      </c>
      <c r="CP155" s="98" cm="1">
        <f t="array" ref="CP155">SUMPRODUCT(INDEX(BN155:CO155,,'TCO Inputs'!$AZ$12-2023+_xlfn.SEQUENCE('TCO Inputs'!$AZ$13))*INDEX('VKT US'!C101:AA101,,_xlfn.SEQUENCE('TCO Inputs'!$AZ$13)))*m2k*CONVERT(0.9072,"g","ton")</f>
        <v>19.426548365921981</v>
      </c>
      <c r="CQ155" s="194"/>
      <c r="CR155" s="123" t="s">
        <v>221</v>
      </c>
      <c r="CS155" s="125">
        <f>CS44/293.07*(1/(VLOOKUP($BM155,'Fuel economy adjusted factor'!$A$2:$L$52,5,FALSE)*m2k))/'TCO Inputs'!$AZ$84</f>
        <v>137.66076216876939</v>
      </c>
      <c r="CT155" s="125">
        <f>CT44/293.07*(1/(VLOOKUP($BM155,'Fuel economy adjusted factor'!$A$2:$L$52,5,FALSE)*m2k))/'TCO Inputs'!$AZ$84</f>
        <v>137.66076216876939</v>
      </c>
      <c r="CU155" s="125">
        <f>CU44/293.07*(1/(VLOOKUP($BM155,'Fuel economy adjusted factor'!$A$2:$L$52,5,FALSE)*m2k))/'TCO Inputs'!$AZ$84</f>
        <v>137.66076216876939</v>
      </c>
      <c r="CV155" s="125">
        <f>CV44/293.07*(1/(VLOOKUP($BM155,'Fuel economy adjusted factor'!$A$2:$L$52,5,FALSE)*m2k))/'TCO Inputs'!$AZ$84</f>
        <v>137.66076216876939</v>
      </c>
      <c r="CW155" s="125">
        <f>CW44/293.07*(1/(VLOOKUP($BM155,'Fuel economy adjusted factor'!$A$2:$L$52,5,FALSE)*m2k))/'TCO Inputs'!$AZ$84</f>
        <v>137.66076216876939</v>
      </c>
      <c r="CX155" s="125">
        <f>CX44/293.07*(1/(VLOOKUP($BM155,'Fuel economy adjusted factor'!$A$2:$L$52,5,FALSE)*m2k))/'TCO Inputs'!$AZ$84</f>
        <v>137.66076216876939</v>
      </c>
      <c r="CY155" s="125">
        <f>CY44/293.07*(1/(VLOOKUP($BM155,'Fuel economy adjusted factor'!$A$2:$L$52,5,FALSE)*m2k))/'TCO Inputs'!$AZ$84</f>
        <v>137.66076216876939</v>
      </c>
      <c r="CZ155" s="125">
        <f>CZ44/293.07*(1/(VLOOKUP($BM155,'Fuel economy adjusted factor'!$A$2:$L$52,5,FALSE)*m2k))/'TCO Inputs'!$AZ$84</f>
        <v>137.69143016792859</v>
      </c>
      <c r="DA155" s="125">
        <f>DA44/293.07*(1/(VLOOKUP($BM155,'Fuel economy adjusted factor'!$A$2:$L$52,5,FALSE)*m2k))/'TCO Inputs'!$AZ$84</f>
        <v>137.69143016792859</v>
      </c>
      <c r="DB155" s="125">
        <f>DB44/293.07*(1/(VLOOKUP($BM155,'Fuel economy adjusted factor'!$A$2:$L$52,5,FALSE)*m2k))/'TCO Inputs'!$AZ$84</f>
        <v>137.69143016792859</v>
      </c>
      <c r="DC155" s="125">
        <f>DC44/293.07*(1/(VLOOKUP($BM155,'Fuel economy adjusted factor'!$A$2:$L$52,5,FALSE)*m2k))/'TCO Inputs'!$AZ$84</f>
        <v>137.69143016792859</v>
      </c>
      <c r="DD155" s="125">
        <f>DD44/293.07*(1/(VLOOKUP($BM155,'Fuel economy adjusted factor'!$A$2:$L$52,5,FALSE)*m2k))/'TCO Inputs'!$AZ$84</f>
        <v>137.69143016792859</v>
      </c>
      <c r="DE155" s="125">
        <f>DE44/293.07*(1/(VLOOKUP($BM155,'Fuel economy adjusted factor'!$A$2:$L$52,5,FALSE)*m2k))/'TCO Inputs'!$AZ$84</f>
        <v>137.67390559698049</v>
      </c>
      <c r="DF155" s="125">
        <f>DF44/293.07*(1/(VLOOKUP($BM155,'Fuel economy adjusted factor'!$A$2:$L$52,5,FALSE)*m2k))/'TCO Inputs'!$AZ$84</f>
        <v>137.67390559698049</v>
      </c>
      <c r="DG155" s="125">
        <f>DG44/293.07*(1/(VLOOKUP($BM155,'Fuel economy adjusted factor'!$A$2:$L$52,5,FALSE)*m2k))/'TCO Inputs'!$AZ$84</f>
        <v>137.67390559698049</v>
      </c>
      <c r="DH155" s="125">
        <f>DH44/293.07*(1/(VLOOKUP($BM155,'Fuel economy adjusted factor'!$A$2:$L$52,5,FALSE)*m2k))/'TCO Inputs'!$AZ$84</f>
        <v>137.67390559698049</v>
      </c>
      <c r="DI155" s="125">
        <f>DI44/293.07*(1/(VLOOKUP($BM155,'Fuel economy adjusted factor'!$A$2:$L$52,5,FALSE)*m2k))/'TCO Inputs'!$AZ$84</f>
        <v>137.67390559698049</v>
      </c>
      <c r="DJ155" s="125">
        <f>DJ44/293.07*(1/(VLOOKUP($BM155,'Fuel economy adjusted factor'!$A$2:$L$52,5,FALSE)*m2k))/'TCO Inputs'!$AZ$84</f>
        <v>137.66952445424346</v>
      </c>
      <c r="DK155" s="125">
        <f>DK44/293.07*(1/(VLOOKUP($BM155,'Fuel economy adjusted factor'!$A$2:$L$52,5,FALSE)*m2k))/'TCO Inputs'!$AZ$84</f>
        <v>137.66952445424346</v>
      </c>
      <c r="DL155" s="125">
        <f>DL44/293.07*(1/(VLOOKUP($BM155,'Fuel economy adjusted factor'!$A$2:$L$52,5,FALSE)*m2k))/'TCO Inputs'!$AZ$84</f>
        <v>137.66952445424346</v>
      </c>
      <c r="DM155" s="125">
        <f>DM44/293.07*(1/(VLOOKUP($BM155,'Fuel economy adjusted factor'!$A$2:$L$52,5,FALSE)*m2k))/'TCO Inputs'!$AZ$84</f>
        <v>137.66952445424346</v>
      </c>
      <c r="DN155" s="125">
        <f>DN44/293.07*(1/(VLOOKUP($BM155,'Fuel economy adjusted factor'!$A$2:$L$52,5,FALSE)*m2k))/'TCO Inputs'!$AZ$84</f>
        <v>137.66952445424346</v>
      </c>
      <c r="DO155" s="125">
        <f>DO44/293.07*(1/(VLOOKUP($BM155,'Fuel economy adjusted factor'!$A$2:$L$52,5,FALSE)*m2k))/'TCO Inputs'!$AZ$84</f>
        <v>137.58453028514509</v>
      </c>
      <c r="DP155" s="125">
        <f>DP44/293.07*(1/(VLOOKUP($BM155,'Fuel economy adjusted factor'!$A$2:$L$52,5,FALSE)*m2k))/'TCO Inputs'!$AZ$84</f>
        <v>137.58453028514509</v>
      </c>
      <c r="DQ155" s="125">
        <f>DQ44/293.07*(1/(VLOOKUP($BM155,'Fuel economy adjusted factor'!$A$2:$L$52,5,FALSE)*m2k))/'TCO Inputs'!$AZ$84</f>
        <v>137.58453028514509</v>
      </c>
      <c r="DR155" s="125">
        <f>DR44/293.07*(1/(VLOOKUP($BM155,'Fuel economy adjusted factor'!$A$2:$L$52,5,FALSE)*m2k))/'TCO Inputs'!$AZ$84</f>
        <v>137.58453028514509</v>
      </c>
      <c r="DS155" s="125">
        <f>DS44/293.07*(1/(VLOOKUP($BM155,'Fuel economy adjusted factor'!$A$2:$L$52,5,FALSE)*m2k))/'TCO Inputs'!$AZ$84</f>
        <v>137.58453028514509</v>
      </c>
      <c r="DT155" s="125">
        <f>DT44/293.07*(1/(VLOOKUP($BM155,'Fuel economy adjusted factor'!$A$2:$L$52,5,FALSE)*m2k))/'TCO Inputs'!$AZ$84</f>
        <v>137.65550479748495</v>
      </c>
      <c r="DU155" s="98" cm="1">
        <f t="array" ref="DU155">SUMPRODUCT(INDEX(CS155:DT155,,'TCO Inputs'!$AZ$12-2023+_xlfn.SEQUENCE('TCO Inputs'!$AZ$13))*INDEX('VKT US'!C101:AA101,,_xlfn.SEQUENCE('TCO Inputs'!$AZ$13)))*m2k*CONVERT(0.9072,"g","ton")</f>
        <v>28.990685948129482</v>
      </c>
      <c r="DW155" s="123" t="s">
        <v>221</v>
      </c>
      <c r="DX155" s="125">
        <f>DX44/293.07*(1/(VLOOKUP($BM155,'Fuel economy adjusted factor'!$A$2:$L$52,5,FALSE)*m2k))/'TCO Inputs'!$AZ$84</f>
        <v>144.10454319244451</v>
      </c>
      <c r="DY155" s="125">
        <f>DY44/293.07*(1/(VLOOKUP($BM155,'Fuel economy adjusted factor'!$A$2:$L$52,5,FALSE)*m2k))/'TCO Inputs'!$AZ$84</f>
        <v>144.10454319244451</v>
      </c>
      <c r="DZ155" s="125">
        <f>DZ44/293.07*(1/(VLOOKUP($BM155,'Fuel economy adjusted factor'!$A$2:$L$52,5,FALSE)*m2k))/'TCO Inputs'!$AZ$84</f>
        <v>126.32208393679055</v>
      </c>
      <c r="EA155" s="125">
        <f>EA44/293.07*(1/(VLOOKUP($BM155,'Fuel economy adjusted factor'!$A$2:$L$52,5,FALSE)*m2k))/'TCO Inputs'!$AZ$84</f>
        <v>126.32208393679055</v>
      </c>
      <c r="EB155" s="125">
        <f>EB44/293.07*(1/(VLOOKUP($BM155,'Fuel economy adjusted factor'!$A$2:$L$52,5,FALSE)*m2k))/'TCO Inputs'!$AZ$84</f>
        <v>126.32208393679055</v>
      </c>
      <c r="EC155" s="125">
        <f>EC44/293.07*(1/(VLOOKUP($BM155,'Fuel economy adjusted factor'!$A$2:$L$52,5,FALSE)*m2k))/'TCO Inputs'!$AZ$84</f>
        <v>126.32208393679055</v>
      </c>
      <c r="ED155" s="125">
        <f>ED44/293.07*(1/(VLOOKUP($BM155,'Fuel economy adjusted factor'!$A$2:$L$52,5,FALSE)*m2k))/'TCO Inputs'!$AZ$84</f>
        <v>126.32208393679055</v>
      </c>
      <c r="EE155" s="125">
        <f>EE44/293.07*(1/(VLOOKUP($BM155,'Fuel economy adjusted factor'!$A$2:$L$52,5,FALSE)*m2k))/'TCO Inputs'!$AZ$84</f>
        <v>77.856872826225271</v>
      </c>
      <c r="EF155" s="125">
        <f>EF44/293.07*(1/(VLOOKUP($BM155,'Fuel economy adjusted factor'!$A$2:$L$52,5,FALSE)*m2k))/'TCO Inputs'!$AZ$84</f>
        <v>77.856872826225271</v>
      </c>
      <c r="EG155" s="125">
        <f>EG44/293.07*(1/(VLOOKUP($BM155,'Fuel economy adjusted factor'!$A$2:$L$52,5,FALSE)*m2k))/'TCO Inputs'!$AZ$84</f>
        <v>77.856872826225271</v>
      </c>
      <c r="EH155" s="125">
        <f>EH44/293.07*(1/(VLOOKUP($BM155,'Fuel economy adjusted factor'!$A$2:$L$52,5,FALSE)*m2k))/'TCO Inputs'!$AZ$84</f>
        <v>77.856872826225271</v>
      </c>
      <c r="EI155" s="125">
        <f>EI44/293.07*(1/(VLOOKUP($BM155,'Fuel economy adjusted factor'!$A$2:$L$52,5,FALSE)*m2k))/'TCO Inputs'!$AZ$84</f>
        <v>77.856872826225271</v>
      </c>
      <c r="EJ155" s="125">
        <f>EJ44/293.07*(1/(VLOOKUP($BM155,'Fuel economy adjusted factor'!$A$2:$L$52,5,FALSE)*m2k))/'TCO Inputs'!$AZ$84</f>
        <v>69.535335396243795</v>
      </c>
      <c r="EK155" s="125">
        <f>EK44/293.07*(1/(VLOOKUP($BM155,'Fuel economy adjusted factor'!$A$2:$L$52,5,FALSE)*m2k))/'TCO Inputs'!$AZ$84</f>
        <v>69.535335396243795</v>
      </c>
      <c r="EL155" s="125">
        <f>EL44/293.07*(1/(VLOOKUP($BM155,'Fuel economy adjusted factor'!$A$2:$L$52,5,FALSE)*m2k))/'TCO Inputs'!$AZ$84</f>
        <v>69.535335396243795</v>
      </c>
      <c r="EM155" s="125">
        <f>EM44/293.07*(1/(VLOOKUP($BM155,'Fuel economy adjusted factor'!$A$2:$L$52,5,FALSE)*m2k))/'TCO Inputs'!$AZ$84</f>
        <v>69.535335396243795</v>
      </c>
      <c r="EN155" s="125">
        <f>EN44/293.07*(1/(VLOOKUP($BM155,'Fuel economy adjusted factor'!$A$2:$L$52,5,FALSE)*m2k))/'TCO Inputs'!$AZ$84</f>
        <v>69.535335396243795</v>
      </c>
      <c r="EO155" s="125">
        <f>EO44/293.07*(1/(VLOOKUP($BM155,'Fuel economy adjusted factor'!$A$2:$L$52,5,FALSE)*m2k))/'TCO Inputs'!$AZ$84</f>
        <v>67.346741347537531</v>
      </c>
      <c r="EP155" s="125">
        <f>EP44/293.07*(1/(VLOOKUP($BM155,'Fuel economy adjusted factor'!$A$2:$L$52,5,FALSE)*m2k))/'TCO Inputs'!$AZ$84</f>
        <v>67.346741347537531</v>
      </c>
      <c r="EQ155" s="125">
        <f>EQ44/293.07*(1/(VLOOKUP($BM155,'Fuel economy adjusted factor'!$A$2:$L$52,5,FALSE)*m2k))/'TCO Inputs'!$AZ$84</f>
        <v>67.346741347537531</v>
      </c>
      <c r="ER155" s="125">
        <f>ER44/293.07*(1/(VLOOKUP($BM155,'Fuel economy adjusted factor'!$A$2:$L$52,5,FALSE)*m2k))/'TCO Inputs'!$AZ$84</f>
        <v>67.346741347537531</v>
      </c>
      <c r="ES155" s="125">
        <f>ES44/293.07*(1/(VLOOKUP($BM155,'Fuel economy adjusted factor'!$A$2:$L$52,5,FALSE)*m2k))/'TCO Inputs'!$AZ$84</f>
        <v>67.346741347537531</v>
      </c>
      <c r="ET155" s="125">
        <f>ET44/293.07*(1/(VLOOKUP($BM155,'Fuel economy adjusted factor'!$A$2:$L$52,5,FALSE)*m2k))/'TCO Inputs'!$AZ$84</f>
        <v>64.846248777105842</v>
      </c>
      <c r="EU155" s="125">
        <f>EU44/293.07*(1/(VLOOKUP($BM155,'Fuel economy adjusted factor'!$A$2:$L$52,5,FALSE)*m2k))/'TCO Inputs'!$AZ$84</f>
        <v>64.846248777105842</v>
      </c>
      <c r="EV155" s="125">
        <f>EV44/293.07*(1/(VLOOKUP($BM155,'Fuel economy adjusted factor'!$A$2:$L$52,5,FALSE)*m2k))/'TCO Inputs'!$AZ$84</f>
        <v>64.846248777105842</v>
      </c>
      <c r="EW155" s="125">
        <f>EW44/293.07*(1/(VLOOKUP($BM155,'Fuel economy adjusted factor'!$A$2:$L$52,5,FALSE)*m2k))/'TCO Inputs'!$AZ$84</f>
        <v>64.846248777105842</v>
      </c>
      <c r="EX155" s="125">
        <f>EX44/293.07*(1/(VLOOKUP($BM155,'Fuel economy adjusted factor'!$A$2:$L$52,5,FALSE)*m2k))/'TCO Inputs'!$AZ$84</f>
        <v>64.846248777105842</v>
      </c>
      <c r="EY155" s="125">
        <f>EY44/293.07*(1/(VLOOKUP($BM155,'Fuel economy adjusted factor'!$A$2:$L$52,5,FALSE)*m2k))/'TCO Inputs'!$AZ$84</f>
        <v>60.925238789699975</v>
      </c>
      <c r="EZ155" s="98" cm="1">
        <f t="array" ref="EZ155">SUMPRODUCT(INDEX(DX155:EY155,,'TCO Inputs'!$AZ$12-2023+_xlfn.SEQUENCE('TCO Inputs'!$AZ$13))*INDEX('VKT US'!C101:AA101,,_xlfn.SEQUENCE('TCO Inputs'!$AZ$13)))*m2k*CONVERT(0.9072,"g","ton")</f>
        <v>22.433350729663008</v>
      </c>
      <c r="FB155" s="123" t="s">
        <v>221</v>
      </c>
      <c r="FC155" s="125">
        <f>FC44/293.07*(1/(VLOOKUP($BM155,'Fuel economy adjusted factor'!$A$2:$L$52,5,FALSE)*m2k))/'TCO Inputs'!$AZ$84</f>
        <v>156.30253367815675</v>
      </c>
      <c r="FD155" s="125">
        <f>FD44/293.07*(1/(VLOOKUP($BM155,'Fuel economy adjusted factor'!$A$2:$L$52,5,FALSE)*m2k))/'TCO Inputs'!$AZ$84</f>
        <v>156.30253367815675</v>
      </c>
      <c r="FE155" s="125">
        <f>FE44/293.07*(1/(VLOOKUP($BM155,'Fuel economy adjusted factor'!$A$2:$L$52,5,FALSE)*m2k))/'TCO Inputs'!$AZ$84</f>
        <v>136.49909930724084</v>
      </c>
      <c r="FF155" s="125">
        <f>FF44/293.07*(1/(VLOOKUP($BM155,'Fuel economy adjusted factor'!$A$2:$L$52,5,FALSE)*m2k))/'TCO Inputs'!$AZ$84</f>
        <v>136.49909930724084</v>
      </c>
      <c r="FG155" s="125">
        <f>FG44/293.07*(1/(VLOOKUP($BM155,'Fuel economy adjusted factor'!$A$2:$L$52,5,FALSE)*m2k))/'TCO Inputs'!$AZ$84</f>
        <v>136.49909930724084</v>
      </c>
      <c r="FH155" s="125">
        <f>FH44/293.07*(1/(VLOOKUP($BM155,'Fuel economy adjusted factor'!$A$2:$L$52,5,FALSE)*m2k))/'TCO Inputs'!$AZ$84</f>
        <v>136.49909930724084</v>
      </c>
      <c r="FI155" s="125">
        <f>FI44/293.07*(1/(VLOOKUP($BM155,'Fuel economy adjusted factor'!$A$2:$L$52,5,FALSE)*m2k))/'TCO Inputs'!$AZ$84</f>
        <v>136.49909930724084</v>
      </c>
      <c r="FJ155" s="125">
        <f>FJ44/293.07*(1/(VLOOKUP($BM155,'Fuel economy adjusted factor'!$A$2:$L$52,5,FALSE)*m2k))/'TCO Inputs'!$AZ$84</f>
        <v>85.656457628013072</v>
      </c>
      <c r="FK155" s="125">
        <f>FK44/293.07*(1/(VLOOKUP($BM155,'Fuel economy adjusted factor'!$A$2:$L$52,5,FALSE)*m2k))/'TCO Inputs'!$AZ$84</f>
        <v>85.656457628013072</v>
      </c>
      <c r="FL155" s="125">
        <f>FL44/293.07*(1/(VLOOKUP($BM155,'Fuel economy adjusted factor'!$A$2:$L$52,5,FALSE)*m2k))/'TCO Inputs'!$AZ$84</f>
        <v>85.656457628013072</v>
      </c>
      <c r="FM155" s="125">
        <f>FM44/293.07*(1/(VLOOKUP($BM155,'Fuel economy adjusted factor'!$A$2:$L$52,5,FALSE)*m2k))/'TCO Inputs'!$AZ$84</f>
        <v>85.656457628013072</v>
      </c>
      <c r="FN155" s="125">
        <f>FN44/293.07*(1/(VLOOKUP($BM155,'Fuel economy adjusted factor'!$A$2:$L$52,5,FALSE)*m2k))/'TCO Inputs'!$AZ$84</f>
        <v>85.656457628013072</v>
      </c>
      <c r="FO155" s="125">
        <f>FO44/293.07*(1/(VLOOKUP($BM155,'Fuel economy adjusted factor'!$A$2:$L$52,5,FALSE)*m2k))/'TCO Inputs'!$AZ$84</f>
        <v>76.058682369338641</v>
      </c>
      <c r="FP155" s="125">
        <f>FP44/293.07*(1/(VLOOKUP($BM155,'Fuel economy adjusted factor'!$A$2:$L$52,5,FALSE)*m2k))/'TCO Inputs'!$AZ$84</f>
        <v>76.058682369338641</v>
      </c>
      <c r="FQ155" s="125">
        <f>FQ44/293.07*(1/(VLOOKUP($BM155,'Fuel economy adjusted factor'!$A$2:$L$52,5,FALSE)*m2k))/'TCO Inputs'!$AZ$84</f>
        <v>76.058682369338641</v>
      </c>
      <c r="FR155" s="125">
        <f>FR44/293.07*(1/(VLOOKUP($BM155,'Fuel economy adjusted factor'!$A$2:$L$52,5,FALSE)*m2k))/'TCO Inputs'!$AZ$84</f>
        <v>76.058682369338641</v>
      </c>
      <c r="FS155" s="125">
        <f>FS44/293.07*(1/(VLOOKUP($BM155,'Fuel economy adjusted factor'!$A$2:$L$52,5,FALSE)*m2k))/'TCO Inputs'!$AZ$84</f>
        <v>76.058682369338641</v>
      </c>
      <c r="FT155" s="125">
        <f>FT44/293.07*(1/(VLOOKUP($BM155,'Fuel economy adjusted factor'!$A$2:$L$52,5,FALSE)*m2k))/'TCO Inputs'!$AZ$84</f>
        <v>74.12257760012443</v>
      </c>
      <c r="FU155" s="125">
        <f>FU44/293.07*(1/(VLOOKUP($BM155,'Fuel economy adjusted factor'!$A$2:$L$52,5,FALSE)*m2k))/'TCO Inputs'!$AZ$84</f>
        <v>74.12257760012443</v>
      </c>
      <c r="FV155" s="125">
        <f>FV44/293.07*(1/(VLOOKUP($BM155,'Fuel economy adjusted factor'!$A$2:$L$52,5,FALSE)*m2k))/'TCO Inputs'!$AZ$84</f>
        <v>74.12257760012443</v>
      </c>
      <c r="FW155" s="125">
        <f>FW44/293.07*(1/(VLOOKUP($BM155,'Fuel economy adjusted factor'!$A$2:$L$52,5,FALSE)*m2k))/'TCO Inputs'!$AZ$84</f>
        <v>74.12257760012443</v>
      </c>
      <c r="FX155" s="125">
        <f>FX44/293.07*(1/(VLOOKUP($BM155,'Fuel economy adjusted factor'!$A$2:$L$52,5,FALSE)*m2k))/'TCO Inputs'!$AZ$84</f>
        <v>74.12257760012443</v>
      </c>
      <c r="FY155" s="125">
        <f>FY44/293.07*(1/(VLOOKUP($BM155,'Fuel economy adjusted factor'!$A$2:$L$52,5,FALSE)*m2k))/'TCO Inputs'!$AZ$84</f>
        <v>71.616780633064735</v>
      </c>
      <c r="FZ155" s="125">
        <f>FZ44/293.07*(1/(VLOOKUP($BM155,'Fuel economy adjusted factor'!$A$2:$L$52,5,FALSE)*m2k))/'TCO Inputs'!$AZ$84</f>
        <v>71.616780633064735</v>
      </c>
      <c r="GA155" s="125">
        <f>GA44/293.07*(1/(VLOOKUP($BM155,'Fuel economy adjusted factor'!$A$2:$L$52,5,FALSE)*m2k))/'TCO Inputs'!$AZ$84</f>
        <v>71.616780633064735</v>
      </c>
      <c r="GB155" s="125">
        <f>GB44/293.07*(1/(VLOOKUP($BM155,'Fuel economy adjusted factor'!$A$2:$L$52,5,FALSE)*m2k))/'TCO Inputs'!$AZ$84</f>
        <v>71.616780633064735</v>
      </c>
      <c r="GC155" s="125">
        <f>GC44/293.07*(1/(VLOOKUP($BM155,'Fuel economy adjusted factor'!$A$2:$L$52,5,FALSE)*m2k))/'TCO Inputs'!$AZ$84</f>
        <v>71.616780633064735</v>
      </c>
      <c r="GD155" s="125">
        <f>GD44/293.07*(1/(VLOOKUP($BM155,'Fuel economy adjusted factor'!$A$2:$L$52,5,FALSE)*m2k))/'TCO Inputs'!$AZ$84</f>
        <v>67.559978091982487</v>
      </c>
      <c r="GE155" s="98" cm="1">
        <f t="array" ref="GE155">SUMPRODUCT(INDEX(FC155:GD155,,'TCO Inputs'!$AZ$12-2023+_xlfn.SEQUENCE('TCO Inputs'!$AZ$13))*INDEX('VKT US'!C101:AA101,,_xlfn.SEQUENCE('TCO Inputs'!$AZ$13)))*m2k*CONVERT(0.9072,"g","ton")</f>
        <v>24.390965335122111</v>
      </c>
      <c r="GH155" s="123" t="s">
        <v>221</v>
      </c>
      <c r="GI155" s="125">
        <f>GI44/293.07*(1/(VLOOKUP($BM155,'Fuel economy adjusted factor'!$A$2:$L$52,5,FALSE)*m2k))/'TCO Inputs'!$AZ$84</f>
        <v>135.80210159032376</v>
      </c>
      <c r="GJ155" s="125">
        <f>GJ44/293.07*(1/(VLOOKUP($BM155,'Fuel economy adjusted factor'!$A$2:$L$52,5,FALSE)*m2k))/'TCO Inputs'!$AZ$84</f>
        <v>135.80210159032376</v>
      </c>
      <c r="GK155" s="125">
        <f>GK44/293.07*(1/(VLOOKUP($BM155,'Fuel economy adjusted factor'!$A$2:$L$52,5,FALSE)*m2k))/'TCO Inputs'!$AZ$84</f>
        <v>119.3956028199689</v>
      </c>
      <c r="GL155" s="125">
        <f>GL44/293.07*(1/(VLOOKUP($BM155,'Fuel economy adjusted factor'!$A$2:$L$52,5,FALSE)*m2k))/'TCO Inputs'!$AZ$84</f>
        <v>119.3956028199689</v>
      </c>
      <c r="GM155" s="125">
        <f>GM44/293.07*(1/(VLOOKUP($BM155,'Fuel economy adjusted factor'!$A$2:$L$52,5,FALSE)*m2k))/'TCO Inputs'!$AZ$84</f>
        <v>119.3956028199689</v>
      </c>
      <c r="GN155" s="125">
        <f>GN44/293.07*(1/(VLOOKUP($BM155,'Fuel economy adjusted factor'!$A$2:$L$52,5,FALSE)*m2k))/'TCO Inputs'!$AZ$84</f>
        <v>119.3956028199689</v>
      </c>
      <c r="GO155" s="125">
        <f>GO44/293.07*(1/(VLOOKUP($BM155,'Fuel economy adjusted factor'!$A$2:$L$52,5,FALSE)*m2k))/'TCO Inputs'!$AZ$84</f>
        <v>119.3956028199689</v>
      </c>
      <c r="GP155" s="125">
        <f>GP44/293.07*(1/(VLOOKUP($BM155,'Fuel economy adjusted factor'!$A$2:$L$52,5,FALSE)*m2k))/'TCO Inputs'!$AZ$84</f>
        <v>72.548232680938767</v>
      </c>
      <c r="GQ155" s="125">
        <f>GQ44/293.07*(1/(VLOOKUP($BM155,'Fuel economy adjusted factor'!$A$2:$L$52,5,FALSE)*m2k))/'TCO Inputs'!$AZ$84</f>
        <v>72.548232680938767</v>
      </c>
      <c r="GR155" s="125">
        <f>GR44/293.07*(1/(VLOOKUP($BM155,'Fuel economy adjusted factor'!$A$2:$L$52,5,FALSE)*m2k))/'TCO Inputs'!$AZ$84</f>
        <v>72.548232680938767</v>
      </c>
      <c r="GS155" s="125">
        <f>GS44/293.07*(1/(VLOOKUP($BM155,'Fuel economy adjusted factor'!$A$2:$L$52,5,FALSE)*m2k))/'TCO Inputs'!$AZ$84</f>
        <v>72.548232680938767</v>
      </c>
      <c r="GT155" s="125">
        <f>GT44/293.07*(1/(VLOOKUP($BM155,'Fuel economy adjusted factor'!$A$2:$L$52,5,FALSE)*m2k))/'TCO Inputs'!$AZ$84</f>
        <v>72.548232680938767</v>
      </c>
      <c r="GU155" s="125">
        <f>GU44/293.07*(1/(VLOOKUP($BM155,'Fuel economy adjusted factor'!$A$2:$L$52,5,FALSE)*m2k))/'TCO Inputs'!$AZ$84</f>
        <v>65.095555418621089</v>
      </c>
      <c r="GV155" s="125">
        <f>GV44/293.07*(1/(VLOOKUP($BM155,'Fuel economy adjusted factor'!$A$2:$L$52,5,FALSE)*m2k))/'TCO Inputs'!$AZ$84</f>
        <v>65.095555418621089</v>
      </c>
      <c r="GW155" s="125">
        <f>GW44/293.07*(1/(VLOOKUP($BM155,'Fuel economy adjusted factor'!$A$2:$L$52,5,FALSE)*m2k))/'TCO Inputs'!$AZ$84</f>
        <v>65.095555418621089</v>
      </c>
      <c r="GX155" s="125">
        <f>GX44/293.07*(1/(VLOOKUP($BM155,'Fuel economy adjusted factor'!$A$2:$L$52,5,FALSE)*m2k))/'TCO Inputs'!$AZ$84</f>
        <v>65.095555418621089</v>
      </c>
      <c r="GY155" s="125">
        <f>GY44/293.07*(1/(VLOOKUP($BM155,'Fuel economy adjusted factor'!$A$2:$L$52,5,FALSE)*m2k))/'TCO Inputs'!$AZ$84</f>
        <v>65.095555418621089</v>
      </c>
      <c r="GZ155" s="125">
        <f>GZ44/293.07*(1/(VLOOKUP($BM155,'Fuel economy adjusted factor'!$A$2:$L$52,5,FALSE)*m2k))/'TCO Inputs'!$AZ$84</f>
        <v>62.735098919168152</v>
      </c>
      <c r="HA155" s="125">
        <f>HA44/293.07*(1/(VLOOKUP($BM155,'Fuel economy adjusted factor'!$A$2:$L$52,5,FALSE)*m2k))/'TCO Inputs'!$AZ$84</f>
        <v>62.735098919168152</v>
      </c>
      <c r="HB155" s="125">
        <f>HB44/293.07*(1/(VLOOKUP($BM155,'Fuel economy adjusted factor'!$A$2:$L$52,5,FALSE)*m2k))/'TCO Inputs'!$AZ$84</f>
        <v>62.735098919168152</v>
      </c>
      <c r="HC155" s="125">
        <f>HC44/293.07*(1/(VLOOKUP($BM155,'Fuel economy adjusted factor'!$A$2:$L$52,5,FALSE)*m2k))/'TCO Inputs'!$AZ$84</f>
        <v>62.735098919168152</v>
      </c>
      <c r="HD155" s="125">
        <f>HD44/293.07*(1/(VLOOKUP($BM155,'Fuel economy adjusted factor'!$A$2:$L$52,5,FALSE)*m2k))/'TCO Inputs'!$AZ$84</f>
        <v>62.735098919168152</v>
      </c>
      <c r="HE155" s="125">
        <f>HE44/293.07*(1/(VLOOKUP($BM155,'Fuel economy adjusted factor'!$A$2:$L$52,5,FALSE)*m2k))/'TCO Inputs'!$AZ$84</f>
        <v>60.237788986713227</v>
      </c>
      <c r="HF155" s="125">
        <f>HF44/293.07*(1/(VLOOKUP($BM155,'Fuel economy adjusted factor'!$A$2:$L$52,5,FALSE)*m2k))/'TCO Inputs'!$AZ$84</f>
        <v>60.237788986713227</v>
      </c>
      <c r="HG155" s="125">
        <f>HG44/293.07*(1/(VLOOKUP($BM155,'Fuel economy adjusted factor'!$A$2:$L$52,5,FALSE)*m2k))/'TCO Inputs'!$AZ$84</f>
        <v>60.237788986713227</v>
      </c>
      <c r="HH155" s="125">
        <f>HH44/293.07*(1/(VLOOKUP($BM155,'Fuel economy adjusted factor'!$A$2:$L$52,5,FALSE)*m2k))/'TCO Inputs'!$AZ$84</f>
        <v>60.237788986713227</v>
      </c>
      <c r="HI155" s="125">
        <f>HI44/293.07*(1/(VLOOKUP($BM155,'Fuel economy adjusted factor'!$A$2:$L$52,5,FALSE)*m2k))/'TCO Inputs'!$AZ$84</f>
        <v>60.237788986713227</v>
      </c>
      <c r="HJ155" s="125">
        <f>HJ44/293.07*(1/(VLOOKUP($BM155,'Fuel economy adjusted factor'!$A$2:$L$52,5,FALSE)*m2k))/'TCO Inputs'!$AZ$84</f>
        <v>56.410136379959894</v>
      </c>
      <c r="HK155" s="98" cm="1">
        <f t="array" ref="HK155">SUMPRODUCT(INDEX(GI155:HJ155,,'TCO Inputs'!$AZ$12-2023+_xlfn.SEQUENCE('TCO Inputs'!$AZ$13))*INDEX('VKT US'!C101:AA101,,_xlfn.SEQUENCE('TCO Inputs'!$AZ$13)))*m2k*CONVERT(0.9072,"g","ton")</f>
        <v>21.100963838088973</v>
      </c>
    </row>
    <row r="156" spans="26:219" x14ac:dyDescent="0.25">
      <c r="Z156" s="123" t="s">
        <v>222</v>
      </c>
      <c r="AA156" s="125">
        <f>AA45/293.07*(1/(VLOOKUP($Z156,'Fuel economy adjusted factor'!$A$2:$L$52,5,FALSE)*m2k))/'TCO Inputs'!$AZ$84</f>
        <v>64.888678612291173</v>
      </c>
      <c r="AB156" s="125">
        <f>AB45/293.07*(1/(VLOOKUP($Z156,'Fuel economy adjusted factor'!$A$2:$L$52,5,FALSE)*m2k))/'TCO Inputs'!$AZ$84</f>
        <v>64.888678612291173</v>
      </c>
      <c r="AC156" s="125">
        <f>AC45/293.07*(1/(VLOOKUP($Z156,'Fuel economy adjusted factor'!$A$2:$L$52,5,FALSE)*m2k))/'TCO Inputs'!$AZ$84</f>
        <v>57.069193039118979</v>
      </c>
      <c r="AD156" s="125">
        <f>AD45/293.07*(1/(VLOOKUP($Z156,'Fuel economy adjusted factor'!$A$2:$L$52,5,FALSE)*m2k))/'TCO Inputs'!$AZ$84</f>
        <v>57.069193039118979</v>
      </c>
      <c r="AE156" s="125">
        <f>AE45/293.07*(1/(VLOOKUP($Z156,'Fuel economy adjusted factor'!$A$2:$L$52,5,FALSE)*m2k))/'TCO Inputs'!$AZ$84</f>
        <v>57.069193039118979</v>
      </c>
      <c r="AF156" s="125">
        <f>AF45/293.07*(1/(VLOOKUP($Z156,'Fuel economy adjusted factor'!$A$2:$L$52,5,FALSE)*m2k))/'TCO Inputs'!$AZ$84</f>
        <v>57.069193039118979</v>
      </c>
      <c r="AG156" s="125">
        <f>AG45/293.07*(1/(VLOOKUP($Z156,'Fuel economy adjusted factor'!$A$2:$L$52,5,FALSE)*m2k))/'TCO Inputs'!$AZ$84</f>
        <v>57.069193039118979</v>
      </c>
      <c r="AH156" s="125">
        <f>AH45/293.07*(1/(VLOOKUP($Z156,'Fuel economy adjusted factor'!$A$2:$L$52,5,FALSE)*m2k))/'TCO Inputs'!$AZ$84</f>
        <v>34.289321848974701</v>
      </c>
      <c r="AI156" s="125">
        <f>AI45/293.07*(1/(VLOOKUP($Z156,'Fuel economy adjusted factor'!$A$2:$L$52,5,FALSE)*m2k))/'TCO Inputs'!$AZ$84</f>
        <v>34.289321848974701</v>
      </c>
      <c r="AJ156" s="125">
        <f>AJ45/293.07*(1/(VLOOKUP($Z156,'Fuel economy adjusted factor'!$A$2:$L$52,5,FALSE)*m2k))/'TCO Inputs'!$AZ$84</f>
        <v>34.289321848974701</v>
      </c>
      <c r="AK156" s="125">
        <f>AK45/293.07*(1/(VLOOKUP($Z156,'Fuel economy adjusted factor'!$A$2:$L$52,5,FALSE)*m2k))/'TCO Inputs'!$AZ$84</f>
        <v>34.289321848974701</v>
      </c>
      <c r="AL156" s="125">
        <f>AL45/293.07*(1/(VLOOKUP($Z156,'Fuel economy adjusted factor'!$A$2:$L$52,5,FALSE)*m2k))/'TCO Inputs'!$AZ$84</f>
        <v>34.289321848974701</v>
      </c>
      <c r="AM156" s="125">
        <f>AM45/293.07*(1/(VLOOKUP($Z156,'Fuel economy adjusted factor'!$A$2:$L$52,5,FALSE)*m2k))/'TCO Inputs'!$AZ$84</f>
        <v>35.883022720094466</v>
      </c>
      <c r="AN156" s="125">
        <f>AN45/293.07*(1/(VLOOKUP($Z156,'Fuel economy adjusted factor'!$A$2:$L$52,5,FALSE)*m2k))/'TCO Inputs'!$AZ$84</f>
        <v>35.883022720094466</v>
      </c>
      <c r="AO156" s="125">
        <f>AO45/293.07*(1/(VLOOKUP($Z156,'Fuel economy adjusted factor'!$A$2:$L$52,5,FALSE)*m2k))/'TCO Inputs'!$AZ$84</f>
        <v>35.883022720094466</v>
      </c>
      <c r="AP156" s="125">
        <f>AP45/293.07*(1/(VLOOKUP($Z156,'Fuel economy adjusted factor'!$A$2:$L$52,5,FALSE)*m2k))/'TCO Inputs'!$AZ$84</f>
        <v>35.883022720094466</v>
      </c>
      <c r="AQ156" s="125">
        <f>AQ45/293.07*(1/(VLOOKUP($Z156,'Fuel economy adjusted factor'!$A$2:$L$52,5,FALSE)*m2k))/'TCO Inputs'!$AZ$84</f>
        <v>35.883022720094466</v>
      </c>
      <c r="AR156" s="125">
        <f>AR45/293.07*(1/(VLOOKUP($Z156,'Fuel economy adjusted factor'!$A$2:$L$52,5,FALSE)*m2k))/'TCO Inputs'!$AZ$84</f>
        <v>37.510227814108802</v>
      </c>
      <c r="AS156" s="125">
        <f>AS45/293.07*(1/(VLOOKUP($Z156,'Fuel economy adjusted factor'!$A$2:$L$52,5,FALSE)*m2k))/'TCO Inputs'!$AZ$84</f>
        <v>37.510227814108802</v>
      </c>
      <c r="AT156" s="125">
        <f>AT45/293.07*(1/(VLOOKUP($Z156,'Fuel economy adjusted factor'!$A$2:$L$52,5,FALSE)*m2k))/'TCO Inputs'!$AZ$84</f>
        <v>37.510227814108802</v>
      </c>
      <c r="AU156" s="125">
        <f>AU45/293.07*(1/(VLOOKUP($Z156,'Fuel economy adjusted factor'!$A$2:$L$52,5,FALSE)*m2k))/'TCO Inputs'!$AZ$84</f>
        <v>37.510227814108802</v>
      </c>
      <c r="AV156" s="125">
        <f>AV45/293.07*(1/(VLOOKUP($Z156,'Fuel economy adjusted factor'!$A$2:$L$52,5,FALSE)*m2k))/'TCO Inputs'!$AZ$84</f>
        <v>37.510227814108802</v>
      </c>
      <c r="AW156" s="125">
        <f>AW45/293.07*(1/(VLOOKUP($Z156,'Fuel economy adjusted factor'!$A$2:$L$52,5,FALSE)*m2k))/'TCO Inputs'!$AZ$84</f>
        <v>38.333331558653256</v>
      </c>
      <c r="AX156" s="125">
        <f>AX45/293.07*(1/(VLOOKUP($Z156,'Fuel economy adjusted factor'!$A$2:$L$52,5,FALSE)*m2k))/'TCO Inputs'!$AZ$84</f>
        <v>38.333331558653256</v>
      </c>
      <c r="AY156" s="125">
        <f>AY45/293.07*(1/(VLOOKUP($Z156,'Fuel economy adjusted factor'!$A$2:$L$52,5,FALSE)*m2k))/'TCO Inputs'!$AZ$84</f>
        <v>38.333331558653256</v>
      </c>
      <c r="AZ156" s="125">
        <f>AZ45/293.07*(1/(VLOOKUP($Z156,'Fuel economy adjusted factor'!$A$2:$L$52,5,FALSE)*m2k))/'TCO Inputs'!$AZ$84</f>
        <v>38.333331558653256</v>
      </c>
      <c r="BA156" s="125">
        <f>BA45/293.07*(1/(VLOOKUP($Z156,'Fuel economy adjusted factor'!$A$2:$L$52,5,FALSE)*m2k))/'TCO Inputs'!$AZ$84</f>
        <v>38.333331558653256</v>
      </c>
      <c r="BB156" s="125">
        <f>BB45/293.07*(1/(VLOOKUP($Z156,'Fuel economy adjusted factor'!$A$2:$L$52,5,FALSE)*m2k))/'TCO Inputs'!$AZ$84</f>
        <v>38.385338113594095</v>
      </c>
      <c r="BC156" s="98" cm="1">
        <f t="array" ref="BC156">SUMPRODUCT(INDEX(AA156:BB156,,'TCO Inputs'!$AZ$12-2023+_xlfn.SEQUENCE('TCO Inputs'!$AZ$13))*INDEX('VKT US'!C102:AA102,,_xlfn.SEQUENCE('TCO Inputs'!$AZ$13)))*m2k*CONVERT(0.9072,"g","ton")</f>
        <v>15.267455746790551</v>
      </c>
      <c r="BM156" s="123" t="s">
        <v>222</v>
      </c>
      <c r="BN156" s="125">
        <f>BN45/293.07*(1/(VLOOKUP($BM156,'Fuel economy adjusted factor'!$A$2:$L$52,5,FALSE)*m2k))</f>
        <v>55.155376820447493</v>
      </c>
      <c r="BO156" s="125">
        <f>BO45/293.07*(1/(VLOOKUP($BM156,'Fuel economy adjusted factor'!$A$2:$L$52,5,FALSE)*m2k))</f>
        <v>55.155376820447493</v>
      </c>
      <c r="BP156" s="125">
        <f>BP45/293.07*(1/(VLOOKUP($BM156,'Fuel economy adjusted factor'!$A$2:$L$52,5,FALSE)*m2k))</f>
        <v>48.445481100719803</v>
      </c>
      <c r="BQ156" s="125">
        <f>BQ45/293.07*(1/(VLOOKUP($BM156,'Fuel economy adjusted factor'!$A$2:$L$52,5,FALSE)*m2k))</f>
        <v>48.445481100719803</v>
      </c>
      <c r="BR156" s="125">
        <f>BR45/293.07*(1/(VLOOKUP($BM156,'Fuel economy adjusted factor'!$A$2:$L$52,5,FALSE)*m2k))</f>
        <v>48.445481100719803</v>
      </c>
      <c r="BS156" s="125">
        <f>BS45/293.07*(1/(VLOOKUP($BM156,'Fuel economy adjusted factor'!$A$2:$L$52,5,FALSE)*m2k))</f>
        <v>48.445481100719803</v>
      </c>
      <c r="BT156" s="125">
        <f>BT45/293.07*(1/(VLOOKUP($BM156,'Fuel economy adjusted factor'!$A$2:$L$52,5,FALSE)*m2k))</f>
        <v>48.445481100719803</v>
      </c>
      <c r="BU156" s="125">
        <f>BU45/293.07*(1/(VLOOKUP($BM156,'Fuel economy adjusted factor'!$A$2:$L$52,5,FALSE)*m2k))</f>
        <v>54.916071658265395</v>
      </c>
      <c r="BV156" s="125">
        <f>BV45/293.07*(1/(VLOOKUP($BM156,'Fuel economy adjusted factor'!$A$2:$L$52,5,FALSE)*m2k))</f>
        <v>54.916071658265395</v>
      </c>
      <c r="BW156" s="125">
        <f>BW45/293.07*(1/(VLOOKUP($BM156,'Fuel economy adjusted factor'!$A$2:$L$52,5,FALSE)*m2k))</f>
        <v>54.916071658265395</v>
      </c>
      <c r="BX156" s="125">
        <f>BX45/293.07*(1/(VLOOKUP($BM156,'Fuel economy adjusted factor'!$A$2:$L$52,5,FALSE)*m2k))</f>
        <v>54.916071658265395</v>
      </c>
      <c r="BY156" s="125">
        <f>BY45/293.07*(1/(VLOOKUP($BM156,'Fuel economy adjusted factor'!$A$2:$L$52,5,FALSE)*m2k))</f>
        <v>54.916071658265395</v>
      </c>
      <c r="BZ156" s="125">
        <f>BZ45/293.07*(1/(VLOOKUP($BM156,'Fuel economy adjusted factor'!$A$2:$L$52,5,FALSE)*m2k))</f>
        <v>56.236713112794341</v>
      </c>
      <c r="CA156" s="125">
        <f>CA45/293.07*(1/(VLOOKUP($BM156,'Fuel economy adjusted factor'!$A$2:$L$52,5,FALSE)*m2k))</f>
        <v>56.236713112794341</v>
      </c>
      <c r="CB156" s="125">
        <f>CB45/293.07*(1/(VLOOKUP($BM156,'Fuel economy adjusted factor'!$A$2:$L$52,5,FALSE)*m2k))</f>
        <v>56.236713112794341</v>
      </c>
      <c r="CC156" s="125">
        <f>CC45/293.07*(1/(VLOOKUP($BM156,'Fuel economy adjusted factor'!$A$2:$L$52,5,FALSE)*m2k))</f>
        <v>56.236713112794341</v>
      </c>
      <c r="CD156" s="125">
        <f>CD45/293.07*(1/(VLOOKUP($BM156,'Fuel economy adjusted factor'!$A$2:$L$52,5,FALSE)*m2k))</f>
        <v>56.236713112794341</v>
      </c>
      <c r="CE156" s="125">
        <f>CE45/293.07*(1/(VLOOKUP($BM156,'Fuel economy adjusted factor'!$A$2:$L$52,5,FALSE)*m2k))</f>
        <v>57.626638299891106</v>
      </c>
      <c r="CF156" s="125">
        <f>CF45/293.07*(1/(VLOOKUP($BM156,'Fuel economy adjusted factor'!$A$2:$L$52,5,FALSE)*m2k))</f>
        <v>57.626638299891106</v>
      </c>
      <c r="CG156" s="125">
        <f>CG45/293.07*(1/(VLOOKUP($BM156,'Fuel economy adjusted factor'!$A$2:$L$52,5,FALSE)*m2k))</f>
        <v>57.626638299891106</v>
      </c>
      <c r="CH156" s="125">
        <f>CH45/293.07*(1/(VLOOKUP($BM156,'Fuel economy adjusted factor'!$A$2:$L$52,5,FALSE)*m2k))</f>
        <v>57.626638299891106</v>
      </c>
      <c r="CI156" s="125">
        <f>CI45/293.07*(1/(VLOOKUP($BM156,'Fuel economy adjusted factor'!$A$2:$L$52,5,FALSE)*m2k))</f>
        <v>57.626638299891106</v>
      </c>
      <c r="CJ156" s="125">
        <f>CJ45/293.07*(1/(VLOOKUP($BM156,'Fuel economy adjusted factor'!$A$2:$L$52,5,FALSE)*m2k))</f>
        <v>57.956479873342822</v>
      </c>
      <c r="CK156" s="125">
        <f>CK45/293.07*(1/(VLOOKUP($BM156,'Fuel economy adjusted factor'!$A$2:$L$52,5,FALSE)*m2k))</f>
        <v>57.956479873342822</v>
      </c>
      <c r="CL156" s="125">
        <f>CL45/293.07*(1/(VLOOKUP($BM156,'Fuel economy adjusted factor'!$A$2:$L$52,5,FALSE)*m2k))</f>
        <v>57.956479873342822</v>
      </c>
      <c r="CM156" s="125">
        <f>CM45/293.07*(1/(VLOOKUP($BM156,'Fuel economy adjusted factor'!$A$2:$L$52,5,FALSE)*m2k))</f>
        <v>57.956479873342822</v>
      </c>
      <c r="CN156" s="125">
        <f>CN45/293.07*(1/(VLOOKUP($BM156,'Fuel economy adjusted factor'!$A$2:$L$52,5,FALSE)*m2k))</f>
        <v>57.956479873342822</v>
      </c>
      <c r="CO156" s="125">
        <f>CO45/293.07*(1/(VLOOKUP($BM156,'Fuel economy adjusted factor'!$A$2:$L$52,5,FALSE)*m2k))</f>
        <v>58.350504536473913</v>
      </c>
      <c r="CP156" s="98" cm="1">
        <f t="array" ref="CP156">SUMPRODUCT(INDEX(BN156:CO156,,'TCO Inputs'!$AZ$12-2023+_xlfn.SEQUENCE('TCO Inputs'!$AZ$13))*INDEX('VKT US'!C102:AA102,,_xlfn.SEQUENCE('TCO Inputs'!$AZ$13)))*m2k*CONVERT(0.9072,"g","ton")</f>
        <v>16.629520144852762</v>
      </c>
      <c r="CQ156" s="194"/>
      <c r="CR156" s="123" t="s">
        <v>222</v>
      </c>
      <c r="CS156" s="125">
        <f>CS45/293.07*(1/(VLOOKUP($BM156,'Fuel economy adjusted factor'!$A$2:$L$52,5,FALSE)*m2k))/'TCO Inputs'!$AZ$84</f>
        <v>78.562902120534048</v>
      </c>
      <c r="CT156" s="125">
        <f>CT45/293.07*(1/(VLOOKUP($BM156,'Fuel economy adjusted factor'!$A$2:$L$52,5,FALSE)*m2k))/'TCO Inputs'!$AZ$84</f>
        <v>78.562902120534048</v>
      </c>
      <c r="CU156" s="125">
        <f>CU45/293.07*(1/(VLOOKUP($BM156,'Fuel economy adjusted factor'!$A$2:$L$52,5,FALSE)*m2k))/'TCO Inputs'!$AZ$84</f>
        <v>78.562902120534048</v>
      </c>
      <c r="CV156" s="125">
        <f>CV45/293.07*(1/(VLOOKUP($BM156,'Fuel economy adjusted factor'!$A$2:$L$52,5,FALSE)*m2k))/'TCO Inputs'!$AZ$84</f>
        <v>78.562902120534048</v>
      </c>
      <c r="CW156" s="125">
        <f>CW45/293.07*(1/(VLOOKUP($BM156,'Fuel economy adjusted factor'!$A$2:$L$52,5,FALSE)*m2k))/'TCO Inputs'!$AZ$84</f>
        <v>78.562902120534048</v>
      </c>
      <c r="CX156" s="125">
        <f>CX45/293.07*(1/(VLOOKUP($BM156,'Fuel economy adjusted factor'!$A$2:$L$52,5,FALSE)*m2k))/'TCO Inputs'!$AZ$84</f>
        <v>78.562902120534048</v>
      </c>
      <c r="CY156" s="125">
        <f>CY45/293.07*(1/(VLOOKUP($BM156,'Fuel economy adjusted factor'!$A$2:$L$52,5,FALSE)*m2k))/'TCO Inputs'!$AZ$84</f>
        <v>78.562902120534048</v>
      </c>
      <c r="CZ156" s="125">
        <f>CZ45/293.07*(1/(VLOOKUP($BM156,'Fuel economy adjusted factor'!$A$2:$L$52,5,FALSE)*m2k))/'TCO Inputs'!$AZ$84</f>
        <v>78.580404326523748</v>
      </c>
      <c r="DA156" s="125">
        <f>DA45/293.07*(1/(VLOOKUP($BM156,'Fuel economy adjusted factor'!$A$2:$L$52,5,FALSE)*m2k))/'TCO Inputs'!$AZ$84</f>
        <v>78.580404326523748</v>
      </c>
      <c r="DB156" s="125">
        <f>DB45/293.07*(1/(VLOOKUP($BM156,'Fuel economy adjusted factor'!$A$2:$L$52,5,FALSE)*m2k))/'TCO Inputs'!$AZ$84</f>
        <v>78.580404326523748</v>
      </c>
      <c r="DC156" s="125">
        <f>DC45/293.07*(1/(VLOOKUP($BM156,'Fuel economy adjusted factor'!$A$2:$L$52,5,FALSE)*m2k))/'TCO Inputs'!$AZ$84</f>
        <v>78.580404326523748</v>
      </c>
      <c r="DD156" s="125">
        <f>DD45/293.07*(1/(VLOOKUP($BM156,'Fuel economy adjusted factor'!$A$2:$L$52,5,FALSE)*m2k))/'TCO Inputs'!$AZ$84</f>
        <v>78.580404326523748</v>
      </c>
      <c r="DE156" s="125">
        <f>DE45/293.07*(1/(VLOOKUP($BM156,'Fuel economy adjusted factor'!$A$2:$L$52,5,FALSE)*m2k))/'TCO Inputs'!$AZ$84</f>
        <v>78.570403065958203</v>
      </c>
      <c r="DF156" s="125">
        <f>DF45/293.07*(1/(VLOOKUP($BM156,'Fuel economy adjusted factor'!$A$2:$L$52,5,FALSE)*m2k))/'TCO Inputs'!$AZ$84</f>
        <v>78.570403065958203</v>
      </c>
      <c r="DG156" s="125">
        <f>DG45/293.07*(1/(VLOOKUP($BM156,'Fuel economy adjusted factor'!$A$2:$L$52,5,FALSE)*m2k))/'TCO Inputs'!$AZ$84</f>
        <v>78.570403065958203</v>
      </c>
      <c r="DH156" s="125">
        <f>DH45/293.07*(1/(VLOOKUP($BM156,'Fuel economy adjusted factor'!$A$2:$L$52,5,FALSE)*m2k))/'TCO Inputs'!$AZ$84</f>
        <v>78.570403065958203</v>
      </c>
      <c r="DI156" s="125">
        <f>DI45/293.07*(1/(VLOOKUP($BM156,'Fuel economy adjusted factor'!$A$2:$L$52,5,FALSE)*m2k))/'TCO Inputs'!$AZ$84</f>
        <v>78.570403065958203</v>
      </c>
      <c r="DJ156" s="125">
        <f>DJ45/293.07*(1/(VLOOKUP($BM156,'Fuel economy adjusted factor'!$A$2:$L$52,5,FALSE)*m2k))/'TCO Inputs'!$AZ$84</f>
        <v>78.567902750816813</v>
      </c>
      <c r="DK156" s="125">
        <f>DK45/293.07*(1/(VLOOKUP($BM156,'Fuel economy adjusted factor'!$A$2:$L$52,5,FALSE)*m2k))/'TCO Inputs'!$AZ$84</f>
        <v>78.567902750816813</v>
      </c>
      <c r="DL156" s="125">
        <f>DL45/293.07*(1/(VLOOKUP($BM156,'Fuel economy adjusted factor'!$A$2:$L$52,5,FALSE)*m2k))/'TCO Inputs'!$AZ$84</f>
        <v>78.567902750816813</v>
      </c>
      <c r="DM156" s="125">
        <f>DM45/293.07*(1/(VLOOKUP($BM156,'Fuel economy adjusted factor'!$A$2:$L$52,5,FALSE)*m2k))/'TCO Inputs'!$AZ$84</f>
        <v>78.567902750816813</v>
      </c>
      <c r="DN156" s="125">
        <f>DN45/293.07*(1/(VLOOKUP($BM156,'Fuel economy adjusted factor'!$A$2:$L$52,5,FALSE)*m2k))/'TCO Inputs'!$AZ$84</f>
        <v>78.567902750816813</v>
      </c>
      <c r="DO156" s="125">
        <f>DO45/293.07*(1/(VLOOKUP($BM156,'Fuel economy adjusted factor'!$A$2:$L$52,5,FALSE)*m2k))/'TCO Inputs'!$AZ$84</f>
        <v>78.51939663707391</v>
      </c>
      <c r="DP156" s="125">
        <f>DP45/293.07*(1/(VLOOKUP($BM156,'Fuel economy adjusted factor'!$A$2:$L$52,5,FALSE)*m2k))/'TCO Inputs'!$AZ$84</f>
        <v>78.51939663707391</v>
      </c>
      <c r="DQ156" s="125">
        <f>DQ45/293.07*(1/(VLOOKUP($BM156,'Fuel economy adjusted factor'!$A$2:$L$52,5,FALSE)*m2k))/'TCO Inputs'!$AZ$84</f>
        <v>78.51939663707391</v>
      </c>
      <c r="DR156" s="125">
        <f>DR45/293.07*(1/(VLOOKUP($BM156,'Fuel economy adjusted factor'!$A$2:$L$52,5,FALSE)*m2k))/'TCO Inputs'!$AZ$84</f>
        <v>78.51939663707391</v>
      </c>
      <c r="DS156" s="125">
        <f>DS45/293.07*(1/(VLOOKUP($BM156,'Fuel economy adjusted factor'!$A$2:$L$52,5,FALSE)*m2k))/'TCO Inputs'!$AZ$84</f>
        <v>78.51939663707391</v>
      </c>
      <c r="DT156" s="125">
        <f>DT45/293.07*(1/(VLOOKUP($BM156,'Fuel economy adjusted factor'!$A$2:$L$52,5,FALSE)*m2k))/'TCO Inputs'!$AZ$84</f>
        <v>78.559901742364374</v>
      </c>
      <c r="DU156" s="98" cm="1">
        <f t="array" ref="DU156">SUMPRODUCT(INDEX(CS156:DT156,,'TCO Inputs'!$AZ$12-2023+_xlfn.SEQUENCE('TCO Inputs'!$AZ$13))*INDEX('VKT US'!C102:AA102,,_xlfn.SEQUENCE('TCO Inputs'!$AZ$13)))*m2k*CONVERT(0.9072,"g","ton")</f>
        <v>24.816616256607908</v>
      </c>
      <c r="DW156" s="123" t="s">
        <v>222</v>
      </c>
      <c r="DX156" s="125">
        <f>DX45/293.07*(1/(VLOOKUP($BM156,'Fuel economy adjusted factor'!$A$2:$L$52,5,FALSE)*m2k))/'TCO Inputs'!$AZ$84</f>
        <v>82.240363510937357</v>
      </c>
      <c r="DY156" s="125">
        <f>DY45/293.07*(1/(VLOOKUP($BM156,'Fuel economy adjusted factor'!$A$2:$L$52,5,FALSE)*m2k))/'TCO Inputs'!$AZ$84</f>
        <v>82.240363510937357</v>
      </c>
      <c r="DZ156" s="125">
        <f>DZ45/293.07*(1/(VLOOKUP($BM156,'Fuel economy adjusted factor'!$A$2:$L$52,5,FALSE)*m2k))/'TCO Inputs'!$AZ$84</f>
        <v>72.091926265968596</v>
      </c>
      <c r="EA156" s="125">
        <f>EA45/293.07*(1/(VLOOKUP($BM156,'Fuel economy adjusted factor'!$A$2:$L$52,5,FALSE)*m2k))/'TCO Inputs'!$AZ$84</f>
        <v>72.091926265968596</v>
      </c>
      <c r="EB156" s="125">
        <f>EB45/293.07*(1/(VLOOKUP($BM156,'Fuel economy adjusted factor'!$A$2:$L$52,5,FALSE)*m2k))/'TCO Inputs'!$AZ$84</f>
        <v>72.091926265968596</v>
      </c>
      <c r="EC156" s="125">
        <f>EC45/293.07*(1/(VLOOKUP($BM156,'Fuel economy adjusted factor'!$A$2:$L$52,5,FALSE)*m2k))/'TCO Inputs'!$AZ$84</f>
        <v>72.091926265968596</v>
      </c>
      <c r="ED156" s="125">
        <f>ED45/293.07*(1/(VLOOKUP($BM156,'Fuel economy adjusted factor'!$A$2:$L$52,5,FALSE)*m2k))/'TCO Inputs'!$AZ$84</f>
        <v>72.091926265968596</v>
      </c>
      <c r="EE156" s="125">
        <f>EE45/293.07*(1/(VLOOKUP($BM156,'Fuel economy adjusted factor'!$A$2:$L$52,5,FALSE)*m2k))/'TCO Inputs'!$AZ$84</f>
        <v>44.432863678022464</v>
      </c>
      <c r="EF156" s="125">
        <f>EF45/293.07*(1/(VLOOKUP($BM156,'Fuel economy adjusted factor'!$A$2:$L$52,5,FALSE)*m2k))/'TCO Inputs'!$AZ$84</f>
        <v>44.432863678022464</v>
      </c>
      <c r="EG156" s="125">
        <f>EG45/293.07*(1/(VLOOKUP($BM156,'Fuel economy adjusted factor'!$A$2:$L$52,5,FALSE)*m2k))/'TCO Inputs'!$AZ$84</f>
        <v>44.432863678022464</v>
      </c>
      <c r="EH156" s="125">
        <f>EH45/293.07*(1/(VLOOKUP($BM156,'Fuel economy adjusted factor'!$A$2:$L$52,5,FALSE)*m2k))/'TCO Inputs'!$AZ$84</f>
        <v>44.432863678022464</v>
      </c>
      <c r="EI156" s="125">
        <f>EI45/293.07*(1/(VLOOKUP($BM156,'Fuel economy adjusted factor'!$A$2:$L$52,5,FALSE)*m2k))/'TCO Inputs'!$AZ$84</f>
        <v>44.432863678022464</v>
      </c>
      <c r="EJ156" s="125">
        <f>EJ45/293.07*(1/(VLOOKUP($BM156,'Fuel economy adjusted factor'!$A$2:$L$52,5,FALSE)*m2k))/'TCO Inputs'!$AZ$84</f>
        <v>39.683768000326793</v>
      </c>
      <c r="EK156" s="125">
        <f>EK45/293.07*(1/(VLOOKUP($BM156,'Fuel economy adjusted factor'!$A$2:$L$52,5,FALSE)*m2k))/'TCO Inputs'!$AZ$84</f>
        <v>39.683768000326793</v>
      </c>
      <c r="EL156" s="125">
        <f>EL45/293.07*(1/(VLOOKUP($BM156,'Fuel economy adjusted factor'!$A$2:$L$52,5,FALSE)*m2k))/'TCO Inputs'!$AZ$84</f>
        <v>39.683768000326793</v>
      </c>
      <c r="EM156" s="125">
        <f>EM45/293.07*(1/(VLOOKUP($BM156,'Fuel economy adjusted factor'!$A$2:$L$52,5,FALSE)*m2k))/'TCO Inputs'!$AZ$84</f>
        <v>39.683768000326793</v>
      </c>
      <c r="EN156" s="125">
        <f>EN45/293.07*(1/(VLOOKUP($BM156,'Fuel economy adjusted factor'!$A$2:$L$52,5,FALSE)*m2k))/'TCO Inputs'!$AZ$84</f>
        <v>39.683768000326793</v>
      </c>
      <c r="EO156" s="125">
        <f>EO45/293.07*(1/(VLOOKUP($BM156,'Fuel economy adjusted factor'!$A$2:$L$52,5,FALSE)*m2k))/'TCO Inputs'!$AZ$84</f>
        <v>38.43473888468602</v>
      </c>
      <c r="EP156" s="125">
        <f>EP45/293.07*(1/(VLOOKUP($BM156,'Fuel economy adjusted factor'!$A$2:$L$52,5,FALSE)*m2k))/'TCO Inputs'!$AZ$84</f>
        <v>38.43473888468602</v>
      </c>
      <c r="EQ156" s="125">
        <f>EQ45/293.07*(1/(VLOOKUP($BM156,'Fuel economy adjusted factor'!$A$2:$L$52,5,FALSE)*m2k))/'TCO Inputs'!$AZ$84</f>
        <v>38.43473888468602</v>
      </c>
      <c r="ER156" s="125">
        <f>ER45/293.07*(1/(VLOOKUP($BM156,'Fuel economy adjusted factor'!$A$2:$L$52,5,FALSE)*m2k))/'TCO Inputs'!$AZ$84</f>
        <v>38.43473888468602</v>
      </c>
      <c r="ES156" s="125">
        <f>ES45/293.07*(1/(VLOOKUP($BM156,'Fuel economy adjusted factor'!$A$2:$L$52,5,FALSE)*m2k))/'TCO Inputs'!$AZ$84</f>
        <v>38.43473888468602</v>
      </c>
      <c r="ET156" s="125">
        <f>ET45/293.07*(1/(VLOOKUP($BM156,'Fuel economy adjusted factor'!$A$2:$L$52,5,FALSE)*m2k))/'TCO Inputs'!$AZ$84</f>
        <v>37.007709497596686</v>
      </c>
      <c r="EU156" s="125">
        <f>EU45/293.07*(1/(VLOOKUP($BM156,'Fuel economy adjusted factor'!$A$2:$L$52,5,FALSE)*m2k))/'TCO Inputs'!$AZ$84</f>
        <v>37.007709497596686</v>
      </c>
      <c r="EV156" s="125">
        <f>EV45/293.07*(1/(VLOOKUP($BM156,'Fuel economy adjusted factor'!$A$2:$L$52,5,FALSE)*m2k))/'TCO Inputs'!$AZ$84</f>
        <v>37.007709497596686</v>
      </c>
      <c r="EW156" s="125">
        <f>EW45/293.07*(1/(VLOOKUP($BM156,'Fuel economy adjusted factor'!$A$2:$L$52,5,FALSE)*m2k))/'TCO Inputs'!$AZ$84</f>
        <v>37.007709497596686</v>
      </c>
      <c r="EX156" s="125">
        <f>EX45/293.07*(1/(VLOOKUP($BM156,'Fuel economy adjusted factor'!$A$2:$L$52,5,FALSE)*m2k))/'TCO Inputs'!$AZ$84</f>
        <v>37.007709497596686</v>
      </c>
      <c r="EY156" s="125">
        <f>EY45/293.07*(1/(VLOOKUP($BM156,'Fuel economy adjusted factor'!$A$2:$L$52,5,FALSE)*m2k))/'TCO Inputs'!$AZ$84</f>
        <v>34.769991799386176</v>
      </c>
      <c r="EZ156" s="98" cm="1">
        <f t="array" ref="EZ156">SUMPRODUCT(INDEX(DX156:EY156,,'TCO Inputs'!$AZ$12-2023+_xlfn.SEQUENCE('TCO Inputs'!$AZ$13))*INDEX('VKT US'!C102:AA102,,_xlfn.SEQUENCE('TCO Inputs'!$AZ$13)))*m2k*CONVERT(0.9072,"g","ton")</f>
        <v>19.203404065844879</v>
      </c>
      <c r="FB156" s="123" t="s">
        <v>222</v>
      </c>
      <c r="FC156" s="125">
        <f>FC45/293.07*(1/(VLOOKUP($BM156,'Fuel economy adjusted factor'!$A$2:$L$52,5,FALSE)*m2k))/'TCO Inputs'!$AZ$84</f>
        <v>89.201748276636593</v>
      </c>
      <c r="FD156" s="125">
        <f>FD45/293.07*(1/(VLOOKUP($BM156,'Fuel economy adjusted factor'!$A$2:$L$52,5,FALSE)*m2k))/'TCO Inputs'!$AZ$84</f>
        <v>89.201748276636593</v>
      </c>
      <c r="FE156" s="125">
        <f>FE45/293.07*(1/(VLOOKUP($BM156,'Fuel economy adjusted factor'!$A$2:$L$52,5,FALSE)*m2k))/'TCO Inputs'!$AZ$84</f>
        <v>77.89994192585317</v>
      </c>
      <c r="FF156" s="125">
        <f>FF45/293.07*(1/(VLOOKUP($BM156,'Fuel economy adjusted factor'!$A$2:$L$52,5,FALSE)*m2k))/'TCO Inputs'!$AZ$84</f>
        <v>77.89994192585317</v>
      </c>
      <c r="FG156" s="125">
        <f>FG45/293.07*(1/(VLOOKUP($BM156,'Fuel economy adjusted factor'!$A$2:$L$52,5,FALSE)*m2k))/'TCO Inputs'!$AZ$84</f>
        <v>77.89994192585317</v>
      </c>
      <c r="FH156" s="125">
        <f>FH45/293.07*(1/(VLOOKUP($BM156,'Fuel economy adjusted factor'!$A$2:$L$52,5,FALSE)*m2k))/'TCO Inputs'!$AZ$84</f>
        <v>77.89994192585317</v>
      </c>
      <c r="FI156" s="125">
        <f>FI45/293.07*(1/(VLOOKUP($BM156,'Fuel economy adjusted factor'!$A$2:$L$52,5,FALSE)*m2k))/'TCO Inputs'!$AZ$84</f>
        <v>77.89994192585317</v>
      </c>
      <c r="FJ156" s="125">
        <f>FJ45/293.07*(1/(VLOOKUP($BM156,'Fuel economy adjusted factor'!$A$2:$L$52,5,FALSE)*m2k))/'TCO Inputs'!$AZ$84</f>
        <v>48.884081350436858</v>
      </c>
      <c r="FK156" s="125">
        <f>FK45/293.07*(1/(VLOOKUP($BM156,'Fuel economy adjusted factor'!$A$2:$L$52,5,FALSE)*m2k))/'TCO Inputs'!$AZ$84</f>
        <v>48.884081350436858</v>
      </c>
      <c r="FL156" s="125">
        <f>FL45/293.07*(1/(VLOOKUP($BM156,'Fuel economy adjusted factor'!$A$2:$L$52,5,FALSE)*m2k))/'TCO Inputs'!$AZ$84</f>
        <v>48.884081350436858</v>
      </c>
      <c r="FM156" s="125">
        <f>FM45/293.07*(1/(VLOOKUP($BM156,'Fuel economy adjusted factor'!$A$2:$L$52,5,FALSE)*m2k))/'TCO Inputs'!$AZ$84</f>
        <v>48.884081350436858</v>
      </c>
      <c r="FN156" s="125">
        <f>FN45/293.07*(1/(VLOOKUP($BM156,'Fuel economy adjusted factor'!$A$2:$L$52,5,FALSE)*m2k))/'TCO Inputs'!$AZ$84</f>
        <v>48.884081350436858</v>
      </c>
      <c r="FO156" s="125">
        <f>FO45/293.07*(1/(VLOOKUP($BM156,'Fuel economy adjusted factor'!$A$2:$L$52,5,FALSE)*m2k))/'TCO Inputs'!$AZ$84</f>
        <v>43.406637623242474</v>
      </c>
      <c r="FP156" s="125">
        <f>FP45/293.07*(1/(VLOOKUP($BM156,'Fuel economy adjusted factor'!$A$2:$L$52,5,FALSE)*m2k))/'TCO Inputs'!$AZ$84</f>
        <v>43.406637623242474</v>
      </c>
      <c r="FQ156" s="125">
        <f>FQ45/293.07*(1/(VLOOKUP($BM156,'Fuel economy adjusted factor'!$A$2:$L$52,5,FALSE)*m2k))/'TCO Inputs'!$AZ$84</f>
        <v>43.406637623242474</v>
      </c>
      <c r="FR156" s="125">
        <f>FR45/293.07*(1/(VLOOKUP($BM156,'Fuel economy adjusted factor'!$A$2:$L$52,5,FALSE)*m2k))/'TCO Inputs'!$AZ$84</f>
        <v>43.406637623242474</v>
      </c>
      <c r="FS156" s="125">
        <f>FS45/293.07*(1/(VLOOKUP($BM156,'Fuel economy adjusted factor'!$A$2:$L$52,5,FALSE)*m2k))/'TCO Inputs'!$AZ$84</f>
        <v>43.406637623242474</v>
      </c>
      <c r="FT156" s="125">
        <f>FT45/293.07*(1/(VLOOKUP($BM156,'Fuel economy adjusted factor'!$A$2:$L$52,5,FALSE)*m2k))/'TCO Inputs'!$AZ$84</f>
        <v>42.301703965441021</v>
      </c>
      <c r="FU156" s="125">
        <f>FU45/293.07*(1/(VLOOKUP($BM156,'Fuel economy adjusted factor'!$A$2:$L$52,5,FALSE)*m2k))/'TCO Inputs'!$AZ$84</f>
        <v>42.301703965441021</v>
      </c>
      <c r="FV156" s="125">
        <f>FV45/293.07*(1/(VLOOKUP($BM156,'Fuel economy adjusted factor'!$A$2:$L$52,5,FALSE)*m2k))/'TCO Inputs'!$AZ$84</f>
        <v>42.301703965441021</v>
      </c>
      <c r="FW156" s="125">
        <f>FW45/293.07*(1/(VLOOKUP($BM156,'Fuel economy adjusted factor'!$A$2:$L$52,5,FALSE)*m2k))/'TCO Inputs'!$AZ$84</f>
        <v>42.301703965441021</v>
      </c>
      <c r="FX156" s="125">
        <f>FX45/293.07*(1/(VLOOKUP($BM156,'Fuel economy adjusted factor'!$A$2:$L$52,5,FALSE)*m2k))/'TCO Inputs'!$AZ$84</f>
        <v>42.301703965441021</v>
      </c>
      <c r="FY156" s="125">
        <f>FY45/293.07*(1/(VLOOKUP($BM156,'Fuel economy adjusted factor'!$A$2:$L$52,5,FALSE)*m2k))/'TCO Inputs'!$AZ$84</f>
        <v>40.871647362850858</v>
      </c>
      <c r="FZ156" s="125">
        <f>FZ45/293.07*(1/(VLOOKUP($BM156,'Fuel economy adjusted factor'!$A$2:$L$52,5,FALSE)*m2k))/'TCO Inputs'!$AZ$84</f>
        <v>40.871647362850858</v>
      </c>
      <c r="GA156" s="125">
        <f>GA45/293.07*(1/(VLOOKUP($BM156,'Fuel economy adjusted factor'!$A$2:$L$52,5,FALSE)*m2k))/'TCO Inputs'!$AZ$84</f>
        <v>40.871647362850858</v>
      </c>
      <c r="GB156" s="125">
        <f>GB45/293.07*(1/(VLOOKUP($BM156,'Fuel economy adjusted factor'!$A$2:$L$52,5,FALSE)*m2k))/'TCO Inputs'!$AZ$84</f>
        <v>40.871647362850858</v>
      </c>
      <c r="GC156" s="125">
        <f>GC45/293.07*(1/(VLOOKUP($BM156,'Fuel economy adjusted factor'!$A$2:$L$52,5,FALSE)*m2k))/'TCO Inputs'!$AZ$84</f>
        <v>40.871647362850858</v>
      </c>
      <c r="GD156" s="125">
        <f>GD45/293.07*(1/(VLOOKUP($BM156,'Fuel economy adjusted factor'!$A$2:$L$52,5,FALSE)*m2k))/'TCO Inputs'!$AZ$84</f>
        <v>38.556432947819218</v>
      </c>
      <c r="GE156" s="98" cm="1">
        <f t="array" ref="GE156">SUMPRODUCT(INDEX(FC156:GD156,,'TCO Inputs'!$AZ$12-2023+_xlfn.SEQUENCE('TCO Inputs'!$AZ$13))*INDEX('VKT US'!C102:AA102,,_xlfn.SEQUENCE('TCO Inputs'!$AZ$13)))*m2k*CONVERT(0.9072,"g","ton")</f>
        <v>20.879161946459778</v>
      </c>
      <c r="GH156" s="123" t="s">
        <v>222</v>
      </c>
      <c r="GI156" s="125">
        <f>GI45/293.07*(1/(VLOOKUP($BM156,'Fuel economy adjusted factor'!$A$2:$L$52,5,FALSE)*m2k))/'TCO Inputs'!$AZ$84</f>
        <v>77.502165809044641</v>
      </c>
      <c r="GJ156" s="125">
        <f>GJ45/293.07*(1/(VLOOKUP($BM156,'Fuel economy adjusted factor'!$A$2:$L$52,5,FALSE)*m2k))/'TCO Inputs'!$AZ$84</f>
        <v>77.502165809044641</v>
      </c>
      <c r="GK156" s="125">
        <f>GK45/293.07*(1/(VLOOKUP($BM156,'Fuel economy adjusted factor'!$A$2:$L$52,5,FALSE)*m2k))/'TCO Inputs'!$AZ$84</f>
        <v>68.138988264990118</v>
      </c>
      <c r="GL156" s="125">
        <f>GL45/293.07*(1/(VLOOKUP($BM156,'Fuel economy adjusted factor'!$A$2:$L$52,5,FALSE)*m2k))/'TCO Inputs'!$AZ$84</f>
        <v>68.138988264990118</v>
      </c>
      <c r="GM156" s="125">
        <f>GM45/293.07*(1/(VLOOKUP($BM156,'Fuel economy adjusted factor'!$A$2:$L$52,5,FALSE)*m2k))/'TCO Inputs'!$AZ$84</f>
        <v>68.138988264990118</v>
      </c>
      <c r="GN156" s="125">
        <f>GN45/293.07*(1/(VLOOKUP($BM156,'Fuel economy adjusted factor'!$A$2:$L$52,5,FALSE)*m2k))/'TCO Inputs'!$AZ$84</f>
        <v>68.138988264990118</v>
      </c>
      <c r="GO156" s="125">
        <f>GO45/293.07*(1/(VLOOKUP($BM156,'Fuel economy adjusted factor'!$A$2:$L$52,5,FALSE)*m2k))/'TCO Inputs'!$AZ$84</f>
        <v>68.138988264990118</v>
      </c>
      <c r="GP156" s="125">
        <f>GP45/293.07*(1/(VLOOKUP($BM156,'Fuel economy adjusted factor'!$A$2:$L$52,5,FALSE)*m2k))/'TCO Inputs'!$AZ$84</f>
        <v>41.403226404795895</v>
      </c>
      <c r="GQ156" s="125">
        <f>GQ45/293.07*(1/(VLOOKUP($BM156,'Fuel economy adjusted factor'!$A$2:$L$52,5,FALSE)*m2k))/'TCO Inputs'!$AZ$84</f>
        <v>41.403226404795895</v>
      </c>
      <c r="GR156" s="125">
        <f>GR45/293.07*(1/(VLOOKUP($BM156,'Fuel economy adjusted factor'!$A$2:$L$52,5,FALSE)*m2k))/'TCO Inputs'!$AZ$84</f>
        <v>41.403226404795895</v>
      </c>
      <c r="GS156" s="125">
        <f>GS45/293.07*(1/(VLOOKUP($BM156,'Fuel economy adjusted factor'!$A$2:$L$52,5,FALSE)*m2k))/'TCO Inputs'!$AZ$84</f>
        <v>41.403226404795895</v>
      </c>
      <c r="GT156" s="125">
        <f>GT45/293.07*(1/(VLOOKUP($BM156,'Fuel economy adjusted factor'!$A$2:$L$52,5,FALSE)*m2k))/'TCO Inputs'!$AZ$84</f>
        <v>41.403226404795895</v>
      </c>
      <c r="GU156" s="125">
        <f>GU45/293.07*(1/(VLOOKUP($BM156,'Fuel economy adjusted factor'!$A$2:$L$52,5,FALSE)*m2k))/'TCO Inputs'!$AZ$84</f>
        <v>37.149988626135503</v>
      </c>
      <c r="GV156" s="125">
        <f>GV45/293.07*(1/(VLOOKUP($BM156,'Fuel economy adjusted factor'!$A$2:$L$52,5,FALSE)*m2k))/'TCO Inputs'!$AZ$84</f>
        <v>37.149988626135503</v>
      </c>
      <c r="GW156" s="125">
        <f>GW45/293.07*(1/(VLOOKUP($BM156,'Fuel economy adjusted factor'!$A$2:$L$52,5,FALSE)*m2k))/'TCO Inputs'!$AZ$84</f>
        <v>37.149988626135503</v>
      </c>
      <c r="GX156" s="125">
        <f>GX45/293.07*(1/(VLOOKUP($BM156,'Fuel economy adjusted factor'!$A$2:$L$52,5,FALSE)*m2k))/'TCO Inputs'!$AZ$84</f>
        <v>37.149988626135503</v>
      </c>
      <c r="GY156" s="125">
        <f>GY45/293.07*(1/(VLOOKUP($BM156,'Fuel economy adjusted factor'!$A$2:$L$52,5,FALSE)*m2k))/'TCO Inputs'!$AZ$84</f>
        <v>37.149988626135503</v>
      </c>
      <c r="GZ156" s="125">
        <f>GZ45/293.07*(1/(VLOOKUP($BM156,'Fuel economy adjusted factor'!$A$2:$L$52,5,FALSE)*m2k))/'TCO Inputs'!$AZ$84</f>
        <v>35.802877728267973</v>
      </c>
      <c r="HA156" s="125">
        <f>HA45/293.07*(1/(VLOOKUP($BM156,'Fuel economy adjusted factor'!$A$2:$L$52,5,FALSE)*m2k))/'TCO Inputs'!$AZ$84</f>
        <v>35.802877728267973</v>
      </c>
      <c r="HB156" s="125">
        <f>HB45/293.07*(1/(VLOOKUP($BM156,'Fuel economy adjusted factor'!$A$2:$L$52,5,FALSE)*m2k))/'TCO Inputs'!$AZ$84</f>
        <v>35.802877728267973</v>
      </c>
      <c r="HC156" s="125">
        <f>HC45/293.07*(1/(VLOOKUP($BM156,'Fuel economy adjusted factor'!$A$2:$L$52,5,FALSE)*m2k))/'TCO Inputs'!$AZ$84</f>
        <v>35.802877728267973</v>
      </c>
      <c r="HD156" s="125">
        <f>HD45/293.07*(1/(VLOOKUP($BM156,'Fuel economy adjusted factor'!$A$2:$L$52,5,FALSE)*m2k))/'TCO Inputs'!$AZ$84</f>
        <v>35.802877728267973</v>
      </c>
      <c r="HE156" s="125">
        <f>HE45/293.07*(1/(VLOOKUP($BM156,'Fuel economy adjusted factor'!$A$2:$L$52,5,FALSE)*m2k))/'TCO Inputs'!$AZ$84</f>
        <v>34.377664670479135</v>
      </c>
      <c r="HF156" s="125">
        <f>HF45/293.07*(1/(VLOOKUP($BM156,'Fuel economy adjusted factor'!$A$2:$L$52,5,FALSE)*m2k))/'TCO Inputs'!$AZ$84</f>
        <v>34.377664670479135</v>
      </c>
      <c r="HG156" s="125">
        <f>HG45/293.07*(1/(VLOOKUP($BM156,'Fuel economy adjusted factor'!$A$2:$L$52,5,FALSE)*m2k))/'TCO Inputs'!$AZ$84</f>
        <v>34.377664670479135</v>
      </c>
      <c r="HH156" s="125">
        <f>HH45/293.07*(1/(VLOOKUP($BM156,'Fuel economy adjusted factor'!$A$2:$L$52,5,FALSE)*m2k))/'TCO Inputs'!$AZ$84</f>
        <v>34.377664670479135</v>
      </c>
      <c r="HI156" s="125">
        <f>HI45/293.07*(1/(VLOOKUP($BM156,'Fuel economy adjusted factor'!$A$2:$L$52,5,FALSE)*m2k))/'TCO Inputs'!$AZ$84</f>
        <v>34.377664670479135</v>
      </c>
      <c r="HJ156" s="125">
        <f>HJ45/293.07*(1/(VLOOKUP($BM156,'Fuel economy adjusted factor'!$A$2:$L$52,5,FALSE)*m2k))/'TCO Inputs'!$AZ$84</f>
        <v>32.193225965083165</v>
      </c>
      <c r="HK156" s="98" cm="1">
        <f t="array" ref="HK156">SUMPRODUCT(INDEX(GI156:HJ156,,'TCO Inputs'!$AZ$12-2023+_xlfn.SEQUENCE('TCO Inputs'!$AZ$13))*INDEX('VKT US'!C102:AA102,,_xlfn.SEQUENCE('TCO Inputs'!$AZ$13)))*m2k*CONVERT(0.9072,"g","ton")</f>
        <v>18.062853812819192</v>
      </c>
    </row>
    <row r="157" spans="26:219" x14ac:dyDescent="0.25">
      <c r="Z157" s="123" t="s">
        <v>223</v>
      </c>
      <c r="AA157" s="125">
        <f>AA46/293.07*(1/(VLOOKUP($Z157,'Fuel economy adjusted factor'!$A$2:$L$52,5,FALSE)*m2k))/'TCO Inputs'!$AZ$84</f>
        <v>46.485666421243593</v>
      </c>
      <c r="AB157" s="125">
        <f>AB46/293.07*(1/(VLOOKUP($Z157,'Fuel economy adjusted factor'!$A$2:$L$52,5,FALSE)*m2k))/'TCO Inputs'!$AZ$84</f>
        <v>46.485666421243593</v>
      </c>
      <c r="AC157" s="125">
        <f>AC46/293.07*(1/(VLOOKUP($Z157,'Fuel economy adjusted factor'!$A$2:$L$52,5,FALSE)*m2k))/'TCO Inputs'!$AZ$84</f>
        <v>40.883857204075213</v>
      </c>
      <c r="AD157" s="125">
        <f>AD46/293.07*(1/(VLOOKUP($Z157,'Fuel economy adjusted factor'!$A$2:$L$52,5,FALSE)*m2k))/'TCO Inputs'!$AZ$84</f>
        <v>40.883857204075213</v>
      </c>
      <c r="AE157" s="125">
        <f>AE46/293.07*(1/(VLOOKUP($Z157,'Fuel economy adjusted factor'!$A$2:$L$52,5,FALSE)*m2k))/'TCO Inputs'!$AZ$84</f>
        <v>40.883857204075213</v>
      </c>
      <c r="AF157" s="125">
        <f>AF46/293.07*(1/(VLOOKUP($Z157,'Fuel economy adjusted factor'!$A$2:$L$52,5,FALSE)*m2k))/'TCO Inputs'!$AZ$84</f>
        <v>40.883857204075213</v>
      </c>
      <c r="AG157" s="125">
        <f>AG46/293.07*(1/(VLOOKUP($Z157,'Fuel economy adjusted factor'!$A$2:$L$52,5,FALSE)*m2k))/'TCO Inputs'!$AZ$84</f>
        <v>40.883857204075213</v>
      </c>
      <c r="AH157" s="125">
        <f>AH46/293.07*(1/(VLOOKUP($Z157,'Fuel economy adjusted factor'!$A$2:$L$52,5,FALSE)*m2k))/'TCO Inputs'!$AZ$84</f>
        <v>24.564562129643523</v>
      </c>
      <c r="AI157" s="125">
        <f>AI46/293.07*(1/(VLOOKUP($Z157,'Fuel economy adjusted factor'!$A$2:$L$52,5,FALSE)*m2k))/'TCO Inputs'!$AZ$84</f>
        <v>24.564562129643523</v>
      </c>
      <c r="AJ157" s="125">
        <f>AJ46/293.07*(1/(VLOOKUP($Z157,'Fuel economy adjusted factor'!$A$2:$L$52,5,FALSE)*m2k))/'TCO Inputs'!$AZ$84</f>
        <v>24.564562129643523</v>
      </c>
      <c r="AK157" s="125">
        <f>AK46/293.07*(1/(VLOOKUP($Z157,'Fuel economy adjusted factor'!$A$2:$L$52,5,FALSE)*m2k))/'TCO Inputs'!$AZ$84</f>
        <v>24.564562129643523</v>
      </c>
      <c r="AL157" s="125">
        <f>AL46/293.07*(1/(VLOOKUP($Z157,'Fuel economy adjusted factor'!$A$2:$L$52,5,FALSE)*m2k))/'TCO Inputs'!$AZ$84</f>
        <v>24.564562129643523</v>
      </c>
      <c r="AM157" s="125">
        <f>AM46/293.07*(1/(VLOOKUP($Z157,'Fuel economy adjusted factor'!$A$2:$L$52,5,FALSE)*m2k))/'TCO Inputs'!$AZ$84</f>
        <v>25.70627511647703</v>
      </c>
      <c r="AN157" s="125">
        <f>AN46/293.07*(1/(VLOOKUP($Z157,'Fuel economy adjusted factor'!$A$2:$L$52,5,FALSE)*m2k))/'TCO Inputs'!$AZ$84</f>
        <v>25.70627511647703</v>
      </c>
      <c r="AO157" s="125">
        <f>AO46/293.07*(1/(VLOOKUP($Z157,'Fuel economy adjusted factor'!$A$2:$L$52,5,FALSE)*m2k))/'TCO Inputs'!$AZ$84</f>
        <v>25.70627511647703</v>
      </c>
      <c r="AP157" s="125">
        <f>AP46/293.07*(1/(VLOOKUP($Z157,'Fuel economy adjusted factor'!$A$2:$L$52,5,FALSE)*m2k))/'TCO Inputs'!$AZ$84</f>
        <v>25.70627511647703</v>
      </c>
      <c r="AQ157" s="125">
        <f>AQ46/293.07*(1/(VLOOKUP($Z157,'Fuel economy adjusted factor'!$A$2:$L$52,5,FALSE)*m2k))/'TCO Inputs'!$AZ$84</f>
        <v>25.70627511647703</v>
      </c>
      <c r="AR157" s="125">
        <f>AR46/293.07*(1/(VLOOKUP($Z157,'Fuel economy adjusted factor'!$A$2:$L$52,5,FALSE)*m2k))/'TCO Inputs'!$AZ$84</f>
        <v>26.8719902276023</v>
      </c>
      <c r="AS157" s="125">
        <f>AS46/293.07*(1/(VLOOKUP($Z157,'Fuel economy adjusted factor'!$A$2:$L$52,5,FALSE)*m2k))/'TCO Inputs'!$AZ$84</f>
        <v>26.8719902276023</v>
      </c>
      <c r="AT157" s="125">
        <f>AT46/293.07*(1/(VLOOKUP($Z157,'Fuel economy adjusted factor'!$A$2:$L$52,5,FALSE)*m2k))/'TCO Inputs'!$AZ$84</f>
        <v>26.8719902276023</v>
      </c>
      <c r="AU157" s="125">
        <f>AU46/293.07*(1/(VLOOKUP($Z157,'Fuel economy adjusted factor'!$A$2:$L$52,5,FALSE)*m2k))/'TCO Inputs'!$AZ$84</f>
        <v>26.8719902276023</v>
      </c>
      <c r="AV157" s="125">
        <f>AV46/293.07*(1/(VLOOKUP($Z157,'Fuel economy adjusted factor'!$A$2:$L$52,5,FALSE)*m2k))/'TCO Inputs'!$AZ$84</f>
        <v>26.8719902276023</v>
      </c>
      <c r="AW157" s="125">
        <f>AW46/293.07*(1/(VLOOKUP($Z157,'Fuel economy adjusted factor'!$A$2:$L$52,5,FALSE)*m2k))/'TCO Inputs'!$AZ$84</f>
        <v>27.461654355725297</v>
      </c>
      <c r="AX157" s="125">
        <f>AX46/293.07*(1/(VLOOKUP($Z157,'Fuel economy adjusted factor'!$A$2:$L$52,5,FALSE)*m2k))/'TCO Inputs'!$AZ$84</f>
        <v>27.461654355725297</v>
      </c>
      <c r="AY157" s="125">
        <f>AY46/293.07*(1/(VLOOKUP($Z157,'Fuel economy adjusted factor'!$A$2:$L$52,5,FALSE)*m2k))/'TCO Inputs'!$AZ$84</f>
        <v>27.461654355725297</v>
      </c>
      <c r="AZ157" s="125">
        <f>AZ46/293.07*(1/(VLOOKUP($Z157,'Fuel economy adjusted factor'!$A$2:$L$52,5,FALSE)*m2k))/'TCO Inputs'!$AZ$84</f>
        <v>27.461654355725297</v>
      </c>
      <c r="BA157" s="125">
        <f>BA46/293.07*(1/(VLOOKUP($Z157,'Fuel economy adjusted factor'!$A$2:$L$52,5,FALSE)*m2k))/'TCO Inputs'!$AZ$84</f>
        <v>27.461654355725297</v>
      </c>
      <c r="BB157" s="125">
        <f>BB46/293.07*(1/(VLOOKUP($Z157,'Fuel economy adjusted factor'!$A$2:$L$52,5,FALSE)*m2k))/'TCO Inputs'!$AZ$84</f>
        <v>27.498911384476685</v>
      </c>
      <c r="BC157" s="98" cm="1">
        <f t="array" ref="BC157">SUMPRODUCT(INDEX(AA157:BB157,,'TCO Inputs'!$AZ$12-2023+_xlfn.SEQUENCE('TCO Inputs'!$AZ$13))*INDEX('VKT US'!C103:AA103,,_xlfn.SEQUENCE('TCO Inputs'!$AZ$13)))*m2k*CONVERT(0.9072,"g","ton")</f>
        <v>11.376694488883997</v>
      </c>
      <c r="BM157" s="123" t="s">
        <v>223</v>
      </c>
      <c r="BN157" s="125">
        <f>BN46/293.07*(1/(VLOOKUP($BM157,'Fuel economy adjusted factor'!$A$2:$L$52,5,FALSE)*m2k))</f>
        <v>39.512816458057053</v>
      </c>
      <c r="BO157" s="125">
        <f>BO46/293.07*(1/(VLOOKUP($BM157,'Fuel economy adjusted factor'!$A$2:$L$52,5,FALSE)*m2k))</f>
        <v>39.512816458057053</v>
      </c>
      <c r="BP157" s="125">
        <f>BP46/293.07*(1/(VLOOKUP($BM157,'Fuel economy adjusted factor'!$A$2:$L$52,5,FALSE)*m2k))</f>
        <v>34.705907443739278</v>
      </c>
      <c r="BQ157" s="125">
        <f>BQ46/293.07*(1/(VLOOKUP($BM157,'Fuel economy adjusted factor'!$A$2:$L$52,5,FALSE)*m2k))</f>
        <v>34.705907443739278</v>
      </c>
      <c r="BR157" s="125">
        <f>BR46/293.07*(1/(VLOOKUP($BM157,'Fuel economy adjusted factor'!$A$2:$L$52,5,FALSE)*m2k))</f>
        <v>34.705907443739278</v>
      </c>
      <c r="BS157" s="125">
        <f>BS46/293.07*(1/(VLOOKUP($BM157,'Fuel economy adjusted factor'!$A$2:$L$52,5,FALSE)*m2k))</f>
        <v>34.705907443739278</v>
      </c>
      <c r="BT157" s="125">
        <f>BT46/293.07*(1/(VLOOKUP($BM157,'Fuel economy adjusted factor'!$A$2:$L$52,5,FALSE)*m2k))</f>
        <v>34.705907443739278</v>
      </c>
      <c r="BU157" s="125">
        <f>BU46/293.07*(1/(VLOOKUP($BM157,'Fuel economy adjusted factor'!$A$2:$L$52,5,FALSE)*m2k))</f>
        <v>39.341380389701492</v>
      </c>
      <c r="BV157" s="125">
        <f>BV46/293.07*(1/(VLOOKUP($BM157,'Fuel economy adjusted factor'!$A$2:$L$52,5,FALSE)*m2k))</f>
        <v>39.341380389701492</v>
      </c>
      <c r="BW157" s="125">
        <f>BW46/293.07*(1/(VLOOKUP($BM157,'Fuel economy adjusted factor'!$A$2:$L$52,5,FALSE)*m2k))</f>
        <v>39.341380389701492</v>
      </c>
      <c r="BX157" s="125">
        <f>BX46/293.07*(1/(VLOOKUP($BM157,'Fuel economy adjusted factor'!$A$2:$L$52,5,FALSE)*m2k))</f>
        <v>39.341380389701492</v>
      </c>
      <c r="BY157" s="125">
        <f>BY46/293.07*(1/(VLOOKUP($BM157,'Fuel economy adjusted factor'!$A$2:$L$52,5,FALSE)*m2k))</f>
        <v>39.341380389701492</v>
      </c>
      <c r="BZ157" s="125">
        <f>BZ46/293.07*(1/(VLOOKUP($BM157,'Fuel economy adjusted factor'!$A$2:$L$52,5,FALSE)*m2k))</f>
        <v>40.287476063557143</v>
      </c>
      <c r="CA157" s="125">
        <f>CA46/293.07*(1/(VLOOKUP($BM157,'Fuel economy adjusted factor'!$A$2:$L$52,5,FALSE)*m2k))</f>
        <v>40.287476063557143</v>
      </c>
      <c r="CB157" s="125">
        <f>CB46/293.07*(1/(VLOOKUP($BM157,'Fuel economy adjusted factor'!$A$2:$L$52,5,FALSE)*m2k))</f>
        <v>40.287476063557143</v>
      </c>
      <c r="CC157" s="125">
        <f>CC46/293.07*(1/(VLOOKUP($BM157,'Fuel economy adjusted factor'!$A$2:$L$52,5,FALSE)*m2k))</f>
        <v>40.287476063557143</v>
      </c>
      <c r="CD157" s="125">
        <f>CD46/293.07*(1/(VLOOKUP($BM157,'Fuel economy adjusted factor'!$A$2:$L$52,5,FALSE)*m2k))</f>
        <v>40.287476063557143</v>
      </c>
      <c r="CE157" s="125">
        <f>CE46/293.07*(1/(VLOOKUP($BM157,'Fuel economy adjusted factor'!$A$2:$L$52,5,FALSE)*m2k))</f>
        <v>41.283205981004194</v>
      </c>
      <c r="CF157" s="125">
        <f>CF46/293.07*(1/(VLOOKUP($BM157,'Fuel economy adjusted factor'!$A$2:$L$52,5,FALSE)*m2k))</f>
        <v>41.283205981004194</v>
      </c>
      <c r="CG157" s="125">
        <f>CG46/293.07*(1/(VLOOKUP($BM157,'Fuel economy adjusted factor'!$A$2:$L$52,5,FALSE)*m2k))</f>
        <v>41.283205981004194</v>
      </c>
      <c r="CH157" s="125">
        <f>CH46/293.07*(1/(VLOOKUP($BM157,'Fuel economy adjusted factor'!$A$2:$L$52,5,FALSE)*m2k))</f>
        <v>41.283205981004194</v>
      </c>
      <c r="CI157" s="125">
        <f>CI46/293.07*(1/(VLOOKUP($BM157,'Fuel economy adjusted factor'!$A$2:$L$52,5,FALSE)*m2k))</f>
        <v>41.283205981004194</v>
      </c>
      <c r="CJ157" s="125">
        <f>CJ46/293.07*(1/(VLOOKUP($BM157,'Fuel economy adjusted factor'!$A$2:$L$52,5,FALSE)*m2k))</f>
        <v>41.519501521046678</v>
      </c>
      <c r="CK157" s="125">
        <f>CK46/293.07*(1/(VLOOKUP($BM157,'Fuel economy adjusted factor'!$A$2:$L$52,5,FALSE)*m2k))</f>
        <v>41.519501521046678</v>
      </c>
      <c r="CL157" s="125">
        <f>CL46/293.07*(1/(VLOOKUP($BM157,'Fuel economy adjusted factor'!$A$2:$L$52,5,FALSE)*m2k))</f>
        <v>41.519501521046678</v>
      </c>
      <c r="CM157" s="125">
        <f>CM46/293.07*(1/(VLOOKUP($BM157,'Fuel economy adjusted factor'!$A$2:$L$52,5,FALSE)*m2k))</f>
        <v>41.519501521046678</v>
      </c>
      <c r="CN157" s="125">
        <f>CN46/293.07*(1/(VLOOKUP($BM157,'Fuel economy adjusted factor'!$A$2:$L$52,5,FALSE)*m2k))</f>
        <v>41.519501521046678</v>
      </c>
      <c r="CO157" s="125">
        <f>CO46/293.07*(1/(VLOOKUP($BM157,'Fuel economy adjusted factor'!$A$2:$L$52,5,FALSE)*m2k))</f>
        <v>41.801777249937629</v>
      </c>
      <c r="CP157" s="98" cm="1">
        <f t="array" ref="CP157">SUMPRODUCT(INDEX(BN157:CO157,,'TCO Inputs'!$AZ$12-2023+_xlfn.SEQUENCE('TCO Inputs'!$AZ$13))*INDEX('VKT US'!C103:AA103,,_xlfn.SEQUENCE('TCO Inputs'!$AZ$13)))*m2k*CONVERT(0.9072,"g","ton")</f>
        <v>12.391650142788345</v>
      </c>
      <c r="CQ157" s="194"/>
      <c r="CR157" s="123" t="s">
        <v>223</v>
      </c>
      <c r="CS157" s="125">
        <f>CS46/293.07*(1/(VLOOKUP($BM157,'Fuel economy adjusted factor'!$A$2:$L$52,5,FALSE)*m2k))/'TCO Inputs'!$AZ$84</f>
        <v>56.281757298232101</v>
      </c>
      <c r="CT157" s="125">
        <f>CT46/293.07*(1/(VLOOKUP($BM157,'Fuel economy adjusted factor'!$A$2:$L$52,5,FALSE)*m2k))/'TCO Inputs'!$AZ$84</f>
        <v>56.281757298232101</v>
      </c>
      <c r="CU157" s="125">
        <f>CU46/293.07*(1/(VLOOKUP($BM157,'Fuel economy adjusted factor'!$A$2:$L$52,5,FALSE)*m2k))/'TCO Inputs'!$AZ$84</f>
        <v>56.281757298232101</v>
      </c>
      <c r="CV157" s="125">
        <f>CV46/293.07*(1/(VLOOKUP($BM157,'Fuel economy adjusted factor'!$A$2:$L$52,5,FALSE)*m2k))/'TCO Inputs'!$AZ$84</f>
        <v>56.281757298232101</v>
      </c>
      <c r="CW157" s="125">
        <f>CW46/293.07*(1/(VLOOKUP($BM157,'Fuel economy adjusted factor'!$A$2:$L$52,5,FALSE)*m2k))/'TCO Inputs'!$AZ$84</f>
        <v>56.281757298232101</v>
      </c>
      <c r="CX157" s="125">
        <f>CX46/293.07*(1/(VLOOKUP($BM157,'Fuel economy adjusted factor'!$A$2:$L$52,5,FALSE)*m2k))/'TCO Inputs'!$AZ$84</f>
        <v>56.281757298232101</v>
      </c>
      <c r="CY157" s="125">
        <f>CY46/293.07*(1/(VLOOKUP($BM157,'Fuel economy adjusted factor'!$A$2:$L$52,5,FALSE)*m2k))/'TCO Inputs'!$AZ$84</f>
        <v>56.281757298232101</v>
      </c>
      <c r="CZ157" s="125">
        <f>CZ46/293.07*(1/(VLOOKUP($BM157,'Fuel economy adjusted factor'!$A$2:$L$52,5,FALSE)*m2k))/'TCO Inputs'!$AZ$84</f>
        <v>56.294295721369586</v>
      </c>
      <c r="DA157" s="125">
        <f>DA46/293.07*(1/(VLOOKUP($BM157,'Fuel economy adjusted factor'!$A$2:$L$52,5,FALSE)*m2k))/'TCO Inputs'!$AZ$84</f>
        <v>56.294295721369586</v>
      </c>
      <c r="DB157" s="125">
        <f>DB46/293.07*(1/(VLOOKUP($BM157,'Fuel economy adjusted factor'!$A$2:$L$52,5,FALSE)*m2k))/'TCO Inputs'!$AZ$84</f>
        <v>56.294295721369586</v>
      </c>
      <c r="DC157" s="125">
        <f>DC46/293.07*(1/(VLOOKUP($BM157,'Fuel economy adjusted factor'!$A$2:$L$52,5,FALSE)*m2k))/'TCO Inputs'!$AZ$84</f>
        <v>56.294295721369586</v>
      </c>
      <c r="DD157" s="125">
        <f>DD46/293.07*(1/(VLOOKUP($BM157,'Fuel economy adjusted factor'!$A$2:$L$52,5,FALSE)*m2k))/'TCO Inputs'!$AZ$84</f>
        <v>56.294295721369586</v>
      </c>
      <c r="DE157" s="125">
        <f>DE46/293.07*(1/(VLOOKUP($BM157,'Fuel economy adjusted factor'!$A$2:$L$52,5,FALSE)*m2k))/'TCO Inputs'!$AZ$84</f>
        <v>56.287130908148171</v>
      </c>
      <c r="DF157" s="125">
        <f>DF46/293.07*(1/(VLOOKUP($BM157,'Fuel economy adjusted factor'!$A$2:$L$52,5,FALSE)*m2k))/'TCO Inputs'!$AZ$84</f>
        <v>56.287130908148171</v>
      </c>
      <c r="DG157" s="125">
        <f>DG46/293.07*(1/(VLOOKUP($BM157,'Fuel economy adjusted factor'!$A$2:$L$52,5,FALSE)*m2k))/'TCO Inputs'!$AZ$84</f>
        <v>56.287130908148171</v>
      </c>
      <c r="DH157" s="125">
        <f>DH46/293.07*(1/(VLOOKUP($BM157,'Fuel economy adjusted factor'!$A$2:$L$52,5,FALSE)*m2k))/'TCO Inputs'!$AZ$84</f>
        <v>56.287130908148171</v>
      </c>
      <c r="DI157" s="125">
        <f>DI46/293.07*(1/(VLOOKUP($BM157,'Fuel economy adjusted factor'!$A$2:$L$52,5,FALSE)*m2k))/'TCO Inputs'!$AZ$84</f>
        <v>56.287130908148171</v>
      </c>
      <c r="DJ157" s="125">
        <f>DJ46/293.07*(1/(VLOOKUP($BM157,'Fuel economy adjusted factor'!$A$2:$L$52,5,FALSE)*m2k))/'TCO Inputs'!$AZ$84</f>
        <v>56.285339704842812</v>
      </c>
      <c r="DK157" s="125">
        <f>DK46/293.07*(1/(VLOOKUP($BM157,'Fuel economy adjusted factor'!$A$2:$L$52,5,FALSE)*m2k))/'TCO Inputs'!$AZ$84</f>
        <v>56.285339704842812</v>
      </c>
      <c r="DL157" s="125">
        <f>DL46/293.07*(1/(VLOOKUP($BM157,'Fuel economy adjusted factor'!$A$2:$L$52,5,FALSE)*m2k))/'TCO Inputs'!$AZ$84</f>
        <v>56.285339704842812</v>
      </c>
      <c r="DM157" s="125">
        <f>DM46/293.07*(1/(VLOOKUP($BM157,'Fuel economy adjusted factor'!$A$2:$L$52,5,FALSE)*m2k))/'TCO Inputs'!$AZ$84</f>
        <v>56.285339704842812</v>
      </c>
      <c r="DN157" s="125">
        <f>DN46/293.07*(1/(VLOOKUP($BM157,'Fuel economy adjusted factor'!$A$2:$L$52,5,FALSE)*m2k))/'TCO Inputs'!$AZ$84</f>
        <v>56.285339704842812</v>
      </c>
      <c r="DO157" s="125">
        <f>DO46/293.07*(1/(VLOOKUP($BM157,'Fuel economy adjusted factor'!$A$2:$L$52,5,FALSE)*m2k))/'TCO Inputs'!$AZ$84</f>
        <v>56.250590360718924</v>
      </c>
      <c r="DP157" s="125">
        <f>DP46/293.07*(1/(VLOOKUP($BM157,'Fuel economy adjusted factor'!$A$2:$L$52,5,FALSE)*m2k))/'TCO Inputs'!$AZ$84</f>
        <v>56.250590360718924</v>
      </c>
      <c r="DQ157" s="125">
        <f>DQ46/293.07*(1/(VLOOKUP($BM157,'Fuel economy adjusted factor'!$A$2:$L$52,5,FALSE)*m2k))/'TCO Inputs'!$AZ$84</f>
        <v>56.250590360718924</v>
      </c>
      <c r="DR157" s="125">
        <f>DR46/293.07*(1/(VLOOKUP($BM157,'Fuel economy adjusted factor'!$A$2:$L$52,5,FALSE)*m2k))/'TCO Inputs'!$AZ$84</f>
        <v>56.250590360718924</v>
      </c>
      <c r="DS157" s="125">
        <f>DS46/293.07*(1/(VLOOKUP($BM157,'Fuel economy adjusted factor'!$A$2:$L$52,5,FALSE)*m2k))/'TCO Inputs'!$AZ$84</f>
        <v>56.250590360718924</v>
      </c>
      <c r="DT157" s="125">
        <f>DT46/293.07*(1/(VLOOKUP($BM157,'Fuel economy adjusted factor'!$A$2:$L$52,5,FALSE)*m2k))/'TCO Inputs'!$AZ$84</f>
        <v>56.27960785426567</v>
      </c>
      <c r="DU157" s="98" cm="1">
        <f t="array" ref="DU157">SUMPRODUCT(INDEX(CS157:DT157,,'TCO Inputs'!$AZ$12-2023+_xlfn.SEQUENCE('TCO Inputs'!$AZ$13))*INDEX('VKT US'!C103:AA103,,_xlfn.SEQUENCE('TCO Inputs'!$AZ$13)))*m2k*CONVERT(0.9072,"g","ton")</f>
        <v>18.492345160957843</v>
      </c>
      <c r="DW157" s="123" t="s">
        <v>223</v>
      </c>
      <c r="DX157" s="125">
        <f>DX46/293.07*(1/(VLOOKUP($BM157,'Fuel economy adjusted factor'!$A$2:$L$52,5,FALSE)*m2k))/'TCO Inputs'!$AZ$84</f>
        <v>58.916257601323643</v>
      </c>
      <c r="DY157" s="125">
        <f>DY46/293.07*(1/(VLOOKUP($BM157,'Fuel economy adjusted factor'!$A$2:$L$52,5,FALSE)*m2k))/'TCO Inputs'!$AZ$84</f>
        <v>58.916257601323643</v>
      </c>
      <c r="DZ157" s="125">
        <f>DZ46/293.07*(1/(VLOOKUP($BM157,'Fuel economy adjusted factor'!$A$2:$L$52,5,FALSE)*m2k))/'TCO Inputs'!$AZ$84</f>
        <v>51.64600832894623</v>
      </c>
      <c r="EA157" s="125">
        <f>EA46/293.07*(1/(VLOOKUP($BM157,'Fuel economy adjusted factor'!$A$2:$L$52,5,FALSE)*m2k))/'TCO Inputs'!$AZ$84</f>
        <v>51.64600832894623</v>
      </c>
      <c r="EB157" s="125">
        <f>EB46/293.07*(1/(VLOOKUP($BM157,'Fuel economy adjusted factor'!$A$2:$L$52,5,FALSE)*m2k))/'TCO Inputs'!$AZ$84</f>
        <v>51.64600832894623</v>
      </c>
      <c r="EC157" s="125">
        <f>EC46/293.07*(1/(VLOOKUP($BM157,'Fuel economy adjusted factor'!$A$2:$L$52,5,FALSE)*m2k))/'TCO Inputs'!$AZ$84</f>
        <v>51.64600832894623</v>
      </c>
      <c r="ED157" s="125">
        <f>ED46/293.07*(1/(VLOOKUP($BM157,'Fuel economy adjusted factor'!$A$2:$L$52,5,FALSE)*m2k))/'TCO Inputs'!$AZ$84</f>
        <v>51.64600832894623</v>
      </c>
      <c r="EE157" s="125">
        <f>EE46/293.07*(1/(VLOOKUP($BM157,'Fuel economy adjusted factor'!$A$2:$L$52,5,FALSE)*m2k))/'TCO Inputs'!$AZ$84</f>
        <v>31.831304370033795</v>
      </c>
      <c r="EF157" s="125">
        <f>EF46/293.07*(1/(VLOOKUP($BM157,'Fuel economy adjusted factor'!$A$2:$L$52,5,FALSE)*m2k))/'TCO Inputs'!$AZ$84</f>
        <v>31.831304370033795</v>
      </c>
      <c r="EG157" s="125">
        <f>EG46/293.07*(1/(VLOOKUP($BM157,'Fuel economy adjusted factor'!$A$2:$L$52,5,FALSE)*m2k))/'TCO Inputs'!$AZ$84</f>
        <v>31.831304370033795</v>
      </c>
      <c r="EH157" s="125">
        <f>EH46/293.07*(1/(VLOOKUP($BM157,'Fuel economy adjusted factor'!$A$2:$L$52,5,FALSE)*m2k))/'TCO Inputs'!$AZ$84</f>
        <v>31.831304370033795</v>
      </c>
      <c r="EI157" s="125">
        <f>EI46/293.07*(1/(VLOOKUP($BM157,'Fuel economy adjusted factor'!$A$2:$L$52,5,FALSE)*m2k))/'TCO Inputs'!$AZ$84</f>
        <v>31.831304370033795</v>
      </c>
      <c r="EJ157" s="125">
        <f>EJ46/293.07*(1/(VLOOKUP($BM157,'Fuel economy adjusted factor'!$A$2:$L$52,5,FALSE)*m2k))/'TCO Inputs'!$AZ$84</f>
        <v>28.429094890703855</v>
      </c>
      <c r="EK157" s="125">
        <f>EK46/293.07*(1/(VLOOKUP($BM157,'Fuel economy adjusted factor'!$A$2:$L$52,5,FALSE)*m2k))/'TCO Inputs'!$AZ$84</f>
        <v>28.429094890703855</v>
      </c>
      <c r="EL157" s="125">
        <f>EL46/293.07*(1/(VLOOKUP($BM157,'Fuel economy adjusted factor'!$A$2:$L$52,5,FALSE)*m2k))/'TCO Inputs'!$AZ$84</f>
        <v>28.429094890703855</v>
      </c>
      <c r="EM157" s="125">
        <f>EM46/293.07*(1/(VLOOKUP($BM157,'Fuel economy adjusted factor'!$A$2:$L$52,5,FALSE)*m2k))/'TCO Inputs'!$AZ$84</f>
        <v>28.429094890703855</v>
      </c>
      <c r="EN157" s="125">
        <f>EN46/293.07*(1/(VLOOKUP($BM157,'Fuel economy adjusted factor'!$A$2:$L$52,5,FALSE)*m2k))/'TCO Inputs'!$AZ$84</f>
        <v>28.429094890703855</v>
      </c>
      <c r="EO157" s="125">
        <f>EO46/293.07*(1/(VLOOKUP($BM157,'Fuel economy adjusted factor'!$A$2:$L$52,5,FALSE)*m2k))/'TCO Inputs'!$AZ$84</f>
        <v>27.534301653088136</v>
      </c>
      <c r="EP157" s="125">
        <f>EP46/293.07*(1/(VLOOKUP($BM157,'Fuel economy adjusted factor'!$A$2:$L$52,5,FALSE)*m2k))/'TCO Inputs'!$AZ$84</f>
        <v>27.534301653088136</v>
      </c>
      <c r="EQ157" s="125">
        <f>EQ46/293.07*(1/(VLOOKUP($BM157,'Fuel economy adjusted factor'!$A$2:$L$52,5,FALSE)*m2k))/'TCO Inputs'!$AZ$84</f>
        <v>27.534301653088136</v>
      </c>
      <c r="ER157" s="125">
        <f>ER46/293.07*(1/(VLOOKUP($BM157,'Fuel economy adjusted factor'!$A$2:$L$52,5,FALSE)*m2k))/'TCO Inputs'!$AZ$84</f>
        <v>27.534301653088136</v>
      </c>
      <c r="ES157" s="125">
        <f>ES46/293.07*(1/(VLOOKUP($BM157,'Fuel economy adjusted factor'!$A$2:$L$52,5,FALSE)*m2k))/'TCO Inputs'!$AZ$84</f>
        <v>27.534301653088136</v>
      </c>
      <c r="ET157" s="125">
        <f>ET46/293.07*(1/(VLOOKUP($BM157,'Fuel economy adjusted factor'!$A$2:$L$52,5,FALSE)*m2k))/'TCO Inputs'!$AZ$84</f>
        <v>26.511990620097237</v>
      </c>
      <c r="EU157" s="125">
        <f>EU46/293.07*(1/(VLOOKUP($BM157,'Fuel economy adjusted factor'!$A$2:$L$52,5,FALSE)*m2k))/'TCO Inputs'!$AZ$84</f>
        <v>26.511990620097237</v>
      </c>
      <c r="EV157" s="125">
        <f>EV46/293.07*(1/(VLOOKUP($BM157,'Fuel economy adjusted factor'!$A$2:$L$52,5,FALSE)*m2k))/'TCO Inputs'!$AZ$84</f>
        <v>26.511990620097237</v>
      </c>
      <c r="EW157" s="125">
        <f>EW46/293.07*(1/(VLOOKUP($BM157,'Fuel economy adjusted factor'!$A$2:$L$52,5,FALSE)*m2k))/'TCO Inputs'!$AZ$84</f>
        <v>26.511990620097237</v>
      </c>
      <c r="EX157" s="125">
        <f>EX46/293.07*(1/(VLOOKUP($BM157,'Fuel economy adjusted factor'!$A$2:$L$52,5,FALSE)*m2k))/'TCO Inputs'!$AZ$84</f>
        <v>26.511990620097237</v>
      </c>
      <c r="EY157" s="125">
        <f>EY46/293.07*(1/(VLOOKUP($BM157,'Fuel economy adjusted factor'!$A$2:$L$52,5,FALSE)*m2k))/'TCO Inputs'!$AZ$84</f>
        <v>24.908909763951968</v>
      </c>
      <c r="EZ157" s="98" cm="1">
        <f t="array" ref="EZ157">SUMPRODUCT(INDEX(DX157:EY157,,'TCO Inputs'!$AZ$12-2023+_xlfn.SEQUENCE('TCO Inputs'!$AZ$13))*INDEX('VKT US'!C103:AA103,,_xlfn.SEQUENCE('TCO Inputs'!$AZ$13)))*m2k*CONVERT(0.9072,"g","ton")</f>
        <v>14.309605007346157</v>
      </c>
      <c r="FB157" s="123" t="s">
        <v>223</v>
      </c>
      <c r="FC157" s="125">
        <f>FC46/293.07*(1/(VLOOKUP($BM157,'Fuel economy adjusted factor'!$A$2:$L$52,5,FALSE)*m2k))/'TCO Inputs'!$AZ$84</f>
        <v>63.903331108888096</v>
      </c>
      <c r="FD157" s="125">
        <f>FD46/293.07*(1/(VLOOKUP($BM157,'Fuel economy adjusted factor'!$A$2:$L$52,5,FALSE)*m2k))/'TCO Inputs'!$AZ$84</f>
        <v>63.903331108888096</v>
      </c>
      <c r="FE157" s="125">
        <f>FE46/293.07*(1/(VLOOKUP($BM157,'Fuel economy adjusted factor'!$A$2:$L$52,5,FALSE)*m2k))/'TCO Inputs'!$AZ$84</f>
        <v>55.80681857055918</v>
      </c>
      <c r="FF157" s="125">
        <f>FF46/293.07*(1/(VLOOKUP($BM157,'Fuel economy adjusted factor'!$A$2:$L$52,5,FALSE)*m2k))/'TCO Inputs'!$AZ$84</f>
        <v>55.80681857055918</v>
      </c>
      <c r="FG157" s="125">
        <f>FG46/293.07*(1/(VLOOKUP($BM157,'Fuel economy adjusted factor'!$A$2:$L$52,5,FALSE)*m2k))/'TCO Inputs'!$AZ$84</f>
        <v>55.80681857055918</v>
      </c>
      <c r="FH157" s="125">
        <f>FH46/293.07*(1/(VLOOKUP($BM157,'Fuel economy adjusted factor'!$A$2:$L$52,5,FALSE)*m2k))/'TCO Inputs'!$AZ$84</f>
        <v>55.80681857055918</v>
      </c>
      <c r="FI157" s="125">
        <f>FI46/293.07*(1/(VLOOKUP($BM157,'Fuel economy adjusted factor'!$A$2:$L$52,5,FALSE)*m2k))/'TCO Inputs'!$AZ$84</f>
        <v>55.80681857055918</v>
      </c>
      <c r="FJ157" s="125">
        <f>FJ46/293.07*(1/(VLOOKUP($BM157,'Fuel economy adjusted factor'!$A$2:$L$52,5,FALSE)*m2k))/'TCO Inputs'!$AZ$84</f>
        <v>35.020116722409334</v>
      </c>
      <c r="FK157" s="125">
        <f>FK46/293.07*(1/(VLOOKUP($BM157,'Fuel economy adjusted factor'!$A$2:$L$52,5,FALSE)*m2k))/'TCO Inputs'!$AZ$84</f>
        <v>35.020116722409334</v>
      </c>
      <c r="FL157" s="125">
        <f>FL46/293.07*(1/(VLOOKUP($BM157,'Fuel economy adjusted factor'!$A$2:$L$52,5,FALSE)*m2k))/'TCO Inputs'!$AZ$84</f>
        <v>35.020116722409334</v>
      </c>
      <c r="FM157" s="125">
        <f>FM46/293.07*(1/(VLOOKUP($BM157,'Fuel economy adjusted factor'!$A$2:$L$52,5,FALSE)*m2k))/'TCO Inputs'!$AZ$84</f>
        <v>35.020116722409334</v>
      </c>
      <c r="FN157" s="125">
        <f>FN46/293.07*(1/(VLOOKUP($BM157,'Fuel economy adjusted factor'!$A$2:$L$52,5,FALSE)*m2k))/'TCO Inputs'!$AZ$84</f>
        <v>35.020116722409334</v>
      </c>
      <c r="FO157" s="125">
        <f>FO46/293.07*(1/(VLOOKUP($BM157,'Fuel economy adjusted factor'!$A$2:$L$52,5,FALSE)*m2k))/'TCO Inputs'!$AZ$84</f>
        <v>31.096125243636006</v>
      </c>
      <c r="FP157" s="125">
        <f>FP46/293.07*(1/(VLOOKUP($BM157,'Fuel economy adjusted factor'!$A$2:$L$52,5,FALSE)*m2k))/'TCO Inputs'!$AZ$84</f>
        <v>31.096125243636006</v>
      </c>
      <c r="FQ157" s="125">
        <f>FQ46/293.07*(1/(VLOOKUP($BM157,'Fuel economy adjusted factor'!$A$2:$L$52,5,FALSE)*m2k))/'TCO Inputs'!$AZ$84</f>
        <v>31.096125243636006</v>
      </c>
      <c r="FR157" s="125">
        <f>FR46/293.07*(1/(VLOOKUP($BM157,'Fuel economy adjusted factor'!$A$2:$L$52,5,FALSE)*m2k))/'TCO Inputs'!$AZ$84</f>
        <v>31.096125243636006</v>
      </c>
      <c r="FS157" s="125">
        <f>FS46/293.07*(1/(VLOOKUP($BM157,'Fuel economy adjusted factor'!$A$2:$L$52,5,FALSE)*m2k))/'TCO Inputs'!$AZ$84</f>
        <v>31.096125243636006</v>
      </c>
      <c r="FT157" s="125">
        <f>FT46/293.07*(1/(VLOOKUP($BM157,'Fuel economy adjusted factor'!$A$2:$L$52,5,FALSE)*m2k))/'TCO Inputs'!$AZ$84</f>
        <v>30.304560697514493</v>
      </c>
      <c r="FU157" s="125">
        <f>FU46/293.07*(1/(VLOOKUP($BM157,'Fuel economy adjusted factor'!$A$2:$L$52,5,FALSE)*m2k))/'TCO Inputs'!$AZ$84</f>
        <v>30.304560697514493</v>
      </c>
      <c r="FV157" s="125">
        <f>FV46/293.07*(1/(VLOOKUP($BM157,'Fuel economy adjusted factor'!$A$2:$L$52,5,FALSE)*m2k))/'TCO Inputs'!$AZ$84</f>
        <v>30.304560697514493</v>
      </c>
      <c r="FW157" s="125">
        <f>FW46/293.07*(1/(VLOOKUP($BM157,'Fuel economy adjusted factor'!$A$2:$L$52,5,FALSE)*m2k))/'TCO Inputs'!$AZ$84</f>
        <v>30.304560697514493</v>
      </c>
      <c r="FX157" s="125">
        <f>FX46/293.07*(1/(VLOOKUP($BM157,'Fuel economy adjusted factor'!$A$2:$L$52,5,FALSE)*m2k))/'TCO Inputs'!$AZ$84</f>
        <v>30.304560697514493</v>
      </c>
      <c r="FY157" s="125">
        <f>FY46/293.07*(1/(VLOOKUP($BM157,'Fuel economy adjusted factor'!$A$2:$L$52,5,FALSE)*m2k))/'TCO Inputs'!$AZ$84</f>
        <v>29.280080994534213</v>
      </c>
      <c r="FZ157" s="125">
        <f>FZ46/293.07*(1/(VLOOKUP($BM157,'Fuel economy adjusted factor'!$A$2:$L$52,5,FALSE)*m2k))/'TCO Inputs'!$AZ$84</f>
        <v>29.280080994534213</v>
      </c>
      <c r="GA157" s="125">
        <f>GA46/293.07*(1/(VLOOKUP($BM157,'Fuel economy adjusted factor'!$A$2:$L$52,5,FALSE)*m2k))/'TCO Inputs'!$AZ$84</f>
        <v>29.280080994534213</v>
      </c>
      <c r="GB157" s="125">
        <f>GB46/293.07*(1/(VLOOKUP($BM157,'Fuel economy adjusted factor'!$A$2:$L$52,5,FALSE)*m2k))/'TCO Inputs'!$AZ$84</f>
        <v>29.280080994534213</v>
      </c>
      <c r="GC157" s="125">
        <f>GC46/293.07*(1/(VLOOKUP($BM157,'Fuel economy adjusted factor'!$A$2:$L$52,5,FALSE)*m2k))/'TCO Inputs'!$AZ$84</f>
        <v>29.280080994534213</v>
      </c>
      <c r="GD157" s="125">
        <f>GD46/293.07*(1/(VLOOKUP($BM157,'Fuel economy adjusted factor'!$A$2:$L$52,5,FALSE)*m2k))/'TCO Inputs'!$AZ$84</f>
        <v>27.621482186660973</v>
      </c>
      <c r="GE157" s="98" cm="1">
        <f t="array" ref="GE157">SUMPRODUCT(INDEX(FC157:GD157,,'TCO Inputs'!$AZ$12-2023+_xlfn.SEQUENCE('TCO Inputs'!$AZ$13))*INDEX('VKT US'!C103:AA103,,_xlfn.SEQUENCE('TCO Inputs'!$AZ$13)))*m2k*CONVERT(0.9072,"g","ton")</f>
        <v>15.558312438451903</v>
      </c>
      <c r="GH157" s="123" t="s">
        <v>223</v>
      </c>
      <c r="GI157" s="125">
        <f>GI46/293.07*(1/(VLOOKUP($BM157,'Fuel economy adjusted factor'!$A$2:$L$52,5,FALSE)*m2k))/'TCO Inputs'!$AZ$84</f>
        <v>55.52185533395545</v>
      </c>
      <c r="GJ157" s="125">
        <f>GJ46/293.07*(1/(VLOOKUP($BM157,'Fuel economy adjusted factor'!$A$2:$L$52,5,FALSE)*m2k))/'TCO Inputs'!$AZ$84</f>
        <v>55.52185533395545</v>
      </c>
      <c r="GK157" s="125">
        <f>GK46/293.07*(1/(VLOOKUP($BM157,'Fuel economy adjusted factor'!$A$2:$L$52,5,FALSE)*m2k))/'TCO Inputs'!$AZ$84</f>
        <v>48.814159056821644</v>
      </c>
      <c r="GL157" s="125">
        <f>GL46/293.07*(1/(VLOOKUP($BM157,'Fuel economy adjusted factor'!$A$2:$L$52,5,FALSE)*m2k))/'TCO Inputs'!$AZ$84</f>
        <v>48.814159056821644</v>
      </c>
      <c r="GM157" s="125">
        <f>GM46/293.07*(1/(VLOOKUP($BM157,'Fuel economy adjusted factor'!$A$2:$L$52,5,FALSE)*m2k))/'TCO Inputs'!$AZ$84</f>
        <v>48.814159056821644</v>
      </c>
      <c r="GN157" s="125">
        <f>GN46/293.07*(1/(VLOOKUP($BM157,'Fuel economy adjusted factor'!$A$2:$L$52,5,FALSE)*m2k))/'TCO Inputs'!$AZ$84</f>
        <v>48.814159056821644</v>
      </c>
      <c r="GO157" s="125">
        <f>GO46/293.07*(1/(VLOOKUP($BM157,'Fuel economy adjusted factor'!$A$2:$L$52,5,FALSE)*m2k))/'TCO Inputs'!$AZ$84</f>
        <v>48.814159056821644</v>
      </c>
      <c r="GP157" s="125">
        <f>GP46/293.07*(1/(VLOOKUP($BM157,'Fuel economy adjusted factor'!$A$2:$L$52,5,FALSE)*m2k))/'TCO Inputs'!$AZ$84</f>
        <v>29.660899444668292</v>
      </c>
      <c r="GQ157" s="125">
        <f>GQ46/293.07*(1/(VLOOKUP($BM157,'Fuel economy adjusted factor'!$A$2:$L$52,5,FALSE)*m2k))/'TCO Inputs'!$AZ$84</f>
        <v>29.660899444668292</v>
      </c>
      <c r="GR157" s="125">
        <f>GR46/293.07*(1/(VLOOKUP($BM157,'Fuel economy adjusted factor'!$A$2:$L$52,5,FALSE)*m2k))/'TCO Inputs'!$AZ$84</f>
        <v>29.660899444668292</v>
      </c>
      <c r="GS157" s="125">
        <f>GS46/293.07*(1/(VLOOKUP($BM157,'Fuel economy adjusted factor'!$A$2:$L$52,5,FALSE)*m2k))/'TCO Inputs'!$AZ$84</f>
        <v>29.660899444668292</v>
      </c>
      <c r="GT157" s="125">
        <f>GT46/293.07*(1/(VLOOKUP($BM157,'Fuel economy adjusted factor'!$A$2:$L$52,5,FALSE)*m2k))/'TCO Inputs'!$AZ$84</f>
        <v>29.660899444668292</v>
      </c>
      <c r="GU157" s="125">
        <f>GU46/293.07*(1/(VLOOKUP($BM157,'Fuel economy adjusted factor'!$A$2:$L$52,5,FALSE)*m2k))/'TCO Inputs'!$AZ$84</f>
        <v>26.613918109597815</v>
      </c>
      <c r="GV157" s="125">
        <f>GV46/293.07*(1/(VLOOKUP($BM157,'Fuel economy adjusted factor'!$A$2:$L$52,5,FALSE)*m2k))/'TCO Inputs'!$AZ$84</f>
        <v>26.613918109597815</v>
      </c>
      <c r="GW157" s="125">
        <f>GW46/293.07*(1/(VLOOKUP($BM157,'Fuel economy adjusted factor'!$A$2:$L$52,5,FALSE)*m2k))/'TCO Inputs'!$AZ$84</f>
        <v>26.613918109597815</v>
      </c>
      <c r="GX157" s="125">
        <f>GX46/293.07*(1/(VLOOKUP($BM157,'Fuel economy adjusted factor'!$A$2:$L$52,5,FALSE)*m2k))/'TCO Inputs'!$AZ$84</f>
        <v>26.613918109597815</v>
      </c>
      <c r="GY157" s="125">
        <f>GY46/293.07*(1/(VLOOKUP($BM157,'Fuel economy adjusted factor'!$A$2:$L$52,5,FALSE)*m2k))/'TCO Inputs'!$AZ$84</f>
        <v>26.613918109597815</v>
      </c>
      <c r="GZ157" s="125">
        <f>GZ46/293.07*(1/(VLOOKUP($BM157,'Fuel economy adjusted factor'!$A$2:$L$52,5,FALSE)*m2k))/'TCO Inputs'!$AZ$84</f>
        <v>25.648859964326377</v>
      </c>
      <c r="HA157" s="125">
        <f>HA46/293.07*(1/(VLOOKUP($BM157,'Fuel economy adjusted factor'!$A$2:$L$52,5,FALSE)*m2k))/'TCO Inputs'!$AZ$84</f>
        <v>25.648859964326377</v>
      </c>
      <c r="HB157" s="125">
        <f>HB46/293.07*(1/(VLOOKUP($BM157,'Fuel economy adjusted factor'!$A$2:$L$52,5,FALSE)*m2k))/'TCO Inputs'!$AZ$84</f>
        <v>25.648859964326377</v>
      </c>
      <c r="HC157" s="125">
        <f>HC46/293.07*(1/(VLOOKUP($BM157,'Fuel economy adjusted factor'!$A$2:$L$52,5,FALSE)*m2k))/'TCO Inputs'!$AZ$84</f>
        <v>25.648859964326377</v>
      </c>
      <c r="HD157" s="125">
        <f>HD46/293.07*(1/(VLOOKUP($BM157,'Fuel economy adjusted factor'!$A$2:$L$52,5,FALSE)*m2k))/'TCO Inputs'!$AZ$84</f>
        <v>25.648859964326377</v>
      </c>
      <c r="HE157" s="125">
        <f>HE46/293.07*(1/(VLOOKUP($BM157,'Fuel economy adjusted factor'!$A$2:$L$52,5,FALSE)*m2k))/'TCO Inputs'!$AZ$84</f>
        <v>24.627850133329094</v>
      </c>
      <c r="HF157" s="125">
        <f>HF46/293.07*(1/(VLOOKUP($BM157,'Fuel economy adjusted factor'!$A$2:$L$52,5,FALSE)*m2k))/'TCO Inputs'!$AZ$84</f>
        <v>24.627850133329094</v>
      </c>
      <c r="HG157" s="125">
        <f>HG46/293.07*(1/(VLOOKUP($BM157,'Fuel economy adjusted factor'!$A$2:$L$52,5,FALSE)*m2k))/'TCO Inputs'!$AZ$84</f>
        <v>24.627850133329094</v>
      </c>
      <c r="HH157" s="125">
        <f>HH46/293.07*(1/(VLOOKUP($BM157,'Fuel economy adjusted factor'!$A$2:$L$52,5,FALSE)*m2k))/'TCO Inputs'!$AZ$84</f>
        <v>24.627850133329094</v>
      </c>
      <c r="HI157" s="125">
        <f>HI46/293.07*(1/(VLOOKUP($BM157,'Fuel economy adjusted factor'!$A$2:$L$52,5,FALSE)*m2k))/'TCO Inputs'!$AZ$84</f>
        <v>24.627850133329094</v>
      </c>
      <c r="HJ157" s="125">
        <f>HJ46/293.07*(1/(VLOOKUP($BM157,'Fuel economy adjusted factor'!$A$2:$L$52,5,FALSE)*m2k))/'TCO Inputs'!$AZ$84</f>
        <v>23.062937868996816</v>
      </c>
      <c r="HK157" s="98" cm="1">
        <f t="array" ref="HK157">SUMPRODUCT(INDEX(GI157:HJ157,,'TCO Inputs'!$AZ$12-2023+_xlfn.SEQUENCE('TCO Inputs'!$AZ$13))*INDEX('VKT US'!C103:AA103,,_xlfn.SEQUENCE('TCO Inputs'!$AZ$13)))*m2k*CONVERT(0.9072,"g","ton")</f>
        <v>13.459712792618747</v>
      </c>
    </row>
    <row r="158" spans="26:219" x14ac:dyDescent="0.25">
      <c r="Z158" s="123" t="s">
        <v>224</v>
      </c>
      <c r="AA158" s="125">
        <f>AA47/293.07*(1/(VLOOKUP($Z158,'Fuel economy adjusted factor'!$A$2:$L$52,5,FALSE)*m2k))/'TCO Inputs'!$AZ$84</f>
        <v>72.546135183454339</v>
      </c>
      <c r="AB158" s="125">
        <f>AB47/293.07*(1/(VLOOKUP($Z158,'Fuel economy adjusted factor'!$A$2:$L$52,5,FALSE)*m2k))/'TCO Inputs'!$AZ$84</f>
        <v>72.546135183454339</v>
      </c>
      <c r="AC158" s="125">
        <f>AC47/293.07*(1/(VLOOKUP($Z158,'Fuel economy adjusted factor'!$A$2:$L$52,5,FALSE)*m2k))/'TCO Inputs'!$AZ$84</f>
        <v>63.803878913360272</v>
      </c>
      <c r="AD158" s="125">
        <f>AD47/293.07*(1/(VLOOKUP($Z158,'Fuel economy adjusted factor'!$A$2:$L$52,5,FALSE)*m2k))/'TCO Inputs'!$AZ$84</f>
        <v>63.803878913360272</v>
      </c>
      <c r="AE158" s="125">
        <f>AE47/293.07*(1/(VLOOKUP($Z158,'Fuel economy adjusted factor'!$A$2:$L$52,5,FALSE)*m2k))/'TCO Inputs'!$AZ$84</f>
        <v>63.803878913360272</v>
      </c>
      <c r="AF158" s="125">
        <f>AF47/293.07*(1/(VLOOKUP($Z158,'Fuel economy adjusted factor'!$A$2:$L$52,5,FALSE)*m2k))/'TCO Inputs'!$AZ$84</f>
        <v>63.803878913360272</v>
      </c>
      <c r="AG158" s="125">
        <f>AG47/293.07*(1/(VLOOKUP($Z158,'Fuel economy adjusted factor'!$A$2:$L$52,5,FALSE)*m2k))/'TCO Inputs'!$AZ$84</f>
        <v>63.803878913360272</v>
      </c>
      <c r="AH158" s="125">
        <f>AH47/293.07*(1/(VLOOKUP($Z158,'Fuel economy adjusted factor'!$A$2:$L$52,5,FALSE)*m2k))/'TCO Inputs'!$AZ$84</f>
        <v>38.335774921043019</v>
      </c>
      <c r="AI158" s="125">
        <f>AI47/293.07*(1/(VLOOKUP($Z158,'Fuel economy adjusted factor'!$A$2:$L$52,5,FALSE)*m2k))/'TCO Inputs'!$AZ$84</f>
        <v>38.335774921043019</v>
      </c>
      <c r="AJ158" s="125">
        <f>AJ47/293.07*(1/(VLOOKUP($Z158,'Fuel economy adjusted factor'!$A$2:$L$52,5,FALSE)*m2k))/'TCO Inputs'!$AZ$84</f>
        <v>38.335774921043019</v>
      </c>
      <c r="AK158" s="125">
        <f>AK47/293.07*(1/(VLOOKUP($Z158,'Fuel economy adjusted factor'!$A$2:$L$52,5,FALSE)*m2k))/'TCO Inputs'!$AZ$84</f>
        <v>38.335774921043019</v>
      </c>
      <c r="AL158" s="125">
        <f>AL47/293.07*(1/(VLOOKUP($Z158,'Fuel economy adjusted factor'!$A$2:$L$52,5,FALSE)*m2k))/'TCO Inputs'!$AZ$84</f>
        <v>38.335774921043019</v>
      </c>
      <c r="AM158" s="125">
        <f>AM47/293.07*(1/(VLOOKUP($Z158,'Fuel economy adjusted factor'!$A$2:$L$52,5,FALSE)*m2k))/'TCO Inputs'!$AZ$84</f>
        <v>40.117547046948872</v>
      </c>
      <c r="AN158" s="125">
        <f>AN47/293.07*(1/(VLOOKUP($Z158,'Fuel economy adjusted factor'!$A$2:$L$52,5,FALSE)*m2k))/'TCO Inputs'!$AZ$84</f>
        <v>40.117547046948872</v>
      </c>
      <c r="AO158" s="125">
        <f>AO47/293.07*(1/(VLOOKUP($Z158,'Fuel economy adjusted factor'!$A$2:$L$52,5,FALSE)*m2k))/'TCO Inputs'!$AZ$84</f>
        <v>40.117547046948872</v>
      </c>
      <c r="AP158" s="125">
        <f>AP47/293.07*(1/(VLOOKUP($Z158,'Fuel economy adjusted factor'!$A$2:$L$52,5,FALSE)*m2k))/'TCO Inputs'!$AZ$84</f>
        <v>40.117547046948872</v>
      </c>
      <c r="AQ158" s="125">
        <f>AQ47/293.07*(1/(VLOOKUP($Z158,'Fuel economy adjusted factor'!$A$2:$L$52,5,FALSE)*m2k))/'TCO Inputs'!$AZ$84</f>
        <v>40.117547046948872</v>
      </c>
      <c r="AR158" s="125">
        <f>AR47/293.07*(1/(VLOOKUP($Z158,'Fuel economy adjusted factor'!$A$2:$L$52,5,FALSE)*m2k))/'TCO Inputs'!$AZ$84</f>
        <v>41.936777199976056</v>
      </c>
      <c r="AS158" s="125">
        <f>AS47/293.07*(1/(VLOOKUP($Z158,'Fuel economy adjusted factor'!$A$2:$L$52,5,FALSE)*m2k))/'TCO Inputs'!$AZ$84</f>
        <v>41.936777199976056</v>
      </c>
      <c r="AT158" s="125">
        <f>AT47/293.07*(1/(VLOOKUP($Z158,'Fuel economy adjusted factor'!$A$2:$L$52,5,FALSE)*m2k))/'TCO Inputs'!$AZ$84</f>
        <v>41.936777199976056</v>
      </c>
      <c r="AU158" s="125">
        <f>AU47/293.07*(1/(VLOOKUP($Z158,'Fuel economy adjusted factor'!$A$2:$L$52,5,FALSE)*m2k))/'TCO Inputs'!$AZ$84</f>
        <v>41.936777199976056</v>
      </c>
      <c r="AV158" s="125">
        <f>AV47/293.07*(1/(VLOOKUP($Z158,'Fuel economy adjusted factor'!$A$2:$L$52,5,FALSE)*m2k))/'TCO Inputs'!$AZ$84</f>
        <v>41.936777199976056</v>
      </c>
      <c r="AW158" s="125">
        <f>AW47/293.07*(1/(VLOOKUP($Z158,'Fuel economy adjusted factor'!$A$2:$L$52,5,FALSE)*m2k))/'TCO Inputs'!$AZ$84</f>
        <v>42.857014702091227</v>
      </c>
      <c r="AX158" s="125">
        <f>AX47/293.07*(1/(VLOOKUP($Z158,'Fuel economy adjusted factor'!$A$2:$L$52,5,FALSE)*m2k))/'TCO Inputs'!$AZ$84</f>
        <v>42.857014702091227</v>
      </c>
      <c r="AY158" s="125">
        <f>AY47/293.07*(1/(VLOOKUP($Z158,'Fuel economy adjusted factor'!$A$2:$L$52,5,FALSE)*m2k))/'TCO Inputs'!$AZ$84</f>
        <v>42.857014702091227</v>
      </c>
      <c r="AZ158" s="125">
        <f>AZ47/293.07*(1/(VLOOKUP($Z158,'Fuel economy adjusted factor'!$A$2:$L$52,5,FALSE)*m2k))/'TCO Inputs'!$AZ$84</f>
        <v>42.857014702091227</v>
      </c>
      <c r="BA158" s="125">
        <f>BA47/293.07*(1/(VLOOKUP($Z158,'Fuel economy adjusted factor'!$A$2:$L$52,5,FALSE)*m2k))/'TCO Inputs'!$AZ$84</f>
        <v>42.857014702091227</v>
      </c>
      <c r="BB158" s="125">
        <f>BB47/293.07*(1/(VLOOKUP($Z158,'Fuel economy adjusted factor'!$A$2:$L$52,5,FALSE)*m2k))/'TCO Inputs'!$AZ$84</f>
        <v>42.915158505384049</v>
      </c>
      <c r="BC158" s="98" cm="1">
        <f t="array" ref="BC158">SUMPRODUCT(INDEX(AA158:BB158,,'TCO Inputs'!$AZ$12-2023+_xlfn.SEQUENCE('TCO Inputs'!$AZ$13))*INDEX('VKT US'!C104:AA104,,_xlfn.SEQUENCE('TCO Inputs'!$AZ$13)))*m2k*CONVERT(0.9072,"g","ton")</f>
        <v>17.464438219213033</v>
      </c>
      <c r="BM158" s="123" t="s">
        <v>224</v>
      </c>
      <c r="BN158" s="125">
        <f>BN47/293.07*(1/(VLOOKUP($BM158,'Fuel economy adjusted factor'!$A$2:$L$52,5,FALSE)*m2k))</f>
        <v>61.664214905936184</v>
      </c>
      <c r="BO158" s="125">
        <f>BO47/293.07*(1/(VLOOKUP($BM158,'Fuel economy adjusted factor'!$A$2:$L$52,5,FALSE)*m2k))</f>
        <v>61.664214905936184</v>
      </c>
      <c r="BP158" s="125">
        <f>BP47/293.07*(1/(VLOOKUP($BM158,'Fuel economy adjusted factor'!$A$2:$L$52,5,FALSE)*m2k))</f>
        <v>54.162490223596272</v>
      </c>
      <c r="BQ158" s="125">
        <f>BQ47/293.07*(1/(VLOOKUP($BM158,'Fuel economy adjusted factor'!$A$2:$L$52,5,FALSE)*m2k))</f>
        <v>54.162490223596272</v>
      </c>
      <c r="BR158" s="125">
        <f>BR47/293.07*(1/(VLOOKUP($BM158,'Fuel economy adjusted factor'!$A$2:$L$52,5,FALSE)*m2k))</f>
        <v>54.162490223596272</v>
      </c>
      <c r="BS158" s="125">
        <f>BS47/293.07*(1/(VLOOKUP($BM158,'Fuel economy adjusted factor'!$A$2:$L$52,5,FALSE)*m2k))</f>
        <v>54.162490223596272</v>
      </c>
      <c r="BT158" s="125">
        <f>BT47/293.07*(1/(VLOOKUP($BM158,'Fuel economy adjusted factor'!$A$2:$L$52,5,FALSE)*m2k))</f>
        <v>54.162490223596272</v>
      </c>
      <c r="BU158" s="125">
        <f>BU47/293.07*(1/(VLOOKUP($BM158,'Fuel economy adjusted factor'!$A$2:$L$52,5,FALSE)*m2k))</f>
        <v>61.396669549534472</v>
      </c>
      <c r="BV158" s="125">
        <f>BV47/293.07*(1/(VLOOKUP($BM158,'Fuel economy adjusted factor'!$A$2:$L$52,5,FALSE)*m2k))</f>
        <v>61.396669549534472</v>
      </c>
      <c r="BW158" s="125">
        <f>BW47/293.07*(1/(VLOOKUP($BM158,'Fuel economy adjusted factor'!$A$2:$L$52,5,FALSE)*m2k))</f>
        <v>61.396669549534472</v>
      </c>
      <c r="BX158" s="125">
        <f>BX47/293.07*(1/(VLOOKUP($BM158,'Fuel economy adjusted factor'!$A$2:$L$52,5,FALSE)*m2k))</f>
        <v>61.396669549534472</v>
      </c>
      <c r="BY158" s="125">
        <f>BY47/293.07*(1/(VLOOKUP($BM158,'Fuel economy adjusted factor'!$A$2:$L$52,5,FALSE)*m2k))</f>
        <v>61.396669549534472</v>
      </c>
      <c r="BZ158" s="125">
        <f>BZ47/293.07*(1/(VLOOKUP($BM158,'Fuel economy adjusted factor'!$A$2:$L$52,5,FALSE)*m2k))</f>
        <v>62.873158754401452</v>
      </c>
      <c r="CA158" s="125">
        <f>CA47/293.07*(1/(VLOOKUP($BM158,'Fuel economy adjusted factor'!$A$2:$L$52,5,FALSE)*m2k))</f>
        <v>62.873158754401452</v>
      </c>
      <c r="CB158" s="125">
        <f>CB47/293.07*(1/(VLOOKUP($BM158,'Fuel economy adjusted factor'!$A$2:$L$52,5,FALSE)*m2k))</f>
        <v>62.873158754401452</v>
      </c>
      <c r="CC158" s="125">
        <f>CC47/293.07*(1/(VLOOKUP($BM158,'Fuel economy adjusted factor'!$A$2:$L$52,5,FALSE)*m2k))</f>
        <v>62.873158754401452</v>
      </c>
      <c r="CD158" s="125">
        <f>CD47/293.07*(1/(VLOOKUP($BM158,'Fuel economy adjusted factor'!$A$2:$L$52,5,FALSE)*m2k))</f>
        <v>62.873158754401452</v>
      </c>
      <c r="CE158" s="125">
        <f>CE47/293.07*(1/(VLOOKUP($BM158,'Fuel economy adjusted factor'!$A$2:$L$52,5,FALSE)*m2k))</f>
        <v>64.427107804905162</v>
      </c>
      <c r="CF158" s="125">
        <f>CF47/293.07*(1/(VLOOKUP($BM158,'Fuel economy adjusted factor'!$A$2:$L$52,5,FALSE)*m2k))</f>
        <v>64.427107804905162</v>
      </c>
      <c r="CG158" s="125">
        <f>CG47/293.07*(1/(VLOOKUP($BM158,'Fuel economy adjusted factor'!$A$2:$L$52,5,FALSE)*m2k))</f>
        <v>64.427107804905162</v>
      </c>
      <c r="CH158" s="125">
        <f>CH47/293.07*(1/(VLOOKUP($BM158,'Fuel economy adjusted factor'!$A$2:$L$52,5,FALSE)*m2k))</f>
        <v>64.427107804905162</v>
      </c>
      <c r="CI158" s="125">
        <f>CI47/293.07*(1/(VLOOKUP($BM158,'Fuel economy adjusted factor'!$A$2:$L$52,5,FALSE)*m2k))</f>
        <v>64.427107804905162</v>
      </c>
      <c r="CJ158" s="125">
        <f>CJ47/293.07*(1/(VLOOKUP($BM158,'Fuel economy adjusted factor'!$A$2:$L$52,5,FALSE)*m2k))</f>
        <v>64.795873695789226</v>
      </c>
      <c r="CK158" s="125">
        <f>CK47/293.07*(1/(VLOOKUP($BM158,'Fuel economy adjusted factor'!$A$2:$L$52,5,FALSE)*m2k))</f>
        <v>64.795873695789226</v>
      </c>
      <c r="CL158" s="125">
        <f>CL47/293.07*(1/(VLOOKUP($BM158,'Fuel economy adjusted factor'!$A$2:$L$52,5,FALSE)*m2k))</f>
        <v>64.795873695789226</v>
      </c>
      <c r="CM158" s="125">
        <f>CM47/293.07*(1/(VLOOKUP($BM158,'Fuel economy adjusted factor'!$A$2:$L$52,5,FALSE)*m2k))</f>
        <v>64.795873695789226</v>
      </c>
      <c r="CN158" s="125">
        <f>CN47/293.07*(1/(VLOOKUP($BM158,'Fuel economy adjusted factor'!$A$2:$L$52,5,FALSE)*m2k))</f>
        <v>64.795873695789226</v>
      </c>
      <c r="CO158" s="125">
        <f>CO47/293.07*(1/(VLOOKUP($BM158,'Fuel economy adjusted factor'!$A$2:$L$52,5,FALSE)*m2k))</f>
        <v>65.236396866987064</v>
      </c>
      <c r="CP158" s="98" cm="1">
        <f t="array" ref="CP158">SUMPRODUCT(INDEX(BN158:CO158,,'TCO Inputs'!$AZ$12-2023+_xlfn.SEQUENCE('TCO Inputs'!$AZ$13))*INDEX('VKT US'!C104:AA104,,_xlfn.SEQUENCE('TCO Inputs'!$AZ$13)))*m2k*CONVERT(0.9072,"g","ton")</f>
        <v>19.022503290765489</v>
      </c>
      <c r="CQ158" s="194"/>
      <c r="CR158" s="123" t="s">
        <v>224</v>
      </c>
      <c r="CS158" s="125">
        <f>CS47/293.07*(1/(VLOOKUP($BM158,'Fuel economy adjusted factor'!$A$2:$L$52,5,FALSE)*m2k))/'TCO Inputs'!$AZ$84</f>
        <v>87.834041924243635</v>
      </c>
      <c r="CT158" s="125">
        <f>CT47/293.07*(1/(VLOOKUP($BM158,'Fuel economy adjusted factor'!$A$2:$L$52,5,FALSE)*m2k))/'TCO Inputs'!$AZ$84</f>
        <v>87.834041924243635</v>
      </c>
      <c r="CU158" s="125">
        <f>CU47/293.07*(1/(VLOOKUP($BM158,'Fuel economy adjusted factor'!$A$2:$L$52,5,FALSE)*m2k))/'TCO Inputs'!$AZ$84</f>
        <v>87.834041924243635</v>
      </c>
      <c r="CV158" s="125">
        <f>CV47/293.07*(1/(VLOOKUP($BM158,'Fuel economy adjusted factor'!$A$2:$L$52,5,FALSE)*m2k))/'TCO Inputs'!$AZ$84</f>
        <v>87.834041924243635</v>
      </c>
      <c r="CW158" s="125">
        <f>CW47/293.07*(1/(VLOOKUP($BM158,'Fuel economy adjusted factor'!$A$2:$L$52,5,FALSE)*m2k))/'TCO Inputs'!$AZ$84</f>
        <v>87.834041924243635</v>
      </c>
      <c r="CX158" s="125">
        <f>CX47/293.07*(1/(VLOOKUP($BM158,'Fuel economy adjusted factor'!$A$2:$L$52,5,FALSE)*m2k))/'TCO Inputs'!$AZ$84</f>
        <v>87.834041924243635</v>
      </c>
      <c r="CY158" s="125">
        <f>CY47/293.07*(1/(VLOOKUP($BM158,'Fuel economy adjusted factor'!$A$2:$L$52,5,FALSE)*m2k))/'TCO Inputs'!$AZ$84</f>
        <v>87.834041924243635</v>
      </c>
      <c r="CZ158" s="125">
        <f>CZ47/293.07*(1/(VLOOKUP($BM158,'Fuel economy adjusted factor'!$A$2:$L$52,5,FALSE)*m2k))/'TCO Inputs'!$AZ$84</f>
        <v>87.853609550351791</v>
      </c>
      <c r="DA158" s="125">
        <f>DA47/293.07*(1/(VLOOKUP($BM158,'Fuel economy adjusted factor'!$A$2:$L$52,5,FALSE)*m2k))/'TCO Inputs'!$AZ$84</f>
        <v>87.853609550351791</v>
      </c>
      <c r="DB158" s="125">
        <f>DB47/293.07*(1/(VLOOKUP($BM158,'Fuel economy adjusted factor'!$A$2:$L$52,5,FALSE)*m2k))/'TCO Inputs'!$AZ$84</f>
        <v>87.853609550351791</v>
      </c>
      <c r="DC158" s="125">
        <f>DC47/293.07*(1/(VLOOKUP($BM158,'Fuel economy adjusted factor'!$A$2:$L$52,5,FALSE)*m2k))/'TCO Inputs'!$AZ$84</f>
        <v>87.853609550351791</v>
      </c>
      <c r="DD158" s="125">
        <f>DD47/293.07*(1/(VLOOKUP($BM158,'Fuel economy adjusted factor'!$A$2:$L$52,5,FALSE)*m2k))/'TCO Inputs'!$AZ$84</f>
        <v>87.853609550351791</v>
      </c>
      <c r="DE158" s="125">
        <f>DE47/293.07*(1/(VLOOKUP($BM158,'Fuel economy adjusted factor'!$A$2:$L$52,5,FALSE)*m2k))/'TCO Inputs'!$AZ$84</f>
        <v>87.842428049718549</v>
      </c>
      <c r="DF158" s="125">
        <f>DF47/293.07*(1/(VLOOKUP($BM158,'Fuel economy adjusted factor'!$A$2:$L$52,5,FALSE)*m2k))/'TCO Inputs'!$AZ$84</f>
        <v>87.842428049718549</v>
      </c>
      <c r="DG158" s="125">
        <f>DG47/293.07*(1/(VLOOKUP($BM158,'Fuel economy adjusted factor'!$A$2:$L$52,5,FALSE)*m2k))/'TCO Inputs'!$AZ$84</f>
        <v>87.842428049718549</v>
      </c>
      <c r="DH158" s="125">
        <f>DH47/293.07*(1/(VLOOKUP($BM158,'Fuel economy adjusted factor'!$A$2:$L$52,5,FALSE)*m2k))/'TCO Inputs'!$AZ$84</f>
        <v>87.842428049718549</v>
      </c>
      <c r="DI158" s="125">
        <f>DI47/293.07*(1/(VLOOKUP($BM158,'Fuel economy adjusted factor'!$A$2:$L$52,5,FALSE)*m2k))/'TCO Inputs'!$AZ$84</f>
        <v>87.842428049718549</v>
      </c>
      <c r="DJ158" s="125">
        <f>DJ47/293.07*(1/(VLOOKUP($BM158,'Fuel economy adjusted factor'!$A$2:$L$52,5,FALSE)*m2k))/'TCO Inputs'!$AZ$84</f>
        <v>87.839632674560249</v>
      </c>
      <c r="DK158" s="125">
        <f>DK47/293.07*(1/(VLOOKUP($BM158,'Fuel economy adjusted factor'!$A$2:$L$52,5,FALSE)*m2k))/'TCO Inputs'!$AZ$84</f>
        <v>87.839632674560249</v>
      </c>
      <c r="DL158" s="125">
        <f>DL47/293.07*(1/(VLOOKUP($BM158,'Fuel economy adjusted factor'!$A$2:$L$52,5,FALSE)*m2k))/'TCO Inputs'!$AZ$84</f>
        <v>87.839632674560249</v>
      </c>
      <c r="DM158" s="125">
        <f>DM47/293.07*(1/(VLOOKUP($BM158,'Fuel economy adjusted factor'!$A$2:$L$52,5,FALSE)*m2k))/'TCO Inputs'!$AZ$84</f>
        <v>87.839632674560249</v>
      </c>
      <c r="DN158" s="125">
        <f>DN47/293.07*(1/(VLOOKUP($BM158,'Fuel economy adjusted factor'!$A$2:$L$52,5,FALSE)*m2k))/'TCO Inputs'!$AZ$84</f>
        <v>87.839632674560249</v>
      </c>
      <c r="DO158" s="125">
        <f>DO47/293.07*(1/(VLOOKUP($BM158,'Fuel economy adjusted factor'!$A$2:$L$52,5,FALSE)*m2k))/'TCO Inputs'!$AZ$84</f>
        <v>87.785402396489076</v>
      </c>
      <c r="DP158" s="125">
        <f>DP47/293.07*(1/(VLOOKUP($BM158,'Fuel economy adjusted factor'!$A$2:$L$52,5,FALSE)*m2k))/'TCO Inputs'!$AZ$84</f>
        <v>87.785402396489076</v>
      </c>
      <c r="DQ158" s="125">
        <f>DQ47/293.07*(1/(VLOOKUP($BM158,'Fuel economy adjusted factor'!$A$2:$L$52,5,FALSE)*m2k))/'TCO Inputs'!$AZ$84</f>
        <v>87.785402396489076</v>
      </c>
      <c r="DR158" s="125">
        <f>DR47/293.07*(1/(VLOOKUP($BM158,'Fuel economy adjusted factor'!$A$2:$L$52,5,FALSE)*m2k))/'TCO Inputs'!$AZ$84</f>
        <v>87.785402396489076</v>
      </c>
      <c r="DS158" s="125">
        <f>DS47/293.07*(1/(VLOOKUP($BM158,'Fuel economy adjusted factor'!$A$2:$L$52,5,FALSE)*m2k))/'TCO Inputs'!$AZ$84</f>
        <v>87.785402396489076</v>
      </c>
      <c r="DT158" s="125">
        <f>DT47/293.07*(1/(VLOOKUP($BM158,'Fuel economy adjusted factor'!$A$2:$L$52,5,FALSE)*m2k))/'TCO Inputs'!$AZ$84</f>
        <v>87.830687474053661</v>
      </c>
      <c r="DU158" s="98" cm="1">
        <f t="array" ref="DU158">SUMPRODUCT(INDEX(CS158:DT158,,'TCO Inputs'!$AZ$12-2023+_xlfn.SEQUENCE('TCO Inputs'!$AZ$13))*INDEX('VKT US'!C104:AA104,,_xlfn.SEQUENCE('TCO Inputs'!$AZ$13)))*m2k*CONVERT(0.9072,"g","ton")</f>
        <v>28.387720168408265</v>
      </c>
      <c r="DW158" s="123" t="s">
        <v>224</v>
      </c>
      <c r="DX158" s="125">
        <f>DX47/293.07*(1/(VLOOKUP($BM158,'Fuel economy adjusted factor'!$A$2:$L$52,5,FALSE)*m2k))/'TCO Inputs'!$AZ$84</f>
        <v>91.945477337409798</v>
      </c>
      <c r="DY158" s="125">
        <f>DY47/293.07*(1/(VLOOKUP($BM158,'Fuel economy adjusted factor'!$A$2:$L$52,5,FALSE)*m2k))/'TCO Inputs'!$AZ$84</f>
        <v>91.945477337409798</v>
      </c>
      <c r="DZ158" s="125">
        <f>DZ47/293.07*(1/(VLOOKUP($BM158,'Fuel economy adjusted factor'!$A$2:$L$52,5,FALSE)*m2k))/'TCO Inputs'!$AZ$84</f>
        <v>80.599431832719091</v>
      </c>
      <c r="EA158" s="125">
        <f>EA47/293.07*(1/(VLOOKUP($BM158,'Fuel economy adjusted factor'!$A$2:$L$52,5,FALSE)*m2k))/'TCO Inputs'!$AZ$84</f>
        <v>80.599431832719091</v>
      </c>
      <c r="EB158" s="125">
        <f>EB47/293.07*(1/(VLOOKUP($BM158,'Fuel economy adjusted factor'!$A$2:$L$52,5,FALSE)*m2k))/'TCO Inputs'!$AZ$84</f>
        <v>80.599431832719091</v>
      </c>
      <c r="EC158" s="125">
        <f>EC47/293.07*(1/(VLOOKUP($BM158,'Fuel economy adjusted factor'!$A$2:$L$52,5,FALSE)*m2k))/'TCO Inputs'!$AZ$84</f>
        <v>80.599431832719091</v>
      </c>
      <c r="ED158" s="125">
        <f>ED47/293.07*(1/(VLOOKUP($BM158,'Fuel economy adjusted factor'!$A$2:$L$52,5,FALSE)*m2k))/'TCO Inputs'!$AZ$84</f>
        <v>80.599431832719091</v>
      </c>
      <c r="EE158" s="125">
        <f>EE47/293.07*(1/(VLOOKUP($BM158,'Fuel economy adjusted factor'!$A$2:$L$52,5,FALSE)*m2k))/'TCO Inputs'!$AZ$84</f>
        <v>49.676347306034295</v>
      </c>
      <c r="EF158" s="125">
        <f>EF47/293.07*(1/(VLOOKUP($BM158,'Fuel economy adjusted factor'!$A$2:$L$52,5,FALSE)*m2k))/'TCO Inputs'!$AZ$84</f>
        <v>49.676347306034295</v>
      </c>
      <c r="EG158" s="125">
        <f>EG47/293.07*(1/(VLOOKUP($BM158,'Fuel economy adjusted factor'!$A$2:$L$52,5,FALSE)*m2k))/'TCO Inputs'!$AZ$84</f>
        <v>49.676347306034295</v>
      </c>
      <c r="EH158" s="125">
        <f>EH47/293.07*(1/(VLOOKUP($BM158,'Fuel economy adjusted factor'!$A$2:$L$52,5,FALSE)*m2k))/'TCO Inputs'!$AZ$84</f>
        <v>49.676347306034295</v>
      </c>
      <c r="EI158" s="125">
        <f>EI47/293.07*(1/(VLOOKUP($BM158,'Fuel economy adjusted factor'!$A$2:$L$52,5,FALSE)*m2k))/'TCO Inputs'!$AZ$84</f>
        <v>49.676347306034295</v>
      </c>
      <c r="EJ158" s="125">
        <f>EJ47/293.07*(1/(VLOOKUP($BM158,'Fuel economy adjusted factor'!$A$2:$L$52,5,FALSE)*m2k))/'TCO Inputs'!$AZ$84</f>
        <v>44.366814974642217</v>
      </c>
      <c r="EK158" s="125">
        <f>EK47/293.07*(1/(VLOOKUP($BM158,'Fuel economy adjusted factor'!$A$2:$L$52,5,FALSE)*m2k))/'TCO Inputs'!$AZ$84</f>
        <v>44.366814974642217</v>
      </c>
      <c r="EL158" s="125">
        <f>EL47/293.07*(1/(VLOOKUP($BM158,'Fuel economy adjusted factor'!$A$2:$L$52,5,FALSE)*m2k))/'TCO Inputs'!$AZ$84</f>
        <v>44.366814974642217</v>
      </c>
      <c r="EM158" s="125">
        <f>EM47/293.07*(1/(VLOOKUP($BM158,'Fuel economy adjusted factor'!$A$2:$L$52,5,FALSE)*m2k))/'TCO Inputs'!$AZ$84</f>
        <v>44.366814974642217</v>
      </c>
      <c r="EN158" s="125">
        <f>EN47/293.07*(1/(VLOOKUP($BM158,'Fuel economy adjusted factor'!$A$2:$L$52,5,FALSE)*m2k))/'TCO Inputs'!$AZ$84</f>
        <v>44.366814974642217</v>
      </c>
      <c r="EO158" s="125">
        <f>EO47/293.07*(1/(VLOOKUP($BM158,'Fuel economy adjusted factor'!$A$2:$L$52,5,FALSE)*m2k))/'TCO Inputs'!$AZ$84</f>
        <v>42.970389018540502</v>
      </c>
      <c r="EP158" s="125">
        <f>EP47/293.07*(1/(VLOOKUP($BM158,'Fuel economy adjusted factor'!$A$2:$L$52,5,FALSE)*m2k))/'TCO Inputs'!$AZ$84</f>
        <v>42.970389018540502</v>
      </c>
      <c r="EQ158" s="125">
        <f>EQ47/293.07*(1/(VLOOKUP($BM158,'Fuel economy adjusted factor'!$A$2:$L$52,5,FALSE)*m2k))/'TCO Inputs'!$AZ$84</f>
        <v>42.970389018540502</v>
      </c>
      <c r="ER158" s="125">
        <f>ER47/293.07*(1/(VLOOKUP($BM158,'Fuel economy adjusted factor'!$A$2:$L$52,5,FALSE)*m2k))/'TCO Inputs'!$AZ$84</f>
        <v>42.970389018540502</v>
      </c>
      <c r="ES158" s="125">
        <f>ES47/293.07*(1/(VLOOKUP($BM158,'Fuel economy adjusted factor'!$A$2:$L$52,5,FALSE)*m2k))/'TCO Inputs'!$AZ$84</f>
        <v>42.970389018540502</v>
      </c>
      <c r="ET158" s="125">
        <f>ET47/293.07*(1/(VLOOKUP($BM158,'Fuel economy adjusted factor'!$A$2:$L$52,5,FALSE)*m2k))/'TCO Inputs'!$AZ$84</f>
        <v>41.374957133648735</v>
      </c>
      <c r="EU158" s="125">
        <f>EU47/293.07*(1/(VLOOKUP($BM158,'Fuel economy adjusted factor'!$A$2:$L$52,5,FALSE)*m2k))/'TCO Inputs'!$AZ$84</f>
        <v>41.374957133648735</v>
      </c>
      <c r="EV158" s="125">
        <f>EV47/293.07*(1/(VLOOKUP($BM158,'Fuel economy adjusted factor'!$A$2:$L$52,5,FALSE)*m2k))/'TCO Inputs'!$AZ$84</f>
        <v>41.374957133648735</v>
      </c>
      <c r="EW158" s="125">
        <f>EW47/293.07*(1/(VLOOKUP($BM158,'Fuel economy adjusted factor'!$A$2:$L$52,5,FALSE)*m2k))/'TCO Inputs'!$AZ$84</f>
        <v>41.374957133648735</v>
      </c>
      <c r="EX158" s="125">
        <f>EX47/293.07*(1/(VLOOKUP($BM158,'Fuel economy adjusted factor'!$A$2:$L$52,5,FALSE)*m2k))/'TCO Inputs'!$AZ$84</f>
        <v>41.374957133648735</v>
      </c>
      <c r="EY158" s="125">
        <f>EY47/293.07*(1/(VLOOKUP($BM158,'Fuel economy adjusted factor'!$A$2:$L$52,5,FALSE)*m2k))/'TCO Inputs'!$AZ$84</f>
        <v>38.873168314573626</v>
      </c>
      <c r="EZ158" s="98" cm="1">
        <f t="array" ref="EZ158">SUMPRODUCT(INDEX(DX158:EY158,,'TCO Inputs'!$AZ$12-2023+_xlfn.SEQUENCE('TCO Inputs'!$AZ$13))*INDEX('VKT US'!C104:AA104,,_xlfn.SEQUENCE('TCO Inputs'!$AZ$13)))*m2k*CONVERT(0.9072,"g","ton")</f>
        <v>21.966768364600206</v>
      </c>
      <c r="FB158" s="123" t="s">
        <v>224</v>
      </c>
      <c r="FC158" s="125">
        <f>FC47/293.07*(1/(VLOOKUP($BM158,'Fuel economy adjusted factor'!$A$2:$L$52,5,FALSE)*m2k))/'TCO Inputs'!$AZ$84</f>
        <v>99.728369069478418</v>
      </c>
      <c r="FD158" s="125">
        <f>FD47/293.07*(1/(VLOOKUP($BM158,'Fuel economy adjusted factor'!$A$2:$L$52,5,FALSE)*m2k))/'TCO Inputs'!$AZ$84</f>
        <v>99.728369069478418</v>
      </c>
      <c r="FE158" s="125">
        <f>FE47/293.07*(1/(VLOOKUP($BM158,'Fuel economy adjusted factor'!$A$2:$L$52,5,FALSE)*m2k))/'TCO Inputs'!$AZ$84</f>
        <v>87.092846373137789</v>
      </c>
      <c r="FF158" s="125">
        <f>FF47/293.07*(1/(VLOOKUP($BM158,'Fuel economy adjusted factor'!$A$2:$L$52,5,FALSE)*m2k))/'TCO Inputs'!$AZ$84</f>
        <v>87.092846373137789</v>
      </c>
      <c r="FG158" s="125">
        <f>FG47/293.07*(1/(VLOOKUP($BM158,'Fuel economy adjusted factor'!$A$2:$L$52,5,FALSE)*m2k))/'TCO Inputs'!$AZ$84</f>
        <v>87.092846373137789</v>
      </c>
      <c r="FH158" s="125">
        <f>FH47/293.07*(1/(VLOOKUP($BM158,'Fuel economy adjusted factor'!$A$2:$L$52,5,FALSE)*m2k))/'TCO Inputs'!$AZ$84</f>
        <v>87.092846373137789</v>
      </c>
      <c r="FI158" s="125">
        <f>FI47/293.07*(1/(VLOOKUP($BM158,'Fuel economy adjusted factor'!$A$2:$L$52,5,FALSE)*m2k))/'TCO Inputs'!$AZ$84</f>
        <v>87.092846373137789</v>
      </c>
      <c r="FJ158" s="125">
        <f>FJ47/293.07*(1/(VLOOKUP($BM158,'Fuel economy adjusted factor'!$A$2:$L$52,5,FALSE)*m2k))/'TCO Inputs'!$AZ$84</f>
        <v>54.652849307614417</v>
      </c>
      <c r="FK158" s="125">
        <f>FK47/293.07*(1/(VLOOKUP($BM158,'Fuel economy adjusted factor'!$A$2:$L$52,5,FALSE)*m2k))/'TCO Inputs'!$AZ$84</f>
        <v>54.652849307614417</v>
      </c>
      <c r="FL158" s="125">
        <f>FL47/293.07*(1/(VLOOKUP($BM158,'Fuel economy adjusted factor'!$A$2:$L$52,5,FALSE)*m2k))/'TCO Inputs'!$AZ$84</f>
        <v>54.652849307614417</v>
      </c>
      <c r="FM158" s="125">
        <f>FM47/293.07*(1/(VLOOKUP($BM158,'Fuel economy adjusted factor'!$A$2:$L$52,5,FALSE)*m2k))/'TCO Inputs'!$AZ$84</f>
        <v>54.652849307614417</v>
      </c>
      <c r="FN158" s="125">
        <f>FN47/293.07*(1/(VLOOKUP($BM158,'Fuel economy adjusted factor'!$A$2:$L$52,5,FALSE)*m2k))/'TCO Inputs'!$AZ$84</f>
        <v>54.652849307614417</v>
      </c>
      <c r="FO158" s="125">
        <f>FO47/293.07*(1/(VLOOKUP($BM158,'Fuel economy adjusted factor'!$A$2:$L$52,5,FALSE)*m2k))/'TCO Inputs'!$AZ$84</f>
        <v>48.529017206377283</v>
      </c>
      <c r="FP158" s="125">
        <f>FP47/293.07*(1/(VLOOKUP($BM158,'Fuel economy adjusted factor'!$A$2:$L$52,5,FALSE)*m2k))/'TCO Inputs'!$AZ$84</f>
        <v>48.529017206377283</v>
      </c>
      <c r="FQ158" s="125">
        <f>FQ47/293.07*(1/(VLOOKUP($BM158,'Fuel economy adjusted factor'!$A$2:$L$52,5,FALSE)*m2k))/'TCO Inputs'!$AZ$84</f>
        <v>48.529017206377283</v>
      </c>
      <c r="FR158" s="125">
        <f>FR47/293.07*(1/(VLOOKUP($BM158,'Fuel economy adjusted factor'!$A$2:$L$52,5,FALSE)*m2k))/'TCO Inputs'!$AZ$84</f>
        <v>48.529017206377283</v>
      </c>
      <c r="FS158" s="125">
        <f>FS47/293.07*(1/(VLOOKUP($BM158,'Fuel economy adjusted factor'!$A$2:$L$52,5,FALSE)*m2k))/'TCO Inputs'!$AZ$84</f>
        <v>48.529017206377283</v>
      </c>
      <c r="FT158" s="125">
        <f>FT47/293.07*(1/(VLOOKUP($BM158,'Fuel economy adjusted factor'!$A$2:$L$52,5,FALSE)*m2k))/'TCO Inputs'!$AZ$84</f>
        <v>47.293691287867532</v>
      </c>
      <c r="FU158" s="125">
        <f>FU47/293.07*(1/(VLOOKUP($BM158,'Fuel economy adjusted factor'!$A$2:$L$52,5,FALSE)*m2k))/'TCO Inputs'!$AZ$84</f>
        <v>47.293691287867532</v>
      </c>
      <c r="FV158" s="125">
        <f>FV47/293.07*(1/(VLOOKUP($BM158,'Fuel economy adjusted factor'!$A$2:$L$52,5,FALSE)*m2k))/'TCO Inputs'!$AZ$84</f>
        <v>47.293691287867532</v>
      </c>
      <c r="FW158" s="125">
        <f>FW47/293.07*(1/(VLOOKUP($BM158,'Fuel economy adjusted factor'!$A$2:$L$52,5,FALSE)*m2k))/'TCO Inputs'!$AZ$84</f>
        <v>47.293691287867532</v>
      </c>
      <c r="FX158" s="125">
        <f>FX47/293.07*(1/(VLOOKUP($BM158,'Fuel economy adjusted factor'!$A$2:$L$52,5,FALSE)*m2k))/'TCO Inputs'!$AZ$84</f>
        <v>47.293691287867532</v>
      </c>
      <c r="FY158" s="125">
        <f>FY47/293.07*(1/(VLOOKUP($BM158,'Fuel economy adjusted factor'!$A$2:$L$52,5,FALSE)*m2k))/'TCO Inputs'!$AZ$84</f>
        <v>45.69487494840449</v>
      </c>
      <c r="FZ158" s="125">
        <f>FZ47/293.07*(1/(VLOOKUP($BM158,'Fuel economy adjusted factor'!$A$2:$L$52,5,FALSE)*m2k))/'TCO Inputs'!$AZ$84</f>
        <v>45.69487494840449</v>
      </c>
      <c r="GA158" s="125">
        <f>GA47/293.07*(1/(VLOOKUP($BM158,'Fuel economy adjusted factor'!$A$2:$L$52,5,FALSE)*m2k))/'TCO Inputs'!$AZ$84</f>
        <v>45.69487494840449</v>
      </c>
      <c r="GB158" s="125">
        <f>GB47/293.07*(1/(VLOOKUP($BM158,'Fuel economy adjusted factor'!$A$2:$L$52,5,FALSE)*m2k))/'TCO Inputs'!$AZ$84</f>
        <v>45.69487494840449</v>
      </c>
      <c r="GC158" s="125">
        <f>GC47/293.07*(1/(VLOOKUP($BM158,'Fuel economy adjusted factor'!$A$2:$L$52,5,FALSE)*m2k))/'TCO Inputs'!$AZ$84</f>
        <v>45.69487494840449</v>
      </c>
      <c r="GD158" s="125">
        <f>GD47/293.07*(1/(VLOOKUP($BM158,'Fuel economy adjusted factor'!$A$2:$L$52,5,FALSE)*m2k))/'TCO Inputs'!$AZ$84</f>
        <v>43.106444092305139</v>
      </c>
      <c r="GE158" s="98" cm="1">
        <f t="array" ref="GE158">SUMPRODUCT(INDEX(FC158:GD158,,'TCO Inputs'!$AZ$12-2023+_xlfn.SEQUENCE('TCO Inputs'!$AZ$13))*INDEX('VKT US'!C104:AA104,,_xlfn.SEQUENCE('TCO Inputs'!$AZ$13)))*m2k*CONVERT(0.9072,"g","ton")</f>
        <v>23.883667320243852</v>
      </c>
      <c r="GH158" s="123" t="s">
        <v>224</v>
      </c>
      <c r="GI158" s="125">
        <f>GI47/293.07*(1/(VLOOKUP($BM158,'Fuel economy adjusted factor'!$A$2:$L$52,5,FALSE)*m2k))/'TCO Inputs'!$AZ$84</f>
        <v>86.648129042474281</v>
      </c>
      <c r="GJ158" s="125">
        <f>GJ47/293.07*(1/(VLOOKUP($BM158,'Fuel economy adjusted factor'!$A$2:$L$52,5,FALSE)*m2k))/'TCO Inputs'!$AZ$84</f>
        <v>86.648129042474281</v>
      </c>
      <c r="GK158" s="125">
        <f>GK47/293.07*(1/(VLOOKUP($BM158,'Fuel economy adjusted factor'!$A$2:$L$52,5,FALSE)*m2k))/'TCO Inputs'!$AZ$84</f>
        <v>76.180011053568279</v>
      </c>
      <c r="GL158" s="125">
        <f>GL47/293.07*(1/(VLOOKUP($BM158,'Fuel economy adjusted factor'!$A$2:$L$52,5,FALSE)*m2k))/'TCO Inputs'!$AZ$84</f>
        <v>76.180011053568279</v>
      </c>
      <c r="GM158" s="125">
        <f>GM47/293.07*(1/(VLOOKUP($BM158,'Fuel economy adjusted factor'!$A$2:$L$52,5,FALSE)*m2k))/'TCO Inputs'!$AZ$84</f>
        <v>76.180011053568279</v>
      </c>
      <c r="GN158" s="125">
        <f>GN47/293.07*(1/(VLOOKUP($BM158,'Fuel economy adjusted factor'!$A$2:$L$52,5,FALSE)*m2k))/'TCO Inputs'!$AZ$84</f>
        <v>76.180011053568279</v>
      </c>
      <c r="GO158" s="125">
        <f>GO47/293.07*(1/(VLOOKUP($BM158,'Fuel economy adjusted factor'!$A$2:$L$52,5,FALSE)*m2k))/'TCO Inputs'!$AZ$84</f>
        <v>76.180011053568279</v>
      </c>
      <c r="GP158" s="125">
        <f>GP47/293.07*(1/(VLOOKUP($BM158,'Fuel economy adjusted factor'!$A$2:$L$52,5,FALSE)*m2k))/'TCO Inputs'!$AZ$84</f>
        <v>46.289185171117687</v>
      </c>
      <c r="GQ158" s="125">
        <f>GQ47/293.07*(1/(VLOOKUP($BM158,'Fuel economy adjusted factor'!$A$2:$L$52,5,FALSE)*m2k))/'TCO Inputs'!$AZ$84</f>
        <v>46.289185171117687</v>
      </c>
      <c r="GR158" s="125">
        <f>GR47/293.07*(1/(VLOOKUP($BM158,'Fuel economy adjusted factor'!$A$2:$L$52,5,FALSE)*m2k))/'TCO Inputs'!$AZ$84</f>
        <v>46.289185171117687</v>
      </c>
      <c r="GS158" s="125">
        <f>GS47/293.07*(1/(VLOOKUP($BM158,'Fuel economy adjusted factor'!$A$2:$L$52,5,FALSE)*m2k))/'TCO Inputs'!$AZ$84</f>
        <v>46.289185171117687</v>
      </c>
      <c r="GT158" s="125">
        <f>GT47/293.07*(1/(VLOOKUP($BM158,'Fuel economy adjusted factor'!$A$2:$L$52,5,FALSE)*m2k))/'TCO Inputs'!$AZ$84</f>
        <v>46.289185171117687</v>
      </c>
      <c r="GU158" s="125">
        <f>GU47/293.07*(1/(VLOOKUP($BM158,'Fuel economy adjusted factor'!$A$2:$L$52,5,FALSE)*m2k))/'TCO Inputs'!$AZ$84</f>
        <v>41.53402649849793</v>
      </c>
      <c r="GV158" s="125">
        <f>GV47/293.07*(1/(VLOOKUP($BM158,'Fuel economy adjusted factor'!$A$2:$L$52,5,FALSE)*m2k))/'TCO Inputs'!$AZ$84</f>
        <v>41.53402649849793</v>
      </c>
      <c r="GW158" s="125">
        <f>GW47/293.07*(1/(VLOOKUP($BM158,'Fuel economy adjusted factor'!$A$2:$L$52,5,FALSE)*m2k))/'TCO Inputs'!$AZ$84</f>
        <v>41.53402649849793</v>
      </c>
      <c r="GX158" s="125">
        <f>GX47/293.07*(1/(VLOOKUP($BM158,'Fuel economy adjusted factor'!$A$2:$L$52,5,FALSE)*m2k))/'TCO Inputs'!$AZ$84</f>
        <v>41.53402649849793</v>
      </c>
      <c r="GY158" s="125">
        <f>GY47/293.07*(1/(VLOOKUP($BM158,'Fuel economy adjusted factor'!$A$2:$L$52,5,FALSE)*m2k))/'TCO Inputs'!$AZ$84</f>
        <v>41.53402649849793</v>
      </c>
      <c r="GZ158" s="125">
        <f>GZ47/293.07*(1/(VLOOKUP($BM158,'Fuel economy adjusted factor'!$A$2:$L$52,5,FALSE)*m2k))/'TCO Inputs'!$AZ$84</f>
        <v>40.027944214287395</v>
      </c>
      <c r="HA158" s="125">
        <f>HA47/293.07*(1/(VLOOKUP($BM158,'Fuel economy adjusted factor'!$A$2:$L$52,5,FALSE)*m2k))/'TCO Inputs'!$AZ$84</f>
        <v>40.027944214287395</v>
      </c>
      <c r="HB158" s="125">
        <f>HB47/293.07*(1/(VLOOKUP($BM158,'Fuel economy adjusted factor'!$A$2:$L$52,5,FALSE)*m2k))/'TCO Inputs'!$AZ$84</f>
        <v>40.027944214287395</v>
      </c>
      <c r="HC158" s="125">
        <f>HC47/293.07*(1/(VLOOKUP($BM158,'Fuel economy adjusted factor'!$A$2:$L$52,5,FALSE)*m2k))/'TCO Inputs'!$AZ$84</f>
        <v>40.027944214287395</v>
      </c>
      <c r="HD158" s="125">
        <f>HD47/293.07*(1/(VLOOKUP($BM158,'Fuel economy adjusted factor'!$A$2:$L$52,5,FALSE)*m2k))/'TCO Inputs'!$AZ$84</f>
        <v>40.027944214287395</v>
      </c>
      <c r="HE158" s="125">
        <f>HE47/293.07*(1/(VLOOKUP($BM158,'Fuel economy adjusted factor'!$A$2:$L$52,5,FALSE)*m2k))/'TCO Inputs'!$AZ$84</f>
        <v>38.434543002138369</v>
      </c>
      <c r="HF158" s="125">
        <f>HF47/293.07*(1/(VLOOKUP($BM158,'Fuel economy adjusted factor'!$A$2:$L$52,5,FALSE)*m2k))/'TCO Inputs'!$AZ$84</f>
        <v>38.434543002138369</v>
      </c>
      <c r="HG158" s="125">
        <f>HG47/293.07*(1/(VLOOKUP($BM158,'Fuel economy adjusted factor'!$A$2:$L$52,5,FALSE)*m2k))/'TCO Inputs'!$AZ$84</f>
        <v>38.434543002138369</v>
      </c>
      <c r="HH158" s="125">
        <f>HH47/293.07*(1/(VLOOKUP($BM158,'Fuel economy adjusted factor'!$A$2:$L$52,5,FALSE)*m2k))/'TCO Inputs'!$AZ$84</f>
        <v>38.434543002138369</v>
      </c>
      <c r="HI158" s="125">
        <f>HI47/293.07*(1/(VLOOKUP($BM158,'Fuel economy adjusted factor'!$A$2:$L$52,5,FALSE)*m2k))/'TCO Inputs'!$AZ$84</f>
        <v>38.434543002138369</v>
      </c>
      <c r="HJ158" s="125">
        <f>HJ47/293.07*(1/(VLOOKUP($BM158,'Fuel economy adjusted factor'!$A$2:$L$52,5,FALSE)*m2k))/'TCO Inputs'!$AZ$84</f>
        <v>35.99232058351744</v>
      </c>
      <c r="HK158" s="98" cm="1">
        <f t="array" ref="HK158">SUMPRODUCT(INDEX(GI158:HJ158,,'TCO Inputs'!$AZ$12-2023+_xlfn.SEQUENCE('TCO Inputs'!$AZ$13))*INDEX('VKT US'!C104:AA104,,_xlfn.SEQUENCE('TCO Inputs'!$AZ$13)))*m2k*CONVERT(0.9072,"g","ton")</f>
        <v>20.662093259577414</v>
      </c>
    </row>
    <row r="159" spans="26:219" x14ac:dyDescent="0.25">
      <c r="Z159" s="123" t="s">
        <v>225</v>
      </c>
      <c r="AA159" s="125">
        <f>AA48/293.07*(1/(VLOOKUP($Z159,'Fuel economy adjusted factor'!$A$2:$L$52,5,FALSE)*m2k))/'TCO Inputs'!$AZ$84</f>
        <v>90.544597540982679</v>
      </c>
      <c r="AB159" s="125">
        <f>AB48/293.07*(1/(VLOOKUP($Z159,'Fuel economy adjusted factor'!$A$2:$L$52,5,FALSE)*m2k))/'TCO Inputs'!$AZ$84</f>
        <v>90.544597540982679</v>
      </c>
      <c r="AC159" s="125">
        <f>AC48/293.07*(1/(VLOOKUP($Z159,'Fuel economy adjusted factor'!$A$2:$L$52,5,FALSE)*m2k))/'TCO Inputs'!$AZ$84</f>
        <v>79.633415662387833</v>
      </c>
      <c r="AD159" s="125">
        <f>AD48/293.07*(1/(VLOOKUP($Z159,'Fuel economy adjusted factor'!$A$2:$L$52,5,FALSE)*m2k))/'TCO Inputs'!$AZ$84</f>
        <v>79.633415662387833</v>
      </c>
      <c r="AE159" s="125">
        <f>AE48/293.07*(1/(VLOOKUP($Z159,'Fuel economy adjusted factor'!$A$2:$L$52,5,FALSE)*m2k))/'TCO Inputs'!$AZ$84</f>
        <v>79.633415662387833</v>
      </c>
      <c r="AF159" s="125">
        <f>AF48/293.07*(1/(VLOOKUP($Z159,'Fuel economy adjusted factor'!$A$2:$L$52,5,FALSE)*m2k))/'TCO Inputs'!$AZ$84</f>
        <v>79.633415662387833</v>
      </c>
      <c r="AG159" s="125">
        <f>AG48/293.07*(1/(VLOOKUP($Z159,'Fuel economy adjusted factor'!$A$2:$L$52,5,FALSE)*m2k))/'TCO Inputs'!$AZ$84</f>
        <v>79.633415662387833</v>
      </c>
      <c r="AH159" s="125">
        <f>AH48/293.07*(1/(VLOOKUP($Z159,'Fuel economy adjusted factor'!$A$2:$L$52,5,FALSE)*m2k))/'TCO Inputs'!$AZ$84</f>
        <v>47.846757141091558</v>
      </c>
      <c r="AI159" s="125">
        <f>AI48/293.07*(1/(VLOOKUP($Z159,'Fuel economy adjusted factor'!$A$2:$L$52,5,FALSE)*m2k))/'TCO Inputs'!$AZ$84</f>
        <v>47.846757141091558</v>
      </c>
      <c r="AJ159" s="125">
        <f>AJ48/293.07*(1/(VLOOKUP($Z159,'Fuel economy adjusted factor'!$A$2:$L$52,5,FALSE)*m2k))/'TCO Inputs'!$AZ$84</f>
        <v>47.846757141091558</v>
      </c>
      <c r="AK159" s="125">
        <f>AK48/293.07*(1/(VLOOKUP($Z159,'Fuel economy adjusted factor'!$A$2:$L$52,5,FALSE)*m2k))/'TCO Inputs'!$AZ$84</f>
        <v>47.846757141091558</v>
      </c>
      <c r="AL159" s="125">
        <f>AL48/293.07*(1/(VLOOKUP($Z159,'Fuel economy adjusted factor'!$A$2:$L$52,5,FALSE)*m2k))/'TCO Inputs'!$AZ$84</f>
        <v>47.846757141091558</v>
      </c>
      <c r="AM159" s="125">
        <f>AM48/293.07*(1/(VLOOKUP($Z159,'Fuel economy adjusted factor'!$A$2:$L$52,5,FALSE)*m2k))/'TCO Inputs'!$AZ$84</f>
        <v>50.070581189635512</v>
      </c>
      <c r="AN159" s="125">
        <f>AN48/293.07*(1/(VLOOKUP($Z159,'Fuel economy adjusted factor'!$A$2:$L$52,5,FALSE)*m2k))/'TCO Inputs'!$AZ$84</f>
        <v>50.070581189635512</v>
      </c>
      <c r="AO159" s="125">
        <f>AO48/293.07*(1/(VLOOKUP($Z159,'Fuel economy adjusted factor'!$A$2:$L$52,5,FALSE)*m2k))/'TCO Inputs'!$AZ$84</f>
        <v>50.070581189635512</v>
      </c>
      <c r="AP159" s="125">
        <f>AP48/293.07*(1/(VLOOKUP($Z159,'Fuel economy adjusted factor'!$A$2:$L$52,5,FALSE)*m2k))/'TCO Inputs'!$AZ$84</f>
        <v>50.070581189635512</v>
      </c>
      <c r="AQ159" s="125">
        <f>AQ48/293.07*(1/(VLOOKUP($Z159,'Fuel economy adjusted factor'!$A$2:$L$52,5,FALSE)*m2k))/'TCO Inputs'!$AZ$84</f>
        <v>50.070581189635512</v>
      </c>
      <c r="AR159" s="125">
        <f>AR48/293.07*(1/(VLOOKUP($Z159,'Fuel economy adjusted factor'!$A$2:$L$52,5,FALSE)*m2k))/'TCO Inputs'!$AZ$84</f>
        <v>52.341156481120308</v>
      </c>
      <c r="AS159" s="125">
        <f>AS48/293.07*(1/(VLOOKUP($Z159,'Fuel economy adjusted factor'!$A$2:$L$52,5,FALSE)*m2k))/'TCO Inputs'!$AZ$84</f>
        <v>52.341156481120308</v>
      </c>
      <c r="AT159" s="125">
        <f>AT48/293.07*(1/(VLOOKUP($Z159,'Fuel economy adjusted factor'!$A$2:$L$52,5,FALSE)*m2k))/'TCO Inputs'!$AZ$84</f>
        <v>52.341156481120308</v>
      </c>
      <c r="AU159" s="125">
        <f>AU48/293.07*(1/(VLOOKUP($Z159,'Fuel economy adjusted factor'!$A$2:$L$52,5,FALSE)*m2k))/'TCO Inputs'!$AZ$84</f>
        <v>52.341156481120308</v>
      </c>
      <c r="AV159" s="125">
        <f>AV48/293.07*(1/(VLOOKUP($Z159,'Fuel economy adjusted factor'!$A$2:$L$52,5,FALSE)*m2k))/'TCO Inputs'!$AZ$84</f>
        <v>52.341156481120308</v>
      </c>
      <c r="AW159" s="125">
        <f>AW48/293.07*(1/(VLOOKUP($Z159,'Fuel economy adjusted factor'!$A$2:$L$52,5,FALSE)*m2k))/'TCO Inputs'!$AZ$84</f>
        <v>53.489701942025022</v>
      </c>
      <c r="AX159" s="125">
        <f>AX48/293.07*(1/(VLOOKUP($Z159,'Fuel economy adjusted factor'!$A$2:$L$52,5,FALSE)*m2k))/'TCO Inputs'!$AZ$84</f>
        <v>53.489701942025022</v>
      </c>
      <c r="AY159" s="125">
        <f>AY48/293.07*(1/(VLOOKUP($Z159,'Fuel economy adjusted factor'!$A$2:$L$52,5,FALSE)*m2k))/'TCO Inputs'!$AZ$84</f>
        <v>53.489701942025022</v>
      </c>
      <c r="AZ159" s="125">
        <f>AZ48/293.07*(1/(VLOOKUP($Z159,'Fuel economy adjusted factor'!$A$2:$L$52,5,FALSE)*m2k))/'TCO Inputs'!$AZ$84</f>
        <v>53.489701942025022</v>
      </c>
      <c r="BA159" s="125">
        <f>BA48/293.07*(1/(VLOOKUP($Z159,'Fuel economy adjusted factor'!$A$2:$L$52,5,FALSE)*m2k))/'TCO Inputs'!$AZ$84</f>
        <v>53.489701942025022</v>
      </c>
      <c r="BB159" s="125">
        <f>BB48/293.07*(1/(VLOOKUP($Z159,'Fuel economy adjusted factor'!$A$2:$L$52,5,FALSE)*m2k))/'TCO Inputs'!$AZ$84</f>
        <v>53.56227103554513</v>
      </c>
      <c r="BC159" s="98" cm="1">
        <f t="array" ref="BC159">SUMPRODUCT(INDEX(AA159:BB159,,'TCO Inputs'!$AZ$12-2023+_xlfn.SEQUENCE('TCO Inputs'!$AZ$13))*INDEX('VKT US'!C105:AA105,,_xlfn.SEQUENCE('TCO Inputs'!$AZ$13)))*m2k*CONVERT(0.9072,"g","ton")</f>
        <v>23.059206001738186</v>
      </c>
      <c r="BM159" s="123" t="s">
        <v>225</v>
      </c>
      <c r="BN159" s="125">
        <f>BN48/293.07*(1/(VLOOKUP($BM159,'Fuel economy adjusted factor'!$A$2:$L$52,5,FALSE)*m2k))</f>
        <v>76.96290790983528</v>
      </c>
      <c r="BO159" s="125">
        <f>BO48/293.07*(1/(VLOOKUP($BM159,'Fuel economy adjusted factor'!$A$2:$L$52,5,FALSE)*m2k))</f>
        <v>76.96290790983528</v>
      </c>
      <c r="BP159" s="125">
        <f>BP48/293.07*(1/(VLOOKUP($BM159,'Fuel economy adjusted factor'!$A$2:$L$52,5,FALSE)*m2k))</f>
        <v>67.600029508276563</v>
      </c>
      <c r="BQ159" s="125">
        <f>BQ48/293.07*(1/(VLOOKUP($BM159,'Fuel economy adjusted factor'!$A$2:$L$52,5,FALSE)*m2k))</f>
        <v>67.600029508276563</v>
      </c>
      <c r="BR159" s="125">
        <f>BR48/293.07*(1/(VLOOKUP($BM159,'Fuel economy adjusted factor'!$A$2:$L$52,5,FALSE)*m2k))</f>
        <v>67.600029508276563</v>
      </c>
      <c r="BS159" s="125">
        <f>BS48/293.07*(1/(VLOOKUP($BM159,'Fuel economy adjusted factor'!$A$2:$L$52,5,FALSE)*m2k))</f>
        <v>67.600029508276563</v>
      </c>
      <c r="BT159" s="125">
        <f>BT48/293.07*(1/(VLOOKUP($BM159,'Fuel economy adjusted factor'!$A$2:$L$52,5,FALSE)*m2k))</f>
        <v>67.600029508276563</v>
      </c>
      <c r="BU159" s="125">
        <f>BU48/293.07*(1/(VLOOKUP($BM159,'Fuel economy adjusted factor'!$A$2:$L$52,5,FALSE)*m2k))</f>
        <v>76.62898541268099</v>
      </c>
      <c r="BV159" s="125">
        <f>BV48/293.07*(1/(VLOOKUP($BM159,'Fuel economy adjusted factor'!$A$2:$L$52,5,FALSE)*m2k))</f>
        <v>76.62898541268099</v>
      </c>
      <c r="BW159" s="125">
        <f>BW48/293.07*(1/(VLOOKUP($BM159,'Fuel economy adjusted factor'!$A$2:$L$52,5,FALSE)*m2k))</f>
        <v>76.62898541268099</v>
      </c>
      <c r="BX159" s="125">
        <f>BX48/293.07*(1/(VLOOKUP($BM159,'Fuel economy adjusted factor'!$A$2:$L$52,5,FALSE)*m2k))</f>
        <v>76.62898541268099</v>
      </c>
      <c r="BY159" s="125">
        <f>BY48/293.07*(1/(VLOOKUP($BM159,'Fuel economy adjusted factor'!$A$2:$L$52,5,FALSE)*m2k))</f>
        <v>76.62898541268099</v>
      </c>
      <c r="BZ159" s="125">
        <f>BZ48/293.07*(1/(VLOOKUP($BM159,'Fuel economy adjusted factor'!$A$2:$L$52,5,FALSE)*m2k))</f>
        <v>78.471786831257134</v>
      </c>
      <c r="CA159" s="125">
        <f>CA48/293.07*(1/(VLOOKUP($BM159,'Fuel economy adjusted factor'!$A$2:$L$52,5,FALSE)*m2k))</f>
        <v>78.471786831257134</v>
      </c>
      <c r="CB159" s="125">
        <f>CB48/293.07*(1/(VLOOKUP($BM159,'Fuel economy adjusted factor'!$A$2:$L$52,5,FALSE)*m2k))</f>
        <v>78.471786831257134</v>
      </c>
      <c r="CC159" s="125">
        <f>CC48/293.07*(1/(VLOOKUP($BM159,'Fuel economy adjusted factor'!$A$2:$L$52,5,FALSE)*m2k))</f>
        <v>78.471786831257134</v>
      </c>
      <c r="CD159" s="125">
        <f>CD48/293.07*(1/(VLOOKUP($BM159,'Fuel economy adjusted factor'!$A$2:$L$52,5,FALSE)*m2k))</f>
        <v>78.471786831257134</v>
      </c>
      <c r="CE159" s="125">
        <f>CE48/293.07*(1/(VLOOKUP($BM159,'Fuel economy adjusted factor'!$A$2:$L$52,5,FALSE)*m2k))</f>
        <v>80.41126563355644</v>
      </c>
      <c r="CF159" s="125">
        <f>CF48/293.07*(1/(VLOOKUP($BM159,'Fuel economy adjusted factor'!$A$2:$L$52,5,FALSE)*m2k))</f>
        <v>80.41126563355644</v>
      </c>
      <c r="CG159" s="125">
        <f>CG48/293.07*(1/(VLOOKUP($BM159,'Fuel economy adjusted factor'!$A$2:$L$52,5,FALSE)*m2k))</f>
        <v>80.41126563355644</v>
      </c>
      <c r="CH159" s="125">
        <f>CH48/293.07*(1/(VLOOKUP($BM159,'Fuel economy adjusted factor'!$A$2:$L$52,5,FALSE)*m2k))</f>
        <v>80.41126563355644</v>
      </c>
      <c r="CI159" s="125">
        <f>CI48/293.07*(1/(VLOOKUP($BM159,'Fuel economy adjusted factor'!$A$2:$L$52,5,FALSE)*m2k))</f>
        <v>80.41126563355644</v>
      </c>
      <c r="CJ159" s="125">
        <f>CJ48/293.07*(1/(VLOOKUP($BM159,'Fuel economy adjusted factor'!$A$2:$L$52,5,FALSE)*m2k))</f>
        <v>80.871521153612804</v>
      </c>
      <c r="CK159" s="125">
        <f>CK48/293.07*(1/(VLOOKUP($BM159,'Fuel economy adjusted factor'!$A$2:$L$52,5,FALSE)*m2k))</f>
        <v>80.871521153612804</v>
      </c>
      <c r="CL159" s="125">
        <f>CL48/293.07*(1/(VLOOKUP($BM159,'Fuel economy adjusted factor'!$A$2:$L$52,5,FALSE)*m2k))</f>
        <v>80.871521153612804</v>
      </c>
      <c r="CM159" s="125">
        <f>CM48/293.07*(1/(VLOOKUP($BM159,'Fuel economy adjusted factor'!$A$2:$L$52,5,FALSE)*m2k))</f>
        <v>80.871521153612804</v>
      </c>
      <c r="CN159" s="125">
        <f>CN48/293.07*(1/(VLOOKUP($BM159,'Fuel economy adjusted factor'!$A$2:$L$52,5,FALSE)*m2k))</f>
        <v>80.871521153612804</v>
      </c>
      <c r="CO159" s="125">
        <f>CO48/293.07*(1/(VLOOKUP($BM159,'Fuel economy adjusted factor'!$A$2:$L$52,5,FALSE)*m2k))</f>
        <v>81.421336703989397</v>
      </c>
      <c r="CP159" s="98" cm="1">
        <f t="array" ref="CP159">SUMPRODUCT(INDEX(BN159:CO159,,'TCO Inputs'!$AZ$12-2023+_xlfn.SEQUENCE('TCO Inputs'!$AZ$13))*INDEX('VKT US'!C105:AA105,,_xlfn.SEQUENCE('TCO Inputs'!$AZ$13)))*m2k*CONVERT(0.9072,"g","ton")</f>
        <v>25.116400341348619</v>
      </c>
      <c r="CQ159" s="194"/>
      <c r="CR159" s="123" t="s">
        <v>225</v>
      </c>
      <c r="CS159" s="125">
        <f>CS48/293.07*(1/(VLOOKUP($BM159,'Fuel economy adjusted factor'!$A$2:$L$52,5,FALSE)*m2k))/'TCO Inputs'!$AZ$84</f>
        <v>109.62538467855231</v>
      </c>
      <c r="CT159" s="125">
        <f>CT48/293.07*(1/(VLOOKUP($BM159,'Fuel economy adjusted factor'!$A$2:$L$52,5,FALSE)*m2k))/'TCO Inputs'!$AZ$84</f>
        <v>109.62538467855231</v>
      </c>
      <c r="CU159" s="125">
        <f>CU48/293.07*(1/(VLOOKUP($BM159,'Fuel economy adjusted factor'!$A$2:$L$52,5,FALSE)*m2k))/'TCO Inputs'!$AZ$84</f>
        <v>109.62538467855231</v>
      </c>
      <c r="CV159" s="125">
        <f>CV48/293.07*(1/(VLOOKUP($BM159,'Fuel economy adjusted factor'!$A$2:$L$52,5,FALSE)*m2k))/'TCO Inputs'!$AZ$84</f>
        <v>109.62538467855231</v>
      </c>
      <c r="CW159" s="125">
        <f>CW48/293.07*(1/(VLOOKUP($BM159,'Fuel economy adjusted factor'!$A$2:$L$52,5,FALSE)*m2k))/'TCO Inputs'!$AZ$84</f>
        <v>109.62538467855231</v>
      </c>
      <c r="CX159" s="125">
        <f>CX48/293.07*(1/(VLOOKUP($BM159,'Fuel economy adjusted factor'!$A$2:$L$52,5,FALSE)*m2k))/'TCO Inputs'!$AZ$84</f>
        <v>109.62538467855231</v>
      </c>
      <c r="CY159" s="125">
        <f>CY48/293.07*(1/(VLOOKUP($BM159,'Fuel economy adjusted factor'!$A$2:$L$52,5,FALSE)*m2k))/'TCO Inputs'!$AZ$84</f>
        <v>109.62538467855231</v>
      </c>
      <c r="CZ159" s="125">
        <f>CZ48/293.07*(1/(VLOOKUP($BM159,'Fuel economy adjusted factor'!$A$2:$L$52,5,FALSE)*m2k))/'TCO Inputs'!$AZ$84</f>
        <v>109.64980696964079</v>
      </c>
      <c r="DA159" s="125">
        <f>DA48/293.07*(1/(VLOOKUP($BM159,'Fuel economy adjusted factor'!$A$2:$L$52,5,FALSE)*m2k))/'TCO Inputs'!$AZ$84</f>
        <v>109.64980696964079</v>
      </c>
      <c r="DB159" s="125">
        <f>DB48/293.07*(1/(VLOOKUP($BM159,'Fuel economy adjusted factor'!$A$2:$L$52,5,FALSE)*m2k))/'TCO Inputs'!$AZ$84</f>
        <v>109.64980696964079</v>
      </c>
      <c r="DC159" s="125">
        <f>DC48/293.07*(1/(VLOOKUP($BM159,'Fuel economy adjusted factor'!$A$2:$L$52,5,FALSE)*m2k))/'TCO Inputs'!$AZ$84</f>
        <v>109.64980696964079</v>
      </c>
      <c r="DD159" s="125">
        <f>DD48/293.07*(1/(VLOOKUP($BM159,'Fuel economy adjusted factor'!$A$2:$L$52,5,FALSE)*m2k))/'TCO Inputs'!$AZ$84</f>
        <v>109.64980696964079</v>
      </c>
      <c r="DE159" s="125">
        <f>DE48/293.07*(1/(VLOOKUP($BM159,'Fuel economy adjusted factor'!$A$2:$L$52,5,FALSE)*m2k))/'TCO Inputs'!$AZ$84</f>
        <v>109.63585137473309</v>
      </c>
      <c r="DF159" s="125">
        <f>DF48/293.07*(1/(VLOOKUP($BM159,'Fuel economy adjusted factor'!$A$2:$L$52,5,FALSE)*m2k))/'TCO Inputs'!$AZ$84</f>
        <v>109.63585137473309</v>
      </c>
      <c r="DG159" s="125">
        <f>DG48/293.07*(1/(VLOOKUP($BM159,'Fuel economy adjusted factor'!$A$2:$L$52,5,FALSE)*m2k))/'TCO Inputs'!$AZ$84</f>
        <v>109.63585137473309</v>
      </c>
      <c r="DH159" s="125">
        <f>DH48/293.07*(1/(VLOOKUP($BM159,'Fuel economy adjusted factor'!$A$2:$L$52,5,FALSE)*m2k))/'TCO Inputs'!$AZ$84</f>
        <v>109.63585137473309</v>
      </c>
      <c r="DI159" s="125">
        <f>DI48/293.07*(1/(VLOOKUP($BM159,'Fuel economy adjusted factor'!$A$2:$L$52,5,FALSE)*m2k))/'TCO Inputs'!$AZ$84</f>
        <v>109.63585137473309</v>
      </c>
      <c r="DJ159" s="125">
        <f>DJ48/293.07*(1/(VLOOKUP($BM159,'Fuel economy adjusted factor'!$A$2:$L$52,5,FALSE)*m2k))/'TCO Inputs'!$AZ$84</f>
        <v>109.63236247600615</v>
      </c>
      <c r="DK159" s="125">
        <f>DK48/293.07*(1/(VLOOKUP($BM159,'Fuel economy adjusted factor'!$A$2:$L$52,5,FALSE)*m2k))/'TCO Inputs'!$AZ$84</f>
        <v>109.63236247600615</v>
      </c>
      <c r="DL159" s="125">
        <f>DL48/293.07*(1/(VLOOKUP($BM159,'Fuel economy adjusted factor'!$A$2:$L$52,5,FALSE)*m2k))/'TCO Inputs'!$AZ$84</f>
        <v>109.63236247600615</v>
      </c>
      <c r="DM159" s="125">
        <f>DM48/293.07*(1/(VLOOKUP($BM159,'Fuel economy adjusted factor'!$A$2:$L$52,5,FALSE)*m2k))/'TCO Inputs'!$AZ$84</f>
        <v>109.63236247600615</v>
      </c>
      <c r="DN159" s="125">
        <f>DN48/293.07*(1/(VLOOKUP($BM159,'Fuel economy adjusted factor'!$A$2:$L$52,5,FALSE)*m2k))/'TCO Inputs'!$AZ$84</f>
        <v>109.63236247600615</v>
      </c>
      <c r="DO159" s="125">
        <f>DO48/293.07*(1/(VLOOKUP($BM159,'Fuel economy adjusted factor'!$A$2:$L$52,5,FALSE)*m2k))/'TCO Inputs'!$AZ$84</f>
        <v>109.56467784070375</v>
      </c>
      <c r="DP159" s="125">
        <f>DP48/293.07*(1/(VLOOKUP($BM159,'Fuel economy adjusted factor'!$A$2:$L$52,5,FALSE)*m2k))/'TCO Inputs'!$AZ$84</f>
        <v>109.56467784070375</v>
      </c>
      <c r="DQ159" s="125">
        <f>DQ48/293.07*(1/(VLOOKUP($BM159,'Fuel economy adjusted factor'!$A$2:$L$52,5,FALSE)*m2k))/'TCO Inputs'!$AZ$84</f>
        <v>109.56467784070375</v>
      </c>
      <c r="DR159" s="125">
        <f>DR48/293.07*(1/(VLOOKUP($BM159,'Fuel economy adjusted factor'!$A$2:$L$52,5,FALSE)*m2k))/'TCO Inputs'!$AZ$84</f>
        <v>109.56467784070375</v>
      </c>
      <c r="DS159" s="125">
        <f>DS48/293.07*(1/(VLOOKUP($BM159,'Fuel economy adjusted factor'!$A$2:$L$52,5,FALSE)*m2k))/'TCO Inputs'!$AZ$84</f>
        <v>109.56467784070375</v>
      </c>
      <c r="DT159" s="125">
        <f>DT48/293.07*(1/(VLOOKUP($BM159,'Fuel economy adjusted factor'!$A$2:$L$52,5,FALSE)*m2k))/'TCO Inputs'!$AZ$84</f>
        <v>109.62119800007999</v>
      </c>
      <c r="DU159" s="98" cm="1">
        <f t="array" ref="DU159">SUMPRODUCT(INDEX(CS159:DT159,,'TCO Inputs'!$AZ$12-2023+_xlfn.SEQUENCE('TCO Inputs'!$AZ$13))*INDEX('VKT US'!C105:AA105,,_xlfn.SEQUENCE('TCO Inputs'!$AZ$13)))*m2k*CONVERT(0.9072,"g","ton")</f>
        <v>37.48178321378154</v>
      </c>
      <c r="DW159" s="123" t="s">
        <v>225</v>
      </c>
      <c r="DX159" s="125">
        <f>DX48/293.07*(1/(VLOOKUP($BM159,'Fuel economy adjusted factor'!$A$2:$L$52,5,FALSE)*m2k))/'TCO Inputs'!$AZ$84</f>
        <v>114.75685396853564</v>
      </c>
      <c r="DY159" s="125">
        <f>DY48/293.07*(1/(VLOOKUP($BM159,'Fuel economy adjusted factor'!$A$2:$L$52,5,FALSE)*m2k))/'TCO Inputs'!$AZ$84</f>
        <v>114.75685396853564</v>
      </c>
      <c r="DZ159" s="125">
        <f>DZ48/293.07*(1/(VLOOKUP($BM159,'Fuel economy adjusted factor'!$A$2:$L$52,5,FALSE)*m2k))/'TCO Inputs'!$AZ$84</f>
        <v>100.59589113700771</v>
      </c>
      <c r="EA159" s="125">
        <f>EA48/293.07*(1/(VLOOKUP($BM159,'Fuel economy adjusted factor'!$A$2:$L$52,5,FALSE)*m2k))/'TCO Inputs'!$AZ$84</f>
        <v>100.59589113700771</v>
      </c>
      <c r="EB159" s="125">
        <f>EB48/293.07*(1/(VLOOKUP($BM159,'Fuel economy adjusted factor'!$A$2:$L$52,5,FALSE)*m2k))/'TCO Inputs'!$AZ$84</f>
        <v>100.59589113700771</v>
      </c>
      <c r="EC159" s="125">
        <f>EC48/293.07*(1/(VLOOKUP($BM159,'Fuel economy adjusted factor'!$A$2:$L$52,5,FALSE)*m2k))/'TCO Inputs'!$AZ$84</f>
        <v>100.59589113700771</v>
      </c>
      <c r="ED159" s="125">
        <f>ED48/293.07*(1/(VLOOKUP($BM159,'Fuel economy adjusted factor'!$A$2:$L$52,5,FALSE)*m2k))/'TCO Inputs'!$AZ$84</f>
        <v>100.59589113700771</v>
      </c>
      <c r="EE159" s="125">
        <f>EE48/293.07*(1/(VLOOKUP($BM159,'Fuel economy adjusted factor'!$A$2:$L$52,5,FALSE)*m2k))/'TCO Inputs'!$AZ$84</f>
        <v>62.000888989559847</v>
      </c>
      <c r="EF159" s="125">
        <f>EF48/293.07*(1/(VLOOKUP($BM159,'Fuel economy adjusted factor'!$A$2:$L$52,5,FALSE)*m2k))/'TCO Inputs'!$AZ$84</f>
        <v>62.000888989559847</v>
      </c>
      <c r="EG159" s="125">
        <f>EG48/293.07*(1/(VLOOKUP($BM159,'Fuel economy adjusted factor'!$A$2:$L$52,5,FALSE)*m2k))/'TCO Inputs'!$AZ$84</f>
        <v>62.000888989559847</v>
      </c>
      <c r="EH159" s="125">
        <f>EH48/293.07*(1/(VLOOKUP($BM159,'Fuel economy adjusted factor'!$A$2:$L$52,5,FALSE)*m2k))/'TCO Inputs'!$AZ$84</f>
        <v>62.000888989559847</v>
      </c>
      <c r="EI159" s="125">
        <f>EI48/293.07*(1/(VLOOKUP($BM159,'Fuel economy adjusted factor'!$A$2:$L$52,5,FALSE)*m2k))/'TCO Inputs'!$AZ$84</f>
        <v>62.000888989559847</v>
      </c>
      <c r="EJ159" s="125">
        <f>EJ48/293.07*(1/(VLOOKUP($BM159,'Fuel economy adjusted factor'!$A$2:$L$52,5,FALSE)*m2k))/'TCO Inputs'!$AZ$84</f>
        <v>55.374078796831952</v>
      </c>
      <c r="EK159" s="125">
        <f>EK48/293.07*(1/(VLOOKUP($BM159,'Fuel economy adjusted factor'!$A$2:$L$52,5,FALSE)*m2k))/'TCO Inputs'!$AZ$84</f>
        <v>55.374078796831952</v>
      </c>
      <c r="EL159" s="125">
        <f>EL48/293.07*(1/(VLOOKUP($BM159,'Fuel economy adjusted factor'!$A$2:$L$52,5,FALSE)*m2k))/'TCO Inputs'!$AZ$84</f>
        <v>55.374078796831952</v>
      </c>
      <c r="EM159" s="125">
        <f>EM48/293.07*(1/(VLOOKUP($BM159,'Fuel economy adjusted factor'!$A$2:$L$52,5,FALSE)*m2k))/'TCO Inputs'!$AZ$84</f>
        <v>55.374078796831952</v>
      </c>
      <c r="EN159" s="125">
        <f>EN48/293.07*(1/(VLOOKUP($BM159,'Fuel economy adjusted factor'!$A$2:$L$52,5,FALSE)*m2k))/'TCO Inputs'!$AZ$84</f>
        <v>55.374078796831952</v>
      </c>
      <c r="EO159" s="125">
        <f>EO48/293.07*(1/(VLOOKUP($BM159,'Fuel economy adjusted factor'!$A$2:$L$52,5,FALSE)*m2k))/'TCO Inputs'!$AZ$84</f>
        <v>53.631204061034182</v>
      </c>
      <c r="EP159" s="125">
        <f>EP48/293.07*(1/(VLOOKUP($BM159,'Fuel economy adjusted factor'!$A$2:$L$52,5,FALSE)*m2k))/'TCO Inputs'!$AZ$84</f>
        <v>53.631204061034182</v>
      </c>
      <c r="EQ159" s="125">
        <f>EQ48/293.07*(1/(VLOOKUP($BM159,'Fuel economy adjusted factor'!$A$2:$L$52,5,FALSE)*m2k))/'TCO Inputs'!$AZ$84</f>
        <v>53.631204061034182</v>
      </c>
      <c r="ER159" s="125">
        <f>ER48/293.07*(1/(VLOOKUP($BM159,'Fuel economy adjusted factor'!$A$2:$L$52,5,FALSE)*m2k))/'TCO Inputs'!$AZ$84</f>
        <v>53.631204061034182</v>
      </c>
      <c r="ES159" s="125">
        <f>ES48/293.07*(1/(VLOOKUP($BM159,'Fuel economy adjusted factor'!$A$2:$L$52,5,FALSE)*m2k))/'TCO Inputs'!$AZ$84</f>
        <v>53.631204061034182</v>
      </c>
      <c r="ET159" s="125">
        <f>ET48/293.07*(1/(VLOOKUP($BM159,'Fuel economy adjusted factor'!$A$2:$L$52,5,FALSE)*m2k))/'TCO Inputs'!$AZ$84</f>
        <v>51.639950666814457</v>
      </c>
      <c r="EU159" s="125">
        <f>EU48/293.07*(1/(VLOOKUP($BM159,'Fuel economy adjusted factor'!$A$2:$L$52,5,FALSE)*m2k))/'TCO Inputs'!$AZ$84</f>
        <v>51.639950666814457</v>
      </c>
      <c r="EV159" s="125">
        <f>EV48/293.07*(1/(VLOOKUP($BM159,'Fuel economy adjusted factor'!$A$2:$L$52,5,FALSE)*m2k))/'TCO Inputs'!$AZ$84</f>
        <v>51.639950666814457</v>
      </c>
      <c r="EW159" s="125">
        <f>EW48/293.07*(1/(VLOOKUP($BM159,'Fuel economy adjusted factor'!$A$2:$L$52,5,FALSE)*m2k))/'TCO Inputs'!$AZ$84</f>
        <v>51.639950666814457</v>
      </c>
      <c r="EX159" s="125">
        <f>EX48/293.07*(1/(VLOOKUP($BM159,'Fuel economy adjusted factor'!$A$2:$L$52,5,FALSE)*m2k))/'TCO Inputs'!$AZ$84</f>
        <v>51.639950666814457</v>
      </c>
      <c r="EY159" s="125">
        <f>EY48/293.07*(1/(VLOOKUP($BM159,'Fuel economy adjusted factor'!$A$2:$L$52,5,FALSE)*m2k))/'TCO Inputs'!$AZ$84</f>
        <v>48.517476103795282</v>
      </c>
      <c r="EZ159" s="98" cm="1">
        <f t="array" ref="EZ159">SUMPRODUCT(INDEX(DX159:EY159,,'TCO Inputs'!$AZ$12-2023+_xlfn.SEQUENCE('TCO Inputs'!$AZ$13))*INDEX('VKT US'!C105:AA105,,_xlfn.SEQUENCE('TCO Inputs'!$AZ$13)))*m2k*CONVERT(0.9072,"g","ton")</f>
        <v>29.003866631938347</v>
      </c>
      <c r="FB159" s="123" t="s">
        <v>225</v>
      </c>
      <c r="FC159" s="125">
        <f>FC48/293.07*(1/(VLOOKUP($BM159,'Fuel economy adjusted factor'!$A$2:$L$52,5,FALSE)*m2k))/'TCO Inputs'!$AZ$84</f>
        <v>124.47065605879384</v>
      </c>
      <c r="FD159" s="125">
        <f>FD48/293.07*(1/(VLOOKUP($BM159,'Fuel economy adjusted factor'!$A$2:$L$52,5,FALSE)*m2k))/'TCO Inputs'!$AZ$84</f>
        <v>124.47065605879384</v>
      </c>
      <c r="FE159" s="125">
        <f>FE48/293.07*(1/(VLOOKUP($BM159,'Fuel economy adjusted factor'!$A$2:$L$52,5,FALSE)*m2k))/'TCO Inputs'!$AZ$84</f>
        <v>108.70030089973575</v>
      </c>
      <c r="FF159" s="125">
        <f>FF48/293.07*(1/(VLOOKUP($BM159,'Fuel economy adjusted factor'!$A$2:$L$52,5,FALSE)*m2k))/'TCO Inputs'!$AZ$84</f>
        <v>108.70030089973575</v>
      </c>
      <c r="FG159" s="125">
        <f>FG48/293.07*(1/(VLOOKUP($BM159,'Fuel economy adjusted factor'!$A$2:$L$52,5,FALSE)*m2k))/'TCO Inputs'!$AZ$84</f>
        <v>108.70030089973575</v>
      </c>
      <c r="FH159" s="125">
        <f>FH48/293.07*(1/(VLOOKUP($BM159,'Fuel economy adjusted factor'!$A$2:$L$52,5,FALSE)*m2k))/'TCO Inputs'!$AZ$84</f>
        <v>108.70030089973575</v>
      </c>
      <c r="FI159" s="125">
        <f>FI48/293.07*(1/(VLOOKUP($BM159,'Fuel economy adjusted factor'!$A$2:$L$52,5,FALSE)*m2k))/'TCO Inputs'!$AZ$84</f>
        <v>108.70030089973575</v>
      </c>
      <c r="FJ159" s="125">
        <f>FJ48/293.07*(1/(VLOOKUP($BM159,'Fuel economy adjusted factor'!$A$2:$L$52,5,FALSE)*m2k))/'TCO Inputs'!$AZ$84</f>
        <v>68.212045100846879</v>
      </c>
      <c r="FK159" s="125">
        <f>FK48/293.07*(1/(VLOOKUP($BM159,'Fuel economy adjusted factor'!$A$2:$L$52,5,FALSE)*m2k))/'TCO Inputs'!$AZ$84</f>
        <v>68.212045100846879</v>
      </c>
      <c r="FL159" s="125">
        <f>FL48/293.07*(1/(VLOOKUP($BM159,'Fuel economy adjusted factor'!$A$2:$L$52,5,FALSE)*m2k))/'TCO Inputs'!$AZ$84</f>
        <v>68.212045100846879</v>
      </c>
      <c r="FM159" s="125">
        <f>FM48/293.07*(1/(VLOOKUP($BM159,'Fuel economy adjusted factor'!$A$2:$L$52,5,FALSE)*m2k))/'TCO Inputs'!$AZ$84</f>
        <v>68.212045100846879</v>
      </c>
      <c r="FN159" s="125">
        <f>FN48/293.07*(1/(VLOOKUP($BM159,'Fuel economy adjusted factor'!$A$2:$L$52,5,FALSE)*m2k))/'TCO Inputs'!$AZ$84</f>
        <v>68.212045100846879</v>
      </c>
      <c r="FO159" s="125">
        <f>FO48/293.07*(1/(VLOOKUP($BM159,'Fuel economy adjusted factor'!$A$2:$L$52,5,FALSE)*m2k))/'TCO Inputs'!$AZ$84</f>
        <v>60.568909989473951</v>
      </c>
      <c r="FP159" s="125">
        <f>FP48/293.07*(1/(VLOOKUP($BM159,'Fuel economy adjusted factor'!$A$2:$L$52,5,FALSE)*m2k))/'TCO Inputs'!$AZ$84</f>
        <v>60.568909989473951</v>
      </c>
      <c r="FQ159" s="125">
        <f>FQ48/293.07*(1/(VLOOKUP($BM159,'Fuel economy adjusted factor'!$A$2:$L$52,5,FALSE)*m2k))/'TCO Inputs'!$AZ$84</f>
        <v>60.568909989473951</v>
      </c>
      <c r="FR159" s="125">
        <f>FR48/293.07*(1/(VLOOKUP($BM159,'Fuel economy adjusted factor'!$A$2:$L$52,5,FALSE)*m2k))/'TCO Inputs'!$AZ$84</f>
        <v>60.568909989473951</v>
      </c>
      <c r="FS159" s="125">
        <f>FS48/293.07*(1/(VLOOKUP($BM159,'Fuel economy adjusted factor'!$A$2:$L$52,5,FALSE)*m2k))/'TCO Inputs'!$AZ$84</f>
        <v>60.568909989473951</v>
      </c>
      <c r="FT159" s="125">
        <f>FT48/293.07*(1/(VLOOKUP($BM159,'Fuel economy adjusted factor'!$A$2:$L$52,5,FALSE)*m2k))/'TCO Inputs'!$AZ$84</f>
        <v>59.027103691446364</v>
      </c>
      <c r="FU159" s="125">
        <f>FU48/293.07*(1/(VLOOKUP($BM159,'Fuel economy adjusted factor'!$A$2:$L$52,5,FALSE)*m2k))/'TCO Inputs'!$AZ$84</f>
        <v>59.027103691446364</v>
      </c>
      <c r="FV159" s="125">
        <f>FV48/293.07*(1/(VLOOKUP($BM159,'Fuel economy adjusted factor'!$A$2:$L$52,5,FALSE)*m2k))/'TCO Inputs'!$AZ$84</f>
        <v>59.027103691446364</v>
      </c>
      <c r="FW159" s="125">
        <f>FW48/293.07*(1/(VLOOKUP($BM159,'Fuel economy adjusted factor'!$A$2:$L$52,5,FALSE)*m2k))/'TCO Inputs'!$AZ$84</f>
        <v>59.027103691446364</v>
      </c>
      <c r="FX159" s="125">
        <f>FX48/293.07*(1/(VLOOKUP($BM159,'Fuel economy adjusted factor'!$A$2:$L$52,5,FALSE)*m2k))/'TCO Inputs'!$AZ$84</f>
        <v>59.027103691446364</v>
      </c>
      <c r="FY159" s="125">
        <f>FY48/293.07*(1/(VLOOKUP($BM159,'Fuel economy adjusted factor'!$A$2:$L$52,5,FALSE)*m2k))/'TCO Inputs'!$AZ$84</f>
        <v>57.031626170382694</v>
      </c>
      <c r="FZ159" s="125">
        <f>FZ48/293.07*(1/(VLOOKUP($BM159,'Fuel economy adjusted factor'!$A$2:$L$52,5,FALSE)*m2k))/'TCO Inputs'!$AZ$84</f>
        <v>57.031626170382694</v>
      </c>
      <c r="GA159" s="125">
        <f>GA48/293.07*(1/(VLOOKUP($BM159,'Fuel economy adjusted factor'!$A$2:$L$52,5,FALSE)*m2k))/'TCO Inputs'!$AZ$84</f>
        <v>57.031626170382694</v>
      </c>
      <c r="GB159" s="125">
        <f>GB48/293.07*(1/(VLOOKUP($BM159,'Fuel economy adjusted factor'!$A$2:$L$52,5,FALSE)*m2k))/'TCO Inputs'!$AZ$84</f>
        <v>57.031626170382694</v>
      </c>
      <c r="GC159" s="125">
        <f>GC48/293.07*(1/(VLOOKUP($BM159,'Fuel economy adjusted factor'!$A$2:$L$52,5,FALSE)*m2k))/'TCO Inputs'!$AZ$84</f>
        <v>57.031626170382694</v>
      </c>
      <c r="GD159" s="125">
        <f>GD48/293.07*(1/(VLOOKUP($BM159,'Fuel economy adjusted factor'!$A$2:$L$52,5,FALSE)*m2k))/'TCO Inputs'!$AZ$84</f>
        <v>53.801013960159416</v>
      </c>
      <c r="GE159" s="98" cm="1">
        <f t="array" ref="GE159">SUMPRODUCT(INDEX(FC159:GD159,,'TCO Inputs'!$AZ$12-2023+_xlfn.SEQUENCE('TCO Inputs'!$AZ$13))*INDEX('VKT US'!C105:AA105,,_xlfn.SEQUENCE('TCO Inputs'!$AZ$13)))*m2k*CONVERT(0.9072,"g","ton")</f>
        <v>31.534848009517141</v>
      </c>
      <c r="GH159" s="123" t="s">
        <v>225</v>
      </c>
      <c r="GI159" s="125">
        <f>GI48/293.07*(1/(VLOOKUP($BM159,'Fuel economy adjusted factor'!$A$2:$L$52,5,FALSE)*m2k))/'TCO Inputs'!$AZ$84</f>
        <v>108.14525063244581</v>
      </c>
      <c r="GJ159" s="125">
        <f>GJ48/293.07*(1/(VLOOKUP($BM159,'Fuel economy adjusted factor'!$A$2:$L$52,5,FALSE)*m2k))/'TCO Inputs'!$AZ$84</f>
        <v>108.14525063244581</v>
      </c>
      <c r="GK159" s="125">
        <f>GK48/293.07*(1/(VLOOKUP($BM159,'Fuel economy adjusted factor'!$A$2:$L$52,5,FALSE)*m2k))/'TCO Inputs'!$AZ$84</f>
        <v>95.080026304228483</v>
      </c>
      <c r="GL159" s="125">
        <f>GL48/293.07*(1/(VLOOKUP($BM159,'Fuel economy adjusted factor'!$A$2:$L$52,5,FALSE)*m2k))/'TCO Inputs'!$AZ$84</f>
        <v>95.080026304228483</v>
      </c>
      <c r="GM159" s="125">
        <f>GM48/293.07*(1/(VLOOKUP($BM159,'Fuel economy adjusted factor'!$A$2:$L$52,5,FALSE)*m2k))/'TCO Inputs'!$AZ$84</f>
        <v>95.080026304228483</v>
      </c>
      <c r="GN159" s="125">
        <f>GN48/293.07*(1/(VLOOKUP($BM159,'Fuel economy adjusted factor'!$A$2:$L$52,5,FALSE)*m2k))/'TCO Inputs'!$AZ$84</f>
        <v>95.080026304228483</v>
      </c>
      <c r="GO159" s="125">
        <f>GO48/293.07*(1/(VLOOKUP($BM159,'Fuel economy adjusted factor'!$A$2:$L$52,5,FALSE)*m2k))/'TCO Inputs'!$AZ$84</f>
        <v>95.080026304228483</v>
      </c>
      <c r="GP159" s="125">
        <f>GP48/293.07*(1/(VLOOKUP($BM159,'Fuel economy adjusted factor'!$A$2:$L$52,5,FALSE)*m2k))/'TCO Inputs'!$AZ$84</f>
        <v>57.773382844173518</v>
      </c>
      <c r="GQ159" s="125">
        <f>GQ48/293.07*(1/(VLOOKUP($BM159,'Fuel economy adjusted factor'!$A$2:$L$52,5,FALSE)*m2k))/'TCO Inputs'!$AZ$84</f>
        <v>57.773382844173518</v>
      </c>
      <c r="GR159" s="125">
        <f>GR48/293.07*(1/(VLOOKUP($BM159,'Fuel economy adjusted factor'!$A$2:$L$52,5,FALSE)*m2k))/'TCO Inputs'!$AZ$84</f>
        <v>57.773382844173518</v>
      </c>
      <c r="GS159" s="125">
        <f>GS48/293.07*(1/(VLOOKUP($BM159,'Fuel economy adjusted factor'!$A$2:$L$52,5,FALSE)*m2k))/'TCO Inputs'!$AZ$84</f>
        <v>57.773382844173518</v>
      </c>
      <c r="GT159" s="125">
        <f>GT48/293.07*(1/(VLOOKUP($BM159,'Fuel economy adjusted factor'!$A$2:$L$52,5,FALSE)*m2k))/'TCO Inputs'!$AZ$84</f>
        <v>57.773382844173518</v>
      </c>
      <c r="GU159" s="125">
        <f>GU48/293.07*(1/(VLOOKUP($BM159,'Fuel economy adjusted factor'!$A$2:$L$52,5,FALSE)*m2k))/'TCO Inputs'!$AZ$84</f>
        <v>51.838484628478284</v>
      </c>
      <c r="GV159" s="125">
        <f>GV48/293.07*(1/(VLOOKUP($BM159,'Fuel economy adjusted factor'!$A$2:$L$52,5,FALSE)*m2k))/'TCO Inputs'!$AZ$84</f>
        <v>51.838484628478284</v>
      </c>
      <c r="GW159" s="125">
        <f>GW48/293.07*(1/(VLOOKUP($BM159,'Fuel economy adjusted factor'!$A$2:$L$52,5,FALSE)*m2k))/'TCO Inputs'!$AZ$84</f>
        <v>51.838484628478284</v>
      </c>
      <c r="GX159" s="125">
        <f>GX48/293.07*(1/(VLOOKUP($BM159,'Fuel economy adjusted factor'!$A$2:$L$52,5,FALSE)*m2k))/'TCO Inputs'!$AZ$84</f>
        <v>51.838484628478284</v>
      </c>
      <c r="GY159" s="125">
        <f>GY48/293.07*(1/(VLOOKUP($BM159,'Fuel economy adjusted factor'!$A$2:$L$52,5,FALSE)*m2k))/'TCO Inputs'!$AZ$84</f>
        <v>51.838484628478284</v>
      </c>
      <c r="GZ159" s="125">
        <f>GZ48/293.07*(1/(VLOOKUP($BM159,'Fuel economy adjusted factor'!$A$2:$L$52,5,FALSE)*m2k))/'TCO Inputs'!$AZ$84</f>
        <v>49.958748182937796</v>
      </c>
      <c r="HA159" s="125">
        <f>HA48/293.07*(1/(VLOOKUP($BM159,'Fuel economy adjusted factor'!$A$2:$L$52,5,FALSE)*m2k))/'TCO Inputs'!$AZ$84</f>
        <v>49.958748182937796</v>
      </c>
      <c r="HB159" s="125">
        <f>HB48/293.07*(1/(VLOOKUP($BM159,'Fuel economy adjusted factor'!$A$2:$L$52,5,FALSE)*m2k))/'TCO Inputs'!$AZ$84</f>
        <v>49.958748182937796</v>
      </c>
      <c r="HC159" s="125">
        <f>HC48/293.07*(1/(VLOOKUP($BM159,'Fuel economy adjusted factor'!$A$2:$L$52,5,FALSE)*m2k))/'TCO Inputs'!$AZ$84</f>
        <v>49.958748182937796</v>
      </c>
      <c r="HD159" s="125">
        <f>HD48/293.07*(1/(VLOOKUP($BM159,'Fuel economy adjusted factor'!$A$2:$L$52,5,FALSE)*m2k))/'TCO Inputs'!$AZ$84</f>
        <v>49.958748182937796</v>
      </c>
      <c r="HE159" s="125">
        <f>HE48/293.07*(1/(VLOOKUP($BM159,'Fuel economy adjusted factor'!$A$2:$L$52,5,FALSE)*m2k))/'TCO Inputs'!$AZ$84</f>
        <v>47.970029264824397</v>
      </c>
      <c r="HF159" s="125">
        <f>HF48/293.07*(1/(VLOOKUP($BM159,'Fuel economy adjusted factor'!$A$2:$L$52,5,FALSE)*m2k))/'TCO Inputs'!$AZ$84</f>
        <v>47.970029264824397</v>
      </c>
      <c r="HG159" s="125">
        <f>HG48/293.07*(1/(VLOOKUP($BM159,'Fuel economy adjusted factor'!$A$2:$L$52,5,FALSE)*m2k))/'TCO Inputs'!$AZ$84</f>
        <v>47.970029264824397</v>
      </c>
      <c r="HH159" s="125">
        <f>HH48/293.07*(1/(VLOOKUP($BM159,'Fuel economy adjusted factor'!$A$2:$L$52,5,FALSE)*m2k))/'TCO Inputs'!$AZ$84</f>
        <v>47.970029264824397</v>
      </c>
      <c r="HI159" s="125">
        <f>HI48/293.07*(1/(VLOOKUP($BM159,'Fuel economy adjusted factor'!$A$2:$L$52,5,FALSE)*m2k))/'TCO Inputs'!$AZ$84</f>
        <v>47.970029264824397</v>
      </c>
      <c r="HJ159" s="125">
        <f>HJ48/293.07*(1/(VLOOKUP($BM159,'Fuel economy adjusted factor'!$A$2:$L$52,5,FALSE)*m2k))/'TCO Inputs'!$AZ$84</f>
        <v>44.921899334258079</v>
      </c>
      <c r="HK159" s="98" cm="1">
        <f t="array" ref="HK159">SUMPRODUCT(INDEX(GI159:HJ159,,'TCO Inputs'!$AZ$12-2023+_xlfn.SEQUENCE('TCO Inputs'!$AZ$13))*INDEX('VKT US'!C105:AA105,,_xlfn.SEQUENCE('TCO Inputs'!$AZ$13)))*m2k*CONVERT(0.9072,"g","ton")</f>
        <v>27.281236242432708</v>
      </c>
    </row>
    <row r="160" spans="26:219" x14ac:dyDescent="0.25">
      <c r="Z160" s="123" t="s">
        <v>226</v>
      </c>
      <c r="AA160" s="125">
        <f>AA49/293.07*(1/(VLOOKUP($Z160,'Fuel economy adjusted factor'!$A$2:$L$52,5,FALSE)*m2k))/'TCO Inputs'!$AZ$84</f>
        <v>175.99545705609239</v>
      </c>
      <c r="AB160" s="125">
        <f>AB49/293.07*(1/(VLOOKUP($Z160,'Fuel economy adjusted factor'!$A$2:$L$52,5,FALSE)*m2k))/'TCO Inputs'!$AZ$84</f>
        <v>175.99545705609239</v>
      </c>
      <c r="AC160" s="125">
        <f>AC49/293.07*(1/(VLOOKUP($Z160,'Fuel economy adjusted factor'!$A$2:$L$52,5,FALSE)*m2k))/'TCO Inputs'!$AZ$84</f>
        <v>154.78692011520786</v>
      </c>
      <c r="AD160" s="125">
        <f>AD49/293.07*(1/(VLOOKUP($Z160,'Fuel economy adjusted factor'!$A$2:$L$52,5,FALSE)*m2k))/'TCO Inputs'!$AZ$84</f>
        <v>154.78692011520786</v>
      </c>
      <c r="AE160" s="125">
        <f>AE49/293.07*(1/(VLOOKUP($Z160,'Fuel economy adjusted factor'!$A$2:$L$52,5,FALSE)*m2k))/'TCO Inputs'!$AZ$84</f>
        <v>154.78692011520786</v>
      </c>
      <c r="AF160" s="125">
        <f>AF49/293.07*(1/(VLOOKUP($Z160,'Fuel economy adjusted factor'!$A$2:$L$52,5,FALSE)*m2k))/'TCO Inputs'!$AZ$84</f>
        <v>154.78692011520786</v>
      </c>
      <c r="AG160" s="125">
        <f>AG49/293.07*(1/(VLOOKUP($Z160,'Fuel economy adjusted factor'!$A$2:$L$52,5,FALSE)*m2k))/'TCO Inputs'!$AZ$84</f>
        <v>154.78692011520786</v>
      </c>
      <c r="AH160" s="125">
        <f>AH49/293.07*(1/(VLOOKUP($Z160,'Fuel economy adjusted factor'!$A$2:$L$52,5,FALSE)*m2k))/'TCO Inputs'!$AZ$84</f>
        <v>93.001814800566081</v>
      </c>
      <c r="AI160" s="125">
        <f>AI49/293.07*(1/(VLOOKUP($Z160,'Fuel economy adjusted factor'!$A$2:$L$52,5,FALSE)*m2k))/'TCO Inputs'!$AZ$84</f>
        <v>93.001814800566081</v>
      </c>
      <c r="AJ160" s="125">
        <f>AJ49/293.07*(1/(VLOOKUP($Z160,'Fuel economy adjusted factor'!$A$2:$L$52,5,FALSE)*m2k))/'TCO Inputs'!$AZ$84</f>
        <v>93.001814800566081</v>
      </c>
      <c r="AK160" s="125">
        <f>AK49/293.07*(1/(VLOOKUP($Z160,'Fuel economy adjusted factor'!$A$2:$L$52,5,FALSE)*m2k))/'TCO Inputs'!$AZ$84</f>
        <v>93.001814800566081</v>
      </c>
      <c r="AL160" s="125">
        <f>AL49/293.07*(1/(VLOOKUP($Z160,'Fuel economy adjusted factor'!$A$2:$L$52,5,FALSE)*m2k))/'TCO Inputs'!$AZ$84</f>
        <v>93.001814800566081</v>
      </c>
      <c r="AM160" s="125">
        <f>AM49/293.07*(1/(VLOOKUP($Z160,'Fuel economy adjusted factor'!$A$2:$L$52,5,FALSE)*m2k))/'TCO Inputs'!$AZ$84</f>
        <v>97.324357950185515</v>
      </c>
      <c r="AN160" s="125">
        <f>AN49/293.07*(1/(VLOOKUP($Z160,'Fuel economy adjusted factor'!$A$2:$L$52,5,FALSE)*m2k))/'TCO Inputs'!$AZ$84</f>
        <v>97.324357950185515</v>
      </c>
      <c r="AO160" s="125">
        <f>AO49/293.07*(1/(VLOOKUP($Z160,'Fuel economy adjusted factor'!$A$2:$L$52,5,FALSE)*m2k))/'TCO Inputs'!$AZ$84</f>
        <v>97.324357950185515</v>
      </c>
      <c r="AP160" s="125">
        <f>AP49/293.07*(1/(VLOOKUP($Z160,'Fuel economy adjusted factor'!$A$2:$L$52,5,FALSE)*m2k))/'TCO Inputs'!$AZ$84</f>
        <v>97.324357950185515</v>
      </c>
      <c r="AQ160" s="125">
        <f>AQ49/293.07*(1/(VLOOKUP($Z160,'Fuel economy adjusted factor'!$A$2:$L$52,5,FALSE)*m2k))/'TCO Inputs'!$AZ$84</f>
        <v>97.324357950185515</v>
      </c>
      <c r="AR160" s="125">
        <f>AR49/293.07*(1/(VLOOKUP($Z160,'Fuel economy adjusted factor'!$A$2:$L$52,5,FALSE)*m2k))/'TCO Inputs'!$AZ$84</f>
        <v>101.73777351619167</v>
      </c>
      <c r="AS160" s="125">
        <f>AS49/293.07*(1/(VLOOKUP($Z160,'Fuel economy adjusted factor'!$A$2:$L$52,5,FALSE)*m2k))/'TCO Inputs'!$AZ$84</f>
        <v>101.73777351619167</v>
      </c>
      <c r="AT160" s="125">
        <f>AT49/293.07*(1/(VLOOKUP($Z160,'Fuel economy adjusted factor'!$A$2:$L$52,5,FALSE)*m2k))/'TCO Inputs'!$AZ$84</f>
        <v>101.73777351619167</v>
      </c>
      <c r="AU160" s="125">
        <f>AU49/293.07*(1/(VLOOKUP($Z160,'Fuel economy adjusted factor'!$A$2:$L$52,5,FALSE)*m2k))/'TCO Inputs'!$AZ$84</f>
        <v>101.73777351619167</v>
      </c>
      <c r="AV160" s="125">
        <f>AV49/293.07*(1/(VLOOKUP($Z160,'Fuel economy adjusted factor'!$A$2:$L$52,5,FALSE)*m2k))/'TCO Inputs'!$AZ$84</f>
        <v>101.73777351619167</v>
      </c>
      <c r="AW160" s="125">
        <f>AW49/293.07*(1/(VLOOKUP($Z160,'Fuel economy adjusted factor'!$A$2:$L$52,5,FALSE)*m2k))/'TCO Inputs'!$AZ$84</f>
        <v>103.97025108891636</v>
      </c>
      <c r="AX160" s="125">
        <f>AX49/293.07*(1/(VLOOKUP($Z160,'Fuel economy adjusted factor'!$A$2:$L$52,5,FALSE)*m2k))/'TCO Inputs'!$AZ$84</f>
        <v>103.97025108891636</v>
      </c>
      <c r="AY160" s="125">
        <f>AY49/293.07*(1/(VLOOKUP($Z160,'Fuel economy adjusted factor'!$A$2:$L$52,5,FALSE)*m2k))/'TCO Inputs'!$AZ$84</f>
        <v>103.97025108891636</v>
      </c>
      <c r="AZ160" s="125">
        <f>AZ49/293.07*(1/(VLOOKUP($Z160,'Fuel economy adjusted factor'!$A$2:$L$52,5,FALSE)*m2k))/'TCO Inputs'!$AZ$84</f>
        <v>103.97025108891636</v>
      </c>
      <c r="BA160" s="125">
        <f>BA49/293.07*(1/(VLOOKUP($Z160,'Fuel economy adjusted factor'!$A$2:$L$52,5,FALSE)*m2k))/'TCO Inputs'!$AZ$84</f>
        <v>103.97025108891636</v>
      </c>
      <c r="BB160" s="125">
        <f>BB49/293.07*(1/(VLOOKUP($Z160,'Fuel economy adjusted factor'!$A$2:$L$52,5,FALSE)*m2k))/'TCO Inputs'!$AZ$84</f>
        <v>104.11130678002412</v>
      </c>
      <c r="BC160" s="98" cm="1">
        <f t="array" ref="BC160">SUMPRODUCT(INDEX(AA160:BB160,,'TCO Inputs'!$AZ$12-2023+_xlfn.SEQUENCE('TCO Inputs'!$AZ$13))*INDEX('VKT US'!C106:AA106,,_xlfn.SEQUENCE('TCO Inputs'!$AZ$13)))*m2k*CONVERT(0.9072,"g","ton")</f>
        <v>43.003054278217832</v>
      </c>
      <c r="BM160" s="123" t="s">
        <v>226</v>
      </c>
      <c r="BN160" s="125">
        <f>BN49/293.07*(1/(VLOOKUP($BM160,'Fuel economy adjusted factor'!$A$2:$L$52,5,FALSE)*m2k))</f>
        <v>149.59613849767854</v>
      </c>
      <c r="BO160" s="125">
        <f>BO49/293.07*(1/(VLOOKUP($BM160,'Fuel economy adjusted factor'!$A$2:$L$52,5,FALSE)*m2k))</f>
        <v>149.59613849767854</v>
      </c>
      <c r="BP160" s="125">
        <f>BP49/293.07*(1/(VLOOKUP($BM160,'Fuel economy adjusted factor'!$A$2:$L$52,5,FALSE)*m2k))</f>
        <v>131.39710610486131</v>
      </c>
      <c r="BQ160" s="125">
        <f>BQ49/293.07*(1/(VLOOKUP($BM160,'Fuel economy adjusted factor'!$A$2:$L$52,5,FALSE)*m2k))</f>
        <v>131.39710610486131</v>
      </c>
      <c r="BR160" s="125">
        <f>BR49/293.07*(1/(VLOOKUP($BM160,'Fuel economy adjusted factor'!$A$2:$L$52,5,FALSE)*m2k))</f>
        <v>131.39710610486131</v>
      </c>
      <c r="BS160" s="125">
        <f>BS49/293.07*(1/(VLOOKUP($BM160,'Fuel economy adjusted factor'!$A$2:$L$52,5,FALSE)*m2k))</f>
        <v>131.39710610486131</v>
      </c>
      <c r="BT160" s="125">
        <f>BT49/293.07*(1/(VLOOKUP($BM160,'Fuel economy adjusted factor'!$A$2:$L$52,5,FALSE)*m2k))</f>
        <v>131.39710610486131</v>
      </c>
      <c r="BU160" s="125">
        <f>BU49/293.07*(1/(VLOOKUP($BM160,'Fuel economy adjusted factor'!$A$2:$L$52,5,FALSE)*m2k))</f>
        <v>148.94707887287453</v>
      </c>
      <c r="BV160" s="125">
        <f>BV49/293.07*(1/(VLOOKUP($BM160,'Fuel economy adjusted factor'!$A$2:$L$52,5,FALSE)*m2k))</f>
        <v>148.94707887287453</v>
      </c>
      <c r="BW160" s="125">
        <f>BW49/293.07*(1/(VLOOKUP($BM160,'Fuel economy adjusted factor'!$A$2:$L$52,5,FALSE)*m2k))</f>
        <v>148.94707887287453</v>
      </c>
      <c r="BX160" s="125">
        <f>BX49/293.07*(1/(VLOOKUP($BM160,'Fuel economy adjusted factor'!$A$2:$L$52,5,FALSE)*m2k))</f>
        <v>148.94707887287453</v>
      </c>
      <c r="BY160" s="125">
        <f>BY49/293.07*(1/(VLOOKUP($BM160,'Fuel economy adjusted factor'!$A$2:$L$52,5,FALSE)*m2k))</f>
        <v>148.94707887287453</v>
      </c>
      <c r="BZ160" s="125">
        <f>BZ49/293.07*(1/(VLOOKUP($BM160,'Fuel economy adjusted factor'!$A$2:$L$52,5,FALSE)*m2k))</f>
        <v>152.52901182894212</v>
      </c>
      <c r="CA160" s="125">
        <f>CA49/293.07*(1/(VLOOKUP($BM160,'Fuel economy adjusted factor'!$A$2:$L$52,5,FALSE)*m2k))</f>
        <v>152.52901182894212</v>
      </c>
      <c r="CB160" s="125">
        <f>CB49/293.07*(1/(VLOOKUP($BM160,'Fuel economy adjusted factor'!$A$2:$L$52,5,FALSE)*m2k))</f>
        <v>152.52901182894212</v>
      </c>
      <c r="CC160" s="125">
        <f>CC49/293.07*(1/(VLOOKUP($BM160,'Fuel economy adjusted factor'!$A$2:$L$52,5,FALSE)*m2k))</f>
        <v>152.52901182894212</v>
      </c>
      <c r="CD160" s="125">
        <f>CD49/293.07*(1/(VLOOKUP($BM160,'Fuel economy adjusted factor'!$A$2:$L$52,5,FALSE)*m2k))</f>
        <v>152.52901182894212</v>
      </c>
      <c r="CE160" s="125">
        <f>CE49/293.07*(1/(VLOOKUP($BM160,'Fuel economy adjusted factor'!$A$2:$L$52,5,FALSE)*m2k))</f>
        <v>156.29886080426917</v>
      </c>
      <c r="CF160" s="125">
        <f>CF49/293.07*(1/(VLOOKUP($BM160,'Fuel economy adjusted factor'!$A$2:$L$52,5,FALSE)*m2k))</f>
        <v>156.29886080426917</v>
      </c>
      <c r="CG160" s="125">
        <f>CG49/293.07*(1/(VLOOKUP($BM160,'Fuel economy adjusted factor'!$A$2:$L$52,5,FALSE)*m2k))</f>
        <v>156.29886080426917</v>
      </c>
      <c r="CH160" s="125">
        <f>CH49/293.07*(1/(VLOOKUP($BM160,'Fuel economy adjusted factor'!$A$2:$L$52,5,FALSE)*m2k))</f>
        <v>156.29886080426917</v>
      </c>
      <c r="CI160" s="125">
        <f>CI49/293.07*(1/(VLOOKUP($BM160,'Fuel economy adjusted factor'!$A$2:$L$52,5,FALSE)*m2k))</f>
        <v>156.29886080426917</v>
      </c>
      <c r="CJ160" s="125">
        <f>CJ49/293.07*(1/(VLOOKUP($BM160,'Fuel economy adjusted factor'!$A$2:$L$52,5,FALSE)*m2k))</f>
        <v>157.19347939902565</v>
      </c>
      <c r="CK160" s="125">
        <f>CK49/293.07*(1/(VLOOKUP($BM160,'Fuel economy adjusted factor'!$A$2:$L$52,5,FALSE)*m2k))</f>
        <v>157.19347939902565</v>
      </c>
      <c r="CL160" s="125">
        <f>CL49/293.07*(1/(VLOOKUP($BM160,'Fuel economy adjusted factor'!$A$2:$L$52,5,FALSE)*m2k))</f>
        <v>157.19347939902565</v>
      </c>
      <c r="CM160" s="125">
        <f>CM49/293.07*(1/(VLOOKUP($BM160,'Fuel economy adjusted factor'!$A$2:$L$52,5,FALSE)*m2k))</f>
        <v>157.19347939902565</v>
      </c>
      <c r="CN160" s="125">
        <f>CN49/293.07*(1/(VLOOKUP($BM160,'Fuel economy adjusted factor'!$A$2:$L$52,5,FALSE)*m2k))</f>
        <v>157.19347939902565</v>
      </c>
      <c r="CO160" s="125">
        <f>CO49/293.07*(1/(VLOOKUP($BM160,'Fuel economy adjusted factor'!$A$2:$L$52,5,FALSE)*m2k))</f>
        <v>158.26217970487522</v>
      </c>
      <c r="CP160" s="98" cm="1">
        <f t="array" ref="CP160">SUMPRODUCT(INDEX(BN160:CO160,,'TCO Inputs'!$AZ$12-2023+_xlfn.SEQUENCE('TCO Inputs'!$AZ$13))*INDEX('VKT US'!C106:AA106,,_xlfn.SEQUENCE('TCO Inputs'!$AZ$13)))*m2k*CONVERT(0.9072,"g","ton")</f>
        <v>46.839510739053523</v>
      </c>
      <c r="CQ160" s="194"/>
      <c r="CR160" s="123" t="s">
        <v>226</v>
      </c>
      <c r="CS160" s="125">
        <f>CS49/293.07*(1/(VLOOKUP($BM160,'Fuel economy adjusted factor'!$A$2:$L$52,5,FALSE)*m2k))/'TCO Inputs'!$AZ$84</f>
        <v>213.08360968437705</v>
      </c>
      <c r="CT160" s="125">
        <f>CT49/293.07*(1/(VLOOKUP($BM160,'Fuel economy adjusted factor'!$A$2:$L$52,5,FALSE)*m2k))/'TCO Inputs'!$AZ$84</f>
        <v>213.08360968437705</v>
      </c>
      <c r="CU160" s="125">
        <f>CU49/293.07*(1/(VLOOKUP($BM160,'Fuel economy adjusted factor'!$A$2:$L$52,5,FALSE)*m2k))/'TCO Inputs'!$AZ$84</f>
        <v>213.08360968437705</v>
      </c>
      <c r="CV160" s="125">
        <f>CV49/293.07*(1/(VLOOKUP($BM160,'Fuel economy adjusted factor'!$A$2:$L$52,5,FALSE)*m2k))/'TCO Inputs'!$AZ$84</f>
        <v>213.08360968437705</v>
      </c>
      <c r="CW160" s="125">
        <f>CW49/293.07*(1/(VLOOKUP($BM160,'Fuel economy adjusted factor'!$A$2:$L$52,5,FALSE)*m2k))/'TCO Inputs'!$AZ$84</f>
        <v>213.08360968437705</v>
      </c>
      <c r="CX160" s="125">
        <f>CX49/293.07*(1/(VLOOKUP($BM160,'Fuel economy adjusted factor'!$A$2:$L$52,5,FALSE)*m2k))/'TCO Inputs'!$AZ$84</f>
        <v>213.08360968437705</v>
      </c>
      <c r="CY160" s="125">
        <f>CY49/293.07*(1/(VLOOKUP($BM160,'Fuel economy adjusted factor'!$A$2:$L$52,5,FALSE)*m2k))/'TCO Inputs'!$AZ$84</f>
        <v>213.08360968437705</v>
      </c>
      <c r="CZ160" s="125">
        <f>CZ49/293.07*(1/(VLOOKUP($BM160,'Fuel economy adjusted factor'!$A$2:$L$52,5,FALSE)*m2k))/'TCO Inputs'!$AZ$84</f>
        <v>213.1310803496537</v>
      </c>
      <c r="DA160" s="125">
        <f>DA49/293.07*(1/(VLOOKUP($BM160,'Fuel economy adjusted factor'!$A$2:$L$52,5,FALSE)*m2k))/'TCO Inputs'!$AZ$84</f>
        <v>213.1310803496537</v>
      </c>
      <c r="DB160" s="125">
        <f>DB49/293.07*(1/(VLOOKUP($BM160,'Fuel economy adjusted factor'!$A$2:$L$52,5,FALSE)*m2k))/'TCO Inputs'!$AZ$84</f>
        <v>213.1310803496537</v>
      </c>
      <c r="DC160" s="125">
        <f>DC49/293.07*(1/(VLOOKUP($BM160,'Fuel economy adjusted factor'!$A$2:$L$52,5,FALSE)*m2k))/'TCO Inputs'!$AZ$84</f>
        <v>213.1310803496537</v>
      </c>
      <c r="DD160" s="125">
        <f>DD49/293.07*(1/(VLOOKUP($BM160,'Fuel economy adjusted factor'!$A$2:$L$52,5,FALSE)*m2k))/'TCO Inputs'!$AZ$84</f>
        <v>213.1310803496537</v>
      </c>
      <c r="DE160" s="125">
        <f>DE49/293.07*(1/(VLOOKUP($BM160,'Fuel economy adjusted factor'!$A$2:$L$52,5,FALSE)*m2k))/'TCO Inputs'!$AZ$84</f>
        <v>213.10395425520991</v>
      </c>
      <c r="DF160" s="125">
        <f>DF49/293.07*(1/(VLOOKUP($BM160,'Fuel economy adjusted factor'!$A$2:$L$52,5,FALSE)*m2k))/'TCO Inputs'!$AZ$84</f>
        <v>213.10395425520991</v>
      </c>
      <c r="DG160" s="125">
        <f>DG49/293.07*(1/(VLOOKUP($BM160,'Fuel economy adjusted factor'!$A$2:$L$52,5,FALSE)*m2k))/'TCO Inputs'!$AZ$84</f>
        <v>213.10395425520991</v>
      </c>
      <c r="DH160" s="125">
        <f>DH49/293.07*(1/(VLOOKUP($BM160,'Fuel economy adjusted factor'!$A$2:$L$52,5,FALSE)*m2k))/'TCO Inputs'!$AZ$84</f>
        <v>213.10395425520991</v>
      </c>
      <c r="DI160" s="125">
        <f>DI49/293.07*(1/(VLOOKUP($BM160,'Fuel economy adjusted factor'!$A$2:$L$52,5,FALSE)*m2k))/'TCO Inputs'!$AZ$84</f>
        <v>213.10395425520991</v>
      </c>
      <c r="DJ160" s="125">
        <f>DJ49/293.07*(1/(VLOOKUP($BM160,'Fuel economy adjusted factor'!$A$2:$L$52,5,FALSE)*m2k))/'TCO Inputs'!$AZ$84</f>
        <v>213.09717273159893</v>
      </c>
      <c r="DK160" s="125">
        <f>DK49/293.07*(1/(VLOOKUP($BM160,'Fuel economy adjusted factor'!$A$2:$L$52,5,FALSE)*m2k))/'TCO Inputs'!$AZ$84</f>
        <v>213.09717273159893</v>
      </c>
      <c r="DL160" s="125">
        <f>DL49/293.07*(1/(VLOOKUP($BM160,'Fuel economy adjusted factor'!$A$2:$L$52,5,FALSE)*m2k))/'TCO Inputs'!$AZ$84</f>
        <v>213.09717273159893</v>
      </c>
      <c r="DM160" s="125">
        <f>DM49/293.07*(1/(VLOOKUP($BM160,'Fuel economy adjusted factor'!$A$2:$L$52,5,FALSE)*m2k))/'TCO Inputs'!$AZ$84</f>
        <v>213.09717273159893</v>
      </c>
      <c r="DN160" s="125">
        <f>DN49/293.07*(1/(VLOOKUP($BM160,'Fuel economy adjusted factor'!$A$2:$L$52,5,FALSE)*m2k))/'TCO Inputs'!$AZ$84</f>
        <v>213.09717273159893</v>
      </c>
      <c r="DO160" s="125">
        <f>DO49/293.07*(1/(VLOOKUP($BM160,'Fuel economy adjusted factor'!$A$2:$L$52,5,FALSE)*m2k))/'TCO Inputs'!$AZ$84</f>
        <v>212.96561117354653</v>
      </c>
      <c r="DP160" s="125">
        <f>DP49/293.07*(1/(VLOOKUP($BM160,'Fuel economy adjusted factor'!$A$2:$L$52,5,FALSE)*m2k))/'TCO Inputs'!$AZ$84</f>
        <v>212.96561117354653</v>
      </c>
      <c r="DQ160" s="125">
        <f>DQ49/293.07*(1/(VLOOKUP($BM160,'Fuel economy adjusted factor'!$A$2:$L$52,5,FALSE)*m2k))/'TCO Inputs'!$AZ$84</f>
        <v>212.96561117354653</v>
      </c>
      <c r="DR160" s="125">
        <f>DR49/293.07*(1/(VLOOKUP($BM160,'Fuel economy adjusted factor'!$A$2:$L$52,5,FALSE)*m2k))/'TCO Inputs'!$AZ$84</f>
        <v>212.96561117354653</v>
      </c>
      <c r="DS160" s="125">
        <f>DS49/293.07*(1/(VLOOKUP($BM160,'Fuel economy adjusted factor'!$A$2:$L$52,5,FALSE)*m2k))/'TCO Inputs'!$AZ$84</f>
        <v>212.96561117354653</v>
      </c>
      <c r="DT160" s="125">
        <f>DT49/293.07*(1/(VLOOKUP($BM160,'Fuel economy adjusted factor'!$A$2:$L$52,5,FALSE)*m2k))/'TCO Inputs'!$AZ$84</f>
        <v>213.07547185604392</v>
      </c>
      <c r="DU160" s="98" cm="1">
        <f t="array" ref="DU160">SUMPRODUCT(INDEX(CS160:DT160,,'TCO Inputs'!$AZ$12-2023+_xlfn.SEQUENCE('TCO Inputs'!$AZ$13))*INDEX('VKT US'!C106:AA106,,_xlfn.SEQUENCE('TCO Inputs'!$AZ$13)))*m2k*CONVERT(0.9072,"g","ton")</f>
        <v>69.899681622391626</v>
      </c>
      <c r="DW160" s="123" t="s">
        <v>226</v>
      </c>
      <c r="DX160" s="125">
        <f>DX49/293.07*(1/(VLOOKUP($BM160,'Fuel economy adjusted factor'!$A$2:$L$52,5,FALSE)*m2k))/'TCO Inputs'!$AZ$84</f>
        <v>223.05786886258085</v>
      </c>
      <c r="DY160" s="125">
        <f>DY49/293.07*(1/(VLOOKUP($BM160,'Fuel economy adjusted factor'!$A$2:$L$52,5,FALSE)*m2k))/'TCO Inputs'!$AZ$84</f>
        <v>223.05786886258085</v>
      </c>
      <c r="DZ160" s="125">
        <f>DZ49/293.07*(1/(VLOOKUP($BM160,'Fuel economy adjusted factor'!$A$2:$L$52,5,FALSE)*m2k))/'TCO Inputs'!$AZ$84</f>
        <v>195.53259188776158</v>
      </c>
      <c r="EA160" s="125">
        <f>EA49/293.07*(1/(VLOOKUP($BM160,'Fuel economy adjusted factor'!$A$2:$L$52,5,FALSE)*m2k))/'TCO Inputs'!$AZ$84</f>
        <v>195.53259188776158</v>
      </c>
      <c r="EB160" s="125">
        <f>EB49/293.07*(1/(VLOOKUP($BM160,'Fuel economy adjusted factor'!$A$2:$L$52,5,FALSE)*m2k))/'TCO Inputs'!$AZ$84</f>
        <v>195.53259188776158</v>
      </c>
      <c r="EC160" s="125">
        <f>EC49/293.07*(1/(VLOOKUP($BM160,'Fuel economy adjusted factor'!$A$2:$L$52,5,FALSE)*m2k))/'TCO Inputs'!$AZ$84</f>
        <v>195.53259188776158</v>
      </c>
      <c r="ED160" s="125">
        <f>ED49/293.07*(1/(VLOOKUP($BM160,'Fuel economy adjusted factor'!$A$2:$L$52,5,FALSE)*m2k))/'TCO Inputs'!$AZ$84</f>
        <v>195.53259188776158</v>
      </c>
      <c r="EE160" s="125">
        <f>EE49/293.07*(1/(VLOOKUP($BM160,'Fuel economy adjusted factor'!$A$2:$L$52,5,FALSE)*m2k))/'TCO Inputs'!$AZ$84</f>
        <v>120.51381409766222</v>
      </c>
      <c r="EF160" s="125">
        <f>EF49/293.07*(1/(VLOOKUP($BM160,'Fuel economy adjusted factor'!$A$2:$L$52,5,FALSE)*m2k))/'TCO Inputs'!$AZ$84</f>
        <v>120.51381409766222</v>
      </c>
      <c r="EG160" s="125">
        <f>EG49/293.07*(1/(VLOOKUP($BM160,'Fuel economy adjusted factor'!$A$2:$L$52,5,FALSE)*m2k))/'TCO Inputs'!$AZ$84</f>
        <v>120.51381409766222</v>
      </c>
      <c r="EH160" s="125">
        <f>EH49/293.07*(1/(VLOOKUP($BM160,'Fuel economy adjusted factor'!$A$2:$L$52,5,FALSE)*m2k))/'TCO Inputs'!$AZ$84</f>
        <v>120.51381409766222</v>
      </c>
      <c r="EI160" s="125">
        <f>EI49/293.07*(1/(VLOOKUP($BM160,'Fuel economy adjusted factor'!$A$2:$L$52,5,FALSE)*m2k))/'TCO Inputs'!$AZ$84</f>
        <v>120.51381409766222</v>
      </c>
      <c r="EJ160" s="125">
        <f>EJ49/293.07*(1/(VLOOKUP($BM160,'Fuel economy adjusted factor'!$A$2:$L$52,5,FALSE)*m2k))/'TCO Inputs'!$AZ$84</f>
        <v>107.63299602162817</v>
      </c>
      <c r="EK160" s="125">
        <f>EK49/293.07*(1/(VLOOKUP($BM160,'Fuel economy adjusted factor'!$A$2:$L$52,5,FALSE)*m2k))/'TCO Inputs'!$AZ$84</f>
        <v>107.63299602162817</v>
      </c>
      <c r="EL160" s="125">
        <f>EL49/293.07*(1/(VLOOKUP($BM160,'Fuel economy adjusted factor'!$A$2:$L$52,5,FALSE)*m2k))/'TCO Inputs'!$AZ$84</f>
        <v>107.63299602162817</v>
      </c>
      <c r="EM160" s="125">
        <f>EM49/293.07*(1/(VLOOKUP($BM160,'Fuel economy adjusted factor'!$A$2:$L$52,5,FALSE)*m2k))/'TCO Inputs'!$AZ$84</f>
        <v>107.63299602162817</v>
      </c>
      <c r="EN160" s="125">
        <f>EN49/293.07*(1/(VLOOKUP($BM160,'Fuel economy adjusted factor'!$A$2:$L$52,5,FALSE)*m2k))/'TCO Inputs'!$AZ$84</f>
        <v>107.63299602162817</v>
      </c>
      <c r="EO160" s="125">
        <f>EO49/293.07*(1/(VLOOKUP($BM160,'Fuel economy adjusted factor'!$A$2:$L$52,5,FALSE)*m2k))/'TCO Inputs'!$AZ$84</f>
        <v>104.24529488816842</v>
      </c>
      <c r="EP160" s="125">
        <f>EP49/293.07*(1/(VLOOKUP($BM160,'Fuel economy adjusted factor'!$A$2:$L$52,5,FALSE)*m2k))/'TCO Inputs'!$AZ$84</f>
        <v>104.24529488816842</v>
      </c>
      <c r="EQ160" s="125">
        <f>EQ49/293.07*(1/(VLOOKUP($BM160,'Fuel economy adjusted factor'!$A$2:$L$52,5,FALSE)*m2k))/'TCO Inputs'!$AZ$84</f>
        <v>104.24529488816842</v>
      </c>
      <c r="ER160" s="125">
        <f>ER49/293.07*(1/(VLOOKUP($BM160,'Fuel economy adjusted factor'!$A$2:$L$52,5,FALSE)*m2k))/'TCO Inputs'!$AZ$84</f>
        <v>104.24529488816842</v>
      </c>
      <c r="ES160" s="125">
        <f>ES49/293.07*(1/(VLOOKUP($BM160,'Fuel economy adjusted factor'!$A$2:$L$52,5,FALSE)*m2k))/'TCO Inputs'!$AZ$84</f>
        <v>104.24529488816842</v>
      </c>
      <c r="ET160" s="125">
        <f>ET49/293.07*(1/(VLOOKUP($BM160,'Fuel economy adjusted factor'!$A$2:$L$52,5,FALSE)*m2k))/'TCO Inputs'!$AZ$84</f>
        <v>100.37480939540809</v>
      </c>
      <c r="EU160" s="125">
        <f>EU49/293.07*(1/(VLOOKUP($BM160,'Fuel economy adjusted factor'!$A$2:$L$52,5,FALSE)*m2k))/'TCO Inputs'!$AZ$84</f>
        <v>100.37480939540809</v>
      </c>
      <c r="EV160" s="125">
        <f>EV49/293.07*(1/(VLOOKUP($BM160,'Fuel economy adjusted factor'!$A$2:$L$52,5,FALSE)*m2k))/'TCO Inputs'!$AZ$84</f>
        <v>100.37480939540809</v>
      </c>
      <c r="EW160" s="125">
        <f>EW49/293.07*(1/(VLOOKUP($BM160,'Fuel economy adjusted factor'!$A$2:$L$52,5,FALSE)*m2k))/'TCO Inputs'!$AZ$84</f>
        <v>100.37480939540809</v>
      </c>
      <c r="EX160" s="125">
        <f>EX49/293.07*(1/(VLOOKUP($BM160,'Fuel economy adjusted factor'!$A$2:$L$52,5,FALSE)*m2k))/'TCO Inputs'!$AZ$84</f>
        <v>100.37480939540809</v>
      </c>
      <c r="EY160" s="125">
        <f>EY49/293.07*(1/(VLOOKUP($BM160,'Fuel economy adjusted factor'!$A$2:$L$52,5,FALSE)*m2k))/'TCO Inputs'!$AZ$84</f>
        <v>94.305520307057506</v>
      </c>
      <c r="EZ160" s="98" cm="1">
        <f t="array" ref="EZ160">SUMPRODUCT(INDEX(DX160:EY160,,'TCO Inputs'!$AZ$12-2023+_xlfn.SEQUENCE('TCO Inputs'!$AZ$13))*INDEX('VKT US'!C106:AA106,,_xlfn.SEQUENCE('TCO Inputs'!$AZ$13)))*m2k*CONVERT(0.9072,"g","ton")</f>
        <v>54.0892366787225</v>
      </c>
      <c r="FB160" s="123" t="s">
        <v>226</v>
      </c>
      <c r="FC160" s="125">
        <f>FC49/293.07*(1/(VLOOKUP($BM160,'Fuel economy adjusted factor'!$A$2:$L$52,5,FALSE)*m2k))/'TCO Inputs'!$AZ$84</f>
        <v>241.93900683277968</v>
      </c>
      <c r="FD160" s="125">
        <f>FD49/293.07*(1/(VLOOKUP($BM160,'Fuel economy adjusted factor'!$A$2:$L$52,5,FALSE)*m2k))/'TCO Inputs'!$AZ$84</f>
        <v>241.93900683277968</v>
      </c>
      <c r="FE160" s="125">
        <f>FE49/293.07*(1/(VLOOKUP($BM160,'Fuel economy adjusted factor'!$A$2:$L$52,5,FALSE)*m2k))/'TCO Inputs'!$AZ$84</f>
        <v>211.28548426453295</v>
      </c>
      <c r="FF160" s="125">
        <f>FF49/293.07*(1/(VLOOKUP($BM160,'Fuel economy adjusted factor'!$A$2:$L$52,5,FALSE)*m2k))/'TCO Inputs'!$AZ$84</f>
        <v>211.28548426453295</v>
      </c>
      <c r="FG160" s="125">
        <f>FG49/293.07*(1/(VLOOKUP($BM160,'Fuel economy adjusted factor'!$A$2:$L$52,5,FALSE)*m2k))/'TCO Inputs'!$AZ$84</f>
        <v>211.28548426453295</v>
      </c>
      <c r="FH160" s="125">
        <f>FH49/293.07*(1/(VLOOKUP($BM160,'Fuel economy adjusted factor'!$A$2:$L$52,5,FALSE)*m2k))/'TCO Inputs'!$AZ$84</f>
        <v>211.28548426453295</v>
      </c>
      <c r="FI160" s="125">
        <f>FI49/293.07*(1/(VLOOKUP($BM160,'Fuel economy adjusted factor'!$A$2:$L$52,5,FALSE)*m2k))/'TCO Inputs'!$AZ$84</f>
        <v>211.28548426453295</v>
      </c>
      <c r="FJ160" s="125">
        <f>FJ49/293.07*(1/(VLOOKUP($BM160,'Fuel economy adjusted factor'!$A$2:$L$52,5,FALSE)*m2k))/'TCO Inputs'!$AZ$84</f>
        <v>132.58670732751972</v>
      </c>
      <c r="FK160" s="125">
        <f>FK49/293.07*(1/(VLOOKUP($BM160,'Fuel economy adjusted factor'!$A$2:$L$52,5,FALSE)*m2k))/'TCO Inputs'!$AZ$84</f>
        <v>132.58670732751972</v>
      </c>
      <c r="FL160" s="125">
        <f>FL49/293.07*(1/(VLOOKUP($BM160,'Fuel economy adjusted factor'!$A$2:$L$52,5,FALSE)*m2k))/'TCO Inputs'!$AZ$84</f>
        <v>132.58670732751972</v>
      </c>
      <c r="FM160" s="125">
        <f>FM49/293.07*(1/(VLOOKUP($BM160,'Fuel economy adjusted factor'!$A$2:$L$52,5,FALSE)*m2k))/'TCO Inputs'!$AZ$84</f>
        <v>132.58670732751972</v>
      </c>
      <c r="FN160" s="125">
        <f>FN49/293.07*(1/(VLOOKUP($BM160,'Fuel economy adjusted factor'!$A$2:$L$52,5,FALSE)*m2k))/'TCO Inputs'!$AZ$84</f>
        <v>132.58670732751972</v>
      </c>
      <c r="FO160" s="125">
        <f>FO49/293.07*(1/(VLOOKUP($BM160,'Fuel economy adjusted factor'!$A$2:$L$52,5,FALSE)*m2k))/'TCO Inputs'!$AZ$84</f>
        <v>117.73041447516381</v>
      </c>
      <c r="FP160" s="125">
        <f>FP49/293.07*(1/(VLOOKUP($BM160,'Fuel economy adjusted factor'!$A$2:$L$52,5,FALSE)*m2k))/'TCO Inputs'!$AZ$84</f>
        <v>117.73041447516381</v>
      </c>
      <c r="FQ160" s="125">
        <f>FQ49/293.07*(1/(VLOOKUP($BM160,'Fuel economy adjusted factor'!$A$2:$L$52,5,FALSE)*m2k))/'TCO Inputs'!$AZ$84</f>
        <v>117.73041447516381</v>
      </c>
      <c r="FR160" s="125">
        <f>FR49/293.07*(1/(VLOOKUP($BM160,'Fuel economy adjusted factor'!$A$2:$L$52,5,FALSE)*m2k))/'TCO Inputs'!$AZ$84</f>
        <v>117.73041447516381</v>
      </c>
      <c r="FS160" s="125">
        <f>FS49/293.07*(1/(VLOOKUP($BM160,'Fuel economy adjusted factor'!$A$2:$L$52,5,FALSE)*m2k))/'TCO Inputs'!$AZ$84</f>
        <v>117.73041447516381</v>
      </c>
      <c r="FT160" s="125">
        <f>FT49/293.07*(1/(VLOOKUP($BM160,'Fuel economy adjusted factor'!$A$2:$L$52,5,FALSE)*m2k))/'TCO Inputs'!$AZ$84</f>
        <v>114.73353877542361</v>
      </c>
      <c r="FU160" s="125">
        <f>FU49/293.07*(1/(VLOOKUP($BM160,'Fuel economy adjusted factor'!$A$2:$L$52,5,FALSE)*m2k))/'TCO Inputs'!$AZ$84</f>
        <v>114.73353877542361</v>
      </c>
      <c r="FV160" s="125">
        <f>FV49/293.07*(1/(VLOOKUP($BM160,'Fuel economy adjusted factor'!$A$2:$L$52,5,FALSE)*m2k))/'TCO Inputs'!$AZ$84</f>
        <v>114.73353877542361</v>
      </c>
      <c r="FW160" s="125">
        <f>FW49/293.07*(1/(VLOOKUP($BM160,'Fuel economy adjusted factor'!$A$2:$L$52,5,FALSE)*m2k))/'TCO Inputs'!$AZ$84</f>
        <v>114.73353877542361</v>
      </c>
      <c r="FX160" s="125">
        <f>FX49/293.07*(1/(VLOOKUP($BM160,'Fuel economy adjusted factor'!$A$2:$L$52,5,FALSE)*m2k))/'TCO Inputs'!$AZ$84</f>
        <v>114.73353877542361</v>
      </c>
      <c r="FY160" s="125">
        <f>FY49/293.07*(1/(VLOOKUP($BM160,'Fuel economy adjusted factor'!$A$2:$L$52,5,FALSE)*m2k))/'TCO Inputs'!$AZ$84</f>
        <v>110.85484266430778</v>
      </c>
      <c r="FZ160" s="125">
        <f>FZ49/293.07*(1/(VLOOKUP($BM160,'Fuel economy adjusted factor'!$A$2:$L$52,5,FALSE)*m2k))/'TCO Inputs'!$AZ$84</f>
        <v>110.85484266430778</v>
      </c>
      <c r="GA160" s="125">
        <f>GA49/293.07*(1/(VLOOKUP($BM160,'Fuel economy adjusted factor'!$A$2:$L$52,5,FALSE)*m2k))/'TCO Inputs'!$AZ$84</f>
        <v>110.85484266430778</v>
      </c>
      <c r="GB160" s="125">
        <f>GB49/293.07*(1/(VLOOKUP($BM160,'Fuel economy adjusted factor'!$A$2:$L$52,5,FALSE)*m2k))/'TCO Inputs'!$AZ$84</f>
        <v>110.85484266430778</v>
      </c>
      <c r="GC160" s="125">
        <f>GC49/293.07*(1/(VLOOKUP($BM160,'Fuel economy adjusted factor'!$A$2:$L$52,5,FALSE)*m2k))/'TCO Inputs'!$AZ$84</f>
        <v>110.85484266430778</v>
      </c>
      <c r="GD160" s="125">
        <f>GD49/293.07*(1/(VLOOKUP($BM160,'Fuel economy adjusted factor'!$A$2:$L$52,5,FALSE)*m2k))/'TCO Inputs'!$AZ$84</f>
        <v>104.57536174605762</v>
      </c>
      <c r="GE160" s="98" cm="1">
        <f t="array" ref="GE160">SUMPRODUCT(INDEX(FC160:GD160,,'TCO Inputs'!$AZ$12-2023+_xlfn.SEQUENCE('TCO Inputs'!$AZ$13))*INDEX('VKT US'!C106:AA106,,_xlfn.SEQUENCE('TCO Inputs'!$AZ$13)))*m2k*CONVERT(0.9072,"g","ton")</f>
        <v>58.809257374533765</v>
      </c>
      <c r="GH160" s="123" t="s">
        <v>226</v>
      </c>
      <c r="GI160" s="125">
        <f>GI49/293.07*(1/(VLOOKUP($BM160,'Fuel economy adjusted factor'!$A$2:$L$52,5,FALSE)*m2k))/'TCO Inputs'!$AZ$84</f>
        <v>210.20660901262644</v>
      </c>
      <c r="GJ160" s="125">
        <f>GJ49/293.07*(1/(VLOOKUP($BM160,'Fuel economy adjusted factor'!$A$2:$L$52,5,FALSE)*m2k))/'TCO Inputs'!$AZ$84</f>
        <v>210.20660901262644</v>
      </c>
      <c r="GK160" s="125">
        <f>GK49/293.07*(1/(VLOOKUP($BM160,'Fuel economy adjusted factor'!$A$2:$L$52,5,FALSE)*m2k))/'TCO Inputs'!$AZ$84</f>
        <v>184.81116643921152</v>
      </c>
      <c r="GL160" s="125">
        <f>GL49/293.07*(1/(VLOOKUP($BM160,'Fuel economy adjusted factor'!$A$2:$L$52,5,FALSE)*m2k))/'TCO Inputs'!$AZ$84</f>
        <v>184.81116643921152</v>
      </c>
      <c r="GM160" s="125">
        <f>GM49/293.07*(1/(VLOOKUP($BM160,'Fuel economy adjusted factor'!$A$2:$L$52,5,FALSE)*m2k))/'TCO Inputs'!$AZ$84</f>
        <v>184.81116643921152</v>
      </c>
      <c r="GN160" s="125">
        <f>GN49/293.07*(1/(VLOOKUP($BM160,'Fuel economy adjusted factor'!$A$2:$L$52,5,FALSE)*m2k))/'TCO Inputs'!$AZ$84</f>
        <v>184.81116643921152</v>
      </c>
      <c r="GO160" s="125">
        <f>GO49/293.07*(1/(VLOOKUP($BM160,'Fuel economy adjusted factor'!$A$2:$L$52,5,FALSE)*m2k))/'TCO Inputs'!$AZ$84</f>
        <v>184.81116643921152</v>
      </c>
      <c r="GP160" s="125">
        <f>GP49/293.07*(1/(VLOOKUP($BM160,'Fuel economy adjusted factor'!$A$2:$L$52,5,FALSE)*m2k))/'TCO Inputs'!$AZ$84</f>
        <v>112.29662724752527</v>
      </c>
      <c r="GQ160" s="125">
        <f>GQ49/293.07*(1/(VLOOKUP($BM160,'Fuel economy adjusted factor'!$A$2:$L$52,5,FALSE)*m2k))/'TCO Inputs'!$AZ$84</f>
        <v>112.29662724752527</v>
      </c>
      <c r="GR160" s="125">
        <f>GR49/293.07*(1/(VLOOKUP($BM160,'Fuel economy adjusted factor'!$A$2:$L$52,5,FALSE)*m2k))/'TCO Inputs'!$AZ$84</f>
        <v>112.29662724752527</v>
      </c>
      <c r="GS160" s="125">
        <f>GS49/293.07*(1/(VLOOKUP($BM160,'Fuel economy adjusted factor'!$A$2:$L$52,5,FALSE)*m2k))/'TCO Inputs'!$AZ$84</f>
        <v>112.29662724752527</v>
      </c>
      <c r="GT160" s="125">
        <f>GT49/293.07*(1/(VLOOKUP($BM160,'Fuel economy adjusted factor'!$A$2:$L$52,5,FALSE)*m2k))/'TCO Inputs'!$AZ$84</f>
        <v>112.29662724752527</v>
      </c>
      <c r="GU160" s="125">
        <f>GU49/293.07*(1/(VLOOKUP($BM160,'Fuel economy adjusted factor'!$A$2:$L$52,5,FALSE)*m2k))/'TCO Inputs'!$AZ$84</f>
        <v>100.76070845811435</v>
      </c>
      <c r="GV160" s="125">
        <f>GV49/293.07*(1/(VLOOKUP($BM160,'Fuel economy adjusted factor'!$A$2:$L$52,5,FALSE)*m2k))/'TCO Inputs'!$AZ$84</f>
        <v>100.76070845811435</v>
      </c>
      <c r="GW160" s="125">
        <f>GW49/293.07*(1/(VLOOKUP($BM160,'Fuel economy adjusted factor'!$A$2:$L$52,5,FALSE)*m2k))/'TCO Inputs'!$AZ$84</f>
        <v>100.76070845811435</v>
      </c>
      <c r="GX160" s="125">
        <f>GX49/293.07*(1/(VLOOKUP($BM160,'Fuel economy adjusted factor'!$A$2:$L$52,5,FALSE)*m2k))/'TCO Inputs'!$AZ$84</f>
        <v>100.76070845811435</v>
      </c>
      <c r="GY160" s="125">
        <f>GY49/293.07*(1/(VLOOKUP($BM160,'Fuel economy adjusted factor'!$A$2:$L$52,5,FALSE)*m2k))/'TCO Inputs'!$AZ$84</f>
        <v>100.76070845811435</v>
      </c>
      <c r="GZ160" s="125">
        <f>GZ49/293.07*(1/(VLOOKUP($BM160,'Fuel economy adjusted factor'!$A$2:$L$52,5,FALSE)*m2k))/'TCO Inputs'!$AZ$84</f>
        <v>97.106983289937958</v>
      </c>
      <c r="HA160" s="125">
        <f>HA49/293.07*(1/(VLOOKUP($BM160,'Fuel economy adjusted factor'!$A$2:$L$52,5,FALSE)*m2k))/'TCO Inputs'!$AZ$84</f>
        <v>97.106983289937958</v>
      </c>
      <c r="HB160" s="125">
        <f>HB49/293.07*(1/(VLOOKUP($BM160,'Fuel economy adjusted factor'!$A$2:$L$52,5,FALSE)*m2k))/'TCO Inputs'!$AZ$84</f>
        <v>97.106983289937958</v>
      </c>
      <c r="HC160" s="125">
        <f>HC49/293.07*(1/(VLOOKUP($BM160,'Fuel economy adjusted factor'!$A$2:$L$52,5,FALSE)*m2k))/'TCO Inputs'!$AZ$84</f>
        <v>97.106983289937958</v>
      </c>
      <c r="HD160" s="125">
        <f>HD49/293.07*(1/(VLOOKUP($BM160,'Fuel economy adjusted factor'!$A$2:$L$52,5,FALSE)*m2k))/'TCO Inputs'!$AZ$84</f>
        <v>97.106983289937958</v>
      </c>
      <c r="HE160" s="125">
        <f>HE49/293.07*(1/(VLOOKUP($BM160,'Fuel economy adjusted factor'!$A$2:$L$52,5,FALSE)*m2k))/'TCO Inputs'!$AZ$84</f>
        <v>93.241424168190846</v>
      </c>
      <c r="HF160" s="125">
        <f>HF49/293.07*(1/(VLOOKUP($BM160,'Fuel economy adjusted factor'!$A$2:$L$52,5,FALSE)*m2k))/'TCO Inputs'!$AZ$84</f>
        <v>93.241424168190846</v>
      </c>
      <c r="HG160" s="125">
        <f>HG49/293.07*(1/(VLOOKUP($BM160,'Fuel economy adjusted factor'!$A$2:$L$52,5,FALSE)*m2k))/'TCO Inputs'!$AZ$84</f>
        <v>93.241424168190846</v>
      </c>
      <c r="HH160" s="125">
        <f>HH49/293.07*(1/(VLOOKUP($BM160,'Fuel economy adjusted factor'!$A$2:$L$52,5,FALSE)*m2k))/'TCO Inputs'!$AZ$84</f>
        <v>93.241424168190846</v>
      </c>
      <c r="HI160" s="125">
        <f>HI49/293.07*(1/(VLOOKUP($BM160,'Fuel economy adjusted factor'!$A$2:$L$52,5,FALSE)*m2k))/'TCO Inputs'!$AZ$84</f>
        <v>93.241424168190846</v>
      </c>
      <c r="HJ160" s="125">
        <f>HJ49/293.07*(1/(VLOOKUP($BM160,'Fuel economy adjusted factor'!$A$2:$L$52,5,FALSE)*m2k))/'TCO Inputs'!$AZ$84</f>
        <v>87.316641962896256</v>
      </c>
      <c r="HK160" s="98" cm="1">
        <f t="array" ref="HK160">SUMPRODUCT(INDEX(GI160:HJ160,,'TCO Inputs'!$AZ$12-2023+_xlfn.SEQUENCE('TCO Inputs'!$AZ$13))*INDEX('VKT US'!C106:AA106,,_xlfn.SEQUENCE('TCO Inputs'!$AZ$13)))*m2k*CONVERT(0.9072,"g","ton")</f>
        <v>50.876707672492429</v>
      </c>
    </row>
    <row r="161" spans="22:219" x14ac:dyDescent="0.25">
      <c r="Z161" s="123" t="s">
        <v>228</v>
      </c>
      <c r="AA161" s="125">
        <f>AA50/293.07*(1/(VLOOKUP($Z161,'Fuel economy adjusted factor'!$A$2:$L$52,5,FALSE)*m2k))/'TCO Inputs'!$AZ$84</f>
        <v>5.4652754062410454</v>
      </c>
      <c r="AB161" s="125">
        <f>AB50/293.07*(1/(VLOOKUP($Z161,'Fuel economy adjusted factor'!$A$2:$L$52,5,FALSE)*m2k))/'TCO Inputs'!$AZ$84</f>
        <v>5.4652754062410454</v>
      </c>
      <c r="AC161" s="125">
        <f>AC50/293.07*(1/(VLOOKUP($Z161,'Fuel economy adjusted factor'!$A$2:$L$52,5,FALSE)*m2k))/'TCO Inputs'!$AZ$84</f>
        <v>4.8066760464380902</v>
      </c>
      <c r="AD161" s="125">
        <f>AD50/293.07*(1/(VLOOKUP($Z161,'Fuel economy adjusted factor'!$A$2:$L$52,5,FALSE)*m2k))/'TCO Inputs'!$AZ$84</f>
        <v>4.8066760464380902</v>
      </c>
      <c r="AE161" s="125">
        <f>AE50/293.07*(1/(VLOOKUP($Z161,'Fuel economy adjusted factor'!$A$2:$L$52,5,FALSE)*m2k))/'TCO Inputs'!$AZ$84</f>
        <v>4.8066760464380902</v>
      </c>
      <c r="AF161" s="125">
        <f>AF50/293.07*(1/(VLOOKUP($Z161,'Fuel economy adjusted factor'!$A$2:$L$52,5,FALSE)*m2k))/'TCO Inputs'!$AZ$84</f>
        <v>4.8066760464380902</v>
      </c>
      <c r="AG161" s="125">
        <f>AG50/293.07*(1/(VLOOKUP($Z161,'Fuel economy adjusted factor'!$A$2:$L$52,5,FALSE)*m2k))/'TCO Inputs'!$AZ$84</f>
        <v>4.8066760464380902</v>
      </c>
      <c r="AH161" s="125">
        <f>AH50/293.07*(1/(VLOOKUP($Z161,'Fuel economy adjusted factor'!$A$2:$L$52,5,FALSE)*m2k))/'TCO Inputs'!$AZ$84</f>
        <v>2.8880321098477082</v>
      </c>
      <c r="AI161" s="125">
        <f>AI50/293.07*(1/(VLOOKUP($Z161,'Fuel economy adjusted factor'!$A$2:$L$52,5,FALSE)*m2k))/'TCO Inputs'!$AZ$84</f>
        <v>2.8880321098477082</v>
      </c>
      <c r="AJ161" s="125">
        <f>AJ50/293.07*(1/(VLOOKUP($Z161,'Fuel economy adjusted factor'!$A$2:$L$52,5,FALSE)*m2k))/'TCO Inputs'!$AZ$84</f>
        <v>2.8880321098477082</v>
      </c>
      <c r="AK161" s="125">
        <f>AK50/293.07*(1/(VLOOKUP($Z161,'Fuel economy adjusted factor'!$A$2:$L$52,5,FALSE)*m2k))/'TCO Inputs'!$AZ$84</f>
        <v>2.8880321098477082</v>
      </c>
      <c r="AL161" s="125">
        <f>AL50/293.07*(1/(VLOOKUP($Z161,'Fuel economy adjusted factor'!$A$2:$L$52,5,FALSE)*m2k))/'TCO Inputs'!$AZ$84</f>
        <v>2.8880321098477082</v>
      </c>
      <c r="AM161" s="125">
        <f>AM50/293.07*(1/(VLOOKUP($Z161,'Fuel economy adjusted factor'!$A$2:$L$52,5,FALSE)*m2k))/'TCO Inputs'!$AZ$84</f>
        <v>3.0222622153469736</v>
      </c>
      <c r="AN161" s="125">
        <f>AN50/293.07*(1/(VLOOKUP($Z161,'Fuel economy adjusted factor'!$A$2:$L$52,5,FALSE)*m2k))/'TCO Inputs'!$AZ$84</f>
        <v>3.0222622153469736</v>
      </c>
      <c r="AO161" s="125">
        <f>AO50/293.07*(1/(VLOOKUP($Z161,'Fuel economy adjusted factor'!$A$2:$L$52,5,FALSE)*m2k))/'TCO Inputs'!$AZ$84</f>
        <v>3.0222622153469736</v>
      </c>
      <c r="AP161" s="125">
        <f>AP50/293.07*(1/(VLOOKUP($Z161,'Fuel economy adjusted factor'!$A$2:$L$52,5,FALSE)*m2k))/'TCO Inputs'!$AZ$84</f>
        <v>3.0222622153469736</v>
      </c>
      <c r="AQ161" s="125">
        <f>AQ50/293.07*(1/(VLOOKUP($Z161,'Fuel economy adjusted factor'!$A$2:$L$52,5,FALSE)*m2k))/'TCO Inputs'!$AZ$84</f>
        <v>3.0222622153469736</v>
      </c>
      <c r="AR161" s="125">
        <f>AR50/293.07*(1/(VLOOKUP($Z161,'Fuel economy adjusted factor'!$A$2:$L$52,5,FALSE)*m2k))/'TCO Inputs'!$AZ$84</f>
        <v>3.1593142276766284</v>
      </c>
      <c r="AS161" s="125">
        <f>AS50/293.07*(1/(VLOOKUP($Z161,'Fuel economy adjusted factor'!$A$2:$L$52,5,FALSE)*m2k))/'TCO Inputs'!$AZ$84</f>
        <v>3.1593142276766284</v>
      </c>
      <c r="AT161" s="125">
        <f>AT50/293.07*(1/(VLOOKUP($Z161,'Fuel economy adjusted factor'!$A$2:$L$52,5,FALSE)*m2k))/'TCO Inputs'!$AZ$84</f>
        <v>3.1593142276766284</v>
      </c>
      <c r="AU161" s="125">
        <f>AU50/293.07*(1/(VLOOKUP($Z161,'Fuel economy adjusted factor'!$A$2:$L$52,5,FALSE)*m2k))/'TCO Inputs'!$AZ$84</f>
        <v>3.1593142276766284</v>
      </c>
      <c r="AV161" s="125">
        <f>AV50/293.07*(1/(VLOOKUP($Z161,'Fuel economy adjusted factor'!$A$2:$L$52,5,FALSE)*m2k))/'TCO Inputs'!$AZ$84</f>
        <v>3.1593142276766284</v>
      </c>
      <c r="AW161" s="125">
        <f>AW50/293.07*(1/(VLOOKUP($Z161,'Fuel economy adjusted factor'!$A$2:$L$52,5,FALSE)*m2k))/'TCO Inputs'!$AZ$84</f>
        <v>3.22864047607694</v>
      </c>
      <c r="AX161" s="125">
        <f>AX50/293.07*(1/(VLOOKUP($Z161,'Fuel economy adjusted factor'!$A$2:$L$52,5,FALSE)*m2k))/'TCO Inputs'!$AZ$84</f>
        <v>3.22864047607694</v>
      </c>
      <c r="AY161" s="125">
        <f>AY50/293.07*(1/(VLOOKUP($Z161,'Fuel economy adjusted factor'!$A$2:$L$52,5,FALSE)*m2k))/'TCO Inputs'!$AZ$84</f>
        <v>3.22864047607694</v>
      </c>
      <c r="AZ161" s="125">
        <f>AZ50/293.07*(1/(VLOOKUP($Z161,'Fuel economy adjusted factor'!$A$2:$L$52,5,FALSE)*m2k))/'TCO Inputs'!$AZ$84</f>
        <v>3.22864047607694</v>
      </c>
      <c r="BA161" s="125">
        <f>BA50/293.07*(1/(VLOOKUP($Z161,'Fuel economy adjusted factor'!$A$2:$L$52,5,FALSE)*m2k))/'TCO Inputs'!$AZ$84</f>
        <v>3.22864047607694</v>
      </c>
      <c r="BB161" s="125">
        <f>BB50/293.07*(1/(VLOOKUP($Z161,'Fuel economy adjusted factor'!$A$2:$L$52,5,FALSE)*m2k))/'TCO Inputs'!$AZ$84</f>
        <v>3.2330207493659024</v>
      </c>
      <c r="BC161" s="98" cm="1">
        <f t="array" ref="BC161">SUMPRODUCT(INDEX(AA161:BB161,,'TCO Inputs'!$AZ$12-2023+_xlfn.SEQUENCE('TCO Inputs'!$AZ$13))*INDEX('VKT US'!C107:AA107,,_xlfn.SEQUENCE('TCO Inputs'!$AZ$13)))*m2k*CONVERT(0.9072,"g","ton")</f>
        <v>1.1191984149693996</v>
      </c>
      <c r="BM161" s="123" t="s">
        <v>228</v>
      </c>
      <c r="BN161" s="125">
        <f>BN50/293.07*(1/(VLOOKUP($BM161,'Fuel economy adjusted factor'!$A$2:$L$52,5,FALSE)*m2k))</f>
        <v>4.6454840953048882</v>
      </c>
      <c r="BO161" s="125">
        <f>BO50/293.07*(1/(VLOOKUP($BM161,'Fuel economy adjusted factor'!$A$2:$L$52,5,FALSE)*m2k))</f>
        <v>4.6454840953048882</v>
      </c>
      <c r="BP161" s="125">
        <f>BP50/293.07*(1/(VLOOKUP($BM161,'Fuel economy adjusted factor'!$A$2:$L$52,5,FALSE)*m2k))</f>
        <v>4.0803403932026931</v>
      </c>
      <c r="BQ161" s="125">
        <f>BQ50/293.07*(1/(VLOOKUP($BM161,'Fuel economy adjusted factor'!$A$2:$L$52,5,FALSE)*m2k))</f>
        <v>4.0803403932026931</v>
      </c>
      <c r="BR161" s="125">
        <f>BR50/293.07*(1/(VLOOKUP($BM161,'Fuel economy adjusted factor'!$A$2:$L$52,5,FALSE)*m2k))</f>
        <v>4.0803403932026931</v>
      </c>
      <c r="BS161" s="125">
        <f>BS50/293.07*(1/(VLOOKUP($BM161,'Fuel economy adjusted factor'!$A$2:$L$52,5,FALSE)*m2k))</f>
        <v>4.0803403932026931</v>
      </c>
      <c r="BT161" s="125">
        <f>BT50/293.07*(1/(VLOOKUP($BM161,'Fuel economy adjusted factor'!$A$2:$L$52,5,FALSE)*m2k))</f>
        <v>4.0803403932026931</v>
      </c>
      <c r="BU161" s="125">
        <f>BU50/293.07*(1/(VLOOKUP($BM161,'Fuel economy adjusted factor'!$A$2:$L$52,5,FALSE)*m2k))</f>
        <v>4.6253285204738006</v>
      </c>
      <c r="BV161" s="125">
        <f>BV50/293.07*(1/(VLOOKUP($BM161,'Fuel economy adjusted factor'!$A$2:$L$52,5,FALSE)*m2k))</f>
        <v>4.6253285204738006</v>
      </c>
      <c r="BW161" s="125">
        <f>BW50/293.07*(1/(VLOOKUP($BM161,'Fuel economy adjusted factor'!$A$2:$L$52,5,FALSE)*m2k))</f>
        <v>4.6253285204738006</v>
      </c>
      <c r="BX161" s="125">
        <f>BX50/293.07*(1/(VLOOKUP($BM161,'Fuel economy adjusted factor'!$A$2:$L$52,5,FALSE)*m2k))</f>
        <v>4.6253285204738006</v>
      </c>
      <c r="BY161" s="125">
        <f>BY50/293.07*(1/(VLOOKUP($BM161,'Fuel economy adjusted factor'!$A$2:$L$52,5,FALSE)*m2k))</f>
        <v>4.6253285204738006</v>
      </c>
      <c r="BZ161" s="125">
        <f>BZ50/293.07*(1/(VLOOKUP($BM161,'Fuel economy adjusted factor'!$A$2:$L$52,5,FALSE)*m2k))</f>
        <v>4.7365600853053937</v>
      </c>
      <c r="CA161" s="125">
        <f>CA50/293.07*(1/(VLOOKUP($BM161,'Fuel economy adjusted factor'!$A$2:$L$52,5,FALSE)*m2k))</f>
        <v>4.7365600853053937</v>
      </c>
      <c r="CB161" s="125">
        <f>CB50/293.07*(1/(VLOOKUP($BM161,'Fuel economy adjusted factor'!$A$2:$L$52,5,FALSE)*m2k))</f>
        <v>4.7365600853053937</v>
      </c>
      <c r="CC161" s="125">
        <f>CC50/293.07*(1/(VLOOKUP($BM161,'Fuel economy adjusted factor'!$A$2:$L$52,5,FALSE)*m2k))</f>
        <v>4.7365600853053937</v>
      </c>
      <c r="CD161" s="125">
        <f>CD50/293.07*(1/(VLOOKUP($BM161,'Fuel economy adjusted factor'!$A$2:$L$52,5,FALSE)*m2k))</f>
        <v>4.7365600853053937</v>
      </c>
      <c r="CE161" s="125">
        <f>CE50/293.07*(1/(VLOOKUP($BM161,'Fuel economy adjusted factor'!$A$2:$L$52,5,FALSE)*m2k))</f>
        <v>4.8536271007541574</v>
      </c>
      <c r="CF161" s="125">
        <f>CF50/293.07*(1/(VLOOKUP($BM161,'Fuel economy adjusted factor'!$A$2:$L$52,5,FALSE)*m2k))</f>
        <v>4.8536271007541574</v>
      </c>
      <c r="CG161" s="125">
        <f>CG50/293.07*(1/(VLOOKUP($BM161,'Fuel economy adjusted factor'!$A$2:$L$52,5,FALSE)*m2k))</f>
        <v>4.8536271007541574</v>
      </c>
      <c r="CH161" s="125">
        <f>CH50/293.07*(1/(VLOOKUP($BM161,'Fuel economy adjusted factor'!$A$2:$L$52,5,FALSE)*m2k))</f>
        <v>4.8536271007541574</v>
      </c>
      <c r="CI161" s="125">
        <f>CI50/293.07*(1/(VLOOKUP($BM161,'Fuel economy adjusted factor'!$A$2:$L$52,5,FALSE)*m2k))</f>
        <v>4.8536271007541574</v>
      </c>
      <c r="CJ161" s="125">
        <f>CJ50/293.07*(1/(VLOOKUP($BM161,'Fuel economy adjusted factor'!$A$2:$L$52,5,FALSE)*m2k))</f>
        <v>4.881408141729155</v>
      </c>
      <c r="CK161" s="125">
        <f>CK50/293.07*(1/(VLOOKUP($BM161,'Fuel economy adjusted factor'!$A$2:$L$52,5,FALSE)*m2k))</f>
        <v>4.881408141729155</v>
      </c>
      <c r="CL161" s="125">
        <f>CL50/293.07*(1/(VLOOKUP($BM161,'Fuel economy adjusted factor'!$A$2:$L$52,5,FALSE)*m2k))</f>
        <v>4.881408141729155</v>
      </c>
      <c r="CM161" s="125">
        <f>CM50/293.07*(1/(VLOOKUP($BM161,'Fuel economy adjusted factor'!$A$2:$L$52,5,FALSE)*m2k))</f>
        <v>4.881408141729155</v>
      </c>
      <c r="CN161" s="125">
        <f>CN50/293.07*(1/(VLOOKUP($BM161,'Fuel economy adjusted factor'!$A$2:$L$52,5,FALSE)*m2k))</f>
        <v>4.881408141729155</v>
      </c>
      <c r="CO161" s="125">
        <f>CO50/293.07*(1/(VLOOKUP($BM161,'Fuel economy adjusted factor'!$A$2:$L$52,5,FALSE)*m2k))</f>
        <v>4.9145950295949046</v>
      </c>
      <c r="CP161" s="98" cm="1">
        <f t="array" ref="CP161">SUMPRODUCT(INDEX(BN161:CO161,,'TCO Inputs'!$AZ$12-2023+_xlfn.SEQUENCE('TCO Inputs'!$AZ$13))*INDEX('VKT US'!C107:AA107,,_xlfn.SEQUENCE('TCO Inputs'!$AZ$13)))*m2k*CONVERT(0.9072,"g","ton")</f>
        <v>1.2190461132814077</v>
      </c>
      <c r="CQ161" s="194"/>
      <c r="CR161" s="123" t="s">
        <v>228</v>
      </c>
      <c r="CS161" s="125">
        <f>CS50/293.07*(1/(VLOOKUP($BM161,'Fuel economy adjusted factor'!$A$2:$L$52,5,FALSE)*m2k))/'TCO Inputs'!$AZ$84</f>
        <v>6.6169924551514363</v>
      </c>
      <c r="CT161" s="125">
        <f>CT50/293.07*(1/(VLOOKUP($BM161,'Fuel economy adjusted factor'!$A$2:$L$52,5,FALSE)*m2k))/'TCO Inputs'!$AZ$84</f>
        <v>6.6169924551514363</v>
      </c>
      <c r="CU161" s="125">
        <f>CU50/293.07*(1/(VLOOKUP($BM161,'Fuel economy adjusted factor'!$A$2:$L$52,5,FALSE)*m2k))/'TCO Inputs'!$AZ$84</f>
        <v>6.6169924551514363</v>
      </c>
      <c r="CV161" s="125">
        <f>CV50/293.07*(1/(VLOOKUP($BM161,'Fuel economy adjusted factor'!$A$2:$L$52,5,FALSE)*m2k))/'TCO Inputs'!$AZ$84</f>
        <v>6.6169924551514363</v>
      </c>
      <c r="CW161" s="125">
        <f>CW50/293.07*(1/(VLOOKUP($BM161,'Fuel economy adjusted factor'!$A$2:$L$52,5,FALSE)*m2k))/'TCO Inputs'!$AZ$84</f>
        <v>6.6169924551514363</v>
      </c>
      <c r="CX161" s="125">
        <f>CX50/293.07*(1/(VLOOKUP($BM161,'Fuel economy adjusted factor'!$A$2:$L$52,5,FALSE)*m2k))/'TCO Inputs'!$AZ$84</f>
        <v>6.6169924551514363</v>
      </c>
      <c r="CY161" s="125">
        <f>CY50/293.07*(1/(VLOOKUP($BM161,'Fuel economy adjusted factor'!$A$2:$L$52,5,FALSE)*m2k))/'TCO Inputs'!$AZ$84</f>
        <v>6.6169924551514363</v>
      </c>
      <c r="CZ161" s="125">
        <f>CZ50/293.07*(1/(VLOOKUP($BM161,'Fuel economy adjusted factor'!$A$2:$L$52,5,FALSE)*m2k))/'TCO Inputs'!$AZ$84</f>
        <v>6.6184665855852218</v>
      </c>
      <c r="DA161" s="125">
        <f>DA50/293.07*(1/(VLOOKUP($BM161,'Fuel economy adjusted factor'!$A$2:$L$52,5,FALSE)*m2k))/'TCO Inputs'!$AZ$84</f>
        <v>6.6184665855852218</v>
      </c>
      <c r="DB161" s="125">
        <f>DB50/293.07*(1/(VLOOKUP($BM161,'Fuel economy adjusted factor'!$A$2:$L$52,5,FALSE)*m2k))/'TCO Inputs'!$AZ$84</f>
        <v>6.6184665855852218</v>
      </c>
      <c r="DC161" s="125">
        <f>DC50/293.07*(1/(VLOOKUP($BM161,'Fuel economy adjusted factor'!$A$2:$L$52,5,FALSE)*m2k))/'TCO Inputs'!$AZ$84</f>
        <v>6.6184665855852218</v>
      </c>
      <c r="DD161" s="125">
        <f>DD50/293.07*(1/(VLOOKUP($BM161,'Fuel economy adjusted factor'!$A$2:$L$52,5,FALSE)*m2k))/'TCO Inputs'!$AZ$84</f>
        <v>6.6184665855852218</v>
      </c>
      <c r="DE161" s="125">
        <f>DE50/293.07*(1/(VLOOKUP($BM161,'Fuel economy adjusted factor'!$A$2:$L$52,5,FALSE)*m2k))/'TCO Inputs'!$AZ$84</f>
        <v>6.6176242253373445</v>
      </c>
      <c r="DF161" s="125">
        <f>DF50/293.07*(1/(VLOOKUP($BM161,'Fuel economy adjusted factor'!$A$2:$L$52,5,FALSE)*m2k))/'TCO Inputs'!$AZ$84</f>
        <v>6.6176242253373445</v>
      </c>
      <c r="DG161" s="125">
        <f>DG50/293.07*(1/(VLOOKUP($BM161,'Fuel economy adjusted factor'!$A$2:$L$52,5,FALSE)*m2k))/'TCO Inputs'!$AZ$84</f>
        <v>6.6176242253373445</v>
      </c>
      <c r="DH161" s="125">
        <f>DH50/293.07*(1/(VLOOKUP($BM161,'Fuel economy adjusted factor'!$A$2:$L$52,5,FALSE)*m2k))/'TCO Inputs'!$AZ$84</f>
        <v>6.6176242253373445</v>
      </c>
      <c r="DI161" s="125">
        <f>DI50/293.07*(1/(VLOOKUP($BM161,'Fuel economy adjusted factor'!$A$2:$L$52,5,FALSE)*m2k))/'TCO Inputs'!$AZ$84</f>
        <v>6.6176242253373445</v>
      </c>
      <c r="DJ161" s="125">
        <f>DJ50/293.07*(1/(VLOOKUP($BM161,'Fuel economy adjusted factor'!$A$2:$L$52,5,FALSE)*m2k))/'TCO Inputs'!$AZ$84</f>
        <v>6.6174136352753754</v>
      </c>
      <c r="DK161" s="125">
        <f>DK50/293.07*(1/(VLOOKUP($BM161,'Fuel economy adjusted factor'!$A$2:$L$52,5,FALSE)*m2k))/'TCO Inputs'!$AZ$84</f>
        <v>6.6174136352753754</v>
      </c>
      <c r="DL161" s="125">
        <f>DL50/293.07*(1/(VLOOKUP($BM161,'Fuel economy adjusted factor'!$A$2:$L$52,5,FALSE)*m2k))/'TCO Inputs'!$AZ$84</f>
        <v>6.6174136352753754</v>
      </c>
      <c r="DM161" s="125">
        <f>DM50/293.07*(1/(VLOOKUP($BM161,'Fuel economy adjusted factor'!$A$2:$L$52,5,FALSE)*m2k))/'TCO Inputs'!$AZ$84</f>
        <v>6.6174136352753754</v>
      </c>
      <c r="DN161" s="125">
        <f>DN50/293.07*(1/(VLOOKUP($BM161,'Fuel economy adjusted factor'!$A$2:$L$52,5,FALSE)*m2k))/'TCO Inputs'!$AZ$84</f>
        <v>6.6174136352753754</v>
      </c>
      <c r="DO161" s="125">
        <f>DO50/293.07*(1/(VLOOKUP($BM161,'Fuel economy adjusted factor'!$A$2:$L$52,5,FALSE)*m2k))/'TCO Inputs'!$AZ$84</f>
        <v>6.6133281880731696</v>
      </c>
      <c r="DP161" s="125">
        <f>DP50/293.07*(1/(VLOOKUP($BM161,'Fuel economy adjusted factor'!$A$2:$L$52,5,FALSE)*m2k))/'TCO Inputs'!$AZ$84</f>
        <v>6.6133281880731696</v>
      </c>
      <c r="DQ161" s="125">
        <f>DQ50/293.07*(1/(VLOOKUP($BM161,'Fuel economy adjusted factor'!$A$2:$L$52,5,FALSE)*m2k))/'TCO Inputs'!$AZ$84</f>
        <v>6.6133281880731696</v>
      </c>
      <c r="DR161" s="125">
        <f>DR50/293.07*(1/(VLOOKUP($BM161,'Fuel economy adjusted factor'!$A$2:$L$52,5,FALSE)*m2k))/'TCO Inputs'!$AZ$84</f>
        <v>6.6133281880731696</v>
      </c>
      <c r="DS161" s="125">
        <f>DS50/293.07*(1/(VLOOKUP($BM161,'Fuel economy adjusted factor'!$A$2:$L$52,5,FALSE)*m2k))/'TCO Inputs'!$AZ$84</f>
        <v>6.6133281880731696</v>
      </c>
      <c r="DT161" s="125">
        <f>DT50/293.07*(1/(VLOOKUP($BM161,'Fuel economy adjusted factor'!$A$2:$L$52,5,FALSE)*m2k))/'TCO Inputs'!$AZ$84</f>
        <v>6.6167397470770739</v>
      </c>
      <c r="DU161" s="98" cm="1">
        <f t="array" ref="DU161">SUMPRODUCT(INDEX(CS161:DT161,,'TCO Inputs'!$AZ$12-2023+_xlfn.SEQUENCE('TCO Inputs'!$AZ$13))*INDEX('VKT US'!C107:AA107,,_xlfn.SEQUENCE('TCO Inputs'!$AZ$13)))*m2k*CONVERT(0.9072,"g","ton")</f>
        <v>1.819210616355516</v>
      </c>
      <c r="DW161" s="123" t="s">
        <v>228</v>
      </c>
      <c r="DX161" s="125">
        <f>DX50/293.07*(1/(VLOOKUP($BM161,'Fuel economy adjusted factor'!$A$2:$L$52,5,FALSE)*m2k))/'TCO Inputs'!$AZ$84</f>
        <v>6.9267281397761691</v>
      </c>
      <c r="DY161" s="125">
        <f>DY50/293.07*(1/(VLOOKUP($BM161,'Fuel economy adjusted factor'!$A$2:$L$52,5,FALSE)*m2k))/'TCO Inputs'!$AZ$84</f>
        <v>6.9267281397761691</v>
      </c>
      <c r="DZ161" s="125">
        <f>DZ50/293.07*(1/(VLOOKUP($BM161,'Fuel economy adjusted factor'!$A$2:$L$52,5,FALSE)*m2k))/'TCO Inputs'!$AZ$84</f>
        <v>6.0719718760817747</v>
      </c>
      <c r="EA161" s="125">
        <f>EA50/293.07*(1/(VLOOKUP($BM161,'Fuel economy adjusted factor'!$A$2:$L$52,5,FALSE)*m2k))/'TCO Inputs'!$AZ$84</f>
        <v>6.0719718760817747</v>
      </c>
      <c r="EB161" s="125">
        <f>EB50/293.07*(1/(VLOOKUP($BM161,'Fuel economy adjusted factor'!$A$2:$L$52,5,FALSE)*m2k))/'TCO Inputs'!$AZ$84</f>
        <v>6.0719718760817747</v>
      </c>
      <c r="EC161" s="125">
        <f>EC50/293.07*(1/(VLOOKUP($BM161,'Fuel economy adjusted factor'!$A$2:$L$52,5,FALSE)*m2k))/'TCO Inputs'!$AZ$84</f>
        <v>6.0719718760817747</v>
      </c>
      <c r="ED161" s="125">
        <f>ED50/293.07*(1/(VLOOKUP($BM161,'Fuel economy adjusted factor'!$A$2:$L$52,5,FALSE)*m2k))/'TCO Inputs'!$AZ$84</f>
        <v>6.0719718760817747</v>
      </c>
      <c r="EE161" s="125">
        <f>EE50/293.07*(1/(VLOOKUP($BM161,'Fuel economy adjusted factor'!$A$2:$L$52,5,FALSE)*m2k))/'TCO Inputs'!$AZ$84</f>
        <v>3.7423760551406717</v>
      </c>
      <c r="EF161" s="125">
        <f>EF50/293.07*(1/(VLOOKUP($BM161,'Fuel economy adjusted factor'!$A$2:$L$52,5,FALSE)*m2k))/'TCO Inputs'!$AZ$84</f>
        <v>3.7423760551406717</v>
      </c>
      <c r="EG161" s="125">
        <f>EG50/293.07*(1/(VLOOKUP($BM161,'Fuel economy adjusted factor'!$A$2:$L$52,5,FALSE)*m2k))/'TCO Inputs'!$AZ$84</f>
        <v>3.7423760551406717</v>
      </c>
      <c r="EH161" s="125">
        <f>EH50/293.07*(1/(VLOOKUP($BM161,'Fuel economy adjusted factor'!$A$2:$L$52,5,FALSE)*m2k))/'TCO Inputs'!$AZ$84</f>
        <v>3.7423760551406717</v>
      </c>
      <c r="EI161" s="125">
        <f>EI50/293.07*(1/(VLOOKUP($BM161,'Fuel economy adjusted factor'!$A$2:$L$52,5,FALSE)*m2k))/'TCO Inputs'!$AZ$84</f>
        <v>3.7423760551406717</v>
      </c>
      <c r="EJ161" s="125">
        <f>EJ50/293.07*(1/(VLOOKUP($BM161,'Fuel economy adjusted factor'!$A$2:$L$52,5,FALSE)*m2k))/'TCO Inputs'!$AZ$84</f>
        <v>3.3423815358459086</v>
      </c>
      <c r="EK161" s="125">
        <f>EK50/293.07*(1/(VLOOKUP($BM161,'Fuel economy adjusted factor'!$A$2:$L$52,5,FALSE)*m2k))/'TCO Inputs'!$AZ$84</f>
        <v>3.3423815358459086</v>
      </c>
      <c r="EL161" s="125">
        <f>EL50/293.07*(1/(VLOOKUP($BM161,'Fuel economy adjusted factor'!$A$2:$L$52,5,FALSE)*m2k))/'TCO Inputs'!$AZ$84</f>
        <v>3.3423815358459086</v>
      </c>
      <c r="EM161" s="125">
        <f>EM50/293.07*(1/(VLOOKUP($BM161,'Fuel economy adjusted factor'!$A$2:$L$52,5,FALSE)*m2k))/'TCO Inputs'!$AZ$84</f>
        <v>3.3423815358459086</v>
      </c>
      <c r="EN161" s="125">
        <f>EN50/293.07*(1/(VLOOKUP($BM161,'Fuel economy adjusted factor'!$A$2:$L$52,5,FALSE)*m2k))/'TCO Inputs'!$AZ$84</f>
        <v>3.3423815358459086</v>
      </c>
      <c r="EO161" s="125">
        <f>EO50/293.07*(1/(VLOOKUP($BM161,'Fuel economy adjusted factor'!$A$2:$L$52,5,FALSE)*m2k))/'TCO Inputs'!$AZ$84</f>
        <v>3.2371815494480116</v>
      </c>
      <c r="EP161" s="125">
        <f>EP50/293.07*(1/(VLOOKUP($BM161,'Fuel economy adjusted factor'!$A$2:$L$52,5,FALSE)*m2k))/'TCO Inputs'!$AZ$84</f>
        <v>3.2371815494480116</v>
      </c>
      <c r="EQ161" s="125">
        <f>EQ50/293.07*(1/(VLOOKUP($BM161,'Fuel economy adjusted factor'!$A$2:$L$52,5,FALSE)*m2k))/'TCO Inputs'!$AZ$84</f>
        <v>3.2371815494480116</v>
      </c>
      <c r="ER161" s="125">
        <f>ER50/293.07*(1/(VLOOKUP($BM161,'Fuel economy adjusted factor'!$A$2:$L$52,5,FALSE)*m2k))/'TCO Inputs'!$AZ$84</f>
        <v>3.2371815494480116</v>
      </c>
      <c r="ES161" s="125">
        <f>ES50/293.07*(1/(VLOOKUP($BM161,'Fuel economy adjusted factor'!$A$2:$L$52,5,FALSE)*m2k))/'TCO Inputs'!$AZ$84</f>
        <v>3.2371815494480116</v>
      </c>
      <c r="ET161" s="125">
        <f>ET50/293.07*(1/(VLOOKUP($BM161,'Fuel economy adjusted factor'!$A$2:$L$52,5,FALSE)*m2k))/'TCO Inputs'!$AZ$84</f>
        <v>3.1169894176303483</v>
      </c>
      <c r="EU161" s="125">
        <f>EU50/293.07*(1/(VLOOKUP($BM161,'Fuel economy adjusted factor'!$A$2:$L$52,5,FALSE)*m2k))/'TCO Inputs'!$AZ$84</f>
        <v>3.1169894176303483</v>
      </c>
      <c r="EV161" s="125">
        <f>EV50/293.07*(1/(VLOOKUP($BM161,'Fuel economy adjusted factor'!$A$2:$L$52,5,FALSE)*m2k))/'TCO Inputs'!$AZ$84</f>
        <v>3.1169894176303483</v>
      </c>
      <c r="EW161" s="125">
        <f>EW50/293.07*(1/(VLOOKUP($BM161,'Fuel economy adjusted factor'!$A$2:$L$52,5,FALSE)*m2k))/'TCO Inputs'!$AZ$84</f>
        <v>3.1169894176303483</v>
      </c>
      <c r="EX161" s="125">
        <f>EX50/293.07*(1/(VLOOKUP($BM161,'Fuel economy adjusted factor'!$A$2:$L$52,5,FALSE)*m2k))/'TCO Inputs'!$AZ$84</f>
        <v>3.1169894176303483</v>
      </c>
      <c r="EY161" s="125">
        <f>EY50/293.07*(1/(VLOOKUP($BM161,'Fuel economy adjusted factor'!$A$2:$L$52,5,FALSE)*m2k))/'TCO Inputs'!$AZ$84</f>
        <v>2.9285167323532639</v>
      </c>
      <c r="EZ161" s="98" cm="1">
        <f t="array" ref="EZ161">SUMPRODUCT(INDEX(DX161:EY161,,'TCO Inputs'!$AZ$12-2023+_xlfn.SEQUENCE('TCO Inputs'!$AZ$13))*INDEX('VKT US'!C107:AA107,,_xlfn.SEQUENCE('TCO Inputs'!$AZ$13)))*m2k*CONVERT(0.9072,"g","ton")</f>
        <v>1.4077276364156837</v>
      </c>
      <c r="FB161" s="123" t="s">
        <v>228</v>
      </c>
      <c r="FC161" s="125">
        <f>FC50/293.07*(1/(VLOOKUP($BM161,'Fuel economy adjusted factor'!$A$2:$L$52,5,FALSE)*m2k))/'TCO Inputs'!$AZ$84</f>
        <v>7.5130536092880513</v>
      </c>
      <c r="FD161" s="125">
        <f>FD50/293.07*(1/(VLOOKUP($BM161,'Fuel economy adjusted factor'!$A$2:$L$52,5,FALSE)*m2k))/'TCO Inputs'!$AZ$84</f>
        <v>7.5130536092880513</v>
      </c>
      <c r="FE161" s="125">
        <f>FE50/293.07*(1/(VLOOKUP($BM161,'Fuel economy adjusted factor'!$A$2:$L$52,5,FALSE)*m2k))/'TCO Inputs'!$AZ$84</f>
        <v>6.5611543625165867</v>
      </c>
      <c r="FF161" s="125">
        <f>FF50/293.07*(1/(VLOOKUP($BM161,'Fuel economy adjusted factor'!$A$2:$L$52,5,FALSE)*m2k))/'TCO Inputs'!$AZ$84</f>
        <v>6.5611543625165867</v>
      </c>
      <c r="FG161" s="125">
        <f>FG50/293.07*(1/(VLOOKUP($BM161,'Fuel economy adjusted factor'!$A$2:$L$52,5,FALSE)*m2k))/'TCO Inputs'!$AZ$84</f>
        <v>6.5611543625165867</v>
      </c>
      <c r="FH161" s="125">
        <f>FH50/293.07*(1/(VLOOKUP($BM161,'Fuel economy adjusted factor'!$A$2:$L$52,5,FALSE)*m2k))/'TCO Inputs'!$AZ$84</f>
        <v>6.5611543625165867</v>
      </c>
      <c r="FI161" s="125">
        <f>FI50/293.07*(1/(VLOOKUP($BM161,'Fuel economy adjusted factor'!$A$2:$L$52,5,FALSE)*m2k))/'TCO Inputs'!$AZ$84</f>
        <v>6.5611543625165867</v>
      </c>
      <c r="FJ161" s="125">
        <f>FJ50/293.07*(1/(VLOOKUP($BM161,'Fuel economy adjusted factor'!$A$2:$L$52,5,FALSE)*m2k))/'TCO Inputs'!$AZ$84</f>
        <v>4.1172816780186814</v>
      </c>
      <c r="FK161" s="125">
        <f>FK50/293.07*(1/(VLOOKUP($BM161,'Fuel economy adjusted factor'!$A$2:$L$52,5,FALSE)*m2k))/'TCO Inputs'!$AZ$84</f>
        <v>4.1172816780186814</v>
      </c>
      <c r="FL161" s="125">
        <f>FL50/293.07*(1/(VLOOKUP($BM161,'Fuel economy adjusted factor'!$A$2:$L$52,5,FALSE)*m2k))/'TCO Inputs'!$AZ$84</f>
        <v>4.1172816780186814</v>
      </c>
      <c r="FM161" s="125">
        <f>FM50/293.07*(1/(VLOOKUP($BM161,'Fuel economy adjusted factor'!$A$2:$L$52,5,FALSE)*m2k))/'TCO Inputs'!$AZ$84</f>
        <v>4.1172816780186814</v>
      </c>
      <c r="FN161" s="125">
        <f>FN50/293.07*(1/(VLOOKUP($BM161,'Fuel economy adjusted factor'!$A$2:$L$52,5,FALSE)*m2k))/'TCO Inputs'!$AZ$84</f>
        <v>4.1172816780186814</v>
      </c>
      <c r="FO161" s="125">
        <f>FO50/293.07*(1/(VLOOKUP($BM161,'Fuel economy adjusted factor'!$A$2:$L$52,5,FALSE)*m2k))/'TCO Inputs'!$AZ$84</f>
        <v>3.6559417473634386</v>
      </c>
      <c r="FP161" s="125">
        <f>FP50/293.07*(1/(VLOOKUP($BM161,'Fuel economy adjusted factor'!$A$2:$L$52,5,FALSE)*m2k))/'TCO Inputs'!$AZ$84</f>
        <v>3.6559417473634386</v>
      </c>
      <c r="FQ161" s="125">
        <f>FQ50/293.07*(1/(VLOOKUP($BM161,'Fuel economy adjusted factor'!$A$2:$L$52,5,FALSE)*m2k))/'TCO Inputs'!$AZ$84</f>
        <v>3.6559417473634386</v>
      </c>
      <c r="FR161" s="125">
        <f>FR50/293.07*(1/(VLOOKUP($BM161,'Fuel economy adjusted factor'!$A$2:$L$52,5,FALSE)*m2k))/'TCO Inputs'!$AZ$84</f>
        <v>3.6559417473634386</v>
      </c>
      <c r="FS161" s="125">
        <f>FS50/293.07*(1/(VLOOKUP($BM161,'Fuel economy adjusted factor'!$A$2:$L$52,5,FALSE)*m2k))/'TCO Inputs'!$AZ$84</f>
        <v>3.6559417473634386</v>
      </c>
      <c r="FT161" s="125">
        <f>FT50/293.07*(1/(VLOOKUP($BM161,'Fuel economy adjusted factor'!$A$2:$L$52,5,FALSE)*m2k))/'TCO Inputs'!$AZ$84</f>
        <v>3.5628782596386883</v>
      </c>
      <c r="FU161" s="125">
        <f>FU50/293.07*(1/(VLOOKUP($BM161,'Fuel economy adjusted factor'!$A$2:$L$52,5,FALSE)*m2k))/'TCO Inputs'!$AZ$84</f>
        <v>3.5628782596386883</v>
      </c>
      <c r="FV161" s="125">
        <f>FV50/293.07*(1/(VLOOKUP($BM161,'Fuel economy adjusted factor'!$A$2:$L$52,5,FALSE)*m2k))/'TCO Inputs'!$AZ$84</f>
        <v>3.5628782596386883</v>
      </c>
      <c r="FW161" s="125">
        <f>FW50/293.07*(1/(VLOOKUP($BM161,'Fuel economy adjusted factor'!$A$2:$L$52,5,FALSE)*m2k))/'TCO Inputs'!$AZ$84</f>
        <v>3.5628782596386883</v>
      </c>
      <c r="FX161" s="125">
        <f>FX50/293.07*(1/(VLOOKUP($BM161,'Fuel economy adjusted factor'!$A$2:$L$52,5,FALSE)*m2k))/'TCO Inputs'!$AZ$84</f>
        <v>3.5628782596386883</v>
      </c>
      <c r="FY161" s="125">
        <f>FY50/293.07*(1/(VLOOKUP($BM161,'Fuel economy adjusted factor'!$A$2:$L$52,5,FALSE)*m2k))/'TCO Inputs'!$AZ$84</f>
        <v>3.4424311593615036</v>
      </c>
      <c r="FZ161" s="125">
        <f>FZ50/293.07*(1/(VLOOKUP($BM161,'Fuel economy adjusted factor'!$A$2:$L$52,5,FALSE)*m2k))/'TCO Inputs'!$AZ$84</f>
        <v>3.4424311593615036</v>
      </c>
      <c r="GA161" s="125">
        <f>GA50/293.07*(1/(VLOOKUP($BM161,'Fuel economy adjusted factor'!$A$2:$L$52,5,FALSE)*m2k))/'TCO Inputs'!$AZ$84</f>
        <v>3.4424311593615036</v>
      </c>
      <c r="GB161" s="125">
        <f>GB50/293.07*(1/(VLOOKUP($BM161,'Fuel economy adjusted factor'!$A$2:$L$52,5,FALSE)*m2k))/'TCO Inputs'!$AZ$84</f>
        <v>3.4424311593615036</v>
      </c>
      <c r="GC161" s="125">
        <f>GC50/293.07*(1/(VLOOKUP($BM161,'Fuel economy adjusted factor'!$A$2:$L$52,5,FALSE)*m2k))/'TCO Inputs'!$AZ$84</f>
        <v>3.4424311593615036</v>
      </c>
      <c r="GD161" s="125">
        <f>GD50/293.07*(1/(VLOOKUP($BM161,'Fuel economy adjusted factor'!$A$2:$L$52,5,FALSE)*m2k))/'TCO Inputs'!$AZ$84</f>
        <v>3.2474312815207109</v>
      </c>
      <c r="GE161" s="98" cm="1">
        <f t="array" ref="GE161">SUMPRODUCT(INDEX(FC161:GD161,,'TCO Inputs'!$AZ$12-2023+_xlfn.SEQUENCE('TCO Inputs'!$AZ$13))*INDEX('VKT US'!C107:AA107,,_xlfn.SEQUENCE('TCO Inputs'!$AZ$13)))*m2k*CONVERT(0.9072,"g","ton")</f>
        <v>1.5305709964988419</v>
      </c>
      <c r="GH161" s="123" t="s">
        <v>228</v>
      </c>
      <c r="GI161" s="125">
        <f>GI50/293.07*(1/(VLOOKUP($BM161,'Fuel economy adjusted factor'!$A$2:$L$52,5,FALSE)*m2k))/'TCO Inputs'!$AZ$84</f>
        <v>6.5276515069356762</v>
      </c>
      <c r="GJ161" s="125">
        <f>GJ50/293.07*(1/(VLOOKUP($BM161,'Fuel economy adjusted factor'!$A$2:$L$52,5,FALSE)*m2k))/'TCO Inputs'!$AZ$84</f>
        <v>6.5276515069356762</v>
      </c>
      <c r="GK161" s="125">
        <f>GK50/293.07*(1/(VLOOKUP($BM161,'Fuel economy adjusted factor'!$A$2:$L$52,5,FALSE)*m2k))/'TCO Inputs'!$AZ$84</f>
        <v>5.7390340616407336</v>
      </c>
      <c r="GL161" s="125">
        <f>GL50/293.07*(1/(VLOOKUP($BM161,'Fuel economy adjusted factor'!$A$2:$L$52,5,FALSE)*m2k))/'TCO Inputs'!$AZ$84</f>
        <v>5.7390340616407336</v>
      </c>
      <c r="GM161" s="125">
        <f>GM50/293.07*(1/(VLOOKUP($BM161,'Fuel economy adjusted factor'!$A$2:$L$52,5,FALSE)*m2k))/'TCO Inputs'!$AZ$84</f>
        <v>5.7390340616407336</v>
      </c>
      <c r="GN161" s="125">
        <f>GN50/293.07*(1/(VLOOKUP($BM161,'Fuel economy adjusted factor'!$A$2:$L$52,5,FALSE)*m2k))/'TCO Inputs'!$AZ$84</f>
        <v>5.7390340616407336</v>
      </c>
      <c r="GO161" s="125">
        <f>GO50/293.07*(1/(VLOOKUP($BM161,'Fuel economy adjusted factor'!$A$2:$L$52,5,FALSE)*m2k))/'TCO Inputs'!$AZ$84</f>
        <v>5.7390340616407336</v>
      </c>
      <c r="GP161" s="125">
        <f>GP50/293.07*(1/(VLOOKUP($BM161,'Fuel economy adjusted factor'!$A$2:$L$52,5,FALSE)*m2k))/'TCO Inputs'!$AZ$84</f>
        <v>3.4872036208531916</v>
      </c>
      <c r="GQ161" s="125">
        <f>GQ50/293.07*(1/(VLOOKUP($BM161,'Fuel economy adjusted factor'!$A$2:$L$52,5,FALSE)*m2k))/'TCO Inputs'!$AZ$84</f>
        <v>3.4872036208531916</v>
      </c>
      <c r="GR161" s="125">
        <f>GR50/293.07*(1/(VLOOKUP($BM161,'Fuel economy adjusted factor'!$A$2:$L$52,5,FALSE)*m2k))/'TCO Inputs'!$AZ$84</f>
        <v>3.4872036208531916</v>
      </c>
      <c r="GS161" s="125">
        <f>GS50/293.07*(1/(VLOOKUP($BM161,'Fuel economy adjusted factor'!$A$2:$L$52,5,FALSE)*m2k))/'TCO Inputs'!$AZ$84</f>
        <v>3.4872036208531916</v>
      </c>
      <c r="GT161" s="125">
        <f>GT50/293.07*(1/(VLOOKUP($BM161,'Fuel economy adjusted factor'!$A$2:$L$52,5,FALSE)*m2k))/'TCO Inputs'!$AZ$84</f>
        <v>3.4872036208531916</v>
      </c>
      <c r="GU161" s="125">
        <f>GU50/293.07*(1/(VLOOKUP($BM161,'Fuel economy adjusted factor'!$A$2:$L$52,5,FALSE)*m2k))/'TCO Inputs'!$AZ$84</f>
        <v>3.128972935227782</v>
      </c>
      <c r="GV161" s="125">
        <f>GV50/293.07*(1/(VLOOKUP($BM161,'Fuel economy adjusted factor'!$A$2:$L$52,5,FALSE)*m2k))/'TCO Inputs'!$AZ$84</f>
        <v>3.128972935227782</v>
      </c>
      <c r="GW161" s="125">
        <f>GW50/293.07*(1/(VLOOKUP($BM161,'Fuel economy adjusted factor'!$A$2:$L$52,5,FALSE)*m2k))/'TCO Inputs'!$AZ$84</f>
        <v>3.128972935227782</v>
      </c>
      <c r="GX161" s="125">
        <f>GX50/293.07*(1/(VLOOKUP($BM161,'Fuel economy adjusted factor'!$A$2:$L$52,5,FALSE)*m2k))/'TCO Inputs'!$AZ$84</f>
        <v>3.128972935227782</v>
      </c>
      <c r="GY161" s="125">
        <f>GY50/293.07*(1/(VLOOKUP($BM161,'Fuel economy adjusted factor'!$A$2:$L$52,5,FALSE)*m2k))/'TCO Inputs'!$AZ$84</f>
        <v>3.128972935227782</v>
      </c>
      <c r="GZ161" s="125">
        <f>GZ50/293.07*(1/(VLOOKUP($BM161,'Fuel economy adjusted factor'!$A$2:$L$52,5,FALSE)*m2k))/'TCO Inputs'!$AZ$84</f>
        <v>3.0155119707414415</v>
      </c>
      <c r="HA161" s="125">
        <f>HA50/293.07*(1/(VLOOKUP($BM161,'Fuel economy adjusted factor'!$A$2:$L$52,5,FALSE)*m2k))/'TCO Inputs'!$AZ$84</f>
        <v>3.0155119707414415</v>
      </c>
      <c r="HB161" s="125">
        <f>HB50/293.07*(1/(VLOOKUP($BM161,'Fuel economy adjusted factor'!$A$2:$L$52,5,FALSE)*m2k))/'TCO Inputs'!$AZ$84</f>
        <v>3.0155119707414415</v>
      </c>
      <c r="HC161" s="125">
        <f>HC50/293.07*(1/(VLOOKUP($BM161,'Fuel economy adjusted factor'!$A$2:$L$52,5,FALSE)*m2k))/'TCO Inputs'!$AZ$84</f>
        <v>3.0155119707414415</v>
      </c>
      <c r="HD161" s="125">
        <f>HD50/293.07*(1/(VLOOKUP($BM161,'Fuel economy adjusted factor'!$A$2:$L$52,5,FALSE)*m2k))/'TCO Inputs'!$AZ$84</f>
        <v>3.0155119707414415</v>
      </c>
      <c r="HE161" s="125">
        <f>HE50/293.07*(1/(VLOOKUP($BM161,'Fuel economy adjusted factor'!$A$2:$L$52,5,FALSE)*m2k))/'TCO Inputs'!$AZ$84</f>
        <v>2.8954728199994895</v>
      </c>
      <c r="HF161" s="125">
        <f>HF50/293.07*(1/(VLOOKUP($BM161,'Fuel economy adjusted factor'!$A$2:$L$52,5,FALSE)*m2k))/'TCO Inputs'!$AZ$84</f>
        <v>2.8954728199994895</v>
      </c>
      <c r="HG161" s="125">
        <f>HG50/293.07*(1/(VLOOKUP($BM161,'Fuel economy adjusted factor'!$A$2:$L$52,5,FALSE)*m2k))/'TCO Inputs'!$AZ$84</f>
        <v>2.8954728199994895</v>
      </c>
      <c r="HH161" s="125">
        <f>HH50/293.07*(1/(VLOOKUP($BM161,'Fuel economy adjusted factor'!$A$2:$L$52,5,FALSE)*m2k))/'TCO Inputs'!$AZ$84</f>
        <v>2.8954728199994895</v>
      </c>
      <c r="HI161" s="125">
        <f>HI50/293.07*(1/(VLOOKUP($BM161,'Fuel economy adjusted factor'!$A$2:$L$52,5,FALSE)*m2k))/'TCO Inputs'!$AZ$84</f>
        <v>2.8954728199994895</v>
      </c>
      <c r="HJ161" s="125">
        <f>HJ50/293.07*(1/(VLOOKUP($BM161,'Fuel economy adjusted factor'!$A$2:$L$52,5,FALSE)*m2k))/'TCO Inputs'!$AZ$84</f>
        <v>2.7114875796099547</v>
      </c>
      <c r="HK161" s="98" cm="1">
        <f t="array" ref="HK161">SUMPRODUCT(INDEX(GI161:HJ161,,'TCO Inputs'!$AZ$12-2023+_xlfn.SEQUENCE('TCO Inputs'!$AZ$13))*INDEX('VKT US'!C107:AA107,,_xlfn.SEQUENCE('TCO Inputs'!$AZ$13)))*m2k*CONVERT(0.9072,"g","ton")</f>
        <v>1.3241182874481818</v>
      </c>
    </row>
    <row r="162" spans="22:219" x14ac:dyDescent="0.25">
      <c r="Z162" s="123" t="s">
        <v>227</v>
      </c>
      <c r="AA162" s="125">
        <f>AA51/293.07*(1/(VLOOKUP($Z162,'Fuel economy adjusted factor'!$A$2:$L$52,5,FALSE)*m2k))/'TCO Inputs'!$AZ$84</f>
        <v>72.715264139260171</v>
      </c>
      <c r="AB162" s="125">
        <f>AB51/293.07*(1/(VLOOKUP($Z162,'Fuel economy adjusted factor'!$A$2:$L$52,5,FALSE)*m2k))/'TCO Inputs'!$AZ$84</f>
        <v>72.715264139260171</v>
      </c>
      <c r="AC162" s="125">
        <f>AC51/293.07*(1/(VLOOKUP($Z162,'Fuel economy adjusted factor'!$A$2:$L$52,5,FALSE)*m2k))/'TCO Inputs'!$AZ$84</f>
        <v>63.952626787932644</v>
      </c>
      <c r="AD162" s="125">
        <f>AD51/293.07*(1/(VLOOKUP($Z162,'Fuel economy adjusted factor'!$A$2:$L$52,5,FALSE)*m2k))/'TCO Inputs'!$AZ$84</f>
        <v>63.952626787932644</v>
      </c>
      <c r="AE162" s="125">
        <f>AE51/293.07*(1/(VLOOKUP($Z162,'Fuel economy adjusted factor'!$A$2:$L$52,5,FALSE)*m2k))/'TCO Inputs'!$AZ$84</f>
        <v>63.952626787932644</v>
      </c>
      <c r="AF162" s="125">
        <f>AF51/293.07*(1/(VLOOKUP($Z162,'Fuel economy adjusted factor'!$A$2:$L$52,5,FALSE)*m2k))/'TCO Inputs'!$AZ$84</f>
        <v>63.952626787932644</v>
      </c>
      <c r="AG162" s="125">
        <f>AG51/293.07*(1/(VLOOKUP($Z162,'Fuel economy adjusted factor'!$A$2:$L$52,5,FALSE)*m2k))/'TCO Inputs'!$AZ$84</f>
        <v>63.952626787932644</v>
      </c>
      <c r="AH162" s="125">
        <f>AH51/293.07*(1/(VLOOKUP($Z162,'Fuel economy adjusted factor'!$A$2:$L$52,5,FALSE)*m2k))/'TCO Inputs'!$AZ$84</f>
        <v>38.425148249698061</v>
      </c>
      <c r="AI162" s="125">
        <f>AI51/293.07*(1/(VLOOKUP($Z162,'Fuel economy adjusted factor'!$A$2:$L$52,5,FALSE)*m2k))/'TCO Inputs'!$AZ$84</f>
        <v>38.425148249698061</v>
      </c>
      <c r="AJ162" s="125">
        <f>AJ51/293.07*(1/(VLOOKUP($Z162,'Fuel economy adjusted factor'!$A$2:$L$52,5,FALSE)*m2k))/'TCO Inputs'!$AZ$84</f>
        <v>38.425148249698061</v>
      </c>
      <c r="AK162" s="125">
        <f>AK51/293.07*(1/(VLOOKUP($Z162,'Fuel economy adjusted factor'!$A$2:$L$52,5,FALSE)*m2k))/'TCO Inputs'!$AZ$84</f>
        <v>38.425148249698061</v>
      </c>
      <c r="AL162" s="125">
        <f>AL51/293.07*(1/(VLOOKUP($Z162,'Fuel economy adjusted factor'!$A$2:$L$52,5,FALSE)*m2k))/'TCO Inputs'!$AZ$84</f>
        <v>38.425148249698061</v>
      </c>
      <c r="AM162" s="125">
        <f>AM51/293.07*(1/(VLOOKUP($Z162,'Fuel economy adjusted factor'!$A$2:$L$52,5,FALSE)*m2k))/'TCO Inputs'!$AZ$84</f>
        <v>40.211074273787133</v>
      </c>
      <c r="AN162" s="125">
        <f>AN51/293.07*(1/(VLOOKUP($Z162,'Fuel economy adjusted factor'!$A$2:$L$52,5,FALSE)*m2k))/'TCO Inputs'!$AZ$84</f>
        <v>40.211074273787133</v>
      </c>
      <c r="AO162" s="125">
        <f>AO51/293.07*(1/(VLOOKUP($Z162,'Fuel economy adjusted factor'!$A$2:$L$52,5,FALSE)*m2k))/'TCO Inputs'!$AZ$84</f>
        <v>40.211074273787133</v>
      </c>
      <c r="AP162" s="125">
        <f>AP51/293.07*(1/(VLOOKUP($Z162,'Fuel economy adjusted factor'!$A$2:$L$52,5,FALSE)*m2k))/'TCO Inputs'!$AZ$84</f>
        <v>40.211074273787133</v>
      </c>
      <c r="AQ162" s="125">
        <f>AQ51/293.07*(1/(VLOOKUP($Z162,'Fuel economy adjusted factor'!$A$2:$L$52,5,FALSE)*m2k))/'TCO Inputs'!$AZ$84</f>
        <v>40.211074273787133</v>
      </c>
      <c r="AR162" s="125">
        <f>AR51/293.07*(1/(VLOOKUP($Z162,'Fuel economy adjusted factor'!$A$2:$L$52,5,FALSE)*m2k))/'TCO Inputs'!$AZ$84</f>
        <v>42.034545652006727</v>
      </c>
      <c r="AS162" s="125">
        <f>AS51/293.07*(1/(VLOOKUP($Z162,'Fuel economy adjusted factor'!$A$2:$L$52,5,FALSE)*m2k))/'TCO Inputs'!$AZ$84</f>
        <v>42.034545652006727</v>
      </c>
      <c r="AT162" s="125">
        <f>AT51/293.07*(1/(VLOOKUP($Z162,'Fuel economy adjusted factor'!$A$2:$L$52,5,FALSE)*m2k))/'TCO Inputs'!$AZ$84</f>
        <v>42.034545652006727</v>
      </c>
      <c r="AU162" s="125">
        <f>AU51/293.07*(1/(VLOOKUP($Z162,'Fuel economy adjusted factor'!$A$2:$L$52,5,FALSE)*m2k))/'TCO Inputs'!$AZ$84</f>
        <v>42.034545652006727</v>
      </c>
      <c r="AV162" s="125">
        <f>AV51/293.07*(1/(VLOOKUP($Z162,'Fuel economy adjusted factor'!$A$2:$L$52,5,FALSE)*m2k))/'TCO Inputs'!$AZ$84</f>
        <v>42.034545652006727</v>
      </c>
      <c r="AW162" s="125">
        <f>AW51/293.07*(1/(VLOOKUP($Z162,'Fuel economy adjusted factor'!$A$2:$L$52,5,FALSE)*m2k))/'TCO Inputs'!$AZ$84</f>
        <v>42.956928531093844</v>
      </c>
      <c r="AX162" s="125">
        <f>AX51/293.07*(1/(VLOOKUP($Z162,'Fuel economy adjusted factor'!$A$2:$L$52,5,FALSE)*m2k))/'TCO Inputs'!$AZ$84</f>
        <v>42.956928531093844</v>
      </c>
      <c r="AY162" s="125">
        <f>AY51/293.07*(1/(VLOOKUP($Z162,'Fuel economy adjusted factor'!$A$2:$L$52,5,FALSE)*m2k))/'TCO Inputs'!$AZ$84</f>
        <v>42.956928531093844</v>
      </c>
      <c r="AZ162" s="125">
        <f>AZ51/293.07*(1/(VLOOKUP($Z162,'Fuel economy adjusted factor'!$A$2:$L$52,5,FALSE)*m2k))/'TCO Inputs'!$AZ$84</f>
        <v>42.956928531093844</v>
      </c>
      <c r="BA162" s="125">
        <f>BA51/293.07*(1/(VLOOKUP($Z162,'Fuel economy adjusted factor'!$A$2:$L$52,5,FALSE)*m2k))/'TCO Inputs'!$AZ$84</f>
        <v>42.956928531093844</v>
      </c>
      <c r="BB162" s="125">
        <f>BB51/293.07*(1/(VLOOKUP($Z162,'Fuel economy adjusted factor'!$A$2:$L$52,5,FALSE)*m2k))/'TCO Inputs'!$AZ$84</f>
        <v>43.015207886759121</v>
      </c>
      <c r="BC162" s="98" cm="1">
        <f t="array" ref="BC162">SUMPRODUCT(INDEX(AA162:BB162,,'TCO Inputs'!$AZ$12-2023+_xlfn.SEQUENCE('TCO Inputs'!$AZ$13))*INDEX('VKT US'!C108:AA108,,_xlfn.SEQUENCE('TCO Inputs'!$AZ$13)))*m2k*CONVERT(0.9072,"g","ton")</f>
        <v>16.614265278905666</v>
      </c>
      <c r="BM162" s="123" t="s">
        <v>227</v>
      </c>
      <c r="BN162" s="125">
        <f>BN51/293.07*(1/(VLOOKUP($BM162,'Fuel economy adjusted factor'!$A$2:$L$52,5,FALSE)*m2k))</f>
        <v>61.807974518371147</v>
      </c>
      <c r="BO162" s="125">
        <f>BO51/293.07*(1/(VLOOKUP($BM162,'Fuel economy adjusted factor'!$A$2:$L$52,5,FALSE)*m2k))</f>
        <v>61.807974518371147</v>
      </c>
      <c r="BP162" s="125">
        <f>BP51/293.07*(1/(VLOOKUP($BM162,'Fuel economy adjusted factor'!$A$2:$L$52,5,FALSE)*m2k))</f>
        <v>54.288760842867667</v>
      </c>
      <c r="BQ162" s="125">
        <f>BQ51/293.07*(1/(VLOOKUP($BM162,'Fuel economy adjusted factor'!$A$2:$L$52,5,FALSE)*m2k))</f>
        <v>54.288760842867667</v>
      </c>
      <c r="BR162" s="125">
        <f>BR51/293.07*(1/(VLOOKUP($BM162,'Fuel economy adjusted factor'!$A$2:$L$52,5,FALSE)*m2k))</f>
        <v>54.288760842867667</v>
      </c>
      <c r="BS162" s="125">
        <f>BS51/293.07*(1/(VLOOKUP($BM162,'Fuel economy adjusted factor'!$A$2:$L$52,5,FALSE)*m2k))</f>
        <v>54.288760842867667</v>
      </c>
      <c r="BT162" s="125">
        <f>BT51/293.07*(1/(VLOOKUP($BM162,'Fuel economy adjusted factor'!$A$2:$L$52,5,FALSE)*m2k))</f>
        <v>54.288760842867667</v>
      </c>
      <c r="BU162" s="125">
        <f>BU51/293.07*(1/(VLOOKUP($BM162,'Fuel economy adjusted factor'!$A$2:$L$52,5,FALSE)*m2k))</f>
        <v>61.539805425547854</v>
      </c>
      <c r="BV162" s="125">
        <f>BV51/293.07*(1/(VLOOKUP($BM162,'Fuel economy adjusted factor'!$A$2:$L$52,5,FALSE)*m2k))</f>
        <v>61.539805425547854</v>
      </c>
      <c r="BW162" s="125">
        <f>BW51/293.07*(1/(VLOOKUP($BM162,'Fuel economy adjusted factor'!$A$2:$L$52,5,FALSE)*m2k))</f>
        <v>61.539805425547854</v>
      </c>
      <c r="BX162" s="125">
        <f>BX51/293.07*(1/(VLOOKUP($BM162,'Fuel economy adjusted factor'!$A$2:$L$52,5,FALSE)*m2k))</f>
        <v>61.539805425547854</v>
      </c>
      <c r="BY162" s="125">
        <f>BY51/293.07*(1/(VLOOKUP($BM162,'Fuel economy adjusted factor'!$A$2:$L$52,5,FALSE)*m2k))</f>
        <v>61.539805425547854</v>
      </c>
      <c r="BZ162" s="125">
        <f>BZ51/293.07*(1/(VLOOKUP($BM162,'Fuel economy adjusted factor'!$A$2:$L$52,5,FALSE)*m2k))</f>
        <v>63.01973681347318</v>
      </c>
      <c r="CA162" s="125">
        <f>CA51/293.07*(1/(VLOOKUP($BM162,'Fuel economy adjusted factor'!$A$2:$L$52,5,FALSE)*m2k))</f>
        <v>63.01973681347318</v>
      </c>
      <c r="CB162" s="125">
        <f>CB51/293.07*(1/(VLOOKUP($BM162,'Fuel economy adjusted factor'!$A$2:$L$52,5,FALSE)*m2k))</f>
        <v>63.01973681347318</v>
      </c>
      <c r="CC162" s="125">
        <f>CC51/293.07*(1/(VLOOKUP($BM162,'Fuel economy adjusted factor'!$A$2:$L$52,5,FALSE)*m2k))</f>
        <v>63.01973681347318</v>
      </c>
      <c r="CD162" s="125">
        <f>CD51/293.07*(1/(VLOOKUP($BM162,'Fuel economy adjusted factor'!$A$2:$L$52,5,FALSE)*m2k))</f>
        <v>63.01973681347318</v>
      </c>
      <c r="CE162" s="125">
        <f>CE51/293.07*(1/(VLOOKUP($BM162,'Fuel economy adjusted factor'!$A$2:$L$52,5,FALSE)*m2k))</f>
        <v>64.577308631469919</v>
      </c>
      <c r="CF162" s="125">
        <f>CF51/293.07*(1/(VLOOKUP($BM162,'Fuel economy adjusted factor'!$A$2:$L$52,5,FALSE)*m2k))</f>
        <v>64.577308631469919</v>
      </c>
      <c r="CG162" s="125">
        <f>CG51/293.07*(1/(VLOOKUP($BM162,'Fuel economy adjusted factor'!$A$2:$L$52,5,FALSE)*m2k))</f>
        <v>64.577308631469919</v>
      </c>
      <c r="CH162" s="125">
        <f>CH51/293.07*(1/(VLOOKUP($BM162,'Fuel economy adjusted factor'!$A$2:$L$52,5,FALSE)*m2k))</f>
        <v>64.577308631469919</v>
      </c>
      <c r="CI162" s="125">
        <f>CI51/293.07*(1/(VLOOKUP($BM162,'Fuel economy adjusted factor'!$A$2:$L$52,5,FALSE)*m2k))</f>
        <v>64.577308631469919</v>
      </c>
      <c r="CJ162" s="125">
        <f>CJ51/293.07*(1/(VLOOKUP($BM162,'Fuel economy adjusted factor'!$A$2:$L$52,5,FALSE)*m2k))</f>
        <v>64.946934237208595</v>
      </c>
      <c r="CK162" s="125">
        <f>CK51/293.07*(1/(VLOOKUP($BM162,'Fuel economy adjusted factor'!$A$2:$L$52,5,FALSE)*m2k))</f>
        <v>64.946934237208595</v>
      </c>
      <c r="CL162" s="125">
        <f>CL51/293.07*(1/(VLOOKUP($BM162,'Fuel economy adjusted factor'!$A$2:$L$52,5,FALSE)*m2k))</f>
        <v>64.946934237208595</v>
      </c>
      <c r="CM162" s="125">
        <f>CM51/293.07*(1/(VLOOKUP($BM162,'Fuel economy adjusted factor'!$A$2:$L$52,5,FALSE)*m2k))</f>
        <v>64.946934237208595</v>
      </c>
      <c r="CN162" s="125">
        <f>CN51/293.07*(1/(VLOOKUP($BM162,'Fuel economy adjusted factor'!$A$2:$L$52,5,FALSE)*m2k))</f>
        <v>64.946934237208595</v>
      </c>
      <c r="CO162" s="125">
        <f>CO51/293.07*(1/(VLOOKUP($BM162,'Fuel economy adjusted factor'!$A$2:$L$52,5,FALSE)*m2k))</f>
        <v>65.388484413136112</v>
      </c>
      <c r="CP162" s="98" cm="1">
        <f t="array" ref="CP162">SUMPRODUCT(INDEX(BN162:CO162,,'TCO Inputs'!$AZ$12-2023+_xlfn.SEQUENCE('TCO Inputs'!$AZ$13))*INDEX('VKT US'!C108:AA108,,_xlfn.SEQUENCE('TCO Inputs'!$AZ$13)))*m2k*CONVERT(0.9072,"g","ton")</f>
        <v>18.096483378088024</v>
      </c>
      <c r="CQ162" s="194"/>
      <c r="CR162" s="123" t="s">
        <v>227</v>
      </c>
      <c r="CS162" s="125">
        <f>CS51/293.07*(1/(VLOOKUP($BM162,'Fuel economy adjusted factor'!$A$2:$L$52,5,FALSE)*m2k))/'TCO Inputs'!$AZ$84</f>
        <v>88.038812030291155</v>
      </c>
      <c r="CT162" s="125">
        <f>CT51/293.07*(1/(VLOOKUP($BM162,'Fuel economy adjusted factor'!$A$2:$L$52,5,FALSE)*m2k))/'TCO Inputs'!$AZ$84</f>
        <v>88.038812030291155</v>
      </c>
      <c r="CU162" s="125">
        <f>CU51/293.07*(1/(VLOOKUP($BM162,'Fuel economy adjusted factor'!$A$2:$L$52,5,FALSE)*m2k))/'TCO Inputs'!$AZ$84</f>
        <v>88.038812030291155</v>
      </c>
      <c r="CV162" s="125">
        <f>CV51/293.07*(1/(VLOOKUP($BM162,'Fuel economy adjusted factor'!$A$2:$L$52,5,FALSE)*m2k))/'TCO Inputs'!$AZ$84</f>
        <v>88.038812030291155</v>
      </c>
      <c r="CW162" s="125">
        <f>CW51/293.07*(1/(VLOOKUP($BM162,'Fuel economy adjusted factor'!$A$2:$L$52,5,FALSE)*m2k))/'TCO Inputs'!$AZ$84</f>
        <v>88.038812030291155</v>
      </c>
      <c r="CX162" s="125">
        <f>CX51/293.07*(1/(VLOOKUP($BM162,'Fuel economy adjusted factor'!$A$2:$L$52,5,FALSE)*m2k))/'TCO Inputs'!$AZ$84</f>
        <v>88.038812030291155</v>
      </c>
      <c r="CY162" s="125">
        <f>CY51/293.07*(1/(VLOOKUP($BM162,'Fuel economy adjusted factor'!$A$2:$L$52,5,FALSE)*m2k))/'TCO Inputs'!$AZ$84</f>
        <v>88.038812030291155</v>
      </c>
      <c r="CZ162" s="125">
        <f>CZ51/293.07*(1/(VLOOKUP($BM162,'Fuel economy adjusted factor'!$A$2:$L$52,5,FALSE)*m2k))/'TCO Inputs'!$AZ$84</f>
        <v>88.058425274986192</v>
      </c>
      <c r="DA162" s="125">
        <f>DA51/293.07*(1/(VLOOKUP($BM162,'Fuel economy adjusted factor'!$A$2:$L$52,5,FALSE)*m2k))/'TCO Inputs'!$AZ$84</f>
        <v>88.058425274986192</v>
      </c>
      <c r="DB162" s="125">
        <f>DB51/293.07*(1/(VLOOKUP($BM162,'Fuel economy adjusted factor'!$A$2:$L$52,5,FALSE)*m2k))/'TCO Inputs'!$AZ$84</f>
        <v>88.058425274986192</v>
      </c>
      <c r="DC162" s="125">
        <f>DC51/293.07*(1/(VLOOKUP($BM162,'Fuel economy adjusted factor'!$A$2:$L$52,5,FALSE)*m2k))/'TCO Inputs'!$AZ$84</f>
        <v>88.058425274986192</v>
      </c>
      <c r="DD162" s="125">
        <f>DD51/293.07*(1/(VLOOKUP($BM162,'Fuel economy adjusted factor'!$A$2:$L$52,5,FALSE)*m2k))/'TCO Inputs'!$AZ$84</f>
        <v>88.058425274986192</v>
      </c>
      <c r="DE162" s="125">
        <f>DE51/293.07*(1/(VLOOKUP($BM162,'Fuel economy adjusted factor'!$A$2:$L$52,5,FALSE)*m2k))/'TCO Inputs'!$AZ$84</f>
        <v>88.047217706589024</v>
      </c>
      <c r="DF162" s="125">
        <f>DF51/293.07*(1/(VLOOKUP($BM162,'Fuel economy adjusted factor'!$A$2:$L$52,5,FALSE)*m2k))/'TCO Inputs'!$AZ$84</f>
        <v>88.047217706589024</v>
      </c>
      <c r="DG162" s="125">
        <f>DG51/293.07*(1/(VLOOKUP($BM162,'Fuel economy adjusted factor'!$A$2:$L$52,5,FALSE)*m2k))/'TCO Inputs'!$AZ$84</f>
        <v>88.047217706589024</v>
      </c>
      <c r="DH162" s="125">
        <f>DH51/293.07*(1/(VLOOKUP($BM162,'Fuel economy adjusted factor'!$A$2:$L$52,5,FALSE)*m2k))/'TCO Inputs'!$AZ$84</f>
        <v>88.047217706589024</v>
      </c>
      <c r="DI162" s="125">
        <f>DI51/293.07*(1/(VLOOKUP($BM162,'Fuel economy adjusted factor'!$A$2:$L$52,5,FALSE)*m2k))/'TCO Inputs'!$AZ$84</f>
        <v>88.047217706589024</v>
      </c>
      <c r="DJ162" s="125">
        <f>DJ51/293.07*(1/(VLOOKUP($BM162,'Fuel economy adjusted factor'!$A$2:$L$52,5,FALSE)*m2k))/'TCO Inputs'!$AZ$84</f>
        <v>88.044415814489739</v>
      </c>
      <c r="DK162" s="125">
        <f>DK51/293.07*(1/(VLOOKUP($BM162,'Fuel economy adjusted factor'!$A$2:$L$52,5,FALSE)*m2k))/'TCO Inputs'!$AZ$84</f>
        <v>88.044415814489739</v>
      </c>
      <c r="DL162" s="125">
        <f>DL51/293.07*(1/(VLOOKUP($BM162,'Fuel economy adjusted factor'!$A$2:$L$52,5,FALSE)*m2k))/'TCO Inputs'!$AZ$84</f>
        <v>88.044415814489739</v>
      </c>
      <c r="DM162" s="125">
        <f>DM51/293.07*(1/(VLOOKUP($BM162,'Fuel economy adjusted factor'!$A$2:$L$52,5,FALSE)*m2k))/'TCO Inputs'!$AZ$84</f>
        <v>88.044415814489739</v>
      </c>
      <c r="DN162" s="125">
        <f>DN51/293.07*(1/(VLOOKUP($BM162,'Fuel economy adjusted factor'!$A$2:$L$52,5,FALSE)*m2k))/'TCO Inputs'!$AZ$84</f>
        <v>88.044415814489739</v>
      </c>
      <c r="DO162" s="125">
        <f>DO51/293.07*(1/(VLOOKUP($BM162,'Fuel economy adjusted factor'!$A$2:$L$52,5,FALSE)*m2k))/'TCO Inputs'!$AZ$84</f>
        <v>87.990059107763457</v>
      </c>
      <c r="DP162" s="125">
        <f>DP51/293.07*(1/(VLOOKUP($BM162,'Fuel economy adjusted factor'!$A$2:$L$52,5,FALSE)*m2k))/'TCO Inputs'!$AZ$84</f>
        <v>87.990059107763457</v>
      </c>
      <c r="DQ162" s="125">
        <f>DQ51/293.07*(1/(VLOOKUP($BM162,'Fuel economy adjusted factor'!$A$2:$L$52,5,FALSE)*m2k))/'TCO Inputs'!$AZ$84</f>
        <v>87.990059107763457</v>
      </c>
      <c r="DR162" s="125">
        <f>DR51/293.07*(1/(VLOOKUP($BM162,'Fuel economy adjusted factor'!$A$2:$L$52,5,FALSE)*m2k))/'TCO Inputs'!$AZ$84</f>
        <v>87.990059107763457</v>
      </c>
      <c r="DS162" s="125">
        <f>DS51/293.07*(1/(VLOOKUP($BM162,'Fuel economy adjusted factor'!$A$2:$L$52,5,FALSE)*m2k))/'TCO Inputs'!$AZ$84</f>
        <v>87.990059107763457</v>
      </c>
      <c r="DT162" s="125">
        <f>DT51/293.07*(1/(VLOOKUP($BM162,'Fuel economy adjusted factor'!$A$2:$L$52,5,FALSE)*m2k))/'TCO Inputs'!$AZ$84</f>
        <v>88.035449759771993</v>
      </c>
      <c r="DU162" s="98" cm="1">
        <f t="array" ref="DU162">SUMPRODUCT(INDEX(CS162:DT162,,'TCO Inputs'!$AZ$12-2023+_xlfn.SEQUENCE('TCO Inputs'!$AZ$13))*INDEX('VKT US'!C108:AA108,,_xlfn.SEQUENCE('TCO Inputs'!$AZ$13)))*m2k*CONVERT(0.9072,"g","ton")</f>
        <v>27.005799306067125</v>
      </c>
      <c r="DW162" s="123" t="s">
        <v>227</v>
      </c>
      <c r="DX162" s="125">
        <f>DX51/293.07*(1/(VLOOKUP($BM162,'Fuel economy adjusted factor'!$A$2:$L$52,5,FALSE)*m2k))/'TCO Inputs'!$AZ$84</f>
        <v>92.159832554732162</v>
      </c>
      <c r="DY162" s="125">
        <f>DY51/293.07*(1/(VLOOKUP($BM162,'Fuel economy adjusted factor'!$A$2:$L$52,5,FALSE)*m2k))/'TCO Inputs'!$AZ$84</f>
        <v>92.159832554732162</v>
      </c>
      <c r="DZ162" s="125">
        <f>DZ51/293.07*(1/(VLOOKUP($BM162,'Fuel economy adjusted factor'!$A$2:$L$52,5,FALSE)*m2k))/'TCO Inputs'!$AZ$84</f>
        <v>80.787335677768041</v>
      </c>
      <c r="EA162" s="125">
        <f>EA51/293.07*(1/(VLOOKUP($BM162,'Fuel economy adjusted factor'!$A$2:$L$52,5,FALSE)*m2k))/'TCO Inputs'!$AZ$84</f>
        <v>80.787335677768041</v>
      </c>
      <c r="EB162" s="125">
        <f>EB51/293.07*(1/(VLOOKUP($BM162,'Fuel economy adjusted factor'!$A$2:$L$52,5,FALSE)*m2k))/'TCO Inputs'!$AZ$84</f>
        <v>80.787335677768041</v>
      </c>
      <c r="EC162" s="125">
        <f>EC51/293.07*(1/(VLOOKUP($BM162,'Fuel economy adjusted factor'!$A$2:$L$52,5,FALSE)*m2k))/'TCO Inputs'!$AZ$84</f>
        <v>80.787335677768041</v>
      </c>
      <c r="ED162" s="125">
        <f>ED51/293.07*(1/(VLOOKUP($BM162,'Fuel economy adjusted factor'!$A$2:$L$52,5,FALSE)*m2k))/'TCO Inputs'!$AZ$84</f>
        <v>80.787335677768041</v>
      </c>
      <c r="EE162" s="125">
        <f>EE51/293.07*(1/(VLOOKUP($BM162,'Fuel economy adjusted factor'!$A$2:$L$52,5,FALSE)*m2k))/'TCO Inputs'!$AZ$84</f>
        <v>49.792159247316505</v>
      </c>
      <c r="EF162" s="125">
        <f>EF51/293.07*(1/(VLOOKUP($BM162,'Fuel economy adjusted factor'!$A$2:$L$52,5,FALSE)*m2k))/'TCO Inputs'!$AZ$84</f>
        <v>49.792159247316505</v>
      </c>
      <c r="EG162" s="125">
        <f>EG51/293.07*(1/(VLOOKUP($BM162,'Fuel economy adjusted factor'!$A$2:$L$52,5,FALSE)*m2k))/'TCO Inputs'!$AZ$84</f>
        <v>49.792159247316505</v>
      </c>
      <c r="EH162" s="125">
        <f>EH51/293.07*(1/(VLOOKUP($BM162,'Fuel economy adjusted factor'!$A$2:$L$52,5,FALSE)*m2k))/'TCO Inputs'!$AZ$84</f>
        <v>49.792159247316505</v>
      </c>
      <c r="EI162" s="125">
        <f>EI51/293.07*(1/(VLOOKUP($BM162,'Fuel economy adjusted factor'!$A$2:$L$52,5,FALSE)*m2k))/'TCO Inputs'!$AZ$84</f>
        <v>49.792159247316505</v>
      </c>
      <c r="EJ162" s="125">
        <f>EJ51/293.07*(1/(VLOOKUP($BM162,'Fuel economy adjusted factor'!$A$2:$L$52,5,FALSE)*m2k))/'TCO Inputs'!$AZ$84</f>
        <v>44.470248645782888</v>
      </c>
      <c r="EK162" s="125">
        <f>EK51/293.07*(1/(VLOOKUP($BM162,'Fuel economy adjusted factor'!$A$2:$L$52,5,FALSE)*m2k))/'TCO Inputs'!$AZ$84</f>
        <v>44.470248645782888</v>
      </c>
      <c r="EL162" s="125">
        <f>EL51/293.07*(1/(VLOOKUP($BM162,'Fuel economy adjusted factor'!$A$2:$L$52,5,FALSE)*m2k))/'TCO Inputs'!$AZ$84</f>
        <v>44.470248645782888</v>
      </c>
      <c r="EM162" s="125">
        <f>EM51/293.07*(1/(VLOOKUP($BM162,'Fuel economy adjusted factor'!$A$2:$L$52,5,FALSE)*m2k))/'TCO Inputs'!$AZ$84</f>
        <v>44.470248645782888</v>
      </c>
      <c r="EN162" s="125">
        <f>EN51/293.07*(1/(VLOOKUP($BM162,'Fuel economy adjusted factor'!$A$2:$L$52,5,FALSE)*m2k))/'TCO Inputs'!$AZ$84</f>
        <v>44.470248645782888</v>
      </c>
      <c r="EO162" s="125">
        <f>EO51/293.07*(1/(VLOOKUP($BM162,'Fuel economy adjusted factor'!$A$2:$L$52,5,FALSE)*m2k))/'TCO Inputs'!$AZ$84</f>
        <v>43.070567160448384</v>
      </c>
      <c r="EP162" s="125">
        <f>EP51/293.07*(1/(VLOOKUP($BM162,'Fuel economy adjusted factor'!$A$2:$L$52,5,FALSE)*m2k))/'TCO Inputs'!$AZ$84</f>
        <v>43.070567160448384</v>
      </c>
      <c r="EQ162" s="125">
        <f>EQ51/293.07*(1/(VLOOKUP($BM162,'Fuel economy adjusted factor'!$A$2:$L$52,5,FALSE)*m2k))/'TCO Inputs'!$AZ$84</f>
        <v>43.070567160448384</v>
      </c>
      <c r="ER162" s="125">
        <f>ER51/293.07*(1/(VLOOKUP($BM162,'Fuel economy adjusted factor'!$A$2:$L$52,5,FALSE)*m2k))/'TCO Inputs'!$AZ$84</f>
        <v>43.070567160448384</v>
      </c>
      <c r="ES162" s="125">
        <f>ES51/293.07*(1/(VLOOKUP($BM162,'Fuel economy adjusted factor'!$A$2:$L$52,5,FALSE)*m2k))/'TCO Inputs'!$AZ$84</f>
        <v>43.070567160448384</v>
      </c>
      <c r="ET162" s="125">
        <f>ET51/293.07*(1/(VLOOKUP($BM162,'Fuel economy adjusted factor'!$A$2:$L$52,5,FALSE)*m2k))/'TCO Inputs'!$AZ$84</f>
        <v>41.471415797901891</v>
      </c>
      <c r="EU162" s="125">
        <f>EU51/293.07*(1/(VLOOKUP($BM162,'Fuel economy adjusted factor'!$A$2:$L$52,5,FALSE)*m2k))/'TCO Inputs'!$AZ$84</f>
        <v>41.471415797901891</v>
      </c>
      <c r="EV162" s="125">
        <f>EV51/293.07*(1/(VLOOKUP($BM162,'Fuel economy adjusted factor'!$A$2:$L$52,5,FALSE)*m2k))/'TCO Inputs'!$AZ$84</f>
        <v>41.471415797901891</v>
      </c>
      <c r="EW162" s="125">
        <f>EW51/293.07*(1/(VLOOKUP($BM162,'Fuel economy adjusted factor'!$A$2:$L$52,5,FALSE)*m2k))/'TCO Inputs'!$AZ$84</f>
        <v>41.471415797901891</v>
      </c>
      <c r="EX162" s="125">
        <f>EX51/293.07*(1/(VLOOKUP($BM162,'Fuel economy adjusted factor'!$A$2:$L$52,5,FALSE)*m2k))/'TCO Inputs'!$AZ$84</f>
        <v>41.471415797901891</v>
      </c>
      <c r="EY162" s="125">
        <f>EY51/293.07*(1/(VLOOKUP($BM162,'Fuel economy adjusted factor'!$A$2:$L$52,5,FALSE)*m2k))/'TCO Inputs'!$AZ$84</f>
        <v>38.963794484379676</v>
      </c>
      <c r="EZ162" s="98" cm="1">
        <f t="array" ref="EZ162">SUMPRODUCT(INDEX(DX162:EY162,,'TCO Inputs'!$AZ$12-2023+_xlfn.SEQUENCE('TCO Inputs'!$AZ$13))*INDEX('VKT US'!C108:AA108,,_xlfn.SEQUENCE('TCO Inputs'!$AZ$13)))*m2k*CONVERT(0.9072,"g","ton")</f>
        <v>20.897420938982041</v>
      </c>
      <c r="FB162" s="123" t="s">
        <v>227</v>
      </c>
      <c r="FC162" s="125">
        <f>FC51/293.07*(1/(VLOOKUP($BM162,'Fuel economy adjusted factor'!$A$2:$L$52,5,FALSE)*m2k))/'TCO Inputs'!$AZ$84</f>
        <v>99.960868773043401</v>
      </c>
      <c r="FD162" s="125">
        <f>FD51/293.07*(1/(VLOOKUP($BM162,'Fuel economy adjusted factor'!$A$2:$L$52,5,FALSE)*m2k))/'TCO Inputs'!$AZ$84</f>
        <v>99.960868773043401</v>
      </c>
      <c r="FE162" s="125">
        <f>FE51/293.07*(1/(VLOOKUP($BM162,'Fuel economy adjusted factor'!$A$2:$L$52,5,FALSE)*m2k))/'TCO Inputs'!$AZ$84</f>
        <v>87.295888508021974</v>
      </c>
      <c r="FF162" s="125">
        <f>FF51/293.07*(1/(VLOOKUP($BM162,'Fuel economy adjusted factor'!$A$2:$L$52,5,FALSE)*m2k))/'TCO Inputs'!$AZ$84</f>
        <v>87.295888508021974</v>
      </c>
      <c r="FG162" s="125">
        <f>FG51/293.07*(1/(VLOOKUP($BM162,'Fuel economy adjusted factor'!$A$2:$L$52,5,FALSE)*m2k))/'TCO Inputs'!$AZ$84</f>
        <v>87.295888508021974</v>
      </c>
      <c r="FH162" s="125">
        <f>FH51/293.07*(1/(VLOOKUP($BM162,'Fuel economy adjusted factor'!$A$2:$L$52,5,FALSE)*m2k))/'TCO Inputs'!$AZ$84</f>
        <v>87.295888508021974</v>
      </c>
      <c r="FI162" s="125">
        <f>FI51/293.07*(1/(VLOOKUP($BM162,'Fuel economy adjusted factor'!$A$2:$L$52,5,FALSE)*m2k))/'TCO Inputs'!$AZ$84</f>
        <v>87.295888508021974</v>
      </c>
      <c r="FJ162" s="125">
        <f>FJ51/293.07*(1/(VLOOKUP($BM162,'Fuel economy adjusted factor'!$A$2:$L$52,5,FALSE)*m2k))/'TCO Inputs'!$AZ$84</f>
        <v>54.780263115556572</v>
      </c>
      <c r="FK162" s="125">
        <f>FK51/293.07*(1/(VLOOKUP($BM162,'Fuel economy adjusted factor'!$A$2:$L$52,5,FALSE)*m2k))/'TCO Inputs'!$AZ$84</f>
        <v>54.780263115556572</v>
      </c>
      <c r="FL162" s="125">
        <f>FL51/293.07*(1/(VLOOKUP($BM162,'Fuel economy adjusted factor'!$A$2:$L$52,5,FALSE)*m2k))/'TCO Inputs'!$AZ$84</f>
        <v>54.780263115556572</v>
      </c>
      <c r="FM162" s="125">
        <f>FM51/293.07*(1/(VLOOKUP($BM162,'Fuel economy adjusted factor'!$A$2:$L$52,5,FALSE)*m2k))/'TCO Inputs'!$AZ$84</f>
        <v>54.780263115556572</v>
      </c>
      <c r="FN162" s="125">
        <f>FN51/293.07*(1/(VLOOKUP($BM162,'Fuel economy adjusted factor'!$A$2:$L$52,5,FALSE)*m2k))/'TCO Inputs'!$AZ$84</f>
        <v>54.780263115556572</v>
      </c>
      <c r="FO162" s="125">
        <f>FO51/293.07*(1/(VLOOKUP($BM162,'Fuel economy adjusted factor'!$A$2:$L$52,5,FALSE)*m2k))/'TCO Inputs'!$AZ$84</f>
        <v>48.642154342982046</v>
      </c>
      <c r="FP162" s="125">
        <f>FP51/293.07*(1/(VLOOKUP($BM162,'Fuel economy adjusted factor'!$A$2:$L$52,5,FALSE)*m2k))/'TCO Inputs'!$AZ$84</f>
        <v>48.642154342982046</v>
      </c>
      <c r="FQ162" s="125">
        <f>FQ51/293.07*(1/(VLOOKUP($BM162,'Fuel economy adjusted factor'!$A$2:$L$52,5,FALSE)*m2k))/'TCO Inputs'!$AZ$84</f>
        <v>48.642154342982046</v>
      </c>
      <c r="FR162" s="125">
        <f>FR51/293.07*(1/(VLOOKUP($BM162,'Fuel economy adjusted factor'!$A$2:$L$52,5,FALSE)*m2k))/'TCO Inputs'!$AZ$84</f>
        <v>48.642154342982046</v>
      </c>
      <c r="FS162" s="125">
        <f>FS51/293.07*(1/(VLOOKUP($BM162,'Fuel economy adjusted factor'!$A$2:$L$52,5,FALSE)*m2k))/'TCO Inputs'!$AZ$84</f>
        <v>48.642154342982046</v>
      </c>
      <c r="FT162" s="125">
        <f>FT51/293.07*(1/(VLOOKUP($BM162,'Fuel economy adjusted factor'!$A$2:$L$52,5,FALSE)*m2k))/'TCO Inputs'!$AZ$84</f>
        <v>47.403948472533443</v>
      </c>
      <c r="FU162" s="125">
        <f>FU51/293.07*(1/(VLOOKUP($BM162,'Fuel economy adjusted factor'!$A$2:$L$52,5,FALSE)*m2k))/'TCO Inputs'!$AZ$84</f>
        <v>47.403948472533443</v>
      </c>
      <c r="FV162" s="125">
        <f>FV51/293.07*(1/(VLOOKUP($BM162,'Fuel economy adjusted factor'!$A$2:$L$52,5,FALSE)*m2k))/'TCO Inputs'!$AZ$84</f>
        <v>47.403948472533443</v>
      </c>
      <c r="FW162" s="125">
        <f>FW51/293.07*(1/(VLOOKUP($BM162,'Fuel economy adjusted factor'!$A$2:$L$52,5,FALSE)*m2k))/'TCO Inputs'!$AZ$84</f>
        <v>47.403948472533443</v>
      </c>
      <c r="FX162" s="125">
        <f>FX51/293.07*(1/(VLOOKUP($BM162,'Fuel economy adjusted factor'!$A$2:$L$52,5,FALSE)*m2k))/'TCO Inputs'!$AZ$84</f>
        <v>47.403948472533443</v>
      </c>
      <c r="FY162" s="125">
        <f>FY51/293.07*(1/(VLOOKUP($BM162,'Fuel economy adjusted factor'!$A$2:$L$52,5,FALSE)*m2k))/'TCO Inputs'!$AZ$84</f>
        <v>45.80140476513639</v>
      </c>
      <c r="FZ162" s="125">
        <f>FZ51/293.07*(1/(VLOOKUP($BM162,'Fuel economy adjusted factor'!$A$2:$L$52,5,FALSE)*m2k))/'TCO Inputs'!$AZ$84</f>
        <v>45.80140476513639</v>
      </c>
      <c r="GA162" s="125">
        <f>GA51/293.07*(1/(VLOOKUP($BM162,'Fuel economy adjusted factor'!$A$2:$L$52,5,FALSE)*m2k))/'TCO Inputs'!$AZ$84</f>
        <v>45.80140476513639</v>
      </c>
      <c r="GB162" s="125">
        <f>GB51/293.07*(1/(VLOOKUP($BM162,'Fuel economy adjusted factor'!$A$2:$L$52,5,FALSE)*m2k))/'TCO Inputs'!$AZ$84</f>
        <v>45.80140476513639</v>
      </c>
      <c r="GC162" s="125">
        <f>GC51/293.07*(1/(VLOOKUP($BM162,'Fuel economy adjusted factor'!$A$2:$L$52,5,FALSE)*m2k))/'TCO Inputs'!$AZ$84</f>
        <v>45.80140476513639</v>
      </c>
      <c r="GD162" s="125">
        <f>GD51/293.07*(1/(VLOOKUP($BM162,'Fuel economy adjusted factor'!$A$2:$L$52,5,FALSE)*m2k))/'TCO Inputs'!$AZ$84</f>
        <v>43.206939423440254</v>
      </c>
      <c r="GE162" s="98" cm="1">
        <f t="array" ref="GE162">SUMPRODUCT(INDEX(FC162:GD162,,'TCO Inputs'!$AZ$12-2023+_xlfn.SEQUENCE('TCO Inputs'!$AZ$13))*INDEX('VKT US'!C108:AA108,,_xlfn.SEQUENCE('TCO Inputs'!$AZ$13)))*m2k*CONVERT(0.9072,"g","ton")</f>
        <v>22.721004804787931</v>
      </c>
      <c r="GH162" s="123" t="s">
        <v>227</v>
      </c>
      <c r="GI162" s="125">
        <f>GI51/293.07*(1/(VLOOKUP($BM162,'Fuel economy adjusted factor'!$A$2:$L$52,5,FALSE)*m2k))/'TCO Inputs'!$AZ$84</f>
        <v>86.850134394660486</v>
      </c>
      <c r="GJ162" s="125">
        <f>GJ51/293.07*(1/(VLOOKUP($BM162,'Fuel economy adjusted factor'!$A$2:$L$52,5,FALSE)*m2k))/'TCO Inputs'!$AZ$84</f>
        <v>86.850134394660486</v>
      </c>
      <c r="GK162" s="125">
        <f>GK51/293.07*(1/(VLOOKUP($BM162,'Fuel economy adjusted factor'!$A$2:$L$52,5,FALSE)*m2k))/'TCO Inputs'!$AZ$84</f>
        <v>76.357611771927523</v>
      </c>
      <c r="GL162" s="125">
        <f>GL51/293.07*(1/(VLOOKUP($BM162,'Fuel economy adjusted factor'!$A$2:$L$52,5,FALSE)*m2k))/'TCO Inputs'!$AZ$84</f>
        <v>76.357611771927523</v>
      </c>
      <c r="GM162" s="125">
        <f>GM51/293.07*(1/(VLOOKUP($BM162,'Fuel economy adjusted factor'!$A$2:$L$52,5,FALSE)*m2k))/'TCO Inputs'!$AZ$84</f>
        <v>76.357611771927523</v>
      </c>
      <c r="GN162" s="125">
        <f>GN51/293.07*(1/(VLOOKUP($BM162,'Fuel economy adjusted factor'!$A$2:$L$52,5,FALSE)*m2k))/'TCO Inputs'!$AZ$84</f>
        <v>76.357611771927523</v>
      </c>
      <c r="GO162" s="125">
        <f>GO51/293.07*(1/(VLOOKUP($BM162,'Fuel economy adjusted factor'!$A$2:$L$52,5,FALSE)*m2k))/'TCO Inputs'!$AZ$84</f>
        <v>76.357611771927523</v>
      </c>
      <c r="GP162" s="125">
        <f>GP51/293.07*(1/(VLOOKUP($BM162,'Fuel economy adjusted factor'!$A$2:$L$52,5,FALSE)*m2k))/'TCO Inputs'!$AZ$84</f>
        <v>46.397100520891946</v>
      </c>
      <c r="GQ162" s="125">
        <f>GQ51/293.07*(1/(VLOOKUP($BM162,'Fuel economy adjusted factor'!$A$2:$L$52,5,FALSE)*m2k))/'TCO Inputs'!$AZ$84</f>
        <v>46.397100520891946</v>
      </c>
      <c r="GR162" s="125">
        <f>GR51/293.07*(1/(VLOOKUP($BM162,'Fuel economy adjusted factor'!$A$2:$L$52,5,FALSE)*m2k))/'TCO Inputs'!$AZ$84</f>
        <v>46.397100520891946</v>
      </c>
      <c r="GS162" s="125">
        <f>GS51/293.07*(1/(VLOOKUP($BM162,'Fuel economy adjusted factor'!$A$2:$L$52,5,FALSE)*m2k))/'TCO Inputs'!$AZ$84</f>
        <v>46.397100520891946</v>
      </c>
      <c r="GT162" s="125">
        <f>GT51/293.07*(1/(VLOOKUP($BM162,'Fuel economy adjusted factor'!$A$2:$L$52,5,FALSE)*m2k))/'TCO Inputs'!$AZ$84</f>
        <v>46.397100520891946</v>
      </c>
      <c r="GU162" s="125">
        <f>GU51/293.07*(1/(VLOOKUP($BM162,'Fuel economy adjusted factor'!$A$2:$L$52,5,FALSE)*m2k))/'TCO Inputs'!$AZ$84</f>
        <v>41.630856005877455</v>
      </c>
      <c r="GV162" s="125">
        <f>GV51/293.07*(1/(VLOOKUP($BM162,'Fuel economy adjusted factor'!$A$2:$L$52,5,FALSE)*m2k))/'TCO Inputs'!$AZ$84</f>
        <v>41.630856005877455</v>
      </c>
      <c r="GW162" s="125">
        <f>GW51/293.07*(1/(VLOOKUP($BM162,'Fuel economy adjusted factor'!$A$2:$L$52,5,FALSE)*m2k))/'TCO Inputs'!$AZ$84</f>
        <v>41.630856005877455</v>
      </c>
      <c r="GX162" s="125">
        <f>GX51/293.07*(1/(VLOOKUP($BM162,'Fuel economy adjusted factor'!$A$2:$L$52,5,FALSE)*m2k))/'TCO Inputs'!$AZ$84</f>
        <v>41.630856005877455</v>
      </c>
      <c r="GY162" s="125">
        <f>GY51/293.07*(1/(VLOOKUP($BM162,'Fuel economy adjusted factor'!$A$2:$L$52,5,FALSE)*m2k))/'TCO Inputs'!$AZ$84</f>
        <v>41.630856005877455</v>
      </c>
      <c r="GZ162" s="125">
        <f>GZ51/293.07*(1/(VLOOKUP($BM162,'Fuel economy adjusted factor'!$A$2:$L$52,5,FALSE)*m2k))/'TCO Inputs'!$AZ$84</f>
        <v>40.121262547385328</v>
      </c>
      <c r="HA162" s="125">
        <f>HA51/293.07*(1/(VLOOKUP($BM162,'Fuel economy adjusted factor'!$A$2:$L$52,5,FALSE)*m2k))/'TCO Inputs'!$AZ$84</f>
        <v>40.121262547385328</v>
      </c>
      <c r="HB162" s="125">
        <f>HB51/293.07*(1/(VLOOKUP($BM162,'Fuel economy adjusted factor'!$A$2:$L$52,5,FALSE)*m2k))/'TCO Inputs'!$AZ$84</f>
        <v>40.121262547385328</v>
      </c>
      <c r="HC162" s="125">
        <f>HC51/293.07*(1/(VLOOKUP($BM162,'Fuel economy adjusted factor'!$A$2:$L$52,5,FALSE)*m2k))/'TCO Inputs'!$AZ$84</f>
        <v>40.121262547385328</v>
      </c>
      <c r="HD162" s="125">
        <f>HD51/293.07*(1/(VLOOKUP($BM162,'Fuel economy adjusted factor'!$A$2:$L$52,5,FALSE)*m2k))/'TCO Inputs'!$AZ$84</f>
        <v>40.121262547385328</v>
      </c>
      <c r="HE162" s="125">
        <f>HE51/293.07*(1/(VLOOKUP($BM162,'Fuel economy adjusted factor'!$A$2:$L$52,5,FALSE)*m2k))/'TCO Inputs'!$AZ$84</f>
        <v>38.524146591749158</v>
      </c>
      <c r="HF162" s="125">
        <f>HF51/293.07*(1/(VLOOKUP($BM162,'Fuel economy adjusted factor'!$A$2:$L$52,5,FALSE)*m2k))/'TCO Inputs'!$AZ$84</f>
        <v>38.524146591749158</v>
      </c>
      <c r="HG162" s="125">
        <f>HG51/293.07*(1/(VLOOKUP($BM162,'Fuel economy adjusted factor'!$A$2:$L$52,5,FALSE)*m2k))/'TCO Inputs'!$AZ$84</f>
        <v>38.524146591749158</v>
      </c>
      <c r="HH162" s="125">
        <f>HH51/293.07*(1/(VLOOKUP($BM162,'Fuel economy adjusted factor'!$A$2:$L$52,5,FALSE)*m2k))/'TCO Inputs'!$AZ$84</f>
        <v>38.524146591749158</v>
      </c>
      <c r="HI162" s="125">
        <f>HI51/293.07*(1/(VLOOKUP($BM162,'Fuel economy adjusted factor'!$A$2:$L$52,5,FALSE)*m2k))/'TCO Inputs'!$AZ$84</f>
        <v>38.524146591749158</v>
      </c>
      <c r="HJ162" s="125">
        <f>HJ51/293.07*(1/(VLOOKUP($BM162,'Fuel economy adjusted factor'!$A$2:$L$52,5,FALSE)*m2k))/'TCO Inputs'!$AZ$84</f>
        <v>36.076230547596516</v>
      </c>
      <c r="HK162" s="98" cm="1">
        <f t="array" ref="HK162">SUMPRODUCT(INDEX(GI162:HJ162,,'TCO Inputs'!$AZ$12-2023+_xlfn.SEQUENCE('TCO Inputs'!$AZ$13))*INDEX('VKT US'!C108:AA108,,_xlfn.SEQUENCE('TCO Inputs'!$AZ$13)))*m2k*CONVERT(0.9072,"g","ton")</f>
        <v>19.656257723449205</v>
      </c>
    </row>
    <row r="163" spans="22:219" x14ac:dyDescent="0.25">
      <c r="Z163" s="123" t="s">
        <v>229</v>
      </c>
      <c r="AA163" s="125">
        <f>AA52/293.07*(1/(VLOOKUP($Z163,'Fuel economy adjusted factor'!$A$2:$L$52,5,FALSE)*m2k))/'TCO Inputs'!$AZ$84</f>
        <v>35.553721193934599</v>
      </c>
      <c r="AB163" s="125">
        <f>AB52/293.07*(1/(VLOOKUP($Z163,'Fuel economy adjusted factor'!$A$2:$L$52,5,FALSE)*m2k))/'TCO Inputs'!$AZ$84</f>
        <v>35.553721193934599</v>
      </c>
      <c r="AC163" s="125">
        <f>AC52/293.07*(1/(VLOOKUP($Z163,'Fuel economy adjusted factor'!$A$2:$L$52,5,FALSE)*m2k))/'TCO Inputs'!$AZ$84</f>
        <v>31.269278731950219</v>
      </c>
      <c r="AD163" s="125">
        <f>AD52/293.07*(1/(VLOOKUP($Z163,'Fuel economy adjusted factor'!$A$2:$L$52,5,FALSE)*m2k))/'TCO Inputs'!$AZ$84</f>
        <v>31.269278731950219</v>
      </c>
      <c r="AE163" s="125">
        <f>AE52/293.07*(1/(VLOOKUP($Z163,'Fuel economy adjusted factor'!$A$2:$L$52,5,FALSE)*m2k))/'TCO Inputs'!$AZ$84</f>
        <v>31.269278731950219</v>
      </c>
      <c r="AF163" s="125">
        <f>AF52/293.07*(1/(VLOOKUP($Z163,'Fuel economy adjusted factor'!$A$2:$L$52,5,FALSE)*m2k))/'TCO Inputs'!$AZ$84</f>
        <v>31.269278731950219</v>
      </c>
      <c r="AG163" s="125">
        <f>AG52/293.07*(1/(VLOOKUP($Z163,'Fuel economy adjusted factor'!$A$2:$L$52,5,FALSE)*m2k))/'TCO Inputs'!$AZ$84</f>
        <v>31.269278731950219</v>
      </c>
      <c r="AH163" s="125">
        <f>AH52/293.07*(1/(VLOOKUP($Z163,'Fuel economy adjusted factor'!$A$2:$L$52,5,FALSE)*m2k))/'TCO Inputs'!$AZ$84</f>
        <v>18.787761055078914</v>
      </c>
      <c r="AI163" s="125">
        <f>AI52/293.07*(1/(VLOOKUP($Z163,'Fuel economy adjusted factor'!$A$2:$L$52,5,FALSE)*m2k))/'TCO Inputs'!$AZ$84</f>
        <v>18.787761055078914</v>
      </c>
      <c r="AJ163" s="125">
        <f>AJ52/293.07*(1/(VLOOKUP($Z163,'Fuel economy adjusted factor'!$A$2:$L$52,5,FALSE)*m2k))/'TCO Inputs'!$AZ$84</f>
        <v>18.787761055078914</v>
      </c>
      <c r="AK163" s="125">
        <f>AK52/293.07*(1/(VLOOKUP($Z163,'Fuel economy adjusted factor'!$A$2:$L$52,5,FALSE)*m2k))/'TCO Inputs'!$AZ$84</f>
        <v>18.787761055078914</v>
      </c>
      <c r="AL163" s="125">
        <f>AL52/293.07*(1/(VLOOKUP($Z163,'Fuel economy adjusted factor'!$A$2:$L$52,5,FALSE)*m2k))/'TCO Inputs'!$AZ$84</f>
        <v>18.787761055078914</v>
      </c>
      <c r="AM163" s="125">
        <f>AM52/293.07*(1/(VLOOKUP($Z163,'Fuel economy adjusted factor'!$A$2:$L$52,5,FALSE)*m2k))/'TCO Inputs'!$AZ$84</f>
        <v>19.660979583335248</v>
      </c>
      <c r="AN163" s="125">
        <f>AN52/293.07*(1/(VLOOKUP($Z163,'Fuel economy adjusted factor'!$A$2:$L$52,5,FALSE)*m2k))/'TCO Inputs'!$AZ$84</f>
        <v>19.660979583335248</v>
      </c>
      <c r="AO163" s="125">
        <f>AO52/293.07*(1/(VLOOKUP($Z163,'Fuel economy adjusted factor'!$A$2:$L$52,5,FALSE)*m2k))/'TCO Inputs'!$AZ$84</f>
        <v>19.660979583335248</v>
      </c>
      <c r="AP163" s="125">
        <f>AP52/293.07*(1/(VLOOKUP($Z163,'Fuel economy adjusted factor'!$A$2:$L$52,5,FALSE)*m2k))/'TCO Inputs'!$AZ$84</f>
        <v>19.660979583335248</v>
      </c>
      <c r="AQ163" s="125">
        <f>AQ52/293.07*(1/(VLOOKUP($Z163,'Fuel economy adjusted factor'!$A$2:$L$52,5,FALSE)*m2k))/'TCO Inputs'!$AZ$84</f>
        <v>19.660979583335248</v>
      </c>
      <c r="AR163" s="125">
        <f>AR52/293.07*(1/(VLOOKUP($Z163,'Fuel economy adjusted factor'!$A$2:$L$52,5,FALSE)*m2k))/'TCO Inputs'!$AZ$84</f>
        <v>20.552555702238944</v>
      </c>
      <c r="AS163" s="125">
        <f>AS52/293.07*(1/(VLOOKUP($Z163,'Fuel economy adjusted factor'!$A$2:$L$52,5,FALSE)*m2k))/'TCO Inputs'!$AZ$84</f>
        <v>20.552555702238944</v>
      </c>
      <c r="AT163" s="125">
        <f>AT52/293.07*(1/(VLOOKUP($Z163,'Fuel economy adjusted factor'!$A$2:$L$52,5,FALSE)*m2k))/'TCO Inputs'!$AZ$84</f>
        <v>20.552555702238944</v>
      </c>
      <c r="AU163" s="125">
        <f>AU52/293.07*(1/(VLOOKUP($Z163,'Fuel economy adjusted factor'!$A$2:$L$52,5,FALSE)*m2k))/'TCO Inputs'!$AZ$84</f>
        <v>20.552555702238944</v>
      </c>
      <c r="AV163" s="125">
        <f>AV52/293.07*(1/(VLOOKUP($Z163,'Fuel economy adjusted factor'!$A$2:$L$52,5,FALSE)*m2k))/'TCO Inputs'!$AZ$84</f>
        <v>20.552555702238944</v>
      </c>
      <c r="AW163" s="125">
        <f>AW52/293.07*(1/(VLOOKUP($Z163,'Fuel economy adjusted factor'!$A$2:$L$52,5,FALSE)*m2k))/'TCO Inputs'!$AZ$84</f>
        <v>21.003549645605727</v>
      </c>
      <c r="AX163" s="125">
        <f>AX52/293.07*(1/(VLOOKUP($Z163,'Fuel economy adjusted factor'!$A$2:$L$52,5,FALSE)*m2k))/'TCO Inputs'!$AZ$84</f>
        <v>21.003549645605727</v>
      </c>
      <c r="AY163" s="125">
        <f>AY52/293.07*(1/(VLOOKUP($Z163,'Fuel economy adjusted factor'!$A$2:$L$52,5,FALSE)*m2k))/'TCO Inputs'!$AZ$84</f>
        <v>21.003549645605727</v>
      </c>
      <c r="AZ163" s="125">
        <f>AZ52/293.07*(1/(VLOOKUP($Z163,'Fuel economy adjusted factor'!$A$2:$L$52,5,FALSE)*m2k))/'TCO Inputs'!$AZ$84</f>
        <v>21.003549645605727</v>
      </c>
      <c r="BA163" s="125">
        <f>BA52/293.07*(1/(VLOOKUP($Z163,'Fuel economy adjusted factor'!$A$2:$L$52,5,FALSE)*m2k))/'TCO Inputs'!$AZ$84</f>
        <v>21.003549645605727</v>
      </c>
      <c r="BB163" s="125">
        <f>BB52/293.07*(1/(VLOOKUP($Z163,'Fuel economy adjusted factor'!$A$2:$L$52,5,FALSE)*m2k))/'TCO Inputs'!$AZ$84</f>
        <v>21.032045010192693</v>
      </c>
      <c r="BC163" s="98" cm="1">
        <f t="array" ref="BC163">SUMPRODUCT(INDEX(AA163:BB163,,'TCO Inputs'!$AZ$12-2023+_xlfn.SEQUENCE('TCO Inputs'!$AZ$13))*INDEX('VKT US'!C109:AA109,,_xlfn.SEQUENCE('TCO Inputs'!$AZ$13)))*m2k*CONVERT(0.9072,"g","ton")</f>
        <v>6.1302416153086234</v>
      </c>
      <c r="BM163" s="123" t="s">
        <v>229</v>
      </c>
      <c r="BN163" s="125">
        <f>BN52/293.07*(1/(VLOOKUP($BM163,'Fuel economy adjusted factor'!$A$2:$L$52,5,FALSE)*m2k))</f>
        <v>30.220663014844408</v>
      </c>
      <c r="BO163" s="125">
        <f>BO52/293.07*(1/(VLOOKUP($BM163,'Fuel economy adjusted factor'!$A$2:$L$52,5,FALSE)*m2k))</f>
        <v>30.220663014844408</v>
      </c>
      <c r="BP163" s="125">
        <f>BP52/293.07*(1/(VLOOKUP($BM163,'Fuel economy adjusted factor'!$A$2:$L$52,5,FALSE)*m2k))</f>
        <v>26.544185595956346</v>
      </c>
      <c r="BQ163" s="125">
        <f>BQ52/293.07*(1/(VLOOKUP($BM163,'Fuel economy adjusted factor'!$A$2:$L$52,5,FALSE)*m2k))</f>
        <v>26.544185595956346</v>
      </c>
      <c r="BR163" s="125">
        <f>BR52/293.07*(1/(VLOOKUP($BM163,'Fuel economy adjusted factor'!$A$2:$L$52,5,FALSE)*m2k))</f>
        <v>26.544185595956346</v>
      </c>
      <c r="BS163" s="125">
        <f>BS52/293.07*(1/(VLOOKUP($BM163,'Fuel economy adjusted factor'!$A$2:$L$52,5,FALSE)*m2k))</f>
        <v>26.544185595956346</v>
      </c>
      <c r="BT163" s="125">
        <f>BT52/293.07*(1/(VLOOKUP($BM163,'Fuel economy adjusted factor'!$A$2:$L$52,5,FALSE)*m2k))</f>
        <v>26.544185595956346</v>
      </c>
      <c r="BU163" s="125">
        <f>BU52/293.07*(1/(VLOOKUP($BM163,'Fuel economy adjusted factor'!$A$2:$L$52,5,FALSE)*m2k))</f>
        <v>30.089543238660827</v>
      </c>
      <c r="BV163" s="125">
        <f>BV52/293.07*(1/(VLOOKUP($BM163,'Fuel economy adjusted factor'!$A$2:$L$52,5,FALSE)*m2k))</f>
        <v>30.089543238660827</v>
      </c>
      <c r="BW163" s="125">
        <f>BW52/293.07*(1/(VLOOKUP($BM163,'Fuel economy adjusted factor'!$A$2:$L$52,5,FALSE)*m2k))</f>
        <v>30.089543238660827</v>
      </c>
      <c r="BX163" s="125">
        <f>BX52/293.07*(1/(VLOOKUP($BM163,'Fuel economy adjusted factor'!$A$2:$L$52,5,FALSE)*m2k))</f>
        <v>30.089543238660827</v>
      </c>
      <c r="BY163" s="125">
        <f>BY52/293.07*(1/(VLOOKUP($BM163,'Fuel economy adjusted factor'!$A$2:$L$52,5,FALSE)*m2k))</f>
        <v>30.089543238660827</v>
      </c>
      <c r="BZ163" s="125">
        <f>BZ52/293.07*(1/(VLOOKUP($BM163,'Fuel economy adjusted factor'!$A$2:$L$52,5,FALSE)*m2k))</f>
        <v>30.813147403141077</v>
      </c>
      <c r="CA163" s="125">
        <f>CA52/293.07*(1/(VLOOKUP($BM163,'Fuel economy adjusted factor'!$A$2:$L$52,5,FALSE)*m2k))</f>
        <v>30.813147403141077</v>
      </c>
      <c r="CB163" s="125">
        <f>CB52/293.07*(1/(VLOOKUP($BM163,'Fuel economy adjusted factor'!$A$2:$L$52,5,FALSE)*m2k))</f>
        <v>30.813147403141077</v>
      </c>
      <c r="CC163" s="125">
        <f>CC52/293.07*(1/(VLOOKUP($BM163,'Fuel economy adjusted factor'!$A$2:$L$52,5,FALSE)*m2k))</f>
        <v>30.813147403141077</v>
      </c>
      <c r="CD163" s="125">
        <f>CD52/293.07*(1/(VLOOKUP($BM163,'Fuel economy adjusted factor'!$A$2:$L$52,5,FALSE)*m2k))</f>
        <v>30.813147403141077</v>
      </c>
      <c r="CE163" s="125">
        <f>CE52/293.07*(1/(VLOOKUP($BM163,'Fuel economy adjusted factor'!$A$2:$L$52,5,FALSE)*m2k))</f>
        <v>31.574713421116751</v>
      </c>
      <c r="CF163" s="125">
        <f>CF52/293.07*(1/(VLOOKUP($BM163,'Fuel economy adjusted factor'!$A$2:$L$52,5,FALSE)*m2k))</f>
        <v>31.574713421116751</v>
      </c>
      <c r="CG163" s="125">
        <f>CG52/293.07*(1/(VLOOKUP($BM163,'Fuel economy adjusted factor'!$A$2:$L$52,5,FALSE)*m2k))</f>
        <v>31.574713421116751</v>
      </c>
      <c r="CH163" s="125">
        <f>CH52/293.07*(1/(VLOOKUP($BM163,'Fuel economy adjusted factor'!$A$2:$L$52,5,FALSE)*m2k))</f>
        <v>31.574713421116751</v>
      </c>
      <c r="CI163" s="125">
        <f>CI52/293.07*(1/(VLOOKUP($BM163,'Fuel economy adjusted factor'!$A$2:$L$52,5,FALSE)*m2k))</f>
        <v>31.574713421116751</v>
      </c>
      <c r="CJ163" s="125">
        <f>CJ52/293.07*(1/(VLOOKUP($BM163,'Fuel economy adjusted factor'!$A$2:$L$52,5,FALSE)*m2k))</f>
        <v>31.755439791131774</v>
      </c>
      <c r="CK163" s="125">
        <f>CK52/293.07*(1/(VLOOKUP($BM163,'Fuel economy adjusted factor'!$A$2:$L$52,5,FALSE)*m2k))</f>
        <v>31.755439791131774</v>
      </c>
      <c r="CL163" s="125">
        <f>CL52/293.07*(1/(VLOOKUP($BM163,'Fuel economy adjusted factor'!$A$2:$L$52,5,FALSE)*m2k))</f>
        <v>31.755439791131774</v>
      </c>
      <c r="CM163" s="125">
        <f>CM52/293.07*(1/(VLOOKUP($BM163,'Fuel economy adjusted factor'!$A$2:$L$52,5,FALSE)*m2k))</f>
        <v>31.755439791131774</v>
      </c>
      <c r="CN163" s="125">
        <f>CN52/293.07*(1/(VLOOKUP($BM163,'Fuel economy adjusted factor'!$A$2:$L$52,5,FALSE)*m2k))</f>
        <v>31.755439791131774</v>
      </c>
      <c r="CO163" s="125">
        <f>CO52/293.07*(1/(VLOOKUP($BM163,'Fuel economy adjusted factor'!$A$2:$L$52,5,FALSE)*m2k))</f>
        <v>31.97133327696157</v>
      </c>
      <c r="CP163" s="98" cm="1">
        <f t="array" ref="CP163">SUMPRODUCT(INDEX(BN163:CO163,,'TCO Inputs'!$AZ$12-2023+_xlfn.SEQUENCE('TCO Inputs'!$AZ$13))*INDEX('VKT US'!C109:AA109,,_xlfn.SEQUENCE('TCO Inputs'!$AZ$13)))*m2k*CONVERT(0.9072,"g","ton")</f>
        <v>6.6771424214554838</v>
      </c>
      <c r="CQ163" s="194"/>
      <c r="CR163" s="123" t="s">
        <v>229</v>
      </c>
      <c r="CS163" s="125">
        <f>CS52/293.07*(1/(VLOOKUP($BM163,'Fuel economy adjusted factor'!$A$2:$L$52,5,FALSE)*m2k))/'TCO Inputs'!$AZ$84</f>
        <v>43.046084123074642</v>
      </c>
      <c r="CT163" s="125">
        <f>CT52/293.07*(1/(VLOOKUP($BM163,'Fuel economy adjusted factor'!$A$2:$L$52,5,FALSE)*m2k))/'TCO Inputs'!$AZ$84</f>
        <v>43.04608412307465</v>
      </c>
      <c r="CU163" s="125">
        <f>CU52/293.07*(1/(VLOOKUP($BM163,'Fuel economy adjusted factor'!$A$2:$L$52,5,FALSE)*m2k))/'TCO Inputs'!$AZ$84</f>
        <v>43.04608412307465</v>
      </c>
      <c r="CV163" s="125">
        <f>CV52/293.07*(1/(VLOOKUP($BM163,'Fuel economy adjusted factor'!$A$2:$L$52,5,FALSE)*m2k))/'TCO Inputs'!$AZ$84</f>
        <v>43.04608412307465</v>
      </c>
      <c r="CW163" s="125">
        <f>CW52/293.07*(1/(VLOOKUP($BM163,'Fuel economy adjusted factor'!$A$2:$L$52,5,FALSE)*m2k))/'TCO Inputs'!$AZ$84</f>
        <v>43.04608412307465</v>
      </c>
      <c r="CX163" s="125">
        <f>CX52/293.07*(1/(VLOOKUP($BM163,'Fuel economy adjusted factor'!$A$2:$L$52,5,FALSE)*m2k))/'TCO Inputs'!$AZ$84</f>
        <v>43.04608412307465</v>
      </c>
      <c r="CY163" s="125">
        <f>CY52/293.07*(1/(VLOOKUP($BM163,'Fuel economy adjusted factor'!$A$2:$L$52,5,FALSE)*m2k))/'TCO Inputs'!$AZ$84</f>
        <v>43.04608412307465</v>
      </c>
      <c r="CZ163" s="125">
        <f>CZ52/293.07*(1/(VLOOKUP($BM163,'Fuel economy adjusted factor'!$A$2:$L$52,5,FALSE)*m2k))/'TCO Inputs'!$AZ$84</f>
        <v>43.055673909233718</v>
      </c>
      <c r="DA163" s="125">
        <f>DA52/293.07*(1/(VLOOKUP($BM163,'Fuel economy adjusted factor'!$A$2:$L$52,5,FALSE)*m2k))/'TCO Inputs'!$AZ$84</f>
        <v>43.055673909233718</v>
      </c>
      <c r="DB163" s="125">
        <f>DB52/293.07*(1/(VLOOKUP($BM163,'Fuel economy adjusted factor'!$A$2:$L$52,5,FALSE)*m2k))/'TCO Inputs'!$AZ$84</f>
        <v>43.055673909233718</v>
      </c>
      <c r="DC163" s="125">
        <f>DC52/293.07*(1/(VLOOKUP($BM163,'Fuel economy adjusted factor'!$A$2:$L$52,5,FALSE)*m2k))/'TCO Inputs'!$AZ$84</f>
        <v>43.055673909233718</v>
      </c>
      <c r="DD163" s="125">
        <f>DD52/293.07*(1/(VLOOKUP($BM163,'Fuel economy adjusted factor'!$A$2:$L$52,5,FALSE)*m2k))/'TCO Inputs'!$AZ$84</f>
        <v>43.055673909233718</v>
      </c>
      <c r="DE163" s="125">
        <f>DE52/293.07*(1/(VLOOKUP($BM163,'Fuel economy adjusted factor'!$A$2:$L$52,5,FALSE)*m2k))/'TCO Inputs'!$AZ$84</f>
        <v>43.050194031428539</v>
      </c>
      <c r="DF163" s="125">
        <f>DF52/293.07*(1/(VLOOKUP($BM163,'Fuel economy adjusted factor'!$A$2:$L$52,5,FALSE)*m2k))/'TCO Inputs'!$AZ$84</f>
        <v>43.050194031428539</v>
      </c>
      <c r="DG163" s="125">
        <f>DG52/293.07*(1/(VLOOKUP($BM163,'Fuel economy adjusted factor'!$A$2:$L$52,5,FALSE)*m2k))/'TCO Inputs'!$AZ$84</f>
        <v>43.050194031428539</v>
      </c>
      <c r="DH163" s="125">
        <f>DH52/293.07*(1/(VLOOKUP($BM163,'Fuel economy adjusted factor'!$A$2:$L$52,5,FALSE)*m2k))/'TCO Inputs'!$AZ$84</f>
        <v>43.050194031428539</v>
      </c>
      <c r="DI163" s="125">
        <f>DI52/293.07*(1/(VLOOKUP($BM163,'Fuel economy adjusted factor'!$A$2:$L$52,5,FALSE)*m2k))/'TCO Inputs'!$AZ$84</f>
        <v>43.050194031428539</v>
      </c>
      <c r="DJ163" s="125">
        <f>DJ52/293.07*(1/(VLOOKUP($BM163,'Fuel economy adjusted factor'!$A$2:$L$52,5,FALSE)*m2k))/'TCO Inputs'!$AZ$84</f>
        <v>43.048824061977236</v>
      </c>
      <c r="DK163" s="125">
        <f>DK52/293.07*(1/(VLOOKUP($BM163,'Fuel economy adjusted factor'!$A$2:$L$52,5,FALSE)*m2k))/'TCO Inputs'!$AZ$84</f>
        <v>43.048824061977236</v>
      </c>
      <c r="DL163" s="125">
        <f>DL52/293.07*(1/(VLOOKUP($BM163,'Fuel economy adjusted factor'!$A$2:$L$52,5,FALSE)*m2k))/'TCO Inputs'!$AZ$84</f>
        <v>43.048824061977236</v>
      </c>
      <c r="DM163" s="125">
        <f>DM52/293.07*(1/(VLOOKUP($BM163,'Fuel economy adjusted factor'!$A$2:$L$52,5,FALSE)*m2k))/'TCO Inputs'!$AZ$84</f>
        <v>43.048824061977236</v>
      </c>
      <c r="DN163" s="125">
        <f>DN52/293.07*(1/(VLOOKUP($BM163,'Fuel economy adjusted factor'!$A$2:$L$52,5,FALSE)*m2k))/'TCO Inputs'!$AZ$84</f>
        <v>43.048824061977236</v>
      </c>
      <c r="DO163" s="125">
        <f>DO52/293.07*(1/(VLOOKUP($BM163,'Fuel economy adjusted factor'!$A$2:$L$52,5,FALSE)*m2k))/'TCO Inputs'!$AZ$84</f>
        <v>43.022246654622087</v>
      </c>
      <c r="DP163" s="125">
        <f>DP52/293.07*(1/(VLOOKUP($BM163,'Fuel economy adjusted factor'!$A$2:$L$52,5,FALSE)*m2k))/'TCO Inputs'!$AZ$84</f>
        <v>43.022246654622087</v>
      </c>
      <c r="DQ163" s="125">
        <f>DQ52/293.07*(1/(VLOOKUP($BM163,'Fuel economy adjusted factor'!$A$2:$L$52,5,FALSE)*m2k))/'TCO Inputs'!$AZ$84</f>
        <v>43.022246654622087</v>
      </c>
      <c r="DR163" s="125">
        <f>DR52/293.07*(1/(VLOOKUP($BM163,'Fuel economy adjusted factor'!$A$2:$L$52,5,FALSE)*m2k))/'TCO Inputs'!$AZ$84</f>
        <v>43.022246654622087</v>
      </c>
      <c r="DS163" s="125">
        <f>DS52/293.07*(1/(VLOOKUP($BM163,'Fuel economy adjusted factor'!$A$2:$L$52,5,FALSE)*m2k))/'TCO Inputs'!$AZ$84</f>
        <v>43.022246654622087</v>
      </c>
      <c r="DT163" s="125">
        <f>DT52/293.07*(1/(VLOOKUP($BM163,'Fuel economy adjusted factor'!$A$2:$L$52,5,FALSE)*m2k))/'TCO Inputs'!$AZ$84</f>
        <v>43.044440159733085</v>
      </c>
      <c r="DU163" s="98" cm="1">
        <f t="array" ref="DU163">SUMPRODUCT(INDEX(CS163:DT163,,'TCO Inputs'!$AZ$12-2023+_xlfn.SEQUENCE('TCO Inputs'!$AZ$13))*INDEX('VKT US'!C109:AA109,,_xlfn.SEQUENCE('TCO Inputs'!$AZ$13)))*m2k*CONVERT(0.9072,"g","ton")</f>
        <v>9.9644535573245552</v>
      </c>
      <c r="DW163" s="123" t="s">
        <v>229</v>
      </c>
      <c r="DX163" s="125">
        <f>DX52/293.07*(1/(VLOOKUP($BM163,'Fuel economy adjusted factor'!$A$2:$L$52,5,FALSE)*m2k))/'TCO Inputs'!$AZ$84</f>
        <v>45.0610340307014</v>
      </c>
      <c r="DY163" s="125">
        <f>DY52/293.07*(1/(VLOOKUP($BM163,'Fuel economy adjusted factor'!$A$2:$L$52,5,FALSE)*m2k))/'TCO Inputs'!$AZ$84</f>
        <v>45.0610340307014</v>
      </c>
      <c r="DZ163" s="125">
        <f>DZ52/293.07*(1/(VLOOKUP($BM163,'Fuel economy adjusted factor'!$A$2:$L$52,5,FALSE)*m2k))/'TCO Inputs'!$AZ$84</f>
        <v>39.500515368923374</v>
      </c>
      <c r="EA163" s="125">
        <f>EA52/293.07*(1/(VLOOKUP($BM163,'Fuel economy adjusted factor'!$A$2:$L$52,5,FALSE)*m2k))/'TCO Inputs'!$AZ$84</f>
        <v>39.500515368923374</v>
      </c>
      <c r="EB163" s="125">
        <f>EB52/293.07*(1/(VLOOKUP($BM163,'Fuel economy adjusted factor'!$A$2:$L$52,5,FALSE)*m2k))/'TCO Inputs'!$AZ$84</f>
        <v>39.500515368923374</v>
      </c>
      <c r="EC163" s="125">
        <f>EC52/293.07*(1/(VLOOKUP($BM163,'Fuel economy adjusted factor'!$A$2:$L$52,5,FALSE)*m2k))/'TCO Inputs'!$AZ$84</f>
        <v>39.500515368923374</v>
      </c>
      <c r="ED163" s="125">
        <f>ED52/293.07*(1/(VLOOKUP($BM163,'Fuel economy adjusted factor'!$A$2:$L$52,5,FALSE)*m2k))/'TCO Inputs'!$AZ$84</f>
        <v>39.500515368923374</v>
      </c>
      <c r="EE163" s="125">
        <f>EE52/293.07*(1/(VLOOKUP($BM163,'Fuel economy adjusted factor'!$A$2:$L$52,5,FALSE)*m2k))/'TCO Inputs'!$AZ$84</f>
        <v>24.345597426871898</v>
      </c>
      <c r="EF163" s="125">
        <f>EF52/293.07*(1/(VLOOKUP($BM163,'Fuel economy adjusted factor'!$A$2:$L$52,5,FALSE)*m2k))/'TCO Inputs'!$AZ$84</f>
        <v>24.345597426871898</v>
      </c>
      <c r="EG163" s="125">
        <f>EG52/293.07*(1/(VLOOKUP($BM163,'Fuel economy adjusted factor'!$A$2:$L$52,5,FALSE)*m2k))/'TCO Inputs'!$AZ$84</f>
        <v>24.345597426871898</v>
      </c>
      <c r="EH163" s="125">
        <f>EH52/293.07*(1/(VLOOKUP($BM163,'Fuel economy adjusted factor'!$A$2:$L$52,5,FALSE)*m2k))/'TCO Inputs'!$AZ$84</f>
        <v>24.345597426871898</v>
      </c>
      <c r="EI163" s="125">
        <f>EI52/293.07*(1/(VLOOKUP($BM163,'Fuel economy adjusted factor'!$A$2:$L$52,5,FALSE)*m2k))/'TCO Inputs'!$AZ$84</f>
        <v>24.345597426871898</v>
      </c>
      <c r="EJ163" s="125">
        <f>EJ52/293.07*(1/(VLOOKUP($BM163,'Fuel economy adjusted factor'!$A$2:$L$52,5,FALSE)*m2k))/'TCO Inputs'!$AZ$84</f>
        <v>21.743479041059544</v>
      </c>
      <c r="EK163" s="125">
        <f>EK52/293.07*(1/(VLOOKUP($BM163,'Fuel economy adjusted factor'!$A$2:$L$52,5,FALSE)*m2k))/'TCO Inputs'!$AZ$84</f>
        <v>21.743479041059544</v>
      </c>
      <c r="EL163" s="125">
        <f>EL52/293.07*(1/(VLOOKUP($BM163,'Fuel economy adjusted factor'!$A$2:$L$52,5,FALSE)*m2k))/'TCO Inputs'!$AZ$84</f>
        <v>21.743479041059544</v>
      </c>
      <c r="EM163" s="125">
        <f>EM52/293.07*(1/(VLOOKUP($BM163,'Fuel economy adjusted factor'!$A$2:$L$52,5,FALSE)*m2k))/'TCO Inputs'!$AZ$84</f>
        <v>21.743479041059544</v>
      </c>
      <c r="EN163" s="125">
        <f>EN52/293.07*(1/(VLOOKUP($BM163,'Fuel economy adjusted factor'!$A$2:$L$52,5,FALSE)*m2k))/'TCO Inputs'!$AZ$84</f>
        <v>21.743479041059544</v>
      </c>
      <c r="EO163" s="125">
        <f>EO52/293.07*(1/(VLOOKUP($BM163,'Fuel economy adjusted factor'!$A$2:$L$52,5,FALSE)*m2k))/'TCO Inputs'!$AZ$84</f>
        <v>21.05911261704999</v>
      </c>
      <c r="EP163" s="125">
        <f>EP52/293.07*(1/(VLOOKUP($BM163,'Fuel economy adjusted factor'!$A$2:$L$52,5,FALSE)*m2k))/'TCO Inputs'!$AZ$84</f>
        <v>21.05911261704999</v>
      </c>
      <c r="EQ163" s="125">
        <f>EQ52/293.07*(1/(VLOOKUP($BM163,'Fuel economy adjusted factor'!$A$2:$L$52,5,FALSE)*m2k))/'TCO Inputs'!$AZ$84</f>
        <v>21.05911261704999</v>
      </c>
      <c r="ER163" s="125">
        <f>ER52/293.07*(1/(VLOOKUP($BM163,'Fuel economy adjusted factor'!$A$2:$L$52,5,FALSE)*m2k))/'TCO Inputs'!$AZ$84</f>
        <v>21.05911261704999</v>
      </c>
      <c r="ES163" s="125">
        <f>ES52/293.07*(1/(VLOOKUP($BM163,'Fuel economy adjusted factor'!$A$2:$L$52,5,FALSE)*m2k))/'TCO Inputs'!$AZ$84</f>
        <v>21.05911261704999</v>
      </c>
      <c r="ET163" s="125">
        <f>ET52/293.07*(1/(VLOOKUP($BM163,'Fuel economy adjusted factor'!$A$2:$L$52,5,FALSE)*m2k))/'TCO Inputs'!$AZ$84</f>
        <v>20.277216513613009</v>
      </c>
      <c r="EU163" s="125">
        <f>EU52/293.07*(1/(VLOOKUP($BM163,'Fuel economy adjusted factor'!$A$2:$L$52,5,FALSE)*m2k))/'TCO Inputs'!$AZ$84</f>
        <v>20.277216513613009</v>
      </c>
      <c r="EV163" s="125">
        <f>EV52/293.07*(1/(VLOOKUP($BM163,'Fuel economy adjusted factor'!$A$2:$L$52,5,FALSE)*m2k))/'TCO Inputs'!$AZ$84</f>
        <v>20.277216513613009</v>
      </c>
      <c r="EW163" s="125">
        <f>EW52/293.07*(1/(VLOOKUP($BM163,'Fuel economy adjusted factor'!$A$2:$L$52,5,FALSE)*m2k))/'TCO Inputs'!$AZ$84</f>
        <v>20.277216513613009</v>
      </c>
      <c r="EX163" s="125">
        <f>EX52/293.07*(1/(VLOOKUP($BM163,'Fuel economy adjusted factor'!$A$2:$L$52,5,FALSE)*m2k))/'TCO Inputs'!$AZ$84</f>
        <v>20.277216513613009</v>
      </c>
      <c r="EY163" s="125">
        <f>EY52/293.07*(1/(VLOOKUP($BM163,'Fuel economy adjusted factor'!$A$2:$L$52,5,FALSE)*m2k))/'TCO Inputs'!$AZ$84</f>
        <v>19.051129115096629</v>
      </c>
      <c r="EZ163" s="98" cm="1">
        <f t="array" ref="EZ163">SUMPRODUCT(INDEX(DX163:EY163,,'TCO Inputs'!$AZ$12-2023+_xlfn.SEQUENCE('TCO Inputs'!$AZ$13))*INDEX('VKT US'!C109:AA109,,_xlfn.SEQUENCE('TCO Inputs'!$AZ$13)))*m2k*CONVERT(0.9072,"g","ton")</f>
        <v>7.7106171920475965</v>
      </c>
      <c r="FB163" s="123" t="s">
        <v>229</v>
      </c>
      <c r="FC163" s="125">
        <f>FC52/293.07*(1/(VLOOKUP($BM163,'Fuel economy adjusted factor'!$A$2:$L$52,5,FALSE)*m2k))/'TCO Inputs'!$AZ$84</f>
        <v>48.875307003683361</v>
      </c>
      <c r="FD163" s="125">
        <f>FD52/293.07*(1/(VLOOKUP($BM163,'Fuel economy adjusted factor'!$A$2:$L$52,5,FALSE)*m2k))/'TCO Inputs'!$AZ$84</f>
        <v>48.875307003683361</v>
      </c>
      <c r="FE163" s="125">
        <f>FE52/293.07*(1/(VLOOKUP($BM163,'Fuel economy adjusted factor'!$A$2:$L$52,5,FALSE)*m2k))/'TCO Inputs'!$AZ$84</f>
        <v>42.682835827247949</v>
      </c>
      <c r="FF163" s="125">
        <f>FF52/293.07*(1/(VLOOKUP($BM163,'Fuel economy adjusted factor'!$A$2:$L$52,5,FALSE)*m2k))/'TCO Inputs'!$AZ$84</f>
        <v>42.682835827247949</v>
      </c>
      <c r="FG163" s="125">
        <f>FG52/293.07*(1/(VLOOKUP($BM163,'Fuel economy adjusted factor'!$A$2:$L$52,5,FALSE)*m2k))/'TCO Inputs'!$AZ$84</f>
        <v>42.682835827247949</v>
      </c>
      <c r="FH163" s="125">
        <f>FH52/293.07*(1/(VLOOKUP($BM163,'Fuel economy adjusted factor'!$A$2:$L$52,5,FALSE)*m2k))/'TCO Inputs'!$AZ$84</f>
        <v>42.682835827247949</v>
      </c>
      <c r="FI163" s="125">
        <f>FI52/293.07*(1/(VLOOKUP($BM163,'Fuel economy adjusted factor'!$A$2:$L$52,5,FALSE)*m2k))/'TCO Inputs'!$AZ$84</f>
        <v>42.682835827247949</v>
      </c>
      <c r="FJ163" s="125">
        <f>FJ52/293.07*(1/(VLOOKUP($BM163,'Fuel economy adjusted factor'!$A$2:$L$52,5,FALSE)*m2k))/'TCO Inputs'!$AZ$84</f>
        <v>26.784502879764865</v>
      </c>
      <c r="FK163" s="125">
        <f>FK52/293.07*(1/(VLOOKUP($BM163,'Fuel economy adjusted factor'!$A$2:$L$52,5,FALSE)*m2k))/'TCO Inputs'!$AZ$84</f>
        <v>26.784502879764865</v>
      </c>
      <c r="FL163" s="125">
        <f>FL52/293.07*(1/(VLOOKUP($BM163,'Fuel economy adjusted factor'!$A$2:$L$52,5,FALSE)*m2k))/'TCO Inputs'!$AZ$84</f>
        <v>26.784502879764865</v>
      </c>
      <c r="FM163" s="125">
        <f>FM52/293.07*(1/(VLOOKUP($BM163,'Fuel economy adjusted factor'!$A$2:$L$52,5,FALSE)*m2k))/'TCO Inputs'!$AZ$84</f>
        <v>26.784502879764865</v>
      </c>
      <c r="FN163" s="125">
        <f>FN52/293.07*(1/(VLOOKUP($BM163,'Fuel economy adjusted factor'!$A$2:$L$52,5,FALSE)*m2k))/'TCO Inputs'!$AZ$84</f>
        <v>26.784502879764865</v>
      </c>
      <c r="FO163" s="125">
        <f>FO52/293.07*(1/(VLOOKUP($BM163,'Fuel economy adjusted factor'!$A$2:$L$52,5,FALSE)*m2k))/'TCO Inputs'!$AZ$84</f>
        <v>23.783308968948401</v>
      </c>
      <c r="FP163" s="125">
        <f>FP52/293.07*(1/(VLOOKUP($BM163,'Fuel economy adjusted factor'!$A$2:$L$52,5,FALSE)*m2k))/'TCO Inputs'!$AZ$84</f>
        <v>23.783308968948401</v>
      </c>
      <c r="FQ163" s="125">
        <f>FQ52/293.07*(1/(VLOOKUP($BM163,'Fuel economy adjusted factor'!$A$2:$L$52,5,FALSE)*m2k))/'TCO Inputs'!$AZ$84</f>
        <v>23.783308968948401</v>
      </c>
      <c r="FR163" s="125">
        <f>FR52/293.07*(1/(VLOOKUP($BM163,'Fuel economy adjusted factor'!$A$2:$L$52,5,FALSE)*m2k))/'TCO Inputs'!$AZ$84</f>
        <v>23.783308968948401</v>
      </c>
      <c r="FS163" s="125">
        <f>FS52/293.07*(1/(VLOOKUP($BM163,'Fuel economy adjusted factor'!$A$2:$L$52,5,FALSE)*m2k))/'TCO Inputs'!$AZ$84</f>
        <v>23.783308968948401</v>
      </c>
      <c r="FT163" s="125">
        <f>FT52/293.07*(1/(VLOOKUP($BM163,'Fuel economy adjusted factor'!$A$2:$L$52,5,FALSE)*m2k))/'TCO Inputs'!$AZ$84</f>
        <v>23.177895142570591</v>
      </c>
      <c r="FU163" s="125">
        <f>FU52/293.07*(1/(VLOOKUP($BM163,'Fuel economy adjusted factor'!$A$2:$L$52,5,FALSE)*m2k))/'TCO Inputs'!$AZ$84</f>
        <v>23.177895142570591</v>
      </c>
      <c r="FV163" s="125">
        <f>FV52/293.07*(1/(VLOOKUP($BM163,'Fuel economy adjusted factor'!$A$2:$L$52,5,FALSE)*m2k))/'TCO Inputs'!$AZ$84</f>
        <v>23.177895142570591</v>
      </c>
      <c r="FW163" s="125">
        <f>FW52/293.07*(1/(VLOOKUP($BM163,'Fuel economy adjusted factor'!$A$2:$L$52,5,FALSE)*m2k))/'TCO Inputs'!$AZ$84</f>
        <v>23.177895142570591</v>
      </c>
      <c r="FX163" s="125">
        <f>FX52/293.07*(1/(VLOOKUP($BM163,'Fuel economy adjusted factor'!$A$2:$L$52,5,FALSE)*m2k))/'TCO Inputs'!$AZ$84</f>
        <v>23.177895142570591</v>
      </c>
      <c r="FY163" s="125">
        <f>FY52/293.07*(1/(VLOOKUP($BM163,'Fuel economy adjusted factor'!$A$2:$L$52,5,FALSE)*m2k))/'TCO Inputs'!$AZ$84</f>
        <v>22.394340371116126</v>
      </c>
      <c r="FZ163" s="125">
        <f>FZ52/293.07*(1/(VLOOKUP($BM163,'Fuel economy adjusted factor'!$A$2:$L$52,5,FALSE)*m2k))/'TCO Inputs'!$AZ$84</f>
        <v>22.394340371116126</v>
      </c>
      <c r="GA163" s="125">
        <f>GA52/293.07*(1/(VLOOKUP($BM163,'Fuel economy adjusted factor'!$A$2:$L$52,5,FALSE)*m2k))/'TCO Inputs'!$AZ$84</f>
        <v>22.394340371116126</v>
      </c>
      <c r="GB163" s="125">
        <f>GB52/293.07*(1/(VLOOKUP($BM163,'Fuel economy adjusted factor'!$A$2:$L$52,5,FALSE)*m2k))/'TCO Inputs'!$AZ$84</f>
        <v>22.394340371116126</v>
      </c>
      <c r="GC163" s="125">
        <f>GC52/293.07*(1/(VLOOKUP($BM163,'Fuel economy adjusted factor'!$A$2:$L$52,5,FALSE)*m2k))/'TCO Inputs'!$AZ$84</f>
        <v>22.394340371116126</v>
      </c>
      <c r="GD163" s="125">
        <f>GD52/293.07*(1/(VLOOKUP($BM163,'Fuel economy adjusted factor'!$A$2:$L$52,5,FALSE)*m2k))/'TCO Inputs'!$AZ$84</f>
        <v>21.125791071352431</v>
      </c>
      <c r="GE163" s="98" cm="1">
        <f t="array" ref="GE163">SUMPRODUCT(INDEX(FC163:GD163,,'TCO Inputs'!$AZ$12-2023+_xlfn.SEQUENCE('TCO Inputs'!$AZ$13))*INDEX('VKT US'!C109:AA109,,_xlfn.SEQUENCE('TCO Inputs'!$AZ$13)))*m2k*CONVERT(0.9072,"g","ton")</f>
        <v>8.3834732898349653</v>
      </c>
      <c r="GH163" s="123" t="s">
        <v>229</v>
      </c>
      <c r="GI163" s="125">
        <f>GI52/293.07*(1/(VLOOKUP($BM163,'Fuel economy adjusted factor'!$A$2:$L$52,5,FALSE)*m2k))/'TCO Inputs'!$AZ$84</f>
        <v>42.464886849751942</v>
      </c>
      <c r="GJ163" s="125">
        <f>GJ52/293.07*(1/(VLOOKUP($BM163,'Fuel economy adjusted factor'!$A$2:$L$52,5,FALSE)*m2k))/'TCO Inputs'!$AZ$84</f>
        <v>42.464886849751942</v>
      </c>
      <c r="GK163" s="125">
        <f>GK52/293.07*(1/(VLOOKUP($BM163,'Fuel economy adjusted factor'!$A$2:$L$52,5,FALSE)*m2k))/'TCO Inputs'!$AZ$84</f>
        <v>37.334626671706538</v>
      </c>
      <c r="GL163" s="125">
        <f>GL52/293.07*(1/(VLOOKUP($BM163,'Fuel economy adjusted factor'!$A$2:$L$52,5,FALSE)*m2k))/'TCO Inputs'!$AZ$84</f>
        <v>37.334626671706538</v>
      </c>
      <c r="GM163" s="125">
        <f>GM52/293.07*(1/(VLOOKUP($BM163,'Fuel economy adjusted factor'!$A$2:$L$52,5,FALSE)*m2k))/'TCO Inputs'!$AZ$84</f>
        <v>37.334626671706538</v>
      </c>
      <c r="GN163" s="125">
        <f>GN52/293.07*(1/(VLOOKUP($BM163,'Fuel economy adjusted factor'!$A$2:$L$52,5,FALSE)*m2k))/'TCO Inputs'!$AZ$84</f>
        <v>37.334626671706538</v>
      </c>
      <c r="GO163" s="125">
        <f>GO52/293.07*(1/(VLOOKUP($BM163,'Fuel economy adjusted factor'!$A$2:$L$52,5,FALSE)*m2k))/'TCO Inputs'!$AZ$84</f>
        <v>37.334626671706538</v>
      </c>
      <c r="GP163" s="125">
        <f>GP52/293.07*(1/(VLOOKUP($BM163,'Fuel economy adjusted factor'!$A$2:$L$52,5,FALSE)*m2k))/'TCO Inputs'!$AZ$84</f>
        <v>22.685602474984467</v>
      </c>
      <c r="GQ163" s="125">
        <f>GQ52/293.07*(1/(VLOOKUP($BM163,'Fuel economy adjusted factor'!$A$2:$L$52,5,FALSE)*m2k))/'TCO Inputs'!$AZ$84</f>
        <v>22.685602474984467</v>
      </c>
      <c r="GR163" s="125">
        <f>GR52/293.07*(1/(VLOOKUP($BM163,'Fuel economy adjusted factor'!$A$2:$L$52,5,FALSE)*m2k))/'TCO Inputs'!$AZ$84</f>
        <v>22.685602474984467</v>
      </c>
      <c r="GS163" s="125">
        <f>GS52/293.07*(1/(VLOOKUP($BM163,'Fuel economy adjusted factor'!$A$2:$L$52,5,FALSE)*m2k))/'TCO Inputs'!$AZ$84</f>
        <v>22.685602474984467</v>
      </c>
      <c r="GT163" s="125">
        <f>GT52/293.07*(1/(VLOOKUP($BM163,'Fuel economy adjusted factor'!$A$2:$L$52,5,FALSE)*m2k))/'TCO Inputs'!$AZ$84</f>
        <v>22.685602474984467</v>
      </c>
      <c r="GU163" s="125">
        <f>GU52/293.07*(1/(VLOOKUP($BM163,'Fuel economy adjusted factor'!$A$2:$L$52,5,FALSE)*m2k))/'TCO Inputs'!$AZ$84</f>
        <v>20.355173910434264</v>
      </c>
      <c r="GV163" s="125">
        <f>GV52/293.07*(1/(VLOOKUP($BM163,'Fuel economy adjusted factor'!$A$2:$L$52,5,FALSE)*m2k))/'TCO Inputs'!$AZ$84</f>
        <v>20.355173910434264</v>
      </c>
      <c r="GW163" s="125">
        <f>GW52/293.07*(1/(VLOOKUP($BM163,'Fuel economy adjusted factor'!$A$2:$L$52,5,FALSE)*m2k))/'TCO Inputs'!$AZ$84</f>
        <v>20.355173910434264</v>
      </c>
      <c r="GX163" s="125">
        <f>GX52/293.07*(1/(VLOOKUP($BM163,'Fuel economy adjusted factor'!$A$2:$L$52,5,FALSE)*m2k))/'TCO Inputs'!$AZ$84</f>
        <v>20.355173910434264</v>
      </c>
      <c r="GY163" s="125">
        <f>GY52/293.07*(1/(VLOOKUP($BM163,'Fuel economy adjusted factor'!$A$2:$L$52,5,FALSE)*m2k))/'TCO Inputs'!$AZ$84</f>
        <v>20.355173910434264</v>
      </c>
      <c r="GZ163" s="125">
        <f>GZ52/293.07*(1/(VLOOKUP($BM163,'Fuel economy adjusted factor'!$A$2:$L$52,5,FALSE)*m2k))/'TCO Inputs'!$AZ$84</f>
        <v>19.617066642658571</v>
      </c>
      <c r="HA163" s="125">
        <f>HA52/293.07*(1/(VLOOKUP($BM163,'Fuel economy adjusted factor'!$A$2:$L$52,5,FALSE)*m2k))/'TCO Inputs'!$AZ$84</f>
        <v>19.617066642658571</v>
      </c>
      <c r="HB163" s="125">
        <f>HB52/293.07*(1/(VLOOKUP($BM163,'Fuel economy adjusted factor'!$A$2:$L$52,5,FALSE)*m2k))/'TCO Inputs'!$AZ$84</f>
        <v>19.617066642658571</v>
      </c>
      <c r="HC163" s="125">
        <f>HC52/293.07*(1/(VLOOKUP($BM163,'Fuel economy adjusted factor'!$A$2:$L$52,5,FALSE)*m2k))/'TCO Inputs'!$AZ$84</f>
        <v>19.617066642658571</v>
      </c>
      <c r="HD163" s="125">
        <f>HD52/293.07*(1/(VLOOKUP($BM163,'Fuel economy adjusted factor'!$A$2:$L$52,5,FALSE)*m2k))/'TCO Inputs'!$AZ$84</f>
        <v>19.617066642658571</v>
      </c>
      <c r="HE163" s="125">
        <f>HE52/293.07*(1/(VLOOKUP($BM163,'Fuel economy adjusted factor'!$A$2:$L$52,5,FALSE)*m2k))/'TCO Inputs'!$AZ$84</f>
        <v>18.836165740032065</v>
      </c>
      <c r="HF163" s="125">
        <f>HF52/293.07*(1/(VLOOKUP($BM163,'Fuel economy adjusted factor'!$A$2:$L$52,5,FALSE)*m2k))/'TCO Inputs'!$AZ$84</f>
        <v>18.836165740032065</v>
      </c>
      <c r="HG163" s="125">
        <f>HG52/293.07*(1/(VLOOKUP($BM163,'Fuel economy adjusted factor'!$A$2:$L$52,5,FALSE)*m2k))/'TCO Inputs'!$AZ$84</f>
        <v>18.836165740032065</v>
      </c>
      <c r="HH163" s="125">
        <f>HH52/293.07*(1/(VLOOKUP($BM163,'Fuel economy adjusted factor'!$A$2:$L$52,5,FALSE)*m2k))/'TCO Inputs'!$AZ$84</f>
        <v>18.836165740032065</v>
      </c>
      <c r="HI163" s="125">
        <f>HI52/293.07*(1/(VLOOKUP($BM163,'Fuel economy adjusted factor'!$A$2:$L$52,5,FALSE)*m2k))/'TCO Inputs'!$AZ$84</f>
        <v>18.836165740032065</v>
      </c>
      <c r="HJ163" s="125">
        <f>HJ52/293.07*(1/(VLOOKUP($BM163,'Fuel economy adjusted factor'!$A$2:$L$52,5,FALSE)*m2k))/'TCO Inputs'!$AZ$84</f>
        <v>17.639270898623224</v>
      </c>
      <c r="HK163" s="98" cm="1">
        <f t="array" ref="HK163">SUMPRODUCT(INDEX(GI163:HJ163,,'TCO Inputs'!$AZ$12-2023+_xlfn.SEQUENCE('TCO Inputs'!$AZ$13))*INDEX('VKT US'!C109:AA109,,_xlfn.SEQUENCE('TCO Inputs'!$AZ$13)))*m2k*CONVERT(0.9072,"g","ton")</f>
        <v>7.25265951125205</v>
      </c>
    </row>
    <row r="164" spans="22:219" x14ac:dyDescent="0.25">
      <c r="Z164" s="123" t="s">
        <v>159</v>
      </c>
      <c r="AA164" s="125">
        <f>AA53/293.07*(1/(VLOOKUP($Z164,'Fuel economy adjusted factor'!$A$2:$L$52,5,FALSE)*m2k))/'TCO Inputs'!$AZ$84</f>
        <v>236.07423664356753</v>
      </c>
      <c r="AB164" s="125">
        <f>AB53/293.07*(1/(VLOOKUP($Z164,'Fuel economy adjusted factor'!$A$2:$L$52,5,FALSE)*m2k))/'TCO Inputs'!$AZ$84</f>
        <v>236.07423664356753</v>
      </c>
      <c r="AC164" s="125">
        <f>AC53/293.07*(1/(VLOOKUP($Z164,'Fuel economy adjusted factor'!$A$2:$L$52,5,FALSE)*m2k))/'TCO Inputs'!$AZ$84</f>
        <v>207.62583659736362</v>
      </c>
      <c r="AD164" s="125">
        <f>AD53/293.07*(1/(VLOOKUP($Z164,'Fuel economy adjusted factor'!$A$2:$L$52,5,FALSE)*m2k))/'TCO Inputs'!$AZ$84</f>
        <v>207.62583659736362</v>
      </c>
      <c r="AE164" s="125">
        <f>AE53/293.07*(1/(VLOOKUP($Z164,'Fuel economy adjusted factor'!$A$2:$L$52,5,FALSE)*m2k))/'TCO Inputs'!$AZ$84</f>
        <v>207.62583659736362</v>
      </c>
      <c r="AF164" s="125">
        <f>AF53/293.07*(1/(VLOOKUP($Z164,'Fuel economy adjusted factor'!$A$2:$L$52,5,FALSE)*m2k))/'TCO Inputs'!$AZ$84</f>
        <v>207.62583659736362</v>
      </c>
      <c r="AG164" s="125">
        <f>AG53/293.07*(1/(VLOOKUP($Z164,'Fuel economy adjusted factor'!$A$2:$L$52,5,FALSE)*m2k))/'TCO Inputs'!$AZ$84</f>
        <v>207.62583659736362</v>
      </c>
      <c r="AH164" s="125">
        <f>AH53/293.07*(1/(VLOOKUP($Z164,'Fuel economy adjusted factor'!$A$2:$L$52,5,FALSE)*m2k))/'TCO Inputs'!$AZ$84</f>
        <v>124.74942707477152</v>
      </c>
      <c r="AI164" s="125">
        <f>AI53/293.07*(1/(VLOOKUP($Z164,'Fuel economy adjusted factor'!$A$2:$L$52,5,FALSE)*m2k))/'TCO Inputs'!$AZ$84</f>
        <v>124.74942707477152</v>
      </c>
      <c r="AJ164" s="125">
        <f>AJ53/293.07*(1/(VLOOKUP($Z164,'Fuel economy adjusted factor'!$A$2:$L$52,5,FALSE)*m2k))/'TCO Inputs'!$AZ$84</f>
        <v>124.74942707477152</v>
      </c>
      <c r="AK164" s="125">
        <f>AK53/293.07*(1/(VLOOKUP($Z164,'Fuel economy adjusted factor'!$A$2:$L$52,5,FALSE)*m2k))/'TCO Inputs'!$AZ$84</f>
        <v>124.74942707477152</v>
      </c>
      <c r="AL164" s="125">
        <f>AL53/293.07*(1/(VLOOKUP($Z164,'Fuel economy adjusted factor'!$A$2:$L$52,5,FALSE)*m2k))/'TCO Inputs'!$AZ$84</f>
        <v>124.74942707477152</v>
      </c>
      <c r="AM164" s="125">
        <f>AM53/293.07*(1/(VLOOKUP($Z164,'Fuel economy adjusted factor'!$A$2:$L$52,5,FALSE)*m2k))/'TCO Inputs'!$AZ$84</f>
        <v>130.54753738667608</v>
      </c>
      <c r="AN164" s="125">
        <f>AN53/293.07*(1/(VLOOKUP($Z164,'Fuel economy adjusted factor'!$A$2:$L$52,5,FALSE)*m2k))/'TCO Inputs'!$AZ$84</f>
        <v>130.54753738667608</v>
      </c>
      <c r="AO164" s="125">
        <f>AO53/293.07*(1/(VLOOKUP($Z164,'Fuel economy adjusted factor'!$A$2:$L$52,5,FALSE)*m2k))/'TCO Inputs'!$AZ$84</f>
        <v>130.54753738667608</v>
      </c>
      <c r="AP164" s="125">
        <f>AP53/293.07*(1/(VLOOKUP($Z164,'Fuel economy adjusted factor'!$A$2:$L$52,5,FALSE)*m2k))/'TCO Inputs'!$AZ$84</f>
        <v>130.54753738667608</v>
      </c>
      <c r="AQ164" s="125">
        <f>AQ53/293.07*(1/(VLOOKUP($Z164,'Fuel economy adjusted factor'!$A$2:$L$52,5,FALSE)*m2k))/'TCO Inputs'!$AZ$84</f>
        <v>130.54753738667608</v>
      </c>
      <c r="AR164" s="125">
        <f>AR53/293.07*(1/(VLOOKUP($Z164,'Fuel economy adjusted factor'!$A$2:$L$52,5,FALSE)*m2k))/'TCO Inputs'!$AZ$84</f>
        <v>136.4675408240584</v>
      </c>
      <c r="AS164" s="125">
        <f>AS53/293.07*(1/(VLOOKUP($Z164,'Fuel economy adjusted factor'!$A$2:$L$52,5,FALSE)*m2k))/'TCO Inputs'!$AZ$84</f>
        <v>136.4675408240584</v>
      </c>
      <c r="AT164" s="125">
        <f>AT53/293.07*(1/(VLOOKUP($Z164,'Fuel economy adjusted factor'!$A$2:$L$52,5,FALSE)*m2k))/'TCO Inputs'!$AZ$84</f>
        <v>136.4675408240584</v>
      </c>
      <c r="AU164" s="125">
        <f>AU53/293.07*(1/(VLOOKUP($Z164,'Fuel economy adjusted factor'!$A$2:$L$52,5,FALSE)*m2k))/'TCO Inputs'!$AZ$84</f>
        <v>136.4675408240584</v>
      </c>
      <c r="AV164" s="125">
        <f>AV53/293.07*(1/(VLOOKUP($Z164,'Fuel economy adjusted factor'!$A$2:$L$52,5,FALSE)*m2k))/'TCO Inputs'!$AZ$84</f>
        <v>136.4675408240584</v>
      </c>
      <c r="AW164" s="125">
        <f>AW53/293.07*(1/(VLOOKUP($Z164,'Fuel economy adjusted factor'!$A$2:$L$52,5,FALSE)*m2k))/'TCO Inputs'!$AZ$84</f>
        <v>139.46210924997465</v>
      </c>
      <c r="AX164" s="125">
        <f>AX53/293.07*(1/(VLOOKUP($Z164,'Fuel economy adjusted factor'!$A$2:$L$52,5,FALSE)*m2k))/'TCO Inputs'!$AZ$84</f>
        <v>139.46210924997465</v>
      </c>
      <c r="AY164" s="125">
        <f>AY53/293.07*(1/(VLOOKUP($Z164,'Fuel economy adjusted factor'!$A$2:$L$52,5,FALSE)*m2k))/'TCO Inputs'!$AZ$84</f>
        <v>139.46210924997465</v>
      </c>
      <c r="AZ164" s="125">
        <f>AZ53/293.07*(1/(VLOOKUP($Z164,'Fuel economy adjusted factor'!$A$2:$L$52,5,FALSE)*m2k))/'TCO Inputs'!$AZ$84</f>
        <v>139.46210924997465</v>
      </c>
      <c r="BA164" s="125">
        <f>BA53/293.07*(1/(VLOOKUP($Z164,'Fuel economy adjusted factor'!$A$2:$L$52,5,FALSE)*m2k))/'TCO Inputs'!$AZ$84</f>
        <v>139.46210924997465</v>
      </c>
      <c r="BB164" s="125">
        <f>BB53/293.07*(1/(VLOOKUP($Z164,'Fuel economy adjusted factor'!$A$2:$L$52,5,FALSE)*m2k))/'TCO Inputs'!$AZ$84</f>
        <v>139.65131648952223</v>
      </c>
      <c r="BC164" s="98" cm="1">
        <f t="array" ref="BC164">SUMPRODUCT(INDEX(AA164:BB164,,'TCO Inputs'!$AZ$12-2023+_xlfn.SEQUENCE('TCO Inputs'!$AZ$13))*INDEX('VKT US'!C110:AA110,,_xlfn.SEQUENCE('TCO Inputs'!$AZ$13)))*m2k*CONVERT(0.9072,"g","ton")</f>
        <v>62.738796652414038</v>
      </c>
      <c r="BM164" s="123" t="s">
        <v>159</v>
      </c>
      <c r="BN164" s="125">
        <f>BN53/293.07*(1/(VLOOKUP($BM164,'Fuel economy adjusted factor'!$A$2:$L$52,5,FALSE)*m2k))</f>
        <v>200.66310114703239</v>
      </c>
      <c r="BO164" s="125">
        <f>BO53/293.07*(1/(VLOOKUP($BM164,'Fuel economy adjusted factor'!$A$2:$L$52,5,FALSE)*m2k))</f>
        <v>200.66310114703239</v>
      </c>
      <c r="BP164" s="125">
        <f>BP53/293.07*(1/(VLOOKUP($BM164,'Fuel economy adjusted factor'!$A$2:$L$52,5,FALSE)*m2k))</f>
        <v>176.2515467145985</v>
      </c>
      <c r="BQ164" s="125">
        <f>BQ53/293.07*(1/(VLOOKUP($BM164,'Fuel economy adjusted factor'!$A$2:$L$52,5,FALSE)*m2k))</f>
        <v>176.2515467145985</v>
      </c>
      <c r="BR164" s="125">
        <f>BR53/293.07*(1/(VLOOKUP($BM164,'Fuel economy adjusted factor'!$A$2:$L$52,5,FALSE)*m2k))</f>
        <v>176.2515467145985</v>
      </c>
      <c r="BS164" s="125">
        <f>BS53/293.07*(1/(VLOOKUP($BM164,'Fuel economy adjusted factor'!$A$2:$L$52,5,FALSE)*m2k))</f>
        <v>176.2515467145985</v>
      </c>
      <c r="BT164" s="125">
        <f>BT53/293.07*(1/(VLOOKUP($BM164,'Fuel economy adjusted factor'!$A$2:$L$52,5,FALSE)*m2k))</f>
        <v>176.2515467145985</v>
      </c>
      <c r="BU164" s="125">
        <f>BU53/293.07*(1/(VLOOKUP($BM164,'Fuel economy adjusted factor'!$A$2:$L$52,5,FALSE)*m2k))</f>
        <v>199.79247495005657</v>
      </c>
      <c r="BV164" s="125">
        <f>BV53/293.07*(1/(VLOOKUP($BM164,'Fuel economy adjusted factor'!$A$2:$L$52,5,FALSE)*m2k))</f>
        <v>199.79247495005657</v>
      </c>
      <c r="BW164" s="125">
        <f>BW53/293.07*(1/(VLOOKUP($BM164,'Fuel economy adjusted factor'!$A$2:$L$52,5,FALSE)*m2k))</f>
        <v>199.79247495005657</v>
      </c>
      <c r="BX164" s="125">
        <f>BX53/293.07*(1/(VLOOKUP($BM164,'Fuel economy adjusted factor'!$A$2:$L$52,5,FALSE)*m2k))</f>
        <v>199.79247495005657</v>
      </c>
      <c r="BY164" s="125">
        <f>BY53/293.07*(1/(VLOOKUP($BM164,'Fuel economy adjusted factor'!$A$2:$L$52,5,FALSE)*m2k))</f>
        <v>199.79247495005657</v>
      </c>
      <c r="BZ164" s="125">
        <f>BZ53/293.07*(1/(VLOOKUP($BM164,'Fuel economy adjusted factor'!$A$2:$L$52,5,FALSE)*m2k))</f>
        <v>204.59715628931747</v>
      </c>
      <c r="CA164" s="125">
        <f>CA53/293.07*(1/(VLOOKUP($BM164,'Fuel economy adjusted factor'!$A$2:$L$52,5,FALSE)*m2k))</f>
        <v>204.59715628931747</v>
      </c>
      <c r="CB164" s="125">
        <f>CB53/293.07*(1/(VLOOKUP($BM164,'Fuel economy adjusted factor'!$A$2:$L$52,5,FALSE)*m2k))</f>
        <v>204.59715628931747</v>
      </c>
      <c r="CC164" s="125">
        <f>CC53/293.07*(1/(VLOOKUP($BM164,'Fuel economy adjusted factor'!$A$2:$L$52,5,FALSE)*m2k))</f>
        <v>204.59715628931747</v>
      </c>
      <c r="CD164" s="125">
        <f>CD53/293.07*(1/(VLOOKUP($BM164,'Fuel economy adjusted factor'!$A$2:$L$52,5,FALSE)*m2k))</f>
        <v>204.59715628931747</v>
      </c>
      <c r="CE164" s="125">
        <f>CE53/293.07*(1/(VLOOKUP($BM164,'Fuel economy adjusted factor'!$A$2:$L$52,5,FALSE)*m2k))</f>
        <v>209.65390169626406</v>
      </c>
      <c r="CF164" s="125">
        <f>CF53/293.07*(1/(VLOOKUP($BM164,'Fuel economy adjusted factor'!$A$2:$L$52,5,FALSE)*m2k))</f>
        <v>209.65390169626406</v>
      </c>
      <c r="CG164" s="125">
        <f>CG53/293.07*(1/(VLOOKUP($BM164,'Fuel economy adjusted factor'!$A$2:$L$52,5,FALSE)*m2k))</f>
        <v>209.65390169626406</v>
      </c>
      <c r="CH164" s="125">
        <f>CH53/293.07*(1/(VLOOKUP($BM164,'Fuel economy adjusted factor'!$A$2:$L$52,5,FALSE)*m2k))</f>
        <v>209.65390169626406</v>
      </c>
      <c r="CI164" s="125">
        <f>CI53/293.07*(1/(VLOOKUP($BM164,'Fuel economy adjusted factor'!$A$2:$L$52,5,FALSE)*m2k))</f>
        <v>209.65390169626406</v>
      </c>
      <c r="CJ164" s="125">
        <f>CJ53/293.07*(1/(VLOOKUP($BM164,'Fuel economy adjusted factor'!$A$2:$L$52,5,FALSE)*m2k))</f>
        <v>210.85391222708688</v>
      </c>
      <c r="CK164" s="125">
        <f>CK53/293.07*(1/(VLOOKUP($BM164,'Fuel economy adjusted factor'!$A$2:$L$52,5,FALSE)*m2k))</f>
        <v>210.85391222708688</v>
      </c>
      <c r="CL164" s="125">
        <f>CL53/293.07*(1/(VLOOKUP($BM164,'Fuel economy adjusted factor'!$A$2:$L$52,5,FALSE)*m2k))</f>
        <v>210.85391222708688</v>
      </c>
      <c r="CM164" s="125">
        <f>CM53/293.07*(1/(VLOOKUP($BM164,'Fuel economy adjusted factor'!$A$2:$L$52,5,FALSE)*m2k))</f>
        <v>210.85391222708688</v>
      </c>
      <c r="CN164" s="125">
        <f>CN53/293.07*(1/(VLOOKUP($BM164,'Fuel economy adjusted factor'!$A$2:$L$52,5,FALSE)*m2k))</f>
        <v>210.85391222708688</v>
      </c>
      <c r="CO164" s="125">
        <f>CO53/293.07*(1/(VLOOKUP($BM164,'Fuel economy adjusted factor'!$A$2:$L$52,5,FALSE)*m2k))</f>
        <v>212.28742996171667</v>
      </c>
      <c r="CP164" s="98" cm="1">
        <f t="array" ref="CP164">SUMPRODUCT(INDEX(BN164:CO164,,'TCO Inputs'!$AZ$12-2023+_xlfn.SEQUENCE('TCO Inputs'!$AZ$13))*INDEX('VKT US'!C110:AA110,,_xlfn.SEQUENCE('TCO Inputs'!$AZ$13)))*m2k*CONVERT(0.9072,"g","ton")</f>
        <v>68.335949361730499</v>
      </c>
      <c r="CQ164" s="194"/>
      <c r="CR164" s="123" t="s">
        <v>159</v>
      </c>
      <c r="CS164" s="125">
        <f>CS53/293.07*(1/(VLOOKUP($BM164,'Fuel economy adjusted factor'!$A$2:$L$52,5,FALSE)*m2k))/'TCO Inputs'!$AZ$84</f>
        <v>285.82300554191414</v>
      </c>
      <c r="CT164" s="125">
        <f>CT53/293.07*(1/(VLOOKUP($BM164,'Fuel economy adjusted factor'!$A$2:$L$52,5,FALSE)*m2k))/'TCO Inputs'!$AZ$84</f>
        <v>285.8230055419142</v>
      </c>
      <c r="CU164" s="125">
        <f>CU53/293.07*(1/(VLOOKUP($BM164,'Fuel economy adjusted factor'!$A$2:$L$52,5,FALSE)*m2k))/'TCO Inputs'!$AZ$84</f>
        <v>285.8230055419142</v>
      </c>
      <c r="CV164" s="125">
        <f>CV53/293.07*(1/(VLOOKUP($BM164,'Fuel economy adjusted factor'!$A$2:$L$52,5,FALSE)*m2k))/'TCO Inputs'!$AZ$84</f>
        <v>285.8230055419142</v>
      </c>
      <c r="CW164" s="125">
        <f>CW53/293.07*(1/(VLOOKUP($BM164,'Fuel economy adjusted factor'!$A$2:$L$52,5,FALSE)*m2k))/'TCO Inputs'!$AZ$84</f>
        <v>285.8230055419142</v>
      </c>
      <c r="CX164" s="125">
        <f>CX53/293.07*(1/(VLOOKUP($BM164,'Fuel economy adjusted factor'!$A$2:$L$52,5,FALSE)*m2k))/'TCO Inputs'!$AZ$84</f>
        <v>285.8230055419142</v>
      </c>
      <c r="CY164" s="125">
        <f>CY53/293.07*(1/(VLOOKUP($BM164,'Fuel economy adjusted factor'!$A$2:$L$52,5,FALSE)*m2k))/'TCO Inputs'!$AZ$84</f>
        <v>285.8230055419142</v>
      </c>
      <c r="CZ164" s="125">
        <f>CZ53/293.07*(1/(VLOOKUP($BM164,'Fuel economy adjusted factor'!$A$2:$L$52,5,FALSE)*m2k))/'TCO Inputs'!$AZ$84</f>
        <v>285.88668105522345</v>
      </c>
      <c r="DA164" s="125">
        <f>DA53/293.07*(1/(VLOOKUP($BM164,'Fuel economy adjusted factor'!$A$2:$L$52,5,FALSE)*m2k))/'TCO Inputs'!$AZ$84</f>
        <v>285.88668105522345</v>
      </c>
      <c r="DB164" s="125">
        <f>DB53/293.07*(1/(VLOOKUP($BM164,'Fuel economy adjusted factor'!$A$2:$L$52,5,FALSE)*m2k))/'TCO Inputs'!$AZ$84</f>
        <v>285.88668105522345</v>
      </c>
      <c r="DC164" s="125">
        <f>DC53/293.07*(1/(VLOOKUP($BM164,'Fuel economy adjusted factor'!$A$2:$L$52,5,FALSE)*m2k))/'TCO Inputs'!$AZ$84</f>
        <v>285.88668105522345</v>
      </c>
      <c r="DD164" s="125">
        <f>DD53/293.07*(1/(VLOOKUP($BM164,'Fuel economy adjusted factor'!$A$2:$L$52,5,FALSE)*m2k))/'TCO Inputs'!$AZ$84</f>
        <v>285.88668105522345</v>
      </c>
      <c r="DE164" s="125">
        <f>DE53/293.07*(1/(VLOOKUP($BM164,'Fuel economy adjusted factor'!$A$2:$L$52,5,FALSE)*m2k))/'TCO Inputs'!$AZ$84</f>
        <v>285.85029504761815</v>
      </c>
      <c r="DF164" s="125">
        <f>DF53/293.07*(1/(VLOOKUP($BM164,'Fuel economy adjusted factor'!$A$2:$L$52,5,FALSE)*m2k))/'TCO Inputs'!$AZ$84</f>
        <v>285.85029504761815</v>
      </c>
      <c r="DG164" s="125">
        <f>DG53/293.07*(1/(VLOOKUP($BM164,'Fuel economy adjusted factor'!$A$2:$L$52,5,FALSE)*m2k))/'TCO Inputs'!$AZ$84</f>
        <v>285.85029504761815</v>
      </c>
      <c r="DH164" s="125">
        <f>DH53/293.07*(1/(VLOOKUP($BM164,'Fuel economy adjusted factor'!$A$2:$L$52,5,FALSE)*m2k))/'TCO Inputs'!$AZ$84</f>
        <v>285.85029504761815</v>
      </c>
      <c r="DI164" s="125">
        <f>DI53/293.07*(1/(VLOOKUP($BM164,'Fuel economy adjusted factor'!$A$2:$L$52,5,FALSE)*m2k))/'TCO Inputs'!$AZ$84</f>
        <v>285.85029504761815</v>
      </c>
      <c r="DJ164" s="125">
        <f>DJ53/293.07*(1/(VLOOKUP($BM164,'Fuel economy adjusted factor'!$A$2:$L$52,5,FALSE)*m2k))/'TCO Inputs'!$AZ$84</f>
        <v>285.84119854571679</v>
      </c>
      <c r="DK164" s="125">
        <f>DK53/293.07*(1/(VLOOKUP($BM164,'Fuel economy adjusted factor'!$A$2:$L$52,5,FALSE)*m2k))/'TCO Inputs'!$AZ$84</f>
        <v>285.84119854571679</v>
      </c>
      <c r="DL164" s="125">
        <f>DL53/293.07*(1/(VLOOKUP($BM164,'Fuel economy adjusted factor'!$A$2:$L$52,5,FALSE)*m2k))/'TCO Inputs'!$AZ$84</f>
        <v>285.84119854571679</v>
      </c>
      <c r="DM164" s="125">
        <f>DM53/293.07*(1/(VLOOKUP($BM164,'Fuel economy adjusted factor'!$A$2:$L$52,5,FALSE)*m2k))/'TCO Inputs'!$AZ$84</f>
        <v>285.84119854571679</v>
      </c>
      <c r="DN164" s="125">
        <f>DN53/293.07*(1/(VLOOKUP($BM164,'Fuel economy adjusted factor'!$A$2:$L$52,5,FALSE)*m2k))/'TCO Inputs'!$AZ$84</f>
        <v>285.84119854571679</v>
      </c>
      <c r="DO164" s="125">
        <f>DO53/293.07*(1/(VLOOKUP($BM164,'Fuel economy adjusted factor'!$A$2:$L$52,5,FALSE)*m2k))/'TCO Inputs'!$AZ$84</f>
        <v>285.66472640883114</v>
      </c>
      <c r="DP164" s="125">
        <f>DP53/293.07*(1/(VLOOKUP($BM164,'Fuel economy adjusted factor'!$A$2:$L$52,5,FALSE)*m2k))/'TCO Inputs'!$AZ$84</f>
        <v>285.66472640883114</v>
      </c>
      <c r="DQ164" s="125">
        <f>DQ53/293.07*(1/(VLOOKUP($BM164,'Fuel economy adjusted factor'!$A$2:$L$52,5,FALSE)*m2k))/'TCO Inputs'!$AZ$84</f>
        <v>285.66472640883114</v>
      </c>
      <c r="DR164" s="125">
        <f>DR53/293.07*(1/(VLOOKUP($BM164,'Fuel economy adjusted factor'!$A$2:$L$52,5,FALSE)*m2k))/'TCO Inputs'!$AZ$84</f>
        <v>285.66472640883114</v>
      </c>
      <c r="DS164" s="125">
        <f>DS53/293.07*(1/(VLOOKUP($BM164,'Fuel economy adjusted factor'!$A$2:$L$52,5,FALSE)*m2k))/'TCO Inputs'!$AZ$84</f>
        <v>285.66472640883114</v>
      </c>
      <c r="DT164" s="125">
        <f>DT53/293.07*(1/(VLOOKUP($BM164,'Fuel economy adjusted factor'!$A$2:$L$52,5,FALSE)*m2k))/'TCO Inputs'!$AZ$84</f>
        <v>285.81208973963254</v>
      </c>
      <c r="DU164" s="98" cm="1">
        <f t="array" ref="DU164">SUMPRODUCT(INDEX(CS164:DT164,,'TCO Inputs'!$AZ$12-2023+_xlfn.SEQUENCE('TCO Inputs'!$AZ$13))*INDEX('VKT US'!C110:AA110,,_xlfn.SEQUENCE('TCO Inputs'!$AZ$13)))*m2k*CONVERT(0.9072,"g","ton")</f>
        <v>101.97931251587968</v>
      </c>
      <c r="DW164" s="123" t="s">
        <v>159</v>
      </c>
      <c r="DX164" s="125">
        <f>DX53/293.07*(1/(VLOOKUP($BM164,'Fuel economy adjusted factor'!$A$2:$L$52,5,FALSE)*m2k))/'TCO Inputs'!$AZ$84</f>
        <v>299.20213282716617</v>
      </c>
      <c r="DY164" s="125">
        <f>DY53/293.07*(1/(VLOOKUP($BM164,'Fuel economy adjusted factor'!$A$2:$L$52,5,FALSE)*m2k))/'TCO Inputs'!$AZ$84</f>
        <v>299.20213282716617</v>
      </c>
      <c r="DZ164" s="125">
        <f>DZ53/293.07*(1/(VLOOKUP($BM164,'Fuel economy adjusted factor'!$A$2:$L$52,5,FALSE)*m2k))/'TCO Inputs'!$AZ$84</f>
        <v>262.28067554112823</v>
      </c>
      <c r="EA164" s="125">
        <f>EA53/293.07*(1/(VLOOKUP($BM164,'Fuel economy adjusted factor'!$A$2:$L$52,5,FALSE)*m2k))/'TCO Inputs'!$AZ$84</f>
        <v>262.28067554112823</v>
      </c>
      <c r="EB164" s="125">
        <f>EB53/293.07*(1/(VLOOKUP($BM164,'Fuel economy adjusted factor'!$A$2:$L$52,5,FALSE)*m2k))/'TCO Inputs'!$AZ$84</f>
        <v>262.28067554112823</v>
      </c>
      <c r="EC164" s="125">
        <f>EC53/293.07*(1/(VLOOKUP($BM164,'Fuel economy adjusted factor'!$A$2:$L$52,5,FALSE)*m2k))/'TCO Inputs'!$AZ$84</f>
        <v>262.28067554112823</v>
      </c>
      <c r="ED164" s="125">
        <f>ED53/293.07*(1/(VLOOKUP($BM164,'Fuel economy adjusted factor'!$A$2:$L$52,5,FALSE)*m2k))/'TCO Inputs'!$AZ$84</f>
        <v>262.28067554112823</v>
      </c>
      <c r="EE164" s="125">
        <f>EE53/293.07*(1/(VLOOKUP($BM164,'Fuel economy adjusted factor'!$A$2:$L$52,5,FALSE)*m2k))/'TCO Inputs'!$AZ$84</f>
        <v>161.65307414181098</v>
      </c>
      <c r="EF164" s="125">
        <f>EF53/293.07*(1/(VLOOKUP($BM164,'Fuel economy adjusted factor'!$A$2:$L$52,5,FALSE)*m2k))/'TCO Inputs'!$AZ$84</f>
        <v>161.65307414181098</v>
      </c>
      <c r="EG164" s="125">
        <f>EG53/293.07*(1/(VLOOKUP($BM164,'Fuel economy adjusted factor'!$A$2:$L$52,5,FALSE)*m2k))/'TCO Inputs'!$AZ$84</f>
        <v>161.65307414181098</v>
      </c>
      <c r="EH164" s="125">
        <f>EH53/293.07*(1/(VLOOKUP($BM164,'Fuel economy adjusted factor'!$A$2:$L$52,5,FALSE)*m2k))/'TCO Inputs'!$AZ$84</f>
        <v>161.65307414181098</v>
      </c>
      <c r="EI164" s="125">
        <f>EI53/293.07*(1/(VLOOKUP($BM164,'Fuel economy adjusted factor'!$A$2:$L$52,5,FALSE)*m2k))/'TCO Inputs'!$AZ$84</f>
        <v>161.65307414181098</v>
      </c>
      <c r="EJ164" s="125">
        <f>EJ53/293.07*(1/(VLOOKUP($BM164,'Fuel economy adjusted factor'!$A$2:$L$52,5,FALSE)*m2k))/'TCO Inputs'!$AZ$84</f>
        <v>144.37518898779112</v>
      </c>
      <c r="EK164" s="125">
        <f>EK53/293.07*(1/(VLOOKUP($BM164,'Fuel economy adjusted factor'!$A$2:$L$52,5,FALSE)*m2k))/'TCO Inputs'!$AZ$84</f>
        <v>144.37518898779112</v>
      </c>
      <c r="EL164" s="125">
        <f>EL53/293.07*(1/(VLOOKUP($BM164,'Fuel economy adjusted factor'!$A$2:$L$52,5,FALSE)*m2k))/'TCO Inputs'!$AZ$84</f>
        <v>144.37518898779112</v>
      </c>
      <c r="EM164" s="125">
        <f>EM53/293.07*(1/(VLOOKUP($BM164,'Fuel economy adjusted factor'!$A$2:$L$52,5,FALSE)*m2k))/'TCO Inputs'!$AZ$84</f>
        <v>144.37518898779112</v>
      </c>
      <c r="EN164" s="125">
        <f>EN53/293.07*(1/(VLOOKUP($BM164,'Fuel economy adjusted factor'!$A$2:$L$52,5,FALSE)*m2k))/'TCO Inputs'!$AZ$84</f>
        <v>144.37518898779112</v>
      </c>
      <c r="EO164" s="125">
        <f>EO53/293.07*(1/(VLOOKUP($BM164,'Fuel economy adjusted factor'!$A$2:$L$52,5,FALSE)*m2k))/'TCO Inputs'!$AZ$84</f>
        <v>139.83104351701817</v>
      </c>
      <c r="EP164" s="125">
        <f>EP53/293.07*(1/(VLOOKUP($BM164,'Fuel economy adjusted factor'!$A$2:$L$52,5,FALSE)*m2k))/'TCO Inputs'!$AZ$84</f>
        <v>139.83104351701817</v>
      </c>
      <c r="EQ164" s="125">
        <f>EQ53/293.07*(1/(VLOOKUP($BM164,'Fuel economy adjusted factor'!$A$2:$L$52,5,FALSE)*m2k))/'TCO Inputs'!$AZ$84</f>
        <v>139.83104351701817</v>
      </c>
      <c r="ER164" s="125">
        <f>ER53/293.07*(1/(VLOOKUP($BM164,'Fuel economy adjusted factor'!$A$2:$L$52,5,FALSE)*m2k))/'TCO Inputs'!$AZ$84</f>
        <v>139.83104351701817</v>
      </c>
      <c r="ES164" s="125">
        <f>ES53/293.07*(1/(VLOOKUP($BM164,'Fuel economy adjusted factor'!$A$2:$L$52,5,FALSE)*m2k))/'TCO Inputs'!$AZ$84</f>
        <v>139.83104351701817</v>
      </c>
      <c r="ET164" s="125">
        <f>ET53/293.07*(1/(VLOOKUP($BM164,'Fuel economy adjusted factor'!$A$2:$L$52,5,FALSE)*m2k))/'TCO Inputs'!$AZ$84</f>
        <v>134.63930775617868</v>
      </c>
      <c r="EU164" s="125">
        <f>EU53/293.07*(1/(VLOOKUP($BM164,'Fuel economy adjusted factor'!$A$2:$L$52,5,FALSE)*m2k))/'TCO Inputs'!$AZ$84</f>
        <v>134.63930775617868</v>
      </c>
      <c r="EV164" s="125">
        <f>EV53/293.07*(1/(VLOOKUP($BM164,'Fuel economy adjusted factor'!$A$2:$L$52,5,FALSE)*m2k))/'TCO Inputs'!$AZ$84</f>
        <v>134.63930775617868</v>
      </c>
      <c r="EW164" s="125">
        <f>EW53/293.07*(1/(VLOOKUP($BM164,'Fuel economy adjusted factor'!$A$2:$L$52,5,FALSE)*m2k))/'TCO Inputs'!$AZ$84</f>
        <v>134.63930775617868</v>
      </c>
      <c r="EX164" s="125">
        <f>EX53/293.07*(1/(VLOOKUP($BM164,'Fuel economy adjusted factor'!$A$2:$L$52,5,FALSE)*m2k))/'TCO Inputs'!$AZ$84</f>
        <v>134.63930775617868</v>
      </c>
      <c r="EY164" s="125">
        <f>EY53/293.07*(1/(VLOOKUP($BM164,'Fuel economy adjusted factor'!$A$2:$L$52,5,FALSE)*m2k))/'TCO Inputs'!$AZ$84</f>
        <v>126.49817268105662</v>
      </c>
      <c r="EZ164" s="98" cm="1">
        <f t="array" ref="EZ164">SUMPRODUCT(INDEX(DX164:EY164,,'TCO Inputs'!$AZ$12-2023+_xlfn.SEQUENCE('TCO Inputs'!$AZ$13))*INDEX('VKT US'!C110:AA110,,_xlfn.SEQUENCE('TCO Inputs'!$AZ$13)))*m2k*CONVERT(0.9072,"g","ton")</f>
        <v>78.912851145774553</v>
      </c>
      <c r="FB164" s="123" t="s">
        <v>159</v>
      </c>
      <c r="FC164" s="125">
        <f>FC53/293.07*(1/(VLOOKUP($BM164,'Fuel economy adjusted factor'!$A$2:$L$52,5,FALSE)*m2k))/'TCO Inputs'!$AZ$84</f>
        <v>324.52864015772724</v>
      </c>
      <c r="FD164" s="125">
        <f>FD53/293.07*(1/(VLOOKUP($BM164,'Fuel economy adjusted factor'!$A$2:$L$52,5,FALSE)*m2k))/'TCO Inputs'!$AZ$84</f>
        <v>324.52864015772724</v>
      </c>
      <c r="FE164" s="125">
        <f>FE53/293.07*(1/(VLOOKUP($BM164,'Fuel economy adjusted factor'!$A$2:$L$52,5,FALSE)*m2k))/'TCO Inputs'!$AZ$84</f>
        <v>283.41106211462557</v>
      </c>
      <c r="FF164" s="125">
        <f>FF53/293.07*(1/(VLOOKUP($BM164,'Fuel economy adjusted factor'!$A$2:$L$52,5,FALSE)*m2k))/'TCO Inputs'!$AZ$84</f>
        <v>283.41106211462557</v>
      </c>
      <c r="FG164" s="125">
        <f>FG53/293.07*(1/(VLOOKUP($BM164,'Fuel economy adjusted factor'!$A$2:$L$52,5,FALSE)*m2k))/'TCO Inputs'!$AZ$84</f>
        <v>283.41106211462557</v>
      </c>
      <c r="FH164" s="125">
        <f>FH53/293.07*(1/(VLOOKUP($BM164,'Fuel economy adjusted factor'!$A$2:$L$52,5,FALSE)*m2k))/'TCO Inputs'!$AZ$84</f>
        <v>283.41106211462557</v>
      </c>
      <c r="FI164" s="125">
        <f>FI53/293.07*(1/(VLOOKUP($BM164,'Fuel economy adjusted factor'!$A$2:$L$52,5,FALSE)*m2k))/'TCO Inputs'!$AZ$84</f>
        <v>283.41106211462557</v>
      </c>
      <c r="FJ164" s="125">
        <f>FJ53/293.07*(1/(VLOOKUP($BM164,'Fuel economy adjusted factor'!$A$2:$L$52,5,FALSE)*m2k))/'TCO Inputs'!$AZ$84</f>
        <v>177.84723676959709</v>
      </c>
      <c r="FK164" s="125">
        <f>FK53/293.07*(1/(VLOOKUP($BM164,'Fuel economy adjusted factor'!$A$2:$L$52,5,FALSE)*m2k))/'TCO Inputs'!$AZ$84</f>
        <v>177.84723676959709</v>
      </c>
      <c r="FL164" s="125">
        <f>FL53/293.07*(1/(VLOOKUP($BM164,'Fuel economy adjusted factor'!$A$2:$L$52,5,FALSE)*m2k))/'TCO Inputs'!$AZ$84</f>
        <v>177.84723676959709</v>
      </c>
      <c r="FM164" s="125">
        <f>FM53/293.07*(1/(VLOOKUP($BM164,'Fuel economy adjusted factor'!$A$2:$L$52,5,FALSE)*m2k))/'TCO Inputs'!$AZ$84</f>
        <v>177.84723676959709</v>
      </c>
      <c r="FN164" s="125">
        <f>FN53/293.07*(1/(VLOOKUP($BM164,'Fuel economy adjusted factor'!$A$2:$L$52,5,FALSE)*m2k))/'TCO Inputs'!$AZ$84</f>
        <v>177.84723676959709</v>
      </c>
      <c r="FO164" s="125">
        <f>FO53/293.07*(1/(VLOOKUP($BM164,'Fuel economy adjusted factor'!$A$2:$L$52,5,FALSE)*m2k))/'TCO Inputs'!$AZ$84</f>
        <v>157.91951787765191</v>
      </c>
      <c r="FP164" s="125">
        <f>FP53/293.07*(1/(VLOOKUP($BM164,'Fuel economy adjusted factor'!$A$2:$L$52,5,FALSE)*m2k))/'TCO Inputs'!$AZ$84</f>
        <v>157.91951787765191</v>
      </c>
      <c r="FQ164" s="125">
        <f>FQ53/293.07*(1/(VLOOKUP($BM164,'Fuel economy adjusted factor'!$A$2:$L$52,5,FALSE)*m2k))/'TCO Inputs'!$AZ$84</f>
        <v>157.91951787765191</v>
      </c>
      <c r="FR164" s="125">
        <f>FR53/293.07*(1/(VLOOKUP($BM164,'Fuel economy adjusted factor'!$A$2:$L$52,5,FALSE)*m2k))/'TCO Inputs'!$AZ$84</f>
        <v>157.91951787765191</v>
      </c>
      <c r="FS164" s="125">
        <f>FS53/293.07*(1/(VLOOKUP($BM164,'Fuel economy adjusted factor'!$A$2:$L$52,5,FALSE)*m2k))/'TCO Inputs'!$AZ$84</f>
        <v>157.91951787765191</v>
      </c>
      <c r="FT164" s="125">
        <f>FT53/293.07*(1/(VLOOKUP($BM164,'Fuel economy adjusted factor'!$A$2:$L$52,5,FALSE)*m2k))/'TCO Inputs'!$AZ$84</f>
        <v>153.89961216550427</v>
      </c>
      <c r="FU164" s="125">
        <f>FU53/293.07*(1/(VLOOKUP($BM164,'Fuel economy adjusted factor'!$A$2:$L$52,5,FALSE)*m2k))/'TCO Inputs'!$AZ$84</f>
        <v>153.89961216550427</v>
      </c>
      <c r="FV164" s="125">
        <f>FV53/293.07*(1/(VLOOKUP($BM164,'Fuel economy adjusted factor'!$A$2:$L$52,5,FALSE)*m2k))/'TCO Inputs'!$AZ$84</f>
        <v>153.89961216550427</v>
      </c>
      <c r="FW164" s="125">
        <f>FW53/293.07*(1/(VLOOKUP($BM164,'Fuel economy adjusted factor'!$A$2:$L$52,5,FALSE)*m2k))/'TCO Inputs'!$AZ$84</f>
        <v>153.89961216550427</v>
      </c>
      <c r="FX164" s="125">
        <f>FX53/293.07*(1/(VLOOKUP($BM164,'Fuel economy adjusted factor'!$A$2:$L$52,5,FALSE)*m2k))/'TCO Inputs'!$AZ$84</f>
        <v>153.89961216550427</v>
      </c>
      <c r="FY164" s="125">
        <f>FY53/293.07*(1/(VLOOKUP($BM164,'Fuel economy adjusted factor'!$A$2:$L$52,5,FALSE)*m2k))/'TCO Inputs'!$AZ$84</f>
        <v>148.69686296435754</v>
      </c>
      <c r="FZ164" s="125">
        <f>FZ53/293.07*(1/(VLOOKUP($BM164,'Fuel economy adjusted factor'!$A$2:$L$52,5,FALSE)*m2k))/'TCO Inputs'!$AZ$84</f>
        <v>148.69686296435754</v>
      </c>
      <c r="GA164" s="125">
        <f>GA53/293.07*(1/(VLOOKUP($BM164,'Fuel economy adjusted factor'!$A$2:$L$52,5,FALSE)*m2k))/'TCO Inputs'!$AZ$84</f>
        <v>148.69686296435754</v>
      </c>
      <c r="GB164" s="125">
        <f>GB53/293.07*(1/(VLOOKUP($BM164,'Fuel economy adjusted factor'!$A$2:$L$52,5,FALSE)*m2k))/'TCO Inputs'!$AZ$84</f>
        <v>148.69686296435754</v>
      </c>
      <c r="GC164" s="125">
        <f>GC53/293.07*(1/(VLOOKUP($BM164,'Fuel economy adjusted factor'!$A$2:$L$52,5,FALSE)*m2k))/'TCO Inputs'!$AZ$84</f>
        <v>148.69686296435754</v>
      </c>
      <c r="GD164" s="125">
        <f>GD53/293.07*(1/(VLOOKUP($BM164,'Fuel economy adjusted factor'!$A$2:$L$52,5,FALSE)*m2k))/'TCO Inputs'!$AZ$84</f>
        <v>140.27378381736978</v>
      </c>
      <c r="GE164" s="98" cm="1">
        <f t="array" ref="GE164">SUMPRODUCT(INDEX(FC164:GD164,,'TCO Inputs'!$AZ$12-2023+_xlfn.SEQUENCE('TCO Inputs'!$AZ$13))*INDEX('VKT US'!C110:AA110,,_xlfn.SEQUENCE('TCO Inputs'!$AZ$13)))*m2k*CONVERT(0.9072,"g","ton")</f>
        <v>85.799069429569471</v>
      </c>
      <c r="GH164" s="123" t="s">
        <v>159</v>
      </c>
      <c r="GI164" s="125">
        <f>GI53/293.07*(1/(VLOOKUP($BM164,'Fuel economy adjusted factor'!$A$2:$L$52,5,FALSE)*m2k))/'TCO Inputs'!$AZ$84</f>
        <v>281.96389605825243</v>
      </c>
      <c r="GJ164" s="125">
        <f>GJ53/293.07*(1/(VLOOKUP($BM164,'Fuel economy adjusted factor'!$A$2:$L$52,5,FALSE)*m2k))/'TCO Inputs'!$AZ$84</f>
        <v>281.96389605825243</v>
      </c>
      <c r="GK164" s="125">
        <f>GK53/293.07*(1/(VLOOKUP($BM164,'Fuel economy adjusted factor'!$A$2:$L$52,5,FALSE)*m2k))/'TCO Inputs'!$AZ$84</f>
        <v>247.89932518791613</v>
      </c>
      <c r="GL164" s="125">
        <f>GL53/293.07*(1/(VLOOKUP($BM164,'Fuel economy adjusted factor'!$A$2:$L$52,5,FALSE)*m2k))/'TCO Inputs'!$AZ$84</f>
        <v>247.89932518791613</v>
      </c>
      <c r="GM164" s="125">
        <f>GM53/293.07*(1/(VLOOKUP($BM164,'Fuel economy adjusted factor'!$A$2:$L$52,5,FALSE)*m2k))/'TCO Inputs'!$AZ$84</f>
        <v>247.89932518791613</v>
      </c>
      <c r="GN164" s="125">
        <f>GN53/293.07*(1/(VLOOKUP($BM164,'Fuel economy adjusted factor'!$A$2:$L$52,5,FALSE)*m2k))/'TCO Inputs'!$AZ$84</f>
        <v>247.89932518791613</v>
      </c>
      <c r="GO164" s="125">
        <f>GO53/293.07*(1/(VLOOKUP($BM164,'Fuel economy adjusted factor'!$A$2:$L$52,5,FALSE)*m2k))/'TCO Inputs'!$AZ$84</f>
        <v>247.89932518791613</v>
      </c>
      <c r="GP164" s="125">
        <f>GP53/293.07*(1/(VLOOKUP($BM164,'Fuel economy adjusted factor'!$A$2:$L$52,5,FALSE)*m2k))/'TCO Inputs'!$AZ$84</f>
        <v>150.63082308231131</v>
      </c>
      <c r="GQ164" s="125">
        <f>GQ53/293.07*(1/(VLOOKUP($BM164,'Fuel economy adjusted factor'!$A$2:$L$52,5,FALSE)*m2k))/'TCO Inputs'!$AZ$84</f>
        <v>150.63082308231131</v>
      </c>
      <c r="GR164" s="125">
        <f>GR53/293.07*(1/(VLOOKUP($BM164,'Fuel economy adjusted factor'!$A$2:$L$52,5,FALSE)*m2k))/'TCO Inputs'!$AZ$84</f>
        <v>150.63082308231131</v>
      </c>
      <c r="GS164" s="125">
        <f>GS53/293.07*(1/(VLOOKUP($BM164,'Fuel economy adjusted factor'!$A$2:$L$52,5,FALSE)*m2k))/'TCO Inputs'!$AZ$84</f>
        <v>150.63082308231131</v>
      </c>
      <c r="GT164" s="125">
        <f>GT53/293.07*(1/(VLOOKUP($BM164,'Fuel economy adjusted factor'!$A$2:$L$52,5,FALSE)*m2k))/'TCO Inputs'!$AZ$84</f>
        <v>150.63082308231131</v>
      </c>
      <c r="GU164" s="125">
        <f>GU53/293.07*(1/(VLOOKUP($BM164,'Fuel economy adjusted factor'!$A$2:$L$52,5,FALSE)*m2k))/'TCO Inputs'!$AZ$84</f>
        <v>135.15693945061963</v>
      </c>
      <c r="GV164" s="125">
        <f>GV53/293.07*(1/(VLOOKUP($BM164,'Fuel economy adjusted factor'!$A$2:$L$52,5,FALSE)*m2k))/'TCO Inputs'!$AZ$84</f>
        <v>135.15693945061963</v>
      </c>
      <c r="GW164" s="125">
        <f>GW53/293.07*(1/(VLOOKUP($BM164,'Fuel economy adjusted factor'!$A$2:$L$52,5,FALSE)*m2k))/'TCO Inputs'!$AZ$84</f>
        <v>135.15693945061963</v>
      </c>
      <c r="GX164" s="125">
        <f>GX53/293.07*(1/(VLOOKUP($BM164,'Fuel economy adjusted factor'!$A$2:$L$52,5,FALSE)*m2k))/'TCO Inputs'!$AZ$84</f>
        <v>135.15693945061963</v>
      </c>
      <c r="GY164" s="125">
        <f>GY53/293.07*(1/(VLOOKUP($BM164,'Fuel economy adjusted factor'!$A$2:$L$52,5,FALSE)*m2k))/'TCO Inputs'!$AZ$84</f>
        <v>135.15693945061963</v>
      </c>
      <c r="GZ164" s="125">
        <f>GZ53/293.07*(1/(VLOOKUP($BM164,'Fuel economy adjusted factor'!$A$2:$L$52,5,FALSE)*m2k))/'TCO Inputs'!$AZ$84</f>
        <v>130.25595851389167</v>
      </c>
      <c r="HA164" s="125">
        <f>HA53/293.07*(1/(VLOOKUP($BM164,'Fuel economy adjusted factor'!$A$2:$L$52,5,FALSE)*m2k))/'TCO Inputs'!$AZ$84</f>
        <v>130.25595851389167</v>
      </c>
      <c r="HB164" s="125">
        <f>HB53/293.07*(1/(VLOOKUP($BM164,'Fuel economy adjusted factor'!$A$2:$L$52,5,FALSE)*m2k))/'TCO Inputs'!$AZ$84</f>
        <v>130.25595851389167</v>
      </c>
      <c r="HC164" s="125">
        <f>HC53/293.07*(1/(VLOOKUP($BM164,'Fuel economy adjusted factor'!$A$2:$L$52,5,FALSE)*m2k))/'TCO Inputs'!$AZ$84</f>
        <v>130.25595851389167</v>
      </c>
      <c r="HD164" s="125">
        <f>HD53/293.07*(1/(VLOOKUP($BM164,'Fuel economy adjusted factor'!$A$2:$L$52,5,FALSE)*m2k))/'TCO Inputs'!$AZ$84</f>
        <v>130.25595851389167</v>
      </c>
      <c r="HE164" s="125">
        <f>HE53/293.07*(1/(VLOOKUP($BM164,'Fuel economy adjusted factor'!$A$2:$L$52,5,FALSE)*m2k))/'TCO Inputs'!$AZ$84</f>
        <v>125.07083081723653</v>
      </c>
      <c r="HF164" s="125">
        <f>HF53/293.07*(1/(VLOOKUP($BM164,'Fuel economy adjusted factor'!$A$2:$L$52,5,FALSE)*m2k))/'TCO Inputs'!$AZ$84</f>
        <v>125.07083081723653</v>
      </c>
      <c r="HG164" s="125">
        <f>HG53/293.07*(1/(VLOOKUP($BM164,'Fuel economy adjusted factor'!$A$2:$L$52,5,FALSE)*m2k))/'TCO Inputs'!$AZ$84</f>
        <v>125.07083081723653</v>
      </c>
      <c r="HH164" s="125">
        <f>HH53/293.07*(1/(VLOOKUP($BM164,'Fuel economy adjusted factor'!$A$2:$L$52,5,FALSE)*m2k))/'TCO Inputs'!$AZ$84</f>
        <v>125.07083081723653</v>
      </c>
      <c r="HI164" s="125">
        <f>HI53/293.07*(1/(VLOOKUP($BM164,'Fuel economy adjusted factor'!$A$2:$L$52,5,FALSE)*m2k))/'TCO Inputs'!$AZ$84</f>
        <v>125.07083081723653</v>
      </c>
      <c r="HJ164" s="125">
        <f>HJ53/293.07*(1/(VLOOKUP($BM164,'Fuel economy adjusted factor'!$A$2:$L$52,5,FALSE)*m2k))/'TCO Inputs'!$AZ$84</f>
        <v>117.12353229152211</v>
      </c>
      <c r="HK164" s="98" cm="1">
        <f t="array" ref="HK164">SUMPRODUCT(INDEX(GI164:HJ164,,'TCO Inputs'!$AZ$12-2023+_xlfn.SEQUENCE('TCO Inputs'!$AZ$13))*INDEX('VKT US'!C110:AA110,,_xlfn.SEQUENCE('TCO Inputs'!$AZ$13)))*m2k*CONVERT(0.9072,"g","ton")</f>
        <v>74.225970005707694</v>
      </c>
    </row>
    <row r="165" spans="22:219" x14ac:dyDescent="0.25">
      <c r="Z165" s="123" t="s">
        <v>158</v>
      </c>
      <c r="AA165" s="125">
        <f>AA54/293.07*(1/(VLOOKUP($Z165,'Fuel economy adjusted factor'!$A$2:$L$52,5,FALSE)*m2k))/'TCO Inputs'!$AZ$84</f>
        <v>153.24274158458348</v>
      </c>
      <c r="AB165" s="125">
        <f>AB54/293.07*(1/(VLOOKUP($Z165,'Fuel economy adjusted factor'!$A$2:$L$52,5,FALSE)*m2k))/'TCO Inputs'!$AZ$84</f>
        <v>153.24274158458348</v>
      </c>
      <c r="AC165" s="125">
        <f>AC54/293.07*(1/(VLOOKUP($Z165,'Fuel economy adjusted factor'!$A$2:$L$52,5,FALSE)*m2k))/'TCO Inputs'!$AZ$84</f>
        <v>134.77604704494425</v>
      </c>
      <c r="AD165" s="125">
        <f>AD54/293.07*(1/(VLOOKUP($Z165,'Fuel economy adjusted factor'!$A$2:$L$52,5,FALSE)*m2k))/'TCO Inputs'!$AZ$84</f>
        <v>134.77604704494425</v>
      </c>
      <c r="AE165" s="125">
        <f>AE54/293.07*(1/(VLOOKUP($Z165,'Fuel economy adjusted factor'!$A$2:$L$52,5,FALSE)*m2k))/'TCO Inputs'!$AZ$84</f>
        <v>134.77604704494425</v>
      </c>
      <c r="AF165" s="125">
        <f>AF54/293.07*(1/(VLOOKUP($Z165,'Fuel economy adjusted factor'!$A$2:$L$52,5,FALSE)*m2k))/'TCO Inputs'!$AZ$84</f>
        <v>134.77604704494425</v>
      </c>
      <c r="AG165" s="125">
        <f>AG54/293.07*(1/(VLOOKUP($Z165,'Fuel economy adjusted factor'!$A$2:$L$52,5,FALSE)*m2k))/'TCO Inputs'!$AZ$84</f>
        <v>134.77604704494425</v>
      </c>
      <c r="AH165" s="125">
        <f>AH54/293.07*(1/(VLOOKUP($Z165,'Fuel economy adjusted factor'!$A$2:$L$52,5,FALSE)*m2k))/'TCO Inputs'!$AZ$84</f>
        <v>80.978528143701823</v>
      </c>
      <c r="AI165" s="125">
        <f>AI54/293.07*(1/(VLOOKUP($Z165,'Fuel economy adjusted factor'!$A$2:$L$52,5,FALSE)*m2k))/'TCO Inputs'!$AZ$84</f>
        <v>80.978528143701823</v>
      </c>
      <c r="AJ165" s="125">
        <f>AJ54/293.07*(1/(VLOOKUP($Z165,'Fuel economy adjusted factor'!$A$2:$L$52,5,FALSE)*m2k))/'TCO Inputs'!$AZ$84</f>
        <v>80.978528143701823</v>
      </c>
      <c r="AK165" s="125">
        <f>AK54/293.07*(1/(VLOOKUP($Z165,'Fuel economy adjusted factor'!$A$2:$L$52,5,FALSE)*m2k))/'TCO Inputs'!$AZ$84</f>
        <v>80.978528143701823</v>
      </c>
      <c r="AL165" s="125">
        <f>AL54/293.07*(1/(VLOOKUP($Z165,'Fuel economy adjusted factor'!$A$2:$L$52,5,FALSE)*m2k))/'TCO Inputs'!$AZ$84</f>
        <v>80.978528143701823</v>
      </c>
      <c r="AM165" s="125">
        <f>AM54/293.07*(1/(VLOOKUP($Z165,'Fuel economy adjusted factor'!$A$2:$L$52,5,FALSE)*m2k))/'TCO Inputs'!$AZ$84</f>
        <v>84.742252355368407</v>
      </c>
      <c r="AN165" s="125">
        <f>AN54/293.07*(1/(VLOOKUP($Z165,'Fuel economy adjusted factor'!$A$2:$L$52,5,FALSE)*m2k))/'TCO Inputs'!$AZ$84</f>
        <v>84.742252355368407</v>
      </c>
      <c r="AO165" s="125">
        <f>AO54/293.07*(1/(VLOOKUP($Z165,'Fuel economy adjusted factor'!$A$2:$L$52,5,FALSE)*m2k))/'TCO Inputs'!$AZ$84</f>
        <v>84.742252355368407</v>
      </c>
      <c r="AP165" s="125">
        <f>AP54/293.07*(1/(VLOOKUP($Z165,'Fuel economy adjusted factor'!$A$2:$L$52,5,FALSE)*m2k))/'TCO Inputs'!$AZ$84</f>
        <v>84.742252355368407</v>
      </c>
      <c r="AQ165" s="125">
        <f>AQ54/293.07*(1/(VLOOKUP($Z165,'Fuel economy adjusted factor'!$A$2:$L$52,5,FALSE)*m2k))/'TCO Inputs'!$AZ$84</f>
        <v>84.742252355368407</v>
      </c>
      <c r="AR165" s="125">
        <f>AR54/293.07*(1/(VLOOKUP($Z165,'Fuel economy adjusted factor'!$A$2:$L$52,5,FALSE)*m2k))/'TCO Inputs'!$AZ$84</f>
        <v>88.585100985667438</v>
      </c>
      <c r="AS165" s="125">
        <f>AS54/293.07*(1/(VLOOKUP($Z165,'Fuel economy adjusted factor'!$A$2:$L$52,5,FALSE)*m2k))/'TCO Inputs'!$AZ$84</f>
        <v>88.585100985667438</v>
      </c>
      <c r="AT165" s="125">
        <f>AT54/293.07*(1/(VLOOKUP($Z165,'Fuel economy adjusted factor'!$A$2:$L$52,5,FALSE)*m2k))/'TCO Inputs'!$AZ$84</f>
        <v>88.585100985667438</v>
      </c>
      <c r="AU165" s="125">
        <f>AU54/293.07*(1/(VLOOKUP($Z165,'Fuel economy adjusted factor'!$A$2:$L$52,5,FALSE)*m2k))/'TCO Inputs'!$AZ$84</f>
        <v>88.585100985667438</v>
      </c>
      <c r="AV165" s="125">
        <f>AV54/293.07*(1/(VLOOKUP($Z165,'Fuel economy adjusted factor'!$A$2:$L$52,5,FALSE)*m2k))/'TCO Inputs'!$AZ$84</f>
        <v>88.585100985667438</v>
      </c>
      <c r="AW165" s="125">
        <f>AW54/293.07*(1/(VLOOKUP($Z165,'Fuel economy adjusted factor'!$A$2:$L$52,5,FALSE)*m2k))/'TCO Inputs'!$AZ$84</f>
        <v>90.528963568787375</v>
      </c>
      <c r="AX165" s="125">
        <f>AX54/293.07*(1/(VLOOKUP($Z165,'Fuel economy adjusted factor'!$A$2:$L$52,5,FALSE)*m2k))/'TCO Inputs'!$AZ$84</f>
        <v>90.528963568787375</v>
      </c>
      <c r="AY165" s="125">
        <f>AY54/293.07*(1/(VLOOKUP($Z165,'Fuel economy adjusted factor'!$A$2:$L$52,5,FALSE)*m2k))/'TCO Inputs'!$AZ$84</f>
        <v>90.528963568787375</v>
      </c>
      <c r="AZ165" s="125">
        <f>AZ54/293.07*(1/(VLOOKUP($Z165,'Fuel economy adjusted factor'!$A$2:$L$52,5,FALSE)*m2k))/'TCO Inputs'!$AZ$84</f>
        <v>90.528963568787375</v>
      </c>
      <c r="BA165" s="125">
        <f>BA54/293.07*(1/(VLOOKUP($Z165,'Fuel economy adjusted factor'!$A$2:$L$52,5,FALSE)*m2k))/'TCO Inputs'!$AZ$84</f>
        <v>90.528963568787375</v>
      </c>
      <c r="BB165" s="125">
        <f>BB54/293.07*(1/(VLOOKUP($Z165,'Fuel economy adjusted factor'!$A$2:$L$52,5,FALSE)*m2k))/'TCO Inputs'!$AZ$84</f>
        <v>90.651783561888521</v>
      </c>
      <c r="BC165" s="98" cm="1">
        <f t="array" ref="BC165">SUMPRODUCT(INDEX(AA165:BB165,,'TCO Inputs'!$AZ$12-2023+_xlfn.SEQUENCE('TCO Inputs'!$AZ$13))*INDEX('VKT US'!C111:AA111,,_xlfn.SEQUENCE('TCO Inputs'!$AZ$13)))*m2k*CONVERT(0.9072,"g","ton")</f>
        <v>37.265035133850155</v>
      </c>
      <c r="BM165" s="123" t="s">
        <v>158</v>
      </c>
      <c r="BN165" s="125">
        <f>BN54/293.07*(1/(VLOOKUP($BM165,'Fuel economy adjusted factor'!$A$2:$L$52,5,FALSE)*m2k))</f>
        <v>130.25633034689596</v>
      </c>
      <c r="BO165" s="125">
        <f>BO54/293.07*(1/(VLOOKUP($BM165,'Fuel economy adjusted factor'!$A$2:$L$52,5,FALSE)*m2k))</f>
        <v>130.25633034689596</v>
      </c>
      <c r="BP165" s="125">
        <f>BP54/293.07*(1/(VLOOKUP($BM165,'Fuel economy adjusted factor'!$A$2:$L$52,5,FALSE)*m2k))</f>
        <v>114.41007121775777</v>
      </c>
      <c r="BQ165" s="125">
        <f>BQ54/293.07*(1/(VLOOKUP($BM165,'Fuel economy adjusted factor'!$A$2:$L$52,5,FALSE)*m2k))</f>
        <v>114.41007121775777</v>
      </c>
      <c r="BR165" s="125">
        <f>BR54/293.07*(1/(VLOOKUP($BM165,'Fuel economy adjusted factor'!$A$2:$L$52,5,FALSE)*m2k))</f>
        <v>114.41007121775777</v>
      </c>
      <c r="BS165" s="125">
        <f>BS54/293.07*(1/(VLOOKUP($BM165,'Fuel economy adjusted factor'!$A$2:$L$52,5,FALSE)*m2k))</f>
        <v>114.41007121775777</v>
      </c>
      <c r="BT165" s="125">
        <f>BT54/293.07*(1/(VLOOKUP($BM165,'Fuel economy adjusted factor'!$A$2:$L$52,5,FALSE)*m2k))</f>
        <v>114.41007121775777</v>
      </c>
      <c r="BU165" s="125">
        <f>BU54/293.07*(1/(VLOOKUP($BM165,'Fuel economy adjusted factor'!$A$2:$L$52,5,FALSE)*m2k))</f>
        <v>129.69118123440992</v>
      </c>
      <c r="BV165" s="125">
        <f>BV54/293.07*(1/(VLOOKUP($BM165,'Fuel economy adjusted factor'!$A$2:$L$52,5,FALSE)*m2k))</f>
        <v>129.69118123440992</v>
      </c>
      <c r="BW165" s="125">
        <f>BW54/293.07*(1/(VLOOKUP($BM165,'Fuel economy adjusted factor'!$A$2:$L$52,5,FALSE)*m2k))</f>
        <v>129.69118123440992</v>
      </c>
      <c r="BX165" s="125">
        <f>BX54/293.07*(1/(VLOOKUP($BM165,'Fuel economy adjusted factor'!$A$2:$L$52,5,FALSE)*m2k))</f>
        <v>129.69118123440992</v>
      </c>
      <c r="BY165" s="125">
        <f>BY54/293.07*(1/(VLOOKUP($BM165,'Fuel economy adjusted factor'!$A$2:$L$52,5,FALSE)*m2k))</f>
        <v>129.69118123440992</v>
      </c>
      <c r="BZ165" s="125">
        <f>BZ54/293.07*(1/(VLOOKUP($BM165,'Fuel economy adjusted factor'!$A$2:$L$52,5,FALSE)*m2k))</f>
        <v>132.81004143422192</v>
      </c>
      <c r="CA165" s="125">
        <f>CA54/293.07*(1/(VLOOKUP($BM165,'Fuel economy adjusted factor'!$A$2:$L$52,5,FALSE)*m2k))</f>
        <v>132.81004143422192</v>
      </c>
      <c r="CB165" s="125">
        <f>CB54/293.07*(1/(VLOOKUP($BM165,'Fuel economy adjusted factor'!$A$2:$L$52,5,FALSE)*m2k))</f>
        <v>132.81004143422192</v>
      </c>
      <c r="CC165" s="125">
        <f>CC54/293.07*(1/(VLOOKUP($BM165,'Fuel economy adjusted factor'!$A$2:$L$52,5,FALSE)*m2k))</f>
        <v>132.81004143422192</v>
      </c>
      <c r="CD165" s="125">
        <f>CD54/293.07*(1/(VLOOKUP($BM165,'Fuel economy adjusted factor'!$A$2:$L$52,5,FALSE)*m2k))</f>
        <v>132.81004143422192</v>
      </c>
      <c r="CE165" s="125">
        <f>CE54/293.07*(1/(VLOOKUP($BM165,'Fuel economy adjusted factor'!$A$2:$L$52,5,FALSE)*m2k))</f>
        <v>136.09252384599705</v>
      </c>
      <c r="CF165" s="125">
        <f>CF54/293.07*(1/(VLOOKUP($BM165,'Fuel economy adjusted factor'!$A$2:$L$52,5,FALSE)*m2k))</f>
        <v>136.09252384599705</v>
      </c>
      <c r="CG165" s="125">
        <f>CG54/293.07*(1/(VLOOKUP($BM165,'Fuel economy adjusted factor'!$A$2:$L$52,5,FALSE)*m2k))</f>
        <v>136.09252384599705</v>
      </c>
      <c r="CH165" s="125">
        <f>CH54/293.07*(1/(VLOOKUP($BM165,'Fuel economy adjusted factor'!$A$2:$L$52,5,FALSE)*m2k))</f>
        <v>136.09252384599705</v>
      </c>
      <c r="CI165" s="125">
        <f>CI54/293.07*(1/(VLOOKUP($BM165,'Fuel economy adjusted factor'!$A$2:$L$52,5,FALSE)*m2k))</f>
        <v>136.09252384599705</v>
      </c>
      <c r="CJ165" s="125">
        <f>CJ54/293.07*(1/(VLOOKUP($BM165,'Fuel economy adjusted factor'!$A$2:$L$52,5,FALSE)*m2k))</f>
        <v>136.87148603301159</v>
      </c>
      <c r="CK165" s="125">
        <f>CK54/293.07*(1/(VLOOKUP($BM165,'Fuel economy adjusted factor'!$A$2:$L$52,5,FALSE)*m2k))</f>
        <v>136.87148603301159</v>
      </c>
      <c r="CL165" s="125">
        <f>CL54/293.07*(1/(VLOOKUP($BM165,'Fuel economy adjusted factor'!$A$2:$L$52,5,FALSE)*m2k))</f>
        <v>136.87148603301159</v>
      </c>
      <c r="CM165" s="125">
        <f>CM54/293.07*(1/(VLOOKUP($BM165,'Fuel economy adjusted factor'!$A$2:$L$52,5,FALSE)*m2k))</f>
        <v>136.87148603301159</v>
      </c>
      <c r="CN165" s="125">
        <f>CN54/293.07*(1/(VLOOKUP($BM165,'Fuel economy adjusted factor'!$A$2:$L$52,5,FALSE)*m2k))</f>
        <v>136.87148603301159</v>
      </c>
      <c r="CO165" s="125">
        <f>CO54/293.07*(1/(VLOOKUP($BM165,'Fuel economy adjusted factor'!$A$2:$L$52,5,FALSE)*m2k))</f>
        <v>137.80202462497348</v>
      </c>
      <c r="CP165" s="98" cm="1">
        <f t="array" ref="CP165">SUMPRODUCT(INDEX(BN165:CO165,,'TCO Inputs'!$AZ$12-2023+_xlfn.SEQUENCE('TCO Inputs'!$AZ$13))*INDEX('VKT US'!C111:AA111,,_xlfn.SEQUENCE('TCO Inputs'!$AZ$13)))*m2k*CONVERT(0.9072,"g","ton")</f>
        <v>40.589582359672285</v>
      </c>
      <c r="CQ165" s="194"/>
      <c r="CR165" s="123" t="s">
        <v>158</v>
      </c>
      <c r="CS165" s="125">
        <f>CS54/293.07*(1/(VLOOKUP($BM165,'Fuel economy adjusted factor'!$A$2:$L$52,5,FALSE)*m2k))/'TCO Inputs'!$AZ$84</f>
        <v>185.53613303987774</v>
      </c>
      <c r="CT165" s="125">
        <f>CT54/293.07*(1/(VLOOKUP($BM165,'Fuel economy adjusted factor'!$A$2:$L$52,5,FALSE)*m2k))/'TCO Inputs'!$AZ$84</f>
        <v>185.53613303987774</v>
      </c>
      <c r="CU165" s="125">
        <f>CU54/293.07*(1/(VLOOKUP($BM165,'Fuel economy adjusted factor'!$A$2:$L$52,5,FALSE)*m2k))/'TCO Inputs'!$AZ$84</f>
        <v>185.53613303987774</v>
      </c>
      <c r="CV165" s="125">
        <f>CV54/293.07*(1/(VLOOKUP($BM165,'Fuel economy adjusted factor'!$A$2:$L$52,5,FALSE)*m2k))/'TCO Inputs'!$AZ$84</f>
        <v>185.53613303987774</v>
      </c>
      <c r="CW165" s="125">
        <f>CW54/293.07*(1/(VLOOKUP($BM165,'Fuel economy adjusted factor'!$A$2:$L$52,5,FALSE)*m2k))/'TCO Inputs'!$AZ$84</f>
        <v>185.53613303987774</v>
      </c>
      <c r="CX165" s="125">
        <f>CX54/293.07*(1/(VLOOKUP($BM165,'Fuel economy adjusted factor'!$A$2:$L$52,5,FALSE)*m2k))/'TCO Inputs'!$AZ$84</f>
        <v>185.53613303987774</v>
      </c>
      <c r="CY165" s="125">
        <f>CY54/293.07*(1/(VLOOKUP($BM165,'Fuel economy adjusted factor'!$A$2:$L$52,5,FALSE)*m2k))/'TCO Inputs'!$AZ$84</f>
        <v>185.53613303987774</v>
      </c>
      <c r="CZ165" s="125">
        <f>CZ54/293.07*(1/(VLOOKUP($BM165,'Fuel economy adjusted factor'!$A$2:$L$52,5,FALSE)*m2k))/'TCO Inputs'!$AZ$84</f>
        <v>185.57746669140215</v>
      </c>
      <c r="DA165" s="125">
        <f>DA54/293.07*(1/(VLOOKUP($BM165,'Fuel economy adjusted factor'!$A$2:$L$52,5,FALSE)*m2k))/'TCO Inputs'!$AZ$84</f>
        <v>185.57746669140215</v>
      </c>
      <c r="DB165" s="125">
        <f>DB54/293.07*(1/(VLOOKUP($BM165,'Fuel economy adjusted factor'!$A$2:$L$52,5,FALSE)*m2k))/'TCO Inputs'!$AZ$84</f>
        <v>185.57746669140215</v>
      </c>
      <c r="DC165" s="125">
        <f>DC54/293.07*(1/(VLOOKUP($BM165,'Fuel economy adjusted factor'!$A$2:$L$52,5,FALSE)*m2k))/'TCO Inputs'!$AZ$84</f>
        <v>185.57746669140215</v>
      </c>
      <c r="DD165" s="125">
        <f>DD54/293.07*(1/(VLOOKUP($BM165,'Fuel economy adjusted factor'!$A$2:$L$52,5,FALSE)*m2k))/'TCO Inputs'!$AZ$84</f>
        <v>185.57746669140215</v>
      </c>
      <c r="DE165" s="125">
        <f>DE54/293.07*(1/(VLOOKUP($BM165,'Fuel economy adjusted factor'!$A$2:$L$52,5,FALSE)*m2k))/'TCO Inputs'!$AZ$84</f>
        <v>185.55384746195966</v>
      </c>
      <c r="DF165" s="125">
        <f>DF54/293.07*(1/(VLOOKUP($BM165,'Fuel economy adjusted factor'!$A$2:$L$52,5,FALSE)*m2k))/'TCO Inputs'!$AZ$84</f>
        <v>185.55384746195966</v>
      </c>
      <c r="DG165" s="125">
        <f>DG54/293.07*(1/(VLOOKUP($BM165,'Fuel economy adjusted factor'!$A$2:$L$52,5,FALSE)*m2k))/'TCO Inputs'!$AZ$84</f>
        <v>185.55384746195966</v>
      </c>
      <c r="DH165" s="125">
        <f>DH54/293.07*(1/(VLOOKUP($BM165,'Fuel economy adjusted factor'!$A$2:$L$52,5,FALSE)*m2k))/'TCO Inputs'!$AZ$84</f>
        <v>185.55384746195966</v>
      </c>
      <c r="DI165" s="125">
        <f>DI54/293.07*(1/(VLOOKUP($BM165,'Fuel economy adjusted factor'!$A$2:$L$52,5,FALSE)*m2k))/'TCO Inputs'!$AZ$84</f>
        <v>185.55384746195966</v>
      </c>
      <c r="DJ165" s="125">
        <f>DJ54/293.07*(1/(VLOOKUP($BM165,'Fuel economy adjusted factor'!$A$2:$L$52,5,FALSE)*m2k))/'TCO Inputs'!$AZ$84</f>
        <v>185.54794265459901</v>
      </c>
      <c r="DK165" s="125">
        <f>DK54/293.07*(1/(VLOOKUP($BM165,'Fuel economy adjusted factor'!$A$2:$L$52,5,FALSE)*m2k))/'TCO Inputs'!$AZ$84</f>
        <v>185.54794265459901</v>
      </c>
      <c r="DL165" s="125">
        <f>DL54/293.07*(1/(VLOOKUP($BM165,'Fuel economy adjusted factor'!$A$2:$L$52,5,FALSE)*m2k))/'TCO Inputs'!$AZ$84</f>
        <v>185.54794265459901</v>
      </c>
      <c r="DM165" s="125">
        <f>DM54/293.07*(1/(VLOOKUP($BM165,'Fuel economy adjusted factor'!$A$2:$L$52,5,FALSE)*m2k))/'TCO Inputs'!$AZ$84</f>
        <v>185.54794265459901</v>
      </c>
      <c r="DN165" s="125">
        <f>DN54/293.07*(1/(VLOOKUP($BM165,'Fuel economy adjusted factor'!$A$2:$L$52,5,FALSE)*m2k))/'TCO Inputs'!$AZ$84</f>
        <v>185.54794265459901</v>
      </c>
      <c r="DO165" s="125">
        <f>DO54/293.07*(1/(VLOOKUP($BM165,'Fuel economy adjusted factor'!$A$2:$L$52,5,FALSE)*m2k))/'TCO Inputs'!$AZ$84</f>
        <v>185.43338939180276</v>
      </c>
      <c r="DP165" s="125">
        <f>DP54/293.07*(1/(VLOOKUP($BM165,'Fuel economy adjusted factor'!$A$2:$L$52,5,FALSE)*m2k))/'TCO Inputs'!$AZ$84</f>
        <v>185.43338939180276</v>
      </c>
      <c r="DQ165" s="125">
        <f>DQ54/293.07*(1/(VLOOKUP($BM165,'Fuel economy adjusted factor'!$A$2:$L$52,5,FALSE)*m2k))/'TCO Inputs'!$AZ$84</f>
        <v>185.43338939180276</v>
      </c>
      <c r="DR165" s="125">
        <f>DR54/293.07*(1/(VLOOKUP($BM165,'Fuel economy adjusted factor'!$A$2:$L$52,5,FALSE)*m2k))/'TCO Inputs'!$AZ$84</f>
        <v>185.43338939180276</v>
      </c>
      <c r="DS165" s="125">
        <f>DS54/293.07*(1/(VLOOKUP($BM165,'Fuel economy adjusted factor'!$A$2:$L$52,5,FALSE)*m2k))/'TCO Inputs'!$AZ$84</f>
        <v>185.43338939180276</v>
      </c>
      <c r="DT165" s="125">
        <f>DT54/293.07*(1/(VLOOKUP($BM165,'Fuel economy adjusted factor'!$A$2:$L$52,5,FALSE)*m2k))/'TCO Inputs'!$AZ$84</f>
        <v>185.52904727104499</v>
      </c>
      <c r="DU165" s="98" cm="1">
        <f t="array" ref="DU165">SUMPRODUCT(INDEX(CS165:DT165,,'TCO Inputs'!$AZ$12-2023+_xlfn.SEQUENCE('TCO Inputs'!$AZ$13))*INDEX('VKT US'!C111:AA111,,_xlfn.SEQUENCE('TCO Inputs'!$AZ$13)))*m2k*CONVERT(0.9072,"g","ton")</f>
        <v>60.572769428211735</v>
      </c>
      <c r="DW165" s="123" t="s">
        <v>158</v>
      </c>
      <c r="DX165" s="125">
        <f>DX54/293.07*(1/(VLOOKUP($BM165,'Fuel economy adjusted factor'!$A$2:$L$52,5,FALSE)*m2k))/'TCO Inputs'!$AZ$84</f>
        <v>194.2209187003167</v>
      </c>
      <c r="DY165" s="125">
        <f>DY54/293.07*(1/(VLOOKUP($BM165,'Fuel economy adjusted factor'!$A$2:$L$52,5,FALSE)*m2k))/'TCO Inputs'!$AZ$84</f>
        <v>194.2209187003167</v>
      </c>
      <c r="DZ165" s="125">
        <f>DZ54/293.07*(1/(VLOOKUP($BM165,'Fuel economy adjusted factor'!$A$2:$L$52,5,FALSE)*m2k))/'TCO Inputs'!$AZ$84</f>
        <v>170.25411309605633</v>
      </c>
      <c r="EA165" s="125">
        <f>EA54/293.07*(1/(VLOOKUP($BM165,'Fuel economy adjusted factor'!$A$2:$L$52,5,FALSE)*m2k))/'TCO Inputs'!$AZ$84</f>
        <v>170.25411309605633</v>
      </c>
      <c r="EB165" s="125">
        <f>EB54/293.07*(1/(VLOOKUP($BM165,'Fuel economy adjusted factor'!$A$2:$L$52,5,FALSE)*m2k))/'TCO Inputs'!$AZ$84</f>
        <v>170.25411309605633</v>
      </c>
      <c r="EC165" s="125">
        <f>EC54/293.07*(1/(VLOOKUP($BM165,'Fuel economy adjusted factor'!$A$2:$L$52,5,FALSE)*m2k))/'TCO Inputs'!$AZ$84</f>
        <v>170.25411309605633</v>
      </c>
      <c r="ED165" s="125">
        <f>ED54/293.07*(1/(VLOOKUP($BM165,'Fuel economy adjusted factor'!$A$2:$L$52,5,FALSE)*m2k))/'TCO Inputs'!$AZ$84</f>
        <v>170.25411309605633</v>
      </c>
      <c r="EE165" s="125">
        <f>EE54/293.07*(1/(VLOOKUP($BM165,'Fuel economy adjusted factor'!$A$2:$L$52,5,FALSE)*m2k))/'TCO Inputs'!$AZ$84</f>
        <v>104.93377261013391</v>
      </c>
      <c r="EF165" s="125">
        <f>EF54/293.07*(1/(VLOOKUP($BM165,'Fuel economy adjusted factor'!$A$2:$L$52,5,FALSE)*m2k))/'TCO Inputs'!$AZ$84</f>
        <v>104.93377261013391</v>
      </c>
      <c r="EG165" s="125">
        <f>EG54/293.07*(1/(VLOOKUP($BM165,'Fuel economy adjusted factor'!$A$2:$L$52,5,FALSE)*m2k))/'TCO Inputs'!$AZ$84</f>
        <v>104.93377261013391</v>
      </c>
      <c r="EH165" s="125">
        <f>EH54/293.07*(1/(VLOOKUP($BM165,'Fuel economy adjusted factor'!$A$2:$L$52,5,FALSE)*m2k))/'TCO Inputs'!$AZ$84</f>
        <v>104.93377261013391</v>
      </c>
      <c r="EI165" s="125">
        <f>EI54/293.07*(1/(VLOOKUP($BM165,'Fuel economy adjusted factor'!$A$2:$L$52,5,FALSE)*m2k))/'TCO Inputs'!$AZ$84</f>
        <v>104.93377261013391</v>
      </c>
      <c r="EJ165" s="125">
        <f>EJ54/293.07*(1/(VLOOKUP($BM165,'Fuel economy adjusted factor'!$A$2:$L$52,5,FALSE)*m2k))/'TCO Inputs'!$AZ$84</f>
        <v>93.718188362441637</v>
      </c>
      <c r="EK165" s="125">
        <f>EK54/293.07*(1/(VLOOKUP($BM165,'Fuel economy adjusted factor'!$A$2:$L$52,5,FALSE)*m2k))/'TCO Inputs'!$AZ$84</f>
        <v>93.718188362441637</v>
      </c>
      <c r="EL165" s="125">
        <f>EL54/293.07*(1/(VLOOKUP($BM165,'Fuel economy adjusted factor'!$A$2:$L$52,5,FALSE)*m2k))/'TCO Inputs'!$AZ$84</f>
        <v>93.718188362441637</v>
      </c>
      <c r="EM165" s="125">
        <f>EM54/293.07*(1/(VLOOKUP($BM165,'Fuel economy adjusted factor'!$A$2:$L$52,5,FALSE)*m2k))/'TCO Inputs'!$AZ$84</f>
        <v>93.718188362441637</v>
      </c>
      <c r="EN165" s="125">
        <f>EN54/293.07*(1/(VLOOKUP($BM165,'Fuel economy adjusted factor'!$A$2:$L$52,5,FALSE)*m2k))/'TCO Inputs'!$AZ$84</f>
        <v>93.718188362441637</v>
      </c>
      <c r="EO165" s="125">
        <f>EO54/293.07*(1/(VLOOKUP($BM165,'Fuel economy adjusted factor'!$A$2:$L$52,5,FALSE)*m2k))/'TCO Inputs'!$AZ$84</f>
        <v>90.768449670066644</v>
      </c>
      <c r="EP165" s="125">
        <f>EP54/293.07*(1/(VLOOKUP($BM165,'Fuel economy adjusted factor'!$A$2:$L$52,5,FALSE)*m2k))/'TCO Inputs'!$AZ$84</f>
        <v>90.768449670066644</v>
      </c>
      <c r="EQ165" s="125">
        <f>EQ54/293.07*(1/(VLOOKUP($BM165,'Fuel economy adjusted factor'!$A$2:$L$52,5,FALSE)*m2k))/'TCO Inputs'!$AZ$84</f>
        <v>90.768449670066644</v>
      </c>
      <c r="ER165" s="125">
        <f>ER54/293.07*(1/(VLOOKUP($BM165,'Fuel economy adjusted factor'!$A$2:$L$52,5,FALSE)*m2k))/'TCO Inputs'!$AZ$84</f>
        <v>90.768449670066644</v>
      </c>
      <c r="ES165" s="125">
        <f>ES54/293.07*(1/(VLOOKUP($BM165,'Fuel economy adjusted factor'!$A$2:$L$52,5,FALSE)*m2k))/'TCO Inputs'!$AZ$84</f>
        <v>90.768449670066644</v>
      </c>
      <c r="ET165" s="125">
        <f>ET54/293.07*(1/(VLOOKUP($BM165,'Fuel economy adjusted factor'!$A$2:$L$52,5,FALSE)*m2k))/'TCO Inputs'!$AZ$84</f>
        <v>87.398341042859784</v>
      </c>
      <c r="EU165" s="125">
        <f>EU54/293.07*(1/(VLOOKUP($BM165,'Fuel economy adjusted factor'!$A$2:$L$52,5,FALSE)*m2k))/'TCO Inputs'!$AZ$84</f>
        <v>87.398341042859784</v>
      </c>
      <c r="EV165" s="125">
        <f>EV54/293.07*(1/(VLOOKUP($BM165,'Fuel economy adjusted factor'!$A$2:$L$52,5,FALSE)*m2k))/'TCO Inputs'!$AZ$84</f>
        <v>87.398341042859784</v>
      </c>
      <c r="EW165" s="125">
        <f>EW54/293.07*(1/(VLOOKUP($BM165,'Fuel economy adjusted factor'!$A$2:$L$52,5,FALSE)*m2k))/'TCO Inputs'!$AZ$84</f>
        <v>87.398341042859784</v>
      </c>
      <c r="EX165" s="125">
        <f>EX54/293.07*(1/(VLOOKUP($BM165,'Fuel economy adjusted factor'!$A$2:$L$52,5,FALSE)*m2k))/'TCO Inputs'!$AZ$84</f>
        <v>87.398341042859784</v>
      </c>
      <c r="EY165" s="125">
        <f>EY54/293.07*(1/(VLOOKUP($BM165,'Fuel economy adjusted factor'!$A$2:$L$52,5,FALSE)*m2k))/'TCO Inputs'!$AZ$84</f>
        <v>82.113690433544278</v>
      </c>
      <c r="EZ165" s="98" cm="1">
        <f t="array" ref="EZ165">SUMPRODUCT(INDEX(DX165:EY165,,'TCO Inputs'!$AZ$12-2023+_xlfn.SEQUENCE('TCO Inputs'!$AZ$13))*INDEX('VKT US'!C111:AA111,,_xlfn.SEQUENCE('TCO Inputs'!$AZ$13)))*m2k*CONVERT(0.9072,"g","ton")</f>
        <v>46.871956865089544</v>
      </c>
      <c r="FB165" s="123" t="s">
        <v>158</v>
      </c>
      <c r="FC165" s="125">
        <f>FC54/293.07*(1/(VLOOKUP($BM165,'Fuel economy adjusted factor'!$A$2:$L$52,5,FALSE)*m2k))/'TCO Inputs'!$AZ$84</f>
        <v>210.66110070949136</v>
      </c>
      <c r="FD165" s="125">
        <f>FD54/293.07*(1/(VLOOKUP($BM165,'Fuel economy adjusted factor'!$A$2:$L$52,5,FALSE)*m2k))/'TCO Inputs'!$AZ$84</f>
        <v>210.66110070949136</v>
      </c>
      <c r="FE165" s="125">
        <f>FE54/293.07*(1/(VLOOKUP($BM165,'Fuel economy adjusted factor'!$A$2:$L$52,5,FALSE)*m2k))/'TCO Inputs'!$AZ$84</f>
        <v>183.97046950708543</v>
      </c>
      <c r="FF165" s="125">
        <f>FF54/293.07*(1/(VLOOKUP($BM165,'Fuel economy adjusted factor'!$A$2:$L$52,5,FALSE)*m2k))/'TCO Inputs'!$AZ$84</f>
        <v>183.97046950708543</v>
      </c>
      <c r="FG165" s="125">
        <f>FG54/293.07*(1/(VLOOKUP($BM165,'Fuel economy adjusted factor'!$A$2:$L$52,5,FALSE)*m2k))/'TCO Inputs'!$AZ$84</f>
        <v>183.97046950708543</v>
      </c>
      <c r="FH165" s="125">
        <f>FH54/293.07*(1/(VLOOKUP($BM165,'Fuel economy adjusted factor'!$A$2:$L$52,5,FALSE)*m2k))/'TCO Inputs'!$AZ$84</f>
        <v>183.97046950708543</v>
      </c>
      <c r="FI165" s="125">
        <f>FI54/293.07*(1/(VLOOKUP($BM165,'Fuel economy adjusted factor'!$A$2:$L$52,5,FALSE)*m2k))/'TCO Inputs'!$AZ$84</f>
        <v>183.97046950708543</v>
      </c>
      <c r="FJ165" s="125">
        <f>FJ54/293.07*(1/(VLOOKUP($BM165,'Fuel economy adjusted factor'!$A$2:$L$52,5,FALSE)*m2k))/'TCO Inputs'!$AZ$84</f>
        <v>115.44588064035241</v>
      </c>
      <c r="FK165" s="125">
        <f>FK54/293.07*(1/(VLOOKUP($BM165,'Fuel economy adjusted factor'!$A$2:$L$52,5,FALSE)*m2k))/'TCO Inputs'!$AZ$84</f>
        <v>115.44588064035241</v>
      </c>
      <c r="FL165" s="125">
        <f>FL54/293.07*(1/(VLOOKUP($BM165,'Fuel economy adjusted factor'!$A$2:$L$52,5,FALSE)*m2k))/'TCO Inputs'!$AZ$84</f>
        <v>115.44588064035241</v>
      </c>
      <c r="FM165" s="125">
        <f>FM54/293.07*(1/(VLOOKUP($BM165,'Fuel economy adjusted factor'!$A$2:$L$52,5,FALSE)*m2k))/'TCO Inputs'!$AZ$84</f>
        <v>115.44588064035241</v>
      </c>
      <c r="FN165" s="125">
        <f>FN54/293.07*(1/(VLOOKUP($BM165,'Fuel economy adjusted factor'!$A$2:$L$52,5,FALSE)*m2k))/'TCO Inputs'!$AZ$84</f>
        <v>115.44588064035241</v>
      </c>
      <c r="FO165" s="125">
        <f>FO54/293.07*(1/(VLOOKUP($BM165,'Fuel economy adjusted factor'!$A$2:$L$52,5,FALSE)*m2k))/'TCO Inputs'!$AZ$84</f>
        <v>102.51021125115402</v>
      </c>
      <c r="FP165" s="125">
        <f>FP54/293.07*(1/(VLOOKUP($BM165,'Fuel economy adjusted factor'!$A$2:$L$52,5,FALSE)*m2k))/'TCO Inputs'!$AZ$84</f>
        <v>102.51021125115402</v>
      </c>
      <c r="FQ165" s="125">
        <f>FQ54/293.07*(1/(VLOOKUP($BM165,'Fuel economy adjusted factor'!$A$2:$L$52,5,FALSE)*m2k))/'TCO Inputs'!$AZ$84</f>
        <v>102.51021125115402</v>
      </c>
      <c r="FR165" s="125">
        <f>FR54/293.07*(1/(VLOOKUP($BM165,'Fuel economy adjusted factor'!$A$2:$L$52,5,FALSE)*m2k))/'TCO Inputs'!$AZ$84</f>
        <v>102.51021125115402</v>
      </c>
      <c r="FS165" s="125">
        <f>FS54/293.07*(1/(VLOOKUP($BM165,'Fuel economy adjusted factor'!$A$2:$L$52,5,FALSE)*m2k))/'TCO Inputs'!$AZ$84</f>
        <v>102.51021125115402</v>
      </c>
      <c r="FT165" s="125">
        <f>FT54/293.07*(1/(VLOOKUP($BM165,'Fuel economy adjusted factor'!$A$2:$L$52,5,FALSE)*m2k))/'TCO Inputs'!$AZ$84</f>
        <v>99.900772029833448</v>
      </c>
      <c r="FU165" s="125">
        <f>FU54/293.07*(1/(VLOOKUP($BM165,'Fuel economy adjusted factor'!$A$2:$L$52,5,FALSE)*m2k))/'TCO Inputs'!$AZ$84</f>
        <v>99.900772029833448</v>
      </c>
      <c r="FV165" s="125">
        <f>FV54/293.07*(1/(VLOOKUP($BM165,'Fuel economy adjusted factor'!$A$2:$L$52,5,FALSE)*m2k))/'TCO Inputs'!$AZ$84</f>
        <v>99.900772029833448</v>
      </c>
      <c r="FW165" s="125">
        <f>FW54/293.07*(1/(VLOOKUP($BM165,'Fuel economy adjusted factor'!$A$2:$L$52,5,FALSE)*m2k))/'TCO Inputs'!$AZ$84</f>
        <v>99.900772029833448</v>
      </c>
      <c r="FX165" s="125">
        <f>FX54/293.07*(1/(VLOOKUP($BM165,'Fuel economy adjusted factor'!$A$2:$L$52,5,FALSE)*m2k))/'TCO Inputs'!$AZ$84</f>
        <v>99.900772029833448</v>
      </c>
      <c r="FY165" s="125">
        <f>FY54/293.07*(1/(VLOOKUP($BM165,'Fuel economy adjusted factor'!$A$2:$L$52,5,FALSE)*m2k))/'TCO Inputs'!$AZ$84</f>
        <v>96.523514254074996</v>
      </c>
      <c r="FZ165" s="125">
        <f>FZ54/293.07*(1/(VLOOKUP($BM165,'Fuel economy adjusted factor'!$A$2:$L$52,5,FALSE)*m2k))/'TCO Inputs'!$AZ$84</f>
        <v>96.523514254074996</v>
      </c>
      <c r="GA165" s="125">
        <f>GA54/293.07*(1/(VLOOKUP($BM165,'Fuel economy adjusted factor'!$A$2:$L$52,5,FALSE)*m2k))/'TCO Inputs'!$AZ$84</f>
        <v>96.523514254074996</v>
      </c>
      <c r="GB165" s="125">
        <f>GB54/293.07*(1/(VLOOKUP($BM165,'Fuel economy adjusted factor'!$A$2:$L$52,5,FALSE)*m2k))/'TCO Inputs'!$AZ$84</f>
        <v>96.523514254074996</v>
      </c>
      <c r="GC165" s="125">
        <f>GC54/293.07*(1/(VLOOKUP($BM165,'Fuel economy adjusted factor'!$A$2:$L$52,5,FALSE)*m2k))/'TCO Inputs'!$AZ$84</f>
        <v>96.523514254074996</v>
      </c>
      <c r="GD165" s="125">
        <f>GD54/293.07*(1/(VLOOKUP($BM165,'Fuel economy adjusted factor'!$A$2:$L$52,5,FALSE)*m2k))/'TCO Inputs'!$AZ$84</f>
        <v>91.05584544183948</v>
      </c>
      <c r="GE165" s="98" cm="1">
        <f t="array" ref="GE165">SUMPRODUCT(INDEX(FC165:GD165,,'TCO Inputs'!$AZ$12-2023+_xlfn.SEQUENCE('TCO Inputs'!$AZ$13))*INDEX('VKT US'!C111:AA111,,_xlfn.SEQUENCE('TCO Inputs'!$AZ$13)))*m2k*CONVERT(0.9072,"g","ton")</f>
        <v>50.962171851307389</v>
      </c>
      <c r="GH165" s="123" t="s">
        <v>158</v>
      </c>
      <c r="GI165" s="125">
        <f>GI54/293.07*(1/(VLOOKUP($BM165,'Fuel economy adjusted factor'!$A$2:$L$52,5,FALSE)*m2k))/'TCO Inputs'!$AZ$84</f>
        <v>183.03107138741001</v>
      </c>
      <c r="GJ165" s="125">
        <f>GJ54/293.07*(1/(VLOOKUP($BM165,'Fuel economy adjusted factor'!$A$2:$L$52,5,FALSE)*m2k))/'TCO Inputs'!$AZ$84</f>
        <v>183.03107138741001</v>
      </c>
      <c r="GK165" s="125">
        <f>GK54/293.07*(1/(VLOOKUP($BM165,'Fuel economy adjusted factor'!$A$2:$L$52,5,FALSE)*m2k))/'TCO Inputs'!$AZ$84</f>
        <v>160.91875491742513</v>
      </c>
      <c r="GL165" s="125">
        <f>GL54/293.07*(1/(VLOOKUP($BM165,'Fuel economy adjusted factor'!$A$2:$L$52,5,FALSE)*m2k))/'TCO Inputs'!$AZ$84</f>
        <v>160.91875491742513</v>
      </c>
      <c r="GM165" s="125">
        <f>GM54/293.07*(1/(VLOOKUP($BM165,'Fuel economy adjusted factor'!$A$2:$L$52,5,FALSE)*m2k))/'TCO Inputs'!$AZ$84</f>
        <v>160.91875491742513</v>
      </c>
      <c r="GN165" s="125">
        <f>GN54/293.07*(1/(VLOOKUP($BM165,'Fuel economy adjusted factor'!$A$2:$L$52,5,FALSE)*m2k))/'TCO Inputs'!$AZ$84</f>
        <v>160.91875491742513</v>
      </c>
      <c r="GO165" s="125">
        <f>GO54/293.07*(1/(VLOOKUP($BM165,'Fuel economy adjusted factor'!$A$2:$L$52,5,FALSE)*m2k))/'TCO Inputs'!$AZ$84</f>
        <v>160.91875491742513</v>
      </c>
      <c r="GP165" s="125">
        <f>GP54/293.07*(1/(VLOOKUP($BM165,'Fuel economy adjusted factor'!$A$2:$L$52,5,FALSE)*m2k))/'TCO Inputs'!$AZ$84</f>
        <v>97.778904739729526</v>
      </c>
      <c r="GQ165" s="125">
        <f>GQ54/293.07*(1/(VLOOKUP($BM165,'Fuel economy adjusted factor'!$A$2:$L$52,5,FALSE)*m2k))/'TCO Inputs'!$AZ$84</f>
        <v>97.778904739729526</v>
      </c>
      <c r="GR165" s="125">
        <f>GR54/293.07*(1/(VLOOKUP($BM165,'Fuel economy adjusted factor'!$A$2:$L$52,5,FALSE)*m2k))/'TCO Inputs'!$AZ$84</f>
        <v>97.778904739729526</v>
      </c>
      <c r="GS165" s="125">
        <f>GS54/293.07*(1/(VLOOKUP($BM165,'Fuel economy adjusted factor'!$A$2:$L$52,5,FALSE)*m2k))/'TCO Inputs'!$AZ$84</f>
        <v>97.778904739729526</v>
      </c>
      <c r="GT165" s="125">
        <f>GT54/293.07*(1/(VLOOKUP($BM165,'Fuel economy adjusted factor'!$A$2:$L$52,5,FALSE)*m2k))/'TCO Inputs'!$AZ$84</f>
        <v>97.778904739729526</v>
      </c>
      <c r="GU165" s="125">
        <f>GU54/293.07*(1/(VLOOKUP($BM165,'Fuel economy adjusted factor'!$A$2:$L$52,5,FALSE)*m2k))/'TCO Inputs'!$AZ$84</f>
        <v>87.734351024783251</v>
      </c>
      <c r="GV165" s="125">
        <f>GV54/293.07*(1/(VLOOKUP($BM165,'Fuel economy adjusted factor'!$A$2:$L$52,5,FALSE)*m2k))/'TCO Inputs'!$AZ$84</f>
        <v>87.734351024783251</v>
      </c>
      <c r="GW165" s="125">
        <f>GW54/293.07*(1/(VLOOKUP($BM165,'Fuel economy adjusted factor'!$A$2:$L$52,5,FALSE)*m2k))/'TCO Inputs'!$AZ$84</f>
        <v>87.734351024783251</v>
      </c>
      <c r="GX165" s="125">
        <f>GX54/293.07*(1/(VLOOKUP($BM165,'Fuel economy adjusted factor'!$A$2:$L$52,5,FALSE)*m2k))/'TCO Inputs'!$AZ$84</f>
        <v>87.734351024783251</v>
      </c>
      <c r="GY165" s="125">
        <f>GY54/293.07*(1/(VLOOKUP($BM165,'Fuel economy adjusted factor'!$A$2:$L$52,5,FALSE)*m2k))/'TCO Inputs'!$AZ$84</f>
        <v>87.734351024783251</v>
      </c>
      <c r="GZ165" s="125">
        <f>GZ54/293.07*(1/(VLOOKUP($BM165,'Fuel economy adjusted factor'!$A$2:$L$52,5,FALSE)*m2k))/'TCO Inputs'!$AZ$84</f>
        <v>84.552979919337645</v>
      </c>
      <c r="HA165" s="125">
        <f>HA54/293.07*(1/(VLOOKUP($BM165,'Fuel economy adjusted factor'!$A$2:$L$52,5,FALSE)*m2k))/'TCO Inputs'!$AZ$84</f>
        <v>84.552979919337645</v>
      </c>
      <c r="HB165" s="125">
        <f>HB54/293.07*(1/(VLOOKUP($BM165,'Fuel economy adjusted factor'!$A$2:$L$52,5,FALSE)*m2k))/'TCO Inputs'!$AZ$84</f>
        <v>84.552979919337645</v>
      </c>
      <c r="HC165" s="125">
        <f>HC54/293.07*(1/(VLOOKUP($BM165,'Fuel economy adjusted factor'!$A$2:$L$52,5,FALSE)*m2k))/'TCO Inputs'!$AZ$84</f>
        <v>84.552979919337645</v>
      </c>
      <c r="HD165" s="125">
        <f>HD54/293.07*(1/(VLOOKUP($BM165,'Fuel economy adjusted factor'!$A$2:$L$52,5,FALSE)*m2k))/'TCO Inputs'!$AZ$84</f>
        <v>84.552979919337645</v>
      </c>
      <c r="HE165" s="125">
        <f>HE54/293.07*(1/(VLOOKUP($BM165,'Fuel economy adjusted factor'!$A$2:$L$52,5,FALSE)*m2k))/'TCO Inputs'!$AZ$84</f>
        <v>81.187160781261696</v>
      </c>
      <c r="HF165" s="125">
        <f>HF54/293.07*(1/(VLOOKUP($BM165,'Fuel economy adjusted factor'!$A$2:$L$52,5,FALSE)*m2k))/'TCO Inputs'!$AZ$84</f>
        <v>81.187160781261696</v>
      </c>
      <c r="HG165" s="125">
        <f>HG54/293.07*(1/(VLOOKUP($BM165,'Fuel economy adjusted factor'!$A$2:$L$52,5,FALSE)*m2k))/'TCO Inputs'!$AZ$84</f>
        <v>81.187160781261696</v>
      </c>
      <c r="HH165" s="125">
        <f>HH54/293.07*(1/(VLOOKUP($BM165,'Fuel economy adjusted factor'!$A$2:$L$52,5,FALSE)*m2k))/'TCO Inputs'!$AZ$84</f>
        <v>81.187160781261696</v>
      </c>
      <c r="HI165" s="125">
        <f>HI54/293.07*(1/(VLOOKUP($BM165,'Fuel economy adjusted factor'!$A$2:$L$52,5,FALSE)*m2k))/'TCO Inputs'!$AZ$84</f>
        <v>81.187160781261696</v>
      </c>
      <c r="HJ165" s="125">
        <f>HJ54/293.07*(1/(VLOOKUP($BM165,'Fuel economy adjusted factor'!$A$2:$L$52,5,FALSE)*m2k))/'TCO Inputs'!$AZ$84</f>
        <v>76.028335186453717</v>
      </c>
      <c r="HK165" s="98" cm="1">
        <f t="array" ref="HK165">SUMPRODUCT(INDEX(GI165:HJ165,,'TCO Inputs'!$AZ$12-2023+_xlfn.SEQUENCE('TCO Inputs'!$AZ$13))*INDEX('VKT US'!C111:AA111,,_xlfn.SEQUENCE('TCO Inputs'!$AZ$13)))*m2k*CONVERT(0.9072,"g","ton")</f>
        <v>44.088084689147024</v>
      </c>
    </row>
    <row r="166" spans="22:219" x14ac:dyDescent="0.25">
      <c r="Z166" s="123" t="s">
        <v>160</v>
      </c>
      <c r="AA166" s="125">
        <f>AA55/293.07*(1/(VLOOKUP($Z166,'Fuel economy adjusted factor'!$A$2:$L$52,5,FALSE)*m2k))/'TCO Inputs'!$AZ$84</f>
        <v>216.22161368552423</v>
      </c>
      <c r="AB166" s="125">
        <f>AB55/293.07*(1/(VLOOKUP($Z166,'Fuel economy adjusted factor'!$A$2:$L$52,5,FALSE)*m2k))/'TCO Inputs'!$AZ$84</f>
        <v>216.22161368552423</v>
      </c>
      <c r="AC166" s="125">
        <f>AC55/293.07*(1/(VLOOKUP($Z166,'Fuel economy adjusted factor'!$A$2:$L$52,5,FALSE)*m2k))/'TCO Inputs'!$AZ$84</f>
        <v>190.16557702427363</v>
      </c>
      <c r="AD166" s="125">
        <f>AD55/293.07*(1/(VLOOKUP($Z166,'Fuel economy adjusted factor'!$A$2:$L$52,5,FALSE)*m2k))/'TCO Inputs'!$AZ$84</f>
        <v>190.16557702427363</v>
      </c>
      <c r="AE166" s="125">
        <f>AE55/293.07*(1/(VLOOKUP($Z166,'Fuel economy adjusted factor'!$A$2:$L$52,5,FALSE)*m2k))/'TCO Inputs'!$AZ$84</f>
        <v>190.16557702427363</v>
      </c>
      <c r="AF166" s="125">
        <f>AF55/293.07*(1/(VLOOKUP($Z166,'Fuel economy adjusted factor'!$A$2:$L$52,5,FALSE)*m2k))/'TCO Inputs'!$AZ$84</f>
        <v>190.16557702427363</v>
      </c>
      <c r="AG166" s="125">
        <f>AG55/293.07*(1/(VLOOKUP($Z166,'Fuel economy adjusted factor'!$A$2:$L$52,5,FALSE)*m2k))/'TCO Inputs'!$AZ$84</f>
        <v>190.16557702427363</v>
      </c>
      <c r="AH166" s="125">
        <f>AH55/293.07*(1/(VLOOKUP($Z166,'Fuel economy adjusted factor'!$A$2:$L$52,5,FALSE)*m2k))/'TCO Inputs'!$AZ$84</f>
        <v>114.25864512770706</v>
      </c>
      <c r="AI166" s="125">
        <f>AI55/293.07*(1/(VLOOKUP($Z166,'Fuel economy adjusted factor'!$A$2:$L$52,5,FALSE)*m2k))/'TCO Inputs'!$AZ$84</f>
        <v>114.25864512770706</v>
      </c>
      <c r="AJ166" s="125">
        <f>AJ55/293.07*(1/(VLOOKUP($Z166,'Fuel economy adjusted factor'!$A$2:$L$52,5,FALSE)*m2k))/'TCO Inputs'!$AZ$84</f>
        <v>114.25864512770706</v>
      </c>
      <c r="AK166" s="125">
        <f>AK55/293.07*(1/(VLOOKUP($Z166,'Fuel economy adjusted factor'!$A$2:$L$52,5,FALSE)*m2k))/'TCO Inputs'!$AZ$84</f>
        <v>114.25864512770706</v>
      </c>
      <c r="AL166" s="125">
        <f>AL55/293.07*(1/(VLOOKUP($Z166,'Fuel economy adjusted factor'!$A$2:$L$52,5,FALSE)*m2k))/'TCO Inputs'!$AZ$84</f>
        <v>114.25864512770706</v>
      </c>
      <c r="AM166" s="125">
        <f>AM55/293.07*(1/(VLOOKUP($Z166,'Fuel economy adjusted factor'!$A$2:$L$52,5,FALSE)*m2k))/'TCO Inputs'!$AZ$84</f>
        <v>119.56916433467808</v>
      </c>
      <c r="AN166" s="125">
        <f>AN55/293.07*(1/(VLOOKUP($Z166,'Fuel economy adjusted factor'!$A$2:$L$52,5,FALSE)*m2k))/'TCO Inputs'!$AZ$84</f>
        <v>119.56916433467808</v>
      </c>
      <c r="AO166" s="125">
        <f>AO55/293.07*(1/(VLOOKUP($Z166,'Fuel economy adjusted factor'!$A$2:$L$52,5,FALSE)*m2k))/'TCO Inputs'!$AZ$84</f>
        <v>119.56916433467808</v>
      </c>
      <c r="AP166" s="125">
        <f>AP55/293.07*(1/(VLOOKUP($Z166,'Fuel economy adjusted factor'!$A$2:$L$52,5,FALSE)*m2k))/'TCO Inputs'!$AZ$84</f>
        <v>119.56916433467808</v>
      </c>
      <c r="AQ166" s="125">
        <f>AQ55/293.07*(1/(VLOOKUP($Z166,'Fuel economy adjusted factor'!$A$2:$L$52,5,FALSE)*m2k))/'TCO Inputs'!$AZ$84</f>
        <v>119.56916433467808</v>
      </c>
      <c r="AR166" s="125">
        <f>AR55/293.07*(1/(VLOOKUP($Z166,'Fuel economy adjusted factor'!$A$2:$L$52,5,FALSE)*m2k))/'TCO Inputs'!$AZ$84</f>
        <v>124.99132608537893</v>
      </c>
      <c r="AS166" s="125">
        <f>AS55/293.07*(1/(VLOOKUP($Z166,'Fuel economy adjusted factor'!$A$2:$L$52,5,FALSE)*m2k))/'TCO Inputs'!$AZ$84</f>
        <v>124.99132608537893</v>
      </c>
      <c r="AT166" s="125">
        <f>AT55/293.07*(1/(VLOOKUP($Z166,'Fuel economy adjusted factor'!$A$2:$L$52,5,FALSE)*m2k))/'TCO Inputs'!$AZ$84</f>
        <v>124.99132608537893</v>
      </c>
      <c r="AU166" s="125">
        <f>AU55/293.07*(1/(VLOOKUP($Z166,'Fuel economy adjusted factor'!$A$2:$L$52,5,FALSE)*m2k))/'TCO Inputs'!$AZ$84</f>
        <v>124.99132608537893</v>
      </c>
      <c r="AV166" s="125">
        <f>AV55/293.07*(1/(VLOOKUP($Z166,'Fuel economy adjusted factor'!$A$2:$L$52,5,FALSE)*m2k))/'TCO Inputs'!$AZ$84</f>
        <v>124.99132608537893</v>
      </c>
      <c r="AW166" s="125">
        <f>AW55/293.07*(1/(VLOOKUP($Z166,'Fuel economy adjusted factor'!$A$2:$L$52,5,FALSE)*m2k))/'TCO Inputs'!$AZ$84</f>
        <v>127.73406678656323</v>
      </c>
      <c r="AX166" s="125">
        <f>AX55/293.07*(1/(VLOOKUP($Z166,'Fuel economy adjusted factor'!$A$2:$L$52,5,FALSE)*m2k))/'TCO Inputs'!$AZ$84</f>
        <v>127.73406678656323</v>
      </c>
      <c r="AY166" s="125">
        <f>AY55/293.07*(1/(VLOOKUP($Z166,'Fuel economy adjusted factor'!$A$2:$L$52,5,FALSE)*m2k))/'TCO Inputs'!$AZ$84</f>
        <v>127.73406678656323</v>
      </c>
      <c r="AZ166" s="125">
        <f>AZ55/293.07*(1/(VLOOKUP($Z166,'Fuel economy adjusted factor'!$A$2:$L$52,5,FALSE)*m2k))/'TCO Inputs'!$AZ$84</f>
        <v>127.73406678656323</v>
      </c>
      <c r="BA166" s="125">
        <f>BA55/293.07*(1/(VLOOKUP($Z166,'Fuel economy adjusted factor'!$A$2:$L$52,5,FALSE)*m2k))/'TCO Inputs'!$AZ$84</f>
        <v>127.73406678656323</v>
      </c>
      <c r="BB166" s="125">
        <f>BB55/293.07*(1/(VLOOKUP($Z166,'Fuel economy adjusted factor'!$A$2:$L$52,5,FALSE)*m2k))/'TCO Inputs'!$AZ$84</f>
        <v>127.90736267533795</v>
      </c>
      <c r="BC166" s="98" cm="1">
        <f t="array" ref="BC166">SUMPRODUCT(INDEX(AA166:BB166,,'TCO Inputs'!$AZ$12-2023+_xlfn.SEQUENCE('TCO Inputs'!$AZ$13))*INDEX('VKT US'!C112:AA112,,_xlfn.SEQUENCE('TCO Inputs'!$AZ$13)))*m2k*CONVERT(0.9072,"g","ton")</f>
        <v>81.954956653655699</v>
      </c>
      <c r="BM166" s="123" t="s">
        <v>160</v>
      </c>
      <c r="BN166" s="125">
        <f>BN55/293.07*(1/(VLOOKUP($BM166,'Fuel economy adjusted factor'!$A$2:$L$52,5,FALSE)*m2k))</f>
        <v>183.7883716326956</v>
      </c>
      <c r="BO166" s="125">
        <f>BO55/293.07*(1/(VLOOKUP($BM166,'Fuel economy adjusted factor'!$A$2:$L$52,5,FALSE)*m2k))</f>
        <v>183.7883716326956</v>
      </c>
      <c r="BP166" s="125">
        <f>BP55/293.07*(1/(VLOOKUP($BM166,'Fuel economy adjusted factor'!$A$2:$L$52,5,FALSE)*m2k))</f>
        <v>161.42970273685066</v>
      </c>
      <c r="BQ166" s="125">
        <f>BQ55/293.07*(1/(VLOOKUP($BM166,'Fuel economy adjusted factor'!$A$2:$L$52,5,FALSE)*m2k))</f>
        <v>161.42970273685066</v>
      </c>
      <c r="BR166" s="125">
        <f>BR55/293.07*(1/(VLOOKUP($BM166,'Fuel economy adjusted factor'!$A$2:$L$52,5,FALSE)*m2k))</f>
        <v>161.42970273685066</v>
      </c>
      <c r="BS166" s="125">
        <f>BS55/293.07*(1/(VLOOKUP($BM166,'Fuel economy adjusted factor'!$A$2:$L$52,5,FALSE)*m2k))</f>
        <v>161.42970273685066</v>
      </c>
      <c r="BT166" s="125">
        <f>BT55/293.07*(1/(VLOOKUP($BM166,'Fuel economy adjusted factor'!$A$2:$L$52,5,FALSE)*m2k))</f>
        <v>161.42970273685066</v>
      </c>
      <c r="BU166" s="125">
        <f>BU55/293.07*(1/(VLOOKUP($BM166,'Fuel economy adjusted factor'!$A$2:$L$52,5,FALSE)*m2k))</f>
        <v>182.99096059833855</v>
      </c>
      <c r="BV166" s="125">
        <f>BV55/293.07*(1/(VLOOKUP($BM166,'Fuel economy adjusted factor'!$A$2:$L$52,5,FALSE)*m2k))</f>
        <v>182.99096059833855</v>
      </c>
      <c r="BW166" s="125">
        <f>BW55/293.07*(1/(VLOOKUP($BM166,'Fuel economy adjusted factor'!$A$2:$L$52,5,FALSE)*m2k))</f>
        <v>182.99096059833855</v>
      </c>
      <c r="BX166" s="125">
        <f>BX55/293.07*(1/(VLOOKUP($BM166,'Fuel economy adjusted factor'!$A$2:$L$52,5,FALSE)*m2k))</f>
        <v>182.99096059833855</v>
      </c>
      <c r="BY166" s="125">
        <f>BY55/293.07*(1/(VLOOKUP($BM166,'Fuel economy adjusted factor'!$A$2:$L$52,5,FALSE)*m2k))</f>
        <v>182.99096059833855</v>
      </c>
      <c r="BZ166" s="125">
        <f>BZ55/293.07*(1/(VLOOKUP($BM166,'Fuel economy adjusted factor'!$A$2:$L$52,5,FALSE)*m2k))</f>
        <v>187.3915930739112</v>
      </c>
      <c r="CA166" s="125">
        <f>CA55/293.07*(1/(VLOOKUP($BM166,'Fuel economy adjusted factor'!$A$2:$L$52,5,FALSE)*m2k))</f>
        <v>187.3915930739112</v>
      </c>
      <c r="CB166" s="125">
        <f>CB55/293.07*(1/(VLOOKUP($BM166,'Fuel economy adjusted factor'!$A$2:$L$52,5,FALSE)*m2k))</f>
        <v>187.3915930739112</v>
      </c>
      <c r="CC166" s="125">
        <f>CC55/293.07*(1/(VLOOKUP($BM166,'Fuel economy adjusted factor'!$A$2:$L$52,5,FALSE)*m2k))</f>
        <v>187.3915930739112</v>
      </c>
      <c r="CD166" s="125">
        <f>CD55/293.07*(1/(VLOOKUP($BM166,'Fuel economy adjusted factor'!$A$2:$L$52,5,FALSE)*m2k))</f>
        <v>187.3915930739112</v>
      </c>
      <c r="CE166" s="125">
        <f>CE55/293.07*(1/(VLOOKUP($BM166,'Fuel economy adjusted factor'!$A$2:$L$52,5,FALSE)*m2k))</f>
        <v>192.02309233207748</v>
      </c>
      <c r="CF166" s="125">
        <f>CF55/293.07*(1/(VLOOKUP($BM166,'Fuel economy adjusted factor'!$A$2:$L$52,5,FALSE)*m2k))</f>
        <v>192.02309233207748</v>
      </c>
      <c r="CG166" s="125">
        <f>CG55/293.07*(1/(VLOOKUP($BM166,'Fuel economy adjusted factor'!$A$2:$L$52,5,FALSE)*m2k))</f>
        <v>192.02309233207748</v>
      </c>
      <c r="CH166" s="125">
        <f>CH55/293.07*(1/(VLOOKUP($BM166,'Fuel economy adjusted factor'!$A$2:$L$52,5,FALSE)*m2k))</f>
        <v>192.02309233207748</v>
      </c>
      <c r="CI166" s="125">
        <f>CI55/293.07*(1/(VLOOKUP($BM166,'Fuel economy adjusted factor'!$A$2:$L$52,5,FALSE)*m2k))</f>
        <v>192.02309233207748</v>
      </c>
      <c r="CJ166" s="125">
        <f>CJ55/293.07*(1/(VLOOKUP($BM166,'Fuel economy adjusted factor'!$A$2:$L$52,5,FALSE)*m2k))</f>
        <v>193.1221881804986</v>
      </c>
      <c r="CK166" s="125">
        <f>CK55/293.07*(1/(VLOOKUP($BM166,'Fuel economy adjusted factor'!$A$2:$L$52,5,FALSE)*m2k))</f>
        <v>193.1221881804986</v>
      </c>
      <c r="CL166" s="125">
        <f>CL55/293.07*(1/(VLOOKUP($BM166,'Fuel economy adjusted factor'!$A$2:$L$52,5,FALSE)*m2k))</f>
        <v>193.1221881804986</v>
      </c>
      <c r="CM166" s="125">
        <f>CM55/293.07*(1/(VLOOKUP($BM166,'Fuel economy adjusted factor'!$A$2:$L$52,5,FALSE)*m2k))</f>
        <v>193.1221881804986</v>
      </c>
      <c r="CN166" s="125">
        <f>CN55/293.07*(1/(VLOOKUP($BM166,'Fuel economy adjusted factor'!$A$2:$L$52,5,FALSE)*m2k))</f>
        <v>193.1221881804986</v>
      </c>
      <c r="CO166" s="125">
        <f>CO55/293.07*(1/(VLOOKUP($BM166,'Fuel economy adjusted factor'!$A$2:$L$52,5,FALSE)*m2k))</f>
        <v>194.43515448396042</v>
      </c>
      <c r="CP166" s="98" cm="1">
        <f t="array" ref="CP166">SUMPRODUCT(INDEX(BN166:CO166,,'TCO Inputs'!$AZ$12-2023+_xlfn.SEQUENCE('TCO Inputs'!$AZ$13))*INDEX('VKT US'!C112:AA112,,_xlfn.SEQUENCE('TCO Inputs'!$AZ$13)))*m2k*CONVERT(0.9072,"g","ton")</f>
        <v>89.266451807400784</v>
      </c>
      <c r="CQ166" s="194"/>
      <c r="CR166" s="123" t="s">
        <v>160</v>
      </c>
      <c r="CS166" s="125">
        <f>CS55/293.07*(1/(VLOOKUP($BM166,'Fuel economy adjusted factor'!$A$2:$L$52,5,FALSE)*m2k))/'TCO Inputs'!$AZ$84</f>
        <v>261.78676828691192</v>
      </c>
      <c r="CT166" s="125">
        <f>CT55/293.07*(1/(VLOOKUP($BM166,'Fuel economy adjusted factor'!$A$2:$L$52,5,FALSE)*m2k))/'TCO Inputs'!$AZ$84</f>
        <v>261.78676828691192</v>
      </c>
      <c r="CU166" s="125">
        <f>CU55/293.07*(1/(VLOOKUP($BM166,'Fuel economy adjusted factor'!$A$2:$L$52,5,FALSE)*m2k))/'TCO Inputs'!$AZ$84</f>
        <v>261.78676828691192</v>
      </c>
      <c r="CV166" s="125">
        <f>CV55/293.07*(1/(VLOOKUP($BM166,'Fuel economy adjusted factor'!$A$2:$L$52,5,FALSE)*m2k))/'TCO Inputs'!$AZ$84</f>
        <v>261.78676828691192</v>
      </c>
      <c r="CW166" s="125">
        <f>CW55/293.07*(1/(VLOOKUP($BM166,'Fuel economy adjusted factor'!$A$2:$L$52,5,FALSE)*m2k))/'TCO Inputs'!$AZ$84</f>
        <v>261.78676828691192</v>
      </c>
      <c r="CX166" s="125">
        <f>CX55/293.07*(1/(VLOOKUP($BM166,'Fuel economy adjusted factor'!$A$2:$L$52,5,FALSE)*m2k))/'TCO Inputs'!$AZ$84</f>
        <v>261.78676828691192</v>
      </c>
      <c r="CY166" s="125">
        <f>CY55/293.07*(1/(VLOOKUP($BM166,'Fuel economy adjusted factor'!$A$2:$L$52,5,FALSE)*m2k))/'TCO Inputs'!$AZ$84</f>
        <v>261.78676828691192</v>
      </c>
      <c r="CZ166" s="125">
        <f>CZ55/293.07*(1/(VLOOKUP($BM166,'Fuel economy adjusted factor'!$A$2:$L$52,5,FALSE)*m2k))/'TCO Inputs'!$AZ$84</f>
        <v>261.84508901871101</v>
      </c>
      <c r="DA166" s="125">
        <f>DA55/293.07*(1/(VLOOKUP($BM166,'Fuel economy adjusted factor'!$A$2:$L$52,5,FALSE)*m2k))/'TCO Inputs'!$AZ$84</f>
        <v>261.84508901871101</v>
      </c>
      <c r="DB166" s="125">
        <f>DB55/293.07*(1/(VLOOKUP($BM166,'Fuel economy adjusted factor'!$A$2:$L$52,5,FALSE)*m2k))/'TCO Inputs'!$AZ$84</f>
        <v>261.84508901871101</v>
      </c>
      <c r="DC166" s="125">
        <f>DC55/293.07*(1/(VLOOKUP($BM166,'Fuel economy adjusted factor'!$A$2:$L$52,5,FALSE)*m2k))/'TCO Inputs'!$AZ$84</f>
        <v>261.84508901871101</v>
      </c>
      <c r="DD166" s="125">
        <f>DD55/293.07*(1/(VLOOKUP($BM166,'Fuel economy adjusted factor'!$A$2:$L$52,5,FALSE)*m2k))/'TCO Inputs'!$AZ$84</f>
        <v>261.84508901871101</v>
      </c>
      <c r="DE166" s="125">
        <f>DE55/293.07*(1/(VLOOKUP($BM166,'Fuel economy adjusted factor'!$A$2:$L$52,5,FALSE)*m2k))/'TCO Inputs'!$AZ$84</f>
        <v>261.81176288625437</v>
      </c>
      <c r="DF166" s="125">
        <f>DF55/293.07*(1/(VLOOKUP($BM166,'Fuel economy adjusted factor'!$A$2:$L$52,5,FALSE)*m2k))/'TCO Inputs'!$AZ$84</f>
        <v>261.81176288625437</v>
      </c>
      <c r="DG166" s="125">
        <f>DG55/293.07*(1/(VLOOKUP($BM166,'Fuel economy adjusted factor'!$A$2:$L$52,5,FALSE)*m2k))/'TCO Inputs'!$AZ$84</f>
        <v>261.81176288625437</v>
      </c>
      <c r="DH166" s="125">
        <f>DH55/293.07*(1/(VLOOKUP($BM166,'Fuel economy adjusted factor'!$A$2:$L$52,5,FALSE)*m2k))/'TCO Inputs'!$AZ$84</f>
        <v>261.81176288625437</v>
      </c>
      <c r="DI166" s="125">
        <f>DI55/293.07*(1/(VLOOKUP($BM166,'Fuel economy adjusted factor'!$A$2:$L$52,5,FALSE)*m2k))/'TCO Inputs'!$AZ$84</f>
        <v>261.81176288625437</v>
      </c>
      <c r="DJ166" s="125">
        <f>DJ55/293.07*(1/(VLOOKUP($BM166,'Fuel economy adjusted factor'!$A$2:$L$52,5,FALSE)*m2k))/'TCO Inputs'!$AZ$84</f>
        <v>261.80343135314018</v>
      </c>
      <c r="DK166" s="125">
        <f>DK55/293.07*(1/(VLOOKUP($BM166,'Fuel economy adjusted factor'!$A$2:$L$52,5,FALSE)*m2k))/'TCO Inputs'!$AZ$84</f>
        <v>261.80343135314018</v>
      </c>
      <c r="DL166" s="125">
        <f>DL55/293.07*(1/(VLOOKUP($BM166,'Fuel economy adjusted factor'!$A$2:$L$52,5,FALSE)*m2k))/'TCO Inputs'!$AZ$84</f>
        <v>261.80343135314018</v>
      </c>
      <c r="DM166" s="125">
        <f>DM55/293.07*(1/(VLOOKUP($BM166,'Fuel economy adjusted factor'!$A$2:$L$52,5,FALSE)*m2k))/'TCO Inputs'!$AZ$84</f>
        <v>261.80343135314018</v>
      </c>
      <c r="DN166" s="125">
        <f>DN55/293.07*(1/(VLOOKUP($BM166,'Fuel economy adjusted factor'!$A$2:$L$52,5,FALSE)*m2k))/'TCO Inputs'!$AZ$84</f>
        <v>261.80343135314018</v>
      </c>
      <c r="DO166" s="125">
        <f>DO55/293.07*(1/(VLOOKUP($BM166,'Fuel economy adjusted factor'!$A$2:$L$52,5,FALSE)*m2k))/'TCO Inputs'!$AZ$84</f>
        <v>261.64179961072534</v>
      </c>
      <c r="DP166" s="125">
        <f>DP55/293.07*(1/(VLOOKUP($BM166,'Fuel economy adjusted factor'!$A$2:$L$52,5,FALSE)*m2k))/'TCO Inputs'!$AZ$84</f>
        <v>261.64179961072534</v>
      </c>
      <c r="DQ166" s="125">
        <f>DQ55/293.07*(1/(VLOOKUP($BM166,'Fuel economy adjusted factor'!$A$2:$L$52,5,FALSE)*m2k))/'TCO Inputs'!$AZ$84</f>
        <v>261.64179961072534</v>
      </c>
      <c r="DR166" s="125">
        <f>DR55/293.07*(1/(VLOOKUP($BM166,'Fuel economy adjusted factor'!$A$2:$L$52,5,FALSE)*m2k))/'TCO Inputs'!$AZ$84</f>
        <v>261.64179961072534</v>
      </c>
      <c r="DS166" s="125">
        <f>DS55/293.07*(1/(VLOOKUP($BM166,'Fuel economy adjusted factor'!$A$2:$L$52,5,FALSE)*m2k))/'TCO Inputs'!$AZ$84</f>
        <v>261.64179961072534</v>
      </c>
      <c r="DT166" s="125">
        <f>DT55/293.07*(1/(VLOOKUP($BM166,'Fuel economy adjusted factor'!$A$2:$L$52,5,FALSE)*m2k))/'TCO Inputs'!$AZ$84</f>
        <v>261.7767704471749</v>
      </c>
      <c r="DU166" s="98" cm="1">
        <f t="array" ref="DU166">SUMPRODUCT(INDEX(CS166:DT166,,'TCO Inputs'!$AZ$12-2023+_xlfn.SEQUENCE('TCO Inputs'!$AZ$13))*INDEX('VKT US'!C112:AA112,,_xlfn.SEQUENCE('TCO Inputs'!$AZ$13)))*m2k*CONVERT(0.9072,"g","ton")</f>
        <v>133.21438380643443</v>
      </c>
      <c r="DW166" s="123" t="s">
        <v>160</v>
      </c>
      <c r="DX166" s="125">
        <f>DX55/293.07*(1/(VLOOKUP($BM166,'Fuel economy adjusted factor'!$A$2:$L$52,5,FALSE)*m2k))/'TCO Inputs'!$AZ$84</f>
        <v>274.04078012848754</v>
      </c>
      <c r="DY166" s="125">
        <f>DY55/293.07*(1/(VLOOKUP($BM166,'Fuel economy adjusted factor'!$A$2:$L$52,5,FALSE)*m2k))/'TCO Inputs'!$AZ$84</f>
        <v>274.04078012848754</v>
      </c>
      <c r="DZ166" s="125">
        <f>DZ55/293.07*(1/(VLOOKUP($BM166,'Fuel economy adjusted factor'!$A$2:$L$52,5,FALSE)*m2k))/'TCO Inputs'!$AZ$84</f>
        <v>240.2242265413141</v>
      </c>
      <c r="EA166" s="125">
        <f>EA55/293.07*(1/(VLOOKUP($BM166,'Fuel economy adjusted factor'!$A$2:$L$52,5,FALSE)*m2k))/'TCO Inputs'!$AZ$84</f>
        <v>240.2242265413141</v>
      </c>
      <c r="EB166" s="125">
        <f>EB55/293.07*(1/(VLOOKUP($BM166,'Fuel economy adjusted factor'!$A$2:$L$52,5,FALSE)*m2k))/'TCO Inputs'!$AZ$84</f>
        <v>240.2242265413141</v>
      </c>
      <c r="EC166" s="125">
        <f>EC55/293.07*(1/(VLOOKUP($BM166,'Fuel economy adjusted factor'!$A$2:$L$52,5,FALSE)*m2k))/'TCO Inputs'!$AZ$84</f>
        <v>240.2242265413141</v>
      </c>
      <c r="ED166" s="125">
        <f>ED55/293.07*(1/(VLOOKUP($BM166,'Fuel economy adjusted factor'!$A$2:$L$52,5,FALSE)*m2k))/'TCO Inputs'!$AZ$84</f>
        <v>240.2242265413141</v>
      </c>
      <c r="EE166" s="125">
        <f>EE55/293.07*(1/(VLOOKUP($BM166,'Fuel economy adjusted factor'!$A$2:$L$52,5,FALSE)*m2k))/'TCO Inputs'!$AZ$84</f>
        <v>148.05888624323313</v>
      </c>
      <c r="EF166" s="125">
        <f>EF55/293.07*(1/(VLOOKUP($BM166,'Fuel economy adjusted factor'!$A$2:$L$52,5,FALSE)*m2k))/'TCO Inputs'!$AZ$84</f>
        <v>148.05888624323313</v>
      </c>
      <c r="EG166" s="125">
        <f>EG55/293.07*(1/(VLOOKUP($BM166,'Fuel economy adjusted factor'!$A$2:$L$52,5,FALSE)*m2k))/'TCO Inputs'!$AZ$84</f>
        <v>148.05888624323313</v>
      </c>
      <c r="EH166" s="125">
        <f>EH55/293.07*(1/(VLOOKUP($BM166,'Fuel economy adjusted factor'!$A$2:$L$52,5,FALSE)*m2k))/'TCO Inputs'!$AZ$84</f>
        <v>148.05888624323313</v>
      </c>
      <c r="EI166" s="125">
        <f>EI55/293.07*(1/(VLOOKUP($BM166,'Fuel economy adjusted factor'!$A$2:$L$52,5,FALSE)*m2k))/'TCO Inputs'!$AZ$84</f>
        <v>148.05888624323313</v>
      </c>
      <c r="EJ166" s="125">
        <f>EJ55/293.07*(1/(VLOOKUP($BM166,'Fuel economy adjusted factor'!$A$2:$L$52,5,FALSE)*m2k))/'TCO Inputs'!$AZ$84</f>
        <v>132.2339819157192</v>
      </c>
      <c r="EK166" s="125">
        <f>EK55/293.07*(1/(VLOOKUP($BM166,'Fuel economy adjusted factor'!$A$2:$L$52,5,FALSE)*m2k))/'TCO Inputs'!$AZ$84</f>
        <v>132.2339819157192</v>
      </c>
      <c r="EL166" s="125">
        <f>EL55/293.07*(1/(VLOOKUP($BM166,'Fuel economy adjusted factor'!$A$2:$L$52,5,FALSE)*m2k))/'TCO Inputs'!$AZ$84</f>
        <v>132.2339819157192</v>
      </c>
      <c r="EM166" s="125">
        <f>EM55/293.07*(1/(VLOOKUP($BM166,'Fuel economy adjusted factor'!$A$2:$L$52,5,FALSE)*m2k))/'TCO Inputs'!$AZ$84</f>
        <v>132.2339819157192</v>
      </c>
      <c r="EN166" s="125">
        <f>EN55/293.07*(1/(VLOOKUP($BM166,'Fuel economy adjusted factor'!$A$2:$L$52,5,FALSE)*m2k))/'TCO Inputs'!$AZ$84</f>
        <v>132.2339819157192</v>
      </c>
      <c r="EO166" s="125">
        <f>EO55/293.07*(1/(VLOOKUP($BM166,'Fuel economy adjusted factor'!$A$2:$L$52,5,FALSE)*m2k))/'TCO Inputs'!$AZ$84</f>
        <v>128.07197558888834</v>
      </c>
      <c r="EP166" s="125">
        <f>EP55/293.07*(1/(VLOOKUP($BM166,'Fuel economy adjusted factor'!$A$2:$L$52,5,FALSE)*m2k))/'TCO Inputs'!$AZ$84</f>
        <v>128.07197558888834</v>
      </c>
      <c r="EQ166" s="125">
        <f>EQ55/293.07*(1/(VLOOKUP($BM166,'Fuel economy adjusted factor'!$A$2:$L$52,5,FALSE)*m2k))/'TCO Inputs'!$AZ$84</f>
        <v>128.07197558888834</v>
      </c>
      <c r="ER166" s="125">
        <f>ER55/293.07*(1/(VLOOKUP($BM166,'Fuel economy adjusted factor'!$A$2:$L$52,5,FALSE)*m2k))/'TCO Inputs'!$AZ$84</f>
        <v>128.07197558888834</v>
      </c>
      <c r="ES166" s="125">
        <f>ES55/293.07*(1/(VLOOKUP($BM166,'Fuel economy adjusted factor'!$A$2:$L$52,5,FALSE)*m2k))/'TCO Inputs'!$AZ$84</f>
        <v>128.07197558888834</v>
      </c>
      <c r="ET166" s="125">
        <f>ET55/293.07*(1/(VLOOKUP($BM166,'Fuel economy adjusted factor'!$A$2:$L$52,5,FALSE)*m2k))/'TCO Inputs'!$AZ$84</f>
        <v>123.316837967783</v>
      </c>
      <c r="EU166" s="125">
        <f>EU55/293.07*(1/(VLOOKUP($BM166,'Fuel economy adjusted factor'!$A$2:$L$52,5,FALSE)*m2k))/'TCO Inputs'!$AZ$84</f>
        <v>123.316837967783</v>
      </c>
      <c r="EV166" s="125">
        <f>EV55/293.07*(1/(VLOOKUP($BM166,'Fuel economy adjusted factor'!$A$2:$L$52,5,FALSE)*m2k))/'TCO Inputs'!$AZ$84</f>
        <v>123.316837967783</v>
      </c>
      <c r="EW166" s="125">
        <f>EW55/293.07*(1/(VLOOKUP($BM166,'Fuel economy adjusted factor'!$A$2:$L$52,5,FALSE)*m2k))/'TCO Inputs'!$AZ$84</f>
        <v>123.316837967783</v>
      </c>
      <c r="EX166" s="125">
        <f>EX55/293.07*(1/(VLOOKUP($BM166,'Fuel economy adjusted factor'!$A$2:$L$52,5,FALSE)*m2k))/'TCO Inputs'!$AZ$84</f>
        <v>123.316837967783</v>
      </c>
      <c r="EY166" s="125">
        <f>EY55/293.07*(1/(VLOOKUP($BM166,'Fuel economy adjusted factor'!$A$2:$L$52,5,FALSE)*m2k))/'TCO Inputs'!$AZ$84</f>
        <v>115.86033026833225</v>
      </c>
      <c r="EZ166" s="98" cm="1">
        <f t="array" ref="EZ166">SUMPRODUCT(INDEX(DX166:EY166,,'TCO Inputs'!$AZ$12-2023+_xlfn.SEQUENCE('TCO Inputs'!$AZ$13))*INDEX('VKT US'!C112:AA112,,_xlfn.SEQUENCE('TCO Inputs'!$AZ$13)))*m2k*CONVERT(0.9072,"g","ton")</f>
        <v>103.08293496444504</v>
      </c>
      <c r="FB166" s="123" t="s">
        <v>160</v>
      </c>
      <c r="FC166" s="125">
        <f>FC55/293.07*(1/(VLOOKUP($BM166,'Fuel economy adjusted factor'!$A$2:$L$52,5,FALSE)*m2k))/'TCO Inputs'!$AZ$84</f>
        <v>297.23745911341308</v>
      </c>
      <c r="FD166" s="125">
        <f>FD55/293.07*(1/(VLOOKUP($BM166,'Fuel economy adjusted factor'!$A$2:$L$52,5,FALSE)*m2k))/'TCO Inputs'!$AZ$84</f>
        <v>297.23745911341308</v>
      </c>
      <c r="FE166" s="125">
        <f>FE55/293.07*(1/(VLOOKUP($BM166,'Fuel economy adjusted factor'!$A$2:$L$52,5,FALSE)*m2k))/'TCO Inputs'!$AZ$84</f>
        <v>259.57765683374669</v>
      </c>
      <c r="FF166" s="125">
        <f>FF55/293.07*(1/(VLOOKUP($BM166,'Fuel economy adjusted factor'!$A$2:$L$52,5,FALSE)*m2k))/'TCO Inputs'!$AZ$84</f>
        <v>259.57765683374669</v>
      </c>
      <c r="FG166" s="125">
        <f>FG55/293.07*(1/(VLOOKUP($BM166,'Fuel economy adjusted factor'!$A$2:$L$52,5,FALSE)*m2k))/'TCO Inputs'!$AZ$84</f>
        <v>259.57765683374669</v>
      </c>
      <c r="FH166" s="125">
        <f>FH55/293.07*(1/(VLOOKUP($BM166,'Fuel economy adjusted factor'!$A$2:$L$52,5,FALSE)*m2k))/'TCO Inputs'!$AZ$84</f>
        <v>259.57765683374669</v>
      </c>
      <c r="FI166" s="125">
        <f>FI55/293.07*(1/(VLOOKUP($BM166,'Fuel economy adjusted factor'!$A$2:$L$52,5,FALSE)*m2k))/'TCO Inputs'!$AZ$84</f>
        <v>259.57765683374669</v>
      </c>
      <c r="FJ166" s="125">
        <f>FJ55/293.07*(1/(VLOOKUP($BM166,'Fuel economy adjusted factor'!$A$2:$L$52,5,FALSE)*m2k))/'TCO Inputs'!$AZ$84</f>
        <v>162.89120350685914</v>
      </c>
      <c r="FK166" s="125">
        <f>FK55/293.07*(1/(VLOOKUP($BM166,'Fuel economy adjusted factor'!$A$2:$L$52,5,FALSE)*m2k))/'TCO Inputs'!$AZ$84</f>
        <v>162.89120350685914</v>
      </c>
      <c r="FL166" s="125">
        <f>FL55/293.07*(1/(VLOOKUP($BM166,'Fuel economy adjusted factor'!$A$2:$L$52,5,FALSE)*m2k))/'TCO Inputs'!$AZ$84</f>
        <v>162.89120350685914</v>
      </c>
      <c r="FM166" s="125">
        <f>FM55/293.07*(1/(VLOOKUP($BM166,'Fuel economy adjusted factor'!$A$2:$L$52,5,FALSE)*m2k))/'TCO Inputs'!$AZ$84</f>
        <v>162.89120350685914</v>
      </c>
      <c r="FN166" s="125">
        <f>FN55/293.07*(1/(VLOOKUP($BM166,'Fuel economy adjusted factor'!$A$2:$L$52,5,FALSE)*m2k))/'TCO Inputs'!$AZ$84</f>
        <v>162.89120350685914</v>
      </c>
      <c r="FO166" s="125">
        <f>FO55/293.07*(1/(VLOOKUP($BM166,'Fuel economy adjusted factor'!$A$2:$L$52,5,FALSE)*m2k))/'TCO Inputs'!$AZ$84</f>
        <v>144.63930276093637</v>
      </c>
      <c r="FP166" s="125">
        <f>FP55/293.07*(1/(VLOOKUP($BM166,'Fuel economy adjusted factor'!$A$2:$L$52,5,FALSE)*m2k))/'TCO Inputs'!$AZ$84</f>
        <v>144.63930276093637</v>
      </c>
      <c r="FQ166" s="125">
        <f>FQ55/293.07*(1/(VLOOKUP($BM166,'Fuel economy adjusted factor'!$A$2:$L$52,5,FALSE)*m2k))/'TCO Inputs'!$AZ$84</f>
        <v>144.63930276093637</v>
      </c>
      <c r="FR166" s="125">
        <f>FR55/293.07*(1/(VLOOKUP($BM166,'Fuel economy adjusted factor'!$A$2:$L$52,5,FALSE)*m2k))/'TCO Inputs'!$AZ$84</f>
        <v>144.63930276093637</v>
      </c>
      <c r="FS166" s="125">
        <f>FS55/293.07*(1/(VLOOKUP($BM166,'Fuel economy adjusted factor'!$A$2:$L$52,5,FALSE)*m2k))/'TCO Inputs'!$AZ$84</f>
        <v>144.63930276093637</v>
      </c>
      <c r="FT166" s="125">
        <f>FT55/293.07*(1/(VLOOKUP($BM166,'Fuel economy adjusted factor'!$A$2:$L$52,5,FALSE)*m2k))/'TCO Inputs'!$AZ$84</f>
        <v>140.95745033899436</v>
      </c>
      <c r="FU166" s="125">
        <f>FU55/293.07*(1/(VLOOKUP($BM166,'Fuel economy adjusted factor'!$A$2:$L$52,5,FALSE)*m2k))/'TCO Inputs'!$AZ$84</f>
        <v>140.95745033899436</v>
      </c>
      <c r="FV166" s="125">
        <f>FV55/293.07*(1/(VLOOKUP($BM166,'Fuel economy adjusted factor'!$A$2:$L$52,5,FALSE)*m2k))/'TCO Inputs'!$AZ$84</f>
        <v>140.95745033899436</v>
      </c>
      <c r="FW166" s="125">
        <f>FW55/293.07*(1/(VLOOKUP($BM166,'Fuel economy adjusted factor'!$A$2:$L$52,5,FALSE)*m2k))/'TCO Inputs'!$AZ$84</f>
        <v>140.95745033899436</v>
      </c>
      <c r="FX166" s="125">
        <f>FX55/293.07*(1/(VLOOKUP($BM166,'Fuel economy adjusted factor'!$A$2:$L$52,5,FALSE)*m2k))/'TCO Inputs'!$AZ$84</f>
        <v>140.95745033899436</v>
      </c>
      <c r="FY166" s="125">
        <f>FY55/293.07*(1/(VLOOKUP($BM166,'Fuel economy adjusted factor'!$A$2:$L$52,5,FALSE)*m2k))/'TCO Inputs'!$AZ$84</f>
        <v>136.19222545097958</v>
      </c>
      <c r="FZ166" s="125">
        <f>FZ55/293.07*(1/(VLOOKUP($BM166,'Fuel economy adjusted factor'!$A$2:$L$52,5,FALSE)*m2k))/'TCO Inputs'!$AZ$84</f>
        <v>136.19222545097958</v>
      </c>
      <c r="GA166" s="125">
        <f>GA55/293.07*(1/(VLOOKUP($BM166,'Fuel economy adjusted factor'!$A$2:$L$52,5,FALSE)*m2k))/'TCO Inputs'!$AZ$84</f>
        <v>136.19222545097958</v>
      </c>
      <c r="GB166" s="125">
        <f>GB55/293.07*(1/(VLOOKUP($BM166,'Fuel economy adjusted factor'!$A$2:$L$52,5,FALSE)*m2k))/'TCO Inputs'!$AZ$84</f>
        <v>136.19222545097958</v>
      </c>
      <c r="GC166" s="125">
        <f>GC55/293.07*(1/(VLOOKUP($BM166,'Fuel economy adjusted factor'!$A$2:$L$52,5,FALSE)*m2k))/'TCO Inputs'!$AZ$84</f>
        <v>136.19222545097958</v>
      </c>
      <c r="GD166" s="125">
        <f>GD55/293.07*(1/(VLOOKUP($BM166,'Fuel economy adjusted factor'!$A$2:$L$52,5,FALSE)*m2k))/'TCO Inputs'!$AZ$84</f>
        <v>128.47748371864745</v>
      </c>
      <c r="GE166" s="98" cm="1">
        <f t="array" ref="GE166">SUMPRODUCT(INDEX(FC166:GD166,,'TCO Inputs'!$AZ$12-2023+_xlfn.SEQUENCE('TCO Inputs'!$AZ$13))*INDEX('VKT US'!C112:AA112,,_xlfn.SEQUENCE('TCO Inputs'!$AZ$13)))*m2k*CONVERT(0.9072,"g","ton")</f>
        <v>112.07832140901927</v>
      </c>
      <c r="GH166" s="123" t="s">
        <v>160</v>
      </c>
      <c r="GI166" s="125">
        <f>GI55/293.07*(1/(VLOOKUP($BM166,'Fuel economy adjusted factor'!$A$2:$L$52,5,FALSE)*m2k))/'TCO Inputs'!$AZ$84</f>
        <v>258.25218996184759</v>
      </c>
      <c r="GJ166" s="125">
        <f>GJ55/293.07*(1/(VLOOKUP($BM166,'Fuel economy adjusted factor'!$A$2:$L$52,5,FALSE)*m2k))/'TCO Inputs'!$AZ$84</f>
        <v>258.25218996184759</v>
      </c>
      <c r="GK166" s="125">
        <f>GK55/293.07*(1/(VLOOKUP($BM166,'Fuel economy adjusted factor'!$A$2:$L$52,5,FALSE)*m2k))/'TCO Inputs'!$AZ$84</f>
        <v>227.05227341098026</v>
      </c>
      <c r="GL166" s="125">
        <f>GL55/293.07*(1/(VLOOKUP($BM166,'Fuel economy adjusted factor'!$A$2:$L$52,5,FALSE)*m2k))/'TCO Inputs'!$AZ$84</f>
        <v>227.05227341098026</v>
      </c>
      <c r="GM166" s="125">
        <f>GM55/293.07*(1/(VLOOKUP($BM166,'Fuel economy adjusted factor'!$A$2:$L$52,5,FALSE)*m2k))/'TCO Inputs'!$AZ$84</f>
        <v>227.05227341098026</v>
      </c>
      <c r="GN166" s="125">
        <f>GN55/293.07*(1/(VLOOKUP($BM166,'Fuel economy adjusted factor'!$A$2:$L$52,5,FALSE)*m2k))/'TCO Inputs'!$AZ$84</f>
        <v>227.05227341098026</v>
      </c>
      <c r="GO166" s="125">
        <f>GO55/293.07*(1/(VLOOKUP($BM166,'Fuel economy adjusted factor'!$A$2:$L$52,5,FALSE)*m2k))/'TCO Inputs'!$AZ$84</f>
        <v>227.05227341098026</v>
      </c>
      <c r="GP166" s="125">
        <f>GP55/293.07*(1/(VLOOKUP($BM166,'Fuel economy adjusted factor'!$A$2:$L$52,5,FALSE)*m2k))/'TCO Inputs'!$AZ$84</f>
        <v>137.96354952027548</v>
      </c>
      <c r="GQ166" s="125">
        <f>GQ55/293.07*(1/(VLOOKUP($BM166,'Fuel economy adjusted factor'!$A$2:$L$52,5,FALSE)*m2k))/'TCO Inputs'!$AZ$84</f>
        <v>137.96354952027548</v>
      </c>
      <c r="GR166" s="125">
        <f>GR55/293.07*(1/(VLOOKUP($BM166,'Fuel economy adjusted factor'!$A$2:$L$52,5,FALSE)*m2k))/'TCO Inputs'!$AZ$84</f>
        <v>137.96354952027548</v>
      </c>
      <c r="GS166" s="125">
        <f>GS55/293.07*(1/(VLOOKUP($BM166,'Fuel economy adjusted factor'!$A$2:$L$52,5,FALSE)*m2k))/'TCO Inputs'!$AZ$84</f>
        <v>137.96354952027548</v>
      </c>
      <c r="GT166" s="125">
        <f>GT55/293.07*(1/(VLOOKUP($BM166,'Fuel economy adjusted factor'!$A$2:$L$52,5,FALSE)*m2k))/'TCO Inputs'!$AZ$84</f>
        <v>137.96354952027548</v>
      </c>
      <c r="GU166" s="125">
        <f>GU55/293.07*(1/(VLOOKUP($BM166,'Fuel economy adjusted factor'!$A$2:$L$52,5,FALSE)*m2k))/'TCO Inputs'!$AZ$84</f>
        <v>123.79093951252622</v>
      </c>
      <c r="GV166" s="125">
        <f>GV55/293.07*(1/(VLOOKUP($BM166,'Fuel economy adjusted factor'!$A$2:$L$52,5,FALSE)*m2k))/'TCO Inputs'!$AZ$84</f>
        <v>123.79093951252622</v>
      </c>
      <c r="GW166" s="125">
        <f>GW55/293.07*(1/(VLOOKUP($BM166,'Fuel economy adjusted factor'!$A$2:$L$52,5,FALSE)*m2k))/'TCO Inputs'!$AZ$84</f>
        <v>123.79093951252622</v>
      </c>
      <c r="GX166" s="125">
        <f>GX55/293.07*(1/(VLOOKUP($BM166,'Fuel economy adjusted factor'!$A$2:$L$52,5,FALSE)*m2k))/'TCO Inputs'!$AZ$84</f>
        <v>123.79093951252622</v>
      </c>
      <c r="GY166" s="125">
        <f>GY55/293.07*(1/(VLOOKUP($BM166,'Fuel economy adjusted factor'!$A$2:$L$52,5,FALSE)*m2k))/'TCO Inputs'!$AZ$84</f>
        <v>123.79093951252622</v>
      </c>
      <c r="GZ166" s="125">
        <f>GZ55/293.07*(1/(VLOOKUP($BM166,'Fuel economy adjusted factor'!$A$2:$L$52,5,FALSE)*m2k))/'TCO Inputs'!$AZ$84</f>
        <v>119.30210573782979</v>
      </c>
      <c r="HA166" s="125">
        <f>HA55/293.07*(1/(VLOOKUP($BM166,'Fuel economy adjusted factor'!$A$2:$L$52,5,FALSE)*m2k))/'TCO Inputs'!$AZ$84</f>
        <v>119.30210573782979</v>
      </c>
      <c r="HB166" s="125">
        <f>HB55/293.07*(1/(VLOOKUP($BM166,'Fuel economy adjusted factor'!$A$2:$L$52,5,FALSE)*m2k))/'TCO Inputs'!$AZ$84</f>
        <v>119.30210573782979</v>
      </c>
      <c r="HC166" s="125">
        <f>HC55/293.07*(1/(VLOOKUP($BM166,'Fuel economy adjusted factor'!$A$2:$L$52,5,FALSE)*m2k))/'TCO Inputs'!$AZ$84</f>
        <v>119.30210573782979</v>
      </c>
      <c r="HD166" s="125">
        <f>HD55/293.07*(1/(VLOOKUP($BM166,'Fuel economy adjusted factor'!$A$2:$L$52,5,FALSE)*m2k))/'TCO Inputs'!$AZ$84</f>
        <v>119.30210573782979</v>
      </c>
      <c r="HE166" s="125">
        <f>HE55/293.07*(1/(VLOOKUP($BM166,'Fuel economy adjusted factor'!$A$2:$L$52,5,FALSE)*m2k))/'TCO Inputs'!$AZ$84</f>
        <v>114.5530204768701</v>
      </c>
      <c r="HF166" s="125">
        <f>HF55/293.07*(1/(VLOOKUP($BM166,'Fuel economy adjusted factor'!$A$2:$L$52,5,FALSE)*m2k))/'TCO Inputs'!$AZ$84</f>
        <v>114.5530204768701</v>
      </c>
      <c r="HG166" s="125">
        <f>HG55/293.07*(1/(VLOOKUP($BM166,'Fuel economy adjusted factor'!$A$2:$L$52,5,FALSE)*m2k))/'TCO Inputs'!$AZ$84</f>
        <v>114.5530204768701</v>
      </c>
      <c r="HH166" s="125">
        <f>HH55/293.07*(1/(VLOOKUP($BM166,'Fuel economy adjusted factor'!$A$2:$L$52,5,FALSE)*m2k))/'TCO Inputs'!$AZ$84</f>
        <v>114.5530204768701</v>
      </c>
      <c r="HI166" s="125">
        <f>HI55/293.07*(1/(VLOOKUP($BM166,'Fuel economy adjusted factor'!$A$2:$L$52,5,FALSE)*m2k))/'TCO Inputs'!$AZ$84</f>
        <v>114.5530204768701</v>
      </c>
      <c r="HJ166" s="125">
        <f>HJ55/293.07*(1/(VLOOKUP($BM166,'Fuel economy adjusted factor'!$A$2:$L$52,5,FALSE)*m2k))/'TCO Inputs'!$AZ$84</f>
        <v>107.27404867502536</v>
      </c>
      <c r="HK166" s="98" cm="1">
        <f t="array" ref="HK166">SUMPRODUCT(INDEX(GI166:HJ166,,'TCO Inputs'!$AZ$12-2023+_xlfn.SEQUENCE('TCO Inputs'!$AZ$13))*INDEX('VKT US'!C112:AA112,,_xlfn.SEQUENCE('TCO Inputs'!$AZ$13)))*m2k*CONVERT(0.9072,"g","ton")</f>
        <v>96.960516920581682</v>
      </c>
    </row>
    <row r="167" spans="22:219" x14ac:dyDescent="0.25">
      <c r="Z167" s="124" t="s">
        <v>134</v>
      </c>
      <c r="AA167" s="125">
        <f>AA56/293.07*(1/(VLOOKUP($Z167,'Fuel economy adjusted factor'!$A$2:$L$52,5,FALSE)*m2k))/'TCO Inputs'!$AZ$84</f>
        <v>105.865870006077</v>
      </c>
      <c r="AB167" s="125">
        <f>AB56/293.07*(1/(VLOOKUP($Z167,'Fuel economy adjusted factor'!$A$2:$L$52,5,FALSE)*m2k))/'TCO Inputs'!$AZ$84</f>
        <v>105.865870006077</v>
      </c>
      <c r="AC167" s="125">
        <f>AC56/293.07*(1/(VLOOKUP($Z167,'Fuel economy adjusted factor'!$A$2:$L$52,5,FALSE)*m2k))/'TCO Inputs'!$AZ$84</f>
        <v>93.108380396063026</v>
      </c>
      <c r="AD167" s="125">
        <f>AD56/293.07*(1/(VLOOKUP($Z167,'Fuel economy adjusted factor'!$A$2:$L$52,5,FALSE)*m2k))/'TCO Inputs'!$AZ$84</f>
        <v>93.108380396063026</v>
      </c>
      <c r="AE167" s="125">
        <f>AE56/293.07*(1/(VLOOKUP($Z167,'Fuel economy adjusted factor'!$A$2:$L$52,5,FALSE)*m2k))/'TCO Inputs'!$AZ$84</f>
        <v>93.108380396063026</v>
      </c>
      <c r="AF167" s="125">
        <f>AF56/293.07*(1/(VLOOKUP($Z167,'Fuel economy adjusted factor'!$A$2:$L$52,5,FALSE)*m2k))/'TCO Inputs'!$AZ$84</f>
        <v>93.108380396063026</v>
      </c>
      <c r="AG167" s="125">
        <f>AG56/293.07*(1/(VLOOKUP($Z167,'Fuel economy adjusted factor'!$A$2:$L$52,5,FALSE)*m2k))/'TCO Inputs'!$AZ$84</f>
        <v>93.108380396063026</v>
      </c>
      <c r="AH167" s="125">
        <f>AH56/293.07*(1/(VLOOKUP($Z167,'Fuel economy adjusted factor'!$A$2:$L$52,5,FALSE)*m2k))/'TCO Inputs'!$AZ$84</f>
        <v>55.943023761505394</v>
      </c>
      <c r="AI167" s="125">
        <f>AI56/293.07*(1/(VLOOKUP($Z167,'Fuel economy adjusted factor'!$A$2:$L$52,5,FALSE)*m2k))/'TCO Inputs'!$AZ$84</f>
        <v>55.943023761505394</v>
      </c>
      <c r="AJ167" s="125">
        <f>AJ56/293.07*(1/(VLOOKUP($Z167,'Fuel economy adjusted factor'!$A$2:$L$52,5,FALSE)*m2k))/'TCO Inputs'!$AZ$84</f>
        <v>55.943023761505394</v>
      </c>
      <c r="AK167" s="125">
        <f>AK56/293.07*(1/(VLOOKUP($Z167,'Fuel economy adjusted factor'!$A$2:$L$52,5,FALSE)*m2k))/'TCO Inputs'!$AZ$84</f>
        <v>55.943023761505394</v>
      </c>
      <c r="AL167" s="125">
        <f>AL56/293.07*(1/(VLOOKUP($Z167,'Fuel economy adjusted factor'!$A$2:$L$52,5,FALSE)*m2k))/'TCO Inputs'!$AZ$84</f>
        <v>55.943023761505394</v>
      </c>
      <c r="AM167" s="125">
        <f>AM56/293.07*(1/(VLOOKUP($Z167,'Fuel economy adjusted factor'!$A$2:$L$52,5,FALSE)*m2k))/'TCO Inputs'!$AZ$84</f>
        <v>58.543146508011411</v>
      </c>
      <c r="AN167" s="125">
        <f>AN56/293.07*(1/(VLOOKUP($Z167,'Fuel economy adjusted factor'!$A$2:$L$52,5,FALSE)*m2k))/'TCO Inputs'!$AZ$84</f>
        <v>58.543146508011411</v>
      </c>
      <c r="AO167" s="125">
        <f>AO56/293.07*(1/(VLOOKUP($Z167,'Fuel economy adjusted factor'!$A$2:$L$52,5,FALSE)*m2k))/'TCO Inputs'!$AZ$84</f>
        <v>58.543146508011411</v>
      </c>
      <c r="AP167" s="125">
        <f>AP56/293.07*(1/(VLOOKUP($Z167,'Fuel economy adjusted factor'!$A$2:$L$52,5,FALSE)*m2k))/'TCO Inputs'!$AZ$84</f>
        <v>58.543146508011411</v>
      </c>
      <c r="AQ167" s="125">
        <f>AQ56/293.07*(1/(VLOOKUP($Z167,'Fuel economy adjusted factor'!$A$2:$L$52,5,FALSE)*m2k))/'TCO Inputs'!$AZ$84</f>
        <v>58.543146508011411</v>
      </c>
      <c r="AR167" s="125">
        <f>AR56/293.07*(1/(VLOOKUP($Z167,'Fuel economy adjusted factor'!$A$2:$L$52,5,FALSE)*m2k))/'TCO Inputs'!$AZ$84</f>
        <v>61.197931389445536</v>
      </c>
      <c r="AS167" s="125">
        <f>AS56/293.07*(1/(VLOOKUP($Z167,'Fuel economy adjusted factor'!$A$2:$L$52,5,FALSE)*m2k))/'TCO Inputs'!$AZ$84</f>
        <v>61.197931389445536</v>
      </c>
      <c r="AT167" s="125">
        <f>AT56/293.07*(1/(VLOOKUP($Z167,'Fuel economy adjusted factor'!$A$2:$L$52,5,FALSE)*m2k))/'TCO Inputs'!$AZ$84</f>
        <v>61.197931389445536</v>
      </c>
      <c r="AU167" s="125">
        <f>AU56/293.07*(1/(VLOOKUP($Z167,'Fuel economy adjusted factor'!$A$2:$L$52,5,FALSE)*m2k))/'TCO Inputs'!$AZ$84</f>
        <v>61.197931389445536</v>
      </c>
      <c r="AV167" s="125">
        <f>AV56/293.07*(1/(VLOOKUP($Z167,'Fuel economy adjusted factor'!$A$2:$L$52,5,FALSE)*m2k))/'TCO Inputs'!$AZ$84</f>
        <v>61.197931389445536</v>
      </c>
      <c r="AW167" s="125">
        <f>AW56/293.07*(1/(VLOOKUP($Z167,'Fuel economy adjusted factor'!$A$2:$L$52,5,FALSE)*m2k))/'TCO Inputs'!$AZ$84</f>
        <v>62.540825032604914</v>
      </c>
      <c r="AX167" s="125">
        <f>AX56/293.07*(1/(VLOOKUP($Z167,'Fuel economy adjusted factor'!$A$2:$L$52,5,FALSE)*m2k))/'TCO Inputs'!$AZ$84</f>
        <v>62.540825032604914</v>
      </c>
      <c r="AY167" s="125">
        <f>AY56/293.07*(1/(VLOOKUP($Z167,'Fuel economy adjusted factor'!$A$2:$L$52,5,FALSE)*m2k))/'TCO Inputs'!$AZ$84</f>
        <v>62.540825032604914</v>
      </c>
      <c r="AZ167" s="125">
        <f>AZ56/293.07*(1/(VLOOKUP($Z167,'Fuel economy adjusted factor'!$A$2:$L$52,5,FALSE)*m2k))/'TCO Inputs'!$AZ$84</f>
        <v>62.540825032604914</v>
      </c>
      <c r="BA167" s="125">
        <f>BA56/293.07*(1/(VLOOKUP($Z167,'Fuel economy adjusted factor'!$A$2:$L$52,5,FALSE)*m2k))/'TCO Inputs'!$AZ$84</f>
        <v>62.540825032604914</v>
      </c>
      <c r="BB167" s="125">
        <f>BB56/293.07*(1/(VLOOKUP($Z167,'Fuel economy adjusted factor'!$A$2:$L$52,5,FALSE)*m2k))/'TCO Inputs'!$AZ$84</f>
        <v>62.625673719657499</v>
      </c>
      <c r="BC167" s="98" cm="1">
        <f t="array" ref="BC167">SUMPRODUCT(INDEX(AA167:BB167,,'TCO Inputs'!$AZ$12-2023+_xlfn.SEQUENCE('TCO Inputs'!$AZ$13))*INDEX('VKT US'!C113:AA113,,_xlfn.SEQUENCE('TCO Inputs'!$AZ$13)))*m2k*CONVERT(0.9072,"g","ton")</f>
        <v>23.774469673055165</v>
      </c>
      <c r="BM167" s="124" t="s">
        <v>134</v>
      </c>
      <c r="BN167" s="125">
        <f>BN56/293.07*(1/(VLOOKUP($BM167,'Fuel economy adjusted factor'!$A$2:$L$52,5,FALSE)*m2k))</f>
        <v>89.985989505165449</v>
      </c>
      <c r="BO167" s="125">
        <f>BO56/293.07*(1/(VLOOKUP($BM167,'Fuel economy adjusted factor'!$A$2:$L$52,5,FALSE)*m2k))</f>
        <v>89.985989505165449</v>
      </c>
      <c r="BP167" s="125">
        <f>BP56/293.07*(1/(VLOOKUP($BM167,'Fuel economy adjusted factor'!$A$2:$L$52,5,FALSE)*m2k))</f>
        <v>79.038795584584221</v>
      </c>
      <c r="BQ167" s="125">
        <f>BQ56/293.07*(1/(VLOOKUP($BM167,'Fuel economy adjusted factor'!$A$2:$L$52,5,FALSE)*m2k))</f>
        <v>79.038795584584221</v>
      </c>
      <c r="BR167" s="125">
        <f>BR56/293.07*(1/(VLOOKUP($BM167,'Fuel economy adjusted factor'!$A$2:$L$52,5,FALSE)*m2k))</f>
        <v>79.038795584584221</v>
      </c>
      <c r="BS167" s="125">
        <f>BS56/293.07*(1/(VLOOKUP($BM167,'Fuel economy adjusted factor'!$A$2:$L$52,5,FALSE)*m2k))</f>
        <v>79.038795584584221</v>
      </c>
      <c r="BT167" s="125">
        <f>BT56/293.07*(1/(VLOOKUP($BM167,'Fuel economy adjusted factor'!$A$2:$L$52,5,FALSE)*m2k))</f>
        <v>79.038795584584221</v>
      </c>
      <c r="BU167" s="125">
        <f>BU56/293.07*(1/(VLOOKUP($BM167,'Fuel economy adjusted factor'!$A$2:$L$52,5,FALSE)*m2k))</f>
        <v>89.595563166809498</v>
      </c>
      <c r="BV167" s="125">
        <f>BV56/293.07*(1/(VLOOKUP($BM167,'Fuel economy adjusted factor'!$A$2:$L$52,5,FALSE)*m2k))</f>
        <v>89.595563166809498</v>
      </c>
      <c r="BW167" s="125">
        <f>BW56/293.07*(1/(VLOOKUP($BM167,'Fuel economy adjusted factor'!$A$2:$L$52,5,FALSE)*m2k))</f>
        <v>89.595563166809498</v>
      </c>
      <c r="BX167" s="125">
        <f>BX56/293.07*(1/(VLOOKUP($BM167,'Fuel economy adjusted factor'!$A$2:$L$52,5,FALSE)*m2k))</f>
        <v>89.595563166809498</v>
      </c>
      <c r="BY167" s="125">
        <f>BY56/293.07*(1/(VLOOKUP($BM167,'Fuel economy adjusted factor'!$A$2:$L$52,5,FALSE)*m2k))</f>
        <v>89.595563166809498</v>
      </c>
      <c r="BZ167" s="125">
        <f>BZ56/293.07*(1/(VLOOKUP($BM167,'Fuel economy adjusted factor'!$A$2:$L$52,5,FALSE)*m2k))</f>
        <v>91.750189513651364</v>
      </c>
      <c r="CA167" s="125">
        <f>CA56/293.07*(1/(VLOOKUP($BM167,'Fuel economy adjusted factor'!$A$2:$L$52,5,FALSE)*m2k))</f>
        <v>91.750189513651364</v>
      </c>
      <c r="CB167" s="125">
        <f>CB56/293.07*(1/(VLOOKUP($BM167,'Fuel economy adjusted factor'!$A$2:$L$52,5,FALSE)*m2k))</f>
        <v>91.750189513651364</v>
      </c>
      <c r="CC167" s="125">
        <f>CC56/293.07*(1/(VLOOKUP($BM167,'Fuel economy adjusted factor'!$A$2:$L$52,5,FALSE)*m2k))</f>
        <v>91.750189513651364</v>
      </c>
      <c r="CD167" s="125">
        <f>CD56/293.07*(1/(VLOOKUP($BM167,'Fuel economy adjusted factor'!$A$2:$L$52,5,FALSE)*m2k))</f>
        <v>91.750189513651364</v>
      </c>
      <c r="CE167" s="125">
        <f>CE56/293.07*(1/(VLOOKUP($BM167,'Fuel economy adjusted factor'!$A$2:$L$52,5,FALSE)*m2k))</f>
        <v>94.017852260408034</v>
      </c>
      <c r="CF167" s="125">
        <f>CF56/293.07*(1/(VLOOKUP($BM167,'Fuel economy adjusted factor'!$A$2:$L$52,5,FALSE)*m2k))</f>
        <v>94.017852260408034</v>
      </c>
      <c r="CG167" s="125">
        <f>CG56/293.07*(1/(VLOOKUP($BM167,'Fuel economy adjusted factor'!$A$2:$L$52,5,FALSE)*m2k))</f>
        <v>94.017852260408034</v>
      </c>
      <c r="CH167" s="125">
        <f>CH56/293.07*(1/(VLOOKUP($BM167,'Fuel economy adjusted factor'!$A$2:$L$52,5,FALSE)*m2k))</f>
        <v>94.017852260408034</v>
      </c>
      <c r="CI167" s="125">
        <f>CI56/293.07*(1/(VLOOKUP($BM167,'Fuel economy adjusted factor'!$A$2:$L$52,5,FALSE)*m2k))</f>
        <v>94.017852260408034</v>
      </c>
      <c r="CJ167" s="125">
        <f>CJ56/293.07*(1/(VLOOKUP($BM167,'Fuel economy adjusted factor'!$A$2:$L$52,5,FALSE)*m2k))</f>
        <v>94.555988740983935</v>
      </c>
      <c r="CK167" s="125">
        <f>CK56/293.07*(1/(VLOOKUP($BM167,'Fuel economy adjusted factor'!$A$2:$L$52,5,FALSE)*m2k))</f>
        <v>94.555988740983935</v>
      </c>
      <c r="CL167" s="125">
        <f>CL56/293.07*(1/(VLOOKUP($BM167,'Fuel economy adjusted factor'!$A$2:$L$52,5,FALSE)*m2k))</f>
        <v>94.555988740983935</v>
      </c>
      <c r="CM167" s="125">
        <f>CM56/293.07*(1/(VLOOKUP($BM167,'Fuel economy adjusted factor'!$A$2:$L$52,5,FALSE)*m2k))</f>
        <v>94.555988740983935</v>
      </c>
      <c r="CN167" s="125">
        <f>CN56/293.07*(1/(VLOOKUP($BM167,'Fuel economy adjusted factor'!$A$2:$L$52,5,FALSE)*m2k))</f>
        <v>94.555988740983935</v>
      </c>
      <c r="CO167" s="125">
        <f>CO56/293.07*(1/(VLOOKUP($BM167,'Fuel economy adjusted factor'!$A$2:$L$52,5,FALSE)*m2k))</f>
        <v>95.198839923321373</v>
      </c>
      <c r="CP167" s="98" cm="1">
        <f t="array" ref="CP167">SUMPRODUCT(INDEX(BN167:CO167,,'TCO Inputs'!$AZ$12-2023+_xlfn.SEQUENCE('TCO Inputs'!$AZ$13))*INDEX('VKT US'!C113:AA113,,_xlfn.SEQUENCE('TCO Inputs'!$AZ$13)))*m2k*CONVERT(0.9072,"g","ton")</f>
        <v>25.895475246055472</v>
      </c>
      <c r="CQ167" s="194"/>
      <c r="CR167" s="124" t="s">
        <v>134</v>
      </c>
      <c r="CS167" s="125">
        <f>CS56/293.07*(1/(VLOOKUP($BM167,'Fuel economy adjusted factor'!$A$2:$L$52,5,FALSE)*m2k))/'TCO Inputs'!$AZ$84</f>
        <v>128.17536373158913</v>
      </c>
      <c r="CT167" s="125">
        <f>CT56/293.07*(1/(VLOOKUP($BM167,'Fuel economy adjusted factor'!$A$2:$L$52,5,FALSE)*m2k))/'TCO Inputs'!$AZ$84</f>
        <v>128.17536373158913</v>
      </c>
      <c r="CU167" s="125">
        <f>CU56/293.07*(1/(VLOOKUP($BM167,'Fuel economy adjusted factor'!$A$2:$L$52,5,FALSE)*m2k))/'TCO Inputs'!$AZ$84</f>
        <v>128.17536373158913</v>
      </c>
      <c r="CV167" s="125">
        <f>CV56/293.07*(1/(VLOOKUP($BM167,'Fuel economy adjusted factor'!$A$2:$L$52,5,FALSE)*m2k))/'TCO Inputs'!$AZ$84</f>
        <v>128.17536373158913</v>
      </c>
      <c r="CW167" s="125">
        <f>CW56/293.07*(1/(VLOOKUP($BM167,'Fuel economy adjusted factor'!$A$2:$L$52,5,FALSE)*m2k))/'TCO Inputs'!$AZ$84</f>
        <v>128.17536373158913</v>
      </c>
      <c r="CX167" s="125">
        <f>CX56/293.07*(1/(VLOOKUP($BM167,'Fuel economy adjusted factor'!$A$2:$L$52,5,FALSE)*m2k))/'TCO Inputs'!$AZ$84</f>
        <v>128.17536373158913</v>
      </c>
      <c r="CY167" s="125">
        <f>CY56/293.07*(1/(VLOOKUP($BM167,'Fuel economy adjusted factor'!$A$2:$L$52,5,FALSE)*m2k))/'TCO Inputs'!$AZ$84</f>
        <v>128.17536373158913</v>
      </c>
      <c r="CZ167" s="125">
        <f>CZ56/293.07*(1/(VLOOKUP($BM167,'Fuel economy adjusted factor'!$A$2:$L$52,5,FALSE)*m2k))/'TCO Inputs'!$AZ$84</f>
        <v>128.20391857819334</v>
      </c>
      <c r="DA167" s="125">
        <f>DA56/293.07*(1/(VLOOKUP($BM167,'Fuel economy adjusted factor'!$A$2:$L$52,5,FALSE)*m2k))/'TCO Inputs'!$AZ$84</f>
        <v>128.20391857819334</v>
      </c>
      <c r="DB167" s="125">
        <f>DB56/293.07*(1/(VLOOKUP($BM167,'Fuel economy adjusted factor'!$A$2:$L$52,5,FALSE)*m2k))/'TCO Inputs'!$AZ$84</f>
        <v>128.20391857819334</v>
      </c>
      <c r="DC167" s="125">
        <f>DC56/293.07*(1/(VLOOKUP($BM167,'Fuel economy adjusted factor'!$A$2:$L$52,5,FALSE)*m2k))/'TCO Inputs'!$AZ$84</f>
        <v>128.20391857819334</v>
      </c>
      <c r="DD167" s="125">
        <f>DD56/293.07*(1/(VLOOKUP($BM167,'Fuel economy adjusted factor'!$A$2:$L$52,5,FALSE)*m2k))/'TCO Inputs'!$AZ$84</f>
        <v>128.20391857819334</v>
      </c>
      <c r="DE167" s="125">
        <f>DE56/293.07*(1/(VLOOKUP($BM167,'Fuel economy adjusted factor'!$A$2:$L$52,5,FALSE)*m2k))/'TCO Inputs'!$AZ$84</f>
        <v>128.18760152299095</v>
      </c>
      <c r="DF167" s="125">
        <f>DF56/293.07*(1/(VLOOKUP($BM167,'Fuel economy adjusted factor'!$A$2:$L$52,5,FALSE)*m2k))/'TCO Inputs'!$AZ$84</f>
        <v>128.18760152299095</v>
      </c>
      <c r="DG167" s="125">
        <f>DG56/293.07*(1/(VLOOKUP($BM167,'Fuel economy adjusted factor'!$A$2:$L$52,5,FALSE)*m2k))/'TCO Inputs'!$AZ$84</f>
        <v>128.18760152299095</v>
      </c>
      <c r="DH167" s="125">
        <f>DH56/293.07*(1/(VLOOKUP($BM167,'Fuel economy adjusted factor'!$A$2:$L$52,5,FALSE)*m2k))/'TCO Inputs'!$AZ$84</f>
        <v>128.18760152299095</v>
      </c>
      <c r="DI167" s="125">
        <f>DI56/293.07*(1/(VLOOKUP($BM167,'Fuel economy adjusted factor'!$A$2:$L$52,5,FALSE)*m2k))/'TCO Inputs'!$AZ$84</f>
        <v>128.18760152299095</v>
      </c>
      <c r="DJ167" s="125">
        <f>DJ56/293.07*(1/(VLOOKUP($BM167,'Fuel economy adjusted factor'!$A$2:$L$52,5,FALSE)*m2k))/'TCO Inputs'!$AZ$84</f>
        <v>128.18352225919034</v>
      </c>
      <c r="DK167" s="125">
        <f>DK56/293.07*(1/(VLOOKUP($BM167,'Fuel economy adjusted factor'!$A$2:$L$52,5,FALSE)*m2k))/'TCO Inputs'!$AZ$84</f>
        <v>128.18352225919034</v>
      </c>
      <c r="DL167" s="125">
        <f>DL56/293.07*(1/(VLOOKUP($BM167,'Fuel economy adjusted factor'!$A$2:$L$52,5,FALSE)*m2k))/'TCO Inputs'!$AZ$84</f>
        <v>128.18352225919034</v>
      </c>
      <c r="DM167" s="125">
        <f>DM56/293.07*(1/(VLOOKUP($BM167,'Fuel economy adjusted factor'!$A$2:$L$52,5,FALSE)*m2k))/'TCO Inputs'!$AZ$84</f>
        <v>128.18352225919034</v>
      </c>
      <c r="DN167" s="125">
        <f>DN56/293.07*(1/(VLOOKUP($BM167,'Fuel economy adjusted factor'!$A$2:$L$52,5,FALSE)*m2k))/'TCO Inputs'!$AZ$84</f>
        <v>128.18352225919034</v>
      </c>
      <c r="DO167" s="125">
        <f>DO56/293.07*(1/(VLOOKUP($BM167,'Fuel economy adjusted factor'!$A$2:$L$52,5,FALSE)*m2k))/'TCO Inputs'!$AZ$84</f>
        <v>128.10438454145859</v>
      </c>
      <c r="DP167" s="125">
        <f>DP56/293.07*(1/(VLOOKUP($BM167,'Fuel economy adjusted factor'!$A$2:$L$52,5,FALSE)*m2k))/'TCO Inputs'!$AZ$84</f>
        <v>128.10438454145859</v>
      </c>
      <c r="DQ167" s="125">
        <f>DQ56/293.07*(1/(VLOOKUP($BM167,'Fuel economy adjusted factor'!$A$2:$L$52,5,FALSE)*m2k))/'TCO Inputs'!$AZ$84</f>
        <v>128.10438454145859</v>
      </c>
      <c r="DR167" s="125">
        <f>DR56/293.07*(1/(VLOOKUP($BM167,'Fuel economy adjusted factor'!$A$2:$L$52,5,FALSE)*m2k))/'TCO Inputs'!$AZ$84</f>
        <v>128.10438454145859</v>
      </c>
      <c r="DS167" s="125">
        <f>DS56/293.07*(1/(VLOOKUP($BM167,'Fuel economy adjusted factor'!$A$2:$L$52,5,FALSE)*m2k))/'TCO Inputs'!$AZ$84</f>
        <v>128.10438454145859</v>
      </c>
      <c r="DT167" s="125">
        <f>DT56/293.07*(1/(VLOOKUP($BM167,'Fuel economy adjusted factor'!$A$2:$L$52,5,FALSE)*m2k))/'TCO Inputs'!$AZ$84</f>
        <v>128.17046861502837</v>
      </c>
      <c r="DU167" s="98" cm="1">
        <f t="array" ref="DU167">SUMPRODUCT(INDEX(CS167:DT167,,'TCO Inputs'!$AZ$12-2023+_xlfn.SEQUENCE('TCO Inputs'!$AZ$13))*INDEX('VKT US'!C113:AA113,,_xlfn.SEQUENCE('TCO Inputs'!$AZ$13)))*m2k*CONVERT(0.9072,"g","ton")</f>
        <v>38.64441465334523</v>
      </c>
      <c r="DW167" s="124" t="s">
        <v>134</v>
      </c>
      <c r="DX167" s="125">
        <f>DX56/293.07*(1/(VLOOKUP($BM167,'Fuel economy adjusted factor'!$A$2:$L$52,5,FALSE)*m2k))/'TCO Inputs'!$AZ$84</f>
        <v>110.82135967105272</v>
      </c>
      <c r="DY167" s="125">
        <f>DY56/293.07*(1/(VLOOKUP($BM167,'Fuel economy adjusted factor'!$A$2:$L$52,5,FALSE)*m2k))/'TCO Inputs'!$AZ$84</f>
        <v>110.82135967105272</v>
      </c>
      <c r="DZ167" s="125">
        <f>DZ56/293.07*(1/(VLOOKUP($BM167,'Fuel economy adjusted factor'!$A$2:$L$52,5,FALSE)*m2k))/'TCO Inputs'!$AZ$84</f>
        <v>97.146035705902463</v>
      </c>
      <c r="EA167" s="125">
        <f>EA56/293.07*(1/(VLOOKUP($BM167,'Fuel economy adjusted factor'!$A$2:$L$52,5,FALSE)*m2k))/'TCO Inputs'!$AZ$84</f>
        <v>97.146035705902463</v>
      </c>
      <c r="EB167" s="125">
        <f>EB56/293.07*(1/(VLOOKUP($BM167,'Fuel economy adjusted factor'!$A$2:$L$52,5,FALSE)*m2k))/'TCO Inputs'!$AZ$84</f>
        <v>97.146035705902463</v>
      </c>
      <c r="EC167" s="125">
        <f>EC56/293.07*(1/(VLOOKUP($BM167,'Fuel economy adjusted factor'!$A$2:$L$52,5,FALSE)*m2k))/'TCO Inputs'!$AZ$84</f>
        <v>97.146035705902463</v>
      </c>
      <c r="ED167" s="125">
        <f>ED56/293.07*(1/(VLOOKUP($BM167,'Fuel economy adjusted factor'!$A$2:$L$52,5,FALSE)*m2k))/'TCO Inputs'!$AZ$84</f>
        <v>97.146035705902463</v>
      </c>
      <c r="EE167" s="125">
        <f>EE56/293.07*(1/(VLOOKUP($BM167,'Fuel economy adjusted factor'!$A$2:$L$52,5,FALSE)*m2k))/'TCO Inputs'!$AZ$84</f>
        <v>59.874618212529079</v>
      </c>
      <c r="EF167" s="125">
        <f>EF56/293.07*(1/(VLOOKUP($BM167,'Fuel economy adjusted factor'!$A$2:$L$52,5,FALSE)*m2k))/'TCO Inputs'!$AZ$84</f>
        <v>59.874618212529079</v>
      </c>
      <c r="EG167" s="125">
        <f>EG56/293.07*(1/(VLOOKUP($BM167,'Fuel economy adjusted factor'!$A$2:$L$52,5,FALSE)*m2k))/'TCO Inputs'!$AZ$84</f>
        <v>59.874618212529079</v>
      </c>
      <c r="EH167" s="125">
        <f>EH56/293.07*(1/(VLOOKUP($BM167,'Fuel economy adjusted factor'!$A$2:$L$52,5,FALSE)*m2k))/'TCO Inputs'!$AZ$84</f>
        <v>59.874618212529079</v>
      </c>
      <c r="EI167" s="125">
        <f>EI56/293.07*(1/(VLOOKUP($BM167,'Fuel economy adjusted factor'!$A$2:$L$52,5,FALSE)*m2k))/'TCO Inputs'!$AZ$84</f>
        <v>59.874618212529079</v>
      </c>
      <c r="EJ167" s="125">
        <f>EJ56/293.07*(1/(VLOOKUP($BM167,'Fuel economy adjusted factor'!$A$2:$L$52,5,FALSE)*m2k))/'TCO Inputs'!$AZ$84</f>
        <v>53.475069162138986</v>
      </c>
      <c r="EK167" s="125">
        <f>EK56/293.07*(1/(VLOOKUP($BM167,'Fuel economy adjusted factor'!$A$2:$L$52,5,FALSE)*m2k))/'TCO Inputs'!$AZ$84</f>
        <v>53.475069162138986</v>
      </c>
      <c r="EL167" s="125">
        <f>EL56/293.07*(1/(VLOOKUP($BM167,'Fuel economy adjusted factor'!$A$2:$L$52,5,FALSE)*m2k))/'TCO Inputs'!$AZ$84</f>
        <v>53.475069162138986</v>
      </c>
      <c r="EM167" s="125">
        <f>EM56/293.07*(1/(VLOOKUP($BM167,'Fuel economy adjusted factor'!$A$2:$L$52,5,FALSE)*m2k))/'TCO Inputs'!$AZ$84</f>
        <v>53.475069162138986</v>
      </c>
      <c r="EN167" s="125">
        <f>EN56/293.07*(1/(VLOOKUP($BM167,'Fuel economy adjusted factor'!$A$2:$L$52,5,FALSE)*m2k))/'TCO Inputs'!$AZ$84</f>
        <v>53.475069162138986</v>
      </c>
      <c r="EO167" s="125">
        <f>EO56/293.07*(1/(VLOOKUP($BM167,'Fuel economy adjusted factor'!$A$2:$L$52,5,FALSE)*m2k))/'TCO Inputs'!$AZ$84</f>
        <v>51.791964918009121</v>
      </c>
      <c r="EP167" s="125">
        <f>EP56/293.07*(1/(VLOOKUP($BM167,'Fuel economy adjusted factor'!$A$2:$L$52,5,FALSE)*m2k))/'TCO Inputs'!$AZ$84</f>
        <v>51.791964918009121</v>
      </c>
      <c r="EQ167" s="125">
        <f>EQ56/293.07*(1/(VLOOKUP($BM167,'Fuel economy adjusted factor'!$A$2:$L$52,5,FALSE)*m2k))/'TCO Inputs'!$AZ$84</f>
        <v>51.791964918009121</v>
      </c>
      <c r="ER167" s="125">
        <f>ER56/293.07*(1/(VLOOKUP($BM167,'Fuel economy adjusted factor'!$A$2:$L$52,5,FALSE)*m2k))/'TCO Inputs'!$AZ$84</f>
        <v>51.791964918009121</v>
      </c>
      <c r="ES167" s="125">
        <f>ES56/293.07*(1/(VLOOKUP($BM167,'Fuel economy adjusted factor'!$A$2:$L$52,5,FALSE)*m2k))/'TCO Inputs'!$AZ$84</f>
        <v>51.791964918009121</v>
      </c>
      <c r="ET167" s="125">
        <f>ET56/293.07*(1/(VLOOKUP($BM167,'Fuel economy adjusted factor'!$A$2:$L$52,5,FALSE)*m2k))/'TCO Inputs'!$AZ$84</f>
        <v>49.868999962403628</v>
      </c>
      <c r="EU167" s="125">
        <f>EU56/293.07*(1/(VLOOKUP($BM167,'Fuel economy adjusted factor'!$A$2:$L$52,5,FALSE)*m2k))/'TCO Inputs'!$AZ$84</f>
        <v>49.868999962403628</v>
      </c>
      <c r="EV167" s="125">
        <f>EV56/293.07*(1/(VLOOKUP($BM167,'Fuel economy adjusted factor'!$A$2:$L$52,5,FALSE)*m2k))/'TCO Inputs'!$AZ$84</f>
        <v>49.868999962403628</v>
      </c>
      <c r="EW167" s="125">
        <f>EW56/293.07*(1/(VLOOKUP($BM167,'Fuel economy adjusted factor'!$A$2:$L$52,5,FALSE)*m2k))/'TCO Inputs'!$AZ$84</f>
        <v>49.868999962403628</v>
      </c>
      <c r="EX167" s="125">
        <f>EX56/293.07*(1/(VLOOKUP($BM167,'Fuel economy adjusted factor'!$A$2:$L$52,5,FALSE)*m2k))/'TCO Inputs'!$AZ$84</f>
        <v>49.868999962403628</v>
      </c>
      <c r="EY167" s="125">
        <f>EY56/293.07*(1/(VLOOKUP($BM167,'Fuel economy adjusted factor'!$A$2:$L$52,5,FALSE)*m2k))/'TCO Inputs'!$AZ$84</f>
        <v>46.853608160995961</v>
      </c>
      <c r="EZ167" s="98" cm="1">
        <f t="array" ref="EZ167">SUMPRODUCT(INDEX(DX167:EY167,,'TCO Inputs'!$AZ$12-2023+_xlfn.SEQUENCE('TCO Inputs'!$AZ$13))*INDEX('VKT US'!C113:AA113,,_xlfn.SEQUENCE('TCO Inputs'!$AZ$13)))*m2k*CONVERT(0.9072,"g","ton")</f>
        <v>24.698683263447695</v>
      </c>
      <c r="FB167" s="124" t="s">
        <v>134</v>
      </c>
      <c r="FC167" s="125">
        <f>FC56/293.07*(1/(VLOOKUP($BM167,'Fuel economy adjusted factor'!$A$2:$L$52,5,FALSE)*m2k))/'TCO Inputs'!$AZ$84</f>
        <v>120.20203470692537</v>
      </c>
      <c r="FD167" s="125">
        <f>FD56/293.07*(1/(VLOOKUP($BM167,'Fuel economy adjusted factor'!$A$2:$L$52,5,FALSE)*m2k))/'TCO Inputs'!$AZ$84</f>
        <v>120.20203470692537</v>
      </c>
      <c r="FE167" s="125">
        <f>FE56/293.07*(1/(VLOOKUP($BM167,'Fuel economy adjusted factor'!$A$2:$L$52,5,FALSE)*m2k))/'TCO Inputs'!$AZ$84</f>
        <v>104.97251123374438</v>
      </c>
      <c r="FF167" s="125">
        <f>FF56/293.07*(1/(VLOOKUP($BM167,'Fuel economy adjusted factor'!$A$2:$L$52,5,FALSE)*m2k))/'TCO Inputs'!$AZ$84</f>
        <v>104.97251123374438</v>
      </c>
      <c r="FG167" s="125">
        <f>FG56/293.07*(1/(VLOOKUP($BM167,'Fuel economy adjusted factor'!$A$2:$L$52,5,FALSE)*m2k))/'TCO Inputs'!$AZ$84</f>
        <v>104.97251123374438</v>
      </c>
      <c r="FH167" s="125">
        <f>FH56/293.07*(1/(VLOOKUP($BM167,'Fuel economy adjusted factor'!$A$2:$L$52,5,FALSE)*m2k))/'TCO Inputs'!$AZ$84</f>
        <v>104.97251123374438</v>
      </c>
      <c r="FI167" s="125">
        <f>FI56/293.07*(1/(VLOOKUP($BM167,'Fuel economy adjusted factor'!$A$2:$L$52,5,FALSE)*m2k))/'TCO Inputs'!$AZ$84</f>
        <v>104.97251123374438</v>
      </c>
      <c r="FJ167" s="125">
        <f>FJ56/293.07*(1/(VLOOKUP($BM167,'Fuel economy adjusted factor'!$A$2:$L$52,5,FALSE)*m2k))/'TCO Inputs'!$AZ$84</f>
        <v>65.872767704939577</v>
      </c>
      <c r="FK167" s="125">
        <f>FK56/293.07*(1/(VLOOKUP($BM167,'Fuel economy adjusted factor'!$A$2:$L$52,5,FALSE)*m2k))/'TCO Inputs'!$AZ$84</f>
        <v>65.872767704939577</v>
      </c>
      <c r="FL167" s="125">
        <f>FL56/293.07*(1/(VLOOKUP($BM167,'Fuel economy adjusted factor'!$A$2:$L$52,5,FALSE)*m2k))/'TCO Inputs'!$AZ$84</f>
        <v>65.872767704939577</v>
      </c>
      <c r="FM167" s="125">
        <f>FM56/293.07*(1/(VLOOKUP($BM167,'Fuel economy adjusted factor'!$A$2:$L$52,5,FALSE)*m2k))/'TCO Inputs'!$AZ$84</f>
        <v>65.872767704939577</v>
      </c>
      <c r="FN167" s="125">
        <f>FN56/293.07*(1/(VLOOKUP($BM167,'Fuel economy adjusted factor'!$A$2:$L$52,5,FALSE)*m2k))/'TCO Inputs'!$AZ$84</f>
        <v>65.872767704939577</v>
      </c>
      <c r="FO167" s="125">
        <f>FO56/293.07*(1/(VLOOKUP($BM167,'Fuel economy adjusted factor'!$A$2:$L$52,5,FALSE)*m2k))/'TCO Inputs'!$AZ$84</f>
        <v>58.491747784123781</v>
      </c>
      <c r="FP167" s="125">
        <f>FP56/293.07*(1/(VLOOKUP($BM167,'Fuel economy adjusted factor'!$A$2:$L$52,5,FALSE)*m2k))/'TCO Inputs'!$AZ$84</f>
        <v>58.491747784123781</v>
      </c>
      <c r="FQ167" s="125">
        <f>FQ56/293.07*(1/(VLOOKUP($BM167,'Fuel economy adjusted factor'!$A$2:$L$52,5,FALSE)*m2k))/'TCO Inputs'!$AZ$84</f>
        <v>58.491747784123781</v>
      </c>
      <c r="FR167" s="125">
        <f>FR56/293.07*(1/(VLOOKUP($BM167,'Fuel economy adjusted factor'!$A$2:$L$52,5,FALSE)*m2k))/'TCO Inputs'!$AZ$84</f>
        <v>58.491747784123781</v>
      </c>
      <c r="FS167" s="125">
        <f>FS56/293.07*(1/(VLOOKUP($BM167,'Fuel economy adjusted factor'!$A$2:$L$52,5,FALSE)*m2k))/'TCO Inputs'!$AZ$84</f>
        <v>58.491747784123781</v>
      </c>
      <c r="FT167" s="125">
        <f>FT56/293.07*(1/(VLOOKUP($BM167,'Fuel economy adjusted factor'!$A$2:$L$52,5,FALSE)*m2k))/'TCO Inputs'!$AZ$84</f>
        <v>57.002816496902724</v>
      </c>
      <c r="FU167" s="125">
        <f>FU56/293.07*(1/(VLOOKUP($BM167,'Fuel economy adjusted factor'!$A$2:$L$52,5,FALSE)*m2k))/'TCO Inputs'!$AZ$84</f>
        <v>57.002816496902724</v>
      </c>
      <c r="FV167" s="125">
        <f>FV56/293.07*(1/(VLOOKUP($BM167,'Fuel economy adjusted factor'!$A$2:$L$52,5,FALSE)*m2k))/'TCO Inputs'!$AZ$84</f>
        <v>57.002816496902724</v>
      </c>
      <c r="FW167" s="125">
        <f>FW56/293.07*(1/(VLOOKUP($BM167,'Fuel economy adjusted factor'!$A$2:$L$52,5,FALSE)*m2k))/'TCO Inputs'!$AZ$84</f>
        <v>57.002816496902724</v>
      </c>
      <c r="FX167" s="125">
        <f>FX56/293.07*(1/(VLOOKUP($BM167,'Fuel economy adjusted factor'!$A$2:$L$52,5,FALSE)*m2k))/'TCO Inputs'!$AZ$84</f>
        <v>57.002816496902724</v>
      </c>
      <c r="FY167" s="125">
        <f>FY56/293.07*(1/(VLOOKUP($BM167,'Fuel economy adjusted factor'!$A$2:$L$52,5,FALSE)*m2k))/'TCO Inputs'!$AZ$84</f>
        <v>55.07577227749664</v>
      </c>
      <c r="FZ167" s="125">
        <f>FZ56/293.07*(1/(VLOOKUP($BM167,'Fuel economy adjusted factor'!$A$2:$L$52,5,FALSE)*m2k))/'TCO Inputs'!$AZ$84</f>
        <v>55.07577227749664</v>
      </c>
      <c r="GA167" s="125">
        <f>GA56/293.07*(1/(VLOOKUP($BM167,'Fuel economy adjusted factor'!$A$2:$L$52,5,FALSE)*m2k))/'TCO Inputs'!$AZ$84</f>
        <v>55.07577227749664</v>
      </c>
      <c r="GB167" s="125">
        <f>GB56/293.07*(1/(VLOOKUP($BM167,'Fuel economy adjusted factor'!$A$2:$L$52,5,FALSE)*m2k))/'TCO Inputs'!$AZ$84</f>
        <v>55.07577227749664</v>
      </c>
      <c r="GC167" s="125">
        <f>GC56/293.07*(1/(VLOOKUP($BM167,'Fuel economy adjusted factor'!$A$2:$L$52,5,FALSE)*m2k))/'TCO Inputs'!$AZ$84</f>
        <v>55.07577227749664</v>
      </c>
      <c r="GD167" s="125">
        <f>GD56/293.07*(1/(VLOOKUP($BM167,'Fuel economy adjusted factor'!$A$2:$L$52,5,FALSE)*m2k))/'TCO Inputs'!$AZ$84</f>
        <v>51.95595132279346</v>
      </c>
      <c r="GE167" s="98" cm="1">
        <f t="array" ref="GE167">SUMPRODUCT(INDEX(FC167:GD167,,'TCO Inputs'!$AZ$12-2023+_xlfn.SEQUENCE('TCO Inputs'!$AZ$13))*INDEX('VKT US'!C113:AA113,,_xlfn.SEQUENCE('TCO Inputs'!$AZ$13)))*m2k*CONVERT(0.9072,"g","ton")</f>
        <v>26.853978906741908</v>
      </c>
      <c r="GH167" s="124" t="s">
        <v>134</v>
      </c>
      <c r="GI167" s="125">
        <f>GI56/293.07*(1/(VLOOKUP($BM167,'Fuel economy adjusted factor'!$A$2:$L$52,5,FALSE)*m2k))/'TCO Inputs'!$AZ$84</f>
        <v>104.43649597034481</v>
      </c>
      <c r="GJ167" s="125">
        <f>GJ56/293.07*(1/(VLOOKUP($BM167,'Fuel economy adjusted factor'!$A$2:$L$52,5,FALSE)*m2k))/'TCO Inputs'!$AZ$84</f>
        <v>104.43649597034481</v>
      </c>
      <c r="GK167" s="125">
        <f>GK56/293.07*(1/(VLOOKUP($BM167,'Fuel economy adjusted factor'!$A$2:$L$52,5,FALSE)*m2k))/'TCO Inputs'!$AZ$84</f>
        <v>91.819333035071651</v>
      </c>
      <c r="GL167" s="125">
        <f>GL56/293.07*(1/(VLOOKUP($BM167,'Fuel economy adjusted factor'!$A$2:$L$52,5,FALSE)*m2k))/'TCO Inputs'!$AZ$84</f>
        <v>91.819333035071651</v>
      </c>
      <c r="GM167" s="125">
        <f>GM56/293.07*(1/(VLOOKUP($BM167,'Fuel economy adjusted factor'!$A$2:$L$52,5,FALSE)*m2k))/'TCO Inputs'!$AZ$84</f>
        <v>91.819333035071651</v>
      </c>
      <c r="GN167" s="125">
        <f>GN56/293.07*(1/(VLOOKUP($BM167,'Fuel economy adjusted factor'!$A$2:$L$52,5,FALSE)*m2k))/'TCO Inputs'!$AZ$84</f>
        <v>91.819333035071651</v>
      </c>
      <c r="GO167" s="125">
        <f>GO56/293.07*(1/(VLOOKUP($BM167,'Fuel economy adjusted factor'!$A$2:$L$52,5,FALSE)*m2k))/'TCO Inputs'!$AZ$84</f>
        <v>91.819333035071651</v>
      </c>
      <c r="GP167" s="125">
        <f>GP56/293.07*(1/(VLOOKUP($BM167,'Fuel economy adjusted factor'!$A$2:$L$52,5,FALSE)*m2k))/'TCO Inputs'!$AZ$84</f>
        <v>55.792091000882976</v>
      </c>
      <c r="GQ167" s="125">
        <f>GQ56/293.07*(1/(VLOOKUP($BM167,'Fuel economy adjusted factor'!$A$2:$L$52,5,FALSE)*m2k))/'TCO Inputs'!$AZ$84</f>
        <v>55.792091000882976</v>
      </c>
      <c r="GR167" s="125">
        <f>GR56/293.07*(1/(VLOOKUP($BM167,'Fuel economy adjusted factor'!$A$2:$L$52,5,FALSE)*m2k))/'TCO Inputs'!$AZ$84</f>
        <v>55.792091000882976</v>
      </c>
      <c r="GS167" s="125">
        <f>GS56/293.07*(1/(VLOOKUP($BM167,'Fuel economy adjusted factor'!$A$2:$L$52,5,FALSE)*m2k))/'TCO Inputs'!$AZ$84</f>
        <v>55.792091000882976</v>
      </c>
      <c r="GT167" s="125">
        <f>GT56/293.07*(1/(VLOOKUP($BM167,'Fuel economy adjusted factor'!$A$2:$L$52,5,FALSE)*m2k))/'TCO Inputs'!$AZ$84</f>
        <v>55.792091000882976</v>
      </c>
      <c r="GU167" s="125">
        <f>GU56/293.07*(1/(VLOOKUP($BM167,'Fuel economy adjusted factor'!$A$2:$L$52,5,FALSE)*m2k))/'TCO Inputs'!$AZ$84</f>
        <v>50.060725361032091</v>
      </c>
      <c r="GV167" s="125">
        <f>GV56/293.07*(1/(VLOOKUP($BM167,'Fuel economy adjusted factor'!$A$2:$L$52,5,FALSE)*m2k))/'TCO Inputs'!$AZ$84</f>
        <v>50.060725361032091</v>
      </c>
      <c r="GW167" s="125">
        <f>GW56/293.07*(1/(VLOOKUP($BM167,'Fuel economy adjusted factor'!$A$2:$L$52,5,FALSE)*m2k))/'TCO Inputs'!$AZ$84</f>
        <v>50.060725361032091</v>
      </c>
      <c r="GX167" s="125">
        <f>GX56/293.07*(1/(VLOOKUP($BM167,'Fuel economy adjusted factor'!$A$2:$L$52,5,FALSE)*m2k))/'TCO Inputs'!$AZ$84</f>
        <v>50.060725361032091</v>
      </c>
      <c r="GY167" s="125">
        <f>GY56/293.07*(1/(VLOOKUP($BM167,'Fuel economy adjusted factor'!$A$2:$L$52,5,FALSE)*m2k))/'TCO Inputs'!$AZ$84</f>
        <v>50.060725361032091</v>
      </c>
      <c r="GZ167" s="125">
        <f>GZ56/293.07*(1/(VLOOKUP($BM167,'Fuel economy adjusted factor'!$A$2:$L$52,5,FALSE)*m2k))/'TCO Inputs'!$AZ$84</f>
        <v>48.245452969762596</v>
      </c>
      <c r="HA167" s="125">
        <f>HA56/293.07*(1/(VLOOKUP($BM167,'Fuel economy adjusted factor'!$A$2:$L$52,5,FALSE)*m2k))/'TCO Inputs'!$AZ$84</f>
        <v>48.245452969762596</v>
      </c>
      <c r="HB167" s="125">
        <f>HB56/293.07*(1/(VLOOKUP($BM167,'Fuel economy adjusted factor'!$A$2:$L$52,5,FALSE)*m2k))/'TCO Inputs'!$AZ$84</f>
        <v>48.245452969762596</v>
      </c>
      <c r="HC167" s="125">
        <f>HC56/293.07*(1/(VLOOKUP($BM167,'Fuel economy adjusted factor'!$A$2:$L$52,5,FALSE)*m2k))/'TCO Inputs'!$AZ$84</f>
        <v>48.245452969762596</v>
      </c>
      <c r="HD167" s="125">
        <f>HD56/293.07*(1/(VLOOKUP($BM167,'Fuel economy adjusted factor'!$A$2:$L$52,5,FALSE)*m2k))/'TCO Inputs'!$AZ$84</f>
        <v>48.245452969762596</v>
      </c>
      <c r="HE167" s="125">
        <f>HE56/293.07*(1/(VLOOKUP($BM167,'Fuel economy adjusted factor'!$A$2:$L$52,5,FALSE)*m2k))/'TCO Inputs'!$AZ$84</f>
        <v>46.324935572437475</v>
      </c>
      <c r="HF167" s="125">
        <f>HF56/293.07*(1/(VLOOKUP($BM167,'Fuel economy adjusted factor'!$A$2:$L$52,5,FALSE)*m2k))/'TCO Inputs'!$AZ$84</f>
        <v>46.324935572437475</v>
      </c>
      <c r="HG167" s="125">
        <f>HG56/293.07*(1/(VLOOKUP($BM167,'Fuel economy adjusted factor'!$A$2:$L$52,5,FALSE)*m2k))/'TCO Inputs'!$AZ$84</f>
        <v>46.324935572437475</v>
      </c>
      <c r="HH167" s="125">
        <f>HH56/293.07*(1/(VLOOKUP($BM167,'Fuel economy adjusted factor'!$A$2:$L$52,5,FALSE)*m2k))/'TCO Inputs'!$AZ$84</f>
        <v>46.324935572437475</v>
      </c>
      <c r="HI167" s="125">
        <f>HI56/293.07*(1/(VLOOKUP($BM167,'Fuel economy adjusted factor'!$A$2:$L$52,5,FALSE)*m2k))/'TCO Inputs'!$AZ$84</f>
        <v>46.324935572437475</v>
      </c>
      <c r="HJ167" s="125">
        <f>HJ56/293.07*(1/(VLOOKUP($BM167,'Fuel economy adjusted factor'!$A$2:$L$52,5,FALSE)*m2k))/'TCO Inputs'!$AZ$84</f>
        <v>43.381338813920465</v>
      </c>
      <c r="HK167" s="98" cm="1">
        <f t="array" ref="HK167">SUMPRODUCT(INDEX(GI167:HJ167,,'TCO Inputs'!$AZ$12-2023+_xlfn.SEQUENCE('TCO Inputs'!$AZ$13))*INDEX('VKT US'!C113:AA113,,_xlfn.SEQUENCE('TCO Inputs'!$AZ$13)))*m2k*CONVERT(0.9072,"g","ton")</f>
        <v>23.231751184690374</v>
      </c>
    </row>
    <row r="171" spans="22:219" x14ac:dyDescent="0.25">
      <c r="V171" s="248" t="s">
        <v>475</v>
      </c>
      <c r="W171" s="249"/>
      <c r="X171" s="250"/>
      <c r="Z171" s="248" t="s">
        <v>463</v>
      </c>
      <c r="AA171" s="249"/>
      <c r="AB171" s="249"/>
      <c r="AC171" s="250"/>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I171" s="248" t="s">
        <v>483</v>
      </c>
      <c r="BJ171" s="249"/>
      <c r="BK171" s="250"/>
      <c r="BM171" s="248" t="s">
        <v>463</v>
      </c>
      <c r="BN171" s="249"/>
      <c r="BO171" s="249"/>
      <c r="BP171" s="250"/>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R171" s="248" t="s">
        <v>463</v>
      </c>
      <c r="CS171" s="249"/>
      <c r="CT171" s="249"/>
      <c r="CU171" s="250"/>
      <c r="CV171" s="248" t="s">
        <v>536</v>
      </c>
      <c r="CW171" s="249"/>
      <c r="CX171" s="249"/>
      <c r="CY171" s="249"/>
      <c r="CZ171" s="249"/>
      <c r="DA171" s="249"/>
      <c r="DB171" s="249"/>
      <c r="DC171" s="250"/>
      <c r="DD171" s="13"/>
      <c r="DE171" s="13"/>
      <c r="DF171" s="13"/>
      <c r="DG171" s="13"/>
      <c r="DH171" s="13"/>
      <c r="DI171" s="13"/>
      <c r="DJ171" s="13"/>
      <c r="DK171" s="13"/>
      <c r="DL171" s="13"/>
      <c r="DM171" s="13"/>
      <c r="DN171" s="13"/>
      <c r="DO171" s="13"/>
      <c r="DP171" s="13"/>
      <c r="DQ171" s="13"/>
      <c r="DR171" s="13"/>
      <c r="DS171" s="13"/>
      <c r="DT171" s="13"/>
      <c r="DW171" s="248" t="s">
        <v>463</v>
      </c>
      <c r="DX171" s="249"/>
      <c r="DY171" s="249"/>
      <c r="DZ171" s="250"/>
      <c r="EA171" s="248" t="s">
        <v>540</v>
      </c>
      <c r="EB171" s="249"/>
      <c r="EC171" s="249"/>
      <c r="ED171" s="249"/>
      <c r="EE171" s="249"/>
      <c r="EF171" s="249"/>
      <c r="EG171" s="249"/>
      <c r="EH171" s="250"/>
      <c r="EI171" s="13"/>
      <c r="EJ171" s="13"/>
      <c r="EK171" s="13"/>
      <c r="EL171" s="13"/>
      <c r="EM171" s="13"/>
      <c r="EN171" s="13"/>
      <c r="EO171" s="13"/>
      <c r="EP171" s="13"/>
      <c r="EQ171" s="13"/>
      <c r="ER171" s="13"/>
      <c r="ES171" s="13"/>
      <c r="ET171" s="13"/>
      <c r="EU171" s="13"/>
      <c r="EV171" s="13"/>
      <c r="EW171" s="13"/>
      <c r="EX171" s="13"/>
      <c r="EY171" s="13"/>
      <c r="FB171" s="248" t="s">
        <v>463</v>
      </c>
      <c r="FC171" s="249"/>
      <c r="FD171" s="249"/>
      <c r="FE171" s="250"/>
      <c r="FF171" s="248" t="s">
        <v>542</v>
      </c>
      <c r="FG171" s="249"/>
      <c r="FH171" s="249"/>
      <c r="FI171" s="249"/>
      <c r="FJ171" s="249"/>
      <c r="FK171" s="249"/>
      <c r="FL171" s="249"/>
      <c r="FM171" s="250"/>
      <c r="FN171" s="13"/>
      <c r="FO171" s="13"/>
      <c r="FP171" s="13"/>
      <c r="FQ171" s="13"/>
      <c r="FR171" s="13"/>
      <c r="FS171" s="13"/>
      <c r="FT171" s="13"/>
      <c r="FU171" s="13"/>
      <c r="FV171" s="13"/>
      <c r="FW171" s="13"/>
      <c r="FX171" s="13"/>
      <c r="FY171" s="13"/>
      <c r="FZ171" s="13"/>
      <c r="GA171" s="13"/>
      <c r="GB171" s="13"/>
      <c r="GC171" s="13"/>
      <c r="GD171" s="13"/>
      <c r="GH171" s="248" t="s">
        <v>463</v>
      </c>
      <c r="GI171" s="249"/>
      <c r="GJ171" s="249"/>
      <c r="GK171" s="250"/>
      <c r="GL171" s="248" t="s">
        <v>612</v>
      </c>
      <c r="GM171" s="249"/>
      <c r="GN171" s="249"/>
      <c r="GO171" s="249"/>
      <c r="GP171" s="249"/>
      <c r="GQ171" s="249"/>
      <c r="GR171" s="249"/>
      <c r="GS171" s="250"/>
      <c r="GT171" s="13"/>
      <c r="GU171" s="13"/>
      <c r="GV171" s="13"/>
      <c r="GW171" s="13"/>
      <c r="GX171" s="13"/>
      <c r="GY171" s="13"/>
      <c r="GZ171" s="13"/>
      <c r="HA171" s="13"/>
      <c r="HB171" s="13"/>
      <c r="HC171" s="13"/>
      <c r="HD171" s="13"/>
      <c r="HE171" s="13"/>
      <c r="HF171" s="13"/>
      <c r="HG171" s="13"/>
      <c r="HH171" s="13"/>
      <c r="HI171" s="13"/>
      <c r="HJ171" s="13"/>
    </row>
    <row r="172" spans="22:219" x14ac:dyDescent="0.25">
      <c r="Z172" s="122" t="s">
        <v>3</v>
      </c>
      <c r="AA172" s="122">
        <v>2023</v>
      </c>
      <c r="AB172" s="122">
        <v>2024</v>
      </c>
      <c r="AC172" s="122">
        <v>2025</v>
      </c>
      <c r="AD172" s="122">
        <v>2026</v>
      </c>
      <c r="AE172" s="122">
        <v>2027</v>
      </c>
      <c r="AF172" s="122">
        <v>2028</v>
      </c>
      <c r="AG172" s="122">
        <v>2029</v>
      </c>
      <c r="AH172" s="122">
        <v>2030</v>
      </c>
      <c r="AI172" s="122">
        <v>2031</v>
      </c>
      <c r="AJ172" s="122">
        <v>2032</v>
      </c>
      <c r="AK172" s="122">
        <v>2033</v>
      </c>
      <c r="AL172" s="122">
        <v>2034</v>
      </c>
      <c r="AM172" s="122">
        <v>2035</v>
      </c>
      <c r="AN172" s="122">
        <v>2036</v>
      </c>
      <c r="AO172" s="122">
        <v>2037</v>
      </c>
      <c r="AP172" s="122">
        <v>2038</v>
      </c>
      <c r="AQ172" s="122">
        <v>2039</v>
      </c>
      <c r="AR172" s="122">
        <v>2040</v>
      </c>
      <c r="AS172" s="122">
        <v>2041</v>
      </c>
      <c r="AT172" s="122">
        <v>2042</v>
      </c>
      <c r="AU172" s="122">
        <v>2043</v>
      </c>
      <c r="AV172" s="122">
        <v>2044</v>
      </c>
      <c r="AW172" s="122">
        <v>2045</v>
      </c>
      <c r="AX172" s="122">
        <v>2046</v>
      </c>
      <c r="AY172" s="122">
        <v>2047</v>
      </c>
      <c r="AZ172" s="122">
        <v>2048</v>
      </c>
      <c r="BA172" s="122">
        <v>2049</v>
      </c>
      <c r="BB172" s="122">
        <v>2050</v>
      </c>
      <c r="BC172" s="37" t="s">
        <v>464</v>
      </c>
      <c r="BM172" s="122" t="s">
        <v>3</v>
      </c>
      <c r="BN172" s="122">
        <v>2023</v>
      </c>
      <c r="BO172" s="122">
        <v>2024</v>
      </c>
      <c r="BP172" s="122">
        <v>2025</v>
      </c>
      <c r="BQ172" s="122">
        <v>2026</v>
      </c>
      <c r="BR172" s="122">
        <v>2027</v>
      </c>
      <c r="BS172" s="122">
        <v>2028</v>
      </c>
      <c r="BT172" s="122">
        <v>2029</v>
      </c>
      <c r="BU172" s="122">
        <v>2030</v>
      </c>
      <c r="BV172" s="122">
        <v>2031</v>
      </c>
      <c r="BW172" s="122">
        <v>2032</v>
      </c>
      <c r="BX172" s="122">
        <v>2033</v>
      </c>
      <c r="BY172" s="122">
        <v>2034</v>
      </c>
      <c r="BZ172" s="122">
        <v>2035</v>
      </c>
      <c r="CA172" s="122">
        <v>2036</v>
      </c>
      <c r="CB172" s="122">
        <v>2037</v>
      </c>
      <c r="CC172" s="122">
        <v>2038</v>
      </c>
      <c r="CD172" s="122">
        <v>2039</v>
      </c>
      <c r="CE172" s="122">
        <v>2040</v>
      </c>
      <c r="CF172" s="122">
        <v>2041</v>
      </c>
      <c r="CG172" s="122">
        <v>2042</v>
      </c>
      <c r="CH172" s="122">
        <v>2043</v>
      </c>
      <c r="CI172" s="122">
        <v>2044</v>
      </c>
      <c r="CJ172" s="122">
        <v>2045</v>
      </c>
      <c r="CK172" s="122">
        <v>2046</v>
      </c>
      <c r="CL172" s="122">
        <v>2047</v>
      </c>
      <c r="CM172" s="122">
        <v>2048</v>
      </c>
      <c r="CN172" s="122">
        <v>2049</v>
      </c>
      <c r="CO172" s="122">
        <v>2050</v>
      </c>
      <c r="CP172" s="37" t="s">
        <v>464</v>
      </c>
      <c r="CR172" s="122" t="s">
        <v>3</v>
      </c>
      <c r="CS172" s="122">
        <v>2023</v>
      </c>
      <c r="CT172" s="122">
        <v>2024</v>
      </c>
      <c r="CU172" s="122">
        <v>2025</v>
      </c>
      <c r="CV172" s="122">
        <v>2026</v>
      </c>
      <c r="CW172" s="122">
        <v>2027</v>
      </c>
      <c r="CX172" s="122">
        <v>2028</v>
      </c>
      <c r="CY172" s="122">
        <v>2029</v>
      </c>
      <c r="CZ172" s="122">
        <v>2030</v>
      </c>
      <c r="DA172" s="122">
        <v>2031</v>
      </c>
      <c r="DB172" s="122">
        <v>2032</v>
      </c>
      <c r="DC172" s="122">
        <v>2033</v>
      </c>
      <c r="DD172" s="122">
        <v>2034</v>
      </c>
      <c r="DE172" s="122">
        <v>2035</v>
      </c>
      <c r="DF172" s="122">
        <v>2036</v>
      </c>
      <c r="DG172" s="122">
        <v>2037</v>
      </c>
      <c r="DH172" s="122">
        <v>2038</v>
      </c>
      <c r="DI172" s="122">
        <v>2039</v>
      </c>
      <c r="DJ172" s="122">
        <v>2040</v>
      </c>
      <c r="DK172" s="122">
        <v>2041</v>
      </c>
      <c r="DL172" s="122">
        <v>2042</v>
      </c>
      <c r="DM172" s="122">
        <v>2043</v>
      </c>
      <c r="DN172" s="122">
        <v>2044</v>
      </c>
      <c r="DO172" s="122">
        <v>2045</v>
      </c>
      <c r="DP172" s="122">
        <v>2046</v>
      </c>
      <c r="DQ172" s="122">
        <v>2047</v>
      </c>
      <c r="DR172" s="122">
        <v>2048</v>
      </c>
      <c r="DS172" s="122">
        <v>2049</v>
      </c>
      <c r="DT172" s="122">
        <v>2050</v>
      </c>
      <c r="DU172" s="37" t="s">
        <v>464</v>
      </c>
      <c r="DW172" s="122" t="s">
        <v>3</v>
      </c>
      <c r="DX172" s="122">
        <v>2023</v>
      </c>
      <c r="DY172" s="122">
        <v>2024</v>
      </c>
      <c r="DZ172" s="122">
        <v>2025</v>
      </c>
      <c r="EA172" s="122">
        <v>2026</v>
      </c>
      <c r="EB172" s="122">
        <v>2027</v>
      </c>
      <c r="EC172" s="122">
        <v>2028</v>
      </c>
      <c r="ED172" s="122">
        <v>2029</v>
      </c>
      <c r="EE172" s="122">
        <v>2030</v>
      </c>
      <c r="EF172" s="122">
        <v>2031</v>
      </c>
      <c r="EG172" s="122">
        <v>2032</v>
      </c>
      <c r="EH172" s="122">
        <v>2033</v>
      </c>
      <c r="EI172" s="122">
        <v>2034</v>
      </c>
      <c r="EJ172" s="122">
        <v>2035</v>
      </c>
      <c r="EK172" s="122">
        <v>2036</v>
      </c>
      <c r="EL172" s="122">
        <v>2037</v>
      </c>
      <c r="EM172" s="122">
        <v>2038</v>
      </c>
      <c r="EN172" s="122">
        <v>2039</v>
      </c>
      <c r="EO172" s="122">
        <v>2040</v>
      </c>
      <c r="EP172" s="122">
        <v>2041</v>
      </c>
      <c r="EQ172" s="122">
        <v>2042</v>
      </c>
      <c r="ER172" s="122">
        <v>2043</v>
      </c>
      <c r="ES172" s="122">
        <v>2044</v>
      </c>
      <c r="ET172" s="122">
        <v>2045</v>
      </c>
      <c r="EU172" s="122">
        <v>2046</v>
      </c>
      <c r="EV172" s="122">
        <v>2047</v>
      </c>
      <c r="EW172" s="122">
        <v>2048</v>
      </c>
      <c r="EX172" s="122">
        <v>2049</v>
      </c>
      <c r="EY172" s="122">
        <v>2050</v>
      </c>
      <c r="EZ172" s="37" t="s">
        <v>464</v>
      </c>
      <c r="FB172" s="122" t="s">
        <v>3</v>
      </c>
      <c r="FC172" s="122">
        <v>2023</v>
      </c>
      <c r="FD172" s="122">
        <v>2024</v>
      </c>
      <c r="FE172" s="122">
        <v>2025</v>
      </c>
      <c r="FF172" s="122">
        <v>2026</v>
      </c>
      <c r="FG172" s="122">
        <v>2027</v>
      </c>
      <c r="FH172" s="122">
        <v>2028</v>
      </c>
      <c r="FI172" s="122">
        <v>2029</v>
      </c>
      <c r="FJ172" s="122">
        <v>2030</v>
      </c>
      <c r="FK172" s="122">
        <v>2031</v>
      </c>
      <c r="FL172" s="122">
        <v>2032</v>
      </c>
      <c r="FM172" s="122">
        <v>2033</v>
      </c>
      <c r="FN172" s="122">
        <v>2034</v>
      </c>
      <c r="FO172" s="122">
        <v>2035</v>
      </c>
      <c r="FP172" s="122">
        <v>2036</v>
      </c>
      <c r="FQ172" s="122">
        <v>2037</v>
      </c>
      <c r="FR172" s="122">
        <v>2038</v>
      </c>
      <c r="FS172" s="122">
        <v>2039</v>
      </c>
      <c r="FT172" s="122">
        <v>2040</v>
      </c>
      <c r="FU172" s="122">
        <v>2041</v>
      </c>
      <c r="FV172" s="122">
        <v>2042</v>
      </c>
      <c r="FW172" s="122">
        <v>2043</v>
      </c>
      <c r="FX172" s="122">
        <v>2044</v>
      </c>
      <c r="FY172" s="122">
        <v>2045</v>
      </c>
      <c r="FZ172" s="122">
        <v>2046</v>
      </c>
      <c r="GA172" s="122">
        <v>2047</v>
      </c>
      <c r="GB172" s="122">
        <v>2048</v>
      </c>
      <c r="GC172" s="122">
        <v>2049</v>
      </c>
      <c r="GD172" s="122">
        <v>2050</v>
      </c>
      <c r="GE172" s="37" t="s">
        <v>464</v>
      </c>
      <c r="GH172" s="122" t="s">
        <v>3</v>
      </c>
      <c r="GI172" s="122">
        <v>2023</v>
      </c>
      <c r="GJ172" s="122">
        <v>2024</v>
      </c>
      <c r="GK172" s="122">
        <v>2025</v>
      </c>
      <c r="GL172" s="122">
        <v>2026</v>
      </c>
      <c r="GM172" s="122">
        <v>2027</v>
      </c>
      <c r="GN172" s="122">
        <v>2028</v>
      </c>
      <c r="GO172" s="122">
        <v>2029</v>
      </c>
      <c r="GP172" s="122">
        <v>2030</v>
      </c>
      <c r="GQ172" s="122">
        <v>2031</v>
      </c>
      <c r="GR172" s="122">
        <v>2032</v>
      </c>
      <c r="GS172" s="122">
        <v>2033</v>
      </c>
      <c r="GT172" s="122">
        <v>2034</v>
      </c>
      <c r="GU172" s="122">
        <v>2035</v>
      </c>
      <c r="GV172" s="122">
        <v>2036</v>
      </c>
      <c r="GW172" s="122">
        <v>2037</v>
      </c>
      <c r="GX172" s="122">
        <v>2038</v>
      </c>
      <c r="GY172" s="122">
        <v>2039</v>
      </c>
      <c r="GZ172" s="122">
        <v>2040</v>
      </c>
      <c r="HA172" s="122">
        <v>2041</v>
      </c>
      <c r="HB172" s="122">
        <v>2042</v>
      </c>
      <c r="HC172" s="122">
        <v>2043</v>
      </c>
      <c r="HD172" s="122">
        <v>2044</v>
      </c>
      <c r="HE172" s="122">
        <v>2045</v>
      </c>
      <c r="HF172" s="122">
        <v>2046</v>
      </c>
      <c r="HG172" s="122">
        <v>2047</v>
      </c>
      <c r="HH172" s="122">
        <v>2048</v>
      </c>
      <c r="HI172" s="122">
        <v>2049</v>
      </c>
      <c r="HJ172" s="122">
        <v>2050</v>
      </c>
      <c r="HK172" s="37" t="s">
        <v>464</v>
      </c>
    </row>
    <row r="173" spans="22:219" x14ac:dyDescent="0.25">
      <c r="Z173" s="70" t="s">
        <v>187</v>
      </c>
      <c r="AA173" s="125">
        <f>AA61/293.07*(1/(VLOOKUP($Z173,'Fuel economy adjusted factor'!$A$2:$L$52,5,FALSE)*m2k))/'TCO Inputs'!$AZ$84</f>
        <v>85.858921522144314</v>
      </c>
      <c r="AB173" s="125">
        <f>AB61/293.07*(1/(VLOOKUP($Z173,'Fuel economy adjusted factor'!$A$2:$L$52,5,FALSE)*m2k))/'TCO Inputs'!$AZ$84</f>
        <v>85.858921522144314</v>
      </c>
      <c r="AC173" s="125">
        <f>AC61/293.07*(1/(VLOOKUP($Z173,'Fuel economy adjusted factor'!$A$2:$L$52,5,FALSE)*m2k))/'TCO Inputs'!$AZ$84</f>
        <v>75.413803688985098</v>
      </c>
      <c r="AD173" s="125">
        <f>AD61/293.07*(1/(VLOOKUP($Z173,'Fuel economy adjusted factor'!$A$2:$L$52,5,FALSE)*m2k))/'TCO Inputs'!$AZ$84</f>
        <v>75.413803688985098</v>
      </c>
      <c r="AE173" s="125">
        <f>AE61/293.07*(1/(VLOOKUP($Z173,'Fuel economy adjusted factor'!$A$2:$L$52,5,FALSE)*m2k))/'TCO Inputs'!$AZ$84</f>
        <v>75.413803688985098</v>
      </c>
      <c r="AF173" s="125">
        <f>AF61/293.07*(1/(VLOOKUP($Z173,'Fuel economy adjusted factor'!$A$2:$L$52,5,FALSE)*m2k))/'TCO Inputs'!$AZ$84</f>
        <v>75.413803688985098</v>
      </c>
      <c r="AG173" s="125">
        <f>AG61/293.07*(1/(VLOOKUP($Z173,'Fuel economy adjusted factor'!$A$2:$L$52,5,FALSE)*m2k))/'TCO Inputs'!$AZ$84</f>
        <v>75.413803688985098</v>
      </c>
      <c r="AH173" s="125">
        <f>AH61/293.07*(1/(VLOOKUP($Z173,'Fuel economy adjusted factor'!$A$2:$L$52,5,FALSE)*m2k))/'TCO Inputs'!$AZ$84</f>
        <v>28.512008903374049</v>
      </c>
      <c r="AI173" s="125">
        <f>AI61/293.07*(1/(VLOOKUP($Z173,'Fuel economy adjusted factor'!$A$2:$L$52,5,FALSE)*m2k))/'TCO Inputs'!$AZ$84</f>
        <v>28.512008903374049</v>
      </c>
      <c r="AJ173" s="125">
        <f>AJ61/293.07*(1/(VLOOKUP($Z173,'Fuel economy adjusted factor'!$A$2:$L$52,5,FALSE)*m2k))/'TCO Inputs'!$AZ$84</f>
        <v>28.512008903374049</v>
      </c>
      <c r="AK173" s="125">
        <f>AK61/293.07*(1/(VLOOKUP($Z173,'Fuel economy adjusted factor'!$A$2:$L$52,5,FALSE)*m2k))/'TCO Inputs'!$AZ$84</f>
        <v>28.512008903374049</v>
      </c>
      <c r="AL173" s="125">
        <f>AL61/293.07*(1/(VLOOKUP($Z173,'Fuel economy adjusted factor'!$A$2:$L$52,5,FALSE)*m2k))/'TCO Inputs'!$AZ$84</f>
        <v>28.512008903374049</v>
      </c>
      <c r="AM173" s="125">
        <f>AM61/293.07*(1/(VLOOKUP($Z173,'Fuel economy adjusted factor'!$A$2:$L$52,5,FALSE)*m2k))/'TCO Inputs'!$AZ$84</f>
        <v>23.964353077496494</v>
      </c>
      <c r="AN173" s="125">
        <f>AN61/293.07*(1/(VLOOKUP($Z173,'Fuel economy adjusted factor'!$A$2:$L$52,5,FALSE)*m2k))/'TCO Inputs'!$AZ$84</f>
        <v>23.964353077496494</v>
      </c>
      <c r="AO173" s="125">
        <f>AO61/293.07*(1/(VLOOKUP($Z173,'Fuel economy adjusted factor'!$A$2:$L$52,5,FALSE)*m2k))/'TCO Inputs'!$AZ$84</f>
        <v>23.964353077496494</v>
      </c>
      <c r="AP173" s="125">
        <f>AP61/293.07*(1/(VLOOKUP($Z173,'Fuel economy adjusted factor'!$A$2:$L$52,5,FALSE)*m2k))/'TCO Inputs'!$AZ$84</f>
        <v>23.964353077496494</v>
      </c>
      <c r="AQ173" s="125">
        <f>AQ61/293.07*(1/(VLOOKUP($Z173,'Fuel economy adjusted factor'!$A$2:$L$52,5,FALSE)*m2k))/'TCO Inputs'!$AZ$84</f>
        <v>23.964353077496494</v>
      </c>
      <c r="AR173" s="125">
        <f>AR61/293.07*(1/(VLOOKUP($Z173,'Fuel economy adjusted factor'!$A$2:$L$52,5,FALSE)*m2k))/'TCO Inputs'!$AZ$84</f>
        <v>23.964353077496494</v>
      </c>
      <c r="AS173" s="125">
        <f>AS61/293.07*(1/(VLOOKUP($Z173,'Fuel economy adjusted factor'!$A$2:$L$52,5,FALSE)*m2k))/'TCO Inputs'!$AZ$84</f>
        <v>23.964353077496494</v>
      </c>
      <c r="AT173" s="125">
        <f>AT61/293.07*(1/(VLOOKUP($Z173,'Fuel economy adjusted factor'!$A$2:$L$52,5,FALSE)*m2k))/'TCO Inputs'!$AZ$84</f>
        <v>23.964353077496494</v>
      </c>
      <c r="AU173" s="125">
        <f>AU61/293.07*(1/(VLOOKUP($Z173,'Fuel economy adjusted factor'!$A$2:$L$52,5,FALSE)*m2k))/'TCO Inputs'!$AZ$84</f>
        <v>23.964353077496494</v>
      </c>
      <c r="AV173" s="125">
        <f>AV61/293.07*(1/(VLOOKUP($Z173,'Fuel economy adjusted factor'!$A$2:$L$52,5,FALSE)*m2k))/'TCO Inputs'!$AZ$84</f>
        <v>23.964353077496494</v>
      </c>
      <c r="AW173" s="125">
        <f>AW61/293.07*(1/(VLOOKUP($Z173,'Fuel economy adjusted factor'!$A$2:$L$52,5,FALSE)*m2k))/'TCO Inputs'!$AZ$84</f>
        <v>24.077498595643593</v>
      </c>
      <c r="AX173" s="125">
        <f>AX61/293.07*(1/(VLOOKUP($Z173,'Fuel economy adjusted factor'!$A$2:$L$52,5,FALSE)*m2k))/'TCO Inputs'!$AZ$84</f>
        <v>24.077498595643593</v>
      </c>
      <c r="AY173" s="125">
        <f>AY61/293.07*(1/(VLOOKUP($Z173,'Fuel economy adjusted factor'!$A$2:$L$52,5,FALSE)*m2k))/'TCO Inputs'!$AZ$84</f>
        <v>24.077498595643593</v>
      </c>
      <c r="AZ173" s="125">
        <f>AZ61/293.07*(1/(VLOOKUP($Z173,'Fuel economy adjusted factor'!$A$2:$L$52,5,FALSE)*m2k))/'TCO Inputs'!$AZ$84</f>
        <v>24.077498595643593</v>
      </c>
      <c r="BA173" s="125">
        <f>BA61/293.07*(1/(VLOOKUP($Z173,'Fuel economy adjusted factor'!$A$2:$L$52,5,FALSE)*m2k))/'TCO Inputs'!$AZ$84</f>
        <v>24.077498595643593</v>
      </c>
      <c r="BB173" s="125">
        <f>BB61/293.07*(1/(VLOOKUP($Z173,'Fuel economy adjusted factor'!$A$2:$L$52,5,FALSE)*m2k))/'TCO Inputs'!$AZ$84</f>
        <v>24.219757580448437</v>
      </c>
      <c r="BC173" s="98" cm="1">
        <f t="array" ref="BC173">SUMPRODUCT(INDEX(AA173:BB173,,'TCO Inputs'!$AZ$12-2023+_xlfn.SEQUENCE('TCO Inputs'!$AZ$13))*INDEX('VKT US'!C63:AA63,,_xlfn.SEQUENCE('TCO Inputs'!$AZ$13)))*m2k*CONVERT(0.9072,"g","ton")</f>
        <v>20.919092344728092</v>
      </c>
      <c r="BM173" s="70" t="s">
        <v>187</v>
      </c>
      <c r="BN173" s="125">
        <f>BN61/293.07*(1/(VLOOKUP($BM173,'Fuel economy adjusted factor'!$A$2:$L$52,5,FALSE)*m2k))</f>
        <v>72.980083293822659</v>
      </c>
      <c r="BO173" s="125">
        <f>BO61/293.07*(1/(VLOOKUP($BM173,'Fuel economy adjusted factor'!$A$2:$L$52,5,FALSE)*m2k))</f>
        <v>72.980083293822659</v>
      </c>
      <c r="BP173" s="125">
        <f>BP61/293.07*(1/(VLOOKUP($BM173,'Fuel economy adjusted factor'!$A$2:$L$52,5,FALSE)*m2k))</f>
        <v>57.528177032199487</v>
      </c>
      <c r="BQ173" s="125">
        <f>BQ61/293.07*(1/(VLOOKUP($BM173,'Fuel economy adjusted factor'!$A$2:$L$52,5,FALSE)*m2k))</f>
        <v>57.528177032199487</v>
      </c>
      <c r="BR173" s="125">
        <f>BR61/293.07*(1/(VLOOKUP($BM173,'Fuel economy adjusted factor'!$A$2:$L$52,5,FALSE)*m2k))</f>
        <v>57.528177032199487</v>
      </c>
      <c r="BS173" s="125">
        <f>BS61/293.07*(1/(VLOOKUP($BM173,'Fuel economy adjusted factor'!$A$2:$L$52,5,FALSE)*m2k))</f>
        <v>57.528177032199487</v>
      </c>
      <c r="BT173" s="125">
        <f>BT61/293.07*(1/(VLOOKUP($BM173,'Fuel economy adjusted factor'!$A$2:$L$52,5,FALSE)*m2k))</f>
        <v>57.528177032199487</v>
      </c>
      <c r="BU173" s="125">
        <f>BU61/293.07*(1/(VLOOKUP($BM173,'Fuel economy adjusted factor'!$A$2:$L$52,5,FALSE)*m2k))</f>
        <v>3.2496583817303142</v>
      </c>
      <c r="BV173" s="125">
        <f>BV61/293.07*(1/(VLOOKUP($BM173,'Fuel economy adjusted factor'!$A$2:$L$52,5,FALSE)*m2k))</f>
        <v>3.2496583817303142</v>
      </c>
      <c r="BW173" s="125">
        <f>BW61/293.07*(1/(VLOOKUP($BM173,'Fuel economy adjusted factor'!$A$2:$L$52,5,FALSE)*m2k))</f>
        <v>3.2496583817303142</v>
      </c>
      <c r="BX173" s="125">
        <f>BX61/293.07*(1/(VLOOKUP($BM173,'Fuel economy adjusted factor'!$A$2:$L$52,5,FALSE)*m2k))</f>
        <v>3.2496583817303142</v>
      </c>
      <c r="BY173" s="125">
        <f>BY61/293.07*(1/(VLOOKUP($BM173,'Fuel economy adjusted factor'!$A$2:$L$52,5,FALSE)*m2k))</f>
        <v>3.2496583817303142</v>
      </c>
      <c r="BZ173" s="125">
        <f>BZ61/293.07*(1/(VLOOKUP($BM173,'Fuel economy adjusted factor'!$A$2:$L$52,5,FALSE)*m2k))</f>
        <v>3.3891383538087356</v>
      </c>
      <c r="CA173" s="125">
        <f>CA61/293.07*(1/(VLOOKUP($BM173,'Fuel economy adjusted factor'!$A$2:$L$52,5,FALSE)*m2k))</f>
        <v>3.3891383538087356</v>
      </c>
      <c r="CB173" s="125">
        <f>CB61/293.07*(1/(VLOOKUP($BM173,'Fuel economy adjusted factor'!$A$2:$L$52,5,FALSE)*m2k))</f>
        <v>3.3891383538087356</v>
      </c>
      <c r="CC173" s="125">
        <f>CC61/293.07*(1/(VLOOKUP($BM173,'Fuel economy adjusted factor'!$A$2:$L$52,5,FALSE)*m2k))</f>
        <v>3.3891383538087356</v>
      </c>
      <c r="CD173" s="125">
        <f>CD61/293.07*(1/(VLOOKUP($BM173,'Fuel economy adjusted factor'!$A$2:$L$52,5,FALSE)*m2k))</f>
        <v>3.3891383538087356</v>
      </c>
      <c r="CE173" s="125">
        <f>CE61/293.07*(1/(VLOOKUP($BM173,'Fuel economy adjusted factor'!$A$2:$L$52,5,FALSE)*m2k))</f>
        <v>3.4363815701578782</v>
      </c>
      <c r="CF173" s="125">
        <f>CF61/293.07*(1/(VLOOKUP($BM173,'Fuel economy adjusted factor'!$A$2:$L$52,5,FALSE)*m2k))</f>
        <v>3.4363815701578782</v>
      </c>
      <c r="CG173" s="125">
        <f>CG61/293.07*(1/(VLOOKUP($BM173,'Fuel economy adjusted factor'!$A$2:$L$52,5,FALSE)*m2k))</f>
        <v>3.4363815701578782</v>
      </c>
      <c r="CH173" s="125">
        <f>CH61/293.07*(1/(VLOOKUP($BM173,'Fuel economy adjusted factor'!$A$2:$L$52,5,FALSE)*m2k))</f>
        <v>3.4363815701578782</v>
      </c>
      <c r="CI173" s="125">
        <f>CI61/293.07*(1/(VLOOKUP($BM173,'Fuel economy adjusted factor'!$A$2:$L$52,5,FALSE)*m2k))</f>
        <v>3.4363815701578782</v>
      </c>
      <c r="CJ173" s="125">
        <f>CJ61/293.07*(1/(VLOOKUP($BM173,'Fuel economy adjusted factor'!$A$2:$L$52,5,FALSE)*m2k))</f>
        <v>3.5573017072419932</v>
      </c>
      <c r="CK173" s="125">
        <f>CK61/293.07*(1/(VLOOKUP($BM173,'Fuel economy adjusted factor'!$A$2:$L$52,5,FALSE)*m2k))</f>
        <v>3.5573017072419932</v>
      </c>
      <c r="CL173" s="125">
        <f>CL61/293.07*(1/(VLOOKUP($BM173,'Fuel economy adjusted factor'!$A$2:$L$52,5,FALSE)*m2k))</f>
        <v>3.5573017072419932</v>
      </c>
      <c r="CM173" s="125">
        <f>CM61/293.07*(1/(VLOOKUP($BM173,'Fuel economy adjusted factor'!$A$2:$L$52,5,FALSE)*m2k))</f>
        <v>3.5573017072419932</v>
      </c>
      <c r="CN173" s="125">
        <f>CN61/293.07*(1/(VLOOKUP($BM173,'Fuel economy adjusted factor'!$A$2:$L$52,5,FALSE)*m2k))</f>
        <v>3.5573017072419932</v>
      </c>
      <c r="CO173" s="125">
        <f>CO61/293.07*(1/(VLOOKUP($BM173,'Fuel economy adjusted factor'!$A$2:$L$52,5,FALSE)*m2k))</f>
        <v>3.7102797411344555</v>
      </c>
      <c r="CP173" s="98" cm="1">
        <f t="array" ref="CP173">SUMPRODUCT(INDEX(BN173:CO173,,'TCO Inputs'!$AZ$12-2023+_xlfn.SEQUENCE('TCO Inputs'!$AZ$13))*INDEX('VKT US'!C63:AA63,,_xlfn.SEQUENCE('TCO Inputs'!$AZ$13)))*m2k*CONVERT(0.9072,"g","ton")</f>
        <v>13.463402048743815</v>
      </c>
      <c r="CQ173" s="194"/>
      <c r="CR173" s="70" t="s">
        <v>187</v>
      </c>
      <c r="CS173" s="125">
        <f>CS61/293.07*(1/(VLOOKUP($BM173,'Fuel economy adjusted factor'!$A$2:$L$52,5,FALSE)*m2k))/'TCO Inputs'!$AZ$84</f>
        <v>85.858921522144314</v>
      </c>
      <c r="CT173" s="125">
        <f>CT61/293.07*(1/(VLOOKUP($BM173,'Fuel economy adjusted factor'!$A$2:$L$52,5,FALSE)*m2k))</f>
        <v>3.4172593159213198</v>
      </c>
      <c r="CU173" s="125">
        <f>CU61/293.07*(1/(VLOOKUP($BM173,'Fuel economy adjusted factor'!$A$2:$L$52,5,FALSE)*m2k))</f>
        <v>3.4172593159213198</v>
      </c>
      <c r="CV173" s="125">
        <f>CV61/293.07*(1/(VLOOKUP($BM173,'Fuel economy adjusted factor'!$A$2:$L$52,5,FALSE)*m2k))</f>
        <v>3.4172593159213198</v>
      </c>
      <c r="CW173" s="125">
        <f>CW61/293.07*(1/(VLOOKUP($BM173,'Fuel economy adjusted factor'!$A$2:$L$52,5,FALSE)*m2k))</f>
        <v>3.4172593159213198</v>
      </c>
      <c r="CX173" s="125">
        <f>CX61/293.07*(1/(VLOOKUP($BM173,'Fuel economy adjusted factor'!$A$2:$L$52,5,FALSE)*m2k))</f>
        <v>3.4172593159213198</v>
      </c>
      <c r="CY173" s="125">
        <f>CY61/293.07*(1/(VLOOKUP($BM173,'Fuel economy adjusted factor'!$A$2:$L$52,5,FALSE)*m2k))</f>
        <v>3.4172593159213198</v>
      </c>
      <c r="CZ173" s="125">
        <f>CZ61/293.07*(1/(VLOOKUP($BM173,'Fuel economy adjusted factor'!$A$2:$L$52,5,FALSE)*m2k))</f>
        <v>3.4172593159213198</v>
      </c>
      <c r="DA173" s="125">
        <f>DA61/293.07*(1/(VLOOKUP($BM173,'Fuel economy adjusted factor'!$A$2:$L$52,5,FALSE)*m2k))</f>
        <v>3.4172593159213198</v>
      </c>
      <c r="DB173" s="125">
        <f>DB61/293.07*(1/(VLOOKUP($BM173,'Fuel economy adjusted factor'!$A$2:$L$52,5,FALSE)*m2k))</f>
        <v>3.4172593159213198</v>
      </c>
      <c r="DC173" s="125">
        <f>DC61/293.07*(1/(VLOOKUP($BM173,'Fuel economy adjusted factor'!$A$2:$L$52,5,FALSE)*m2k))</f>
        <v>3.4172593159213198</v>
      </c>
      <c r="DD173" s="125">
        <f>DD61/293.07*(1/(VLOOKUP($BM173,'Fuel economy adjusted factor'!$A$2:$L$52,5,FALSE)*m2k))</f>
        <v>3.4172593159213198</v>
      </c>
      <c r="DE173" s="125">
        <f>DE61/293.07*(1/(VLOOKUP($BM173,'Fuel economy adjusted factor'!$A$2:$L$52,5,FALSE)*m2k))</f>
        <v>3.5151202640731158</v>
      </c>
      <c r="DF173" s="125">
        <f>DF61/293.07*(1/(VLOOKUP($BM173,'Fuel economy adjusted factor'!$A$2:$L$52,5,FALSE)*m2k))</f>
        <v>3.5151202640731158</v>
      </c>
      <c r="DG173" s="125">
        <f>DG61/293.07*(1/(VLOOKUP($BM173,'Fuel economy adjusted factor'!$A$2:$L$52,5,FALSE)*m2k))</f>
        <v>3.5151202640731158</v>
      </c>
      <c r="DH173" s="125">
        <f>DH61/293.07*(1/(VLOOKUP($BM173,'Fuel economy adjusted factor'!$A$2:$L$52,5,FALSE)*m2k))</f>
        <v>3.5151202640731158</v>
      </c>
      <c r="DI173" s="125">
        <f>DI61/293.07*(1/(VLOOKUP($BM173,'Fuel economy adjusted factor'!$A$2:$L$52,5,FALSE)*m2k))</f>
        <v>3.5151202640731158</v>
      </c>
      <c r="DJ173" s="125">
        <f>DJ61/293.07*(1/(VLOOKUP($BM173,'Fuel economy adjusted factor'!$A$2:$L$52,5,FALSE)*m2k))</f>
        <v>3.6979065178049177</v>
      </c>
      <c r="DK173" s="125">
        <f>DK61/293.07*(1/(VLOOKUP($BM173,'Fuel economy adjusted factor'!$A$2:$L$52,5,FALSE)*m2k))</f>
        <v>3.6979065178049177</v>
      </c>
      <c r="DL173" s="125">
        <f>DL61/293.07*(1/(VLOOKUP($BM173,'Fuel economy adjusted factor'!$A$2:$L$52,5,FALSE)*m2k))</f>
        <v>3.6979065178049177</v>
      </c>
      <c r="DM173" s="125">
        <f>DM61/293.07*(1/(VLOOKUP($BM173,'Fuel economy adjusted factor'!$A$2:$L$52,5,FALSE)*m2k))</f>
        <v>3.6979065178049177</v>
      </c>
      <c r="DN173" s="125">
        <f>DN61/293.07*(1/(VLOOKUP($BM173,'Fuel economy adjusted factor'!$A$2:$L$52,5,FALSE)*m2k))</f>
        <v>3.6979065178049177</v>
      </c>
      <c r="DO173" s="125">
        <f>DO61/293.07*(1/(VLOOKUP($BM173,'Fuel economy adjusted factor'!$A$2:$L$52,5,FALSE)*m2k))</f>
        <v>3.8188266548890328</v>
      </c>
      <c r="DP173" s="125">
        <f>DP61/293.07*(1/(VLOOKUP($BM173,'Fuel economy adjusted factor'!$A$2:$L$52,5,FALSE)*m2k))</f>
        <v>3.8188266548890328</v>
      </c>
      <c r="DQ173" s="125">
        <f>DQ61/293.07*(1/(VLOOKUP($BM173,'Fuel economy adjusted factor'!$A$2:$L$52,5,FALSE)*m2k))</f>
        <v>3.8188266548890328</v>
      </c>
      <c r="DR173" s="125">
        <f>DR61/293.07*(1/(VLOOKUP($BM173,'Fuel economy adjusted factor'!$A$2:$L$52,5,FALSE)*m2k))</f>
        <v>3.8188266548890328</v>
      </c>
      <c r="DS173" s="125">
        <f>DS61/293.07*(1/(VLOOKUP($BM173,'Fuel economy adjusted factor'!$A$2:$L$52,5,FALSE)*m2k))</f>
        <v>3.8188266548890328</v>
      </c>
      <c r="DT173" s="125">
        <f>DT61/293.07*(1/(VLOOKUP($BM173,'Fuel economy adjusted factor'!$A$2:$L$52,5,FALSE)*m2k))</f>
        <v>3.9723671080237466</v>
      </c>
      <c r="DU173" s="98" cm="1">
        <f t="array" ref="DU173">SUMPRODUCT(INDEX(CS173:DT173,,'TCO Inputs'!$AZ$12-2023+_xlfn.SEQUENCE('TCO Inputs'!$AZ$13))*INDEX('VKT US'!C63:AA63,,_xlfn.SEQUENCE('TCO Inputs'!$AZ$13)))*m2k*CONVERT(0.9072,"g","ton")</f>
        <v>3.9572338808136625</v>
      </c>
      <c r="DW173" s="70" t="s">
        <v>187</v>
      </c>
      <c r="DX173" s="125">
        <f>DX61/293.07*(1/(VLOOKUP($BM173,'Fuel economy adjusted factor'!$A$2:$L$52,5,FALSE)*m2k))/'TCO Inputs'!$AZ$84</f>
        <v>113.4349677921855</v>
      </c>
      <c r="DY173" s="125">
        <f>DY61/293.07*(1/(VLOOKUP($BM173,'Fuel economy adjusted factor'!$A$2:$L$52,5,FALSE)*m2k))/'TCO Inputs'!$AZ$84</f>
        <v>113.4349677921855</v>
      </c>
      <c r="DZ173" s="125">
        <f>DZ61/293.07*(1/(VLOOKUP($BM173,'Fuel economy adjusted factor'!$A$2:$L$52,5,FALSE)*m2k))/'TCO Inputs'!$AZ$84</f>
        <v>99.241777744486015</v>
      </c>
      <c r="EA173" s="125">
        <f>EA61/293.07*(1/(VLOOKUP($BM173,'Fuel economy adjusted factor'!$A$2:$L$52,5,FALSE)*m2k))/'TCO Inputs'!$AZ$84</f>
        <v>99.241777744486015</v>
      </c>
      <c r="EB173" s="125">
        <f>EB61/293.07*(1/(VLOOKUP($BM173,'Fuel economy adjusted factor'!$A$2:$L$52,5,FALSE)*m2k))/'TCO Inputs'!$AZ$84</f>
        <v>99.241777744486015</v>
      </c>
      <c r="EC173" s="125">
        <f>EC61/293.07*(1/(VLOOKUP($BM173,'Fuel economy adjusted factor'!$A$2:$L$52,5,FALSE)*m2k))/'TCO Inputs'!$AZ$84</f>
        <v>99.241777744486015</v>
      </c>
      <c r="ED173" s="125">
        <f>ED61/293.07*(1/(VLOOKUP($BM173,'Fuel economy adjusted factor'!$A$2:$L$52,5,FALSE)*m2k))/'TCO Inputs'!$AZ$84</f>
        <v>99.241777744486015</v>
      </c>
      <c r="EE173" s="125">
        <f>EE61/293.07*(1/(VLOOKUP($BM173,'Fuel economy adjusted factor'!$A$2:$L$52,5,FALSE)*m2k))/'TCO Inputs'!$AZ$84</f>
        <v>61.744422291380559</v>
      </c>
      <c r="EF173" s="125">
        <f>EF61/293.07*(1/(VLOOKUP($BM173,'Fuel economy adjusted factor'!$A$2:$L$52,5,FALSE)*m2k))/'TCO Inputs'!$AZ$84</f>
        <v>61.744422291380559</v>
      </c>
      <c r="EG173" s="125">
        <f>EG61/293.07*(1/(VLOOKUP($BM173,'Fuel economy adjusted factor'!$A$2:$L$52,5,FALSE)*m2k))/'TCO Inputs'!$AZ$84</f>
        <v>61.744422291380559</v>
      </c>
      <c r="EH173" s="125">
        <f>EH61/293.07*(1/(VLOOKUP($BM173,'Fuel economy adjusted factor'!$A$2:$L$52,5,FALSE)*m2k))/'TCO Inputs'!$AZ$84</f>
        <v>61.744422291380559</v>
      </c>
      <c r="EI173" s="125">
        <f>EI61/293.07*(1/(VLOOKUP($BM173,'Fuel economy adjusted factor'!$A$2:$L$52,5,FALSE)*m2k))/'TCO Inputs'!$AZ$84</f>
        <v>61.744422291380559</v>
      </c>
      <c r="EJ173" s="125">
        <f>EJ61/293.07*(1/(VLOOKUP($BM173,'Fuel economy adjusted factor'!$A$2:$L$52,5,FALSE)*m2k))/'TCO Inputs'!$AZ$84</f>
        <v>54.977482271460858</v>
      </c>
      <c r="EK173" s="125">
        <f>EK61/293.07*(1/(VLOOKUP($BM173,'Fuel economy adjusted factor'!$A$2:$L$52,5,FALSE)*m2k))/'TCO Inputs'!$AZ$84</f>
        <v>54.977482271460858</v>
      </c>
      <c r="EL173" s="125">
        <f>EL61/293.07*(1/(VLOOKUP($BM173,'Fuel economy adjusted factor'!$A$2:$L$52,5,FALSE)*m2k))/'TCO Inputs'!$AZ$84</f>
        <v>54.977482271460858</v>
      </c>
      <c r="EM173" s="125">
        <f>EM61/293.07*(1/(VLOOKUP($BM173,'Fuel economy adjusted factor'!$A$2:$L$52,5,FALSE)*m2k))/'TCO Inputs'!$AZ$84</f>
        <v>54.977482271460858</v>
      </c>
      <c r="EN173" s="125">
        <f>EN61/293.07*(1/(VLOOKUP($BM173,'Fuel economy adjusted factor'!$A$2:$L$52,5,FALSE)*m2k))/'TCO Inputs'!$AZ$84</f>
        <v>54.977482271460858</v>
      </c>
      <c r="EO173" s="125">
        <f>EO61/293.07*(1/(VLOOKUP($BM173,'Fuel economy adjusted factor'!$A$2:$L$52,5,FALSE)*m2k))/'TCO Inputs'!$AZ$84</f>
        <v>53.420933856792452</v>
      </c>
      <c r="EP173" s="125">
        <f>EP61/293.07*(1/(VLOOKUP($BM173,'Fuel economy adjusted factor'!$A$2:$L$52,5,FALSE)*m2k))/'TCO Inputs'!$AZ$84</f>
        <v>53.420933856792452</v>
      </c>
      <c r="EQ173" s="125">
        <f>EQ61/293.07*(1/(VLOOKUP($BM173,'Fuel economy adjusted factor'!$A$2:$L$52,5,FALSE)*m2k))/'TCO Inputs'!$AZ$84</f>
        <v>53.420933856792452</v>
      </c>
      <c r="ER173" s="125">
        <f>ER61/293.07*(1/(VLOOKUP($BM173,'Fuel economy adjusted factor'!$A$2:$L$52,5,FALSE)*m2k))/'TCO Inputs'!$AZ$84</f>
        <v>53.420933856792452</v>
      </c>
      <c r="ES173" s="125">
        <f>ES61/293.07*(1/(VLOOKUP($BM173,'Fuel economy adjusted factor'!$A$2:$L$52,5,FALSE)*m2k))/'TCO Inputs'!$AZ$84</f>
        <v>53.420933856792452</v>
      </c>
      <c r="ET173" s="125">
        <f>ET61/293.07*(1/(VLOOKUP($BM173,'Fuel economy adjusted factor'!$A$2:$L$52,5,FALSE)*m2k))/'TCO Inputs'!$AZ$84</f>
        <v>51.53032435673201</v>
      </c>
      <c r="EU173" s="125">
        <f>EU61/293.07*(1/(VLOOKUP($BM173,'Fuel economy adjusted factor'!$A$2:$L$52,5,FALSE)*m2k))/'TCO Inputs'!$AZ$84</f>
        <v>51.53032435673201</v>
      </c>
      <c r="EV173" s="125">
        <f>EV61/293.07*(1/(VLOOKUP($BM173,'Fuel economy adjusted factor'!$A$2:$L$52,5,FALSE)*m2k))/'TCO Inputs'!$AZ$84</f>
        <v>51.53032435673201</v>
      </c>
      <c r="EW173" s="125">
        <f>EW61/293.07*(1/(VLOOKUP($BM173,'Fuel economy adjusted factor'!$A$2:$L$52,5,FALSE)*m2k))/'TCO Inputs'!$AZ$84</f>
        <v>51.53032435673201</v>
      </c>
      <c r="EX173" s="125">
        <f>EX61/293.07*(1/(VLOOKUP($BM173,'Fuel economy adjusted factor'!$A$2:$L$52,5,FALSE)*m2k))/'TCO Inputs'!$AZ$84</f>
        <v>51.53032435673201</v>
      </c>
      <c r="EY173" s="125">
        <f>EY61/293.07*(1/(VLOOKUP($BM173,'Fuel economy adjusted factor'!$A$2:$L$52,5,FALSE)*m2k))/'TCO Inputs'!$AZ$84</f>
        <v>48.517365742440788</v>
      </c>
      <c r="EZ173" s="98" cm="1">
        <f t="array" ref="EZ173">SUMPRODUCT(INDEX(DX173:EY173,,'TCO Inputs'!$AZ$12-2023+_xlfn.SEQUENCE('TCO Inputs'!$AZ$13))*INDEX('VKT US'!C63:AA63,,_xlfn.SEQUENCE('TCO Inputs'!$AZ$13)))*m2k*CONVERT(0.9072,"g","ton")</f>
        <v>31.625757348712913</v>
      </c>
      <c r="FB173" s="70" t="s">
        <v>187</v>
      </c>
      <c r="FC173" s="125">
        <f>FC61/293.07*(1/(VLOOKUP($BM173,'Fuel economy adjusted factor'!$A$2:$L$52,5,FALSE)*m2k))/'TCO Inputs'!$AZ$84</f>
        <v>122.62445151048775</v>
      </c>
      <c r="FD173" s="125">
        <f>FD61/293.07*(1/(VLOOKUP($BM173,'Fuel economy adjusted factor'!$A$2:$L$52,5,FALSE)*m2k))/'TCO Inputs'!$AZ$84</f>
        <v>122.62445151048775</v>
      </c>
      <c r="FE173" s="125">
        <f>FE61/293.07*(1/(VLOOKUP($BM173,'Fuel economy adjusted factor'!$A$2:$L$52,5,FALSE)*m2k))/'TCO Inputs'!$AZ$84</f>
        <v>106.90835948837517</v>
      </c>
      <c r="FF173" s="125">
        <f>FF61/293.07*(1/(VLOOKUP($BM173,'Fuel economy adjusted factor'!$A$2:$L$52,5,FALSE)*m2k))/'TCO Inputs'!$AZ$84</f>
        <v>106.90835948837517</v>
      </c>
      <c r="FG173" s="125">
        <f>FG61/293.07*(1/(VLOOKUP($BM173,'Fuel economy adjusted factor'!$A$2:$L$52,5,FALSE)*m2k))/'TCO Inputs'!$AZ$84</f>
        <v>106.90835948837517</v>
      </c>
      <c r="FH173" s="125">
        <f>FH61/293.07*(1/(VLOOKUP($BM173,'Fuel economy adjusted factor'!$A$2:$L$52,5,FALSE)*m2k))/'TCO Inputs'!$AZ$84</f>
        <v>106.90835948837517</v>
      </c>
      <c r="FI173" s="125">
        <f>FI61/293.07*(1/(VLOOKUP($BM173,'Fuel economy adjusted factor'!$A$2:$L$52,5,FALSE)*m2k))/'TCO Inputs'!$AZ$84</f>
        <v>106.90835948837517</v>
      </c>
      <c r="FJ173" s="125">
        <f>FJ61/293.07*(1/(VLOOKUP($BM173,'Fuel economy adjusted factor'!$A$2:$L$52,5,FALSE)*m2k))/'TCO Inputs'!$AZ$84</f>
        <v>67.620532750254853</v>
      </c>
      <c r="FK173" s="125">
        <f>FK61/293.07*(1/(VLOOKUP($BM173,'Fuel economy adjusted factor'!$A$2:$L$52,5,FALSE)*m2k))/'TCO Inputs'!$AZ$84</f>
        <v>67.620532750254853</v>
      </c>
      <c r="FL173" s="125">
        <f>FL61/293.07*(1/(VLOOKUP($BM173,'Fuel economy adjusted factor'!$A$2:$L$52,5,FALSE)*m2k))/'TCO Inputs'!$AZ$84</f>
        <v>67.620532750254853</v>
      </c>
      <c r="FM173" s="125">
        <f>FM61/293.07*(1/(VLOOKUP($BM173,'Fuel economy adjusted factor'!$A$2:$L$52,5,FALSE)*m2k))/'TCO Inputs'!$AZ$84</f>
        <v>67.620532750254853</v>
      </c>
      <c r="FN173" s="125">
        <f>FN61/293.07*(1/(VLOOKUP($BM173,'Fuel economy adjusted factor'!$A$2:$L$52,5,FALSE)*m2k))/'TCO Inputs'!$AZ$84</f>
        <v>67.620532750254853</v>
      </c>
      <c r="FO173" s="125">
        <f>FO61/293.07*(1/(VLOOKUP($BM173,'Fuel economy adjusted factor'!$A$2:$L$52,5,FALSE)*m2k))/'TCO Inputs'!$AZ$84</f>
        <v>59.892265865897627</v>
      </c>
      <c r="FP173" s="125">
        <f>FP61/293.07*(1/(VLOOKUP($BM173,'Fuel economy adjusted factor'!$A$2:$L$52,5,FALSE)*m2k))/'TCO Inputs'!$AZ$84</f>
        <v>59.892265865897627</v>
      </c>
      <c r="FQ173" s="125">
        <f>FQ61/293.07*(1/(VLOOKUP($BM173,'Fuel economy adjusted factor'!$A$2:$L$52,5,FALSE)*m2k))/'TCO Inputs'!$AZ$84</f>
        <v>59.892265865897627</v>
      </c>
      <c r="FR173" s="125">
        <f>FR61/293.07*(1/(VLOOKUP($BM173,'Fuel economy adjusted factor'!$A$2:$L$52,5,FALSE)*m2k))/'TCO Inputs'!$AZ$84</f>
        <v>59.892265865897627</v>
      </c>
      <c r="FS173" s="125">
        <f>FS61/293.07*(1/(VLOOKUP($BM173,'Fuel economy adjusted factor'!$A$2:$L$52,5,FALSE)*m2k))/'TCO Inputs'!$AZ$84</f>
        <v>59.892265865897627</v>
      </c>
      <c r="FT173" s="125">
        <f>FT61/293.07*(1/(VLOOKUP($BM173,'Fuel economy adjusted factor'!$A$2:$L$52,5,FALSE)*m2k))/'TCO Inputs'!$AZ$84</f>
        <v>58.52477840123526</v>
      </c>
      <c r="FU173" s="125">
        <f>FU61/293.07*(1/(VLOOKUP($BM173,'Fuel economy adjusted factor'!$A$2:$L$52,5,FALSE)*m2k))/'TCO Inputs'!$AZ$84</f>
        <v>58.52477840123526</v>
      </c>
      <c r="FV173" s="125">
        <f>FV61/293.07*(1/(VLOOKUP($BM173,'Fuel economy adjusted factor'!$A$2:$L$52,5,FALSE)*m2k))/'TCO Inputs'!$AZ$84</f>
        <v>58.52477840123526</v>
      </c>
      <c r="FW173" s="125">
        <f>FW61/293.07*(1/(VLOOKUP($BM173,'Fuel economy adjusted factor'!$A$2:$L$52,5,FALSE)*m2k))/'TCO Inputs'!$AZ$84</f>
        <v>58.52477840123526</v>
      </c>
      <c r="FX173" s="125">
        <f>FX61/293.07*(1/(VLOOKUP($BM173,'Fuel economy adjusted factor'!$A$2:$L$52,5,FALSE)*m2k))/'TCO Inputs'!$AZ$84</f>
        <v>58.52477840123526</v>
      </c>
      <c r="FY173" s="125">
        <f>FY61/293.07*(1/(VLOOKUP($BM173,'Fuel economy adjusted factor'!$A$2:$L$52,5,FALSE)*m2k))/'TCO Inputs'!$AZ$84</f>
        <v>56.630964478293372</v>
      </c>
      <c r="FZ173" s="125">
        <f>FZ61/293.07*(1/(VLOOKUP($BM173,'Fuel economy adjusted factor'!$A$2:$L$52,5,FALSE)*m2k))/'TCO Inputs'!$AZ$84</f>
        <v>56.630964478293372</v>
      </c>
      <c r="GA173" s="125">
        <f>GA61/293.07*(1/(VLOOKUP($BM173,'Fuel economy adjusted factor'!$A$2:$L$52,5,FALSE)*m2k))/'TCO Inputs'!$AZ$84</f>
        <v>56.630964478293372</v>
      </c>
      <c r="GB173" s="125">
        <f>GB61/293.07*(1/(VLOOKUP($BM173,'Fuel economy adjusted factor'!$A$2:$L$52,5,FALSE)*m2k))/'TCO Inputs'!$AZ$84</f>
        <v>56.630964478293372</v>
      </c>
      <c r="GC173" s="125">
        <f>GC61/293.07*(1/(VLOOKUP($BM173,'Fuel economy adjusted factor'!$A$2:$L$52,5,FALSE)*m2k))/'TCO Inputs'!$AZ$84</f>
        <v>56.630964478293372</v>
      </c>
      <c r="GD173" s="125">
        <f>GD61/293.07*(1/(VLOOKUP($BM173,'Fuel economy adjusted factor'!$A$2:$L$52,5,FALSE)*m2k))/'TCO Inputs'!$AZ$84</f>
        <v>53.515464331795485</v>
      </c>
      <c r="GE173" s="98" cm="1">
        <f t="array" ref="GE173">SUMPRODUCT(INDEX(FC173:GD173,,'TCO Inputs'!$AZ$12-2023+_xlfn.SEQUENCE('TCO Inputs'!$AZ$13))*INDEX('VKT US'!C63:AA63,,_xlfn.SEQUENCE('TCO Inputs'!$AZ$13)))*m2k*CONVERT(0.9072,"g","ton")</f>
        <v>34.263665344148841</v>
      </c>
      <c r="GH173" s="70" t="s">
        <v>187</v>
      </c>
      <c r="GI173" s="125">
        <f>GI61/293.07*(1/(VLOOKUP($GH173,'Fuel economy adjusted factor'!$A$2:$L$52,5,FALSE)*m2k))/'TCO Inputs'!$AZ$84</f>
        <v>215.86973857013723</v>
      </c>
      <c r="GJ173" s="125">
        <f>GJ61/293.07*(1/(VLOOKUP($GH173,'Fuel economy adjusted factor'!$A$2:$L$52,5,FALSE)*m2k))/'TCO Inputs'!$AZ$84</f>
        <v>215.86973857013723</v>
      </c>
      <c r="GK173" s="125">
        <f>GK61/293.07*(1/(VLOOKUP($GH173,'Fuel economy adjusted factor'!$A$2:$L$52,5,FALSE)*m2k))/'TCO Inputs'!$AZ$84</f>
        <v>215.86973857013723</v>
      </c>
      <c r="GL173" s="125">
        <f>GL61/293.07*(1/(VLOOKUP($GH173,'Fuel economy adjusted factor'!$A$2:$L$52,5,FALSE)*m2k))/'TCO Inputs'!$AZ$84</f>
        <v>215.86973857013723</v>
      </c>
      <c r="GM173" s="125">
        <f>GM61/293.07*(1/(VLOOKUP($GH173,'Fuel economy adjusted factor'!$A$2:$L$52,5,FALSE)*m2k))/'TCO Inputs'!$AZ$84</f>
        <v>215.86973857013723</v>
      </c>
      <c r="GN173" s="125">
        <f>GN61/293.07*(1/(VLOOKUP($GH173,'Fuel economy adjusted factor'!$A$2:$L$52,5,FALSE)*m2k))/'TCO Inputs'!$AZ$84</f>
        <v>215.86973857013723</v>
      </c>
      <c r="GO173" s="125">
        <f>GO61/293.07*(1/(VLOOKUP($GH173,'Fuel economy adjusted factor'!$A$2:$L$52,5,FALSE)*m2k))/'TCO Inputs'!$AZ$84</f>
        <v>215.86973857013723</v>
      </c>
      <c r="GP173" s="125">
        <f>GP61/293.07*(1/(VLOOKUP($GH173,'Fuel economy adjusted factor'!$A$2:$L$52,5,FALSE)*m2k))/'TCO Inputs'!$AZ$84</f>
        <v>215.86973857013723</v>
      </c>
      <c r="GQ173" s="125">
        <f>GQ61/293.07*(1/(VLOOKUP($GH173,'Fuel economy adjusted factor'!$A$2:$L$52,5,FALSE)*m2k))/'TCO Inputs'!$AZ$84</f>
        <v>215.86973857013723</v>
      </c>
      <c r="GR173" s="125">
        <f>GR61/293.07*(1/(VLOOKUP($GH173,'Fuel economy adjusted factor'!$A$2:$L$52,5,FALSE)*m2k))/'TCO Inputs'!$AZ$84</f>
        <v>215.86973857013723</v>
      </c>
      <c r="GS173" s="125">
        <f>GS61/293.07*(1/(VLOOKUP($GH173,'Fuel economy adjusted factor'!$A$2:$L$52,5,FALSE)*m2k))/'TCO Inputs'!$AZ$84</f>
        <v>215.86973857013723</v>
      </c>
      <c r="GT173" s="125">
        <f>GT61/293.07*(1/(VLOOKUP($GH173,'Fuel economy adjusted factor'!$A$2:$L$52,5,FALSE)*m2k))/'TCO Inputs'!$AZ$84</f>
        <v>215.86973857013723</v>
      </c>
      <c r="GU173" s="125">
        <f>GU61/293.07*(1/(VLOOKUP($GH173,'Fuel economy adjusted factor'!$A$2:$L$52,5,FALSE)*m2k))/'TCO Inputs'!$AZ$84</f>
        <v>215.86973857013723</v>
      </c>
      <c r="GV173" s="125">
        <f>GV61/293.07*(1/(VLOOKUP($GH173,'Fuel economy adjusted factor'!$A$2:$L$52,5,FALSE)*m2k))/'TCO Inputs'!$AZ$84</f>
        <v>215.86973857013723</v>
      </c>
      <c r="GW173" s="125">
        <f>GW61/293.07*(1/(VLOOKUP($GH173,'Fuel economy adjusted factor'!$A$2:$L$52,5,FALSE)*m2k))/'TCO Inputs'!$AZ$84</f>
        <v>215.86973857013723</v>
      </c>
      <c r="GX173" s="125">
        <f>GX61/293.07*(1/(VLOOKUP($GH173,'Fuel economy adjusted factor'!$A$2:$L$52,5,FALSE)*m2k))/'TCO Inputs'!$AZ$84</f>
        <v>215.86973857013723</v>
      </c>
      <c r="GY173" s="125">
        <f>GY61/293.07*(1/(VLOOKUP($GH173,'Fuel economy adjusted factor'!$A$2:$L$52,5,FALSE)*m2k))/'TCO Inputs'!$AZ$84</f>
        <v>215.86973857013723</v>
      </c>
      <c r="GZ173" s="125">
        <f>GZ61/293.07*(1/(VLOOKUP($GH173,'Fuel economy adjusted factor'!$A$2:$L$52,5,FALSE)*m2k))/'TCO Inputs'!$AZ$84</f>
        <v>215.86973857013723</v>
      </c>
      <c r="HA173" s="125">
        <f>HA61/293.07*(1/(VLOOKUP($GH173,'Fuel economy adjusted factor'!$A$2:$L$52,5,FALSE)*m2k))/'TCO Inputs'!$AZ$84</f>
        <v>215.86973857013723</v>
      </c>
      <c r="HB173" s="125">
        <f>HB61/293.07*(1/(VLOOKUP($GH173,'Fuel economy adjusted factor'!$A$2:$L$52,5,FALSE)*m2k))/'TCO Inputs'!$AZ$84</f>
        <v>215.86973857013723</v>
      </c>
      <c r="HC173" s="125">
        <f>HC61/293.07*(1/(VLOOKUP($GH173,'Fuel economy adjusted factor'!$A$2:$L$52,5,FALSE)*m2k))/'TCO Inputs'!$AZ$84</f>
        <v>215.86973857013723</v>
      </c>
      <c r="HD173" s="125">
        <f>HD61/293.07*(1/(VLOOKUP($GH173,'Fuel economy adjusted factor'!$A$2:$L$52,5,FALSE)*m2k))/'TCO Inputs'!$AZ$84</f>
        <v>215.86973857013723</v>
      </c>
      <c r="HE173" s="125">
        <f>HE61/293.07*(1/(VLOOKUP($GH173,'Fuel economy adjusted factor'!$A$2:$L$52,5,FALSE)*m2k))/'TCO Inputs'!$AZ$84</f>
        <v>215.86973857013723</v>
      </c>
      <c r="HF173" s="125">
        <f>HF61/293.07*(1/(VLOOKUP($GH173,'Fuel economy adjusted factor'!$A$2:$L$52,5,FALSE)*m2k))/'TCO Inputs'!$AZ$84</f>
        <v>215.86973857013723</v>
      </c>
      <c r="HG173" s="125">
        <f>HG61/293.07*(1/(VLOOKUP($GH173,'Fuel economy adjusted factor'!$A$2:$L$52,5,FALSE)*m2k))/'TCO Inputs'!$AZ$84</f>
        <v>215.86973857013723</v>
      </c>
      <c r="HH173" s="125">
        <f>HH61/293.07*(1/(VLOOKUP($GH173,'Fuel economy adjusted factor'!$A$2:$L$52,5,FALSE)*m2k))/'TCO Inputs'!$AZ$84</f>
        <v>215.86973857013723</v>
      </c>
      <c r="HI173" s="125">
        <f>HI61/293.07*(1/(VLOOKUP($GH173,'Fuel economy adjusted factor'!$A$2:$L$52,5,FALSE)*m2k))/'TCO Inputs'!$AZ$84</f>
        <v>215.86973857013723</v>
      </c>
      <c r="HJ173" s="125">
        <f>HJ61/293.07*(1/(VLOOKUP($GH173,'Fuel economy adjusted factor'!$A$2:$L$52,5,FALSE)*m2k))/'TCO Inputs'!$AZ$84</f>
        <v>215.86973857013723</v>
      </c>
      <c r="HK173" s="98" cm="1">
        <f t="array" ref="HK173">SUMPRODUCT(INDEX(GI173:HJ173,,'TCO Inputs'!$AZ$12-2023+_xlfn.SEQUENCE('TCO Inputs'!$AZ$13))*INDEX('VKT US'!C63:AA63,,_xlfn.SEQUENCE('TCO Inputs'!$AZ$13)))*m2k*CONVERT(0.9072,"g","ton")</f>
        <v>81.308292833885943</v>
      </c>
    </row>
    <row r="174" spans="22:219" x14ac:dyDescent="0.25">
      <c r="Z174" s="123" t="s">
        <v>231</v>
      </c>
      <c r="AA174" s="125">
        <f>AA62/293.07*(1/(VLOOKUP($Z174,'Fuel economy adjusted factor'!$A$2:$L$52,5,FALSE)*m2k))/'TCO Inputs'!$AZ$84</f>
        <v>204.93193394801827</v>
      </c>
      <c r="AB174" s="125">
        <f>AB62/293.07*(1/(VLOOKUP($Z174,'Fuel economy adjusted factor'!$A$2:$L$52,5,FALSE)*m2k))/'TCO Inputs'!$AZ$84</f>
        <v>204.93193394801827</v>
      </c>
      <c r="AC174" s="125">
        <f>AC62/293.07*(1/(VLOOKUP($Z174,'Fuel economy adjusted factor'!$A$2:$L$52,5,FALSE)*m2k))/'TCO Inputs'!$AZ$84</f>
        <v>180.00105711057543</v>
      </c>
      <c r="AD174" s="125">
        <f>AD62/293.07*(1/(VLOOKUP($Z174,'Fuel economy adjusted factor'!$A$2:$L$52,5,FALSE)*m2k))/'TCO Inputs'!$AZ$84</f>
        <v>180.00105711057543</v>
      </c>
      <c r="AE174" s="125">
        <f>AE62/293.07*(1/(VLOOKUP($Z174,'Fuel economy adjusted factor'!$A$2:$L$52,5,FALSE)*m2k))/'TCO Inputs'!$AZ$84</f>
        <v>180.00105711057543</v>
      </c>
      <c r="AF174" s="125">
        <f>AF62/293.07*(1/(VLOOKUP($Z174,'Fuel economy adjusted factor'!$A$2:$L$52,5,FALSE)*m2k))/'TCO Inputs'!$AZ$84</f>
        <v>180.00105711057543</v>
      </c>
      <c r="AG174" s="125">
        <f>AG62/293.07*(1/(VLOOKUP($Z174,'Fuel economy adjusted factor'!$A$2:$L$52,5,FALSE)*m2k))/'TCO Inputs'!$AZ$84</f>
        <v>180.00105711057543</v>
      </c>
      <c r="AH174" s="125">
        <f>AH62/293.07*(1/(VLOOKUP($Z174,'Fuel economy adjusted factor'!$A$2:$L$52,5,FALSE)*m2k))/'TCO Inputs'!$AZ$84</f>
        <v>68.05374469797593</v>
      </c>
      <c r="AI174" s="125">
        <f>AI62/293.07*(1/(VLOOKUP($Z174,'Fuel economy adjusted factor'!$A$2:$L$52,5,FALSE)*m2k))/'TCO Inputs'!$AZ$84</f>
        <v>68.05374469797593</v>
      </c>
      <c r="AJ174" s="125">
        <f>AJ62/293.07*(1/(VLOOKUP($Z174,'Fuel economy adjusted factor'!$A$2:$L$52,5,FALSE)*m2k))/'TCO Inputs'!$AZ$84</f>
        <v>68.05374469797593</v>
      </c>
      <c r="AK174" s="125">
        <f>AK62/293.07*(1/(VLOOKUP($Z174,'Fuel economy adjusted factor'!$A$2:$L$52,5,FALSE)*m2k))/'TCO Inputs'!$AZ$84</f>
        <v>68.05374469797593</v>
      </c>
      <c r="AL174" s="125">
        <f>AL62/293.07*(1/(VLOOKUP($Z174,'Fuel economy adjusted factor'!$A$2:$L$52,5,FALSE)*m2k))/'TCO Inputs'!$AZ$84</f>
        <v>68.05374469797593</v>
      </c>
      <c r="AM174" s="125">
        <f>AM62/293.07*(1/(VLOOKUP($Z174,'Fuel economy adjusted factor'!$A$2:$L$52,5,FALSE)*m2k))/'TCO Inputs'!$AZ$84</f>
        <v>57.199195318541982</v>
      </c>
      <c r="AN174" s="125">
        <f>AN62/293.07*(1/(VLOOKUP($Z174,'Fuel economy adjusted factor'!$A$2:$L$52,5,FALSE)*m2k))/'TCO Inputs'!$AZ$84</f>
        <v>57.199195318541982</v>
      </c>
      <c r="AO174" s="125">
        <f>AO62/293.07*(1/(VLOOKUP($Z174,'Fuel economy adjusted factor'!$A$2:$L$52,5,FALSE)*m2k))/'TCO Inputs'!$AZ$84</f>
        <v>57.199195318541982</v>
      </c>
      <c r="AP174" s="125">
        <f>AP62/293.07*(1/(VLOOKUP($Z174,'Fuel economy adjusted factor'!$A$2:$L$52,5,FALSE)*m2k))/'TCO Inputs'!$AZ$84</f>
        <v>57.199195318541982</v>
      </c>
      <c r="AQ174" s="125">
        <f>AQ62/293.07*(1/(VLOOKUP($Z174,'Fuel economy adjusted factor'!$A$2:$L$52,5,FALSE)*m2k))/'TCO Inputs'!$AZ$84</f>
        <v>57.199195318541982</v>
      </c>
      <c r="AR174" s="125">
        <f>AR62/293.07*(1/(VLOOKUP($Z174,'Fuel economy adjusted factor'!$A$2:$L$52,5,FALSE)*m2k))/'TCO Inputs'!$AZ$84</f>
        <v>57.199195318541982</v>
      </c>
      <c r="AS174" s="125">
        <f>AS62/293.07*(1/(VLOOKUP($Z174,'Fuel economy adjusted factor'!$A$2:$L$52,5,FALSE)*m2k))/'TCO Inputs'!$AZ$84</f>
        <v>57.199195318541982</v>
      </c>
      <c r="AT174" s="125">
        <f>AT62/293.07*(1/(VLOOKUP($Z174,'Fuel economy adjusted factor'!$A$2:$L$52,5,FALSE)*m2k))/'TCO Inputs'!$AZ$84</f>
        <v>57.199195318541982</v>
      </c>
      <c r="AU174" s="125">
        <f>AU62/293.07*(1/(VLOOKUP($Z174,'Fuel economy adjusted factor'!$A$2:$L$52,5,FALSE)*m2k))/'TCO Inputs'!$AZ$84</f>
        <v>57.199195318541982</v>
      </c>
      <c r="AV174" s="125">
        <f>AV62/293.07*(1/(VLOOKUP($Z174,'Fuel economy adjusted factor'!$A$2:$L$52,5,FALSE)*m2k))/'TCO Inputs'!$AZ$84</f>
        <v>57.199195318541982</v>
      </c>
      <c r="AW174" s="125">
        <f>AW62/293.07*(1/(VLOOKUP($Z174,'Fuel economy adjusted factor'!$A$2:$L$52,5,FALSE)*m2k))/'TCO Inputs'!$AZ$84</f>
        <v>57.469256128069574</v>
      </c>
      <c r="AX174" s="125">
        <f>AX62/293.07*(1/(VLOOKUP($Z174,'Fuel economy adjusted factor'!$A$2:$L$52,5,FALSE)*m2k))/'TCO Inputs'!$AZ$84</f>
        <v>57.469256128069574</v>
      </c>
      <c r="AY174" s="125">
        <f>AY62/293.07*(1/(VLOOKUP($Z174,'Fuel economy adjusted factor'!$A$2:$L$52,5,FALSE)*m2k))/'TCO Inputs'!$AZ$84</f>
        <v>57.469256128069574</v>
      </c>
      <c r="AZ174" s="125">
        <f>AZ62/293.07*(1/(VLOOKUP($Z174,'Fuel economy adjusted factor'!$A$2:$L$52,5,FALSE)*m2k))/'TCO Inputs'!$AZ$84</f>
        <v>57.469256128069574</v>
      </c>
      <c r="BA174" s="125">
        <f>BA62/293.07*(1/(VLOOKUP($Z174,'Fuel economy adjusted factor'!$A$2:$L$52,5,FALSE)*m2k))/'TCO Inputs'!$AZ$84</f>
        <v>57.469256128069574</v>
      </c>
      <c r="BB174" s="125">
        <f>BB62/293.07*(1/(VLOOKUP($Z174,'Fuel economy adjusted factor'!$A$2:$L$52,5,FALSE)*m2k))/'TCO Inputs'!$AZ$84</f>
        <v>57.808806268703698</v>
      </c>
      <c r="BC174" s="98" cm="1">
        <f t="array" ref="BC174">SUMPRODUCT(INDEX(AA174:BB174,,'TCO Inputs'!$AZ$12-2023+_xlfn.SEQUENCE('TCO Inputs'!$AZ$13))*INDEX('VKT US'!C64:AA64,,_xlfn.SEQUENCE('TCO Inputs'!$AZ$13)))*m2k*CONVERT(0.9072,"g","ton")</f>
        <v>31.137634335469937</v>
      </c>
      <c r="BM174" s="123" t="s">
        <v>231</v>
      </c>
      <c r="BN174" s="125">
        <f>BN62/293.07*(1/(VLOOKUP($BM174,'Fuel economy adjusted factor'!$A$2:$L$52,5,FALSE)*m2k))</f>
        <v>174.19214385581552</v>
      </c>
      <c r="BO174" s="125">
        <f>BO62/293.07*(1/(VLOOKUP($BM174,'Fuel economy adjusted factor'!$A$2:$L$52,5,FALSE)*m2k))</f>
        <v>174.19214385581552</v>
      </c>
      <c r="BP174" s="125">
        <f>BP62/293.07*(1/(VLOOKUP($BM174,'Fuel economy adjusted factor'!$A$2:$L$52,5,FALSE)*m2k))</f>
        <v>137.31083930132937</v>
      </c>
      <c r="BQ174" s="125">
        <f>BQ62/293.07*(1/(VLOOKUP($BM174,'Fuel economy adjusted factor'!$A$2:$L$52,5,FALSE)*m2k))</f>
        <v>137.31083930132937</v>
      </c>
      <c r="BR174" s="125">
        <f>BR62/293.07*(1/(VLOOKUP($BM174,'Fuel economy adjusted factor'!$A$2:$L$52,5,FALSE)*m2k))</f>
        <v>137.31083930132937</v>
      </c>
      <c r="BS174" s="125">
        <f>BS62/293.07*(1/(VLOOKUP($BM174,'Fuel economy adjusted factor'!$A$2:$L$52,5,FALSE)*m2k))</f>
        <v>137.31083930132937</v>
      </c>
      <c r="BT174" s="125">
        <f>BT62/293.07*(1/(VLOOKUP($BM174,'Fuel economy adjusted factor'!$A$2:$L$52,5,FALSE)*m2k))</f>
        <v>137.31083930132937</v>
      </c>
      <c r="BU174" s="125">
        <f>BU62/293.07*(1/(VLOOKUP($BM174,'Fuel economy adjusted factor'!$A$2:$L$52,5,FALSE)*m2k))</f>
        <v>7.7564307241690651</v>
      </c>
      <c r="BV174" s="125">
        <f>BV62/293.07*(1/(VLOOKUP($BM174,'Fuel economy adjusted factor'!$A$2:$L$52,5,FALSE)*m2k))</f>
        <v>7.7564307241690651</v>
      </c>
      <c r="BW174" s="125">
        <f>BW62/293.07*(1/(VLOOKUP($BM174,'Fuel economy adjusted factor'!$A$2:$L$52,5,FALSE)*m2k))</f>
        <v>7.7564307241690651</v>
      </c>
      <c r="BX174" s="125">
        <f>BX62/293.07*(1/(VLOOKUP($BM174,'Fuel economy adjusted factor'!$A$2:$L$52,5,FALSE)*m2k))</f>
        <v>7.7564307241690651</v>
      </c>
      <c r="BY174" s="125">
        <f>BY62/293.07*(1/(VLOOKUP($BM174,'Fuel economy adjusted factor'!$A$2:$L$52,5,FALSE)*m2k))</f>
        <v>7.7564307241690651</v>
      </c>
      <c r="BZ174" s="125">
        <f>BZ62/293.07*(1/(VLOOKUP($BM174,'Fuel economy adjusted factor'!$A$2:$L$52,5,FALSE)*m2k))</f>
        <v>8.0893477922884713</v>
      </c>
      <c r="CA174" s="125">
        <f>CA62/293.07*(1/(VLOOKUP($BM174,'Fuel economy adjusted factor'!$A$2:$L$52,5,FALSE)*m2k))</f>
        <v>8.0893477922884713</v>
      </c>
      <c r="CB174" s="125">
        <f>CB62/293.07*(1/(VLOOKUP($BM174,'Fuel economy adjusted factor'!$A$2:$L$52,5,FALSE)*m2k))</f>
        <v>8.0893477922884713</v>
      </c>
      <c r="CC174" s="125">
        <f>CC62/293.07*(1/(VLOOKUP($BM174,'Fuel economy adjusted factor'!$A$2:$L$52,5,FALSE)*m2k))</f>
        <v>8.0893477922884713</v>
      </c>
      <c r="CD174" s="125">
        <f>CD62/293.07*(1/(VLOOKUP($BM174,'Fuel economy adjusted factor'!$A$2:$L$52,5,FALSE)*m2k))</f>
        <v>8.0893477922884713</v>
      </c>
      <c r="CE174" s="125">
        <f>CE62/293.07*(1/(VLOOKUP($BM174,'Fuel economy adjusted factor'!$A$2:$L$52,5,FALSE)*m2k))</f>
        <v>8.2021100250385928</v>
      </c>
      <c r="CF174" s="125">
        <f>CF62/293.07*(1/(VLOOKUP($BM174,'Fuel economy adjusted factor'!$A$2:$L$52,5,FALSE)*m2k))</f>
        <v>8.2021100250385928</v>
      </c>
      <c r="CG174" s="125">
        <f>CG62/293.07*(1/(VLOOKUP($BM174,'Fuel economy adjusted factor'!$A$2:$L$52,5,FALSE)*m2k))</f>
        <v>8.2021100250385928</v>
      </c>
      <c r="CH174" s="125">
        <f>CH62/293.07*(1/(VLOOKUP($BM174,'Fuel economy adjusted factor'!$A$2:$L$52,5,FALSE)*m2k))</f>
        <v>8.2021100250385928</v>
      </c>
      <c r="CI174" s="125">
        <f>CI62/293.07*(1/(VLOOKUP($BM174,'Fuel economy adjusted factor'!$A$2:$L$52,5,FALSE)*m2k))</f>
        <v>8.2021100250385928</v>
      </c>
      <c r="CJ174" s="125">
        <f>CJ62/293.07*(1/(VLOOKUP($BM174,'Fuel economy adjusted factor'!$A$2:$L$52,5,FALSE)*m2k))</f>
        <v>8.4907276445775945</v>
      </c>
      <c r="CK174" s="125">
        <f>CK62/293.07*(1/(VLOOKUP($BM174,'Fuel economy adjusted factor'!$A$2:$L$52,5,FALSE)*m2k))</f>
        <v>8.4907276445775945</v>
      </c>
      <c r="CL174" s="125">
        <f>CL62/293.07*(1/(VLOOKUP($BM174,'Fuel economy adjusted factor'!$A$2:$L$52,5,FALSE)*m2k))</f>
        <v>8.4907276445775945</v>
      </c>
      <c r="CM174" s="125">
        <f>CM62/293.07*(1/(VLOOKUP($BM174,'Fuel economy adjusted factor'!$A$2:$L$52,5,FALSE)*m2k))</f>
        <v>8.4907276445775945</v>
      </c>
      <c r="CN174" s="125">
        <f>CN62/293.07*(1/(VLOOKUP($BM174,'Fuel economy adjusted factor'!$A$2:$L$52,5,FALSE)*m2k))</f>
        <v>8.4907276445775945</v>
      </c>
      <c r="CO174" s="125">
        <f>CO62/293.07*(1/(VLOOKUP($BM174,'Fuel economy adjusted factor'!$A$2:$L$52,5,FALSE)*m2k))</f>
        <v>8.8558624934827481</v>
      </c>
      <c r="CP174" s="98" cm="1">
        <f t="array" ref="CP174">SUMPRODUCT(INDEX(BN174:CO174,,'TCO Inputs'!$AZ$12-2023+_xlfn.SEQUENCE('TCO Inputs'!$AZ$13))*INDEX('VKT US'!C64:AA64,,_xlfn.SEQUENCE('TCO Inputs'!$AZ$13)))*m2k*CONVERT(0.9072,"g","ton")</f>
        <v>20.039994230956697</v>
      </c>
      <c r="CQ174" s="194"/>
      <c r="CR174" s="123" t="s">
        <v>231</v>
      </c>
      <c r="CS174" s="125">
        <f>CS62/293.07*(1/(VLOOKUP($BM174,'Fuel economy adjusted factor'!$A$2:$L$52,5,FALSE)*m2k))/'TCO Inputs'!$AZ$84</f>
        <v>204.93193394801827</v>
      </c>
      <c r="CT174" s="125">
        <f>CT62/293.07*(1/(VLOOKUP($BM174,'Fuel economy adjusted factor'!$A$2:$L$52,5,FALSE)*m2k))</f>
        <v>8.1564681689254481</v>
      </c>
      <c r="CU174" s="125">
        <f>CU62/293.07*(1/(VLOOKUP($BM174,'Fuel economy adjusted factor'!$A$2:$L$52,5,FALSE)*m2k))</f>
        <v>8.1564681689254481</v>
      </c>
      <c r="CV174" s="125">
        <f>CV62/293.07*(1/(VLOOKUP($BM174,'Fuel economy adjusted factor'!$A$2:$L$52,5,FALSE)*m2k))</f>
        <v>8.1564681689254481</v>
      </c>
      <c r="CW174" s="125">
        <f>CW62/293.07*(1/(VLOOKUP($BM174,'Fuel economy adjusted factor'!$A$2:$L$52,5,FALSE)*m2k))</f>
        <v>8.1564681689254481</v>
      </c>
      <c r="CX174" s="125">
        <f>CX62/293.07*(1/(VLOOKUP($BM174,'Fuel economy adjusted factor'!$A$2:$L$52,5,FALSE)*m2k))</f>
        <v>8.1564681689254481</v>
      </c>
      <c r="CY174" s="125">
        <f>CY62/293.07*(1/(VLOOKUP($BM174,'Fuel economy adjusted factor'!$A$2:$L$52,5,FALSE)*m2k))</f>
        <v>8.1564681689254481</v>
      </c>
      <c r="CZ174" s="125">
        <f>CZ62/293.07*(1/(VLOOKUP($BM174,'Fuel economy adjusted factor'!$A$2:$L$52,5,FALSE)*m2k))</f>
        <v>8.1564681689254481</v>
      </c>
      <c r="DA174" s="125">
        <f>DA62/293.07*(1/(VLOOKUP($BM174,'Fuel economy adjusted factor'!$A$2:$L$52,5,FALSE)*m2k))</f>
        <v>8.1564681689254481</v>
      </c>
      <c r="DB174" s="125">
        <f>DB62/293.07*(1/(VLOOKUP($BM174,'Fuel economy adjusted factor'!$A$2:$L$52,5,FALSE)*m2k))</f>
        <v>8.1564681689254481</v>
      </c>
      <c r="DC174" s="125">
        <f>DC62/293.07*(1/(VLOOKUP($BM174,'Fuel economy adjusted factor'!$A$2:$L$52,5,FALSE)*m2k))</f>
        <v>8.1564681689254481</v>
      </c>
      <c r="DD174" s="125">
        <f>DD62/293.07*(1/(VLOOKUP($BM174,'Fuel economy adjusted factor'!$A$2:$L$52,5,FALSE)*m2k))</f>
        <v>8.1564681689254481</v>
      </c>
      <c r="DE174" s="125">
        <f>DE62/293.07*(1/(VLOOKUP($BM174,'Fuel economy adjusted factor'!$A$2:$L$52,5,FALSE)*m2k))</f>
        <v>8.3900470796221285</v>
      </c>
      <c r="DF174" s="125">
        <f>DF62/293.07*(1/(VLOOKUP($BM174,'Fuel economy adjusted factor'!$A$2:$L$52,5,FALSE)*m2k))</f>
        <v>8.3900470796221285</v>
      </c>
      <c r="DG174" s="125">
        <f>DG62/293.07*(1/(VLOOKUP($BM174,'Fuel economy adjusted factor'!$A$2:$L$52,5,FALSE)*m2k))</f>
        <v>8.3900470796221285</v>
      </c>
      <c r="DH174" s="125">
        <f>DH62/293.07*(1/(VLOOKUP($BM174,'Fuel economy adjusted factor'!$A$2:$L$52,5,FALSE)*m2k))</f>
        <v>8.3900470796221285</v>
      </c>
      <c r="DI174" s="125">
        <f>DI62/293.07*(1/(VLOOKUP($BM174,'Fuel economy adjusted factor'!$A$2:$L$52,5,FALSE)*m2k))</f>
        <v>8.3900470796221285</v>
      </c>
      <c r="DJ174" s="125">
        <f>DJ62/293.07*(1/(VLOOKUP($BM174,'Fuel economy adjusted factor'!$A$2:$L$52,5,FALSE)*m2k))</f>
        <v>8.8263295277624785</v>
      </c>
      <c r="DK174" s="125">
        <f>DK62/293.07*(1/(VLOOKUP($BM174,'Fuel economy adjusted factor'!$A$2:$L$52,5,FALSE)*m2k))</f>
        <v>8.8263295277624785</v>
      </c>
      <c r="DL174" s="125">
        <f>DL62/293.07*(1/(VLOOKUP($BM174,'Fuel economy adjusted factor'!$A$2:$L$52,5,FALSE)*m2k))</f>
        <v>8.8263295277624785</v>
      </c>
      <c r="DM174" s="125">
        <f>DM62/293.07*(1/(VLOOKUP($BM174,'Fuel economy adjusted factor'!$A$2:$L$52,5,FALSE)*m2k))</f>
        <v>8.8263295277624785</v>
      </c>
      <c r="DN174" s="125">
        <f>DN62/293.07*(1/(VLOOKUP($BM174,'Fuel economy adjusted factor'!$A$2:$L$52,5,FALSE)*m2k))</f>
        <v>8.8263295277624785</v>
      </c>
      <c r="DO174" s="125">
        <f>DO62/293.07*(1/(VLOOKUP($BM174,'Fuel economy adjusted factor'!$A$2:$L$52,5,FALSE)*m2k))</f>
        <v>9.1149471473014803</v>
      </c>
      <c r="DP174" s="125">
        <f>DP62/293.07*(1/(VLOOKUP($BM174,'Fuel economy adjusted factor'!$A$2:$L$52,5,FALSE)*m2k))</f>
        <v>9.1149471473014803</v>
      </c>
      <c r="DQ174" s="125">
        <f>DQ62/293.07*(1/(VLOOKUP($BM174,'Fuel economy adjusted factor'!$A$2:$L$52,5,FALSE)*m2k))</f>
        <v>9.1149471473014803</v>
      </c>
      <c r="DR174" s="125">
        <f>DR62/293.07*(1/(VLOOKUP($BM174,'Fuel economy adjusted factor'!$A$2:$L$52,5,FALSE)*m2k))</f>
        <v>9.1149471473014803</v>
      </c>
      <c r="DS174" s="125">
        <f>DS62/293.07*(1/(VLOOKUP($BM174,'Fuel economy adjusted factor'!$A$2:$L$52,5,FALSE)*m2k))</f>
        <v>9.1149471473014803</v>
      </c>
      <c r="DT174" s="125">
        <f>DT62/293.07*(1/(VLOOKUP($BM174,'Fuel economy adjusted factor'!$A$2:$L$52,5,FALSE)*m2k))</f>
        <v>9.4814244037393749</v>
      </c>
      <c r="DU174" s="98" cm="1">
        <f t="array" ref="DU174">SUMPRODUCT(INDEX(CS174:DT174,,'TCO Inputs'!$AZ$12-2023+_xlfn.SEQUENCE('TCO Inputs'!$AZ$13))*INDEX('VKT US'!C64:AA64,,_xlfn.SEQUENCE('TCO Inputs'!$AZ$13)))*m2k*CONVERT(0.9072,"g","ton")</f>
        <v>5.8902604152307463</v>
      </c>
      <c r="DW174" s="123" t="s">
        <v>231</v>
      </c>
      <c r="DX174" s="125">
        <f>DX62/293.07*(1/(VLOOKUP($BM174,'Fuel economy adjusted factor'!$A$2:$L$52,5,FALSE)*m2k))/'TCO Inputs'!$AZ$84</f>
        <v>270.7516809535993</v>
      </c>
      <c r="DY174" s="125">
        <f>DY62/293.07*(1/(VLOOKUP($BM174,'Fuel economy adjusted factor'!$A$2:$L$52,5,FALSE)*m2k))/'TCO Inputs'!$AZ$84</f>
        <v>270.7516809535993</v>
      </c>
      <c r="DZ174" s="125">
        <f>DZ62/293.07*(1/(VLOOKUP($BM174,'Fuel economy adjusted factor'!$A$2:$L$52,5,FALSE)*m2k))/'TCO Inputs'!$AZ$84</f>
        <v>236.87473684806872</v>
      </c>
      <c r="EA174" s="125">
        <f>EA62/293.07*(1/(VLOOKUP($BM174,'Fuel economy adjusted factor'!$A$2:$L$52,5,FALSE)*m2k))/'TCO Inputs'!$AZ$84</f>
        <v>236.87473684806872</v>
      </c>
      <c r="EB174" s="125">
        <f>EB62/293.07*(1/(VLOOKUP($BM174,'Fuel economy adjusted factor'!$A$2:$L$52,5,FALSE)*m2k))/'TCO Inputs'!$AZ$84</f>
        <v>236.87473684806872</v>
      </c>
      <c r="EC174" s="125">
        <f>EC62/293.07*(1/(VLOOKUP($BM174,'Fuel economy adjusted factor'!$A$2:$L$52,5,FALSE)*m2k))/'TCO Inputs'!$AZ$84</f>
        <v>236.87473684806872</v>
      </c>
      <c r="ED174" s="125">
        <f>ED62/293.07*(1/(VLOOKUP($BM174,'Fuel economy adjusted factor'!$A$2:$L$52,5,FALSE)*m2k))/'TCO Inputs'!$AZ$84</f>
        <v>236.87473684806872</v>
      </c>
      <c r="EE174" s="125">
        <f>EE62/293.07*(1/(VLOOKUP($BM174,'Fuel economy adjusted factor'!$A$2:$L$52,5,FALSE)*m2k))/'TCO Inputs'!$AZ$84</f>
        <v>147.37436304056351</v>
      </c>
      <c r="EF174" s="125">
        <f>EF62/293.07*(1/(VLOOKUP($BM174,'Fuel economy adjusted factor'!$A$2:$L$52,5,FALSE)*m2k))/'TCO Inputs'!$AZ$84</f>
        <v>147.37436304056351</v>
      </c>
      <c r="EG174" s="125">
        <f>EG62/293.07*(1/(VLOOKUP($BM174,'Fuel economy adjusted factor'!$A$2:$L$52,5,FALSE)*m2k))/'TCO Inputs'!$AZ$84</f>
        <v>147.37436304056351</v>
      </c>
      <c r="EH174" s="125">
        <f>EH62/293.07*(1/(VLOOKUP($BM174,'Fuel economy adjusted factor'!$A$2:$L$52,5,FALSE)*m2k))/'TCO Inputs'!$AZ$84</f>
        <v>147.37436304056351</v>
      </c>
      <c r="EI174" s="125">
        <f>EI62/293.07*(1/(VLOOKUP($BM174,'Fuel economy adjusted factor'!$A$2:$L$52,5,FALSE)*m2k))/'TCO Inputs'!$AZ$84</f>
        <v>147.37436304056351</v>
      </c>
      <c r="EJ174" s="125">
        <f>EJ62/293.07*(1/(VLOOKUP($BM174,'Fuel economy adjusted factor'!$A$2:$L$52,5,FALSE)*m2k))/'TCO Inputs'!$AZ$84</f>
        <v>131.2227263718602</v>
      </c>
      <c r="EK174" s="125">
        <f>EK62/293.07*(1/(VLOOKUP($BM174,'Fuel economy adjusted factor'!$A$2:$L$52,5,FALSE)*m2k))/'TCO Inputs'!$AZ$84</f>
        <v>131.2227263718602</v>
      </c>
      <c r="EL174" s="125">
        <f>EL62/293.07*(1/(VLOOKUP($BM174,'Fuel economy adjusted factor'!$A$2:$L$52,5,FALSE)*m2k))/'TCO Inputs'!$AZ$84</f>
        <v>131.2227263718602</v>
      </c>
      <c r="EM174" s="125">
        <f>EM62/293.07*(1/(VLOOKUP($BM174,'Fuel economy adjusted factor'!$A$2:$L$52,5,FALSE)*m2k))/'TCO Inputs'!$AZ$84</f>
        <v>131.2227263718602</v>
      </c>
      <c r="EN174" s="125">
        <f>EN62/293.07*(1/(VLOOKUP($BM174,'Fuel economy adjusted factor'!$A$2:$L$52,5,FALSE)*m2k))/'TCO Inputs'!$AZ$84</f>
        <v>131.2227263718602</v>
      </c>
      <c r="EO174" s="125">
        <f>EO62/293.07*(1/(VLOOKUP($BM174,'Fuel economy adjusted factor'!$A$2:$L$52,5,FALSE)*m2k))/'TCO Inputs'!$AZ$84</f>
        <v>127.50748663618002</v>
      </c>
      <c r="EP174" s="125">
        <f>EP62/293.07*(1/(VLOOKUP($BM174,'Fuel economy adjusted factor'!$A$2:$L$52,5,FALSE)*m2k))/'TCO Inputs'!$AZ$84</f>
        <v>127.50748663618002</v>
      </c>
      <c r="EQ174" s="125">
        <f>EQ62/293.07*(1/(VLOOKUP($BM174,'Fuel economy adjusted factor'!$A$2:$L$52,5,FALSE)*m2k))/'TCO Inputs'!$AZ$84</f>
        <v>127.50748663618002</v>
      </c>
      <c r="ER174" s="125">
        <f>ER62/293.07*(1/(VLOOKUP($BM174,'Fuel economy adjusted factor'!$A$2:$L$52,5,FALSE)*m2k))/'TCO Inputs'!$AZ$84</f>
        <v>127.50748663618002</v>
      </c>
      <c r="ES174" s="125">
        <f>ES62/293.07*(1/(VLOOKUP($BM174,'Fuel economy adjusted factor'!$A$2:$L$52,5,FALSE)*m2k))/'TCO Inputs'!$AZ$84</f>
        <v>127.50748663618002</v>
      </c>
      <c r="ET174" s="125">
        <f>ET62/293.07*(1/(VLOOKUP($BM174,'Fuel economy adjusted factor'!$A$2:$L$52,5,FALSE)*m2k))/'TCO Inputs'!$AZ$84</f>
        <v>122.99489488311504</v>
      </c>
      <c r="EU174" s="125">
        <f>EU62/293.07*(1/(VLOOKUP($BM174,'Fuel economy adjusted factor'!$A$2:$L$52,5,FALSE)*m2k))/'TCO Inputs'!$AZ$84</f>
        <v>122.99489488311504</v>
      </c>
      <c r="EV174" s="125">
        <f>EV62/293.07*(1/(VLOOKUP($BM174,'Fuel economy adjusted factor'!$A$2:$L$52,5,FALSE)*m2k))/'TCO Inputs'!$AZ$84</f>
        <v>122.99489488311504</v>
      </c>
      <c r="EW174" s="125">
        <f>EW62/293.07*(1/(VLOOKUP($BM174,'Fuel economy adjusted factor'!$A$2:$L$52,5,FALSE)*m2k))/'TCO Inputs'!$AZ$84</f>
        <v>122.99489488311504</v>
      </c>
      <c r="EX174" s="125">
        <f>EX62/293.07*(1/(VLOOKUP($BM174,'Fuel economy adjusted factor'!$A$2:$L$52,5,FALSE)*m2k))/'TCO Inputs'!$AZ$84</f>
        <v>122.99489488311504</v>
      </c>
      <c r="EY174" s="125">
        <f>EY62/293.07*(1/(VLOOKUP($BM174,'Fuel economy adjusted factor'!$A$2:$L$52,5,FALSE)*m2k))/'TCO Inputs'!$AZ$84</f>
        <v>115.80342980545515</v>
      </c>
      <c r="EZ174" s="98" cm="1">
        <f t="array" ref="EZ174">SUMPRODUCT(INDEX(DX174:EY174,,'TCO Inputs'!$AZ$12-2023+_xlfn.SEQUENCE('TCO Inputs'!$AZ$13))*INDEX('VKT US'!C64:AA64,,_xlfn.SEQUENCE('TCO Inputs'!$AZ$13)))*m2k*CONVERT(0.9072,"g","ton")</f>
        <v>47.074282749877291</v>
      </c>
      <c r="FB174" s="123" t="s">
        <v>231</v>
      </c>
      <c r="FC174" s="125">
        <f>FC62/293.07*(1/(VLOOKUP($BM174,'Fuel economy adjusted factor'!$A$2:$L$52,5,FALSE)*m2k))/'TCO Inputs'!$AZ$84</f>
        <v>292.68555383470459</v>
      </c>
      <c r="FD174" s="125">
        <f>FD62/293.07*(1/(VLOOKUP($BM174,'Fuel economy adjusted factor'!$A$2:$L$52,5,FALSE)*m2k))/'TCO Inputs'!$AZ$84</f>
        <v>292.68555383470459</v>
      </c>
      <c r="FE174" s="125">
        <f>FE62/293.07*(1/(VLOOKUP($BM174,'Fuel economy adjusted factor'!$A$2:$L$52,5,FALSE)*m2k))/'TCO Inputs'!$AZ$84</f>
        <v>255.17367882977712</v>
      </c>
      <c r="FF174" s="125">
        <f>FF62/293.07*(1/(VLOOKUP($BM174,'Fuel economy adjusted factor'!$A$2:$L$52,5,FALSE)*m2k))/'TCO Inputs'!$AZ$84</f>
        <v>255.17367882977712</v>
      </c>
      <c r="FG174" s="125">
        <f>FG62/293.07*(1/(VLOOKUP($BM174,'Fuel economy adjusted factor'!$A$2:$L$52,5,FALSE)*m2k))/'TCO Inputs'!$AZ$84</f>
        <v>255.17367882977712</v>
      </c>
      <c r="FH174" s="125">
        <f>FH62/293.07*(1/(VLOOKUP($BM174,'Fuel economy adjusted factor'!$A$2:$L$52,5,FALSE)*m2k))/'TCO Inputs'!$AZ$84</f>
        <v>255.17367882977712</v>
      </c>
      <c r="FI174" s="125">
        <f>FI62/293.07*(1/(VLOOKUP($BM174,'Fuel economy adjusted factor'!$A$2:$L$52,5,FALSE)*m2k))/'TCO Inputs'!$AZ$84</f>
        <v>255.17367882977712</v>
      </c>
      <c r="FJ174" s="125">
        <f>FJ62/293.07*(1/(VLOOKUP($BM174,'Fuel economy adjusted factor'!$A$2:$L$52,5,FALSE)*m2k))/'TCO Inputs'!$AZ$84</f>
        <v>161.39972766290742</v>
      </c>
      <c r="FK174" s="125">
        <f>FK62/293.07*(1/(VLOOKUP($BM174,'Fuel economy adjusted factor'!$A$2:$L$52,5,FALSE)*m2k))/'TCO Inputs'!$AZ$84</f>
        <v>161.39972766290742</v>
      </c>
      <c r="FL174" s="125">
        <f>FL62/293.07*(1/(VLOOKUP($BM174,'Fuel economy adjusted factor'!$A$2:$L$52,5,FALSE)*m2k))/'TCO Inputs'!$AZ$84</f>
        <v>161.39972766290742</v>
      </c>
      <c r="FM174" s="125">
        <f>FM62/293.07*(1/(VLOOKUP($BM174,'Fuel economy adjusted factor'!$A$2:$L$52,5,FALSE)*m2k))/'TCO Inputs'!$AZ$84</f>
        <v>161.39972766290742</v>
      </c>
      <c r="FN174" s="125">
        <f>FN62/293.07*(1/(VLOOKUP($BM174,'Fuel economy adjusted factor'!$A$2:$L$52,5,FALSE)*m2k))/'TCO Inputs'!$AZ$84</f>
        <v>161.39972766290742</v>
      </c>
      <c r="FO174" s="125">
        <f>FO62/293.07*(1/(VLOOKUP($BM174,'Fuel economy adjusted factor'!$A$2:$L$52,5,FALSE)*m2k))/'TCO Inputs'!$AZ$84</f>
        <v>142.95355281467954</v>
      </c>
      <c r="FP174" s="125">
        <f>FP62/293.07*(1/(VLOOKUP($BM174,'Fuel economy adjusted factor'!$A$2:$L$52,5,FALSE)*m2k))/'TCO Inputs'!$AZ$84</f>
        <v>142.95355281467954</v>
      </c>
      <c r="FQ174" s="125">
        <f>FQ62/293.07*(1/(VLOOKUP($BM174,'Fuel economy adjusted factor'!$A$2:$L$52,5,FALSE)*m2k))/'TCO Inputs'!$AZ$84</f>
        <v>142.95355281467954</v>
      </c>
      <c r="FR174" s="125">
        <f>FR62/293.07*(1/(VLOOKUP($BM174,'Fuel economy adjusted factor'!$A$2:$L$52,5,FALSE)*m2k))/'TCO Inputs'!$AZ$84</f>
        <v>142.95355281467954</v>
      </c>
      <c r="FS174" s="125">
        <f>FS62/293.07*(1/(VLOOKUP($BM174,'Fuel economy adjusted factor'!$A$2:$L$52,5,FALSE)*m2k))/'TCO Inputs'!$AZ$84</f>
        <v>142.95355281467954</v>
      </c>
      <c r="FT174" s="125">
        <f>FT62/293.07*(1/(VLOOKUP($BM174,'Fuel economy adjusted factor'!$A$2:$L$52,5,FALSE)*m2k))/'TCO Inputs'!$AZ$84</f>
        <v>139.68957225430586</v>
      </c>
      <c r="FU174" s="125">
        <f>FU62/293.07*(1/(VLOOKUP($BM174,'Fuel economy adjusted factor'!$A$2:$L$52,5,FALSE)*m2k))/'TCO Inputs'!$AZ$84</f>
        <v>139.68957225430586</v>
      </c>
      <c r="FV174" s="125">
        <f>FV62/293.07*(1/(VLOOKUP($BM174,'Fuel economy adjusted factor'!$A$2:$L$52,5,FALSE)*m2k))/'TCO Inputs'!$AZ$84</f>
        <v>139.68957225430586</v>
      </c>
      <c r="FW174" s="125">
        <f>FW62/293.07*(1/(VLOOKUP($BM174,'Fuel economy adjusted factor'!$A$2:$L$52,5,FALSE)*m2k))/'TCO Inputs'!$AZ$84</f>
        <v>139.68957225430586</v>
      </c>
      <c r="FX174" s="125">
        <f>FX62/293.07*(1/(VLOOKUP($BM174,'Fuel economy adjusted factor'!$A$2:$L$52,5,FALSE)*m2k))/'TCO Inputs'!$AZ$84</f>
        <v>139.68957225430586</v>
      </c>
      <c r="FY174" s="125">
        <f>FY62/293.07*(1/(VLOOKUP($BM174,'Fuel economy adjusted factor'!$A$2:$L$52,5,FALSE)*m2k))/'TCO Inputs'!$AZ$84</f>
        <v>135.16933204064247</v>
      </c>
      <c r="FZ174" s="125">
        <f>FZ62/293.07*(1/(VLOOKUP($BM174,'Fuel economy adjusted factor'!$A$2:$L$52,5,FALSE)*m2k))/'TCO Inputs'!$AZ$84</f>
        <v>135.16933204064247</v>
      </c>
      <c r="GA174" s="125">
        <f>GA62/293.07*(1/(VLOOKUP($BM174,'Fuel economy adjusted factor'!$A$2:$L$52,5,FALSE)*m2k))/'TCO Inputs'!$AZ$84</f>
        <v>135.16933204064247</v>
      </c>
      <c r="GB174" s="125">
        <f>GB62/293.07*(1/(VLOOKUP($BM174,'Fuel economy adjusted factor'!$A$2:$L$52,5,FALSE)*m2k))/'TCO Inputs'!$AZ$84</f>
        <v>135.16933204064247</v>
      </c>
      <c r="GC174" s="125">
        <f>GC62/293.07*(1/(VLOOKUP($BM174,'Fuel economy adjusted factor'!$A$2:$L$52,5,FALSE)*m2k))/'TCO Inputs'!$AZ$84</f>
        <v>135.16933204064247</v>
      </c>
      <c r="GD174" s="125">
        <f>GD62/293.07*(1/(VLOOKUP($BM174,'Fuel economy adjusted factor'!$A$2:$L$52,5,FALSE)*m2k))/'TCO Inputs'!$AZ$84</f>
        <v>127.73311622383325</v>
      </c>
      <c r="GE174" s="98" cm="1">
        <f t="array" ref="GE174">SUMPRODUCT(INDEX(FC174:GD174,,'TCO Inputs'!$AZ$12-2023+_xlfn.SEQUENCE('TCO Inputs'!$AZ$13))*INDEX('VKT US'!C64:AA64,,_xlfn.SEQUENCE('TCO Inputs'!$AZ$13)))*m2k*CONVERT(0.9072,"g","ton")</f>
        <v>51.000753995327656</v>
      </c>
      <c r="GH174" s="123" t="s">
        <v>231</v>
      </c>
      <c r="GI174" s="125">
        <f>GI62/293.07*(1/(VLOOKUP($GH174,'Fuel economy adjusted factor'!$A$2:$L$52,5,FALSE)*m2k))/'TCO Inputs'!$AZ$84</f>
        <v>515.24759712502953</v>
      </c>
      <c r="GJ174" s="125">
        <f>GJ62/293.07*(1/(VLOOKUP($GH174,'Fuel economy adjusted factor'!$A$2:$L$52,5,FALSE)*m2k))/'TCO Inputs'!$AZ$84</f>
        <v>515.24759712502953</v>
      </c>
      <c r="GK174" s="125">
        <f>GK62/293.07*(1/(VLOOKUP($GH174,'Fuel economy adjusted factor'!$A$2:$L$52,5,FALSE)*m2k))/'TCO Inputs'!$AZ$84</f>
        <v>515.24759712502953</v>
      </c>
      <c r="GL174" s="125">
        <f>GL62/293.07*(1/(VLOOKUP($GH174,'Fuel economy adjusted factor'!$A$2:$L$52,5,FALSE)*m2k))/'TCO Inputs'!$AZ$84</f>
        <v>515.24759712502953</v>
      </c>
      <c r="GM174" s="125">
        <f>GM62/293.07*(1/(VLOOKUP($GH174,'Fuel economy adjusted factor'!$A$2:$L$52,5,FALSE)*m2k))/'TCO Inputs'!$AZ$84</f>
        <v>515.24759712502953</v>
      </c>
      <c r="GN174" s="125">
        <f>GN62/293.07*(1/(VLOOKUP($GH174,'Fuel economy adjusted factor'!$A$2:$L$52,5,FALSE)*m2k))/'TCO Inputs'!$AZ$84</f>
        <v>515.24759712502953</v>
      </c>
      <c r="GO174" s="125">
        <f>GO62/293.07*(1/(VLOOKUP($GH174,'Fuel economy adjusted factor'!$A$2:$L$52,5,FALSE)*m2k))/'TCO Inputs'!$AZ$84</f>
        <v>515.24759712502953</v>
      </c>
      <c r="GP174" s="125">
        <f>GP62/293.07*(1/(VLOOKUP($GH174,'Fuel economy adjusted factor'!$A$2:$L$52,5,FALSE)*m2k))/'TCO Inputs'!$AZ$84</f>
        <v>515.24759712502953</v>
      </c>
      <c r="GQ174" s="125">
        <f>GQ62/293.07*(1/(VLOOKUP($GH174,'Fuel economy adjusted factor'!$A$2:$L$52,5,FALSE)*m2k))/'TCO Inputs'!$AZ$84</f>
        <v>515.24759712502953</v>
      </c>
      <c r="GR174" s="125">
        <f>GR62/293.07*(1/(VLOOKUP($GH174,'Fuel economy adjusted factor'!$A$2:$L$52,5,FALSE)*m2k))/'TCO Inputs'!$AZ$84</f>
        <v>515.24759712502953</v>
      </c>
      <c r="GS174" s="125">
        <f>GS62/293.07*(1/(VLOOKUP($GH174,'Fuel economy adjusted factor'!$A$2:$L$52,5,FALSE)*m2k))/'TCO Inputs'!$AZ$84</f>
        <v>515.24759712502953</v>
      </c>
      <c r="GT174" s="125">
        <f>GT62/293.07*(1/(VLOOKUP($GH174,'Fuel economy adjusted factor'!$A$2:$L$52,5,FALSE)*m2k))/'TCO Inputs'!$AZ$84</f>
        <v>515.24759712502953</v>
      </c>
      <c r="GU174" s="125">
        <f>GU62/293.07*(1/(VLOOKUP($GH174,'Fuel economy adjusted factor'!$A$2:$L$52,5,FALSE)*m2k))/'TCO Inputs'!$AZ$84</f>
        <v>515.24759712502953</v>
      </c>
      <c r="GV174" s="125">
        <f>GV62/293.07*(1/(VLOOKUP($GH174,'Fuel economy adjusted factor'!$A$2:$L$52,5,FALSE)*m2k))/'TCO Inputs'!$AZ$84</f>
        <v>515.24759712502953</v>
      </c>
      <c r="GW174" s="125">
        <f>GW62/293.07*(1/(VLOOKUP($GH174,'Fuel economy adjusted factor'!$A$2:$L$52,5,FALSE)*m2k))/'TCO Inputs'!$AZ$84</f>
        <v>515.24759712502953</v>
      </c>
      <c r="GX174" s="125">
        <f>GX62/293.07*(1/(VLOOKUP($GH174,'Fuel economy adjusted factor'!$A$2:$L$52,5,FALSE)*m2k))/'TCO Inputs'!$AZ$84</f>
        <v>515.24759712502953</v>
      </c>
      <c r="GY174" s="125">
        <f>GY62/293.07*(1/(VLOOKUP($GH174,'Fuel economy adjusted factor'!$A$2:$L$52,5,FALSE)*m2k))/'TCO Inputs'!$AZ$84</f>
        <v>515.24759712502953</v>
      </c>
      <c r="GZ174" s="125">
        <f>GZ62/293.07*(1/(VLOOKUP($GH174,'Fuel economy adjusted factor'!$A$2:$L$52,5,FALSE)*m2k))/'TCO Inputs'!$AZ$84</f>
        <v>515.24759712502953</v>
      </c>
      <c r="HA174" s="125">
        <f>HA62/293.07*(1/(VLOOKUP($GH174,'Fuel economy adjusted factor'!$A$2:$L$52,5,FALSE)*m2k))/'TCO Inputs'!$AZ$84</f>
        <v>515.24759712502953</v>
      </c>
      <c r="HB174" s="125">
        <f>HB62/293.07*(1/(VLOOKUP($GH174,'Fuel economy adjusted factor'!$A$2:$L$52,5,FALSE)*m2k))/'TCO Inputs'!$AZ$84</f>
        <v>515.24759712502953</v>
      </c>
      <c r="HC174" s="125">
        <f>HC62/293.07*(1/(VLOOKUP($GH174,'Fuel economy adjusted factor'!$A$2:$L$52,5,FALSE)*m2k))/'TCO Inputs'!$AZ$84</f>
        <v>515.24759712502953</v>
      </c>
      <c r="HD174" s="125">
        <f>HD62/293.07*(1/(VLOOKUP($GH174,'Fuel economy adjusted factor'!$A$2:$L$52,5,FALSE)*m2k))/'TCO Inputs'!$AZ$84</f>
        <v>515.24759712502953</v>
      </c>
      <c r="HE174" s="125">
        <f>HE62/293.07*(1/(VLOOKUP($GH174,'Fuel economy adjusted factor'!$A$2:$L$52,5,FALSE)*m2k))/'TCO Inputs'!$AZ$84</f>
        <v>515.24759712502953</v>
      </c>
      <c r="HF174" s="125">
        <f>HF62/293.07*(1/(VLOOKUP($GH174,'Fuel economy adjusted factor'!$A$2:$L$52,5,FALSE)*m2k))/'TCO Inputs'!$AZ$84</f>
        <v>515.24759712502953</v>
      </c>
      <c r="HG174" s="125">
        <f>HG62/293.07*(1/(VLOOKUP($GH174,'Fuel economy adjusted factor'!$A$2:$L$52,5,FALSE)*m2k))/'TCO Inputs'!$AZ$84</f>
        <v>515.24759712502953</v>
      </c>
      <c r="HH174" s="125">
        <f>HH62/293.07*(1/(VLOOKUP($GH174,'Fuel economy adjusted factor'!$A$2:$L$52,5,FALSE)*m2k))/'TCO Inputs'!$AZ$84</f>
        <v>515.24759712502953</v>
      </c>
      <c r="HI174" s="125">
        <f>HI62/293.07*(1/(VLOOKUP($GH174,'Fuel economy adjusted factor'!$A$2:$L$52,5,FALSE)*m2k))/'TCO Inputs'!$AZ$84</f>
        <v>515.24759712502953</v>
      </c>
      <c r="HJ174" s="125">
        <f>HJ62/293.07*(1/(VLOOKUP($GH174,'Fuel economy adjusted factor'!$A$2:$L$52,5,FALSE)*m2k))/'TCO Inputs'!$AZ$84</f>
        <v>515.24759712502953</v>
      </c>
      <c r="HK174" s="98" cm="1">
        <f t="array" ref="HK174">SUMPRODUCT(INDEX(GI174:HJ174,,'TCO Inputs'!$AZ$12-2023+_xlfn.SEQUENCE('TCO Inputs'!$AZ$13))*INDEX('VKT US'!C64:AA64,,_xlfn.SEQUENCE('TCO Inputs'!$AZ$13)))*m2k*CONVERT(0.9072,"g","ton")</f>
        <v>121.02570460428636</v>
      </c>
    </row>
    <row r="175" spans="22:219" x14ac:dyDescent="0.25">
      <c r="Z175" s="123" t="s">
        <v>189</v>
      </c>
      <c r="AA175" s="125">
        <f>AA63/293.07*(1/(VLOOKUP($Z175,'Fuel economy adjusted factor'!$A$2:$L$52,5,FALSE)*m2k))/'TCO Inputs'!$AZ$84</f>
        <v>84.713928938854053</v>
      </c>
      <c r="AB175" s="125">
        <f>AB63/293.07*(1/(VLOOKUP($Z175,'Fuel economy adjusted factor'!$A$2:$L$52,5,FALSE)*m2k))/'TCO Inputs'!$AZ$84</f>
        <v>84.713928938854053</v>
      </c>
      <c r="AC175" s="125">
        <f>AC63/293.07*(1/(VLOOKUP($Z175,'Fuel economy adjusted factor'!$A$2:$L$52,5,FALSE)*m2k))/'TCO Inputs'!$AZ$84</f>
        <v>74.408104521434723</v>
      </c>
      <c r="AD175" s="125">
        <f>AD63/293.07*(1/(VLOOKUP($Z175,'Fuel economy adjusted factor'!$A$2:$L$52,5,FALSE)*m2k))/'TCO Inputs'!$AZ$84</f>
        <v>74.408104521434723</v>
      </c>
      <c r="AE175" s="125">
        <f>AE63/293.07*(1/(VLOOKUP($Z175,'Fuel economy adjusted factor'!$A$2:$L$52,5,FALSE)*m2k))/'TCO Inputs'!$AZ$84</f>
        <v>74.408104521434723</v>
      </c>
      <c r="AF175" s="125">
        <f>AF63/293.07*(1/(VLOOKUP($Z175,'Fuel economy adjusted factor'!$A$2:$L$52,5,FALSE)*m2k))/'TCO Inputs'!$AZ$84</f>
        <v>74.408104521434723</v>
      </c>
      <c r="AG175" s="125">
        <f>AG63/293.07*(1/(VLOOKUP($Z175,'Fuel economy adjusted factor'!$A$2:$L$52,5,FALSE)*m2k))/'TCO Inputs'!$AZ$84</f>
        <v>74.408104521434723</v>
      </c>
      <c r="AH175" s="125">
        <f>AH63/293.07*(1/(VLOOKUP($Z175,'Fuel economy adjusted factor'!$A$2:$L$52,5,FALSE)*m2k))/'TCO Inputs'!$AZ$84</f>
        <v>28.131780056443464</v>
      </c>
      <c r="AI175" s="125">
        <f>AI63/293.07*(1/(VLOOKUP($Z175,'Fuel economy adjusted factor'!$A$2:$L$52,5,FALSE)*m2k))/'TCO Inputs'!$AZ$84</f>
        <v>28.131780056443464</v>
      </c>
      <c r="AJ175" s="125">
        <f>AJ63/293.07*(1/(VLOOKUP($Z175,'Fuel economy adjusted factor'!$A$2:$L$52,5,FALSE)*m2k))/'TCO Inputs'!$AZ$84</f>
        <v>28.131780056443464</v>
      </c>
      <c r="AK175" s="125">
        <f>AK63/293.07*(1/(VLOOKUP($Z175,'Fuel economy adjusted factor'!$A$2:$L$52,5,FALSE)*m2k))/'TCO Inputs'!$AZ$84</f>
        <v>28.131780056443464</v>
      </c>
      <c r="AL175" s="125">
        <f>AL63/293.07*(1/(VLOOKUP($Z175,'Fuel economy adjusted factor'!$A$2:$L$52,5,FALSE)*m2k))/'TCO Inputs'!$AZ$84</f>
        <v>28.131780056443464</v>
      </c>
      <c r="AM175" s="125">
        <f>AM63/293.07*(1/(VLOOKUP($Z175,'Fuel economy adjusted factor'!$A$2:$L$52,5,FALSE)*m2k))/'TCO Inputs'!$AZ$84</f>
        <v>23.6447706037054</v>
      </c>
      <c r="AN175" s="125">
        <f>AN63/293.07*(1/(VLOOKUP($Z175,'Fuel economy adjusted factor'!$A$2:$L$52,5,FALSE)*m2k))/'TCO Inputs'!$AZ$84</f>
        <v>23.6447706037054</v>
      </c>
      <c r="AO175" s="125">
        <f>AO63/293.07*(1/(VLOOKUP($Z175,'Fuel economy adjusted factor'!$A$2:$L$52,5,FALSE)*m2k))/'TCO Inputs'!$AZ$84</f>
        <v>23.6447706037054</v>
      </c>
      <c r="AP175" s="125">
        <f>AP63/293.07*(1/(VLOOKUP($Z175,'Fuel economy adjusted factor'!$A$2:$L$52,5,FALSE)*m2k))/'TCO Inputs'!$AZ$84</f>
        <v>23.6447706037054</v>
      </c>
      <c r="AQ175" s="125">
        <f>AQ63/293.07*(1/(VLOOKUP($Z175,'Fuel economy adjusted factor'!$A$2:$L$52,5,FALSE)*m2k))/'TCO Inputs'!$AZ$84</f>
        <v>23.6447706037054</v>
      </c>
      <c r="AR175" s="125">
        <f>AR63/293.07*(1/(VLOOKUP($Z175,'Fuel economy adjusted factor'!$A$2:$L$52,5,FALSE)*m2k))/'TCO Inputs'!$AZ$84</f>
        <v>23.6447706037054</v>
      </c>
      <c r="AS175" s="125">
        <f>AS63/293.07*(1/(VLOOKUP($Z175,'Fuel economy adjusted factor'!$A$2:$L$52,5,FALSE)*m2k))/'TCO Inputs'!$AZ$84</f>
        <v>23.6447706037054</v>
      </c>
      <c r="AT175" s="125">
        <f>AT63/293.07*(1/(VLOOKUP($Z175,'Fuel economy adjusted factor'!$A$2:$L$52,5,FALSE)*m2k))/'TCO Inputs'!$AZ$84</f>
        <v>23.6447706037054</v>
      </c>
      <c r="AU175" s="125">
        <f>AU63/293.07*(1/(VLOOKUP($Z175,'Fuel economy adjusted factor'!$A$2:$L$52,5,FALSE)*m2k))/'TCO Inputs'!$AZ$84</f>
        <v>23.6447706037054</v>
      </c>
      <c r="AV175" s="125">
        <f>AV63/293.07*(1/(VLOOKUP($Z175,'Fuel economy adjusted factor'!$A$2:$L$52,5,FALSE)*m2k))/'TCO Inputs'!$AZ$84</f>
        <v>23.6447706037054</v>
      </c>
      <c r="AW175" s="125">
        <f>AW63/293.07*(1/(VLOOKUP($Z175,'Fuel economy adjusted factor'!$A$2:$L$52,5,FALSE)*m2k))/'TCO Inputs'!$AZ$84</f>
        <v>23.756407242206521</v>
      </c>
      <c r="AX175" s="125">
        <f>AX63/293.07*(1/(VLOOKUP($Z175,'Fuel economy adjusted factor'!$A$2:$L$52,5,FALSE)*m2k))/'TCO Inputs'!$AZ$84</f>
        <v>23.756407242206521</v>
      </c>
      <c r="AY175" s="125">
        <f>AY63/293.07*(1/(VLOOKUP($Z175,'Fuel economy adjusted factor'!$A$2:$L$52,5,FALSE)*m2k))/'TCO Inputs'!$AZ$84</f>
        <v>23.756407242206521</v>
      </c>
      <c r="AZ175" s="125">
        <f>AZ63/293.07*(1/(VLOOKUP($Z175,'Fuel economy adjusted factor'!$A$2:$L$52,5,FALSE)*m2k))/'TCO Inputs'!$AZ$84</f>
        <v>23.756407242206521</v>
      </c>
      <c r="BA175" s="125">
        <f>BA63/293.07*(1/(VLOOKUP($Z175,'Fuel economy adjusted factor'!$A$2:$L$52,5,FALSE)*m2k))/'TCO Inputs'!$AZ$84</f>
        <v>23.756407242206521</v>
      </c>
      <c r="BB175" s="125">
        <f>BB63/293.07*(1/(VLOOKUP($Z175,'Fuel economy adjusted factor'!$A$2:$L$52,5,FALSE)*m2k))/'TCO Inputs'!$AZ$84</f>
        <v>23.89676909763191</v>
      </c>
      <c r="BC175" s="98" cm="1">
        <f t="array" ref="BC175">SUMPRODUCT(INDEX(AA175:BB175,,'TCO Inputs'!$AZ$12-2023+_xlfn.SEQUENCE('TCO Inputs'!$AZ$13))*INDEX('VKT US'!C65:AA65,,_xlfn.SEQUENCE('TCO Inputs'!$AZ$13)))*m2k*CONVERT(0.9072,"g","ton")</f>
        <v>15.164123017658506</v>
      </c>
      <c r="BM175" s="123" t="s">
        <v>189</v>
      </c>
      <c r="BN175" s="125">
        <f>BN63/293.07*(1/(VLOOKUP($BM175,'Fuel economy adjusted factor'!$A$2:$L$52,5,FALSE)*m2k))</f>
        <v>72.006839598025948</v>
      </c>
      <c r="BO175" s="125">
        <f>BO63/293.07*(1/(VLOOKUP($BM175,'Fuel economy adjusted factor'!$A$2:$L$52,5,FALSE)*m2k))</f>
        <v>72.006839598025948</v>
      </c>
      <c r="BP175" s="125">
        <f>BP63/293.07*(1/(VLOOKUP($BM175,'Fuel economy adjusted factor'!$A$2:$L$52,5,FALSE)*m2k))</f>
        <v>56.760996000056103</v>
      </c>
      <c r="BQ175" s="125">
        <f>BQ63/293.07*(1/(VLOOKUP($BM175,'Fuel economy adjusted factor'!$A$2:$L$52,5,FALSE)*m2k))</f>
        <v>56.760996000056103</v>
      </c>
      <c r="BR175" s="125">
        <f>BR63/293.07*(1/(VLOOKUP($BM175,'Fuel economy adjusted factor'!$A$2:$L$52,5,FALSE)*m2k))</f>
        <v>56.760996000056103</v>
      </c>
      <c r="BS175" s="125">
        <f>BS63/293.07*(1/(VLOOKUP($BM175,'Fuel economy adjusted factor'!$A$2:$L$52,5,FALSE)*m2k))</f>
        <v>56.760996000056103</v>
      </c>
      <c r="BT175" s="125">
        <f>BT63/293.07*(1/(VLOOKUP($BM175,'Fuel economy adjusted factor'!$A$2:$L$52,5,FALSE)*m2k))</f>
        <v>56.760996000056103</v>
      </c>
      <c r="BU175" s="125">
        <f>BU63/293.07*(1/(VLOOKUP($BM175,'Fuel economy adjusted factor'!$A$2:$L$52,5,FALSE)*m2k))</f>
        <v>3.2063217700032673</v>
      </c>
      <c r="BV175" s="125">
        <f>BV63/293.07*(1/(VLOOKUP($BM175,'Fuel economy adjusted factor'!$A$2:$L$52,5,FALSE)*m2k))</f>
        <v>3.2063217700032673</v>
      </c>
      <c r="BW175" s="125">
        <f>BW63/293.07*(1/(VLOOKUP($BM175,'Fuel economy adjusted factor'!$A$2:$L$52,5,FALSE)*m2k))</f>
        <v>3.2063217700032673</v>
      </c>
      <c r="BX175" s="125">
        <f>BX63/293.07*(1/(VLOOKUP($BM175,'Fuel economy adjusted factor'!$A$2:$L$52,5,FALSE)*m2k))</f>
        <v>3.2063217700032673</v>
      </c>
      <c r="BY175" s="125">
        <f>BY63/293.07*(1/(VLOOKUP($BM175,'Fuel economy adjusted factor'!$A$2:$L$52,5,FALSE)*m2k))</f>
        <v>3.2063217700032673</v>
      </c>
      <c r="BZ175" s="125">
        <f>BZ63/293.07*(1/(VLOOKUP($BM175,'Fuel economy adjusted factor'!$A$2:$L$52,5,FALSE)*m2k))</f>
        <v>3.343941672904065</v>
      </c>
      <c r="CA175" s="125">
        <f>CA63/293.07*(1/(VLOOKUP($BM175,'Fuel economy adjusted factor'!$A$2:$L$52,5,FALSE)*m2k))</f>
        <v>3.343941672904065</v>
      </c>
      <c r="CB175" s="125">
        <f>CB63/293.07*(1/(VLOOKUP($BM175,'Fuel economy adjusted factor'!$A$2:$L$52,5,FALSE)*m2k))</f>
        <v>3.343941672904065</v>
      </c>
      <c r="CC175" s="125">
        <f>CC63/293.07*(1/(VLOOKUP($BM175,'Fuel economy adjusted factor'!$A$2:$L$52,5,FALSE)*m2k))</f>
        <v>3.343941672904065</v>
      </c>
      <c r="CD175" s="125">
        <f>CD63/293.07*(1/(VLOOKUP($BM175,'Fuel economy adjusted factor'!$A$2:$L$52,5,FALSE)*m2k))</f>
        <v>3.343941672904065</v>
      </c>
      <c r="CE175" s="125">
        <f>CE63/293.07*(1/(VLOOKUP($BM175,'Fuel economy adjusted factor'!$A$2:$L$52,5,FALSE)*m2k))</f>
        <v>3.3905548658220774</v>
      </c>
      <c r="CF175" s="125">
        <f>CF63/293.07*(1/(VLOOKUP($BM175,'Fuel economy adjusted factor'!$A$2:$L$52,5,FALSE)*m2k))</f>
        <v>3.3905548658220774</v>
      </c>
      <c r="CG175" s="125">
        <f>CG63/293.07*(1/(VLOOKUP($BM175,'Fuel economy adjusted factor'!$A$2:$L$52,5,FALSE)*m2k))</f>
        <v>3.3905548658220774</v>
      </c>
      <c r="CH175" s="125">
        <f>CH63/293.07*(1/(VLOOKUP($BM175,'Fuel economy adjusted factor'!$A$2:$L$52,5,FALSE)*m2k))</f>
        <v>3.3905548658220774</v>
      </c>
      <c r="CI175" s="125">
        <f>CI63/293.07*(1/(VLOOKUP($BM175,'Fuel economy adjusted factor'!$A$2:$L$52,5,FALSE)*m2k))</f>
        <v>3.3905548658220774</v>
      </c>
      <c r="CJ175" s="125">
        <f>CJ63/293.07*(1/(VLOOKUP($BM175,'Fuel economy adjusted factor'!$A$2:$L$52,5,FALSE)*m2k))</f>
        <v>3.5098624429336565</v>
      </c>
      <c r="CK175" s="125">
        <f>CK63/293.07*(1/(VLOOKUP($BM175,'Fuel economy adjusted factor'!$A$2:$L$52,5,FALSE)*m2k))</f>
        <v>3.5098624429336565</v>
      </c>
      <c r="CL175" s="125">
        <f>CL63/293.07*(1/(VLOOKUP($BM175,'Fuel economy adjusted factor'!$A$2:$L$52,5,FALSE)*m2k))</f>
        <v>3.5098624429336565</v>
      </c>
      <c r="CM175" s="125">
        <f>CM63/293.07*(1/(VLOOKUP($BM175,'Fuel economy adjusted factor'!$A$2:$L$52,5,FALSE)*m2k))</f>
        <v>3.5098624429336565</v>
      </c>
      <c r="CN175" s="125">
        <f>CN63/293.07*(1/(VLOOKUP($BM175,'Fuel economy adjusted factor'!$A$2:$L$52,5,FALSE)*m2k))</f>
        <v>3.5098624429336565</v>
      </c>
      <c r="CO175" s="125">
        <f>CO63/293.07*(1/(VLOOKUP($BM175,'Fuel economy adjusted factor'!$A$2:$L$52,5,FALSE)*m2k))</f>
        <v>3.6608004009538857</v>
      </c>
      <c r="CP175" s="98" cm="1">
        <f t="array" ref="CP175">SUMPRODUCT(INDEX(BN175:CO175,,'TCO Inputs'!$AZ$12-2023+_xlfn.SEQUENCE('TCO Inputs'!$AZ$13))*INDEX('VKT US'!C65:AA65,,_xlfn.SEQUENCE('TCO Inputs'!$AZ$13)))*m2k*CONVERT(0.9072,"g","ton")</f>
        <v>9.7595383938729121</v>
      </c>
      <c r="CQ175" s="194"/>
      <c r="CR175" s="123" t="s">
        <v>189</v>
      </c>
      <c r="CS175" s="125">
        <f>CS63/293.07*(1/(VLOOKUP($BM175,'Fuel economy adjusted factor'!$A$2:$L$52,5,FALSE)*m2k))/'TCO Inputs'!$AZ$84</f>
        <v>84.713928938854053</v>
      </c>
      <c r="CT175" s="125">
        <f>CT63/293.07*(1/(VLOOKUP($BM175,'Fuel economy adjusted factor'!$A$2:$L$52,5,FALSE)*m2k))</f>
        <v>3.3716876210695488</v>
      </c>
      <c r="CU175" s="125">
        <f>CU63/293.07*(1/(VLOOKUP($BM175,'Fuel economy adjusted factor'!$A$2:$L$52,5,FALSE)*m2k))</f>
        <v>3.3716876210695488</v>
      </c>
      <c r="CV175" s="125">
        <f>CV63/293.07*(1/(VLOOKUP($BM175,'Fuel economy adjusted factor'!$A$2:$L$52,5,FALSE)*m2k))</f>
        <v>3.3716876210695488</v>
      </c>
      <c r="CW175" s="125">
        <f>CW63/293.07*(1/(VLOOKUP($BM175,'Fuel economy adjusted factor'!$A$2:$L$52,5,FALSE)*m2k))</f>
        <v>3.3716876210695488</v>
      </c>
      <c r="CX175" s="125">
        <f>CX63/293.07*(1/(VLOOKUP($BM175,'Fuel economy adjusted factor'!$A$2:$L$52,5,FALSE)*m2k))</f>
        <v>3.3716876210695488</v>
      </c>
      <c r="CY175" s="125">
        <f>CY63/293.07*(1/(VLOOKUP($BM175,'Fuel economy adjusted factor'!$A$2:$L$52,5,FALSE)*m2k))</f>
        <v>3.3716876210695488</v>
      </c>
      <c r="CZ175" s="125">
        <f>CZ63/293.07*(1/(VLOOKUP($BM175,'Fuel economy adjusted factor'!$A$2:$L$52,5,FALSE)*m2k))</f>
        <v>3.3716876210695488</v>
      </c>
      <c r="DA175" s="125">
        <f>DA63/293.07*(1/(VLOOKUP($BM175,'Fuel economy adjusted factor'!$A$2:$L$52,5,FALSE)*m2k))</f>
        <v>3.3716876210695488</v>
      </c>
      <c r="DB175" s="125">
        <f>DB63/293.07*(1/(VLOOKUP($BM175,'Fuel economy adjusted factor'!$A$2:$L$52,5,FALSE)*m2k))</f>
        <v>3.3716876210695488</v>
      </c>
      <c r="DC175" s="125">
        <f>DC63/293.07*(1/(VLOOKUP($BM175,'Fuel economy adjusted factor'!$A$2:$L$52,5,FALSE)*m2k))</f>
        <v>3.3716876210695488</v>
      </c>
      <c r="DD175" s="125">
        <f>DD63/293.07*(1/(VLOOKUP($BM175,'Fuel economy adjusted factor'!$A$2:$L$52,5,FALSE)*m2k))</f>
        <v>3.3716876210695488</v>
      </c>
      <c r="DE175" s="125">
        <f>DE63/293.07*(1/(VLOOKUP($BM175,'Fuel economy adjusted factor'!$A$2:$L$52,5,FALSE)*m2k))</f>
        <v>3.468243520685431</v>
      </c>
      <c r="DF175" s="125">
        <f>DF63/293.07*(1/(VLOOKUP($BM175,'Fuel economy adjusted factor'!$A$2:$L$52,5,FALSE)*m2k))</f>
        <v>3.468243520685431</v>
      </c>
      <c r="DG175" s="125">
        <f>DG63/293.07*(1/(VLOOKUP($BM175,'Fuel economy adjusted factor'!$A$2:$L$52,5,FALSE)*m2k))</f>
        <v>3.468243520685431</v>
      </c>
      <c r="DH175" s="125">
        <f>DH63/293.07*(1/(VLOOKUP($BM175,'Fuel economy adjusted factor'!$A$2:$L$52,5,FALSE)*m2k))</f>
        <v>3.468243520685431</v>
      </c>
      <c r="DI175" s="125">
        <f>DI63/293.07*(1/(VLOOKUP($BM175,'Fuel economy adjusted factor'!$A$2:$L$52,5,FALSE)*m2k))</f>
        <v>3.468243520685431</v>
      </c>
      <c r="DJ175" s="125">
        <f>DJ63/293.07*(1/(VLOOKUP($BM175,'Fuel economy adjusted factor'!$A$2:$L$52,5,FALSE)*m2k))</f>
        <v>3.6485921837610729</v>
      </c>
      <c r="DK175" s="125">
        <f>DK63/293.07*(1/(VLOOKUP($BM175,'Fuel economy adjusted factor'!$A$2:$L$52,5,FALSE)*m2k))</f>
        <v>3.6485921837610729</v>
      </c>
      <c r="DL175" s="125">
        <f>DL63/293.07*(1/(VLOOKUP($BM175,'Fuel economy adjusted factor'!$A$2:$L$52,5,FALSE)*m2k))</f>
        <v>3.6485921837610729</v>
      </c>
      <c r="DM175" s="125">
        <f>DM63/293.07*(1/(VLOOKUP($BM175,'Fuel economy adjusted factor'!$A$2:$L$52,5,FALSE)*m2k))</f>
        <v>3.6485921837610729</v>
      </c>
      <c r="DN175" s="125">
        <f>DN63/293.07*(1/(VLOOKUP($BM175,'Fuel economy adjusted factor'!$A$2:$L$52,5,FALSE)*m2k))</f>
        <v>3.6485921837610729</v>
      </c>
      <c r="DO175" s="125">
        <f>DO63/293.07*(1/(VLOOKUP($BM175,'Fuel economy adjusted factor'!$A$2:$L$52,5,FALSE)*m2k))</f>
        <v>3.7678997608726523</v>
      </c>
      <c r="DP175" s="125">
        <f>DP63/293.07*(1/(VLOOKUP($BM175,'Fuel economy adjusted factor'!$A$2:$L$52,5,FALSE)*m2k))</f>
        <v>3.7678997608726523</v>
      </c>
      <c r="DQ175" s="125">
        <f>DQ63/293.07*(1/(VLOOKUP($BM175,'Fuel economy adjusted factor'!$A$2:$L$52,5,FALSE)*m2k))</f>
        <v>3.7678997608726523</v>
      </c>
      <c r="DR175" s="125">
        <f>DR63/293.07*(1/(VLOOKUP($BM175,'Fuel economy adjusted factor'!$A$2:$L$52,5,FALSE)*m2k))</f>
        <v>3.7678997608726523</v>
      </c>
      <c r="DS175" s="125">
        <f>DS63/293.07*(1/(VLOOKUP($BM175,'Fuel economy adjusted factor'!$A$2:$L$52,5,FALSE)*m2k))</f>
        <v>3.7678997608726523</v>
      </c>
      <c r="DT175" s="125">
        <f>DT63/293.07*(1/(VLOOKUP($BM175,'Fuel economy adjusted factor'!$A$2:$L$52,5,FALSE)*m2k))</f>
        <v>3.9193926378561916</v>
      </c>
      <c r="DU175" s="98" cm="1">
        <f t="array" ref="DU175">SUMPRODUCT(INDEX(CS175:DT175,,'TCO Inputs'!$AZ$12-2023+_xlfn.SEQUENCE('TCO Inputs'!$AZ$13))*INDEX('VKT US'!C65:AA65,,_xlfn.SEQUENCE('TCO Inputs'!$AZ$13)))*m2k*CONVERT(0.9072,"g","ton")</f>
        <v>2.8685748114414444</v>
      </c>
      <c r="DW175" s="123" t="s">
        <v>189</v>
      </c>
      <c r="DX175" s="125">
        <f>DX63/293.07*(1/(VLOOKUP($BM175,'Fuel economy adjusted factor'!$A$2:$L$52,5,FALSE)*m2k))/'TCO Inputs'!$AZ$84</f>
        <v>111.92222811988107</v>
      </c>
      <c r="DY175" s="125">
        <f>DY63/293.07*(1/(VLOOKUP($BM175,'Fuel economy adjusted factor'!$A$2:$L$52,5,FALSE)*m2k))/'TCO Inputs'!$AZ$84</f>
        <v>111.92222811988107</v>
      </c>
      <c r="DZ175" s="125">
        <f>DZ63/293.07*(1/(VLOOKUP($BM175,'Fuel economy adjusted factor'!$A$2:$L$52,5,FALSE)*m2k))/'TCO Inputs'!$AZ$84</f>
        <v>97.918314818846198</v>
      </c>
      <c r="EA175" s="125">
        <f>EA63/293.07*(1/(VLOOKUP($BM175,'Fuel economy adjusted factor'!$A$2:$L$52,5,FALSE)*m2k))/'TCO Inputs'!$AZ$84</f>
        <v>97.918314818846198</v>
      </c>
      <c r="EB175" s="125">
        <f>EB63/293.07*(1/(VLOOKUP($BM175,'Fuel economy adjusted factor'!$A$2:$L$52,5,FALSE)*m2k))/'TCO Inputs'!$AZ$84</f>
        <v>97.918314818846198</v>
      </c>
      <c r="EC175" s="125">
        <f>EC63/293.07*(1/(VLOOKUP($BM175,'Fuel economy adjusted factor'!$A$2:$L$52,5,FALSE)*m2k))/'TCO Inputs'!$AZ$84</f>
        <v>97.918314818846198</v>
      </c>
      <c r="ED175" s="125">
        <f>ED63/293.07*(1/(VLOOKUP($BM175,'Fuel economy adjusted factor'!$A$2:$L$52,5,FALSE)*m2k))/'TCO Inputs'!$AZ$84</f>
        <v>97.918314818846198</v>
      </c>
      <c r="EE175" s="125">
        <f>EE63/293.07*(1/(VLOOKUP($BM175,'Fuel economy adjusted factor'!$A$2:$L$52,5,FALSE)*m2k))/'TCO Inputs'!$AZ$84</f>
        <v>60.921014492519035</v>
      </c>
      <c r="EF175" s="125">
        <f>EF63/293.07*(1/(VLOOKUP($BM175,'Fuel economy adjusted factor'!$A$2:$L$52,5,FALSE)*m2k))/'TCO Inputs'!$AZ$84</f>
        <v>60.921014492519035</v>
      </c>
      <c r="EG175" s="125">
        <f>EG63/293.07*(1/(VLOOKUP($BM175,'Fuel economy adjusted factor'!$A$2:$L$52,5,FALSE)*m2k))/'TCO Inputs'!$AZ$84</f>
        <v>60.921014492519035</v>
      </c>
      <c r="EH175" s="125">
        <f>EH63/293.07*(1/(VLOOKUP($BM175,'Fuel economy adjusted factor'!$A$2:$L$52,5,FALSE)*m2k))/'TCO Inputs'!$AZ$84</f>
        <v>60.921014492519035</v>
      </c>
      <c r="EI175" s="125">
        <f>EI63/293.07*(1/(VLOOKUP($BM175,'Fuel economy adjusted factor'!$A$2:$L$52,5,FALSE)*m2k))/'TCO Inputs'!$AZ$84</f>
        <v>60.921014492519035</v>
      </c>
      <c r="EJ175" s="125">
        <f>EJ63/293.07*(1/(VLOOKUP($BM175,'Fuel economy adjusted factor'!$A$2:$L$52,5,FALSE)*m2k))/'TCO Inputs'!$AZ$84</f>
        <v>54.244316651245626</v>
      </c>
      <c r="EK175" s="125">
        <f>EK63/293.07*(1/(VLOOKUP($BM175,'Fuel economy adjusted factor'!$A$2:$L$52,5,FALSE)*m2k))/'TCO Inputs'!$AZ$84</f>
        <v>54.244316651245626</v>
      </c>
      <c r="EL175" s="125">
        <f>EL63/293.07*(1/(VLOOKUP($BM175,'Fuel economy adjusted factor'!$A$2:$L$52,5,FALSE)*m2k))/'TCO Inputs'!$AZ$84</f>
        <v>54.244316651245626</v>
      </c>
      <c r="EM175" s="125">
        <f>EM63/293.07*(1/(VLOOKUP($BM175,'Fuel economy adjusted factor'!$A$2:$L$52,5,FALSE)*m2k))/'TCO Inputs'!$AZ$84</f>
        <v>54.244316651245626</v>
      </c>
      <c r="EN175" s="125">
        <f>EN63/293.07*(1/(VLOOKUP($BM175,'Fuel economy adjusted factor'!$A$2:$L$52,5,FALSE)*m2k))/'TCO Inputs'!$AZ$84</f>
        <v>54.244316651245626</v>
      </c>
      <c r="EO175" s="125">
        <f>EO63/293.07*(1/(VLOOKUP($BM175,'Fuel economy adjusted factor'!$A$2:$L$52,5,FALSE)*m2k))/'TCO Inputs'!$AZ$84</f>
        <v>52.708525967500584</v>
      </c>
      <c r="EP175" s="125">
        <f>EP63/293.07*(1/(VLOOKUP($BM175,'Fuel economy adjusted factor'!$A$2:$L$52,5,FALSE)*m2k))/'TCO Inputs'!$AZ$84</f>
        <v>52.708525967500584</v>
      </c>
      <c r="EQ175" s="125">
        <f>EQ63/293.07*(1/(VLOOKUP($BM175,'Fuel economy adjusted factor'!$A$2:$L$52,5,FALSE)*m2k))/'TCO Inputs'!$AZ$84</f>
        <v>52.708525967500584</v>
      </c>
      <c r="ER175" s="125">
        <f>ER63/293.07*(1/(VLOOKUP($BM175,'Fuel economy adjusted factor'!$A$2:$L$52,5,FALSE)*m2k))/'TCO Inputs'!$AZ$84</f>
        <v>52.708525967500584</v>
      </c>
      <c r="ES175" s="125">
        <f>ES63/293.07*(1/(VLOOKUP($BM175,'Fuel economy adjusted factor'!$A$2:$L$52,5,FALSE)*m2k))/'TCO Inputs'!$AZ$84</f>
        <v>52.708525967500584</v>
      </c>
      <c r="ET175" s="125">
        <f>ET63/293.07*(1/(VLOOKUP($BM175,'Fuel economy adjusted factor'!$A$2:$L$52,5,FALSE)*m2k))/'TCO Inputs'!$AZ$84</f>
        <v>50.843129151423248</v>
      </c>
      <c r="EU175" s="125">
        <f>EU63/293.07*(1/(VLOOKUP($BM175,'Fuel economy adjusted factor'!$A$2:$L$52,5,FALSE)*m2k))/'TCO Inputs'!$AZ$84</f>
        <v>50.843129151423248</v>
      </c>
      <c r="EV175" s="125">
        <f>EV63/293.07*(1/(VLOOKUP($BM175,'Fuel economy adjusted factor'!$A$2:$L$52,5,FALSE)*m2k))/'TCO Inputs'!$AZ$84</f>
        <v>50.843129151423248</v>
      </c>
      <c r="EW175" s="125">
        <f>EW63/293.07*(1/(VLOOKUP($BM175,'Fuel economy adjusted factor'!$A$2:$L$52,5,FALSE)*m2k))/'TCO Inputs'!$AZ$84</f>
        <v>50.843129151423248</v>
      </c>
      <c r="EX175" s="125">
        <f>EX63/293.07*(1/(VLOOKUP($BM175,'Fuel economy adjusted factor'!$A$2:$L$52,5,FALSE)*m2k))/'TCO Inputs'!$AZ$84</f>
        <v>50.843129151423248</v>
      </c>
      <c r="EY175" s="125">
        <f>EY63/293.07*(1/(VLOOKUP($BM175,'Fuel economy adjusted factor'!$A$2:$L$52,5,FALSE)*m2k))/'TCO Inputs'!$AZ$84</f>
        <v>47.870350581394902</v>
      </c>
      <c r="EZ175" s="98" cm="1">
        <f t="array" ref="EZ175">SUMPRODUCT(INDEX(DX175:EY175,,'TCO Inputs'!$AZ$12-2023+_xlfn.SEQUENCE('TCO Inputs'!$AZ$13))*INDEX('VKT US'!C65:AA65,,_xlfn.SEQUENCE('TCO Inputs'!$AZ$13)))*m2k*CONVERT(0.9072,"g","ton")</f>
        <v>22.925319466996861</v>
      </c>
      <c r="FB175" s="123" t="s">
        <v>189</v>
      </c>
      <c r="FC175" s="125">
        <f>FC63/293.07*(1/(VLOOKUP($BM175,'Fuel economy adjusted factor'!$A$2:$L$52,5,FALSE)*m2k))/'TCO Inputs'!$AZ$84</f>
        <v>120.98916323734855</v>
      </c>
      <c r="FD175" s="125">
        <f>FD63/293.07*(1/(VLOOKUP($BM175,'Fuel economy adjusted factor'!$A$2:$L$52,5,FALSE)*m2k))/'TCO Inputs'!$AZ$84</f>
        <v>120.98916323734855</v>
      </c>
      <c r="FE175" s="125">
        <f>FE63/293.07*(1/(VLOOKUP($BM175,'Fuel economy adjusted factor'!$A$2:$L$52,5,FALSE)*m2k))/'TCO Inputs'!$AZ$84</f>
        <v>105.48265699251579</v>
      </c>
      <c r="FF175" s="125">
        <f>FF63/293.07*(1/(VLOOKUP($BM175,'Fuel economy adjusted factor'!$A$2:$L$52,5,FALSE)*m2k))/'TCO Inputs'!$AZ$84</f>
        <v>105.48265699251579</v>
      </c>
      <c r="FG175" s="125">
        <f>FG63/293.07*(1/(VLOOKUP($BM175,'Fuel economy adjusted factor'!$A$2:$L$52,5,FALSE)*m2k))/'TCO Inputs'!$AZ$84</f>
        <v>105.48265699251579</v>
      </c>
      <c r="FH175" s="125">
        <f>FH63/293.07*(1/(VLOOKUP($BM175,'Fuel economy adjusted factor'!$A$2:$L$52,5,FALSE)*m2k))/'TCO Inputs'!$AZ$84</f>
        <v>105.48265699251579</v>
      </c>
      <c r="FI175" s="125">
        <f>FI63/293.07*(1/(VLOOKUP($BM175,'Fuel economy adjusted factor'!$A$2:$L$52,5,FALSE)*m2k))/'TCO Inputs'!$AZ$84</f>
        <v>105.48265699251579</v>
      </c>
      <c r="FJ175" s="125">
        <f>FJ63/293.07*(1/(VLOOKUP($BM175,'Fuel economy adjusted factor'!$A$2:$L$52,5,FALSE)*m2k))/'TCO Inputs'!$AZ$84</f>
        <v>66.718762647573001</v>
      </c>
      <c r="FK175" s="125">
        <f>FK63/293.07*(1/(VLOOKUP($BM175,'Fuel economy adjusted factor'!$A$2:$L$52,5,FALSE)*m2k))/'TCO Inputs'!$AZ$84</f>
        <v>66.718762647573001</v>
      </c>
      <c r="FL175" s="125">
        <f>FL63/293.07*(1/(VLOOKUP($BM175,'Fuel economy adjusted factor'!$A$2:$L$52,5,FALSE)*m2k))/'TCO Inputs'!$AZ$84</f>
        <v>66.718762647573001</v>
      </c>
      <c r="FM175" s="125">
        <f>FM63/293.07*(1/(VLOOKUP($BM175,'Fuel economy adjusted factor'!$A$2:$L$52,5,FALSE)*m2k))/'TCO Inputs'!$AZ$84</f>
        <v>66.718762647573001</v>
      </c>
      <c r="FN175" s="125">
        <f>FN63/293.07*(1/(VLOOKUP($BM175,'Fuel economy adjusted factor'!$A$2:$L$52,5,FALSE)*m2k))/'TCO Inputs'!$AZ$84</f>
        <v>66.718762647573001</v>
      </c>
      <c r="FO175" s="125">
        <f>FO63/293.07*(1/(VLOOKUP($BM175,'Fuel economy adjusted factor'!$A$2:$L$52,5,FALSE)*m2k))/'TCO Inputs'!$AZ$84</f>
        <v>59.093557950667027</v>
      </c>
      <c r="FP175" s="125">
        <f>FP63/293.07*(1/(VLOOKUP($BM175,'Fuel economy adjusted factor'!$A$2:$L$52,5,FALSE)*m2k))/'TCO Inputs'!$AZ$84</f>
        <v>59.093557950667027</v>
      </c>
      <c r="FQ175" s="125">
        <f>FQ63/293.07*(1/(VLOOKUP($BM175,'Fuel economy adjusted factor'!$A$2:$L$52,5,FALSE)*m2k))/'TCO Inputs'!$AZ$84</f>
        <v>59.093557950667027</v>
      </c>
      <c r="FR175" s="125">
        <f>FR63/293.07*(1/(VLOOKUP($BM175,'Fuel economy adjusted factor'!$A$2:$L$52,5,FALSE)*m2k))/'TCO Inputs'!$AZ$84</f>
        <v>59.093557950667027</v>
      </c>
      <c r="FS175" s="125">
        <f>FS63/293.07*(1/(VLOOKUP($BM175,'Fuel economy adjusted factor'!$A$2:$L$52,5,FALSE)*m2k))/'TCO Inputs'!$AZ$84</f>
        <v>59.093557950667027</v>
      </c>
      <c r="FT175" s="125">
        <f>FT63/293.07*(1/(VLOOKUP($BM175,'Fuel economy adjusted factor'!$A$2:$L$52,5,FALSE)*m2k))/'TCO Inputs'!$AZ$84</f>
        <v>57.744306948529726</v>
      </c>
      <c r="FU175" s="125">
        <f>FU63/293.07*(1/(VLOOKUP($BM175,'Fuel economy adjusted factor'!$A$2:$L$52,5,FALSE)*m2k))/'TCO Inputs'!$AZ$84</f>
        <v>57.744306948529726</v>
      </c>
      <c r="FV175" s="125">
        <f>FV63/293.07*(1/(VLOOKUP($BM175,'Fuel economy adjusted factor'!$A$2:$L$52,5,FALSE)*m2k))/'TCO Inputs'!$AZ$84</f>
        <v>57.744306948529726</v>
      </c>
      <c r="FW175" s="125">
        <f>FW63/293.07*(1/(VLOOKUP($BM175,'Fuel economy adjusted factor'!$A$2:$L$52,5,FALSE)*m2k))/'TCO Inputs'!$AZ$84</f>
        <v>57.744306948529726</v>
      </c>
      <c r="FX175" s="125">
        <f>FX63/293.07*(1/(VLOOKUP($BM175,'Fuel economy adjusted factor'!$A$2:$L$52,5,FALSE)*m2k))/'TCO Inputs'!$AZ$84</f>
        <v>57.744306948529726</v>
      </c>
      <c r="FY175" s="125">
        <f>FY63/293.07*(1/(VLOOKUP($BM175,'Fuel economy adjusted factor'!$A$2:$L$52,5,FALSE)*m2k))/'TCO Inputs'!$AZ$84</f>
        <v>55.875748442933613</v>
      </c>
      <c r="FZ175" s="125">
        <f>FZ63/293.07*(1/(VLOOKUP($BM175,'Fuel economy adjusted factor'!$A$2:$L$52,5,FALSE)*m2k))/'TCO Inputs'!$AZ$84</f>
        <v>55.875748442933613</v>
      </c>
      <c r="GA175" s="125">
        <f>GA63/293.07*(1/(VLOOKUP($BM175,'Fuel economy adjusted factor'!$A$2:$L$52,5,FALSE)*m2k))/'TCO Inputs'!$AZ$84</f>
        <v>55.875748442933613</v>
      </c>
      <c r="GB175" s="125">
        <f>GB63/293.07*(1/(VLOOKUP($BM175,'Fuel economy adjusted factor'!$A$2:$L$52,5,FALSE)*m2k))/'TCO Inputs'!$AZ$84</f>
        <v>55.875748442933613</v>
      </c>
      <c r="GC175" s="125">
        <f>GC63/293.07*(1/(VLOOKUP($BM175,'Fuel economy adjusted factor'!$A$2:$L$52,5,FALSE)*m2k))/'TCO Inputs'!$AZ$84</f>
        <v>55.875748442933613</v>
      </c>
      <c r="GD175" s="125">
        <f>GD63/293.07*(1/(VLOOKUP($BM175,'Fuel economy adjusted factor'!$A$2:$L$52,5,FALSE)*m2k))/'TCO Inputs'!$AZ$84</f>
        <v>52.801795808304469</v>
      </c>
      <c r="GE175" s="98" cm="1">
        <f t="array" ref="GE175">SUMPRODUCT(INDEX(FC175:GD175,,'TCO Inputs'!$AZ$12-2023+_xlfn.SEQUENCE('TCO Inputs'!$AZ$13))*INDEX('VKT US'!C65:AA65,,_xlfn.SEQUENCE('TCO Inputs'!$AZ$13)))*m2k*CONVERT(0.9072,"g","ton")</f>
        <v>24.837522955220205</v>
      </c>
      <c r="GH175" s="123" t="s">
        <v>189</v>
      </c>
      <c r="GI175" s="125">
        <f>GI63/293.07*(1/(VLOOKUP($GH175,'Fuel economy adjusted factor'!$A$2:$L$52,5,FALSE)*m2k))/'TCO Inputs'!$AZ$84</f>
        <v>212.99095503503469</v>
      </c>
      <c r="GJ175" s="125">
        <f>GJ63/293.07*(1/(VLOOKUP($GH175,'Fuel economy adjusted factor'!$A$2:$L$52,5,FALSE)*m2k))/'TCO Inputs'!$AZ$84</f>
        <v>212.99095503503469</v>
      </c>
      <c r="GK175" s="125">
        <f>GK63/293.07*(1/(VLOOKUP($GH175,'Fuel economy adjusted factor'!$A$2:$L$52,5,FALSE)*m2k))/'TCO Inputs'!$AZ$84</f>
        <v>212.99095503503469</v>
      </c>
      <c r="GL175" s="125">
        <f>GL63/293.07*(1/(VLOOKUP($GH175,'Fuel economy adjusted factor'!$A$2:$L$52,5,FALSE)*m2k))/'TCO Inputs'!$AZ$84</f>
        <v>212.99095503503469</v>
      </c>
      <c r="GM175" s="125">
        <f>GM63/293.07*(1/(VLOOKUP($GH175,'Fuel economy adjusted factor'!$A$2:$L$52,5,FALSE)*m2k))/'TCO Inputs'!$AZ$84</f>
        <v>212.99095503503469</v>
      </c>
      <c r="GN175" s="125">
        <f>GN63/293.07*(1/(VLOOKUP($GH175,'Fuel economy adjusted factor'!$A$2:$L$52,5,FALSE)*m2k))/'TCO Inputs'!$AZ$84</f>
        <v>212.99095503503469</v>
      </c>
      <c r="GO175" s="125">
        <f>GO63/293.07*(1/(VLOOKUP($GH175,'Fuel economy adjusted factor'!$A$2:$L$52,5,FALSE)*m2k))/'TCO Inputs'!$AZ$84</f>
        <v>212.99095503503469</v>
      </c>
      <c r="GP175" s="125">
        <f>GP63/293.07*(1/(VLOOKUP($GH175,'Fuel economy adjusted factor'!$A$2:$L$52,5,FALSE)*m2k))/'TCO Inputs'!$AZ$84</f>
        <v>212.99095503503469</v>
      </c>
      <c r="GQ175" s="125">
        <f>GQ63/293.07*(1/(VLOOKUP($GH175,'Fuel economy adjusted factor'!$A$2:$L$52,5,FALSE)*m2k))/'TCO Inputs'!$AZ$84</f>
        <v>212.99095503503469</v>
      </c>
      <c r="GR175" s="125">
        <f>GR63/293.07*(1/(VLOOKUP($GH175,'Fuel economy adjusted factor'!$A$2:$L$52,5,FALSE)*m2k))/'TCO Inputs'!$AZ$84</f>
        <v>212.99095503503469</v>
      </c>
      <c r="GS175" s="125">
        <f>GS63/293.07*(1/(VLOOKUP($GH175,'Fuel economy adjusted factor'!$A$2:$L$52,5,FALSE)*m2k))/'TCO Inputs'!$AZ$84</f>
        <v>212.99095503503469</v>
      </c>
      <c r="GT175" s="125">
        <f>GT63/293.07*(1/(VLOOKUP($GH175,'Fuel economy adjusted factor'!$A$2:$L$52,5,FALSE)*m2k))/'TCO Inputs'!$AZ$84</f>
        <v>212.99095503503469</v>
      </c>
      <c r="GU175" s="125">
        <f>GU63/293.07*(1/(VLOOKUP($GH175,'Fuel economy adjusted factor'!$A$2:$L$52,5,FALSE)*m2k))/'TCO Inputs'!$AZ$84</f>
        <v>212.99095503503469</v>
      </c>
      <c r="GV175" s="125">
        <f>GV63/293.07*(1/(VLOOKUP($GH175,'Fuel economy adjusted factor'!$A$2:$L$52,5,FALSE)*m2k))/'TCO Inputs'!$AZ$84</f>
        <v>212.99095503503469</v>
      </c>
      <c r="GW175" s="125">
        <f>GW63/293.07*(1/(VLOOKUP($GH175,'Fuel economy adjusted factor'!$A$2:$L$52,5,FALSE)*m2k))/'TCO Inputs'!$AZ$84</f>
        <v>212.99095503503469</v>
      </c>
      <c r="GX175" s="125">
        <f>GX63/293.07*(1/(VLOOKUP($GH175,'Fuel economy adjusted factor'!$A$2:$L$52,5,FALSE)*m2k))/'TCO Inputs'!$AZ$84</f>
        <v>212.99095503503469</v>
      </c>
      <c r="GY175" s="125">
        <f>GY63/293.07*(1/(VLOOKUP($GH175,'Fuel economy adjusted factor'!$A$2:$L$52,5,FALSE)*m2k))/'TCO Inputs'!$AZ$84</f>
        <v>212.99095503503469</v>
      </c>
      <c r="GZ175" s="125">
        <f>GZ63/293.07*(1/(VLOOKUP($GH175,'Fuel economy adjusted factor'!$A$2:$L$52,5,FALSE)*m2k))/'TCO Inputs'!$AZ$84</f>
        <v>212.99095503503469</v>
      </c>
      <c r="HA175" s="125">
        <f>HA63/293.07*(1/(VLOOKUP($GH175,'Fuel economy adjusted factor'!$A$2:$L$52,5,FALSE)*m2k))/'TCO Inputs'!$AZ$84</f>
        <v>212.99095503503469</v>
      </c>
      <c r="HB175" s="125">
        <f>HB63/293.07*(1/(VLOOKUP($GH175,'Fuel economy adjusted factor'!$A$2:$L$52,5,FALSE)*m2k))/'TCO Inputs'!$AZ$84</f>
        <v>212.99095503503469</v>
      </c>
      <c r="HC175" s="125">
        <f>HC63/293.07*(1/(VLOOKUP($GH175,'Fuel economy adjusted factor'!$A$2:$L$52,5,FALSE)*m2k))/'TCO Inputs'!$AZ$84</f>
        <v>212.99095503503469</v>
      </c>
      <c r="HD175" s="125">
        <f>HD63/293.07*(1/(VLOOKUP($GH175,'Fuel economy adjusted factor'!$A$2:$L$52,5,FALSE)*m2k))/'TCO Inputs'!$AZ$84</f>
        <v>212.99095503503469</v>
      </c>
      <c r="HE175" s="125">
        <f>HE63/293.07*(1/(VLOOKUP($GH175,'Fuel economy adjusted factor'!$A$2:$L$52,5,FALSE)*m2k))/'TCO Inputs'!$AZ$84</f>
        <v>212.99095503503469</v>
      </c>
      <c r="HF175" s="125">
        <f>HF63/293.07*(1/(VLOOKUP($GH175,'Fuel economy adjusted factor'!$A$2:$L$52,5,FALSE)*m2k))/'TCO Inputs'!$AZ$84</f>
        <v>212.99095503503469</v>
      </c>
      <c r="HG175" s="125">
        <f>HG63/293.07*(1/(VLOOKUP($GH175,'Fuel economy adjusted factor'!$A$2:$L$52,5,FALSE)*m2k))/'TCO Inputs'!$AZ$84</f>
        <v>212.99095503503469</v>
      </c>
      <c r="HH175" s="125">
        <f>HH63/293.07*(1/(VLOOKUP($GH175,'Fuel economy adjusted factor'!$A$2:$L$52,5,FALSE)*m2k))/'TCO Inputs'!$AZ$84</f>
        <v>212.99095503503469</v>
      </c>
      <c r="HI175" s="125">
        <f>HI63/293.07*(1/(VLOOKUP($GH175,'Fuel economy adjusted factor'!$A$2:$L$52,5,FALSE)*m2k))/'TCO Inputs'!$AZ$84</f>
        <v>212.99095503503469</v>
      </c>
      <c r="HJ175" s="125">
        <f>HJ63/293.07*(1/(VLOOKUP($GH175,'Fuel economy adjusted factor'!$A$2:$L$52,5,FALSE)*m2k))/'TCO Inputs'!$AZ$84</f>
        <v>212.99095503503469</v>
      </c>
      <c r="HK175" s="98" cm="1">
        <f t="array" ref="HK175">SUMPRODUCT(INDEX(GI175:HJ175,,'TCO Inputs'!$AZ$12-2023+_xlfn.SEQUENCE('TCO Inputs'!$AZ$13))*INDEX('VKT US'!C65:AA65,,_xlfn.SEQUENCE('TCO Inputs'!$AZ$13)))*m2k*CONVERT(0.9072,"g","ton")</f>
        <v>58.939887762366212</v>
      </c>
    </row>
    <row r="176" spans="22:219" x14ac:dyDescent="0.25">
      <c r="Z176" s="123" t="s">
        <v>188</v>
      </c>
      <c r="AA176" s="125">
        <f>AA64/293.07*(1/(VLOOKUP($Z176,'Fuel economy adjusted factor'!$A$2:$L$52,5,FALSE)*m2k))/'TCO Inputs'!$AZ$84</f>
        <v>117.45189357990263</v>
      </c>
      <c r="AB176" s="125">
        <f>AB64/293.07*(1/(VLOOKUP($Z176,'Fuel economy adjusted factor'!$A$2:$L$52,5,FALSE)*m2k))/'TCO Inputs'!$AZ$84</f>
        <v>117.45189357990263</v>
      </c>
      <c r="AC176" s="125">
        <f>AC64/293.07*(1/(VLOOKUP($Z176,'Fuel economy adjusted factor'!$A$2:$L$52,5,FALSE)*m2k))/'TCO Inputs'!$AZ$84</f>
        <v>103.16335085865092</v>
      </c>
      <c r="AD176" s="125">
        <f>AD64/293.07*(1/(VLOOKUP($Z176,'Fuel economy adjusted factor'!$A$2:$L$52,5,FALSE)*m2k))/'TCO Inputs'!$AZ$84</f>
        <v>103.16335085865092</v>
      </c>
      <c r="AE176" s="125">
        <f>AE64/293.07*(1/(VLOOKUP($Z176,'Fuel economy adjusted factor'!$A$2:$L$52,5,FALSE)*m2k))/'TCO Inputs'!$AZ$84</f>
        <v>103.16335085865092</v>
      </c>
      <c r="AF176" s="125">
        <f>AF64/293.07*(1/(VLOOKUP($Z176,'Fuel economy adjusted factor'!$A$2:$L$52,5,FALSE)*m2k))/'TCO Inputs'!$AZ$84</f>
        <v>103.16335085865092</v>
      </c>
      <c r="AG176" s="125">
        <f>AG64/293.07*(1/(VLOOKUP($Z176,'Fuel economy adjusted factor'!$A$2:$L$52,5,FALSE)*m2k))/'TCO Inputs'!$AZ$84</f>
        <v>103.16335085865092</v>
      </c>
      <c r="AH176" s="125">
        <f>AH64/293.07*(1/(VLOOKUP($Z176,'Fuel economy adjusted factor'!$A$2:$L$52,5,FALSE)*m2k))/'TCO Inputs'!$AZ$84</f>
        <v>39.003395059005285</v>
      </c>
      <c r="AI176" s="125">
        <f>AI64/293.07*(1/(VLOOKUP($Z176,'Fuel economy adjusted factor'!$A$2:$L$52,5,FALSE)*m2k))/'TCO Inputs'!$AZ$84</f>
        <v>39.003395059005285</v>
      </c>
      <c r="AJ176" s="125">
        <f>AJ64/293.07*(1/(VLOOKUP($Z176,'Fuel economy adjusted factor'!$A$2:$L$52,5,FALSE)*m2k))/'TCO Inputs'!$AZ$84</f>
        <v>39.003395059005285</v>
      </c>
      <c r="AK176" s="125">
        <f>AK64/293.07*(1/(VLOOKUP($Z176,'Fuel economy adjusted factor'!$A$2:$L$52,5,FALSE)*m2k))/'TCO Inputs'!$AZ$84</f>
        <v>39.003395059005285</v>
      </c>
      <c r="AL176" s="125">
        <f>AL64/293.07*(1/(VLOOKUP($Z176,'Fuel economy adjusted factor'!$A$2:$L$52,5,FALSE)*m2k))/'TCO Inputs'!$AZ$84</f>
        <v>39.003395059005285</v>
      </c>
      <c r="AM176" s="125">
        <f>AM64/293.07*(1/(VLOOKUP($Z176,'Fuel economy adjusted factor'!$A$2:$L$52,5,FALSE)*m2k))/'TCO Inputs'!$AZ$84</f>
        <v>32.782366671626406</v>
      </c>
      <c r="AN176" s="125">
        <f>AN64/293.07*(1/(VLOOKUP($Z176,'Fuel economy adjusted factor'!$A$2:$L$52,5,FALSE)*m2k))/'TCO Inputs'!$AZ$84</f>
        <v>32.782366671626406</v>
      </c>
      <c r="AO176" s="125">
        <f>AO64/293.07*(1/(VLOOKUP($Z176,'Fuel economy adjusted factor'!$A$2:$L$52,5,FALSE)*m2k))/'TCO Inputs'!$AZ$84</f>
        <v>32.782366671626406</v>
      </c>
      <c r="AP176" s="125">
        <f>AP64/293.07*(1/(VLOOKUP($Z176,'Fuel economy adjusted factor'!$A$2:$L$52,5,FALSE)*m2k))/'TCO Inputs'!$AZ$84</f>
        <v>32.782366671626406</v>
      </c>
      <c r="AQ176" s="125">
        <f>AQ64/293.07*(1/(VLOOKUP($Z176,'Fuel economy adjusted factor'!$A$2:$L$52,5,FALSE)*m2k))/'TCO Inputs'!$AZ$84</f>
        <v>32.782366671626406</v>
      </c>
      <c r="AR176" s="125">
        <f>AR64/293.07*(1/(VLOOKUP($Z176,'Fuel economy adjusted factor'!$A$2:$L$52,5,FALSE)*m2k))/'TCO Inputs'!$AZ$84</f>
        <v>32.782366671626406</v>
      </c>
      <c r="AS176" s="125">
        <f>AS64/293.07*(1/(VLOOKUP($Z176,'Fuel economy adjusted factor'!$A$2:$L$52,5,FALSE)*m2k))/'TCO Inputs'!$AZ$84</f>
        <v>32.782366671626406</v>
      </c>
      <c r="AT176" s="125">
        <f>AT64/293.07*(1/(VLOOKUP($Z176,'Fuel economy adjusted factor'!$A$2:$L$52,5,FALSE)*m2k))/'TCO Inputs'!$AZ$84</f>
        <v>32.782366671626406</v>
      </c>
      <c r="AU176" s="125">
        <f>AU64/293.07*(1/(VLOOKUP($Z176,'Fuel economy adjusted factor'!$A$2:$L$52,5,FALSE)*m2k))/'TCO Inputs'!$AZ$84</f>
        <v>32.782366671626406</v>
      </c>
      <c r="AV176" s="125">
        <f>AV64/293.07*(1/(VLOOKUP($Z176,'Fuel economy adjusted factor'!$A$2:$L$52,5,FALSE)*m2k))/'TCO Inputs'!$AZ$84</f>
        <v>32.782366671626406</v>
      </c>
      <c r="AW176" s="125">
        <f>AW64/293.07*(1/(VLOOKUP($Z176,'Fuel economy adjusted factor'!$A$2:$L$52,5,FALSE)*m2k))/'TCO Inputs'!$AZ$84</f>
        <v>32.937145640670749</v>
      </c>
      <c r="AX176" s="125">
        <f>AX64/293.07*(1/(VLOOKUP($Z176,'Fuel economy adjusted factor'!$A$2:$L$52,5,FALSE)*m2k))/'TCO Inputs'!$AZ$84</f>
        <v>32.937145640670749</v>
      </c>
      <c r="AY176" s="125">
        <f>AY64/293.07*(1/(VLOOKUP($Z176,'Fuel economy adjusted factor'!$A$2:$L$52,5,FALSE)*m2k))/'TCO Inputs'!$AZ$84</f>
        <v>32.937145640670749</v>
      </c>
      <c r="AZ176" s="125">
        <f>AZ64/293.07*(1/(VLOOKUP($Z176,'Fuel economy adjusted factor'!$A$2:$L$52,5,FALSE)*m2k))/'TCO Inputs'!$AZ$84</f>
        <v>32.937145640670749</v>
      </c>
      <c r="BA176" s="125">
        <f>BA64/293.07*(1/(VLOOKUP($Z176,'Fuel economy adjusted factor'!$A$2:$L$52,5,FALSE)*m2k))/'TCO Inputs'!$AZ$84</f>
        <v>32.937145640670749</v>
      </c>
      <c r="BB176" s="125">
        <f>BB64/293.07*(1/(VLOOKUP($Z176,'Fuel economy adjusted factor'!$A$2:$L$52,5,FALSE)*m2k))/'TCO Inputs'!$AZ$84</f>
        <v>33.1317507771885</v>
      </c>
      <c r="BC176" s="98" cm="1">
        <f t="array" ref="BC176">SUMPRODUCT(INDEX(AA176:BB176,,'TCO Inputs'!$AZ$12-2023+_xlfn.SEQUENCE('TCO Inputs'!$AZ$13))*INDEX('VKT US'!C66:AA66,,_xlfn.SEQUENCE('TCO Inputs'!$AZ$13)))*m2k*CONVERT(0.9072,"g","ton")</f>
        <v>27.664120512705328</v>
      </c>
      <c r="BM176" s="123" t="s">
        <v>188</v>
      </c>
      <c r="BN176" s="125">
        <f>BN64/293.07*(1/(VLOOKUP($BM176,'Fuel economy adjusted factor'!$A$2:$L$52,5,FALSE)*m2k))</f>
        <v>99.834109542917233</v>
      </c>
      <c r="BO176" s="125">
        <f>BO64/293.07*(1/(VLOOKUP($BM176,'Fuel economy adjusted factor'!$A$2:$L$52,5,FALSE)*m2k))</f>
        <v>99.834109542917233</v>
      </c>
      <c r="BP176" s="125">
        <f>BP64/293.07*(1/(VLOOKUP($BM176,'Fuel economy adjusted factor'!$A$2:$L$52,5,FALSE)*m2k))</f>
        <v>78.696461670427752</v>
      </c>
      <c r="BQ176" s="125">
        <f>BQ64/293.07*(1/(VLOOKUP($BM176,'Fuel economy adjusted factor'!$A$2:$L$52,5,FALSE)*m2k))</f>
        <v>78.696461670427752</v>
      </c>
      <c r="BR176" s="125">
        <f>BR64/293.07*(1/(VLOOKUP($BM176,'Fuel economy adjusted factor'!$A$2:$L$52,5,FALSE)*m2k))</f>
        <v>78.696461670427752</v>
      </c>
      <c r="BS176" s="125">
        <f>BS64/293.07*(1/(VLOOKUP($BM176,'Fuel economy adjusted factor'!$A$2:$L$52,5,FALSE)*m2k))</f>
        <v>78.696461670427752</v>
      </c>
      <c r="BT176" s="125">
        <f>BT64/293.07*(1/(VLOOKUP($BM176,'Fuel economy adjusted factor'!$A$2:$L$52,5,FALSE)*m2k))</f>
        <v>78.696461670427752</v>
      </c>
      <c r="BU176" s="125">
        <f>BU64/293.07*(1/(VLOOKUP($BM176,'Fuel economy adjusted factor'!$A$2:$L$52,5,FALSE)*m2k))</f>
        <v>4.4454149161841832</v>
      </c>
      <c r="BV176" s="125">
        <f>BV64/293.07*(1/(VLOOKUP($BM176,'Fuel economy adjusted factor'!$A$2:$L$52,5,FALSE)*m2k))</f>
        <v>4.4454149161841832</v>
      </c>
      <c r="BW176" s="125">
        <f>BW64/293.07*(1/(VLOOKUP($BM176,'Fuel economy adjusted factor'!$A$2:$L$52,5,FALSE)*m2k))</f>
        <v>4.4454149161841832</v>
      </c>
      <c r="BX176" s="125">
        <f>BX64/293.07*(1/(VLOOKUP($BM176,'Fuel economy adjusted factor'!$A$2:$L$52,5,FALSE)*m2k))</f>
        <v>4.4454149161841832</v>
      </c>
      <c r="BY176" s="125">
        <f>BY64/293.07*(1/(VLOOKUP($BM176,'Fuel economy adjusted factor'!$A$2:$L$52,5,FALSE)*m2k))</f>
        <v>4.4454149161841832</v>
      </c>
      <c r="BZ176" s="125">
        <f>BZ64/293.07*(1/(VLOOKUP($BM176,'Fuel economy adjusted factor'!$A$2:$L$52,5,FALSE)*m2k))</f>
        <v>4.6362184639885582</v>
      </c>
      <c r="CA176" s="125">
        <f>CA64/293.07*(1/(VLOOKUP($BM176,'Fuel economy adjusted factor'!$A$2:$L$52,5,FALSE)*m2k))</f>
        <v>4.6362184639885582</v>
      </c>
      <c r="CB176" s="125">
        <f>CB64/293.07*(1/(VLOOKUP($BM176,'Fuel economy adjusted factor'!$A$2:$L$52,5,FALSE)*m2k))</f>
        <v>4.6362184639885582</v>
      </c>
      <c r="CC176" s="125">
        <f>CC64/293.07*(1/(VLOOKUP($BM176,'Fuel economy adjusted factor'!$A$2:$L$52,5,FALSE)*m2k))</f>
        <v>4.6362184639885582</v>
      </c>
      <c r="CD176" s="125">
        <f>CD64/293.07*(1/(VLOOKUP($BM176,'Fuel economy adjusted factor'!$A$2:$L$52,5,FALSE)*m2k))</f>
        <v>4.6362184639885582</v>
      </c>
      <c r="CE176" s="125">
        <f>CE64/293.07*(1/(VLOOKUP($BM176,'Fuel economy adjusted factor'!$A$2:$L$52,5,FALSE)*m2k))</f>
        <v>4.7008454721158461</v>
      </c>
      <c r="CF176" s="125">
        <f>CF64/293.07*(1/(VLOOKUP($BM176,'Fuel economy adjusted factor'!$A$2:$L$52,5,FALSE)*m2k))</f>
        <v>4.7008454721158461</v>
      </c>
      <c r="CG176" s="125">
        <f>CG64/293.07*(1/(VLOOKUP($BM176,'Fuel economy adjusted factor'!$A$2:$L$52,5,FALSE)*m2k))</f>
        <v>4.7008454721158461</v>
      </c>
      <c r="CH176" s="125">
        <f>CH64/293.07*(1/(VLOOKUP($BM176,'Fuel economy adjusted factor'!$A$2:$L$52,5,FALSE)*m2k))</f>
        <v>4.7008454721158461</v>
      </c>
      <c r="CI176" s="125">
        <f>CI64/293.07*(1/(VLOOKUP($BM176,'Fuel economy adjusted factor'!$A$2:$L$52,5,FALSE)*m2k))</f>
        <v>4.7008454721158461</v>
      </c>
      <c r="CJ176" s="125">
        <f>CJ64/293.07*(1/(VLOOKUP($BM176,'Fuel economy adjusted factor'!$A$2:$L$52,5,FALSE)*m2k))</f>
        <v>4.866259838155929</v>
      </c>
      <c r="CK176" s="125">
        <f>CK64/293.07*(1/(VLOOKUP($BM176,'Fuel economy adjusted factor'!$A$2:$L$52,5,FALSE)*m2k))</f>
        <v>4.866259838155929</v>
      </c>
      <c r="CL176" s="125">
        <f>CL64/293.07*(1/(VLOOKUP($BM176,'Fuel economy adjusted factor'!$A$2:$L$52,5,FALSE)*m2k))</f>
        <v>4.866259838155929</v>
      </c>
      <c r="CM176" s="125">
        <f>CM64/293.07*(1/(VLOOKUP($BM176,'Fuel economy adjusted factor'!$A$2:$L$52,5,FALSE)*m2k))</f>
        <v>4.866259838155929</v>
      </c>
      <c r="CN176" s="125">
        <f>CN64/293.07*(1/(VLOOKUP($BM176,'Fuel economy adjusted factor'!$A$2:$L$52,5,FALSE)*m2k))</f>
        <v>4.866259838155929</v>
      </c>
      <c r="CO176" s="125">
        <f>CO64/293.07*(1/(VLOOKUP($BM176,'Fuel economy adjusted factor'!$A$2:$L$52,5,FALSE)*m2k))</f>
        <v>5.0755282454252431</v>
      </c>
      <c r="CP176" s="98" cm="1">
        <f t="array" ref="CP176">SUMPRODUCT(INDEX(BN176:CO176,,'TCO Inputs'!$AZ$12-2023+_xlfn.SEQUENCE('TCO Inputs'!$AZ$13))*INDEX('VKT US'!C66:AA66,,_xlfn.SEQUENCE('TCO Inputs'!$AZ$13)))*m2k*CONVERT(0.9072,"g","ton")</f>
        <v>17.804461620502199</v>
      </c>
      <c r="CQ176" s="194"/>
      <c r="CR176" s="123" t="s">
        <v>188</v>
      </c>
      <c r="CS176" s="125">
        <f>CS64/293.07*(1/(VLOOKUP($BM176,'Fuel economy adjusted factor'!$A$2:$L$52,5,FALSE)*m2k))/'TCO Inputs'!$AZ$84</f>
        <v>117.45189357990263</v>
      </c>
      <c r="CT176" s="125">
        <f>CT64/293.07*(1/(VLOOKUP($BM176,'Fuel economy adjusted factor'!$A$2:$L$52,5,FALSE)*m2k))</f>
        <v>4.6746869212071829</v>
      </c>
      <c r="CU176" s="125">
        <f>CU64/293.07*(1/(VLOOKUP($BM176,'Fuel economy adjusted factor'!$A$2:$L$52,5,FALSE)*m2k))</f>
        <v>4.6746869212071829</v>
      </c>
      <c r="CV176" s="125">
        <f>CV64/293.07*(1/(VLOOKUP($BM176,'Fuel economy adjusted factor'!$A$2:$L$52,5,FALSE)*m2k))</f>
        <v>4.6746869212071829</v>
      </c>
      <c r="CW176" s="125">
        <f>CW64/293.07*(1/(VLOOKUP($BM176,'Fuel economy adjusted factor'!$A$2:$L$52,5,FALSE)*m2k))</f>
        <v>4.6746869212071829</v>
      </c>
      <c r="CX176" s="125">
        <f>CX64/293.07*(1/(VLOOKUP($BM176,'Fuel economy adjusted factor'!$A$2:$L$52,5,FALSE)*m2k))</f>
        <v>4.6746869212071829</v>
      </c>
      <c r="CY176" s="125">
        <f>CY64/293.07*(1/(VLOOKUP($BM176,'Fuel economy adjusted factor'!$A$2:$L$52,5,FALSE)*m2k))</f>
        <v>4.6746869212071829</v>
      </c>
      <c r="CZ176" s="125">
        <f>CZ64/293.07*(1/(VLOOKUP($BM176,'Fuel economy adjusted factor'!$A$2:$L$52,5,FALSE)*m2k))</f>
        <v>4.6746869212071829</v>
      </c>
      <c r="DA176" s="125">
        <f>DA64/293.07*(1/(VLOOKUP($BM176,'Fuel economy adjusted factor'!$A$2:$L$52,5,FALSE)*m2k))</f>
        <v>4.6746869212071829</v>
      </c>
      <c r="DB176" s="125">
        <f>DB64/293.07*(1/(VLOOKUP($BM176,'Fuel economy adjusted factor'!$A$2:$L$52,5,FALSE)*m2k))</f>
        <v>4.6746869212071829</v>
      </c>
      <c r="DC176" s="125">
        <f>DC64/293.07*(1/(VLOOKUP($BM176,'Fuel economy adjusted factor'!$A$2:$L$52,5,FALSE)*m2k))</f>
        <v>4.6746869212071829</v>
      </c>
      <c r="DD176" s="125">
        <f>DD64/293.07*(1/(VLOOKUP($BM176,'Fuel economy adjusted factor'!$A$2:$L$52,5,FALSE)*m2k))</f>
        <v>4.6746869212071829</v>
      </c>
      <c r="DE176" s="125">
        <f>DE64/293.07*(1/(VLOOKUP($BM176,'Fuel economy adjusted factor'!$A$2:$L$52,5,FALSE)*m2k))</f>
        <v>4.8085571523279933</v>
      </c>
      <c r="DF176" s="125">
        <f>DF64/293.07*(1/(VLOOKUP($BM176,'Fuel economy adjusted factor'!$A$2:$L$52,5,FALSE)*m2k))</f>
        <v>4.8085571523279933</v>
      </c>
      <c r="DG176" s="125">
        <f>DG64/293.07*(1/(VLOOKUP($BM176,'Fuel economy adjusted factor'!$A$2:$L$52,5,FALSE)*m2k))</f>
        <v>4.8085571523279933</v>
      </c>
      <c r="DH176" s="125">
        <f>DH64/293.07*(1/(VLOOKUP($BM176,'Fuel economy adjusted factor'!$A$2:$L$52,5,FALSE)*m2k))</f>
        <v>4.8085571523279933</v>
      </c>
      <c r="DI176" s="125">
        <f>DI64/293.07*(1/(VLOOKUP($BM176,'Fuel economy adjusted factor'!$A$2:$L$52,5,FALSE)*m2k))</f>
        <v>4.8085571523279933</v>
      </c>
      <c r="DJ176" s="125">
        <f>DJ64/293.07*(1/(VLOOKUP($BM176,'Fuel economy adjusted factor'!$A$2:$L$52,5,FALSE)*m2k))</f>
        <v>5.0586021242490489</v>
      </c>
      <c r="DK176" s="125">
        <f>DK64/293.07*(1/(VLOOKUP($BM176,'Fuel economy adjusted factor'!$A$2:$L$52,5,FALSE)*m2k))</f>
        <v>5.0586021242490489</v>
      </c>
      <c r="DL176" s="125">
        <f>DL64/293.07*(1/(VLOOKUP($BM176,'Fuel economy adjusted factor'!$A$2:$L$52,5,FALSE)*m2k))</f>
        <v>5.0586021242490489</v>
      </c>
      <c r="DM176" s="125">
        <f>DM64/293.07*(1/(VLOOKUP($BM176,'Fuel economy adjusted factor'!$A$2:$L$52,5,FALSE)*m2k))</f>
        <v>5.0586021242490489</v>
      </c>
      <c r="DN176" s="125">
        <f>DN64/293.07*(1/(VLOOKUP($BM176,'Fuel economy adjusted factor'!$A$2:$L$52,5,FALSE)*m2k))</f>
        <v>5.0586021242490489</v>
      </c>
      <c r="DO176" s="125">
        <f>DO64/293.07*(1/(VLOOKUP($BM176,'Fuel economy adjusted factor'!$A$2:$L$52,5,FALSE)*m2k))</f>
        <v>5.2240164902891317</v>
      </c>
      <c r="DP176" s="125">
        <f>DP64/293.07*(1/(VLOOKUP($BM176,'Fuel economy adjusted factor'!$A$2:$L$52,5,FALSE)*m2k))</f>
        <v>5.2240164902891317</v>
      </c>
      <c r="DQ176" s="125">
        <f>DQ64/293.07*(1/(VLOOKUP($BM176,'Fuel economy adjusted factor'!$A$2:$L$52,5,FALSE)*m2k))</f>
        <v>5.2240164902891317</v>
      </c>
      <c r="DR176" s="125">
        <f>DR64/293.07*(1/(VLOOKUP($BM176,'Fuel economy adjusted factor'!$A$2:$L$52,5,FALSE)*m2k))</f>
        <v>5.2240164902891317</v>
      </c>
      <c r="DS176" s="125">
        <f>DS64/293.07*(1/(VLOOKUP($BM176,'Fuel economy adjusted factor'!$A$2:$L$52,5,FALSE)*m2k))</f>
        <v>5.2240164902891317</v>
      </c>
      <c r="DT176" s="125">
        <f>DT64/293.07*(1/(VLOOKUP($BM176,'Fuel economy adjusted factor'!$A$2:$L$52,5,FALSE)*m2k))</f>
        <v>5.4340542667028187</v>
      </c>
      <c r="DU176" s="98" cm="1">
        <f t="array" ref="DU176">SUMPRODUCT(INDEX(CS176:DT176,,'TCO Inputs'!$AZ$12-2023+_xlfn.SEQUENCE('TCO Inputs'!$AZ$13))*INDEX('VKT US'!C66:AA66,,_xlfn.SEQUENCE('TCO Inputs'!$AZ$13)))*m2k*CONVERT(0.9072,"g","ton")</f>
        <v>5.2331809225641956</v>
      </c>
      <c r="DW176" s="123" t="s">
        <v>188</v>
      </c>
      <c r="DX176" s="125">
        <f>DX64/293.07*(1/(VLOOKUP($BM176,'Fuel economy adjusted factor'!$A$2:$L$52,5,FALSE)*m2k))/'TCO Inputs'!$AZ$84</f>
        <v>155.1749256707262</v>
      </c>
      <c r="DY176" s="125">
        <f>DY64/293.07*(1/(VLOOKUP($BM176,'Fuel economy adjusted factor'!$A$2:$L$52,5,FALSE)*m2k))/'TCO Inputs'!$AZ$84</f>
        <v>155.1749256707262</v>
      </c>
      <c r="DZ176" s="125">
        <f>DZ64/293.07*(1/(VLOOKUP($BM176,'Fuel economy adjusted factor'!$A$2:$L$52,5,FALSE)*m2k))/'TCO Inputs'!$AZ$84</f>
        <v>135.75915596982463</v>
      </c>
      <c r="EA176" s="125">
        <f>EA64/293.07*(1/(VLOOKUP($BM176,'Fuel economy adjusted factor'!$A$2:$L$52,5,FALSE)*m2k))/'TCO Inputs'!$AZ$84</f>
        <v>135.75915596982463</v>
      </c>
      <c r="EB176" s="125">
        <f>EB64/293.07*(1/(VLOOKUP($BM176,'Fuel economy adjusted factor'!$A$2:$L$52,5,FALSE)*m2k))/'TCO Inputs'!$AZ$84</f>
        <v>135.75915596982463</v>
      </c>
      <c r="EC176" s="125">
        <f>EC64/293.07*(1/(VLOOKUP($BM176,'Fuel economy adjusted factor'!$A$2:$L$52,5,FALSE)*m2k))/'TCO Inputs'!$AZ$84</f>
        <v>135.75915596982463</v>
      </c>
      <c r="ED176" s="125">
        <f>ED64/293.07*(1/(VLOOKUP($BM176,'Fuel economy adjusted factor'!$A$2:$L$52,5,FALSE)*m2k))/'TCO Inputs'!$AZ$84</f>
        <v>135.75915596982463</v>
      </c>
      <c r="EE176" s="125">
        <f>EE64/293.07*(1/(VLOOKUP($BM176,'Fuel economy adjusted factor'!$A$2:$L$52,5,FALSE)*m2k))/'TCO Inputs'!$AZ$84</f>
        <v>84.464132411090205</v>
      </c>
      <c r="EF176" s="125">
        <f>EF64/293.07*(1/(VLOOKUP($BM176,'Fuel economy adjusted factor'!$A$2:$L$52,5,FALSE)*m2k))/'TCO Inputs'!$AZ$84</f>
        <v>84.464132411090205</v>
      </c>
      <c r="EG176" s="125">
        <f>EG64/293.07*(1/(VLOOKUP($BM176,'Fuel economy adjusted factor'!$A$2:$L$52,5,FALSE)*m2k))/'TCO Inputs'!$AZ$84</f>
        <v>84.464132411090205</v>
      </c>
      <c r="EH176" s="125">
        <f>EH64/293.07*(1/(VLOOKUP($BM176,'Fuel economy adjusted factor'!$A$2:$L$52,5,FALSE)*m2k))/'TCO Inputs'!$AZ$84</f>
        <v>84.464132411090205</v>
      </c>
      <c r="EI176" s="125">
        <f>EI64/293.07*(1/(VLOOKUP($BM176,'Fuel economy adjusted factor'!$A$2:$L$52,5,FALSE)*m2k))/'TCO Inputs'!$AZ$84</f>
        <v>84.464132411090205</v>
      </c>
      <c r="EJ176" s="125">
        <f>EJ64/293.07*(1/(VLOOKUP($BM176,'Fuel economy adjusted factor'!$A$2:$L$52,5,FALSE)*m2k))/'TCO Inputs'!$AZ$84</f>
        <v>75.207203661103449</v>
      </c>
      <c r="EK176" s="125">
        <f>EK64/293.07*(1/(VLOOKUP($BM176,'Fuel economy adjusted factor'!$A$2:$L$52,5,FALSE)*m2k))/'TCO Inputs'!$AZ$84</f>
        <v>75.207203661103449</v>
      </c>
      <c r="EL176" s="125">
        <f>EL64/293.07*(1/(VLOOKUP($BM176,'Fuel economy adjusted factor'!$A$2:$L$52,5,FALSE)*m2k))/'TCO Inputs'!$AZ$84</f>
        <v>75.207203661103449</v>
      </c>
      <c r="EM176" s="125">
        <f>EM64/293.07*(1/(VLOOKUP($BM176,'Fuel economy adjusted factor'!$A$2:$L$52,5,FALSE)*m2k))/'TCO Inputs'!$AZ$84</f>
        <v>75.207203661103449</v>
      </c>
      <c r="EN176" s="125">
        <f>EN64/293.07*(1/(VLOOKUP($BM176,'Fuel economy adjusted factor'!$A$2:$L$52,5,FALSE)*m2k))/'TCO Inputs'!$AZ$84</f>
        <v>75.207203661103449</v>
      </c>
      <c r="EO176" s="125">
        <f>EO64/293.07*(1/(VLOOKUP($BM176,'Fuel economy adjusted factor'!$A$2:$L$52,5,FALSE)*m2k))/'TCO Inputs'!$AZ$84</f>
        <v>73.077901830722936</v>
      </c>
      <c r="EP176" s="125">
        <f>EP64/293.07*(1/(VLOOKUP($BM176,'Fuel economy adjusted factor'!$A$2:$L$52,5,FALSE)*m2k))/'TCO Inputs'!$AZ$84</f>
        <v>73.077901830722936</v>
      </c>
      <c r="EQ176" s="125">
        <f>EQ64/293.07*(1/(VLOOKUP($BM176,'Fuel economy adjusted factor'!$A$2:$L$52,5,FALSE)*m2k))/'TCO Inputs'!$AZ$84</f>
        <v>73.077901830722936</v>
      </c>
      <c r="ER176" s="125">
        <f>ER64/293.07*(1/(VLOOKUP($BM176,'Fuel economy adjusted factor'!$A$2:$L$52,5,FALSE)*m2k))/'TCO Inputs'!$AZ$84</f>
        <v>73.077901830722936</v>
      </c>
      <c r="ES176" s="125">
        <f>ES64/293.07*(1/(VLOOKUP($BM176,'Fuel economy adjusted factor'!$A$2:$L$52,5,FALSE)*m2k))/'TCO Inputs'!$AZ$84</f>
        <v>73.077901830722936</v>
      </c>
      <c r="ET176" s="125">
        <f>ET64/293.07*(1/(VLOOKUP($BM176,'Fuel economy adjusted factor'!$A$2:$L$52,5,FALSE)*m2k))/'TCO Inputs'!$AZ$84</f>
        <v>70.491616540090902</v>
      </c>
      <c r="EU176" s="125">
        <f>EU64/293.07*(1/(VLOOKUP($BM176,'Fuel economy adjusted factor'!$A$2:$L$52,5,FALSE)*m2k))/'TCO Inputs'!$AZ$84</f>
        <v>70.491616540090902</v>
      </c>
      <c r="EV176" s="125">
        <f>EV64/293.07*(1/(VLOOKUP($BM176,'Fuel economy adjusted factor'!$A$2:$L$52,5,FALSE)*m2k))/'TCO Inputs'!$AZ$84</f>
        <v>70.491616540090902</v>
      </c>
      <c r="EW176" s="125">
        <f>EW64/293.07*(1/(VLOOKUP($BM176,'Fuel economy adjusted factor'!$A$2:$L$52,5,FALSE)*m2k))/'TCO Inputs'!$AZ$84</f>
        <v>70.491616540090902</v>
      </c>
      <c r="EX176" s="125">
        <f>EX64/293.07*(1/(VLOOKUP($BM176,'Fuel economy adjusted factor'!$A$2:$L$52,5,FALSE)*m2k))/'TCO Inputs'!$AZ$84</f>
        <v>70.491616540090902</v>
      </c>
      <c r="EY176" s="125">
        <f>EY64/293.07*(1/(VLOOKUP($BM176,'Fuel economy adjusted factor'!$A$2:$L$52,5,FALSE)*m2k))/'TCO Inputs'!$AZ$84</f>
        <v>66.369998329045529</v>
      </c>
      <c r="EZ176" s="98" cm="1">
        <f t="array" ref="EZ176">SUMPRODUCT(INDEX(DX176:EY176,,'TCO Inputs'!$AZ$12-2023+_xlfn.SEQUENCE('TCO Inputs'!$AZ$13))*INDEX('VKT US'!C66:AA66,,_xlfn.SEQUENCE('TCO Inputs'!$AZ$13)))*m2k*CONVERT(0.9072,"g","ton")</f>
        <v>41.822979132307204</v>
      </c>
      <c r="FB176" s="123" t="s">
        <v>188</v>
      </c>
      <c r="FC176" s="125">
        <f>FC64/293.07*(1/(VLOOKUP($BM176,'Fuel economy adjusted factor'!$A$2:$L$52,5,FALSE)*m2k))/'TCO Inputs'!$AZ$84</f>
        <v>167.74580642023466</v>
      </c>
      <c r="FD176" s="125">
        <f>FD64/293.07*(1/(VLOOKUP($BM176,'Fuel economy adjusted factor'!$A$2:$L$52,5,FALSE)*m2k))/'TCO Inputs'!$AZ$84</f>
        <v>167.74580642023466</v>
      </c>
      <c r="FE176" s="125">
        <f>FE64/293.07*(1/(VLOOKUP($BM176,'Fuel economy adjusted factor'!$A$2:$L$52,5,FALSE)*m2k))/'TCO Inputs'!$AZ$84</f>
        <v>146.24676200005709</v>
      </c>
      <c r="FF176" s="125">
        <f>FF64/293.07*(1/(VLOOKUP($BM176,'Fuel economy adjusted factor'!$A$2:$L$52,5,FALSE)*m2k))/'TCO Inputs'!$AZ$84</f>
        <v>146.24676200005709</v>
      </c>
      <c r="FG176" s="125">
        <f>FG64/293.07*(1/(VLOOKUP($BM176,'Fuel economy adjusted factor'!$A$2:$L$52,5,FALSE)*m2k))/'TCO Inputs'!$AZ$84</f>
        <v>146.24676200005709</v>
      </c>
      <c r="FH176" s="125">
        <f>FH64/293.07*(1/(VLOOKUP($BM176,'Fuel economy adjusted factor'!$A$2:$L$52,5,FALSE)*m2k))/'TCO Inputs'!$AZ$84</f>
        <v>146.24676200005709</v>
      </c>
      <c r="FI176" s="125">
        <f>FI64/293.07*(1/(VLOOKUP($BM176,'Fuel economy adjusted factor'!$A$2:$L$52,5,FALSE)*m2k))/'TCO Inputs'!$AZ$84</f>
        <v>146.24676200005709</v>
      </c>
      <c r="FJ176" s="125">
        <f>FJ64/293.07*(1/(VLOOKUP($BM176,'Fuel economy adjusted factor'!$A$2:$L$52,5,FALSE)*m2k))/'TCO Inputs'!$AZ$84</f>
        <v>92.502438600406279</v>
      </c>
      <c r="FK176" s="125">
        <f>FK64/293.07*(1/(VLOOKUP($BM176,'Fuel economy adjusted factor'!$A$2:$L$52,5,FALSE)*m2k))/'TCO Inputs'!$AZ$84</f>
        <v>92.502438600406279</v>
      </c>
      <c r="FL176" s="125">
        <f>FL64/293.07*(1/(VLOOKUP($BM176,'Fuel economy adjusted factor'!$A$2:$L$52,5,FALSE)*m2k))/'TCO Inputs'!$AZ$84</f>
        <v>92.502438600406279</v>
      </c>
      <c r="FM176" s="125">
        <f>FM64/293.07*(1/(VLOOKUP($BM176,'Fuel economy adjusted factor'!$A$2:$L$52,5,FALSE)*m2k))/'TCO Inputs'!$AZ$84</f>
        <v>92.502438600406279</v>
      </c>
      <c r="FN176" s="125">
        <f>FN64/293.07*(1/(VLOOKUP($BM176,'Fuel economy adjusted factor'!$A$2:$L$52,5,FALSE)*m2k))/'TCO Inputs'!$AZ$84</f>
        <v>92.502438600406279</v>
      </c>
      <c r="FO176" s="125">
        <f>FO64/293.07*(1/(VLOOKUP($BM176,'Fuel economy adjusted factor'!$A$2:$L$52,5,FALSE)*m2k))/'TCO Inputs'!$AZ$84</f>
        <v>81.930449533148987</v>
      </c>
      <c r="FP176" s="125">
        <f>FP64/293.07*(1/(VLOOKUP($BM176,'Fuel economy adjusted factor'!$A$2:$L$52,5,FALSE)*m2k))/'TCO Inputs'!$AZ$84</f>
        <v>81.930449533148987</v>
      </c>
      <c r="FQ176" s="125">
        <f>FQ64/293.07*(1/(VLOOKUP($BM176,'Fuel economy adjusted factor'!$A$2:$L$52,5,FALSE)*m2k))/'TCO Inputs'!$AZ$84</f>
        <v>81.930449533148987</v>
      </c>
      <c r="FR176" s="125">
        <f>FR64/293.07*(1/(VLOOKUP($BM176,'Fuel economy adjusted factor'!$A$2:$L$52,5,FALSE)*m2k))/'TCO Inputs'!$AZ$84</f>
        <v>81.930449533148987</v>
      </c>
      <c r="FS176" s="125">
        <f>FS64/293.07*(1/(VLOOKUP($BM176,'Fuel economy adjusted factor'!$A$2:$L$52,5,FALSE)*m2k))/'TCO Inputs'!$AZ$84</f>
        <v>81.930449533148987</v>
      </c>
      <c r="FT176" s="125">
        <f>FT64/293.07*(1/(VLOOKUP($BM176,'Fuel economy adjusted factor'!$A$2:$L$52,5,FALSE)*m2k))/'TCO Inputs'!$AZ$84</f>
        <v>80.059776231831677</v>
      </c>
      <c r="FU176" s="125">
        <f>FU64/293.07*(1/(VLOOKUP($BM176,'Fuel economy adjusted factor'!$A$2:$L$52,5,FALSE)*m2k))/'TCO Inputs'!$AZ$84</f>
        <v>80.059776231831677</v>
      </c>
      <c r="FV176" s="125">
        <f>FV64/293.07*(1/(VLOOKUP($BM176,'Fuel economy adjusted factor'!$A$2:$L$52,5,FALSE)*m2k))/'TCO Inputs'!$AZ$84</f>
        <v>80.059776231831677</v>
      </c>
      <c r="FW176" s="125">
        <f>FW64/293.07*(1/(VLOOKUP($BM176,'Fuel economy adjusted factor'!$A$2:$L$52,5,FALSE)*m2k))/'TCO Inputs'!$AZ$84</f>
        <v>80.059776231831677</v>
      </c>
      <c r="FX176" s="125">
        <f>FX64/293.07*(1/(VLOOKUP($BM176,'Fuel economy adjusted factor'!$A$2:$L$52,5,FALSE)*m2k))/'TCO Inputs'!$AZ$84</f>
        <v>80.059776231831677</v>
      </c>
      <c r="FY176" s="125">
        <f>FY64/293.07*(1/(VLOOKUP($BM176,'Fuel economy adjusted factor'!$A$2:$L$52,5,FALSE)*m2k))/'TCO Inputs'!$AZ$84</f>
        <v>77.46910740680876</v>
      </c>
      <c r="FZ176" s="125">
        <f>FZ64/293.07*(1/(VLOOKUP($BM176,'Fuel economy adjusted factor'!$A$2:$L$52,5,FALSE)*m2k))/'TCO Inputs'!$AZ$84</f>
        <v>77.46910740680876</v>
      </c>
      <c r="GA176" s="125">
        <f>GA64/293.07*(1/(VLOOKUP($BM176,'Fuel economy adjusted factor'!$A$2:$L$52,5,FALSE)*m2k))/'TCO Inputs'!$AZ$84</f>
        <v>77.46910740680876</v>
      </c>
      <c r="GB176" s="125">
        <f>GB64/293.07*(1/(VLOOKUP($BM176,'Fuel economy adjusted factor'!$A$2:$L$52,5,FALSE)*m2k))/'TCO Inputs'!$AZ$84</f>
        <v>77.46910740680876</v>
      </c>
      <c r="GC176" s="125">
        <f>GC64/293.07*(1/(VLOOKUP($BM176,'Fuel economy adjusted factor'!$A$2:$L$52,5,FALSE)*m2k))/'TCO Inputs'!$AZ$84</f>
        <v>77.46910740680876</v>
      </c>
      <c r="GD176" s="125">
        <f>GD64/293.07*(1/(VLOOKUP($BM176,'Fuel economy adjusted factor'!$A$2:$L$52,5,FALSE)*m2k))/'TCO Inputs'!$AZ$84</f>
        <v>73.207216095254537</v>
      </c>
      <c r="GE176" s="98" cm="1">
        <f t="array" ref="GE176">SUMPRODUCT(INDEX(FC176:GD176,,'TCO Inputs'!$AZ$12-2023+_xlfn.SEQUENCE('TCO Inputs'!$AZ$13))*INDEX('VKT US'!C66:AA66,,_xlfn.SEQUENCE('TCO Inputs'!$AZ$13)))*m2k*CONVERT(0.9072,"g","ton")</f>
        <v>45.311438549408003</v>
      </c>
      <c r="GH176" s="123" t="s">
        <v>188</v>
      </c>
      <c r="GI176" s="125">
        <f>GI64/293.07*(1/(VLOOKUP($GH176,'Fuel economy adjusted factor'!$A$2:$L$52,5,FALSE)*m2k))/'TCO Inputs'!$AZ$84</f>
        <v>295.30198041355442</v>
      </c>
      <c r="GJ176" s="125">
        <f>GJ64/293.07*(1/(VLOOKUP($GH176,'Fuel economy adjusted factor'!$A$2:$L$52,5,FALSE)*m2k))/'TCO Inputs'!$AZ$84</f>
        <v>295.30198041355442</v>
      </c>
      <c r="GK176" s="125">
        <f>GK64/293.07*(1/(VLOOKUP($GH176,'Fuel economy adjusted factor'!$A$2:$L$52,5,FALSE)*m2k))/'TCO Inputs'!$AZ$84</f>
        <v>295.30198041355442</v>
      </c>
      <c r="GL176" s="125">
        <f>GL64/293.07*(1/(VLOOKUP($GH176,'Fuel economy adjusted factor'!$A$2:$L$52,5,FALSE)*m2k))/'TCO Inputs'!$AZ$84</f>
        <v>295.30198041355442</v>
      </c>
      <c r="GM176" s="125">
        <f>GM64/293.07*(1/(VLOOKUP($GH176,'Fuel economy adjusted factor'!$A$2:$L$52,5,FALSE)*m2k))/'TCO Inputs'!$AZ$84</f>
        <v>295.30198041355442</v>
      </c>
      <c r="GN176" s="125">
        <f>GN64/293.07*(1/(VLOOKUP($GH176,'Fuel economy adjusted factor'!$A$2:$L$52,5,FALSE)*m2k))/'TCO Inputs'!$AZ$84</f>
        <v>295.30198041355442</v>
      </c>
      <c r="GO176" s="125">
        <f>GO64/293.07*(1/(VLOOKUP($GH176,'Fuel economy adjusted factor'!$A$2:$L$52,5,FALSE)*m2k))/'TCO Inputs'!$AZ$84</f>
        <v>295.30198041355442</v>
      </c>
      <c r="GP176" s="125">
        <f>GP64/293.07*(1/(VLOOKUP($GH176,'Fuel economy adjusted factor'!$A$2:$L$52,5,FALSE)*m2k))/'TCO Inputs'!$AZ$84</f>
        <v>295.30198041355442</v>
      </c>
      <c r="GQ176" s="125">
        <f>GQ64/293.07*(1/(VLOOKUP($GH176,'Fuel economy adjusted factor'!$A$2:$L$52,5,FALSE)*m2k))/'TCO Inputs'!$AZ$84</f>
        <v>295.30198041355442</v>
      </c>
      <c r="GR176" s="125">
        <f>GR64/293.07*(1/(VLOOKUP($GH176,'Fuel economy adjusted factor'!$A$2:$L$52,5,FALSE)*m2k))/'TCO Inputs'!$AZ$84</f>
        <v>295.30198041355442</v>
      </c>
      <c r="GS176" s="125">
        <f>GS64/293.07*(1/(VLOOKUP($GH176,'Fuel economy adjusted factor'!$A$2:$L$52,5,FALSE)*m2k))/'TCO Inputs'!$AZ$84</f>
        <v>295.30198041355442</v>
      </c>
      <c r="GT176" s="125">
        <f>GT64/293.07*(1/(VLOOKUP($GH176,'Fuel economy adjusted factor'!$A$2:$L$52,5,FALSE)*m2k))/'TCO Inputs'!$AZ$84</f>
        <v>295.30198041355442</v>
      </c>
      <c r="GU176" s="125">
        <f>GU64/293.07*(1/(VLOOKUP($GH176,'Fuel economy adjusted factor'!$A$2:$L$52,5,FALSE)*m2k))/'TCO Inputs'!$AZ$84</f>
        <v>295.30198041355442</v>
      </c>
      <c r="GV176" s="125">
        <f>GV64/293.07*(1/(VLOOKUP($GH176,'Fuel economy adjusted factor'!$A$2:$L$52,5,FALSE)*m2k))/'TCO Inputs'!$AZ$84</f>
        <v>295.30198041355442</v>
      </c>
      <c r="GW176" s="125">
        <f>GW64/293.07*(1/(VLOOKUP($GH176,'Fuel economy adjusted factor'!$A$2:$L$52,5,FALSE)*m2k))/'TCO Inputs'!$AZ$84</f>
        <v>295.30198041355442</v>
      </c>
      <c r="GX176" s="125">
        <f>GX64/293.07*(1/(VLOOKUP($GH176,'Fuel economy adjusted factor'!$A$2:$L$52,5,FALSE)*m2k))/'TCO Inputs'!$AZ$84</f>
        <v>295.30198041355442</v>
      </c>
      <c r="GY176" s="125">
        <f>GY64/293.07*(1/(VLOOKUP($GH176,'Fuel economy adjusted factor'!$A$2:$L$52,5,FALSE)*m2k))/'TCO Inputs'!$AZ$84</f>
        <v>295.30198041355442</v>
      </c>
      <c r="GZ176" s="125">
        <f>GZ64/293.07*(1/(VLOOKUP($GH176,'Fuel economy adjusted factor'!$A$2:$L$52,5,FALSE)*m2k))/'TCO Inputs'!$AZ$84</f>
        <v>295.30198041355442</v>
      </c>
      <c r="HA176" s="125">
        <f>HA64/293.07*(1/(VLOOKUP($GH176,'Fuel economy adjusted factor'!$A$2:$L$52,5,FALSE)*m2k))/'TCO Inputs'!$AZ$84</f>
        <v>295.30198041355442</v>
      </c>
      <c r="HB176" s="125">
        <f>HB64/293.07*(1/(VLOOKUP($GH176,'Fuel economy adjusted factor'!$A$2:$L$52,5,FALSE)*m2k))/'TCO Inputs'!$AZ$84</f>
        <v>295.30198041355442</v>
      </c>
      <c r="HC176" s="125">
        <f>HC64/293.07*(1/(VLOOKUP($GH176,'Fuel economy adjusted factor'!$A$2:$L$52,5,FALSE)*m2k))/'TCO Inputs'!$AZ$84</f>
        <v>295.30198041355442</v>
      </c>
      <c r="HD176" s="125">
        <f>HD64/293.07*(1/(VLOOKUP($GH176,'Fuel economy adjusted factor'!$A$2:$L$52,5,FALSE)*m2k))/'TCO Inputs'!$AZ$84</f>
        <v>295.30198041355442</v>
      </c>
      <c r="HE176" s="125">
        <f>HE64/293.07*(1/(VLOOKUP($GH176,'Fuel economy adjusted factor'!$A$2:$L$52,5,FALSE)*m2k))/'TCO Inputs'!$AZ$84</f>
        <v>295.30198041355442</v>
      </c>
      <c r="HF176" s="125">
        <f>HF64/293.07*(1/(VLOOKUP($GH176,'Fuel economy adjusted factor'!$A$2:$L$52,5,FALSE)*m2k))/'TCO Inputs'!$AZ$84</f>
        <v>295.30198041355442</v>
      </c>
      <c r="HG176" s="125">
        <f>HG64/293.07*(1/(VLOOKUP($GH176,'Fuel economy adjusted factor'!$A$2:$L$52,5,FALSE)*m2k))/'TCO Inputs'!$AZ$84</f>
        <v>295.30198041355442</v>
      </c>
      <c r="HH176" s="125">
        <f>HH64/293.07*(1/(VLOOKUP($GH176,'Fuel economy adjusted factor'!$A$2:$L$52,5,FALSE)*m2k))/'TCO Inputs'!$AZ$84</f>
        <v>295.30198041355442</v>
      </c>
      <c r="HI176" s="125">
        <f>HI64/293.07*(1/(VLOOKUP($GH176,'Fuel economy adjusted factor'!$A$2:$L$52,5,FALSE)*m2k))/'TCO Inputs'!$AZ$84</f>
        <v>295.30198041355442</v>
      </c>
      <c r="HJ176" s="125">
        <f>HJ64/293.07*(1/(VLOOKUP($GH176,'Fuel economy adjusted factor'!$A$2:$L$52,5,FALSE)*m2k))/'TCO Inputs'!$AZ$84</f>
        <v>295.30198041355442</v>
      </c>
      <c r="HK176" s="98" cm="1">
        <f t="array" ref="HK176">SUMPRODUCT(INDEX(GI176:HJ176,,'TCO Inputs'!$AZ$12-2023+_xlfn.SEQUENCE('TCO Inputs'!$AZ$13))*INDEX('VKT US'!C66:AA66,,_xlfn.SEQUENCE('TCO Inputs'!$AZ$13)))*m2k*CONVERT(0.9072,"g","ton")</f>
        <v>107.52485693796446</v>
      </c>
    </row>
    <row r="177" spans="26:219" x14ac:dyDescent="0.25">
      <c r="Z177" s="123" t="s">
        <v>149</v>
      </c>
      <c r="AA177" s="125">
        <f>AA65/293.07*(1/(VLOOKUP($Z177,'Fuel economy adjusted factor'!$A$2:$L$52,5,FALSE)*m2k))/'TCO Inputs'!$AZ$84</f>
        <v>50.687137895759335</v>
      </c>
      <c r="AB177" s="125">
        <f>AB65/293.07*(1/(VLOOKUP($Z177,'Fuel economy adjusted factor'!$A$2:$L$52,5,FALSE)*m2k))/'TCO Inputs'!$AZ$84</f>
        <v>50.687137895759335</v>
      </c>
      <c r="AC177" s="125">
        <f>AC65/293.07*(1/(VLOOKUP($Z177,'Fuel economy adjusted factor'!$A$2:$L$52,5,FALSE)*m2k))/'TCO Inputs'!$AZ$84</f>
        <v>44.520823218603198</v>
      </c>
      <c r="AD177" s="125">
        <f>AD65/293.07*(1/(VLOOKUP($Z177,'Fuel economy adjusted factor'!$A$2:$L$52,5,FALSE)*m2k))/'TCO Inputs'!$AZ$84</f>
        <v>44.520823218603198</v>
      </c>
      <c r="AE177" s="125">
        <f>AE65/293.07*(1/(VLOOKUP($Z177,'Fuel economy adjusted factor'!$A$2:$L$52,5,FALSE)*m2k))/'TCO Inputs'!$AZ$84</f>
        <v>44.520823218603198</v>
      </c>
      <c r="AF177" s="125">
        <f>AF65/293.07*(1/(VLOOKUP($Z177,'Fuel economy adjusted factor'!$A$2:$L$52,5,FALSE)*m2k))/'TCO Inputs'!$AZ$84</f>
        <v>44.520823218603198</v>
      </c>
      <c r="AG177" s="125">
        <f>AG65/293.07*(1/(VLOOKUP($Z177,'Fuel economy adjusted factor'!$A$2:$L$52,5,FALSE)*m2k))/'TCO Inputs'!$AZ$84</f>
        <v>44.520823218603198</v>
      </c>
      <c r="AH177" s="125">
        <f>AH65/293.07*(1/(VLOOKUP($Z177,'Fuel economy adjusted factor'!$A$2:$L$52,5,FALSE)*m2k))/'TCO Inputs'!$AZ$84</f>
        <v>16.832171908864495</v>
      </c>
      <c r="AI177" s="125">
        <f>AI65/293.07*(1/(VLOOKUP($Z177,'Fuel economy adjusted factor'!$A$2:$L$52,5,FALSE)*m2k))/'TCO Inputs'!$AZ$84</f>
        <v>16.832171908864495</v>
      </c>
      <c r="AJ177" s="125">
        <f>AJ65/293.07*(1/(VLOOKUP($Z177,'Fuel economy adjusted factor'!$A$2:$L$52,5,FALSE)*m2k))/'TCO Inputs'!$AZ$84</f>
        <v>16.832171908864495</v>
      </c>
      <c r="AK177" s="125">
        <f>AK65/293.07*(1/(VLOOKUP($Z177,'Fuel economy adjusted factor'!$A$2:$L$52,5,FALSE)*m2k))/'TCO Inputs'!$AZ$84</f>
        <v>16.832171908864495</v>
      </c>
      <c r="AL177" s="125">
        <f>AL65/293.07*(1/(VLOOKUP($Z177,'Fuel economy adjusted factor'!$A$2:$L$52,5,FALSE)*m2k))/'TCO Inputs'!$AZ$84</f>
        <v>16.832171908864495</v>
      </c>
      <c r="AM177" s="125">
        <f>AM65/293.07*(1/(VLOOKUP($Z177,'Fuel economy adjusted factor'!$A$2:$L$52,5,FALSE)*m2k))/'TCO Inputs'!$AZ$84</f>
        <v>14.147446153378993</v>
      </c>
      <c r="AN177" s="125">
        <f>AN65/293.07*(1/(VLOOKUP($Z177,'Fuel economy adjusted factor'!$A$2:$L$52,5,FALSE)*m2k))/'TCO Inputs'!$AZ$84</f>
        <v>14.147446153378993</v>
      </c>
      <c r="AO177" s="125">
        <f>AO65/293.07*(1/(VLOOKUP($Z177,'Fuel economy adjusted factor'!$A$2:$L$52,5,FALSE)*m2k))/'TCO Inputs'!$AZ$84</f>
        <v>14.147446153378993</v>
      </c>
      <c r="AP177" s="125">
        <f>AP65/293.07*(1/(VLOOKUP($Z177,'Fuel economy adjusted factor'!$A$2:$L$52,5,FALSE)*m2k))/'TCO Inputs'!$AZ$84</f>
        <v>14.147446153378993</v>
      </c>
      <c r="AQ177" s="125">
        <f>AQ65/293.07*(1/(VLOOKUP($Z177,'Fuel economy adjusted factor'!$A$2:$L$52,5,FALSE)*m2k))/'TCO Inputs'!$AZ$84</f>
        <v>14.147446153378993</v>
      </c>
      <c r="AR177" s="125">
        <f>AR65/293.07*(1/(VLOOKUP($Z177,'Fuel economy adjusted factor'!$A$2:$L$52,5,FALSE)*m2k))/'TCO Inputs'!$AZ$84</f>
        <v>14.147446153378993</v>
      </c>
      <c r="AS177" s="125">
        <f>AS65/293.07*(1/(VLOOKUP($Z177,'Fuel economy adjusted factor'!$A$2:$L$52,5,FALSE)*m2k))/'TCO Inputs'!$AZ$84</f>
        <v>14.147446153378993</v>
      </c>
      <c r="AT177" s="125">
        <f>AT65/293.07*(1/(VLOOKUP($Z177,'Fuel economy adjusted factor'!$A$2:$L$52,5,FALSE)*m2k))/'TCO Inputs'!$AZ$84</f>
        <v>14.147446153378993</v>
      </c>
      <c r="AU177" s="125">
        <f>AU65/293.07*(1/(VLOOKUP($Z177,'Fuel economy adjusted factor'!$A$2:$L$52,5,FALSE)*m2k))/'TCO Inputs'!$AZ$84</f>
        <v>14.147446153378993</v>
      </c>
      <c r="AV177" s="125">
        <f>AV65/293.07*(1/(VLOOKUP($Z177,'Fuel economy adjusted factor'!$A$2:$L$52,5,FALSE)*m2k))/'TCO Inputs'!$AZ$84</f>
        <v>14.147446153378993</v>
      </c>
      <c r="AW177" s="125">
        <f>AW65/293.07*(1/(VLOOKUP($Z177,'Fuel economy adjusted factor'!$A$2:$L$52,5,FALSE)*m2k))/'TCO Inputs'!$AZ$84</f>
        <v>14.214242036426864</v>
      </c>
      <c r="AX177" s="125">
        <f>AX65/293.07*(1/(VLOOKUP($Z177,'Fuel economy adjusted factor'!$A$2:$L$52,5,FALSE)*m2k))/'TCO Inputs'!$AZ$84</f>
        <v>14.214242036426864</v>
      </c>
      <c r="AY177" s="125">
        <f>AY65/293.07*(1/(VLOOKUP($Z177,'Fuel economy adjusted factor'!$A$2:$L$52,5,FALSE)*m2k))/'TCO Inputs'!$AZ$84</f>
        <v>14.214242036426864</v>
      </c>
      <c r="AZ177" s="125">
        <f>AZ65/293.07*(1/(VLOOKUP($Z177,'Fuel economy adjusted factor'!$A$2:$L$52,5,FALSE)*m2k))/'TCO Inputs'!$AZ$84</f>
        <v>14.214242036426864</v>
      </c>
      <c r="BA177" s="125">
        <f>BA65/293.07*(1/(VLOOKUP($Z177,'Fuel economy adjusted factor'!$A$2:$L$52,5,FALSE)*m2k))/'TCO Inputs'!$AZ$84</f>
        <v>14.214242036426864</v>
      </c>
      <c r="BB177" s="125">
        <f>BB65/293.07*(1/(VLOOKUP($Z177,'Fuel economy adjusted factor'!$A$2:$L$52,5,FALSE)*m2k))/'TCO Inputs'!$AZ$84</f>
        <v>14.298225164235593</v>
      </c>
      <c r="BC177" s="98" cm="1">
        <f t="array" ref="BC177">SUMPRODUCT(INDEX(AA177:BB177,,'TCO Inputs'!$AZ$12-2023+_xlfn.SEQUENCE('TCO Inputs'!$AZ$13))*INDEX('VKT US'!C67:AA67,,_xlfn.SEQUENCE('TCO Inputs'!$AZ$13)))*m2k*CONVERT(0.9072,"g","ton")</f>
        <v>8.6808780658705302</v>
      </c>
      <c r="BM177" s="123" t="s">
        <v>149</v>
      </c>
      <c r="BN177" s="125">
        <f>BN65/293.07*(1/(VLOOKUP($BM177,'Fuel economy adjusted factor'!$A$2:$L$52,5,FALSE)*m2k))</f>
        <v>43.084067211395435</v>
      </c>
      <c r="BO177" s="125">
        <f>BO65/293.07*(1/(VLOOKUP($BM177,'Fuel economy adjusted factor'!$A$2:$L$52,5,FALSE)*m2k))</f>
        <v>43.084067211395435</v>
      </c>
      <c r="BP177" s="125">
        <f>BP65/293.07*(1/(VLOOKUP($BM177,'Fuel economy adjusted factor'!$A$2:$L$52,5,FALSE)*m2k))</f>
        <v>33.961976116491122</v>
      </c>
      <c r="BQ177" s="125">
        <f>BQ65/293.07*(1/(VLOOKUP($BM177,'Fuel economy adjusted factor'!$A$2:$L$52,5,FALSE)*m2k))</f>
        <v>33.961976116491122</v>
      </c>
      <c r="BR177" s="125">
        <f>BR65/293.07*(1/(VLOOKUP($BM177,'Fuel economy adjusted factor'!$A$2:$L$52,5,FALSE)*m2k))</f>
        <v>33.961976116491122</v>
      </c>
      <c r="BS177" s="125">
        <f>BS65/293.07*(1/(VLOOKUP($BM177,'Fuel economy adjusted factor'!$A$2:$L$52,5,FALSE)*m2k))</f>
        <v>33.961976116491122</v>
      </c>
      <c r="BT177" s="125">
        <f>BT65/293.07*(1/(VLOOKUP($BM177,'Fuel economy adjusted factor'!$A$2:$L$52,5,FALSE)*m2k))</f>
        <v>33.961976116491122</v>
      </c>
      <c r="BU177" s="125">
        <f>BU65/293.07*(1/(VLOOKUP($BM177,'Fuel economy adjusted factor'!$A$2:$L$52,5,FALSE)*m2k))</f>
        <v>1.9184480725907078</v>
      </c>
      <c r="BV177" s="125">
        <f>BV65/293.07*(1/(VLOOKUP($BM177,'Fuel economy adjusted factor'!$A$2:$L$52,5,FALSE)*m2k))</f>
        <v>1.9184480725907078</v>
      </c>
      <c r="BW177" s="125">
        <f>BW65/293.07*(1/(VLOOKUP($BM177,'Fuel economy adjusted factor'!$A$2:$L$52,5,FALSE)*m2k))</f>
        <v>1.9184480725907078</v>
      </c>
      <c r="BX177" s="125">
        <f>BX65/293.07*(1/(VLOOKUP($BM177,'Fuel economy adjusted factor'!$A$2:$L$52,5,FALSE)*m2k))</f>
        <v>1.9184480725907078</v>
      </c>
      <c r="BY177" s="125">
        <f>BY65/293.07*(1/(VLOOKUP($BM177,'Fuel economy adjusted factor'!$A$2:$L$52,5,FALSE)*m2k))</f>
        <v>1.9184480725907078</v>
      </c>
      <c r="BZ177" s="125">
        <f>BZ65/293.07*(1/(VLOOKUP($BM177,'Fuel economy adjusted factor'!$A$2:$L$52,5,FALSE)*m2k))</f>
        <v>2.0007905997631714</v>
      </c>
      <c r="CA177" s="125">
        <f>CA65/293.07*(1/(VLOOKUP($BM177,'Fuel economy adjusted factor'!$A$2:$L$52,5,FALSE)*m2k))</f>
        <v>2.0007905997631714</v>
      </c>
      <c r="CB177" s="125">
        <f>CB65/293.07*(1/(VLOOKUP($BM177,'Fuel economy adjusted factor'!$A$2:$L$52,5,FALSE)*m2k))</f>
        <v>2.0007905997631714</v>
      </c>
      <c r="CC177" s="125">
        <f>CC65/293.07*(1/(VLOOKUP($BM177,'Fuel economy adjusted factor'!$A$2:$L$52,5,FALSE)*m2k))</f>
        <v>2.0007905997631714</v>
      </c>
      <c r="CD177" s="125">
        <f>CD65/293.07*(1/(VLOOKUP($BM177,'Fuel economy adjusted factor'!$A$2:$L$52,5,FALSE)*m2k))</f>
        <v>2.0007905997631714</v>
      </c>
      <c r="CE177" s="125">
        <f>CE65/293.07*(1/(VLOOKUP($BM177,'Fuel economy adjusted factor'!$A$2:$L$52,5,FALSE)*m2k))</f>
        <v>2.0286808105796514</v>
      </c>
      <c r="CF177" s="125">
        <f>CF65/293.07*(1/(VLOOKUP($BM177,'Fuel economy adjusted factor'!$A$2:$L$52,5,FALSE)*m2k))</f>
        <v>2.0286808105796514</v>
      </c>
      <c r="CG177" s="125">
        <f>CG65/293.07*(1/(VLOOKUP($BM177,'Fuel economy adjusted factor'!$A$2:$L$52,5,FALSE)*m2k))</f>
        <v>2.0286808105796514</v>
      </c>
      <c r="CH177" s="125">
        <f>CH65/293.07*(1/(VLOOKUP($BM177,'Fuel economy adjusted factor'!$A$2:$L$52,5,FALSE)*m2k))</f>
        <v>2.0286808105796514</v>
      </c>
      <c r="CI177" s="125">
        <f>CI65/293.07*(1/(VLOOKUP($BM177,'Fuel economy adjusted factor'!$A$2:$L$52,5,FALSE)*m2k))</f>
        <v>2.0286808105796514</v>
      </c>
      <c r="CJ177" s="125">
        <f>CJ65/293.07*(1/(VLOOKUP($BM177,'Fuel economy adjusted factor'!$A$2:$L$52,5,FALSE)*m2k))</f>
        <v>2.1000664692170692</v>
      </c>
      <c r="CK177" s="125">
        <f>CK65/293.07*(1/(VLOOKUP($BM177,'Fuel economy adjusted factor'!$A$2:$L$52,5,FALSE)*m2k))</f>
        <v>2.1000664692170692</v>
      </c>
      <c r="CL177" s="125">
        <f>CL65/293.07*(1/(VLOOKUP($BM177,'Fuel economy adjusted factor'!$A$2:$L$52,5,FALSE)*m2k))</f>
        <v>2.1000664692170692</v>
      </c>
      <c r="CM177" s="125">
        <f>CM65/293.07*(1/(VLOOKUP($BM177,'Fuel economy adjusted factor'!$A$2:$L$52,5,FALSE)*m2k))</f>
        <v>2.1000664692170692</v>
      </c>
      <c r="CN177" s="125">
        <f>CN65/293.07*(1/(VLOOKUP($BM177,'Fuel economy adjusted factor'!$A$2:$L$52,5,FALSE)*m2k))</f>
        <v>2.1000664692170692</v>
      </c>
      <c r="CO177" s="125">
        <f>CO65/293.07*(1/(VLOOKUP($BM177,'Fuel economy adjusted factor'!$A$2:$L$52,5,FALSE)*m2k))</f>
        <v>2.190377628051384</v>
      </c>
      <c r="CP177" s="98" cm="1">
        <f t="array" ref="CP177">SUMPRODUCT(INDEX(BN177:CO177,,'TCO Inputs'!$AZ$12-2023+_xlfn.SEQUENCE('TCO Inputs'!$AZ$13))*INDEX('VKT US'!C67:AA67,,_xlfn.SEQUENCE('TCO Inputs'!$AZ$13)))*m2k*CONVERT(0.9072,"g","ton")</f>
        <v>5.5869609259787261</v>
      </c>
      <c r="CQ177" s="194"/>
      <c r="CR177" s="123" t="s">
        <v>149</v>
      </c>
      <c r="CS177" s="125">
        <f>CS65/293.07*(1/(VLOOKUP($BM177,'Fuel economy adjusted factor'!$A$2:$L$52,5,FALSE)*m2k))/'TCO Inputs'!$AZ$84</f>
        <v>50.687137895759335</v>
      </c>
      <c r="CT177" s="125">
        <f>CT65/293.07*(1/(VLOOKUP($BM177,'Fuel economy adjusted factor'!$A$2:$L$52,5,FALSE)*m2k))</f>
        <v>2.0173919157253617</v>
      </c>
      <c r="CU177" s="125">
        <f>CU65/293.07*(1/(VLOOKUP($BM177,'Fuel economy adjusted factor'!$A$2:$L$52,5,FALSE)*m2k))</f>
        <v>2.0173919157253617</v>
      </c>
      <c r="CV177" s="125">
        <f>CV65/293.07*(1/(VLOOKUP($BM177,'Fuel economy adjusted factor'!$A$2:$L$52,5,FALSE)*m2k))</f>
        <v>2.0173919157253617</v>
      </c>
      <c r="CW177" s="125">
        <f>CW65/293.07*(1/(VLOOKUP($BM177,'Fuel economy adjusted factor'!$A$2:$L$52,5,FALSE)*m2k))</f>
        <v>2.0173919157253617</v>
      </c>
      <c r="CX177" s="125">
        <f>CX65/293.07*(1/(VLOOKUP($BM177,'Fuel economy adjusted factor'!$A$2:$L$52,5,FALSE)*m2k))</f>
        <v>2.0173919157253617</v>
      </c>
      <c r="CY177" s="125">
        <f>CY65/293.07*(1/(VLOOKUP($BM177,'Fuel economy adjusted factor'!$A$2:$L$52,5,FALSE)*m2k))</f>
        <v>2.0173919157253617</v>
      </c>
      <c r="CZ177" s="125">
        <f>CZ65/293.07*(1/(VLOOKUP($BM177,'Fuel economy adjusted factor'!$A$2:$L$52,5,FALSE)*m2k))</f>
        <v>2.0173919157253617</v>
      </c>
      <c r="DA177" s="125">
        <f>DA65/293.07*(1/(VLOOKUP($BM177,'Fuel economy adjusted factor'!$A$2:$L$52,5,FALSE)*m2k))</f>
        <v>2.0173919157253617</v>
      </c>
      <c r="DB177" s="125">
        <f>DB65/293.07*(1/(VLOOKUP($BM177,'Fuel economy adjusted factor'!$A$2:$L$52,5,FALSE)*m2k))</f>
        <v>2.0173919157253617</v>
      </c>
      <c r="DC177" s="125">
        <f>DC65/293.07*(1/(VLOOKUP($BM177,'Fuel economy adjusted factor'!$A$2:$L$52,5,FALSE)*m2k))</f>
        <v>2.0173919157253617</v>
      </c>
      <c r="DD177" s="125">
        <f>DD65/293.07*(1/(VLOOKUP($BM177,'Fuel economy adjusted factor'!$A$2:$L$52,5,FALSE)*m2k))</f>
        <v>2.0173919157253617</v>
      </c>
      <c r="DE177" s="125">
        <f>DE65/293.07*(1/(VLOOKUP($BM177,'Fuel economy adjusted factor'!$A$2:$L$52,5,FALSE)*m2k))</f>
        <v>2.0751644952737838</v>
      </c>
      <c r="DF177" s="125">
        <f>DF65/293.07*(1/(VLOOKUP($BM177,'Fuel economy adjusted factor'!$A$2:$L$52,5,FALSE)*m2k))</f>
        <v>2.0751644952737838</v>
      </c>
      <c r="DG177" s="125">
        <f>DG65/293.07*(1/(VLOOKUP($BM177,'Fuel economy adjusted factor'!$A$2:$L$52,5,FALSE)*m2k))</f>
        <v>2.0751644952737838</v>
      </c>
      <c r="DH177" s="125">
        <f>DH65/293.07*(1/(VLOOKUP($BM177,'Fuel economy adjusted factor'!$A$2:$L$52,5,FALSE)*m2k))</f>
        <v>2.0751644952737838</v>
      </c>
      <c r="DI177" s="125">
        <f>DI65/293.07*(1/(VLOOKUP($BM177,'Fuel economy adjusted factor'!$A$2:$L$52,5,FALSE)*m2k))</f>
        <v>2.0751644952737838</v>
      </c>
      <c r="DJ177" s="125">
        <f>DJ65/293.07*(1/(VLOOKUP($BM177,'Fuel economy adjusted factor'!$A$2:$L$52,5,FALSE)*m2k))</f>
        <v>2.1830730490280201</v>
      </c>
      <c r="DK177" s="125">
        <f>DK65/293.07*(1/(VLOOKUP($BM177,'Fuel economy adjusted factor'!$A$2:$L$52,5,FALSE)*m2k))</f>
        <v>2.1830730490280201</v>
      </c>
      <c r="DL177" s="125">
        <f>DL65/293.07*(1/(VLOOKUP($BM177,'Fuel economy adjusted factor'!$A$2:$L$52,5,FALSE)*m2k))</f>
        <v>2.1830730490280201</v>
      </c>
      <c r="DM177" s="125">
        <f>DM65/293.07*(1/(VLOOKUP($BM177,'Fuel economy adjusted factor'!$A$2:$L$52,5,FALSE)*m2k))</f>
        <v>2.1830730490280201</v>
      </c>
      <c r="DN177" s="125">
        <f>DN65/293.07*(1/(VLOOKUP($BM177,'Fuel economy adjusted factor'!$A$2:$L$52,5,FALSE)*m2k))</f>
        <v>2.1830730490280201</v>
      </c>
      <c r="DO177" s="125">
        <f>DO65/293.07*(1/(VLOOKUP($BM177,'Fuel economy adjusted factor'!$A$2:$L$52,5,FALSE)*m2k))</f>
        <v>2.2544587076654383</v>
      </c>
      <c r="DP177" s="125">
        <f>DP65/293.07*(1/(VLOOKUP($BM177,'Fuel economy adjusted factor'!$A$2:$L$52,5,FALSE)*m2k))</f>
        <v>2.2544587076654383</v>
      </c>
      <c r="DQ177" s="125">
        <f>DQ65/293.07*(1/(VLOOKUP($BM177,'Fuel economy adjusted factor'!$A$2:$L$52,5,FALSE)*m2k))</f>
        <v>2.2544587076654383</v>
      </c>
      <c r="DR177" s="125">
        <f>DR65/293.07*(1/(VLOOKUP($BM177,'Fuel economy adjusted factor'!$A$2:$L$52,5,FALSE)*m2k))</f>
        <v>2.2544587076654383</v>
      </c>
      <c r="DS177" s="125">
        <f>DS65/293.07*(1/(VLOOKUP($BM177,'Fuel economy adjusted factor'!$A$2:$L$52,5,FALSE)*m2k))</f>
        <v>2.2544587076654383</v>
      </c>
      <c r="DT177" s="125">
        <f>DT65/293.07*(1/(VLOOKUP($BM177,'Fuel economy adjusted factor'!$A$2:$L$52,5,FALSE)*m2k))</f>
        <v>2.3451018928189975</v>
      </c>
      <c r="DU177" s="98" cm="1">
        <f t="array" ref="DU177">SUMPRODUCT(INDEX(CS177:DT177,,'TCO Inputs'!$AZ$12-2023+_xlfn.SEQUENCE('TCO Inputs'!$AZ$13))*INDEX('VKT US'!C67:AA67,,_xlfn.SEQUENCE('TCO Inputs'!$AZ$13)))*m2k*CONVERT(0.9072,"g","ton")</f>
        <v>1.6421489150380031</v>
      </c>
      <c r="DW177" s="123" t="s">
        <v>149</v>
      </c>
      <c r="DX177" s="125">
        <f>DX65/293.07*(1/(VLOOKUP($BM177,'Fuel economy adjusted factor'!$A$2:$L$52,5,FALSE)*m2k))/'TCO Inputs'!$AZ$84</f>
        <v>66.966760736688187</v>
      </c>
      <c r="DY177" s="125">
        <f>DY65/293.07*(1/(VLOOKUP($BM177,'Fuel economy adjusted factor'!$A$2:$L$52,5,FALSE)*m2k))/'TCO Inputs'!$AZ$84</f>
        <v>66.966760736688187</v>
      </c>
      <c r="DZ177" s="125">
        <f>DZ65/293.07*(1/(VLOOKUP($BM177,'Fuel economy adjusted factor'!$A$2:$L$52,5,FALSE)*m2k))/'TCO Inputs'!$AZ$84</f>
        <v>58.587757502377634</v>
      </c>
      <c r="EA177" s="125">
        <f>EA65/293.07*(1/(VLOOKUP($BM177,'Fuel economy adjusted factor'!$A$2:$L$52,5,FALSE)*m2k))/'TCO Inputs'!$AZ$84</f>
        <v>58.587757502377634</v>
      </c>
      <c r="EB177" s="125">
        <f>EB65/293.07*(1/(VLOOKUP($BM177,'Fuel economy adjusted factor'!$A$2:$L$52,5,FALSE)*m2k))/'TCO Inputs'!$AZ$84</f>
        <v>58.587757502377634</v>
      </c>
      <c r="EC177" s="125">
        <f>EC65/293.07*(1/(VLOOKUP($BM177,'Fuel economy adjusted factor'!$A$2:$L$52,5,FALSE)*m2k))/'TCO Inputs'!$AZ$84</f>
        <v>58.587757502377634</v>
      </c>
      <c r="ED177" s="125">
        <f>ED65/293.07*(1/(VLOOKUP($BM177,'Fuel economy adjusted factor'!$A$2:$L$52,5,FALSE)*m2k))/'TCO Inputs'!$AZ$84</f>
        <v>58.587757502377634</v>
      </c>
      <c r="EE177" s="125">
        <f>EE65/293.07*(1/(VLOOKUP($BM177,'Fuel economy adjusted factor'!$A$2:$L$52,5,FALSE)*m2k))/'TCO Inputs'!$AZ$84</f>
        <v>36.451052394945584</v>
      </c>
      <c r="EF177" s="125">
        <f>EF65/293.07*(1/(VLOOKUP($BM177,'Fuel economy adjusted factor'!$A$2:$L$52,5,FALSE)*m2k))/'TCO Inputs'!$AZ$84</f>
        <v>36.451052394945584</v>
      </c>
      <c r="EG177" s="125">
        <f>EG65/293.07*(1/(VLOOKUP($BM177,'Fuel economy adjusted factor'!$A$2:$L$52,5,FALSE)*m2k))/'TCO Inputs'!$AZ$84</f>
        <v>36.451052394945584</v>
      </c>
      <c r="EH177" s="125">
        <f>EH65/293.07*(1/(VLOOKUP($BM177,'Fuel economy adjusted factor'!$A$2:$L$52,5,FALSE)*m2k))/'TCO Inputs'!$AZ$84</f>
        <v>36.451052394945584</v>
      </c>
      <c r="EI177" s="125">
        <f>EI65/293.07*(1/(VLOOKUP($BM177,'Fuel economy adjusted factor'!$A$2:$L$52,5,FALSE)*m2k))/'TCO Inputs'!$AZ$84</f>
        <v>36.451052394945584</v>
      </c>
      <c r="EJ177" s="125">
        <f>EJ65/293.07*(1/(VLOOKUP($BM177,'Fuel economy adjusted factor'!$A$2:$L$52,5,FALSE)*m2k))/'TCO Inputs'!$AZ$84</f>
        <v>32.456163851726011</v>
      </c>
      <c r="EK177" s="125">
        <f>EK65/293.07*(1/(VLOOKUP($BM177,'Fuel economy adjusted factor'!$A$2:$L$52,5,FALSE)*m2k))/'TCO Inputs'!$AZ$84</f>
        <v>32.456163851726011</v>
      </c>
      <c r="EL177" s="125">
        <f>EL65/293.07*(1/(VLOOKUP($BM177,'Fuel economy adjusted factor'!$A$2:$L$52,5,FALSE)*m2k))/'TCO Inputs'!$AZ$84</f>
        <v>32.456163851726011</v>
      </c>
      <c r="EM177" s="125">
        <f>EM65/293.07*(1/(VLOOKUP($BM177,'Fuel economy adjusted factor'!$A$2:$L$52,5,FALSE)*m2k))/'TCO Inputs'!$AZ$84</f>
        <v>32.456163851726011</v>
      </c>
      <c r="EN177" s="125">
        <f>EN65/293.07*(1/(VLOOKUP($BM177,'Fuel economy adjusted factor'!$A$2:$L$52,5,FALSE)*m2k))/'TCO Inputs'!$AZ$84</f>
        <v>32.456163851726011</v>
      </c>
      <c r="EO177" s="125">
        <f>EO65/293.07*(1/(VLOOKUP($BM177,'Fuel economy adjusted factor'!$A$2:$L$52,5,FALSE)*m2k))/'TCO Inputs'!$AZ$84</f>
        <v>31.537249628987094</v>
      </c>
      <c r="EP177" s="125">
        <f>EP65/293.07*(1/(VLOOKUP($BM177,'Fuel economy adjusted factor'!$A$2:$L$52,5,FALSE)*m2k))/'TCO Inputs'!$AZ$84</f>
        <v>31.537249628987094</v>
      </c>
      <c r="EQ177" s="125">
        <f>EQ65/293.07*(1/(VLOOKUP($BM177,'Fuel economy adjusted factor'!$A$2:$L$52,5,FALSE)*m2k))/'TCO Inputs'!$AZ$84</f>
        <v>31.537249628987094</v>
      </c>
      <c r="ER177" s="125">
        <f>ER65/293.07*(1/(VLOOKUP($BM177,'Fuel economy adjusted factor'!$A$2:$L$52,5,FALSE)*m2k))/'TCO Inputs'!$AZ$84</f>
        <v>31.537249628987094</v>
      </c>
      <c r="ES177" s="125">
        <f>ES65/293.07*(1/(VLOOKUP($BM177,'Fuel economy adjusted factor'!$A$2:$L$52,5,FALSE)*m2k))/'TCO Inputs'!$AZ$84</f>
        <v>31.537249628987094</v>
      </c>
      <c r="ET177" s="125">
        <f>ET65/293.07*(1/(VLOOKUP($BM177,'Fuel economy adjusted factor'!$A$2:$L$52,5,FALSE)*m2k))/'TCO Inputs'!$AZ$84</f>
        <v>30.421121185516256</v>
      </c>
      <c r="EU177" s="125">
        <f>EU65/293.07*(1/(VLOOKUP($BM177,'Fuel economy adjusted factor'!$A$2:$L$52,5,FALSE)*m2k))/'TCO Inputs'!$AZ$84</f>
        <v>30.421121185516256</v>
      </c>
      <c r="EV177" s="125">
        <f>EV65/293.07*(1/(VLOOKUP($BM177,'Fuel economy adjusted factor'!$A$2:$L$52,5,FALSE)*m2k))/'TCO Inputs'!$AZ$84</f>
        <v>30.421121185516256</v>
      </c>
      <c r="EW177" s="125">
        <f>EW65/293.07*(1/(VLOOKUP($BM177,'Fuel economy adjusted factor'!$A$2:$L$52,5,FALSE)*m2k))/'TCO Inputs'!$AZ$84</f>
        <v>30.421121185516256</v>
      </c>
      <c r="EX177" s="125">
        <f>EX65/293.07*(1/(VLOOKUP($BM177,'Fuel economy adjusted factor'!$A$2:$L$52,5,FALSE)*m2k))/'TCO Inputs'!$AZ$84</f>
        <v>30.421121185516256</v>
      </c>
      <c r="EY177" s="125">
        <f>EY65/293.07*(1/(VLOOKUP($BM177,'Fuel economy adjusted factor'!$A$2:$L$52,5,FALSE)*m2k))/'TCO Inputs'!$AZ$84</f>
        <v>28.642409712679886</v>
      </c>
      <c r="EZ177" s="98" cm="1">
        <f t="array" ref="EZ177">SUMPRODUCT(INDEX(DX177:EY177,,'TCO Inputs'!$AZ$12-2023+_xlfn.SEQUENCE('TCO Inputs'!$AZ$13))*INDEX('VKT US'!C67:AA67,,_xlfn.SEQUENCE('TCO Inputs'!$AZ$13)))*m2k*CONVERT(0.9072,"g","ton")</f>
        <v>13.123864972763666</v>
      </c>
      <c r="FB177" s="123" t="s">
        <v>149</v>
      </c>
      <c r="FC177" s="125">
        <f>FC65/293.07*(1/(VLOOKUP($BM177,'Fuel economy adjusted factor'!$A$2:$L$52,5,FALSE)*m2k))/'TCO Inputs'!$AZ$84</f>
        <v>72.391807082050065</v>
      </c>
      <c r="FD177" s="125">
        <f>FD65/293.07*(1/(VLOOKUP($BM177,'Fuel economy adjusted factor'!$A$2:$L$52,5,FALSE)*m2k))/'TCO Inputs'!$AZ$84</f>
        <v>72.391807082050065</v>
      </c>
      <c r="FE177" s="125">
        <f>FE65/293.07*(1/(VLOOKUP($BM177,'Fuel economy adjusted factor'!$A$2:$L$52,5,FALSE)*m2k))/'TCO Inputs'!$AZ$84</f>
        <v>63.113752927808143</v>
      </c>
      <c r="FF177" s="125">
        <f>FF65/293.07*(1/(VLOOKUP($BM177,'Fuel economy adjusted factor'!$A$2:$L$52,5,FALSE)*m2k))/'TCO Inputs'!$AZ$84</f>
        <v>63.113752927808143</v>
      </c>
      <c r="FG177" s="125">
        <f>FG65/293.07*(1/(VLOOKUP($BM177,'Fuel economy adjusted factor'!$A$2:$L$52,5,FALSE)*m2k))/'TCO Inputs'!$AZ$84</f>
        <v>63.113752927808143</v>
      </c>
      <c r="FH177" s="125">
        <f>FH65/293.07*(1/(VLOOKUP($BM177,'Fuel economy adjusted factor'!$A$2:$L$52,5,FALSE)*m2k))/'TCO Inputs'!$AZ$84</f>
        <v>63.113752927808143</v>
      </c>
      <c r="FI177" s="125">
        <f>FI65/293.07*(1/(VLOOKUP($BM177,'Fuel economy adjusted factor'!$A$2:$L$52,5,FALSE)*m2k))/'TCO Inputs'!$AZ$84</f>
        <v>63.113752927808143</v>
      </c>
      <c r="FJ177" s="125">
        <f>FJ65/293.07*(1/(VLOOKUP($BM177,'Fuel economy adjusted factor'!$A$2:$L$52,5,FALSE)*m2k))/'TCO Inputs'!$AZ$84</f>
        <v>39.920036349546699</v>
      </c>
      <c r="FK177" s="125">
        <f>FK65/293.07*(1/(VLOOKUP($BM177,'Fuel economy adjusted factor'!$A$2:$L$52,5,FALSE)*m2k))/'TCO Inputs'!$AZ$84</f>
        <v>39.920036349546699</v>
      </c>
      <c r="FL177" s="125">
        <f>FL65/293.07*(1/(VLOOKUP($BM177,'Fuel economy adjusted factor'!$A$2:$L$52,5,FALSE)*m2k))/'TCO Inputs'!$AZ$84</f>
        <v>39.920036349546699</v>
      </c>
      <c r="FM177" s="125">
        <f>FM65/293.07*(1/(VLOOKUP($BM177,'Fuel economy adjusted factor'!$A$2:$L$52,5,FALSE)*m2k))/'TCO Inputs'!$AZ$84</f>
        <v>39.920036349546699</v>
      </c>
      <c r="FN177" s="125">
        <f>FN65/293.07*(1/(VLOOKUP($BM177,'Fuel economy adjusted factor'!$A$2:$L$52,5,FALSE)*m2k))/'TCO Inputs'!$AZ$84</f>
        <v>39.920036349546699</v>
      </c>
      <c r="FO177" s="125">
        <f>FO65/293.07*(1/(VLOOKUP($BM177,'Fuel economy adjusted factor'!$A$2:$L$52,5,FALSE)*m2k))/'TCO Inputs'!$AZ$84</f>
        <v>35.357624868969069</v>
      </c>
      <c r="FP177" s="125">
        <f>FP65/293.07*(1/(VLOOKUP($BM177,'Fuel economy adjusted factor'!$A$2:$L$52,5,FALSE)*m2k))/'TCO Inputs'!$AZ$84</f>
        <v>35.357624868969069</v>
      </c>
      <c r="FQ177" s="125">
        <f>FQ65/293.07*(1/(VLOOKUP($BM177,'Fuel economy adjusted factor'!$A$2:$L$52,5,FALSE)*m2k))/'TCO Inputs'!$AZ$84</f>
        <v>35.357624868969069</v>
      </c>
      <c r="FR177" s="125">
        <f>FR65/293.07*(1/(VLOOKUP($BM177,'Fuel economy adjusted factor'!$A$2:$L$52,5,FALSE)*m2k))/'TCO Inputs'!$AZ$84</f>
        <v>35.357624868969069</v>
      </c>
      <c r="FS177" s="125">
        <f>FS65/293.07*(1/(VLOOKUP($BM177,'Fuel economy adjusted factor'!$A$2:$L$52,5,FALSE)*m2k))/'TCO Inputs'!$AZ$84</f>
        <v>35.357624868969069</v>
      </c>
      <c r="FT177" s="125">
        <f>FT65/293.07*(1/(VLOOKUP($BM177,'Fuel economy adjusted factor'!$A$2:$L$52,5,FALSE)*m2k))/'TCO Inputs'!$AZ$84</f>
        <v>34.550323490577235</v>
      </c>
      <c r="FU177" s="125">
        <f>FU65/293.07*(1/(VLOOKUP($BM177,'Fuel economy adjusted factor'!$A$2:$L$52,5,FALSE)*m2k))/'TCO Inputs'!$AZ$84</f>
        <v>34.550323490577235</v>
      </c>
      <c r="FV177" s="125">
        <f>FV65/293.07*(1/(VLOOKUP($BM177,'Fuel economy adjusted factor'!$A$2:$L$52,5,FALSE)*m2k))/'TCO Inputs'!$AZ$84</f>
        <v>34.550323490577235</v>
      </c>
      <c r="FW177" s="125">
        <f>FW65/293.07*(1/(VLOOKUP($BM177,'Fuel economy adjusted factor'!$A$2:$L$52,5,FALSE)*m2k))/'TCO Inputs'!$AZ$84</f>
        <v>34.550323490577235</v>
      </c>
      <c r="FX177" s="125">
        <f>FX65/293.07*(1/(VLOOKUP($BM177,'Fuel economy adjusted factor'!$A$2:$L$52,5,FALSE)*m2k))/'TCO Inputs'!$AZ$84</f>
        <v>34.550323490577235</v>
      </c>
      <c r="FY177" s="125">
        <f>FY65/293.07*(1/(VLOOKUP($BM177,'Fuel economy adjusted factor'!$A$2:$L$52,5,FALSE)*m2k))/'TCO Inputs'!$AZ$84</f>
        <v>33.432303303981875</v>
      </c>
      <c r="FZ177" s="125">
        <f>FZ65/293.07*(1/(VLOOKUP($BM177,'Fuel economy adjusted factor'!$A$2:$L$52,5,FALSE)*m2k))/'TCO Inputs'!$AZ$84</f>
        <v>33.432303303981875</v>
      </c>
      <c r="GA177" s="125">
        <f>GA65/293.07*(1/(VLOOKUP($BM177,'Fuel economy adjusted factor'!$A$2:$L$52,5,FALSE)*m2k))/'TCO Inputs'!$AZ$84</f>
        <v>33.432303303981875</v>
      </c>
      <c r="GB177" s="125">
        <f>GB65/293.07*(1/(VLOOKUP($BM177,'Fuel economy adjusted factor'!$A$2:$L$52,5,FALSE)*m2k))/'TCO Inputs'!$AZ$84</f>
        <v>33.432303303981875</v>
      </c>
      <c r="GC177" s="125">
        <f>GC65/293.07*(1/(VLOOKUP($BM177,'Fuel economy adjusted factor'!$A$2:$L$52,5,FALSE)*m2k))/'TCO Inputs'!$AZ$84</f>
        <v>33.432303303981875</v>
      </c>
      <c r="GD177" s="125">
        <f>GD65/293.07*(1/(VLOOKUP($BM177,'Fuel economy adjusted factor'!$A$2:$L$52,5,FALSE)*m2k))/'TCO Inputs'!$AZ$84</f>
        <v>31.593056051160644</v>
      </c>
      <c r="GE177" s="98" cm="1">
        <f t="array" ref="GE177">SUMPRODUCT(INDEX(FC177:GD177,,'TCO Inputs'!$AZ$12-2023+_xlfn.SEQUENCE('TCO Inputs'!$AZ$13))*INDEX('VKT US'!C67:AA67,,_xlfn.SEQUENCE('TCO Inputs'!$AZ$13)))*m2k*CONVERT(0.9072,"g","ton")</f>
        <v>14.218528033665315</v>
      </c>
      <c r="GH177" s="123" t="s">
        <v>149</v>
      </c>
      <c r="GI177" s="125">
        <f>GI65/293.07*(1/(VLOOKUP($GH177,'Fuel economy adjusted factor'!$A$2:$L$52,5,FALSE)*m2k))/'TCO Inputs'!$AZ$84</f>
        <v>127.43951370975472</v>
      </c>
      <c r="GJ177" s="125">
        <f>GJ65/293.07*(1/(VLOOKUP($GH177,'Fuel economy adjusted factor'!$A$2:$L$52,5,FALSE)*m2k))/'TCO Inputs'!$AZ$84</f>
        <v>127.43951370975472</v>
      </c>
      <c r="GK177" s="125">
        <f>GK65/293.07*(1/(VLOOKUP($GH177,'Fuel economy adjusted factor'!$A$2:$L$52,5,FALSE)*m2k))/'TCO Inputs'!$AZ$84</f>
        <v>127.43951370975472</v>
      </c>
      <c r="GL177" s="125">
        <f>GL65/293.07*(1/(VLOOKUP($GH177,'Fuel economy adjusted factor'!$A$2:$L$52,5,FALSE)*m2k))/'TCO Inputs'!$AZ$84</f>
        <v>127.43951370975472</v>
      </c>
      <c r="GM177" s="125">
        <f>GM65/293.07*(1/(VLOOKUP($GH177,'Fuel economy adjusted factor'!$A$2:$L$52,5,FALSE)*m2k))/'TCO Inputs'!$AZ$84</f>
        <v>127.43951370975472</v>
      </c>
      <c r="GN177" s="125">
        <f>GN65/293.07*(1/(VLOOKUP($GH177,'Fuel economy adjusted factor'!$A$2:$L$52,5,FALSE)*m2k))/'TCO Inputs'!$AZ$84</f>
        <v>127.43951370975472</v>
      </c>
      <c r="GO177" s="125">
        <f>GO65/293.07*(1/(VLOOKUP($GH177,'Fuel economy adjusted factor'!$A$2:$L$52,5,FALSE)*m2k))/'TCO Inputs'!$AZ$84</f>
        <v>127.43951370975472</v>
      </c>
      <c r="GP177" s="125">
        <f>GP65/293.07*(1/(VLOOKUP($GH177,'Fuel economy adjusted factor'!$A$2:$L$52,5,FALSE)*m2k))/'TCO Inputs'!$AZ$84</f>
        <v>127.43951370975472</v>
      </c>
      <c r="GQ177" s="125">
        <f>GQ65/293.07*(1/(VLOOKUP($GH177,'Fuel economy adjusted factor'!$A$2:$L$52,5,FALSE)*m2k))/'TCO Inputs'!$AZ$84</f>
        <v>127.43951370975472</v>
      </c>
      <c r="GR177" s="125">
        <f>GR65/293.07*(1/(VLOOKUP($GH177,'Fuel economy adjusted factor'!$A$2:$L$52,5,FALSE)*m2k))/'TCO Inputs'!$AZ$84</f>
        <v>127.43951370975472</v>
      </c>
      <c r="GS177" s="125">
        <f>GS65/293.07*(1/(VLOOKUP($GH177,'Fuel economy adjusted factor'!$A$2:$L$52,5,FALSE)*m2k))/'TCO Inputs'!$AZ$84</f>
        <v>127.43951370975472</v>
      </c>
      <c r="GT177" s="125">
        <f>GT65/293.07*(1/(VLOOKUP($GH177,'Fuel economy adjusted factor'!$A$2:$L$52,5,FALSE)*m2k))/'TCO Inputs'!$AZ$84</f>
        <v>127.43951370975472</v>
      </c>
      <c r="GU177" s="125">
        <f>GU65/293.07*(1/(VLOOKUP($GH177,'Fuel economy adjusted factor'!$A$2:$L$52,5,FALSE)*m2k))/'TCO Inputs'!$AZ$84</f>
        <v>127.43951370975472</v>
      </c>
      <c r="GV177" s="125">
        <f>GV65/293.07*(1/(VLOOKUP($GH177,'Fuel economy adjusted factor'!$A$2:$L$52,5,FALSE)*m2k))/'TCO Inputs'!$AZ$84</f>
        <v>127.43951370975472</v>
      </c>
      <c r="GW177" s="125">
        <f>GW65/293.07*(1/(VLOOKUP($GH177,'Fuel economy adjusted factor'!$A$2:$L$52,5,FALSE)*m2k))/'TCO Inputs'!$AZ$84</f>
        <v>127.43951370975472</v>
      </c>
      <c r="GX177" s="125">
        <f>GX65/293.07*(1/(VLOOKUP($GH177,'Fuel economy adjusted factor'!$A$2:$L$52,5,FALSE)*m2k))/'TCO Inputs'!$AZ$84</f>
        <v>127.43951370975472</v>
      </c>
      <c r="GY177" s="125">
        <f>GY65/293.07*(1/(VLOOKUP($GH177,'Fuel economy adjusted factor'!$A$2:$L$52,5,FALSE)*m2k))/'TCO Inputs'!$AZ$84</f>
        <v>127.43951370975472</v>
      </c>
      <c r="GZ177" s="125">
        <f>GZ65/293.07*(1/(VLOOKUP($GH177,'Fuel economy adjusted factor'!$A$2:$L$52,5,FALSE)*m2k))/'TCO Inputs'!$AZ$84</f>
        <v>127.43951370975472</v>
      </c>
      <c r="HA177" s="125">
        <f>HA65/293.07*(1/(VLOOKUP($GH177,'Fuel economy adjusted factor'!$A$2:$L$52,5,FALSE)*m2k))/'TCO Inputs'!$AZ$84</f>
        <v>127.43951370975472</v>
      </c>
      <c r="HB177" s="125">
        <f>HB65/293.07*(1/(VLOOKUP($GH177,'Fuel economy adjusted factor'!$A$2:$L$52,5,FALSE)*m2k))/'TCO Inputs'!$AZ$84</f>
        <v>127.43951370975472</v>
      </c>
      <c r="HC177" s="125">
        <f>HC65/293.07*(1/(VLOOKUP($GH177,'Fuel economy adjusted factor'!$A$2:$L$52,5,FALSE)*m2k))/'TCO Inputs'!$AZ$84</f>
        <v>127.43951370975472</v>
      </c>
      <c r="HD177" s="125">
        <f>HD65/293.07*(1/(VLOOKUP($GH177,'Fuel economy adjusted factor'!$A$2:$L$52,5,FALSE)*m2k))/'TCO Inputs'!$AZ$84</f>
        <v>127.43951370975472</v>
      </c>
      <c r="HE177" s="125">
        <f>HE65/293.07*(1/(VLOOKUP($GH177,'Fuel economy adjusted factor'!$A$2:$L$52,5,FALSE)*m2k))/'TCO Inputs'!$AZ$84</f>
        <v>127.43951370975472</v>
      </c>
      <c r="HF177" s="125">
        <f>HF65/293.07*(1/(VLOOKUP($GH177,'Fuel economy adjusted factor'!$A$2:$L$52,5,FALSE)*m2k))/'TCO Inputs'!$AZ$84</f>
        <v>127.43951370975472</v>
      </c>
      <c r="HG177" s="125">
        <f>HG65/293.07*(1/(VLOOKUP($GH177,'Fuel economy adjusted factor'!$A$2:$L$52,5,FALSE)*m2k))/'TCO Inputs'!$AZ$84</f>
        <v>127.43951370975472</v>
      </c>
      <c r="HH177" s="125">
        <f>HH65/293.07*(1/(VLOOKUP($GH177,'Fuel economy adjusted factor'!$A$2:$L$52,5,FALSE)*m2k))/'TCO Inputs'!$AZ$84</f>
        <v>127.43951370975472</v>
      </c>
      <c r="HI177" s="125">
        <f>HI65/293.07*(1/(VLOOKUP($GH177,'Fuel economy adjusted factor'!$A$2:$L$52,5,FALSE)*m2k))/'TCO Inputs'!$AZ$84</f>
        <v>127.43951370975472</v>
      </c>
      <c r="HJ177" s="125">
        <f>HJ65/293.07*(1/(VLOOKUP($GH177,'Fuel economy adjusted factor'!$A$2:$L$52,5,FALSE)*m2k))/'TCO Inputs'!$AZ$84</f>
        <v>127.43951370975472</v>
      </c>
      <c r="HK177" s="98" cm="1">
        <f t="array" ref="HK177">SUMPRODUCT(INDEX(GI177:HJ177,,'TCO Inputs'!$AZ$12-2023+_xlfn.SEQUENCE('TCO Inputs'!$AZ$13))*INDEX('VKT US'!C67:AA67,,_xlfn.SEQUENCE('TCO Inputs'!$AZ$13)))*m2k*CONVERT(0.9072,"g","ton")</f>
        <v>33.740822221330106</v>
      </c>
    </row>
    <row r="178" spans="26:219" x14ac:dyDescent="0.25">
      <c r="Z178" s="123" t="s">
        <v>190</v>
      </c>
      <c r="AA178" s="125">
        <f>AA66/293.07*(1/(VLOOKUP($Z178,'Fuel economy adjusted factor'!$A$2:$L$52,5,FALSE)*m2k))/'TCO Inputs'!$AZ$84</f>
        <v>131.09602579926135</v>
      </c>
      <c r="AB178" s="125">
        <f>AB66/293.07*(1/(VLOOKUP($Z178,'Fuel economy adjusted factor'!$A$2:$L$52,5,FALSE)*m2k))/'TCO Inputs'!$AZ$84</f>
        <v>131.09602579926135</v>
      </c>
      <c r="AC178" s="125">
        <f>AC66/293.07*(1/(VLOOKUP($Z178,'Fuel economy adjusted factor'!$A$2:$L$52,5,FALSE)*m2k))/'TCO Inputs'!$AZ$84</f>
        <v>115.14761400167087</v>
      </c>
      <c r="AD178" s="125">
        <f>AD66/293.07*(1/(VLOOKUP($Z178,'Fuel economy adjusted factor'!$A$2:$L$52,5,FALSE)*m2k))/'TCO Inputs'!$AZ$84</f>
        <v>115.14761400167087</v>
      </c>
      <c r="AE178" s="125">
        <f>AE66/293.07*(1/(VLOOKUP($Z178,'Fuel economy adjusted factor'!$A$2:$L$52,5,FALSE)*m2k))/'TCO Inputs'!$AZ$84</f>
        <v>115.14761400167087</v>
      </c>
      <c r="AF178" s="125">
        <f>AF66/293.07*(1/(VLOOKUP($Z178,'Fuel economy adjusted factor'!$A$2:$L$52,5,FALSE)*m2k))/'TCO Inputs'!$AZ$84</f>
        <v>115.14761400167087</v>
      </c>
      <c r="AG178" s="125">
        <f>AG66/293.07*(1/(VLOOKUP($Z178,'Fuel economy adjusted factor'!$A$2:$L$52,5,FALSE)*m2k))/'TCO Inputs'!$AZ$84</f>
        <v>115.14761400167087</v>
      </c>
      <c r="AH178" s="125">
        <f>AH66/293.07*(1/(VLOOKUP($Z178,'Fuel economy adjusted factor'!$A$2:$L$52,5,FALSE)*m2k))/'TCO Inputs'!$AZ$84</f>
        <v>43.534335029137971</v>
      </c>
      <c r="AI178" s="125">
        <f>AI66/293.07*(1/(VLOOKUP($Z178,'Fuel economy adjusted factor'!$A$2:$L$52,5,FALSE)*m2k))/'TCO Inputs'!$AZ$84</f>
        <v>43.534335029137971</v>
      </c>
      <c r="AJ178" s="125">
        <f>AJ66/293.07*(1/(VLOOKUP($Z178,'Fuel economy adjusted factor'!$A$2:$L$52,5,FALSE)*m2k))/'TCO Inputs'!$AZ$84</f>
        <v>43.534335029137971</v>
      </c>
      <c r="AK178" s="125">
        <f>AK66/293.07*(1/(VLOOKUP($Z178,'Fuel economy adjusted factor'!$A$2:$L$52,5,FALSE)*m2k))/'TCO Inputs'!$AZ$84</f>
        <v>43.534335029137971</v>
      </c>
      <c r="AL178" s="125">
        <f>AL66/293.07*(1/(VLOOKUP($Z178,'Fuel economy adjusted factor'!$A$2:$L$52,5,FALSE)*m2k))/'TCO Inputs'!$AZ$84</f>
        <v>43.534335029137971</v>
      </c>
      <c r="AM178" s="125">
        <f>AM66/293.07*(1/(VLOOKUP($Z178,'Fuel economy adjusted factor'!$A$2:$L$52,5,FALSE)*m2k))/'TCO Inputs'!$AZ$84</f>
        <v>36.590623241171457</v>
      </c>
      <c r="AN178" s="125">
        <f>AN66/293.07*(1/(VLOOKUP($Z178,'Fuel economy adjusted factor'!$A$2:$L$52,5,FALSE)*m2k))/'TCO Inputs'!$AZ$84</f>
        <v>36.590623241171457</v>
      </c>
      <c r="AO178" s="125">
        <f>AO66/293.07*(1/(VLOOKUP($Z178,'Fuel economy adjusted factor'!$A$2:$L$52,5,FALSE)*m2k))/'TCO Inputs'!$AZ$84</f>
        <v>36.590623241171457</v>
      </c>
      <c r="AP178" s="125">
        <f>AP66/293.07*(1/(VLOOKUP($Z178,'Fuel economy adjusted factor'!$A$2:$L$52,5,FALSE)*m2k))/'TCO Inputs'!$AZ$84</f>
        <v>36.590623241171457</v>
      </c>
      <c r="AQ178" s="125">
        <f>AQ66/293.07*(1/(VLOOKUP($Z178,'Fuel economy adjusted factor'!$A$2:$L$52,5,FALSE)*m2k))/'TCO Inputs'!$AZ$84</f>
        <v>36.590623241171457</v>
      </c>
      <c r="AR178" s="125">
        <f>AR66/293.07*(1/(VLOOKUP($Z178,'Fuel economy adjusted factor'!$A$2:$L$52,5,FALSE)*m2k))/'TCO Inputs'!$AZ$84</f>
        <v>36.590623241171457</v>
      </c>
      <c r="AS178" s="125">
        <f>AS66/293.07*(1/(VLOOKUP($Z178,'Fuel economy adjusted factor'!$A$2:$L$52,5,FALSE)*m2k))/'TCO Inputs'!$AZ$84</f>
        <v>36.590623241171457</v>
      </c>
      <c r="AT178" s="125">
        <f>AT66/293.07*(1/(VLOOKUP($Z178,'Fuel economy adjusted factor'!$A$2:$L$52,5,FALSE)*m2k))/'TCO Inputs'!$AZ$84</f>
        <v>36.590623241171457</v>
      </c>
      <c r="AU178" s="125">
        <f>AU66/293.07*(1/(VLOOKUP($Z178,'Fuel economy adjusted factor'!$A$2:$L$52,5,FALSE)*m2k))/'TCO Inputs'!$AZ$84</f>
        <v>36.590623241171457</v>
      </c>
      <c r="AV178" s="125">
        <f>AV66/293.07*(1/(VLOOKUP($Z178,'Fuel economy adjusted factor'!$A$2:$L$52,5,FALSE)*m2k))/'TCO Inputs'!$AZ$84</f>
        <v>36.590623241171457</v>
      </c>
      <c r="AW178" s="125">
        <f>AW66/293.07*(1/(VLOOKUP($Z178,'Fuel economy adjusted factor'!$A$2:$L$52,5,FALSE)*m2k))/'TCO Inputs'!$AZ$84</f>
        <v>36.763382547986858</v>
      </c>
      <c r="AX178" s="125">
        <f>AX66/293.07*(1/(VLOOKUP($Z178,'Fuel economy adjusted factor'!$A$2:$L$52,5,FALSE)*m2k))/'TCO Inputs'!$AZ$84</f>
        <v>36.763382547986858</v>
      </c>
      <c r="AY178" s="125">
        <f>AY66/293.07*(1/(VLOOKUP($Z178,'Fuel economy adjusted factor'!$A$2:$L$52,5,FALSE)*m2k))/'TCO Inputs'!$AZ$84</f>
        <v>36.763382547986858</v>
      </c>
      <c r="AZ178" s="125">
        <f>AZ66/293.07*(1/(VLOOKUP($Z178,'Fuel economy adjusted factor'!$A$2:$L$52,5,FALSE)*m2k))/'TCO Inputs'!$AZ$84</f>
        <v>36.763382547986858</v>
      </c>
      <c r="BA178" s="125">
        <f>BA66/293.07*(1/(VLOOKUP($Z178,'Fuel economy adjusted factor'!$A$2:$L$52,5,FALSE)*m2k))/'TCO Inputs'!$AZ$84</f>
        <v>36.763382547986858</v>
      </c>
      <c r="BB178" s="125">
        <f>BB66/293.07*(1/(VLOOKUP($Z178,'Fuel economy adjusted factor'!$A$2:$L$52,5,FALSE)*m2k))/'TCO Inputs'!$AZ$84</f>
        <v>36.98059454193605</v>
      </c>
      <c r="BC178" s="98" cm="1">
        <f t="array" ref="BC178">SUMPRODUCT(INDEX(AA178:BB178,,'TCO Inputs'!$AZ$12-2023+_xlfn.SEQUENCE('TCO Inputs'!$AZ$13))*INDEX('VKT US'!C68:AA68,,_xlfn.SEQUENCE('TCO Inputs'!$AZ$13)))*m2k*CONVERT(0.9072,"g","ton")</f>
        <v>23.124289457969908</v>
      </c>
      <c r="BM178" s="123" t="s">
        <v>190</v>
      </c>
      <c r="BN178" s="125">
        <f>BN66/293.07*(1/(VLOOKUP($BM178,'Fuel economy adjusted factor'!$A$2:$L$52,5,FALSE)*m2k))</f>
        <v>111.43162192937216</v>
      </c>
      <c r="BO178" s="125">
        <f>BO66/293.07*(1/(VLOOKUP($BM178,'Fuel economy adjusted factor'!$A$2:$L$52,5,FALSE)*m2k))</f>
        <v>111.43162192937216</v>
      </c>
      <c r="BP178" s="125">
        <f>BP66/293.07*(1/(VLOOKUP($BM178,'Fuel economy adjusted factor'!$A$2:$L$52,5,FALSE)*m2k))</f>
        <v>87.838459261948429</v>
      </c>
      <c r="BQ178" s="125">
        <f>BQ66/293.07*(1/(VLOOKUP($BM178,'Fuel economy adjusted factor'!$A$2:$L$52,5,FALSE)*m2k))</f>
        <v>87.838459261948429</v>
      </c>
      <c r="BR178" s="125">
        <f>BR66/293.07*(1/(VLOOKUP($BM178,'Fuel economy adjusted factor'!$A$2:$L$52,5,FALSE)*m2k))</f>
        <v>87.838459261948429</v>
      </c>
      <c r="BS178" s="125">
        <f>BS66/293.07*(1/(VLOOKUP($BM178,'Fuel economy adjusted factor'!$A$2:$L$52,5,FALSE)*m2k))</f>
        <v>87.838459261948429</v>
      </c>
      <c r="BT178" s="125">
        <f>BT66/293.07*(1/(VLOOKUP($BM178,'Fuel economy adjusted factor'!$A$2:$L$52,5,FALSE)*m2k))</f>
        <v>87.838459261948429</v>
      </c>
      <c r="BU178" s="125">
        <f>BU66/293.07*(1/(VLOOKUP($BM178,'Fuel economy adjusted factor'!$A$2:$L$52,5,FALSE)*m2k))</f>
        <v>4.9618291436403261</v>
      </c>
      <c r="BV178" s="125">
        <f>BV66/293.07*(1/(VLOOKUP($BM178,'Fuel economy adjusted factor'!$A$2:$L$52,5,FALSE)*m2k))</f>
        <v>4.9618291436403261</v>
      </c>
      <c r="BW178" s="125">
        <f>BW66/293.07*(1/(VLOOKUP($BM178,'Fuel economy adjusted factor'!$A$2:$L$52,5,FALSE)*m2k))</f>
        <v>4.9618291436403261</v>
      </c>
      <c r="BX178" s="125">
        <f>BX66/293.07*(1/(VLOOKUP($BM178,'Fuel economy adjusted factor'!$A$2:$L$52,5,FALSE)*m2k))</f>
        <v>4.9618291436403261</v>
      </c>
      <c r="BY178" s="125">
        <f>BY66/293.07*(1/(VLOOKUP($BM178,'Fuel economy adjusted factor'!$A$2:$L$52,5,FALSE)*m2k))</f>
        <v>4.9618291436403261</v>
      </c>
      <c r="BZ178" s="125">
        <f>BZ66/293.07*(1/(VLOOKUP($BM178,'Fuel economy adjusted factor'!$A$2:$L$52,5,FALSE)*m2k))</f>
        <v>5.1747979265449304</v>
      </c>
      <c r="CA178" s="125">
        <f>CA66/293.07*(1/(VLOOKUP($BM178,'Fuel economy adjusted factor'!$A$2:$L$52,5,FALSE)*m2k))</f>
        <v>5.1747979265449304</v>
      </c>
      <c r="CB178" s="125">
        <f>CB66/293.07*(1/(VLOOKUP($BM178,'Fuel economy adjusted factor'!$A$2:$L$52,5,FALSE)*m2k))</f>
        <v>5.1747979265449304</v>
      </c>
      <c r="CC178" s="125">
        <f>CC66/293.07*(1/(VLOOKUP($BM178,'Fuel economy adjusted factor'!$A$2:$L$52,5,FALSE)*m2k))</f>
        <v>5.1747979265449304</v>
      </c>
      <c r="CD178" s="125">
        <f>CD66/293.07*(1/(VLOOKUP($BM178,'Fuel economy adjusted factor'!$A$2:$L$52,5,FALSE)*m2k))</f>
        <v>5.1747979265449304</v>
      </c>
      <c r="CE178" s="125">
        <f>CE66/293.07*(1/(VLOOKUP($BM178,'Fuel economy adjusted factor'!$A$2:$L$52,5,FALSE)*m2k))</f>
        <v>5.2469325143029417</v>
      </c>
      <c r="CF178" s="125">
        <f>CF66/293.07*(1/(VLOOKUP($BM178,'Fuel economy adjusted factor'!$A$2:$L$52,5,FALSE)*m2k))</f>
        <v>5.2469325143029417</v>
      </c>
      <c r="CG178" s="125">
        <f>CG66/293.07*(1/(VLOOKUP($BM178,'Fuel economy adjusted factor'!$A$2:$L$52,5,FALSE)*m2k))</f>
        <v>5.2469325143029417</v>
      </c>
      <c r="CH178" s="125">
        <f>CH66/293.07*(1/(VLOOKUP($BM178,'Fuel economy adjusted factor'!$A$2:$L$52,5,FALSE)*m2k))</f>
        <v>5.2469325143029417</v>
      </c>
      <c r="CI178" s="125">
        <f>CI66/293.07*(1/(VLOOKUP($BM178,'Fuel economy adjusted factor'!$A$2:$L$52,5,FALSE)*m2k))</f>
        <v>5.2469325143029417</v>
      </c>
      <c r="CJ178" s="125">
        <f>CJ66/293.07*(1/(VLOOKUP($BM178,'Fuel economy adjusted factor'!$A$2:$L$52,5,FALSE)*m2k))</f>
        <v>5.4315627091597554</v>
      </c>
      <c r="CK178" s="125">
        <f>CK66/293.07*(1/(VLOOKUP($BM178,'Fuel economy adjusted factor'!$A$2:$L$52,5,FALSE)*m2k))</f>
        <v>5.4315627091597554</v>
      </c>
      <c r="CL178" s="125">
        <f>CL66/293.07*(1/(VLOOKUP($BM178,'Fuel economy adjusted factor'!$A$2:$L$52,5,FALSE)*m2k))</f>
        <v>5.4315627091597554</v>
      </c>
      <c r="CM178" s="125">
        <f>CM66/293.07*(1/(VLOOKUP($BM178,'Fuel economy adjusted factor'!$A$2:$L$52,5,FALSE)*m2k))</f>
        <v>5.4315627091597554</v>
      </c>
      <c r="CN178" s="125">
        <f>CN66/293.07*(1/(VLOOKUP($BM178,'Fuel economy adjusted factor'!$A$2:$L$52,5,FALSE)*m2k))</f>
        <v>5.4315627091597554</v>
      </c>
      <c r="CO178" s="125">
        <f>CO66/293.07*(1/(VLOOKUP($BM178,'Fuel economy adjusted factor'!$A$2:$L$52,5,FALSE)*m2k))</f>
        <v>5.6651413742809336</v>
      </c>
      <c r="CP178" s="98" cm="1">
        <f t="array" ref="CP178">SUMPRODUCT(INDEX(BN178:CO178,,'TCO Inputs'!$AZ$12-2023+_xlfn.SEQUENCE('TCO Inputs'!$AZ$13))*INDEX('VKT US'!C68:AA68,,_xlfn.SEQUENCE('TCO Inputs'!$AZ$13)))*m2k*CONVERT(0.9072,"g","ton")</f>
        <v>14.882653651205711</v>
      </c>
      <c r="CQ178" s="194"/>
      <c r="CR178" s="123" t="s">
        <v>190</v>
      </c>
      <c r="CS178" s="125">
        <f>CS66/293.07*(1/(VLOOKUP($BM178,'Fuel economy adjusted factor'!$A$2:$L$52,5,FALSE)*m2k))/'TCO Inputs'!$AZ$84</f>
        <v>131.09602579926135</v>
      </c>
      <c r="CT178" s="125">
        <f>CT66/293.07*(1/(VLOOKUP($BM178,'Fuel economy adjusted factor'!$A$2:$L$52,5,FALSE)*m2k))</f>
        <v>5.2177351811627943</v>
      </c>
      <c r="CU178" s="125">
        <f>CU66/293.07*(1/(VLOOKUP($BM178,'Fuel economy adjusted factor'!$A$2:$L$52,5,FALSE)*m2k))</f>
        <v>5.2177351811627943</v>
      </c>
      <c r="CV178" s="125">
        <f>CV66/293.07*(1/(VLOOKUP($BM178,'Fuel economy adjusted factor'!$A$2:$L$52,5,FALSE)*m2k))</f>
        <v>5.2177351811627943</v>
      </c>
      <c r="CW178" s="125">
        <f>CW66/293.07*(1/(VLOOKUP($BM178,'Fuel economy adjusted factor'!$A$2:$L$52,5,FALSE)*m2k))</f>
        <v>5.2177351811627943</v>
      </c>
      <c r="CX178" s="125">
        <f>CX66/293.07*(1/(VLOOKUP($BM178,'Fuel economy adjusted factor'!$A$2:$L$52,5,FALSE)*m2k))</f>
        <v>5.2177351811627943</v>
      </c>
      <c r="CY178" s="125">
        <f>CY66/293.07*(1/(VLOOKUP($BM178,'Fuel economy adjusted factor'!$A$2:$L$52,5,FALSE)*m2k))</f>
        <v>5.2177351811627943</v>
      </c>
      <c r="CZ178" s="125">
        <f>CZ66/293.07*(1/(VLOOKUP($BM178,'Fuel economy adjusted factor'!$A$2:$L$52,5,FALSE)*m2k))</f>
        <v>5.2177351811627943</v>
      </c>
      <c r="DA178" s="125">
        <f>DA66/293.07*(1/(VLOOKUP($BM178,'Fuel economy adjusted factor'!$A$2:$L$52,5,FALSE)*m2k))</f>
        <v>5.2177351811627943</v>
      </c>
      <c r="DB178" s="125">
        <f>DB66/293.07*(1/(VLOOKUP($BM178,'Fuel economy adjusted factor'!$A$2:$L$52,5,FALSE)*m2k))</f>
        <v>5.2177351811627943</v>
      </c>
      <c r="DC178" s="125">
        <f>DC66/293.07*(1/(VLOOKUP($BM178,'Fuel economy adjusted factor'!$A$2:$L$52,5,FALSE)*m2k))</f>
        <v>5.2177351811627943</v>
      </c>
      <c r="DD178" s="125">
        <f>DD66/293.07*(1/(VLOOKUP($BM178,'Fuel economy adjusted factor'!$A$2:$L$52,5,FALSE)*m2k))</f>
        <v>5.2177351811627943</v>
      </c>
      <c r="DE178" s="125">
        <f>DE66/293.07*(1/(VLOOKUP($BM178,'Fuel economy adjusted factor'!$A$2:$L$52,5,FALSE)*m2k))</f>
        <v>5.3671568272329591</v>
      </c>
      <c r="DF178" s="125">
        <f>DF66/293.07*(1/(VLOOKUP($BM178,'Fuel economy adjusted factor'!$A$2:$L$52,5,FALSE)*m2k))</f>
        <v>5.3671568272329591</v>
      </c>
      <c r="DG178" s="125">
        <f>DG66/293.07*(1/(VLOOKUP($BM178,'Fuel economy adjusted factor'!$A$2:$L$52,5,FALSE)*m2k))</f>
        <v>5.3671568272329591</v>
      </c>
      <c r="DH178" s="125">
        <f>DH66/293.07*(1/(VLOOKUP($BM178,'Fuel economy adjusted factor'!$A$2:$L$52,5,FALSE)*m2k))</f>
        <v>5.3671568272329591</v>
      </c>
      <c r="DI178" s="125">
        <f>DI66/293.07*(1/(VLOOKUP($BM178,'Fuel economy adjusted factor'!$A$2:$L$52,5,FALSE)*m2k))</f>
        <v>5.3671568272329591</v>
      </c>
      <c r="DJ178" s="125">
        <f>DJ66/293.07*(1/(VLOOKUP($BM178,'Fuel economy adjusted factor'!$A$2:$L$52,5,FALSE)*m2k))</f>
        <v>5.6462489822490731</v>
      </c>
      <c r="DK178" s="125">
        <f>DK66/293.07*(1/(VLOOKUP($BM178,'Fuel economy adjusted factor'!$A$2:$L$52,5,FALSE)*m2k))</f>
        <v>5.6462489822490731</v>
      </c>
      <c r="DL178" s="125">
        <f>DL66/293.07*(1/(VLOOKUP($BM178,'Fuel economy adjusted factor'!$A$2:$L$52,5,FALSE)*m2k))</f>
        <v>5.6462489822490731</v>
      </c>
      <c r="DM178" s="125">
        <f>DM66/293.07*(1/(VLOOKUP($BM178,'Fuel economy adjusted factor'!$A$2:$L$52,5,FALSE)*m2k))</f>
        <v>5.6462489822490731</v>
      </c>
      <c r="DN178" s="125">
        <f>DN66/293.07*(1/(VLOOKUP($BM178,'Fuel economy adjusted factor'!$A$2:$L$52,5,FALSE)*m2k))</f>
        <v>5.6462489822490731</v>
      </c>
      <c r="DO178" s="125">
        <f>DO66/293.07*(1/(VLOOKUP($BM178,'Fuel economy adjusted factor'!$A$2:$L$52,5,FALSE)*m2k))</f>
        <v>5.8308791771058868</v>
      </c>
      <c r="DP178" s="125">
        <f>DP66/293.07*(1/(VLOOKUP($BM178,'Fuel economy adjusted factor'!$A$2:$L$52,5,FALSE)*m2k))</f>
        <v>5.8308791771058868</v>
      </c>
      <c r="DQ178" s="125">
        <f>DQ66/293.07*(1/(VLOOKUP($BM178,'Fuel economy adjusted factor'!$A$2:$L$52,5,FALSE)*m2k))</f>
        <v>5.8308791771058868</v>
      </c>
      <c r="DR178" s="125">
        <f>DR66/293.07*(1/(VLOOKUP($BM178,'Fuel economy adjusted factor'!$A$2:$L$52,5,FALSE)*m2k))</f>
        <v>5.8308791771058868</v>
      </c>
      <c r="DS178" s="125">
        <f>DS66/293.07*(1/(VLOOKUP($BM178,'Fuel economy adjusted factor'!$A$2:$L$52,5,FALSE)*m2k))</f>
        <v>5.8308791771058868</v>
      </c>
      <c r="DT178" s="125">
        <f>DT66/293.07*(1/(VLOOKUP($BM178,'Fuel economy adjusted factor'!$A$2:$L$52,5,FALSE)*m2k))</f>
        <v>6.0653165873194226</v>
      </c>
      <c r="DU178" s="98" cm="1">
        <f t="array" ref="DU178">SUMPRODUCT(INDEX(CS178:DT178,,'TCO Inputs'!$AZ$12-2023+_xlfn.SEQUENCE('TCO Inputs'!$AZ$13))*INDEX('VKT US'!C68:AA68,,_xlfn.SEQUENCE('TCO Inputs'!$AZ$13)))*m2k*CONVERT(0.9072,"g","ton")</f>
        <v>4.3743877700258853</v>
      </c>
      <c r="DW178" s="123" t="s">
        <v>190</v>
      </c>
      <c r="DX178" s="125">
        <f>DX66/293.07*(1/(VLOOKUP($BM178,'Fuel economy adjusted factor'!$A$2:$L$52,5,FALSE)*m2k))/'TCO Inputs'!$AZ$84</f>
        <v>173.20126086591145</v>
      </c>
      <c r="DY178" s="125">
        <f>DY66/293.07*(1/(VLOOKUP($BM178,'Fuel economy adjusted factor'!$A$2:$L$52,5,FALSE)*m2k))/'TCO Inputs'!$AZ$84</f>
        <v>173.20126086591145</v>
      </c>
      <c r="DZ178" s="125">
        <f>DZ66/293.07*(1/(VLOOKUP($BM178,'Fuel economy adjusted factor'!$A$2:$L$52,5,FALSE)*m2k))/'TCO Inputs'!$AZ$84</f>
        <v>151.53000322977712</v>
      </c>
      <c r="EA178" s="125">
        <f>EA66/293.07*(1/(VLOOKUP($BM178,'Fuel economy adjusted factor'!$A$2:$L$52,5,FALSE)*m2k))/'TCO Inputs'!$AZ$84</f>
        <v>151.53000322977712</v>
      </c>
      <c r="EB178" s="125">
        <f>EB66/293.07*(1/(VLOOKUP($BM178,'Fuel economy adjusted factor'!$A$2:$L$52,5,FALSE)*m2k))/'TCO Inputs'!$AZ$84</f>
        <v>151.53000322977712</v>
      </c>
      <c r="EC178" s="125">
        <f>EC66/293.07*(1/(VLOOKUP($BM178,'Fuel economy adjusted factor'!$A$2:$L$52,5,FALSE)*m2k))/'TCO Inputs'!$AZ$84</f>
        <v>151.53000322977712</v>
      </c>
      <c r="ED178" s="125">
        <f>ED66/293.07*(1/(VLOOKUP($BM178,'Fuel economy adjusted factor'!$A$2:$L$52,5,FALSE)*m2k))/'TCO Inputs'!$AZ$84</f>
        <v>151.53000322977712</v>
      </c>
      <c r="EE178" s="125">
        <f>EE66/293.07*(1/(VLOOKUP($BM178,'Fuel economy adjusted factor'!$A$2:$L$52,5,FALSE)*m2k))/'TCO Inputs'!$AZ$84</f>
        <v>94.276147826800226</v>
      </c>
      <c r="EF178" s="125">
        <f>EF66/293.07*(1/(VLOOKUP($BM178,'Fuel economy adjusted factor'!$A$2:$L$52,5,FALSE)*m2k))/'TCO Inputs'!$AZ$84</f>
        <v>94.276147826800226</v>
      </c>
      <c r="EG178" s="125">
        <f>EG66/293.07*(1/(VLOOKUP($BM178,'Fuel economy adjusted factor'!$A$2:$L$52,5,FALSE)*m2k))/'TCO Inputs'!$AZ$84</f>
        <v>94.276147826800226</v>
      </c>
      <c r="EH178" s="125">
        <f>EH66/293.07*(1/(VLOOKUP($BM178,'Fuel economy adjusted factor'!$A$2:$L$52,5,FALSE)*m2k))/'TCO Inputs'!$AZ$84</f>
        <v>94.276147826800226</v>
      </c>
      <c r="EI178" s="125">
        <f>EI66/293.07*(1/(VLOOKUP($BM178,'Fuel economy adjusted factor'!$A$2:$L$52,5,FALSE)*m2k))/'TCO Inputs'!$AZ$84</f>
        <v>94.276147826800226</v>
      </c>
      <c r="EJ178" s="125">
        <f>EJ66/293.07*(1/(VLOOKUP($BM178,'Fuel economy adjusted factor'!$A$2:$L$52,5,FALSE)*m2k))/'TCO Inputs'!$AZ$84</f>
        <v>83.94386170316605</v>
      </c>
      <c r="EK178" s="125">
        <f>EK66/293.07*(1/(VLOOKUP($BM178,'Fuel economy adjusted factor'!$A$2:$L$52,5,FALSE)*m2k))/'TCO Inputs'!$AZ$84</f>
        <v>83.94386170316605</v>
      </c>
      <c r="EL178" s="125">
        <f>EL66/293.07*(1/(VLOOKUP($BM178,'Fuel economy adjusted factor'!$A$2:$L$52,5,FALSE)*m2k))/'TCO Inputs'!$AZ$84</f>
        <v>83.94386170316605</v>
      </c>
      <c r="EM178" s="125">
        <f>EM66/293.07*(1/(VLOOKUP($BM178,'Fuel economy adjusted factor'!$A$2:$L$52,5,FALSE)*m2k))/'TCO Inputs'!$AZ$84</f>
        <v>83.94386170316605</v>
      </c>
      <c r="EN178" s="125">
        <f>EN66/293.07*(1/(VLOOKUP($BM178,'Fuel economy adjusted factor'!$A$2:$L$52,5,FALSE)*m2k))/'TCO Inputs'!$AZ$84</f>
        <v>83.94386170316605</v>
      </c>
      <c r="EO178" s="125">
        <f>EO66/293.07*(1/(VLOOKUP($BM178,'Fuel economy adjusted factor'!$A$2:$L$52,5,FALSE)*m2k))/'TCO Inputs'!$AZ$84</f>
        <v>81.567203488625822</v>
      </c>
      <c r="EP178" s="125">
        <f>EP66/293.07*(1/(VLOOKUP($BM178,'Fuel economy adjusted factor'!$A$2:$L$52,5,FALSE)*m2k))/'TCO Inputs'!$AZ$84</f>
        <v>81.567203488625822</v>
      </c>
      <c r="EQ178" s="125">
        <f>EQ66/293.07*(1/(VLOOKUP($BM178,'Fuel economy adjusted factor'!$A$2:$L$52,5,FALSE)*m2k))/'TCO Inputs'!$AZ$84</f>
        <v>81.567203488625822</v>
      </c>
      <c r="ER178" s="125">
        <f>ER66/293.07*(1/(VLOOKUP($BM178,'Fuel economy adjusted factor'!$A$2:$L$52,5,FALSE)*m2k))/'TCO Inputs'!$AZ$84</f>
        <v>81.567203488625822</v>
      </c>
      <c r="ES178" s="125">
        <f>ES66/293.07*(1/(VLOOKUP($BM178,'Fuel economy adjusted factor'!$A$2:$L$52,5,FALSE)*m2k))/'TCO Inputs'!$AZ$84</f>
        <v>81.567203488625822</v>
      </c>
      <c r="ET178" s="125">
        <f>ET66/293.07*(1/(VLOOKUP($BM178,'Fuel economy adjusted factor'!$A$2:$L$52,5,FALSE)*m2k))/'TCO Inputs'!$AZ$84</f>
        <v>78.680475034526552</v>
      </c>
      <c r="EU178" s="125">
        <f>EU66/293.07*(1/(VLOOKUP($BM178,'Fuel economy adjusted factor'!$A$2:$L$52,5,FALSE)*m2k))/'TCO Inputs'!$AZ$84</f>
        <v>78.680475034526552</v>
      </c>
      <c r="EV178" s="125">
        <f>EV66/293.07*(1/(VLOOKUP($BM178,'Fuel economy adjusted factor'!$A$2:$L$52,5,FALSE)*m2k))/'TCO Inputs'!$AZ$84</f>
        <v>78.680475034526552</v>
      </c>
      <c r="EW178" s="125">
        <f>EW66/293.07*(1/(VLOOKUP($BM178,'Fuel economy adjusted factor'!$A$2:$L$52,5,FALSE)*m2k))/'TCO Inputs'!$AZ$84</f>
        <v>78.680475034526552</v>
      </c>
      <c r="EX178" s="125">
        <f>EX66/293.07*(1/(VLOOKUP($BM178,'Fuel economy adjusted factor'!$A$2:$L$52,5,FALSE)*m2k))/'TCO Inputs'!$AZ$84</f>
        <v>78.680475034526552</v>
      </c>
      <c r="EY178" s="125">
        <f>EY66/293.07*(1/(VLOOKUP($BM178,'Fuel economy adjusted factor'!$A$2:$L$52,5,FALSE)*m2k))/'TCO Inputs'!$AZ$84</f>
        <v>74.080057358311535</v>
      </c>
      <c r="EZ178" s="98" cm="1">
        <f t="array" ref="EZ178">SUMPRODUCT(INDEX(DX178:EY178,,'TCO Inputs'!$AZ$12-2023+_xlfn.SEQUENCE('TCO Inputs'!$AZ$13))*INDEX('VKT US'!C68:AA68,,_xlfn.SEQUENCE('TCO Inputs'!$AZ$13)))*m2k*CONVERT(0.9072,"g","ton")</f>
        <v>34.95960318008062</v>
      </c>
      <c r="FB178" s="123" t="s">
        <v>190</v>
      </c>
      <c r="FC178" s="125">
        <f>FC66/293.07*(1/(VLOOKUP($BM178,'Fuel economy adjusted factor'!$A$2:$L$52,5,FALSE)*m2k))/'TCO Inputs'!$AZ$84</f>
        <v>187.23247361886609</v>
      </c>
      <c r="FD178" s="125">
        <f>FD66/293.07*(1/(VLOOKUP($BM178,'Fuel economy adjusted factor'!$A$2:$L$52,5,FALSE)*m2k))/'TCO Inputs'!$AZ$84</f>
        <v>187.23247361886609</v>
      </c>
      <c r="FE178" s="125">
        <f>FE66/293.07*(1/(VLOOKUP($BM178,'Fuel economy adjusted factor'!$A$2:$L$52,5,FALSE)*m2k))/'TCO Inputs'!$AZ$84</f>
        <v>163.2359317491543</v>
      </c>
      <c r="FF178" s="125">
        <f>FF66/293.07*(1/(VLOOKUP($BM178,'Fuel economy adjusted factor'!$A$2:$L$52,5,FALSE)*m2k))/'TCO Inputs'!$AZ$84</f>
        <v>163.2359317491543</v>
      </c>
      <c r="FG178" s="125">
        <f>FG66/293.07*(1/(VLOOKUP($BM178,'Fuel economy adjusted factor'!$A$2:$L$52,5,FALSE)*m2k))/'TCO Inputs'!$AZ$84</f>
        <v>163.2359317491543</v>
      </c>
      <c r="FH178" s="125">
        <f>FH66/293.07*(1/(VLOOKUP($BM178,'Fuel economy adjusted factor'!$A$2:$L$52,5,FALSE)*m2k))/'TCO Inputs'!$AZ$84</f>
        <v>163.2359317491543</v>
      </c>
      <c r="FI178" s="125">
        <f>FI66/293.07*(1/(VLOOKUP($BM178,'Fuel economy adjusted factor'!$A$2:$L$52,5,FALSE)*m2k))/'TCO Inputs'!$AZ$84</f>
        <v>163.2359317491543</v>
      </c>
      <c r="FJ178" s="125">
        <f>FJ66/293.07*(1/(VLOOKUP($BM178,'Fuel economy adjusted factor'!$A$2:$L$52,5,FALSE)*m2k))/'TCO Inputs'!$AZ$84</f>
        <v>103.24824664494358</v>
      </c>
      <c r="FK178" s="125">
        <f>FK66/293.07*(1/(VLOOKUP($BM178,'Fuel economy adjusted factor'!$A$2:$L$52,5,FALSE)*m2k))/'TCO Inputs'!$AZ$84</f>
        <v>103.24824664494358</v>
      </c>
      <c r="FL178" s="125">
        <f>FL66/293.07*(1/(VLOOKUP($BM178,'Fuel economy adjusted factor'!$A$2:$L$52,5,FALSE)*m2k))/'TCO Inputs'!$AZ$84</f>
        <v>103.24824664494358</v>
      </c>
      <c r="FM178" s="125">
        <f>FM66/293.07*(1/(VLOOKUP($BM178,'Fuel economy adjusted factor'!$A$2:$L$52,5,FALSE)*m2k))/'TCO Inputs'!$AZ$84</f>
        <v>103.24824664494358</v>
      </c>
      <c r="FN178" s="125">
        <f>FN66/293.07*(1/(VLOOKUP($BM178,'Fuel economy adjusted factor'!$A$2:$L$52,5,FALSE)*m2k))/'TCO Inputs'!$AZ$84</f>
        <v>103.24824664494358</v>
      </c>
      <c r="FO178" s="125">
        <f>FO66/293.07*(1/(VLOOKUP($BM178,'Fuel economy adjusted factor'!$A$2:$L$52,5,FALSE)*m2k))/'TCO Inputs'!$AZ$84</f>
        <v>91.448132493801282</v>
      </c>
      <c r="FP178" s="125">
        <f>FP66/293.07*(1/(VLOOKUP($BM178,'Fuel economy adjusted factor'!$A$2:$L$52,5,FALSE)*m2k))/'TCO Inputs'!$AZ$84</f>
        <v>91.448132493801282</v>
      </c>
      <c r="FQ178" s="125">
        <f>FQ66/293.07*(1/(VLOOKUP($BM178,'Fuel economy adjusted factor'!$A$2:$L$52,5,FALSE)*m2k))/'TCO Inputs'!$AZ$84</f>
        <v>91.448132493801282</v>
      </c>
      <c r="FR178" s="125">
        <f>FR66/293.07*(1/(VLOOKUP($BM178,'Fuel economy adjusted factor'!$A$2:$L$52,5,FALSE)*m2k))/'TCO Inputs'!$AZ$84</f>
        <v>91.448132493801282</v>
      </c>
      <c r="FS178" s="125">
        <f>FS66/293.07*(1/(VLOOKUP($BM178,'Fuel economy adjusted factor'!$A$2:$L$52,5,FALSE)*m2k))/'TCO Inputs'!$AZ$84</f>
        <v>91.448132493801282</v>
      </c>
      <c r="FT178" s="125">
        <f>FT66/293.07*(1/(VLOOKUP($BM178,'Fuel economy adjusted factor'!$A$2:$L$52,5,FALSE)*m2k))/'TCO Inputs'!$AZ$84</f>
        <v>89.360147124670959</v>
      </c>
      <c r="FU178" s="125">
        <f>FU66/293.07*(1/(VLOOKUP($BM178,'Fuel economy adjusted factor'!$A$2:$L$52,5,FALSE)*m2k))/'TCO Inputs'!$AZ$84</f>
        <v>89.360147124670959</v>
      </c>
      <c r="FV178" s="125">
        <f>FV66/293.07*(1/(VLOOKUP($BM178,'Fuel economy adjusted factor'!$A$2:$L$52,5,FALSE)*m2k))/'TCO Inputs'!$AZ$84</f>
        <v>89.360147124670959</v>
      </c>
      <c r="FW178" s="125">
        <f>FW66/293.07*(1/(VLOOKUP($BM178,'Fuel economy adjusted factor'!$A$2:$L$52,5,FALSE)*m2k))/'TCO Inputs'!$AZ$84</f>
        <v>89.360147124670959</v>
      </c>
      <c r="FX178" s="125">
        <f>FX66/293.07*(1/(VLOOKUP($BM178,'Fuel economy adjusted factor'!$A$2:$L$52,5,FALSE)*m2k))/'TCO Inputs'!$AZ$84</f>
        <v>89.360147124670959</v>
      </c>
      <c r="FY178" s="125">
        <f>FY66/293.07*(1/(VLOOKUP($BM178,'Fuel economy adjusted factor'!$A$2:$L$52,5,FALSE)*m2k))/'TCO Inputs'!$AZ$84</f>
        <v>86.468525910479997</v>
      </c>
      <c r="FZ178" s="125">
        <f>FZ66/293.07*(1/(VLOOKUP($BM178,'Fuel economy adjusted factor'!$A$2:$L$52,5,FALSE)*m2k))/'TCO Inputs'!$AZ$84</f>
        <v>86.468525910479997</v>
      </c>
      <c r="GA178" s="125">
        <f>GA66/293.07*(1/(VLOOKUP($BM178,'Fuel economy adjusted factor'!$A$2:$L$52,5,FALSE)*m2k))/'TCO Inputs'!$AZ$84</f>
        <v>86.468525910479997</v>
      </c>
      <c r="GB178" s="125">
        <f>GB66/293.07*(1/(VLOOKUP($BM178,'Fuel economy adjusted factor'!$A$2:$L$52,5,FALSE)*m2k))/'TCO Inputs'!$AZ$84</f>
        <v>86.468525910479997</v>
      </c>
      <c r="GC178" s="125">
        <f>GC66/293.07*(1/(VLOOKUP($BM178,'Fuel economy adjusted factor'!$A$2:$L$52,5,FALSE)*m2k))/'TCO Inputs'!$AZ$84</f>
        <v>86.468525910479997</v>
      </c>
      <c r="GD178" s="125">
        <f>GD66/293.07*(1/(VLOOKUP($BM178,'Fuel economy adjusted factor'!$A$2:$L$52,5,FALSE)*m2k))/'TCO Inputs'!$AZ$84</f>
        <v>81.711539911330789</v>
      </c>
      <c r="GE178" s="98" cm="1">
        <f t="array" ref="GE178">SUMPRODUCT(INDEX(FC178:GD178,,'TCO Inputs'!$AZ$12-2023+_xlfn.SEQUENCE('TCO Inputs'!$AZ$13))*INDEX('VKT US'!C68:AA68,,_xlfn.SEQUENCE('TCO Inputs'!$AZ$13)))*m2k*CONVERT(0.9072,"g","ton")</f>
        <v>37.875587633169289</v>
      </c>
      <c r="GH178" s="123" t="s">
        <v>190</v>
      </c>
      <c r="GI178" s="125">
        <f>GI66/293.07*(1/(VLOOKUP($GH178,'Fuel economy adjusted factor'!$A$2:$L$52,5,FALSE)*m2k))/'TCO Inputs'!$AZ$84</f>
        <v>329.60657221360054</v>
      </c>
      <c r="GJ178" s="125">
        <f>GJ66/293.07*(1/(VLOOKUP($GH178,'Fuel economy adjusted factor'!$A$2:$L$52,5,FALSE)*m2k))/'TCO Inputs'!$AZ$84</f>
        <v>329.60657221360054</v>
      </c>
      <c r="GK178" s="125">
        <f>GK66/293.07*(1/(VLOOKUP($GH178,'Fuel economy adjusted factor'!$A$2:$L$52,5,FALSE)*m2k))/'TCO Inputs'!$AZ$84</f>
        <v>329.60657221360054</v>
      </c>
      <c r="GL178" s="125">
        <f>GL66/293.07*(1/(VLOOKUP($GH178,'Fuel economy adjusted factor'!$A$2:$L$52,5,FALSE)*m2k))/'TCO Inputs'!$AZ$84</f>
        <v>329.60657221360054</v>
      </c>
      <c r="GM178" s="125">
        <f>GM66/293.07*(1/(VLOOKUP($GH178,'Fuel economy adjusted factor'!$A$2:$L$52,5,FALSE)*m2k))/'TCO Inputs'!$AZ$84</f>
        <v>329.60657221360054</v>
      </c>
      <c r="GN178" s="125">
        <f>GN66/293.07*(1/(VLOOKUP($GH178,'Fuel economy adjusted factor'!$A$2:$L$52,5,FALSE)*m2k))/'TCO Inputs'!$AZ$84</f>
        <v>329.60657221360054</v>
      </c>
      <c r="GO178" s="125">
        <f>GO66/293.07*(1/(VLOOKUP($GH178,'Fuel economy adjusted factor'!$A$2:$L$52,5,FALSE)*m2k))/'TCO Inputs'!$AZ$84</f>
        <v>329.60657221360054</v>
      </c>
      <c r="GP178" s="125">
        <f>GP66/293.07*(1/(VLOOKUP($GH178,'Fuel economy adjusted factor'!$A$2:$L$52,5,FALSE)*m2k))/'TCO Inputs'!$AZ$84</f>
        <v>329.60657221360054</v>
      </c>
      <c r="GQ178" s="125">
        <f>GQ66/293.07*(1/(VLOOKUP($GH178,'Fuel economy adjusted factor'!$A$2:$L$52,5,FALSE)*m2k))/'TCO Inputs'!$AZ$84</f>
        <v>329.60657221360054</v>
      </c>
      <c r="GR178" s="125">
        <f>GR66/293.07*(1/(VLOOKUP($GH178,'Fuel economy adjusted factor'!$A$2:$L$52,5,FALSE)*m2k))/'TCO Inputs'!$AZ$84</f>
        <v>329.60657221360054</v>
      </c>
      <c r="GS178" s="125">
        <f>GS66/293.07*(1/(VLOOKUP($GH178,'Fuel economy adjusted factor'!$A$2:$L$52,5,FALSE)*m2k))/'TCO Inputs'!$AZ$84</f>
        <v>329.60657221360054</v>
      </c>
      <c r="GT178" s="125">
        <f>GT66/293.07*(1/(VLOOKUP($GH178,'Fuel economy adjusted factor'!$A$2:$L$52,5,FALSE)*m2k))/'TCO Inputs'!$AZ$84</f>
        <v>329.60657221360054</v>
      </c>
      <c r="GU178" s="125">
        <f>GU66/293.07*(1/(VLOOKUP($GH178,'Fuel economy adjusted factor'!$A$2:$L$52,5,FALSE)*m2k))/'TCO Inputs'!$AZ$84</f>
        <v>329.60657221360054</v>
      </c>
      <c r="GV178" s="125">
        <f>GV66/293.07*(1/(VLOOKUP($GH178,'Fuel economy adjusted factor'!$A$2:$L$52,5,FALSE)*m2k))/'TCO Inputs'!$AZ$84</f>
        <v>329.60657221360054</v>
      </c>
      <c r="GW178" s="125">
        <f>GW66/293.07*(1/(VLOOKUP($GH178,'Fuel economy adjusted factor'!$A$2:$L$52,5,FALSE)*m2k))/'TCO Inputs'!$AZ$84</f>
        <v>329.60657221360054</v>
      </c>
      <c r="GX178" s="125">
        <f>GX66/293.07*(1/(VLOOKUP($GH178,'Fuel economy adjusted factor'!$A$2:$L$52,5,FALSE)*m2k))/'TCO Inputs'!$AZ$84</f>
        <v>329.60657221360054</v>
      </c>
      <c r="GY178" s="125">
        <f>GY66/293.07*(1/(VLOOKUP($GH178,'Fuel economy adjusted factor'!$A$2:$L$52,5,FALSE)*m2k))/'TCO Inputs'!$AZ$84</f>
        <v>329.60657221360054</v>
      </c>
      <c r="GZ178" s="125">
        <f>GZ66/293.07*(1/(VLOOKUP($GH178,'Fuel economy adjusted factor'!$A$2:$L$52,5,FALSE)*m2k))/'TCO Inputs'!$AZ$84</f>
        <v>329.60657221360054</v>
      </c>
      <c r="HA178" s="125">
        <f>HA66/293.07*(1/(VLOOKUP($GH178,'Fuel economy adjusted factor'!$A$2:$L$52,5,FALSE)*m2k))/'TCO Inputs'!$AZ$84</f>
        <v>329.60657221360054</v>
      </c>
      <c r="HB178" s="125">
        <f>HB66/293.07*(1/(VLOOKUP($GH178,'Fuel economy adjusted factor'!$A$2:$L$52,5,FALSE)*m2k))/'TCO Inputs'!$AZ$84</f>
        <v>329.60657221360054</v>
      </c>
      <c r="HC178" s="125">
        <f>HC66/293.07*(1/(VLOOKUP($GH178,'Fuel economy adjusted factor'!$A$2:$L$52,5,FALSE)*m2k))/'TCO Inputs'!$AZ$84</f>
        <v>329.60657221360054</v>
      </c>
      <c r="HD178" s="125">
        <f>HD66/293.07*(1/(VLOOKUP($GH178,'Fuel economy adjusted factor'!$A$2:$L$52,5,FALSE)*m2k))/'TCO Inputs'!$AZ$84</f>
        <v>329.60657221360054</v>
      </c>
      <c r="HE178" s="125">
        <f>HE66/293.07*(1/(VLOOKUP($GH178,'Fuel economy adjusted factor'!$A$2:$L$52,5,FALSE)*m2k))/'TCO Inputs'!$AZ$84</f>
        <v>329.60657221360054</v>
      </c>
      <c r="HF178" s="125">
        <f>HF66/293.07*(1/(VLOOKUP($GH178,'Fuel economy adjusted factor'!$A$2:$L$52,5,FALSE)*m2k))/'TCO Inputs'!$AZ$84</f>
        <v>329.60657221360054</v>
      </c>
      <c r="HG178" s="125">
        <f>HG66/293.07*(1/(VLOOKUP($GH178,'Fuel economy adjusted factor'!$A$2:$L$52,5,FALSE)*m2k))/'TCO Inputs'!$AZ$84</f>
        <v>329.60657221360054</v>
      </c>
      <c r="HH178" s="125">
        <f>HH66/293.07*(1/(VLOOKUP($GH178,'Fuel economy adjusted factor'!$A$2:$L$52,5,FALSE)*m2k))/'TCO Inputs'!$AZ$84</f>
        <v>329.60657221360054</v>
      </c>
      <c r="HI178" s="125">
        <f>HI66/293.07*(1/(VLOOKUP($GH178,'Fuel economy adjusted factor'!$A$2:$L$52,5,FALSE)*m2k))/'TCO Inputs'!$AZ$84</f>
        <v>329.60657221360054</v>
      </c>
      <c r="HJ178" s="125">
        <f>HJ66/293.07*(1/(VLOOKUP($GH178,'Fuel economy adjusted factor'!$A$2:$L$52,5,FALSE)*m2k))/'TCO Inputs'!$AZ$84</f>
        <v>329.60657221360054</v>
      </c>
      <c r="HK178" s="98" cm="1">
        <f t="array" ref="HK178">SUMPRODUCT(INDEX(GI178:HJ178,,'TCO Inputs'!$AZ$12-2023+_xlfn.SEQUENCE('TCO Inputs'!$AZ$13))*INDEX('VKT US'!C68:AA68,,_xlfn.SEQUENCE('TCO Inputs'!$AZ$13)))*m2k*CONVERT(0.9072,"g","ton")</f>
        <v>89.879449253351282</v>
      </c>
    </row>
    <row r="179" spans="26:219" x14ac:dyDescent="0.25">
      <c r="Z179" s="123" t="s">
        <v>191</v>
      </c>
      <c r="AA179" s="125">
        <f>AA67/293.07*(1/(VLOOKUP($Z179,'Fuel economy adjusted factor'!$A$2:$L$52,5,FALSE)*m2k))/'TCO Inputs'!$AZ$84</f>
        <v>77.242686790273993</v>
      </c>
      <c r="AB179" s="125">
        <f>AB67/293.07*(1/(VLOOKUP($Z179,'Fuel economy adjusted factor'!$A$2:$L$52,5,FALSE)*m2k))/'TCO Inputs'!$AZ$84</f>
        <v>77.242686790273993</v>
      </c>
      <c r="AC179" s="125">
        <f>AC67/293.07*(1/(VLOOKUP($Z179,'Fuel economy adjusted factor'!$A$2:$L$52,5,FALSE)*m2k))/'TCO Inputs'!$AZ$84</f>
        <v>67.8457720495486</v>
      </c>
      <c r="AD179" s="125">
        <f>AD67/293.07*(1/(VLOOKUP($Z179,'Fuel economy adjusted factor'!$A$2:$L$52,5,FALSE)*m2k))/'TCO Inputs'!$AZ$84</f>
        <v>67.8457720495486</v>
      </c>
      <c r="AE179" s="125">
        <f>AE67/293.07*(1/(VLOOKUP($Z179,'Fuel economy adjusted factor'!$A$2:$L$52,5,FALSE)*m2k))/'TCO Inputs'!$AZ$84</f>
        <v>67.8457720495486</v>
      </c>
      <c r="AF179" s="125">
        <f>AF67/293.07*(1/(VLOOKUP($Z179,'Fuel economy adjusted factor'!$A$2:$L$52,5,FALSE)*m2k))/'TCO Inputs'!$AZ$84</f>
        <v>67.8457720495486</v>
      </c>
      <c r="AG179" s="125">
        <f>AG67/293.07*(1/(VLOOKUP($Z179,'Fuel economy adjusted factor'!$A$2:$L$52,5,FALSE)*m2k))/'TCO Inputs'!$AZ$84</f>
        <v>67.8457720495486</v>
      </c>
      <c r="AH179" s="125">
        <f>AH67/293.07*(1/(VLOOKUP($Z179,'Fuel economy adjusted factor'!$A$2:$L$52,5,FALSE)*m2k))/'TCO Inputs'!$AZ$84</f>
        <v>25.650731856872991</v>
      </c>
      <c r="AI179" s="125">
        <f>AI67/293.07*(1/(VLOOKUP($Z179,'Fuel economy adjusted factor'!$A$2:$L$52,5,FALSE)*m2k))/'TCO Inputs'!$AZ$84</f>
        <v>25.650731856872991</v>
      </c>
      <c r="AJ179" s="125">
        <f>AJ67/293.07*(1/(VLOOKUP($Z179,'Fuel economy adjusted factor'!$A$2:$L$52,5,FALSE)*m2k))/'TCO Inputs'!$AZ$84</f>
        <v>25.650731856872991</v>
      </c>
      <c r="AK179" s="125">
        <f>AK67/293.07*(1/(VLOOKUP($Z179,'Fuel economy adjusted factor'!$A$2:$L$52,5,FALSE)*m2k))/'TCO Inputs'!$AZ$84</f>
        <v>25.650731856872991</v>
      </c>
      <c r="AL179" s="125">
        <f>AL67/293.07*(1/(VLOOKUP($Z179,'Fuel economy adjusted factor'!$A$2:$L$52,5,FALSE)*m2k))/'TCO Inputs'!$AZ$84</f>
        <v>25.650731856872991</v>
      </c>
      <c r="AM179" s="125">
        <f>AM67/293.07*(1/(VLOOKUP($Z179,'Fuel economy adjusted factor'!$A$2:$L$52,5,FALSE)*m2k))/'TCO Inputs'!$AZ$84</f>
        <v>21.559448757100693</v>
      </c>
      <c r="AN179" s="125">
        <f>AN67/293.07*(1/(VLOOKUP($Z179,'Fuel economy adjusted factor'!$A$2:$L$52,5,FALSE)*m2k))/'TCO Inputs'!$AZ$84</f>
        <v>21.559448757100693</v>
      </c>
      <c r="AO179" s="125">
        <f>AO67/293.07*(1/(VLOOKUP($Z179,'Fuel economy adjusted factor'!$A$2:$L$52,5,FALSE)*m2k))/'TCO Inputs'!$AZ$84</f>
        <v>21.559448757100693</v>
      </c>
      <c r="AP179" s="125">
        <f>AP67/293.07*(1/(VLOOKUP($Z179,'Fuel economy adjusted factor'!$A$2:$L$52,5,FALSE)*m2k))/'TCO Inputs'!$AZ$84</f>
        <v>21.559448757100693</v>
      </c>
      <c r="AQ179" s="125">
        <f>AQ67/293.07*(1/(VLOOKUP($Z179,'Fuel economy adjusted factor'!$A$2:$L$52,5,FALSE)*m2k))/'TCO Inputs'!$AZ$84</f>
        <v>21.559448757100693</v>
      </c>
      <c r="AR179" s="125">
        <f>AR67/293.07*(1/(VLOOKUP($Z179,'Fuel economy adjusted factor'!$A$2:$L$52,5,FALSE)*m2k))/'TCO Inputs'!$AZ$84</f>
        <v>21.559448757100693</v>
      </c>
      <c r="AS179" s="125">
        <f>AS67/293.07*(1/(VLOOKUP($Z179,'Fuel economy adjusted factor'!$A$2:$L$52,5,FALSE)*m2k))/'TCO Inputs'!$AZ$84</f>
        <v>21.559448757100693</v>
      </c>
      <c r="AT179" s="125">
        <f>AT67/293.07*(1/(VLOOKUP($Z179,'Fuel economy adjusted factor'!$A$2:$L$52,5,FALSE)*m2k))/'TCO Inputs'!$AZ$84</f>
        <v>21.559448757100693</v>
      </c>
      <c r="AU179" s="125">
        <f>AU67/293.07*(1/(VLOOKUP($Z179,'Fuel economy adjusted factor'!$A$2:$L$52,5,FALSE)*m2k))/'TCO Inputs'!$AZ$84</f>
        <v>21.559448757100693</v>
      </c>
      <c r="AV179" s="125">
        <f>AV67/293.07*(1/(VLOOKUP($Z179,'Fuel economy adjusted factor'!$A$2:$L$52,5,FALSE)*m2k))/'TCO Inputs'!$AZ$84</f>
        <v>21.559448757100693</v>
      </c>
      <c r="AW179" s="125">
        <f>AW67/293.07*(1/(VLOOKUP($Z179,'Fuel economy adjusted factor'!$A$2:$L$52,5,FALSE)*m2k))/'TCO Inputs'!$AZ$84</f>
        <v>21.6612397377585</v>
      </c>
      <c r="AX179" s="125">
        <f>AX67/293.07*(1/(VLOOKUP($Z179,'Fuel economy adjusted factor'!$A$2:$L$52,5,FALSE)*m2k))/'TCO Inputs'!$AZ$84</f>
        <v>21.6612397377585</v>
      </c>
      <c r="AY179" s="125">
        <f>AY67/293.07*(1/(VLOOKUP($Z179,'Fuel economy adjusted factor'!$A$2:$L$52,5,FALSE)*m2k))/'TCO Inputs'!$AZ$84</f>
        <v>21.6612397377585</v>
      </c>
      <c r="AZ179" s="125">
        <f>AZ67/293.07*(1/(VLOOKUP($Z179,'Fuel economy adjusted factor'!$A$2:$L$52,5,FALSE)*m2k))/'TCO Inputs'!$AZ$84</f>
        <v>21.6612397377585</v>
      </c>
      <c r="BA179" s="125">
        <f>BA67/293.07*(1/(VLOOKUP($Z179,'Fuel economy adjusted factor'!$A$2:$L$52,5,FALSE)*m2k))/'TCO Inputs'!$AZ$84</f>
        <v>21.6612397377585</v>
      </c>
      <c r="BB179" s="125">
        <f>BB67/293.07*(1/(VLOOKUP($Z179,'Fuel economy adjusted factor'!$A$2:$L$52,5,FALSE)*m2k))/'TCO Inputs'!$AZ$84</f>
        <v>21.789222549696667</v>
      </c>
      <c r="BC179" s="98" cm="1">
        <f t="array" ref="BC179">SUMPRODUCT(INDEX(AA179:BB179,,'TCO Inputs'!$AZ$12-2023+_xlfn.SEQUENCE('TCO Inputs'!$AZ$13))*INDEX('VKT US'!C69:AA69,,_xlfn.SEQUENCE('TCO Inputs'!$AZ$13)))*m2k*CONVERT(0.9072,"g","ton")</f>
        <v>12.798978447162163</v>
      </c>
      <c r="BM179" s="123" t="s">
        <v>191</v>
      </c>
      <c r="BN179" s="125">
        <f>BN67/293.07*(1/(VLOOKUP($BM179,'Fuel economy adjusted factor'!$A$2:$L$52,5,FALSE)*m2k))</f>
        <v>65.656283771732888</v>
      </c>
      <c r="BO179" s="125">
        <f>BO67/293.07*(1/(VLOOKUP($BM179,'Fuel economy adjusted factor'!$A$2:$L$52,5,FALSE)*m2k))</f>
        <v>65.656283771732888</v>
      </c>
      <c r="BP179" s="125">
        <f>BP67/293.07*(1/(VLOOKUP($BM179,'Fuel economy adjusted factor'!$A$2:$L$52,5,FALSE)*m2k))</f>
        <v>51.755028846565921</v>
      </c>
      <c r="BQ179" s="125">
        <f>BQ67/293.07*(1/(VLOOKUP($BM179,'Fuel economy adjusted factor'!$A$2:$L$52,5,FALSE)*m2k))</f>
        <v>51.755028846565921</v>
      </c>
      <c r="BR179" s="125">
        <f>BR67/293.07*(1/(VLOOKUP($BM179,'Fuel economy adjusted factor'!$A$2:$L$52,5,FALSE)*m2k))</f>
        <v>51.755028846565921</v>
      </c>
      <c r="BS179" s="125">
        <f>BS67/293.07*(1/(VLOOKUP($BM179,'Fuel economy adjusted factor'!$A$2:$L$52,5,FALSE)*m2k))</f>
        <v>51.755028846565921</v>
      </c>
      <c r="BT179" s="125">
        <f>BT67/293.07*(1/(VLOOKUP($BM179,'Fuel economy adjusted factor'!$A$2:$L$52,5,FALSE)*m2k))</f>
        <v>51.755028846565921</v>
      </c>
      <c r="BU179" s="125">
        <f>BU67/293.07*(1/(VLOOKUP($BM179,'Fuel economy adjusted factor'!$A$2:$L$52,5,FALSE)*m2k))</f>
        <v>2.9235441128927233</v>
      </c>
      <c r="BV179" s="125">
        <f>BV67/293.07*(1/(VLOOKUP($BM179,'Fuel economy adjusted factor'!$A$2:$L$52,5,FALSE)*m2k))</f>
        <v>2.9235441128927233</v>
      </c>
      <c r="BW179" s="125">
        <f>BW67/293.07*(1/(VLOOKUP($BM179,'Fuel economy adjusted factor'!$A$2:$L$52,5,FALSE)*m2k))</f>
        <v>2.9235441128927233</v>
      </c>
      <c r="BX179" s="125">
        <f>BX67/293.07*(1/(VLOOKUP($BM179,'Fuel economy adjusted factor'!$A$2:$L$52,5,FALSE)*m2k))</f>
        <v>2.9235441128927233</v>
      </c>
      <c r="BY179" s="125">
        <f>BY67/293.07*(1/(VLOOKUP($BM179,'Fuel economy adjusted factor'!$A$2:$L$52,5,FALSE)*m2k))</f>
        <v>2.9235441128927233</v>
      </c>
      <c r="BZ179" s="125">
        <f>BZ67/293.07*(1/(VLOOKUP($BM179,'Fuel economy adjusted factor'!$A$2:$L$52,5,FALSE)*m2k))</f>
        <v>3.049026795481403</v>
      </c>
      <c r="CA179" s="125">
        <f>CA67/293.07*(1/(VLOOKUP($BM179,'Fuel economy adjusted factor'!$A$2:$L$52,5,FALSE)*m2k))</f>
        <v>3.049026795481403</v>
      </c>
      <c r="CB179" s="125">
        <f>CB67/293.07*(1/(VLOOKUP($BM179,'Fuel economy adjusted factor'!$A$2:$L$52,5,FALSE)*m2k))</f>
        <v>3.049026795481403</v>
      </c>
      <c r="CC179" s="125">
        <f>CC67/293.07*(1/(VLOOKUP($BM179,'Fuel economy adjusted factor'!$A$2:$L$52,5,FALSE)*m2k))</f>
        <v>3.049026795481403</v>
      </c>
      <c r="CD179" s="125">
        <f>CD67/293.07*(1/(VLOOKUP($BM179,'Fuel economy adjusted factor'!$A$2:$L$52,5,FALSE)*m2k))</f>
        <v>3.049026795481403</v>
      </c>
      <c r="CE179" s="125">
        <f>CE67/293.07*(1/(VLOOKUP($BM179,'Fuel economy adjusted factor'!$A$2:$L$52,5,FALSE)*m2k))</f>
        <v>3.0915289944227307</v>
      </c>
      <c r="CF179" s="125">
        <f>CF67/293.07*(1/(VLOOKUP($BM179,'Fuel economy adjusted factor'!$A$2:$L$52,5,FALSE)*m2k))</f>
        <v>3.0915289944227307</v>
      </c>
      <c r="CG179" s="125">
        <f>CG67/293.07*(1/(VLOOKUP($BM179,'Fuel economy adjusted factor'!$A$2:$L$52,5,FALSE)*m2k))</f>
        <v>3.0915289944227307</v>
      </c>
      <c r="CH179" s="125">
        <f>CH67/293.07*(1/(VLOOKUP($BM179,'Fuel economy adjusted factor'!$A$2:$L$52,5,FALSE)*m2k))</f>
        <v>3.0915289944227307</v>
      </c>
      <c r="CI179" s="125">
        <f>CI67/293.07*(1/(VLOOKUP($BM179,'Fuel economy adjusted factor'!$A$2:$L$52,5,FALSE)*m2k))</f>
        <v>3.0915289944227307</v>
      </c>
      <c r="CJ179" s="125">
        <f>CJ67/293.07*(1/(VLOOKUP($BM179,'Fuel economy adjusted factor'!$A$2:$L$52,5,FALSE)*m2k))</f>
        <v>3.2003143845701754</v>
      </c>
      <c r="CK179" s="125">
        <f>CK67/293.07*(1/(VLOOKUP($BM179,'Fuel economy adjusted factor'!$A$2:$L$52,5,FALSE)*m2k))</f>
        <v>3.2003143845701754</v>
      </c>
      <c r="CL179" s="125">
        <f>CL67/293.07*(1/(VLOOKUP($BM179,'Fuel economy adjusted factor'!$A$2:$L$52,5,FALSE)*m2k))</f>
        <v>3.2003143845701754</v>
      </c>
      <c r="CM179" s="125">
        <f>CM67/293.07*(1/(VLOOKUP($BM179,'Fuel economy adjusted factor'!$A$2:$L$52,5,FALSE)*m2k))</f>
        <v>3.2003143845701754</v>
      </c>
      <c r="CN179" s="125">
        <f>CN67/293.07*(1/(VLOOKUP($BM179,'Fuel economy adjusted factor'!$A$2:$L$52,5,FALSE)*m2k))</f>
        <v>3.2003143845701754</v>
      </c>
      <c r="CO179" s="125">
        <f>CO67/293.07*(1/(VLOOKUP($BM179,'Fuel economy adjusted factor'!$A$2:$L$52,5,FALSE)*m2k))</f>
        <v>3.3379405525706631</v>
      </c>
      <c r="CP179" s="98" cm="1">
        <f t="array" ref="CP179">SUMPRODUCT(INDEX(BN179:CO179,,'TCO Inputs'!$AZ$12-2023+_xlfn.SEQUENCE('TCO Inputs'!$AZ$13))*INDEX('VKT US'!C69:AA69,,_xlfn.SEQUENCE('TCO Inputs'!$AZ$13)))*m2k*CONVERT(0.9072,"g","ton")</f>
        <v>8.2373455696693991</v>
      </c>
      <c r="CQ179" s="194"/>
      <c r="CR179" s="123" t="s">
        <v>191</v>
      </c>
      <c r="CS179" s="125">
        <f>CS67/293.07*(1/(VLOOKUP($BM179,'Fuel economy adjusted factor'!$A$2:$L$52,5,FALSE)*m2k))/'TCO Inputs'!$AZ$84</f>
        <v>77.242686790273993</v>
      </c>
      <c r="CT179" s="125">
        <f>CT67/293.07*(1/(VLOOKUP($BM179,'Fuel economy adjusted factor'!$A$2:$L$52,5,FALSE)*m2k))</f>
        <v>3.0743257234226693</v>
      </c>
      <c r="CU179" s="125">
        <f>CU67/293.07*(1/(VLOOKUP($BM179,'Fuel economy adjusted factor'!$A$2:$L$52,5,FALSE)*m2k))</f>
        <v>3.0743257234226693</v>
      </c>
      <c r="CV179" s="125">
        <f>CV67/293.07*(1/(VLOOKUP($BM179,'Fuel economy adjusted factor'!$A$2:$L$52,5,FALSE)*m2k))</f>
        <v>3.0743257234226693</v>
      </c>
      <c r="CW179" s="125">
        <f>CW67/293.07*(1/(VLOOKUP($BM179,'Fuel economy adjusted factor'!$A$2:$L$52,5,FALSE)*m2k))</f>
        <v>3.0743257234226693</v>
      </c>
      <c r="CX179" s="125">
        <f>CX67/293.07*(1/(VLOOKUP($BM179,'Fuel economy adjusted factor'!$A$2:$L$52,5,FALSE)*m2k))</f>
        <v>3.0743257234226693</v>
      </c>
      <c r="CY179" s="125">
        <f>CY67/293.07*(1/(VLOOKUP($BM179,'Fuel economy adjusted factor'!$A$2:$L$52,5,FALSE)*m2k))</f>
        <v>3.0743257234226693</v>
      </c>
      <c r="CZ179" s="125">
        <f>CZ67/293.07*(1/(VLOOKUP($BM179,'Fuel economy adjusted factor'!$A$2:$L$52,5,FALSE)*m2k))</f>
        <v>3.0743257234226693</v>
      </c>
      <c r="DA179" s="125">
        <f>DA67/293.07*(1/(VLOOKUP($BM179,'Fuel economy adjusted factor'!$A$2:$L$52,5,FALSE)*m2k))</f>
        <v>3.0743257234226693</v>
      </c>
      <c r="DB179" s="125">
        <f>DB67/293.07*(1/(VLOOKUP($BM179,'Fuel economy adjusted factor'!$A$2:$L$52,5,FALSE)*m2k))</f>
        <v>3.0743257234226693</v>
      </c>
      <c r="DC179" s="125">
        <f>DC67/293.07*(1/(VLOOKUP($BM179,'Fuel economy adjusted factor'!$A$2:$L$52,5,FALSE)*m2k))</f>
        <v>3.0743257234226693</v>
      </c>
      <c r="DD179" s="125">
        <f>DD67/293.07*(1/(VLOOKUP($BM179,'Fuel economy adjusted factor'!$A$2:$L$52,5,FALSE)*m2k))</f>
        <v>3.0743257234226693</v>
      </c>
      <c r="DE179" s="125">
        <f>DE67/293.07*(1/(VLOOKUP($BM179,'Fuel economy adjusted factor'!$A$2:$L$52,5,FALSE)*m2k))</f>
        <v>3.1623659926582763</v>
      </c>
      <c r="DF179" s="125">
        <f>DF67/293.07*(1/(VLOOKUP($BM179,'Fuel economy adjusted factor'!$A$2:$L$52,5,FALSE)*m2k))</f>
        <v>3.1623659926582763</v>
      </c>
      <c r="DG179" s="125">
        <f>DG67/293.07*(1/(VLOOKUP($BM179,'Fuel economy adjusted factor'!$A$2:$L$52,5,FALSE)*m2k))</f>
        <v>3.1623659926582763</v>
      </c>
      <c r="DH179" s="125">
        <f>DH67/293.07*(1/(VLOOKUP($BM179,'Fuel economy adjusted factor'!$A$2:$L$52,5,FALSE)*m2k))</f>
        <v>3.1623659926582763</v>
      </c>
      <c r="DI179" s="125">
        <f>DI67/293.07*(1/(VLOOKUP($BM179,'Fuel economy adjusted factor'!$A$2:$L$52,5,FALSE)*m2k))</f>
        <v>3.1623659926582763</v>
      </c>
      <c r="DJ179" s="125">
        <f>DJ67/293.07*(1/(VLOOKUP($BM179,'Fuel economy adjusted factor'!$A$2:$L$52,5,FALSE)*m2k))</f>
        <v>3.326809024276506</v>
      </c>
      <c r="DK179" s="125">
        <f>DK67/293.07*(1/(VLOOKUP($BM179,'Fuel economy adjusted factor'!$A$2:$L$52,5,FALSE)*m2k))</f>
        <v>3.326809024276506</v>
      </c>
      <c r="DL179" s="125">
        <f>DL67/293.07*(1/(VLOOKUP($BM179,'Fuel economy adjusted factor'!$A$2:$L$52,5,FALSE)*m2k))</f>
        <v>3.326809024276506</v>
      </c>
      <c r="DM179" s="125">
        <f>DM67/293.07*(1/(VLOOKUP($BM179,'Fuel economy adjusted factor'!$A$2:$L$52,5,FALSE)*m2k))</f>
        <v>3.326809024276506</v>
      </c>
      <c r="DN179" s="125">
        <f>DN67/293.07*(1/(VLOOKUP($BM179,'Fuel economy adjusted factor'!$A$2:$L$52,5,FALSE)*m2k))</f>
        <v>3.326809024276506</v>
      </c>
      <c r="DO179" s="125">
        <f>DO67/293.07*(1/(VLOOKUP($BM179,'Fuel economy adjusted factor'!$A$2:$L$52,5,FALSE)*m2k))</f>
        <v>3.4355944144239507</v>
      </c>
      <c r="DP179" s="125">
        <f>DP67/293.07*(1/(VLOOKUP($BM179,'Fuel economy adjusted factor'!$A$2:$L$52,5,FALSE)*m2k))</f>
        <v>3.4355944144239507</v>
      </c>
      <c r="DQ179" s="125">
        <f>DQ67/293.07*(1/(VLOOKUP($BM179,'Fuel economy adjusted factor'!$A$2:$L$52,5,FALSE)*m2k))</f>
        <v>3.4355944144239507</v>
      </c>
      <c r="DR179" s="125">
        <f>DR67/293.07*(1/(VLOOKUP($BM179,'Fuel economy adjusted factor'!$A$2:$L$52,5,FALSE)*m2k))</f>
        <v>3.4355944144239507</v>
      </c>
      <c r="DS179" s="125">
        <f>DS67/293.07*(1/(VLOOKUP($BM179,'Fuel economy adjusted factor'!$A$2:$L$52,5,FALSE)*m2k))</f>
        <v>3.4355944144239507</v>
      </c>
      <c r="DT179" s="125">
        <f>DT67/293.07*(1/(VLOOKUP($BM179,'Fuel economy adjusted factor'!$A$2:$L$52,5,FALSE)*m2k))</f>
        <v>3.5737265609832645</v>
      </c>
      <c r="DU179" s="98" cm="1">
        <f t="array" ref="DU179">SUMPRODUCT(INDEX(CS179:DT179,,'TCO Inputs'!$AZ$12-2023+_xlfn.SEQUENCE('TCO Inputs'!$AZ$13))*INDEX('VKT US'!C69:AA69,,_xlfn.SEQUENCE('TCO Inputs'!$AZ$13)))*m2k*CONVERT(0.9072,"g","ton")</f>
        <v>2.4211638973752181</v>
      </c>
      <c r="DW179" s="123" t="s">
        <v>191</v>
      </c>
      <c r="DX179" s="125">
        <f>DX67/293.07*(1/(VLOOKUP($BM179,'Fuel economy adjusted factor'!$A$2:$L$52,5,FALSE)*m2k))/'TCO Inputs'!$AZ$84</f>
        <v>102.05138304674311</v>
      </c>
      <c r="DY179" s="125">
        <f>DY67/293.07*(1/(VLOOKUP($BM179,'Fuel economy adjusted factor'!$A$2:$L$52,5,FALSE)*m2k))/'TCO Inputs'!$AZ$84</f>
        <v>102.05138304674311</v>
      </c>
      <c r="DZ179" s="125">
        <f>DZ67/293.07*(1/(VLOOKUP($BM179,'Fuel economy adjusted factor'!$A$2:$L$52,5,FALSE)*m2k))/'TCO Inputs'!$AZ$84</f>
        <v>89.282527883258112</v>
      </c>
      <c r="EA179" s="125">
        <f>EA67/293.07*(1/(VLOOKUP($BM179,'Fuel economy adjusted factor'!$A$2:$L$52,5,FALSE)*m2k))/'TCO Inputs'!$AZ$84</f>
        <v>89.282527883258112</v>
      </c>
      <c r="EB179" s="125">
        <f>EB67/293.07*(1/(VLOOKUP($BM179,'Fuel economy adjusted factor'!$A$2:$L$52,5,FALSE)*m2k))/'TCO Inputs'!$AZ$84</f>
        <v>89.282527883258112</v>
      </c>
      <c r="EC179" s="125">
        <f>EC67/293.07*(1/(VLOOKUP($BM179,'Fuel economy adjusted factor'!$A$2:$L$52,5,FALSE)*m2k))/'TCO Inputs'!$AZ$84</f>
        <v>89.282527883258112</v>
      </c>
      <c r="ED179" s="125">
        <f>ED67/293.07*(1/(VLOOKUP($BM179,'Fuel economy adjusted factor'!$A$2:$L$52,5,FALSE)*m2k))/'TCO Inputs'!$AZ$84</f>
        <v>89.282527883258112</v>
      </c>
      <c r="EE179" s="125">
        <f>EE67/293.07*(1/(VLOOKUP($BM179,'Fuel economy adjusted factor'!$A$2:$L$52,5,FALSE)*m2k))/'TCO Inputs'!$AZ$84</f>
        <v>55.548159556947674</v>
      </c>
      <c r="EF179" s="125">
        <f>EF67/293.07*(1/(VLOOKUP($BM179,'Fuel economy adjusted factor'!$A$2:$L$52,5,FALSE)*m2k))/'TCO Inputs'!$AZ$84</f>
        <v>55.548159556947674</v>
      </c>
      <c r="EG179" s="125">
        <f>EG67/293.07*(1/(VLOOKUP($BM179,'Fuel economy adjusted factor'!$A$2:$L$52,5,FALSE)*m2k))/'TCO Inputs'!$AZ$84</f>
        <v>55.548159556947674</v>
      </c>
      <c r="EH179" s="125">
        <f>EH67/293.07*(1/(VLOOKUP($BM179,'Fuel economy adjusted factor'!$A$2:$L$52,5,FALSE)*m2k))/'TCO Inputs'!$AZ$84</f>
        <v>55.548159556947674</v>
      </c>
      <c r="EI179" s="125">
        <f>EI67/293.07*(1/(VLOOKUP($BM179,'Fuel economy adjusted factor'!$A$2:$L$52,5,FALSE)*m2k))/'TCO Inputs'!$AZ$84</f>
        <v>55.548159556947674</v>
      </c>
      <c r="EJ179" s="125">
        <f>EJ67/293.07*(1/(VLOOKUP($BM179,'Fuel economy adjusted factor'!$A$2:$L$52,5,FALSE)*m2k))/'TCO Inputs'!$AZ$84</f>
        <v>49.460304978522565</v>
      </c>
      <c r="EK179" s="125">
        <f>EK67/293.07*(1/(VLOOKUP($BM179,'Fuel economy adjusted factor'!$A$2:$L$52,5,FALSE)*m2k))/'TCO Inputs'!$AZ$84</f>
        <v>49.460304978522565</v>
      </c>
      <c r="EL179" s="125">
        <f>EL67/293.07*(1/(VLOOKUP($BM179,'Fuel economy adjusted factor'!$A$2:$L$52,5,FALSE)*m2k))/'TCO Inputs'!$AZ$84</f>
        <v>49.460304978522565</v>
      </c>
      <c r="EM179" s="125">
        <f>EM67/293.07*(1/(VLOOKUP($BM179,'Fuel economy adjusted factor'!$A$2:$L$52,5,FALSE)*m2k))/'TCO Inputs'!$AZ$84</f>
        <v>49.460304978522565</v>
      </c>
      <c r="EN179" s="125">
        <f>EN67/293.07*(1/(VLOOKUP($BM179,'Fuel economy adjusted factor'!$A$2:$L$52,5,FALSE)*m2k))/'TCO Inputs'!$AZ$84</f>
        <v>49.460304978522565</v>
      </c>
      <c r="EO179" s="125">
        <f>EO67/293.07*(1/(VLOOKUP($BM179,'Fuel economy adjusted factor'!$A$2:$L$52,5,FALSE)*m2k))/'TCO Inputs'!$AZ$84</f>
        <v>48.059961490197722</v>
      </c>
      <c r="EP179" s="125">
        <f>EP67/293.07*(1/(VLOOKUP($BM179,'Fuel economy adjusted factor'!$A$2:$L$52,5,FALSE)*m2k))/'TCO Inputs'!$AZ$84</f>
        <v>48.059961490197722</v>
      </c>
      <c r="EQ179" s="125">
        <f>EQ67/293.07*(1/(VLOOKUP($BM179,'Fuel economy adjusted factor'!$A$2:$L$52,5,FALSE)*m2k))/'TCO Inputs'!$AZ$84</f>
        <v>48.059961490197722</v>
      </c>
      <c r="ER179" s="125">
        <f>ER67/293.07*(1/(VLOOKUP($BM179,'Fuel economy adjusted factor'!$A$2:$L$52,5,FALSE)*m2k))/'TCO Inputs'!$AZ$84</f>
        <v>48.059961490197722</v>
      </c>
      <c r="ES179" s="125">
        <f>ES67/293.07*(1/(VLOOKUP($BM179,'Fuel economy adjusted factor'!$A$2:$L$52,5,FALSE)*m2k))/'TCO Inputs'!$AZ$84</f>
        <v>48.059961490197722</v>
      </c>
      <c r="ET179" s="125">
        <f>ET67/293.07*(1/(VLOOKUP($BM179,'Fuel economy adjusted factor'!$A$2:$L$52,5,FALSE)*m2k))/'TCO Inputs'!$AZ$84</f>
        <v>46.359081082350755</v>
      </c>
      <c r="EU179" s="125">
        <f>EU67/293.07*(1/(VLOOKUP($BM179,'Fuel economy adjusted factor'!$A$2:$L$52,5,FALSE)*m2k))/'TCO Inputs'!$AZ$84</f>
        <v>46.359081082350755</v>
      </c>
      <c r="EV179" s="125">
        <f>EV67/293.07*(1/(VLOOKUP($BM179,'Fuel economy adjusted factor'!$A$2:$L$52,5,FALSE)*m2k))/'TCO Inputs'!$AZ$84</f>
        <v>46.359081082350755</v>
      </c>
      <c r="EW179" s="125">
        <f>EW67/293.07*(1/(VLOOKUP($BM179,'Fuel economy adjusted factor'!$A$2:$L$52,5,FALSE)*m2k))/'TCO Inputs'!$AZ$84</f>
        <v>46.359081082350755</v>
      </c>
      <c r="EX179" s="125">
        <f>EX67/293.07*(1/(VLOOKUP($BM179,'Fuel economy adjusted factor'!$A$2:$L$52,5,FALSE)*m2k))/'TCO Inputs'!$AZ$84</f>
        <v>46.359081082350755</v>
      </c>
      <c r="EY179" s="125">
        <f>EY67/293.07*(1/(VLOOKUP($BM179,'Fuel economy adjusted factor'!$A$2:$L$52,5,FALSE)*m2k))/'TCO Inputs'!$AZ$84</f>
        <v>43.648483110353972</v>
      </c>
      <c r="EZ179" s="98" cm="1">
        <f t="array" ref="EZ179">SUMPRODUCT(INDEX(DX179:EY179,,'TCO Inputs'!$AZ$12-2023+_xlfn.SEQUENCE('TCO Inputs'!$AZ$13))*INDEX('VKT US'!C69:AA69,,_xlfn.SEQUENCE('TCO Inputs'!$AZ$13)))*m2k*CONVERT(0.9072,"g","ton")</f>
        <v>19.349662978248997</v>
      </c>
      <c r="FB179" s="123" t="s">
        <v>191</v>
      </c>
      <c r="FC179" s="125">
        <f>FC67/293.07*(1/(VLOOKUP($BM179,'Fuel economy adjusted factor'!$A$2:$L$52,5,FALSE)*m2k))/'TCO Inputs'!$AZ$84</f>
        <v>110.31867082573142</v>
      </c>
      <c r="FD179" s="125">
        <f>FD67/293.07*(1/(VLOOKUP($BM179,'Fuel economy adjusted factor'!$A$2:$L$52,5,FALSE)*m2k))/'TCO Inputs'!$AZ$84</f>
        <v>110.31867082573142</v>
      </c>
      <c r="FE179" s="125">
        <f>FE67/293.07*(1/(VLOOKUP($BM179,'Fuel economy adjusted factor'!$A$2:$L$52,5,FALSE)*m2k))/'TCO Inputs'!$AZ$84</f>
        <v>96.179742079484967</v>
      </c>
      <c r="FF179" s="125">
        <f>FF67/293.07*(1/(VLOOKUP($BM179,'Fuel economy adjusted factor'!$A$2:$L$52,5,FALSE)*m2k))/'TCO Inputs'!$AZ$84</f>
        <v>96.179742079484967</v>
      </c>
      <c r="FG179" s="125">
        <f>FG67/293.07*(1/(VLOOKUP($BM179,'Fuel economy adjusted factor'!$A$2:$L$52,5,FALSE)*m2k))/'TCO Inputs'!$AZ$84</f>
        <v>96.179742079484967</v>
      </c>
      <c r="FH179" s="125">
        <f>FH67/293.07*(1/(VLOOKUP($BM179,'Fuel economy adjusted factor'!$A$2:$L$52,5,FALSE)*m2k))/'TCO Inputs'!$AZ$84</f>
        <v>96.179742079484967</v>
      </c>
      <c r="FI179" s="125">
        <f>FI67/293.07*(1/(VLOOKUP($BM179,'Fuel economy adjusted factor'!$A$2:$L$52,5,FALSE)*m2k))/'TCO Inputs'!$AZ$84</f>
        <v>96.179742079484967</v>
      </c>
      <c r="FJ179" s="125">
        <f>FJ67/293.07*(1/(VLOOKUP($BM179,'Fuel economy adjusted factor'!$A$2:$L$52,5,FALSE)*m2k))/'TCO Inputs'!$AZ$84</f>
        <v>60.834582349980487</v>
      </c>
      <c r="FK179" s="125">
        <f>FK67/293.07*(1/(VLOOKUP($BM179,'Fuel economy adjusted factor'!$A$2:$L$52,5,FALSE)*m2k))/'TCO Inputs'!$AZ$84</f>
        <v>60.834582349980487</v>
      </c>
      <c r="FL179" s="125">
        <f>FL67/293.07*(1/(VLOOKUP($BM179,'Fuel economy adjusted factor'!$A$2:$L$52,5,FALSE)*m2k))/'TCO Inputs'!$AZ$84</f>
        <v>60.834582349980487</v>
      </c>
      <c r="FM179" s="125">
        <f>FM67/293.07*(1/(VLOOKUP($BM179,'Fuel economy adjusted factor'!$A$2:$L$52,5,FALSE)*m2k))/'TCO Inputs'!$AZ$84</f>
        <v>60.834582349980487</v>
      </c>
      <c r="FN179" s="125">
        <f>FN67/293.07*(1/(VLOOKUP($BM179,'Fuel economy adjusted factor'!$A$2:$L$52,5,FALSE)*m2k))/'TCO Inputs'!$AZ$84</f>
        <v>60.834582349980487</v>
      </c>
      <c r="FO179" s="125">
        <f>FO67/293.07*(1/(VLOOKUP($BM179,'Fuel economy adjusted factor'!$A$2:$L$52,5,FALSE)*m2k))/'TCO Inputs'!$AZ$84</f>
        <v>53.88187332688743</v>
      </c>
      <c r="FP179" s="125">
        <f>FP67/293.07*(1/(VLOOKUP($BM179,'Fuel economy adjusted factor'!$A$2:$L$52,5,FALSE)*m2k))/'TCO Inputs'!$AZ$84</f>
        <v>53.88187332688743</v>
      </c>
      <c r="FQ179" s="125">
        <f>FQ67/293.07*(1/(VLOOKUP($BM179,'Fuel economy adjusted factor'!$A$2:$L$52,5,FALSE)*m2k))/'TCO Inputs'!$AZ$84</f>
        <v>53.88187332688743</v>
      </c>
      <c r="FR179" s="125">
        <f>FR67/293.07*(1/(VLOOKUP($BM179,'Fuel economy adjusted factor'!$A$2:$L$52,5,FALSE)*m2k))/'TCO Inputs'!$AZ$84</f>
        <v>53.88187332688743</v>
      </c>
      <c r="FS179" s="125">
        <f>FS67/293.07*(1/(VLOOKUP($BM179,'Fuel economy adjusted factor'!$A$2:$L$52,5,FALSE)*m2k))/'TCO Inputs'!$AZ$84</f>
        <v>53.88187332688743</v>
      </c>
      <c r="FT179" s="125">
        <f>FT67/293.07*(1/(VLOOKUP($BM179,'Fuel economy adjusted factor'!$A$2:$L$52,5,FALSE)*m2k))/'TCO Inputs'!$AZ$84</f>
        <v>52.651617879347278</v>
      </c>
      <c r="FU179" s="125">
        <f>FU67/293.07*(1/(VLOOKUP($BM179,'Fuel economy adjusted factor'!$A$2:$L$52,5,FALSE)*m2k))/'TCO Inputs'!$AZ$84</f>
        <v>52.651617879347278</v>
      </c>
      <c r="FV179" s="125">
        <f>FV67/293.07*(1/(VLOOKUP($BM179,'Fuel economy adjusted factor'!$A$2:$L$52,5,FALSE)*m2k))/'TCO Inputs'!$AZ$84</f>
        <v>52.651617879347278</v>
      </c>
      <c r="FW179" s="125">
        <f>FW67/293.07*(1/(VLOOKUP($BM179,'Fuel economy adjusted factor'!$A$2:$L$52,5,FALSE)*m2k))/'TCO Inputs'!$AZ$84</f>
        <v>52.651617879347278</v>
      </c>
      <c r="FX179" s="125">
        <f>FX67/293.07*(1/(VLOOKUP($BM179,'Fuel economy adjusted factor'!$A$2:$L$52,5,FALSE)*m2k))/'TCO Inputs'!$AZ$84</f>
        <v>52.651617879347278</v>
      </c>
      <c r="FY179" s="125">
        <f>FY67/293.07*(1/(VLOOKUP($BM179,'Fuel economy adjusted factor'!$A$2:$L$52,5,FALSE)*m2k))/'TCO Inputs'!$AZ$84</f>
        <v>50.947854623351425</v>
      </c>
      <c r="FZ179" s="125">
        <f>FZ67/293.07*(1/(VLOOKUP($BM179,'Fuel economy adjusted factor'!$A$2:$L$52,5,FALSE)*m2k))/'TCO Inputs'!$AZ$84</f>
        <v>50.947854623351425</v>
      </c>
      <c r="GA179" s="125">
        <f>GA67/293.07*(1/(VLOOKUP($BM179,'Fuel economy adjusted factor'!$A$2:$L$52,5,FALSE)*m2k))/'TCO Inputs'!$AZ$84</f>
        <v>50.947854623351425</v>
      </c>
      <c r="GB179" s="125">
        <f>GB67/293.07*(1/(VLOOKUP($BM179,'Fuel economy adjusted factor'!$A$2:$L$52,5,FALSE)*m2k))/'TCO Inputs'!$AZ$84</f>
        <v>50.947854623351425</v>
      </c>
      <c r="GC179" s="125">
        <f>GC67/293.07*(1/(VLOOKUP($BM179,'Fuel economy adjusted factor'!$A$2:$L$52,5,FALSE)*m2k))/'TCO Inputs'!$AZ$84</f>
        <v>50.947854623351425</v>
      </c>
      <c r="GD179" s="125">
        <f>GD67/293.07*(1/(VLOOKUP($BM179,'Fuel economy adjusted factor'!$A$2:$L$52,5,FALSE)*m2k))/'TCO Inputs'!$AZ$84</f>
        <v>48.14500551059006</v>
      </c>
      <c r="GE179" s="98" cm="1">
        <f t="array" ref="GE179">SUMPRODUCT(INDEX(FC179:GD179,,'TCO Inputs'!$AZ$12-2023+_xlfn.SEQUENCE('TCO Inputs'!$AZ$13))*INDEX('VKT US'!C69:AA69,,_xlfn.SEQUENCE('TCO Inputs'!$AZ$13)))*m2k*CONVERT(0.9072,"g","ton")</f>
        <v>20.963620554553188</v>
      </c>
      <c r="GH179" s="123" t="s">
        <v>191</v>
      </c>
      <c r="GI179" s="125">
        <f>GI67/293.07*(1/(VLOOKUP($GH179,'Fuel economy adjusted factor'!$A$2:$L$52,5,FALSE)*m2k))/'TCO Inputs'!$AZ$84</f>
        <v>194.20647625501411</v>
      </c>
      <c r="GJ179" s="125">
        <f>GJ67/293.07*(1/(VLOOKUP($GH179,'Fuel economy adjusted factor'!$A$2:$L$52,5,FALSE)*m2k))/'TCO Inputs'!$AZ$84</f>
        <v>194.20647625501411</v>
      </c>
      <c r="GK179" s="125">
        <f>GK67/293.07*(1/(VLOOKUP($GH179,'Fuel economy adjusted factor'!$A$2:$L$52,5,FALSE)*m2k))/'TCO Inputs'!$AZ$84</f>
        <v>194.20647625501411</v>
      </c>
      <c r="GL179" s="125">
        <f>GL67/293.07*(1/(VLOOKUP($GH179,'Fuel economy adjusted factor'!$A$2:$L$52,5,FALSE)*m2k))/'TCO Inputs'!$AZ$84</f>
        <v>194.20647625501411</v>
      </c>
      <c r="GM179" s="125">
        <f>GM67/293.07*(1/(VLOOKUP($GH179,'Fuel economy adjusted factor'!$A$2:$L$52,5,FALSE)*m2k))/'TCO Inputs'!$AZ$84</f>
        <v>194.20647625501411</v>
      </c>
      <c r="GN179" s="125">
        <f>GN67/293.07*(1/(VLOOKUP($GH179,'Fuel economy adjusted factor'!$A$2:$L$52,5,FALSE)*m2k))/'TCO Inputs'!$AZ$84</f>
        <v>194.20647625501411</v>
      </c>
      <c r="GO179" s="125">
        <f>GO67/293.07*(1/(VLOOKUP($GH179,'Fuel economy adjusted factor'!$A$2:$L$52,5,FALSE)*m2k))/'TCO Inputs'!$AZ$84</f>
        <v>194.20647625501411</v>
      </c>
      <c r="GP179" s="125">
        <f>GP67/293.07*(1/(VLOOKUP($GH179,'Fuel economy adjusted factor'!$A$2:$L$52,5,FALSE)*m2k))/'TCO Inputs'!$AZ$84</f>
        <v>194.20647625501411</v>
      </c>
      <c r="GQ179" s="125">
        <f>GQ67/293.07*(1/(VLOOKUP($GH179,'Fuel economy adjusted factor'!$A$2:$L$52,5,FALSE)*m2k))/'TCO Inputs'!$AZ$84</f>
        <v>194.20647625501411</v>
      </c>
      <c r="GR179" s="125">
        <f>GR67/293.07*(1/(VLOOKUP($GH179,'Fuel economy adjusted factor'!$A$2:$L$52,5,FALSE)*m2k))/'TCO Inputs'!$AZ$84</f>
        <v>194.20647625501411</v>
      </c>
      <c r="GS179" s="125">
        <f>GS67/293.07*(1/(VLOOKUP($GH179,'Fuel economy adjusted factor'!$A$2:$L$52,5,FALSE)*m2k))/'TCO Inputs'!$AZ$84</f>
        <v>194.20647625501411</v>
      </c>
      <c r="GT179" s="125">
        <f>GT67/293.07*(1/(VLOOKUP($GH179,'Fuel economy adjusted factor'!$A$2:$L$52,5,FALSE)*m2k))/'TCO Inputs'!$AZ$84</f>
        <v>194.20647625501411</v>
      </c>
      <c r="GU179" s="125">
        <f>GU67/293.07*(1/(VLOOKUP($GH179,'Fuel economy adjusted factor'!$A$2:$L$52,5,FALSE)*m2k))/'TCO Inputs'!$AZ$84</f>
        <v>194.20647625501411</v>
      </c>
      <c r="GV179" s="125">
        <f>GV67/293.07*(1/(VLOOKUP($GH179,'Fuel economy adjusted factor'!$A$2:$L$52,5,FALSE)*m2k))/'TCO Inputs'!$AZ$84</f>
        <v>194.20647625501411</v>
      </c>
      <c r="GW179" s="125">
        <f>GW67/293.07*(1/(VLOOKUP($GH179,'Fuel economy adjusted factor'!$A$2:$L$52,5,FALSE)*m2k))/'TCO Inputs'!$AZ$84</f>
        <v>194.20647625501411</v>
      </c>
      <c r="GX179" s="125">
        <f>GX67/293.07*(1/(VLOOKUP($GH179,'Fuel economy adjusted factor'!$A$2:$L$52,5,FALSE)*m2k))/'TCO Inputs'!$AZ$84</f>
        <v>194.20647625501411</v>
      </c>
      <c r="GY179" s="125">
        <f>GY67/293.07*(1/(VLOOKUP($GH179,'Fuel economy adjusted factor'!$A$2:$L$52,5,FALSE)*m2k))/'TCO Inputs'!$AZ$84</f>
        <v>194.20647625501411</v>
      </c>
      <c r="GZ179" s="125">
        <f>GZ67/293.07*(1/(VLOOKUP($GH179,'Fuel economy adjusted factor'!$A$2:$L$52,5,FALSE)*m2k))/'TCO Inputs'!$AZ$84</f>
        <v>194.20647625501411</v>
      </c>
      <c r="HA179" s="125">
        <f>HA67/293.07*(1/(VLOOKUP($GH179,'Fuel economy adjusted factor'!$A$2:$L$52,5,FALSE)*m2k))/'TCO Inputs'!$AZ$84</f>
        <v>194.20647625501411</v>
      </c>
      <c r="HB179" s="125">
        <f>HB67/293.07*(1/(VLOOKUP($GH179,'Fuel economy adjusted factor'!$A$2:$L$52,5,FALSE)*m2k))/'TCO Inputs'!$AZ$84</f>
        <v>194.20647625501411</v>
      </c>
      <c r="HC179" s="125">
        <f>HC67/293.07*(1/(VLOOKUP($GH179,'Fuel economy adjusted factor'!$A$2:$L$52,5,FALSE)*m2k))/'TCO Inputs'!$AZ$84</f>
        <v>194.20647625501411</v>
      </c>
      <c r="HD179" s="125">
        <f>HD67/293.07*(1/(VLOOKUP($GH179,'Fuel economy adjusted factor'!$A$2:$L$52,5,FALSE)*m2k))/'TCO Inputs'!$AZ$84</f>
        <v>194.20647625501411</v>
      </c>
      <c r="HE179" s="125">
        <f>HE67/293.07*(1/(VLOOKUP($GH179,'Fuel economy adjusted factor'!$A$2:$L$52,5,FALSE)*m2k))/'TCO Inputs'!$AZ$84</f>
        <v>194.20647625501411</v>
      </c>
      <c r="HF179" s="125">
        <f>HF67/293.07*(1/(VLOOKUP($GH179,'Fuel economy adjusted factor'!$A$2:$L$52,5,FALSE)*m2k))/'TCO Inputs'!$AZ$84</f>
        <v>194.20647625501411</v>
      </c>
      <c r="HG179" s="125">
        <f>HG67/293.07*(1/(VLOOKUP($GH179,'Fuel economy adjusted factor'!$A$2:$L$52,5,FALSE)*m2k))/'TCO Inputs'!$AZ$84</f>
        <v>194.20647625501411</v>
      </c>
      <c r="HH179" s="125">
        <f>HH67/293.07*(1/(VLOOKUP($GH179,'Fuel economy adjusted factor'!$A$2:$L$52,5,FALSE)*m2k))/'TCO Inputs'!$AZ$84</f>
        <v>194.20647625501411</v>
      </c>
      <c r="HI179" s="125">
        <f>HI67/293.07*(1/(VLOOKUP($GH179,'Fuel economy adjusted factor'!$A$2:$L$52,5,FALSE)*m2k))/'TCO Inputs'!$AZ$84</f>
        <v>194.20647625501411</v>
      </c>
      <c r="HJ179" s="125">
        <f>HJ67/293.07*(1/(VLOOKUP($GH179,'Fuel economy adjusted factor'!$A$2:$L$52,5,FALSE)*m2k))/'TCO Inputs'!$AZ$84</f>
        <v>194.20647625501411</v>
      </c>
      <c r="HK179" s="98" cm="1">
        <f t="array" ref="HK179">SUMPRODUCT(INDEX(GI179:HJ179,,'TCO Inputs'!$AZ$12-2023+_xlfn.SEQUENCE('TCO Inputs'!$AZ$13))*INDEX('VKT US'!C69:AA69,,_xlfn.SEQUENCE('TCO Inputs'!$AZ$13)))*m2k*CONVERT(0.9072,"g","ton")</f>
        <v>49.74704783588367</v>
      </c>
    </row>
    <row r="180" spans="26:219" x14ac:dyDescent="0.25">
      <c r="Z180" s="123" t="s">
        <v>192</v>
      </c>
      <c r="AA180" s="125">
        <f>AA68/293.07*(1/(VLOOKUP($Z180,'Fuel economy adjusted factor'!$A$2:$L$52,5,FALSE)*m2k))/'TCO Inputs'!$AZ$84</f>
        <v>115.37945831803361</v>
      </c>
      <c r="AB180" s="125">
        <f>AB68/293.07*(1/(VLOOKUP($Z180,'Fuel economy adjusted factor'!$A$2:$L$52,5,FALSE)*m2k))/'TCO Inputs'!$AZ$84</f>
        <v>115.37945831803361</v>
      </c>
      <c r="AC180" s="125">
        <f>AC68/293.07*(1/(VLOOKUP($Z180,'Fuel economy adjusted factor'!$A$2:$L$52,5,FALSE)*m2k))/'TCO Inputs'!$AZ$84</f>
        <v>101.34303651943095</v>
      </c>
      <c r="AD180" s="125">
        <f>AD68/293.07*(1/(VLOOKUP($Z180,'Fuel economy adjusted factor'!$A$2:$L$52,5,FALSE)*m2k))/'TCO Inputs'!$AZ$84</f>
        <v>101.34303651943095</v>
      </c>
      <c r="AE180" s="125">
        <f>AE68/293.07*(1/(VLOOKUP($Z180,'Fuel economy adjusted factor'!$A$2:$L$52,5,FALSE)*m2k))/'TCO Inputs'!$AZ$84</f>
        <v>101.34303651943095</v>
      </c>
      <c r="AF180" s="125">
        <f>AF68/293.07*(1/(VLOOKUP($Z180,'Fuel economy adjusted factor'!$A$2:$L$52,5,FALSE)*m2k))/'TCO Inputs'!$AZ$84</f>
        <v>101.34303651943095</v>
      </c>
      <c r="AG180" s="125">
        <f>AG68/293.07*(1/(VLOOKUP($Z180,'Fuel economy adjusted factor'!$A$2:$L$52,5,FALSE)*m2k))/'TCO Inputs'!$AZ$84</f>
        <v>101.34303651943095</v>
      </c>
      <c r="AH180" s="125">
        <f>AH68/293.07*(1/(VLOOKUP($Z180,'Fuel economy adjusted factor'!$A$2:$L$52,5,FALSE)*m2k))/'TCO Inputs'!$AZ$84</f>
        <v>38.31518128237596</v>
      </c>
      <c r="AI180" s="125">
        <f>AI68/293.07*(1/(VLOOKUP($Z180,'Fuel economy adjusted factor'!$A$2:$L$52,5,FALSE)*m2k))/'TCO Inputs'!$AZ$84</f>
        <v>38.31518128237596</v>
      </c>
      <c r="AJ180" s="125">
        <f>AJ68/293.07*(1/(VLOOKUP($Z180,'Fuel economy adjusted factor'!$A$2:$L$52,5,FALSE)*m2k))/'TCO Inputs'!$AZ$84</f>
        <v>38.31518128237596</v>
      </c>
      <c r="AK180" s="125">
        <f>AK68/293.07*(1/(VLOOKUP($Z180,'Fuel economy adjusted factor'!$A$2:$L$52,5,FALSE)*m2k))/'TCO Inputs'!$AZ$84</f>
        <v>38.31518128237596</v>
      </c>
      <c r="AL180" s="125">
        <f>AL68/293.07*(1/(VLOOKUP($Z180,'Fuel economy adjusted factor'!$A$2:$L$52,5,FALSE)*m2k))/'TCO Inputs'!$AZ$84</f>
        <v>38.31518128237596</v>
      </c>
      <c r="AM180" s="125">
        <f>AM68/293.07*(1/(VLOOKUP($Z180,'Fuel economy adjusted factor'!$A$2:$L$52,5,FALSE)*m2k))/'TCO Inputs'!$AZ$84</f>
        <v>32.203922760787457</v>
      </c>
      <c r="AN180" s="125">
        <f>AN68/293.07*(1/(VLOOKUP($Z180,'Fuel economy adjusted factor'!$A$2:$L$52,5,FALSE)*m2k))/'TCO Inputs'!$AZ$84</f>
        <v>32.203922760787457</v>
      </c>
      <c r="AO180" s="125">
        <f>AO68/293.07*(1/(VLOOKUP($Z180,'Fuel economy adjusted factor'!$A$2:$L$52,5,FALSE)*m2k))/'TCO Inputs'!$AZ$84</f>
        <v>32.203922760787457</v>
      </c>
      <c r="AP180" s="125">
        <f>AP68/293.07*(1/(VLOOKUP($Z180,'Fuel economy adjusted factor'!$A$2:$L$52,5,FALSE)*m2k))/'TCO Inputs'!$AZ$84</f>
        <v>32.203922760787457</v>
      </c>
      <c r="AQ180" s="125">
        <f>AQ68/293.07*(1/(VLOOKUP($Z180,'Fuel economy adjusted factor'!$A$2:$L$52,5,FALSE)*m2k))/'TCO Inputs'!$AZ$84</f>
        <v>32.203922760787457</v>
      </c>
      <c r="AR180" s="125">
        <f>AR68/293.07*(1/(VLOOKUP($Z180,'Fuel economy adjusted factor'!$A$2:$L$52,5,FALSE)*m2k))/'TCO Inputs'!$AZ$84</f>
        <v>32.203922760787457</v>
      </c>
      <c r="AS180" s="125">
        <f>AS68/293.07*(1/(VLOOKUP($Z180,'Fuel economy adjusted factor'!$A$2:$L$52,5,FALSE)*m2k))/'TCO Inputs'!$AZ$84</f>
        <v>32.203922760787457</v>
      </c>
      <c r="AT180" s="125">
        <f>AT68/293.07*(1/(VLOOKUP($Z180,'Fuel economy adjusted factor'!$A$2:$L$52,5,FALSE)*m2k))/'TCO Inputs'!$AZ$84</f>
        <v>32.203922760787457</v>
      </c>
      <c r="AU180" s="125">
        <f>AU68/293.07*(1/(VLOOKUP($Z180,'Fuel economy adjusted factor'!$A$2:$L$52,5,FALSE)*m2k))/'TCO Inputs'!$AZ$84</f>
        <v>32.203922760787457</v>
      </c>
      <c r="AV180" s="125">
        <f>AV68/293.07*(1/(VLOOKUP($Z180,'Fuel economy adjusted factor'!$A$2:$L$52,5,FALSE)*m2k))/'TCO Inputs'!$AZ$84</f>
        <v>32.203922760787457</v>
      </c>
      <c r="AW180" s="125">
        <f>AW68/293.07*(1/(VLOOKUP($Z180,'Fuel economy adjusted factor'!$A$2:$L$52,5,FALSE)*m2k))/'TCO Inputs'!$AZ$84</f>
        <v>32.355970659404022</v>
      </c>
      <c r="AX180" s="125">
        <f>AX68/293.07*(1/(VLOOKUP($Z180,'Fuel economy adjusted factor'!$A$2:$L$52,5,FALSE)*m2k))/'TCO Inputs'!$AZ$84</f>
        <v>32.355970659404022</v>
      </c>
      <c r="AY180" s="125">
        <f>AY68/293.07*(1/(VLOOKUP($Z180,'Fuel economy adjusted factor'!$A$2:$L$52,5,FALSE)*m2k))/'TCO Inputs'!$AZ$84</f>
        <v>32.355970659404022</v>
      </c>
      <c r="AZ180" s="125">
        <f>AZ68/293.07*(1/(VLOOKUP($Z180,'Fuel economy adjusted factor'!$A$2:$L$52,5,FALSE)*m2k))/'TCO Inputs'!$AZ$84</f>
        <v>32.355970659404022</v>
      </c>
      <c r="BA180" s="125">
        <f>BA68/293.07*(1/(VLOOKUP($Z180,'Fuel economy adjusted factor'!$A$2:$L$52,5,FALSE)*m2k))/'TCO Inputs'!$AZ$84</f>
        <v>32.355970659404022</v>
      </c>
      <c r="BB180" s="125">
        <f>BB68/293.07*(1/(VLOOKUP($Z180,'Fuel economy adjusted factor'!$A$2:$L$52,5,FALSE)*m2k))/'TCO Inputs'!$AZ$84</f>
        <v>32.547141993921926</v>
      </c>
      <c r="BC180" s="98" cm="1">
        <f t="array" ref="BC180">SUMPRODUCT(INDEX(AA180:BB180,,'TCO Inputs'!$AZ$12-2023+_xlfn.SEQUENCE('TCO Inputs'!$AZ$13))*INDEX('VKT US'!C70:AA70,,_xlfn.SEQUENCE('TCO Inputs'!$AZ$13)))*m2k*CONVERT(0.9072,"g","ton")</f>
        <v>19.894451435288492</v>
      </c>
      <c r="BM180" s="123" t="s">
        <v>192</v>
      </c>
      <c r="BN180" s="125">
        <f>BN68/293.07*(1/(VLOOKUP($BM180,'Fuel economy adjusted factor'!$A$2:$L$52,5,FALSE)*m2k))</f>
        <v>98.072539570328573</v>
      </c>
      <c r="BO180" s="125">
        <f>BO68/293.07*(1/(VLOOKUP($BM180,'Fuel economy adjusted factor'!$A$2:$L$52,5,FALSE)*m2k))</f>
        <v>98.072539570328573</v>
      </c>
      <c r="BP180" s="125">
        <f>BP68/293.07*(1/(VLOOKUP($BM180,'Fuel economy adjusted factor'!$A$2:$L$52,5,FALSE)*m2k))</f>
        <v>77.307864882593364</v>
      </c>
      <c r="BQ180" s="125">
        <f>BQ68/293.07*(1/(VLOOKUP($BM180,'Fuel economy adjusted factor'!$A$2:$L$52,5,FALSE)*m2k))</f>
        <v>77.307864882593364</v>
      </c>
      <c r="BR180" s="125">
        <f>BR68/293.07*(1/(VLOOKUP($BM180,'Fuel economy adjusted factor'!$A$2:$L$52,5,FALSE)*m2k))</f>
        <v>77.307864882593364</v>
      </c>
      <c r="BS180" s="125">
        <f>BS68/293.07*(1/(VLOOKUP($BM180,'Fuel economy adjusted factor'!$A$2:$L$52,5,FALSE)*m2k))</f>
        <v>77.307864882593364</v>
      </c>
      <c r="BT180" s="125">
        <f>BT68/293.07*(1/(VLOOKUP($BM180,'Fuel economy adjusted factor'!$A$2:$L$52,5,FALSE)*m2k))</f>
        <v>77.307864882593364</v>
      </c>
      <c r="BU180" s="125">
        <f>BU68/293.07*(1/(VLOOKUP($BM180,'Fuel economy adjusted factor'!$A$2:$L$52,5,FALSE)*m2k))</f>
        <v>4.3669756986872672</v>
      </c>
      <c r="BV180" s="125">
        <f>BV68/293.07*(1/(VLOOKUP($BM180,'Fuel economy adjusted factor'!$A$2:$L$52,5,FALSE)*m2k))</f>
        <v>4.3669756986872672</v>
      </c>
      <c r="BW180" s="125">
        <f>BW68/293.07*(1/(VLOOKUP($BM180,'Fuel economy adjusted factor'!$A$2:$L$52,5,FALSE)*m2k))</f>
        <v>4.3669756986872672</v>
      </c>
      <c r="BX180" s="125">
        <f>BX68/293.07*(1/(VLOOKUP($BM180,'Fuel economy adjusted factor'!$A$2:$L$52,5,FALSE)*m2k))</f>
        <v>4.3669756986872672</v>
      </c>
      <c r="BY180" s="125">
        <f>BY68/293.07*(1/(VLOOKUP($BM180,'Fuel economy adjusted factor'!$A$2:$L$52,5,FALSE)*m2k))</f>
        <v>4.3669756986872672</v>
      </c>
      <c r="BZ180" s="125">
        <f>BZ68/293.07*(1/(VLOOKUP($BM180,'Fuel economy adjusted factor'!$A$2:$L$52,5,FALSE)*m2k))</f>
        <v>4.5544125234145847</v>
      </c>
      <c r="CA180" s="125">
        <f>CA68/293.07*(1/(VLOOKUP($BM180,'Fuel economy adjusted factor'!$A$2:$L$52,5,FALSE)*m2k))</f>
        <v>4.5544125234145847</v>
      </c>
      <c r="CB180" s="125">
        <f>CB68/293.07*(1/(VLOOKUP($BM180,'Fuel economy adjusted factor'!$A$2:$L$52,5,FALSE)*m2k))</f>
        <v>4.5544125234145847</v>
      </c>
      <c r="CC180" s="125">
        <f>CC68/293.07*(1/(VLOOKUP($BM180,'Fuel economy adjusted factor'!$A$2:$L$52,5,FALSE)*m2k))</f>
        <v>4.5544125234145847</v>
      </c>
      <c r="CD180" s="125">
        <f>CD68/293.07*(1/(VLOOKUP($BM180,'Fuel economy adjusted factor'!$A$2:$L$52,5,FALSE)*m2k))</f>
        <v>4.5544125234145847</v>
      </c>
      <c r="CE180" s="125">
        <f>CE68/293.07*(1/(VLOOKUP($BM180,'Fuel economy adjusted factor'!$A$2:$L$52,5,FALSE)*m2k))</f>
        <v>4.6178991898544828</v>
      </c>
      <c r="CF180" s="125">
        <f>CF68/293.07*(1/(VLOOKUP($BM180,'Fuel economy adjusted factor'!$A$2:$L$52,5,FALSE)*m2k))</f>
        <v>4.6178991898544828</v>
      </c>
      <c r="CG180" s="125">
        <f>CG68/293.07*(1/(VLOOKUP($BM180,'Fuel economy adjusted factor'!$A$2:$L$52,5,FALSE)*m2k))</f>
        <v>4.6178991898544828</v>
      </c>
      <c r="CH180" s="125">
        <f>CH68/293.07*(1/(VLOOKUP($BM180,'Fuel economy adjusted factor'!$A$2:$L$52,5,FALSE)*m2k))</f>
        <v>4.6178991898544828</v>
      </c>
      <c r="CI180" s="125">
        <f>CI68/293.07*(1/(VLOOKUP($BM180,'Fuel economy adjusted factor'!$A$2:$L$52,5,FALSE)*m2k))</f>
        <v>4.6178991898544828</v>
      </c>
      <c r="CJ180" s="125">
        <f>CJ68/293.07*(1/(VLOOKUP($BM180,'Fuel economy adjusted factor'!$A$2:$L$52,5,FALSE)*m2k))</f>
        <v>4.7803948241946976</v>
      </c>
      <c r="CK180" s="125">
        <f>CK68/293.07*(1/(VLOOKUP($BM180,'Fuel economy adjusted factor'!$A$2:$L$52,5,FALSE)*m2k))</f>
        <v>4.7803948241946976</v>
      </c>
      <c r="CL180" s="125">
        <f>CL68/293.07*(1/(VLOOKUP($BM180,'Fuel economy adjusted factor'!$A$2:$L$52,5,FALSE)*m2k))</f>
        <v>4.7803948241946976</v>
      </c>
      <c r="CM180" s="125">
        <f>CM68/293.07*(1/(VLOOKUP($BM180,'Fuel economy adjusted factor'!$A$2:$L$52,5,FALSE)*m2k))</f>
        <v>4.7803948241946976</v>
      </c>
      <c r="CN180" s="125">
        <f>CN68/293.07*(1/(VLOOKUP($BM180,'Fuel economy adjusted factor'!$A$2:$L$52,5,FALSE)*m2k))</f>
        <v>4.7803948241946976</v>
      </c>
      <c r="CO180" s="125">
        <f>CO68/293.07*(1/(VLOOKUP($BM180,'Fuel economy adjusted factor'!$A$2:$L$52,5,FALSE)*m2k))</f>
        <v>4.9859706964762722</v>
      </c>
      <c r="CP180" s="98" cm="1">
        <f t="array" ref="CP180">SUMPRODUCT(INDEX(BN180:CO180,,'TCO Inputs'!$AZ$12-2023+_xlfn.SEQUENCE('TCO Inputs'!$AZ$13))*INDEX('VKT US'!C70:AA70,,_xlfn.SEQUENCE('TCO Inputs'!$AZ$13)))*m2k*CONVERT(0.9072,"g","ton")</f>
        <v>12.803949320487538</v>
      </c>
      <c r="CQ180" s="194"/>
      <c r="CR180" s="123" t="s">
        <v>192</v>
      </c>
      <c r="CS180" s="125">
        <f>CS68/293.07*(1/(VLOOKUP($BM180,'Fuel economy adjusted factor'!$A$2:$L$52,5,FALSE)*m2k))/'TCO Inputs'!$AZ$84</f>
        <v>115.37945831803361</v>
      </c>
      <c r="CT180" s="125">
        <f>CT68/293.07*(1/(VLOOKUP($BM180,'Fuel economy adjusted factor'!$A$2:$L$52,5,FALSE)*m2k))</f>
        <v>4.5922022058192864</v>
      </c>
      <c r="CU180" s="125">
        <f>CU68/293.07*(1/(VLOOKUP($BM180,'Fuel economy adjusted factor'!$A$2:$L$52,5,FALSE)*m2k))</f>
        <v>4.5922022058192864</v>
      </c>
      <c r="CV180" s="125">
        <f>CV68/293.07*(1/(VLOOKUP($BM180,'Fuel economy adjusted factor'!$A$2:$L$52,5,FALSE)*m2k))</f>
        <v>4.5922022058192864</v>
      </c>
      <c r="CW180" s="125">
        <f>CW68/293.07*(1/(VLOOKUP($BM180,'Fuel economy adjusted factor'!$A$2:$L$52,5,FALSE)*m2k))</f>
        <v>4.5922022058192864</v>
      </c>
      <c r="CX180" s="125">
        <f>CX68/293.07*(1/(VLOOKUP($BM180,'Fuel economy adjusted factor'!$A$2:$L$52,5,FALSE)*m2k))</f>
        <v>4.5922022058192864</v>
      </c>
      <c r="CY180" s="125">
        <f>CY68/293.07*(1/(VLOOKUP($BM180,'Fuel economy adjusted factor'!$A$2:$L$52,5,FALSE)*m2k))</f>
        <v>4.5922022058192864</v>
      </c>
      <c r="CZ180" s="125">
        <f>CZ68/293.07*(1/(VLOOKUP($BM180,'Fuel economy adjusted factor'!$A$2:$L$52,5,FALSE)*m2k))</f>
        <v>4.5922022058192864</v>
      </c>
      <c r="DA180" s="125">
        <f>DA68/293.07*(1/(VLOOKUP($BM180,'Fuel economy adjusted factor'!$A$2:$L$52,5,FALSE)*m2k))</f>
        <v>4.5922022058192864</v>
      </c>
      <c r="DB180" s="125">
        <f>DB68/293.07*(1/(VLOOKUP($BM180,'Fuel economy adjusted factor'!$A$2:$L$52,5,FALSE)*m2k))</f>
        <v>4.5922022058192864</v>
      </c>
      <c r="DC180" s="125">
        <f>DC68/293.07*(1/(VLOOKUP($BM180,'Fuel economy adjusted factor'!$A$2:$L$52,5,FALSE)*m2k))</f>
        <v>4.5922022058192864</v>
      </c>
      <c r="DD180" s="125">
        <f>DD68/293.07*(1/(VLOOKUP($BM180,'Fuel economy adjusted factor'!$A$2:$L$52,5,FALSE)*m2k))</f>
        <v>4.5922022058192864</v>
      </c>
      <c r="DE180" s="125">
        <f>DE68/293.07*(1/(VLOOKUP($BM180,'Fuel economy adjusted factor'!$A$2:$L$52,5,FALSE)*m2k))</f>
        <v>4.723710300587646</v>
      </c>
      <c r="DF180" s="125">
        <f>DF68/293.07*(1/(VLOOKUP($BM180,'Fuel economy adjusted factor'!$A$2:$L$52,5,FALSE)*m2k))</f>
        <v>4.723710300587646</v>
      </c>
      <c r="DG180" s="125">
        <f>DG68/293.07*(1/(VLOOKUP($BM180,'Fuel economy adjusted factor'!$A$2:$L$52,5,FALSE)*m2k))</f>
        <v>4.723710300587646</v>
      </c>
      <c r="DH180" s="125">
        <f>DH68/293.07*(1/(VLOOKUP($BM180,'Fuel economy adjusted factor'!$A$2:$L$52,5,FALSE)*m2k))</f>
        <v>4.723710300587646</v>
      </c>
      <c r="DI180" s="125">
        <f>DI68/293.07*(1/(VLOOKUP($BM180,'Fuel economy adjusted factor'!$A$2:$L$52,5,FALSE)*m2k))</f>
        <v>4.723710300587646</v>
      </c>
      <c r="DJ180" s="125">
        <f>DJ68/293.07*(1/(VLOOKUP($BM180,'Fuel economy adjusted factor'!$A$2:$L$52,5,FALSE)*m2k))</f>
        <v>4.9693432362182035</v>
      </c>
      <c r="DK180" s="125">
        <f>DK68/293.07*(1/(VLOOKUP($BM180,'Fuel economy adjusted factor'!$A$2:$L$52,5,FALSE)*m2k))</f>
        <v>4.9693432362182035</v>
      </c>
      <c r="DL180" s="125">
        <f>DL68/293.07*(1/(VLOOKUP($BM180,'Fuel economy adjusted factor'!$A$2:$L$52,5,FALSE)*m2k))</f>
        <v>4.9693432362182035</v>
      </c>
      <c r="DM180" s="125">
        <f>DM68/293.07*(1/(VLOOKUP($BM180,'Fuel economy adjusted factor'!$A$2:$L$52,5,FALSE)*m2k))</f>
        <v>4.9693432362182035</v>
      </c>
      <c r="DN180" s="125">
        <f>DN68/293.07*(1/(VLOOKUP($BM180,'Fuel economy adjusted factor'!$A$2:$L$52,5,FALSE)*m2k))</f>
        <v>4.9693432362182035</v>
      </c>
      <c r="DO180" s="125">
        <f>DO68/293.07*(1/(VLOOKUP($BM180,'Fuel economy adjusted factor'!$A$2:$L$52,5,FALSE)*m2k))</f>
        <v>5.1318388705584193</v>
      </c>
      <c r="DP180" s="125">
        <f>DP68/293.07*(1/(VLOOKUP($BM180,'Fuel economy adjusted factor'!$A$2:$L$52,5,FALSE)*m2k))</f>
        <v>5.1318388705584193</v>
      </c>
      <c r="DQ180" s="125">
        <f>DQ68/293.07*(1/(VLOOKUP($BM180,'Fuel economy adjusted factor'!$A$2:$L$52,5,FALSE)*m2k))</f>
        <v>5.1318388705584193</v>
      </c>
      <c r="DR180" s="125">
        <f>DR68/293.07*(1/(VLOOKUP($BM180,'Fuel economy adjusted factor'!$A$2:$L$52,5,FALSE)*m2k))</f>
        <v>5.1318388705584193</v>
      </c>
      <c r="DS180" s="125">
        <f>DS68/293.07*(1/(VLOOKUP($BM180,'Fuel economy adjusted factor'!$A$2:$L$52,5,FALSE)*m2k))</f>
        <v>5.1318388705584193</v>
      </c>
      <c r="DT180" s="125">
        <f>DT68/293.07*(1/(VLOOKUP($BM180,'Fuel economy adjusted factor'!$A$2:$L$52,5,FALSE)*m2k))</f>
        <v>5.3381705364880876</v>
      </c>
      <c r="DU180" s="98" cm="1">
        <f t="array" ref="DU180">SUMPRODUCT(INDEX(CS180:DT180,,'TCO Inputs'!$AZ$12-2023+_xlfn.SEQUENCE('TCO Inputs'!$AZ$13))*INDEX('VKT US'!C70:AA70,,_xlfn.SEQUENCE('TCO Inputs'!$AZ$13)))*m2k*CONVERT(0.9072,"g","ton")</f>
        <v>3.7634040694775135</v>
      </c>
      <c r="DW180" s="123" t="s">
        <v>192</v>
      </c>
      <c r="DX180" s="125">
        <f>DX68/293.07*(1/(VLOOKUP($BM180,'Fuel economy adjusted factor'!$A$2:$L$52,5,FALSE)*m2k))/'TCO Inputs'!$AZ$84</f>
        <v>152.43686859973363</v>
      </c>
      <c r="DY180" s="125">
        <f>DY68/293.07*(1/(VLOOKUP($BM180,'Fuel economy adjusted factor'!$A$2:$L$52,5,FALSE)*m2k))/'TCO Inputs'!$AZ$84</f>
        <v>152.43686859973363</v>
      </c>
      <c r="DZ180" s="125">
        <f>DZ68/293.07*(1/(VLOOKUP($BM180,'Fuel economy adjusted factor'!$A$2:$L$52,5,FALSE)*m2k))/'TCO Inputs'!$AZ$84</f>
        <v>133.3636895930988</v>
      </c>
      <c r="EA180" s="125">
        <f>EA68/293.07*(1/(VLOOKUP($BM180,'Fuel economy adjusted factor'!$A$2:$L$52,5,FALSE)*m2k))/'TCO Inputs'!$AZ$84</f>
        <v>133.3636895930988</v>
      </c>
      <c r="EB180" s="125">
        <f>EB68/293.07*(1/(VLOOKUP($BM180,'Fuel economy adjusted factor'!$A$2:$L$52,5,FALSE)*m2k))/'TCO Inputs'!$AZ$84</f>
        <v>133.3636895930988</v>
      </c>
      <c r="EC180" s="125">
        <f>EC68/293.07*(1/(VLOOKUP($BM180,'Fuel economy adjusted factor'!$A$2:$L$52,5,FALSE)*m2k))/'TCO Inputs'!$AZ$84</f>
        <v>133.3636895930988</v>
      </c>
      <c r="ED180" s="125">
        <f>ED68/293.07*(1/(VLOOKUP($BM180,'Fuel economy adjusted factor'!$A$2:$L$52,5,FALSE)*m2k))/'TCO Inputs'!$AZ$84</f>
        <v>133.3636895930988</v>
      </c>
      <c r="EE180" s="125">
        <f>EE68/293.07*(1/(VLOOKUP($BM180,'Fuel economy adjusted factor'!$A$2:$L$52,5,FALSE)*m2k))/'TCO Inputs'!$AZ$84</f>
        <v>82.97376524001659</v>
      </c>
      <c r="EF180" s="125">
        <f>EF68/293.07*(1/(VLOOKUP($BM180,'Fuel economy adjusted factor'!$A$2:$L$52,5,FALSE)*m2k))/'TCO Inputs'!$AZ$84</f>
        <v>82.97376524001659</v>
      </c>
      <c r="EG180" s="125">
        <f>EG68/293.07*(1/(VLOOKUP($BM180,'Fuel economy adjusted factor'!$A$2:$L$52,5,FALSE)*m2k))/'TCO Inputs'!$AZ$84</f>
        <v>82.97376524001659</v>
      </c>
      <c r="EH180" s="125">
        <f>EH68/293.07*(1/(VLOOKUP($BM180,'Fuel economy adjusted factor'!$A$2:$L$52,5,FALSE)*m2k))/'TCO Inputs'!$AZ$84</f>
        <v>82.97376524001659</v>
      </c>
      <c r="EI180" s="125">
        <f>EI68/293.07*(1/(VLOOKUP($BM180,'Fuel economy adjusted factor'!$A$2:$L$52,5,FALSE)*m2k))/'TCO Inputs'!$AZ$84</f>
        <v>82.97376524001659</v>
      </c>
      <c r="EJ180" s="125">
        <f>EJ68/293.07*(1/(VLOOKUP($BM180,'Fuel economy adjusted factor'!$A$2:$L$52,5,FALSE)*m2k))/'TCO Inputs'!$AZ$84</f>
        <v>73.880174729826123</v>
      </c>
      <c r="EK180" s="125">
        <f>EK68/293.07*(1/(VLOOKUP($BM180,'Fuel economy adjusted factor'!$A$2:$L$52,5,FALSE)*m2k))/'TCO Inputs'!$AZ$84</f>
        <v>73.880174729826123</v>
      </c>
      <c r="EL180" s="125">
        <f>EL68/293.07*(1/(VLOOKUP($BM180,'Fuel economy adjusted factor'!$A$2:$L$52,5,FALSE)*m2k))/'TCO Inputs'!$AZ$84</f>
        <v>73.880174729826123</v>
      </c>
      <c r="EM180" s="125">
        <f>EM68/293.07*(1/(VLOOKUP($BM180,'Fuel economy adjusted factor'!$A$2:$L$52,5,FALSE)*m2k))/'TCO Inputs'!$AZ$84</f>
        <v>73.880174729826123</v>
      </c>
      <c r="EN180" s="125">
        <f>EN68/293.07*(1/(VLOOKUP($BM180,'Fuel economy adjusted factor'!$A$2:$L$52,5,FALSE)*m2k))/'TCO Inputs'!$AZ$84</f>
        <v>73.880174729826123</v>
      </c>
      <c r="EO180" s="125">
        <f>EO68/293.07*(1/(VLOOKUP($BM180,'Fuel economy adjusted factor'!$A$2:$L$52,5,FALSE)*m2k))/'TCO Inputs'!$AZ$84</f>
        <v>71.788444368597268</v>
      </c>
      <c r="EP180" s="125">
        <f>EP68/293.07*(1/(VLOOKUP($BM180,'Fuel economy adjusted factor'!$A$2:$L$52,5,FALSE)*m2k))/'TCO Inputs'!$AZ$84</f>
        <v>71.788444368597268</v>
      </c>
      <c r="EQ180" s="125">
        <f>EQ68/293.07*(1/(VLOOKUP($BM180,'Fuel economy adjusted factor'!$A$2:$L$52,5,FALSE)*m2k))/'TCO Inputs'!$AZ$84</f>
        <v>71.788444368597268</v>
      </c>
      <c r="ER180" s="125">
        <f>ER68/293.07*(1/(VLOOKUP($BM180,'Fuel economy adjusted factor'!$A$2:$L$52,5,FALSE)*m2k))/'TCO Inputs'!$AZ$84</f>
        <v>71.788444368597268</v>
      </c>
      <c r="ES180" s="125">
        <f>ES68/293.07*(1/(VLOOKUP($BM180,'Fuel economy adjusted factor'!$A$2:$L$52,5,FALSE)*m2k))/'TCO Inputs'!$AZ$84</f>
        <v>71.788444368597268</v>
      </c>
      <c r="ET180" s="125">
        <f>ET68/293.07*(1/(VLOOKUP($BM180,'Fuel economy adjusted factor'!$A$2:$L$52,5,FALSE)*m2k))/'TCO Inputs'!$AZ$84</f>
        <v>69.247794007042927</v>
      </c>
      <c r="EU180" s="125">
        <f>EU68/293.07*(1/(VLOOKUP($BM180,'Fuel economy adjusted factor'!$A$2:$L$52,5,FALSE)*m2k))/'TCO Inputs'!$AZ$84</f>
        <v>69.247794007042927</v>
      </c>
      <c r="EV180" s="125">
        <f>EV68/293.07*(1/(VLOOKUP($BM180,'Fuel economy adjusted factor'!$A$2:$L$52,5,FALSE)*m2k))/'TCO Inputs'!$AZ$84</f>
        <v>69.247794007042927</v>
      </c>
      <c r="EW180" s="125">
        <f>EW68/293.07*(1/(VLOOKUP($BM180,'Fuel economy adjusted factor'!$A$2:$L$52,5,FALSE)*m2k))/'TCO Inputs'!$AZ$84</f>
        <v>69.247794007042927</v>
      </c>
      <c r="EX180" s="125">
        <f>EX68/293.07*(1/(VLOOKUP($BM180,'Fuel economy adjusted factor'!$A$2:$L$52,5,FALSE)*m2k))/'TCO Inputs'!$AZ$84</f>
        <v>69.247794007042927</v>
      </c>
      <c r="EY180" s="125">
        <f>EY68/293.07*(1/(VLOOKUP($BM180,'Fuel economy adjusted factor'!$A$2:$L$52,5,FALSE)*m2k))/'TCO Inputs'!$AZ$84</f>
        <v>65.198901630006546</v>
      </c>
      <c r="EZ180" s="98" cm="1">
        <f t="array" ref="EZ180">SUMPRODUCT(INDEX(DX180:EY180,,'TCO Inputs'!$AZ$12-2023+_xlfn.SEQUENCE('TCO Inputs'!$AZ$13))*INDEX('VKT US'!C70:AA70,,_xlfn.SEQUENCE('TCO Inputs'!$AZ$13)))*m2k*CONVERT(0.9072,"g","ton")</f>
        <v>30.076691823426501</v>
      </c>
      <c r="FB180" s="123" t="s">
        <v>192</v>
      </c>
      <c r="FC180" s="125">
        <f>FC68/293.07*(1/(VLOOKUP($BM180,'Fuel economy adjusted factor'!$A$2:$L$52,5,FALSE)*m2k))/'TCO Inputs'!$AZ$84</f>
        <v>164.78593652235645</v>
      </c>
      <c r="FD180" s="125">
        <f>FD68/293.07*(1/(VLOOKUP($BM180,'Fuel economy adjusted factor'!$A$2:$L$52,5,FALSE)*m2k))/'TCO Inputs'!$AZ$84</f>
        <v>164.78593652235645</v>
      </c>
      <c r="FE180" s="125">
        <f>FE68/293.07*(1/(VLOOKUP($BM180,'Fuel economy adjusted factor'!$A$2:$L$52,5,FALSE)*m2k))/'TCO Inputs'!$AZ$84</f>
        <v>143.66624211855432</v>
      </c>
      <c r="FF180" s="125">
        <f>FF68/293.07*(1/(VLOOKUP($BM180,'Fuel economy adjusted factor'!$A$2:$L$52,5,FALSE)*m2k))/'TCO Inputs'!$AZ$84</f>
        <v>143.66624211855432</v>
      </c>
      <c r="FG180" s="125">
        <f>FG68/293.07*(1/(VLOOKUP($BM180,'Fuel economy adjusted factor'!$A$2:$L$52,5,FALSE)*m2k))/'TCO Inputs'!$AZ$84</f>
        <v>143.66624211855432</v>
      </c>
      <c r="FH180" s="125">
        <f>FH68/293.07*(1/(VLOOKUP($BM180,'Fuel economy adjusted factor'!$A$2:$L$52,5,FALSE)*m2k))/'TCO Inputs'!$AZ$84</f>
        <v>143.66624211855432</v>
      </c>
      <c r="FI180" s="125">
        <f>FI68/293.07*(1/(VLOOKUP($BM180,'Fuel economy adjusted factor'!$A$2:$L$52,5,FALSE)*m2k))/'TCO Inputs'!$AZ$84</f>
        <v>143.66624211855432</v>
      </c>
      <c r="FJ180" s="125">
        <f>FJ68/293.07*(1/(VLOOKUP($BM180,'Fuel economy adjusted factor'!$A$2:$L$52,5,FALSE)*m2k))/'TCO Inputs'!$AZ$84</f>
        <v>90.870235749339102</v>
      </c>
      <c r="FK180" s="125">
        <f>FK68/293.07*(1/(VLOOKUP($BM180,'Fuel economy adjusted factor'!$A$2:$L$52,5,FALSE)*m2k))/'TCO Inputs'!$AZ$84</f>
        <v>90.870235749339102</v>
      </c>
      <c r="FL180" s="125">
        <f>FL68/293.07*(1/(VLOOKUP($BM180,'Fuel economy adjusted factor'!$A$2:$L$52,5,FALSE)*m2k))/'TCO Inputs'!$AZ$84</f>
        <v>90.870235749339102</v>
      </c>
      <c r="FM180" s="125">
        <f>FM68/293.07*(1/(VLOOKUP($BM180,'Fuel economy adjusted factor'!$A$2:$L$52,5,FALSE)*m2k))/'TCO Inputs'!$AZ$84</f>
        <v>90.870235749339102</v>
      </c>
      <c r="FN180" s="125">
        <f>FN68/293.07*(1/(VLOOKUP($BM180,'Fuel economy adjusted factor'!$A$2:$L$52,5,FALSE)*m2k))/'TCO Inputs'!$AZ$84</f>
        <v>90.870235749339102</v>
      </c>
      <c r="FO180" s="125">
        <f>FO68/293.07*(1/(VLOOKUP($BM180,'Fuel economy adjusted factor'!$A$2:$L$52,5,FALSE)*m2k))/'TCO Inputs'!$AZ$84</f>
        <v>80.484789123104065</v>
      </c>
      <c r="FP180" s="125">
        <f>FP68/293.07*(1/(VLOOKUP($BM180,'Fuel economy adjusted factor'!$A$2:$L$52,5,FALSE)*m2k))/'TCO Inputs'!$AZ$84</f>
        <v>80.484789123104065</v>
      </c>
      <c r="FQ180" s="125">
        <f>FQ68/293.07*(1/(VLOOKUP($BM180,'Fuel economy adjusted factor'!$A$2:$L$52,5,FALSE)*m2k))/'TCO Inputs'!$AZ$84</f>
        <v>80.484789123104065</v>
      </c>
      <c r="FR180" s="125">
        <f>FR68/293.07*(1/(VLOOKUP($BM180,'Fuel economy adjusted factor'!$A$2:$L$52,5,FALSE)*m2k))/'TCO Inputs'!$AZ$84</f>
        <v>80.484789123104065</v>
      </c>
      <c r="FS180" s="125">
        <f>FS68/293.07*(1/(VLOOKUP($BM180,'Fuel economy adjusted factor'!$A$2:$L$52,5,FALSE)*m2k))/'TCO Inputs'!$AZ$84</f>
        <v>80.484789123104065</v>
      </c>
      <c r="FT180" s="125">
        <f>FT68/293.07*(1/(VLOOKUP($BM180,'Fuel economy adjusted factor'!$A$2:$L$52,5,FALSE)*m2k))/'TCO Inputs'!$AZ$84</f>
        <v>78.64712379803062</v>
      </c>
      <c r="FU180" s="125">
        <f>FU68/293.07*(1/(VLOOKUP($BM180,'Fuel economy adjusted factor'!$A$2:$L$52,5,FALSE)*m2k))/'TCO Inputs'!$AZ$84</f>
        <v>78.64712379803062</v>
      </c>
      <c r="FV180" s="125">
        <f>FV68/293.07*(1/(VLOOKUP($BM180,'Fuel economy adjusted factor'!$A$2:$L$52,5,FALSE)*m2k))/'TCO Inputs'!$AZ$84</f>
        <v>78.64712379803062</v>
      </c>
      <c r="FW180" s="125">
        <f>FW68/293.07*(1/(VLOOKUP($BM180,'Fuel economy adjusted factor'!$A$2:$L$52,5,FALSE)*m2k))/'TCO Inputs'!$AZ$84</f>
        <v>78.64712379803062</v>
      </c>
      <c r="FX180" s="125">
        <f>FX68/293.07*(1/(VLOOKUP($BM180,'Fuel economy adjusted factor'!$A$2:$L$52,5,FALSE)*m2k))/'TCO Inputs'!$AZ$84</f>
        <v>78.64712379803062</v>
      </c>
      <c r="FY180" s="125">
        <f>FY68/293.07*(1/(VLOOKUP($BM180,'Fuel economy adjusted factor'!$A$2:$L$52,5,FALSE)*m2k))/'TCO Inputs'!$AZ$84</f>
        <v>76.102167249422806</v>
      </c>
      <c r="FZ180" s="125">
        <f>FZ68/293.07*(1/(VLOOKUP($BM180,'Fuel economy adjusted factor'!$A$2:$L$52,5,FALSE)*m2k))/'TCO Inputs'!$AZ$84</f>
        <v>76.102167249422806</v>
      </c>
      <c r="GA180" s="125">
        <f>GA68/293.07*(1/(VLOOKUP($BM180,'Fuel economy adjusted factor'!$A$2:$L$52,5,FALSE)*m2k))/'TCO Inputs'!$AZ$84</f>
        <v>76.102167249422806</v>
      </c>
      <c r="GB180" s="125">
        <f>GB68/293.07*(1/(VLOOKUP($BM180,'Fuel economy adjusted factor'!$A$2:$L$52,5,FALSE)*m2k))/'TCO Inputs'!$AZ$84</f>
        <v>76.102167249422806</v>
      </c>
      <c r="GC180" s="125">
        <f>GC68/293.07*(1/(VLOOKUP($BM180,'Fuel economy adjusted factor'!$A$2:$L$52,5,FALSE)*m2k))/'TCO Inputs'!$AZ$84</f>
        <v>76.102167249422806</v>
      </c>
      <c r="GD180" s="125">
        <f>GD68/293.07*(1/(VLOOKUP($BM180,'Fuel economy adjusted factor'!$A$2:$L$52,5,FALSE)*m2k))/'TCO Inputs'!$AZ$84</f>
        <v>71.915476886675009</v>
      </c>
      <c r="GE180" s="98" cm="1">
        <f t="array" ref="GE180">SUMPRODUCT(INDEX(FC180:GD180,,'TCO Inputs'!$AZ$12-2023+_xlfn.SEQUENCE('TCO Inputs'!$AZ$13))*INDEX('VKT US'!C70:AA70,,_xlfn.SEQUENCE('TCO Inputs'!$AZ$13)))*m2k*CONVERT(0.9072,"g","ton")</f>
        <v>32.585392088291712</v>
      </c>
      <c r="GH180" s="123" t="s">
        <v>192</v>
      </c>
      <c r="GI180" s="125">
        <f>GI68/293.07*(1/(VLOOKUP($GH180,'Fuel economy adjusted factor'!$A$2:$L$52,5,FALSE)*m2k))/'TCO Inputs'!$AZ$84</f>
        <v>290.09138551844131</v>
      </c>
      <c r="GJ180" s="125">
        <f>GJ68/293.07*(1/(VLOOKUP($GH180,'Fuel economy adjusted factor'!$A$2:$L$52,5,FALSE)*m2k))/'TCO Inputs'!$AZ$84</f>
        <v>290.09138551844131</v>
      </c>
      <c r="GK180" s="125">
        <f>GK68/293.07*(1/(VLOOKUP($GH180,'Fuel economy adjusted factor'!$A$2:$L$52,5,FALSE)*m2k))/'TCO Inputs'!$AZ$84</f>
        <v>290.09138551844131</v>
      </c>
      <c r="GL180" s="125">
        <f>GL68/293.07*(1/(VLOOKUP($GH180,'Fuel economy adjusted factor'!$A$2:$L$52,5,FALSE)*m2k))/'TCO Inputs'!$AZ$84</f>
        <v>290.09138551844131</v>
      </c>
      <c r="GM180" s="125">
        <f>GM68/293.07*(1/(VLOOKUP($GH180,'Fuel economy adjusted factor'!$A$2:$L$52,5,FALSE)*m2k))/'TCO Inputs'!$AZ$84</f>
        <v>290.09138551844131</v>
      </c>
      <c r="GN180" s="125">
        <f>GN68/293.07*(1/(VLOOKUP($GH180,'Fuel economy adjusted factor'!$A$2:$L$52,5,FALSE)*m2k))/'TCO Inputs'!$AZ$84</f>
        <v>290.09138551844131</v>
      </c>
      <c r="GO180" s="125">
        <f>GO68/293.07*(1/(VLOOKUP($GH180,'Fuel economy adjusted factor'!$A$2:$L$52,5,FALSE)*m2k))/'TCO Inputs'!$AZ$84</f>
        <v>290.09138551844131</v>
      </c>
      <c r="GP180" s="125">
        <f>GP68/293.07*(1/(VLOOKUP($GH180,'Fuel economy adjusted factor'!$A$2:$L$52,5,FALSE)*m2k))/'TCO Inputs'!$AZ$84</f>
        <v>290.09138551844131</v>
      </c>
      <c r="GQ180" s="125">
        <f>GQ68/293.07*(1/(VLOOKUP($GH180,'Fuel economy adjusted factor'!$A$2:$L$52,5,FALSE)*m2k))/'TCO Inputs'!$AZ$84</f>
        <v>290.09138551844131</v>
      </c>
      <c r="GR180" s="125">
        <f>GR68/293.07*(1/(VLOOKUP($GH180,'Fuel economy adjusted factor'!$A$2:$L$52,5,FALSE)*m2k))/'TCO Inputs'!$AZ$84</f>
        <v>290.09138551844131</v>
      </c>
      <c r="GS180" s="125">
        <f>GS68/293.07*(1/(VLOOKUP($GH180,'Fuel economy adjusted factor'!$A$2:$L$52,5,FALSE)*m2k))/'TCO Inputs'!$AZ$84</f>
        <v>290.09138551844131</v>
      </c>
      <c r="GT180" s="125">
        <f>GT68/293.07*(1/(VLOOKUP($GH180,'Fuel economy adjusted factor'!$A$2:$L$52,5,FALSE)*m2k))/'TCO Inputs'!$AZ$84</f>
        <v>290.09138551844131</v>
      </c>
      <c r="GU180" s="125">
        <f>GU68/293.07*(1/(VLOOKUP($GH180,'Fuel economy adjusted factor'!$A$2:$L$52,5,FALSE)*m2k))/'TCO Inputs'!$AZ$84</f>
        <v>290.09138551844131</v>
      </c>
      <c r="GV180" s="125">
        <f>GV68/293.07*(1/(VLOOKUP($GH180,'Fuel economy adjusted factor'!$A$2:$L$52,5,FALSE)*m2k))/'TCO Inputs'!$AZ$84</f>
        <v>290.09138551844131</v>
      </c>
      <c r="GW180" s="125">
        <f>GW68/293.07*(1/(VLOOKUP($GH180,'Fuel economy adjusted factor'!$A$2:$L$52,5,FALSE)*m2k))/'TCO Inputs'!$AZ$84</f>
        <v>290.09138551844131</v>
      </c>
      <c r="GX180" s="125">
        <f>GX68/293.07*(1/(VLOOKUP($GH180,'Fuel economy adjusted factor'!$A$2:$L$52,5,FALSE)*m2k))/'TCO Inputs'!$AZ$84</f>
        <v>290.09138551844131</v>
      </c>
      <c r="GY180" s="125">
        <f>GY68/293.07*(1/(VLOOKUP($GH180,'Fuel economy adjusted factor'!$A$2:$L$52,5,FALSE)*m2k))/'TCO Inputs'!$AZ$84</f>
        <v>290.09138551844131</v>
      </c>
      <c r="GZ180" s="125">
        <f>GZ68/293.07*(1/(VLOOKUP($GH180,'Fuel economy adjusted factor'!$A$2:$L$52,5,FALSE)*m2k))/'TCO Inputs'!$AZ$84</f>
        <v>290.09138551844131</v>
      </c>
      <c r="HA180" s="125">
        <f>HA68/293.07*(1/(VLOOKUP($GH180,'Fuel economy adjusted factor'!$A$2:$L$52,5,FALSE)*m2k))/'TCO Inputs'!$AZ$84</f>
        <v>290.09138551844131</v>
      </c>
      <c r="HB180" s="125">
        <f>HB68/293.07*(1/(VLOOKUP($GH180,'Fuel economy adjusted factor'!$A$2:$L$52,5,FALSE)*m2k))/'TCO Inputs'!$AZ$84</f>
        <v>290.09138551844131</v>
      </c>
      <c r="HC180" s="125">
        <f>HC68/293.07*(1/(VLOOKUP($GH180,'Fuel economy adjusted factor'!$A$2:$L$52,5,FALSE)*m2k))/'TCO Inputs'!$AZ$84</f>
        <v>290.09138551844131</v>
      </c>
      <c r="HD180" s="125">
        <f>HD68/293.07*(1/(VLOOKUP($GH180,'Fuel economy adjusted factor'!$A$2:$L$52,5,FALSE)*m2k))/'TCO Inputs'!$AZ$84</f>
        <v>290.09138551844131</v>
      </c>
      <c r="HE180" s="125">
        <f>HE68/293.07*(1/(VLOOKUP($GH180,'Fuel economy adjusted factor'!$A$2:$L$52,5,FALSE)*m2k))/'TCO Inputs'!$AZ$84</f>
        <v>290.09138551844131</v>
      </c>
      <c r="HF180" s="125">
        <f>HF68/293.07*(1/(VLOOKUP($GH180,'Fuel economy adjusted factor'!$A$2:$L$52,5,FALSE)*m2k))/'TCO Inputs'!$AZ$84</f>
        <v>290.09138551844131</v>
      </c>
      <c r="HG180" s="125">
        <f>HG68/293.07*(1/(VLOOKUP($GH180,'Fuel economy adjusted factor'!$A$2:$L$52,5,FALSE)*m2k))/'TCO Inputs'!$AZ$84</f>
        <v>290.09138551844131</v>
      </c>
      <c r="HH180" s="125">
        <f>HH68/293.07*(1/(VLOOKUP($GH180,'Fuel economy adjusted factor'!$A$2:$L$52,5,FALSE)*m2k))/'TCO Inputs'!$AZ$84</f>
        <v>290.09138551844131</v>
      </c>
      <c r="HI180" s="125">
        <f>HI68/293.07*(1/(VLOOKUP($GH180,'Fuel economy adjusted factor'!$A$2:$L$52,5,FALSE)*m2k))/'TCO Inputs'!$AZ$84</f>
        <v>290.09138551844131</v>
      </c>
      <c r="HJ180" s="125">
        <f>HJ68/293.07*(1/(VLOOKUP($GH180,'Fuel economy adjusted factor'!$A$2:$L$52,5,FALSE)*m2k))/'TCO Inputs'!$AZ$84</f>
        <v>290.09138551844131</v>
      </c>
      <c r="HK180" s="98" cm="1">
        <f t="array" ref="HK180">SUMPRODUCT(INDEX(GI180:HJ180,,'TCO Inputs'!$AZ$12-2023+_xlfn.SEQUENCE('TCO Inputs'!$AZ$13))*INDEX('VKT US'!C70:AA70,,_xlfn.SEQUENCE('TCO Inputs'!$AZ$13)))*m2k*CONVERT(0.9072,"g","ton")</f>
        <v>77.325720275698913</v>
      </c>
    </row>
    <row r="181" spans="26:219" x14ac:dyDescent="0.25">
      <c r="Z181" s="123" t="s">
        <v>193</v>
      </c>
      <c r="AA181" s="125">
        <f>AA69/293.07*(1/(VLOOKUP($Z181,'Fuel economy adjusted factor'!$A$2:$L$52,5,FALSE)*m2k))/'TCO Inputs'!$AZ$84</f>
        <v>100.54080141423853</v>
      </c>
      <c r="AB181" s="125">
        <f>AB69/293.07*(1/(VLOOKUP($Z181,'Fuel economy adjusted factor'!$A$2:$L$52,5,FALSE)*m2k))/'TCO Inputs'!$AZ$84</f>
        <v>100.54080141423853</v>
      </c>
      <c r="AC181" s="125">
        <f>AC69/293.07*(1/(VLOOKUP($Z181,'Fuel economy adjusted factor'!$A$2:$L$52,5,FALSE)*m2k))/'TCO Inputs'!$AZ$84</f>
        <v>88.309567907058621</v>
      </c>
      <c r="AD181" s="125">
        <f>AD69/293.07*(1/(VLOOKUP($Z181,'Fuel economy adjusted factor'!$A$2:$L$52,5,FALSE)*m2k))/'TCO Inputs'!$AZ$84</f>
        <v>88.309567907058621</v>
      </c>
      <c r="AE181" s="125">
        <f>AE69/293.07*(1/(VLOOKUP($Z181,'Fuel economy adjusted factor'!$A$2:$L$52,5,FALSE)*m2k))/'TCO Inputs'!$AZ$84</f>
        <v>88.309567907058621</v>
      </c>
      <c r="AF181" s="125">
        <f>AF69/293.07*(1/(VLOOKUP($Z181,'Fuel economy adjusted factor'!$A$2:$L$52,5,FALSE)*m2k))/'TCO Inputs'!$AZ$84</f>
        <v>88.309567907058621</v>
      </c>
      <c r="AG181" s="125">
        <f>AG69/293.07*(1/(VLOOKUP($Z181,'Fuel economy adjusted factor'!$A$2:$L$52,5,FALSE)*m2k))/'TCO Inputs'!$AZ$84</f>
        <v>88.309567907058621</v>
      </c>
      <c r="AH181" s="125">
        <f>AH69/293.07*(1/(VLOOKUP($Z181,'Fuel economy adjusted factor'!$A$2:$L$52,5,FALSE)*m2k))/'TCO Inputs'!$AZ$84</f>
        <v>33.387563857714973</v>
      </c>
      <c r="AI181" s="125">
        <f>AI69/293.07*(1/(VLOOKUP($Z181,'Fuel economy adjusted factor'!$A$2:$L$52,5,FALSE)*m2k))/'TCO Inputs'!$AZ$84</f>
        <v>33.387563857714973</v>
      </c>
      <c r="AJ181" s="125">
        <f>AJ69/293.07*(1/(VLOOKUP($Z181,'Fuel economy adjusted factor'!$A$2:$L$52,5,FALSE)*m2k))/'TCO Inputs'!$AZ$84</f>
        <v>33.387563857714973</v>
      </c>
      <c r="AK181" s="125">
        <f>AK69/293.07*(1/(VLOOKUP($Z181,'Fuel economy adjusted factor'!$A$2:$L$52,5,FALSE)*m2k))/'TCO Inputs'!$AZ$84</f>
        <v>33.387563857714973</v>
      </c>
      <c r="AL181" s="125">
        <f>AL69/293.07*(1/(VLOOKUP($Z181,'Fuel economy adjusted factor'!$A$2:$L$52,5,FALSE)*m2k))/'TCO Inputs'!$AZ$84</f>
        <v>33.387563857714973</v>
      </c>
      <c r="AM181" s="125">
        <f>AM69/293.07*(1/(VLOOKUP($Z181,'Fuel economy adjusted factor'!$A$2:$L$52,5,FALSE)*m2k))/'TCO Inputs'!$AZ$84</f>
        <v>28.062258657230526</v>
      </c>
      <c r="AN181" s="125">
        <f>AN69/293.07*(1/(VLOOKUP($Z181,'Fuel economy adjusted factor'!$A$2:$L$52,5,FALSE)*m2k))/'TCO Inputs'!$AZ$84</f>
        <v>28.062258657230526</v>
      </c>
      <c r="AO181" s="125">
        <f>AO69/293.07*(1/(VLOOKUP($Z181,'Fuel economy adjusted factor'!$A$2:$L$52,5,FALSE)*m2k))/'TCO Inputs'!$AZ$84</f>
        <v>28.062258657230526</v>
      </c>
      <c r="AP181" s="125">
        <f>AP69/293.07*(1/(VLOOKUP($Z181,'Fuel economy adjusted factor'!$A$2:$L$52,5,FALSE)*m2k))/'TCO Inputs'!$AZ$84</f>
        <v>28.062258657230526</v>
      </c>
      <c r="AQ181" s="125">
        <f>AQ69/293.07*(1/(VLOOKUP($Z181,'Fuel economy adjusted factor'!$A$2:$L$52,5,FALSE)*m2k))/'TCO Inputs'!$AZ$84</f>
        <v>28.062258657230526</v>
      </c>
      <c r="AR181" s="125">
        <f>AR69/293.07*(1/(VLOOKUP($Z181,'Fuel economy adjusted factor'!$A$2:$L$52,5,FALSE)*m2k))/'TCO Inputs'!$AZ$84</f>
        <v>28.062258657230526</v>
      </c>
      <c r="AS181" s="125">
        <f>AS69/293.07*(1/(VLOOKUP($Z181,'Fuel economy adjusted factor'!$A$2:$L$52,5,FALSE)*m2k))/'TCO Inputs'!$AZ$84</f>
        <v>28.062258657230526</v>
      </c>
      <c r="AT181" s="125">
        <f>AT69/293.07*(1/(VLOOKUP($Z181,'Fuel economy adjusted factor'!$A$2:$L$52,5,FALSE)*m2k))/'TCO Inputs'!$AZ$84</f>
        <v>28.062258657230526</v>
      </c>
      <c r="AU181" s="125">
        <f>AU69/293.07*(1/(VLOOKUP($Z181,'Fuel economy adjusted factor'!$A$2:$L$52,5,FALSE)*m2k))/'TCO Inputs'!$AZ$84</f>
        <v>28.062258657230526</v>
      </c>
      <c r="AV181" s="125">
        <f>AV69/293.07*(1/(VLOOKUP($Z181,'Fuel economy adjusted factor'!$A$2:$L$52,5,FALSE)*m2k))/'TCO Inputs'!$AZ$84</f>
        <v>28.062258657230526</v>
      </c>
      <c r="AW181" s="125">
        <f>AW69/293.07*(1/(VLOOKUP($Z181,'Fuel economy adjusted factor'!$A$2:$L$52,5,FALSE)*m2k))/'TCO Inputs'!$AZ$84</f>
        <v>28.194752064662925</v>
      </c>
      <c r="AX181" s="125">
        <f>AX69/293.07*(1/(VLOOKUP($Z181,'Fuel economy adjusted factor'!$A$2:$L$52,5,FALSE)*m2k))/'TCO Inputs'!$AZ$84</f>
        <v>28.194752064662925</v>
      </c>
      <c r="AY181" s="125">
        <f>AY69/293.07*(1/(VLOOKUP($Z181,'Fuel economy adjusted factor'!$A$2:$L$52,5,FALSE)*m2k))/'TCO Inputs'!$AZ$84</f>
        <v>28.194752064662925</v>
      </c>
      <c r="AZ181" s="125">
        <f>AZ69/293.07*(1/(VLOOKUP($Z181,'Fuel economy adjusted factor'!$A$2:$L$52,5,FALSE)*m2k))/'TCO Inputs'!$AZ$84</f>
        <v>28.194752064662925</v>
      </c>
      <c r="BA181" s="125">
        <f>BA69/293.07*(1/(VLOOKUP($Z181,'Fuel economy adjusted factor'!$A$2:$L$52,5,FALSE)*m2k))/'TCO Inputs'!$AZ$84</f>
        <v>28.194752064662925</v>
      </c>
      <c r="BB181" s="125">
        <f>BB69/293.07*(1/(VLOOKUP($Z181,'Fuel economy adjusted factor'!$A$2:$L$52,5,FALSE)*m2k))/'TCO Inputs'!$AZ$84</f>
        <v>28.361337343013595</v>
      </c>
      <c r="BC181" s="98" cm="1">
        <f t="array" ref="BC181">SUMPRODUCT(INDEX(AA181:BB181,,'TCO Inputs'!$AZ$12-2023+_xlfn.SEQUENCE('TCO Inputs'!$AZ$13))*INDEX('VKT US'!C71:AA71,,_xlfn.SEQUENCE('TCO Inputs'!$AZ$13)))*m2k*CONVERT(0.9072,"g","ton")</f>
        <v>20.014145502436012</v>
      </c>
      <c r="BM181" s="123" t="s">
        <v>193</v>
      </c>
      <c r="BN181" s="125">
        <f>BN69/293.07*(1/(VLOOKUP($BM181,'Fuel economy adjusted factor'!$A$2:$L$52,5,FALSE)*m2k))</f>
        <v>85.459681202102743</v>
      </c>
      <c r="BO181" s="125">
        <f>BO69/293.07*(1/(VLOOKUP($BM181,'Fuel economy adjusted factor'!$A$2:$L$52,5,FALSE)*m2k))</f>
        <v>85.459681202102743</v>
      </c>
      <c r="BP181" s="125">
        <f>BP69/293.07*(1/(VLOOKUP($BM181,'Fuel economy adjusted factor'!$A$2:$L$52,5,FALSE)*m2k))</f>
        <v>67.365498193752231</v>
      </c>
      <c r="BQ181" s="125">
        <f>BQ69/293.07*(1/(VLOOKUP($BM181,'Fuel economy adjusted factor'!$A$2:$L$52,5,FALSE)*m2k))</f>
        <v>67.365498193752231</v>
      </c>
      <c r="BR181" s="125">
        <f>BR69/293.07*(1/(VLOOKUP($BM181,'Fuel economy adjusted factor'!$A$2:$L$52,5,FALSE)*m2k))</f>
        <v>67.365498193752231</v>
      </c>
      <c r="BS181" s="125">
        <f>BS69/293.07*(1/(VLOOKUP($BM181,'Fuel economy adjusted factor'!$A$2:$L$52,5,FALSE)*m2k))</f>
        <v>67.365498193752231</v>
      </c>
      <c r="BT181" s="125">
        <f>BT69/293.07*(1/(VLOOKUP($BM181,'Fuel economy adjusted factor'!$A$2:$L$52,5,FALSE)*m2k))</f>
        <v>67.365498193752231</v>
      </c>
      <c r="BU181" s="125">
        <f>BU69/293.07*(1/(VLOOKUP($BM181,'Fuel economy adjusted factor'!$A$2:$L$52,5,FALSE)*m2k))</f>
        <v>3.8053501282030013</v>
      </c>
      <c r="BV181" s="125">
        <f>BV69/293.07*(1/(VLOOKUP($BM181,'Fuel economy adjusted factor'!$A$2:$L$52,5,FALSE)*m2k))</f>
        <v>3.8053501282030013</v>
      </c>
      <c r="BW181" s="125">
        <f>BW69/293.07*(1/(VLOOKUP($BM181,'Fuel economy adjusted factor'!$A$2:$L$52,5,FALSE)*m2k))</f>
        <v>3.8053501282030013</v>
      </c>
      <c r="BX181" s="125">
        <f>BX69/293.07*(1/(VLOOKUP($BM181,'Fuel economy adjusted factor'!$A$2:$L$52,5,FALSE)*m2k))</f>
        <v>3.8053501282030013</v>
      </c>
      <c r="BY181" s="125">
        <f>BY69/293.07*(1/(VLOOKUP($BM181,'Fuel economy adjusted factor'!$A$2:$L$52,5,FALSE)*m2k))</f>
        <v>3.8053501282030013</v>
      </c>
      <c r="BZ181" s="125">
        <f>BZ69/293.07*(1/(VLOOKUP($BM181,'Fuel economy adjusted factor'!$A$2:$L$52,5,FALSE)*m2k))</f>
        <v>3.9686811825114723</v>
      </c>
      <c r="CA181" s="125">
        <f>CA69/293.07*(1/(VLOOKUP($BM181,'Fuel economy adjusted factor'!$A$2:$L$52,5,FALSE)*m2k))</f>
        <v>3.9686811825114723</v>
      </c>
      <c r="CB181" s="125">
        <f>CB69/293.07*(1/(VLOOKUP($BM181,'Fuel economy adjusted factor'!$A$2:$L$52,5,FALSE)*m2k))</f>
        <v>3.9686811825114723</v>
      </c>
      <c r="CC181" s="125">
        <f>CC69/293.07*(1/(VLOOKUP($BM181,'Fuel economy adjusted factor'!$A$2:$L$52,5,FALSE)*m2k))</f>
        <v>3.9686811825114723</v>
      </c>
      <c r="CD181" s="125">
        <f>CD69/293.07*(1/(VLOOKUP($BM181,'Fuel economy adjusted factor'!$A$2:$L$52,5,FALSE)*m2k))</f>
        <v>3.9686811825114723</v>
      </c>
      <c r="CE181" s="125">
        <f>CE69/293.07*(1/(VLOOKUP($BM181,'Fuel economy adjusted factor'!$A$2:$L$52,5,FALSE)*m2k))</f>
        <v>4.0240029912288575</v>
      </c>
      <c r="CF181" s="125">
        <f>CF69/293.07*(1/(VLOOKUP($BM181,'Fuel economy adjusted factor'!$A$2:$L$52,5,FALSE)*m2k))</f>
        <v>4.0240029912288575</v>
      </c>
      <c r="CG181" s="125">
        <f>CG69/293.07*(1/(VLOOKUP($BM181,'Fuel economy adjusted factor'!$A$2:$L$52,5,FALSE)*m2k))</f>
        <v>4.0240029912288575</v>
      </c>
      <c r="CH181" s="125">
        <f>CH69/293.07*(1/(VLOOKUP($BM181,'Fuel economy adjusted factor'!$A$2:$L$52,5,FALSE)*m2k))</f>
        <v>4.0240029912288575</v>
      </c>
      <c r="CI181" s="125">
        <f>CI69/293.07*(1/(VLOOKUP($BM181,'Fuel economy adjusted factor'!$A$2:$L$52,5,FALSE)*m2k))</f>
        <v>4.0240029912288575</v>
      </c>
      <c r="CJ181" s="125">
        <f>CJ69/293.07*(1/(VLOOKUP($BM181,'Fuel economy adjusted factor'!$A$2:$L$52,5,FALSE)*m2k))</f>
        <v>4.1656004778269269</v>
      </c>
      <c r="CK181" s="125">
        <f>CK69/293.07*(1/(VLOOKUP($BM181,'Fuel economy adjusted factor'!$A$2:$L$52,5,FALSE)*m2k))</f>
        <v>4.1656004778269269</v>
      </c>
      <c r="CL181" s="125">
        <f>CL69/293.07*(1/(VLOOKUP($BM181,'Fuel economy adjusted factor'!$A$2:$L$52,5,FALSE)*m2k))</f>
        <v>4.1656004778269269</v>
      </c>
      <c r="CM181" s="125">
        <f>CM69/293.07*(1/(VLOOKUP($BM181,'Fuel economy adjusted factor'!$A$2:$L$52,5,FALSE)*m2k))</f>
        <v>4.1656004778269269</v>
      </c>
      <c r="CN181" s="125">
        <f>CN69/293.07*(1/(VLOOKUP($BM181,'Fuel economy adjusted factor'!$A$2:$L$52,5,FALSE)*m2k))</f>
        <v>4.1656004778269269</v>
      </c>
      <c r="CO181" s="125">
        <f>CO69/293.07*(1/(VLOOKUP($BM181,'Fuel economy adjusted factor'!$A$2:$L$52,5,FALSE)*m2k))</f>
        <v>4.3447377631975082</v>
      </c>
      <c r="CP181" s="98" cm="1">
        <f t="array" ref="CP181">SUMPRODUCT(INDEX(BN181:CO181,,'TCO Inputs'!$AZ$12-2023+_xlfn.SEQUENCE('TCO Inputs'!$AZ$13))*INDEX('VKT US'!C71:AA71,,_xlfn.SEQUENCE('TCO Inputs'!$AZ$13)))*m2k*CONVERT(0.9072,"g","ton")</f>
        <v>12.880983702395721</v>
      </c>
      <c r="CQ181" s="194"/>
      <c r="CR181" s="123" t="s">
        <v>193</v>
      </c>
      <c r="CS181" s="125">
        <f>CS69/293.07*(1/(VLOOKUP($BM181,'Fuel economy adjusted factor'!$A$2:$L$52,5,FALSE)*m2k))/'TCO Inputs'!$AZ$84</f>
        <v>100.54080141423853</v>
      </c>
      <c r="CT181" s="125">
        <f>CT69/293.07*(1/(VLOOKUP($BM181,'Fuel economy adjusted factor'!$A$2:$L$52,5,FALSE)*m2k))</f>
        <v>4.0016108305575351</v>
      </c>
      <c r="CU181" s="125">
        <f>CU69/293.07*(1/(VLOOKUP($BM181,'Fuel economy adjusted factor'!$A$2:$L$52,5,FALSE)*m2k))</f>
        <v>4.0016108305575351</v>
      </c>
      <c r="CV181" s="125">
        <f>CV69/293.07*(1/(VLOOKUP($BM181,'Fuel economy adjusted factor'!$A$2:$L$52,5,FALSE)*m2k))</f>
        <v>4.0016108305575351</v>
      </c>
      <c r="CW181" s="125">
        <f>CW69/293.07*(1/(VLOOKUP($BM181,'Fuel economy adjusted factor'!$A$2:$L$52,5,FALSE)*m2k))</f>
        <v>4.0016108305575351</v>
      </c>
      <c r="CX181" s="125">
        <f>CX69/293.07*(1/(VLOOKUP($BM181,'Fuel economy adjusted factor'!$A$2:$L$52,5,FALSE)*m2k))</f>
        <v>4.0016108305575351</v>
      </c>
      <c r="CY181" s="125">
        <f>CY69/293.07*(1/(VLOOKUP($BM181,'Fuel economy adjusted factor'!$A$2:$L$52,5,FALSE)*m2k))</f>
        <v>4.0016108305575351</v>
      </c>
      <c r="CZ181" s="125">
        <f>CZ69/293.07*(1/(VLOOKUP($BM181,'Fuel economy adjusted factor'!$A$2:$L$52,5,FALSE)*m2k))</f>
        <v>4.0016108305575351</v>
      </c>
      <c r="DA181" s="125">
        <f>DA69/293.07*(1/(VLOOKUP($BM181,'Fuel economy adjusted factor'!$A$2:$L$52,5,FALSE)*m2k))</f>
        <v>4.0016108305575351</v>
      </c>
      <c r="DB181" s="125">
        <f>DB69/293.07*(1/(VLOOKUP($BM181,'Fuel economy adjusted factor'!$A$2:$L$52,5,FALSE)*m2k))</f>
        <v>4.0016108305575351</v>
      </c>
      <c r="DC181" s="125">
        <f>DC69/293.07*(1/(VLOOKUP($BM181,'Fuel economy adjusted factor'!$A$2:$L$52,5,FALSE)*m2k))</f>
        <v>4.0016108305575351</v>
      </c>
      <c r="DD181" s="125">
        <f>DD69/293.07*(1/(VLOOKUP($BM181,'Fuel economy adjusted factor'!$A$2:$L$52,5,FALSE)*m2k))</f>
        <v>4.0016108305575351</v>
      </c>
      <c r="DE181" s="125">
        <f>DE69/293.07*(1/(VLOOKUP($BM181,'Fuel economy adjusted factor'!$A$2:$L$52,5,FALSE)*m2k))</f>
        <v>4.1162060057578334</v>
      </c>
      <c r="DF181" s="125">
        <f>DF69/293.07*(1/(VLOOKUP($BM181,'Fuel economy adjusted factor'!$A$2:$L$52,5,FALSE)*m2k))</f>
        <v>4.1162060057578334</v>
      </c>
      <c r="DG181" s="125">
        <f>DG69/293.07*(1/(VLOOKUP($BM181,'Fuel economy adjusted factor'!$A$2:$L$52,5,FALSE)*m2k))</f>
        <v>4.1162060057578334</v>
      </c>
      <c r="DH181" s="125">
        <f>DH69/293.07*(1/(VLOOKUP($BM181,'Fuel economy adjusted factor'!$A$2:$L$52,5,FALSE)*m2k))</f>
        <v>4.1162060057578334</v>
      </c>
      <c r="DI181" s="125">
        <f>DI69/293.07*(1/(VLOOKUP($BM181,'Fuel economy adjusted factor'!$A$2:$L$52,5,FALSE)*m2k))</f>
        <v>4.1162060057578334</v>
      </c>
      <c r="DJ181" s="125">
        <f>DJ69/293.07*(1/(VLOOKUP($BM181,'Fuel economy adjusted factor'!$A$2:$L$52,5,FALSE)*m2k))</f>
        <v>4.3302487180572404</v>
      </c>
      <c r="DK181" s="125">
        <f>DK69/293.07*(1/(VLOOKUP($BM181,'Fuel economy adjusted factor'!$A$2:$L$52,5,FALSE)*m2k))</f>
        <v>4.3302487180572404</v>
      </c>
      <c r="DL181" s="125">
        <f>DL69/293.07*(1/(VLOOKUP($BM181,'Fuel economy adjusted factor'!$A$2:$L$52,5,FALSE)*m2k))</f>
        <v>4.3302487180572404</v>
      </c>
      <c r="DM181" s="125">
        <f>DM69/293.07*(1/(VLOOKUP($BM181,'Fuel economy adjusted factor'!$A$2:$L$52,5,FALSE)*m2k))</f>
        <v>4.3302487180572404</v>
      </c>
      <c r="DN181" s="125">
        <f>DN69/293.07*(1/(VLOOKUP($BM181,'Fuel economy adjusted factor'!$A$2:$L$52,5,FALSE)*m2k))</f>
        <v>4.3302487180572404</v>
      </c>
      <c r="DO181" s="125">
        <f>DO69/293.07*(1/(VLOOKUP($BM181,'Fuel economy adjusted factor'!$A$2:$L$52,5,FALSE)*m2k))</f>
        <v>4.4718462046553098</v>
      </c>
      <c r="DP181" s="125">
        <f>DP69/293.07*(1/(VLOOKUP($BM181,'Fuel economy adjusted factor'!$A$2:$L$52,5,FALSE)*m2k))</f>
        <v>4.4718462046553098</v>
      </c>
      <c r="DQ181" s="125">
        <f>DQ69/293.07*(1/(VLOOKUP($BM181,'Fuel economy adjusted factor'!$A$2:$L$52,5,FALSE)*m2k))</f>
        <v>4.4718462046553098</v>
      </c>
      <c r="DR181" s="125">
        <f>DR69/293.07*(1/(VLOOKUP($BM181,'Fuel economy adjusted factor'!$A$2:$L$52,5,FALSE)*m2k))</f>
        <v>4.4718462046553098</v>
      </c>
      <c r="DS181" s="125">
        <f>DS69/293.07*(1/(VLOOKUP($BM181,'Fuel economy adjusted factor'!$A$2:$L$52,5,FALSE)*m2k))</f>
        <v>4.4718462046553098</v>
      </c>
      <c r="DT181" s="125">
        <f>DT69/293.07*(1/(VLOOKUP($BM181,'Fuel economy adjusted factor'!$A$2:$L$52,5,FALSE)*m2k))</f>
        <v>4.6516420829868119</v>
      </c>
      <c r="DU181" s="98" cm="1">
        <f t="array" ref="DU181">SUMPRODUCT(INDEX(CS181:DT181,,'TCO Inputs'!$AZ$12-2023+_xlfn.SEQUENCE('TCO Inputs'!$AZ$13))*INDEX('VKT US'!C71:AA71,,_xlfn.SEQUENCE('TCO Inputs'!$AZ$13)))*m2k*CONVERT(0.9072,"g","ton")</f>
        <v>3.7860464198263273</v>
      </c>
      <c r="DW181" s="123" t="s">
        <v>193</v>
      </c>
      <c r="DX181" s="125">
        <f>DX69/293.07*(1/(VLOOKUP($BM181,'Fuel economy adjusted factor'!$A$2:$L$52,5,FALSE)*m2k))/'TCO Inputs'!$AZ$84</f>
        <v>132.832352981317</v>
      </c>
      <c r="DY181" s="125">
        <f>DY69/293.07*(1/(VLOOKUP($BM181,'Fuel economy adjusted factor'!$A$2:$L$52,5,FALSE)*m2k))/'TCO Inputs'!$AZ$84</f>
        <v>132.832352981317</v>
      </c>
      <c r="DZ181" s="125">
        <f>DZ69/293.07*(1/(VLOOKUP($BM181,'Fuel economy adjusted factor'!$A$2:$L$52,5,FALSE)*m2k))/'TCO Inputs'!$AZ$84</f>
        <v>116.21212672268342</v>
      </c>
      <c r="EA181" s="125">
        <f>EA69/293.07*(1/(VLOOKUP($BM181,'Fuel economy adjusted factor'!$A$2:$L$52,5,FALSE)*m2k))/'TCO Inputs'!$AZ$84</f>
        <v>116.21212672268342</v>
      </c>
      <c r="EB181" s="125">
        <f>EB69/293.07*(1/(VLOOKUP($BM181,'Fuel economy adjusted factor'!$A$2:$L$52,5,FALSE)*m2k))/'TCO Inputs'!$AZ$84</f>
        <v>116.21212672268342</v>
      </c>
      <c r="EC181" s="125">
        <f>EC69/293.07*(1/(VLOOKUP($BM181,'Fuel economy adjusted factor'!$A$2:$L$52,5,FALSE)*m2k))/'TCO Inputs'!$AZ$84</f>
        <v>116.21212672268342</v>
      </c>
      <c r="ED181" s="125">
        <f>ED69/293.07*(1/(VLOOKUP($BM181,'Fuel economy adjusted factor'!$A$2:$L$52,5,FALSE)*m2k))/'TCO Inputs'!$AZ$84</f>
        <v>116.21212672268342</v>
      </c>
      <c r="EE181" s="125">
        <f>EE69/293.07*(1/(VLOOKUP($BM181,'Fuel economy adjusted factor'!$A$2:$L$52,5,FALSE)*m2k))/'TCO Inputs'!$AZ$84</f>
        <v>72.302721603991742</v>
      </c>
      <c r="EF181" s="125">
        <f>EF69/293.07*(1/(VLOOKUP($BM181,'Fuel economy adjusted factor'!$A$2:$L$52,5,FALSE)*m2k))/'TCO Inputs'!$AZ$84</f>
        <v>72.302721603991742</v>
      </c>
      <c r="EG181" s="125">
        <f>EG69/293.07*(1/(VLOOKUP($BM181,'Fuel economy adjusted factor'!$A$2:$L$52,5,FALSE)*m2k))/'TCO Inputs'!$AZ$84</f>
        <v>72.302721603991742</v>
      </c>
      <c r="EH181" s="125">
        <f>EH69/293.07*(1/(VLOOKUP($BM181,'Fuel economy adjusted factor'!$A$2:$L$52,5,FALSE)*m2k))/'TCO Inputs'!$AZ$84</f>
        <v>72.302721603991742</v>
      </c>
      <c r="EI181" s="125">
        <f>EI69/293.07*(1/(VLOOKUP($BM181,'Fuel economy adjusted factor'!$A$2:$L$52,5,FALSE)*m2k))/'TCO Inputs'!$AZ$84</f>
        <v>72.302721603991742</v>
      </c>
      <c r="EJ181" s="125">
        <f>EJ69/293.07*(1/(VLOOKUP($BM181,'Fuel economy adjusted factor'!$A$2:$L$52,5,FALSE)*m2k))/'TCO Inputs'!$AZ$84</f>
        <v>64.37863450083222</v>
      </c>
      <c r="EK181" s="125">
        <f>EK69/293.07*(1/(VLOOKUP($BM181,'Fuel economy adjusted factor'!$A$2:$L$52,5,FALSE)*m2k))/'TCO Inputs'!$AZ$84</f>
        <v>64.37863450083222</v>
      </c>
      <c r="EL181" s="125">
        <f>EL69/293.07*(1/(VLOOKUP($BM181,'Fuel economy adjusted factor'!$A$2:$L$52,5,FALSE)*m2k))/'TCO Inputs'!$AZ$84</f>
        <v>64.37863450083222</v>
      </c>
      <c r="EM181" s="125">
        <f>EM69/293.07*(1/(VLOOKUP($BM181,'Fuel economy adjusted factor'!$A$2:$L$52,5,FALSE)*m2k))/'TCO Inputs'!$AZ$84</f>
        <v>64.37863450083222</v>
      </c>
      <c r="EN181" s="125">
        <f>EN69/293.07*(1/(VLOOKUP($BM181,'Fuel economy adjusted factor'!$A$2:$L$52,5,FALSE)*m2k))/'TCO Inputs'!$AZ$84</f>
        <v>64.37863450083222</v>
      </c>
      <c r="EO181" s="125">
        <f>EO69/293.07*(1/(VLOOKUP($BM181,'Fuel economy adjusted factor'!$A$2:$L$52,5,FALSE)*m2k))/'TCO Inputs'!$AZ$84</f>
        <v>62.555916229086158</v>
      </c>
      <c r="EP181" s="125">
        <f>EP69/293.07*(1/(VLOOKUP($BM181,'Fuel economy adjusted factor'!$A$2:$L$52,5,FALSE)*m2k))/'TCO Inputs'!$AZ$84</f>
        <v>62.555916229086158</v>
      </c>
      <c r="EQ181" s="125">
        <f>EQ69/293.07*(1/(VLOOKUP($BM181,'Fuel economy adjusted factor'!$A$2:$L$52,5,FALSE)*m2k))/'TCO Inputs'!$AZ$84</f>
        <v>62.555916229086158</v>
      </c>
      <c r="ER181" s="125">
        <f>ER69/293.07*(1/(VLOOKUP($BM181,'Fuel economy adjusted factor'!$A$2:$L$52,5,FALSE)*m2k))/'TCO Inputs'!$AZ$84</f>
        <v>62.555916229086158</v>
      </c>
      <c r="ES181" s="125">
        <f>ES69/293.07*(1/(VLOOKUP($BM181,'Fuel economy adjusted factor'!$A$2:$L$52,5,FALSE)*m2k))/'TCO Inputs'!$AZ$84</f>
        <v>62.555916229086158</v>
      </c>
      <c r="ET181" s="125">
        <f>ET69/293.07*(1/(VLOOKUP($BM181,'Fuel economy adjusted factor'!$A$2:$L$52,5,FALSE)*m2k))/'TCO Inputs'!$AZ$84</f>
        <v>60.342012409569577</v>
      </c>
      <c r="EU181" s="125">
        <f>EU69/293.07*(1/(VLOOKUP($BM181,'Fuel economy adjusted factor'!$A$2:$L$52,5,FALSE)*m2k))/'TCO Inputs'!$AZ$84</f>
        <v>60.342012409569577</v>
      </c>
      <c r="EV181" s="125">
        <f>EV69/293.07*(1/(VLOOKUP($BM181,'Fuel economy adjusted factor'!$A$2:$L$52,5,FALSE)*m2k))/'TCO Inputs'!$AZ$84</f>
        <v>60.342012409569577</v>
      </c>
      <c r="EW181" s="125">
        <f>EW69/293.07*(1/(VLOOKUP($BM181,'Fuel economy adjusted factor'!$A$2:$L$52,5,FALSE)*m2k))/'TCO Inputs'!$AZ$84</f>
        <v>60.342012409569577</v>
      </c>
      <c r="EX181" s="125">
        <f>EX69/293.07*(1/(VLOOKUP($BM181,'Fuel economy adjusted factor'!$A$2:$L$52,5,FALSE)*m2k))/'TCO Inputs'!$AZ$84</f>
        <v>60.342012409569577</v>
      </c>
      <c r="EY181" s="125">
        <f>EY69/293.07*(1/(VLOOKUP($BM181,'Fuel economy adjusted factor'!$A$2:$L$52,5,FALSE)*m2k))/'TCO Inputs'!$AZ$84</f>
        <v>56.813837720924731</v>
      </c>
      <c r="EZ181" s="98" cm="1">
        <f t="array" ref="EZ181">SUMPRODUCT(INDEX(DX181:EY181,,'TCO Inputs'!$AZ$12-2023+_xlfn.SEQUENCE('TCO Inputs'!$AZ$13))*INDEX('VKT US'!C71:AA71,,_xlfn.SEQUENCE('TCO Inputs'!$AZ$13)))*m2k*CONVERT(0.9072,"g","ton")</f>
        <v>30.257646879282049</v>
      </c>
      <c r="FB181" s="123" t="s">
        <v>193</v>
      </c>
      <c r="FC181" s="125">
        <f>FC69/293.07*(1/(VLOOKUP($BM181,'Fuel economy adjusted factor'!$A$2:$L$52,5,FALSE)*m2k))/'TCO Inputs'!$AZ$84</f>
        <v>143.59323887694183</v>
      </c>
      <c r="FD181" s="125">
        <f>FD69/293.07*(1/(VLOOKUP($BM181,'Fuel economy adjusted factor'!$A$2:$L$52,5,FALSE)*m2k))/'TCO Inputs'!$AZ$84</f>
        <v>143.59323887694183</v>
      </c>
      <c r="FE181" s="125">
        <f>FE69/293.07*(1/(VLOOKUP($BM181,'Fuel economy adjusted factor'!$A$2:$L$52,5,FALSE)*m2k))/'TCO Inputs'!$AZ$84</f>
        <v>125.18969432979092</v>
      </c>
      <c r="FF181" s="125">
        <f>FF69/293.07*(1/(VLOOKUP($BM181,'Fuel economy adjusted factor'!$A$2:$L$52,5,FALSE)*m2k))/'TCO Inputs'!$AZ$84</f>
        <v>125.18969432979092</v>
      </c>
      <c r="FG181" s="125">
        <f>FG69/293.07*(1/(VLOOKUP($BM181,'Fuel economy adjusted factor'!$A$2:$L$52,5,FALSE)*m2k))/'TCO Inputs'!$AZ$84</f>
        <v>125.18969432979092</v>
      </c>
      <c r="FH181" s="125">
        <f>FH69/293.07*(1/(VLOOKUP($BM181,'Fuel economy adjusted factor'!$A$2:$L$52,5,FALSE)*m2k))/'TCO Inputs'!$AZ$84</f>
        <v>125.18969432979092</v>
      </c>
      <c r="FI181" s="125">
        <f>FI69/293.07*(1/(VLOOKUP($BM181,'Fuel economy adjusted factor'!$A$2:$L$52,5,FALSE)*m2k))/'TCO Inputs'!$AZ$84</f>
        <v>125.18969432979092</v>
      </c>
      <c r="FJ181" s="125">
        <f>FJ69/293.07*(1/(VLOOKUP($BM181,'Fuel economy adjusted factor'!$A$2:$L$52,5,FALSE)*m2k))/'TCO Inputs'!$AZ$84</f>
        <v>79.183647246429942</v>
      </c>
      <c r="FK181" s="125">
        <f>FK69/293.07*(1/(VLOOKUP($BM181,'Fuel economy adjusted factor'!$A$2:$L$52,5,FALSE)*m2k))/'TCO Inputs'!$AZ$84</f>
        <v>79.183647246429942</v>
      </c>
      <c r="FL181" s="125">
        <f>FL69/293.07*(1/(VLOOKUP($BM181,'Fuel economy adjusted factor'!$A$2:$L$52,5,FALSE)*m2k))/'TCO Inputs'!$AZ$84</f>
        <v>79.183647246429942</v>
      </c>
      <c r="FM181" s="125">
        <f>FM69/293.07*(1/(VLOOKUP($BM181,'Fuel economy adjusted factor'!$A$2:$L$52,5,FALSE)*m2k))/'TCO Inputs'!$AZ$84</f>
        <v>79.183647246429942</v>
      </c>
      <c r="FN181" s="125">
        <f>FN69/293.07*(1/(VLOOKUP($BM181,'Fuel economy adjusted factor'!$A$2:$L$52,5,FALSE)*m2k))/'TCO Inputs'!$AZ$84</f>
        <v>79.183647246429942</v>
      </c>
      <c r="FO181" s="125">
        <f>FO69/293.07*(1/(VLOOKUP($BM181,'Fuel economy adjusted factor'!$A$2:$L$52,5,FALSE)*m2k))/'TCO Inputs'!$AZ$84</f>
        <v>70.133846336736539</v>
      </c>
      <c r="FP181" s="125">
        <f>FP69/293.07*(1/(VLOOKUP($BM181,'Fuel economy adjusted factor'!$A$2:$L$52,5,FALSE)*m2k))/'TCO Inputs'!$AZ$84</f>
        <v>70.133846336736539</v>
      </c>
      <c r="FQ181" s="125">
        <f>FQ69/293.07*(1/(VLOOKUP($BM181,'Fuel economy adjusted factor'!$A$2:$L$52,5,FALSE)*m2k))/'TCO Inputs'!$AZ$84</f>
        <v>70.133846336736539</v>
      </c>
      <c r="FR181" s="125">
        <f>FR69/293.07*(1/(VLOOKUP($BM181,'Fuel economy adjusted factor'!$A$2:$L$52,5,FALSE)*m2k))/'TCO Inputs'!$AZ$84</f>
        <v>70.133846336736539</v>
      </c>
      <c r="FS181" s="125">
        <f>FS69/293.07*(1/(VLOOKUP($BM181,'Fuel economy adjusted factor'!$A$2:$L$52,5,FALSE)*m2k))/'TCO Inputs'!$AZ$84</f>
        <v>70.133846336736539</v>
      </c>
      <c r="FT181" s="125">
        <f>FT69/293.07*(1/(VLOOKUP($BM181,'Fuel economy adjusted factor'!$A$2:$L$52,5,FALSE)*m2k))/'TCO Inputs'!$AZ$84</f>
        <v>68.532518446942134</v>
      </c>
      <c r="FU181" s="125">
        <f>FU69/293.07*(1/(VLOOKUP($BM181,'Fuel economy adjusted factor'!$A$2:$L$52,5,FALSE)*m2k))/'TCO Inputs'!$AZ$84</f>
        <v>68.532518446942134</v>
      </c>
      <c r="FV181" s="125">
        <f>FV69/293.07*(1/(VLOOKUP($BM181,'Fuel economy adjusted factor'!$A$2:$L$52,5,FALSE)*m2k))/'TCO Inputs'!$AZ$84</f>
        <v>68.532518446942134</v>
      </c>
      <c r="FW181" s="125">
        <f>FW69/293.07*(1/(VLOOKUP($BM181,'Fuel economy adjusted factor'!$A$2:$L$52,5,FALSE)*m2k))/'TCO Inputs'!$AZ$84</f>
        <v>68.532518446942134</v>
      </c>
      <c r="FX181" s="125">
        <f>FX69/293.07*(1/(VLOOKUP($BM181,'Fuel economy adjusted factor'!$A$2:$L$52,5,FALSE)*m2k))/'TCO Inputs'!$AZ$84</f>
        <v>68.532518446942134</v>
      </c>
      <c r="FY181" s="125">
        <f>FY69/293.07*(1/(VLOOKUP($BM181,'Fuel economy adjusted factor'!$A$2:$L$52,5,FALSE)*m2k))/'TCO Inputs'!$AZ$84</f>
        <v>66.31486224807044</v>
      </c>
      <c r="FZ181" s="125">
        <f>FZ69/293.07*(1/(VLOOKUP($BM181,'Fuel economy adjusted factor'!$A$2:$L$52,5,FALSE)*m2k))/'TCO Inputs'!$AZ$84</f>
        <v>66.31486224807044</v>
      </c>
      <c r="GA181" s="125">
        <f>GA69/293.07*(1/(VLOOKUP($BM181,'Fuel economy adjusted factor'!$A$2:$L$52,5,FALSE)*m2k))/'TCO Inputs'!$AZ$84</f>
        <v>66.31486224807044</v>
      </c>
      <c r="GB181" s="125">
        <f>GB69/293.07*(1/(VLOOKUP($BM181,'Fuel economy adjusted factor'!$A$2:$L$52,5,FALSE)*m2k))/'TCO Inputs'!$AZ$84</f>
        <v>66.31486224807044</v>
      </c>
      <c r="GC181" s="125">
        <f>GC69/293.07*(1/(VLOOKUP($BM181,'Fuel economy adjusted factor'!$A$2:$L$52,5,FALSE)*m2k))/'TCO Inputs'!$AZ$84</f>
        <v>66.31486224807044</v>
      </c>
      <c r="GD181" s="125">
        <f>GD69/293.07*(1/(VLOOKUP($BM181,'Fuel economy adjusted factor'!$A$2:$L$52,5,FALSE)*m2k))/'TCO Inputs'!$AZ$84</f>
        <v>62.666611420061983</v>
      </c>
      <c r="GE181" s="98" cm="1">
        <f t="array" ref="GE181">SUMPRODUCT(INDEX(FC181:GD181,,'TCO Inputs'!$AZ$12-2023+_xlfn.SEQUENCE('TCO Inputs'!$AZ$13))*INDEX('VKT US'!C71:AA71,,_xlfn.SEQUENCE('TCO Inputs'!$AZ$13)))*m2k*CONVERT(0.9072,"g","ton")</f>
        <v>32.781440625811356</v>
      </c>
      <c r="GH181" s="123" t="s">
        <v>193</v>
      </c>
      <c r="GI181" s="125">
        <f>GI69/293.07*(1/(VLOOKUP($GH181,'Fuel economy adjusted factor'!$A$2:$L$52,5,FALSE)*m2k))/'TCO Inputs'!$AZ$84</f>
        <v>252.78347470653986</v>
      </c>
      <c r="GJ181" s="125">
        <f>GJ69/293.07*(1/(VLOOKUP($GH181,'Fuel economy adjusted factor'!$A$2:$L$52,5,FALSE)*m2k))/'TCO Inputs'!$AZ$84</f>
        <v>252.78347470653986</v>
      </c>
      <c r="GK181" s="125">
        <f>GK69/293.07*(1/(VLOOKUP($GH181,'Fuel economy adjusted factor'!$A$2:$L$52,5,FALSE)*m2k))/'TCO Inputs'!$AZ$84</f>
        <v>252.78347470653986</v>
      </c>
      <c r="GL181" s="125">
        <f>GL69/293.07*(1/(VLOOKUP($GH181,'Fuel economy adjusted factor'!$A$2:$L$52,5,FALSE)*m2k))/'TCO Inputs'!$AZ$84</f>
        <v>252.78347470653986</v>
      </c>
      <c r="GM181" s="125">
        <f>GM69/293.07*(1/(VLOOKUP($GH181,'Fuel economy adjusted factor'!$A$2:$L$52,5,FALSE)*m2k))/'TCO Inputs'!$AZ$84</f>
        <v>252.78347470653986</v>
      </c>
      <c r="GN181" s="125">
        <f>GN69/293.07*(1/(VLOOKUP($GH181,'Fuel economy adjusted factor'!$A$2:$L$52,5,FALSE)*m2k))/'TCO Inputs'!$AZ$84</f>
        <v>252.78347470653986</v>
      </c>
      <c r="GO181" s="125">
        <f>GO69/293.07*(1/(VLOOKUP($GH181,'Fuel economy adjusted factor'!$A$2:$L$52,5,FALSE)*m2k))/'TCO Inputs'!$AZ$84</f>
        <v>252.78347470653986</v>
      </c>
      <c r="GP181" s="125">
        <f>GP69/293.07*(1/(VLOOKUP($GH181,'Fuel economy adjusted factor'!$A$2:$L$52,5,FALSE)*m2k))/'TCO Inputs'!$AZ$84</f>
        <v>252.78347470653986</v>
      </c>
      <c r="GQ181" s="125">
        <f>GQ69/293.07*(1/(VLOOKUP($GH181,'Fuel economy adjusted factor'!$A$2:$L$52,5,FALSE)*m2k))/'TCO Inputs'!$AZ$84</f>
        <v>252.78347470653986</v>
      </c>
      <c r="GR181" s="125">
        <f>GR69/293.07*(1/(VLOOKUP($GH181,'Fuel economy adjusted factor'!$A$2:$L$52,5,FALSE)*m2k))/'TCO Inputs'!$AZ$84</f>
        <v>252.78347470653986</v>
      </c>
      <c r="GS181" s="125">
        <f>GS69/293.07*(1/(VLOOKUP($GH181,'Fuel economy adjusted factor'!$A$2:$L$52,5,FALSE)*m2k))/'TCO Inputs'!$AZ$84</f>
        <v>252.78347470653986</v>
      </c>
      <c r="GT181" s="125">
        <f>GT69/293.07*(1/(VLOOKUP($GH181,'Fuel economy adjusted factor'!$A$2:$L$52,5,FALSE)*m2k))/'TCO Inputs'!$AZ$84</f>
        <v>252.78347470653986</v>
      </c>
      <c r="GU181" s="125">
        <f>GU69/293.07*(1/(VLOOKUP($GH181,'Fuel economy adjusted factor'!$A$2:$L$52,5,FALSE)*m2k))/'TCO Inputs'!$AZ$84</f>
        <v>252.78347470653986</v>
      </c>
      <c r="GV181" s="125">
        <f>GV69/293.07*(1/(VLOOKUP($GH181,'Fuel economy adjusted factor'!$A$2:$L$52,5,FALSE)*m2k))/'TCO Inputs'!$AZ$84</f>
        <v>252.78347470653986</v>
      </c>
      <c r="GW181" s="125">
        <f>GW69/293.07*(1/(VLOOKUP($GH181,'Fuel economy adjusted factor'!$A$2:$L$52,5,FALSE)*m2k))/'TCO Inputs'!$AZ$84</f>
        <v>252.78347470653986</v>
      </c>
      <c r="GX181" s="125">
        <f>GX69/293.07*(1/(VLOOKUP($GH181,'Fuel economy adjusted factor'!$A$2:$L$52,5,FALSE)*m2k))/'TCO Inputs'!$AZ$84</f>
        <v>252.78347470653986</v>
      </c>
      <c r="GY181" s="125">
        <f>GY69/293.07*(1/(VLOOKUP($GH181,'Fuel economy adjusted factor'!$A$2:$L$52,5,FALSE)*m2k))/'TCO Inputs'!$AZ$84</f>
        <v>252.78347470653986</v>
      </c>
      <c r="GZ181" s="125">
        <f>GZ69/293.07*(1/(VLOOKUP($GH181,'Fuel economy adjusted factor'!$A$2:$L$52,5,FALSE)*m2k))/'TCO Inputs'!$AZ$84</f>
        <v>252.78347470653986</v>
      </c>
      <c r="HA181" s="125">
        <f>HA69/293.07*(1/(VLOOKUP($GH181,'Fuel economy adjusted factor'!$A$2:$L$52,5,FALSE)*m2k))/'TCO Inputs'!$AZ$84</f>
        <v>252.78347470653986</v>
      </c>
      <c r="HB181" s="125">
        <f>HB69/293.07*(1/(VLOOKUP($GH181,'Fuel economy adjusted factor'!$A$2:$L$52,5,FALSE)*m2k))/'TCO Inputs'!$AZ$84</f>
        <v>252.78347470653986</v>
      </c>
      <c r="HC181" s="125">
        <f>HC69/293.07*(1/(VLOOKUP($GH181,'Fuel economy adjusted factor'!$A$2:$L$52,5,FALSE)*m2k))/'TCO Inputs'!$AZ$84</f>
        <v>252.78347470653986</v>
      </c>
      <c r="HD181" s="125">
        <f>HD69/293.07*(1/(VLOOKUP($GH181,'Fuel economy adjusted factor'!$A$2:$L$52,5,FALSE)*m2k))/'TCO Inputs'!$AZ$84</f>
        <v>252.78347470653986</v>
      </c>
      <c r="HE181" s="125">
        <f>HE69/293.07*(1/(VLOOKUP($GH181,'Fuel economy adjusted factor'!$A$2:$L$52,5,FALSE)*m2k))/'TCO Inputs'!$AZ$84</f>
        <v>252.78347470653986</v>
      </c>
      <c r="HF181" s="125">
        <f>HF69/293.07*(1/(VLOOKUP($GH181,'Fuel economy adjusted factor'!$A$2:$L$52,5,FALSE)*m2k))/'TCO Inputs'!$AZ$84</f>
        <v>252.78347470653986</v>
      </c>
      <c r="HG181" s="125">
        <f>HG69/293.07*(1/(VLOOKUP($GH181,'Fuel economy adjusted factor'!$A$2:$L$52,5,FALSE)*m2k))/'TCO Inputs'!$AZ$84</f>
        <v>252.78347470653986</v>
      </c>
      <c r="HH181" s="125">
        <f>HH69/293.07*(1/(VLOOKUP($GH181,'Fuel economy adjusted factor'!$A$2:$L$52,5,FALSE)*m2k))/'TCO Inputs'!$AZ$84</f>
        <v>252.78347470653986</v>
      </c>
      <c r="HI181" s="125">
        <f>HI69/293.07*(1/(VLOOKUP($GH181,'Fuel economy adjusted factor'!$A$2:$L$52,5,FALSE)*m2k))/'TCO Inputs'!$AZ$84</f>
        <v>252.78347470653986</v>
      </c>
      <c r="HJ181" s="125">
        <f>HJ69/293.07*(1/(VLOOKUP($GH181,'Fuel economy adjusted factor'!$A$2:$L$52,5,FALSE)*m2k))/'TCO Inputs'!$AZ$84</f>
        <v>252.78347470653986</v>
      </c>
      <c r="HK181" s="98" cm="1">
        <f t="array" ref="HK181">SUMPRODUCT(INDEX(GI181:HJ181,,'TCO Inputs'!$AZ$12-2023+_xlfn.SEQUENCE('TCO Inputs'!$AZ$13))*INDEX('VKT US'!C71:AA71,,_xlfn.SEQUENCE('TCO Inputs'!$AZ$13)))*m2k*CONVERT(0.9072,"g","ton")</f>
        <v>77.790946973957716</v>
      </c>
    </row>
    <row r="182" spans="26:219" x14ac:dyDescent="0.25">
      <c r="Z182" s="123" t="s">
        <v>194</v>
      </c>
      <c r="AA182" s="125">
        <f>AA70/293.07*(1/(VLOOKUP($Z182,'Fuel economy adjusted factor'!$A$2:$L$52,5,FALSE)*m2k))/'TCO Inputs'!$AZ$84</f>
        <v>87.782037136713427</v>
      </c>
      <c r="AB182" s="125">
        <f>AB70/293.07*(1/(VLOOKUP($Z182,'Fuel economy adjusted factor'!$A$2:$L$52,5,FALSE)*m2k))/'TCO Inputs'!$AZ$84</f>
        <v>87.782037136713427</v>
      </c>
      <c r="AC182" s="125">
        <f>AC70/293.07*(1/(VLOOKUP($Z182,'Fuel economy adjusted factor'!$A$2:$L$52,5,FALSE)*m2k))/'TCO Inputs'!$AZ$84</f>
        <v>77.102963776919964</v>
      </c>
      <c r="AD182" s="125">
        <f>AD70/293.07*(1/(VLOOKUP($Z182,'Fuel economy adjusted factor'!$A$2:$L$52,5,FALSE)*m2k))/'TCO Inputs'!$AZ$84</f>
        <v>77.102963776919964</v>
      </c>
      <c r="AE182" s="125">
        <f>AE70/293.07*(1/(VLOOKUP($Z182,'Fuel economy adjusted factor'!$A$2:$L$52,5,FALSE)*m2k))/'TCO Inputs'!$AZ$84</f>
        <v>77.102963776919964</v>
      </c>
      <c r="AF182" s="125">
        <f>AF70/293.07*(1/(VLOOKUP($Z182,'Fuel economy adjusted factor'!$A$2:$L$52,5,FALSE)*m2k))/'TCO Inputs'!$AZ$84</f>
        <v>77.102963776919964</v>
      </c>
      <c r="AG182" s="125">
        <f>AG70/293.07*(1/(VLOOKUP($Z182,'Fuel economy adjusted factor'!$A$2:$L$52,5,FALSE)*m2k))/'TCO Inputs'!$AZ$84</f>
        <v>77.102963776919964</v>
      </c>
      <c r="AH182" s="125">
        <f>AH70/293.07*(1/(VLOOKUP($Z182,'Fuel economy adjusted factor'!$A$2:$L$52,5,FALSE)*m2k))/'TCO Inputs'!$AZ$84</f>
        <v>29.150636649363971</v>
      </c>
      <c r="AI182" s="125">
        <f>AI70/293.07*(1/(VLOOKUP($Z182,'Fuel economy adjusted factor'!$A$2:$L$52,5,FALSE)*m2k))/'TCO Inputs'!$AZ$84</f>
        <v>29.150636649363971</v>
      </c>
      <c r="AJ182" s="125">
        <f>AJ70/293.07*(1/(VLOOKUP($Z182,'Fuel economy adjusted factor'!$A$2:$L$52,5,FALSE)*m2k))/'TCO Inputs'!$AZ$84</f>
        <v>29.150636649363971</v>
      </c>
      <c r="AK182" s="125">
        <f>AK70/293.07*(1/(VLOOKUP($Z182,'Fuel economy adjusted factor'!$A$2:$L$52,5,FALSE)*m2k))/'TCO Inputs'!$AZ$84</f>
        <v>29.150636649363971</v>
      </c>
      <c r="AL182" s="125">
        <f>AL70/293.07*(1/(VLOOKUP($Z182,'Fuel economy adjusted factor'!$A$2:$L$52,5,FALSE)*m2k))/'TCO Inputs'!$AZ$84</f>
        <v>29.150636649363971</v>
      </c>
      <c r="AM182" s="125">
        <f>AM70/293.07*(1/(VLOOKUP($Z182,'Fuel economy adjusted factor'!$A$2:$L$52,5,FALSE)*m2k))/'TCO Inputs'!$AZ$84</f>
        <v>24.501119912897465</v>
      </c>
      <c r="AN182" s="125">
        <f>AN70/293.07*(1/(VLOOKUP($Z182,'Fuel economy adjusted factor'!$A$2:$L$52,5,FALSE)*m2k))/'TCO Inputs'!$AZ$84</f>
        <v>24.501119912897465</v>
      </c>
      <c r="AO182" s="125">
        <f>AO70/293.07*(1/(VLOOKUP($Z182,'Fuel economy adjusted factor'!$A$2:$L$52,5,FALSE)*m2k))/'TCO Inputs'!$AZ$84</f>
        <v>24.501119912897465</v>
      </c>
      <c r="AP182" s="125">
        <f>AP70/293.07*(1/(VLOOKUP($Z182,'Fuel economy adjusted factor'!$A$2:$L$52,5,FALSE)*m2k))/'TCO Inputs'!$AZ$84</f>
        <v>24.501119912897465</v>
      </c>
      <c r="AQ182" s="125">
        <f>AQ70/293.07*(1/(VLOOKUP($Z182,'Fuel economy adjusted factor'!$A$2:$L$52,5,FALSE)*m2k))/'TCO Inputs'!$AZ$84</f>
        <v>24.501119912897465</v>
      </c>
      <c r="AR182" s="125">
        <f>AR70/293.07*(1/(VLOOKUP($Z182,'Fuel economy adjusted factor'!$A$2:$L$52,5,FALSE)*m2k))/'TCO Inputs'!$AZ$84</f>
        <v>24.501119912897465</v>
      </c>
      <c r="AS182" s="125">
        <f>AS70/293.07*(1/(VLOOKUP($Z182,'Fuel economy adjusted factor'!$A$2:$L$52,5,FALSE)*m2k))/'TCO Inputs'!$AZ$84</f>
        <v>24.501119912897465</v>
      </c>
      <c r="AT182" s="125">
        <f>AT70/293.07*(1/(VLOOKUP($Z182,'Fuel economy adjusted factor'!$A$2:$L$52,5,FALSE)*m2k))/'TCO Inputs'!$AZ$84</f>
        <v>24.501119912897465</v>
      </c>
      <c r="AU182" s="125">
        <f>AU70/293.07*(1/(VLOOKUP($Z182,'Fuel economy adjusted factor'!$A$2:$L$52,5,FALSE)*m2k))/'TCO Inputs'!$AZ$84</f>
        <v>24.501119912897465</v>
      </c>
      <c r="AV182" s="125">
        <f>AV70/293.07*(1/(VLOOKUP($Z182,'Fuel economy adjusted factor'!$A$2:$L$52,5,FALSE)*m2k))/'TCO Inputs'!$AZ$84</f>
        <v>24.501119912897465</v>
      </c>
      <c r="AW182" s="125">
        <f>AW70/293.07*(1/(VLOOKUP($Z182,'Fuel economy adjusted factor'!$A$2:$L$52,5,FALSE)*m2k))/'TCO Inputs'!$AZ$84</f>
        <v>24.616799726943118</v>
      </c>
      <c r="AX182" s="125">
        <f>AX70/293.07*(1/(VLOOKUP($Z182,'Fuel economy adjusted factor'!$A$2:$L$52,5,FALSE)*m2k))/'TCO Inputs'!$AZ$84</f>
        <v>24.616799726943118</v>
      </c>
      <c r="AY182" s="125">
        <f>AY70/293.07*(1/(VLOOKUP($Z182,'Fuel economy adjusted factor'!$A$2:$L$52,5,FALSE)*m2k))/'TCO Inputs'!$AZ$84</f>
        <v>24.616799726943118</v>
      </c>
      <c r="AZ182" s="125">
        <f>AZ70/293.07*(1/(VLOOKUP($Z182,'Fuel economy adjusted factor'!$A$2:$L$52,5,FALSE)*m2k))/'TCO Inputs'!$AZ$84</f>
        <v>24.616799726943118</v>
      </c>
      <c r="BA182" s="125">
        <f>BA70/293.07*(1/(VLOOKUP($Z182,'Fuel economy adjusted factor'!$A$2:$L$52,5,FALSE)*m2k))/'TCO Inputs'!$AZ$84</f>
        <v>24.616799726943118</v>
      </c>
      <c r="BB182" s="125">
        <f>BB70/293.07*(1/(VLOOKUP($Z182,'Fuel economy adjusted factor'!$A$2:$L$52,5,FALSE)*m2k))/'TCO Inputs'!$AZ$84</f>
        <v>24.762245107175954</v>
      </c>
      <c r="BC182" s="98" cm="1">
        <f t="array" ref="BC182">SUMPRODUCT(INDEX(AA182:BB182,,'TCO Inputs'!$AZ$12-2023+_xlfn.SEQUENCE('TCO Inputs'!$AZ$13))*INDEX('VKT US'!C72:AA72,,_xlfn.SEQUENCE('TCO Inputs'!$AZ$13)))*m2k*CONVERT(0.9072,"g","ton")</f>
        <v>22.008260113388676</v>
      </c>
      <c r="BM182" s="123" t="s">
        <v>194</v>
      </c>
      <c r="BN182" s="125">
        <f>BN70/293.07*(1/(VLOOKUP($BM182,'Fuel economy adjusted factor'!$A$2:$L$52,5,FALSE)*m2k))</f>
        <v>74.614731566206416</v>
      </c>
      <c r="BO182" s="125">
        <f>BO70/293.07*(1/(VLOOKUP($BM182,'Fuel economy adjusted factor'!$A$2:$L$52,5,FALSE)*m2k))</f>
        <v>74.614731566206416</v>
      </c>
      <c r="BP182" s="125">
        <f>BP70/293.07*(1/(VLOOKUP($BM182,'Fuel economy adjusted factor'!$A$2:$L$52,5,FALSE)*m2k))</f>
        <v>58.816724961371726</v>
      </c>
      <c r="BQ182" s="125">
        <f>BQ70/293.07*(1/(VLOOKUP($BM182,'Fuel economy adjusted factor'!$A$2:$L$52,5,FALSE)*m2k))</f>
        <v>58.816724961371726</v>
      </c>
      <c r="BR182" s="125">
        <f>BR70/293.07*(1/(VLOOKUP($BM182,'Fuel economy adjusted factor'!$A$2:$L$52,5,FALSE)*m2k))</f>
        <v>58.816724961371726</v>
      </c>
      <c r="BS182" s="125">
        <f>BS70/293.07*(1/(VLOOKUP($BM182,'Fuel economy adjusted factor'!$A$2:$L$52,5,FALSE)*m2k))</f>
        <v>58.816724961371726</v>
      </c>
      <c r="BT182" s="125">
        <f>BT70/293.07*(1/(VLOOKUP($BM182,'Fuel economy adjusted factor'!$A$2:$L$52,5,FALSE)*m2k))</f>
        <v>58.816724961371726</v>
      </c>
      <c r="BU182" s="125">
        <f>BU70/293.07*(1/(VLOOKUP($BM182,'Fuel economy adjusted factor'!$A$2:$L$52,5,FALSE)*m2k))</f>
        <v>3.3224460276164693</v>
      </c>
      <c r="BV182" s="125">
        <f>BV70/293.07*(1/(VLOOKUP($BM182,'Fuel economy adjusted factor'!$A$2:$L$52,5,FALSE)*m2k))</f>
        <v>3.3224460276164693</v>
      </c>
      <c r="BW182" s="125">
        <f>BW70/293.07*(1/(VLOOKUP($BM182,'Fuel economy adjusted factor'!$A$2:$L$52,5,FALSE)*m2k))</f>
        <v>3.3224460276164693</v>
      </c>
      <c r="BX182" s="125">
        <f>BX70/293.07*(1/(VLOOKUP($BM182,'Fuel economy adjusted factor'!$A$2:$L$52,5,FALSE)*m2k))</f>
        <v>3.3224460276164693</v>
      </c>
      <c r="BY182" s="125">
        <f>BY70/293.07*(1/(VLOOKUP($BM182,'Fuel economy adjusted factor'!$A$2:$L$52,5,FALSE)*m2k))</f>
        <v>3.3224460276164693</v>
      </c>
      <c r="BZ182" s="125">
        <f>BZ70/293.07*(1/(VLOOKUP($BM182,'Fuel economy adjusted factor'!$A$2:$L$52,5,FALSE)*m2k))</f>
        <v>3.4650501492587131</v>
      </c>
      <c r="CA182" s="125">
        <f>CA70/293.07*(1/(VLOOKUP($BM182,'Fuel economy adjusted factor'!$A$2:$L$52,5,FALSE)*m2k))</f>
        <v>3.4650501492587131</v>
      </c>
      <c r="CB182" s="125">
        <f>CB70/293.07*(1/(VLOOKUP($BM182,'Fuel economy adjusted factor'!$A$2:$L$52,5,FALSE)*m2k))</f>
        <v>3.4650501492587131</v>
      </c>
      <c r="CC182" s="125">
        <f>CC70/293.07*(1/(VLOOKUP($BM182,'Fuel economy adjusted factor'!$A$2:$L$52,5,FALSE)*m2k))</f>
        <v>3.4650501492587131</v>
      </c>
      <c r="CD182" s="125">
        <f>CD70/293.07*(1/(VLOOKUP($BM182,'Fuel economy adjusted factor'!$A$2:$L$52,5,FALSE)*m2k))</f>
        <v>3.4650501492587131</v>
      </c>
      <c r="CE182" s="125">
        <f>CE70/293.07*(1/(VLOOKUP($BM182,'Fuel economy adjusted factor'!$A$2:$L$52,5,FALSE)*m2k))</f>
        <v>3.5133515452988284</v>
      </c>
      <c r="CF182" s="125">
        <f>CF70/293.07*(1/(VLOOKUP($BM182,'Fuel economy adjusted factor'!$A$2:$L$52,5,FALSE)*m2k))</f>
        <v>3.5133515452988284</v>
      </c>
      <c r="CG182" s="125">
        <f>CG70/293.07*(1/(VLOOKUP($BM182,'Fuel economy adjusted factor'!$A$2:$L$52,5,FALSE)*m2k))</f>
        <v>3.5133515452988284</v>
      </c>
      <c r="CH182" s="125">
        <f>CH70/293.07*(1/(VLOOKUP($BM182,'Fuel economy adjusted factor'!$A$2:$L$52,5,FALSE)*m2k))</f>
        <v>3.5133515452988284</v>
      </c>
      <c r="CI182" s="125">
        <f>CI70/293.07*(1/(VLOOKUP($BM182,'Fuel economy adjusted factor'!$A$2:$L$52,5,FALSE)*m2k))</f>
        <v>3.5133515452988284</v>
      </c>
      <c r="CJ182" s="125">
        <f>CJ70/293.07*(1/(VLOOKUP($BM182,'Fuel economy adjusted factor'!$A$2:$L$52,5,FALSE)*m2k))</f>
        <v>3.6369801184967412</v>
      </c>
      <c r="CK182" s="125">
        <f>CK70/293.07*(1/(VLOOKUP($BM182,'Fuel economy adjusted factor'!$A$2:$L$52,5,FALSE)*m2k))</f>
        <v>3.6369801184967412</v>
      </c>
      <c r="CL182" s="125">
        <f>CL70/293.07*(1/(VLOOKUP($BM182,'Fuel economy adjusted factor'!$A$2:$L$52,5,FALSE)*m2k))</f>
        <v>3.6369801184967412</v>
      </c>
      <c r="CM182" s="125">
        <f>CM70/293.07*(1/(VLOOKUP($BM182,'Fuel economy adjusted factor'!$A$2:$L$52,5,FALSE)*m2k))</f>
        <v>3.6369801184967412</v>
      </c>
      <c r="CN182" s="125">
        <f>CN70/293.07*(1/(VLOOKUP($BM182,'Fuel economy adjusted factor'!$A$2:$L$52,5,FALSE)*m2k))</f>
        <v>3.6369801184967412</v>
      </c>
      <c r="CO182" s="125">
        <f>CO70/293.07*(1/(VLOOKUP($BM182,'Fuel economy adjusted factor'!$A$2:$L$52,5,FALSE)*m2k))</f>
        <v>3.7933846390075887</v>
      </c>
      <c r="CP182" s="98" cm="1">
        <f t="array" ref="CP182">SUMPRODUCT(INDEX(BN182:CO182,,'TCO Inputs'!$AZ$12-2023+_xlfn.SEQUENCE('TCO Inputs'!$AZ$13))*INDEX('VKT US'!C72:AA72,,_xlfn.SEQUENCE('TCO Inputs'!$AZ$13)))*m2k*CONVERT(0.9072,"g","ton")</f>
        <v>14.16438387560143</v>
      </c>
      <c r="CQ182" s="194"/>
      <c r="CR182" s="123" t="s">
        <v>194</v>
      </c>
      <c r="CS182" s="125">
        <f>CS70/293.07*(1/(VLOOKUP($BM182,'Fuel economy adjusted factor'!$A$2:$L$52,5,FALSE)*m2k))/'TCO Inputs'!$AZ$84</f>
        <v>87.782037136713427</v>
      </c>
      <c r="CT182" s="125">
        <f>CT70/293.07*(1/(VLOOKUP($BM182,'Fuel economy adjusted factor'!$A$2:$L$52,5,FALSE)*m2k))</f>
        <v>3.4938009802349721</v>
      </c>
      <c r="CU182" s="125">
        <f>CU70/293.07*(1/(VLOOKUP($BM182,'Fuel economy adjusted factor'!$A$2:$L$52,5,FALSE)*m2k))</f>
        <v>3.4938009802349721</v>
      </c>
      <c r="CV182" s="125">
        <f>CV70/293.07*(1/(VLOOKUP($BM182,'Fuel economy adjusted factor'!$A$2:$L$52,5,FALSE)*m2k))</f>
        <v>3.4938009802349721</v>
      </c>
      <c r="CW182" s="125">
        <f>CW70/293.07*(1/(VLOOKUP($BM182,'Fuel economy adjusted factor'!$A$2:$L$52,5,FALSE)*m2k))</f>
        <v>3.4938009802349721</v>
      </c>
      <c r="CX182" s="125">
        <f>CX70/293.07*(1/(VLOOKUP($BM182,'Fuel economy adjusted factor'!$A$2:$L$52,5,FALSE)*m2k))</f>
        <v>3.4938009802349721</v>
      </c>
      <c r="CY182" s="125">
        <f>CY70/293.07*(1/(VLOOKUP($BM182,'Fuel economy adjusted factor'!$A$2:$L$52,5,FALSE)*m2k))</f>
        <v>3.4938009802349721</v>
      </c>
      <c r="CZ182" s="125">
        <f>CZ70/293.07*(1/(VLOOKUP($BM182,'Fuel economy adjusted factor'!$A$2:$L$52,5,FALSE)*m2k))</f>
        <v>3.4938009802349721</v>
      </c>
      <c r="DA182" s="125">
        <f>DA70/293.07*(1/(VLOOKUP($BM182,'Fuel economy adjusted factor'!$A$2:$L$52,5,FALSE)*m2k))</f>
        <v>3.4938009802349721</v>
      </c>
      <c r="DB182" s="125">
        <f>DB70/293.07*(1/(VLOOKUP($BM182,'Fuel economy adjusted factor'!$A$2:$L$52,5,FALSE)*m2k))</f>
        <v>3.4938009802349721</v>
      </c>
      <c r="DC182" s="125">
        <f>DC70/293.07*(1/(VLOOKUP($BM182,'Fuel economy adjusted factor'!$A$2:$L$52,5,FALSE)*m2k))</f>
        <v>3.4938009802349721</v>
      </c>
      <c r="DD182" s="125">
        <f>DD70/293.07*(1/(VLOOKUP($BM182,'Fuel economy adjusted factor'!$A$2:$L$52,5,FALSE)*m2k))</f>
        <v>3.4938009802349721</v>
      </c>
      <c r="DE182" s="125">
        <f>DE70/293.07*(1/(VLOOKUP($BM182,'Fuel economy adjusted factor'!$A$2:$L$52,5,FALSE)*m2k))</f>
        <v>3.5938538720323532</v>
      </c>
      <c r="DF182" s="125">
        <f>DF70/293.07*(1/(VLOOKUP($BM182,'Fuel economy adjusted factor'!$A$2:$L$52,5,FALSE)*m2k))</f>
        <v>3.5938538720323532</v>
      </c>
      <c r="DG182" s="125">
        <f>DG70/293.07*(1/(VLOOKUP($BM182,'Fuel economy adjusted factor'!$A$2:$L$52,5,FALSE)*m2k))</f>
        <v>3.5938538720323532</v>
      </c>
      <c r="DH182" s="125">
        <f>DH70/293.07*(1/(VLOOKUP($BM182,'Fuel economy adjusted factor'!$A$2:$L$52,5,FALSE)*m2k))</f>
        <v>3.5938538720323532</v>
      </c>
      <c r="DI182" s="125">
        <f>DI70/293.07*(1/(VLOOKUP($BM182,'Fuel economy adjusted factor'!$A$2:$L$52,5,FALSE)*m2k))</f>
        <v>3.5938538720323532</v>
      </c>
      <c r="DJ182" s="125">
        <f>DJ70/293.07*(1/(VLOOKUP($BM182,'Fuel economy adjusted factor'!$A$2:$L$52,5,FALSE)*m2k))</f>
        <v>3.7807342733780351</v>
      </c>
      <c r="DK182" s="125">
        <f>DK70/293.07*(1/(VLOOKUP($BM182,'Fuel economy adjusted factor'!$A$2:$L$52,5,FALSE)*m2k))</f>
        <v>3.7807342733780351</v>
      </c>
      <c r="DL182" s="125">
        <f>DL70/293.07*(1/(VLOOKUP($BM182,'Fuel economy adjusted factor'!$A$2:$L$52,5,FALSE)*m2k))</f>
        <v>3.7807342733780351</v>
      </c>
      <c r="DM182" s="125">
        <f>DM70/293.07*(1/(VLOOKUP($BM182,'Fuel economy adjusted factor'!$A$2:$L$52,5,FALSE)*m2k))</f>
        <v>3.7807342733780351</v>
      </c>
      <c r="DN182" s="125">
        <f>DN70/293.07*(1/(VLOOKUP($BM182,'Fuel economy adjusted factor'!$A$2:$L$52,5,FALSE)*m2k))</f>
        <v>3.7807342733780351</v>
      </c>
      <c r="DO182" s="125">
        <f>DO70/293.07*(1/(VLOOKUP($BM182,'Fuel economy adjusted factor'!$A$2:$L$52,5,FALSE)*m2k))</f>
        <v>3.9043628465759483</v>
      </c>
      <c r="DP182" s="125">
        <f>DP70/293.07*(1/(VLOOKUP($BM182,'Fuel economy adjusted factor'!$A$2:$L$52,5,FALSE)*m2k))</f>
        <v>3.9043628465759483</v>
      </c>
      <c r="DQ182" s="125">
        <f>DQ70/293.07*(1/(VLOOKUP($BM182,'Fuel economy adjusted factor'!$A$2:$L$52,5,FALSE)*m2k))</f>
        <v>3.9043628465759483</v>
      </c>
      <c r="DR182" s="125">
        <f>DR70/293.07*(1/(VLOOKUP($BM182,'Fuel economy adjusted factor'!$A$2:$L$52,5,FALSE)*m2k))</f>
        <v>3.9043628465759483</v>
      </c>
      <c r="DS182" s="125">
        <f>DS70/293.07*(1/(VLOOKUP($BM182,'Fuel economy adjusted factor'!$A$2:$L$52,5,FALSE)*m2k))</f>
        <v>3.9043628465759483</v>
      </c>
      <c r="DT182" s="125">
        <f>DT70/293.07*(1/(VLOOKUP($BM182,'Fuel economy adjusted factor'!$A$2:$L$52,5,FALSE)*m2k))</f>
        <v>4.0613423837063216</v>
      </c>
      <c r="DU182" s="98" cm="1">
        <f t="array" ref="DU182">SUMPRODUCT(INDEX(CS182:DT182,,'TCO Inputs'!$AZ$12-2023+_xlfn.SEQUENCE('TCO Inputs'!$AZ$13))*INDEX('VKT US'!C72:AA72,,_xlfn.SEQUENCE('TCO Inputs'!$AZ$13)))*m2k*CONVERT(0.9072,"g","ton")</f>
        <v>4.1632701430475771</v>
      </c>
      <c r="DW182" s="123" t="s">
        <v>194</v>
      </c>
      <c r="DX182" s="125">
        <f>DX70/293.07*(1/(VLOOKUP($BM182,'Fuel economy adjusted factor'!$A$2:$L$52,5,FALSE)*m2k))/'TCO Inputs'!$AZ$84</f>
        <v>115.97574694398321</v>
      </c>
      <c r="DY182" s="125">
        <f>DY70/293.07*(1/(VLOOKUP($BM182,'Fuel economy adjusted factor'!$A$2:$L$52,5,FALSE)*m2k))/'TCO Inputs'!$AZ$84</f>
        <v>115.97574694398321</v>
      </c>
      <c r="DZ182" s="125">
        <f>DZ70/293.07*(1/(VLOOKUP($BM182,'Fuel economy adjusted factor'!$A$2:$L$52,5,FALSE)*m2k))/'TCO Inputs'!$AZ$84</f>
        <v>101.46464997505321</v>
      </c>
      <c r="EA182" s="125">
        <f>EA70/293.07*(1/(VLOOKUP($BM182,'Fuel economy adjusted factor'!$A$2:$L$52,5,FALSE)*m2k))/'TCO Inputs'!$AZ$84</f>
        <v>101.46464997505321</v>
      </c>
      <c r="EB182" s="125">
        <f>EB70/293.07*(1/(VLOOKUP($BM182,'Fuel economy adjusted factor'!$A$2:$L$52,5,FALSE)*m2k))/'TCO Inputs'!$AZ$84</f>
        <v>101.46464997505321</v>
      </c>
      <c r="EC182" s="125">
        <f>EC70/293.07*(1/(VLOOKUP($BM182,'Fuel economy adjusted factor'!$A$2:$L$52,5,FALSE)*m2k))/'TCO Inputs'!$AZ$84</f>
        <v>101.46464997505321</v>
      </c>
      <c r="ED182" s="125">
        <f>ED70/293.07*(1/(VLOOKUP($BM182,'Fuel economy adjusted factor'!$A$2:$L$52,5,FALSE)*m2k))/'TCO Inputs'!$AZ$84</f>
        <v>101.46464997505321</v>
      </c>
      <c r="EE182" s="125">
        <f>EE70/293.07*(1/(VLOOKUP($BM182,'Fuel economy adjusted factor'!$A$2:$L$52,5,FALSE)*m2k))/'TCO Inputs'!$AZ$84</f>
        <v>63.127408013958956</v>
      </c>
      <c r="EF182" s="125">
        <f>EF70/293.07*(1/(VLOOKUP($BM182,'Fuel economy adjusted factor'!$A$2:$L$52,5,FALSE)*m2k))/'TCO Inputs'!$AZ$84</f>
        <v>63.127408013958956</v>
      </c>
      <c r="EG182" s="125">
        <f>EG70/293.07*(1/(VLOOKUP($BM182,'Fuel economy adjusted factor'!$A$2:$L$52,5,FALSE)*m2k))/'TCO Inputs'!$AZ$84</f>
        <v>63.127408013958956</v>
      </c>
      <c r="EH182" s="125">
        <f>EH70/293.07*(1/(VLOOKUP($BM182,'Fuel economy adjusted factor'!$A$2:$L$52,5,FALSE)*m2k))/'TCO Inputs'!$AZ$84</f>
        <v>63.127408013958956</v>
      </c>
      <c r="EI182" s="125">
        <f>EI70/293.07*(1/(VLOOKUP($BM182,'Fuel economy adjusted factor'!$A$2:$L$52,5,FALSE)*m2k))/'TCO Inputs'!$AZ$84</f>
        <v>63.127408013958956</v>
      </c>
      <c r="EJ182" s="125">
        <f>EJ70/293.07*(1/(VLOOKUP($BM182,'Fuel economy adjusted factor'!$A$2:$L$52,5,FALSE)*m2k))/'TCO Inputs'!$AZ$84</f>
        <v>56.208898328540904</v>
      </c>
      <c r="EK182" s="125">
        <f>EK70/293.07*(1/(VLOOKUP($BM182,'Fuel economy adjusted factor'!$A$2:$L$52,5,FALSE)*m2k))/'TCO Inputs'!$AZ$84</f>
        <v>56.208898328540904</v>
      </c>
      <c r="EL182" s="125">
        <f>EL70/293.07*(1/(VLOOKUP($BM182,'Fuel economy adjusted factor'!$A$2:$L$52,5,FALSE)*m2k))/'TCO Inputs'!$AZ$84</f>
        <v>56.208898328540904</v>
      </c>
      <c r="EM182" s="125">
        <f>EM70/293.07*(1/(VLOOKUP($BM182,'Fuel economy adjusted factor'!$A$2:$L$52,5,FALSE)*m2k))/'TCO Inputs'!$AZ$84</f>
        <v>56.208898328540904</v>
      </c>
      <c r="EN182" s="125">
        <f>EN70/293.07*(1/(VLOOKUP($BM182,'Fuel economy adjusted factor'!$A$2:$L$52,5,FALSE)*m2k))/'TCO Inputs'!$AZ$84</f>
        <v>56.208898328540904</v>
      </c>
      <c r="EO182" s="125">
        <f>EO70/293.07*(1/(VLOOKUP($BM182,'Fuel economy adjusted factor'!$A$2:$L$52,5,FALSE)*m2k))/'TCO Inputs'!$AZ$84</f>
        <v>54.617485481522174</v>
      </c>
      <c r="EP182" s="125">
        <f>EP70/293.07*(1/(VLOOKUP($BM182,'Fuel economy adjusted factor'!$A$2:$L$52,5,FALSE)*m2k))/'TCO Inputs'!$AZ$84</f>
        <v>54.617485481522174</v>
      </c>
      <c r="EQ182" s="125">
        <f>EQ70/293.07*(1/(VLOOKUP($BM182,'Fuel economy adjusted factor'!$A$2:$L$52,5,FALSE)*m2k))/'TCO Inputs'!$AZ$84</f>
        <v>54.617485481522174</v>
      </c>
      <c r="ER182" s="125">
        <f>ER70/293.07*(1/(VLOOKUP($BM182,'Fuel economy adjusted factor'!$A$2:$L$52,5,FALSE)*m2k))/'TCO Inputs'!$AZ$84</f>
        <v>54.617485481522174</v>
      </c>
      <c r="ES182" s="125">
        <f>ES70/293.07*(1/(VLOOKUP($BM182,'Fuel economy adjusted factor'!$A$2:$L$52,5,FALSE)*m2k))/'TCO Inputs'!$AZ$84</f>
        <v>54.617485481522174</v>
      </c>
      <c r="ET182" s="125">
        <f>ET70/293.07*(1/(VLOOKUP($BM182,'Fuel economy adjusted factor'!$A$2:$L$52,5,FALSE)*m2k))/'TCO Inputs'!$AZ$84</f>
        <v>52.684529064144805</v>
      </c>
      <c r="EU182" s="125">
        <f>EU70/293.07*(1/(VLOOKUP($BM182,'Fuel economy adjusted factor'!$A$2:$L$52,5,FALSE)*m2k))/'TCO Inputs'!$AZ$84</f>
        <v>52.684529064144805</v>
      </c>
      <c r="EV182" s="125">
        <f>EV70/293.07*(1/(VLOOKUP($BM182,'Fuel economy adjusted factor'!$A$2:$L$52,5,FALSE)*m2k))/'TCO Inputs'!$AZ$84</f>
        <v>52.684529064144805</v>
      </c>
      <c r="EW182" s="125">
        <f>EW70/293.07*(1/(VLOOKUP($BM182,'Fuel economy adjusted factor'!$A$2:$L$52,5,FALSE)*m2k))/'TCO Inputs'!$AZ$84</f>
        <v>52.684529064144805</v>
      </c>
      <c r="EX182" s="125">
        <f>EX70/293.07*(1/(VLOOKUP($BM182,'Fuel economy adjusted factor'!$A$2:$L$52,5,FALSE)*m2k))/'TCO Inputs'!$AZ$84</f>
        <v>52.684529064144805</v>
      </c>
      <c r="EY182" s="125">
        <f>EY70/293.07*(1/(VLOOKUP($BM182,'Fuel economy adjusted factor'!$A$2:$L$52,5,FALSE)*m2k))/'TCO Inputs'!$AZ$84</f>
        <v>49.604084536281974</v>
      </c>
      <c r="EZ182" s="98" cm="1">
        <f t="array" ref="EZ182">SUMPRODUCT(INDEX(DX182:EY182,,'TCO Inputs'!$AZ$12-2023+_xlfn.SEQUENCE('TCO Inputs'!$AZ$13))*INDEX('VKT US'!C72:AA72,,_xlfn.SEQUENCE('TCO Inputs'!$AZ$13)))*m2k*CONVERT(0.9072,"g","ton")</f>
        <v>33.272375423534875</v>
      </c>
      <c r="FB182" s="123" t="s">
        <v>194</v>
      </c>
      <c r="FC182" s="125">
        <f>FC70/293.07*(1/(VLOOKUP($BM182,'Fuel economy adjusted factor'!$A$2:$L$52,5,FALSE)*m2k))/'TCO Inputs'!$AZ$84</f>
        <v>125.37106180149836</v>
      </c>
      <c r="FD182" s="125">
        <f>FD70/293.07*(1/(VLOOKUP($BM182,'Fuel economy adjusted factor'!$A$2:$L$52,5,FALSE)*m2k))/'TCO Inputs'!$AZ$84</f>
        <v>125.37106180149836</v>
      </c>
      <c r="FE182" s="125">
        <f>FE70/293.07*(1/(VLOOKUP($BM182,'Fuel economy adjusted factor'!$A$2:$L$52,5,FALSE)*m2k))/'TCO Inputs'!$AZ$84</f>
        <v>109.30295205738432</v>
      </c>
      <c r="FF182" s="125">
        <f>FF70/293.07*(1/(VLOOKUP($BM182,'Fuel economy adjusted factor'!$A$2:$L$52,5,FALSE)*m2k))/'TCO Inputs'!$AZ$84</f>
        <v>109.30295205738432</v>
      </c>
      <c r="FG182" s="125">
        <f>FG70/293.07*(1/(VLOOKUP($BM182,'Fuel economy adjusted factor'!$A$2:$L$52,5,FALSE)*m2k))/'TCO Inputs'!$AZ$84</f>
        <v>109.30295205738432</v>
      </c>
      <c r="FH182" s="125">
        <f>FH70/293.07*(1/(VLOOKUP($BM182,'Fuel economy adjusted factor'!$A$2:$L$52,5,FALSE)*m2k))/'TCO Inputs'!$AZ$84</f>
        <v>109.30295205738432</v>
      </c>
      <c r="FI182" s="125">
        <f>FI70/293.07*(1/(VLOOKUP($BM182,'Fuel economy adjusted factor'!$A$2:$L$52,5,FALSE)*m2k))/'TCO Inputs'!$AZ$84</f>
        <v>109.30295205738432</v>
      </c>
      <c r="FJ182" s="125">
        <f>FJ70/293.07*(1/(VLOOKUP($BM182,'Fuel economy adjusted factor'!$A$2:$L$52,5,FALSE)*m2k))/'TCO Inputs'!$AZ$84</f>
        <v>69.135134845087364</v>
      </c>
      <c r="FK182" s="125">
        <f>FK70/293.07*(1/(VLOOKUP($BM182,'Fuel economy adjusted factor'!$A$2:$L$52,5,FALSE)*m2k))/'TCO Inputs'!$AZ$84</f>
        <v>69.135134845087364</v>
      </c>
      <c r="FL182" s="125">
        <f>FL70/293.07*(1/(VLOOKUP($BM182,'Fuel economy adjusted factor'!$A$2:$L$52,5,FALSE)*m2k))/'TCO Inputs'!$AZ$84</f>
        <v>69.135134845087364</v>
      </c>
      <c r="FM182" s="125">
        <f>FM70/293.07*(1/(VLOOKUP($BM182,'Fuel economy adjusted factor'!$A$2:$L$52,5,FALSE)*m2k))/'TCO Inputs'!$AZ$84</f>
        <v>69.135134845087364</v>
      </c>
      <c r="FN182" s="125">
        <f>FN70/293.07*(1/(VLOOKUP($BM182,'Fuel economy adjusted factor'!$A$2:$L$52,5,FALSE)*m2k))/'TCO Inputs'!$AZ$84</f>
        <v>69.135134845087364</v>
      </c>
      <c r="FO182" s="125">
        <f>FO70/293.07*(1/(VLOOKUP($BM182,'Fuel economy adjusted factor'!$A$2:$L$52,5,FALSE)*m2k))/'TCO Inputs'!$AZ$84</f>
        <v>61.23376596439266</v>
      </c>
      <c r="FP182" s="125">
        <f>FP70/293.07*(1/(VLOOKUP($BM182,'Fuel economy adjusted factor'!$A$2:$L$52,5,FALSE)*m2k))/'TCO Inputs'!$AZ$84</f>
        <v>61.23376596439266</v>
      </c>
      <c r="FQ182" s="125">
        <f>FQ70/293.07*(1/(VLOOKUP($BM182,'Fuel economy adjusted factor'!$A$2:$L$52,5,FALSE)*m2k))/'TCO Inputs'!$AZ$84</f>
        <v>61.23376596439266</v>
      </c>
      <c r="FR182" s="125">
        <f>FR70/293.07*(1/(VLOOKUP($BM182,'Fuel economy adjusted factor'!$A$2:$L$52,5,FALSE)*m2k))/'TCO Inputs'!$AZ$84</f>
        <v>61.23376596439266</v>
      </c>
      <c r="FS182" s="125">
        <f>FS70/293.07*(1/(VLOOKUP($BM182,'Fuel economy adjusted factor'!$A$2:$L$52,5,FALSE)*m2k))/'TCO Inputs'!$AZ$84</f>
        <v>61.23376596439266</v>
      </c>
      <c r="FT182" s="125">
        <f>FT70/293.07*(1/(VLOOKUP($BM182,'Fuel economy adjusted factor'!$A$2:$L$52,5,FALSE)*m2k))/'TCO Inputs'!$AZ$84</f>
        <v>59.835648759111663</v>
      </c>
      <c r="FU182" s="125">
        <f>FU70/293.07*(1/(VLOOKUP($BM182,'Fuel economy adjusted factor'!$A$2:$L$52,5,FALSE)*m2k))/'TCO Inputs'!$AZ$84</f>
        <v>59.835648759111663</v>
      </c>
      <c r="FV182" s="125">
        <f>FV70/293.07*(1/(VLOOKUP($BM182,'Fuel economy adjusted factor'!$A$2:$L$52,5,FALSE)*m2k))/'TCO Inputs'!$AZ$84</f>
        <v>59.835648759111663</v>
      </c>
      <c r="FW182" s="125">
        <f>FW70/293.07*(1/(VLOOKUP($BM182,'Fuel economy adjusted factor'!$A$2:$L$52,5,FALSE)*m2k))/'TCO Inputs'!$AZ$84</f>
        <v>59.835648759111663</v>
      </c>
      <c r="FX182" s="125">
        <f>FX70/293.07*(1/(VLOOKUP($BM182,'Fuel economy adjusted factor'!$A$2:$L$52,5,FALSE)*m2k))/'TCO Inputs'!$AZ$84</f>
        <v>59.835648759111663</v>
      </c>
      <c r="FY182" s="125">
        <f>FY70/293.07*(1/(VLOOKUP($BM182,'Fuel economy adjusted factor'!$A$2:$L$52,5,FALSE)*m2k))/'TCO Inputs'!$AZ$84</f>
        <v>57.899416144416712</v>
      </c>
      <c r="FZ182" s="125">
        <f>FZ70/293.07*(1/(VLOOKUP($BM182,'Fuel economy adjusted factor'!$A$2:$L$52,5,FALSE)*m2k))/'TCO Inputs'!$AZ$84</f>
        <v>57.899416144416712</v>
      </c>
      <c r="GA182" s="125">
        <f>GA70/293.07*(1/(VLOOKUP($BM182,'Fuel economy adjusted factor'!$A$2:$L$52,5,FALSE)*m2k))/'TCO Inputs'!$AZ$84</f>
        <v>57.899416144416712</v>
      </c>
      <c r="GB182" s="125">
        <f>GB70/293.07*(1/(VLOOKUP($BM182,'Fuel economy adjusted factor'!$A$2:$L$52,5,FALSE)*m2k))/'TCO Inputs'!$AZ$84</f>
        <v>57.899416144416712</v>
      </c>
      <c r="GC182" s="125">
        <f>GC70/293.07*(1/(VLOOKUP($BM182,'Fuel economy adjusted factor'!$A$2:$L$52,5,FALSE)*m2k))/'TCO Inputs'!$AZ$84</f>
        <v>57.899416144416712</v>
      </c>
      <c r="GD182" s="125">
        <f>GD70/293.07*(1/(VLOOKUP($BM182,'Fuel economy adjusted factor'!$A$2:$L$52,5,FALSE)*m2k))/'TCO Inputs'!$AZ$84</f>
        <v>54.714133302391048</v>
      </c>
      <c r="GE182" s="98" cm="1">
        <f t="array" ref="GE182">SUMPRODUCT(INDEX(FC182:GD182,,'TCO Inputs'!$AZ$12-2023+_xlfn.SEQUENCE('TCO Inputs'!$AZ$13))*INDEX('VKT US'!C72:AA72,,_xlfn.SEQUENCE('TCO Inputs'!$AZ$13)))*m2k*CONVERT(0.9072,"g","ton")</f>
        <v>36.047628018725618</v>
      </c>
      <c r="GH182" s="123" t="s">
        <v>194</v>
      </c>
      <c r="GI182" s="125">
        <f>GI70/293.07*(1/(VLOOKUP($GH182,'Fuel economy adjusted factor'!$A$2:$L$52,5,FALSE)*m2k))/'TCO Inputs'!$AZ$84</f>
        <v>220.70490837657508</v>
      </c>
      <c r="GJ182" s="125">
        <f>GJ70/293.07*(1/(VLOOKUP($GH182,'Fuel economy adjusted factor'!$A$2:$L$52,5,FALSE)*m2k))/'TCO Inputs'!$AZ$84</f>
        <v>220.70490837657508</v>
      </c>
      <c r="GK182" s="125">
        <f>GK70/293.07*(1/(VLOOKUP($GH182,'Fuel economy adjusted factor'!$A$2:$L$52,5,FALSE)*m2k))/'TCO Inputs'!$AZ$84</f>
        <v>220.70490837657508</v>
      </c>
      <c r="GL182" s="125">
        <f>GL70/293.07*(1/(VLOOKUP($GH182,'Fuel economy adjusted factor'!$A$2:$L$52,5,FALSE)*m2k))/'TCO Inputs'!$AZ$84</f>
        <v>220.70490837657508</v>
      </c>
      <c r="GM182" s="125">
        <f>GM70/293.07*(1/(VLOOKUP($GH182,'Fuel economy adjusted factor'!$A$2:$L$52,5,FALSE)*m2k))/'TCO Inputs'!$AZ$84</f>
        <v>220.70490837657508</v>
      </c>
      <c r="GN182" s="125">
        <f>GN70/293.07*(1/(VLOOKUP($GH182,'Fuel economy adjusted factor'!$A$2:$L$52,5,FALSE)*m2k))/'TCO Inputs'!$AZ$84</f>
        <v>220.70490837657508</v>
      </c>
      <c r="GO182" s="125">
        <f>GO70/293.07*(1/(VLOOKUP($GH182,'Fuel economy adjusted factor'!$A$2:$L$52,5,FALSE)*m2k))/'TCO Inputs'!$AZ$84</f>
        <v>220.70490837657508</v>
      </c>
      <c r="GP182" s="125">
        <f>GP70/293.07*(1/(VLOOKUP($GH182,'Fuel economy adjusted factor'!$A$2:$L$52,5,FALSE)*m2k))/'TCO Inputs'!$AZ$84</f>
        <v>220.70490837657508</v>
      </c>
      <c r="GQ182" s="125">
        <f>GQ70/293.07*(1/(VLOOKUP($GH182,'Fuel economy adjusted factor'!$A$2:$L$52,5,FALSE)*m2k))/'TCO Inputs'!$AZ$84</f>
        <v>220.70490837657508</v>
      </c>
      <c r="GR182" s="125">
        <f>GR70/293.07*(1/(VLOOKUP($GH182,'Fuel economy adjusted factor'!$A$2:$L$52,5,FALSE)*m2k))/'TCO Inputs'!$AZ$84</f>
        <v>220.70490837657508</v>
      </c>
      <c r="GS182" s="125">
        <f>GS70/293.07*(1/(VLOOKUP($GH182,'Fuel economy adjusted factor'!$A$2:$L$52,5,FALSE)*m2k))/'TCO Inputs'!$AZ$84</f>
        <v>220.70490837657508</v>
      </c>
      <c r="GT182" s="125">
        <f>GT70/293.07*(1/(VLOOKUP($GH182,'Fuel economy adjusted factor'!$A$2:$L$52,5,FALSE)*m2k))/'TCO Inputs'!$AZ$84</f>
        <v>220.70490837657508</v>
      </c>
      <c r="GU182" s="125">
        <f>GU70/293.07*(1/(VLOOKUP($GH182,'Fuel economy adjusted factor'!$A$2:$L$52,5,FALSE)*m2k))/'TCO Inputs'!$AZ$84</f>
        <v>220.70490837657508</v>
      </c>
      <c r="GV182" s="125">
        <f>GV70/293.07*(1/(VLOOKUP($GH182,'Fuel economy adjusted factor'!$A$2:$L$52,5,FALSE)*m2k))/'TCO Inputs'!$AZ$84</f>
        <v>220.70490837657508</v>
      </c>
      <c r="GW182" s="125">
        <f>GW70/293.07*(1/(VLOOKUP($GH182,'Fuel economy adjusted factor'!$A$2:$L$52,5,FALSE)*m2k))/'TCO Inputs'!$AZ$84</f>
        <v>220.70490837657508</v>
      </c>
      <c r="GX182" s="125">
        <f>GX70/293.07*(1/(VLOOKUP($GH182,'Fuel economy adjusted factor'!$A$2:$L$52,5,FALSE)*m2k))/'TCO Inputs'!$AZ$84</f>
        <v>220.70490837657508</v>
      </c>
      <c r="GY182" s="125">
        <f>GY70/293.07*(1/(VLOOKUP($GH182,'Fuel economy adjusted factor'!$A$2:$L$52,5,FALSE)*m2k))/'TCO Inputs'!$AZ$84</f>
        <v>220.70490837657508</v>
      </c>
      <c r="GZ182" s="125">
        <f>GZ70/293.07*(1/(VLOOKUP($GH182,'Fuel economy adjusted factor'!$A$2:$L$52,5,FALSE)*m2k))/'TCO Inputs'!$AZ$84</f>
        <v>220.70490837657508</v>
      </c>
      <c r="HA182" s="125">
        <f>HA70/293.07*(1/(VLOOKUP($GH182,'Fuel economy adjusted factor'!$A$2:$L$52,5,FALSE)*m2k))/'TCO Inputs'!$AZ$84</f>
        <v>220.70490837657508</v>
      </c>
      <c r="HB182" s="125">
        <f>HB70/293.07*(1/(VLOOKUP($GH182,'Fuel economy adjusted factor'!$A$2:$L$52,5,FALSE)*m2k))/'TCO Inputs'!$AZ$84</f>
        <v>220.70490837657508</v>
      </c>
      <c r="HC182" s="125">
        <f>HC70/293.07*(1/(VLOOKUP($GH182,'Fuel economy adjusted factor'!$A$2:$L$52,5,FALSE)*m2k))/'TCO Inputs'!$AZ$84</f>
        <v>220.70490837657508</v>
      </c>
      <c r="HD182" s="125">
        <f>HD70/293.07*(1/(VLOOKUP($GH182,'Fuel economy adjusted factor'!$A$2:$L$52,5,FALSE)*m2k))/'TCO Inputs'!$AZ$84</f>
        <v>220.70490837657508</v>
      </c>
      <c r="HE182" s="125">
        <f>HE70/293.07*(1/(VLOOKUP($GH182,'Fuel economy adjusted factor'!$A$2:$L$52,5,FALSE)*m2k))/'TCO Inputs'!$AZ$84</f>
        <v>220.70490837657508</v>
      </c>
      <c r="HF182" s="125">
        <f>HF70/293.07*(1/(VLOOKUP($GH182,'Fuel economy adjusted factor'!$A$2:$L$52,5,FALSE)*m2k))/'TCO Inputs'!$AZ$84</f>
        <v>220.70490837657508</v>
      </c>
      <c r="HG182" s="125">
        <f>HG70/293.07*(1/(VLOOKUP($GH182,'Fuel economy adjusted factor'!$A$2:$L$52,5,FALSE)*m2k))/'TCO Inputs'!$AZ$84</f>
        <v>220.70490837657508</v>
      </c>
      <c r="HH182" s="125">
        <f>HH70/293.07*(1/(VLOOKUP($GH182,'Fuel economy adjusted factor'!$A$2:$L$52,5,FALSE)*m2k))/'TCO Inputs'!$AZ$84</f>
        <v>220.70490837657508</v>
      </c>
      <c r="HI182" s="125">
        <f>HI70/293.07*(1/(VLOOKUP($GH182,'Fuel economy adjusted factor'!$A$2:$L$52,5,FALSE)*m2k))/'TCO Inputs'!$AZ$84</f>
        <v>220.70490837657508</v>
      </c>
      <c r="HJ182" s="125">
        <f>HJ70/293.07*(1/(VLOOKUP($GH182,'Fuel economy adjusted factor'!$A$2:$L$52,5,FALSE)*m2k))/'TCO Inputs'!$AZ$84</f>
        <v>220.70490837657508</v>
      </c>
      <c r="HK182" s="98" cm="1">
        <f t="array" ref="HK182">SUMPRODUCT(INDEX(GI182:HJ182,,'TCO Inputs'!$AZ$12-2023+_xlfn.SEQUENCE('TCO Inputs'!$AZ$13))*INDEX('VKT US'!C72:AA72,,_xlfn.SEQUENCE('TCO Inputs'!$AZ$13)))*m2k*CONVERT(0.9072,"g","ton")</f>
        <v>85.54166827963293</v>
      </c>
    </row>
    <row r="183" spans="26:219" x14ac:dyDescent="0.25">
      <c r="Z183" s="123" t="s">
        <v>233</v>
      </c>
      <c r="AA183" s="125">
        <f>AA71/293.07*(1/(VLOOKUP($Z183,'Fuel economy adjusted factor'!$A$2:$L$52,5,FALSE)*m2k))/'TCO Inputs'!$AZ$84</f>
        <v>189.22375909220003</v>
      </c>
      <c r="AB183" s="125">
        <f>AB71/293.07*(1/(VLOOKUP($Z183,'Fuel economy adjusted factor'!$A$2:$L$52,5,FALSE)*m2k))/'TCO Inputs'!$AZ$84</f>
        <v>189.22375909220003</v>
      </c>
      <c r="AC183" s="125">
        <f>AC71/293.07*(1/(VLOOKUP($Z183,'Fuel economy adjusted factor'!$A$2:$L$52,5,FALSE)*m2k))/'TCO Inputs'!$AZ$84</f>
        <v>166.20385125371644</v>
      </c>
      <c r="AD183" s="125">
        <f>AD71/293.07*(1/(VLOOKUP($Z183,'Fuel economy adjusted factor'!$A$2:$L$52,5,FALSE)*m2k))/'TCO Inputs'!$AZ$84</f>
        <v>166.20385125371644</v>
      </c>
      <c r="AE183" s="125">
        <f>AE71/293.07*(1/(VLOOKUP($Z183,'Fuel economy adjusted factor'!$A$2:$L$52,5,FALSE)*m2k))/'TCO Inputs'!$AZ$84</f>
        <v>166.20385125371644</v>
      </c>
      <c r="AF183" s="125">
        <f>AF71/293.07*(1/(VLOOKUP($Z183,'Fuel economy adjusted factor'!$A$2:$L$52,5,FALSE)*m2k))/'TCO Inputs'!$AZ$84</f>
        <v>166.20385125371644</v>
      </c>
      <c r="AG183" s="125">
        <f>AG71/293.07*(1/(VLOOKUP($Z183,'Fuel economy adjusted factor'!$A$2:$L$52,5,FALSE)*m2k))/'TCO Inputs'!$AZ$84</f>
        <v>166.20385125371644</v>
      </c>
      <c r="AH183" s="125">
        <f>AH71/293.07*(1/(VLOOKUP($Z183,'Fuel economy adjusted factor'!$A$2:$L$52,5,FALSE)*m2k))/'TCO Inputs'!$AZ$84</f>
        <v>62.837377972133318</v>
      </c>
      <c r="AI183" s="125">
        <f>AI71/293.07*(1/(VLOOKUP($Z183,'Fuel economy adjusted factor'!$A$2:$L$52,5,FALSE)*m2k))/'TCO Inputs'!$AZ$84</f>
        <v>62.837377972133318</v>
      </c>
      <c r="AJ183" s="125">
        <f>AJ71/293.07*(1/(VLOOKUP($Z183,'Fuel economy adjusted factor'!$A$2:$L$52,5,FALSE)*m2k))/'TCO Inputs'!$AZ$84</f>
        <v>62.837377972133318</v>
      </c>
      <c r="AK183" s="125">
        <f>AK71/293.07*(1/(VLOOKUP($Z183,'Fuel economy adjusted factor'!$A$2:$L$52,5,FALSE)*m2k))/'TCO Inputs'!$AZ$84</f>
        <v>62.837377972133318</v>
      </c>
      <c r="AL183" s="125">
        <f>AL71/293.07*(1/(VLOOKUP($Z183,'Fuel economy adjusted factor'!$A$2:$L$52,5,FALSE)*m2k))/'TCO Inputs'!$AZ$84</f>
        <v>62.837377972133318</v>
      </c>
      <c r="AM183" s="125">
        <f>AM71/293.07*(1/(VLOOKUP($Z183,'Fuel economy adjusted factor'!$A$2:$L$52,5,FALSE)*m2k))/'TCO Inputs'!$AZ$84</f>
        <v>52.814837330178563</v>
      </c>
      <c r="AN183" s="125">
        <f>AN71/293.07*(1/(VLOOKUP($Z183,'Fuel economy adjusted factor'!$A$2:$L$52,5,FALSE)*m2k))/'TCO Inputs'!$AZ$84</f>
        <v>52.814837330178563</v>
      </c>
      <c r="AO183" s="125">
        <f>AO71/293.07*(1/(VLOOKUP($Z183,'Fuel economy adjusted factor'!$A$2:$L$52,5,FALSE)*m2k))/'TCO Inputs'!$AZ$84</f>
        <v>52.814837330178563</v>
      </c>
      <c r="AP183" s="125">
        <f>AP71/293.07*(1/(VLOOKUP($Z183,'Fuel economy adjusted factor'!$A$2:$L$52,5,FALSE)*m2k))/'TCO Inputs'!$AZ$84</f>
        <v>52.814837330178563</v>
      </c>
      <c r="AQ183" s="125">
        <f>AQ71/293.07*(1/(VLOOKUP($Z183,'Fuel economy adjusted factor'!$A$2:$L$52,5,FALSE)*m2k))/'TCO Inputs'!$AZ$84</f>
        <v>52.814837330178563</v>
      </c>
      <c r="AR183" s="125">
        <f>AR71/293.07*(1/(VLOOKUP($Z183,'Fuel economy adjusted factor'!$A$2:$L$52,5,FALSE)*m2k))/'TCO Inputs'!$AZ$84</f>
        <v>52.814837330178563</v>
      </c>
      <c r="AS183" s="125">
        <f>AS71/293.07*(1/(VLOOKUP($Z183,'Fuel economy adjusted factor'!$A$2:$L$52,5,FALSE)*m2k))/'TCO Inputs'!$AZ$84</f>
        <v>52.814837330178563</v>
      </c>
      <c r="AT183" s="125">
        <f>AT71/293.07*(1/(VLOOKUP($Z183,'Fuel economy adjusted factor'!$A$2:$L$52,5,FALSE)*m2k))/'TCO Inputs'!$AZ$84</f>
        <v>52.814837330178563</v>
      </c>
      <c r="AU183" s="125">
        <f>AU71/293.07*(1/(VLOOKUP($Z183,'Fuel economy adjusted factor'!$A$2:$L$52,5,FALSE)*m2k))/'TCO Inputs'!$AZ$84</f>
        <v>52.814837330178563</v>
      </c>
      <c r="AV183" s="125">
        <f>AV71/293.07*(1/(VLOOKUP($Z183,'Fuel economy adjusted factor'!$A$2:$L$52,5,FALSE)*m2k))/'TCO Inputs'!$AZ$84</f>
        <v>52.814837330178563</v>
      </c>
      <c r="AW183" s="125">
        <f>AW71/293.07*(1/(VLOOKUP($Z183,'Fuel economy adjusted factor'!$A$2:$L$52,5,FALSE)*m2k))/'TCO Inputs'!$AZ$84</f>
        <v>53.064197791370809</v>
      </c>
      <c r="AX183" s="125">
        <f>AX71/293.07*(1/(VLOOKUP($Z183,'Fuel economy adjusted factor'!$A$2:$L$52,5,FALSE)*m2k))/'TCO Inputs'!$AZ$84</f>
        <v>53.064197791370809</v>
      </c>
      <c r="AY183" s="125">
        <f>AY71/293.07*(1/(VLOOKUP($Z183,'Fuel economy adjusted factor'!$A$2:$L$52,5,FALSE)*m2k))/'TCO Inputs'!$AZ$84</f>
        <v>53.064197791370809</v>
      </c>
      <c r="AZ183" s="125">
        <f>AZ71/293.07*(1/(VLOOKUP($Z183,'Fuel economy adjusted factor'!$A$2:$L$52,5,FALSE)*m2k))/'TCO Inputs'!$AZ$84</f>
        <v>53.064197791370809</v>
      </c>
      <c r="BA183" s="125">
        <f>BA71/293.07*(1/(VLOOKUP($Z183,'Fuel economy adjusted factor'!$A$2:$L$52,5,FALSE)*m2k))/'TCO Inputs'!$AZ$84</f>
        <v>53.064197791370809</v>
      </c>
      <c r="BB183" s="125">
        <f>BB71/293.07*(1/(VLOOKUP($Z183,'Fuel economy adjusted factor'!$A$2:$L$52,5,FALSE)*m2k))/'TCO Inputs'!$AZ$84</f>
        <v>53.377721178249935</v>
      </c>
      <c r="BC183" s="98" cm="1">
        <f t="array" ref="BC183">SUMPRODUCT(INDEX(AA183:BB183,,'TCO Inputs'!$AZ$12-2023+_xlfn.SEQUENCE('TCO Inputs'!$AZ$13))*INDEX('VKT US'!C73:AA73,,_xlfn.SEQUENCE('TCO Inputs'!$AZ$13)))*m2k*CONVERT(0.9072,"g","ton")</f>
        <v>30.243962916169785</v>
      </c>
      <c r="BM183" s="123" t="s">
        <v>233</v>
      </c>
      <c r="BN183" s="125">
        <f>BN71/293.07*(1/(VLOOKUP($BM183,'Fuel economy adjusted factor'!$A$2:$L$52,5,FALSE)*m2k))</f>
        <v>160.84019522837002</v>
      </c>
      <c r="BO183" s="125">
        <f>BO71/293.07*(1/(VLOOKUP($BM183,'Fuel economy adjusted factor'!$A$2:$L$52,5,FALSE)*m2k))</f>
        <v>160.84019522837002</v>
      </c>
      <c r="BP183" s="125">
        <f>BP71/293.07*(1/(VLOOKUP($BM183,'Fuel economy adjusted factor'!$A$2:$L$52,5,FALSE)*m2k))</f>
        <v>126.78586824488316</v>
      </c>
      <c r="BQ183" s="125">
        <f>BQ71/293.07*(1/(VLOOKUP($BM183,'Fuel economy adjusted factor'!$A$2:$L$52,5,FALSE)*m2k))</f>
        <v>126.78586824488316</v>
      </c>
      <c r="BR183" s="125">
        <f>BR71/293.07*(1/(VLOOKUP($BM183,'Fuel economy adjusted factor'!$A$2:$L$52,5,FALSE)*m2k))</f>
        <v>126.78586824488316</v>
      </c>
      <c r="BS183" s="125">
        <f>BS71/293.07*(1/(VLOOKUP($BM183,'Fuel economy adjusted factor'!$A$2:$L$52,5,FALSE)*m2k))</f>
        <v>126.78586824488316</v>
      </c>
      <c r="BT183" s="125">
        <f>BT71/293.07*(1/(VLOOKUP($BM183,'Fuel economy adjusted factor'!$A$2:$L$52,5,FALSE)*m2k))</f>
        <v>126.78586824488316</v>
      </c>
      <c r="BU183" s="125">
        <f>BU71/293.07*(1/(VLOOKUP($BM183,'Fuel economy adjusted factor'!$A$2:$L$52,5,FALSE)*m2k))</f>
        <v>7.1618949301371124</v>
      </c>
      <c r="BV183" s="125">
        <f>BV71/293.07*(1/(VLOOKUP($BM183,'Fuel economy adjusted factor'!$A$2:$L$52,5,FALSE)*m2k))</f>
        <v>7.1618949301371124</v>
      </c>
      <c r="BW183" s="125">
        <f>BW71/293.07*(1/(VLOOKUP($BM183,'Fuel economy adjusted factor'!$A$2:$L$52,5,FALSE)*m2k))</f>
        <v>7.1618949301371124</v>
      </c>
      <c r="BX183" s="125">
        <f>BX71/293.07*(1/(VLOOKUP($BM183,'Fuel economy adjusted factor'!$A$2:$L$52,5,FALSE)*m2k))</f>
        <v>7.1618949301371124</v>
      </c>
      <c r="BY183" s="125">
        <f>BY71/293.07*(1/(VLOOKUP($BM183,'Fuel economy adjusted factor'!$A$2:$L$52,5,FALSE)*m2k))</f>
        <v>7.1618949301371124</v>
      </c>
      <c r="BZ183" s="125">
        <f>BZ71/293.07*(1/(VLOOKUP($BM183,'Fuel economy adjusted factor'!$A$2:$L$52,5,FALSE)*m2k))</f>
        <v>7.4692936741097693</v>
      </c>
      <c r="CA183" s="125">
        <f>CA71/293.07*(1/(VLOOKUP($BM183,'Fuel economy adjusted factor'!$A$2:$L$52,5,FALSE)*m2k))</f>
        <v>7.4692936741097693</v>
      </c>
      <c r="CB183" s="125">
        <f>CB71/293.07*(1/(VLOOKUP($BM183,'Fuel economy adjusted factor'!$A$2:$L$52,5,FALSE)*m2k))</f>
        <v>7.4692936741097693</v>
      </c>
      <c r="CC183" s="125">
        <f>CC71/293.07*(1/(VLOOKUP($BM183,'Fuel economy adjusted factor'!$A$2:$L$52,5,FALSE)*m2k))</f>
        <v>7.4692936741097693</v>
      </c>
      <c r="CD183" s="125">
        <f>CD71/293.07*(1/(VLOOKUP($BM183,'Fuel economy adjusted factor'!$A$2:$L$52,5,FALSE)*m2k))</f>
        <v>7.4692936741097693</v>
      </c>
      <c r="CE183" s="125">
        <f>CE71/293.07*(1/(VLOOKUP($BM183,'Fuel economy adjusted factor'!$A$2:$L$52,5,FALSE)*m2k))</f>
        <v>7.5734126035198619</v>
      </c>
      <c r="CF183" s="125">
        <f>CF71/293.07*(1/(VLOOKUP($BM183,'Fuel economy adjusted factor'!$A$2:$L$52,5,FALSE)*m2k))</f>
        <v>7.5734126035198619</v>
      </c>
      <c r="CG183" s="125">
        <f>CG71/293.07*(1/(VLOOKUP($BM183,'Fuel economy adjusted factor'!$A$2:$L$52,5,FALSE)*m2k))</f>
        <v>7.5734126035198619</v>
      </c>
      <c r="CH183" s="125">
        <f>CH71/293.07*(1/(VLOOKUP($BM183,'Fuel economy adjusted factor'!$A$2:$L$52,5,FALSE)*m2k))</f>
        <v>7.5734126035198619</v>
      </c>
      <c r="CI183" s="125">
        <f>CI71/293.07*(1/(VLOOKUP($BM183,'Fuel economy adjusted factor'!$A$2:$L$52,5,FALSE)*m2k))</f>
        <v>7.5734126035198619</v>
      </c>
      <c r="CJ183" s="125">
        <f>CJ71/293.07*(1/(VLOOKUP($BM183,'Fuel economy adjusted factor'!$A$2:$L$52,5,FALSE)*m2k))</f>
        <v>7.8399074823671242</v>
      </c>
      <c r="CK183" s="125">
        <f>CK71/293.07*(1/(VLOOKUP($BM183,'Fuel economy adjusted factor'!$A$2:$L$52,5,FALSE)*m2k))</f>
        <v>7.8399074823671242</v>
      </c>
      <c r="CL183" s="125">
        <f>CL71/293.07*(1/(VLOOKUP($BM183,'Fuel economy adjusted factor'!$A$2:$L$52,5,FALSE)*m2k))</f>
        <v>7.8399074823671242</v>
      </c>
      <c r="CM183" s="125">
        <f>CM71/293.07*(1/(VLOOKUP($BM183,'Fuel economy adjusted factor'!$A$2:$L$52,5,FALSE)*m2k))</f>
        <v>7.8399074823671242</v>
      </c>
      <c r="CN183" s="125">
        <f>CN71/293.07*(1/(VLOOKUP($BM183,'Fuel economy adjusted factor'!$A$2:$L$52,5,FALSE)*m2k))</f>
        <v>7.8399074823671242</v>
      </c>
      <c r="CO183" s="125">
        <f>CO71/293.07*(1/(VLOOKUP($BM183,'Fuel economy adjusted factor'!$A$2:$L$52,5,FALSE)*m2k))</f>
        <v>8.177054491885519</v>
      </c>
      <c r="CP183" s="98" cm="1">
        <f t="array" ref="CP183">SUMPRODUCT(INDEX(BN183:CO183,,'TCO Inputs'!$AZ$12-2023+_xlfn.SEQUENCE('TCO Inputs'!$AZ$13))*INDEX('VKT US'!C73:AA73,,_xlfn.SEQUENCE('TCO Inputs'!$AZ$13)))*m2k*CONVERT(0.9072,"g","ton")</f>
        <v>19.464832679048278</v>
      </c>
      <c r="CQ183" s="194"/>
      <c r="CR183" s="123" t="s">
        <v>233</v>
      </c>
      <c r="CS183" s="125">
        <f>CS71/293.07*(1/(VLOOKUP($BM183,'Fuel economy adjusted factor'!$A$2:$L$52,5,FALSE)*m2k))/'TCO Inputs'!$AZ$84</f>
        <v>189.22375909220003</v>
      </c>
      <c r="CT183" s="125">
        <f>CT71/293.07*(1/(VLOOKUP($BM183,'Fuel economy adjusted factor'!$A$2:$L$52,5,FALSE)*m2k))</f>
        <v>7.5312692273300632</v>
      </c>
      <c r="CU183" s="125">
        <f>CU71/293.07*(1/(VLOOKUP($BM183,'Fuel economy adjusted factor'!$A$2:$L$52,5,FALSE)*m2k))</f>
        <v>7.5312692273300632</v>
      </c>
      <c r="CV183" s="125">
        <f>CV71/293.07*(1/(VLOOKUP($BM183,'Fuel economy adjusted factor'!$A$2:$L$52,5,FALSE)*m2k))</f>
        <v>7.5312692273300632</v>
      </c>
      <c r="CW183" s="125">
        <f>CW71/293.07*(1/(VLOOKUP($BM183,'Fuel economy adjusted factor'!$A$2:$L$52,5,FALSE)*m2k))</f>
        <v>7.5312692273300632</v>
      </c>
      <c r="CX183" s="125">
        <f>CX71/293.07*(1/(VLOOKUP($BM183,'Fuel economy adjusted factor'!$A$2:$L$52,5,FALSE)*m2k))</f>
        <v>7.5312692273300632</v>
      </c>
      <c r="CY183" s="125">
        <f>CY71/293.07*(1/(VLOOKUP($BM183,'Fuel economy adjusted factor'!$A$2:$L$52,5,FALSE)*m2k))</f>
        <v>7.5312692273300632</v>
      </c>
      <c r="CZ183" s="125">
        <f>CZ71/293.07*(1/(VLOOKUP($BM183,'Fuel economy adjusted factor'!$A$2:$L$52,5,FALSE)*m2k))</f>
        <v>7.5312692273300632</v>
      </c>
      <c r="DA183" s="125">
        <f>DA71/293.07*(1/(VLOOKUP($BM183,'Fuel economy adjusted factor'!$A$2:$L$52,5,FALSE)*m2k))</f>
        <v>7.5312692273300632</v>
      </c>
      <c r="DB183" s="125">
        <f>DB71/293.07*(1/(VLOOKUP($BM183,'Fuel economy adjusted factor'!$A$2:$L$52,5,FALSE)*m2k))</f>
        <v>7.5312692273300632</v>
      </c>
      <c r="DC183" s="125">
        <f>DC71/293.07*(1/(VLOOKUP($BM183,'Fuel economy adjusted factor'!$A$2:$L$52,5,FALSE)*m2k))</f>
        <v>7.5312692273300632</v>
      </c>
      <c r="DD183" s="125">
        <f>DD71/293.07*(1/(VLOOKUP($BM183,'Fuel economy adjusted factor'!$A$2:$L$52,5,FALSE)*m2k))</f>
        <v>7.5312692273300632</v>
      </c>
      <c r="DE183" s="125">
        <f>DE71/293.07*(1/(VLOOKUP($BM183,'Fuel economy adjusted factor'!$A$2:$L$52,5,FALSE)*m2k))</f>
        <v>7.7469441525366838</v>
      </c>
      <c r="DF183" s="125">
        <f>DF71/293.07*(1/(VLOOKUP($BM183,'Fuel economy adjusted factor'!$A$2:$L$52,5,FALSE)*m2k))</f>
        <v>7.7469441525366838</v>
      </c>
      <c r="DG183" s="125">
        <f>DG71/293.07*(1/(VLOOKUP($BM183,'Fuel economy adjusted factor'!$A$2:$L$52,5,FALSE)*m2k))</f>
        <v>7.7469441525366838</v>
      </c>
      <c r="DH183" s="125">
        <f>DH71/293.07*(1/(VLOOKUP($BM183,'Fuel economy adjusted factor'!$A$2:$L$52,5,FALSE)*m2k))</f>
        <v>7.7469441525366838</v>
      </c>
      <c r="DI183" s="125">
        <f>DI71/293.07*(1/(VLOOKUP($BM183,'Fuel economy adjusted factor'!$A$2:$L$52,5,FALSE)*m2k))</f>
        <v>7.7469441525366838</v>
      </c>
      <c r="DJ183" s="125">
        <f>DJ71/293.07*(1/(VLOOKUP($BM183,'Fuel economy adjusted factor'!$A$2:$L$52,5,FALSE)*m2k))</f>
        <v>8.1497852484685929</v>
      </c>
      <c r="DK183" s="125">
        <f>DK71/293.07*(1/(VLOOKUP($BM183,'Fuel economy adjusted factor'!$A$2:$L$52,5,FALSE)*m2k))</f>
        <v>8.1497852484685929</v>
      </c>
      <c r="DL183" s="125">
        <f>DL71/293.07*(1/(VLOOKUP($BM183,'Fuel economy adjusted factor'!$A$2:$L$52,5,FALSE)*m2k))</f>
        <v>8.1497852484685929</v>
      </c>
      <c r="DM183" s="125">
        <f>DM71/293.07*(1/(VLOOKUP($BM183,'Fuel economy adjusted factor'!$A$2:$L$52,5,FALSE)*m2k))</f>
        <v>8.1497852484685929</v>
      </c>
      <c r="DN183" s="125">
        <f>DN71/293.07*(1/(VLOOKUP($BM183,'Fuel economy adjusted factor'!$A$2:$L$52,5,FALSE)*m2k))</f>
        <v>8.1497852484685929</v>
      </c>
      <c r="DO183" s="125">
        <f>DO71/293.07*(1/(VLOOKUP($BM183,'Fuel economy adjusted factor'!$A$2:$L$52,5,FALSE)*m2k))</f>
        <v>8.4162801273158543</v>
      </c>
      <c r="DP183" s="125">
        <f>DP71/293.07*(1/(VLOOKUP($BM183,'Fuel economy adjusted factor'!$A$2:$L$52,5,FALSE)*m2k))</f>
        <v>8.4162801273158543</v>
      </c>
      <c r="DQ183" s="125">
        <f>DQ71/293.07*(1/(VLOOKUP($BM183,'Fuel economy adjusted factor'!$A$2:$L$52,5,FALSE)*m2k))</f>
        <v>8.4162801273158543</v>
      </c>
      <c r="DR183" s="125">
        <f>DR71/293.07*(1/(VLOOKUP($BM183,'Fuel economy adjusted factor'!$A$2:$L$52,5,FALSE)*m2k))</f>
        <v>8.4162801273158543</v>
      </c>
      <c r="DS183" s="125">
        <f>DS71/293.07*(1/(VLOOKUP($BM183,'Fuel economy adjusted factor'!$A$2:$L$52,5,FALSE)*m2k))</f>
        <v>8.4162801273158543</v>
      </c>
      <c r="DT183" s="125">
        <f>DT71/293.07*(1/(VLOOKUP($BM183,'Fuel economy adjusted factor'!$A$2:$L$52,5,FALSE)*m2k))</f>
        <v>8.7546666478986559</v>
      </c>
      <c r="DU183" s="98" cm="1">
        <f t="array" ref="DU183">SUMPRODUCT(INDEX(CS183:DT183,,'TCO Inputs'!$AZ$12-2023+_xlfn.SEQUENCE('TCO Inputs'!$AZ$13))*INDEX('VKT US'!C73:AA73,,_xlfn.SEQUENCE('TCO Inputs'!$AZ$13)))*m2k*CONVERT(0.9072,"g","ton")</f>
        <v>5.7212059093998278</v>
      </c>
      <c r="DW183" s="123" t="s">
        <v>233</v>
      </c>
      <c r="DX183" s="125">
        <f>DX71/293.07*(1/(VLOOKUP($BM183,'Fuel economy adjusted factor'!$A$2:$L$52,5,FALSE)*m2k))/'TCO Inputs'!$AZ$84</f>
        <v>249.9983768443206</v>
      </c>
      <c r="DY183" s="125">
        <f>DY71/293.07*(1/(VLOOKUP($BM183,'Fuel economy adjusted factor'!$A$2:$L$52,5,FALSE)*m2k))/'TCO Inputs'!$AZ$84</f>
        <v>249.9983768443206</v>
      </c>
      <c r="DZ183" s="125">
        <f>DZ71/293.07*(1/(VLOOKUP($BM183,'Fuel economy adjusted factor'!$A$2:$L$52,5,FALSE)*m2k))/'TCO Inputs'!$AZ$84</f>
        <v>218.71812399787626</v>
      </c>
      <c r="EA183" s="125">
        <f>EA71/293.07*(1/(VLOOKUP($BM183,'Fuel economy adjusted factor'!$A$2:$L$52,5,FALSE)*m2k))/'TCO Inputs'!$AZ$84</f>
        <v>218.71812399787626</v>
      </c>
      <c r="EB183" s="125">
        <f>EB71/293.07*(1/(VLOOKUP($BM183,'Fuel economy adjusted factor'!$A$2:$L$52,5,FALSE)*m2k))/'TCO Inputs'!$AZ$84</f>
        <v>218.71812399787626</v>
      </c>
      <c r="EC183" s="125">
        <f>EC71/293.07*(1/(VLOOKUP($BM183,'Fuel economy adjusted factor'!$A$2:$L$52,5,FALSE)*m2k))/'TCO Inputs'!$AZ$84</f>
        <v>218.71812399787626</v>
      </c>
      <c r="ED183" s="125">
        <f>ED71/293.07*(1/(VLOOKUP($BM183,'Fuel economy adjusted factor'!$A$2:$L$52,5,FALSE)*m2k))/'TCO Inputs'!$AZ$84</f>
        <v>218.71812399787626</v>
      </c>
      <c r="EE183" s="125">
        <f>EE71/293.07*(1/(VLOOKUP($BM183,'Fuel economy adjusted factor'!$A$2:$L$52,5,FALSE)*m2k))/'TCO Inputs'!$AZ$84</f>
        <v>136.07801591052956</v>
      </c>
      <c r="EF183" s="125">
        <f>EF71/293.07*(1/(VLOOKUP($BM183,'Fuel economy adjusted factor'!$A$2:$L$52,5,FALSE)*m2k))/'TCO Inputs'!$AZ$84</f>
        <v>136.07801591052956</v>
      </c>
      <c r="EG183" s="125">
        <f>EG71/293.07*(1/(VLOOKUP($BM183,'Fuel economy adjusted factor'!$A$2:$L$52,5,FALSE)*m2k))/'TCO Inputs'!$AZ$84</f>
        <v>136.07801591052956</v>
      </c>
      <c r="EH183" s="125">
        <f>EH71/293.07*(1/(VLOOKUP($BM183,'Fuel economy adjusted factor'!$A$2:$L$52,5,FALSE)*m2k))/'TCO Inputs'!$AZ$84</f>
        <v>136.07801591052956</v>
      </c>
      <c r="EI183" s="125">
        <f>EI71/293.07*(1/(VLOOKUP($BM183,'Fuel economy adjusted factor'!$A$2:$L$52,5,FALSE)*m2k))/'TCO Inputs'!$AZ$84</f>
        <v>136.07801591052956</v>
      </c>
      <c r="EJ183" s="125">
        <f>EJ71/293.07*(1/(VLOOKUP($BM183,'Fuel economy adjusted factor'!$A$2:$L$52,5,FALSE)*m2k))/'TCO Inputs'!$AZ$84</f>
        <v>121.16441339351678</v>
      </c>
      <c r="EK183" s="125">
        <f>EK71/293.07*(1/(VLOOKUP($BM183,'Fuel economy adjusted factor'!$A$2:$L$52,5,FALSE)*m2k))/'TCO Inputs'!$AZ$84</f>
        <v>121.16441339351678</v>
      </c>
      <c r="EL183" s="125">
        <f>EL71/293.07*(1/(VLOOKUP($BM183,'Fuel economy adjusted factor'!$A$2:$L$52,5,FALSE)*m2k))/'TCO Inputs'!$AZ$84</f>
        <v>121.16441339351678</v>
      </c>
      <c r="EM183" s="125">
        <f>EM71/293.07*(1/(VLOOKUP($BM183,'Fuel economy adjusted factor'!$A$2:$L$52,5,FALSE)*m2k))/'TCO Inputs'!$AZ$84</f>
        <v>121.16441339351678</v>
      </c>
      <c r="EN183" s="125">
        <f>EN71/293.07*(1/(VLOOKUP($BM183,'Fuel economy adjusted factor'!$A$2:$L$52,5,FALSE)*m2k))/'TCO Inputs'!$AZ$84</f>
        <v>121.16441339351678</v>
      </c>
      <c r="EO183" s="125">
        <f>EO71/293.07*(1/(VLOOKUP($BM183,'Fuel economy adjusted factor'!$A$2:$L$52,5,FALSE)*m2k))/'TCO Inputs'!$AZ$84</f>
        <v>117.73394936006636</v>
      </c>
      <c r="EP183" s="125">
        <f>EP71/293.07*(1/(VLOOKUP($BM183,'Fuel economy adjusted factor'!$A$2:$L$52,5,FALSE)*m2k))/'TCO Inputs'!$AZ$84</f>
        <v>117.73394936006636</v>
      </c>
      <c r="EQ183" s="125">
        <f>EQ71/293.07*(1/(VLOOKUP($BM183,'Fuel economy adjusted factor'!$A$2:$L$52,5,FALSE)*m2k))/'TCO Inputs'!$AZ$84</f>
        <v>117.73394936006636</v>
      </c>
      <c r="ER183" s="125">
        <f>ER71/293.07*(1/(VLOOKUP($BM183,'Fuel economy adjusted factor'!$A$2:$L$52,5,FALSE)*m2k))/'TCO Inputs'!$AZ$84</f>
        <v>117.73394936006636</v>
      </c>
      <c r="ES183" s="125">
        <f>ES71/293.07*(1/(VLOOKUP($BM183,'Fuel economy adjusted factor'!$A$2:$L$52,5,FALSE)*m2k))/'TCO Inputs'!$AZ$84</f>
        <v>117.73394936006636</v>
      </c>
      <c r="ET183" s="125">
        <f>ET71/293.07*(1/(VLOOKUP($BM183,'Fuel economy adjusted factor'!$A$2:$L$52,5,FALSE)*m2k))/'TCO Inputs'!$AZ$84</f>
        <v>113.56725089432111</v>
      </c>
      <c r="EU183" s="125">
        <f>EU71/293.07*(1/(VLOOKUP($BM183,'Fuel economy adjusted factor'!$A$2:$L$52,5,FALSE)*m2k))/'TCO Inputs'!$AZ$84</f>
        <v>113.56725089432111</v>
      </c>
      <c r="EV183" s="125">
        <f>EV71/293.07*(1/(VLOOKUP($BM183,'Fuel economy adjusted factor'!$A$2:$L$52,5,FALSE)*m2k))/'TCO Inputs'!$AZ$84</f>
        <v>113.56725089432111</v>
      </c>
      <c r="EW183" s="125">
        <f>EW71/293.07*(1/(VLOOKUP($BM183,'Fuel economy adjusted factor'!$A$2:$L$52,5,FALSE)*m2k))/'TCO Inputs'!$AZ$84</f>
        <v>113.56725089432111</v>
      </c>
      <c r="EX183" s="125">
        <f>EX71/293.07*(1/(VLOOKUP($BM183,'Fuel economy adjusted factor'!$A$2:$L$52,5,FALSE)*m2k))/'TCO Inputs'!$AZ$84</f>
        <v>113.56725089432111</v>
      </c>
      <c r="EY183" s="125">
        <f>EY71/293.07*(1/(VLOOKUP($BM183,'Fuel economy adjusted factor'!$A$2:$L$52,5,FALSE)*m2k))/'TCO Inputs'!$AZ$84</f>
        <v>106.92701660208893</v>
      </c>
      <c r="EZ183" s="98" cm="1">
        <f t="array" ref="EZ183">SUMPRODUCT(INDEX(DX183:EY183,,'TCO Inputs'!$AZ$12-2023+_xlfn.SEQUENCE('TCO Inputs'!$AZ$13))*INDEX('VKT US'!C73:AA73,,_xlfn.SEQUENCE('TCO Inputs'!$AZ$13)))*m2k*CONVERT(0.9072,"g","ton")</f>
        <v>45.72321861236518</v>
      </c>
      <c r="FB183" s="123" t="s">
        <v>233</v>
      </c>
      <c r="FC183" s="125">
        <f>FC71/293.07*(1/(VLOOKUP($BM183,'Fuel economy adjusted factor'!$A$2:$L$52,5,FALSE)*m2k))/'TCO Inputs'!$AZ$84</f>
        <v>270.25100315811881</v>
      </c>
      <c r="FD183" s="125">
        <f>FD71/293.07*(1/(VLOOKUP($BM183,'Fuel economy adjusted factor'!$A$2:$L$52,5,FALSE)*m2k))/'TCO Inputs'!$AZ$84</f>
        <v>270.25100315811881</v>
      </c>
      <c r="FE183" s="125">
        <f>FE71/293.07*(1/(VLOOKUP($BM183,'Fuel economy adjusted factor'!$A$2:$L$52,5,FALSE)*m2k))/'TCO Inputs'!$AZ$84</f>
        <v>235.61443938651274</v>
      </c>
      <c r="FF183" s="125">
        <f>FF71/293.07*(1/(VLOOKUP($BM183,'Fuel economy adjusted factor'!$A$2:$L$52,5,FALSE)*m2k))/'TCO Inputs'!$AZ$84</f>
        <v>235.61443938651274</v>
      </c>
      <c r="FG183" s="125">
        <f>FG71/293.07*(1/(VLOOKUP($BM183,'Fuel economy adjusted factor'!$A$2:$L$52,5,FALSE)*m2k))/'TCO Inputs'!$AZ$84</f>
        <v>235.61443938651274</v>
      </c>
      <c r="FH183" s="125">
        <f>FH71/293.07*(1/(VLOOKUP($BM183,'Fuel economy adjusted factor'!$A$2:$L$52,5,FALSE)*m2k))/'TCO Inputs'!$AZ$84</f>
        <v>235.61443938651274</v>
      </c>
      <c r="FI183" s="125">
        <f>FI71/293.07*(1/(VLOOKUP($BM183,'Fuel economy adjusted factor'!$A$2:$L$52,5,FALSE)*m2k))/'TCO Inputs'!$AZ$84</f>
        <v>235.61443938651274</v>
      </c>
      <c r="FJ183" s="125">
        <f>FJ71/293.07*(1/(VLOOKUP($BM183,'Fuel economy adjusted factor'!$A$2:$L$52,5,FALSE)*m2k))/'TCO Inputs'!$AZ$84</f>
        <v>149.02832660808951</v>
      </c>
      <c r="FK183" s="125">
        <f>FK71/293.07*(1/(VLOOKUP($BM183,'Fuel economy adjusted factor'!$A$2:$L$52,5,FALSE)*m2k))/'TCO Inputs'!$AZ$84</f>
        <v>149.02832660808951</v>
      </c>
      <c r="FL183" s="125">
        <f>FL71/293.07*(1/(VLOOKUP($BM183,'Fuel economy adjusted factor'!$A$2:$L$52,5,FALSE)*m2k))/'TCO Inputs'!$AZ$84</f>
        <v>149.02832660808951</v>
      </c>
      <c r="FM183" s="125">
        <f>FM71/293.07*(1/(VLOOKUP($BM183,'Fuel economy adjusted factor'!$A$2:$L$52,5,FALSE)*m2k))/'TCO Inputs'!$AZ$84</f>
        <v>149.02832660808951</v>
      </c>
      <c r="FN183" s="125">
        <f>FN71/293.07*(1/(VLOOKUP($BM183,'Fuel economy adjusted factor'!$A$2:$L$52,5,FALSE)*m2k))/'TCO Inputs'!$AZ$84</f>
        <v>149.02832660808951</v>
      </c>
      <c r="FO183" s="125">
        <f>FO71/293.07*(1/(VLOOKUP($BM183,'Fuel economy adjusted factor'!$A$2:$L$52,5,FALSE)*m2k))/'TCO Inputs'!$AZ$84</f>
        <v>131.9960638542571</v>
      </c>
      <c r="FP183" s="125">
        <f>FP71/293.07*(1/(VLOOKUP($BM183,'Fuel economy adjusted factor'!$A$2:$L$52,5,FALSE)*m2k))/'TCO Inputs'!$AZ$84</f>
        <v>131.9960638542571</v>
      </c>
      <c r="FQ183" s="125">
        <f>FQ71/293.07*(1/(VLOOKUP($BM183,'Fuel economy adjusted factor'!$A$2:$L$52,5,FALSE)*m2k))/'TCO Inputs'!$AZ$84</f>
        <v>131.9960638542571</v>
      </c>
      <c r="FR183" s="125">
        <f>FR71/293.07*(1/(VLOOKUP($BM183,'Fuel economy adjusted factor'!$A$2:$L$52,5,FALSE)*m2k))/'TCO Inputs'!$AZ$84</f>
        <v>131.9960638542571</v>
      </c>
      <c r="FS183" s="125">
        <f>FS71/293.07*(1/(VLOOKUP($BM183,'Fuel economy adjusted factor'!$A$2:$L$52,5,FALSE)*m2k))/'TCO Inputs'!$AZ$84</f>
        <v>131.9960638542571</v>
      </c>
      <c r="FT183" s="125">
        <f>FT71/293.07*(1/(VLOOKUP($BM183,'Fuel economy adjusted factor'!$A$2:$L$52,5,FALSE)*m2k))/'TCO Inputs'!$AZ$84</f>
        <v>128.98226966738122</v>
      </c>
      <c r="FU183" s="125">
        <f>FU71/293.07*(1/(VLOOKUP($BM183,'Fuel economy adjusted factor'!$A$2:$L$52,5,FALSE)*m2k))/'TCO Inputs'!$AZ$84</f>
        <v>128.98226966738122</v>
      </c>
      <c r="FV183" s="125">
        <f>FV71/293.07*(1/(VLOOKUP($BM183,'Fuel economy adjusted factor'!$A$2:$L$52,5,FALSE)*m2k))/'TCO Inputs'!$AZ$84</f>
        <v>128.98226966738122</v>
      </c>
      <c r="FW183" s="125">
        <f>FW71/293.07*(1/(VLOOKUP($BM183,'Fuel economy adjusted factor'!$A$2:$L$52,5,FALSE)*m2k))/'TCO Inputs'!$AZ$84</f>
        <v>128.98226966738122</v>
      </c>
      <c r="FX183" s="125">
        <f>FX71/293.07*(1/(VLOOKUP($BM183,'Fuel economy adjusted factor'!$A$2:$L$52,5,FALSE)*m2k))/'TCO Inputs'!$AZ$84</f>
        <v>128.98226966738122</v>
      </c>
      <c r="FY183" s="125">
        <f>FY71/293.07*(1/(VLOOKUP($BM183,'Fuel economy adjusted factor'!$A$2:$L$52,5,FALSE)*m2k))/'TCO Inputs'!$AZ$84</f>
        <v>124.80850900084654</v>
      </c>
      <c r="FZ183" s="125">
        <f>FZ71/293.07*(1/(VLOOKUP($BM183,'Fuel economy adjusted factor'!$A$2:$L$52,5,FALSE)*m2k))/'TCO Inputs'!$AZ$84</f>
        <v>124.80850900084654</v>
      </c>
      <c r="GA183" s="125">
        <f>GA71/293.07*(1/(VLOOKUP($BM183,'Fuel economy adjusted factor'!$A$2:$L$52,5,FALSE)*m2k))/'TCO Inputs'!$AZ$84</f>
        <v>124.80850900084654</v>
      </c>
      <c r="GB183" s="125">
        <f>GB71/293.07*(1/(VLOOKUP($BM183,'Fuel economy adjusted factor'!$A$2:$L$52,5,FALSE)*m2k))/'TCO Inputs'!$AZ$84</f>
        <v>124.80850900084654</v>
      </c>
      <c r="GC183" s="125">
        <f>GC71/293.07*(1/(VLOOKUP($BM183,'Fuel economy adjusted factor'!$A$2:$L$52,5,FALSE)*m2k))/'TCO Inputs'!$AZ$84</f>
        <v>124.80850900084654</v>
      </c>
      <c r="GD183" s="125">
        <f>GD71/293.07*(1/(VLOOKUP($BM183,'Fuel economy adjusted factor'!$A$2:$L$52,5,FALSE)*m2k))/'TCO Inputs'!$AZ$84</f>
        <v>117.94228428335362</v>
      </c>
      <c r="GE183" s="98" cm="1">
        <f t="array" ref="GE183">SUMPRODUCT(INDEX(FC183:GD183,,'TCO Inputs'!$AZ$12-2023+_xlfn.SEQUENCE('TCO Inputs'!$AZ$13))*INDEX('VKT US'!C73:AA73,,_xlfn.SEQUENCE('TCO Inputs'!$AZ$13)))*m2k*CONVERT(0.9072,"g","ton")</f>
        <v>49.536997445381211</v>
      </c>
      <c r="GH183" s="123" t="s">
        <v>233</v>
      </c>
      <c r="GI183" s="125">
        <f>GI71/293.07*(1/(VLOOKUP($GH183,'Fuel economy adjusted factor'!$A$2:$L$52,5,FALSE)*m2k))/'TCO Inputs'!$AZ$84</f>
        <v>475.753511485194</v>
      </c>
      <c r="GJ183" s="125">
        <f>GJ71/293.07*(1/(VLOOKUP($GH183,'Fuel economy adjusted factor'!$A$2:$L$52,5,FALSE)*m2k))/'TCO Inputs'!$AZ$84</f>
        <v>475.753511485194</v>
      </c>
      <c r="GK183" s="125">
        <f>GK71/293.07*(1/(VLOOKUP($GH183,'Fuel economy adjusted factor'!$A$2:$L$52,5,FALSE)*m2k))/'TCO Inputs'!$AZ$84</f>
        <v>475.753511485194</v>
      </c>
      <c r="GL183" s="125">
        <f>GL71/293.07*(1/(VLOOKUP($GH183,'Fuel economy adjusted factor'!$A$2:$L$52,5,FALSE)*m2k))/'TCO Inputs'!$AZ$84</f>
        <v>475.753511485194</v>
      </c>
      <c r="GM183" s="125">
        <f>GM71/293.07*(1/(VLOOKUP($GH183,'Fuel economy adjusted factor'!$A$2:$L$52,5,FALSE)*m2k))/'TCO Inputs'!$AZ$84</f>
        <v>475.753511485194</v>
      </c>
      <c r="GN183" s="125">
        <f>GN71/293.07*(1/(VLOOKUP($GH183,'Fuel economy adjusted factor'!$A$2:$L$52,5,FALSE)*m2k))/'TCO Inputs'!$AZ$84</f>
        <v>475.753511485194</v>
      </c>
      <c r="GO183" s="125">
        <f>GO71/293.07*(1/(VLOOKUP($GH183,'Fuel economy adjusted factor'!$A$2:$L$52,5,FALSE)*m2k))/'TCO Inputs'!$AZ$84</f>
        <v>475.753511485194</v>
      </c>
      <c r="GP183" s="125">
        <f>GP71/293.07*(1/(VLOOKUP($GH183,'Fuel economy adjusted factor'!$A$2:$L$52,5,FALSE)*m2k))/'TCO Inputs'!$AZ$84</f>
        <v>475.753511485194</v>
      </c>
      <c r="GQ183" s="125">
        <f>GQ71/293.07*(1/(VLOOKUP($GH183,'Fuel economy adjusted factor'!$A$2:$L$52,5,FALSE)*m2k))/'TCO Inputs'!$AZ$84</f>
        <v>475.753511485194</v>
      </c>
      <c r="GR183" s="125">
        <f>GR71/293.07*(1/(VLOOKUP($GH183,'Fuel economy adjusted factor'!$A$2:$L$52,5,FALSE)*m2k))/'TCO Inputs'!$AZ$84</f>
        <v>475.753511485194</v>
      </c>
      <c r="GS183" s="125">
        <f>GS71/293.07*(1/(VLOOKUP($GH183,'Fuel economy adjusted factor'!$A$2:$L$52,5,FALSE)*m2k))/'TCO Inputs'!$AZ$84</f>
        <v>475.753511485194</v>
      </c>
      <c r="GT183" s="125">
        <f>GT71/293.07*(1/(VLOOKUP($GH183,'Fuel economy adjusted factor'!$A$2:$L$52,5,FALSE)*m2k))/'TCO Inputs'!$AZ$84</f>
        <v>475.753511485194</v>
      </c>
      <c r="GU183" s="125">
        <f>GU71/293.07*(1/(VLOOKUP($GH183,'Fuel economy adjusted factor'!$A$2:$L$52,5,FALSE)*m2k))/'TCO Inputs'!$AZ$84</f>
        <v>475.753511485194</v>
      </c>
      <c r="GV183" s="125">
        <f>GV71/293.07*(1/(VLOOKUP($GH183,'Fuel economy adjusted factor'!$A$2:$L$52,5,FALSE)*m2k))/'TCO Inputs'!$AZ$84</f>
        <v>475.753511485194</v>
      </c>
      <c r="GW183" s="125">
        <f>GW71/293.07*(1/(VLOOKUP($GH183,'Fuel economy adjusted factor'!$A$2:$L$52,5,FALSE)*m2k))/'TCO Inputs'!$AZ$84</f>
        <v>475.753511485194</v>
      </c>
      <c r="GX183" s="125">
        <f>GX71/293.07*(1/(VLOOKUP($GH183,'Fuel economy adjusted factor'!$A$2:$L$52,5,FALSE)*m2k))/'TCO Inputs'!$AZ$84</f>
        <v>475.753511485194</v>
      </c>
      <c r="GY183" s="125">
        <f>GY71/293.07*(1/(VLOOKUP($GH183,'Fuel economy adjusted factor'!$A$2:$L$52,5,FALSE)*m2k))/'TCO Inputs'!$AZ$84</f>
        <v>475.753511485194</v>
      </c>
      <c r="GZ183" s="125">
        <f>GZ71/293.07*(1/(VLOOKUP($GH183,'Fuel economy adjusted factor'!$A$2:$L$52,5,FALSE)*m2k))/'TCO Inputs'!$AZ$84</f>
        <v>475.753511485194</v>
      </c>
      <c r="HA183" s="125">
        <f>HA71/293.07*(1/(VLOOKUP($GH183,'Fuel economy adjusted factor'!$A$2:$L$52,5,FALSE)*m2k))/'TCO Inputs'!$AZ$84</f>
        <v>475.753511485194</v>
      </c>
      <c r="HB183" s="125">
        <f>HB71/293.07*(1/(VLOOKUP($GH183,'Fuel economy adjusted factor'!$A$2:$L$52,5,FALSE)*m2k))/'TCO Inputs'!$AZ$84</f>
        <v>475.753511485194</v>
      </c>
      <c r="HC183" s="125">
        <f>HC71/293.07*(1/(VLOOKUP($GH183,'Fuel economy adjusted factor'!$A$2:$L$52,5,FALSE)*m2k))/'TCO Inputs'!$AZ$84</f>
        <v>475.753511485194</v>
      </c>
      <c r="HD183" s="125">
        <f>HD71/293.07*(1/(VLOOKUP($GH183,'Fuel economy adjusted factor'!$A$2:$L$52,5,FALSE)*m2k))/'TCO Inputs'!$AZ$84</f>
        <v>475.753511485194</v>
      </c>
      <c r="HE183" s="125">
        <f>HE71/293.07*(1/(VLOOKUP($GH183,'Fuel economy adjusted factor'!$A$2:$L$52,5,FALSE)*m2k))/'TCO Inputs'!$AZ$84</f>
        <v>475.753511485194</v>
      </c>
      <c r="HF183" s="125">
        <f>HF71/293.07*(1/(VLOOKUP($GH183,'Fuel economy adjusted factor'!$A$2:$L$52,5,FALSE)*m2k))/'TCO Inputs'!$AZ$84</f>
        <v>475.753511485194</v>
      </c>
      <c r="HG183" s="125">
        <f>HG71/293.07*(1/(VLOOKUP($GH183,'Fuel economy adjusted factor'!$A$2:$L$52,5,FALSE)*m2k))/'TCO Inputs'!$AZ$84</f>
        <v>475.753511485194</v>
      </c>
      <c r="HH183" s="125">
        <f>HH71/293.07*(1/(VLOOKUP($GH183,'Fuel economy adjusted factor'!$A$2:$L$52,5,FALSE)*m2k))/'TCO Inputs'!$AZ$84</f>
        <v>475.753511485194</v>
      </c>
      <c r="HI183" s="125">
        <f>HI71/293.07*(1/(VLOOKUP($GH183,'Fuel economy adjusted factor'!$A$2:$L$52,5,FALSE)*m2k))/'TCO Inputs'!$AZ$84</f>
        <v>475.753511485194</v>
      </c>
      <c r="HJ183" s="125">
        <f>HJ71/293.07*(1/(VLOOKUP($GH183,'Fuel economy adjusted factor'!$A$2:$L$52,5,FALSE)*m2k))/'TCO Inputs'!$AZ$84</f>
        <v>475.753511485194</v>
      </c>
      <c r="HK183" s="98" cm="1">
        <f t="array" ref="HK183">SUMPRODUCT(INDEX(GI183:HJ183,,'TCO Inputs'!$AZ$12-2023+_xlfn.SEQUENCE('TCO Inputs'!$AZ$13))*INDEX('VKT US'!C73:AA73,,_xlfn.SEQUENCE('TCO Inputs'!$AZ$13)))*m2k*CONVERT(0.9072,"g","ton")</f>
        <v>117.55218403942101</v>
      </c>
    </row>
    <row r="184" spans="26:219" x14ac:dyDescent="0.25">
      <c r="Z184" s="123" t="s">
        <v>196</v>
      </c>
      <c r="AA184" s="125">
        <f>AA72/293.07*(1/(VLOOKUP($Z184,'Fuel economy adjusted factor'!$A$2:$L$52,5,FALSE)*m2k))/'TCO Inputs'!$AZ$84</f>
        <v>46.126445665456032</v>
      </c>
      <c r="AB184" s="125">
        <f>AB72/293.07*(1/(VLOOKUP($Z184,'Fuel economy adjusted factor'!$A$2:$L$52,5,FALSE)*m2k))/'TCO Inputs'!$AZ$84</f>
        <v>46.126445665456032</v>
      </c>
      <c r="AC184" s="125">
        <f>AC72/293.07*(1/(VLOOKUP($Z184,'Fuel economy adjusted factor'!$A$2:$L$52,5,FALSE)*m2k))/'TCO Inputs'!$AZ$84</f>
        <v>40.514959384717685</v>
      </c>
      <c r="AD184" s="125">
        <f>AD72/293.07*(1/(VLOOKUP($Z184,'Fuel economy adjusted factor'!$A$2:$L$52,5,FALSE)*m2k))/'TCO Inputs'!$AZ$84</f>
        <v>40.514959384717685</v>
      </c>
      <c r="AE184" s="125">
        <f>AE72/293.07*(1/(VLOOKUP($Z184,'Fuel economy adjusted factor'!$A$2:$L$52,5,FALSE)*m2k))/'TCO Inputs'!$AZ$84</f>
        <v>40.514959384717685</v>
      </c>
      <c r="AF184" s="125">
        <f>AF72/293.07*(1/(VLOOKUP($Z184,'Fuel economy adjusted factor'!$A$2:$L$52,5,FALSE)*m2k))/'TCO Inputs'!$AZ$84</f>
        <v>40.514959384717685</v>
      </c>
      <c r="AG184" s="125">
        <f>AG72/293.07*(1/(VLOOKUP($Z184,'Fuel economy adjusted factor'!$A$2:$L$52,5,FALSE)*m2k))/'TCO Inputs'!$AZ$84</f>
        <v>40.514959384717685</v>
      </c>
      <c r="AH184" s="125">
        <f>AH72/293.07*(1/(VLOOKUP($Z184,'Fuel economy adjusted factor'!$A$2:$L$52,5,FALSE)*m2k))/'TCO Inputs'!$AZ$84</f>
        <v>15.317658388654266</v>
      </c>
      <c r="AI184" s="125">
        <f>AI72/293.07*(1/(VLOOKUP($Z184,'Fuel economy adjusted factor'!$A$2:$L$52,5,FALSE)*m2k))/'TCO Inputs'!$AZ$84</f>
        <v>15.317658388654266</v>
      </c>
      <c r="AJ184" s="125">
        <f>AJ72/293.07*(1/(VLOOKUP($Z184,'Fuel economy adjusted factor'!$A$2:$L$52,5,FALSE)*m2k))/'TCO Inputs'!$AZ$84</f>
        <v>15.317658388654266</v>
      </c>
      <c r="AK184" s="125">
        <f>AK72/293.07*(1/(VLOOKUP($Z184,'Fuel economy adjusted factor'!$A$2:$L$52,5,FALSE)*m2k))/'TCO Inputs'!$AZ$84</f>
        <v>15.317658388654266</v>
      </c>
      <c r="AL184" s="125">
        <f>AL72/293.07*(1/(VLOOKUP($Z184,'Fuel economy adjusted factor'!$A$2:$L$52,5,FALSE)*m2k))/'TCO Inputs'!$AZ$84</f>
        <v>15.317658388654266</v>
      </c>
      <c r="AM184" s="125">
        <f>AM72/293.07*(1/(VLOOKUP($Z184,'Fuel economy adjusted factor'!$A$2:$L$52,5,FALSE)*m2k))/'TCO Inputs'!$AZ$84</f>
        <v>12.874497030012767</v>
      </c>
      <c r="AN184" s="125">
        <f>AN72/293.07*(1/(VLOOKUP($Z184,'Fuel economy adjusted factor'!$A$2:$L$52,5,FALSE)*m2k))/'TCO Inputs'!$AZ$84</f>
        <v>12.874497030012767</v>
      </c>
      <c r="AO184" s="125">
        <f>AO72/293.07*(1/(VLOOKUP($Z184,'Fuel economy adjusted factor'!$A$2:$L$52,5,FALSE)*m2k))/'TCO Inputs'!$AZ$84</f>
        <v>12.874497030012767</v>
      </c>
      <c r="AP184" s="125">
        <f>AP72/293.07*(1/(VLOOKUP($Z184,'Fuel economy adjusted factor'!$A$2:$L$52,5,FALSE)*m2k))/'TCO Inputs'!$AZ$84</f>
        <v>12.874497030012767</v>
      </c>
      <c r="AQ184" s="125">
        <f>AQ72/293.07*(1/(VLOOKUP($Z184,'Fuel economy adjusted factor'!$A$2:$L$52,5,FALSE)*m2k))/'TCO Inputs'!$AZ$84</f>
        <v>12.874497030012767</v>
      </c>
      <c r="AR184" s="125">
        <f>AR72/293.07*(1/(VLOOKUP($Z184,'Fuel economy adjusted factor'!$A$2:$L$52,5,FALSE)*m2k))/'TCO Inputs'!$AZ$84</f>
        <v>12.874497030012767</v>
      </c>
      <c r="AS184" s="125">
        <f>AS72/293.07*(1/(VLOOKUP($Z184,'Fuel economy adjusted factor'!$A$2:$L$52,5,FALSE)*m2k))/'TCO Inputs'!$AZ$84</f>
        <v>12.874497030012767</v>
      </c>
      <c r="AT184" s="125">
        <f>AT72/293.07*(1/(VLOOKUP($Z184,'Fuel economy adjusted factor'!$A$2:$L$52,5,FALSE)*m2k))/'TCO Inputs'!$AZ$84</f>
        <v>12.874497030012767</v>
      </c>
      <c r="AU184" s="125">
        <f>AU72/293.07*(1/(VLOOKUP($Z184,'Fuel economy adjusted factor'!$A$2:$L$52,5,FALSE)*m2k))/'TCO Inputs'!$AZ$84</f>
        <v>12.874497030012767</v>
      </c>
      <c r="AV184" s="125">
        <f>AV72/293.07*(1/(VLOOKUP($Z184,'Fuel economy adjusted factor'!$A$2:$L$52,5,FALSE)*m2k))/'TCO Inputs'!$AZ$84</f>
        <v>12.874497030012767</v>
      </c>
      <c r="AW184" s="125">
        <f>AW72/293.07*(1/(VLOOKUP($Z184,'Fuel economy adjusted factor'!$A$2:$L$52,5,FALSE)*m2k))/'TCO Inputs'!$AZ$84</f>
        <v>12.935282799302406</v>
      </c>
      <c r="AX184" s="125">
        <f>AX72/293.07*(1/(VLOOKUP($Z184,'Fuel economy adjusted factor'!$A$2:$L$52,5,FALSE)*m2k))/'TCO Inputs'!$AZ$84</f>
        <v>12.935282799302406</v>
      </c>
      <c r="AY184" s="125">
        <f>AY72/293.07*(1/(VLOOKUP($Z184,'Fuel economy adjusted factor'!$A$2:$L$52,5,FALSE)*m2k))/'TCO Inputs'!$AZ$84</f>
        <v>12.935282799302406</v>
      </c>
      <c r="AZ184" s="125">
        <f>AZ72/293.07*(1/(VLOOKUP($Z184,'Fuel economy adjusted factor'!$A$2:$L$52,5,FALSE)*m2k))/'TCO Inputs'!$AZ$84</f>
        <v>12.935282799302406</v>
      </c>
      <c r="BA184" s="125">
        <f>BA72/293.07*(1/(VLOOKUP($Z184,'Fuel economy adjusted factor'!$A$2:$L$52,5,FALSE)*m2k))/'TCO Inputs'!$AZ$84</f>
        <v>12.935282799302406</v>
      </c>
      <c r="BB184" s="125">
        <f>BB72/293.07*(1/(VLOOKUP($Z184,'Fuel economy adjusted factor'!$A$2:$L$52,5,FALSE)*m2k))/'TCO Inputs'!$AZ$84</f>
        <v>13.011709351333241</v>
      </c>
      <c r="BC184" s="98" cm="1">
        <f t="array" ref="BC184">SUMPRODUCT(INDEX(AA184:BB184,,'TCO Inputs'!$AZ$12-2023+_xlfn.SEQUENCE('TCO Inputs'!$AZ$13))*INDEX('VKT US'!C74:AA74,,_xlfn.SEQUENCE('TCO Inputs'!$AZ$13)))*m2k*CONVERT(0.9072,"g","ton")</f>
        <v>9.0938485534041718</v>
      </c>
      <c r="BM184" s="123" t="s">
        <v>196</v>
      </c>
      <c r="BN184" s="125">
        <f>BN72/293.07*(1/(VLOOKUP($BM184,'Fuel economy adjusted factor'!$A$2:$L$52,5,FALSE)*m2k))</f>
        <v>39.207478815637629</v>
      </c>
      <c r="BO184" s="125">
        <f>BO72/293.07*(1/(VLOOKUP($BM184,'Fuel economy adjusted factor'!$A$2:$L$52,5,FALSE)*m2k))</f>
        <v>39.207478815637629</v>
      </c>
      <c r="BP184" s="125">
        <f>BP72/293.07*(1/(VLOOKUP($BM184,'Fuel economy adjusted factor'!$A$2:$L$52,5,FALSE)*m2k))</f>
        <v>30.906168922982452</v>
      </c>
      <c r="BQ184" s="125">
        <f>BQ72/293.07*(1/(VLOOKUP($BM184,'Fuel economy adjusted factor'!$A$2:$L$52,5,FALSE)*m2k))</f>
        <v>30.906168922982452</v>
      </c>
      <c r="BR184" s="125">
        <f>BR72/293.07*(1/(VLOOKUP($BM184,'Fuel economy adjusted factor'!$A$2:$L$52,5,FALSE)*m2k))</f>
        <v>30.906168922982452</v>
      </c>
      <c r="BS184" s="125">
        <f>BS72/293.07*(1/(VLOOKUP($BM184,'Fuel economy adjusted factor'!$A$2:$L$52,5,FALSE)*m2k))</f>
        <v>30.906168922982452</v>
      </c>
      <c r="BT184" s="125">
        <f>BT72/293.07*(1/(VLOOKUP($BM184,'Fuel economy adjusted factor'!$A$2:$L$52,5,FALSE)*m2k))</f>
        <v>30.906168922982452</v>
      </c>
      <c r="BU184" s="125">
        <f>BU72/293.07*(1/(VLOOKUP($BM184,'Fuel economy adjusted factor'!$A$2:$L$52,5,FALSE)*m2k))</f>
        <v>1.7458312790187671</v>
      </c>
      <c r="BV184" s="125">
        <f>BV72/293.07*(1/(VLOOKUP($BM184,'Fuel economy adjusted factor'!$A$2:$L$52,5,FALSE)*m2k))</f>
        <v>1.7458312790187671</v>
      </c>
      <c r="BW184" s="125">
        <f>BW72/293.07*(1/(VLOOKUP($BM184,'Fuel economy adjusted factor'!$A$2:$L$52,5,FALSE)*m2k))</f>
        <v>1.7458312790187671</v>
      </c>
      <c r="BX184" s="125">
        <f>BX72/293.07*(1/(VLOOKUP($BM184,'Fuel economy adjusted factor'!$A$2:$L$52,5,FALSE)*m2k))</f>
        <v>1.7458312790187671</v>
      </c>
      <c r="BY184" s="125">
        <f>BY72/293.07*(1/(VLOOKUP($BM184,'Fuel economy adjusted factor'!$A$2:$L$52,5,FALSE)*m2k))</f>
        <v>1.7458312790187671</v>
      </c>
      <c r="BZ184" s="125">
        <f>BZ72/293.07*(1/(VLOOKUP($BM184,'Fuel economy adjusted factor'!$A$2:$L$52,5,FALSE)*m2k))</f>
        <v>1.8207648472424871</v>
      </c>
      <c r="CA184" s="125">
        <f>CA72/293.07*(1/(VLOOKUP($BM184,'Fuel economy adjusted factor'!$A$2:$L$52,5,FALSE)*m2k))</f>
        <v>1.8207648472424871</v>
      </c>
      <c r="CB184" s="125">
        <f>CB72/293.07*(1/(VLOOKUP($BM184,'Fuel economy adjusted factor'!$A$2:$L$52,5,FALSE)*m2k))</f>
        <v>1.8207648472424871</v>
      </c>
      <c r="CC184" s="125">
        <f>CC72/293.07*(1/(VLOOKUP($BM184,'Fuel economy adjusted factor'!$A$2:$L$52,5,FALSE)*m2k))</f>
        <v>1.8207648472424871</v>
      </c>
      <c r="CD184" s="125">
        <f>CD72/293.07*(1/(VLOOKUP($BM184,'Fuel economy adjusted factor'!$A$2:$L$52,5,FALSE)*m2k))</f>
        <v>1.8207648472424871</v>
      </c>
      <c r="CE184" s="125">
        <f>CE72/293.07*(1/(VLOOKUP($BM184,'Fuel economy adjusted factor'!$A$2:$L$52,5,FALSE)*m2k))</f>
        <v>1.8461455719634248</v>
      </c>
      <c r="CF184" s="125">
        <f>CF72/293.07*(1/(VLOOKUP($BM184,'Fuel economy adjusted factor'!$A$2:$L$52,5,FALSE)*m2k))</f>
        <v>1.8461455719634248</v>
      </c>
      <c r="CG184" s="125">
        <f>CG72/293.07*(1/(VLOOKUP($BM184,'Fuel economy adjusted factor'!$A$2:$L$52,5,FALSE)*m2k))</f>
        <v>1.8461455719634248</v>
      </c>
      <c r="CH184" s="125">
        <f>CH72/293.07*(1/(VLOOKUP($BM184,'Fuel economy adjusted factor'!$A$2:$L$52,5,FALSE)*m2k))</f>
        <v>1.8461455719634248</v>
      </c>
      <c r="CI184" s="125">
        <f>CI72/293.07*(1/(VLOOKUP($BM184,'Fuel economy adjusted factor'!$A$2:$L$52,5,FALSE)*m2k))</f>
        <v>1.8461455719634248</v>
      </c>
      <c r="CJ184" s="125">
        <f>CJ72/293.07*(1/(VLOOKUP($BM184,'Fuel economy adjusted factor'!$A$2:$L$52,5,FALSE)*m2k))</f>
        <v>1.9111081411896333</v>
      </c>
      <c r="CK184" s="125">
        <f>CK72/293.07*(1/(VLOOKUP($BM184,'Fuel economy adjusted factor'!$A$2:$L$52,5,FALSE)*m2k))</f>
        <v>1.9111081411896333</v>
      </c>
      <c r="CL184" s="125">
        <f>CL72/293.07*(1/(VLOOKUP($BM184,'Fuel economy adjusted factor'!$A$2:$L$52,5,FALSE)*m2k))</f>
        <v>1.9111081411896333</v>
      </c>
      <c r="CM184" s="125">
        <f>CM72/293.07*(1/(VLOOKUP($BM184,'Fuel economy adjusted factor'!$A$2:$L$52,5,FALSE)*m2k))</f>
        <v>1.9111081411896333</v>
      </c>
      <c r="CN184" s="125">
        <f>CN72/293.07*(1/(VLOOKUP($BM184,'Fuel economy adjusted factor'!$A$2:$L$52,5,FALSE)*m2k))</f>
        <v>1.9111081411896333</v>
      </c>
      <c r="CO184" s="125">
        <f>CO72/293.07*(1/(VLOOKUP($BM184,'Fuel economy adjusted factor'!$A$2:$L$52,5,FALSE)*m2k))</f>
        <v>1.9932933450479067</v>
      </c>
      <c r="CP184" s="98" cm="1">
        <f t="array" ref="CP184">SUMPRODUCT(INDEX(BN184:CO184,,'TCO Inputs'!$AZ$12-2023+_xlfn.SEQUENCE('TCO Inputs'!$AZ$13))*INDEX('VKT US'!C74:AA74,,_xlfn.SEQUENCE('TCO Inputs'!$AZ$13)))*m2k*CONVERT(0.9072,"g","ton")</f>
        <v>5.852746248606854</v>
      </c>
      <c r="CQ184" s="194"/>
      <c r="CR184" s="123" t="s">
        <v>196</v>
      </c>
      <c r="CS184" s="125">
        <f>CS72/293.07*(1/(VLOOKUP($BM184,'Fuel economy adjusted factor'!$A$2:$L$52,5,FALSE)*m2k))/'TCO Inputs'!$AZ$84</f>
        <v>46.126445665456032</v>
      </c>
      <c r="CT184" s="125">
        <f>CT72/293.07*(1/(VLOOKUP($BM184,'Fuel economy adjusted factor'!$A$2:$L$52,5,FALSE)*m2k))</f>
        <v>1.8358724214811402</v>
      </c>
      <c r="CU184" s="125">
        <f>CU72/293.07*(1/(VLOOKUP($BM184,'Fuel economy adjusted factor'!$A$2:$L$52,5,FALSE)*m2k))</f>
        <v>1.8358724214811402</v>
      </c>
      <c r="CV184" s="125">
        <f>CV72/293.07*(1/(VLOOKUP($BM184,'Fuel economy adjusted factor'!$A$2:$L$52,5,FALSE)*m2k))</f>
        <v>1.8358724214811402</v>
      </c>
      <c r="CW184" s="125">
        <f>CW72/293.07*(1/(VLOOKUP($BM184,'Fuel economy adjusted factor'!$A$2:$L$52,5,FALSE)*m2k))</f>
        <v>1.8358724214811402</v>
      </c>
      <c r="CX184" s="125">
        <f>CX72/293.07*(1/(VLOOKUP($BM184,'Fuel economy adjusted factor'!$A$2:$L$52,5,FALSE)*m2k))</f>
        <v>1.8358724214811402</v>
      </c>
      <c r="CY184" s="125">
        <f>CY72/293.07*(1/(VLOOKUP($BM184,'Fuel economy adjusted factor'!$A$2:$L$52,5,FALSE)*m2k))</f>
        <v>1.8358724214811402</v>
      </c>
      <c r="CZ184" s="125">
        <f>CZ72/293.07*(1/(VLOOKUP($BM184,'Fuel economy adjusted factor'!$A$2:$L$52,5,FALSE)*m2k))</f>
        <v>1.8358724214811402</v>
      </c>
      <c r="DA184" s="125">
        <f>DA72/293.07*(1/(VLOOKUP($BM184,'Fuel economy adjusted factor'!$A$2:$L$52,5,FALSE)*m2k))</f>
        <v>1.8358724214811402</v>
      </c>
      <c r="DB184" s="125">
        <f>DB72/293.07*(1/(VLOOKUP($BM184,'Fuel economy adjusted factor'!$A$2:$L$52,5,FALSE)*m2k))</f>
        <v>1.8358724214811402</v>
      </c>
      <c r="DC184" s="125">
        <f>DC72/293.07*(1/(VLOOKUP($BM184,'Fuel economy adjusted factor'!$A$2:$L$52,5,FALSE)*m2k))</f>
        <v>1.8358724214811402</v>
      </c>
      <c r="DD184" s="125">
        <f>DD72/293.07*(1/(VLOOKUP($BM184,'Fuel economy adjusted factor'!$A$2:$L$52,5,FALSE)*m2k))</f>
        <v>1.8358724214811402</v>
      </c>
      <c r="DE184" s="125">
        <f>DE72/293.07*(1/(VLOOKUP($BM184,'Fuel economy adjusted factor'!$A$2:$L$52,5,FALSE)*m2k))</f>
        <v>1.8884467798316535</v>
      </c>
      <c r="DF184" s="125">
        <f>DF72/293.07*(1/(VLOOKUP($BM184,'Fuel economy adjusted factor'!$A$2:$L$52,5,FALSE)*m2k))</f>
        <v>1.8884467798316535</v>
      </c>
      <c r="DG184" s="125">
        <f>DG72/293.07*(1/(VLOOKUP($BM184,'Fuel economy adjusted factor'!$A$2:$L$52,5,FALSE)*m2k))</f>
        <v>1.8884467798316535</v>
      </c>
      <c r="DH184" s="125">
        <f>DH72/293.07*(1/(VLOOKUP($BM184,'Fuel economy adjusted factor'!$A$2:$L$52,5,FALSE)*m2k))</f>
        <v>1.8884467798316535</v>
      </c>
      <c r="DI184" s="125">
        <f>DI72/293.07*(1/(VLOOKUP($BM184,'Fuel economy adjusted factor'!$A$2:$L$52,5,FALSE)*m2k))</f>
        <v>1.8884467798316535</v>
      </c>
      <c r="DJ184" s="125">
        <f>DJ72/293.07*(1/(VLOOKUP($BM184,'Fuel economy adjusted factor'!$A$2:$L$52,5,FALSE)*m2k))</f>
        <v>1.9866460123828993</v>
      </c>
      <c r="DK184" s="125">
        <f>DK72/293.07*(1/(VLOOKUP($BM184,'Fuel economy adjusted factor'!$A$2:$L$52,5,FALSE)*m2k))</f>
        <v>1.9866460123828993</v>
      </c>
      <c r="DL184" s="125">
        <f>DL72/293.07*(1/(VLOOKUP($BM184,'Fuel economy adjusted factor'!$A$2:$L$52,5,FALSE)*m2k))</f>
        <v>1.9866460123828993</v>
      </c>
      <c r="DM184" s="125">
        <f>DM72/293.07*(1/(VLOOKUP($BM184,'Fuel economy adjusted factor'!$A$2:$L$52,5,FALSE)*m2k))</f>
        <v>1.9866460123828993</v>
      </c>
      <c r="DN184" s="125">
        <f>DN72/293.07*(1/(VLOOKUP($BM184,'Fuel economy adjusted factor'!$A$2:$L$52,5,FALSE)*m2k))</f>
        <v>1.9866460123828993</v>
      </c>
      <c r="DO184" s="125">
        <f>DO72/293.07*(1/(VLOOKUP($BM184,'Fuel economy adjusted factor'!$A$2:$L$52,5,FALSE)*m2k))</f>
        <v>2.0516085816091083</v>
      </c>
      <c r="DP184" s="125">
        <f>DP72/293.07*(1/(VLOOKUP($BM184,'Fuel economy adjusted factor'!$A$2:$L$52,5,FALSE)*m2k))</f>
        <v>2.0516085816091083</v>
      </c>
      <c r="DQ184" s="125">
        <f>DQ72/293.07*(1/(VLOOKUP($BM184,'Fuel economy adjusted factor'!$A$2:$L$52,5,FALSE)*m2k))</f>
        <v>2.0516085816091083</v>
      </c>
      <c r="DR184" s="125">
        <f>DR72/293.07*(1/(VLOOKUP($BM184,'Fuel economy adjusted factor'!$A$2:$L$52,5,FALSE)*m2k))</f>
        <v>2.0516085816091083</v>
      </c>
      <c r="DS184" s="125">
        <f>DS72/293.07*(1/(VLOOKUP($BM184,'Fuel economy adjusted factor'!$A$2:$L$52,5,FALSE)*m2k))</f>
        <v>2.0516085816091083</v>
      </c>
      <c r="DT184" s="125">
        <f>DT72/293.07*(1/(VLOOKUP($BM184,'Fuel economy adjusted factor'!$A$2:$L$52,5,FALSE)*m2k))</f>
        <v>2.1340959369521553</v>
      </c>
      <c r="DU184" s="98" cm="1">
        <f t="array" ref="DU184">SUMPRODUCT(INDEX(CS184:DT184,,'TCO Inputs'!$AZ$12-2023+_xlfn.SEQUENCE('TCO Inputs'!$AZ$13))*INDEX('VKT US'!C74:AA74,,_xlfn.SEQUENCE('TCO Inputs'!$AZ$13)))*m2k*CONVERT(0.9072,"g","ton")</f>
        <v>1.7202699337759937</v>
      </c>
      <c r="DW184" s="123" t="s">
        <v>196</v>
      </c>
      <c r="DX184" s="125">
        <f>DX72/293.07*(1/(VLOOKUP($BM184,'Fuel economy adjusted factor'!$A$2:$L$52,5,FALSE)*m2k))/'TCO Inputs'!$AZ$84</f>
        <v>60.941271863978606</v>
      </c>
      <c r="DY184" s="125">
        <f>DY72/293.07*(1/(VLOOKUP($BM184,'Fuel economy adjusted factor'!$A$2:$L$52,5,FALSE)*m2k))/'TCO Inputs'!$AZ$84</f>
        <v>60.941271863978606</v>
      </c>
      <c r="DZ184" s="125">
        <f>DZ72/293.07*(1/(VLOOKUP($BM184,'Fuel economy adjusted factor'!$A$2:$L$52,5,FALSE)*m2k))/'TCO Inputs'!$AZ$84</f>
        <v>53.316188786434374</v>
      </c>
      <c r="EA184" s="125">
        <f>EA72/293.07*(1/(VLOOKUP($BM184,'Fuel economy adjusted factor'!$A$2:$L$52,5,FALSE)*m2k))/'TCO Inputs'!$AZ$84</f>
        <v>53.316188786434374</v>
      </c>
      <c r="EB184" s="125">
        <f>EB72/293.07*(1/(VLOOKUP($BM184,'Fuel economy adjusted factor'!$A$2:$L$52,5,FALSE)*m2k))/'TCO Inputs'!$AZ$84</f>
        <v>53.316188786434374</v>
      </c>
      <c r="EC184" s="125">
        <f>EC72/293.07*(1/(VLOOKUP($BM184,'Fuel economy adjusted factor'!$A$2:$L$52,5,FALSE)*m2k))/'TCO Inputs'!$AZ$84</f>
        <v>53.316188786434374</v>
      </c>
      <c r="ED184" s="125">
        <f>ED72/293.07*(1/(VLOOKUP($BM184,'Fuel economy adjusted factor'!$A$2:$L$52,5,FALSE)*m2k))/'TCO Inputs'!$AZ$84</f>
        <v>53.316188786434374</v>
      </c>
      <c r="EE184" s="125">
        <f>EE72/293.07*(1/(VLOOKUP($BM184,'Fuel economy adjusted factor'!$A$2:$L$52,5,FALSE)*m2k))/'TCO Inputs'!$AZ$84</f>
        <v>33.171284817894936</v>
      </c>
      <c r="EF184" s="125">
        <f>EF72/293.07*(1/(VLOOKUP($BM184,'Fuel economy adjusted factor'!$A$2:$L$52,5,FALSE)*m2k))/'TCO Inputs'!$AZ$84</f>
        <v>33.171284817894936</v>
      </c>
      <c r="EG184" s="125">
        <f>EG72/293.07*(1/(VLOOKUP($BM184,'Fuel economy adjusted factor'!$A$2:$L$52,5,FALSE)*m2k))/'TCO Inputs'!$AZ$84</f>
        <v>33.171284817894936</v>
      </c>
      <c r="EH184" s="125">
        <f>EH72/293.07*(1/(VLOOKUP($BM184,'Fuel economy adjusted factor'!$A$2:$L$52,5,FALSE)*m2k))/'TCO Inputs'!$AZ$84</f>
        <v>33.171284817894936</v>
      </c>
      <c r="EI184" s="125">
        <f>EI72/293.07*(1/(VLOOKUP($BM184,'Fuel economy adjusted factor'!$A$2:$L$52,5,FALSE)*m2k))/'TCO Inputs'!$AZ$84</f>
        <v>33.171284817894936</v>
      </c>
      <c r="EJ184" s="125">
        <f>EJ72/293.07*(1/(VLOOKUP($BM184,'Fuel economy adjusted factor'!$A$2:$L$52,5,FALSE)*m2k))/'TCO Inputs'!$AZ$84</f>
        <v>29.535845592517262</v>
      </c>
      <c r="EK184" s="125">
        <f>EK72/293.07*(1/(VLOOKUP($BM184,'Fuel economy adjusted factor'!$A$2:$L$52,5,FALSE)*m2k))/'TCO Inputs'!$AZ$84</f>
        <v>29.535845592517262</v>
      </c>
      <c r="EL184" s="125">
        <f>EL72/293.07*(1/(VLOOKUP($BM184,'Fuel economy adjusted factor'!$A$2:$L$52,5,FALSE)*m2k))/'TCO Inputs'!$AZ$84</f>
        <v>29.535845592517262</v>
      </c>
      <c r="EM184" s="125">
        <f>EM72/293.07*(1/(VLOOKUP($BM184,'Fuel economy adjusted factor'!$A$2:$L$52,5,FALSE)*m2k))/'TCO Inputs'!$AZ$84</f>
        <v>29.535845592517262</v>
      </c>
      <c r="EN184" s="125">
        <f>EN72/293.07*(1/(VLOOKUP($BM184,'Fuel economy adjusted factor'!$A$2:$L$52,5,FALSE)*m2k))/'TCO Inputs'!$AZ$84</f>
        <v>29.535845592517262</v>
      </c>
      <c r="EO184" s="125">
        <f>EO72/293.07*(1/(VLOOKUP($BM184,'Fuel economy adjusted factor'!$A$2:$L$52,5,FALSE)*m2k))/'TCO Inputs'!$AZ$84</f>
        <v>28.699612798044807</v>
      </c>
      <c r="EP184" s="125">
        <f>EP72/293.07*(1/(VLOOKUP($BM184,'Fuel economy adjusted factor'!$A$2:$L$52,5,FALSE)*m2k))/'TCO Inputs'!$AZ$84</f>
        <v>28.699612798044807</v>
      </c>
      <c r="EQ184" s="125">
        <f>EQ72/293.07*(1/(VLOOKUP($BM184,'Fuel economy adjusted factor'!$A$2:$L$52,5,FALSE)*m2k))/'TCO Inputs'!$AZ$84</f>
        <v>28.699612798044807</v>
      </c>
      <c r="ER184" s="125">
        <f>ER72/293.07*(1/(VLOOKUP($BM184,'Fuel economy adjusted factor'!$A$2:$L$52,5,FALSE)*m2k))/'TCO Inputs'!$AZ$84</f>
        <v>28.699612798044807</v>
      </c>
      <c r="ES184" s="125">
        <f>ES72/293.07*(1/(VLOOKUP($BM184,'Fuel economy adjusted factor'!$A$2:$L$52,5,FALSE)*m2k))/'TCO Inputs'!$AZ$84</f>
        <v>28.699612798044807</v>
      </c>
      <c r="ET184" s="125">
        <f>ET72/293.07*(1/(VLOOKUP($BM184,'Fuel economy adjusted factor'!$A$2:$L$52,5,FALSE)*m2k))/'TCO Inputs'!$AZ$84</f>
        <v>27.68391058756875</v>
      </c>
      <c r="EU184" s="125">
        <f>EU72/293.07*(1/(VLOOKUP($BM184,'Fuel economy adjusted factor'!$A$2:$L$52,5,FALSE)*m2k))/'TCO Inputs'!$AZ$84</f>
        <v>27.68391058756875</v>
      </c>
      <c r="EV184" s="125">
        <f>EV72/293.07*(1/(VLOOKUP($BM184,'Fuel economy adjusted factor'!$A$2:$L$52,5,FALSE)*m2k))/'TCO Inputs'!$AZ$84</f>
        <v>27.68391058756875</v>
      </c>
      <c r="EW184" s="125">
        <f>EW72/293.07*(1/(VLOOKUP($BM184,'Fuel economy adjusted factor'!$A$2:$L$52,5,FALSE)*m2k))/'TCO Inputs'!$AZ$84</f>
        <v>27.68391058756875</v>
      </c>
      <c r="EX184" s="125">
        <f>EX72/293.07*(1/(VLOOKUP($BM184,'Fuel economy adjusted factor'!$A$2:$L$52,5,FALSE)*m2k))/'TCO Inputs'!$AZ$84</f>
        <v>27.68391058756875</v>
      </c>
      <c r="EY184" s="125">
        <f>EY72/293.07*(1/(VLOOKUP($BM184,'Fuel economy adjusted factor'!$A$2:$L$52,5,FALSE)*m2k))/'TCO Inputs'!$AZ$84</f>
        <v>26.065242785195668</v>
      </c>
      <c r="EZ184" s="98" cm="1">
        <f t="array" ref="EZ184">SUMPRODUCT(INDEX(DX184:EY184,,'TCO Inputs'!$AZ$12-2023+_xlfn.SEQUENCE('TCO Inputs'!$AZ$13))*INDEX('VKT US'!C74:AA74,,_xlfn.SEQUENCE('TCO Inputs'!$AZ$13)))*m2k*CONVERT(0.9072,"g","ton")</f>
        <v>13.748199155896147</v>
      </c>
      <c r="FB184" s="123" t="s">
        <v>196</v>
      </c>
      <c r="FC184" s="125">
        <f>FC72/293.07*(1/(VLOOKUP($BM184,'Fuel economy adjusted factor'!$A$2:$L$52,5,FALSE)*m2k))/'TCO Inputs'!$AZ$84</f>
        <v>65.878187142101879</v>
      </c>
      <c r="FD184" s="125">
        <f>FD72/293.07*(1/(VLOOKUP($BM184,'Fuel economy adjusted factor'!$A$2:$L$52,5,FALSE)*m2k))/'TCO Inputs'!$AZ$84</f>
        <v>65.878187142101879</v>
      </c>
      <c r="FE184" s="125">
        <f>FE72/293.07*(1/(VLOOKUP($BM184,'Fuel economy adjusted factor'!$A$2:$L$52,5,FALSE)*m2k))/'TCO Inputs'!$AZ$84</f>
        <v>57.434947326373326</v>
      </c>
      <c r="FF184" s="125">
        <f>FF72/293.07*(1/(VLOOKUP($BM184,'Fuel economy adjusted factor'!$A$2:$L$52,5,FALSE)*m2k))/'TCO Inputs'!$AZ$84</f>
        <v>57.434947326373326</v>
      </c>
      <c r="FG184" s="125">
        <f>FG72/293.07*(1/(VLOOKUP($BM184,'Fuel economy adjusted factor'!$A$2:$L$52,5,FALSE)*m2k))/'TCO Inputs'!$AZ$84</f>
        <v>57.434947326373326</v>
      </c>
      <c r="FH184" s="125">
        <f>FH72/293.07*(1/(VLOOKUP($BM184,'Fuel economy adjusted factor'!$A$2:$L$52,5,FALSE)*m2k))/'TCO Inputs'!$AZ$84</f>
        <v>57.434947326373326</v>
      </c>
      <c r="FI184" s="125">
        <f>FI72/293.07*(1/(VLOOKUP($BM184,'Fuel economy adjusted factor'!$A$2:$L$52,5,FALSE)*m2k))/'TCO Inputs'!$AZ$84</f>
        <v>57.434947326373326</v>
      </c>
      <c r="FJ184" s="125">
        <f>FJ72/293.07*(1/(VLOOKUP($BM184,'Fuel economy adjusted factor'!$A$2:$L$52,5,FALSE)*m2k))/'TCO Inputs'!$AZ$84</f>
        <v>36.328138933929651</v>
      </c>
      <c r="FK184" s="125">
        <f>FK72/293.07*(1/(VLOOKUP($BM184,'Fuel economy adjusted factor'!$A$2:$L$52,5,FALSE)*m2k))/'TCO Inputs'!$AZ$84</f>
        <v>36.328138933929651</v>
      </c>
      <c r="FL184" s="125">
        <f>FL72/293.07*(1/(VLOOKUP($BM184,'Fuel economy adjusted factor'!$A$2:$L$52,5,FALSE)*m2k))/'TCO Inputs'!$AZ$84</f>
        <v>36.328138933929651</v>
      </c>
      <c r="FM184" s="125">
        <f>FM72/293.07*(1/(VLOOKUP($BM184,'Fuel economy adjusted factor'!$A$2:$L$52,5,FALSE)*m2k))/'TCO Inputs'!$AZ$84</f>
        <v>36.328138933929651</v>
      </c>
      <c r="FN184" s="125">
        <f>FN72/293.07*(1/(VLOOKUP($BM184,'Fuel economy adjusted factor'!$A$2:$L$52,5,FALSE)*m2k))/'TCO Inputs'!$AZ$84</f>
        <v>36.328138933929651</v>
      </c>
      <c r="FO184" s="125">
        <f>FO72/293.07*(1/(VLOOKUP($BM184,'Fuel economy adjusted factor'!$A$2:$L$52,5,FALSE)*m2k))/'TCO Inputs'!$AZ$84</f>
        <v>32.176240957462454</v>
      </c>
      <c r="FP184" s="125">
        <f>FP72/293.07*(1/(VLOOKUP($BM184,'Fuel economy adjusted factor'!$A$2:$L$52,5,FALSE)*m2k))/'TCO Inputs'!$AZ$84</f>
        <v>32.176240957462454</v>
      </c>
      <c r="FQ184" s="125">
        <f>FQ72/293.07*(1/(VLOOKUP($BM184,'Fuel economy adjusted factor'!$A$2:$L$52,5,FALSE)*m2k))/'TCO Inputs'!$AZ$84</f>
        <v>32.176240957462454</v>
      </c>
      <c r="FR184" s="125">
        <f>FR72/293.07*(1/(VLOOKUP($BM184,'Fuel economy adjusted factor'!$A$2:$L$52,5,FALSE)*m2k))/'TCO Inputs'!$AZ$84</f>
        <v>32.176240957462454</v>
      </c>
      <c r="FS184" s="125">
        <f>FS72/293.07*(1/(VLOOKUP($BM184,'Fuel economy adjusted factor'!$A$2:$L$52,5,FALSE)*m2k))/'TCO Inputs'!$AZ$84</f>
        <v>32.176240957462454</v>
      </c>
      <c r="FT184" s="125">
        <f>FT72/293.07*(1/(VLOOKUP($BM184,'Fuel economy adjusted factor'!$A$2:$L$52,5,FALSE)*m2k))/'TCO Inputs'!$AZ$84</f>
        <v>31.441578384037609</v>
      </c>
      <c r="FU184" s="125">
        <f>FU72/293.07*(1/(VLOOKUP($BM184,'Fuel economy adjusted factor'!$A$2:$L$52,5,FALSE)*m2k))/'TCO Inputs'!$AZ$84</f>
        <v>31.441578384037609</v>
      </c>
      <c r="FV184" s="125">
        <f>FV72/293.07*(1/(VLOOKUP($BM184,'Fuel economy adjusted factor'!$A$2:$L$52,5,FALSE)*m2k))/'TCO Inputs'!$AZ$84</f>
        <v>31.441578384037609</v>
      </c>
      <c r="FW184" s="125">
        <f>FW72/293.07*(1/(VLOOKUP($BM184,'Fuel economy adjusted factor'!$A$2:$L$52,5,FALSE)*m2k))/'TCO Inputs'!$AZ$84</f>
        <v>31.441578384037609</v>
      </c>
      <c r="FX184" s="125">
        <f>FX72/293.07*(1/(VLOOKUP($BM184,'Fuel economy adjusted factor'!$A$2:$L$52,5,FALSE)*m2k))/'TCO Inputs'!$AZ$84</f>
        <v>31.441578384037609</v>
      </c>
      <c r="FY184" s="125">
        <f>FY72/293.07*(1/(VLOOKUP($BM184,'Fuel economy adjusted factor'!$A$2:$L$52,5,FALSE)*m2k))/'TCO Inputs'!$AZ$84</f>
        <v>30.424154644391251</v>
      </c>
      <c r="FZ184" s="125">
        <f>FZ72/293.07*(1/(VLOOKUP($BM184,'Fuel economy adjusted factor'!$A$2:$L$52,5,FALSE)*m2k))/'TCO Inputs'!$AZ$84</f>
        <v>30.424154644391251</v>
      </c>
      <c r="GA184" s="125">
        <f>GA72/293.07*(1/(VLOOKUP($BM184,'Fuel economy adjusted factor'!$A$2:$L$52,5,FALSE)*m2k))/'TCO Inputs'!$AZ$84</f>
        <v>30.424154644391251</v>
      </c>
      <c r="GB184" s="125">
        <f>GB72/293.07*(1/(VLOOKUP($BM184,'Fuel economy adjusted factor'!$A$2:$L$52,5,FALSE)*m2k))/'TCO Inputs'!$AZ$84</f>
        <v>30.424154644391251</v>
      </c>
      <c r="GC184" s="125">
        <f>GC72/293.07*(1/(VLOOKUP($BM184,'Fuel economy adjusted factor'!$A$2:$L$52,5,FALSE)*m2k))/'TCO Inputs'!$AZ$84</f>
        <v>30.424154644391251</v>
      </c>
      <c r="GD184" s="125">
        <f>GD72/293.07*(1/(VLOOKUP($BM184,'Fuel economy adjusted factor'!$A$2:$L$52,5,FALSE)*m2k))/'TCO Inputs'!$AZ$84</f>
        <v>28.750397908568615</v>
      </c>
      <c r="GE184" s="98" cm="1">
        <f t="array" ref="GE184">SUMPRODUCT(INDEX(FC184:GD184,,'TCO Inputs'!$AZ$12-2023+_xlfn.SEQUENCE('TCO Inputs'!$AZ$13))*INDEX('VKT US'!C74:AA74,,_xlfn.SEQUENCE('TCO Inputs'!$AZ$13)))*m2k*CONVERT(0.9072,"g","ton")</f>
        <v>14.894938001587686</v>
      </c>
      <c r="GH184" s="123" t="s">
        <v>196</v>
      </c>
      <c r="GI184" s="125">
        <f>GI72/293.07*(1/(VLOOKUP($GH184,'Fuel economy adjusted factor'!$A$2:$L$52,5,FALSE)*m2k))/'TCO Inputs'!$AZ$84</f>
        <v>115.9728493026027</v>
      </c>
      <c r="GJ184" s="125">
        <f>GJ72/293.07*(1/(VLOOKUP($GH184,'Fuel economy adjusted factor'!$A$2:$L$52,5,FALSE)*m2k))/'TCO Inputs'!$AZ$84</f>
        <v>115.9728493026027</v>
      </c>
      <c r="GK184" s="125">
        <f>GK72/293.07*(1/(VLOOKUP($GH184,'Fuel economy adjusted factor'!$A$2:$L$52,5,FALSE)*m2k))/'TCO Inputs'!$AZ$84</f>
        <v>115.9728493026027</v>
      </c>
      <c r="GL184" s="125">
        <f>GL72/293.07*(1/(VLOOKUP($GH184,'Fuel economy adjusted factor'!$A$2:$L$52,5,FALSE)*m2k))/'TCO Inputs'!$AZ$84</f>
        <v>115.9728493026027</v>
      </c>
      <c r="GM184" s="125">
        <f>GM72/293.07*(1/(VLOOKUP($GH184,'Fuel economy adjusted factor'!$A$2:$L$52,5,FALSE)*m2k))/'TCO Inputs'!$AZ$84</f>
        <v>115.9728493026027</v>
      </c>
      <c r="GN184" s="125">
        <f>GN72/293.07*(1/(VLOOKUP($GH184,'Fuel economy adjusted factor'!$A$2:$L$52,5,FALSE)*m2k))/'TCO Inputs'!$AZ$84</f>
        <v>115.9728493026027</v>
      </c>
      <c r="GO184" s="125">
        <f>GO72/293.07*(1/(VLOOKUP($GH184,'Fuel economy adjusted factor'!$A$2:$L$52,5,FALSE)*m2k))/'TCO Inputs'!$AZ$84</f>
        <v>115.9728493026027</v>
      </c>
      <c r="GP184" s="125">
        <f>GP72/293.07*(1/(VLOOKUP($GH184,'Fuel economy adjusted factor'!$A$2:$L$52,5,FALSE)*m2k))/'TCO Inputs'!$AZ$84</f>
        <v>115.9728493026027</v>
      </c>
      <c r="GQ184" s="125">
        <f>GQ72/293.07*(1/(VLOOKUP($GH184,'Fuel economy adjusted factor'!$A$2:$L$52,5,FALSE)*m2k))/'TCO Inputs'!$AZ$84</f>
        <v>115.9728493026027</v>
      </c>
      <c r="GR184" s="125">
        <f>GR72/293.07*(1/(VLOOKUP($GH184,'Fuel economy adjusted factor'!$A$2:$L$52,5,FALSE)*m2k))/'TCO Inputs'!$AZ$84</f>
        <v>115.9728493026027</v>
      </c>
      <c r="GS184" s="125">
        <f>GS72/293.07*(1/(VLOOKUP($GH184,'Fuel economy adjusted factor'!$A$2:$L$52,5,FALSE)*m2k))/'TCO Inputs'!$AZ$84</f>
        <v>115.9728493026027</v>
      </c>
      <c r="GT184" s="125">
        <f>GT72/293.07*(1/(VLOOKUP($GH184,'Fuel economy adjusted factor'!$A$2:$L$52,5,FALSE)*m2k))/'TCO Inputs'!$AZ$84</f>
        <v>115.9728493026027</v>
      </c>
      <c r="GU184" s="125">
        <f>GU72/293.07*(1/(VLOOKUP($GH184,'Fuel economy adjusted factor'!$A$2:$L$52,5,FALSE)*m2k))/'TCO Inputs'!$AZ$84</f>
        <v>115.9728493026027</v>
      </c>
      <c r="GV184" s="125">
        <f>GV72/293.07*(1/(VLOOKUP($GH184,'Fuel economy adjusted factor'!$A$2:$L$52,5,FALSE)*m2k))/'TCO Inputs'!$AZ$84</f>
        <v>115.9728493026027</v>
      </c>
      <c r="GW184" s="125">
        <f>GW72/293.07*(1/(VLOOKUP($GH184,'Fuel economy adjusted factor'!$A$2:$L$52,5,FALSE)*m2k))/'TCO Inputs'!$AZ$84</f>
        <v>115.9728493026027</v>
      </c>
      <c r="GX184" s="125">
        <f>GX72/293.07*(1/(VLOOKUP($GH184,'Fuel economy adjusted factor'!$A$2:$L$52,5,FALSE)*m2k))/'TCO Inputs'!$AZ$84</f>
        <v>115.9728493026027</v>
      </c>
      <c r="GY184" s="125">
        <f>GY72/293.07*(1/(VLOOKUP($GH184,'Fuel economy adjusted factor'!$A$2:$L$52,5,FALSE)*m2k))/'TCO Inputs'!$AZ$84</f>
        <v>115.9728493026027</v>
      </c>
      <c r="GZ184" s="125">
        <f>GZ72/293.07*(1/(VLOOKUP($GH184,'Fuel economy adjusted factor'!$A$2:$L$52,5,FALSE)*m2k))/'TCO Inputs'!$AZ$84</f>
        <v>115.9728493026027</v>
      </c>
      <c r="HA184" s="125">
        <f>HA72/293.07*(1/(VLOOKUP($GH184,'Fuel economy adjusted factor'!$A$2:$L$52,5,FALSE)*m2k))/'TCO Inputs'!$AZ$84</f>
        <v>115.9728493026027</v>
      </c>
      <c r="HB184" s="125">
        <f>HB72/293.07*(1/(VLOOKUP($GH184,'Fuel economy adjusted factor'!$A$2:$L$52,5,FALSE)*m2k))/'TCO Inputs'!$AZ$84</f>
        <v>115.9728493026027</v>
      </c>
      <c r="HC184" s="125">
        <f>HC72/293.07*(1/(VLOOKUP($GH184,'Fuel economy adjusted factor'!$A$2:$L$52,5,FALSE)*m2k))/'TCO Inputs'!$AZ$84</f>
        <v>115.9728493026027</v>
      </c>
      <c r="HD184" s="125">
        <f>HD72/293.07*(1/(VLOOKUP($GH184,'Fuel economy adjusted factor'!$A$2:$L$52,5,FALSE)*m2k))/'TCO Inputs'!$AZ$84</f>
        <v>115.9728493026027</v>
      </c>
      <c r="HE184" s="125">
        <f>HE72/293.07*(1/(VLOOKUP($GH184,'Fuel economy adjusted factor'!$A$2:$L$52,5,FALSE)*m2k))/'TCO Inputs'!$AZ$84</f>
        <v>115.9728493026027</v>
      </c>
      <c r="HF184" s="125">
        <f>HF72/293.07*(1/(VLOOKUP($GH184,'Fuel economy adjusted factor'!$A$2:$L$52,5,FALSE)*m2k))/'TCO Inputs'!$AZ$84</f>
        <v>115.9728493026027</v>
      </c>
      <c r="HG184" s="125">
        <f>HG72/293.07*(1/(VLOOKUP($GH184,'Fuel economy adjusted factor'!$A$2:$L$52,5,FALSE)*m2k))/'TCO Inputs'!$AZ$84</f>
        <v>115.9728493026027</v>
      </c>
      <c r="HH184" s="125">
        <f>HH72/293.07*(1/(VLOOKUP($GH184,'Fuel economy adjusted factor'!$A$2:$L$52,5,FALSE)*m2k))/'TCO Inputs'!$AZ$84</f>
        <v>115.9728493026027</v>
      </c>
      <c r="HI184" s="125">
        <f>HI72/293.07*(1/(VLOOKUP($GH184,'Fuel economy adjusted factor'!$A$2:$L$52,5,FALSE)*m2k))/'TCO Inputs'!$AZ$84</f>
        <v>115.9728493026027</v>
      </c>
      <c r="HJ184" s="125">
        <f>HJ72/293.07*(1/(VLOOKUP($GH184,'Fuel economy adjusted factor'!$A$2:$L$52,5,FALSE)*m2k))/'TCO Inputs'!$AZ$84</f>
        <v>115.9728493026027</v>
      </c>
      <c r="HK184" s="98" cm="1">
        <f t="array" ref="HK184">SUMPRODUCT(INDEX(GI184:HJ184,,'TCO Inputs'!$AZ$12-2023+_xlfn.SEQUENCE('TCO Inputs'!$AZ$13))*INDEX('VKT US'!C74:AA74,,_xlfn.SEQUENCE('TCO Inputs'!$AZ$13)))*m2k*CONVERT(0.9072,"g","ton")</f>
        <v>35.345955215573063</v>
      </c>
    </row>
    <row r="185" spans="26:219" x14ac:dyDescent="0.25">
      <c r="Z185" s="123" t="s">
        <v>197</v>
      </c>
      <c r="AA185" s="125">
        <f>AA73/293.07*(1/(VLOOKUP($Z185,'Fuel economy adjusted factor'!$A$2:$L$52,5,FALSE)*m2k))/'TCO Inputs'!$AZ$84</f>
        <v>59.666139463676075</v>
      </c>
      <c r="AB185" s="125">
        <f>AB73/293.07*(1/(VLOOKUP($Z185,'Fuel economy adjusted factor'!$A$2:$L$52,5,FALSE)*m2k))/'TCO Inputs'!$AZ$84</f>
        <v>59.666139463676075</v>
      </c>
      <c r="AC185" s="125">
        <f>AC73/293.07*(1/(VLOOKUP($Z185,'Fuel economy adjusted factor'!$A$2:$L$52,5,FALSE)*m2k))/'TCO Inputs'!$AZ$84</f>
        <v>52.407489502797311</v>
      </c>
      <c r="AD185" s="125">
        <f>AD73/293.07*(1/(VLOOKUP($Z185,'Fuel economy adjusted factor'!$A$2:$L$52,5,FALSE)*m2k))/'TCO Inputs'!$AZ$84</f>
        <v>52.407489502797311</v>
      </c>
      <c r="AE185" s="125">
        <f>AE73/293.07*(1/(VLOOKUP($Z185,'Fuel economy adjusted factor'!$A$2:$L$52,5,FALSE)*m2k))/'TCO Inputs'!$AZ$84</f>
        <v>52.407489502797311</v>
      </c>
      <c r="AF185" s="125">
        <f>AF73/293.07*(1/(VLOOKUP($Z185,'Fuel economy adjusted factor'!$A$2:$L$52,5,FALSE)*m2k))/'TCO Inputs'!$AZ$84</f>
        <v>52.407489502797311</v>
      </c>
      <c r="AG185" s="125">
        <f>AG73/293.07*(1/(VLOOKUP($Z185,'Fuel economy adjusted factor'!$A$2:$L$52,5,FALSE)*m2k))/'TCO Inputs'!$AZ$84</f>
        <v>52.407489502797311</v>
      </c>
      <c r="AH185" s="125">
        <f>AH73/293.07*(1/(VLOOKUP($Z185,'Fuel economy adjusted factor'!$A$2:$L$52,5,FALSE)*m2k))/'TCO Inputs'!$AZ$84</f>
        <v>19.813916474358752</v>
      </c>
      <c r="AI185" s="125">
        <f>AI73/293.07*(1/(VLOOKUP($Z185,'Fuel economy adjusted factor'!$A$2:$L$52,5,FALSE)*m2k))/'TCO Inputs'!$AZ$84</f>
        <v>19.813916474358752</v>
      </c>
      <c r="AJ185" s="125">
        <f>AJ73/293.07*(1/(VLOOKUP($Z185,'Fuel economy adjusted factor'!$A$2:$L$52,5,FALSE)*m2k))/'TCO Inputs'!$AZ$84</f>
        <v>19.813916474358752</v>
      </c>
      <c r="AK185" s="125">
        <f>AK73/293.07*(1/(VLOOKUP($Z185,'Fuel economy adjusted factor'!$A$2:$L$52,5,FALSE)*m2k))/'TCO Inputs'!$AZ$84</f>
        <v>19.813916474358752</v>
      </c>
      <c r="AL185" s="125">
        <f>AL73/293.07*(1/(VLOOKUP($Z185,'Fuel economy adjusted factor'!$A$2:$L$52,5,FALSE)*m2k))/'TCO Inputs'!$AZ$84</f>
        <v>19.813916474358752</v>
      </c>
      <c r="AM185" s="125">
        <f>AM73/293.07*(1/(VLOOKUP($Z185,'Fuel economy adjusted factor'!$A$2:$L$52,5,FALSE)*m2k))/'TCO Inputs'!$AZ$84</f>
        <v>16.653603464025558</v>
      </c>
      <c r="AN185" s="125">
        <f>AN73/293.07*(1/(VLOOKUP($Z185,'Fuel economy adjusted factor'!$A$2:$L$52,5,FALSE)*m2k))/'TCO Inputs'!$AZ$84</f>
        <v>16.653603464025558</v>
      </c>
      <c r="AO185" s="125">
        <f>AO73/293.07*(1/(VLOOKUP($Z185,'Fuel economy adjusted factor'!$A$2:$L$52,5,FALSE)*m2k))/'TCO Inputs'!$AZ$84</f>
        <v>16.653603464025558</v>
      </c>
      <c r="AP185" s="125">
        <f>AP73/293.07*(1/(VLOOKUP($Z185,'Fuel economy adjusted factor'!$A$2:$L$52,5,FALSE)*m2k))/'TCO Inputs'!$AZ$84</f>
        <v>16.653603464025558</v>
      </c>
      <c r="AQ185" s="125">
        <f>AQ73/293.07*(1/(VLOOKUP($Z185,'Fuel economy adjusted factor'!$A$2:$L$52,5,FALSE)*m2k))/'TCO Inputs'!$AZ$84</f>
        <v>16.653603464025558</v>
      </c>
      <c r="AR185" s="125">
        <f>AR73/293.07*(1/(VLOOKUP($Z185,'Fuel economy adjusted factor'!$A$2:$L$52,5,FALSE)*m2k))/'TCO Inputs'!$AZ$84</f>
        <v>16.653603464025558</v>
      </c>
      <c r="AS185" s="125">
        <f>AS73/293.07*(1/(VLOOKUP($Z185,'Fuel economy adjusted factor'!$A$2:$L$52,5,FALSE)*m2k))/'TCO Inputs'!$AZ$84</f>
        <v>16.653603464025558</v>
      </c>
      <c r="AT185" s="125">
        <f>AT73/293.07*(1/(VLOOKUP($Z185,'Fuel economy adjusted factor'!$A$2:$L$52,5,FALSE)*m2k))/'TCO Inputs'!$AZ$84</f>
        <v>16.653603464025558</v>
      </c>
      <c r="AU185" s="125">
        <f>AU73/293.07*(1/(VLOOKUP($Z185,'Fuel economy adjusted factor'!$A$2:$L$52,5,FALSE)*m2k))/'TCO Inputs'!$AZ$84</f>
        <v>16.653603464025558</v>
      </c>
      <c r="AV185" s="125">
        <f>AV73/293.07*(1/(VLOOKUP($Z185,'Fuel economy adjusted factor'!$A$2:$L$52,5,FALSE)*m2k))/'TCO Inputs'!$AZ$84</f>
        <v>16.653603464025558</v>
      </c>
      <c r="AW185" s="125">
        <f>AW73/293.07*(1/(VLOOKUP($Z185,'Fuel economy adjusted factor'!$A$2:$L$52,5,FALSE)*m2k))/'TCO Inputs'!$AZ$84</f>
        <v>16.732231941366891</v>
      </c>
      <c r="AX185" s="125">
        <f>AX73/293.07*(1/(VLOOKUP($Z185,'Fuel economy adjusted factor'!$A$2:$L$52,5,FALSE)*m2k))/'TCO Inputs'!$AZ$84</f>
        <v>16.732231941366891</v>
      </c>
      <c r="AY185" s="125">
        <f>AY73/293.07*(1/(VLOOKUP($Z185,'Fuel economy adjusted factor'!$A$2:$L$52,5,FALSE)*m2k))/'TCO Inputs'!$AZ$84</f>
        <v>16.732231941366891</v>
      </c>
      <c r="AZ185" s="125">
        <f>AZ73/293.07*(1/(VLOOKUP($Z185,'Fuel economy adjusted factor'!$A$2:$L$52,5,FALSE)*m2k))/'TCO Inputs'!$AZ$84</f>
        <v>16.732231941366891</v>
      </c>
      <c r="BA185" s="125">
        <f>BA73/293.07*(1/(VLOOKUP($Z185,'Fuel economy adjusted factor'!$A$2:$L$52,5,FALSE)*m2k))/'TCO Inputs'!$AZ$84</f>
        <v>16.732231941366891</v>
      </c>
      <c r="BB185" s="125">
        <f>BB73/293.07*(1/(VLOOKUP($Z185,'Fuel economy adjusted factor'!$A$2:$L$52,5,FALSE)*m2k))/'TCO Inputs'!$AZ$84</f>
        <v>16.831092307614764</v>
      </c>
      <c r="BC185" s="98" cm="1">
        <f t="array" ref="BC185">SUMPRODUCT(INDEX(AA185:BB185,,'TCO Inputs'!$AZ$12-2023+_xlfn.SEQUENCE('TCO Inputs'!$AZ$13))*INDEX('VKT US'!C75:AA75,,_xlfn.SEQUENCE('TCO Inputs'!$AZ$13)))*m2k*CONVERT(0.9072,"g","ton")</f>
        <v>10.265164877634772</v>
      </c>
      <c r="BM185" s="123" t="s">
        <v>197</v>
      </c>
      <c r="BN185" s="125">
        <f>BN73/293.07*(1/(VLOOKUP($BM185,'Fuel economy adjusted factor'!$A$2:$L$52,5,FALSE)*m2k))</f>
        <v>50.716218544124665</v>
      </c>
      <c r="BO185" s="125">
        <f>BO73/293.07*(1/(VLOOKUP($BM185,'Fuel economy adjusted factor'!$A$2:$L$52,5,FALSE)*m2k))</f>
        <v>50.716218544124665</v>
      </c>
      <c r="BP185" s="125">
        <f>BP73/293.07*(1/(VLOOKUP($BM185,'Fuel economy adjusted factor'!$A$2:$L$52,5,FALSE)*m2k))</f>
        <v>39.978189488543393</v>
      </c>
      <c r="BQ185" s="125">
        <f>BQ73/293.07*(1/(VLOOKUP($BM185,'Fuel economy adjusted factor'!$A$2:$L$52,5,FALSE)*m2k))</f>
        <v>39.978189488543393</v>
      </c>
      <c r="BR185" s="125">
        <f>BR73/293.07*(1/(VLOOKUP($BM185,'Fuel economy adjusted factor'!$A$2:$L$52,5,FALSE)*m2k))</f>
        <v>39.978189488543393</v>
      </c>
      <c r="BS185" s="125">
        <f>BS73/293.07*(1/(VLOOKUP($BM185,'Fuel economy adjusted factor'!$A$2:$L$52,5,FALSE)*m2k))</f>
        <v>39.978189488543393</v>
      </c>
      <c r="BT185" s="125">
        <f>BT73/293.07*(1/(VLOOKUP($BM185,'Fuel economy adjusted factor'!$A$2:$L$52,5,FALSE)*m2k))</f>
        <v>39.978189488543393</v>
      </c>
      <c r="BU185" s="125">
        <f>BU73/293.07*(1/(VLOOKUP($BM185,'Fuel economy adjusted factor'!$A$2:$L$52,5,FALSE)*m2k))</f>
        <v>2.2582926360613151</v>
      </c>
      <c r="BV185" s="125">
        <f>BV73/293.07*(1/(VLOOKUP($BM185,'Fuel economy adjusted factor'!$A$2:$L$52,5,FALSE)*m2k))</f>
        <v>2.2582926360613151</v>
      </c>
      <c r="BW185" s="125">
        <f>BW73/293.07*(1/(VLOOKUP($BM185,'Fuel economy adjusted factor'!$A$2:$L$52,5,FALSE)*m2k))</f>
        <v>2.2582926360613151</v>
      </c>
      <c r="BX185" s="125">
        <f>BX73/293.07*(1/(VLOOKUP($BM185,'Fuel economy adjusted factor'!$A$2:$L$52,5,FALSE)*m2k))</f>
        <v>2.2582926360613151</v>
      </c>
      <c r="BY185" s="125">
        <f>BY73/293.07*(1/(VLOOKUP($BM185,'Fuel economy adjusted factor'!$A$2:$L$52,5,FALSE)*m2k))</f>
        <v>2.2582926360613151</v>
      </c>
      <c r="BZ185" s="125">
        <f>BZ73/293.07*(1/(VLOOKUP($BM185,'Fuel economy adjusted factor'!$A$2:$L$52,5,FALSE)*m2k))</f>
        <v>2.3552217765499281</v>
      </c>
      <c r="CA185" s="125">
        <f>CA73/293.07*(1/(VLOOKUP($BM185,'Fuel economy adjusted factor'!$A$2:$L$52,5,FALSE)*m2k))</f>
        <v>2.3552217765499281</v>
      </c>
      <c r="CB185" s="125">
        <f>CB73/293.07*(1/(VLOOKUP($BM185,'Fuel economy adjusted factor'!$A$2:$L$52,5,FALSE)*m2k))</f>
        <v>2.3552217765499281</v>
      </c>
      <c r="CC185" s="125">
        <f>CC73/293.07*(1/(VLOOKUP($BM185,'Fuel economy adjusted factor'!$A$2:$L$52,5,FALSE)*m2k))</f>
        <v>2.3552217765499281</v>
      </c>
      <c r="CD185" s="125">
        <f>CD73/293.07*(1/(VLOOKUP($BM185,'Fuel economy adjusted factor'!$A$2:$L$52,5,FALSE)*m2k))</f>
        <v>2.3552217765499281</v>
      </c>
      <c r="CE185" s="125">
        <f>CE73/293.07*(1/(VLOOKUP($BM185,'Fuel economy adjusted factor'!$A$2:$L$52,5,FALSE)*m2k))</f>
        <v>2.3880526144573615</v>
      </c>
      <c r="CF185" s="125">
        <f>CF73/293.07*(1/(VLOOKUP($BM185,'Fuel economy adjusted factor'!$A$2:$L$52,5,FALSE)*m2k))</f>
        <v>2.3880526144573615</v>
      </c>
      <c r="CG185" s="125">
        <f>CG73/293.07*(1/(VLOOKUP($BM185,'Fuel economy adjusted factor'!$A$2:$L$52,5,FALSE)*m2k))</f>
        <v>2.3880526144573615</v>
      </c>
      <c r="CH185" s="125">
        <f>CH73/293.07*(1/(VLOOKUP($BM185,'Fuel economy adjusted factor'!$A$2:$L$52,5,FALSE)*m2k))</f>
        <v>2.3880526144573615</v>
      </c>
      <c r="CI185" s="125">
        <f>CI73/293.07*(1/(VLOOKUP($BM185,'Fuel economy adjusted factor'!$A$2:$L$52,5,FALSE)*m2k))</f>
        <v>2.3880526144573615</v>
      </c>
      <c r="CJ185" s="125">
        <f>CJ73/293.07*(1/(VLOOKUP($BM185,'Fuel economy adjusted factor'!$A$2:$L$52,5,FALSE)*m2k))</f>
        <v>2.4720839257680542</v>
      </c>
      <c r="CK185" s="125">
        <f>CK73/293.07*(1/(VLOOKUP($BM185,'Fuel economy adjusted factor'!$A$2:$L$52,5,FALSE)*m2k))</f>
        <v>2.4720839257680542</v>
      </c>
      <c r="CL185" s="125">
        <f>CL73/293.07*(1/(VLOOKUP($BM185,'Fuel economy adjusted factor'!$A$2:$L$52,5,FALSE)*m2k))</f>
        <v>2.4720839257680542</v>
      </c>
      <c r="CM185" s="125">
        <f>CM73/293.07*(1/(VLOOKUP($BM185,'Fuel economy adjusted factor'!$A$2:$L$52,5,FALSE)*m2k))</f>
        <v>2.4720839257680542</v>
      </c>
      <c r="CN185" s="125">
        <f>CN73/293.07*(1/(VLOOKUP($BM185,'Fuel economy adjusted factor'!$A$2:$L$52,5,FALSE)*m2k))</f>
        <v>2.4720839257680542</v>
      </c>
      <c r="CO185" s="125">
        <f>CO73/293.07*(1/(VLOOKUP($BM185,'Fuel economy adjusted factor'!$A$2:$L$52,5,FALSE)*m2k))</f>
        <v>2.5783933056587913</v>
      </c>
      <c r="CP185" s="98" cm="1">
        <f t="array" ref="CP185">SUMPRODUCT(INDEX(BN185:CO185,,'TCO Inputs'!$AZ$12-2023+_xlfn.SEQUENCE('TCO Inputs'!$AZ$13))*INDEX('VKT US'!C75:AA75,,_xlfn.SEQUENCE('TCO Inputs'!$AZ$13)))*m2k*CONVERT(0.9072,"g","ton")</f>
        <v>6.606598391878622</v>
      </c>
      <c r="CQ185" s="194"/>
      <c r="CR185" s="123" t="s">
        <v>197</v>
      </c>
      <c r="CS185" s="125">
        <f>CS73/293.07*(1/(VLOOKUP($BM185,'Fuel economy adjusted factor'!$A$2:$L$52,5,FALSE)*m2k))/'TCO Inputs'!$AZ$84</f>
        <v>59.666139463676075</v>
      </c>
      <c r="CT185" s="125">
        <f>CT73/293.07*(1/(VLOOKUP($BM185,'Fuel economy adjusted factor'!$A$2:$L$52,5,FALSE)*m2k))</f>
        <v>2.37476394197102</v>
      </c>
      <c r="CU185" s="125">
        <f>CU73/293.07*(1/(VLOOKUP($BM185,'Fuel economy adjusted factor'!$A$2:$L$52,5,FALSE)*m2k))</f>
        <v>2.37476394197102</v>
      </c>
      <c r="CV185" s="125">
        <f>CV73/293.07*(1/(VLOOKUP($BM185,'Fuel economy adjusted factor'!$A$2:$L$52,5,FALSE)*m2k))</f>
        <v>2.37476394197102</v>
      </c>
      <c r="CW185" s="125">
        <f>CW73/293.07*(1/(VLOOKUP($BM185,'Fuel economy adjusted factor'!$A$2:$L$52,5,FALSE)*m2k))</f>
        <v>2.37476394197102</v>
      </c>
      <c r="CX185" s="125">
        <f>CX73/293.07*(1/(VLOOKUP($BM185,'Fuel economy adjusted factor'!$A$2:$L$52,5,FALSE)*m2k))</f>
        <v>2.37476394197102</v>
      </c>
      <c r="CY185" s="125">
        <f>CY73/293.07*(1/(VLOOKUP($BM185,'Fuel economy adjusted factor'!$A$2:$L$52,5,FALSE)*m2k))</f>
        <v>2.37476394197102</v>
      </c>
      <c r="CZ185" s="125">
        <f>CZ73/293.07*(1/(VLOOKUP($BM185,'Fuel economy adjusted factor'!$A$2:$L$52,5,FALSE)*m2k))</f>
        <v>2.37476394197102</v>
      </c>
      <c r="DA185" s="125">
        <f>DA73/293.07*(1/(VLOOKUP($BM185,'Fuel economy adjusted factor'!$A$2:$L$52,5,FALSE)*m2k))</f>
        <v>2.37476394197102</v>
      </c>
      <c r="DB185" s="125">
        <f>DB73/293.07*(1/(VLOOKUP($BM185,'Fuel economy adjusted factor'!$A$2:$L$52,5,FALSE)*m2k))</f>
        <v>2.37476394197102</v>
      </c>
      <c r="DC185" s="125">
        <f>DC73/293.07*(1/(VLOOKUP($BM185,'Fuel economy adjusted factor'!$A$2:$L$52,5,FALSE)*m2k))</f>
        <v>2.37476394197102</v>
      </c>
      <c r="DD185" s="125">
        <f>DD73/293.07*(1/(VLOOKUP($BM185,'Fuel economy adjusted factor'!$A$2:$L$52,5,FALSE)*m2k))</f>
        <v>2.37476394197102</v>
      </c>
      <c r="DE185" s="125">
        <f>DE73/293.07*(1/(VLOOKUP($BM185,'Fuel economy adjusted factor'!$A$2:$L$52,5,FALSE)*m2k))</f>
        <v>2.4427706776364175</v>
      </c>
      <c r="DF185" s="125">
        <f>DF73/293.07*(1/(VLOOKUP($BM185,'Fuel economy adjusted factor'!$A$2:$L$52,5,FALSE)*m2k))</f>
        <v>2.4427706776364175</v>
      </c>
      <c r="DG185" s="125">
        <f>DG73/293.07*(1/(VLOOKUP($BM185,'Fuel economy adjusted factor'!$A$2:$L$52,5,FALSE)*m2k))</f>
        <v>2.4427706776364175</v>
      </c>
      <c r="DH185" s="125">
        <f>DH73/293.07*(1/(VLOOKUP($BM185,'Fuel economy adjusted factor'!$A$2:$L$52,5,FALSE)*m2k))</f>
        <v>2.4427706776364175</v>
      </c>
      <c r="DI185" s="125">
        <f>DI73/293.07*(1/(VLOOKUP($BM185,'Fuel economy adjusted factor'!$A$2:$L$52,5,FALSE)*m2k))</f>
        <v>2.4427706776364175</v>
      </c>
      <c r="DJ185" s="125">
        <f>DJ73/293.07*(1/(VLOOKUP($BM185,'Fuel economy adjusted factor'!$A$2:$L$52,5,FALSE)*m2k))</f>
        <v>2.569794752873511</v>
      </c>
      <c r="DK185" s="125">
        <f>DK73/293.07*(1/(VLOOKUP($BM185,'Fuel economy adjusted factor'!$A$2:$L$52,5,FALSE)*m2k))</f>
        <v>2.569794752873511</v>
      </c>
      <c r="DL185" s="125">
        <f>DL73/293.07*(1/(VLOOKUP($BM185,'Fuel economy adjusted factor'!$A$2:$L$52,5,FALSE)*m2k))</f>
        <v>2.569794752873511</v>
      </c>
      <c r="DM185" s="125">
        <f>DM73/293.07*(1/(VLOOKUP($BM185,'Fuel economy adjusted factor'!$A$2:$L$52,5,FALSE)*m2k))</f>
        <v>2.569794752873511</v>
      </c>
      <c r="DN185" s="125">
        <f>DN73/293.07*(1/(VLOOKUP($BM185,'Fuel economy adjusted factor'!$A$2:$L$52,5,FALSE)*m2k))</f>
        <v>2.569794752873511</v>
      </c>
      <c r="DO185" s="125">
        <f>DO73/293.07*(1/(VLOOKUP($BM185,'Fuel economy adjusted factor'!$A$2:$L$52,5,FALSE)*m2k))</f>
        <v>2.6538260641842037</v>
      </c>
      <c r="DP185" s="125">
        <f>DP73/293.07*(1/(VLOOKUP($BM185,'Fuel economy adjusted factor'!$A$2:$L$52,5,FALSE)*m2k))</f>
        <v>2.6538260641842037</v>
      </c>
      <c r="DQ185" s="125">
        <f>DQ73/293.07*(1/(VLOOKUP($BM185,'Fuel economy adjusted factor'!$A$2:$L$52,5,FALSE)*m2k))</f>
        <v>2.6538260641842037</v>
      </c>
      <c r="DR185" s="125">
        <f>DR73/293.07*(1/(VLOOKUP($BM185,'Fuel economy adjusted factor'!$A$2:$L$52,5,FALSE)*m2k))</f>
        <v>2.6538260641842037</v>
      </c>
      <c r="DS185" s="125">
        <f>DS73/293.07*(1/(VLOOKUP($BM185,'Fuel economy adjusted factor'!$A$2:$L$52,5,FALSE)*m2k))</f>
        <v>2.6538260641842037</v>
      </c>
      <c r="DT185" s="125">
        <f>DT73/293.07*(1/(VLOOKUP($BM185,'Fuel economy adjusted factor'!$A$2:$L$52,5,FALSE)*m2k))</f>
        <v>2.7605262873833625</v>
      </c>
      <c r="DU185" s="98" cm="1">
        <f t="array" ref="DU185">SUMPRODUCT(INDEX(CS185:DT185,,'TCO Inputs'!$AZ$12-2023+_xlfn.SEQUENCE('TCO Inputs'!$AZ$13))*INDEX('VKT US'!C75:AA75,,_xlfn.SEQUENCE('TCO Inputs'!$AZ$13)))*m2k*CONVERT(0.9072,"g","ton")</f>
        <v>1.9418461172457118</v>
      </c>
      <c r="DW185" s="123" t="s">
        <v>197</v>
      </c>
      <c r="DX185" s="125">
        <f>DX73/293.07*(1/(VLOOKUP($BM185,'Fuel economy adjusted factor'!$A$2:$L$52,5,FALSE)*m2k))/'TCO Inputs'!$AZ$84</f>
        <v>78.829625254499817</v>
      </c>
      <c r="DY185" s="125">
        <f>DY73/293.07*(1/(VLOOKUP($BM185,'Fuel economy adjusted factor'!$A$2:$L$52,5,FALSE)*m2k))/'TCO Inputs'!$AZ$84</f>
        <v>78.829625254499817</v>
      </c>
      <c r="DZ185" s="125">
        <f>DZ73/293.07*(1/(VLOOKUP($BM185,'Fuel economy adjusted factor'!$A$2:$L$52,5,FALSE)*m2k))/'TCO Inputs'!$AZ$84</f>
        <v>68.966318776767267</v>
      </c>
      <c r="EA185" s="125">
        <f>EA73/293.07*(1/(VLOOKUP($BM185,'Fuel economy adjusted factor'!$A$2:$L$52,5,FALSE)*m2k))/'TCO Inputs'!$AZ$84</f>
        <v>68.966318776767267</v>
      </c>
      <c r="EB185" s="125">
        <f>EB73/293.07*(1/(VLOOKUP($BM185,'Fuel economy adjusted factor'!$A$2:$L$52,5,FALSE)*m2k))/'TCO Inputs'!$AZ$84</f>
        <v>68.966318776767267</v>
      </c>
      <c r="EC185" s="125">
        <f>EC73/293.07*(1/(VLOOKUP($BM185,'Fuel economy adjusted factor'!$A$2:$L$52,5,FALSE)*m2k))/'TCO Inputs'!$AZ$84</f>
        <v>68.966318776767267</v>
      </c>
      <c r="ED185" s="125">
        <f>ED73/293.07*(1/(VLOOKUP($BM185,'Fuel economy adjusted factor'!$A$2:$L$52,5,FALSE)*m2k))/'TCO Inputs'!$AZ$84</f>
        <v>68.966318776767267</v>
      </c>
      <c r="EE185" s="125">
        <f>EE73/293.07*(1/(VLOOKUP($BM185,'Fuel economy adjusted factor'!$A$2:$L$52,5,FALSE)*m2k))/'TCO Inputs'!$AZ$84</f>
        <v>42.908194585130559</v>
      </c>
      <c r="EF185" s="125">
        <f>EF73/293.07*(1/(VLOOKUP($BM185,'Fuel economy adjusted factor'!$A$2:$L$52,5,FALSE)*m2k))/'TCO Inputs'!$AZ$84</f>
        <v>42.908194585130559</v>
      </c>
      <c r="EG185" s="125">
        <f>EG73/293.07*(1/(VLOOKUP($BM185,'Fuel economy adjusted factor'!$A$2:$L$52,5,FALSE)*m2k))/'TCO Inputs'!$AZ$84</f>
        <v>42.908194585130559</v>
      </c>
      <c r="EH185" s="125">
        <f>EH73/293.07*(1/(VLOOKUP($BM185,'Fuel economy adjusted factor'!$A$2:$L$52,5,FALSE)*m2k))/'TCO Inputs'!$AZ$84</f>
        <v>42.908194585130559</v>
      </c>
      <c r="EI185" s="125">
        <f>EI73/293.07*(1/(VLOOKUP($BM185,'Fuel economy adjusted factor'!$A$2:$L$52,5,FALSE)*m2k))/'TCO Inputs'!$AZ$84</f>
        <v>42.908194585130559</v>
      </c>
      <c r="EJ185" s="125">
        <f>EJ73/293.07*(1/(VLOOKUP($BM185,'Fuel economy adjusted factor'!$A$2:$L$52,5,FALSE)*m2k))/'TCO Inputs'!$AZ$84</f>
        <v>38.205629262705386</v>
      </c>
      <c r="EK185" s="125">
        <f>EK73/293.07*(1/(VLOOKUP($BM185,'Fuel economy adjusted factor'!$A$2:$L$52,5,FALSE)*m2k))/'TCO Inputs'!$AZ$84</f>
        <v>38.205629262705386</v>
      </c>
      <c r="EL185" s="125">
        <f>EL73/293.07*(1/(VLOOKUP($BM185,'Fuel economy adjusted factor'!$A$2:$L$52,5,FALSE)*m2k))/'TCO Inputs'!$AZ$84</f>
        <v>38.205629262705386</v>
      </c>
      <c r="EM185" s="125">
        <f>EM73/293.07*(1/(VLOOKUP($BM185,'Fuel economy adjusted factor'!$A$2:$L$52,5,FALSE)*m2k))/'TCO Inputs'!$AZ$84</f>
        <v>38.205629262705386</v>
      </c>
      <c r="EN185" s="125">
        <f>EN73/293.07*(1/(VLOOKUP($BM185,'Fuel economy adjusted factor'!$A$2:$L$52,5,FALSE)*m2k))/'TCO Inputs'!$AZ$84</f>
        <v>38.205629262705386</v>
      </c>
      <c r="EO185" s="125">
        <f>EO73/293.07*(1/(VLOOKUP($BM185,'Fuel economy adjusted factor'!$A$2:$L$52,5,FALSE)*m2k))/'TCO Inputs'!$AZ$84</f>
        <v>37.12393346283892</v>
      </c>
      <c r="EP185" s="125">
        <f>EP73/293.07*(1/(VLOOKUP($BM185,'Fuel economy adjusted factor'!$A$2:$L$52,5,FALSE)*m2k))/'TCO Inputs'!$AZ$84</f>
        <v>37.12393346283892</v>
      </c>
      <c r="EQ185" s="125">
        <f>EQ73/293.07*(1/(VLOOKUP($BM185,'Fuel economy adjusted factor'!$A$2:$L$52,5,FALSE)*m2k))/'TCO Inputs'!$AZ$84</f>
        <v>37.12393346283892</v>
      </c>
      <c r="ER185" s="125">
        <f>ER73/293.07*(1/(VLOOKUP($BM185,'Fuel economy adjusted factor'!$A$2:$L$52,5,FALSE)*m2k))/'TCO Inputs'!$AZ$84</f>
        <v>37.12393346283892</v>
      </c>
      <c r="ES185" s="125">
        <f>ES73/293.07*(1/(VLOOKUP($BM185,'Fuel economy adjusted factor'!$A$2:$L$52,5,FALSE)*m2k))/'TCO Inputs'!$AZ$84</f>
        <v>37.12393346283892</v>
      </c>
      <c r="ET185" s="125">
        <f>ET73/293.07*(1/(VLOOKUP($BM185,'Fuel economy adjusted factor'!$A$2:$L$52,5,FALSE)*m2k))/'TCO Inputs'!$AZ$84</f>
        <v>35.810087818122042</v>
      </c>
      <c r="EU185" s="125">
        <f>EU73/293.07*(1/(VLOOKUP($BM185,'Fuel economy adjusted factor'!$A$2:$L$52,5,FALSE)*m2k))/'TCO Inputs'!$AZ$84</f>
        <v>35.810087818122042</v>
      </c>
      <c r="EV185" s="125">
        <f>EV73/293.07*(1/(VLOOKUP($BM185,'Fuel economy adjusted factor'!$A$2:$L$52,5,FALSE)*m2k))/'TCO Inputs'!$AZ$84</f>
        <v>35.810087818122042</v>
      </c>
      <c r="EW185" s="125">
        <f>EW73/293.07*(1/(VLOOKUP($BM185,'Fuel economy adjusted factor'!$A$2:$L$52,5,FALSE)*m2k))/'TCO Inputs'!$AZ$84</f>
        <v>35.810087818122042</v>
      </c>
      <c r="EX185" s="125">
        <f>EX73/293.07*(1/(VLOOKUP($BM185,'Fuel economy adjusted factor'!$A$2:$L$52,5,FALSE)*m2k))/'TCO Inputs'!$AZ$84</f>
        <v>35.810087818122042</v>
      </c>
      <c r="EY185" s="125">
        <f>EY73/293.07*(1/(VLOOKUP($BM185,'Fuel economy adjusted factor'!$A$2:$L$52,5,FALSE)*m2k))/'TCO Inputs'!$AZ$84</f>
        <v>33.716285500418593</v>
      </c>
      <c r="EZ185" s="98" cm="1">
        <f t="array" ref="EZ185">SUMPRODUCT(INDEX(DX185:EY185,,'TCO Inputs'!$AZ$12-2023+_xlfn.SEQUENCE('TCO Inputs'!$AZ$13))*INDEX('VKT US'!C75:AA75,,_xlfn.SEQUENCE('TCO Inputs'!$AZ$13)))*m2k*CONVERT(0.9072,"g","ton")</f>
        <v>15.519010491218673</v>
      </c>
      <c r="FB185" s="123" t="s">
        <v>197</v>
      </c>
      <c r="FC185" s="125">
        <f>FC73/293.07*(1/(VLOOKUP($BM185,'Fuel economy adjusted factor'!$A$2:$L$52,5,FALSE)*m2k))/'TCO Inputs'!$AZ$84</f>
        <v>85.215694487782528</v>
      </c>
      <c r="FD185" s="125">
        <f>FD73/293.07*(1/(VLOOKUP($BM185,'Fuel economy adjusted factor'!$A$2:$L$52,5,FALSE)*m2k))/'TCO Inputs'!$AZ$84</f>
        <v>85.215694487782528</v>
      </c>
      <c r="FE185" s="125">
        <f>FE73/293.07*(1/(VLOOKUP($BM185,'Fuel economy adjusted factor'!$A$2:$L$52,5,FALSE)*m2k))/'TCO Inputs'!$AZ$84</f>
        <v>74.294074208945418</v>
      </c>
      <c r="FF185" s="125">
        <f>FF73/293.07*(1/(VLOOKUP($BM185,'Fuel economy adjusted factor'!$A$2:$L$52,5,FALSE)*m2k))/'TCO Inputs'!$AZ$84</f>
        <v>74.294074208945418</v>
      </c>
      <c r="FG185" s="125">
        <f>FG73/293.07*(1/(VLOOKUP($BM185,'Fuel economy adjusted factor'!$A$2:$L$52,5,FALSE)*m2k))/'TCO Inputs'!$AZ$84</f>
        <v>74.294074208945418</v>
      </c>
      <c r="FH185" s="125">
        <f>FH73/293.07*(1/(VLOOKUP($BM185,'Fuel economy adjusted factor'!$A$2:$L$52,5,FALSE)*m2k))/'TCO Inputs'!$AZ$84</f>
        <v>74.294074208945418</v>
      </c>
      <c r="FI185" s="125">
        <f>FI73/293.07*(1/(VLOOKUP($BM185,'Fuel economy adjusted factor'!$A$2:$L$52,5,FALSE)*m2k))/'TCO Inputs'!$AZ$84</f>
        <v>74.294074208945418</v>
      </c>
      <c r="FJ185" s="125">
        <f>FJ73/293.07*(1/(VLOOKUP($BM185,'Fuel economy adjusted factor'!$A$2:$L$52,5,FALSE)*m2k))/'TCO Inputs'!$AZ$84</f>
        <v>46.991693654621358</v>
      </c>
      <c r="FK185" s="125">
        <f>FK73/293.07*(1/(VLOOKUP($BM185,'Fuel economy adjusted factor'!$A$2:$L$52,5,FALSE)*m2k))/'TCO Inputs'!$AZ$84</f>
        <v>46.991693654621358</v>
      </c>
      <c r="FL185" s="125">
        <f>FL73/293.07*(1/(VLOOKUP($BM185,'Fuel economy adjusted factor'!$A$2:$L$52,5,FALSE)*m2k))/'TCO Inputs'!$AZ$84</f>
        <v>46.991693654621358</v>
      </c>
      <c r="FM185" s="125">
        <f>FM73/293.07*(1/(VLOOKUP($BM185,'Fuel economy adjusted factor'!$A$2:$L$52,5,FALSE)*m2k))/'TCO Inputs'!$AZ$84</f>
        <v>46.991693654621358</v>
      </c>
      <c r="FN185" s="125">
        <f>FN73/293.07*(1/(VLOOKUP($BM185,'Fuel economy adjusted factor'!$A$2:$L$52,5,FALSE)*m2k))/'TCO Inputs'!$AZ$84</f>
        <v>46.991693654621358</v>
      </c>
      <c r="FO185" s="125">
        <f>FO73/293.07*(1/(VLOOKUP($BM185,'Fuel economy adjusted factor'!$A$2:$L$52,5,FALSE)*m2k))/'TCO Inputs'!$AZ$84</f>
        <v>41.62107122471302</v>
      </c>
      <c r="FP185" s="125">
        <f>FP73/293.07*(1/(VLOOKUP($BM185,'Fuel economy adjusted factor'!$A$2:$L$52,5,FALSE)*m2k))/'TCO Inputs'!$AZ$84</f>
        <v>41.62107122471302</v>
      </c>
      <c r="FQ185" s="125">
        <f>FQ73/293.07*(1/(VLOOKUP($BM185,'Fuel economy adjusted factor'!$A$2:$L$52,5,FALSE)*m2k))/'TCO Inputs'!$AZ$84</f>
        <v>41.62107122471302</v>
      </c>
      <c r="FR185" s="125">
        <f>FR73/293.07*(1/(VLOOKUP($BM185,'Fuel economy adjusted factor'!$A$2:$L$52,5,FALSE)*m2k))/'TCO Inputs'!$AZ$84</f>
        <v>41.62107122471302</v>
      </c>
      <c r="FS185" s="125">
        <f>FS73/293.07*(1/(VLOOKUP($BM185,'Fuel economy adjusted factor'!$A$2:$L$52,5,FALSE)*m2k))/'TCO Inputs'!$AZ$84</f>
        <v>41.62107122471302</v>
      </c>
      <c r="FT185" s="125">
        <f>FT73/293.07*(1/(VLOOKUP($BM185,'Fuel economy adjusted factor'!$A$2:$L$52,5,FALSE)*m2k))/'TCO Inputs'!$AZ$84</f>
        <v>40.670759989318235</v>
      </c>
      <c r="FU185" s="125">
        <f>FU73/293.07*(1/(VLOOKUP($BM185,'Fuel economy adjusted factor'!$A$2:$L$52,5,FALSE)*m2k))/'TCO Inputs'!$AZ$84</f>
        <v>40.670759989318235</v>
      </c>
      <c r="FV185" s="125">
        <f>FV73/293.07*(1/(VLOOKUP($BM185,'Fuel economy adjusted factor'!$A$2:$L$52,5,FALSE)*m2k))/'TCO Inputs'!$AZ$84</f>
        <v>40.670759989318235</v>
      </c>
      <c r="FW185" s="125">
        <f>FW73/293.07*(1/(VLOOKUP($BM185,'Fuel economy adjusted factor'!$A$2:$L$52,5,FALSE)*m2k))/'TCO Inputs'!$AZ$84</f>
        <v>40.670759989318235</v>
      </c>
      <c r="FX185" s="125">
        <f>FX73/293.07*(1/(VLOOKUP($BM185,'Fuel economy adjusted factor'!$A$2:$L$52,5,FALSE)*m2k))/'TCO Inputs'!$AZ$84</f>
        <v>40.670759989318235</v>
      </c>
      <c r="FY185" s="125">
        <f>FY73/293.07*(1/(VLOOKUP($BM185,'Fuel economy adjusted factor'!$A$2:$L$52,5,FALSE)*m2k))/'TCO Inputs'!$AZ$84</f>
        <v>39.35468748757642</v>
      </c>
      <c r="FZ185" s="125">
        <f>FZ73/293.07*(1/(VLOOKUP($BM185,'Fuel economy adjusted factor'!$A$2:$L$52,5,FALSE)*m2k))/'TCO Inputs'!$AZ$84</f>
        <v>39.35468748757642</v>
      </c>
      <c r="GA185" s="125">
        <f>GA73/293.07*(1/(VLOOKUP($BM185,'Fuel economy adjusted factor'!$A$2:$L$52,5,FALSE)*m2k))/'TCO Inputs'!$AZ$84</f>
        <v>39.35468748757642</v>
      </c>
      <c r="GB185" s="125">
        <f>GB73/293.07*(1/(VLOOKUP($BM185,'Fuel economy adjusted factor'!$A$2:$L$52,5,FALSE)*m2k))/'TCO Inputs'!$AZ$84</f>
        <v>39.35468748757642</v>
      </c>
      <c r="GC185" s="125">
        <f>GC73/293.07*(1/(VLOOKUP($BM185,'Fuel economy adjusted factor'!$A$2:$L$52,5,FALSE)*m2k))/'TCO Inputs'!$AZ$84</f>
        <v>39.35468748757642</v>
      </c>
      <c r="GD185" s="125">
        <f>GD73/293.07*(1/(VLOOKUP($BM185,'Fuel economy adjusted factor'!$A$2:$L$52,5,FALSE)*m2k))/'TCO Inputs'!$AZ$84</f>
        <v>37.189625745074764</v>
      </c>
      <c r="GE185" s="98" cm="1">
        <f t="array" ref="GE185">SUMPRODUCT(INDEX(FC185:GD185,,'TCO Inputs'!$AZ$12-2023+_xlfn.SEQUENCE('TCO Inputs'!$AZ$13))*INDEX('VKT US'!C75:AA75,,_xlfn.SEQUENCE('TCO Inputs'!$AZ$13)))*m2k*CONVERT(0.9072,"g","ton")</f>
        <v>16.813452910562212</v>
      </c>
      <c r="GH185" s="123" t="s">
        <v>197</v>
      </c>
      <c r="GI185" s="125">
        <f>GI73/293.07*(1/(VLOOKUP($GH185,'Fuel economy adjusted factor'!$A$2:$L$52,5,FALSE)*m2k))/'TCO Inputs'!$AZ$84</f>
        <v>150.01485808543649</v>
      </c>
      <c r="GJ185" s="125">
        <f>GJ73/293.07*(1/(VLOOKUP($GH185,'Fuel economy adjusted factor'!$A$2:$L$52,5,FALSE)*m2k))/'TCO Inputs'!$AZ$84</f>
        <v>150.01485808543649</v>
      </c>
      <c r="GK185" s="125">
        <f>GK73/293.07*(1/(VLOOKUP($GH185,'Fuel economy adjusted factor'!$A$2:$L$52,5,FALSE)*m2k))/'TCO Inputs'!$AZ$84</f>
        <v>150.01485808543649</v>
      </c>
      <c r="GL185" s="125">
        <f>GL73/293.07*(1/(VLOOKUP($GH185,'Fuel economy adjusted factor'!$A$2:$L$52,5,FALSE)*m2k))/'TCO Inputs'!$AZ$84</f>
        <v>150.01485808543649</v>
      </c>
      <c r="GM185" s="125">
        <f>GM73/293.07*(1/(VLOOKUP($GH185,'Fuel economy adjusted factor'!$A$2:$L$52,5,FALSE)*m2k))/'TCO Inputs'!$AZ$84</f>
        <v>150.01485808543649</v>
      </c>
      <c r="GN185" s="125">
        <f>GN73/293.07*(1/(VLOOKUP($GH185,'Fuel economy adjusted factor'!$A$2:$L$52,5,FALSE)*m2k))/'TCO Inputs'!$AZ$84</f>
        <v>150.01485808543649</v>
      </c>
      <c r="GO185" s="125">
        <f>GO73/293.07*(1/(VLOOKUP($GH185,'Fuel economy adjusted factor'!$A$2:$L$52,5,FALSE)*m2k))/'TCO Inputs'!$AZ$84</f>
        <v>150.01485808543649</v>
      </c>
      <c r="GP185" s="125">
        <f>GP73/293.07*(1/(VLOOKUP($GH185,'Fuel economy adjusted factor'!$A$2:$L$52,5,FALSE)*m2k))/'TCO Inputs'!$AZ$84</f>
        <v>150.01485808543649</v>
      </c>
      <c r="GQ185" s="125">
        <f>GQ73/293.07*(1/(VLOOKUP($GH185,'Fuel economy adjusted factor'!$A$2:$L$52,5,FALSE)*m2k))/'TCO Inputs'!$AZ$84</f>
        <v>150.01485808543649</v>
      </c>
      <c r="GR185" s="125">
        <f>GR73/293.07*(1/(VLOOKUP($GH185,'Fuel economy adjusted factor'!$A$2:$L$52,5,FALSE)*m2k))/'TCO Inputs'!$AZ$84</f>
        <v>150.01485808543649</v>
      </c>
      <c r="GS185" s="125">
        <f>GS73/293.07*(1/(VLOOKUP($GH185,'Fuel economy adjusted factor'!$A$2:$L$52,5,FALSE)*m2k))/'TCO Inputs'!$AZ$84</f>
        <v>150.01485808543649</v>
      </c>
      <c r="GT185" s="125">
        <f>GT73/293.07*(1/(VLOOKUP($GH185,'Fuel economy adjusted factor'!$A$2:$L$52,5,FALSE)*m2k))/'TCO Inputs'!$AZ$84</f>
        <v>150.01485808543649</v>
      </c>
      <c r="GU185" s="125">
        <f>GU73/293.07*(1/(VLOOKUP($GH185,'Fuel economy adjusted factor'!$A$2:$L$52,5,FALSE)*m2k))/'TCO Inputs'!$AZ$84</f>
        <v>150.01485808543649</v>
      </c>
      <c r="GV185" s="125">
        <f>GV73/293.07*(1/(VLOOKUP($GH185,'Fuel economy adjusted factor'!$A$2:$L$52,5,FALSE)*m2k))/'TCO Inputs'!$AZ$84</f>
        <v>150.01485808543649</v>
      </c>
      <c r="GW185" s="125">
        <f>GW73/293.07*(1/(VLOOKUP($GH185,'Fuel economy adjusted factor'!$A$2:$L$52,5,FALSE)*m2k))/'TCO Inputs'!$AZ$84</f>
        <v>150.01485808543649</v>
      </c>
      <c r="GX185" s="125">
        <f>GX73/293.07*(1/(VLOOKUP($GH185,'Fuel economy adjusted factor'!$A$2:$L$52,5,FALSE)*m2k))/'TCO Inputs'!$AZ$84</f>
        <v>150.01485808543649</v>
      </c>
      <c r="GY185" s="125">
        <f>GY73/293.07*(1/(VLOOKUP($GH185,'Fuel economy adjusted factor'!$A$2:$L$52,5,FALSE)*m2k))/'TCO Inputs'!$AZ$84</f>
        <v>150.01485808543649</v>
      </c>
      <c r="GZ185" s="125">
        <f>GZ73/293.07*(1/(VLOOKUP($GH185,'Fuel economy adjusted factor'!$A$2:$L$52,5,FALSE)*m2k))/'TCO Inputs'!$AZ$84</f>
        <v>150.01485808543649</v>
      </c>
      <c r="HA185" s="125">
        <f>HA73/293.07*(1/(VLOOKUP($GH185,'Fuel economy adjusted factor'!$A$2:$L$52,5,FALSE)*m2k))/'TCO Inputs'!$AZ$84</f>
        <v>150.01485808543649</v>
      </c>
      <c r="HB185" s="125">
        <f>HB73/293.07*(1/(VLOOKUP($GH185,'Fuel economy adjusted factor'!$A$2:$L$52,5,FALSE)*m2k))/'TCO Inputs'!$AZ$84</f>
        <v>150.01485808543649</v>
      </c>
      <c r="HC185" s="125">
        <f>HC73/293.07*(1/(VLOOKUP($GH185,'Fuel economy adjusted factor'!$A$2:$L$52,5,FALSE)*m2k))/'TCO Inputs'!$AZ$84</f>
        <v>150.01485808543649</v>
      </c>
      <c r="HD185" s="125">
        <f>HD73/293.07*(1/(VLOOKUP($GH185,'Fuel economy adjusted factor'!$A$2:$L$52,5,FALSE)*m2k))/'TCO Inputs'!$AZ$84</f>
        <v>150.01485808543649</v>
      </c>
      <c r="HE185" s="125">
        <f>HE73/293.07*(1/(VLOOKUP($GH185,'Fuel economy adjusted factor'!$A$2:$L$52,5,FALSE)*m2k))/'TCO Inputs'!$AZ$84</f>
        <v>150.01485808543649</v>
      </c>
      <c r="HF185" s="125">
        <f>HF73/293.07*(1/(VLOOKUP($GH185,'Fuel economy adjusted factor'!$A$2:$L$52,5,FALSE)*m2k))/'TCO Inputs'!$AZ$84</f>
        <v>150.01485808543649</v>
      </c>
      <c r="HG185" s="125">
        <f>HG73/293.07*(1/(VLOOKUP($GH185,'Fuel economy adjusted factor'!$A$2:$L$52,5,FALSE)*m2k))/'TCO Inputs'!$AZ$84</f>
        <v>150.01485808543649</v>
      </c>
      <c r="HH185" s="125">
        <f>HH73/293.07*(1/(VLOOKUP($GH185,'Fuel economy adjusted factor'!$A$2:$L$52,5,FALSE)*m2k))/'TCO Inputs'!$AZ$84</f>
        <v>150.01485808543649</v>
      </c>
      <c r="HI185" s="125">
        <f>HI73/293.07*(1/(VLOOKUP($GH185,'Fuel economy adjusted factor'!$A$2:$L$52,5,FALSE)*m2k))/'TCO Inputs'!$AZ$84</f>
        <v>150.01485808543649</v>
      </c>
      <c r="HJ185" s="125">
        <f>HJ73/293.07*(1/(VLOOKUP($GH185,'Fuel economy adjusted factor'!$A$2:$L$52,5,FALSE)*m2k))/'TCO Inputs'!$AZ$84</f>
        <v>150.01485808543649</v>
      </c>
      <c r="HK185" s="98" cm="1">
        <f t="array" ref="HK185">SUMPRODUCT(INDEX(GI185:HJ185,,'TCO Inputs'!$AZ$12-2023+_xlfn.SEQUENCE('TCO Inputs'!$AZ$13))*INDEX('VKT US'!C75:AA75,,_xlfn.SEQUENCE('TCO Inputs'!$AZ$13)))*m2k*CONVERT(0.9072,"g","ton")</f>
        <v>39.898625528520633</v>
      </c>
    </row>
    <row r="186" spans="26:219" x14ac:dyDescent="0.25">
      <c r="Z186" s="123" t="s">
        <v>198</v>
      </c>
      <c r="AA186" s="125">
        <f>AA74/293.07*(1/(VLOOKUP($Z186,'Fuel economy adjusted factor'!$A$2:$L$52,5,FALSE)*m2k))/'TCO Inputs'!$AZ$84</f>
        <v>175.04457916662338</v>
      </c>
      <c r="AB186" s="125">
        <f>AB74/293.07*(1/(VLOOKUP($Z186,'Fuel economy adjusted factor'!$A$2:$L$52,5,FALSE)*m2k))/'TCO Inputs'!$AZ$84</f>
        <v>175.04457916662338</v>
      </c>
      <c r="AC186" s="125">
        <f>AC74/293.07*(1/(VLOOKUP($Z186,'Fuel economy adjusted factor'!$A$2:$L$52,5,FALSE)*m2k))/'TCO Inputs'!$AZ$84</f>
        <v>153.7496313261758</v>
      </c>
      <c r="AD186" s="125">
        <f>AD74/293.07*(1/(VLOOKUP($Z186,'Fuel economy adjusted factor'!$A$2:$L$52,5,FALSE)*m2k))/'TCO Inputs'!$AZ$84</f>
        <v>153.7496313261758</v>
      </c>
      <c r="AE186" s="125">
        <f>AE74/293.07*(1/(VLOOKUP($Z186,'Fuel economy adjusted factor'!$A$2:$L$52,5,FALSE)*m2k))/'TCO Inputs'!$AZ$84</f>
        <v>153.7496313261758</v>
      </c>
      <c r="AF186" s="125">
        <f>AF74/293.07*(1/(VLOOKUP($Z186,'Fuel economy adjusted factor'!$A$2:$L$52,5,FALSE)*m2k))/'TCO Inputs'!$AZ$84</f>
        <v>153.7496313261758</v>
      </c>
      <c r="AG186" s="125">
        <f>AG74/293.07*(1/(VLOOKUP($Z186,'Fuel economy adjusted factor'!$A$2:$L$52,5,FALSE)*m2k))/'TCO Inputs'!$AZ$84</f>
        <v>153.7496313261758</v>
      </c>
      <c r="AH186" s="125">
        <f>AH74/293.07*(1/(VLOOKUP($Z186,'Fuel economy adjusted factor'!$A$2:$L$52,5,FALSE)*m2k))/'TCO Inputs'!$AZ$84</f>
        <v>58.128759495294958</v>
      </c>
      <c r="AI186" s="125">
        <f>AI74/293.07*(1/(VLOOKUP($Z186,'Fuel economy adjusted factor'!$A$2:$L$52,5,FALSE)*m2k))/'TCO Inputs'!$AZ$84</f>
        <v>58.128759495294958</v>
      </c>
      <c r="AJ186" s="125">
        <f>AJ74/293.07*(1/(VLOOKUP($Z186,'Fuel economy adjusted factor'!$A$2:$L$52,5,FALSE)*m2k))/'TCO Inputs'!$AZ$84</f>
        <v>58.128759495294958</v>
      </c>
      <c r="AK186" s="125">
        <f>AK74/293.07*(1/(VLOOKUP($Z186,'Fuel economy adjusted factor'!$A$2:$L$52,5,FALSE)*m2k))/'TCO Inputs'!$AZ$84</f>
        <v>58.128759495294958</v>
      </c>
      <c r="AL186" s="125">
        <f>AL74/293.07*(1/(VLOOKUP($Z186,'Fuel economy adjusted factor'!$A$2:$L$52,5,FALSE)*m2k))/'TCO Inputs'!$AZ$84</f>
        <v>58.128759495294958</v>
      </c>
      <c r="AM186" s="125">
        <f>AM74/293.07*(1/(VLOOKUP($Z186,'Fuel economy adjusted factor'!$A$2:$L$52,5,FALSE)*m2k))/'TCO Inputs'!$AZ$84</f>
        <v>48.857241915959079</v>
      </c>
      <c r="AN186" s="125">
        <f>AN74/293.07*(1/(VLOOKUP($Z186,'Fuel economy adjusted factor'!$A$2:$L$52,5,FALSE)*m2k))/'TCO Inputs'!$AZ$84</f>
        <v>48.857241915959079</v>
      </c>
      <c r="AO186" s="125">
        <f>AO74/293.07*(1/(VLOOKUP($Z186,'Fuel economy adjusted factor'!$A$2:$L$52,5,FALSE)*m2k))/'TCO Inputs'!$AZ$84</f>
        <v>48.857241915959079</v>
      </c>
      <c r="AP186" s="125">
        <f>AP74/293.07*(1/(VLOOKUP($Z186,'Fuel economy adjusted factor'!$A$2:$L$52,5,FALSE)*m2k))/'TCO Inputs'!$AZ$84</f>
        <v>48.857241915959079</v>
      </c>
      <c r="AQ186" s="125">
        <f>AQ74/293.07*(1/(VLOOKUP($Z186,'Fuel economy adjusted factor'!$A$2:$L$52,5,FALSE)*m2k))/'TCO Inputs'!$AZ$84</f>
        <v>48.857241915959079</v>
      </c>
      <c r="AR186" s="125">
        <f>AR74/293.07*(1/(VLOOKUP($Z186,'Fuel economy adjusted factor'!$A$2:$L$52,5,FALSE)*m2k))/'TCO Inputs'!$AZ$84</f>
        <v>48.857241915959079</v>
      </c>
      <c r="AS186" s="125">
        <f>AS74/293.07*(1/(VLOOKUP($Z186,'Fuel economy adjusted factor'!$A$2:$L$52,5,FALSE)*m2k))/'TCO Inputs'!$AZ$84</f>
        <v>48.857241915959079</v>
      </c>
      <c r="AT186" s="125">
        <f>AT74/293.07*(1/(VLOOKUP($Z186,'Fuel economy adjusted factor'!$A$2:$L$52,5,FALSE)*m2k))/'TCO Inputs'!$AZ$84</f>
        <v>48.857241915959079</v>
      </c>
      <c r="AU186" s="125">
        <f>AU74/293.07*(1/(VLOOKUP($Z186,'Fuel economy adjusted factor'!$A$2:$L$52,5,FALSE)*m2k))/'TCO Inputs'!$AZ$84</f>
        <v>48.857241915959079</v>
      </c>
      <c r="AV186" s="125">
        <f>AV74/293.07*(1/(VLOOKUP($Z186,'Fuel economy adjusted factor'!$A$2:$L$52,5,FALSE)*m2k))/'TCO Inputs'!$AZ$84</f>
        <v>48.857241915959079</v>
      </c>
      <c r="AW186" s="125">
        <f>AW74/293.07*(1/(VLOOKUP($Z186,'Fuel economy adjusted factor'!$A$2:$L$52,5,FALSE)*m2k))/'TCO Inputs'!$AZ$84</f>
        <v>49.087916949578513</v>
      </c>
      <c r="AX186" s="125">
        <f>AX74/293.07*(1/(VLOOKUP($Z186,'Fuel economy adjusted factor'!$A$2:$L$52,5,FALSE)*m2k))/'TCO Inputs'!$AZ$84</f>
        <v>49.087916949578513</v>
      </c>
      <c r="AY186" s="125">
        <f>AY74/293.07*(1/(VLOOKUP($Z186,'Fuel economy adjusted factor'!$A$2:$L$52,5,FALSE)*m2k))/'TCO Inputs'!$AZ$84</f>
        <v>49.087916949578513</v>
      </c>
      <c r="AZ186" s="125">
        <f>AZ74/293.07*(1/(VLOOKUP($Z186,'Fuel economy adjusted factor'!$A$2:$L$52,5,FALSE)*m2k))/'TCO Inputs'!$AZ$84</f>
        <v>49.087916949578513</v>
      </c>
      <c r="BA186" s="125">
        <f>BA74/293.07*(1/(VLOOKUP($Z186,'Fuel economy adjusted factor'!$A$2:$L$52,5,FALSE)*m2k))/'TCO Inputs'!$AZ$84</f>
        <v>49.087916949578513</v>
      </c>
      <c r="BB186" s="125">
        <f>BB74/293.07*(1/(VLOOKUP($Z186,'Fuel economy adjusted factor'!$A$2:$L$52,5,FALSE)*m2k))/'TCO Inputs'!$AZ$84</f>
        <v>49.37794696260881</v>
      </c>
      <c r="BC186" s="98" cm="1">
        <f t="array" ref="BC186">SUMPRODUCT(INDEX(AA186:BB186,,'TCO Inputs'!$AZ$12-2023+_xlfn.SEQUENCE('TCO Inputs'!$AZ$13))*INDEX('VKT US'!C76:AA76,,_xlfn.SEQUENCE('TCO Inputs'!$AZ$13)))*m2k*CONVERT(0.9072,"g","ton")</f>
        <v>43.144225058426727</v>
      </c>
      <c r="BM186" s="123" t="s">
        <v>198</v>
      </c>
      <c r="BN186" s="125">
        <f>BN74/293.07*(1/(VLOOKUP($BM186,'Fuel economy adjusted factor'!$A$2:$L$52,5,FALSE)*m2k))</f>
        <v>148.78789229162987</v>
      </c>
      <c r="BO186" s="125">
        <f>BO74/293.07*(1/(VLOOKUP($BM186,'Fuel economy adjusted factor'!$A$2:$L$52,5,FALSE)*m2k))</f>
        <v>148.78789229162987</v>
      </c>
      <c r="BP186" s="125">
        <f>BP74/293.07*(1/(VLOOKUP($BM186,'Fuel economy adjusted factor'!$A$2:$L$52,5,FALSE)*m2k))</f>
        <v>117.28537186700122</v>
      </c>
      <c r="BQ186" s="125">
        <f>BQ74/293.07*(1/(VLOOKUP($BM186,'Fuel economy adjusted factor'!$A$2:$L$52,5,FALSE)*m2k))</f>
        <v>117.28537186700122</v>
      </c>
      <c r="BR186" s="125">
        <f>BR74/293.07*(1/(VLOOKUP($BM186,'Fuel economy adjusted factor'!$A$2:$L$52,5,FALSE)*m2k))</f>
        <v>117.28537186700122</v>
      </c>
      <c r="BS186" s="125">
        <f>BS74/293.07*(1/(VLOOKUP($BM186,'Fuel economy adjusted factor'!$A$2:$L$52,5,FALSE)*m2k))</f>
        <v>117.28537186700122</v>
      </c>
      <c r="BT186" s="125">
        <f>BT74/293.07*(1/(VLOOKUP($BM186,'Fuel economy adjusted factor'!$A$2:$L$52,5,FALSE)*m2k))</f>
        <v>117.28537186700122</v>
      </c>
      <c r="BU186" s="125">
        <f>BU74/293.07*(1/(VLOOKUP($BM186,'Fuel economy adjusted factor'!$A$2:$L$52,5,FALSE)*m2k))</f>
        <v>6.6252297813752783</v>
      </c>
      <c r="BV186" s="125">
        <f>BV74/293.07*(1/(VLOOKUP($BM186,'Fuel economy adjusted factor'!$A$2:$L$52,5,FALSE)*m2k))</f>
        <v>6.6252297813752783</v>
      </c>
      <c r="BW186" s="125">
        <f>BW74/293.07*(1/(VLOOKUP($BM186,'Fuel economy adjusted factor'!$A$2:$L$52,5,FALSE)*m2k))</f>
        <v>6.6252297813752783</v>
      </c>
      <c r="BX186" s="125">
        <f>BX74/293.07*(1/(VLOOKUP($BM186,'Fuel economy adjusted factor'!$A$2:$L$52,5,FALSE)*m2k))</f>
        <v>6.6252297813752783</v>
      </c>
      <c r="BY186" s="125">
        <f>BY74/293.07*(1/(VLOOKUP($BM186,'Fuel economy adjusted factor'!$A$2:$L$52,5,FALSE)*m2k))</f>
        <v>6.6252297813752783</v>
      </c>
      <c r="BZ186" s="125">
        <f>BZ74/293.07*(1/(VLOOKUP($BM186,'Fuel economy adjusted factor'!$A$2:$L$52,5,FALSE)*m2k))</f>
        <v>6.9095940918254453</v>
      </c>
      <c r="CA186" s="125">
        <f>CA74/293.07*(1/(VLOOKUP($BM186,'Fuel economy adjusted factor'!$A$2:$L$52,5,FALSE)*m2k))</f>
        <v>6.9095940918254453</v>
      </c>
      <c r="CB186" s="125">
        <f>CB74/293.07*(1/(VLOOKUP($BM186,'Fuel economy adjusted factor'!$A$2:$L$52,5,FALSE)*m2k))</f>
        <v>6.9095940918254453</v>
      </c>
      <c r="CC186" s="125">
        <f>CC74/293.07*(1/(VLOOKUP($BM186,'Fuel economy adjusted factor'!$A$2:$L$52,5,FALSE)*m2k))</f>
        <v>6.9095940918254453</v>
      </c>
      <c r="CD186" s="125">
        <f>CD74/293.07*(1/(VLOOKUP($BM186,'Fuel economy adjusted factor'!$A$2:$L$52,5,FALSE)*m2k))</f>
        <v>6.9095940918254453</v>
      </c>
      <c r="CE186" s="125">
        <f>CE74/293.07*(1/(VLOOKUP($BM186,'Fuel economy adjusted factor'!$A$2:$L$52,5,FALSE)*m2k))</f>
        <v>7.005911035687598</v>
      </c>
      <c r="CF186" s="125">
        <f>CF74/293.07*(1/(VLOOKUP($BM186,'Fuel economy adjusted factor'!$A$2:$L$52,5,FALSE)*m2k))</f>
        <v>7.005911035687598</v>
      </c>
      <c r="CG186" s="125">
        <f>CG74/293.07*(1/(VLOOKUP($BM186,'Fuel economy adjusted factor'!$A$2:$L$52,5,FALSE)*m2k))</f>
        <v>7.005911035687598</v>
      </c>
      <c r="CH186" s="125">
        <f>CH74/293.07*(1/(VLOOKUP($BM186,'Fuel economy adjusted factor'!$A$2:$L$52,5,FALSE)*m2k))</f>
        <v>7.005911035687598</v>
      </c>
      <c r="CI186" s="125">
        <f>CI74/293.07*(1/(VLOOKUP($BM186,'Fuel economy adjusted factor'!$A$2:$L$52,5,FALSE)*m2k))</f>
        <v>7.005911035687598</v>
      </c>
      <c r="CJ186" s="125">
        <f>CJ74/293.07*(1/(VLOOKUP($BM186,'Fuel economy adjusted factor'!$A$2:$L$52,5,FALSE)*m2k))</f>
        <v>7.2524365467633478</v>
      </c>
      <c r="CK186" s="125">
        <f>CK74/293.07*(1/(VLOOKUP($BM186,'Fuel economy adjusted factor'!$A$2:$L$52,5,FALSE)*m2k))</f>
        <v>7.2524365467633478</v>
      </c>
      <c r="CL186" s="125">
        <f>CL74/293.07*(1/(VLOOKUP($BM186,'Fuel economy adjusted factor'!$A$2:$L$52,5,FALSE)*m2k))</f>
        <v>7.2524365467633478</v>
      </c>
      <c r="CM186" s="125">
        <f>CM74/293.07*(1/(VLOOKUP($BM186,'Fuel economy adjusted factor'!$A$2:$L$52,5,FALSE)*m2k))</f>
        <v>7.2524365467633478</v>
      </c>
      <c r="CN186" s="125">
        <f>CN74/293.07*(1/(VLOOKUP($BM186,'Fuel economy adjusted factor'!$A$2:$L$52,5,FALSE)*m2k))</f>
        <v>7.2524365467633478</v>
      </c>
      <c r="CO186" s="125">
        <f>CO74/293.07*(1/(VLOOKUP($BM186,'Fuel economy adjusted factor'!$A$2:$L$52,5,FALSE)*m2k))</f>
        <v>7.5643199840312745</v>
      </c>
      <c r="CP186" s="98" cm="1">
        <f t="array" ref="CP186">SUMPRODUCT(INDEX(BN186:CO186,,'TCO Inputs'!$AZ$12-2023+_xlfn.SEQUENCE('TCO Inputs'!$AZ$13))*INDEX('VKT US'!C76:AA76,,_xlfn.SEQUENCE('TCO Inputs'!$AZ$13)))*m2k*CONVERT(0.9072,"g","ton")</f>
        <v>27.767363825872376</v>
      </c>
      <c r="CQ186" s="194"/>
      <c r="CR186" s="123" t="s">
        <v>198</v>
      </c>
      <c r="CS186" s="125">
        <f>CS74/293.07*(1/(VLOOKUP($BM186,'Fuel economy adjusted factor'!$A$2:$L$52,5,FALSE)*m2k))/'TCO Inputs'!$AZ$84</f>
        <v>175.04457916662338</v>
      </c>
      <c r="CT186" s="125">
        <f>CT74/293.07*(1/(VLOOKUP($BM186,'Fuel economy adjusted factor'!$A$2:$L$52,5,FALSE)*m2k))</f>
        <v>6.9669256060291085</v>
      </c>
      <c r="CU186" s="125">
        <f>CU74/293.07*(1/(VLOOKUP($BM186,'Fuel economy adjusted factor'!$A$2:$L$52,5,FALSE)*m2k))</f>
        <v>6.9669256060291085</v>
      </c>
      <c r="CV186" s="125">
        <f>CV74/293.07*(1/(VLOOKUP($BM186,'Fuel economy adjusted factor'!$A$2:$L$52,5,FALSE)*m2k))</f>
        <v>6.9669256060291085</v>
      </c>
      <c r="CW186" s="125">
        <f>CW74/293.07*(1/(VLOOKUP($BM186,'Fuel economy adjusted factor'!$A$2:$L$52,5,FALSE)*m2k))</f>
        <v>6.9669256060291085</v>
      </c>
      <c r="CX186" s="125">
        <f>CX74/293.07*(1/(VLOOKUP($BM186,'Fuel economy adjusted factor'!$A$2:$L$52,5,FALSE)*m2k))</f>
        <v>6.9669256060291085</v>
      </c>
      <c r="CY186" s="125">
        <f>CY74/293.07*(1/(VLOOKUP($BM186,'Fuel economy adjusted factor'!$A$2:$L$52,5,FALSE)*m2k))</f>
        <v>6.9669256060291085</v>
      </c>
      <c r="CZ186" s="125">
        <f>CZ74/293.07*(1/(VLOOKUP($BM186,'Fuel economy adjusted factor'!$A$2:$L$52,5,FALSE)*m2k))</f>
        <v>6.9669256060291085</v>
      </c>
      <c r="DA186" s="125">
        <f>DA74/293.07*(1/(VLOOKUP($BM186,'Fuel economy adjusted factor'!$A$2:$L$52,5,FALSE)*m2k))</f>
        <v>6.9669256060291085</v>
      </c>
      <c r="DB186" s="125">
        <f>DB74/293.07*(1/(VLOOKUP($BM186,'Fuel economy adjusted factor'!$A$2:$L$52,5,FALSE)*m2k))</f>
        <v>6.9669256060291085</v>
      </c>
      <c r="DC186" s="125">
        <f>DC74/293.07*(1/(VLOOKUP($BM186,'Fuel economy adjusted factor'!$A$2:$L$52,5,FALSE)*m2k))</f>
        <v>6.9669256060291085</v>
      </c>
      <c r="DD186" s="125">
        <f>DD74/293.07*(1/(VLOOKUP($BM186,'Fuel economy adjusted factor'!$A$2:$L$52,5,FALSE)*m2k))</f>
        <v>6.9669256060291085</v>
      </c>
      <c r="DE186" s="125">
        <f>DE74/293.07*(1/(VLOOKUP($BM186,'Fuel economy adjusted factor'!$A$2:$L$52,5,FALSE)*m2k))</f>
        <v>7.1664392754578552</v>
      </c>
      <c r="DF186" s="125">
        <f>DF74/293.07*(1/(VLOOKUP($BM186,'Fuel economy adjusted factor'!$A$2:$L$52,5,FALSE)*m2k))</f>
        <v>7.1664392754578552</v>
      </c>
      <c r="DG186" s="125">
        <f>DG74/293.07*(1/(VLOOKUP($BM186,'Fuel economy adjusted factor'!$A$2:$L$52,5,FALSE)*m2k))</f>
        <v>7.1664392754578552</v>
      </c>
      <c r="DH186" s="125">
        <f>DH74/293.07*(1/(VLOOKUP($BM186,'Fuel economy adjusted factor'!$A$2:$L$52,5,FALSE)*m2k))</f>
        <v>7.1664392754578552</v>
      </c>
      <c r="DI186" s="125">
        <f>DI74/293.07*(1/(VLOOKUP($BM186,'Fuel economy adjusted factor'!$A$2:$L$52,5,FALSE)*m2k))</f>
        <v>7.1664392754578552</v>
      </c>
      <c r="DJ186" s="125">
        <f>DJ74/293.07*(1/(VLOOKUP($BM186,'Fuel economy adjusted factor'!$A$2:$L$52,5,FALSE)*m2k))</f>
        <v>7.5390941177816622</v>
      </c>
      <c r="DK186" s="125">
        <f>DK74/293.07*(1/(VLOOKUP($BM186,'Fuel economy adjusted factor'!$A$2:$L$52,5,FALSE)*m2k))</f>
        <v>7.5390941177816622</v>
      </c>
      <c r="DL186" s="125">
        <f>DL74/293.07*(1/(VLOOKUP($BM186,'Fuel economy adjusted factor'!$A$2:$L$52,5,FALSE)*m2k))</f>
        <v>7.5390941177816622</v>
      </c>
      <c r="DM186" s="125">
        <f>DM74/293.07*(1/(VLOOKUP($BM186,'Fuel economy adjusted factor'!$A$2:$L$52,5,FALSE)*m2k))</f>
        <v>7.5390941177816622</v>
      </c>
      <c r="DN186" s="125">
        <f>DN74/293.07*(1/(VLOOKUP($BM186,'Fuel economy adjusted factor'!$A$2:$L$52,5,FALSE)*m2k))</f>
        <v>7.5390941177816622</v>
      </c>
      <c r="DO186" s="125">
        <f>DO74/293.07*(1/(VLOOKUP($BM186,'Fuel economy adjusted factor'!$A$2:$L$52,5,FALSE)*m2k))</f>
        <v>7.7856196288574138</v>
      </c>
      <c r="DP186" s="125">
        <f>DP74/293.07*(1/(VLOOKUP($BM186,'Fuel economy adjusted factor'!$A$2:$L$52,5,FALSE)*m2k))</f>
        <v>7.7856196288574138</v>
      </c>
      <c r="DQ186" s="125">
        <f>DQ74/293.07*(1/(VLOOKUP($BM186,'Fuel economy adjusted factor'!$A$2:$L$52,5,FALSE)*m2k))</f>
        <v>7.7856196288574138</v>
      </c>
      <c r="DR186" s="125">
        <f>DR74/293.07*(1/(VLOOKUP($BM186,'Fuel economy adjusted factor'!$A$2:$L$52,5,FALSE)*m2k))</f>
        <v>7.7856196288574138</v>
      </c>
      <c r="DS186" s="125">
        <f>DS74/293.07*(1/(VLOOKUP($BM186,'Fuel economy adjusted factor'!$A$2:$L$52,5,FALSE)*m2k))</f>
        <v>7.7856196288574138</v>
      </c>
      <c r="DT186" s="125">
        <f>DT74/293.07*(1/(VLOOKUP($BM186,'Fuel economy adjusted factor'!$A$2:$L$52,5,FALSE)*m2k))</f>
        <v>8.0986496964094137</v>
      </c>
      <c r="DU186" s="98" cm="1">
        <f t="array" ref="DU186">SUMPRODUCT(INDEX(CS186:DT186,,'TCO Inputs'!$AZ$12-2023+_xlfn.SEQUENCE('TCO Inputs'!$AZ$13))*INDEX('VKT US'!C76:AA76,,_xlfn.SEQUENCE('TCO Inputs'!$AZ$13)))*m2k*CONVERT(0.9072,"g","ton")</f>
        <v>8.1615294941648315</v>
      </c>
      <c r="DW186" s="123" t="s">
        <v>198</v>
      </c>
      <c r="DX186" s="125">
        <f>DX74/293.07*(1/(VLOOKUP($BM186,'Fuel economy adjusted factor'!$A$2:$L$52,5,FALSE)*m2k))/'TCO Inputs'!$AZ$84</f>
        <v>231.26514808180278</v>
      </c>
      <c r="DY186" s="125">
        <f>DY74/293.07*(1/(VLOOKUP($BM186,'Fuel economy adjusted factor'!$A$2:$L$52,5,FALSE)*m2k))/'TCO Inputs'!$AZ$84</f>
        <v>231.26514808180278</v>
      </c>
      <c r="DZ186" s="125">
        <f>DZ74/293.07*(1/(VLOOKUP($BM186,'Fuel economy adjusted factor'!$A$2:$L$52,5,FALSE)*m2k))/'TCO Inputs'!$AZ$84</f>
        <v>202.3288309829363</v>
      </c>
      <c r="EA186" s="125">
        <f>EA74/293.07*(1/(VLOOKUP($BM186,'Fuel economy adjusted factor'!$A$2:$L$52,5,FALSE)*m2k))/'TCO Inputs'!$AZ$84</f>
        <v>202.3288309829363</v>
      </c>
      <c r="EB186" s="125">
        <f>EB74/293.07*(1/(VLOOKUP($BM186,'Fuel economy adjusted factor'!$A$2:$L$52,5,FALSE)*m2k))/'TCO Inputs'!$AZ$84</f>
        <v>202.3288309829363</v>
      </c>
      <c r="EC186" s="125">
        <f>EC74/293.07*(1/(VLOOKUP($BM186,'Fuel economy adjusted factor'!$A$2:$L$52,5,FALSE)*m2k))/'TCO Inputs'!$AZ$84</f>
        <v>202.3288309829363</v>
      </c>
      <c r="ED186" s="125">
        <f>ED74/293.07*(1/(VLOOKUP($BM186,'Fuel economy adjusted factor'!$A$2:$L$52,5,FALSE)*m2k))/'TCO Inputs'!$AZ$84</f>
        <v>202.3288309829363</v>
      </c>
      <c r="EE186" s="125">
        <f>EE74/293.07*(1/(VLOOKUP($BM186,'Fuel economy adjusted factor'!$A$2:$L$52,5,FALSE)*m2k))/'TCO Inputs'!$AZ$84</f>
        <v>125.88122730022224</v>
      </c>
      <c r="EF186" s="125">
        <f>EF74/293.07*(1/(VLOOKUP($BM186,'Fuel economy adjusted factor'!$A$2:$L$52,5,FALSE)*m2k))/'TCO Inputs'!$AZ$84</f>
        <v>125.88122730022224</v>
      </c>
      <c r="EG186" s="125">
        <f>EG74/293.07*(1/(VLOOKUP($BM186,'Fuel economy adjusted factor'!$A$2:$L$52,5,FALSE)*m2k))/'TCO Inputs'!$AZ$84</f>
        <v>125.88122730022224</v>
      </c>
      <c r="EH186" s="125">
        <f>EH74/293.07*(1/(VLOOKUP($BM186,'Fuel economy adjusted factor'!$A$2:$L$52,5,FALSE)*m2k))/'TCO Inputs'!$AZ$84</f>
        <v>125.88122730022224</v>
      </c>
      <c r="EI186" s="125">
        <f>EI74/293.07*(1/(VLOOKUP($BM186,'Fuel economy adjusted factor'!$A$2:$L$52,5,FALSE)*m2k))/'TCO Inputs'!$AZ$84</f>
        <v>125.88122730022224</v>
      </c>
      <c r="EJ186" s="125">
        <f>EJ74/293.07*(1/(VLOOKUP($BM186,'Fuel economy adjusted factor'!$A$2:$L$52,5,FALSE)*m2k))/'TCO Inputs'!$AZ$84</f>
        <v>112.08515174938829</v>
      </c>
      <c r="EK186" s="125">
        <f>EK74/293.07*(1/(VLOOKUP($BM186,'Fuel economy adjusted factor'!$A$2:$L$52,5,FALSE)*m2k))/'TCO Inputs'!$AZ$84</f>
        <v>112.08515174938829</v>
      </c>
      <c r="EL186" s="125">
        <f>EL74/293.07*(1/(VLOOKUP($BM186,'Fuel economy adjusted factor'!$A$2:$L$52,5,FALSE)*m2k))/'TCO Inputs'!$AZ$84</f>
        <v>112.08515174938829</v>
      </c>
      <c r="EM186" s="125">
        <f>EM74/293.07*(1/(VLOOKUP($BM186,'Fuel economy adjusted factor'!$A$2:$L$52,5,FALSE)*m2k))/'TCO Inputs'!$AZ$84</f>
        <v>112.08515174938829</v>
      </c>
      <c r="EN186" s="125">
        <f>EN74/293.07*(1/(VLOOKUP($BM186,'Fuel economy adjusted factor'!$A$2:$L$52,5,FALSE)*m2k))/'TCO Inputs'!$AZ$84</f>
        <v>112.08515174938829</v>
      </c>
      <c r="EO186" s="125">
        <f>EO74/293.07*(1/(VLOOKUP($BM186,'Fuel economy adjusted factor'!$A$2:$L$52,5,FALSE)*m2k))/'TCO Inputs'!$AZ$84</f>
        <v>108.91174405490851</v>
      </c>
      <c r="EP186" s="125">
        <f>EP74/293.07*(1/(VLOOKUP($BM186,'Fuel economy adjusted factor'!$A$2:$L$52,5,FALSE)*m2k))/'TCO Inputs'!$AZ$84</f>
        <v>108.91174405490851</v>
      </c>
      <c r="EQ186" s="125">
        <f>EQ74/293.07*(1/(VLOOKUP($BM186,'Fuel economy adjusted factor'!$A$2:$L$52,5,FALSE)*m2k))/'TCO Inputs'!$AZ$84</f>
        <v>108.91174405490851</v>
      </c>
      <c r="ER186" s="125">
        <f>ER74/293.07*(1/(VLOOKUP($BM186,'Fuel economy adjusted factor'!$A$2:$L$52,5,FALSE)*m2k))/'TCO Inputs'!$AZ$84</f>
        <v>108.91174405490851</v>
      </c>
      <c r="ES186" s="125">
        <f>ES74/293.07*(1/(VLOOKUP($BM186,'Fuel economy adjusted factor'!$A$2:$L$52,5,FALSE)*m2k))/'TCO Inputs'!$AZ$84</f>
        <v>108.91174405490851</v>
      </c>
      <c r="ET186" s="125">
        <f>ET74/293.07*(1/(VLOOKUP($BM186,'Fuel economy adjusted factor'!$A$2:$L$52,5,FALSE)*m2k))/'TCO Inputs'!$AZ$84</f>
        <v>105.05727047849463</v>
      </c>
      <c r="EU186" s="125">
        <f>EU74/293.07*(1/(VLOOKUP($BM186,'Fuel economy adjusted factor'!$A$2:$L$52,5,FALSE)*m2k))/'TCO Inputs'!$AZ$84</f>
        <v>105.05727047849463</v>
      </c>
      <c r="EV186" s="125">
        <f>EV74/293.07*(1/(VLOOKUP($BM186,'Fuel economy adjusted factor'!$A$2:$L$52,5,FALSE)*m2k))/'TCO Inputs'!$AZ$84</f>
        <v>105.05727047849463</v>
      </c>
      <c r="EW186" s="125">
        <f>EW74/293.07*(1/(VLOOKUP($BM186,'Fuel economy adjusted factor'!$A$2:$L$52,5,FALSE)*m2k))/'TCO Inputs'!$AZ$84</f>
        <v>105.05727047849463</v>
      </c>
      <c r="EX186" s="125">
        <f>EX74/293.07*(1/(VLOOKUP($BM186,'Fuel economy adjusted factor'!$A$2:$L$52,5,FALSE)*m2k))/'TCO Inputs'!$AZ$84</f>
        <v>105.05727047849463</v>
      </c>
      <c r="EY186" s="125">
        <f>EY74/293.07*(1/(VLOOKUP($BM186,'Fuel economy adjusted factor'!$A$2:$L$52,5,FALSE)*m2k))/'TCO Inputs'!$AZ$84</f>
        <v>98.91461152896386</v>
      </c>
      <c r="EZ186" s="98" cm="1">
        <f t="array" ref="EZ186">SUMPRODUCT(INDEX(DX186:EY186,,'TCO Inputs'!$AZ$12-2023+_xlfn.SEQUENCE('TCO Inputs'!$AZ$13))*INDEX('VKT US'!C76:AA76,,_xlfn.SEQUENCE('TCO Inputs'!$AZ$13)))*m2k*CONVERT(0.9072,"g","ton")</f>
        <v>65.226003605262932</v>
      </c>
      <c r="FB186" s="123" t="s">
        <v>198</v>
      </c>
      <c r="FC186" s="125">
        <f>FC74/293.07*(1/(VLOOKUP($BM186,'Fuel economy adjusted factor'!$A$2:$L$52,5,FALSE)*m2k))/'TCO Inputs'!$AZ$84</f>
        <v>250.00017621529594</v>
      </c>
      <c r="FD186" s="125">
        <f>FD74/293.07*(1/(VLOOKUP($BM186,'Fuel economy adjusted factor'!$A$2:$L$52,5,FALSE)*m2k))/'TCO Inputs'!$AZ$84</f>
        <v>250.00017621529594</v>
      </c>
      <c r="FE186" s="125">
        <f>FE74/293.07*(1/(VLOOKUP($BM186,'Fuel economy adjusted factor'!$A$2:$L$52,5,FALSE)*m2k))/'TCO Inputs'!$AZ$84</f>
        <v>217.95904798559772</v>
      </c>
      <c r="FF186" s="125">
        <f>FF74/293.07*(1/(VLOOKUP($BM186,'Fuel economy adjusted factor'!$A$2:$L$52,5,FALSE)*m2k))/'TCO Inputs'!$AZ$84</f>
        <v>217.95904798559772</v>
      </c>
      <c r="FG186" s="125">
        <f>FG74/293.07*(1/(VLOOKUP($BM186,'Fuel economy adjusted factor'!$A$2:$L$52,5,FALSE)*m2k))/'TCO Inputs'!$AZ$84</f>
        <v>217.95904798559772</v>
      </c>
      <c r="FH186" s="125">
        <f>FH74/293.07*(1/(VLOOKUP($BM186,'Fuel economy adjusted factor'!$A$2:$L$52,5,FALSE)*m2k))/'TCO Inputs'!$AZ$84</f>
        <v>217.95904798559772</v>
      </c>
      <c r="FI186" s="125">
        <f>FI74/293.07*(1/(VLOOKUP($BM186,'Fuel economy adjusted factor'!$A$2:$L$52,5,FALSE)*m2k))/'TCO Inputs'!$AZ$84</f>
        <v>217.95904798559772</v>
      </c>
      <c r="FJ186" s="125">
        <f>FJ74/293.07*(1/(VLOOKUP($BM186,'Fuel economy adjusted factor'!$A$2:$L$52,5,FALSE)*m2k))/'TCO Inputs'!$AZ$84</f>
        <v>137.86112716589849</v>
      </c>
      <c r="FK186" s="125">
        <f>FK74/293.07*(1/(VLOOKUP($BM186,'Fuel economy adjusted factor'!$A$2:$L$52,5,FALSE)*m2k))/'TCO Inputs'!$AZ$84</f>
        <v>137.86112716589849</v>
      </c>
      <c r="FL186" s="125">
        <f>FL74/293.07*(1/(VLOOKUP($BM186,'Fuel economy adjusted factor'!$A$2:$L$52,5,FALSE)*m2k))/'TCO Inputs'!$AZ$84</f>
        <v>137.86112716589849</v>
      </c>
      <c r="FM186" s="125">
        <f>FM74/293.07*(1/(VLOOKUP($BM186,'Fuel economy adjusted factor'!$A$2:$L$52,5,FALSE)*m2k))/'TCO Inputs'!$AZ$84</f>
        <v>137.86112716589849</v>
      </c>
      <c r="FN186" s="125">
        <f>FN74/293.07*(1/(VLOOKUP($BM186,'Fuel economy adjusted factor'!$A$2:$L$52,5,FALSE)*m2k))/'TCO Inputs'!$AZ$84</f>
        <v>137.86112716589849</v>
      </c>
      <c r="FO186" s="125">
        <f>FO74/293.07*(1/(VLOOKUP($BM186,'Fuel economy adjusted factor'!$A$2:$L$52,5,FALSE)*m2k))/'TCO Inputs'!$AZ$84</f>
        <v>122.10514979654897</v>
      </c>
      <c r="FP186" s="125">
        <f>FP74/293.07*(1/(VLOOKUP($BM186,'Fuel economy adjusted factor'!$A$2:$L$52,5,FALSE)*m2k))/'TCO Inputs'!$AZ$84</f>
        <v>122.10514979654897</v>
      </c>
      <c r="FQ186" s="125">
        <f>FQ74/293.07*(1/(VLOOKUP($BM186,'Fuel economy adjusted factor'!$A$2:$L$52,5,FALSE)*m2k))/'TCO Inputs'!$AZ$84</f>
        <v>122.10514979654897</v>
      </c>
      <c r="FR186" s="125">
        <f>FR74/293.07*(1/(VLOOKUP($BM186,'Fuel economy adjusted factor'!$A$2:$L$52,5,FALSE)*m2k))/'TCO Inputs'!$AZ$84</f>
        <v>122.10514979654897</v>
      </c>
      <c r="FS186" s="125">
        <f>FS74/293.07*(1/(VLOOKUP($BM186,'Fuel economy adjusted factor'!$A$2:$L$52,5,FALSE)*m2k))/'TCO Inputs'!$AZ$84</f>
        <v>122.10514979654897</v>
      </c>
      <c r="FT186" s="125">
        <f>FT74/293.07*(1/(VLOOKUP($BM186,'Fuel economy adjusted factor'!$A$2:$L$52,5,FALSE)*m2k))/'TCO Inputs'!$AZ$84</f>
        <v>119.31718945971062</v>
      </c>
      <c r="FU186" s="125">
        <f>FU74/293.07*(1/(VLOOKUP($BM186,'Fuel economy adjusted factor'!$A$2:$L$52,5,FALSE)*m2k))/'TCO Inputs'!$AZ$84</f>
        <v>119.31718945971062</v>
      </c>
      <c r="FV186" s="125">
        <f>FV74/293.07*(1/(VLOOKUP($BM186,'Fuel economy adjusted factor'!$A$2:$L$52,5,FALSE)*m2k))/'TCO Inputs'!$AZ$84</f>
        <v>119.31718945971062</v>
      </c>
      <c r="FW186" s="125">
        <f>FW74/293.07*(1/(VLOOKUP($BM186,'Fuel economy adjusted factor'!$A$2:$L$52,5,FALSE)*m2k))/'TCO Inputs'!$AZ$84</f>
        <v>119.31718945971062</v>
      </c>
      <c r="FX186" s="125">
        <f>FX74/293.07*(1/(VLOOKUP($BM186,'Fuel economy adjusted factor'!$A$2:$L$52,5,FALSE)*m2k))/'TCO Inputs'!$AZ$84</f>
        <v>119.31718945971062</v>
      </c>
      <c r="FY186" s="125">
        <f>FY74/293.07*(1/(VLOOKUP($BM186,'Fuel economy adjusted factor'!$A$2:$L$52,5,FALSE)*m2k))/'TCO Inputs'!$AZ$84</f>
        <v>115.45618287723499</v>
      </c>
      <c r="FZ186" s="125">
        <f>FZ74/293.07*(1/(VLOOKUP($BM186,'Fuel economy adjusted factor'!$A$2:$L$52,5,FALSE)*m2k))/'TCO Inputs'!$AZ$84</f>
        <v>115.45618287723499</v>
      </c>
      <c r="GA186" s="125">
        <f>GA74/293.07*(1/(VLOOKUP($BM186,'Fuel economy adjusted factor'!$A$2:$L$52,5,FALSE)*m2k))/'TCO Inputs'!$AZ$84</f>
        <v>115.45618287723499</v>
      </c>
      <c r="GB186" s="125">
        <f>GB74/293.07*(1/(VLOOKUP($BM186,'Fuel economy adjusted factor'!$A$2:$L$52,5,FALSE)*m2k))/'TCO Inputs'!$AZ$84</f>
        <v>115.45618287723499</v>
      </c>
      <c r="GC186" s="125">
        <f>GC74/293.07*(1/(VLOOKUP($BM186,'Fuel economy adjusted factor'!$A$2:$L$52,5,FALSE)*m2k))/'TCO Inputs'!$AZ$84</f>
        <v>115.45618287723499</v>
      </c>
      <c r="GD186" s="125">
        <f>GD74/293.07*(1/(VLOOKUP($BM186,'Fuel economy adjusted factor'!$A$2:$L$52,5,FALSE)*m2k))/'TCO Inputs'!$AZ$84</f>
        <v>109.10446773372922</v>
      </c>
      <c r="GE186" s="98" cm="1">
        <f t="array" ref="GE186">SUMPRODUCT(INDEX(FC186:GD186,,'TCO Inputs'!$AZ$12-2023+_xlfn.SEQUENCE('TCO Inputs'!$AZ$13))*INDEX('VKT US'!C76:AA76,,_xlfn.SEQUENCE('TCO Inputs'!$AZ$13)))*m2k*CONVERT(0.9072,"g","ton")</f>
        <v>70.666511939133954</v>
      </c>
      <c r="GH186" s="123" t="s">
        <v>198</v>
      </c>
      <c r="GI186" s="125">
        <f>GI74/293.07*(1/(VLOOKUP($GH186,'Fuel economy adjusted factor'!$A$2:$L$52,5,FALSE)*m2k))/'TCO Inputs'!$AZ$84</f>
        <v>440.10368256341172</v>
      </c>
      <c r="GJ186" s="125">
        <f>GJ74/293.07*(1/(VLOOKUP($GH186,'Fuel economy adjusted factor'!$A$2:$L$52,5,FALSE)*m2k))/'TCO Inputs'!$AZ$84</f>
        <v>440.10368256341172</v>
      </c>
      <c r="GK186" s="125">
        <f>GK74/293.07*(1/(VLOOKUP($GH186,'Fuel economy adjusted factor'!$A$2:$L$52,5,FALSE)*m2k))/'TCO Inputs'!$AZ$84</f>
        <v>440.10368256341172</v>
      </c>
      <c r="GL186" s="125">
        <f>GL74/293.07*(1/(VLOOKUP($GH186,'Fuel economy adjusted factor'!$A$2:$L$52,5,FALSE)*m2k))/'TCO Inputs'!$AZ$84</f>
        <v>440.10368256341172</v>
      </c>
      <c r="GM186" s="125">
        <f>GM74/293.07*(1/(VLOOKUP($GH186,'Fuel economy adjusted factor'!$A$2:$L$52,5,FALSE)*m2k))/'TCO Inputs'!$AZ$84</f>
        <v>440.10368256341172</v>
      </c>
      <c r="GN186" s="125">
        <f>GN74/293.07*(1/(VLOOKUP($GH186,'Fuel economy adjusted factor'!$A$2:$L$52,5,FALSE)*m2k))/'TCO Inputs'!$AZ$84</f>
        <v>440.10368256341172</v>
      </c>
      <c r="GO186" s="125">
        <f>GO74/293.07*(1/(VLOOKUP($GH186,'Fuel economy adjusted factor'!$A$2:$L$52,5,FALSE)*m2k))/'TCO Inputs'!$AZ$84</f>
        <v>440.10368256341172</v>
      </c>
      <c r="GP186" s="125">
        <f>GP74/293.07*(1/(VLOOKUP($GH186,'Fuel economy adjusted factor'!$A$2:$L$52,5,FALSE)*m2k))/'TCO Inputs'!$AZ$84</f>
        <v>440.10368256341172</v>
      </c>
      <c r="GQ186" s="125">
        <f>GQ74/293.07*(1/(VLOOKUP($GH186,'Fuel economy adjusted factor'!$A$2:$L$52,5,FALSE)*m2k))/'TCO Inputs'!$AZ$84</f>
        <v>440.10368256341172</v>
      </c>
      <c r="GR186" s="125">
        <f>GR74/293.07*(1/(VLOOKUP($GH186,'Fuel economy adjusted factor'!$A$2:$L$52,5,FALSE)*m2k))/'TCO Inputs'!$AZ$84</f>
        <v>440.10368256341172</v>
      </c>
      <c r="GS186" s="125">
        <f>GS74/293.07*(1/(VLOOKUP($GH186,'Fuel economy adjusted factor'!$A$2:$L$52,5,FALSE)*m2k))/'TCO Inputs'!$AZ$84</f>
        <v>440.10368256341172</v>
      </c>
      <c r="GT186" s="125">
        <f>GT74/293.07*(1/(VLOOKUP($GH186,'Fuel economy adjusted factor'!$A$2:$L$52,5,FALSE)*m2k))/'TCO Inputs'!$AZ$84</f>
        <v>440.10368256341172</v>
      </c>
      <c r="GU186" s="125">
        <f>GU74/293.07*(1/(VLOOKUP($GH186,'Fuel economy adjusted factor'!$A$2:$L$52,5,FALSE)*m2k))/'TCO Inputs'!$AZ$84</f>
        <v>440.10368256341172</v>
      </c>
      <c r="GV186" s="125">
        <f>GV74/293.07*(1/(VLOOKUP($GH186,'Fuel economy adjusted factor'!$A$2:$L$52,5,FALSE)*m2k))/'TCO Inputs'!$AZ$84</f>
        <v>440.10368256341172</v>
      </c>
      <c r="GW186" s="125">
        <f>GW74/293.07*(1/(VLOOKUP($GH186,'Fuel economy adjusted factor'!$A$2:$L$52,5,FALSE)*m2k))/'TCO Inputs'!$AZ$84</f>
        <v>440.10368256341172</v>
      </c>
      <c r="GX186" s="125">
        <f>GX74/293.07*(1/(VLOOKUP($GH186,'Fuel economy adjusted factor'!$A$2:$L$52,5,FALSE)*m2k))/'TCO Inputs'!$AZ$84</f>
        <v>440.10368256341172</v>
      </c>
      <c r="GY186" s="125">
        <f>GY74/293.07*(1/(VLOOKUP($GH186,'Fuel economy adjusted factor'!$A$2:$L$52,5,FALSE)*m2k))/'TCO Inputs'!$AZ$84</f>
        <v>440.10368256341172</v>
      </c>
      <c r="GZ186" s="125">
        <f>GZ74/293.07*(1/(VLOOKUP($GH186,'Fuel economy adjusted factor'!$A$2:$L$52,5,FALSE)*m2k))/'TCO Inputs'!$AZ$84</f>
        <v>440.10368256341172</v>
      </c>
      <c r="HA186" s="125">
        <f>HA74/293.07*(1/(VLOOKUP($GH186,'Fuel economy adjusted factor'!$A$2:$L$52,5,FALSE)*m2k))/'TCO Inputs'!$AZ$84</f>
        <v>440.10368256341172</v>
      </c>
      <c r="HB186" s="125">
        <f>HB74/293.07*(1/(VLOOKUP($GH186,'Fuel economy adjusted factor'!$A$2:$L$52,5,FALSE)*m2k))/'TCO Inputs'!$AZ$84</f>
        <v>440.10368256341172</v>
      </c>
      <c r="HC186" s="125">
        <f>HC74/293.07*(1/(VLOOKUP($GH186,'Fuel economy adjusted factor'!$A$2:$L$52,5,FALSE)*m2k))/'TCO Inputs'!$AZ$84</f>
        <v>440.10368256341172</v>
      </c>
      <c r="HD186" s="125">
        <f>HD74/293.07*(1/(VLOOKUP($GH186,'Fuel economy adjusted factor'!$A$2:$L$52,5,FALSE)*m2k))/'TCO Inputs'!$AZ$84</f>
        <v>440.10368256341172</v>
      </c>
      <c r="HE186" s="125">
        <f>HE74/293.07*(1/(VLOOKUP($GH186,'Fuel economy adjusted factor'!$A$2:$L$52,5,FALSE)*m2k))/'TCO Inputs'!$AZ$84</f>
        <v>440.10368256341172</v>
      </c>
      <c r="HF186" s="125">
        <f>HF74/293.07*(1/(VLOOKUP($GH186,'Fuel economy adjusted factor'!$A$2:$L$52,5,FALSE)*m2k))/'TCO Inputs'!$AZ$84</f>
        <v>440.10368256341172</v>
      </c>
      <c r="HG186" s="125">
        <f>HG74/293.07*(1/(VLOOKUP($GH186,'Fuel economy adjusted factor'!$A$2:$L$52,5,FALSE)*m2k))/'TCO Inputs'!$AZ$84</f>
        <v>440.10368256341172</v>
      </c>
      <c r="HH186" s="125">
        <f>HH74/293.07*(1/(VLOOKUP($GH186,'Fuel economy adjusted factor'!$A$2:$L$52,5,FALSE)*m2k))/'TCO Inputs'!$AZ$84</f>
        <v>440.10368256341172</v>
      </c>
      <c r="HI186" s="125">
        <f>HI74/293.07*(1/(VLOOKUP($GH186,'Fuel economy adjusted factor'!$A$2:$L$52,5,FALSE)*m2k))/'TCO Inputs'!$AZ$84</f>
        <v>440.10368256341172</v>
      </c>
      <c r="HJ186" s="125">
        <f>HJ74/293.07*(1/(VLOOKUP($GH186,'Fuel economy adjusted factor'!$A$2:$L$52,5,FALSE)*m2k))/'TCO Inputs'!$AZ$84</f>
        <v>440.10368256341172</v>
      </c>
      <c r="HK186" s="98" cm="1">
        <f t="array" ref="HK186">SUMPRODUCT(INDEX(GI186:HJ186,,'TCO Inputs'!$AZ$12-2023+_xlfn.SEQUENCE('TCO Inputs'!$AZ$13))*INDEX('VKT US'!C76:AA76,,_xlfn.SEQUENCE('TCO Inputs'!$AZ$13)))*m2k*CONVERT(0.9072,"g","ton")</f>
        <v>167.69290117052813</v>
      </c>
    </row>
    <row r="187" spans="26:219" x14ac:dyDescent="0.25">
      <c r="Z187" s="123" t="s">
        <v>195</v>
      </c>
      <c r="AA187" s="125">
        <f>AA75/293.07*(1/(VLOOKUP($Z187,'Fuel economy adjusted factor'!$A$2:$L$52,5,FALSE)*m2k))/'TCO Inputs'!$AZ$84</f>
        <v>81.345623148974411</v>
      </c>
      <c r="AB187" s="125">
        <f>AB75/293.07*(1/(VLOOKUP($Z187,'Fuel economy adjusted factor'!$A$2:$L$52,5,FALSE)*m2k))/'TCO Inputs'!$AZ$84</f>
        <v>81.345623148974411</v>
      </c>
      <c r="AC187" s="125">
        <f>AC75/293.07*(1/(VLOOKUP($Z187,'Fuel economy adjusted factor'!$A$2:$L$52,5,FALSE)*m2k))/'TCO Inputs'!$AZ$84</f>
        <v>71.449568039737343</v>
      </c>
      <c r="AD187" s="125">
        <f>AD75/293.07*(1/(VLOOKUP($Z187,'Fuel economy adjusted factor'!$A$2:$L$52,5,FALSE)*m2k))/'TCO Inputs'!$AZ$84</f>
        <v>71.449568039737343</v>
      </c>
      <c r="AE187" s="125">
        <f>AE75/293.07*(1/(VLOOKUP($Z187,'Fuel economy adjusted factor'!$A$2:$L$52,5,FALSE)*m2k))/'TCO Inputs'!$AZ$84</f>
        <v>71.449568039737343</v>
      </c>
      <c r="AF187" s="125">
        <f>AF75/293.07*(1/(VLOOKUP($Z187,'Fuel economy adjusted factor'!$A$2:$L$52,5,FALSE)*m2k))/'TCO Inputs'!$AZ$84</f>
        <v>71.449568039737343</v>
      </c>
      <c r="AG187" s="125">
        <f>AG75/293.07*(1/(VLOOKUP($Z187,'Fuel economy adjusted factor'!$A$2:$L$52,5,FALSE)*m2k))/'TCO Inputs'!$AZ$84</f>
        <v>71.449568039737343</v>
      </c>
      <c r="AH187" s="125">
        <f>AH75/293.07*(1/(VLOOKUP($Z187,'Fuel economy adjusted factor'!$A$2:$L$52,5,FALSE)*m2k))/'TCO Inputs'!$AZ$84</f>
        <v>27.013233923231606</v>
      </c>
      <c r="AI187" s="125">
        <f>AI75/293.07*(1/(VLOOKUP($Z187,'Fuel economy adjusted factor'!$A$2:$L$52,5,FALSE)*m2k))/'TCO Inputs'!$AZ$84</f>
        <v>27.013233923231606</v>
      </c>
      <c r="AJ187" s="125">
        <f>AJ75/293.07*(1/(VLOOKUP($Z187,'Fuel economy adjusted factor'!$A$2:$L$52,5,FALSE)*m2k))/'TCO Inputs'!$AZ$84</f>
        <v>27.013233923231606</v>
      </c>
      <c r="AK187" s="125">
        <f>AK75/293.07*(1/(VLOOKUP($Z187,'Fuel economy adjusted factor'!$A$2:$L$52,5,FALSE)*m2k))/'TCO Inputs'!$AZ$84</f>
        <v>27.013233923231606</v>
      </c>
      <c r="AL187" s="125">
        <f>AL75/293.07*(1/(VLOOKUP($Z187,'Fuel economy adjusted factor'!$A$2:$L$52,5,FALSE)*m2k))/'TCO Inputs'!$AZ$84</f>
        <v>27.013233923231606</v>
      </c>
      <c r="AM187" s="125">
        <f>AM75/293.07*(1/(VLOOKUP($Z187,'Fuel economy adjusted factor'!$A$2:$L$52,5,FALSE)*m2k))/'TCO Inputs'!$AZ$84</f>
        <v>22.70463220235321</v>
      </c>
      <c r="AN187" s="125">
        <f>AN75/293.07*(1/(VLOOKUP($Z187,'Fuel economy adjusted factor'!$A$2:$L$52,5,FALSE)*m2k))/'TCO Inputs'!$AZ$84</f>
        <v>22.70463220235321</v>
      </c>
      <c r="AO187" s="125">
        <f>AO75/293.07*(1/(VLOOKUP($Z187,'Fuel economy adjusted factor'!$A$2:$L$52,5,FALSE)*m2k))/'TCO Inputs'!$AZ$84</f>
        <v>22.70463220235321</v>
      </c>
      <c r="AP187" s="125">
        <f>AP75/293.07*(1/(VLOOKUP($Z187,'Fuel economy adjusted factor'!$A$2:$L$52,5,FALSE)*m2k))/'TCO Inputs'!$AZ$84</f>
        <v>22.70463220235321</v>
      </c>
      <c r="AQ187" s="125">
        <f>AQ75/293.07*(1/(VLOOKUP($Z187,'Fuel economy adjusted factor'!$A$2:$L$52,5,FALSE)*m2k))/'TCO Inputs'!$AZ$84</f>
        <v>22.70463220235321</v>
      </c>
      <c r="AR187" s="125">
        <f>AR75/293.07*(1/(VLOOKUP($Z187,'Fuel economy adjusted factor'!$A$2:$L$52,5,FALSE)*m2k))/'TCO Inputs'!$AZ$84</f>
        <v>22.70463220235321</v>
      </c>
      <c r="AS187" s="125">
        <f>AS75/293.07*(1/(VLOOKUP($Z187,'Fuel economy adjusted factor'!$A$2:$L$52,5,FALSE)*m2k))/'TCO Inputs'!$AZ$84</f>
        <v>22.70463220235321</v>
      </c>
      <c r="AT187" s="125">
        <f>AT75/293.07*(1/(VLOOKUP($Z187,'Fuel economy adjusted factor'!$A$2:$L$52,5,FALSE)*m2k))/'TCO Inputs'!$AZ$84</f>
        <v>22.70463220235321</v>
      </c>
      <c r="AU187" s="125">
        <f>AU75/293.07*(1/(VLOOKUP($Z187,'Fuel economy adjusted factor'!$A$2:$L$52,5,FALSE)*m2k))/'TCO Inputs'!$AZ$84</f>
        <v>22.70463220235321</v>
      </c>
      <c r="AV187" s="125">
        <f>AV75/293.07*(1/(VLOOKUP($Z187,'Fuel economy adjusted factor'!$A$2:$L$52,5,FALSE)*m2k))/'TCO Inputs'!$AZ$84</f>
        <v>22.70463220235321</v>
      </c>
      <c r="AW187" s="125">
        <f>AW75/293.07*(1/(VLOOKUP($Z187,'Fuel economy adjusted factor'!$A$2:$L$52,5,FALSE)*m2k))/'TCO Inputs'!$AZ$84</f>
        <v>22.811830062715533</v>
      </c>
      <c r="AX187" s="125">
        <f>AX75/293.07*(1/(VLOOKUP($Z187,'Fuel economy adjusted factor'!$A$2:$L$52,5,FALSE)*m2k))/'TCO Inputs'!$AZ$84</f>
        <v>22.811830062715533</v>
      </c>
      <c r="AY187" s="125">
        <f>AY75/293.07*(1/(VLOOKUP($Z187,'Fuel economy adjusted factor'!$A$2:$L$52,5,FALSE)*m2k))/'TCO Inputs'!$AZ$84</f>
        <v>22.811830062715533</v>
      </c>
      <c r="AZ187" s="125">
        <f>AZ75/293.07*(1/(VLOOKUP($Z187,'Fuel economy adjusted factor'!$A$2:$L$52,5,FALSE)*m2k))/'TCO Inputs'!$AZ$84</f>
        <v>22.811830062715533</v>
      </c>
      <c r="BA187" s="125">
        <f>BA75/293.07*(1/(VLOOKUP($Z187,'Fuel economy adjusted factor'!$A$2:$L$52,5,FALSE)*m2k))/'TCO Inputs'!$AZ$84</f>
        <v>22.811830062715533</v>
      </c>
      <c r="BB187" s="125">
        <f>BB75/293.07*(1/(VLOOKUP($Z187,'Fuel economy adjusted factor'!$A$2:$L$52,5,FALSE)*m2k))/'TCO Inputs'!$AZ$84</f>
        <v>22.946610998258798</v>
      </c>
      <c r="BC187" s="98" cm="1">
        <f t="array" ref="BC187">SUMPRODUCT(INDEX(AA187:BB187,,'TCO Inputs'!$AZ$12-2023+_xlfn.SEQUENCE('TCO Inputs'!$AZ$13))*INDEX('VKT US'!C77:AA77,,_xlfn.SEQUENCE('TCO Inputs'!$AZ$13)))*m2k*CONVERT(0.9072,"g","ton")</f>
        <v>16.402188376651917</v>
      </c>
      <c r="BM187" s="123" t="s">
        <v>195</v>
      </c>
      <c r="BN187" s="125">
        <f>BN75/293.07*(1/(VLOOKUP($BM187,'Fuel economy adjusted factor'!$A$2:$L$52,5,FALSE)*m2k))</f>
        <v>69.143779676628242</v>
      </c>
      <c r="BO187" s="125">
        <f>BO75/293.07*(1/(VLOOKUP($BM187,'Fuel economy adjusted factor'!$A$2:$L$52,5,FALSE)*m2k))</f>
        <v>69.143779676628242</v>
      </c>
      <c r="BP187" s="125">
        <f>BP75/293.07*(1/(VLOOKUP($BM187,'Fuel economy adjusted factor'!$A$2:$L$52,5,FALSE)*m2k))</f>
        <v>54.504125213147809</v>
      </c>
      <c r="BQ187" s="125">
        <f>BQ75/293.07*(1/(VLOOKUP($BM187,'Fuel economy adjusted factor'!$A$2:$L$52,5,FALSE)*m2k))</f>
        <v>54.504125213147809</v>
      </c>
      <c r="BR187" s="125">
        <f>BR75/293.07*(1/(VLOOKUP($BM187,'Fuel economy adjusted factor'!$A$2:$L$52,5,FALSE)*m2k))</f>
        <v>54.504125213147809</v>
      </c>
      <c r="BS187" s="125">
        <f>BS75/293.07*(1/(VLOOKUP($BM187,'Fuel economy adjusted factor'!$A$2:$L$52,5,FALSE)*m2k))</f>
        <v>54.504125213147809</v>
      </c>
      <c r="BT187" s="125">
        <f>BT75/293.07*(1/(VLOOKUP($BM187,'Fuel economy adjusted factor'!$A$2:$L$52,5,FALSE)*m2k))</f>
        <v>54.504125213147809</v>
      </c>
      <c r="BU187" s="125">
        <f>BU75/293.07*(1/(VLOOKUP($BM187,'Fuel economy adjusted factor'!$A$2:$L$52,5,FALSE)*m2k))</f>
        <v>3.0788353894587588</v>
      </c>
      <c r="BV187" s="125">
        <f>BV75/293.07*(1/(VLOOKUP($BM187,'Fuel economy adjusted factor'!$A$2:$L$52,5,FALSE)*m2k))</f>
        <v>3.0788353894587588</v>
      </c>
      <c r="BW187" s="125">
        <f>BW75/293.07*(1/(VLOOKUP($BM187,'Fuel economy adjusted factor'!$A$2:$L$52,5,FALSE)*m2k))</f>
        <v>3.0788353894587588</v>
      </c>
      <c r="BX187" s="125">
        <f>BX75/293.07*(1/(VLOOKUP($BM187,'Fuel economy adjusted factor'!$A$2:$L$52,5,FALSE)*m2k))</f>
        <v>3.0788353894587588</v>
      </c>
      <c r="BY187" s="125">
        <f>BY75/293.07*(1/(VLOOKUP($BM187,'Fuel economy adjusted factor'!$A$2:$L$52,5,FALSE)*m2k))</f>
        <v>3.0788353894587588</v>
      </c>
      <c r="BZ187" s="125">
        <f>BZ75/293.07*(1/(VLOOKUP($BM187,'Fuel economy adjusted factor'!$A$2:$L$52,5,FALSE)*m2k))</f>
        <v>3.210983395098387</v>
      </c>
      <c r="CA187" s="125">
        <f>CA75/293.07*(1/(VLOOKUP($BM187,'Fuel economy adjusted factor'!$A$2:$L$52,5,FALSE)*m2k))</f>
        <v>3.210983395098387</v>
      </c>
      <c r="CB187" s="125">
        <f>CB75/293.07*(1/(VLOOKUP($BM187,'Fuel economy adjusted factor'!$A$2:$L$52,5,FALSE)*m2k))</f>
        <v>3.210983395098387</v>
      </c>
      <c r="CC187" s="125">
        <f>CC75/293.07*(1/(VLOOKUP($BM187,'Fuel economy adjusted factor'!$A$2:$L$52,5,FALSE)*m2k))</f>
        <v>3.210983395098387</v>
      </c>
      <c r="CD187" s="125">
        <f>CD75/293.07*(1/(VLOOKUP($BM187,'Fuel economy adjusted factor'!$A$2:$L$52,5,FALSE)*m2k))</f>
        <v>3.210983395098387</v>
      </c>
      <c r="CE187" s="125">
        <f>CE75/293.07*(1/(VLOOKUP($BM187,'Fuel economy adjusted factor'!$A$2:$L$52,5,FALSE)*m2k))</f>
        <v>3.255743203460197</v>
      </c>
      <c r="CF187" s="125">
        <f>CF75/293.07*(1/(VLOOKUP($BM187,'Fuel economy adjusted factor'!$A$2:$L$52,5,FALSE)*m2k))</f>
        <v>3.255743203460197</v>
      </c>
      <c r="CG187" s="125">
        <f>CG75/293.07*(1/(VLOOKUP($BM187,'Fuel economy adjusted factor'!$A$2:$L$52,5,FALSE)*m2k))</f>
        <v>3.255743203460197</v>
      </c>
      <c r="CH187" s="125">
        <f>CH75/293.07*(1/(VLOOKUP($BM187,'Fuel economy adjusted factor'!$A$2:$L$52,5,FALSE)*m2k))</f>
        <v>3.255743203460197</v>
      </c>
      <c r="CI187" s="125">
        <f>CI75/293.07*(1/(VLOOKUP($BM187,'Fuel economy adjusted factor'!$A$2:$L$52,5,FALSE)*m2k))</f>
        <v>3.255743203460197</v>
      </c>
      <c r="CJ187" s="125">
        <f>CJ75/293.07*(1/(VLOOKUP($BM187,'Fuel economy adjusted factor'!$A$2:$L$52,5,FALSE)*m2k))</f>
        <v>3.3703069986719711</v>
      </c>
      <c r="CK187" s="125">
        <f>CK75/293.07*(1/(VLOOKUP($BM187,'Fuel economy adjusted factor'!$A$2:$L$52,5,FALSE)*m2k))</f>
        <v>3.3703069986719711</v>
      </c>
      <c r="CL187" s="125">
        <f>CL75/293.07*(1/(VLOOKUP($BM187,'Fuel economy adjusted factor'!$A$2:$L$52,5,FALSE)*m2k))</f>
        <v>3.3703069986719711</v>
      </c>
      <c r="CM187" s="125">
        <f>CM75/293.07*(1/(VLOOKUP($BM187,'Fuel economy adjusted factor'!$A$2:$L$52,5,FALSE)*m2k))</f>
        <v>3.3703069986719711</v>
      </c>
      <c r="CN187" s="125">
        <f>CN75/293.07*(1/(VLOOKUP($BM187,'Fuel economy adjusted factor'!$A$2:$L$52,5,FALSE)*m2k))</f>
        <v>3.3703069986719711</v>
      </c>
      <c r="CO187" s="125">
        <f>CO75/293.07*(1/(VLOOKUP($BM187,'Fuel economy adjusted factor'!$A$2:$L$52,5,FALSE)*m2k))</f>
        <v>3.5152435209864024</v>
      </c>
      <c r="CP187" s="98" cm="1">
        <f t="array" ref="CP187">SUMPRODUCT(INDEX(BN187:CO187,,'TCO Inputs'!$AZ$12-2023+_xlfn.SEQUENCE('TCO Inputs'!$AZ$13))*INDEX('VKT US'!C77:AA77,,_xlfn.SEQUENCE('TCO Inputs'!$AZ$13)))*m2k*CONVERT(0.9072,"g","ton")</f>
        <v>10.556349814563031</v>
      </c>
      <c r="CQ187" s="194"/>
      <c r="CR187" s="123" t="s">
        <v>195</v>
      </c>
      <c r="CS187" s="125">
        <f>CS75/293.07*(1/(VLOOKUP($BM187,'Fuel economy adjusted factor'!$A$2:$L$52,5,FALSE)*m2k))/'TCO Inputs'!$AZ$84</f>
        <v>81.345623148974411</v>
      </c>
      <c r="CT187" s="125">
        <f>CT75/293.07*(1/(VLOOKUP($BM187,'Fuel economy adjusted factor'!$A$2:$L$52,5,FALSE)*m2k))</f>
        <v>3.2376261381708931</v>
      </c>
      <c r="CU187" s="125">
        <f>CU75/293.07*(1/(VLOOKUP($BM187,'Fuel economy adjusted factor'!$A$2:$L$52,5,FALSE)*m2k))</f>
        <v>3.2376261381708931</v>
      </c>
      <c r="CV187" s="125">
        <f>CV75/293.07*(1/(VLOOKUP($BM187,'Fuel economy adjusted factor'!$A$2:$L$52,5,FALSE)*m2k))</f>
        <v>3.2376261381708931</v>
      </c>
      <c r="CW187" s="125">
        <f>CW75/293.07*(1/(VLOOKUP($BM187,'Fuel economy adjusted factor'!$A$2:$L$52,5,FALSE)*m2k))</f>
        <v>3.2376261381708931</v>
      </c>
      <c r="CX187" s="125">
        <f>CX75/293.07*(1/(VLOOKUP($BM187,'Fuel economy adjusted factor'!$A$2:$L$52,5,FALSE)*m2k))</f>
        <v>3.2376261381708931</v>
      </c>
      <c r="CY187" s="125">
        <f>CY75/293.07*(1/(VLOOKUP($BM187,'Fuel economy adjusted factor'!$A$2:$L$52,5,FALSE)*m2k))</f>
        <v>3.2376261381708931</v>
      </c>
      <c r="CZ187" s="125">
        <f>CZ75/293.07*(1/(VLOOKUP($BM187,'Fuel economy adjusted factor'!$A$2:$L$52,5,FALSE)*m2k))</f>
        <v>3.2376261381708931</v>
      </c>
      <c r="DA187" s="125">
        <f>DA75/293.07*(1/(VLOOKUP($BM187,'Fuel economy adjusted factor'!$A$2:$L$52,5,FALSE)*m2k))</f>
        <v>3.2376261381708931</v>
      </c>
      <c r="DB187" s="125">
        <f>DB75/293.07*(1/(VLOOKUP($BM187,'Fuel economy adjusted factor'!$A$2:$L$52,5,FALSE)*m2k))</f>
        <v>3.2376261381708931</v>
      </c>
      <c r="DC187" s="125">
        <f>DC75/293.07*(1/(VLOOKUP($BM187,'Fuel economy adjusted factor'!$A$2:$L$52,5,FALSE)*m2k))</f>
        <v>3.2376261381708931</v>
      </c>
      <c r="DD187" s="125">
        <f>DD75/293.07*(1/(VLOOKUP($BM187,'Fuel economy adjusted factor'!$A$2:$L$52,5,FALSE)*m2k))</f>
        <v>3.2376261381708931</v>
      </c>
      <c r="DE187" s="125">
        <f>DE75/293.07*(1/(VLOOKUP($BM187,'Fuel economy adjusted factor'!$A$2:$L$52,5,FALSE)*m2k))</f>
        <v>3.3303428840632128</v>
      </c>
      <c r="DF187" s="125">
        <f>DF75/293.07*(1/(VLOOKUP($BM187,'Fuel economy adjusted factor'!$A$2:$L$52,5,FALSE)*m2k))</f>
        <v>3.3303428840632128</v>
      </c>
      <c r="DG187" s="125">
        <f>DG75/293.07*(1/(VLOOKUP($BM187,'Fuel economy adjusted factor'!$A$2:$L$52,5,FALSE)*m2k))</f>
        <v>3.3303428840632128</v>
      </c>
      <c r="DH187" s="125">
        <f>DH75/293.07*(1/(VLOOKUP($BM187,'Fuel economy adjusted factor'!$A$2:$L$52,5,FALSE)*m2k))</f>
        <v>3.3303428840632128</v>
      </c>
      <c r="DI187" s="125">
        <f>DI75/293.07*(1/(VLOOKUP($BM187,'Fuel economy adjusted factor'!$A$2:$L$52,5,FALSE)*m2k))</f>
        <v>3.3303428840632128</v>
      </c>
      <c r="DJ187" s="125">
        <f>DJ75/293.07*(1/(VLOOKUP($BM187,'Fuel economy adjusted factor'!$A$2:$L$52,5,FALSE)*m2k))</f>
        <v>3.5035207140344999</v>
      </c>
      <c r="DK187" s="125">
        <f>DK75/293.07*(1/(VLOOKUP($BM187,'Fuel economy adjusted factor'!$A$2:$L$52,5,FALSE)*m2k))</f>
        <v>3.5035207140344999</v>
      </c>
      <c r="DL187" s="125">
        <f>DL75/293.07*(1/(VLOOKUP($BM187,'Fuel economy adjusted factor'!$A$2:$L$52,5,FALSE)*m2k))</f>
        <v>3.5035207140344999</v>
      </c>
      <c r="DM187" s="125">
        <f>DM75/293.07*(1/(VLOOKUP($BM187,'Fuel economy adjusted factor'!$A$2:$L$52,5,FALSE)*m2k))</f>
        <v>3.5035207140344999</v>
      </c>
      <c r="DN187" s="125">
        <f>DN75/293.07*(1/(VLOOKUP($BM187,'Fuel economy adjusted factor'!$A$2:$L$52,5,FALSE)*m2k))</f>
        <v>3.5035207140344999</v>
      </c>
      <c r="DO187" s="125">
        <f>DO75/293.07*(1/(VLOOKUP($BM187,'Fuel economy adjusted factor'!$A$2:$L$52,5,FALSE)*m2k))</f>
        <v>3.6180845092462737</v>
      </c>
      <c r="DP187" s="125">
        <f>DP75/293.07*(1/(VLOOKUP($BM187,'Fuel economy adjusted factor'!$A$2:$L$52,5,FALSE)*m2k))</f>
        <v>3.6180845092462737</v>
      </c>
      <c r="DQ187" s="125">
        <f>DQ75/293.07*(1/(VLOOKUP($BM187,'Fuel economy adjusted factor'!$A$2:$L$52,5,FALSE)*m2k))</f>
        <v>3.6180845092462737</v>
      </c>
      <c r="DR187" s="125">
        <f>DR75/293.07*(1/(VLOOKUP($BM187,'Fuel economy adjusted factor'!$A$2:$L$52,5,FALSE)*m2k))</f>
        <v>3.6180845092462737</v>
      </c>
      <c r="DS187" s="125">
        <f>DS75/293.07*(1/(VLOOKUP($BM187,'Fuel economy adjusted factor'!$A$2:$L$52,5,FALSE)*m2k))</f>
        <v>3.6180845092462737</v>
      </c>
      <c r="DT187" s="125">
        <f>DT75/293.07*(1/(VLOOKUP($BM187,'Fuel economy adjusted factor'!$A$2:$L$52,5,FALSE)*m2k))</f>
        <v>3.7635538864221552</v>
      </c>
      <c r="DU187" s="98" cm="1">
        <f t="array" ref="DU187">SUMPRODUCT(INDEX(CS187:DT187,,'TCO Inputs'!$AZ$12-2023+_xlfn.SEQUENCE('TCO Inputs'!$AZ$13))*INDEX('VKT US'!C77:AA77,,_xlfn.SEQUENCE('TCO Inputs'!$AZ$13)))*m2k*CONVERT(0.9072,"g","ton")</f>
        <v>3.1027778114824658</v>
      </c>
      <c r="DW187" s="123" t="s">
        <v>195</v>
      </c>
      <c r="DX187" s="125">
        <f>DX75/293.07*(1/(VLOOKUP($BM187,'Fuel economy adjusted factor'!$A$2:$L$52,5,FALSE)*m2k))/'TCO Inputs'!$AZ$84</f>
        <v>107.47209466822009</v>
      </c>
      <c r="DY187" s="125">
        <f>DY75/293.07*(1/(VLOOKUP($BM187,'Fuel economy adjusted factor'!$A$2:$L$52,5,FALSE)*m2k))/'TCO Inputs'!$AZ$84</f>
        <v>107.47209466822009</v>
      </c>
      <c r="DZ187" s="125">
        <f>DZ75/293.07*(1/(VLOOKUP($BM187,'Fuel economy adjusted factor'!$A$2:$L$52,5,FALSE)*m2k))/'TCO Inputs'!$AZ$84</f>
        <v>94.024990180608285</v>
      </c>
      <c r="EA187" s="125">
        <f>EA75/293.07*(1/(VLOOKUP($BM187,'Fuel economy adjusted factor'!$A$2:$L$52,5,FALSE)*m2k))/'TCO Inputs'!$AZ$84</f>
        <v>94.024990180608285</v>
      </c>
      <c r="EB187" s="125">
        <f>EB75/293.07*(1/(VLOOKUP($BM187,'Fuel economy adjusted factor'!$A$2:$L$52,5,FALSE)*m2k))/'TCO Inputs'!$AZ$84</f>
        <v>94.024990180608285</v>
      </c>
      <c r="EC187" s="125">
        <f>EC75/293.07*(1/(VLOOKUP($BM187,'Fuel economy adjusted factor'!$A$2:$L$52,5,FALSE)*m2k))/'TCO Inputs'!$AZ$84</f>
        <v>94.024990180608285</v>
      </c>
      <c r="ED187" s="125">
        <f>ED75/293.07*(1/(VLOOKUP($BM187,'Fuel economy adjusted factor'!$A$2:$L$52,5,FALSE)*m2k))/'TCO Inputs'!$AZ$84</f>
        <v>94.024990180608285</v>
      </c>
      <c r="EE187" s="125">
        <f>EE75/293.07*(1/(VLOOKUP($BM187,'Fuel economy adjusted factor'!$A$2:$L$52,5,FALSE)*m2k))/'TCO Inputs'!$AZ$84</f>
        <v>58.498737443031644</v>
      </c>
      <c r="EF187" s="125">
        <f>EF75/293.07*(1/(VLOOKUP($BM187,'Fuel economy adjusted factor'!$A$2:$L$52,5,FALSE)*m2k))/'TCO Inputs'!$AZ$84</f>
        <v>58.498737443031644</v>
      </c>
      <c r="EG187" s="125">
        <f>EG75/293.07*(1/(VLOOKUP($BM187,'Fuel economy adjusted factor'!$A$2:$L$52,5,FALSE)*m2k))/'TCO Inputs'!$AZ$84</f>
        <v>58.498737443031644</v>
      </c>
      <c r="EH187" s="125">
        <f>EH75/293.07*(1/(VLOOKUP($BM187,'Fuel economy adjusted factor'!$A$2:$L$52,5,FALSE)*m2k))/'TCO Inputs'!$AZ$84</f>
        <v>58.498737443031644</v>
      </c>
      <c r="EI187" s="125">
        <f>EI75/293.07*(1/(VLOOKUP($BM187,'Fuel economy adjusted factor'!$A$2:$L$52,5,FALSE)*m2k))/'TCO Inputs'!$AZ$84</f>
        <v>58.498737443031644</v>
      </c>
      <c r="EJ187" s="125">
        <f>EJ75/293.07*(1/(VLOOKUP($BM187,'Fuel economy adjusted factor'!$A$2:$L$52,5,FALSE)*m2k))/'TCO Inputs'!$AZ$84</f>
        <v>52.08751141114945</v>
      </c>
      <c r="EK187" s="125">
        <f>EK75/293.07*(1/(VLOOKUP($BM187,'Fuel economy adjusted factor'!$A$2:$L$52,5,FALSE)*m2k))/'TCO Inputs'!$AZ$84</f>
        <v>52.08751141114945</v>
      </c>
      <c r="EL187" s="125">
        <f>EL75/293.07*(1/(VLOOKUP($BM187,'Fuel economy adjusted factor'!$A$2:$L$52,5,FALSE)*m2k))/'TCO Inputs'!$AZ$84</f>
        <v>52.08751141114945</v>
      </c>
      <c r="EM187" s="125">
        <f>EM75/293.07*(1/(VLOOKUP($BM187,'Fuel economy adjusted factor'!$A$2:$L$52,5,FALSE)*m2k))/'TCO Inputs'!$AZ$84</f>
        <v>52.08751141114945</v>
      </c>
      <c r="EN187" s="125">
        <f>EN75/293.07*(1/(VLOOKUP($BM187,'Fuel economy adjusted factor'!$A$2:$L$52,5,FALSE)*m2k))/'TCO Inputs'!$AZ$84</f>
        <v>52.08751141114945</v>
      </c>
      <c r="EO187" s="125">
        <f>EO75/293.07*(1/(VLOOKUP($BM187,'Fuel economy adjusted factor'!$A$2:$L$52,5,FALSE)*m2k))/'TCO Inputs'!$AZ$84</f>
        <v>50.612785214873007</v>
      </c>
      <c r="EP187" s="125">
        <f>EP75/293.07*(1/(VLOOKUP($BM187,'Fuel economy adjusted factor'!$A$2:$L$52,5,FALSE)*m2k))/'TCO Inputs'!$AZ$84</f>
        <v>50.612785214873007</v>
      </c>
      <c r="EQ187" s="125">
        <f>EQ75/293.07*(1/(VLOOKUP($BM187,'Fuel economy adjusted factor'!$A$2:$L$52,5,FALSE)*m2k))/'TCO Inputs'!$AZ$84</f>
        <v>50.612785214873007</v>
      </c>
      <c r="ER187" s="125">
        <f>ER75/293.07*(1/(VLOOKUP($BM187,'Fuel economy adjusted factor'!$A$2:$L$52,5,FALSE)*m2k))/'TCO Inputs'!$AZ$84</f>
        <v>50.612785214873007</v>
      </c>
      <c r="ES187" s="125">
        <f>ES75/293.07*(1/(VLOOKUP($BM187,'Fuel economy adjusted factor'!$A$2:$L$52,5,FALSE)*m2k))/'TCO Inputs'!$AZ$84</f>
        <v>50.612785214873007</v>
      </c>
      <c r="ET187" s="125">
        <f>ET75/293.07*(1/(VLOOKUP($BM187,'Fuel economy adjusted factor'!$A$2:$L$52,5,FALSE)*m2k))/'TCO Inputs'!$AZ$84</f>
        <v>48.821558337254679</v>
      </c>
      <c r="EU187" s="125">
        <f>EU75/293.07*(1/(VLOOKUP($BM187,'Fuel economy adjusted factor'!$A$2:$L$52,5,FALSE)*m2k))/'TCO Inputs'!$AZ$84</f>
        <v>48.821558337254679</v>
      </c>
      <c r="EV187" s="125">
        <f>EV75/293.07*(1/(VLOOKUP($BM187,'Fuel economy adjusted factor'!$A$2:$L$52,5,FALSE)*m2k))/'TCO Inputs'!$AZ$84</f>
        <v>48.821558337254679</v>
      </c>
      <c r="EW187" s="125">
        <f>EW75/293.07*(1/(VLOOKUP($BM187,'Fuel economy adjusted factor'!$A$2:$L$52,5,FALSE)*m2k))/'TCO Inputs'!$AZ$84</f>
        <v>48.821558337254679</v>
      </c>
      <c r="EX187" s="125">
        <f>EX75/293.07*(1/(VLOOKUP($BM187,'Fuel economy adjusted factor'!$A$2:$L$52,5,FALSE)*m2k))/'TCO Inputs'!$AZ$84</f>
        <v>48.821558337254679</v>
      </c>
      <c r="EY187" s="125">
        <f>EY75/293.07*(1/(VLOOKUP($BM187,'Fuel economy adjusted factor'!$A$2:$L$52,5,FALSE)*m2k))/'TCO Inputs'!$AZ$84</f>
        <v>45.966980249660395</v>
      </c>
      <c r="EZ187" s="98" cm="1">
        <f t="array" ref="EZ187">SUMPRODUCT(INDEX(DX187:EY187,,'TCO Inputs'!$AZ$12-2023+_xlfn.SEQUENCE('TCO Inputs'!$AZ$13))*INDEX('VKT US'!C77:AA77,,_xlfn.SEQUENCE('TCO Inputs'!$AZ$13)))*m2k*CONVERT(0.9072,"g","ton")</f>
        <v>24.797042865896657</v>
      </c>
      <c r="FB187" s="123" t="s">
        <v>195</v>
      </c>
      <c r="FC187" s="125">
        <f>FC75/293.07*(1/(VLOOKUP($BM187,'Fuel economy adjusted factor'!$A$2:$L$52,5,FALSE)*m2k))/'TCO Inputs'!$AZ$84</f>
        <v>116.17851988566068</v>
      </c>
      <c r="FD187" s="125">
        <f>FD75/293.07*(1/(VLOOKUP($BM187,'Fuel economy adjusted factor'!$A$2:$L$52,5,FALSE)*m2k))/'TCO Inputs'!$AZ$84</f>
        <v>116.17851988566068</v>
      </c>
      <c r="FE187" s="125">
        <f>FE75/293.07*(1/(VLOOKUP($BM187,'Fuel economy adjusted factor'!$A$2:$L$52,5,FALSE)*m2k))/'TCO Inputs'!$AZ$84</f>
        <v>101.28856696823853</v>
      </c>
      <c r="FF187" s="125">
        <f>FF75/293.07*(1/(VLOOKUP($BM187,'Fuel economy adjusted factor'!$A$2:$L$52,5,FALSE)*m2k))/'TCO Inputs'!$AZ$84</f>
        <v>101.28856696823853</v>
      </c>
      <c r="FG187" s="125">
        <f>FG75/293.07*(1/(VLOOKUP($BM187,'Fuel economy adjusted factor'!$A$2:$L$52,5,FALSE)*m2k))/'TCO Inputs'!$AZ$84</f>
        <v>101.28856696823853</v>
      </c>
      <c r="FH187" s="125">
        <f>FH75/293.07*(1/(VLOOKUP($BM187,'Fuel economy adjusted factor'!$A$2:$L$52,5,FALSE)*m2k))/'TCO Inputs'!$AZ$84</f>
        <v>101.28856696823853</v>
      </c>
      <c r="FI187" s="125">
        <f>FI75/293.07*(1/(VLOOKUP($BM187,'Fuel economy adjusted factor'!$A$2:$L$52,5,FALSE)*m2k))/'TCO Inputs'!$AZ$84</f>
        <v>101.28856696823853</v>
      </c>
      <c r="FJ187" s="125">
        <f>FJ75/293.07*(1/(VLOOKUP($BM187,'Fuel economy adjusted factor'!$A$2:$L$52,5,FALSE)*m2k))/'TCO Inputs'!$AZ$84</f>
        <v>64.065961658002152</v>
      </c>
      <c r="FK187" s="125">
        <f>FK75/293.07*(1/(VLOOKUP($BM187,'Fuel economy adjusted factor'!$A$2:$L$52,5,FALSE)*m2k))/'TCO Inputs'!$AZ$84</f>
        <v>64.065961658002152</v>
      </c>
      <c r="FL187" s="125">
        <f>FL75/293.07*(1/(VLOOKUP($BM187,'Fuel economy adjusted factor'!$A$2:$L$52,5,FALSE)*m2k))/'TCO Inputs'!$AZ$84</f>
        <v>64.065961658002152</v>
      </c>
      <c r="FM187" s="125">
        <f>FM75/293.07*(1/(VLOOKUP($BM187,'Fuel economy adjusted factor'!$A$2:$L$52,5,FALSE)*m2k))/'TCO Inputs'!$AZ$84</f>
        <v>64.065961658002152</v>
      </c>
      <c r="FN187" s="125">
        <f>FN75/293.07*(1/(VLOOKUP($BM187,'Fuel economy adjusted factor'!$A$2:$L$52,5,FALSE)*m2k))/'TCO Inputs'!$AZ$84</f>
        <v>64.065961658002152</v>
      </c>
      <c r="FO187" s="125">
        <f>FO75/293.07*(1/(VLOOKUP($BM187,'Fuel economy adjusted factor'!$A$2:$L$52,5,FALSE)*m2k))/'TCO Inputs'!$AZ$84</f>
        <v>56.743942298517418</v>
      </c>
      <c r="FP187" s="125">
        <f>FP75/293.07*(1/(VLOOKUP($BM187,'Fuel economy adjusted factor'!$A$2:$L$52,5,FALSE)*m2k))/'TCO Inputs'!$AZ$84</f>
        <v>56.743942298517418</v>
      </c>
      <c r="FQ187" s="125">
        <f>FQ75/293.07*(1/(VLOOKUP($BM187,'Fuel economy adjusted factor'!$A$2:$L$52,5,FALSE)*m2k))/'TCO Inputs'!$AZ$84</f>
        <v>56.743942298517418</v>
      </c>
      <c r="FR187" s="125">
        <f>FR75/293.07*(1/(VLOOKUP($BM187,'Fuel economy adjusted factor'!$A$2:$L$52,5,FALSE)*m2k))/'TCO Inputs'!$AZ$84</f>
        <v>56.743942298517418</v>
      </c>
      <c r="FS187" s="125">
        <f>FS75/293.07*(1/(VLOOKUP($BM187,'Fuel economy adjusted factor'!$A$2:$L$52,5,FALSE)*m2k))/'TCO Inputs'!$AZ$84</f>
        <v>56.743942298517418</v>
      </c>
      <c r="FT187" s="125">
        <f>FT75/293.07*(1/(VLOOKUP($BM187,'Fuel economy adjusted factor'!$A$2:$L$52,5,FALSE)*m2k))/'TCO Inputs'!$AZ$84</f>
        <v>55.448338790002815</v>
      </c>
      <c r="FU187" s="125">
        <f>FU75/293.07*(1/(VLOOKUP($BM187,'Fuel economy adjusted factor'!$A$2:$L$52,5,FALSE)*m2k))/'TCO Inputs'!$AZ$84</f>
        <v>55.448338790002815</v>
      </c>
      <c r="FV187" s="125">
        <f>FV75/293.07*(1/(VLOOKUP($BM187,'Fuel economy adjusted factor'!$A$2:$L$52,5,FALSE)*m2k))/'TCO Inputs'!$AZ$84</f>
        <v>55.448338790002815</v>
      </c>
      <c r="FW187" s="125">
        <f>FW75/293.07*(1/(VLOOKUP($BM187,'Fuel economy adjusted factor'!$A$2:$L$52,5,FALSE)*m2k))/'TCO Inputs'!$AZ$84</f>
        <v>55.448338790002815</v>
      </c>
      <c r="FX187" s="125">
        <f>FX75/293.07*(1/(VLOOKUP($BM187,'Fuel economy adjusted factor'!$A$2:$L$52,5,FALSE)*m2k))/'TCO Inputs'!$AZ$84</f>
        <v>55.448338790002815</v>
      </c>
      <c r="FY187" s="125">
        <f>FY75/293.07*(1/(VLOOKUP($BM187,'Fuel economy adjusted factor'!$A$2:$L$52,5,FALSE)*m2k))/'TCO Inputs'!$AZ$84</f>
        <v>53.654075934625816</v>
      </c>
      <c r="FZ187" s="125">
        <f>FZ75/293.07*(1/(VLOOKUP($BM187,'Fuel economy adjusted factor'!$A$2:$L$52,5,FALSE)*m2k))/'TCO Inputs'!$AZ$84</f>
        <v>53.654075934625816</v>
      </c>
      <c r="GA187" s="125">
        <f>GA75/293.07*(1/(VLOOKUP($BM187,'Fuel economy adjusted factor'!$A$2:$L$52,5,FALSE)*m2k))/'TCO Inputs'!$AZ$84</f>
        <v>53.654075934625816</v>
      </c>
      <c r="GB187" s="125">
        <f>GB75/293.07*(1/(VLOOKUP($BM187,'Fuel economy adjusted factor'!$A$2:$L$52,5,FALSE)*m2k))/'TCO Inputs'!$AZ$84</f>
        <v>53.654075934625816</v>
      </c>
      <c r="GC187" s="125">
        <f>GC75/293.07*(1/(VLOOKUP($BM187,'Fuel economy adjusted factor'!$A$2:$L$52,5,FALSE)*m2k))/'TCO Inputs'!$AZ$84</f>
        <v>53.654075934625816</v>
      </c>
      <c r="GD187" s="125">
        <f>GD75/293.07*(1/(VLOOKUP($BM187,'Fuel economy adjusted factor'!$A$2:$L$52,5,FALSE)*m2k))/'TCO Inputs'!$AZ$84</f>
        <v>50.702346558753938</v>
      </c>
      <c r="GE187" s="98" cm="1">
        <f t="array" ref="GE187">SUMPRODUCT(INDEX(FC187:GD187,,'TCO Inputs'!$AZ$12-2023+_xlfn.SEQUENCE('TCO Inputs'!$AZ$13))*INDEX('VKT US'!C77:AA77,,_xlfn.SEQUENCE('TCO Inputs'!$AZ$13)))*m2k*CONVERT(0.9072,"g","ton")</f>
        <v>26.865367014402082</v>
      </c>
      <c r="GH187" s="123" t="s">
        <v>195</v>
      </c>
      <c r="GI187" s="125">
        <f>GI75/293.07*(1/(VLOOKUP($GH187,'Fuel economy adjusted factor'!$A$2:$L$52,5,FALSE)*m2k))/'TCO Inputs'!$AZ$84</f>
        <v>204.52223358599966</v>
      </c>
      <c r="GJ187" s="125">
        <f>GJ75/293.07*(1/(VLOOKUP($GH187,'Fuel economy adjusted factor'!$A$2:$L$52,5,FALSE)*m2k))/'TCO Inputs'!$AZ$84</f>
        <v>204.52223358599966</v>
      </c>
      <c r="GK187" s="125">
        <f>GK75/293.07*(1/(VLOOKUP($GH187,'Fuel economy adjusted factor'!$A$2:$L$52,5,FALSE)*m2k))/'TCO Inputs'!$AZ$84</f>
        <v>204.52223358599966</v>
      </c>
      <c r="GL187" s="125">
        <f>GL75/293.07*(1/(VLOOKUP($GH187,'Fuel economy adjusted factor'!$A$2:$L$52,5,FALSE)*m2k))/'TCO Inputs'!$AZ$84</f>
        <v>204.52223358599966</v>
      </c>
      <c r="GM187" s="125">
        <f>GM75/293.07*(1/(VLOOKUP($GH187,'Fuel economy adjusted factor'!$A$2:$L$52,5,FALSE)*m2k))/'TCO Inputs'!$AZ$84</f>
        <v>204.52223358599966</v>
      </c>
      <c r="GN187" s="125">
        <f>GN75/293.07*(1/(VLOOKUP($GH187,'Fuel economy adjusted factor'!$A$2:$L$52,5,FALSE)*m2k))/'TCO Inputs'!$AZ$84</f>
        <v>204.52223358599966</v>
      </c>
      <c r="GO187" s="125">
        <f>GO75/293.07*(1/(VLOOKUP($GH187,'Fuel economy adjusted factor'!$A$2:$L$52,5,FALSE)*m2k))/'TCO Inputs'!$AZ$84</f>
        <v>204.52223358599966</v>
      </c>
      <c r="GP187" s="125">
        <f>GP75/293.07*(1/(VLOOKUP($GH187,'Fuel economy adjusted factor'!$A$2:$L$52,5,FALSE)*m2k))/'TCO Inputs'!$AZ$84</f>
        <v>204.52223358599966</v>
      </c>
      <c r="GQ187" s="125">
        <f>GQ75/293.07*(1/(VLOOKUP($GH187,'Fuel economy adjusted factor'!$A$2:$L$52,5,FALSE)*m2k))/'TCO Inputs'!$AZ$84</f>
        <v>204.52223358599966</v>
      </c>
      <c r="GR187" s="125">
        <f>GR75/293.07*(1/(VLOOKUP($GH187,'Fuel economy adjusted factor'!$A$2:$L$52,5,FALSE)*m2k))/'TCO Inputs'!$AZ$84</f>
        <v>204.52223358599966</v>
      </c>
      <c r="GS187" s="125">
        <f>GS75/293.07*(1/(VLOOKUP($GH187,'Fuel economy adjusted factor'!$A$2:$L$52,5,FALSE)*m2k))/'TCO Inputs'!$AZ$84</f>
        <v>204.52223358599966</v>
      </c>
      <c r="GT187" s="125">
        <f>GT75/293.07*(1/(VLOOKUP($GH187,'Fuel economy adjusted factor'!$A$2:$L$52,5,FALSE)*m2k))/'TCO Inputs'!$AZ$84</f>
        <v>204.52223358599966</v>
      </c>
      <c r="GU187" s="125">
        <f>GU75/293.07*(1/(VLOOKUP($GH187,'Fuel economy adjusted factor'!$A$2:$L$52,5,FALSE)*m2k))/'TCO Inputs'!$AZ$84</f>
        <v>204.52223358599966</v>
      </c>
      <c r="GV187" s="125">
        <f>GV75/293.07*(1/(VLOOKUP($GH187,'Fuel economy adjusted factor'!$A$2:$L$52,5,FALSE)*m2k))/'TCO Inputs'!$AZ$84</f>
        <v>204.52223358599966</v>
      </c>
      <c r="GW187" s="125">
        <f>GW75/293.07*(1/(VLOOKUP($GH187,'Fuel economy adjusted factor'!$A$2:$L$52,5,FALSE)*m2k))/'TCO Inputs'!$AZ$84</f>
        <v>204.52223358599966</v>
      </c>
      <c r="GX187" s="125">
        <f>GX75/293.07*(1/(VLOOKUP($GH187,'Fuel economy adjusted factor'!$A$2:$L$52,5,FALSE)*m2k))/'TCO Inputs'!$AZ$84</f>
        <v>204.52223358599966</v>
      </c>
      <c r="GY187" s="125">
        <f>GY75/293.07*(1/(VLOOKUP($GH187,'Fuel economy adjusted factor'!$A$2:$L$52,5,FALSE)*m2k))/'TCO Inputs'!$AZ$84</f>
        <v>204.52223358599966</v>
      </c>
      <c r="GZ187" s="125">
        <f>GZ75/293.07*(1/(VLOOKUP($GH187,'Fuel economy adjusted factor'!$A$2:$L$52,5,FALSE)*m2k))/'TCO Inputs'!$AZ$84</f>
        <v>204.52223358599966</v>
      </c>
      <c r="HA187" s="125">
        <f>HA75/293.07*(1/(VLOOKUP($GH187,'Fuel economy adjusted factor'!$A$2:$L$52,5,FALSE)*m2k))/'TCO Inputs'!$AZ$84</f>
        <v>204.52223358599966</v>
      </c>
      <c r="HB187" s="125">
        <f>HB75/293.07*(1/(VLOOKUP($GH187,'Fuel economy adjusted factor'!$A$2:$L$52,5,FALSE)*m2k))/'TCO Inputs'!$AZ$84</f>
        <v>204.52223358599966</v>
      </c>
      <c r="HC187" s="125">
        <f>HC75/293.07*(1/(VLOOKUP($GH187,'Fuel economy adjusted factor'!$A$2:$L$52,5,FALSE)*m2k))/'TCO Inputs'!$AZ$84</f>
        <v>204.52223358599966</v>
      </c>
      <c r="HD187" s="125">
        <f>HD75/293.07*(1/(VLOOKUP($GH187,'Fuel economy adjusted factor'!$A$2:$L$52,5,FALSE)*m2k))/'TCO Inputs'!$AZ$84</f>
        <v>204.52223358599966</v>
      </c>
      <c r="HE187" s="125">
        <f>HE75/293.07*(1/(VLOOKUP($GH187,'Fuel economy adjusted factor'!$A$2:$L$52,5,FALSE)*m2k))/'TCO Inputs'!$AZ$84</f>
        <v>204.52223358599966</v>
      </c>
      <c r="HF187" s="125">
        <f>HF75/293.07*(1/(VLOOKUP($GH187,'Fuel economy adjusted factor'!$A$2:$L$52,5,FALSE)*m2k))/'TCO Inputs'!$AZ$84</f>
        <v>204.52223358599966</v>
      </c>
      <c r="HG187" s="125">
        <f>HG75/293.07*(1/(VLOOKUP($GH187,'Fuel economy adjusted factor'!$A$2:$L$52,5,FALSE)*m2k))/'TCO Inputs'!$AZ$84</f>
        <v>204.52223358599966</v>
      </c>
      <c r="HH187" s="125">
        <f>HH75/293.07*(1/(VLOOKUP($GH187,'Fuel economy adjusted factor'!$A$2:$L$52,5,FALSE)*m2k))/'TCO Inputs'!$AZ$84</f>
        <v>204.52223358599966</v>
      </c>
      <c r="HI187" s="125">
        <f>HI75/293.07*(1/(VLOOKUP($GH187,'Fuel economy adjusted factor'!$A$2:$L$52,5,FALSE)*m2k))/'TCO Inputs'!$AZ$84</f>
        <v>204.52223358599966</v>
      </c>
      <c r="HJ187" s="125">
        <f>HJ75/293.07*(1/(VLOOKUP($GH187,'Fuel economy adjusted factor'!$A$2:$L$52,5,FALSE)*m2k))/'TCO Inputs'!$AZ$84</f>
        <v>204.52223358599966</v>
      </c>
      <c r="HK187" s="98" cm="1">
        <f t="array" ref="HK187">SUMPRODUCT(INDEX(GI187:HJ187,,'TCO Inputs'!$AZ$12-2023+_xlfn.SEQUENCE('TCO Inputs'!$AZ$13))*INDEX('VKT US'!C77:AA77,,_xlfn.SEQUENCE('TCO Inputs'!$AZ$13)))*m2k*CONVERT(0.9072,"g","ton")</f>
        <v>63.751998111020775</v>
      </c>
    </row>
    <row r="188" spans="26:219" x14ac:dyDescent="0.25">
      <c r="Z188" s="123" t="s">
        <v>199</v>
      </c>
      <c r="AA188" s="125">
        <f>AA76/293.07*(1/(VLOOKUP($Z188,'Fuel economy adjusted factor'!$A$2:$L$52,5,FALSE)*m2k))/'TCO Inputs'!$AZ$84</f>
        <v>85.076437942371697</v>
      </c>
      <c r="AB188" s="125">
        <f>AB76/293.07*(1/(VLOOKUP($Z188,'Fuel economy adjusted factor'!$A$2:$L$52,5,FALSE)*m2k))/'TCO Inputs'!$AZ$84</f>
        <v>85.076437942371697</v>
      </c>
      <c r="AC188" s="125">
        <f>AC76/293.07*(1/(VLOOKUP($Z188,'Fuel economy adjusted factor'!$A$2:$L$52,5,FALSE)*m2k))/'TCO Inputs'!$AZ$84</f>
        <v>74.726512700131892</v>
      </c>
      <c r="AD188" s="125">
        <f>AD76/293.07*(1/(VLOOKUP($Z188,'Fuel economy adjusted factor'!$A$2:$L$52,5,FALSE)*m2k))/'TCO Inputs'!$AZ$84</f>
        <v>74.726512700131892</v>
      </c>
      <c r="AE188" s="125">
        <f>AE76/293.07*(1/(VLOOKUP($Z188,'Fuel economy adjusted factor'!$A$2:$L$52,5,FALSE)*m2k))/'TCO Inputs'!$AZ$84</f>
        <v>74.726512700131892</v>
      </c>
      <c r="AF188" s="125">
        <f>AF76/293.07*(1/(VLOOKUP($Z188,'Fuel economy adjusted factor'!$A$2:$L$52,5,FALSE)*m2k))/'TCO Inputs'!$AZ$84</f>
        <v>74.726512700131892</v>
      </c>
      <c r="AG188" s="125">
        <f>AG76/293.07*(1/(VLOOKUP($Z188,'Fuel economy adjusted factor'!$A$2:$L$52,5,FALSE)*m2k))/'TCO Inputs'!$AZ$84</f>
        <v>74.726512700131892</v>
      </c>
      <c r="AH188" s="125">
        <f>AH76/293.07*(1/(VLOOKUP($Z188,'Fuel economy adjusted factor'!$A$2:$L$52,5,FALSE)*m2k))/'TCO Inputs'!$AZ$84</f>
        <v>28.252161954475834</v>
      </c>
      <c r="AI188" s="125">
        <f>AI76/293.07*(1/(VLOOKUP($Z188,'Fuel economy adjusted factor'!$A$2:$L$52,5,FALSE)*m2k))/'TCO Inputs'!$AZ$84</f>
        <v>28.252161954475834</v>
      </c>
      <c r="AJ188" s="125">
        <f>AJ76/293.07*(1/(VLOOKUP($Z188,'Fuel economy adjusted factor'!$A$2:$L$52,5,FALSE)*m2k))/'TCO Inputs'!$AZ$84</f>
        <v>28.252161954475834</v>
      </c>
      <c r="AK188" s="125">
        <f>AK76/293.07*(1/(VLOOKUP($Z188,'Fuel economy adjusted factor'!$A$2:$L$52,5,FALSE)*m2k))/'TCO Inputs'!$AZ$84</f>
        <v>28.252161954475834</v>
      </c>
      <c r="AL188" s="125">
        <f>AL76/293.07*(1/(VLOOKUP($Z188,'Fuel economy adjusted factor'!$A$2:$L$52,5,FALSE)*m2k))/'TCO Inputs'!$AZ$84</f>
        <v>28.252161954475834</v>
      </c>
      <c r="AM188" s="125">
        <f>AM76/293.07*(1/(VLOOKUP($Z188,'Fuel economy adjusted factor'!$A$2:$L$52,5,FALSE)*m2k))/'TCO Inputs'!$AZ$84</f>
        <v>23.745951629509783</v>
      </c>
      <c r="AN188" s="125">
        <f>AN76/293.07*(1/(VLOOKUP($Z188,'Fuel economy adjusted factor'!$A$2:$L$52,5,FALSE)*m2k))/'TCO Inputs'!$AZ$84</f>
        <v>23.745951629509783</v>
      </c>
      <c r="AO188" s="125">
        <f>AO76/293.07*(1/(VLOOKUP($Z188,'Fuel economy adjusted factor'!$A$2:$L$52,5,FALSE)*m2k))/'TCO Inputs'!$AZ$84</f>
        <v>23.745951629509783</v>
      </c>
      <c r="AP188" s="125">
        <f>AP76/293.07*(1/(VLOOKUP($Z188,'Fuel economy adjusted factor'!$A$2:$L$52,5,FALSE)*m2k))/'TCO Inputs'!$AZ$84</f>
        <v>23.745951629509783</v>
      </c>
      <c r="AQ188" s="125">
        <f>AQ76/293.07*(1/(VLOOKUP($Z188,'Fuel economy adjusted factor'!$A$2:$L$52,5,FALSE)*m2k))/'TCO Inputs'!$AZ$84</f>
        <v>23.745951629509783</v>
      </c>
      <c r="AR188" s="125">
        <f>AR76/293.07*(1/(VLOOKUP($Z188,'Fuel economy adjusted factor'!$A$2:$L$52,5,FALSE)*m2k))/'TCO Inputs'!$AZ$84</f>
        <v>23.745951629509783</v>
      </c>
      <c r="AS188" s="125">
        <f>AS76/293.07*(1/(VLOOKUP($Z188,'Fuel economy adjusted factor'!$A$2:$L$52,5,FALSE)*m2k))/'TCO Inputs'!$AZ$84</f>
        <v>23.745951629509783</v>
      </c>
      <c r="AT188" s="125">
        <f>AT76/293.07*(1/(VLOOKUP($Z188,'Fuel economy adjusted factor'!$A$2:$L$52,5,FALSE)*m2k))/'TCO Inputs'!$AZ$84</f>
        <v>23.745951629509783</v>
      </c>
      <c r="AU188" s="125">
        <f>AU76/293.07*(1/(VLOOKUP($Z188,'Fuel economy adjusted factor'!$A$2:$L$52,5,FALSE)*m2k))/'TCO Inputs'!$AZ$84</f>
        <v>23.745951629509783</v>
      </c>
      <c r="AV188" s="125">
        <f>AV76/293.07*(1/(VLOOKUP($Z188,'Fuel economy adjusted factor'!$A$2:$L$52,5,FALSE)*m2k))/'TCO Inputs'!$AZ$84</f>
        <v>23.745951629509783</v>
      </c>
      <c r="AW188" s="125">
        <f>AW76/293.07*(1/(VLOOKUP($Z188,'Fuel economy adjusted factor'!$A$2:$L$52,5,FALSE)*m2k))/'TCO Inputs'!$AZ$84</f>
        <v>23.858065985041456</v>
      </c>
      <c r="AX188" s="125">
        <f>AX76/293.07*(1/(VLOOKUP($Z188,'Fuel economy adjusted factor'!$A$2:$L$52,5,FALSE)*m2k))/'TCO Inputs'!$AZ$84</f>
        <v>23.858065985041456</v>
      </c>
      <c r="AY188" s="125">
        <f>AY76/293.07*(1/(VLOOKUP($Z188,'Fuel economy adjusted factor'!$A$2:$L$52,5,FALSE)*m2k))/'TCO Inputs'!$AZ$84</f>
        <v>23.858065985041456</v>
      </c>
      <c r="AZ188" s="125">
        <f>AZ76/293.07*(1/(VLOOKUP($Z188,'Fuel economy adjusted factor'!$A$2:$L$52,5,FALSE)*m2k))/'TCO Inputs'!$AZ$84</f>
        <v>23.858065985041456</v>
      </c>
      <c r="BA188" s="125">
        <f>BA76/293.07*(1/(VLOOKUP($Z188,'Fuel economy adjusted factor'!$A$2:$L$52,5,FALSE)*m2k))/'TCO Inputs'!$AZ$84</f>
        <v>23.858065985041456</v>
      </c>
      <c r="BB188" s="125">
        <f>BB76/293.07*(1/(VLOOKUP($Z188,'Fuel economy adjusted factor'!$A$2:$L$52,5,FALSE)*m2k))/'TCO Inputs'!$AZ$84</f>
        <v>23.999028478838593</v>
      </c>
      <c r="BC188" s="98" cm="1">
        <f t="array" ref="BC188">SUMPRODUCT(INDEX(AA188:BB188,,'TCO Inputs'!$AZ$12-2023+_xlfn.SEQUENCE('TCO Inputs'!$AZ$13))*INDEX('VKT US'!C78:AA78,,_xlfn.SEQUENCE('TCO Inputs'!$AZ$13)))*m2k*CONVERT(0.9072,"g","ton")</f>
        <v>17.196336832640213</v>
      </c>
      <c r="BM188" s="123" t="s">
        <v>199</v>
      </c>
      <c r="BN188" s="125">
        <f>BN76/293.07*(1/(VLOOKUP($BM188,'Fuel economy adjusted factor'!$A$2:$L$52,5,FALSE)*m2k))</f>
        <v>72.314972251015945</v>
      </c>
      <c r="BO188" s="125">
        <f>BO76/293.07*(1/(VLOOKUP($BM188,'Fuel economy adjusted factor'!$A$2:$L$52,5,FALSE)*m2k))</f>
        <v>72.314972251015945</v>
      </c>
      <c r="BP188" s="125">
        <f>BP76/293.07*(1/(VLOOKUP($BM188,'Fuel economy adjusted factor'!$A$2:$L$52,5,FALSE)*m2k))</f>
        <v>57.00388843057366</v>
      </c>
      <c r="BQ188" s="125">
        <f>BQ76/293.07*(1/(VLOOKUP($BM188,'Fuel economy adjusted factor'!$A$2:$L$52,5,FALSE)*m2k))</f>
        <v>57.00388843057366</v>
      </c>
      <c r="BR188" s="125">
        <f>BR76/293.07*(1/(VLOOKUP($BM188,'Fuel economy adjusted factor'!$A$2:$L$52,5,FALSE)*m2k))</f>
        <v>57.00388843057366</v>
      </c>
      <c r="BS188" s="125">
        <f>BS76/293.07*(1/(VLOOKUP($BM188,'Fuel economy adjusted factor'!$A$2:$L$52,5,FALSE)*m2k))</f>
        <v>57.00388843057366</v>
      </c>
      <c r="BT188" s="125">
        <f>BT76/293.07*(1/(VLOOKUP($BM188,'Fuel economy adjusted factor'!$A$2:$L$52,5,FALSE)*m2k))</f>
        <v>57.00388843057366</v>
      </c>
      <c r="BU188" s="125">
        <f>BU76/293.07*(1/(VLOOKUP($BM188,'Fuel economy adjusted factor'!$A$2:$L$52,5,FALSE)*m2k))</f>
        <v>3.2200423059807655</v>
      </c>
      <c r="BV188" s="125">
        <f>BV76/293.07*(1/(VLOOKUP($BM188,'Fuel economy adjusted factor'!$A$2:$L$52,5,FALSE)*m2k))</f>
        <v>3.2200423059807655</v>
      </c>
      <c r="BW188" s="125">
        <f>BW76/293.07*(1/(VLOOKUP($BM188,'Fuel economy adjusted factor'!$A$2:$L$52,5,FALSE)*m2k))</f>
        <v>3.2200423059807655</v>
      </c>
      <c r="BX188" s="125">
        <f>BX76/293.07*(1/(VLOOKUP($BM188,'Fuel economy adjusted factor'!$A$2:$L$52,5,FALSE)*m2k))</f>
        <v>3.2200423059807655</v>
      </c>
      <c r="BY188" s="125">
        <f>BY76/293.07*(1/(VLOOKUP($BM188,'Fuel economy adjusted factor'!$A$2:$L$52,5,FALSE)*m2k))</f>
        <v>3.2200423059807655</v>
      </c>
      <c r="BZ188" s="125">
        <f>BZ76/293.07*(1/(VLOOKUP($BM188,'Fuel economy adjusted factor'!$A$2:$L$52,5,FALSE)*m2k))</f>
        <v>3.3582511138525608</v>
      </c>
      <c r="CA188" s="125">
        <f>CA76/293.07*(1/(VLOOKUP($BM188,'Fuel economy adjusted factor'!$A$2:$L$52,5,FALSE)*m2k))</f>
        <v>3.3582511138525608</v>
      </c>
      <c r="CB188" s="125">
        <f>CB76/293.07*(1/(VLOOKUP($BM188,'Fuel economy adjusted factor'!$A$2:$L$52,5,FALSE)*m2k))</f>
        <v>3.3582511138525608</v>
      </c>
      <c r="CC188" s="125">
        <f>CC76/293.07*(1/(VLOOKUP($BM188,'Fuel economy adjusted factor'!$A$2:$L$52,5,FALSE)*m2k))</f>
        <v>3.3582511138525608</v>
      </c>
      <c r="CD188" s="125">
        <f>CD76/293.07*(1/(VLOOKUP($BM188,'Fuel economy adjusted factor'!$A$2:$L$52,5,FALSE)*m2k))</f>
        <v>3.3582511138525608</v>
      </c>
      <c r="CE188" s="125">
        <f>CE76/293.07*(1/(VLOOKUP($BM188,'Fuel economy adjusted factor'!$A$2:$L$52,5,FALSE)*m2k))</f>
        <v>3.4050637745833296</v>
      </c>
      <c r="CF188" s="125">
        <f>CF76/293.07*(1/(VLOOKUP($BM188,'Fuel economy adjusted factor'!$A$2:$L$52,5,FALSE)*m2k))</f>
        <v>3.4050637745833296</v>
      </c>
      <c r="CG188" s="125">
        <f>CG76/293.07*(1/(VLOOKUP($BM188,'Fuel economy adjusted factor'!$A$2:$L$52,5,FALSE)*m2k))</f>
        <v>3.4050637745833296</v>
      </c>
      <c r="CH188" s="125">
        <f>CH76/293.07*(1/(VLOOKUP($BM188,'Fuel economy adjusted factor'!$A$2:$L$52,5,FALSE)*m2k))</f>
        <v>3.4050637745833296</v>
      </c>
      <c r="CI188" s="125">
        <f>CI76/293.07*(1/(VLOOKUP($BM188,'Fuel economy adjusted factor'!$A$2:$L$52,5,FALSE)*m2k))</f>
        <v>3.4050637745833296</v>
      </c>
      <c r="CJ188" s="125">
        <f>CJ76/293.07*(1/(VLOOKUP($BM188,'Fuel economy adjusted factor'!$A$2:$L$52,5,FALSE)*m2k))</f>
        <v>3.5248818943108939</v>
      </c>
      <c r="CK188" s="125">
        <f>CK76/293.07*(1/(VLOOKUP($BM188,'Fuel economy adjusted factor'!$A$2:$L$52,5,FALSE)*m2k))</f>
        <v>3.5248818943108939</v>
      </c>
      <c r="CL188" s="125">
        <f>CL76/293.07*(1/(VLOOKUP($BM188,'Fuel economy adjusted factor'!$A$2:$L$52,5,FALSE)*m2k))</f>
        <v>3.5248818943108939</v>
      </c>
      <c r="CM188" s="125">
        <f>CM76/293.07*(1/(VLOOKUP($BM188,'Fuel economy adjusted factor'!$A$2:$L$52,5,FALSE)*m2k))</f>
        <v>3.5248818943108939</v>
      </c>
      <c r="CN188" s="125">
        <f>CN76/293.07*(1/(VLOOKUP($BM188,'Fuel economy adjusted factor'!$A$2:$L$52,5,FALSE)*m2k))</f>
        <v>3.5248818943108939</v>
      </c>
      <c r="CO188" s="125">
        <f>CO76/293.07*(1/(VLOOKUP($BM188,'Fuel economy adjusted factor'!$A$2:$L$52,5,FALSE)*m2k))</f>
        <v>3.6764657481057648</v>
      </c>
      <c r="CP188" s="98" cm="1">
        <f t="array" ref="CP188">SUMPRODUCT(INDEX(BN188:CO188,,'TCO Inputs'!$AZ$12-2023+_xlfn.SEQUENCE('TCO Inputs'!$AZ$13))*INDEX('VKT US'!C78:AA78,,_xlfn.SEQUENCE('TCO Inputs'!$AZ$13)))*m2k*CONVERT(0.9072,"g","ton")</f>
        <v>11.067458985705164</v>
      </c>
      <c r="CQ188" s="194"/>
      <c r="CR188" s="123" t="s">
        <v>199</v>
      </c>
      <c r="CS188" s="125">
        <f>CS76/293.07*(1/(VLOOKUP($BM188,'Fuel economy adjusted factor'!$A$2:$L$52,5,FALSE)*m2k))/'TCO Inputs'!$AZ$84</f>
        <v>85.076437942371697</v>
      </c>
      <c r="CT188" s="125">
        <f>CT76/293.07*(1/(VLOOKUP($BM188,'Fuel economy adjusted factor'!$A$2:$L$52,5,FALSE)*m2k))</f>
        <v>3.3861157928589711</v>
      </c>
      <c r="CU188" s="125">
        <f>CU76/293.07*(1/(VLOOKUP($BM188,'Fuel economy adjusted factor'!$A$2:$L$52,5,FALSE)*m2k))</f>
        <v>3.3861157928589711</v>
      </c>
      <c r="CV188" s="125">
        <f>CV76/293.07*(1/(VLOOKUP($BM188,'Fuel economy adjusted factor'!$A$2:$L$52,5,FALSE)*m2k))</f>
        <v>3.3861157928589711</v>
      </c>
      <c r="CW188" s="125">
        <f>CW76/293.07*(1/(VLOOKUP($BM188,'Fuel economy adjusted factor'!$A$2:$L$52,5,FALSE)*m2k))</f>
        <v>3.3861157928589711</v>
      </c>
      <c r="CX188" s="125">
        <f>CX76/293.07*(1/(VLOOKUP($BM188,'Fuel economy adjusted factor'!$A$2:$L$52,5,FALSE)*m2k))</f>
        <v>3.3861157928589711</v>
      </c>
      <c r="CY188" s="125">
        <f>CY76/293.07*(1/(VLOOKUP($BM188,'Fuel economy adjusted factor'!$A$2:$L$52,5,FALSE)*m2k))</f>
        <v>3.3861157928589711</v>
      </c>
      <c r="CZ188" s="125">
        <f>CZ76/293.07*(1/(VLOOKUP($BM188,'Fuel economy adjusted factor'!$A$2:$L$52,5,FALSE)*m2k))</f>
        <v>3.3861157928589711</v>
      </c>
      <c r="DA188" s="125">
        <f>DA76/293.07*(1/(VLOOKUP($BM188,'Fuel economy adjusted factor'!$A$2:$L$52,5,FALSE)*m2k))</f>
        <v>3.3861157928589711</v>
      </c>
      <c r="DB188" s="125">
        <f>DB76/293.07*(1/(VLOOKUP($BM188,'Fuel economy adjusted factor'!$A$2:$L$52,5,FALSE)*m2k))</f>
        <v>3.3861157928589711</v>
      </c>
      <c r="DC188" s="125">
        <f>DC76/293.07*(1/(VLOOKUP($BM188,'Fuel economy adjusted factor'!$A$2:$L$52,5,FALSE)*m2k))</f>
        <v>3.3861157928589711</v>
      </c>
      <c r="DD188" s="125">
        <f>DD76/293.07*(1/(VLOOKUP($BM188,'Fuel economy adjusted factor'!$A$2:$L$52,5,FALSE)*m2k))</f>
        <v>3.3861157928589711</v>
      </c>
      <c r="DE188" s="125">
        <f>DE76/293.07*(1/(VLOOKUP($BM188,'Fuel economy adjusted factor'!$A$2:$L$52,5,FALSE)*m2k))</f>
        <v>3.4830848758012785</v>
      </c>
      <c r="DF188" s="125">
        <f>DF76/293.07*(1/(VLOOKUP($BM188,'Fuel economy adjusted factor'!$A$2:$L$52,5,FALSE)*m2k))</f>
        <v>3.4830848758012785</v>
      </c>
      <c r="DG188" s="125">
        <f>DG76/293.07*(1/(VLOOKUP($BM188,'Fuel economy adjusted factor'!$A$2:$L$52,5,FALSE)*m2k))</f>
        <v>3.4830848758012785</v>
      </c>
      <c r="DH188" s="125">
        <f>DH76/293.07*(1/(VLOOKUP($BM188,'Fuel economy adjusted factor'!$A$2:$L$52,5,FALSE)*m2k))</f>
        <v>3.4830848758012785</v>
      </c>
      <c r="DI188" s="125">
        <f>DI76/293.07*(1/(VLOOKUP($BM188,'Fuel economy adjusted factor'!$A$2:$L$52,5,FALSE)*m2k))</f>
        <v>3.4830848758012785</v>
      </c>
      <c r="DJ188" s="125">
        <f>DJ76/293.07*(1/(VLOOKUP($BM188,'Fuel economy adjusted factor'!$A$2:$L$52,5,FALSE)*m2k))</f>
        <v>3.6642052893429451</v>
      </c>
      <c r="DK188" s="125">
        <f>DK76/293.07*(1/(VLOOKUP($BM188,'Fuel economy adjusted factor'!$A$2:$L$52,5,FALSE)*m2k))</f>
        <v>3.6642052893429451</v>
      </c>
      <c r="DL188" s="125">
        <f>DL76/293.07*(1/(VLOOKUP($BM188,'Fuel economy adjusted factor'!$A$2:$L$52,5,FALSE)*m2k))</f>
        <v>3.6642052893429451</v>
      </c>
      <c r="DM188" s="125">
        <f>DM76/293.07*(1/(VLOOKUP($BM188,'Fuel economy adjusted factor'!$A$2:$L$52,5,FALSE)*m2k))</f>
        <v>3.6642052893429451</v>
      </c>
      <c r="DN188" s="125">
        <f>DN76/293.07*(1/(VLOOKUP($BM188,'Fuel economy adjusted factor'!$A$2:$L$52,5,FALSE)*m2k))</f>
        <v>3.6642052893429451</v>
      </c>
      <c r="DO188" s="125">
        <f>DO76/293.07*(1/(VLOOKUP($BM188,'Fuel economy adjusted factor'!$A$2:$L$52,5,FALSE)*m2k))</f>
        <v>3.7840234090705094</v>
      </c>
      <c r="DP188" s="125">
        <f>DP76/293.07*(1/(VLOOKUP($BM188,'Fuel economy adjusted factor'!$A$2:$L$52,5,FALSE)*m2k))</f>
        <v>3.7840234090705094</v>
      </c>
      <c r="DQ188" s="125">
        <f>DQ76/293.07*(1/(VLOOKUP($BM188,'Fuel economy adjusted factor'!$A$2:$L$52,5,FALSE)*m2k))</f>
        <v>3.7840234090705094</v>
      </c>
      <c r="DR188" s="125">
        <f>DR76/293.07*(1/(VLOOKUP($BM188,'Fuel economy adjusted factor'!$A$2:$L$52,5,FALSE)*m2k))</f>
        <v>3.7840234090705094</v>
      </c>
      <c r="DS188" s="125">
        <f>DS76/293.07*(1/(VLOOKUP($BM188,'Fuel economy adjusted factor'!$A$2:$L$52,5,FALSE)*m2k))</f>
        <v>3.7840234090705094</v>
      </c>
      <c r="DT188" s="125">
        <f>DT76/293.07*(1/(VLOOKUP($BM188,'Fuel economy adjusted factor'!$A$2:$L$52,5,FALSE)*m2k))</f>
        <v>3.9361645564455094</v>
      </c>
      <c r="DU188" s="98" cm="1">
        <f t="array" ref="DU188">SUMPRODUCT(INDEX(CS188:DT188,,'TCO Inputs'!$AZ$12-2023+_xlfn.SEQUENCE('TCO Inputs'!$AZ$13))*INDEX('VKT US'!C78:AA78,,_xlfn.SEQUENCE('TCO Inputs'!$AZ$13)))*m2k*CONVERT(0.9072,"g","ton")</f>
        <v>3.2530057049610615</v>
      </c>
      <c r="DW188" s="123" t="s">
        <v>199</v>
      </c>
      <c r="DX188" s="125">
        <f>DX76/293.07*(1/(VLOOKUP($BM188,'Fuel economy adjusted factor'!$A$2:$L$52,5,FALSE)*m2k))/'TCO Inputs'!$AZ$84</f>
        <v>112.40116724943672</v>
      </c>
      <c r="DY188" s="125">
        <f>DY76/293.07*(1/(VLOOKUP($BM188,'Fuel economy adjusted factor'!$A$2:$L$52,5,FALSE)*m2k))/'TCO Inputs'!$AZ$84</f>
        <v>112.40116724943672</v>
      </c>
      <c r="DZ188" s="125">
        <f>DZ76/293.07*(1/(VLOOKUP($BM188,'Fuel economy adjusted factor'!$A$2:$L$52,5,FALSE)*m2k))/'TCO Inputs'!$AZ$84</f>
        <v>98.337328211044436</v>
      </c>
      <c r="EA188" s="125">
        <f>EA76/293.07*(1/(VLOOKUP($BM188,'Fuel economy adjusted factor'!$A$2:$L$52,5,FALSE)*m2k))/'TCO Inputs'!$AZ$84</f>
        <v>98.337328211044436</v>
      </c>
      <c r="EB188" s="125">
        <f>EB76/293.07*(1/(VLOOKUP($BM188,'Fuel economy adjusted factor'!$A$2:$L$52,5,FALSE)*m2k))/'TCO Inputs'!$AZ$84</f>
        <v>98.337328211044436</v>
      </c>
      <c r="EC188" s="125">
        <f>EC76/293.07*(1/(VLOOKUP($BM188,'Fuel economy adjusted factor'!$A$2:$L$52,5,FALSE)*m2k))/'TCO Inputs'!$AZ$84</f>
        <v>98.337328211044436</v>
      </c>
      <c r="ED188" s="125">
        <f>ED76/293.07*(1/(VLOOKUP($BM188,'Fuel economy adjusted factor'!$A$2:$L$52,5,FALSE)*m2k))/'TCO Inputs'!$AZ$84</f>
        <v>98.337328211044436</v>
      </c>
      <c r="EE188" s="125">
        <f>EE76/293.07*(1/(VLOOKUP($BM188,'Fuel economy adjusted factor'!$A$2:$L$52,5,FALSE)*m2k))/'TCO Inputs'!$AZ$84</f>
        <v>61.181708531074484</v>
      </c>
      <c r="EF188" s="125">
        <f>EF76/293.07*(1/(VLOOKUP($BM188,'Fuel economy adjusted factor'!$A$2:$L$52,5,FALSE)*m2k))/'TCO Inputs'!$AZ$84</f>
        <v>61.181708531074484</v>
      </c>
      <c r="EG188" s="125">
        <f>EG76/293.07*(1/(VLOOKUP($BM188,'Fuel economy adjusted factor'!$A$2:$L$52,5,FALSE)*m2k))/'TCO Inputs'!$AZ$84</f>
        <v>61.181708531074484</v>
      </c>
      <c r="EH188" s="125">
        <f>EH76/293.07*(1/(VLOOKUP($BM188,'Fuel economy adjusted factor'!$A$2:$L$52,5,FALSE)*m2k))/'TCO Inputs'!$AZ$84</f>
        <v>61.181708531074484</v>
      </c>
      <c r="EI188" s="125">
        <f>EI76/293.07*(1/(VLOOKUP($BM188,'Fuel economy adjusted factor'!$A$2:$L$52,5,FALSE)*m2k))/'TCO Inputs'!$AZ$84</f>
        <v>61.181708531074484</v>
      </c>
      <c r="EJ188" s="125">
        <f>EJ76/293.07*(1/(VLOOKUP($BM188,'Fuel economy adjusted factor'!$A$2:$L$52,5,FALSE)*m2k))/'TCO Inputs'!$AZ$84</f>
        <v>54.476439673068072</v>
      </c>
      <c r="EK188" s="125">
        <f>EK76/293.07*(1/(VLOOKUP($BM188,'Fuel economy adjusted factor'!$A$2:$L$52,5,FALSE)*m2k))/'TCO Inputs'!$AZ$84</f>
        <v>54.476439673068072</v>
      </c>
      <c r="EL188" s="125">
        <f>EL76/293.07*(1/(VLOOKUP($BM188,'Fuel economy adjusted factor'!$A$2:$L$52,5,FALSE)*m2k))/'TCO Inputs'!$AZ$84</f>
        <v>54.476439673068072</v>
      </c>
      <c r="EM188" s="125">
        <f>EM76/293.07*(1/(VLOOKUP($BM188,'Fuel economy adjusted factor'!$A$2:$L$52,5,FALSE)*m2k))/'TCO Inputs'!$AZ$84</f>
        <v>54.476439673068072</v>
      </c>
      <c r="EN188" s="125">
        <f>EN76/293.07*(1/(VLOOKUP($BM188,'Fuel economy adjusted factor'!$A$2:$L$52,5,FALSE)*m2k))/'TCO Inputs'!$AZ$84</f>
        <v>54.476439673068072</v>
      </c>
      <c r="EO188" s="125">
        <f>EO76/293.07*(1/(VLOOKUP($BM188,'Fuel economy adjusted factor'!$A$2:$L$52,5,FALSE)*m2k))/'TCO Inputs'!$AZ$84</f>
        <v>52.934077012821064</v>
      </c>
      <c r="EP188" s="125">
        <f>EP76/293.07*(1/(VLOOKUP($BM188,'Fuel economy adjusted factor'!$A$2:$L$52,5,FALSE)*m2k))/'TCO Inputs'!$AZ$84</f>
        <v>52.934077012821064</v>
      </c>
      <c r="EQ188" s="125">
        <f>EQ76/293.07*(1/(VLOOKUP($BM188,'Fuel economy adjusted factor'!$A$2:$L$52,5,FALSE)*m2k))/'TCO Inputs'!$AZ$84</f>
        <v>52.934077012821064</v>
      </c>
      <c r="ER188" s="125">
        <f>ER76/293.07*(1/(VLOOKUP($BM188,'Fuel economy adjusted factor'!$A$2:$L$52,5,FALSE)*m2k))/'TCO Inputs'!$AZ$84</f>
        <v>52.934077012821064</v>
      </c>
      <c r="ES188" s="125">
        <f>ES76/293.07*(1/(VLOOKUP($BM188,'Fuel economy adjusted factor'!$A$2:$L$52,5,FALSE)*m2k))/'TCO Inputs'!$AZ$84</f>
        <v>52.934077012821064</v>
      </c>
      <c r="ET188" s="125">
        <f>ET76/293.07*(1/(VLOOKUP($BM188,'Fuel economy adjusted factor'!$A$2:$L$52,5,FALSE)*m2k))/'TCO Inputs'!$AZ$84</f>
        <v>51.060697765171589</v>
      </c>
      <c r="EU188" s="125">
        <f>EU76/293.07*(1/(VLOOKUP($BM188,'Fuel economy adjusted factor'!$A$2:$L$52,5,FALSE)*m2k))/'TCO Inputs'!$AZ$84</f>
        <v>51.060697765171589</v>
      </c>
      <c r="EV188" s="125">
        <f>EV76/293.07*(1/(VLOOKUP($BM188,'Fuel economy adjusted factor'!$A$2:$L$52,5,FALSE)*m2k))/'TCO Inputs'!$AZ$84</f>
        <v>51.060697765171589</v>
      </c>
      <c r="EW188" s="125">
        <f>EW76/293.07*(1/(VLOOKUP($BM188,'Fuel economy adjusted factor'!$A$2:$L$52,5,FALSE)*m2k))/'TCO Inputs'!$AZ$84</f>
        <v>51.060697765171589</v>
      </c>
      <c r="EX188" s="125">
        <f>EX76/293.07*(1/(VLOOKUP($BM188,'Fuel economy adjusted factor'!$A$2:$L$52,5,FALSE)*m2k))/'TCO Inputs'!$AZ$84</f>
        <v>51.060697765171589</v>
      </c>
      <c r="EY188" s="125">
        <f>EY76/293.07*(1/(VLOOKUP($BM188,'Fuel economy adjusted factor'!$A$2:$L$52,5,FALSE)*m2k))/'TCO Inputs'!$AZ$84</f>
        <v>48.075198040421725</v>
      </c>
      <c r="EZ188" s="98" cm="1">
        <f t="array" ref="EZ188">SUMPRODUCT(INDEX(DX188:EY188,,'TCO Inputs'!$AZ$12-2023+_xlfn.SEQUENCE('TCO Inputs'!$AZ$13))*INDEX('VKT US'!C78:AA78,,_xlfn.SEQUENCE('TCO Inputs'!$AZ$13)))*m2k*CONVERT(0.9072,"g","ton")</f>
        <v>25.997646886093086</v>
      </c>
      <c r="FB188" s="123" t="s">
        <v>199</v>
      </c>
      <c r="FC188" s="125">
        <f>FC76/293.07*(1/(VLOOKUP($BM188,'Fuel economy adjusted factor'!$A$2:$L$52,5,FALSE)*m2k))/'TCO Inputs'!$AZ$84</f>
        <v>121.50690171968549</v>
      </c>
      <c r="FD188" s="125">
        <f>FD76/293.07*(1/(VLOOKUP($BM188,'Fuel economy adjusted factor'!$A$2:$L$52,5,FALSE)*m2k))/'TCO Inputs'!$AZ$84</f>
        <v>121.50690171968549</v>
      </c>
      <c r="FE188" s="125">
        <f>FE76/293.07*(1/(VLOOKUP($BM188,'Fuel economy adjusted factor'!$A$2:$L$52,5,FALSE)*m2k))/'TCO Inputs'!$AZ$84</f>
        <v>105.93403982121622</v>
      </c>
      <c r="FF188" s="125">
        <f>FF76/293.07*(1/(VLOOKUP($BM188,'Fuel economy adjusted factor'!$A$2:$L$52,5,FALSE)*m2k))/'TCO Inputs'!$AZ$84</f>
        <v>105.93403982121622</v>
      </c>
      <c r="FG188" s="125">
        <f>FG76/293.07*(1/(VLOOKUP($BM188,'Fuel economy adjusted factor'!$A$2:$L$52,5,FALSE)*m2k))/'TCO Inputs'!$AZ$84</f>
        <v>105.93403982121622</v>
      </c>
      <c r="FH188" s="125">
        <f>FH76/293.07*(1/(VLOOKUP($BM188,'Fuel economy adjusted factor'!$A$2:$L$52,5,FALSE)*m2k))/'TCO Inputs'!$AZ$84</f>
        <v>105.93403982121622</v>
      </c>
      <c r="FI188" s="125">
        <f>FI76/293.07*(1/(VLOOKUP($BM188,'Fuel economy adjusted factor'!$A$2:$L$52,5,FALSE)*m2k))/'TCO Inputs'!$AZ$84</f>
        <v>105.93403982121622</v>
      </c>
      <c r="FJ188" s="125">
        <f>FJ76/293.07*(1/(VLOOKUP($BM188,'Fuel economy adjusted factor'!$A$2:$L$52,5,FALSE)*m2k))/'TCO Inputs'!$AZ$84</f>
        <v>67.004266489340978</v>
      </c>
      <c r="FK188" s="125">
        <f>FK76/293.07*(1/(VLOOKUP($BM188,'Fuel economy adjusted factor'!$A$2:$L$52,5,FALSE)*m2k))/'TCO Inputs'!$AZ$84</f>
        <v>67.004266489340978</v>
      </c>
      <c r="FL188" s="125">
        <f>FL76/293.07*(1/(VLOOKUP($BM188,'Fuel economy adjusted factor'!$A$2:$L$52,5,FALSE)*m2k))/'TCO Inputs'!$AZ$84</f>
        <v>67.004266489340978</v>
      </c>
      <c r="FM188" s="125">
        <f>FM76/293.07*(1/(VLOOKUP($BM188,'Fuel economy adjusted factor'!$A$2:$L$52,5,FALSE)*m2k))/'TCO Inputs'!$AZ$84</f>
        <v>67.004266489340978</v>
      </c>
      <c r="FN188" s="125">
        <f>FN76/293.07*(1/(VLOOKUP($BM188,'Fuel economy adjusted factor'!$A$2:$L$52,5,FALSE)*m2k))/'TCO Inputs'!$AZ$84</f>
        <v>67.004266489340978</v>
      </c>
      <c r="FO188" s="125">
        <f>FO76/293.07*(1/(VLOOKUP($BM188,'Fuel economy adjusted factor'!$A$2:$L$52,5,FALSE)*m2k))/'TCO Inputs'!$AZ$84</f>
        <v>59.346431912190752</v>
      </c>
      <c r="FP188" s="125">
        <f>FP76/293.07*(1/(VLOOKUP($BM188,'Fuel economy adjusted factor'!$A$2:$L$52,5,FALSE)*m2k))/'TCO Inputs'!$AZ$84</f>
        <v>59.346431912190752</v>
      </c>
      <c r="FQ188" s="125">
        <f>FQ76/293.07*(1/(VLOOKUP($BM188,'Fuel economy adjusted factor'!$A$2:$L$52,5,FALSE)*m2k))/'TCO Inputs'!$AZ$84</f>
        <v>59.346431912190752</v>
      </c>
      <c r="FR188" s="125">
        <f>FR76/293.07*(1/(VLOOKUP($BM188,'Fuel economy adjusted factor'!$A$2:$L$52,5,FALSE)*m2k))/'TCO Inputs'!$AZ$84</f>
        <v>59.346431912190752</v>
      </c>
      <c r="FS188" s="125">
        <f>FS76/293.07*(1/(VLOOKUP($BM188,'Fuel economy adjusted factor'!$A$2:$L$52,5,FALSE)*m2k))/'TCO Inputs'!$AZ$84</f>
        <v>59.346431912190752</v>
      </c>
      <c r="FT188" s="125">
        <f>FT76/293.07*(1/(VLOOKUP($BM188,'Fuel economy adjusted factor'!$A$2:$L$52,5,FALSE)*m2k))/'TCO Inputs'!$AZ$84</f>
        <v>57.991407176708691</v>
      </c>
      <c r="FU188" s="125">
        <f>FU76/293.07*(1/(VLOOKUP($BM188,'Fuel economy adjusted factor'!$A$2:$L$52,5,FALSE)*m2k))/'TCO Inputs'!$AZ$84</f>
        <v>57.991407176708691</v>
      </c>
      <c r="FV188" s="125">
        <f>FV76/293.07*(1/(VLOOKUP($BM188,'Fuel economy adjusted factor'!$A$2:$L$52,5,FALSE)*m2k))/'TCO Inputs'!$AZ$84</f>
        <v>57.991407176708691</v>
      </c>
      <c r="FW188" s="125">
        <f>FW76/293.07*(1/(VLOOKUP($BM188,'Fuel economy adjusted factor'!$A$2:$L$52,5,FALSE)*m2k))/'TCO Inputs'!$AZ$84</f>
        <v>57.991407176708691</v>
      </c>
      <c r="FX188" s="125">
        <f>FX76/293.07*(1/(VLOOKUP($BM188,'Fuel economy adjusted factor'!$A$2:$L$52,5,FALSE)*m2k))/'TCO Inputs'!$AZ$84</f>
        <v>57.991407176708691</v>
      </c>
      <c r="FY188" s="125">
        <f>FY76/293.07*(1/(VLOOKUP($BM188,'Fuel economy adjusted factor'!$A$2:$L$52,5,FALSE)*m2k))/'TCO Inputs'!$AZ$84</f>
        <v>56.114852709995411</v>
      </c>
      <c r="FZ188" s="125">
        <f>FZ76/293.07*(1/(VLOOKUP($BM188,'Fuel economy adjusted factor'!$A$2:$L$52,5,FALSE)*m2k))/'TCO Inputs'!$AZ$84</f>
        <v>56.114852709995411</v>
      </c>
      <c r="GA188" s="125">
        <f>GA76/293.07*(1/(VLOOKUP($BM188,'Fuel economy adjusted factor'!$A$2:$L$52,5,FALSE)*m2k))/'TCO Inputs'!$AZ$84</f>
        <v>56.114852709995411</v>
      </c>
      <c r="GB188" s="125">
        <f>GB76/293.07*(1/(VLOOKUP($BM188,'Fuel economy adjusted factor'!$A$2:$L$52,5,FALSE)*m2k))/'TCO Inputs'!$AZ$84</f>
        <v>56.114852709995411</v>
      </c>
      <c r="GC188" s="125">
        <f>GC76/293.07*(1/(VLOOKUP($BM188,'Fuel economy adjusted factor'!$A$2:$L$52,5,FALSE)*m2k))/'TCO Inputs'!$AZ$84</f>
        <v>56.114852709995411</v>
      </c>
      <c r="GD188" s="125">
        <f>GD76/293.07*(1/(VLOOKUP($BM188,'Fuel economy adjusted factor'!$A$2:$L$52,5,FALSE)*m2k))/'TCO Inputs'!$AZ$84</f>
        <v>53.027745975203537</v>
      </c>
      <c r="GE188" s="98" cm="1">
        <f t="array" ref="GE188">SUMPRODUCT(INDEX(FC188:GD188,,'TCO Inputs'!$AZ$12-2023+_xlfn.SEQUENCE('TCO Inputs'!$AZ$13))*INDEX('VKT US'!C78:AA78,,_xlfn.SEQUENCE('TCO Inputs'!$AZ$13)))*m2k*CONVERT(0.9072,"g","ton")</f>
        <v>28.166113551639526</v>
      </c>
      <c r="GH188" s="123" t="s">
        <v>199</v>
      </c>
      <c r="GI188" s="125">
        <f>GI76/293.07*(1/(VLOOKUP($GH188,'Fuel economy adjusted factor'!$A$2:$L$52,5,FALSE)*m2k))/'TCO Inputs'!$AZ$84</f>
        <v>213.90238884332558</v>
      </c>
      <c r="GJ188" s="125">
        <f>GJ76/293.07*(1/(VLOOKUP($GH188,'Fuel economy adjusted factor'!$A$2:$L$52,5,FALSE)*m2k))/'TCO Inputs'!$AZ$84</f>
        <v>213.90238884332558</v>
      </c>
      <c r="GK188" s="125">
        <f>GK76/293.07*(1/(VLOOKUP($GH188,'Fuel economy adjusted factor'!$A$2:$L$52,5,FALSE)*m2k))/'TCO Inputs'!$AZ$84</f>
        <v>213.90238884332558</v>
      </c>
      <c r="GL188" s="125">
        <f>GL76/293.07*(1/(VLOOKUP($GH188,'Fuel economy adjusted factor'!$A$2:$L$52,5,FALSE)*m2k))/'TCO Inputs'!$AZ$84</f>
        <v>213.90238884332558</v>
      </c>
      <c r="GM188" s="125">
        <f>GM76/293.07*(1/(VLOOKUP($GH188,'Fuel economy adjusted factor'!$A$2:$L$52,5,FALSE)*m2k))/'TCO Inputs'!$AZ$84</f>
        <v>213.90238884332558</v>
      </c>
      <c r="GN188" s="125">
        <f>GN76/293.07*(1/(VLOOKUP($GH188,'Fuel economy adjusted factor'!$A$2:$L$52,5,FALSE)*m2k))/'TCO Inputs'!$AZ$84</f>
        <v>213.90238884332558</v>
      </c>
      <c r="GO188" s="125">
        <f>GO76/293.07*(1/(VLOOKUP($GH188,'Fuel economy adjusted factor'!$A$2:$L$52,5,FALSE)*m2k))/'TCO Inputs'!$AZ$84</f>
        <v>213.90238884332558</v>
      </c>
      <c r="GP188" s="125">
        <f>GP76/293.07*(1/(VLOOKUP($GH188,'Fuel economy adjusted factor'!$A$2:$L$52,5,FALSE)*m2k))/'TCO Inputs'!$AZ$84</f>
        <v>213.90238884332558</v>
      </c>
      <c r="GQ188" s="125">
        <f>GQ76/293.07*(1/(VLOOKUP($GH188,'Fuel economy adjusted factor'!$A$2:$L$52,5,FALSE)*m2k))/'TCO Inputs'!$AZ$84</f>
        <v>213.90238884332558</v>
      </c>
      <c r="GR188" s="125">
        <f>GR76/293.07*(1/(VLOOKUP($GH188,'Fuel economy adjusted factor'!$A$2:$L$52,5,FALSE)*m2k))/'TCO Inputs'!$AZ$84</f>
        <v>213.90238884332558</v>
      </c>
      <c r="GS188" s="125">
        <f>GS76/293.07*(1/(VLOOKUP($GH188,'Fuel economy adjusted factor'!$A$2:$L$52,5,FALSE)*m2k))/'TCO Inputs'!$AZ$84</f>
        <v>213.90238884332558</v>
      </c>
      <c r="GT188" s="125">
        <f>GT76/293.07*(1/(VLOOKUP($GH188,'Fuel economy adjusted factor'!$A$2:$L$52,5,FALSE)*m2k))/'TCO Inputs'!$AZ$84</f>
        <v>213.90238884332558</v>
      </c>
      <c r="GU188" s="125">
        <f>GU76/293.07*(1/(VLOOKUP($GH188,'Fuel economy adjusted factor'!$A$2:$L$52,5,FALSE)*m2k))/'TCO Inputs'!$AZ$84</f>
        <v>213.90238884332558</v>
      </c>
      <c r="GV188" s="125">
        <f>GV76/293.07*(1/(VLOOKUP($GH188,'Fuel economy adjusted factor'!$A$2:$L$52,5,FALSE)*m2k))/'TCO Inputs'!$AZ$84</f>
        <v>213.90238884332558</v>
      </c>
      <c r="GW188" s="125">
        <f>GW76/293.07*(1/(VLOOKUP($GH188,'Fuel economy adjusted factor'!$A$2:$L$52,5,FALSE)*m2k))/'TCO Inputs'!$AZ$84</f>
        <v>213.90238884332558</v>
      </c>
      <c r="GX188" s="125">
        <f>GX76/293.07*(1/(VLOOKUP($GH188,'Fuel economy adjusted factor'!$A$2:$L$52,5,FALSE)*m2k))/'TCO Inputs'!$AZ$84</f>
        <v>213.90238884332558</v>
      </c>
      <c r="GY188" s="125">
        <f>GY76/293.07*(1/(VLOOKUP($GH188,'Fuel economy adjusted factor'!$A$2:$L$52,5,FALSE)*m2k))/'TCO Inputs'!$AZ$84</f>
        <v>213.90238884332558</v>
      </c>
      <c r="GZ188" s="125">
        <f>GZ76/293.07*(1/(VLOOKUP($GH188,'Fuel economy adjusted factor'!$A$2:$L$52,5,FALSE)*m2k))/'TCO Inputs'!$AZ$84</f>
        <v>213.90238884332558</v>
      </c>
      <c r="HA188" s="125">
        <f>HA76/293.07*(1/(VLOOKUP($GH188,'Fuel economy adjusted factor'!$A$2:$L$52,5,FALSE)*m2k))/'TCO Inputs'!$AZ$84</f>
        <v>213.90238884332558</v>
      </c>
      <c r="HB188" s="125">
        <f>HB76/293.07*(1/(VLOOKUP($GH188,'Fuel economy adjusted factor'!$A$2:$L$52,5,FALSE)*m2k))/'TCO Inputs'!$AZ$84</f>
        <v>213.90238884332558</v>
      </c>
      <c r="HC188" s="125">
        <f>HC76/293.07*(1/(VLOOKUP($GH188,'Fuel economy adjusted factor'!$A$2:$L$52,5,FALSE)*m2k))/'TCO Inputs'!$AZ$84</f>
        <v>213.90238884332558</v>
      </c>
      <c r="HD188" s="125">
        <f>HD76/293.07*(1/(VLOOKUP($GH188,'Fuel economy adjusted factor'!$A$2:$L$52,5,FALSE)*m2k))/'TCO Inputs'!$AZ$84</f>
        <v>213.90238884332558</v>
      </c>
      <c r="HE188" s="125">
        <f>HE76/293.07*(1/(VLOOKUP($GH188,'Fuel economy adjusted factor'!$A$2:$L$52,5,FALSE)*m2k))/'TCO Inputs'!$AZ$84</f>
        <v>213.90238884332558</v>
      </c>
      <c r="HF188" s="125">
        <f>HF76/293.07*(1/(VLOOKUP($GH188,'Fuel economy adjusted factor'!$A$2:$L$52,5,FALSE)*m2k))/'TCO Inputs'!$AZ$84</f>
        <v>213.90238884332558</v>
      </c>
      <c r="HG188" s="125">
        <f>HG76/293.07*(1/(VLOOKUP($GH188,'Fuel economy adjusted factor'!$A$2:$L$52,5,FALSE)*m2k))/'TCO Inputs'!$AZ$84</f>
        <v>213.90238884332558</v>
      </c>
      <c r="HH188" s="125">
        <f>HH76/293.07*(1/(VLOOKUP($GH188,'Fuel economy adjusted factor'!$A$2:$L$52,5,FALSE)*m2k))/'TCO Inputs'!$AZ$84</f>
        <v>213.90238884332558</v>
      </c>
      <c r="HI188" s="125">
        <f>HI76/293.07*(1/(VLOOKUP($GH188,'Fuel economy adjusted factor'!$A$2:$L$52,5,FALSE)*m2k))/'TCO Inputs'!$AZ$84</f>
        <v>213.90238884332558</v>
      </c>
      <c r="HJ188" s="125">
        <f>HJ76/293.07*(1/(VLOOKUP($GH188,'Fuel economy adjusted factor'!$A$2:$L$52,5,FALSE)*m2k))/'TCO Inputs'!$AZ$84</f>
        <v>213.90238884332558</v>
      </c>
      <c r="HK188" s="98" cm="1">
        <f t="array" ref="HK188">SUMPRODUCT(INDEX(GI188:HJ188,,'TCO Inputs'!$AZ$12-2023+_xlfn.SEQUENCE('TCO Inputs'!$AZ$13))*INDEX('VKT US'!C78:AA78,,_xlfn.SEQUENCE('TCO Inputs'!$AZ$13)))*m2k*CONVERT(0.9072,"g","ton")</f>
        <v>66.838692989986086</v>
      </c>
    </row>
    <row r="189" spans="26:219" x14ac:dyDescent="0.25">
      <c r="Z189" s="123" t="s">
        <v>157</v>
      </c>
      <c r="AA189" s="125">
        <f>AA77/293.07*(1/(VLOOKUP($Z189,'Fuel economy adjusted factor'!$A$2:$L$52,5,FALSE)*m2k))/'TCO Inputs'!$AZ$84</f>
        <v>204.0364321282176</v>
      </c>
      <c r="AB189" s="125">
        <f>AB77/293.07*(1/(VLOOKUP($Z189,'Fuel economy adjusted factor'!$A$2:$L$52,5,FALSE)*m2k))/'TCO Inputs'!$AZ$84</f>
        <v>204.0364321282176</v>
      </c>
      <c r="AC189" s="125">
        <f>AC77/293.07*(1/(VLOOKUP($Z189,'Fuel economy adjusted factor'!$A$2:$L$52,5,FALSE)*m2k))/'TCO Inputs'!$AZ$84</f>
        <v>179.21449705083654</v>
      </c>
      <c r="AD189" s="125">
        <f>AD77/293.07*(1/(VLOOKUP($Z189,'Fuel economy adjusted factor'!$A$2:$L$52,5,FALSE)*m2k))/'TCO Inputs'!$AZ$84</f>
        <v>179.21449705083654</v>
      </c>
      <c r="AE189" s="125">
        <f>AE77/293.07*(1/(VLOOKUP($Z189,'Fuel economy adjusted factor'!$A$2:$L$52,5,FALSE)*m2k))/'TCO Inputs'!$AZ$84</f>
        <v>179.21449705083654</v>
      </c>
      <c r="AF189" s="125">
        <f>AF77/293.07*(1/(VLOOKUP($Z189,'Fuel economy adjusted factor'!$A$2:$L$52,5,FALSE)*m2k))/'TCO Inputs'!$AZ$84</f>
        <v>179.21449705083654</v>
      </c>
      <c r="AG189" s="125">
        <f>AG77/293.07*(1/(VLOOKUP($Z189,'Fuel economy adjusted factor'!$A$2:$L$52,5,FALSE)*m2k))/'TCO Inputs'!$AZ$84</f>
        <v>179.21449705083654</v>
      </c>
      <c r="AH189" s="125">
        <f>AH77/293.07*(1/(VLOOKUP($Z189,'Fuel economy adjusted factor'!$A$2:$L$52,5,FALSE)*m2k))/'TCO Inputs'!$AZ$84</f>
        <v>67.756366680566771</v>
      </c>
      <c r="AI189" s="125">
        <f>AI77/293.07*(1/(VLOOKUP($Z189,'Fuel economy adjusted factor'!$A$2:$L$52,5,FALSE)*m2k))/'TCO Inputs'!$AZ$84</f>
        <v>67.756366680566771</v>
      </c>
      <c r="AJ189" s="125">
        <f>AJ77/293.07*(1/(VLOOKUP($Z189,'Fuel economy adjusted factor'!$A$2:$L$52,5,FALSE)*m2k))/'TCO Inputs'!$AZ$84</f>
        <v>67.756366680566771</v>
      </c>
      <c r="AK189" s="125">
        <f>AK77/293.07*(1/(VLOOKUP($Z189,'Fuel economy adjusted factor'!$A$2:$L$52,5,FALSE)*m2k))/'TCO Inputs'!$AZ$84</f>
        <v>67.756366680566771</v>
      </c>
      <c r="AL189" s="125">
        <f>AL77/293.07*(1/(VLOOKUP($Z189,'Fuel economy adjusted factor'!$A$2:$L$52,5,FALSE)*m2k))/'TCO Inputs'!$AZ$84</f>
        <v>67.756366680566771</v>
      </c>
      <c r="AM189" s="125">
        <f>AM77/293.07*(1/(VLOOKUP($Z189,'Fuel economy adjusted factor'!$A$2:$L$52,5,FALSE)*m2k))/'TCO Inputs'!$AZ$84</f>
        <v>56.949248994842705</v>
      </c>
      <c r="AN189" s="125">
        <f>AN77/293.07*(1/(VLOOKUP($Z189,'Fuel economy adjusted factor'!$A$2:$L$52,5,FALSE)*m2k))/'TCO Inputs'!$AZ$84</f>
        <v>56.949248994842705</v>
      </c>
      <c r="AO189" s="125">
        <f>AO77/293.07*(1/(VLOOKUP($Z189,'Fuel economy adjusted factor'!$A$2:$L$52,5,FALSE)*m2k))/'TCO Inputs'!$AZ$84</f>
        <v>56.949248994842705</v>
      </c>
      <c r="AP189" s="125">
        <f>AP77/293.07*(1/(VLOOKUP($Z189,'Fuel economy adjusted factor'!$A$2:$L$52,5,FALSE)*m2k))/'TCO Inputs'!$AZ$84</f>
        <v>56.949248994842705</v>
      </c>
      <c r="AQ189" s="125">
        <f>AQ77/293.07*(1/(VLOOKUP($Z189,'Fuel economy adjusted factor'!$A$2:$L$52,5,FALSE)*m2k))/'TCO Inputs'!$AZ$84</f>
        <v>56.949248994842705</v>
      </c>
      <c r="AR189" s="125">
        <f>AR77/293.07*(1/(VLOOKUP($Z189,'Fuel economy adjusted factor'!$A$2:$L$52,5,FALSE)*m2k))/'TCO Inputs'!$AZ$84</f>
        <v>56.949248994842705</v>
      </c>
      <c r="AS189" s="125">
        <f>AS77/293.07*(1/(VLOOKUP($Z189,'Fuel economy adjusted factor'!$A$2:$L$52,5,FALSE)*m2k))/'TCO Inputs'!$AZ$84</f>
        <v>56.949248994842705</v>
      </c>
      <c r="AT189" s="125">
        <f>AT77/293.07*(1/(VLOOKUP($Z189,'Fuel economy adjusted factor'!$A$2:$L$52,5,FALSE)*m2k))/'TCO Inputs'!$AZ$84</f>
        <v>56.949248994842705</v>
      </c>
      <c r="AU189" s="125">
        <f>AU77/293.07*(1/(VLOOKUP($Z189,'Fuel economy adjusted factor'!$A$2:$L$52,5,FALSE)*m2k))/'TCO Inputs'!$AZ$84</f>
        <v>56.949248994842705</v>
      </c>
      <c r="AV189" s="125">
        <f>AV77/293.07*(1/(VLOOKUP($Z189,'Fuel economy adjusted factor'!$A$2:$L$52,5,FALSE)*m2k))/'TCO Inputs'!$AZ$84</f>
        <v>56.949248994842705</v>
      </c>
      <c r="AW189" s="125">
        <f>AW77/293.07*(1/(VLOOKUP($Z189,'Fuel economy adjusted factor'!$A$2:$L$52,5,FALSE)*m2k))/'TCO Inputs'!$AZ$84</f>
        <v>57.218129705487087</v>
      </c>
      <c r="AX189" s="125">
        <f>AX77/293.07*(1/(VLOOKUP($Z189,'Fuel economy adjusted factor'!$A$2:$L$52,5,FALSE)*m2k))/'TCO Inputs'!$AZ$84</f>
        <v>57.218129705487087</v>
      </c>
      <c r="AY189" s="125">
        <f>AY77/293.07*(1/(VLOOKUP($Z189,'Fuel economy adjusted factor'!$A$2:$L$52,5,FALSE)*m2k))/'TCO Inputs'!$AZ$84</f>
        <v>57.218129705487087</v>
      </c>
      <c r="AZ189" s="125">
        <f>AZ77/293.07*(1/(VLOOKUP($Z189,'Fuel economy adjusted factor'!$A$2:$L$52,5,FALSE)*m2k))/'TCO Inputs'!$AZ$84</f>
        <v>57.218129705487087</v>
      </c>
      <c r="BA189" s="125">
        <f>BA77/293.07*(1/(VLOOKUP($Z189,'Fuel economy adjusted factor'!$A$2:$L$52,5,FALSE)*m2k))/'TCO Inputs'!$AZ$84</f>
        <v>57.218129705487087</v>
      </c>
      <c r="BB189" s="125">
        <f>BB77/293.07*(1/(VLOOKUP($Z189,'Fuel economy adjusted factor'!$A$2:$L$52,5,FALSE)*m2k))/'TCO Inputs'!$AZ$84</f>
        <v>57.556196096063353</v>
      </c>
      <c r="BC189" s="98" cm="1">
        <f t="array" ref="BC189">SUMPRODUCT(INDEX(AA189:BB189,,'TCO Inputs'!$AZ$12-2023+_xlfn.SEQUENCE('TCO Inputs'!$AZ$13))*INDEX('VKT US'!C79:AA79,,_xlfn.SEQUENCE('TCO Inputs'!$AZ$13)))*m2k*CONVERT(0.9072,"g","ton")</f>
        <v>45.493709687130888</v>
      </c>
      <c r="BM189" s="123" t="s">
        <v>157</v>
      </c>
      <c r="BN189" s="125">
        <f>BN77/293.07*(1/(VLOOKUP($BM189,'Fuel economy adjusted factor'!$A$2:$L$52,5,FALSE)*m2k))</f>
        <v>173.43096730898495</v>
      </c>
      <c r="BO189" s="125">
        <f>BO77/293.07*(1/(VLOOKUP($BM189,'Fuel economy adjusted factor'!$A$2:$L$52,5,FALSE)*m2k))</f>
        <v>173.43096730898495</v>
      </c>
      <c r="BP189" s="125">
        <f>BP77/293.07*(1/(VLOOKUP($BM189,'Fuel economy adjusted factor'!$A$2:$L$52,5,FALSE)*m2k))</f>
        <v>136.71082492531761</v>
      </c>
      <c r="BQ189" s="125">
        <f>BQ77/293.07*(1/(VLOOKUP($BM189,'Fuel economy adjusted factor'!$A$2:$L$52,5,FALSE)*m2k))</f>
        <v>136.71082492531761</v>
      </c>
      <c r="BR189" s="125">
        <f>BR77/293.07*(1/(VLOOKUP($BM189,'Fuel economy adjusted factor'!$A$2:$L$52,5,FALSE)*m2k))</f>
        <v>136.71082492531761</v>
      </c>
      <c r="BS189" s="125">
        <f>BS77/293.07*(1/(VLOOKUP($BM189,'Fuel economy adjusted factor'!$A$2:$L$52,5,FALSE)*m2k))</f>
        <v>136.71082492531761</v>
      </c>
      <c r="BT189" s="125">
        <f>BT77/293.07*(1/(VLOOKUP($BM189,'Fuel economy adjusted factor'!$A$2:$L$52,5,FALSE)*m2k))</f>
        <v>136.71082492531761</v>
      </c>
      <c r="BU189" s="125">
        <f>BU77/293.07*(1/(VLOOKUP($BM189,'Fuel economy adjusted factor'!$A$2:$L$52,5,FALSE)*m2k))</f>
        <v>7.7225370420335473</v>
      </c>
      <c r="BV189" s="125">
        <f>BV77/293.07*(1/(VLOOKUP($BM189,'Fuel economy adjusted factor'!$A$2:$L$52,5,FALSE)*m2k))</f>
        <v>7.7225370420335473</v>
      </c>
      <c r="BW189" s="125">
        <f>BW77/293.07*(1/(VLOOKUP($BM189,'Fuel economy adjusted factor'!$A$2:$L$52,5,FALSE)*m2k))</f>
        <v>7.7225370420335473</v>
      </c>
      <c r="BX189" s="125">
        <f>BX77/293.07*(1/(VLOOKUP($BM189,'Fuel economy adjusted factor'!$A$2:$L$52,5,FALSE)*m2k))</f>
        <v>7.7225370420335473</v>
      </c>
      <c r="BY189" s="125">
        <f>BY77/293.07*(1/(VLOOKUP($BM189,'Fuel economy adjusted factor'!$A$2:$L$52,5,FALSE)*m2k))</f>
        <v>7.7225370420335473</v>
      </c>
      <c r="BZ189" s="125">
        <f>BZ77/293.07*(1/(VLOOKUP($BM189,'Fuel economy adjusted factor'!$A$2:$L$52,5,FALSE)*m2k))</f>
        <v>8.0539993449799496</v>
      </c>
      <c r="CA189" s="125">
        <f>CA77/293.07*(1/(VLOOKUP($BM189,'Fuel economy adjusted factor'!$A$2:$L$52,5,FALSE)*m2k))</f>
        <v>8.0539993449799496</v>
      </c>
      <c r="CB189" s="125">
        <f>CB77/293.07*(1/(VLOOKUP($BM189,'Fuel economy adjusted factor'!$A$2:$L$52,5,FALSE)*m2k))</f>
        <v>8.0539993449799496</v>
      </c>
      <c r="CC189" s="125">
        <f>CC77/293.07*(1/(VLOOKUP($BM189,'Fuel economy adjusted factor'!$A$2:$L$52,5,FALSE)*m2k))</f>
        <v>8.0539993449799496</v>
      </c>
      <c r="CD189" s="125">
        <f>CD77/293.07*(1/(VLOOKUP($BM189,'Fuel economy adjusted factor'!$A$2:$L$52,5,FALSE)*m2k))</f>
        <v>8.0539993449799496</v>
      </c>
      <c r="CE189" s="125">
        <f>CE77/293.07*(1/(VLOOKUP($BM189,'Fuel economy adjusted factor'!$A$2:$L$52,5,FALSE)*m2k))</f>
        <v>8.1662688346876013</v>
      </c>
      <c r="CF189" s="125">
        <f>CF77/293.07*(1/(VLOOKUP($BM189,'Fuel economy adjusted factor'!$A$2:$L$52,5,FALSE)*m2k))</f>
        <v>8.1662688346876013</v>
      </c>
      <c r="CG189" s="125">
        <f>CG77/293.07*(1/(VLOOKUP($BM189,'Fuel economy adjusted factor'!$A$2:$L$52,5,FALSE)*m2k))</f>
        <v>8.1662688346876013</v>
      </c>
      <c r="CH189" s="125">
        <f>CH77/293.07*(1/(VLOOKUP($BM189,'Fuel economy adjusted factor'!$A$2:$L$52,5,FALSE)*m2k))</f>
        <v>8.1662688346876013</v>
      </c>
      <c r="CI189" s="125">
        <f>CI77/293.07*(1/(VLOOKUP($BM189,'Fuel economy adjusted factor'!$A$2:$L$52,5,FALSE)*m2k))</f>
        <v>8.1662688346876013</v>
      </c>
      <c r="CJ189" s="125">
        <f>CJ77/293.07*(1/(VLOOKUP($BM189,'Fuel economy adjusted factor'!$A$2:$L$52,5,FALSE)*m2k))</f>
        <v>8.4536252666774274</v>
      </c>
      <c r="CK189" s="125">
        <f>CK77/293.07*(1/(VLOOKUP($BM189,'Fuel economy adjusted factor'!$A$2:$L$52,5,FALSE)*m2k))</f>
        <v>8.4536252666774274</v>
      </c>
      <c r="CL189" s="125">
        <f>CL77/293.07*(1/(VLOOKUP($BM189,'Fuel economy adjusted factor'!$A$2:$L$52,5,FALSE)*m2k))</f>
        <v>8.4536252666774274</v>
      </c>
      <c r="CM189" s="125">
        <f>CM77/293.07*(1/(VLOOKUP($BM189,'Fuel economy adjusted factor'!$A$2:$L$52,5,FALSE)*m2k))</f>
        <v>8.4536252666774274</v>
      </c>
      <c r="CN189" s="125">
        <f>CN77/293.07*(1/(VLOOKUP($BM189,'Fuel economy adjusted factor'!$A$2:$L$52,5,FALSE)*m2k))</f>
        <v>8.4536252666774274</v>
      </c>
      <c r="CO189" s="125">
        <f>CO77/293.07*(1/(VLOOKUP($BM189,'Fuel economy adjusted factor'!$A$2:$L$52,5,FALSE)*m2k))</f>
        <v>8.8171645666831591</v>
      </c>
      <c r="CP189" s="98" cm="1">
        <f t="array" ref="CP189">SUMPRODUCT(INDEX(BN189:CO189,,'TCO Inputs'!$AZ$12-2023+_xlfn.SEQUENCE('TCO Inputs'!$AZ$13))*INDEX('VKT US'!C79:AA79,,_xlfn.SEQUENCE('TCO Inputs'!$AZ$13)))*m2k*CONVERT(0.9072,"g","ton")</f>
        <v>29.279478005700028</v>
      </c>
      <c r="CQ189" s="194"/>
      <c r="CR189" s="123" t="s">
        <v>157</v>
      </c>
      <c r="CS189" s="125">
        <f>CS77/293.07*(1/(VLOOKUP($BM189,'Fuel economy adjusted factor'!$A$2:$L$52,5,FALSE)*m2k))/'TCO Inputs'!$AZ$84</f>
        <v>204.0364321282176</v>
      </c>
      <c r="CT189" s="125">
        <f>CT77/293.07*(1/(VLOOKUP($BM189,'Fuel economy adjusted factor'!$A$2:$L$52,5,FALSE)*m2k))</f>
        <v>8.1208264221868856</v>
      </c>
      <c r="CU189" s="125">
        <f>CU77/293.07*(1/(VLOOKUP($BM189,'Fuel economy adjusted factor'!$A$2:$L$52,5,FALSE)*m2k))</f>
        <v>8.1208264221868856</v>
      </c>
      <c r="CV189" s="125">
        <f>CV77/293.07*(1/(VLOOKUP($BM189,'Fuel economy adjusted factor'!$A$2:$L$52,5,FALSE)*m2k))</f>
        <v>8.1208264221868856</v>
      </c>
      <c r="CW189" s="125">
        <f>CW77/293.07*(1/(VLOOKUP($BM189,'Fuel economy adjusted factor'!$A$2:$L$52,5,FALSE)*m2k))</f>
        <v>8.1208264221868856</v>
      </c>
      <c r="CX189" s="125">
        <f>CX77/293.07*(1/(VLOOKUP($BM189,'Fuel economy adjusted factor'!$A$2:$L$52,5,FALSE)*m2k))</f>
        <v>8.1208264221868856</v>
      </c>
      <c r="CY189" s="125">
        <f>CY77/293.07*(1/(VLOOKUP($BM189,'Fuel economy adjusted factor'!$A$2:$L$52,5,FALSE)*m2k))</f>
        <v>8.1208264221868856</v>
      </c>
      <c r="CZ189" s="125">
        <f>CZ77/293.07*(1/(VLOOKUP($BM189,'Fuel economy adjusted factor'!$A$2:$L$52,5,FALSE)*m2k))</f>
        <v>8.1208264221868856</v>
      </c>
      <c r="DA189" s="125">
        <f>DA77/293.07*(1/(VLOOKUP($BM189,'Fuel economy adjusted factor'!$A$2:$L$52,5,FALSE)*m2k))</f>
        <v>8.1208264221868856</v>
      </c>
      <c r="DB189" s="125">
        <f>DB77/293.07*(1/(VLOOKUP($BM189,'Fuel economy adjusted factor'!$A$2:$L$52,5,FALSE)*m2k))</f>
        <v>8.1208264221868856</v>
      </c>
      <c r="DC189" s="125">
        <f>DC77/293.07*(1/(VLOOKUP($BM189,'Fuel economy adjusted factor'!$A$2:$L$52,5,FALSE)*m2k))</f>
        <v>8.1208264221868856</v>
      </c>
      <c r="DD189" s="125">
        <f>DD77/293.07*(1/(VLOOKUP($BM189,'Fuel economy adjusted factor'!$A$2:$L$52,5,FALSE)*m2k))</f>
        <v>8.1208264221868856</v>
      </c>
      <c r="DE189" s="125">
        <f>DE77/293.07*(1/(VLOOKUP($BM189,'Fuel economy adjusted factor'!$A$2:$L$52,5,FALSE)*m2k))</f>
        <v>8.3533846508670226</v>
      </c>
      <c r="DF189" s="125">
        <f>DF77/293.07*(1/(VLOOKUP($BM189,'Fuel economy adjusted factor'!$A$2:$L$52,5,FALSE)*m2k))</f>
        <v>8.3533846508670226</v>
      </c>
      <c r="DG189" s="125">
        <f>DG77/293.07*(1/(VLOOKUP($BM189,'Fuel economy adjusted factor'!$A$2:$L$52,5,FALSE)*m2k))</f>
        <v>8.3533846508670226</v>
      </c>
      <c r="DH189" s="125">
        <f>DH77/293.07*(1/(VLOOKUP($BM189,'Fuel economy adjusted factor'!$A$2:$L$52,5,FALSE)*m2k))</f>
        <v>8.3533846508670226</v>
      </c>
      <c r="DI189" s="125">
        <f>DI77/293.07*(1/(VLOOKUP($BM189,'Fuel economy adjusted factor'!$A$2:$L$52,5,FALSE)*m2k))</f>
        <v>8.3533846508670226</v>
      </c>
      <c r="DJ189" s="125">
        <f>DJ77/293.07*(1/(VLOOKUP($BM189,'Fuel economy adjusted factor'!$A$2:$L$52,5,FALSE)*m2k))</f>
        <v>8.7877606527121088</v>
      </c>
      <c r="DK189" s="125">
        <f>DK77/293.07*(1/(VLOOKUP($BM189,'Fuel economy adjusted factor'!$A$2:$L$52,5,FALSE)*m2k))</f>
        <v>8.7877606527121088</v>
      </c>
      <c r="DL189" s="125">
        <f>DL77/293.07*(1/(VLOOKUP($BM189,'Fuel economy adjusted factor'!$A$2:$L$52,5,FALSE)*m2k))</f>
        <v>8.7877606527121088</v>
      </c>
      <c r="DM189" s="125">
        <f>DM77/293.07*(1/(VLOOKUP($BM189,'Fuel economy adjusted factor'!$A$2:$L$52,5,FALSE)*m2k))</f>
        <v>8.7877606527121088</v>
      </c>
      <c r="DN189" s="125">
        <f>DN77/293.07*(1/(VLOOKUP($BM189,'Fuel economy adjusted factor'!$A$2:$L$52,5,FALSE)*m2k))</f>
        <v>8.7877606527121088</v>
      </c>
      <c r="DO189" s="125">
        <f>DO77/293.07*(1/(VLOOKUP($BM189,'Fuel economy adjusted factor'!$A$2:$L$52,5,FALSE)*m2k))</f>
        <v>9.0751170847019349</v>
      </c>
      <c r="DP189" s="125">
        <f>DP77/293.07*(1/(VLOOKUP($BM189,'Fuel economy adjusted factor'!$A$2:$L$52,5,FALSE)*m2k))</f>
        <v>9.0751170847019349</v>
      </c>
      <c r="DQ189" s="125">
        <f>DQ77/293.07*(1/(VLOOKUP($BM189,'Fuel economy adjusted factor'!$A$2:$L$52,5,FALSE)*m2k))</f>
        <v>9.0751170847019349</v>
      </c>
      <c r="DR189" s="125">
        <f>DR77/293.07*(1/(VLOOKUP($BM189,'Fuel economy adjusted factor'!$A$2:$L$52,5,FALSE)*m2k))</f>
        <v>9.0751170847019349</v>
      </c>
      <c r="DS189" s="125">
        <f>DS77/293.07*(1/(VLOOKUP($BM189,'Fuel economy adjusted factor'!$A$2:$L$52,5,FALSE)*m2k))</f>
        <v>9.0751170847019349</v>
      </c>
      <c r="DT189" s="125">
        <f>DT77/293.07*(1/(VLOOKUP($BM189,'Fuel economy adjusted factor'!$A$2:$L$52,5,FALSE)*m2k))</f>
        <v>9.4399929262518079</v>
      </c>
      <c r="DU189" s="98" cm="1">
        <f t="array" ref="DU189">SUMPRODUCT(INDEX(CS189:DT189,,'TCO Inputs'!$AZ$12-2023+_xlfn.SEQUENCE('TCO Inputs'!$AZ$13))*INDEX('VKT US'!C79:AA79,,_xlfn.SEQUENCE('TCO Inputs'!$AZ$13)))*m2k*CONVERT(0.9072,"g","ton")</f>
        <v>8.6059780401124808</v>
      </c>
      <c r="DW189" s="123" t="s">
        <v>157</v>
      </c>
      <c r="DX189" s="125">
        <f>DX77/293.07*(1/(VLOOKUP($BM189,'Fuel economy adjusted factor'!$A$2:$L$52,5,FALSE)*m2k))/'TCO Inputs'!$AZ$84</f>
        <v>269.56856313327199</v>
      </c>
      <c r="DY189" s="125">
        <f>DY77/293.07*(1/(VLOOKUP($BM189,'Fuel economy adjusted factor'!$A$2:$L$52,5,FALSE)*m2k))/'TCO Inputs'!$AZ$84</f>
        <v>269.56856313327199</v>
      </c>
      <c r="DZ189" s="125">
        <f>DZ77/293.07*(1/(VLOOKUP($BM189,'Fuel economy adjusted factor'!$A$2:$L$52,5,FALSE)*m2k))/'TCO Inputs'!$AZ$84</f>
        <v>235.83965288713736</v>
      </c>
      <c r="EA189" s="125">
        <f>EA77/293.07*(1/(VLOOKUP($BM189,'Fuel economy adjusted factor'!$A$2:$L$52,5,FALSE)*m2k))/'TCO Inputs'!$AZ$84</f>
        <v>235.83965288713736</v>
      </c>
      <c r="EB189" s="125">
        <f>EB77/293.07*(1/(VLOOKUP($BM189,'Fuel economy adjusted factor'!$A$2:$L$52,5,FALSE)*m2k))/'TCO Inputs'!$AZ$84</f>
        <v>235.83965288713736</v>
      </c>
      <c r="EC189" s="125">
        <f>EC77/293.07*(1/(VLOOKUP($BM189,'Fuel economy adjusted factor'!$A$2:$L$52,5,FALSE)*m2k))/'TCO Inputs'!$AZ$84</f>
        <v>235.83965288713736</v>
      </c>
      <c r="ED189" s="125">
        <f>ED77/293.07*(1/(VLOOKUP($BM189,'Fuel economy adjusted factor'!$A$2:$L$52,5,FALSE)*m2k))/'TCO Inputs'!$AZ$84</f>
        <v>235.83965288713736</v>
      </c>
      <c r="EE189" s="125">
        <f>EE77/293.07*(1/(VLOOKUP($BM189,'Fuel economy adjusted factor'!$A$2:$L$52,5,FALSE)*m2k))/'TCO Inputs'!$AZ$84</f>
        <v>146.73037355706865</v>
      </c>
      <c r="EF189" s="125">
        <f>EF77/293.07*(1/(VLOOKUP($BM189,'Fuel economy adjusted factor'!$A$2:$L$52,5,FALSE)*m2k))/'TCO Inputs'!$AZ$84</f>
        <v>146.73037355706865</v>
      </c>
      <c r="EG189" s="125">
        <f>EG77/293.07*(1/(VLOOKUP($BM189,'Fuel economy adjusted factor'!$A$2:$L$52,5,FALSE)*m2k))/'TCO Inputs'!$AZ$84</f>
        <v>146.73037355706865</v>
      </c>
      <c r="EH189" s="125">
        <f>EH77/293.07*(1/(VLOOKUP($BM189,'Fuel economy adjusted factor'!$A$2:$L$52,5,FALSE)*m2k))/'TCO Inputs'!$AZ$84</f>
        <v>146.73037355706865</v>
      </c>
      <c r="EI189" s="125">
        <f>EI77/293.07*(1/(VLOOKUP($BM189,'Fuel economy adjusted factor'!$A$2:$L$52,5,FALSE)*m2k))/'TCO Inputs'!$AZ$84</f>
        <v>146.73037355706865</v>
      </c>
      <c r="EJ189" s="125">
        <f>EJ77/293.07*(1/(VLOOKUP($BM189,'Fuel economy adjusted factor'!$A$2:$L$52,5,FALSE)*m2k))/'TCO Inputs'!$AZ$84</f>
        <v>130.64931554221852</v>
      </c>
      <c r="EK189" s="125">
        <f>EK77/293.07*(1/(VLOOKUP($BM189,'Fuel economy adjusted factor'!$A$2:$L$52,5,FALSE)*m2k))/'TCO Inputs'!$AZ$84</f>
        <v>130.64931554221852</v>
      </c>
      <c r="EL189" s="125">
        <f>EL77/293.07*(1/(VLOOKUP($BM189,'Fuel economy adjusted factor'!$A$2:$L$52,5,FALSE)*m2k))/'TCO Inputs'!$AZ$84</f>
        <v>130.64931554221852</v>
      </c>
      <c r="EM189" s="125">
        <f>EM77/293.07*(1/(VLOOKUP($BM189,'Fuel economy adjusted factor'!$A$2:$L$52,5,FALSE)*m2k))/'TCO Inputs'!$AZ$84</f>
        <v>130.64931554221852</v>
      </c>
      <c r="EN189" s="125">
        <f>EN77/293.07*(1/(VLOOKUP($BM189,'Fuel economy adjusted factor'!$A$2:$L$52,5,FALSE)*m2k))/'TCO Inputs'!$AZ$84</f>
        <v>130.64931554221852</v>
      </c>
      <c r="EO189" s="125">
        <f>EO77/293.07*(1/(VLOOKUP($BM189,'Fuel economy adjusted factor'!$A$2:$L$52,5,FALSE)*m2k))/'TCO Inputs'!$AZ$84</f>
        <v>126.95031048446386</v>
      </c>
      <c r="EP189" s="125">
        <f>EP77/293.07*(1/(VLOOKUP($BM189,'Fuel economy adjusted factor'!$A$2:$L$52,5,FALSE)*m2k))/'TCO Inputs'!$AZ$84</f>
        <v>126.95031048446386</v>
      </c>
      <c r="EQ189" s="125">
        <f>EQ77/293.07*(1/(VLOOKUP($BM189,'Fuel economy adjusted factor'!$A$2:$L$52,5,FALSE)*m2k))/'TCO Inputs'!$AZ$84</f>
        <v>126.95031048446386</v>
      </c>
      <c r="ER189" s="125">
        <f>ER77/293.07*(1/(VLOOKUP($BM189,'Fuel economy adjusted factor'!$A$2:$L$52,5,FALSE)*m2k))/'TCO Inputs'!$AZ$84</f>
        <v>126.95031048446386</v>
      </c>
      <c r="ES189" s="125">
        <f>ES77/293.07*(1/(VLOOKUP($BM189,'Fuel economy adjusted factor'!$A$2:$L$52,5,FALSE)*m2k))/'TCO Inputs'!$AZ$84</f>
        <v>126.95031048446386</v>
      </c>
      <c r="ET189" s="125">
        <f>ET77/293.07*(1/(VLOOKUP($BM189,'Fuel economy adjusted factor'!$A$2:$L$52,5,FALSE)*m2k))/'TCO Inputs'!$AZ$84</f>
        <v>122.45743764025332</v>
      </c>
      <c r="EU189" s="125">
        <f>EU77/293.07*(1/(VLOOKUP($BM189,'Fuel economy adjusted factor'!$A$2:$L$52,5,FALSE)*m2k))/'TCO Inputs'!$AZ$84</f>
        <v>122.45743764025332</v>
      </c>
      <c r="EV189" s="125">
        <f>EV77/293.07*(1/(VLOOKUP($BM189,'Fuel economy adjusted factor'!$A$2:$L$52,5,FALSE)*m2k))/'TCO Inputs'!$AZ$84</f>
        <v>122.45743764025332</v>
      </c>
      <c r="EW189" s="125">
        <f>EW77/293.07*(1/(VLOOKUP($BM189,'Fuel economy adjusted factor'!$A$2:$L$52,5,FALSE)*m2k))/'TCO Inputs'!$AZ$84</f>
        <v>122.45743764025332</v>
      </c>
      <c r="EX189" s="125">
        <f>EX77/293.07*(1/(VLOOKUP($BM189,'Fuel economy adjusted factor'!$A$2:$L$52,5,FALSE)*m2k))/'TCO Inputs'!$AZ$84</f>
        <v>122.45743764025332</v>
      </c>
      <c r="EY189" s="125">
        <f>EY77/293.07*(1/(VLOOKUP($BM189,'Fuel economy adjusted factor'!$A$2:$L$52,5,FALSE)*m2k))/'TCO Inputs'!$AZ$84</f>
        <v>115.29739748471273</v>
      </c>
      <c r="EZ189" s="98" cm="1">
        <f t="array" ref="EZ189">SUMPRODUCT(INDEX(DX189:EY189,,'TCO Inputs'!$AZ$12-2023+_xlfn.SEQUENCE('TCO Inputs'!$AZ$13))*INDEX('VKT US'!C79:AA79,,_xlfn.SEQUENCE('TCO Inputs'!$AZ$13)))*m2k*CONVERT(0.9072,"g","ton")</f>
        <v>68.777985189237086</v>
      </c>
      <c r="FB189" s="123" t="s">
        <v>157</v>
      </c>
      <c r="FC189" s="125">
        <f>FC77/293.07*(1/(VLOOKUP($BM189,'Fuel economy adjusted factor'!$A$2:$L$52,5,FALSE)*m2k))/'TCO Inputs'!$AZ$84</f>
        <v>291.40659041968684</v>
      </c>
      <c r="FD189" s="125">
        <f>FD77/293.07*(1/(VLOOKUP($BM189,'Fuel economy adjusted factor'!$A$2:$L$52,5,FALSE)*m2k))/'TCO Inputs'!$AZ$84</f>
        <v>291.40659041968684</v>
      </c>
      <c r="FE189" s="125">
        <f>FE77/293.07*(1/(VLOOKUP($BM189,'Fuel economy adjusted factor'!$A$2:$L$52,5,FALSE)*m2k))/'TCO Inputs'!$AZ$84</f>
        <v>254.05863302234701</v>
      </c>
      <c r="FF189" s="125">
        <f>FF77/293.07*(1/(VLOOKUP($BM189,'Fuel economy adjusted factor'!$A$2:$L$52,5,FALSE)*m2k))/'TCO Inputs'!$AZ$84</f>
        <v>254.05863302234701</v>
      </c>
      <c r="FG189" s="125">
        <f>FG77/293.07*(1/(VLOOKUP($BM189,'Fuel economy adjusted factor'!$A$2:$L$52,5,FALSE)*m2k))/'TCO Inputs'!$AZ$84</f>
        <v>254.05863302234701</v>
      </c>
      <c r="FH189" s="125">
        <f>FH77/293.07*(1/(VLOOKUP($BM189,'Fuel economy adjusted factor'!$A$2:$L$52,5,FALSE)*m2k))/'TCO Inputs'!$AZ$84</f>
        <v>254.05863302234701</v>
      </c>
      <c r="FI189" s="125">
        <f>FI77/293.07*(1/(VLOOKUP($BM189,'Fuel economy adjusted factor'!$A$2:$L$52,5,FALSE)*m2k))/'TCO Inputs'!$AZ$84</f>
        <v>254.05863302234701</v>
      </c>
      <c r="FJ189" s="125">
        <f>FJ77/293.07*(1/(VLOOKUP($BM189,'Fuel economy adjusted factor'!$A$2:$L$52,5,FALSE)*m2k))/'TCO Inputs'!$AZ$84</f>
        <v>160.69445080803652</v>
      </c>
      <c r="FK189" s="125">
        <f>FK77/293.07*(1/(VLOOKUP($BM189,'Fuel economy adjusted factor'!$A$2:$L$52,5,FALSE)*m2k))/'TCO Inputs'!$AZ$84</f>
        <v>160.69445080803652</v>
      </c>
      <c r="FL189" s="125">
        <f>FL77/293.07*(1/(VLOOKUP($BM189,'Fuel economy adjusted factor'!$A$2:$L$52,5,FALSE)*m2k))/'TCO Inputs'!$AZ$84</f>
        <v>160.69445080803652</v>
      </c>
      <c r="FM189" s="125">
        <f>FM77/293.07*(1/(VLOOKUP($BM189,'Fuel economy adjusted factor'!$A$2:$L$52,5,FALSE)*m2k))/'TCO Inputs'!$AZ$84</f>
        <v>160.69445080803652</v>
      </c>
      <c r="FN189" s="125">
        <f>FN77/293.07*(1/(VLOOKUP($BM189,'Fuel economy adjusted factor'!$A$2:$L$52,5,FALSE)*m2k))/'TCO Inputs'!$AZ$84</f>
        <v>160.69445080803652</v>
      </c>
      <c r="FO189" s="125">
        <f>FO77/293.07*(1/(VLOOKUP($BM189,'Fuel economy adjusted factor'!$A$2:$L$52,5,FALSE)*m2k))/'TCO Inputs'!$AZ$84</f>
        <v>142.32888117748612</v>
      </c>
      <c r="FP189" s="125">
        <f>FP77/293.07*(1/(VLOOKUP($BM189,'Fuel economy adjusted factor'!$A$2:$L$52,5,FALSE)*m2k))/'TCO Inputs'!$AZ$84</f>
        <v>142.32888117748612</v>
      </c>
      <c r="FQ189" s="125">
        <f>FQ77/293.07*(1/(VLOOKUP($BM189,'Fuel economy adjusted factor'!$A$2:$L$52,5,FALSE)*m2k))/'TCO Inputs'!$AZ$84</f>
        <v>142.32888117748612</v>
      </c>
      <c r="FR189" s="125">
        <f>FR77/293.07*(1/(VLOOKUP($BM189,'Fuel economy adjusted factor'!$A$2:$L$52,5,FALSE)*m2k))/'TCO Inputs'!$AZ$84</f>
        <v>142.32888117748612</v>
      </c>
      <c r="FS189" s="125">
        <f>FS77/293.07*(1/(VLOOKUP($BM189,'Fuel economy adjusted factor'!$A$2:$L$52,5,FALSE)*m2k))/'TCO Inputs'!$AZ$84</f>
        <v>142.32888117748612</v>
      </c>
      <c r="FT189" s="125">
        <f>FT77/293.07*(1/(VLOOKUP($BM189,'Fuel economy adjusted factor'!$A$2:$L$52,5,FALSE)*m2k))/'TCO Inputs'!$AZ$84</f>
        <v>139.0791634041525</v>
      </c>
      <c r="FU189" s="125">
        <f>FU77/293.07*(1/(VLOOKUP($BM189,'Fuel economy adjusted factor'!$A$2:$L$52,5,FALSE)*m2k))/'TCO Inputs'!$AZ$84</f>
        <v>139.0791634041525</v>
      </c>
      <c r="FV189" s="125">
        <f>FV77/293.07*(1/(VLOOKUP($BM189,'Fuel economy adjusted factor'!$A$2:$L$52,5,FALSE)*m2k))/'TCO Inputs'!$AZ$84</f>
        <v>139.0791634041525</v>
      </c>
      <c r="FW189" s="125">
        <f>FW77/293.07*(1/(VLOOKUP($BM189,'Fuel economy adjusted factor'!$A$2:$L$52,5,FALSE)*m2k))/'TCO Inputs'!$AZ$84</f>
        <v>139.0791634041525</v>
      </c>
      <c r="FX189" s="125">
        <f>FX77/293.07*(1/(VLOOKUP($BM189,'Fuel economy adjusted factor'!$A$2:$L$52,5,FALSE)*m2k))/'TCO Inputs'!$AZ$84</f>
        <v>139.0791634041525</v>
      </c>
      <c r="FY189" s="125">
        <f>FY77/293.07*(1/(VLOOKUP($BM189,'Fuel economy adjusted factor'!$A$2:$L$52,5,FALSE)*m2k))/'TCO Inputs'!$AZ$84</f>
        <v>134.578675521223</v>
      </c>
      <c r="FZ189" s="125">
        <f>FZ77/293.07*(1/(VLOOKUP($BM189,'Fuel economy adjusted factor'!$A$2:$L$52,5,FALSE)*m2k))/'TCO Inputs'!$AZ$84</f>
        <v>134.578675521223</v>
      </c>
      <c r="GA189" s="125">
        <f>GA77/293.07*(1/(VLOOKUP($BM189,'Fuel economy adjusted factor'!$A$2:$L$52,5,FALSE)*m2k))/'TCO Inputs'!$AZ$84</f>
        <v>134.578675521223</v>
      </c>
      <c r="GB189" s="125">
        <f>GB77/293.07*(1/(VLOOKUP($BM189,'Fuel economy adjusted factor'!$A$2:$L$52,5,FALSE)*m2k))/'TCO Inputs'!$AZ$84</f>
        <v>134.578675521223</v>
      </c>
      <c r="GC189" s="125">
        <f>GC77/293.07*(1/(VLOOKUP($BM189,'Fuel economy adjusted factor'!$A$2:$L$52,5,FALSE)*m2k))/'TCO Inputs'!$AZ$84</f>
        <v>134.578675521223</v>
      </c>
      <c r="GD189" s="125">
        <f>GD77/293.07*(1/(VLOOKUP($BM189,'Fuel economy adjusted factor'!$A$2:$L$52,5,FALSE)*m2k))/'TCO Inputs'!$AZ$84</f>
        <v>127.17495412667439</v>
      </c>
      <c r="GE189" s="98" cm="1">
        <f t="array" ref="GE189">SUMPRODUCT(INDEX(FC189:GD189,,'TCO Inputs'!$AZ$12-2023+_xlfn.SEQUENCE('TCO Inputs'!$AZ$13))*INDEX('VKT US'!C79:AA79,,_xlfn.SEQUENCE('TCO Inputs'!$AZ$13)))*m2k*CONVERT(0.9072,"g","ton")</f>
        <v>74.514764708543836</v>
      </c>
      <c r="GH189" s="123" t="s">
        <v>157</v>
      </c>
      <c r="GI189" s="125">
        <f>GI77/293.07*(1/(VLOOKUP($GH189,'Fuel economy adjusted factor'!$A$2:$L$52,5,FALSE)*m2k))/'TCO Inputs'!$AZ$84</f>
        <v>512.99609267677488</v>
      </c>
      <c r="GJ189" s="125">
        <f>GJ77/293.07*(1/(VLOOKUP($GH189,'Fuel economy adjusted factor'!$A$2:$L$52,5,FALSE)*m2k))/'TCO Inputs'!$AZ$84</f>
        <v>512.99609267677488</v>
      </c>
      <c r="GK189" s="125">
        <f>GK77/293.07*(1/(VLOOKUP($GH189,'Fuel economy adjusted factor'!$A$2:$L$52,5,FALSE)*m2k))/'TCO Inputs'!$AZ$84</f>
        <v>512.99609267677488</v>
      </c>
      <c r="GL189" s="125">
        <f>GL77/293.07*(1/(VLOOKUP($GH189,'Fuel economy adjusted factor'!$A$2:$L$52,5,FALSE)*m2k))/'TCO Inputs'!$AZ$84</f>
        <v>512.99609267677488</v>
      </c>
      <c r="GM189" s="125">
        <f>GM77/293.07*(1/(VLOOKUP($GH189,'Fuel economy adjusted factor'!$A$2:$L$52,5,FALSE)*m2k))/'TCO Inputs'!$AZ$84</f>
        <v>512.99609267677488</v>
      </c>
      <c r="GN189" s="125">
        <f>GN77/293.07*(1/(VLOOKUP($GH189,'Fuel economy adjusted factor'!$A$2:$L$52,5,FALSE)*m2k))/'TCO Inputs'!$AZ$84</f>
        <v>512.99609267677488</v>
      </c>
      <c r="GO189" s="125">
        <f>GO77/293.07*(1/(VLOOKUP($GH189,'Fuel economy adjusted factor'!$A$2:$L$52,5,FALSE)*m2k))/'TCO Inputs'!$AZ$84</f>
        <v>512.99609267677488</v>
      </c>
      <c r="GP189" s="125">
        <f>GP77/293.07*(1/(VLOOKUP($GH189,'Fuel economy adjusted factor'!$A$2:$L$52,5,FALSE)*m2k))/'TCO Inputs'!$AZ$84</f>
        <v>512.99609267677488</v>
      </c>
      <c r="GQ189" s="125">
        <f>GQ77/293.07*(1/(VLOOKUP($GH189,'Fuel economy adjusted factor'!$A$2:$L$52,5,FALSE)*m2k))/'TCO Inputs'!$AZ$84</f>
        <v>512.99609267677488</v>
      </c>
      <c r="GR189" s="125">
        <f>GR77/293.07*(1/(VLOOKUP($GH189,'Fuel economy adjusted factor'!$A$2:$L$52,5,FALSE)*m2k))/'TCO Inputs'!$AZ$84</f>
        <v>512.99609267677488</v>
      </c>
      <c r="GS189" s="125">
        <f>GS77/293.07*(1/(VLOOKUP($GH189,'Fuel economy adjusted factor'!$A$2:$L$52,5,FALSE)*m2k))/'TCO Inputs'!$AZ$84</f>
        <v>512.99609267677488</v>
      </c>
      <c r="GT189" s="125">
        <f>GT77/293.07*(1/(VLOOKUP($GH189,'Fuel economy adjusted factor'!$A$2:$L$52,5,FALSE)*m2k))/'TCO Inputs'!$AZ$84</f>
        <v>512.99609267677488</v>
      </c>
      <c r="GU189" s="125">
        <f>GU77/293.07*(1/(VLOOKUP($GH189,'Fuel economy adjusted factor'!$A$2:$L$52,5,FALSE)*m2k))/'TCO Inputs'!$AZ$84</f>
        <v>512.99609267677488</v>
      </c>
      <c r="GV189" s="125">
        <f>GV77/293.07*(1/(VLOOKUP($GH189,'Fuel economy adjusted factor'!$A$2:$L$52,5,FALSE)*m2k))/'TCO Inputs'!$AZ$84</f>
        <v>512.99609267677488</v>
      </c>
      <c r="GW189" s="125">
        <f>GW77/293.07*(1/(VLOOKUP($GH189,'Fuel economy adjusted factor'!$A$2:$L$52,5,FALSE)*m2k))/'TCO Inputs'!$AZ$84</f>
        <v>512.99609267677488</v>
      </c>
      <c r="GX189" s="125">
        <f>GX77/293.07*(1/(VLOOKUP($GH189,'Fuel economy adjusted factor'!$A$2:$L$52,5,FALSE)*m2k))/'TCO Inputs'!$AZ$84</f>
        <v>512.99609267677488</v>
      </c>
      <c r="GY189" s="125">
        <f>GY77/293.07*(1/(VLOOKUP($GH189,'Fuel economy adjusted factor'!$A$2:$L$52,5,FALSE)*m2k))/'TCO Inputs'!$AZ$84</f>
        <v>512.99609267677488</v>
      </c>
      <c r="GZ189" s="125">
        <f>GZ77/293.07*(1/(VLOOKUP($GH189,'Fuel economy adjusted factor'!$A$2:$L$52,5,FALSE)*m2k))/'TCO Inputs'!$AZ$84</f>
        <v>512.99609267677488</v>
      </c>
      <c r="HA189" s="125">
        <f>HA77/293.07*(1/(VLOOKUP($GH189,'Fuel economy adjusted factor'!$A$2:$L$52,5,FALSE)*m2k))/'TCO Inputs'!$AZ$84</f>
        <v>512.99609267677488</v>
      </c>
      <c r="HB189" s="125">
        <f>HB77/293.07*(1/(VLOOKUP($GH189,'Fuel economy adjusted factor'!$A$2:$L$52,5,FALSE)*m2k))/'TCO Inputs'!$AZ$84</f>
        <v>512.99609267677488</v>
      </c>
      <c r="HC189" s="125">
        <f>HC77/293.07*(1/(VLOOKUP($GH189,'Fuel economy adjusted factor'!$A$2:$L$52,5,FALSE)*m2k))/'TCO Inputs'!$AZ$84</f>
        <v>512.99609267677488</v>
      </c>
      <c r="HD189" s="125">
        <f>HD77/293.07*(1/(VLOOKUP($GH189,'Fuel economy adjusted factor'!$A$2:$L$52,5,FALSE)*m2k))/'TCO Inputs'!$AZ$84</f>
        <v>512.99609267677488</v>
      </c>
      <c r="HE189" s="125">
        <f>HE77/293.07*(1/(VLOOKUP($GH189,'Fuel economy adjusted factor'!$A$2:$L$52,5,FALSE)*m2k))/'TCO Inputs'!$AZ$84</f>
        <v>512.99609267677488</v>
      </c>
      <c r="HF189" s="125">
        <f>HF77/293.07*(1/(VLOOKUP($GH189,'Fuel economy adjusted factor'!$A$2:$L$52,5,FALSE)*m2k))/'TCO Inputs'!$AZ$84</f>
        <v>512.99609267677488</v>
      </c>
      <c r="HG189" s="125">
        <f>HG77/293.07*(1/(VLOOKUP($GH189,'Fuel economy adjusted factor'!$A$2:$L$52,5,FALSE)*m2k))/'TCO Inputs'!$AZ$84</f>
        <v>512.99609267677488</v>
      </c>
      <c r="HH189" s="125">
        <f>HH77/293.07*(1/(VLOOKUP($GH189,'Fuel economy adjusted factor'!$A$2:$L$52,5,FALSE)*m2k))/'TCO Inputs'!$AZ$84</f>
        <v>512.99609267677488</v>
      </c>
      <c r="HI189" s="125">
        <f>HI77/293.07*(1/(VLOOKUP($GH189,'Fuel economy adjusted factor'!$A$2:$L$52,5,FALSE)*m2k))/'TCO Inputs'!$AZ$84</f>
        <v>512.99609267677488</v>
      </c>
      <c r="HJ189" s="125">
        <f>HJ77/293.07*(1/(VLOOKUP($GH189,'Fuel economy adjusted factor'!$A$2:$L$52,5,FALSE)*m2k))/'TCO Inputs'!$AZ$84</f>
        <v>512.99609267677488</v>
      </c>
      <c r="HK189" s="98" cm="1">
        <f t="array" ref="HK189">SUMPRODUCT(INDEX(GI189:HJ189,,'TCO Inputs'!$AZ$12-2023+_xlfn.SEQUENCE('TCO Inputs'!$AZ$13))*INDEX('VKT US'!C79:AA79,,_xlfn.SEQUENCE('TCO Inputs'!$AZ$13)))*m2k*CONVERT(0.9072,"g","ton")</f>
        <v>176.82487406167198</v>
      </c>
    </row>
    <row r="190" spans="26:219" x14ac:dyDescent="0.25">
      <c r="Z190" s="123" t="s">
        <v>200</v>
      </c>
      <c r="AA190" s="125">
        <f>AA78/293.07*(1/(VLOOKUP($Z190,'Fuel economy adjusted factor'!$A$2:$L$52,5,FALSE)*m2k))/'TCO Inputs'!$AZ$84</f>
        <v>103.03341751838546</v>
      </c>
      <c r="AB190" s="125">
        <f>AB78/293.07*(1/(VLOOKUP($Z190,'Fuel economy adjusted factor'!$A$2:$L$52,5,FALSE)*m2k))/'TCO Inputs'!$AZ$84</f>
        <v>103.03341751838546</v>
      </c>
      <c r="AC190" s="125">
        <f>AC78/293.07*(1/(VLOOKUP($Z190,'Fuel economy adjusted factor'!$A$2:$L$52,5,FALSE)*m2k))/'TCO Inputs'!$AZ$84</f>
        <v>90.498946229282936</v>
      </c>
      <c r="AD190" s="125">
        <f>AD78/293.07*(1/(VLOOKUP($Z190,'Fuel economy adjusted factor'!$A$2:$L$52,5,FALSE)*m2k))/'TCO Inputs'!$AZ$84</f>
        <v>90.498946229282936</v>
      </c>
      <c r="AE190" s="125">
        <f>AE78/293.07*(1/(VLOOKUP($Z190,'Fuel economy adjusted factor'!$A$2:$L$52,5,FALSE)*m2k))/'TCO Inputs'!$AZ$84</f>
        <v>90.498946229282936</v>
      </c>
      <c r="AF190" s="125">
        <f>AF78/293.07*(1/(VLOOKUP($Z190,'Fuel economy adjusted factor'!$A$2:$L$52,5,FALSE)*m2k))/'TCO Inputs'!$AZ$84</f>
        <v>90.498946229282936</v>
      </c>
      <c r="AG190" s="125">
        <f>AG78/293.07*(1/(VLOOKUP($Z190,'Fuel economy adjusted factor'!$A$2:$L$52,5,FALSE)*m2k))/'TCO Inputs'!$AZ$84</f>
        <v>90.498946229282936</v>
      </c>
      <c r="AH190" s="125">
        <f>AH78/293.07*(1/(VLOOKUP($Z190,'Fuel economy adjusted factor'!$A$2:$L$52,5,FALSE)*m2k))/'TCO Inputs'!$AZ$84</f>
        <v>34.215311181978784</v>
      </c>
      <c r="AI190" s="125">
        <f>AI78/293.07*(1/(VLOOKUP($Z190,'Fuel economy adjusted factor'!$A$2:$L$52,5,FALSE)*m2k))/'TCO Inputs'!$AZ$84</f>
        <v>34.215311181978784</v>
      </c>
      <c r="AJ190" s="125">
        <f>AJ78/293.07*(1/(VLOOKUP($Z190,'Fuel economy adjusted factor'!$A$2:$L$52,5,FALSE)*m2k))/'TCO Inputs'!$AZ$84</f>
        <v>34.215311181978784</v>
      </c>
      <c r="AK190" s="125">
        <f>AK78/293.07*(1/(VLOOKUP($Z190,'Fuel economy adjusted factor'!$A$2:$L$52,5,FALSE)*m2k))/'TCO Inputs'!$AZ$84</f>
        <v>34.215311181978784</v>
      </c>
      <c r="AL190" s="125">
        <f>AL78/293.07*(1/(VLOOKUP($Z190,'Fuel economy adjusted factor'!$A$2:$L$52,5,FALSE)*m2k))/'TCO Inputs'!$AZ$84</f>
        <v>34.215311181978784</v>
      </c>
      <c r="AM190" s="125">
        <f>AM78/293.07*(1/(VLOOKUP($Z190,'Fuel economy adjusted factor'!$A$2:$L$52,5,FALSE)*m2k))/'TCO Inputs'!$AZ$84</f>
        <v>28.757980561808903</v>
      </c>
      <c r="AN190" s="125">
        <f>AN78/293.07*(1/(VLOOKUP($Z190,'Fuel economy adjusted factor'!$A$2:$L$52,5,FALSE)*m2k))/'TCO Inputs'!$AZ$84</f>
        <v>28.757980561808903</v>
      </c>
      <c r="AO190" s="125">
        <f>AO78/293.07*(1/(VLOOKUP($Z190,'Fuel economy adjusted factor'!$A$2:$L$52,5,FALSE)*m2k))/'TCO Inputs'!$AZ$84</f>
        <v>28.757980561808903</v>
      </c>
      <c r="AP190" s="125">
        <f>AP78/293.07*(1/(VLOOKUP($Z190,'Fuel economy adjusted factor'!$A$2:$L$52,5,FALSE)*m2k))/'TCO Inputs'!$AZ$84</f>
        <v>28.757980561808903</v>
      </c>
      <c r="AQ190" s="125">
        <f>AQ78/293.07*(1/(VLOOKUP($Z190,'Fuel economy adjusted factor'!$A$2:$L$52,5,FALSE)*m2k))/'TCO Inputs'!$AZ$84</f>
        <v>28.757980561808903</v>
      </c>
      <c r="AR190" s="125">
        <f>AR78/293.07*(1/(VLOOKUP($Z190,'Fuel economy adjusted factor'!$A$2:$L$52,5,FALSE)*m2k))/'TCO Inputs'!$AZ$84</f>
        <v>28.757980561808903</v>
      </c>
      <c r="AS190" s="125">
        <f>AS78/293.07*(1/(VLOOKUP($Z190,'Fuel economy adjusted factor'!$A$2:$L$52,5,FALSE)*m2k))/'TCO Inputs'!$AZ$84</f>
        <v>28.757980561808903</v>
      </c>
      <c r="AT190" s="125">
        <f>AT78/293.07*(1/(VLOOKUP($Z190,'Fuel economy adjusted factor'!$A$2:$L$52,5,FALSE)*m2k))/'TCO Inputs'!$AZ$84</f>
        <v>28.757980561808903</v>
      </c>
      <c r="AU190" s="125">
        <f>AU78/293.07*(1/(VLOOKUP($Z190,'Fuel economy adjusted factor'!$A$2:$L$52,5,FALSE)*m2k))/'TCO Inputs'!$AZ$84</f>
        <v>28.757980561808903</v>
      </c>
      <c r="AV190" s="125">
        <f>AV78/293.07*(1/(VLOOKUP($Z190,'Fuel economy adjusted factor'!$A$2:$L$52,5,FALSE)*m2k))/'TCO Inputs'!$AZ$84</f>
        <v>28.757980561808903</v>
      </c>
      <c r="AW190" s="125">
        <f>AW78/293.07*(1/(VLOOKUP($Z190,'Fuel economy adjusted factor'!$A$2:$L$52,5,FALSE)*m2k))/'TCO Inputs'!$AZ$84</f>
        <v>28.893758757072842</v>
      </c>
      <c r="AX190" s="125">
        <f>AX78/293.07*(1/(VLOOKUP($Z190,'Fuel economy adjusted factor'!$A$2:$L$52,5,FALSE)*m2k))/'TCO Inputs'!$AZ$84</f>
        <v>28.893758757072842</v>
      </c>
      <c r="AY190" s="125">
        <f>AY78/293.07*(1/(VLOOKUP($Z190,'Fuel economy adjusted factor'!$A$2:$L$52,5,FALSE)*m2k))/'TCO Inputs'!$AZ$84</f>
        <v>28.893758757072842</v>
      </c>
      <c r="AZ190" s="125">
        <f>AZ78/293.07*(1/(VLOOKUP($Z190,'Fuel economy adjusted factor'!$A$2:$L$52,5,FALSE)*m2k))/'TCO Inputs'!$AZ$84</f>
        <v>28.893758757072842</v>
      </c>
      <c r="BA190" s="125">
        <f>BA78/293.07*(1/(VLOOKUP($Z190,'Fuel economy adjusted factor'!$A$2:$L$52,5,FALSE)*m2k))/'TCO Inputs'!$AZ$84</f>
        <v>28.893758757072842</v>
      </c>
      <c r="BB190" s="125">
        <f>BB78/293.07*(1/(VLOOKUP($Z190,'Fuel economy adjusted factor'!$A$2:$L$52,5,FALSE)*m2k))/'TCO Inputs'!$AZ$84</f>
        <v>29.064474031819898</v>
      </c>
      <c r="BC190" s="98" cm="1">
        <f t="array" ref="BC190">SUMPRODUCT(INDEX(AA190:BB190,,'TCO Inputs'!$AZ$12-2023+_xlfn.SEQUENCE('TCO Inputs'!$AZ$13))*INDEX('VKT US'!C80:AA80,,_xlfn.SEQUENCE('TCO Inputs'!$AZ$13)))*m2k*CONVERT(0.9072,"g","ton")</f>
        <v>21.065471041787355</v>
      </c>
      <c r="BM190" s="123" t="s">
        <v>200</v>
      </c>
      <c r="BN190" s="125">
        <f>BN78/293.07*(1/(VLOOKUP($BM190,'Fuel economy adjusted factor'!$A$2:$L$52,5,FALSE)*m2k))</f>
        <v>87.578404890627638</v>
      </c>
      <c r="BO190" s="125">
        <f>BO78/293.07*(1/(VLOOKUP($BM190,'Fuel economy adjusted factor'!$A$2:$L$52,5,FALSE)*m2k))</f>
        <v>87.578404890627638</v>
      </c>
      <c r="BP190" s="125">
        <f>BP78/293.07*(1/(VLOOKUP($BM190,'Fuel economy adjusted factor'!$A$2:$L$52,5,FALSE)*m2k))</f>
        <v>69.035629357415786</v>
      </c>
      <c r="BQ190" s="125">
        <f>BQ78/293.07*(1/(VLOOKUP($BM190,'Fuel economy adjusted factor'!$A$2:$L$52,5,FALSE)*m2k))</f>
        <v>69.035629357415786</v>
      </c>
      <c r="BR190" s="125">
        <f>BR78/293.07*(1/(VLOOKUP($BM190,'Fuel economy adjusted factor'!$A$2:$L$52,5,FALSE)*m2k))</f>
        <v>69.035629357415786</v>
      </c>
      <c r="BS190" s="125">
        <f>BS78/293.07*(1/(VLOOKUP($BM190,'Fuel economy adjusted factor'!$A$2:$L$52,5,FALSE)*m2k))</f>
        <v>69.035629357415786</v>
      </c>
      <c r="BT190" s="125">
        <f>BT78/293.07*(1/(VLOOKUP($BM190,'Fuel economy adjusted factor'!$A$2:$L$52,5,FALSE)*m2k))</f>
        <v>69.035629357415786</v>
      </c>
      <c r="BU190" s="125">
        <f>BU78/293.07*(1/(VLOOKUP($BM190,'Fuel economy adjusted factor'!$A$2:$L$52,5,FALSE)*m2k))</f>
        <v>3.8996926923963793</v>
      </c>
      <c r="BV190" s="125">
        <f>BV78/293.07*(1/(VLOOKUP($BM190,'Fuel economy adjusted factor'!$A$2:$L$52,5,FALSE)*m2k))</f>
        <v>3.8996926923963793</v>
      </c>
      <c r="BW190" s="125">
        <f>BW78/293.07*(1/(VLOOKUP($BM190,'Fuel economy adjusted factor'!$A$2:$L$52,5,FALSE)*m2k))</f>
        <v>3.8996926923963793</v>
      </c>
      <c r="BX190" s="125">
        <f>BX78/293.07*(1/(VLOOKUP($BM190,'Fuel economy adjusted factor'!$A$2:$L$52,5,FALSE)*m2k))</f>
        <v>3.8996926923963793</v>
      </c>
      <c r="BY190" s="125">
        <f>BY78/293.07*(1/(VLOOKUP($BM190,'Fuel economy adjusted factor'!$A$2:$L$52,5,FALSE)*m2k))</f>
        <v>3.8996926923963793</v>
      </c>
      <c r="BZ190" s="125">
        <f>BZ78/293.07*(1/(VLOOKUP($BM190,'Fuel economy adjusted factor'!$A$2:$L$52,5,FALSE)*m2k))</f>
        <v>4.0670730641018658</v>
      </c>
      <c r="CA190" s="125">
        <f>CA78/293.07*(1/(VLOOKUP($BM190,'Fuel economy adjusted factor'!$A$2:$L$52,5,FALSE)*m2k))</f>
        <v>4.0670730641018658</v>
      </c>
      <c r="CB190" s="125">
        <f>CB78/293.07*(1/(VLOOKUP($BM190,'Fuel economy adjusted factor'!$A$2:$L$52,5,FALSE)*m2k))</f>
        <v>4.0670730641018658</v>
      </c>
      <c r="CC190" s="125">
        <f>CC78/293.07*(1/(VLOOKUP($BM190,'Fuel economy adjusted factor'!$A$2:$L$52,5,FALSE)*m2k))</f>
        <v>4.0670730641018658</v>
      </c>
      <c r="CD190" s="125">
        <f>CD78/293.07*(1/(VLOOKUP($BM190,'Fuel economy adjusted factor'!$A$2:$L$52,5,FALSE)*m2k))</f>
        <v>4.0670730641018658</v>
      </c>
      <c r="CE190" s="125">
        <f>CE78/293.07*(1/(VLOOKUP($BM190,'Fuel economy adjusted factor'!$A$2:$L$52,5,FALSE)*m2k))</f>
        <v>4.1237664158085625</v>
      </c>
      <c r="CF190" s="125">
        <f>CF78/293.07*(1/(VLOOKUP($BM190,'Fuel economy adjusted factor'!$A$2:$L$52,5,FALSE)*m2k))</f>
        <v>4.1237664158085625</v>
      </c>
      <c r="CG190" s="125">
        <f>CG78/293.07*(1/(VLOOKUP($BM190,'Fuel economy adjusted factor'!$A$2:$L$52,5,FALSE)*m2k))</f>
        <v>4.1237664158085625</v>
      </c>
      <c r="CH190" s="125">
        <f>CH78/293.07*(1/(VLOOKUP($BM190,'Fuel economy adjusted factor'!$A$2:$L$52,5,FALSE)*m2k))</f>
        <v>4.1237664158085625</v>
      </c>
      <c r="CI190" s="125">
        <f>CI78/293.07*(1/(VLOOKUP($BM190,'Fuel economy adjusted factor'!$A$2:$L$52,5,FALSE)*m2k))</f>
        <v>4.1237664158085625</v>
      </c>
      <c r="CJ190" s="125">
        <f>CJ78/293.07*(1/(VLOOKUP($BM190,'Fuel economy adjusted factor'!$A$2:$L$52,5,FALSE)*m2k))</f>
        <v>4.2688743993435621</v>
      </c>
      <c r="CK190" s="125">
        <f>CK78/293.07*(1/(VLOOKUP($BM190,'Fuel economy adjusted factor'!$A$2:$L$52,5,FALSE)*m2k))</f>
        <v>4.2688743993435621</v>
      </c>
      <c r="CL190" s="125">
        <f>CL78/293.07*(1/(VLOOKUP($BM190,'Fuel economy adjusted factor'!$A$2:$L$52,5,FALSE)*m2k))</f>
        <v>4.2688743993435621</v>
      </c>
      <c r="CM190" s="125">
        <f>CM78/293.07*(1/(VLOOKUP($BM190,'Fuel economy adjusted factor'!$A$2:$L$52,5,FALSE)*m2k))</f>
        <v>4.2688743993435621</v>
      </c>
      <c r="CN190" s="125">
        <f>CN78/293.07*(1/(VLOOKUP($BM190,'Fuel economy adjusted factor'!$A$2:$L$52,5,FALSE)*m2k))</f>
        <v>4.2688743993435621</v>
      </c>
      <c r="CO190" s="125">
        <f>CO78/293.07*(1/(VLOOKUP($BM190,'Fuel economy adjusted factor'!$A$2:$L$52,5,FALSE)*m2k))</f>
        <v>4.4524528715366749</v>
      </c>
      <c r="CP190" s="98" cm="1">
        <f t="array" ref="CP190">SUMPRODUCT(INDEX(BN190:CO190,,'TCO Inputs'!$AZ$12-2023+_xlfn.SEQUENCE('TCO Inputs'!$AZ$13))*INDEX('VKT US'!C80:AA80,,_xlfn.SEQUENCE('TCO Inputs'!$AZ$13)))*m2k*CONVERT(0.9072,"g","ton")</f>
        <v>13.557610498011297</v>
      </c>
      <c r="CQ190" s="194"/>
      <c r="CR190" s="123" t="s">
        <v>200</v>
      </c>
      <c r="CS190" s="125">
        <f>CS78/293.07*(1/(VLOOKUP($BM190,'Fuel economy adjusted factor'!$A$2:$L$52,5,FALSE)*m2k))/'TCO Inputs'!$AZ$84</f>
        <v>103.03341751838546</v>
      </c>
      <c r="CT190" s="125">
        <f>CT78/293.07*(1/(VLOOKUP($BM190,'Fuel economy adjusted factor'!$A$2:$L$52,5,FALSE)*m2k))</f>
        <v>4.1008191067844235</v>
      </c>
      <c r="CU190" s="125">
        <f>CU78/293.07*(1/(VLOOKUP($BM190,'Fuel economy adjusted factor'!$A$2:$L$52,5,FALSE)*m2k))</f>
        <v>4.1008191067844235</v>
      </c>
      <c r="CV190" s="125">
        <f>CV78/293.07*(1/(VLOOKUP($BM190,'Fuel economy adjusted factor'!$A$2:$L$52,5,FALSE)*m2k))</f>
        <v>4.1008191067844235</v>
      </c>
      <c r="CW190" s="125">
        <f>CW78/293.07*(1/(VLOOKUP($BM190,'Fuel economy adjusted factor'!$A$2:$L$52,5,FALSE)*m2k))</f>
        <v>4.1008191067844235</v>
      </c>
      <c r="CX190" s="125">
        <f>CX78/293.07*(1/(VLOOKUP($BM190,'Fuel economy adjusted factor'!$A$2:$L$52,5,FALSE)*m2k))</f>
        <v>4.1008191067844235</v>
      </c>
      <c r="CY190" s="125">
        <f>CY78/293.07*(1/(VLOOKUP($BM190,'Fuel economy adjusted factor'!$A$2:$L$52,5,FALSE)*m2k))</f>
        <v>4.1008191067844235</v>
      </c>
      <c r="CZ190" s="125">
        <f>CZ78/293.07*(1/(VLOOKUP($BM190,'Fuel economy adjusted factor'!$A$2:$L$52,5,FALSE)*m2k))</f>
        <v>4.1008191067844235</v>
      </c>
      <c r="DA190" s="125">
        <f>DA78/293.07*(1/(VLOOKUP($BM190,'Fuel economy adjusted factor'!$A$2:$L$52,5,FALSE)*m2k))</f>
        <v>4.1008191067844235</v>
      </c>
      <c r="DB190" s="125">
        <f>DB78/293.07*(1/(VLOOKUP($BM190,'Fuel economy adjusted factor'!$A$2:$L$52,5,FALSE)*m2k))</f>
        <v>4.1008191067844235</v>
      </c>
      <c r="DC190" s="125">
        <f>DC78/293.07*(1/(VLOOKUP($BM190,'Fuel economy adjusted factor'!$A$2:$L$52,5,FALSE)*m2k))</f>
        <v>4.1008191067844235</v>
      </c>
      <c r="DD190" s="125">
        <f>DD78/293.07*(1/(VLOOKUP($BM190,'Fuel economy adjusted factor'!$A$2:$L$52,5,FALSE)*m2k))</f>
        <v>4.1008191067844235</v>
      </c>
      <c r="DE190" s="125">
        <f>DE78/293.07*(1/(VLOOKUP($BM190,'Fuel economy adjusted factor'!$A$2:$L$52,5,FALSE)*m2k))</f>
        <v>4.218255335319725</v>
      </c>
      <c r="DF190" s="125">
        <f>DF78/293.07*(1/(VLOOKUP($BM190,'Fuel economy adjusted factor'!$A$2:$L$52,5,FALSE)*m2k))</f>
        <v>4.218255335319725</v>
      </c>
      <c r="DG190" s="125">
        <f>DG78/293.07*(1/(VLOOKUP($BM190,'Fuel economy adjusted factor'!$A$2:$L$52,5,FALSE)*m2k))</f>
        <v>4.218255335319725</v>
      </c>
      <c r="DH190" s="125">
        <f>DH78/293.07*(1/(VLOOKUP($BM190,'Fuel economy adjusted factor'!$A$2:$L$52,5,FALSE)*m2k))</f>
        <v>4.218255335319725</v>
      </c>
      <c r="DI190" s="125">
        <f>DI78/293.07*(1/(VLOOKUP($BM190,'Fuel economy adjusted factor'!$A$2:$L$52,5,FALSE)*m2k))</f>
        <v>4.218255335319725</v>
      </c>
      <c r="DJ190" s="125">
        <f>DJ78/293.07*(1/(VLOOKUP($BM190,'Fuel economy adjusted factor'!$A$2:$L$52,5,FALSE)*m2k))</f>
        <v>4.4376046127563509</v>
      </c>
      <c r="DK190" s="125">
        <f>DK78/293.07*(1/(VLOOKUP($BM190,'Fuel economy adjusted factor'!$A$2:$L$52,5,FALSE)*m2k))</f>
        <v>4.4376046127563509</v>
      </c>
      <c r="DL190" s="125">
        <f>DL78/293.07*(1/(VLOOKUP($BM190,'Fuel economy adjusted factor'!$A$2:$L$52,5,FALSE)*m2k))</f>
        <v>4.4376046127563509</v>
      </c>
      <c r="DM190" s="125">
        <f>DM78/293.07*(1/(VLOOKUP($BM190,'Fuel economy adjusted factor'!$A$2:$L$52,5,FALSE)*m2k))</f>
        <v>4.4376046127563509</v>
      </c>
      <c r="DN190" s="125">
        <f>DN78/293.07*(1/(VLOOKUP($BM190,'Fuel economy adjusted factor'!$A$2:$L$52,5,FALSE)*m2k))</f>
        <v>4.4376046127563509</v>
      </c>
      <c r="DO190" s="125">
        <f>DO78/293.07*(1/(VLOOKUP($BM190,'Fuel economy adjusted factor'!$A$2:$L$52,5,FALSE)*m2k))</f>
        <v>4.5827125962913495</v>
      </c>
      <c r="DP190" s="125">
        <f>DP78/293.07*(1/(VLOOKUP($BM190,'Fuel economy adjusted factor'!$A$2:$L$52,5,FALSE)*m2k))</f>
        <v>4.5827125962913495</v>
      </c>
      <c r="DQ190" s="125">
        <f>DQ78/293.07*(1/(VLOOKUP($BM190,'Fuel economy adjusted factor'!$A$2:$L$52,5,FALSE)*m2k))</f>
        <v>4.5827125962913495</v>
      </c>
      <c r="DR190" s="125">
        <f>DR78/293.07*(1/(VLOOKUP($BM190,'Fuel economy adjusted factor'!$A$2:$L$52,5,FALSE)*m2k))</f>
        <v>4.5827125962913495</v>
      </c>
      <c r="DS190" s="125">
        <f>DS78/293.07*(1/(VLOOKUP($BM190,'Fuel economy adjusted factor'!$A$2:$L$52,5,FALSE)*m2k))</f>
        <v>4.5827125962913495</v>
      </c>
      <c r="DT190" s="125">
        <f>DT78/293.07*(1/(VLOOKUP($BM190,'Fuel economy adjusted factor'!$A$2:$L$52,5,FALSE)*m2k))</f>
        <v>4.7669659893381144</v>
      </c>
      <c r="DU190" s="98" cm="1">
        <f t="array" ref="DU190">SUMPRODUCT(INDEX(CS190:DT190,,'TCO Inputs'!$AZ$12-2023+_xlfn.SEQUENCE('TCO Inputs'!$AZ$13))*INDEX('VKT US'!C80:AA80,,_xlfn.SEQUENCE('TCO Inputs'!$AZ$13)))*m2k*CONVERT(0.9072,"g","ton")</f>
        <v>3.9849241232910431</v>
      </c>
      <c r="DW190" s="123" t="s">
        <v>200</v>
      </c>
      <c r="DX190" s="125">
        <f>DX78/293.07*(1/(VLOOKUP($BM190,'Fuel economy adjusted factor'!$A$2:$L$52,5,FALSE)*m2k))/'TCO Inputs'!$AZ$84</f>
        <v>136.12554397975347</v>
      </c>
      <c r="DY190" s="125">
        <f>DY78/293.07*(1/(VLOOKUP($BM190,'Fuel economy adjusted factor'!$A$2:$L$52,5,FALSE)*m2k))/'TCO Inputs'!$AZ$84</f>
        <v>136.12554397975347</v>
      </c>
      <c r="DZ190" s="125">
        <f>DZ78/293.07*(1/(VLOOKUP($BM190,'Fuel economy adjusted factor'!$A$2:$L$52,5,FALSE)*m2k))/'TCO Inputs'!$AZ$84</f>
        <v>119.09326765742344</v>
      </c>
      <c r="EA190" s="125">
        <f>EA78/293.07*(1/(VLOOKUP($BM190,'Fuel economy adjusted factor'!$A$2:$L$52,5,FALSE)*m2k))/'TCO Inputs'!$AZ$84</f>
        <v>119.09326765742344</v>
      </c>
      <c r="EB190" s="125">
        <f>EB78/293.07*(1/(VLOOKUP($BM190,'Fuel economy adjusted factor'!$A$2:$L$52,5,FALSE)*m2k))/'TCO Inputs'!$AZ$84</f>
        <v>119.09326765742344</v>
      </c>
      <c r="EC190" s="125">
        <f>EC78/293.07*(1/(VLOOKUP($BM190,'Fuel economy adjusted factor'!$A$2:$L$52,5,FALSE)*m2k))/'TCO Inputs'!$AZ$84</f>
        <v>119.09326765742344</v>
      </c>
      <c r="ED190" s="125">
        <f>ED78/293.07*(1/(VLOOKUP($BM190,'Fuel economy adjusted factor'!$A$2:$L$52,5,FALSE)*m2k))/'TCO Inputs'!$AZ$84</f>
        <v>119.09326765742344</v>
      </c>
      <c r="EE190" s="125">
        <f>EE78/293.07*(1/(VLOOKUP($BM190,'Fuel economy adjusted factor'!$A$2:$L$52,5,FALSE)*m2k))/'TCO Inputs'!$AZ$84</f>
        <v>74.095256830573305</v>
      </c>
      <c r="EF190" s="125">
        <f>EF78/293.07*(1/(VLOOKUP($BM190,'Fuel economy adjusted factor'!$A$2:$L$52,5,FALSE)*m2k))/'TCO Inputs'!$AZ$84</f>
        <v>74.095256830573305</v>
      </c>
      <c r="EG190" s="125">
        <f>EG78/293.07*(1/(VLOOKUP($BM190,'Fuel economy adjusted factor'!$A$2:$L$52,5,FALSE)*m2k))/'TCO Inputs'!$AZ$84</f>
        <v>74.095256830573305</v>
      </c>
      <c r="EH190" s="125">
        <f>EH78/293.07*(1/(VLOOKUP($BM190,'Fuel economy adjusted factor'!$A$2:$L$52,5,FALSE)*m2k))/'TCO Inputs'!$AZ$84</f>
        <v>74.095256830573305</v>
      </c>
      <c r="EI190" s="125">
        <f>EI78/293.07*(1/(VLOOKUP($BM190,'Fuel economy adjusted factor'!$A$2:$L$52,5,FALSE)*m2k))/'TCO Inputs'!$AZ$84</f>
        <v>74.095256830573305</v>
      </c>
      <c r="EJ190" s="125">
        <f>EJ78/293.07*(1/(VLOOKUP($BM190,'Fuel economy adjusted factor'!$A$2:$L$52,5,FALSE)*m2k))/'TCO Inputs'!$AZ$84</f>
        <v>65.974715085654751</v>
      </c>
      <c r="EK190" s="125">
        <f>EK78/293.07*(1/(VLOOKUP($BM190,'Fuel economy adjusted factor'!$A$2:$L$52,5,FALSE)*m2k))/'TCO Inputs'!$AZ$84</f>
        <v>65.974715085654751</v>
      </c>
      <c r="EL190" s="125">
        <f>EL78/293.07*(1/(VLOOKUP($BM190,'Fuel economy adjusted factor'!$A$2:$L$52,5,FALSE)*m2k))/'TCO Inputs'!$AZ$84</f>
        <v>65.974715085654751</v>
      </c>
      <c r="EM190" s="125">
        <f>EM78/293.07*(1/(VLOOKUP($BM190,'Fuel economy adjusted factor'!$A$2:$L$52,5,FALSE)*m2k))/'TCO Inputs'!$AZ$84</f>
        <v>65.974715085654751</v>
      </c>
      <c r="EN190" s="125">
        <f>EN78/293.07*(1/(VLOOKUP($BM190,'Fuel economy adjusted factor'!$A$2:$L$52,5,FALSE)*m2k))/'TCO Inputs'!$AZ$84</f>
        <v>65.974715085654751</v>
      </c>
      <c r="EO190" s="125">
        <f>EO78/293.07*(1/(VLOOKUP($BM190,'Fuel economy adjusted factor'!$A$2:$L$52,5,FALSE)*m2k))/'TCO Inputs'!$AZ$84</f>
        <v>64.106807827411984</v>
      </c>
      <c r="EP190" s="125">
        <f>EP78/293.07*(1/(VLOOKUP($BM190,'Fuel economy adjusted factor'!$A$2:$L$52,5,FALSE)*m2k))/'TCO Inputs'!$AZ$84</f>
        <v>64.106807827411984</v>
      </c>
      <c r="EQ190" s="125">
        <f>EQ78/293.07*(1/(VLOOKUP($BM190,'Fuel economy adjusted factor'!$A$2:$L$52,5,FALSE)*m2k))/'TCO Inputs'!$AZ$84</f>
        <v>64.106807827411984</v>
      </c>
      <c r="ER190" s="125">
        <f>ER78/293.07*(1/(VLOOKUP($BM190,'Fuel economy adjusted factor'!$A$2:$L$52,5,FALSE)*m2k))/'TCO Inputs'!$AZ$84</f>
        <v>64.106807827411984</v>
      </c>
      <c r="ES190" s="125">
        <f>ES78/293.07*(1/(VLOOKUP($BM190,'Fuel economy adjusted factor'!$A$2:$L$52,5,FALSE)*m2k))/'TCO Inputs'!$AZ$84</f>
        <v>64.106807827411984</v>
      </c>
      <c r="ET190" s="125">
        <f>ET78/293.07*(1/(VLOOKUP($BM190,'Fuel economy adjusted factor'!$A$2:$L$52,5,FALSE)*m2k))/'TCO Inputs'!$AZ$84</f>
        <v>61.838016716010557</v>
      </c>
      <c r="EU190" s="125">
        <f>EU78/293.07*(1/(VLOOKUP($BM190,'Fuel economy adjusted factor'!$A$2:$L$52,5,FALSE)*m2k))/'TCO Inputs'!$AZ$84</f>
        <v>61.838016716010557</v>
      </c>
      <c r="EV190" s="125">
        <f>EV78/293.07*(1/(VLOOKUP($BM190,'Fuel economy adjusted factor'!$A$2:$L$52,5,FALSE)*m2k))/'TCO Inputs'!$AZ$84</f>
        <v>61.838016716010557</v>
      </c>
      <c r="EW190" s="125">
        <f>EW78/293.07*(1/(VLOOKUP($BM190,'Fuel economy adjusted factor'!$A$2:$L$52,5,FALSE)*m2k))/'TCO Inputs'!$AZ$84</f>
        <v>61.838016716010557</v>
      </c>
      <c r="EX190" s="125">
        <f>EX78/293.07*(1/(VLOOKUP($BM190,'Fuel economy adjusted factor'!$A$2:$L$52,5,FALSE)*m2k))/'TCO Inputs'!$AZ$84</f>
        <v>61.838016716010557</v>
      </c>
      <c r="EY190" s="125">
        <f>EY78/293.07*(1/(VLOOKUP($BM190,'Fuel economy adjusted factor'!$A$2:$L$52,5,FALSE)*m2k))/'TCO Inputs'!$AZ$84</f>
        <v>58.222371220256015</v>
      </c>
      <c r="EZ190" s="98" cm="1">
        <f t="array" ref="EZ190">SUMPRODUCT(INDEX(DX190:EY190,,'TCO Inputs'!$AZ$12-2023+_xlfn.SEQUENCE('TCO Inputs'!$AZ$13))*INDEX('VKT US'!C80:AA80,,_xlfn.SEQUENCE('TCO Inputs'!$AZ$13)))*m2k*CONVERT(0.9072,"g","ton")</f>
        <v>31.847054577002243</v>
      </c>
      <c r="FB190" s="123" t="s">
        <v>200</v>
      </c>
      <c r="FC190" s="125">
        <f>FC78/293.07*(1/(VLOOKUP($BM190,'Fuel economy adjusted factor'!$A$2:$L$52,5,FALSE)*m2k))/'TCO Inputs'!$AZ$84</f>
        <v>147.15321467419656</v>
      </c>
      <c r="FD190" s="125">
        <f>FD78/293.07*(1/(VLOOKUP($BM190,'Fuel economy adjusted factor'!$A$2:$L$52,5,FALSE)*m2k))/'TCO Inputs'!$AZ$84</f>
        <v>147.15321467419656</v>
      </c>
      <c r="FE190" s="125">
        <f>FE78/293.07*(1/(VLOOKUP($BM190,'Fuel economy adjusted factor'!$A$2:$L$52,5,FALSE)*m2k))/'TCO Inputs'!$AZ$84</f>
        <v>128.29340788458936</v>
      </c>
      <c r="FF190" s="125">
        <f>FF78/293.07*(1/(VLOOKUP($BM190,'Fuel economy adjusted factor'!$A$2:$L$52,5,FALSE)*m2k))/'TCO Inputs'!$AZ$84</f>
        <v>128.29340788458936</v>
      </c>
      <c r="FG190" s="125">
        <f>FG78/293.07*(1/(VLOOKUP($BM190,'Fuel economy adjusted factor'!$A$2:$L$52,5,FALSE)*m2k))/'TCO Inputs'!$AZ$84</f>
        <v>128.29340788458936</v>
      </c>
      <c r="FH190" s="125">
        <f>FH78/293.07*(1/(VLOOKUP($BM190,'Fuel economy adjusted factor'!$A$2:$L$52,5,FALSE)*m2k))/'TCO Inputs'!$AZ$84</f>
        <v>128.29340788458936</v>
      </c>
      <c r="FI190" s="125">
        <f>FI78/293.07*(1/(VLOOKUP($BM190,'Fuel economy adjusted factor'!$A$2:$L$52,5,FALSE)*m2k))/'TCO Inputs'!$AZ$84</f>
        <v>128.29340788458936</v>
      </c>
      <c r="FJ190" s="125">
        <f>FJ78/293.07*(1/(VLOOKUP($BM190,'Fuel economy adjusted factor'!$A$2:$L$52,5,FALSE)*m2k))/'TCO Inputs'!$AZ$84</f>
        <v>81.146774967068851</v>
      </c>
      <c r="FK190" s="125">
        <f>FK78/293.07*(1/(VLOOKUP($BM190,'Fuel economy adjusted factor'!$A$2:$L$52,5,FALSE)*m2k))/'TCO Inputs'!$AZ$84</f>
        <v>81.146774967068851</v>
      </c>
      <c r="FL190" s="125">
        <f>FL78/293.07*(1/(VLOOKUP($BM190,'Fuel economy adjusted factor'!$A$2:$L$52,5,FALSE)*m2k))/'TCO Inputs'!$AZ$84</f>
        <v>81.146774967068851</v>
      </c>
      <c r="FM190" s="125">
        <f>FM78/293.07*(1/(VLOOKUP($BM190,'Fuel economy adjusted factor'!$A$2:$L$52,5,FALSE)*m2k))/'TCO Inputs'!$AZ$84</f>
        <v>81.146774967068851</v>
      </c>
      <c r="FN190" s="125">
        <f>FN78/293.07*(1/(VLOOKUP($BM190,'Fuel economy adjusted factor'!$A$2:$L$52,5,FALSE)*m2k))/'TCO Inputs'!$AZ$84</f>
        <v>81.146774967068851</v>
      </c>
      <c r="FO190" s="125">
        <f>FO78/293.07*(1/(VLOOKUP($BM190,'Fuel economy adjusted factor'!$A$2:$L$52,5,FALSE)*m2k))/'TCO Inputs'!$AZ$84</f>
        <v>71.872610623132601</v>
      </c>
      <c r="FP190" s="125">
        <f>FP78/293.07*(1/(VLOOKUP($BM190,'Fuel economy adjusted factor'!$A$2:$L$52,5,FALSE)*m2k))/'TCO Inputs'!$AZ$84</f>
        <v>71.872610623132601</v>
      </c>
      <c r="FQ190" s="125">
        <f>FQ78/293.07*(1/(VLOOKUP($BM190,'Fuel economy adjusted factor'!$A$2:$L$52,5,FALSE)*m2k))/'TCO Inputs'!$AZ$84</f>
        <v>71.872610623132601</v>
      </c>
      <c r="FR190" s="125">
        <f>FR78/293.07*(1/(VLOOKUP($BM190,'Fuel economy adjusted factor'!$A$2:$L$52,5,FALSE)*m2k))/'TCO Inputs'!$AZ$84</f>
        <v>71.872610623132601</v>
      </c>
      <c r="FS190" s="125">
        <f>FS78/293.07*(1/(VLOOKUP($BM190,'Fuel economy adjusted factor'!$A$2:$L$52,5,FALSE)*m2k))/'TCO Inputs'!$AZ$84</f>
        <v>71.872610623132601</v>
      </c>
      <c r="FT190" s="125">
        <f>FT78/293.07*(1/(VLOOKUP($BM190,'Fuel economy adjusted factor'!$A$2:$L$52,5,FALSE)*m2k))/'TCO Inputs'!$AZ$84</f>
        <v>70.231582476029956</v>
      </c>
      <c r="FU190" s="125">
        <f>FU78/293.07*(1/(VLOOKUP($BM190,'Fuel economy adjusted factor'!$A$2:$L$52,5,FALSE)*m2k))/'TCO Inputs'!$AZ$84</f>
        <v>70.231582476029956</v>
      </c>
      <c r="FV190" s="125">
        <f>FV78/293.07*(1/(VLOOKUP($BM190,'Fuel economy adjusted factor'!$A$2:$L$52,5,FALSE)*m2k))/'TCO Inputs'!$AZ$84</f>
        <v>70.231582476029956</v>
      </c>
      <c r="FW190" s="125">
        <f>FW78/293.07*(1/(VLOOKUP($BM190,'Fuel economy adjusted factor'!$A$2:$L$52,5,FALSE)*m2k))/'TCO Inputs'!$AZ$84</f>
        <v>70.231582476029956</v>
      </c>
      <c r="FX190" s="125">
        <f>FX78/293.07*(1/(VLOOKUP($BM190,'Fuel economy adjusted factor'!$A$2:$L$52,5,FALSE)*m2k))/'TCO Inputs'!$AZ$84</f>
        <v>70.231582476029956</v>
      </c>
      <c r="FY190" s="125">
        <f>FY78/293.07*(1/(VLOOKUP($BM190,'Fuel economy adjusted factor'!$A$2:$L$52,5,FALSE)*m2k))/'TCO Inputs'!$AZ$84</f>
        <v>67.958945955965149</v>
      </c>
      <c r="FZ190" s="125">
        <f>FZ78/293.07*(1/(VLOOKUP($BM190,'Fuel economy adjusted factor'!$A$2:$L$52,5,FALSE)*m2k))/'TCO Inputs'!$AZ$84</f>
        <v>67.958945955965149</v>
      </c>
      <c r="GA190" s="125">
        <f>GA78/293.07*(1/(VLOOKUP($BM190,'Fuel economy adjusted factor'!$A$2:$L$52,5,FALSE)*m2k))/'TCO Inputs'!$AZ$84</f>
        <v>67.958945955965149</v>
      </c>
      <c r="GB190" s="125">
        <f>GB78/293.07*(1/(VLOOKUP($BM190,'Fuel economy adjusted factor'!$A$2:$L$52,5,FALSE)*m2k))/'TCO Inputs'!$AZ$84</f>
        <v>67.958945955965149</v>
      </c>
      <c r="GC190" s="125">
        <f>GC78/293.07*(1/(VLOOKUP($BM190,'Fuel economy adjusted factor'!$A$2:$L$52,5,FALSE)*m2k))/'TCO Inputs'!$AZ$84</f>
        <v>67.958945955965149</v>
      </c>
      <c r="GD190" s="125">
        <f>GD78/293.07*(1/(VLOOKUP($BM190,'Fuel economy adjusted factor'!$A$2:$L$52,5,FALSE)*m2k))/'TCO Inputs'!$AZ$84</f>
        <v>64.220247382982052</v>
      </c>
      <c r="GE190" s="98" cm="1">
        <f t="array" ref="GE190">SUMPRODUCT(INDEX(FC190:GD190,,'TCO Inputs'!$AZ$12-2023+_xlfn.SEQUENCE('TCO Inputs'!$AZ$13))*INDEX('VKT US'!C80:AA80,,_xlfn.SEQUENCE('TCO Inputs'!$AZ$13)))*m2k*CONVERT(0.9072,"g","ton")</f>
        <v>34.503420999265252</v>
      </c>
      <c r="GH190" s="123" t="s">
        <v>200</v>
      </c>
      <c r="GI190" s="125">
        <f>GI78/293.07*(1/(VLOOKUP($GH190,'Fuel economy adjusted factor'!$A$2:$L$52,5,FALSE)*m2k))/'TCO Inputs'!$AZ$84</f>
        <v>259.05050412198784</v>
      </c>
      <c r="GJ190" s="125">
        <f>GJ78/293.07*(1/(VLOOKUP($GH190,'Fuel economy adjusted factor'!$A$2:$L$52,5,FALSE)*m2k))/'TCO Inputs'!$AZ$84</f>
        <v>259.05050412198784</v>
      </c>
      <c r="GK190" s="125">
        <f>GK78/293.07*(1/(VLOOKUP($GH190,'Fuel economy adjusted factor'!$A$2:$L$52,5,FALSE)*m2k))/'TCO Inputs'!$AZ$84</f>
        <v>259.05050412198784</v>
      </c>
      <c r="GL190" s="125">
        <f>GL78/293.07*(1/(VLOOKUP($GH190,'Fuel economy adjusted factor'!$A$2:$L$52,5,FALSE)*m2k))/'TCO Inputs'!$AZ$84</f>
        <v>259.05050412198784</v>
      </c>
      <c r="GM190" s="125">
        <f>GM78/293.07*(1/(VLOOKUP($GH190,'Fuel economy adjusted factor'!$A$2:$L$52,5,FALSE)*m2k))/'TCO Inputs'!$AZ$84</f>
        <v>259.05050412198784</v>
      </c>
      <c r="GN190" s="125">
        <f>GN78/293.07*(1/(VLOOKUP($GH190,'Fuel economy adjusted factor'!$A$2:$L$52,5,FALSE)*m2k))/'TCO Inputs'!$AZ$84</f>
        <v>259.05050412198784</v>
      </c>
      <c r="GO190" s="125">
        <f>GO78/293.07*(1/(VLOOKUP($GH190,'Fuel economy adjusted factor'!$A$2:$L$52,5,FALSE)*m2k))/'TCO Inputs'!$AZ$84</f>
        <v>259.05050412198784</v>
      </c>
      <c r="GP190" s="125">
        <f>GP78/293.07*(1/(VLOOKUP($GH190,'Fuel economy adjusted factor'!$A$2:$L$52,5,FALSE)*m2k))/'TCO Inputs'!$AZ$84</f>
        <v>259.05050412198784</v>
      </c>
      <c r="GQ190" s="125">
        <f>GQ78/293.07*(1/(VLOOKUP($GH190,'Fuel economy adjusted factor'!$A$2:$L$52,5,FALSE)*m2k))/'TCO Inputs'!$AZ$84</f>
        <v>259.05050412198784</v>
      </c>
      <c r="GR190" s="125">
        <f>GR78/293.07*(1/(VLOOKUP($GH190,'Fuel economy adjusted factor'!$A$2:$L$52,5,FALSE)*m2k))/'TCO Inputs'!$AZ$84</f>
        <v>259.05050412198784</v>
      </c>
      <c r="GS190" s="125">
        <f>GS78/293.07*(1/(VLOOKUP($GH190,'Fuel economy adjusted factor'!$A$2:$L$52,5,FALSE)*m2k))/'TCO Inputs'!$AZ$84</f>
        <v>259.05050412198784</v>
      </c>
      <c r="GT190" s="125">
        <f>GT78/293.07*(1/(VLOOKUP($GH190,'Fuel economy adjusted factor'!$A$2:$L$52,5,FALSE)*m2k))/'TCO Inputs'!$AZ$84</f>
        <v>259.05050412198784</v>
      </c>
      <c r="GU190" s="125">
        <f>GU78/293.07*(1/(VLOOKUP($GH190,'Fuel economy adjusted factor'!$A$2:$L$52,5,FALSE)*m2k))/'TCO Inputs'!$AZ$84</f>
        <v>259.05050412198784</v>
      </c>
      <c r="GV190" s="125">
        <f>GV78/293.07*(1/(VLOOKUP($GH190,'Fuel economy adjusted factor'!$A$2:$L$52,5,FALSE)*m2k))/'TCO Inputs'!$AZ$84</f>
        <v>259.05050412198784</v>
      </c>
      <c r="GW190" s="125">
        <f>GW78/293.07*(1/(VLOOKUP($GH190,'Fuel economy adjusted factor'!$A$2:$L$52,5,FALSE)*m2k))/'TCO Inputs'!$AZ$84</f>
        <v>259.05050412198784</v>
      </c>
      <c r="GX190" s="125">
        <f>GX78/293.07*(1/(VLOOKUP($GH190,'Fuel economy adjusted factor'!$A$2:$L$52,5,FALSE)*m2k))/'TCO Inputs'!$AZ$84</f>
        <v>259.05050412198784</v>
      </c>
      <c r="GY190" s="125">
        <f>GY78/293.07*(1/(VLOOKUP($GH190,'Fuel economy adjusted factor'!$A$2:$L$52,5,FALSE)*m2k))/'TCO Inputs'!$AZ$84</f>
        <v>259.05050412198784</v>
      </c>
      <c r="GZ190" s="125">
        <f>GZ78/293.07*(1/(VLOOKUP($GH190,'Fuel economy adjusted factor'!$A$2:$L$52,5,FALSE)*m2k))/'TCO Inputs'!$AZ$84</f>
        <v>259.05050412198784</v>
      </c>
      <c r="HA190" s="125">
        <f>HA78/293.07*(1/(VLOOKUP($GH190,'Fuel economy adjusted factor'!$A$2:$L$52,5,FALSE)*m2k))/'TCO Inputs'!$AZ$84</f>
        <v>259.05050412198784</v>
      </c>
      <c r="HB190" s="125">
        <f>HB78/293.07*(1/(VLOOKUP($GH190,'Fuel economy adjusted factor'!$A$2:$L$52,5,FALSE)*m2k))/'TCO Inputs'!$AZ$84</f>
        <v>259.05050412198784</v>
      </c>
      <c r="HC190" s="125">
        <f>HC78/293.07*(1/(VLOOKUP($GH190,'Fuel economy adjusted factor'!$A$2:$L$52,5,FALSE)*m2k))/'TCO Inputs'!$AZ$84</f>
        <v>259.05050412198784</v>
      </c>
      <c r="HD190" s="125">
        <f>HD78/293.07*(1/(VLOOKUP($GH190,'Fuel economy adjusted factor'!$A$2:$L$52,5,FALSE)*m2k))/'TCO Inputs'!$AZ$84</f>
        <v>259.05050412198784</v>
      </c>
      <c r="HE190" s="125">
        <f>HE78/293.07*(1/(VLOOKUP($GH190,'Fuel economy adjusted factor'!$A$2:$L$52,5,FALSE)*m2k))/'TCO Inputs'!$AZ$84</f>
        <v>259.05050412198784</v>
      </c>
      <c r="HF190" s="125">
        <f>HF78/293.07*(1/(VLOOKUP($GH190,'Fuel economy adjusted factor'!$A$2:$L$52,5,FALSE)*m2k))/'TCO Inputs'!$AZ$84</f>
        <v>259.05050412198784</v>
      </c>
      <c r="HG190" s="125">
        <f>HG78/293.07*(1/(VLOOKUP($GH190,'Fuel economy adjusted factor'!$A$2:$L$52,5,FALSE)*m2k))/'TCO Inputs'!$AZ$84</f>
        <v>259.05050412198784</v>
      </c>
      <c r="HH190" s="125">
        <f>HH78/293.07*(1/(VLOOKUP($GH190,'Fuel economy adjusted factor'!$A$2:$L$52,5,FALSE)*m2k))/'TCO Inputs'!$AZ$84</f>
        <v>259.05050412198784</v>
      </c>
      <c r="HI190" s="125">
        <f>HI78/293.07*(1/(VLOOKUP($GH190,'Fuel economy adjusted factor'!$A$2:$L$52,5,FALSE)*m2k))/'TCO Inputs'!$AZ$84</f>
        <v>259.05050412198784</v>
      </c>
      <c r="HJ190" s="125">
        <f>HJ78/293.07*(1/(VLOOKUP($GH190,'Fuel economy adjusted factor'!$A$2:$L$52,5,FALSE)*m2k))/'TCO Inputs'!$AZ$84</f>
        <v>259.05050412198784</v>
      </c>
      <c r="HK190" s="98" cm="1">
        <f t="array" ref="HK190">SUMPRODUCT(INDEX(GI190:HJ190,,'TCO Inputs'!$AZ$12-2023+_xlfn.SEQUENCE('TCO Inputs'!$AZ$13))*INDEX('VKT US'!C80:AA80,,_xlfn.SEQUENCE('TCO Inputs'!$AZ$13)))*m2k*CONVERT(0.9072,"g","ton")</f>
        <v>81.87723730666734</v>
      </c>
    </row>
    <row r="191" spans="26:219" x14ac:dyDescent="0.25">
      <c r="Z191" s="123" t="s">
        <v>203</v>
      </c>
      <c r="AA191" s="125">
        <f>AA79/293.07*(1/(VLOOKUP($Z191,'Fuel economy adjusted factor'!$A$2:$L$52,5,FALSE)*m2k))/'TCO Inputs'!$AZ$84</f>
        <v>47.719474893599724</v>
      </c>
      <c r="AB191" s="125">
        <f>AB79/293.07*(1/(VLOOKUP($Z191,'Fuel economy adjusted factor'!$A$2:$L$52,5,FALSE)*m2k))/'TCO Inputs'!$AZ$84</f>
        <v>47.719474893599724</v>
      </c>
      <c r="AC191" s="125">
        <f>AC79/293.07*(1/(VLOOKUP($Z191,'Fuel economy adjusted factor'!$A$2:$L$52,5,FALSE)*m2k))/'TCO Inputs'!$AZ$84</f>
        <v>41.914189556168864</v>
      </c>
      <c r="AD191" s="125">
        <f>AD79/293.07*(1/(VLOOKUP($Z191,'Fuel economy adjusted factor'!$A$2:$L$52,5,FALSE)*m2k))/'TCO Inputs'!$AZ$84</f>
        <v>41.914189556168864</v>
      </c>
      <c r="AE191" s="125">
        <f>AE79/293.07*(1/(VLOOKUP($Z191,'Fuel economy adjusted factor'!$A$2:$L$52,5,FALSE)*m2k))/'TCO Inputs'!$AZ$84</f>
        <v>41.914189556168864</v>
      </c>
      <c r="AF191" s="125">
        <f>AF79/293.07*(1/(VLOOKUP($Z191,'Fuel economy adjusted factor'!$A$2:$L$52,5,FALSE)*m2k))/'TCO Inputs'!$AZ$84</f>
        <v>41.914189556168864</v>
      </c>
      <c r="AG191" s="125">
        <f>AG79/293.07*(1/(VLOOKUP($Z191,'Fuel economy adjusted factor'!$A$2:$L$52,5,FALSE)*m2k))/'TCO Inputs'!$AZ$84</f>
        <v>41.914189556168864</v>
      </c>
      <c r="AH191" s="125">
        <f>AH79/293.07*(1/(VLOOKUP($Z191,'Fuel economy adjusted factor'!$A$2:$L$52,5,FALSE)*m2k))/'TCO Inputs'!$AZ$84</f>
        <v>15.846671131080262</v>
      </c>
      <c r="AI191" s="125">
        <f>AI79/293.07*(1/(VLOOKUP($Z191,'Fuel economy adjusted factor'!$A$2:$L$52,5,FALSE)*m2k))/'TCO Inputs'!$AZ$84</f>
        <v>15.846671131080262</v>
      </c>
      <c r="AJ191" s="125">
        <f>AJ79/293.07*(1/(VLOOKUP($Z191,'Fuel economy adjusted factor'!$A$2:$L$52,5,FALSE)*m2k))/'TCO Inputs'!$AZ$84</f>
        <v>15.846671131080262</v>
      </c>
      <c r="AK191" s="125">
        <f>AK79/293.07*(1/(VLOOKUP($Z191,'Fuel economy adjusted factor'!$A$2:$L$52,5,FALSE)*m2k))/'TCO Inputs'!$AZ$84</f>
        <v>15.846671131080262</v>
      </c>
      <c r="AL191" s="125">
        <f>AL79/293.07*(1/(VLOOKUP($Z191,'Fuel economy adjusted factor'!$A$2:$L$52,5,FALSE)*m2k))/'TCO Inputs'!$AZ$84</f>
        <v>15.846671131080262</v>
      </c>
      <c r="AM191" s="125">
        <f>AM79/293.07*(1/(VLOOKUP($Z191,'Fuel economy adjusted factor'!$A$2:$L$52,5,FALSE)*m2k))/'TCO Inputs'!$AZ$84</f>
        <v>13.319132418033112</v>
      </c>
      <c r="AN191" s="125">
        <f>AN79/293.07*(1/(VLOOKUP($Z191,'Fuel economy adjusted factor'!$A$2:$L$52,5,FALSE)*m2k))/'TCO Inputs'!$AZ$84</f>
        <v>13.319132418033112</v>
      </c>
      <c r="AO191" s="125">
        <f>AO79/293.07*(1/(VLOOKUP($Z191,'Fuel economy adjusted factor'!$A$2:$L$52,5,FALSE)*m2k))/'TCO Inputs'!$AZ$84</f>
        <v>13.319132418033112</v>
      </c>
      <c r="AP191" s="125">
        <f>AP79/293.07*(1/(VLOOKUP($Z191,'Fuel economy adjusted factor'!$A$2:$L$52,5,FALSE)*m2k))/'TCO Inputs'!$AZ$84</f>
        <v>13.319132418033112</v>
      </c>
      <c r="AQ191" s="125">
        <f>AQ79/293.07*(1/(VLOOKUP($Z191,'Fuel economy adjusted factor'!$A$2:$L$52,5,FALSE)*m2k))/'TCO Inputs'!$AZ$84</f>
        <v>13.319132418033112</v>
      </c>
      <c r="AR191" s="125">
        <f>AR79/293.07*(1/(VLOOKUP($Z191,'Fuel economy adjusted factor'!$A$2:$L$52,5,FALSE)*m2k))/'TCO Inputs'!$AZ$84</f>
        <v>13.319132418033112</v>
      </c>
      <c r="AS191" s="125">
        <f>AS79/293.07*(1/(VLOOKUP($Z191,'Fuel economy adjusted factor'!$A$2:$L$52,5,FALSE)*m2k))/'TCO Inputs'!$AZ$84</f>
        <v>13.319132418033112</v>
      </c>
      <c r="AT191" s="125">
        <f>AT79/293.07*(1/(VLOOKUP($Z191,'Fuel economy adjusted factor'!$A$2:$L$52,5,FALSE)*m2k))/'TCO Inputs'!$AZ$84</f>
        <v>13.319132418033112</v>
      </c>
      <c r="AU191" s="125">
        <f>AU79/293.07*(1/(VLOOKUP($Z191,'Fuel economy adjusted factor'!$A$2:$L$52,5,FALSE)*m2k))/'TCO Inputs'!$AZ$84</f>
        <v>13.319132418033112</v>
      </c>
      <c r="AV191" s="125">
        <f>AV79/293.07*(1/(VLOOKUP($Z191,'Fuel economy adjusted factor'!$A$2:$L$52,5,FALSE)*m2k))/'TCO Inputs'!$AZ$84</f>
        <v>13.319132418033112</v>
      </c>
      <c r="AW191" s="125">
        <f>AW79/293.07*(1/(VLOOKUP($Z191,'Fuel economy adjusted factor'!$A$2:$L$52,5,FALSE)*m2k))/'TCO Inputs'!$AZ$84</f>
        <v>13.38201749295397</v>
      </c>
      <c r="AX191" s="125">
        <f>AX79/293.07*(1/(VLOOKUP($Z191,'Fuel economy adjusted factor'!$A$2:$L$52,5,FALSE)*m2k))/'TCO Inputs'!$AZ$84</f>
        <v>13.38201749295397</v>
      </c>
      <c r="AY191" s="125">
        <f>AY79/293.07*(1/(VLOOKUP($Z191,'Fuel economy adjusted factor'!$A$2:$L$52,5,FALSE)*m2k))/'TCO Inputs'!$AZ$84</f>
        <v>13.38201749295397</v>
      </c>
      <c r="AZ191" s="125">
        <f>AZ79/293.07*(1/(VLOOKUP($Z191,'Fuel economy adjusted factor'!$A$2:$L$52,5,FALSE)*m2k))/'TCO Inputs'!$AZ$84</f>
        <v>13.38201749295397</v>
      </c>
      <c r="BA191" s="125">
        <f>BA79/293.07*(1/(VLOOKUP($Z191,'Fuel economy adjusted factor'!$A$2:$L$52,5,FALSE)*m2k))/'TCO Inputs'!$AZ$84</f>
        <v>13.38201749295397</v>
      </c>
      <c r="BB191" s="125">
        <f>BB79/293.07*(1/(VLOOKUP($Z191,'Fuel economy adjusted factor'!$A$2:$L$52,5,FALSE)*m2k))/'TCO Inputs'!$AZ$84</f>
        <v>13.461083522825227</v>
      </c>
      <c r="BC191" s="98" cm="1">
        <f t="array" ref="BC191">SUMPRODUCT(INDEX(AA191:BB191,,'TCO Inputs'!$AZ$12-2023+_xlfn.SEQUENCE('TCO Inputs'!$AZ$13))*INDEX('VKT US'!C81:AA81,,_xlfn.SEQUENCE('TCO Inputs'!$AZ$13)))*m2k*CONVERT(0.9072,"g","ton")</f>
        <v>9.2760984256880104</v>
      </c>
      <c r="BM191" s="123" t="s">
        <v>203</v>
      </c>
      <c r="BN191" s="125">
        <f>BN79/293.07*(1/(VLOOKUP($BM191,'Fuel economy adjusted factor'!$A$2:$L$52,5,FALSE)*m2k))</f>
        <v>40.561553659559763</v>
      </c>
      <c r="BO191" s="125">
        <f>BO79/293.07*(1/(VLOOKUP($BM191,'Fuel economy adjusted factor'!$A$2:$L$52,5,FALSE)*m2k))</f>
        <v>40.561553659559763</v>
      </c>
      <c r="BP191" s="125">
        <f>BP79/293.07*(1/(VLOOKUP($BM191,'Fuel economy adjusted factor'!$A$2:$L$52,5,FALSE)*m2k))</f>
        <v>31.973548594534488</v>
      </c>
      <c r="BQ191" s="125">
        <f>BQ79/293.07*(1/(VLOOKUP($BM191,'Fuel economy adjusted factor'!$A$2:$L$52,5,FALSE)*m2k))</f>
        <v>31.973548594534488</v>
      </c>
      <c r="BR191" s="125">
        <f>BR79/293.07*(1/(VLOOKUP($BM191,'Fuel economy adjusted factor'!$A$2:$L$52,5,FALSE)*m2k))</f>
        <v>31.973548594534488</v>
      </c>
      <c r="BS191" s="125">
        <f>BS79/293.07*(1/(VLOOKUP($BM191,'Fuel economy adjusted factor'!$A$2:$L$52,5,FALSE)*m2k))</f>
        <v>31.973548594534488</v>
      </c>
      <c r="BT191" s="125">
        <f>BT79/293.07*(1/(VLOOKUP($BM191,'Fuel economy adjusted factor'!$A$2:$L$52,5,FALSE)*m2k))</f>
        <v>31.973548594534488</v>
      </c>
      <c r="BU191" s="125">
        <f>BU79/293.07*(1/(VLOOKUP($BM191,'Fuel economy adjusted factor'!$A$2:$L$52,5,FALSE)*m2k))</f>
        <v>1.8061255465427692</v>
      </c>
      <c r="BV191" s="125">
        <f>BV79/293.07*(1/(VLOOKUP($BM191,'Fuel economy adjusted factor'!$A$2:$L$52,5,FALSE)*m2k))</f>
        <v>1.8061255465427692</v>
      </c>
      <c r="BW191" s="125">
        <f>BW79/293.07*(1/(VLOOKUP($BM191,'Fuel economy adjusted factor'!$A$2:$L$52,5,FALSE)*m2k))</f>
        <v>1.8061255465427692</v>
      </c>
      <c r="BX191" s="125">
        <f>BX79/293.07*(1/(VLOOKUP($BM191,'Fuel economy adjusted factor'!$A$2:$L$52,5,FALSE)*m2k))</f>
        <v>1.8061255465427692</v>
      </c>
      <c r="BY191" s="125">
        <f>BY79/293.07*(1/(VLOOKUP($BM191,'Fuel economy adjusted factor'!$A$2:$L$52,5,FALSE)*m2k))</f>
        <v>1.8061255465427692</v>
      </c>
      <c r="BZ191" s="125">
        <f>BZ79/293.07*(1/(VLOOKUP($BM191,'Fuel economy adjusted factor'!$A$2:$L$52,5,FALSE)*m2k))</f>
        <v>1.8836470307142139</v>
      </c>
      <c r="CA191" s="125">
        <f>CA79/293.07*(1/(VLOOKUP($BM191,'Fuel economy adjusted factor'!$A$2:$L$52,5,FALSE)*m2k))</f>
        <v>1.8836470307142139</v>
      </c>
      <c r="CB191" s="125">
        <f>CB79/293.07*(1/(VLOOKUP($BM191,'Fuel economy adjusted factor'!$A$2:$L$52,5,FALSE)*m2k))</f>
        <v>1.8836470307142139</v>
      </c>
      <c r="CC191" s="125">
        <f>CC79/293.07*(1/(VLOOKUP($BM191,'Fuel economy adjusted factor'!$A$2:$L$52,5,FALSE)*m2k))</f>
        <v>1.8836470307142139</v>
      </c>
      <c r="CD191" s="125">
        <f>CD79/293.07*(1/(VLOOKUP($BM191,'Fuel economy adjusted factor'!$A$2:$L$52,5,FALSE)*m2k))</f>
        <v>1.8836470307142139</v>
      </c>
      <c r="CE191" s="125">
        <f>CE79/293.07*(1/(VLOOKUP($BM191,'Fuel economy adjusted factor'!$A$2:$L$52,5,FALSE)*m2k))</f>
        <v>1.9099043076109938</v>
      </c>
      <c r="CF191" s="125">
        <f>CF79/293.07*(1/(VLOOKUP($BM191,'Fuel economy adjusted factor'!$A$2:$L$52,5,FALSE)*m2k))</f>
        <v>1.9099043076109938</v>
      </c>
      <c r="CG191" s="125">
        <f>CG79/293.07*(1/(VLOOKUP($BM191,'Fuel economy adjusted factor'!$A$2:$L$52,5,FALSE)*m2k))</f>
        <v>1.9099043076109938</v>
      </c>
      <c r="CH191" s="125">
        <f>CH79/293.07*(1/(VLOOKUP($BM191,'Fuel economy adjusted factor'!$A$2:$L$52,5,FALSE)*m2k))</f>
        <v>1.9099043076109938</v>
      </c>
      <c r="CI191" s="125">
        <f>CI79/293.07*(1/(VLOOKUP($BM191,'Fuel economy adjusted factor'!$A$2:$L$52,5,FALSE)*m2k))</f>
        <v>1.9099043076109938</v>
      </c>
      <c r="CJ191" s="125">
        <f>CJ79/293.07*(1/(VLOOKUP($BM191,'Fuel economy adjusted factor'!$A$2:$L$52,5,FALSE)*m2k))</f>
        <v>1.9771104330015608</v>
      </c>
      <c r="CK191" s="125">
        <f>CK79/293.07*(1/(VLOOKUP($BM191,'Fuel economy adjusted factor'!$A$2:$L$52,5,FALSE)*m2k))</f>
        <v>1.9771104330015608</v>
      </c>
      <c r="CL191" s="125">
        <f>CL79/293.07*(1/(VLOOKUP($BM191,'Fuel economy adjusted factor'!$A$2:$L$52,5,FALSE)*m2k))</f>
        <v>1.9771104330015608</v>
      </c>
      <c r="CM191" s="125">
        <f>CM79/293.07*(1/(VLOOKUP($BM191,'Fuel economy adjusted factor'!$A$2:$L$52,5,FALSE)*m2k))</f>
        <v>1.9771104330015608</v>
      </c>
      <c r="CN191" s="125">
        <f>CN79/293.07*(1/(VLOOKUP($BM191,'Fuel economy adjusted factor'!$A$2:$L$52,5,FALSE)*m2k))</f>
        <v>1.9771104330015608</v>
      </c>
      <c r="CO191" s="125">
        <f>CO79/293.07*(1/(VLOOKUP($BM191,'Fuel economy adjusted factor'!$A$2:$L$52,5,FALSE)*m2k))</f>
        <v>2.0621339962863705</v>
      </c>
      <c r="CP191" s="98" cm="1">
        <f t="array" ref="CP191">SUMPRODUCT(INDEX(BN191:CO191,,'TCO Inputs'!$AZ$12-2023+_xlfn.SEQUENCE('TCO Inputs'!$AZ$13))*INDEX('VKT US'!C81:AA81,,_xlfn.SEQUENCE('TCO Inputs'!$AZ$13)))*m2k*CONVERT(0.9072,"g","ton")</f>
        <v>5.9700411705592336</v>
      </c>
      <c r="CQ191" s="194"/>
      <c r="CR191" s="123" t="s">
        <v>203</v>
      </c>
      <c r="CS191" s="125">
        <f>CS79/293.07*(1/(VLOOKUP($BM191,'Fuel economy adjusted factor'!$A$2:$L$52,5,FALSE)*m2k))/'TCO Inputs'!$AZ$84</f>
        <v>47.719474893599724</v>
      </c>
      <c r="CT191" s="125">
        <f>CT79/293.07*(1/(VLOOKUP($BM191,'Fuel economy adjusted factor'!$A$2:$L$52,5,FALSE)*m2k))</f>
        <v>1.8992763622003928</v>
      </c>
      <c r="CU191" s="125">
        <f>CU79/293.07*(1/(VLOOKUP($BM191,'Fuel economy adjusted factor'!$A$2:$L$52,5,FALSE)*m2k))</f>
        <v>1.8992763622003928</v>
      </c>
      <c r="CV191" s="125">
        <f>CV79/293.07*(1/(VLOOKUP($BM191,'Fuel economy adjusted factor'!$A$2:$L$52,5,FALSE)*m2k))</f>
        <v>1.8992763622003928</v>
      </c>
      <c r="CW191" s="125">
        <f>CW79/293.07*(1/(VLOOKUP($BM191,'Fuel economy adjusted factor'!$A$2:$L$52,5,FALSE)*m2k))</f>
        <v>1.8992763622003928</v>
      </c>
      <c r="CX191" s="125">
        <f>CX79/293.07*(1/(VLOOKUP($BM191,'Fuel economy adjusted factor'!$A$2:$L$52,5,FALSE)*m2k))</f>
        <v>1.8992763622003928</v>
      </c>
      <c r="CY191" s="125">
        <f>CY79/293.07*(1/(VLOOKUP($BM191,'Fuel economy adjusted factor'!$A$2:$L$52,5,FALSE)*m2k))</f>
        <v>1.8992763622003928</v>
      </c>
      <c r="CZ191" s="125">
        <f>CZ79/293.07*(1/(VLOOKUP($BM191,'Fuel economy adjusted factor'!$A$2:$L$52,5,FALSE)*m2k))</f>
        <v>1.8992763622003928</v>
      </c>
      <c r="DA191" s="125">
        <f>DA79/293.07*(1/(VLOOKUP($BM191,'Fuel economy adjusted factor'!$A$2:$L$52,5,FALSE)*m2k))</f>
        <v>1.8992763622003928</v>
      </c>
      <c r="DB191" s="125">
        <f>DB79/293.07*(1/(VLOOKUP($BM191,'Fuel economy adjusted factor'!$A$2:$L$52,5,FALSE)*m2k))</f>
        <v>1.8992763622003928</v>
      </c>
      <c r="DC191" s="125">
        <f>DC79/293.07*(1/(VLOOKUP($BM191,'Fuel economy adjusted factor'!$A$2:$L$52,5,FALSE)*m2k))</f>
        <v>1.8992763622003928</v>
      </c>
      <c r="DD191" s="125">
        <f>DD79/293.07*(1/(VLOOKUP($BM191,'Fuel economy adjusted factor'!$A$2:$L$52,5,FALSE)*m2k))</f>
        <v>1.8992763622003928</v>
      </c>
      <c r="DE191" s="125">
        <f>DE79/293.07*(1/(VLOOKUP($BM191,'Fuel economy adjusted factor'!$A$2:$L$52,5,FALSE)*m2k))</f>
        <v>1.9536664357722933</v>
      </c>
      <c r="DF191" s="125">
        <f>DF79/293.07*(1/(VLOOKUP($BM191,'Fuel economy adjusted factor'!$A$2:$L$52,5,FALSE)*m2k))</f>
        <v>1.9536664357722933</v>
      </c>
      <c r="DG191" s="125">
        <f>DG79/293.07*(1/(VLOOKUP($BM191,'Fuel economy adjusted factor'!$A$2:$L$52,5,FALSE)*m2k))</f>
        <v>1.9536664357722933</v>
      </c>
      <c r="DH191" s="125">
        <f>DH79/293.07*(1/(VLOOKUP($BM191,'Fuel economy adjusted factor'!$A$2:$L$52,5,FALSE)*m2k))</f>
        <v>1.9536664357722933</v>
      </c>
      <c r="DI191" s="125">
        <f>DI79/293.07*(1/(VLOOKUP($BM191,'Fuel economy adjusted factor'!$A$2:$L$52,5,FALSE)*m2k))</f>
        <v>1.9536664357722933</v>
      </c>
      <c r="DJ191" s="125">
        <f>DJ79/293.07*(1/(VLOOKUP($BM191,'Fuel economy adjusted factor'!$A$2:$L$52,5,FALSE)*m2k))</f>
        <v>2.0552570904324523</v>
      </c>
      <c r="DK191" s="125">
        <f>DK79/293.07*(1/(VLOOKUP($BM191,'Fuel economy adjusted factor'!$A$2:$L$52,5,FALSE)*m2k))</f>
        <v>2.0552570904324523</v>
      </c>
      <c r="DL191" s="125">
        <f>DL79/293.07*(1/(VLOOKUP($BM191,'Fuel economy adjusted factor'!$A$2:$L$52,5,FALSE)*m2k))</f>
        <v>2.0552570904324523</v>
      </c>
      <c r="DM191" s="125">
        <f>DM79/293.07*(1/(VLOOKUP($BM191,'Fuel economy adjusted factor'!$A$2:$L$52,5,FALSE)*m2k))</f>
        <v>2.0552570904324523</v>
      </c>
      <c r="DN191" s="125">
        <f>DN79/293.07*(1/(VLOOKUP($BM191,'Fuel economy adjusted factor'!$A$2:$L$52,5,FALSE)*m2k))</f>
        <v>2.0552570904324523</v>
      </c>
      <c r="DO191" s="125">
        <f>DO79/293.07*(1/(VLOOKUP($BM191,'Fuel economy adjusted factor'!$A$2:$L$52,5,FALSE)*m2k))</f>
        <v>2.1224632158230192</v>
      </c>
      <c r="DP191" s="125">
        <f>DP79/293.07*(1/(VLOOKUP($BM191,'Fuel economy adjusted factor'!$A$2:$L$52,5,FALSE)*m2k))</f>
        <v>2.1224632158230192</v>
      </c>
      <c r="DQ191" s="125">
        <f>DQ79/293.07*(1/(VLOOKUP($BM191,'Fuel economy adjusted factor'!$A$2:$L$52,5,FALSE)*m2k))</f>
        <v>2.1224632158230192</v>
      </c>
      <c r="DR191" s="125">
        <f>DR79/293.07*(1/(VLOOKUP($BM191,'Fuel economy adjusted factor'!$A$2:$L$52,5,FALSE)*m2k))</f>
        <v>2.1224632158230192</v>
      </c>
      <c r="DS191" s="125">
        <f>DS79/293.07*(1/(VLOOKUP($BM191,'Fuel economy adjusted factor'!$A$2:$L$52,5,FALSE)*m2k))</f>
        <v>2.1224632158230192</v>
      </c>
      <c r="DT191" s="125">
        <f>DT79/293.07*(1/(VLOOKUP($BM191,'Fuel economy adjusted factor'!$A$2:$L$52,5,FALSE)*m2k))</f>
        <v>2.2077993657375532</v>
      </c>
      <c r="DU191" s="98" cm="1">
        <f t="array" ref="DU191">SUMPRODUCT(INDEX(CS191:DT191,,'TCO Inputs'!$AZ$12-2023+_xlfn.SEQUENCE('TCO Inputs'!$AZ$13))*INDEX('VKT US'!C81:AA81,,_xlfn.SEQUENCE('TCO Inputs'!$AZ$13)))*m2k*CONVERT(0.9072,"g","ton")</f>
        <v>1.7547458736251385</v>
      </c>
      <c r="DW191" s="123" t="s">
        <v>203</v>
      </c>
      <c r="DX191" s="125">
        <f>DX79/293.07*(1/(VLOOKUP($BM191,'Fuel economy adjusted factor'!$A$2:$L$52,5,FALSE)*m2k))/'TCO Inputs'!$AZ$84</f>
        <v>63.045947953345554</v>
      </c>
      <c r="DY191" s="125">
        <f>DY79/293.07*(1/(VLOOKUP($BM191,'Fuel economy adjusted factor'!$A$2:$L$52,5,FALSE)*m2k))/'TCO Inputs'!$AZ$84</f>
        <v>63.045947953345554</v>
      </c>
      <c r="DZ191" s="125">
        <f>DZ79/293.07*(1/(VLOOKUP($BM191,'Fuel economy adjusted factor'!$A$2:$L$52,5,FALSE)*m2k))/'TCO Inputs'!$AZ$84</f>
        <v>55.15752396508708</v>
      </c>
      <c r="EA191" s="125">
        <f>EA79/293.07*(1/(VLOOKUP($BM191,'Fuel economy adjusted factor'!$A$2:$L$52,5,FALSE)*m2k))/'TCO Inputs'!$AZ$84</f>
        <v>55.15752396508708</v>
      </c>
      <c r="EB191" s="125">
        <f>EB79/293.07*(1/(VLOOKUP($BM191,'Fuel economy adjusted factor'!$A$2:$L$52,5,FALSE)*m2k))/'TCO Inputs'!$AZ$84</f>
        <v>55.15752396508708</v>
      </c>
      <c r="EC191" s="125">
        <f>EC79/293.07*(1/(VLOOKUP($BM191,'Fuel economy adjusted factor'!$A$2:$L$52,5,FALSE)*m2k))/'TCO Inputs'!$AZ$84</f>
        <v>55.15752396508708</v>
      </c>
      <c r="ED191" s="125">
        <f>ED79/293.07*(1/(VLOOKUP($BM191,'Fuel economy adjusted factor'!$A$2:$L$52,5,FALSE)*m2k))/'TCO Inputs'!$AZ$84</f>
        <v>55.15752396508708</v>
      </c>
      <c r="EE191" s="125">
        <f>EE79/293.07*(1/(VLOOKUP($BM191,'Fuel economy adjusted factor'!$A$2:$L$52,5,FALSE)*m2k))/'TCO Inputs'!$AZ$84</f>
        <v>34.316892841397163</v>
      </c>
      <c r="EF191" s="125">
        <f>EF79/293.07*(1/(VLOOKUP($BM191,'Fuel economy adjusted factor'!$A$2:$L$52,5,FALSE)*m2k))/'TCO Inputs'!$AZ$84</f>
        <v>34.316892841397163</v>
      </c>
      <c r="EG191" s="125">
        <f>EG79/293.07*(1/(VLOOKUP($BM191,'Fuel economy adjusted factor'!$A$2:$L$52,5,FALSE)*m2k))/'TCO Inputs'!$AZ$84</f>
        <v>34.316892841397163</v>
      </c>
      <c r="EH191" s="125">
        <f>EH79/293.07*(1/(VLOOKUP($BM191,'Fuel economy adjusted factor'!$A$2:$L$52,5,FALSE)*m2k))/'TCO Inputs'!$AZ$84</f>
        <v>34.316892841397163</v>
      </c>
      <c r="EI191" s="125">
        <f>EI79/293.07*(1/(VLOOKUP($BM191,'Fuel economy adjusted factor'!$A$2:$L$52,5,FALSE)*m2k))/'TCO Inputs'!$AZ$84</f>
        <v>34.316892841397163</v>
      </c>
      <c r="EJ191" s="125">
        <f>EJ79/293.07*(1/(VLOOKUP($BM191,'Fuel economy adjusted factor'!$A$2:$L$52,5,FALSE)*m2k))/'TCO Inputs'!$AZ$84</f>
        <v>30.555899590349057</v>
      </c>
      <c r="EK191" s="125">
        <f>EK79/293.07*(1/(VLOOKUP($BM191,'Fuel economy adjusted factor'!$A$2:$L$52,5,FALSE)*m2k))/'TCO Inputs'!$AZ$84</f>
        <v>30.555899590349057</v>
      </c>
      <c r="EL191" s="125">
        <f>EL79/293.07*(1/(VLOOKUP($BM191,'Fuel economy adjusted factor'!$A$2:$L$52,5,FALSE)*m2k))/'TCO Inputs'!$AZ$84</f>
        <v>30.555899590349057</v>
      </c>
      <c r="EM191" s="125">
        <f>EM79/293.07*(1/(VLOOKUP($BM191,'Fuel economy adjusted factor'!$A$2:$L$52,5,FALSE)*m2k))/'TCO Inputs'!$AZ$84</f>
        <v>30.555899590349057</v>
      </c>
      <c r="EN191" s="125">
        <f>EN79/293.07*(1/(VLOOKUP($BM191,'Fuel economy adjusted factor'!$A$2:$L$52,5,FALSE)*m2k))/'TCO Inputs'!$AZ$84</f>
        <v>30.555899590349057</v>
      </c>
      <c r="EO191" s="125">
        <f>EO79/293.07*(1/(VLOOKUP($BM191,'Fuel economy adjusted factor'!$A$2:$L$52,5,FALSE)*m2k))/'TCO Inputs'!$AZ$84</f>
        <v>29.690786545861485</v>
      </c>
      <c r="EP191" s="125">
        <f>EP79/293.07*(1/(VLOOKUP($BM191,'Fuel economy adjusted factor'!$A$2:$L$52,5,FALSE)*m2k))/'TCO Inputs'!$AZ$84</f>
        <v>29.690786545861485</v>
      </c>
      <c r="EQ191" s="125">
        <f>EQ79/293.07*(1/(VLOOKUP($BM191,'Fuel economy adjusted factor'!$A$2:$L$52,5,FALSE)*m2k))/'TCO Inputs'!$AZ$84</f>
        <v>29.690786545861485</v>
      </c>
      <c r="ER191" s="125">
        <f>ER79/293.07*(1/(VLOOKUP($BM191,'Fuel economy adjusted factor'!$A$2:$L$52,5,FALSE)*m2k))/'TCO Inputs'!$AZ$84</f>
        <v>29.690786545861485</v>
      </c>
      <c r="ES191" s="125">
        <f>ES79/293.07*(1/(VLOOKUP($BM191,'Fuel economy adjusted factor'!$A$2:$L$52,5,FALSE)*m2k))/'TCO Inputs'!$AZ$84</f>
        <v>29.690786545861485</v>
      </c>
      <c r="ET191" s="125">
        <f>ET79/293.07*(1/(VLOOKUP($BM191,'Fuel economy adjusted factor'!$A$2:$L$52,5,FALSE)*m2k))/'TCO Inputs'!$AZ$84</f>
        <v>28.640005905104591</v>
      </c>
      <c r="EU191" s="125">
        <f>EU79/293.07*(1/(VLOOKUP($BM191,'Fuel economy adjusted factor'!$A$2:$L$52,5,FALSE)*m2k))/'TCO Inputs'!$AZ$84</f>
        <v>28.640005905104591</v>
      </c>
      <c r="EV191" s="125">
        <f>EV79/293.07*(1/(VLOOKUP($BM191,'Fuel economy adjusted factor'!$A$2:$L$52,5,FALSE)*m2k))/'TCO Inputs'!$AZ$84</f>
        <v>28.640005905104591</v>
      </c>
      <c r="EW191" s="125">
        <f>EW79/293.07*(1/(VLOOKUP($BM191,'Fuel economy adjusted factor'!$A$2:$L$52,5,FALSE)*m2k))/'TCO Inputs'!$AZ$84</f>
        <v>28.640005905104591</v>
      </c>
      <c r="EX191" s="125">
        <f>EX79/293.07*(1/(VLOOKUP($BM191,'Fuel economy adjusted factor'!$A$2:$L$52,5,FALSE)*m2k))/'TCO Inputs'!$AZ$84</f>
        <v>28.640005905104591</v>
      </c>
      <c r="EY191" s="125">
        <f>EY79/293.07*(1/(VLOOKUP($BM191,'Fuel economy adjusted factor'!$A$2:$L$52,5,FALSE)*m2k))/'TCO Inputs'!$AZ$84</f>
        <v>26.965435570406832</v>
      </c>
      <c r="EZ191" s="98" cm="1">
        <f t="array" ref="EZ191">SUMPRODUCT(INDEX(DX191:EY191,,'TCO Inputs'!$AZ$12-2023+_xlfn.SEQUENCE('TCO Inputs'!$AZ$13))*INDEX('VKT US'!C81:AA81,,_xlfn.SEQUENCE('TCO Inputs'!$AZ$13)))*m2k*CONVERT(0.9072,"g","ton")</f>
        <v>14.023726895948171</v>
      </c>
      <c r="FB191" s="123" t="s">
        <v>203</v>
      </c>
      <c r="FC191" s="125">
        <f>FC79/293.07*(1/(VLOOKUP($BM191,'Fuel economy adjusted factor'!$A$2:$L$52,5,FALSE)*m2k))/'TCO Inputs'!$AZ$84</f>
        <v>68.153365211871986</v>
      </c>
      <c r="FD191" s="125">
        <f>FD79/293.07*(1/(VLOOKUP($BM191,'Fuel economy adjusted factor'!$A$2:$L$52,5,FALSE)*m2k))/'TCO Inputs'!$AZ$84</f>
        <v>68.153365211871986</v>
      </c>
      <c r="FE191" s="125">
        <f>FE79/293.07*(1/(VLOOKUP($BM191,'Fuel economy adjusted factor'!$A$2:$L$52,5,FALSE)*m2k))/'TCO Inputs'!$AZ$84</f>
        <v>59.418528512563149</v>
      </c>
      <c r="FF191" s="125">
        <f>FF79/293.07*(1/(VLOOKUP($BM191,'Fuel economy adjusted factor'!$A$2:$L$52,5,FALSE)*m2k))/'TCO Inputs'!$AZ$84</f>
        <v>59.418528512563149</v>
      </c>
      <c r="FG191" s="125">
        <f>FG79/293.07*(1/(VLOOKUP($BM191,'Fuel economy adjusted factor'!$A$2:$L$52,5,FALSE)*m2k))/'TCO Inputs'!$AZ$84</f>
        <v>59.418528512563149</v>
      </c>
      <c r="FH191" s="125">
        <f>FH79/293.07*(1/(VLOOKUP($BM191,'Fuel economy adjusted factor'!$A$2:$L$52,5,FALSE)*m2k))/'TCO Inputs'!$AZ$84</f>
        <v>59.418528512563149</v>
      </c>
      <c r="FI191" s="125">
        <f>FI79/293.07*(1/(VLOOKUP($BM191,'Fuel economy adjusted factor'!$A$2:$L$52,5,FALSE)*m2k))/'TCO Inputs'!$AZ$84</f>
        <v>59.418528512563149</v>
      </c>
      <c r="FJ191" s="125">
        <f>FJ79/293.07*(1/(VLOOKUP($BM191,'Fuel economy adjusted factor'!$A$2:$L$52,5,FALSE)*m2k))/'TCO Inputs'!$AZ$84</f>
        <v>37.582772502393709</v>
      </c>
      <c r="FK191" s="125">
        <f>FK79/293.07*(1/(VLOOKUP($BM191,'Fuel economy adjusted factor'!$A$2:$L$52,5,FALSE)*m2k))/'TCO Inputs'!$AZ$84</f>
        <v>37.582772502393709</v>
      </c>
      <c r="FL191" s="125">
        <f>FL79/293.07*(1/(VLOOKUP($BM191,'Fuel economy adjusted factor'!$A$2:$L$52,5,FALSE)*m2k))/'TCO Inputs'!$AZ$84</f>
        <v>37.582772502393709</v>
      </c>
      <c r="FM191" s="125">
        <f>FM79/293.07*(1/(VLOOKUP($BM191,'Fuel economy adjusted factor'!$A$2:$L$52,5,FALSE)*m2k))/'TCO Inputs'!$AZ$84</f>
        <v>37.582772502393709</v>
      </c>
      <c r="FN191" s="125">
        <f>FN79/293.07*(1/(VLOOKUP($BM191,'Fuel economy adjusted factor'!$A$2:$L$52,5,FALSE)*m2k))/'TCO Inputs'!$AZ$84</f>
        <v>37.582772502393709</v>
      </c>
      <c r="FO191" s="125">
        <f>FO79/293.07*(1/(VLOOKUP($BM191,'Fuel economy adjusted factor'!$A$2:$L$52,5,FALSE)*m2k))/'TCO Inputs'!$AZ$84</f>
        <v>33.287484010282768</v>
      </c>
      <c r="FP191" s="125">
        <f>FP79/293.07*(1/(VLOOKUP($BM191,'Fuel economy adjusted factor'!$A$2:$L$52,5,FALSE)*m2k))/'TCO Inputs'!$AZ$84</f>
        <v>33.287484010282768</v>
      </c>
      <c r="FQ191" s="125">
        <f>FQ79/293.07*(1/(VLOOKUP($BM191,'Fuel economy adjusted factor'!$A$2:$L$52,5,FALSE)*m2k))/'TCO Inputs'!$AZ$84</f>
        <v>33.287484010282768</v>
      </c>
      <c r="FR191" s="125">
        <f>FR79/293.07*(1/(VLOOKUP($BM191,'Fuel economy adjusted factor'!$A$2:$L$52,5,FALSE)*m2k))/'TCO Inputs'!$AZ$84</f>
        <v>33.287484010282768</v>
      </c>
      <c r="FS191" s="125">
        <f>FS79/293.07*(1/(VLOOKUP($BM191,'Fuel economy adjusted factor'!$A$2:$L$52,5,FALSE)*m2k))/'TCO Inputs'!$AZ$84</f>
        <v>33.287484010282768</v>
      </c>
      <c r="FT191" s="125">
        <f>FT79/293.07*(1/(VLOOKUP($BM191,'Fuel economy adjusted factor'!$A$2:$L$52,5,FALSE)*m2k))/'TCO Inputs'!$AZ$84</f>
        <v>32.527449029870894</v>
      </c>
      <c r="FU191" s="125">
        <f>FU79/293.07*(1/(VLOOKUP($BM191,'Fuel economy adjusted factor'!$A$2:$L$52,5,FALSE)*m2k))/'TCO Inputs'!$AZ$84</f>
        <v>32.527449029870894</v>
      </c>
      <c r="FV191" s="125">
        <f>FV79/293.07*(1/(VLOOKUP($BM191,'Fuel economy adjusted factor'!$A$2:$L$52,5,FALSE)*m2k))/'TCO Inputs'!$AZ$84</f>
        <v>32.527449029870894</v>
      </c>
      <c r="FW191" s="125">
        <f>FW79/293.07*(1/(VLOOKUP($BM191,'Fuel economy adjusted factor'!$A$2:$L$52,5,FALSE)*m2k))/'TCO Inputs'!$AZ$84</f>
        <v>32.527449029870894</v>
      </c>
      <c r="FX191" s="125">
        <f>FX79/293.07*(1/(VLOOKUP($BM191,'Fuel economy adjusted factor'!$A$2:$L$52,5,FALSE)*m2k))/'TCO Inputs'!$AZ$84</f>
        <v>32.527449029870894</v>
      </c>
      <c r="FY191" s="125">
        <f>FY79/293.07*(1/(VLOOKUP($BM191,'Fuel economy adjusted factor'!$A$2:$L$52,5,FALSE)*m2k))/'TCO Inputs'!$AZ$84</f>
        <v>31.474887404977117</v>
      </c>
      <c r="FZ191" s="125">
        <f>FZ79/293.07*(1/(VLOOKUP($BM191,'Fuel economy adjusted factor'!$A$2:$L$52,5,FALSE)*m2k))/'TCO Inputs'!$AZ$84</f>
        <v>31.474887404977117</v>
      </c>
      <c r="GA191" s="125">
        <f>GA79/293.07*(1/(VLOOKUP($BM191,'Fuel economy adjusted factor'!$A$2:$L$52,5,FALSE)*m2k))/'TCO Inputs'!$AZ$84</f>
        <v>31.474887404977117</v>
      </c>
      <c r="GB191" s="125">
        <f>GB79/293.07*(1/(VLOOKUP($BM191,'Fuel economy adjusted factor'!$A$2:$L$52,5,FALSE)*m2k))/'TCO Inputs'!$AZ$84</f>
        <v>31.474887404977117</v>
      </c>
      <c r="GC191" s="125">
        <f>GC79/293.07*(1/(VLOOKUP($BM191,'Fuel economy adjusted factor'!$A$2:$L$52,5,FALSE)*m2k))/'TCO Inputs'!$AZ$84</f>
        <v>31.474887404977117</v>
      </c>
      <c r="GD191" s="125">
        <f>GD79/293.07*(1/(VLOOKUP($BM191,'Fuel economy adjusted factor'!$A$2:$L$52,5,FALSE)*m2k))/'TCO Inputs'!$AZ$84</f>
        <v>29.743325577899334</v>
      </c>
      <c r="GE191" s="98" cm="1">
        <f t="array" ref="GE191">SUMPRODUCT(INDEX(FC191:GD191,,'TCO Inputs'!$AZ$12-2023+_xlfn.SEQUENCE('TCO Inputs'!$AZ$13))*INDEX('VKT US'!C81:AA81,,_xlfn.SEQUENCE('TCO Inputs'!$AZ$13)))*m2k*CONVERT(0.9072,"g","ton")</f>
        <v>15.193447541583144</v>
      </c>
      <c r="GH191" s="123" t="s">
        <v>203</v>
      </c>
      <c r="GI191" s="125">
        <f>GI79/293.07*(1/(VLOOKUP($GH191,'Fuel economy adjusted factor'!$A$2:$L$52,5,FALSE)*m2k))/'TCO Inputs'!$AZ$84</f>
        <v>119.97810346742787</v>
      </c>
      <c r="GJ191" s="125">
        <f>GJ79/293.07*(1/(VLOOKUP($GH191,'Fuel economy adjusted factor'!$A$2:$L$52,5,FALSE)*m2k))/'TCO Inputs'!$AZ$84</f>
        <v>119.97810346742787</v>
      </c>
      <c r="GK191" s="125">
        <f>GK79/293.07*(1/(VLOOKUP($GH191,'Fuel economy adjusted factor'!$A$2:$L$52,5,FALSE)*m2k))/'TCO Inputs'!$AZ$84</f>
        <v>119.97810346742787</v>
      </c>
      <c r="GL191" s="125">
        <f>GL79/293.07*(1/(VLOOKUP($GH191,'Fuel economy adjusted factor'!$A$2:$L$52,5,FALSE)*m2k))/'TCO Inputs'!$AZ$84</f>
        <v>119.97810346742787</v>
      </c>
      <c r="GM191" s="125">
        <f>GM79/293.07*(1/(VLOOKUP($GH191,'Fuel economy adjusted factor'!$A$2:$L$52,5,FALSE)*m2k))/'TCO Inputs'!$AZ$84</f>
        <v>119.97810346742787</v>
      </c>
      <c r="GN191" s="125">
        <f>GN79/293.07*(1/(VLOOKUP($GH191,'Fuel economy adjusted factor'!$A$2:$L$52,5,FALSE)*m2k))/'TCO Inputs'!$AZ$84</f>
        <v>119.97810346742787</v>
      </c>
      <c r="GO191" s="125">
        <f>GO79/293.07*(1/(VLOOKUP($GH191,'Fuel economy adjusted factor'!$A$2:$L$52,5,FALSE)*m2k))/'TCO Inputs'!$AZ$84</f>
        <v>119.97810346742787</v>
      </c>
      <c r="GP191" s="125">
        <f>GP79/293.07*(1/(VLOOKUP($GH191,'Fuel economy adjusted factor'!$A$2:$L$52,5,FALSE)*m2k))/'TCO Inputs'!$AZ$84</f>
        <v>119.97810346742787</v>
      </c>
      <c r="GQ191" s="125">
        <f>GQ79/293.07*(1/(VLOOKUP($GH191,'Fuel economy adjusted factor'!$A$2:$L$52,5,FALSE)*m2k))/'TCO Inputs'!$AZ$84</f>
        <v>119.97810346742787</v>
      </c>
      <c r="GR191" s="125">
        <f>GR79/293.07*(1/(VLOOKUP($GH191,'Fuel economy adjusted factor'!$A$2:$L$52,5,FALSE)*m2k))/'TCO Inputs'!$AZ$84</f>
        <v>119.97810346742787</v>
      </c>
      <c r="GS191" s="125">
        <f>GS79/293.07*(1/(VLOOKUP($GH191,'Fuel economy adjusted factor'!$A$2:$L$52,5,FALSE)*m2k))/'TCO Inputs'!$AZ$84</f>
        <v>119.97810346742787</v>
      </c>
      <c r="GT191" s="125">
        <f>GT79/293.07*(1/(VLOOKUP($GH191,'Fuel economy adjusted factor'!$A$2:$L$52,5,FALSE)*m2k))/'TCO Inputs'!$AZ$84</f>
        <v>119.97810346742787</v>
      </c>
      <c r="GU191" s="125">
        <f>GU79/293.07*(1/(VLOOKUP($GH191,'Fuel economy adjusted factor'!$A$2:$L$52,5,FALSE)*m2k))/'TCO Inputs'!$AZ$84</f>
        <v>119.97810346742787</v>
      </c>
      <c r="GV191" s="125">
        <f>GV79/293.07*(1/(VLOOKUP($GH191,'Fuel economy adjusted factor'!$A$2:$L$52,5,FALSE)*m2k))/'TCO Inputs'!$AZ$84</f>
        <v>119.97810346742787</v>
      </c>
      <c r="GW191" s="125">
        <f>GW79/293.07*(1/(VLOOKUP($GH191,'Fuel economy adjusted factor'!$A$2:$L$52,5,FALSE)*m2k))/'TCO Inputs'!$AZ$84</f>
        <v>119.97810346742787</v>
      </c>
      <c r="GX191" s="125">
        <f>GX79/293.07*(1/(VLOOKUP($GH191,'Fuel economy adjusted factor'!$A$2:$L$52,5,FALSE)*m2k))/'TCO Inputs'!$AZ$84</f>
        <v>119.97810346742787</v>
      </c>
      <c r="GY191" s="125">
        <f>GY79/293.07*(1/(VLOOKUP($GH191,'Fuel economy adjusted factor'!$A$2:$L$52,5,FALSE)*m2k))/'TCO Inputs'!$AZ$84</f>
        <v>119.97810346742787</v>
      </c>
      <c r="GZ191" s="125">
        <f>GZ79/293.07*(1/(VLOOKUP($GH191,'Fuel economy adjusted factor'!$A$2:$L$52,5,FALSE)*m2k))/'TCO Inputs'!$AZ$84</f>
        <v>119.97810346742787</v>
      </c>
      <c r="HA191" s="125">
        <f>HA79/293.07*(1/(VLOOKUP($GH191,'Fuel economy adjusted factor'!$A$2:$L$52,5,FALSE)*m2k))/'TCO Inputs'!$AZ$84</f>
        <v>119.97810346742787</v>
      </c>
      <c r="HB191" s="125">
        <f>HB79/293.07*(1/(VLOOKUP($GH191,'Fuel economy adjusted factor'!$A$2:$L$52,5,FALSE)*m2k))/'TCO Inputs'!$AZ$84</f>
        <v>119.97810346742787</v>
      </c>
      <c r="HC191" s="125">
        <f>HC79/293.07*(1/(VLOOKUP($GH191,'Fuel economy adjusted factor'!$A$2:$L$52,5,FALSE)*m2k))/'TCO Inputs'!$AZ$84</f>
        <v>119.97810346742787</v>
      </c>
      <c r="HD191" s="125">
        <f>HD79/293.07*(1/(VLOOKUP($GH191,'Fuel economy adjusted factor'!$A$2:$L$52,5,FALSE)*m2k))/'TCO Inputs'!$AZ$84</f>
        <v>119.97810346742787</v>
      </c>
      <c r="HE191" s="125">
        <f>HE79/293.07*(1/(VLOOKUP($GH191,'Fuel economy adjusted factor'!$A$2:$L$52,5,FALSE)*m2k))/'TCO Inputs'!$AZ$84</f>
        <v>119.97810346742787</v>
      </c>
      <c r="HF191" s="125">
        <f>HF79/293.07*(1/(VLOOKUP($GH191,'Fuel economy adjusted factor'!$A$2:$L$52,5,FALSE)*m2k))/'TCO Inputs'!$AZ$84</f>
        <v>119.97810346742787</v>
      </c>
      <c r="HG191" s="125">
        <f>HG79/293.07*(1/(VLOOKUP($GH191,'Fuel economy adjusted factor'!$A$2:$L$52,5,FALSE)*m2k))/'TCO Inputs'!$AZ$84</f>
        <v>119.97810346742787</v>
      </c>
      <c r="HH191" s="125">
        <f>HH79/293.07*(1/(VLOOKUP($GH191,'Fuel economy adjusted factor'!$A$2:$L$52,5,FALSE)*m2k))/'TCO Inputs'!$AZ$84</f>
        <v>119.97810346742787</v>
      </c>
      <c r="HI191" s="125">
        <f>HI79/293.07*(1/(VLOOKUP($GH191,'Fuel economy adjusted factor'!$A$2:$L$52,5,FALSE)*m2k))/'TCO Inputs'!$AZ$84</f>
        <v>119.97810346742787</v>
      </c>
      <c r="HJ191" s="125">
        <f>HJ79/293.07*(1/(VLOOKUP($GH191,'Fuel economy adjusted factor'!$A$2:$L$52,5,FALSE)*m2k))/'TCO Inputs'!$AZ$84</f>
        <v>119.97810346742787</v>
      </c>
      <c r="HK191" s="98" cm="1">
        <f t="array" ref="HK191">SUMPRODUCT(INDEX(GI191:HJ191,,'TCO Inputs'!$AZ$12-2023+_xlfn.SEQUENCE('TCO Inputs'!$AZ$13))*INDEX('VKT US'!C81:AA81,,_xlfn.SEQUENCE('TCO Inputs'!$AZ$13)))*m2k*CONVERT(0.9072,"g","ton")</f>
        <v>36.054323711700803</v>
      </c>
    </row>
    <row r="192" spans="26:219" x14ac:dyDescent="0.25">
      <c r="Z192" s="123" t="s">
        <v>202</v>
      </c>
      <c r="AA192" s="125">
        <f>AA80/293.07*(1/(VLOOKUP($Z192,'Fuel economy adjusted factor'!$A$2:$L$52,5,FALSE)*m2k))/'TCO Inputs'!$AZ$84</f>
        <v>65.173645718960458</v>
      </c>
      <c r="AB192" s="125">
        <f>AB80/293.07*(1/(VLOOKUP($Z192,'Fuel economy adjusted factor'!$A$2:$L$52,5,FALSE)*m2k))/'TCO Inputs'!$AZ$84</f>
        <v>65.173645718960458</v>
      </c>
      <c r="AC192" s="125">
        <f>AC80/293.07*(1/(VLOOKUP($Z192,'Fuel economy adjusted factor'!$A$2:$L$52,5,FALSE)*m2k))/'TCO Inputs'!$AZ$84</f>
        <v>57.244983244723116</v>
      </c>
      <c r="AD192" s="125">
        <f>AD80/293.07*(1/(VLOOKUP($Z192,'Fuel economy adjusted factor'!$A$2:$L$52,5,FALSE)*m2k))/'TCO Inputs'!$AZ$84</f>
        <v>57.244983244723116</v>
      </c>
      <c r="AE192" s="125">
        <f>AE80/293.07*(1/(VLOOKUP($Z192,'Fuel economy adjusted factor'!$A$2:$L$52,5,FALSE)*m2k))/'TCO Inputs'!$AZ$84</f>
        <v>57.244983244723116</v>
      </c>
      <c r="AF192" s="125">
        <f>AF80/293.07*(1/(VLOOKUP($Z192,'Fuel economy adjusted factor'!$A$2:$L$52,5,FALSE)*m2k))/'TCO Inputs'!$AZ$84</f>
        <v>57.244983244723116</v>
      </c>
      <c r="AG192" s="125">
        <f>AG80/293.07*(1/(VLOOKUP($Z192,'Fuel economy adjusted factor'!$A$2:$L$52,5,FALSE)*m2k))/'TCO Inputs'!$AZ$84</f>
        <v>57.244983244723116</v>
      </c>
      <c r="AH192" s="125">
        <f>AH80/293.07*(1/(VLOOKUP($Z192,'Fuel economy adjusted factor'!$A$2:$L$52,5,FALSE)*m2k))/'TCO Inputs'!$AZ$84</f>
        <v>21.642847756072513</v>
      </c>
      <c r="AI192" s="125">
        <f>AI80/293.07*(1/(VLOOKUP($Z192,'Fuel economy adjusted factor'!$A$2:$L$52,5,FALSE)*m2k))/'TCO Inputs'!$AZ$84</f>
        <v>21.642847756072513</v>
      </c>
      <c r="AJ192" s="125">
        <f>AJ80/293.07*(1/(VLOOKUP($Z192,'Fuel economy adjusted factor'!$A$2:$L$52,5,FALSE)*m2k))/'TCO Inputs'!$AZ$84</f>
        <v>21.642847756072513</v>
      </c>
      <c r="AK192" s="125">
        <f>AK80/293.07*(1/(VLOOKUP($Z192,'Fuel economy adjusted factor'!$A$2:$L$52,5,FALSE)*m2k))/'TCO Inputs'!$AZ$84</f>
        <v>21.642847756072513</v>
      </c>
      <c r="AL192" s="125">
        <f>AL80/293.07*(1/(VLOOKUP($Z192,'Fuel economy adjusted factor'!$A$2:$L$52,5,FALSE)*m2k))/'TCO Inputs'!$AZ$84</f>
        <v>21.642847756072513</v>
      </c>
      <c r="AM192" s="125">
        <f>AM80/293.07*(1/(VLOOKUP($Z192,'Fuel economy adjusted factor'!$A$2:$L$52,5,FALSE)*m2k))/'TCO Inputs'!$AZ$84</f>
        <v>18.190820821736189</v>
      </c>
      <c r="AN192" s="125">
        <f>AN80/293.07*(1/(VLOOKUP($Z192,'Fuel economy adjusted factor'!$A$2:$L$52,5,FALSE)*m2k))/'TCO Inputs'!$AZ$84</f>
        <v>18.190820821736189</v>
      </c>
      <c r="AO192" s="125">
        <f>AO80/293.07*(1/(VLOOKUP($Z192,'Fuel economy adjusted factor'!$A$2:$L$52,5,FALSE)*m2k))/'TCO Inputs'!$AZ$84</f>
        <v>18.190820821736189</v>
      </c>
      <c r="AP192" s="125">
        <f>AP80/293.07*(1/(VLOOKUP($Z192,'Fuel economy adjusted factor'!$A$2:$L$52,5,FALSE)*m2k))/'TCO Inputs'!$AZ$84</f>
        <v>18.190820821736189</v>
      </c>
      <c r="AQ192" s="125">
        <f>AQ80/293.07*(1/(VLOOKUP($Z192,'Fuel economy adjusted factor'!$A$2:$L$52,5,FALSE)*m2k))/'TCO Inputs'!$AZ$84</f>
        <v>18.190820821736189</v>
      </c>
      <c r="AR192" s="125">
        <f>AR80/293.07*(1/(VLOOKUP($Z192,'Fuel economy adjusted factor'!$A$2:$L$52,5,FALSE)*m2k))/'TCO Inputs'!$AZ$84</f>
        <v>18.190820821736189</v>
      </c>
      <c r="AS192" s="125">
        <f>AS80/293.07*(1/(VLOOKUP($Z192,'Fuel economy adjusted factor'!$A$2:$L$52,5,FALSE)*m2k))/'TCO Inputs'!$AZ$84</f>
        <v>18.190820821736189</v>
      </c>
      <c r="AT192" s="125">
        <f>AT80/293.07*(1/(VLOOKUP($Z192,'Fuel economy adjusted factor'!$A$2:$L$52,5,FALSE)*m2k))/'TCO Inputs'!$AZ$84</f>
        <v>18.190820821736189</v>
      </c>
      <c r="AU192" s="125">
        <f>AU80/293.07*(1/(VLOOKUP($Z192,'Fuel economy adjusted factor'!$A$2:$L$52,5,FALSE)*m2k))/'TCO Inputs'!$AZ$84</f>
        <v>18.190820821736189</v>
      </c>
      <c r="AV192" s="125">
        <f>AV80/293.07*(1/(VLOOKUP($Z192,'Fuel economy adjusted factor'!$A$2:$L$52,5,FALSE)*m2k))/'TCO Inputs'!$AZ$84</f>
        <v>18.190820821736189</v>
      </c>
      <c r="AW192" s="125">
        <f>AW80/293.07*(1/(VLOOKUP($Z192,'Fuel economy adjusted factor'!$A$2:$L$52,5,FALSE)*m2k))/'TCO Inputs'!$AZ$84</f>
        <v>18.27670713132029</v>
      </c>
      <c r="AX192" s="125">
        <f>AX80/293.07*(1/(VLOOKUP($Z192,'Fuel economy adjusted factor'!$A$2:$L$52,5,FALSE)*m2k))/'TCO Inputs'!$AZ$84</f>
        <v>18.27670713132029</v>
      </c>
      <c r="AY192" s="125">
        <f>AY80/293.07*(1/(VLOOKUP($Z192,'Fuel economy adjusted factor'!$A$2:$L$52,5,FALSE)*m2k))/'TCO Inputs'!$AZ$84</f>
        <v>18.27670713132029</v>
      </c>
      <c r="AZ192" s="125">
        <f>AZ80/293.07*(1/(VLOOKUP($Z192,'Fuel economy adjusted factor'!$A$2:$L$52,5,FALSE)*m2k))/'TCO Inputs'!$AZ$84</f>
        <v>18.27670713132029</v>
      </c>
      <c r="BA192" s="125">
        <f>BA80/293.07*(1/(VLOOKUP($Z192,'Fuel economy adjusted factor'!$A$2:$L$52,5,FALSE)*m2k))/'TCO Inputs'!$AZ$84</f>
        <v>18.27670713132029</v>
      </c>
      <c r="BB192" s="125">
        <f>BB80/293.07*(1/(VLOOKUP($Z192,'Fuel economy adjusted factor'!$A$2:$L$52,5,FALSE)*m2k))/'TCO Inputs'!$AZ$84</f>
        <v>18.384692842200881</v>
      </c>
      <c r="BC192" s="98" cm="1">
        <f t="array" ref="BC192">SUMPRODUCT(INDEX(AA192:BB192,,'TCO Inputs'!$AZ$12-2023+_xlfn.SEQUENCE('TCO Inputs'!$AZ$13))*INDEX('VKT US'!C82:AA82,,_xlfn.SEQUENCE('TCO Inputs'!$AZ$13)))*m2k*CONVERT(0.9072,"g","ton")</f>
        <v>12.022832405868183</v>
      </c>
      <c r="BM192" s="123" t="s">
        <v>202</v>
      </c>
      <c r="BN192" s="125">
        <f>BN80/293.07*(1/(VLOOKUP($BM192,'Fuel economy adjusted factor'!$A$2:$L$52,5,FALSE)*m2k))</f>
        <v>55.397598861116393</v>
      </c>
      <c r="BO192" s="125">
        <f>BO80/293.07*(1/(VLOOKUP($BM192,'Fuel economy adjusted factor'!$A$2:$L$52,5,FALSE)*m2k))</f>
        <v>55.397598861116393</v>
      </c>
      <c r="BP192" s="125">
        <f>BP80/293.07*(1/(VLOOKUP($BM192,'Fuel economy adjusted factor'!$A$2:$L$52,5,FALSE)*m2k))</f>
        <v>43.668391848914631</v>
      </c>
      <c r="BQ192" s="125">
        <f>BQ80/293.07*(1/(VLOOKUP($BM192,'Fuel economy adjusted factor'!$A$2:$L$52,5,FALSE)*m2k))</f>
        <v>43.668391848914631</v>
      </c>
      <c r="BR192" s="125">
        <f>BR80/293.07*(1/(VLOOKUP($BM192,'Fuel economy adjusted factor'!$A$2:$L$52,5,FALSE)*m2k))</f>
        <v>43.668391848914631</v>
      </c>
      <c r="BS192" s="125">
        <f>BS80/293.07*(1/(VLOOKUP($BM192,'Fuel economy adjusted factor'!$A$2:$L$52,5,FALSE)*m2k))</f>
        <v>43.668391848914631</v>
      </c>
      <c r="BT192" s="125">
        <f>BT80/293.07*(1/(VLOOKUP($BM192,'Fuel economy adjusted factor'!$A$2:$L$52,5,FALSE)*m2k))</f>
        <v>43.668391848914631</v>
      </c>
      <c r="BU192" s="125">
        <f>BU80/293.07*(1/(VLOOKUP($BM192,'Fuel economy adjusted factor'!$A$2:$L$52,5,FALSE)*m2k))</f>
        <v>2.4667452178969835</v>
      </c>
      <c r="BV192" s="125">
        <f>BV80/293.07*(1/(VLOOKUP($BM192,'Fuel economy adjusted factor'!$A$2:$L$52,5,FALSE)*m2k))</f>
        <v>2.4667452178969835</v>
      </c>
      <c r="BW192" s="125">
        <f>BW80/293.07*(1/(VLOOKUP($BM192,'Fuel economy adjusted factor'!$A$2:$L$52,5,FALSE)*m2k))</f>
        <v>2.4667452178969835</v>
      </c>
      <c r="BX192" s="125">
        <f>BX80/293.07*(1/(VLOOKUP($BM192,'Fuel economy adjusted factor'!$A$2:$L$52,5,FALSE)*m2k))</f>
        <v>2.4667452178969835</v>
      </c>
      <c r="BY192" s="125">
        <f>BY80/293.07*(1/(VLOOKUP($BM192,'Fuel economy adjusted factor'!$A$2:$L$52,5,FALSE)*m2k))</f>
        <v>2.4667452178969835</v>
      </c>
      <c r="BZ192" s="125">
        <f>BZ80/293.07*(1/(VLOOKUP($BM192,'Fuel economy adjusted factor'!$A$2:$L$52,5,FALSE)*m2k))</f>
        <v>2.5726214404720014</v>
      </c>
      <c r="CA192" s="125">
        <f>CA80/293.07*(1/(VLOOKUP($BM192,'Fuel economy adjusted factor'!$A$2:$L$52,5,FALSE)*m2k))</f>
        <v>2.5726214404720014</v>
      </c>
      <c r="CB192" s="125">
        <f>CB80/293.07*(1/(VLOOKUP($BM192,'Fuel economy adjusted factor'!$A$2:$L$52,5,FALSE)*m2k))</f>
        <v>2.5726214404720014</v>
      </c>
      <c r="CC192" s="125">
        <f>CC80/293.07*(1/(VLOOKUP($BM192,'Fuel economy adjusted factor'!$A$2:$L$52,5,FALSE)*m2k))</f>
        <v>2.5726214404720014</v>
      </c>
      <c r="CD192" s="125">
        <f>CD80/293.07*(1/(VLOOKUP($BM192,'Fuel economy adjusted factor'!$A$2:$L$52,5,FALSE)*m2k))</f>
        <v>2.5726214404720014</v>
      </c>
      <c r="CE192" s="125">
        <f>CE80/293.07*(1/(VLOOKUP($BM192,'Fuel economy adjusted factor'!$A$2:$L$52,5,FALSE)*m2k))</f>
        <v>2.6084827416667653</v>
      </c>
      <c r="CF192" s="125">
        <f>CF80/293.07*(1/(VLOOKUP($BM192,'Fuel economy adjusted factor'!$A$2:$L$52,5,FALSE)*m2k))</f>
        <v>2.6084827416667653</v>
      </c>
      <c r="CG192" s="125">
        <f>CG80/293.07*(1/(VLOOKUP($BM192,'Fuel economy adjusted factor'!$A$2:$L$52,5,FALSE)*m2k))</f>
        <v>2.6084827416667653</v>
      </c>
      <c r="CH192" s="125">
        <f>CH80/293.07*(1/(VLOOKUP($BM192,'Fuel economy adjusted factor'!$A$2:$L$52,5,FALSE)*m2k))</f>
        <v>2.6084827416667653</v>
      </c>
      <c r="CI192" s="125">
        <f>CI80/293.07*(1/(VLOOKUP($BM192,'Fuel economy adjusted factor'!$A$2:$L$52,5,FALSE)*m2k))</f>
        <v>2.6084827416667653</v>
      </c>
      <c r="CJ192" s="125">
        <f>CJ80/293.07*(1/(VLOOKUP($BM192,'Fuel economy adjusted factor'!$A$2:$L$52,5,FALSE)*m2k))</f>
        <v>2.7002705959152689</v>
      </c>
      <c r="CK192" s="125">
        <f>CK80/293.07*(1/(VLOOKUP($BM192,'Fuel economy adjusted factor'!$A$2:$L$52,5,FALSE)*m2k))</f>
        <v>2.7002705959152689</v>
      </c>
      <c r="CL192" s="125">
        <f>CL80/293.07*(1/(VLOOKUP($BM192,'Fuel economy adjusted factor'!$A$2:$L$52,5,FALSE)*m2k))</f>
        <v>2.7002705959152689</v>
      </c>
      <c r="CM192" s="125">
        <f>CM80/293.07*(1/(VLOOKUP($BM192,'Fuel economy adjusted factor'!$A$2:$L$52,5,FALSE)*m2k))</f>
        <v>2.7002705959152689</v>
      </c>
      <c r="CN192" s="125">
        <f>CN80/293.07*(1/(VLOOKUP($BM192,'Fuel economy adjusted factor'!$A$2:$L$52,5,FALSE)*m2k))</f>
        <v>2.7002705959152689</v>
      </c>
      <c r="CO192" s="125">
        <f>CO80/293.07*(1/(VLOOKUP($BM192,'Fuel economy adjusted factor'!$A$2:$L$52,5,FALSE)*m2k))</f>
        <v>2.8163929045459328</v>
      </c>
      <c r="CP192" s="98" cm="1">
        <f t="array" ref="CP192">SUMPRODUCT(INDEX(BN192:CO192,,'TCO Inputs'!$AZ$12-2023+_xlfn.SEQUENCE('TCO Inputs'!$AZ$13))*INDEX('VKT US'!C82:AA82,,_xlfn.SEQUENCE('TCO Inputs'!$AZ$13)))*m2k*CONVERT(0.9072,"g","ton")</f>
        <v>7.7378226443778937</v>
      </c>
      <c r="CQ192" s="194"/>
      <c r="CR192" s="123" t="s">
        <v>202</v>
      </c>
      <c r="CS192" s="125">
        <f>CS80/293.07*(1/(VLOOKUP($BM192,'Fuel economy adjusted factor'!$A$2:$L$52,5,FALSE)*m2k))/'TCO Inputs'!$AZ$84</f>
        <v>65.173645718960458</v>
      </c>
      <c r="CT192" s="125">
        <f>CT80/293.07*(1/(VLOOKUP($BM192,'Fuel economy adjusted factor'!$A$2:$L$52,5,FALSE)*m2k))</f>
        <v>2.5939674530879322</v>
      </c>
      <c r="CU192" s="125">
        <f>CU80/293.07*(1/(VLOOKUP($BM192,'Fuel economy adjusted factor'!$A$2:$L$52,5,FALSE)*m2k))</f>
        <v>2.5939674530879322</v>
      </c>
      <c r="CV192" s="125">
        <f>CV80/293.07*(1/(VLOOKUP($BM192,'Fuel economy adjusted factor'!$A$2:$L$52,5,FALSE)*m2k))</f>
        <v>2.5939674530879322</v>
      </c>
      <c r="CW192" s="125">
        <f>CW80/293.07*(1/(VLOOKUP($BM192,'Fuel economy adjusted factor'!$A$2:$L$52,5,FALSE)*m2k))</f>
        <v>2.5939674530879322</v>
      </c>
      <c r="CX192" s="125">
        <f>CX80/293.07*(1/(VLOOKUP($BM192,'Fuel economy adjusted factor'!$A$2:$L$52,5,FALSE)*m2k))</f>
        <v>2.5939674530879322</v>
      </c>
      <c r="CY192" s="125">
        <f>CY80/293.07*(1/(VLOOKUP($BM192,'Fuel economy adjusted factor'!$A$2:$L$52,5,FALSE)*m2k))</f>
        <v>2.5939674530879322</v>
      </c>
      <c r="CZ192" s="125">
        <f>CZ80/293.07*(1/(VLOOKUP($BM192,'Fuel economy adjusted factor'!$A$2:$L$52,5,FALSE)*m2k))</f>
        <v>2.5939674530879322</v>
      </c>
      <c r="DA192" s="125">
        <f>DA80/293.07*(1/(VLOOKUP($BM192,'Fuel economy adjusted factor'!$A$2:$L$52,5,FALSE)*m2k))</f>
        <v>2.5939674530879322</v>
      </c>
      <c r="DB192" s="125">
        <f>DB80/293.07*(1/(VLOOKUP($BM192,'Fuel economy adjusted factor'!$A$2:$L$52,5,FALSE)*m2k))</f>
        <v>2.5939674530879322</v>
      </c>
      <c r="DC192" s="125">
        <f>DC80/293.07*(1/(VLOOKUP($BM192,'Fuel economy adjusted factor'!$A$2:$L$52,5,FALSE)*m2k))</f>
        <v>2.5939674530879322</v>
      </c>
      <c r="DD192" s="125">
        <f>DD80/293.07*(1/(VLOOKUP($BM192,'Fuel economy adjusted factor'!$A$2:$L$52,5,FALSE)*m2k))</f>
        <v>2.5939674530879322</v>
      </c>
      <c r="DE192" s="125">
        <f>DE80/293.07*(1/(VLOOKUP($BM192,'Fuel economy adjusted factor'!$A$2:$L$52,5,FALSE)*m2k))</f>
        <v>2.6682515769913722</v>
      </c>
      <c r="DF192" s="125">
        <f>DF80/293.07*(1/(VLOOKUP($BM192,'Fuel economy adjusted factor'!$A$2:$L$52,5,FALSE)*m2k))</f>
        <v>2.6682515769913722</v>
      </c>
      <c r="DG192" s="125">
        <f>DG80/293.07*(1/(VLOOKUP($BM192,'Fuel economy adjusted factor'!$A$2:$L$52,5,FALSE)*m2k))</f>
        <v>2.6682515769913722</v>
      </c>
      <c r="DH192" s="125">
        <f>DH80/293.07*(1/(VLOOKUP($BM192,'Fuel economy adjusted factor'!$A$2:$L$52,5,FALSE)*m2k))</f>
        <v>2.6682515769913722</v>
      </c>
      <c r="DI192" s="125">
        <f>DI80/293.07*(1/(VLOOKUP($BM192,'Fuel economy adjusted factor'!$A$2:$L$52,5,FALSE)*m2k))</f>
        <v>2.6682515769913722</v>
      </c>
      <c r="DJ192" s="125">
        <f>DJ80/293.07*(1/(VLOOKUP($BM192,'Fuel economy adjusted factor'!$A$2:$L$52,5,FALSE)*m2k))</f>
        <v>2.8070006589949239</v>
      </c>
      <c r="DK192" s="125">
        <f>DK80/293.07*(1/(VLOOKUP($BM192,'Fuel economy adjusted factor'!$A$2:$L$52,5,FALSE)*m2k))</f>
        <v>2.8070006589949239</v>
      </c>
      <c r="DL192" s="125">
        <f>DL80/293.07*(1/(VLOOKUP($BM192,'Fuel economy adjusted factor'!$A$2:$L$52,5,FALSE)*m2k))</f>
        <v>2.8070006589949239</v>
      </c>
      <c r="DM192" s="125">
        <f>DM80/293.07*(1/(VLOOKUP($BM192,'Fuel economy adjusted factor'!$A$2:$L$52,5,FALSE)*m2k))</f>
        <v>2.8070006589949239</v>
      </c>
      <c r="DN192" s="125">
        <f>DN80/293.07*(1/(VLOOKUP($BM192,'Fuel economy adjusted factor'!$A$2:$L$52,5,FALSE)*m2k))</f>
        <v>2.8070006589949239</v>
      </c>
      <c r="DO192" s="125">
        <f>DO80/293.07*(1/(VLOOKUP($BM192,'Fuel economy adjusted factor'!$A$2:$L$52,5,FALSE)*m2k))</f>
        <v>2.8987885132434261</v>
      </c>
      <c r="DP192" s="125">
        <f>DP80/293.07*(1/(VLOOKUP($BM192,'Fuel economy adjusted factor'!$A$2:$L$52,5,FALSE)*m2k))</f>
        <v>2.8987885132434261</v>
      </c>
      <c r="DQ192" s="125">
        <f>DQ80/293.07*(1/(VLOOKUP($BM192,'Fuel economy adjusted factor'!$A$2:$L$52,5,FALSE)*m2k))</f>
        <v>2.8987885132434261</v>
      </c>
      <c r="DR192" s="125">
        <f>DR80/293.07*(1/(VLOOKUP($BM192,'Fuel economy adjusted factor'!$A$2:$L$52,5,FALSE)*m2k))</f>
        <v>2.8987885132434261</v>
      </c>
      <c r="DS192" s="125">
        <f>DS80/293.07*(1/(VLOOKUP($BM192,'Fuel economy adjusted factor'!$A$2:$L$52,5,FALSE)*m2k))</f>
        <v>2.8987885132434261</v>
      </c>
      <c r="DT192" s="125">
        <f>DT80/293.07*(1/(VLOOKUP($BM192,'Fuel economy adjusted factor'!$A$2:$L$52,5,FALSE)*m2k))</f>
        <v>3.0153377421264098</v>
      </c>
      <c r="DU192" s="98" cm="1">
        <f t="array" ref="DU192">SUMPRODUCT(INDEX(CS192:DT192,,'TCO Inputs'!$AZ$12-2023+_xlfn.SEQUENCE('TCO Inputs'!$AZ$13))*INDEX('VKT US'!C82:AA82,,_xlfn.SEQUENCE('TCO Inputs'!$AZ$13)))*m2k*CONVERT(0.9072,"g","ton")</f>
        <v>2.2743414941631608</v>
      </c>
      <c r="DW192" s="123" t="s">
        <v>202</v>
      </c>
      <c r="DX192" s="125">
        <f>DX80/293.07*(1/(VLOOKUP($BM192,'Fuel economy adjusted factor'!$A$2:$L$52,5,FALSE)*m2k))/'TCO Inputs'!$AZ$84</f>
        <v>86.106024533779291</v>
      </c>
      <c r="DY192" s="125">
        <f>DY80/293.07*(1/(VLOOKUP($BM192,'Fuel economy adjusted factor'!$A$2:$L$52,5,FALSE)*m2k))/'TCO Inputs'!$AZ$84</f>
        <v>86.106024533779291</v>
      </c>
      <c r="DZ192" s="125">
        <f>DZ80/293.07*(1/(VLOOKUP($BM192,'Fuel economy adjusted factor'!$A$2:$L$52,5,FALSE)*m2k))/'TCO Inputs'!$AZ$84</f>
        <v>75.332281707856836</v>
      </c>
      <c r="EA192" s="125">
        <f>EA80/293.07*(1/(VLOOKUP($BM192,'Fuel economy adjusted factor'!$A$2:$L$52,5,FALSE)*m2k))/'TCO Inputs'!$AZ$84</f>
        <v>75.332281707856836</v>
      </c>
      <c r="EB192" s="125">
        <f>EB80/293.07*(1/(VLOOKUP($BM192,'Fuel economy adjusted factor'!$A$2:$L$52,5,FALSE)*m2k))/'TCO Inputs'!$AZ$84</f>
        <v>75.332281707856836</v>
      </c>
      <c r="EC192" s="125">
        <f>EC80/293.07*(1/(VLOOKUP($BM192,'Fuel economy adjusted factor'!$A$2:$L$52,5,FALSE)*m2k))/'TCO Inputs'!$AZ$84</f>
        <v>75.332281707856836</v>
      </c>
      <c r="ED192" s="125">
        <f>ED80/293.07*(1/(VLOOKUP($BM192,'Fuel economy adjusted factor'!$A$2:$L$52,5,FALSE)*m2k))/'TCO Inputs'!$AZ$84</f>
        <v>75.332281707856836</v>
      </c>
      <c r="EE192" s="125">
        <f>EE80/293.07*(1/(VLOOKUP($BM192,'Fuel economy adjusted factor'!$A$2:$L$52,5,FALSE)*m2k))/'TCO Inputs'!$AZ$84</f>
        <v>46.868852207774864</v>
      </c>
      <c r="EF192" s="125">
        <f>EF80/293.07*(1/(VLOOKUP($BM192,'Fuel economy adjusted factor'!$A$2:$L$52,5,FALSE)*m2k))/'TCO Inputs'!$AZ$84</f>
        <v>46.868852207774864</v>
      </c>
      <c r="EG192" s="125">
        <f>EG80/293.07*(1/(VLOOKUP($BM192,'Fuel economy adjusted factor'!$A$2:$L$52,5,FALSE)*m2k))/'TCO Inputs'!$AZ$84</f>
        <v>46.868852207774864</v>
      </c>
      <c r="EH192" s="125">
        <f>EH80/293.07*(1/(VLOOKUP($BM192,'Fuel economy adjusted factor'!$A$2:$L$52,5,FALSE)*m2k))/'TCO Inputs'!$AZ$84</f>
        <v>46.868852207774864</v>
      </c>
      <c r="EI192" s="125">
        <f>EI80/293.07*(1/(VLOOKUP($BM192,'Fuel economy adjusted factor'!$A$2:$L$52,5,FALSE)*m2k))/'TCO Inputs'!$AZ$84</f>
        <v>46.868852207774864</v>
      </c>
      <c r="EJ192" s="125">
        <f>EJ80/293.07*(1/(VLOOKUP($BM192,'Fuel economy adjusted factor'!$A$2:$L$52,5,FALSE)*m2k))/'TCO Inputs'!$AZ$84</f>
        <v>41.732214760658145</v>
      </c>
      <c r="EK192" s="125">
        <f>EK80/293.07*(1/(VLOOKUP($BM192,'Fuel economy adjusted factor'!$A$2:$L$52,5,FALSE)*m2k))/'TCO Inputs'!$AZ$84</f>
        <v>41.732214760658145</v>
      </c>
      <c r="EL192" s="125">
        <f>EL80/293.07*(1/(VLOOKUP($BM192,'Fuel economy adjusted factor'!$A$2:$L$52,5,FALSE)*m2k))/'TCO Inputs'!$AZ$84</f>
        <v>41.732214760658145</v>
      </c>
      <c r="EM192" s="125">
        <f>EM80/293.07*(1/(VLOOKUP($BM192,'Fuel economy adjusted factor'!$A$2:$L$52,5,FALSE)*m2k))/'TCO Inputs'!$AZ$84</f>
        <v>41.732214760658145</v>
      </c>
      <c r="EN192" s="125">
        <f>EN80/293.07*(1/(VLOOKUP($BM192,'Fuel economy adjusted factor'!$A$2:$L$52,5,FALSE)*m2k))/'TCO Inputs'!$AZ$84</f>
        <v>41.732214760658145</v>
      </c>
      <c r="EO192" s="125">
        <f>EO80/293.07*(1/(VLOOKUP($BM192,'Fuel economy adjusted factor'!$A$2:$L$52,5,FALSE)*m2k))/'TCO Inputs'!$AZ$84</f>
        <v>40.550672608444607</v>
      </c>
      <c r="EP192" s="125">
        <f>EP80/293.07*(1/(VLOOKUP($BM192,'Fuel economy adjusted factor'!$A$2:$L$52,5,FALSE)*m2k))/'TCO Inputs'!$AZ$84</f>
        <v>40.550672608444607</v>
      </c>
      <c r="EQ192" s="125">
        <f>EQ80/293.07*(1/(VLOOKUP($BM192,'Fuel economy adjusted factor'!$A$2:$L$52,5,FALSE)*m2k))/'TCO Inputs'!$AZ$84</f>
        <v>40.550672608444607</v>
      </c>
      <c r="ER192" s="125">
        <f>ER80/293.07*(1/(VLOOKUP($BM192,'Fuel economy adjusted factor'!$A$2:$L$52,5,FALSE)*m2k))/'TCO Inputs'!$AZ$84</f>
        <v>40.550672608444607</v>
      </c>
      <c r="ES192" s="125">
        <f>ES80/293.07*(1/(VLOOKUP($BM192,'Fuel economy adjusted factor'!$A$2:$L$52,5,FALSE)*m2k))/'TCO Inputs'!$AZ$84</f>
        <v>40.550672608444607</v>
      </c>
      <c r="ET192" s="125">
        <f>ET80/293.07*(1/(VLOOKUP($BM192,'Fuel economy adjusted factor'!$A$2:$L$52,5,FALSE)*m2k))/'TCO Inputs'!$AZ$84</f>
        <v>39.115551929482187</v>
      </c>
      <c r="EU192" s="125">
        <f>EU80/293.07*(1/(VLOOKUP($BM192,'Fuel economy adjusted factor'!$A$2:$L$52,5,FALSE)*m2k))/'TCO Inputs'!$AZ$84</f>
        <v>39.115551929482187</v>
      </c>
      <c r="EV192" s="125">
        <f>EV80/293.07*(1/(VLOOKUP($BM192,'Fuel economy adjusted factor'!$A$2:$L$52,5,FALSE)*m2k))/'TCO Inputs'!$AZ$84</f>
        <v>39.115551929482187</v>
      </c>
      <c r="EW192" s="125">
        <f>EW80/293.07*(1/(VLOOKUP($BM192,'Fuel economy adjusted factor'!$A$2:$L$52,5,FALSE)*m2k))/'TCO Inputs'!$AZ$84</f>
        <v>39.115551929482187</v>
      </c>
      <c r="EX192" s="125">
        <f>EX80/293.07*(1/(VLOOKUP($BM192,'Fuel economy adjusted factor'!$A$2:$L$52,5,FALSE)*m2k))/'TCO Inputs'!$AZ$84</f>
        <v>39.115551929482187</v>
      </c>
      <c r="EY192" s="125">
        <f>EY80/293.07*(1/(VLOOKUP($BM192,'Fuel economy adjusted factor'!$A$2:$L$52,5,FALSE)*m2k))/'TCO Inputs'!$AZ$84</f>
        <v>36.828480372881501</v>
      </c>
      <c r="EZ192" s="98" cm="1">
        <f t="array" ref="EZ192">SUMPRODUCT(INDEX(DX192:EY192,,'TCO Inputs'!$AZ$12-2023+_xlfn.SEQUENCE('TCO Inputs'!$AZ$13))*INDEX('VKT US'!C82:AA82,,_xlfn.SEQUENCE('TCO Inputs'!$AZ$13)))*m2k*CONVERT(0.9072,"g","ton")</f>
        <v>18.176275243990371</v>
      </c>
      <c r="FB192" s="123" t="s">
        <v>202</v>
      </c>
      <c r="FC192" s="125">
        <f>FC80/293.07*(1/(VLOOKUP($BM192,'Fuel economy adjusted factor'!$A$2:$L$52,5,FALSE)*m2k))/'TCO Inputs'!$AZ$84</f>
        <v>93.081562376312263</v>
      </c>
      <c r="FD192" s="125">
        <f>FD80/293.07*(1/(VLOOKUP($BM192,'Fuel economy adjusted factor'!$A$2:$L$52,5,FALSE)*m2k))/'TCO Inputs'!$AZ$84</f>
        <v>93.081562376312263</v>
      </c>
      <c r="FE192" s="125">
        <f>FE80/293.07*(1/(VLOOKUP($BM192,'Fuel economy adjusted factor'!$A$2:$L$52,5,FALSE)*m2k))/'TCO Inputs'!$AZ$84</f>
        <v>81.151817681445934</v>
      </c>
      <c r="FF192" s="125">
        <f>FF80/293.07*(1/(VLOOKUP($BM192,'Fuel economy adjusted factor'!$A$2:$L$52,5,FALSE)*m2k))/'TCO Inputs'!$AZ$84</f>
        <v>81.151817681445934</v>
      </c>
      <c r="FG192" s="125">
        <f>FG80/293.07*(1/(VLOOKUP($BM192,'Fuel economy adjusted factor'!$A$2:$L$52,5,FALSE)*m2k))/'TCO Inputs'!$AZ$84</f>
        <v>81.151817681445934</v>
      </c>
      <c r="FH192" s="125">
        <f>FH80/293.07*(1/(VLOOKUP($BM192,'Fuel economy adjusted factor'!$A$2:$L$52,5,FALSE)*m2k))/'TCO Inputs'!$AZ$84</f>
        <v>81.151817681445934</v>
      </c>
      <c r="FI192" s="125">
        <f>FI80/293.07*(1/(VLOOKUP($BM192,'Fuel economy adjusted factor'!$A$2:$L$52,5,FALSE)*m2k))/'TCO Inputs'!$AZ$84</f>
        <v>81.151817681445934</v>
      </c>
      <c r="FJ192" s="125">
        <f>FJ80/293.07*(1/(VLOOKUP($BM192,'Fuel economy adjusted factor'!$A$2:$L$52,5,FALSE)*m2k))/'TCO Inputs'!$AZ$84</f>
        <v>51.329280250227953</v>
      </c>
      <c r="FK192" s="125">
        <f>FK80/293.07*(1/(VLOOKUP($BM192,'Fuel economy adjusted factor'!$A$2:$L$52,5,FALSE)*m2k))/'TCO Inputs'!$AZ$84</f>
        <v>51.329280250227953</v>
      </c>
      <c r="FL192" s="125">
        <f>FL80/293.07*(1/(VLOOKUP($BM192,'Fuel economy adjusted factor'!$A$2:$L$52,5,FALSE)*m2k))/'TCO Inputs'!$AZ$84</f>
        <v>51.329280250227953</v>
      </c>
      <c r="FM192" s="125">
        <f>FM80/293.07*(1/(VLOOKUP($BM192,'Fuel economy adjusted factor'!$A$2:$L$52,5,FALSE)*m2k))/'TCO Inputs'!$AZ$84</f>
        <v>51.329280250227953</v>
      </c>
      <c r="FN192" s="125">
        <f>FN80/293.07*(1/(VLOOKUP($BM192,'Fuel economy adjusted factor'!$A$2:$L$52,5,FALSE)*m2k))/'TCO Inputs'!$AZ$84</f>
        <v>51.329280250227953</v>
      </c>
      <c r="FO192" s="125">
        <f>FO80/293.07*(1/(VLOOKUP($BM192,'Fuel economy adjusted factor'!$A$2:$L$52,5,FALSE)*m2k))/'TCO Inputs'!$AZ$84</f>
        <v>45.462920423977792</v>
      </c>
      <c r="FP192" s="125">
        <f>FP80/293.07*(1/(VLOOKUP($BM192,'Fuel economy adjusted factor'!$A$2:$L$52,5,FALSE)*m2k))/'TCO Inputs'!$AZ$84</f>
        <v>45.462920423977792</v>
      </c>
      <c r="FQ192" s="125">
        <f>FQ80/293.07*(1/(VLOOKUP($BM192,'Fuel economy adjusted factor'!$A$2:$L$52,5,FALSE)*m2k))/'TCO Inputs'!$AZ$84</f>
        <v>45.462920423977792</v>
      </c>
      <c r="FR192" s="125">
        <f>FR80/293.07*(1/(VLOOKUP($BM192,'Fuel economy adjusted factor'!$A$2:$L$52,5,FALSE)*m2k))/'TCO Inputs'!$AZ$84</f>
        <v>45.462920423977792</v>
      </c>
      <c r="FS192" s="125">
        <f>FS80/293.07*(1/(VLOOKUP($BM192,'Fuel economy adjusted factor'!$A$2:$L$52,5,FALSE)*m2k))/'TCO Inputs'!$AZ$84</f>
        <v>45.462920423977792</v>
      </c>
      <c r="FT192" s="125">
        <f>FT80/293.07*(1/(VLOOKUP($BM192,'Fuel economy adjusted factor'!$A$2:$L$52,5,FALSE)*m2k))/'TCO Inputs'!$AZ$84</f>
        <v>44.424890339660493</v>
      </c>
      <c r="FU192" s="125">
        <f>FU80/293.07*(1/(VLOOKUP($BM192,'Fuel economy adjusted factor'!$A$2:$L$52,5,FALSE)*m2k))/'TCO Inputs'!$AZ$84</f>
        <v>44.424890339660493</v>
      </c>
      <c r="FV192" s="125">
        <f>FV80/293.07*(1/(VLOOKUP($BM192,'Fuel economy adjusted factor'!$A$2:$L$52,5,FALSE)*m2k))/'TCO Inputs'!$AZ$84</f>
        <v>44.424890339660493</v>
      </c>
      <c r="FW192" s="125">
        <f>FW80/293.07*(1/(VLOOKUP($BM192,'Fuel economy adjusted factor'!$A$2:$L$52,5,FALSE)*m2k))/'TCO Inputs'!$AZ$84</f>
        <v>44.424890339660493</v>
      </c>
      <c r="FX192" s="125">
        <f>FX80/293.07*(1/(VLOOKUP($BM192,'Fuel economy adjusted factor'!$A$2:$L$52,5,FALSE)*m2k))/'TCO Inputs'!$AZ$84</f>
        <v>44.424890339660493</v>
      </c>
      <c r="FY192" s="125">
        <f>FY80/293.07*(1/(VLOOKUP($BM192,'Fuel economy adjusted factor'!$A$2:$L$52,5,FALSE)*m2k))/'TCO Inputs'!$AZ$84</f>
        <v>42.987337252767645</v>
      </c>
      <c r="FZ192" s="125">
        <f>FZ80/293.07*(1/(VLOOKUP($BM192,'Fuel economy adjusted factor'!$A$2:$L$52,5,FALSE)*m2k))/'TCO Inputs'!$AZ$84</f>
        <v>42.987337252767645</v>
      </c>
      <c r="GA192" s="125">
        <f>GA80/293.07*(1/(VLOOKUP($BM192,'Fuel economy adjusted factor'!$A$2:$L$52,5,FALSE)*m2k))/'TCO Inputs'!$AZ$84</f>
        <v>42.987337252767645</v>
      </c>
      <c r="GB192" s="125">
        <f>GB80/293.07*(1/(VLOOKUP($BM192,'Fuel economy adjusted factor'!$A$2:$L$52,5,FALSE)*m2k))/'TCO Inputs'!$AZ$84</f>
        <v>42.987337252767645</v>
      </c>
      <c r="GC192" s="125">
        <f>GC80/293.07*(1/(VLOOKUP($BM192,'Fuel economy adjusted factor'!$A$2:$L$52,5,FALSE)*m2k))/'TCO Inputs'!$AZ$84</f>
        <v>42.987337252767645</v>
      </c>
      <c r="GD192" s="125">
        <f>GD80/293.07*(1/(VLOOKUP($BM192,'Fuel economy adjusted factor'!$A$2:$L$52,5,FALSE)*m2k))/'TCO Inputs'!$AZ$84</f>
        <v>40.62242864239272</v>
      </c>
      <c r="GE192" s="98" cm="1">
        <f t="array" ref="GE192">SUMPRODUCT(INDEX(FC192:GD192,,'TCO Inputs'!$AZ$12-2023+_xlfn.SEQUENCE('TCO Inputs'!$AZ$13))*INDEX('VKT US'!C82:AA82,,_xlfn.SEQUENCE('TCO Inputs'!$AZ$13)))*m2k*CONVERT(0.9072,"g","ton")</f>
        <v>19.692360416740147</v>
      </c>
      <c r="GH192" s="123" t="s">
        <v>202</v>
      </c>
      <c r="GI192" s="125">
        <f>GI80/293.07*(1/(VLOOKUP($GH192,'Fuel economy adjusted factor'!$A$2:$L$52,5,FALSE)*m2k))/'TCO Inputs'!$AZ$84</f>
        <v>163.86203802229366</v>
      </c>
      <c r="GJ192" s="125">
        <f>GJ80/293.07*(1/(VLOOKUP($GH192,'Fuel economy adjusted factor'!$A$2:$L$52,5,FALSE)*m2k))/'TCO Inputs'!$AZ$84</f>
        <v>163.86203802229366</v>
      </c>
      <c r="GK192" s="125">
        <f>GK80/293.07*(1/(VLOOKUP($GH192,'Fuel economy adjusted factor'!$A$2:$L$52,5,FALSE)*m2k))/'TCO Inputs'!$AZ$84</f>
        <v>163.86203802229366</v>
      </c>
      <c r="GL192" s="125">
        <f>GL80/293.07*(1/(VLOOKUP($GH192,'Fuel economy adjusted factor'!$A$2:$L$52,5,FALSE)*m2k))/'TCO Inputs'!$AZ$84</f>
        <v>163.86203802229366</v>
      </c>
      <c r="GM192" s="125">
        <f>GM80/293.07*(1/(VLOOKUP($GH192,'Fuel economy adjusted factor'!$A$2:$L$52,5,FALSE)*m2k))/'TCO Inputs'!$AZ$84</f>
        <v>163.86203802229366</v>
      </c>
      <c r="GN192" s="125">
        <f>GN80/293.07*(1/(VLOOKUP($GH192,'Fuel economy adjusted factor'!$A$2:$L$52,5,FALSE)*m2k))/'TCO Inputs'!$AZ$84</f>
        <v>163.86203802229366</v>
      </c>
      <c r="GO192" s="125">
        <f>GO80/293.07*(1/(VLOOKUP($GH192,'Fuel economy adjusted factor'!$A$2:$L$52,5,FALSE)*m2k))/'TCO Inputs'!$AZ$84</f>
        <v>163.86203802229366</v>
      </c>
      <c r="GP192" s="125">
        <f>GP80/293.07*(1/(VLOOKUP($GH192,'Fuel economy adjusted factor'!$A$2:$L$52,5,FALSE)*m2k))/'TCO Inputs'!$AZ$84</f>
        <v>163.86203802229366</v>
      </c>
      <c r="GQ192" s="125">
        <f>GQ80/293.07*(1/(VLOOKUP($GH192,'Fuel economy adjusted factor'!$A$2:$L$52,5,FALSE)*m2k))/'TCO Inputs'!$AZ$84</f>
        <v>163.86203802229366</v>
      </c>
      <c r="GR192" s="125">
        <f>GR80/293.07*(1/(VLOOKUP($GH192,'Fuel economy adjusted factor'!$A$2:$L$52,5,FALSE)*m2k))/'TCO Inputs'!$AZ$84</f>
        <v>163.86203802229366</v>
      </c>
      <c r="GS192" s="125">
        <f>GS80/293.07*(1/(VLOOKUP($GH192,'Fuel economy adjusted factor'!$A$2:$L$52,5,FALSE)*m2k))/'TCO Inputs'!$AZ$84</f>
        <v>163.86203802229366</v>
      </c>
      <c r="GT192" s="125">
        <f>GT80/293.07*(1/(VLOOKUP($GH192,'Fuel economy adjusted factor'!$A$2:$L$52,5,FALSE)*m2k))/'TCO Inputs'!$AZ$84</f>
        <v>163.86203802229366</v>
      </c>
      <c r="GU192" s="125">
        <f>GU80/293.07*(1/(VLOOKUP($GH192,'Fuel economy adjusted factor'!$A$2:$L$52,5,FALSE)*m2k))/'TCO Inputs'!$AZ$84</f>
        <v>163.86203802229366</v>
      </c>
      <c r="GV192" s="125">
        <f>GV80/293.07*(1/(VLOOKUP($GH192,'Fuel economy adjusted factor'!$A$2:$L$52,5,FALSE)*m2k))/'TCO Inputs'!$AZ$84</f>
        <v>163.86203802229366</v>
      </c>
      <c r="GW192" s="125">
        <f>GW80/293.07*(1/(VLOOKUP($GH192,'Fuel economy adjusted factor'!$A$2:$L$52,5,FALSE)*m2k))/'TCO Inputs'!$AZ$84</f>
        <v>163.86203802229366</v>
      </c>
      <c r="GX192" s="125">
        <f>GX80/293.07*(1/(VLOOKUP($GH192,'Fuel economy adjusted factor'!$A$2:$L$52,5,FALSE)*m2k))/'TCO Inputs'!$AZ$84</f>
        <v>163.86203802229366</v>
      </c>
      <c r="GY192" s="125">
        <f>GY80/293.07*(1/(VLOOKUP($GH192,'Fuel economy adjusted factor'!$A$2:$L$52,5,FALSE)*m2k))/'TCO Inputs'!$AZ$84</f>
        <v>163.86203802229366</v>
      </c>
      <c r="GZ192" s="125">
        <f>GZ80/293.07*(1/(VLOOKUP($GH192,'Fuel economy adjusted factor'!$A$2:$L$52,5,FALSE)*m2k))/'TCO Inputs'!$AZ$84</f>
        <v>163.86203802229366</v>
      </c>
      <c r="HA192" s="125">
        <f>HA80/293.07*(1/(VLOOKUP($GH192,'Fuel economy adjusted factor'!$A$2:$L$52,5,FALSE)*m2k))/'TCO Inputs'!$AZ$84</f>
        <v>163.86203802229366</v>
      </c>
      <c r="HB192" s="125">
        <f>HB80/293.07*(1/(VLOOKUP($GH192,'Fuel economy adjusted factor'!$A$2:$L$52,5,FALSE)*m2k))/'TCO Inputs'!$AZ$84</f>
        <v>163.86203802229366</v>
      </c>
      <c r="HC192" s="125">
        <f>HC80/293.07*(1/(VLOOKUP($GH192,'Fuel economy adjusted factor'!$A$2:$L$52,5,FALSE)*m2k))/'TCO Inputs'!$AZ$84</f>
        <v>163.86203802229366</v>
      </c>
      <c r="HD192" s="125">
        <f>HD80/293.07*(1/(VLOOKUP($GH192,'Fuel economy adjusted factor'!$A$2:$L$52,5,FALSE)*m2k))/'TCO Inputs'!$AZ$84</f>
        <v>163.86203802229366</v>
      </c>
      <c r="HE192" s="125">
        <f>HE80/293.07*(1/(VLOOKUP($GH192,'Fuel economy adjusted factor'!$A$2:$L$52,5,FALSE)*m2k))/'TCO Inputs'!$AZ$84</f>
        <v>163.86203802229366</v>
      </c>
      <c r="HF192" s="125">
        <f>HF80/293.07*(1/(VLOOKUP($GH192,'Fuel economy adjusted factor'!$A$2:$L$52,5,FALSE)*m2k))/'TCO Inputs'!$AZ$84</f>
        <v>163.86203802229366</v>
      </c>
      <c r="HG192" s="125">
        <f>HG80/293.07*(1/(VLOOKUP($GH192,'Fuel economy adjusted factor'!$A$2:$L$52,5,FALSE)*m2k))/'TCO Inputs'!$AZ$84</f>
        <v>163.86203802229366</v>
      </c>
      <c r="HH192" s="125">
        <f>HH80/293.07*(1/(VLOOKUP($GH192,'Fuel economy adjusted factor'!$A$2:$L$52,5,FALSE)*m2k))/'TCO Inputs'!$AZ$84</f>
        <v>163.86203802229366</v>
      </c>
      <c r="HI192" s="125">
        <f>HI80/293.07*(1/(VLOOKUP($GH192,'Fuel economy adjusted factor'!$A$2:$L$52,5,FALSE)*m2k))/'TCO Inputs'!$AZ$84</f>
        <v>163.86203802229366</v>
      </c>
      <c r="HJ192" s="125">
        <f>HJ80/293.07*(1/(VLOOKUP($GH192,'Fuel economy adjusted factor'!$A$2:$L$52,5,FALSE)*m2k))/'TCO Inputs'!$AZ$84</f>
        <v>163.86203802229366</v>
      </c>
      <c r="HK192" s="98" cm="1">
        <f t="array" ref="HK192">SUMPRODUCT(INDEX(GI192:HJ192,,'TCO Inputs'!$AZ$12-2023+_xlfn.SEQUENCE('TCO Inputs'!$AZ$13))*INDEX('VKT US'!C82:AA82,,_xlfn.SEQUENCE('TCO Inputs'!$AZ$13)))*m2k*CONVERT(0.9072,"g","ton")</f>
        <v>46.730324711981197</v>
      </c>
    </row>
    <row r="193" spans="26:219" x14ac:dyDescent="0.25">
      <c r="Z193" s="123" t="s">
        <v>201</v>
      </c>
      <c r="AA193" s="125">
        <f>AA81/293.07*(1/(VLOOKUP($Z193,'Fuel economy adjusted factor'!$A$2:$L$52,5,FALSE)*m2k))/'TCO Inputs'!$AZ$84</f>
        <v>103.12775102356734</v>
      </c>
      <c r="AB193" s="125">
        <f>AB81/293.07*(1/(VLOOKUP($Z193,'Fuel economy adjusted factor'!$A$2:$L$52,5,FALSE)*m2k))/'TCO Inputs'!$AZ$84</f>
        <v>103.12775102356734</v>
      </c>
      <c r="AC193" s="125">
        <f>AC81/293.07*(1/(VLOOKUP($Z193,'Fuel economy adjusted factor'!$A$2:$L$52,5,FALSE)*m2k))/'TCO Inputs'!$AZ$84</f>
        <v>90.581803646019125</v>
      </c>
      <c r="AD193" s="125">
        <f>AD81/293.07*(1/(VLOOKUP($Z193,'Fuel economy adjusted factor'!$A$2:$L$52,5,FALSE)*m2k))/'TCO Inputs'!$AZ$84</f>
        <v>90.581803646019125</v>
      </c>
      <c r="AE193" s="125">
        <f>AE81/293.07*(1/(VLOOKUP($Z193,'Fuel economy adjusted factor'!$A$2:$L$52,5,FALSE)*m2k))/'TCO Inputs'!$AZ$84</f>
        <v>90.581803646019125</v>
      </c>
      <c r="AF193" s="125">
        <f>AF81/293.07*(1/(VLOOKUP($Z193,'Fuel economy adjusted factor'!$A$2:$L$52,5,FALSE)*m2k))/'TCO Inputs'!$AZ$84</f>
        <v>90.581803646019125</v>
      </c>
      <c r="AG193" s="125">
        <f>AG81/293.07*(1/(VLOOKUP($Z193,'Fuel economy adjusted factor'!$A$2:$L$52,5,FALSE)*m2k))/'TCO Inputs'!$AZ$84</f>
        <v>90.581803646019125</v>
      </c>
      <c r="AH193" s="125">
        <f>AH81/293.07*(1/(VLOOKUP($Z193,'Fuel economy adjusted factor'!$A$2:$L$52,5,FALSE)*m2k))/'TCO Inputs'!$AZ$84</f>
        <v>34.246637428476511</v>
      </c>
      <c r="AI193" s="125">
        <f>AI81/293.07*(1/(VLOOKUP($Z193,'Fuel economy adjusted factor'!$A$2:$L$52,5,FALSE)*m2k))/'TCO Inputs'!$AZ$84</f>
        <v>34.246637428476511</v>
      </c>
      <c r="AJ193" s="125">
        <f>AJ81/293.07*(1/(VLOOKUP($Z193,'Fuel economy adjusted factor'!$A$2:$L$52,5,FALSE)*m2k))/'TCO Inputs'!$AZ$84</f>
        <v>34.246637428476511</v>
      </c>
      <c r="AK193" s="125">
        <f>AK81/293.07*(1/(VLOOKUP($Z193,'Fuel economy adjusted factor'!$A$2:$L$52,5,FALSE)*m2k))/'TCO Inputs'!$AZ$84</f>
        <v>34.246637428476511</v>
      </c>
      <c r="AL193" s="125">
        <f>AL81/293.07*(1/(VLOOKUP($Z193,'Fuel economy adjusted factor'!$A$2:$L$52,5,FALSE)*m2k))/'TCO Inputs'!$AZ$84</f>
        <v>34.246637428476511</v>
      </c>
      <c r="AM193" s="125">
        <f>AM81/293.07*(1/(VLOOKUP($Z193,'Fuel economy adjusted factor'!$A$2:$L$52,5,FALSE)*m2k))/'TCO Inputs'!$AZ$84</f>
        <v>28.78431028253144</v>
      </c>
      <c r="AN193" s="125">
        <f>AN81/293.07*(1/(VLOOKUP($Z193,'Fuel economy adjusted factor'!$A$2:$L$52,5,FALSE)*m2k))/'TCO Inputs'!$AZ$84</f>
        <v>28.78431028253144</v>
      </c>
      <c r="AO193" s="125">
        <f>AO81/293.07*(1/(VLOOKUP($Z193,'Fuel economy adjusted factor'!$A$2:$L$52,5,FALSE)*m2k))/'TCO Inputs'!$AZ$84</f>
        <v>28.78431028253144</v>
      </c>
      <c r="AP193" s="125">
        <f>AP81/293.07*(1/(VLOOKUP($Z193,'Fuel economy adjusted factor'!$A$2:$L$52,5,FALSE)*m2k))/'TCO Inputs'!$AZ$84</f>
        <v>28.78431028253144</v>
      </c>
      <c r="AQ193" s="125">
        <f>AQ81/293.07*(1/(VLOOKUP($Z193,'Fuel economy adjusted factor'!$A$2:$L$52,5,FALSE)*m2k))/'TCO Inputs'!$AZ$84</f>
        <v>28.78431028253144</v>
      </c>
      <c r="AR193" s="125">
        <f>AR81/293.07*(1/(VLOOKUP($Z193,'Fuel economy adjusted factor'!$A$2:$L$52,5,FALSE)*m2k))/'TCO Inputs'!$AZ$84</f>
        <v>28.78431028253144</v>
      </c>
      <c r="AS193" s="125">
        <f>AS81/293.07*(1/(VLOOKUP($Z193,'Fuel economy adjusted factor'!$A$2:$L$52,5,FALSE)*m2k))/'TCO Inputs'!$AZ$84</f>
        <v>28.78431028253144</v>
      </c>
      <c r="AT193" s="125">
        <f>AT81/293.07*(1/(VLOOKUP($Z193,'Fuel economy adjusted factor'!$A$2:$L$52,5,FALSE)*m2k))/'TCO Inputs'!$AZ$84</f>
        <v>28.78431028253144</v>
      </c>
      <c r="AU193" s="125">
        <f>AU81/293.07*(1/(VLOOKUP($Z193,'Fuel economy adjusted factor'!$A$2:$L$52,5,FALSE)*m2k))/'TCO Inputs'!$AZ$84</f>
        <v>28.78431028253144</v>
      </c>
      <c r="AV193" s="125">
        <f>AV81/293.07*(1/(VLOOKUP($Z193,'Fuel economy adjusted factor'!$A$2:$L$52,5,FALSE)*m2k))/'TCO Inputs'!$AZ$84</f>
        <v>28.78431028253144</v>
      </c>
      <c r="AW193" s="125">
        <f>AW81/293.07*(1/(VLOOKUP($Z193,'Fuel economy adjusted factor'!$A$2:$L$52,5,FALSE)*m2k))/'TCO Inputs'!$AZ$84</f>
        <v>28.920212791182191</v>
      </c>
      <c r="AX193" s="125">
        <f>AX81/293.07*(1/(VLOOKUP($Z193,'Fuel economy adjusted factor'!$A$2:$L$52,5,FALSE)*m2k))/'TCO Inputs'!$AZ$84</f>
        <v>28.920212791182191</v>
      </c>
      <c r="AY193" s="125">
        <f>AY81/293.07*(1/(VLOOKUP($Z193,'Fuel economy adjusted factor'!$A$2:$L$52,5,FALSE)*m2k))/'TCO Inputs'!$AZ$84</f>
        <v>28.920212791182191</v>
      </c>
      <c r="AZ193" s="125">
        <f>AZ81/293.07*(1/(VLOOKUP($Z193,'Fuel economy adjusted factor'!$A$2:$L$52,5,FALSE)*m2k))/'TCO Inputs'!$AZ$84</f>
        <v>28.920212791182191</v>
      </c>
      <c r="BA193" s="125">
        <f>BA81/293.07*(1/(VLOOKUP($Z193,'Fuel economy adjusted factor'!$A$2:$L$52,5,FALSE)*m2k))/'TCO Inputs'!$AZ$84</f>
        <v>28.920212791182191</v>
      </c>
      <c r="BB193" s="125">
        <f>BB81/293.07*(1/(VLOOKUP($Z193,'Fuel economy adjusted factor'!$A$2:$L$52,5,FALSE)*m2k))/'TCO Inputs'!$AZ$84</f>
        <v>29.091084366386355</v>
      </c>
      <c r="BC193" s="98" cm="1">
        <f t="array" ref="BC193">SUMPRODUCT(INDEX(AA193:BB193,,'TCO Inputs'!$AZ$12-2023+_xlfn.SEQUENCE('TCO Inputs'!$AZ$13))*INDEX('VKT US'!C83:AA83,,_xlfn.SEQUENCE('TCO Inputs'!$AZ$13)))*m2k*CONVERT(0.9072,"g","ton")</f>
        <v>18.487063733996898</v>
      </c>
      <c r="BM193" s="123" t="s">
        <v>201</v>
      </c>
      <c r="BN193" s="125">
        <f>BN81/293.07*(1/(VLOOKUP($BM193,'Fuel economy adjusted factor'!$A$2:$L$52,5,FALSE)*m2k))</f>
        <v>87.658588370032234</v>
      </c>
      <c r="BO193" s="125">
        <f>BO81/293.07*(1/(VLOOKUP($BM193,'Fuel economy adjusted factor'!$A$2:$L$52,5,FALSE)*m2k))</f>
        <v>87.658588370032234</v>
      </c>
      <c r="BP193" s="125">
        <f>BP81/293.07*(1/(VLOOKUP($BM193,'Fuel economy adjusted factor'!$A$2:$L$52,5,FALSE)*m2k))</f>
        <v>69.098835771961433</v>
      </c>
      <c r="BQ193" s="125">
        <f>BQ81/293.07*(1/(VLOOKUP($BM193,'Fuel economy adjusted factor'!$A$2:$L$52,5,FALSE)*m2k))</f>
        <v>69.098835771961433</v>
      </c>
      <c r="BR193" s="125">
        <f>BR81/293.07*(1/(VLOOKUP($BM193,'Fuel economy adjusted factor'!$A$2:$L$52,5,FALSE)*m2k))</f>
        <v>69.098835771961433</v>
      </c>
      <c r="BS193" s="125">
        <f>BS81/293.07*(1/(VLOOKUP($BM193,'Fuel economy adjusted factor'!$A$2:$L$52,5,FALSE)*m2k))</f>
        <v>69.098835771961433</v>
      </c>
      <c r="BT193" s="125">
        <f>BT81/293.07*(1/(VLOOKUP($BM193,'Fuel economy adjusted factor'!$A$2:$L$52,5,FALSE)*m2k))</f>
        <v>69.098835771961433</v>
      </c>
      <c r="BU193" s="125">
        <f>BU81/293.07*(1/(VLOOKUP($BM193,'Fuel economy adjusted factor'!$A$2:$L$52,5,FALSE)*m2k))</f>
        <v>3.9032631037218137</v>
      </c>
      <c r="BV193" s="125">
        <f>BV81/293.07*(1/(VLOOKUP($BM193,'Fuel economy adjusted factor'!$A$2:$L$52,5,FALSE)*m2k))</f>
        <v>3.9032631037218137</v>
      </c>
      <c r="BW193" s="125">
        <f>BW81/293.07*(1/(VLOOKUP($BM193,'Fuel economy adjusted factor'!$A$2:$L$52,5,FALSE)*m2k))</f>
        <v>3.9032631037218137</v>
      </c>
      <c r="BX193" s="125">
        <f>BX81/293.07*(1/(VLOOKUP($BM193,'Fuel economy adjusted factor'!$A$2:$L$52,5,FALSE)*m2k))</f>
        <v>3.9032631037218137</v>
      </c>
      <c r="BY193" s="125">
        <f>BY81/293.07*(1/(VLOOKUP($BM193,'Fuel economy adjusted factor'!$A$2:$L$52,5,FALSE)*m2k))</f>
        <v>3.9032631037218137</v>
      </c>
      <c r="BZ193" s="125">
        <f>BZ81/293.07*(1/(VLOOKUP($BM193,'Fuel economy adjusted factor'!$A$2:$L$52,5,FALSE)*m2k))</f>
        <v>4.0707967225731476</v>
      </c>
      <c r="CA193" s="125">
        <f>CA81/293.07*(1/(VLOOKUP($BM193,'Fuel economy adjusted factor'!$A$2:$L$52,5,FALSE)*m2k))</f>
        <v>4.0707967225731476</v>
      </c>
      <c r="CB193" s="125">
        <f>CB81/293.07*(1/(VLOOKUP($BM193,'Fuel economy adjusted factor'!$A$2:$L$52,5,FALSE)*m2k))</f>
        <v>4.0707967225731476</v>
      </c>
      <c r="CC193" s="125">
        <f>CC81/293.07*(1/(VLOOKUP($BM193,'Fuel economy adjusted factor'!$A$2:$L$52,5,FALSE)*m2k))</f>
        <v>4.0707967225731476</v>
      </c>
      <c r="CD193" s="125">
        <f>CD81/293.07*(1/(VLOOKUP($BM193,'Fuel economy adjusted factor'!$A$2:$L$52,5,FALSE)*m2k))</f>
        <v>4.0707967225731476</v>
      </c>
      <c r="CE193" s="125">
        <f>CE81/293.07*(1/(VLOOKUP($BM193,'Fuel economy adjusted factor'!$A$2:$L$52,5,FALSE)*m2k))</f>
        <v>4.1275419805711815</v>
      </c>
      <c r="CF193" s="125">
        <f>CF81/293.07*(1/(VLOOKUP($BM193,'Fuel economy adjusted factor'!$A$2:$L$52,5,FALSE)*m2k))</f>
        <v>4.1275419805711815</v>
      </c>
      <c r="CG193" s="125">
        <f>CG81/293.07*(1/(VLOOKUP($BM193,'Fuel economy adjusted factor'!$A$2:$L$52,5,FALSE)*m2k))</f>
        <v>4.1275419805711815</v>
      </c>
      <c r="CH193" s="125">
        <f>CH81/293.07*(1/(VLOOKUP($BM193,'Fuel economy adjusted factor'!$A$2:$L$52,5,FALSE)*m2k))</f>
        <v>4.1275419805711815</v>
      </c>
      <c r="CI193" s="125">
        <f>CI81/293.07*(1/(VLOOKUP($BM193,'Fuel economy adjusted factor'!$A$2:$L$52,5,FALSE)*m2k))</f>
        <v>4.1275419805711815</v>
      </c>
      <c r="CJ193" s="125">
        <f>CJ81/293.07*(1/(VLOOKUP($BM193,'Fuel economy adjusted factor'!$A$2:$L$52,5,FALSE)*m2k))</f>
        <v>4.2727828194947168</v>
      </c>
      <c r="CK193" s="125">
        <f>CK81/293.07*(1/(VLOOKUP($BM193,'Fuel economy adjusted factor'!$A$2:$L$52,5,FALSE)*m2k))</f>
        <v>4.2727828194947168</v>
      </c>
      <c r="CL193" s="125">
        <f>CL81/293.07*(1/(VLOOKUP($BM193,'Fuel economy adjusted factor'!$A$2:$L$52,5,FALSE)*m2k))</f>
        <v>4.2727828194947168</v>
      </c>
      <c r="CM193" s="125">
        <f>CM81/293.07*(1/(VLOOKUP($BM193,'Fuel economy adjusted factor'!$A$2:$L$52,5,FALSE)*m2k))</f>
        <v>4.2727828194947168</v>
      </c>
      <c r="CN193" s="125">
        <f>CN81/293.07*(1/(VLOOKUP($BM193,'Fuel economy adjusted factor'!$A$2:$L$52,5,FALSE)*m2k))</f>
        <v>4.2727828194947168</v>
      </c>
      <c r="CO193" s="125">
        <f>CO81/293.07*(1/(VLOOKUP($BM193,'Fuel economy adjusted factor'!$A$2:$L$52,5,FALSE)*m2k))</f>
        <v>4.4565293692026318</v>
      </c>
      <c r="CP193" s="98" cm="1">
        <f t="array" ref="CP193">SUMPRODUCT(INDEX(BN193:CO193,,'TCO Inputs'!$AZ$12-2023+_xlfn.SEQUENCE('TCO Inputs'!$AZ$13))*INDEX('VKT US'!C83:AA83,,_xlfn.SEQUENCE('TCO Inputs'!$AZ$13)))*m2k*CONVERT(0.9072,"g","ton")</f>
        <v>11.898163058411912</v>
      </c>
      <c r="CQ193" s="194"/>
      <c r="CR193" s="123" t="s">
        <v>201</v>
      </c>
      <c r="CS193" s="125">
        <f>CS81/293.07*(1/(VLOOKUP($BM193,'Fuel economy adjusted factor'!$A$2:$L$52,5,FALSE)*m2k))/'TCO Inputs'!$AZ$84</f>
        <v>103.12775102356734</v>
      </c>
      <c r="CT193" s="125">
        <f>CT81/293.07*(1/(VLOOKUP($BM193,'Fuel economy adjusted factor'!$A$2:$L$52,5,FALSE)*m2k))</f>
        <v>4.1045736618576916</v>
      </c>
      <c r="CU193" s="125">
        <f>CU81/293.07*(1/(VLOOKUP($BM193,'Fuel economy adjusted factor'!$A$2:$L$52,5,FALSE)*m2k))</f>
        <v>4.1045736618576916</v>
      </c>
      <c r="CV193" s="125">
        <f>CV81/293.07*(1/(VLOOKUP($BM193,'Fuel economy adjusted factor'!$A$2:$L$52,5,FALSE)*m2k))</f>
        <v>4.1045736618576916</v>
      </c>
      <c r="CW193" s="125">
        <f>CW81/293.07*(1/(VLOOKUP($BM193,'Fuel economy adjusted factor'!$A$2:$L$52,5,FALSE)*m2k))</f>
        <v>4.1045736618576916</v>
      </c>
      <c r="CX193" s="125">
        <f>CX81/293.07*(1/(VLOOKUP($BM193,'Fuel economy adjusted factor'!$A$2:$L$52,5,FALSE)*m2k))</f>
        <v>4.1045736618576916</v>
      </c>
      <c r="CY193" s="125">
        <f>CY81/293.07*(1/(VLOOKUP($BM193,'Fuel economy adjusted factor'!$A$2:$L$52,5,FALSE)*m2k))</f>
        <v>4.1045736618576916</v>
      </c>
      <c r="CZ193" s="125">
        <f>CZ81/293.07*(1/(VLOOKUP($BM193,'Fuel economy adjusted factor'!$A$2:$L$52,5,FALSE)*m2k))</f>
        <v>4.1045736618576916</v>
      </c>
      <c r="DA193" s="125">
        <f>DA81/293.07*(1/(VLOOKUP($BM193,'Fuel economy adjusted factor'!$A$2:$L$52,5,FALSE)*m2k))</f>
        <v>4.1045736618576916</v>
      </c>
      <c r="DB193" s="125">
        <f>DB81/293.07*(1/(VLOOKUP($BM193,'Fuel economy adjusted factor'!$A$2:$L$52,5,FALSE)*m2k))</f>
        <v>4.1045736618576916</v>
      </c>
      <c r="DC193" s="125">
        <f>DC81/293.07*(1/(VLOOKUP($BM193,'Fuel economy adjusted factor'!$A$2:$L$52,5,FALSE)*m2k))</f>
        <v>4.1045736618576916</v>
      </c>
      <c r="DD193" s="125">
        <f>DD81/293.07*(1/(VLOOKUP($BM193,'Fuel economy adjusted factor'!$A$2:$L$52,5,FALSE)*m2k))</f>
        <v>4.1045736618576916</v>
      </c>
      <c r="DE193" s="125">
        <f>DE81/293.07*(1/(VLOOKUP($BM193,'Fuel economy adjusted factor'!$A$2:$L$52,5,FALSE)*m2k))</f>
        <v>4.2221174105679014</v>
      </c>
      <c r="DF193" s="125">
        <f>DF81/293.07*(1/(VLOOKUP($BM193,'Fuel economy adjusted factor'!$A$2:$L$52,5,FALSE)*m2k))</f>
        <v>4.2221174105679014</v>
      </c>
      <c r="DG193" s="125">
        <f>DG81/293.07*(1/(VLOOKUP($BM193,'Fuel economy adjusted factor'!$A$2:$L$52,5,FALSE)*m2k))</f>
        <v>4.2221174105679014</v>
      </c>
      <c r="DH193" s="125">
        <f>DH81/293.07*(1/(VLOOKUP($BM193,'Fuel economy adjusted factor'!$A$2:$L$52,5,FALSE)*m2k))</f>
        <v>4.2221174105679014</v>
      </c>
      <c r="DI193" s="125">
        <f>DI81/293.07*(1/(VLOOKUP($BM193,'Fuel economy adjusted factor'!$A$2:$L$52,5,FALSE)*m2k))</f>
        <v>4.2221174105679014</v>
      </c>
      <c r="DJ193" s="125">
        <f>DJ81/293.07*(1/(VLOOKUP($BM193,'Fuel economy adjusted factor'!$A$2:$L$52,5,FALSE)*m2k))</f>
        <v>4.441667515917433</v>
      </c>
      <c r="DK193" s="125">
        <f>DK81/293.07*(1/(VLOOKUP($BM193,'Fuel economy adjusted factor'!$A$2:$L$52,5,FALSE)*m2k))</f>
        <v>4.441667515917433</v>
      </c>
      <c r="DL193" s="125">
        <f>DL81/293.07*(1/(VLOOKUP($BM193,'Fuel economy adjusted factor'!$A$2:$L$52,5,FALSE)*m2k))</f>
        <v>4.441667515917433</v>
      </c>
      <c r="DM193" s="125">
        <f>DM81/293.07*(1/(VLOOKUP($BM193,'Fuel economy adjusted factor'!$A$2:$L$52,5,FALSE)*m2k))</f>
        <v>4.441667515917433</v>
      </c>
      <c r="DN193" s="125">
        <f>DN81/293.07*(1/(VLOOKUP($BM193,'Fuel economy adjusted factor'!$A$2:$L$52,5,FALSE)*m2k))</f>
        <v>4.441667515917433</v>
      </c>
      <c r="DO193" s="125">
        <f>DO81/293.07*(1/(VLOOKUP($BM193,'Fuel economy adjusted factor'!$A$2:$L$52,5,FALSE)*m2k))</f>
        <v>4.5869083548409693</v>
      </c>
      <c r="DP193" s="125">
        <f>DP81/293.07*(1/(VLOOKUP($BM193,'Fuel economy adjusted factor'!$A$2:$L$52,5,FALSE)*m2k))</f>
        <v>4.5869083548409693</v>
      </c>
      <c r="DQ193" s="125">
        <f>DQ81/293.07*(1/(VLOOKUP($BM193,'Fuel economy adjusted factor'!$A$2:$L$52,5,FALSE)*m2k))</f>
        <v>4.5869083548409693</v>
      </c>
      <c r="DR193" s="125">
        <f>DR81/293.07*(1/(VLOOKUP($BM193,'Fuel economy adjusted factor'!$A$2:$L$52,5,FALSE)*m2k))</f>
        <v>4.5869083548409693</v>
      </c>
      <c r="DS193" s="125">
        <f>DS81/293.07*(1/(VLOOKUP($BM193,'Fuel economy adjusted factor'!$A$2:$L$52,5,FALSE)*m2k))</f>
        <v>4.5869083548409693</v>
      </c>
      <c r="DT193" s="125">
        <f>DT81/293.07*(1/(VLOOKUP($BM193,'Fuel economy adjusted factor'!$A$2:$L$52,5,FALSE)*m2k))</f>
        <v>4.7713304433345742</v>
      </c>
      <c r="DU193" s="98" cm="1">
        <f t="array" ref="DU193">SUMPRODUCT(INDEX(CS193:DT193,,'TCO Inputs'!$AZ$12-2023+_xlfn.SEQUENCE('TCO Inputs'!$AZ$13))*INDEX('VKT US'!C83:AA83,,_xlfn.SEQUENCE('TCO Inputs'!$AZ$13)))*m2k*CONVERT(0.9072,"g","ton")</f>
        <v>3.4971706113898775</v>
      </c>
      <c r="DW193" s="123" t="s">
        <v>201</v>
      </c>
      <c r="DX193" s="125">
        <f>DX81/293.07*(1/(VLOOKUP($BM193,'Fuel economy adjusted factor'!$A$2:$L$52,5,FALSE)*m2k))/'TCO Inputs'!$AZ$84</f>
        <v>136.25017538592914</v>
      </c>
      <c r="DY193" s="125">
        <f>DY81/293.07*(1/(VLOOKUP($BM193,'Fuel economy adjusted factor'!$A$2:$L$52,5,FALSE)*m2k))/'TCO Inputs'!$AZ$84</f>
        <v>136.25017538592914</v>
      </c>
      <c r="DZ193" s="125">
        <f>DZ81/293.07*(1/(VLOOKUP($BM193,'Fuel economy adjusted factor'!$A$2:$L$52,5,FALSE)*m2k))/'TCO Inputs'!$AZ$84</f>
        <v>119.20230495476127</v>
      </c>
      <c r="EA193" s="125">
        <f>EA81/293.07*(1/(VLOOKUP($BM193,'Fuel economy adjusted factor'!$A$2:$L$52,5,FALSE)*m2k))/'TCO Inputs'!$AZ$84</f>
        <v>119.20230495476127</v>
      </c>
      <c r="EB193" s="125">
        <f>EB81/293.07*(1/(VLOOKUP($BM193,'Fuel economy adjusted factor'!$A$2:$L$52,5,FALSE)*m2k))/'TCO Inputs'!$AZ$84</f>
        <v>119.20230495476127</v>
      </c>
      <c r="EC193" s="125">
        <f>EC81/293.07*(1/(VLOOKUP($BM193,'Fuel economy adjusted factor'!$A$2:$L$52,5,FALSE)*m2k))/'TCO Inputs'!$AZ$84</f>
        <v>119.20230495476127</v>
      </c>
      <c r="ED193" s="125">
        <f>ED81/293.07*(1/(VLOOKUP($BM193,'Fuel economy adjusted factor'!$A$2:$L$52,5,FALSE)*m2k))/'TCO Inputs'!$AZ$84</f>
        <v>119.20230495476127</v>
      </c>
      <c r="EE193" s="125">
        <f>EE81/293.07*(1/(VLOOKUP($BM193,'Fuel economy adjusted factor'!$A$2:$L$52,5,FALSE)*m2k))/'TCO Inputs'!$AZ$84</f>
        <v>74.16309564891526</v>
      </c>
      <c r="EF193" s="125">
        <f>EF81/293.07*(1/(VLOOKUP($BM193,'Fuel economy adjusted factor'!$A$2:$L$52,5,FALSE)*m2k))/'TCO Inputs'!$AZ$84</f>
        <v>74.16309564891526</v>
      </c>
      <c r="EG193" s="125">
        <f>EG81/293.07*(1/(VLOOKUP($BM193,'Fuel economy adjusted factor'!$A$2:$L$52,5,FALSE)*m2k))/'TCO Inputs'!$AZ$84</f>
        <v>74.16309564891526</v>
      </c>
      <c r="EH193" s="125">
        <f>EH81/293.07*(1/(VLOOKUP($BM193,'Fuel economy adjusted factor'!$A$2:$L$52,5,FALSE)*m2k))/'TCO Inputs'!$AZ$84</f>
        <v>74.16309564891526</v>
      </c>
      <c r="EI193" s="125">
        <f>EI81/293.07*(1/(VLOOKUP($BM193,'Fuel economy adjusted factor'!$A$2:$L$52,5,FALSE)*m2k))/'TCO Inputs'!$AZ$84</f>
        <v>74.16309564891526</v>
      </c>
      <c r="EJ193" s="125">
        <f>EJ81/293.07*(1/(VLOOKUP($BM193,'Fuel economy adjusted factor'!$A$2:$L$52,5,FALSE)*m2k))/'TCO Inputs'!$AZ$84</f>
        <v>66.035119042713589</v>
      </c>
      <c r="EK193" s="125">
        <f>EK81/293.07*(1/(VLOOKUP($BM193,'Fuel economy adjusted factor'!$A$2:$L$52,5,FALSE)*m2k))/'TCO Inputs'!$AZ$84</f>
        <v>66.035119042713589</v>
      </c>
      <c r="EL193" s="125">
        <f>EL81/293.07*(1/(VLOOKUP($BM193,'Fuel economy adjusted factor'!$A$2:$L$52,5,FALSE)*m2k))/'TCO Inputs'!$AZ$84</f>
        <v>66.035119042713589</v>
      </c>
      <c r="EM193" s="125">
        <f>EM81/293.07*(1/(VLOOKUP($BM193,'Fuel economy adjusted factor'!$A$2:$L$52,5,FALSE)*m2k))/'TCO Inputs'!$AZ$84</f>
        <v>66.035119042713589</v>
      </c>
      <c r="EN193" s="125">
        <f>EN81/293.07*(1/(VLOOKUP($BM193,'Fuel economy adjusted factor'!$A$2:$L$52,5,FALSE)*m2k))/'TCO Inputs'!$AZ$84</f>
        <v>66.035119042713589</v>
      </c>
      <c r="EO193" s="125">
        <f>EO81/293.07*(1/(VLOOKUP($BM193,'Fuel economy adjusted factor'!$A$2:$L$52,5,FALSE)*m2k))/'TCO Inputs'!$AZ$84</f>
        <v>64.165501599141919</v>
      </c>
      <c r="EP193" s="125">
        <f>EP81/293.07*(1/(VLOOKUP($BM193,'Fuel economy adjusted factor'!$A$2:$L$52,5,FALSE)*m2k))/'TCO Inputs'!$AZ$84</f>
        <v>64.165501599141919</v>
      </c>
      <c r="EQ193" s="125">
        <f>EQ81/293.07*(1/(VLOOKUP($BM193,'Fuel economy adjusted factor'!$A$2:$L$52,5,FALSE)*m2k))/'TCO Inputs'!$AZ$84</f>
        <v>64.165501599141919</v>
      </c>
      <c r="ER193" s="125">
        <f>ER81/293.07*(1/(VLOOKUP($BM193,'Fuel economy adjusted factor'!$A$2:$L$52,5,FALSE)*m2k))/'TCO Inputs'!$AZ$84</f>
        <v>64.165501599141919</v>
      </c>
      <c r="ES193" s="125">
        <f>ES81/293.07*(1/(VLOOKUP($BM193,'Fuel economy adjusted factor'!$A$2:$L$52,5,FALSE)*m2k))/'TCO Inputs'!$AZ$84</f>
        <v>64.165501599141919</v>
      </c>
      <c r="ET193" s="125">
        <f>ET81/293.07*(1/(VLOOKUP($BM193,'Fuel economy adjusted factor'!$A$2:$L$52,5,FALSE)*m2k))/'TCO Inputs'!$AZ$84</f>
        <v>61.894633268298314</v>
      </c>
      <c r="EU193" s="125">
        <f>EU81/293.07*(1/(VLOOKUP($BM193,'Fuel economy adjusted factor'!$A$2:$L$52,5,FALSE)*m2k))/'TCO Inputs'!$AZ$84</f>
        <v>61.894633268298314</v>
      </c>
      <c r="EV193" s="125">
        <f>EV81/293.07*(1/(VLOOKUP($BM193,'Fuel economy adjusted factor'!$A$2:$L$52,5,FALSE)*m2k))/'TCO Inputs'!$AZ$84</f>
        <v>61.894633268298314</v>
      </c>
      <c r="EW193" s="125">
        <f>EW81/293.07*(1/(VLOOKUP($BM193,'Fuel economy adjusted factor'!$A$2:$L$52,5,FALSE)*m2k))/'TCO Inputs'!$AZ$84</f>
        <v>61.894633268298314</v>
      </c>
      <c r="EX193" s="125">
        <f>EX81/293.07*(1/(VLOOKUP($BM193,'Fuel economy adjusted factor'!$A$2:$L$52,5,FALSE)*m2k))/'TCO Inputs'!$AZ$84</f>
        <v>61.894633268298314</v>
      </c>
      <c r="EY193" s="125">
        <f>EY81/293.07*(1/(VLOOKUP($BM193,'Fuel economy adjusted factor'!$A$2:$L$52,5,FALSE)*m2k))/'TCO Inputs'!$AZ$84</f>
        <v>58.275677424102227</v>
      </c>
      <c r="EZ193" s="98" cm="1">
        <f t="array" ref="EZ193">SUMPRODUCT(INDEX(DX193:EY193,,'TCO Inputs'!$AZ$12-2023+_xlfn.SEQUENCE('TCO Inputs'!$AZ$13))*INDEX('VKT US'!C83:AA83,,_xlfn.SEQUENCE('TCO Inputs'!$AZ$13)))*m2k*CONVERT(0.9072,"g","ton")</f>
        <v>27.948984693349789</v>
      </c>
      <c r="FB193" s="123" t="s">
        <v>201</v>
      </c>
      <c r="FC193" s="125">
        <f>FC81/293.07*(1/(VLOOKUP($BM193,'Fuel economy adjusted factor'!$A$2:$L$52,5,FALSE)*m2k))/'TCO Inputs'!$AZ$84</f>
        <v>147.28794259911007</v>
      </c>
      <c r="FD193" s="125">
        <f>FD81/293.07*(1/(VLOOKUP($BM193,'Fuel economy adjusted factor'!$A$2:$L$52,5,FALSE)*m2k))/'TCO Inputs'!$AZ$84</f>
        <v>147.28794259911007</v>
      </c>
      <c r="FE193" s="125">
        <f>FE81/293.07*(1/(VLOOKUP($BM193,'Fuel economy adjusted factor'!$A$2:$L$52,5,FALSE)*m2k))/'TCO Inputs'!$AZ$84</f>
        <v>128.41086848280082</v>
      </c>
      <c r="FF193" s="125">
        <f>FF81/293.07*(1/(VLOOKUP($BM193,'Fuel economy adjusted factor'!$A$2:$L$52,5,FALSE)*m2k))/'TCO Inputs'!$AZ$84</f>
        <v>128.41086848280082</v>
      </c>
      <c r="FG193" s="125">
        <f>FG81/293.07*(1/(VLOOKUP($BM193,'Fuel economy adjusted factor'!$A$2:$L$52,5,FALSE)*m2k))/'TCO Inputs'!$AZ$84</f>
        <v>128.41086848280082</v>
      </c>
      <c r="FH193" s="125">
        <f>FH81/293.07*(1/(VLOOKUP($BM193,'Fuel economy adjusted factor'!$A$2:$L$52,5,FALSE)*m2k))/'TCO Inputs'!$AZ$84</f>
        <v>128.41086848280082</v>
      </c>
      <c r="FI193" s="125">
        <f>FI81/293.07*(1/(VLOOKUP($BM193,'Fuel economy adjusted factor'!$A$2:$L$52,5,FALSE)*m2k))/'TCO Inputs'!$AZ$84</f>
        <v>128.41086848280082</v>
      </c>
      <c r="FJ193" s="125">
        <f>FJ81/293.07*(1/(VLOOKUP($BM193,'Fuel economy adjusted factor'!$A$2:$L$52,5,FALSE)*m2k))/'TCO Inputs'!$AZ$84</f>
        <v>81.221069889058413</v>
      </c>
      <c r="FK193" s="125">
        <f>FK81/293.07*(1/(VLOOKUP($BM193,'Fuel economy adjusted factor'!$A$2:$L$52,5,FALSE)*m2k))/'TCO Inputs'!$AZ$84</f>
        <v>81.221069889058413</v>
      </c>
      <c r="FL193" s="125">
        <f>FL81/293.07*(1/(VLOOKUP($BM193,'Fuel economy adjusted factor'!$A$2:$L$52,5,FALSE)*m2k))/'TCO Inputs'!$AZ$84</f>
        <v>81.221069889058413</v>
      </c>
      <c r="FM193" s="125">
        <f>FM81/293.07*(1/(VLOOKUP($BM193,'Fuel economy adjusted factor'!$A$2:$L$52,5,FALSE)*m2k))/'TCO Inputs'!$AZ$84</f>
        <v>81.221069889058413</v>
      </c>
      <c r="FN193" s="125">
        <f>FN81/293.07*(1/(VLOOKUP($BM193,'Fuel economy adjusted factor'!$A$2:$L$52,5,FALSE)*m2k))/'TCO Inputs'!$AZ$84</f>
        <v>81.221069889058413</v>
      </c>
      <c r="FO193" s="125">
        <f>FO81/293.07*(1/(VLOOKUP($BM193,'Fuel economy adjusted factor'!$A$2:$L$52,5,FALSE)*m2k))/'TCO Inputs'!$AZ$84</f>
        <v>71.938414470563387</v>
      </c>
      <c r="FP193" s="125">
        <f>FP81/293.07*(1/(VLOOKUP($BM193,'Fuel economy adjusted factor'!$A$2:$L$52,5,FALSE)*m2k))/'TCO Inputs'!$AZ$84</f>
        <v>71.938414470563387</v>
      </c>
      <c r="FQ193" s="125">
        <f>FQ81/293.07*(1/(VLOOKUP($BM193,'Fuel economy adjusted factor'!$A$2:$L$52,5,FALSE)*m2k))/'TCO Inputs'!$AZ$84</f>
        <v>71.938414470563387</v>
      </c>
      <c r="FR193" s="125">
        <f>FR81/293.07*(1/(VLOOKUP($BM193,'Fuel economy adjusted factor'!$A$2:$L$52,5,FALSE)*m2k))/'TCO Inputs'!$AZ$84</f>
        <v>71.938414470563387</v>
      </c>
      <c r="FS193" s="125">
        <f>FS81/293.07*(1/(VLOOKUP($BM193,'Fuel economy adjusted factor'!$A$2:$L$52,5,FALSE)*m2k))/'TCO Inputs'!$AZ$84</f>
        <v>71.938414470563387</v>
      </c>
      <c r="FT193" s="125">
        <f>FT81/293.07*(1/(VLOOKUP($BM193,'Fuel economy adjusted factor'!$A$2:$L$52,5,FALSE)*m2k))/'TCO Inputs'!$AZ$84</f>
        <v>70.295883860076088</v>
      </c>
      <c r="FU193" s="125">
        <f>FU81/293.07*(1/(VLOOKUP($BM193,'Fuel economy adjusted factor'!$A$2:$L$52,5,FALSE)*m2k))/'TCO Inputs'!$AZ$84</f>
        <v>70.295883860076088</v>
      </c>
      <c r="FV193" s="125">
        <f>FV81/293.07*(1/(VLOOKUP($BM193,'Fuel economy adjusted factor'!$A$2:$L$52,5,FALSE)*m2k))/'TCO Inputs'!$AZ$84</f>
        <v>70.295883860076088</v>
      </c>
      <c r="FW193" s="125">
        <f>FW81/293.07*(1/(VLOOKUP($BM193,'Fuel economy adjusted factor'!$A$2:$L$52,5,FALSE)*m2k))/'TCO Inputs'!$AZ$84</f>
        <v>70.295883860076088</v>
      </c>
      <c r="FX193" s="125">
        <f>FX81/293.07*(1/(VLOOKUP($BM193,'Fuel economy adjusted factor'!$A$2:$L$52,5,FALSE)*m2k))/'TCO Inputs'!$AZ$84</f>
        <v>70.295883860076088</v>
      </c>
      <c r="FY193" s="125">
        <f>FY81/293.07*(1/(VLOOKUP($BM193,'Fuel economy adjusted factor'!$A$2:$L$52,5,FALSE)*m2k))/'TCO Inputs'!$AZ$84</f>
        <v>68.021166599858162</v>
      </c>
      <c r="FZ193" s="125">
        <f>FZ81/293.07*(1/(VLOOKUP($BM193,'Fuel economy adjusted factor'!$A$2:$L$52,5,FALSE)*m2k))/'TCO Inputs'!$AZ$84</f>
        <v>68.021166599858162</v>
      </c>
      <c r="GA193" s="125">
        <f>GA81/293.07*(1/(VLOOKUP($BM193,'Fuel economy adjusted factor'!$A$2:$L$52,5,FALSE)*m2k))/'TCO Inputs'!$AZ$84</f>
        <v>68.021166599858162</v>
      </c>
      <c r="GB193" s="125">
        <f>GB81/293.07*(1/(VLOOKUP($BM193,'Fuel economy adjusted factor'!$A$2:$L$52,5,FALSE)*m2k))/'TCO Inputs'!$AZ$84</f>
        <v>68.021166599858162</v>
      </c>
      <c r="GC193" s="125">
        <f>GC81/293.07*(1/(VLOOKUP($BM193,'Fuel economy adjusted factor'!$A$2:$L$52,5,FALSE)*m2k))/'TCO Inputs'!$AZ$84</f>
        <v>68.021166599858162</v>
      </c>
      <c r="GD193" s="125">
        <f>GD81/293.07*(1/(VLOOKUP($BM193,'Fuel economy adjusted factor'!$A$2:$L$52,5,FALSE)*m2k))/'TCO Inputs'!$AZ$84</f>
        <v>64.279045015684105</v>
      </c>
      <c r="GE193" s="98" cm="1">
        <f t="array" ref="GE193">SUMPRODUCT(INDEX(FC193:GD193,,'TCO Inputs'!$AZ$12-2023+_xlfn.SEQUENCE('TCO Inputs'!$AZ$13))*INDEX('VKT US'!C83:AA83,,_xlfn.SEQUENCE('TCO Inputs'!$AZ$13)))*m2k*CONVERT(0.9072,"g","ton")</f>
        <v>30.280212665979008</v>
      </c>
      <c r="GH193" s="123" t="s">
        <v>201</v>
      </c>
      <c r="GI193" s="125">
        <f>GI81/293.07*(1/(VLOOKUP($GH193,'Fuel economy adjusted factor'!$A$2:$L$52,5,FALSE)*m2k))/'TCO Inputs'!$AZ$84</f>
        <v>259.28768097840526</v>
      </c>
      <c r="GJ193" s="125">
        <f>GJ81/293.07*(1/(VLOOKUP($GH193,'Fuel economy adjusted factor'!$A$2:$L$52,5,FALSE)*m2k))/'TCO Inputs'!$AZ$84</f>
        <v>259.28768097840526</v>
      </c>
      <c r="GK193" s="125">
        <f>GK81/293.07*(1/(VLOOKUP($GH193,'Fuel economy adjusted factor'!$A$2:$L$52,5,FALSE)*m2k))/'TCO Inputs'!$AZ$84</f>
        <v>259.28768097840526</v>
      </c>
      <c r="GL193" s="125">
        <f>GL81/293.07*(1/(VLOOKUP($GH193,'Fuel economy adjusted factor'!$A$2:$L$52,5,FALSE)*m2k))/'TCO Inputs'!$AZ$84</f>
        <v>259.28768097840526</v>
      </c>
      <c r="GM193" s="125">
        <f>GM81/293.07*(1/(VLOOKUP($GH193,'Fuel economy adjusted factor'!$A$2:$L$52,5,FALSE)*m2k))/'TCO Inputs'!$AZ$84</f>
        <v>259.28768097840526</v>
      </c>
      <c r="GN193" s="125">
        <f>GN81/293.07*(1/(VLOOKUP($GH193,'Fuel economy adjusted factor'!$A$2:$L$52,5,FALSE)*m2k))/'TCO Inputs'!$AZ$84</f>
        <v>259.28768097840526</v>
      </c>
      <c r="GO193" s="125">
        <f>GO81/293.07*(1/(VLOOKUP($GH193,'Fuel economy adjusted factor'!$A$2:$L$52,5,FALSE)*m2k))/'TCO Inputs'!$AZ$84</f>
        <v>259.28768097840526</v>
      </c>
      <c r="GP193" s="125">
        <f>GP81/293.07*(1/(VLOOKUP($GH193,'Fuel economy adjusted factor'!$A$2:$L$52,5,FALSE)*m2k))/'TCO Inputs'!$AZ$84</f>
        <v>259.28768097840526</v>
      </c>
      <c r="GQ193" s="125">
        <f>GQ81/293.07*(1/(VLOOKUP($GH193,'Fuel economy adjusted factor'!$A$2:$L$52,5,FALSE)*m2k))/'TCO Inputs'!$AZ$84</f>
        <v>259.28768097840526</v>
      </c>
      <c r="GR193" s="125">
        <f>GR81/293.07*(1/(VLOOKUP($GH193,'Fuel economy adjusted factor'!$A$2:$L$52,5,FALSE)*m2k))/'TCO Inputs'!$AZ$84</f>
        <v>259.28768097840526</v>
      </c>
      <c r="GS193" s="125">
        <f>GS81/293.07*(1/(VLOOKUP($GH193,'Fuel economy adjusted factor'!$A$2:$L$52,5,FALSE)*m2k))/'TCO Inputs'!$AZ$84</f>
        <v>259.28768097840526</v>
      </c>
      <c r="GT193" s="125">
        <f>GT81/293.07*(1/(VLOOKUP($GH193,'Fuel economy adjusted factor'!$A$2:$L$52,5,FALSE)*m2k))/'TCO Inputs'!$AZ$84</f>
        <v>259.28768097840526</v>
      </c>
      <c r="GU193" s="125">
        <f>GU81/293.07*(1/(VLOOKUP($GH193,'Fuel economy adjusted factor'!$A$2:$L$52,5,FALSE)*m2k))/'TCO Inputs'!$AZ$84</f>
        <v>259.28768097840526</v>
      </c>
      <c r="GV193" s="125">
        <f>GV81/293.07*(1/(VLOOKUP($GH193,'Fuel economy adjusted factor'!$A$2:$L$52,5,FALSE)*m2k))/'TCO Inputs'!$AZ$84</f>
        <v>259.28768097840526</v>
      </c>
      <c r="GW193" s="125">
        <f>GW81/293.07*(1/(VLOOKUP($GH193,'Fuel economy adjusted factor'!$A$2:$L$52,5,FALSE)*m2k))/'TCO Inputs'!$AZ$84</f>
        <v>259.28768097840526</v>
      </c>
      <c r="GX193" s="125">
        <f>GX81/293.07*(1/(VLOOKUP($GH193,'Fuel economy adjusted factor'!$A$2:$L$52,5,FALSE)*m2k))/'TCO Inputs'!$AZ$84</f>
        <v>259.28768097840526</v>
      </c>
      <c r="GY193" s="125">
        <f>GY81/293.07*(1/(VLOOKUP($GH193,'Fuel economy adjusted factor'!$A$2:$L$52,5,FALSE)*m2k))/'TCO Inputs'!$AZ$84</f>
        <v>259.28768097840526</v>
      </c>
      <c r="GZ193" s="125">
        <f>GZ81/293.07*(1/(VLOOKUP($GH193,'Fuel economy adjusted factor'!$A$2:$L$52,5,FALSE)*m2k))/'TCO Inputs'!$AZ$84</f>
        <v>259.28768097840526</v>
      </c>
      <c r="HA193" s="125">
        <f>HA81/293.07*(1/(VLOOKUP($GH193,'Fuel economy adjusted factor'!$A$2:$L$52,5,FALSE)*m2k))/'TCO Inputs'!$AZ$84</f>
        <v>259.28768097840526</v>
      </c>
      <c r="HB193" s="125">
        <f>HB81/293.07*(1/(VLOOKUP($GH193,'Fuel economy adjusted factor'!$A$2:$L$52,5,FALSE)*m2k))/'TCO Inputs'!$AZ$84</f>
        <v>259.28768097840526</v>
      </c>
      <c r="HC193" s="125">
        <f>HC81/293.07*(1/(VLOOKUP($GH193,'Fuel economy adjusted factor'!$A$2:$L$52,5,FALSE)*m2k))/'TCO Inputs'!$AZ$84</f>
        <v>259.28768097840526</v>
      </c>
      <c r="HD193" s="125">
        <f>HD81/293.07*(1/(VLOOKUP($GH193,'Fuel economy adjusted factor'!$A$2:$L$52,5,FALSE)*m2k))/'TCO Inputs'!$AZ$84</f>
        <v>259.28768097840526</v>
      </c>
      <c r="HE193" s="125">
        <f>HE81/293.07*(1/(VLOOKUP($GH193,'Fuel economy adjusted factor'!$A$2:$L$52,5,FALSE)*m2k))/'TCO Inputs'!$AZ$84</f>
        <v>259.28768097840526</v>
      </c>
      <c r="HF193" s="125">
        <f>HF81/293.07*(1/(VLOOKUP($GH193,'Fuel economy adjusted factor'!$A$2:$L$52,5,FALSE)*m2k))/'TCO Inputs'!$AZ$84</f>
        <v>259.28768097840526</v>
      </c>
      <c r="HG193" s="125">
        <f>HG81/293.07*(1/(VLOOKUP($GH193,'Fuel economy adjusted factor'!$A$2:$L$52,5,FALSE)*m2k))/'TCO Inputs'!$AZ$84</f>
        <v>259.28768097840526</v>
      </c>
      <c r="HH193" s="125">
        <f>HH81/293.07*(1/(VLOOKUP($GH193,'Fuel economy adjusted factor'!$A$2:$L$52,5,FALSE)*m2k))/'TCO Inputs'!$AZ$84</f>
        <v>259.28768097840526</v>
      </c>
      <c r="HI193" s="125">
        <f>HI81/293.07*(1/(VLOOKUP($GH193,'Fuel economy adjusted factor'!$A$2:$L$52,5,FALSE)*m2k))/'TCO Inputs'!$AZ$84</f>
        <v>259.28768097840526</v>
      </c>
      <c r="HJ193" s="125">
        <f>HJ81/293.07*(1/(VLOOKUP($GH193,'Fuel economy adjusted factor'!$A$2:$L$52,5,FALSE)*m2k))/'TCO Inputs'!$AZ$84</f>
        <v>259.28768097840526</v>
      </c>
      <c r="HK193" s="98" cm="1">
        <f t="array" ref="HK193">SUMPRODUCT(INDEX(GI193:HJ193,,'TCO Inputs'!$AZ$12-2023+_xlfn.SEQUENCE('TCO Inputs'!$AZ$13))*INDEX('VKT US'!C83:AA83,,_xlfn.SEQUENCE('TCO Inputs'!$AZ$13)))*m2k*CONVERT(0.9072,"g","ton")</f>
        <v>71.855488132655424</v>
      </c>
    </row>
    <row r="194" spans="26:219" x14ac:dyDescent="0.25">
      <c r="Z194" s="123" t="s">
        <v>204</v>
      </c>
      <c r="AA194" s="125">
        <f>AA82/293.07*(1/(VLOOKUP($Z194,'Fuel economy adjusted factor'!$A$2:$L$52,5,FALSE)*m2k))/'TCO Inputs'!$AZ$84</f>
        <v>119.8230352434679</v>
      </c>
      <c r="AB194" s="125">
        <f>AB82/293.07*(1/(VLOOKUP($Z194,'Fuel economy adjusted factor'!$A$2:$L$52,5,FALSE)*m2k))/'TCO Inputs'!$AZ$84</f>
        <v>119.8230352434679</v>
      </c>
      <c r="AC194" s="125">
        <f>AC82/293.07*(1/(VLOOKUP($Z194,'Fuel economy adjusted factor'!$A$2:$L$52,5,FALSE)*m2k))/'TCO Inputs'!$AZ$84</f>
        <v>105.2460326436622</v>
      </c>
      <c r="AD194" s="125">
        <f>AD82/293.07*(1/(VLOOKUP($Z194,'Fuel economy adjusted factor'!$A$2:$L$52,5,FALSE)*m2k))/'TCO Inputs'!$AZ$84</f>
        <v>105.2460326436622</v>
      </c>
      <c r="AE194" s="125">
        <f>AE82/293.07*(1/(VLOOKUP($Z194,'Fuel economy adjusted factor'!$A$2:$L$52,5,FALSE)*m2k))/'TCO Inputs'!$AZ$84</f>
        <v>105.2460326436622</v>
      </c>
      <c r="AF194" s="125">
        <f>AF82/293.07*(1/(VLOOKUP($Z194,'Fuel economy adjusted factor'!$A$2:$L$52,5,FALSE)*m2k))/'TCO Inputs'!$AZ$84</f>
        <v>105.2460326436622</v>
      </c>
      <c r="AG194" s="125">
        <f>AG82/293.07*(1/(VLOOKUP($Z194,'Fuel economy adjusted factor'!$A$2:$L$52,5,FALSE)*m2k))/'TCO Inputs'!$AZ$84</f>
        <v>105.2460326436622</v>
      </c>
      <c r="AH194" s="125">
        <f>AH82/293.07*(1/(VLOOKUP($Z194,'Fuel economy adjusted factor'!$A$2:$L$52,5,FALSE)*m2k))/'TCO Inputs'!$AZ$84</f>
        <v>39.790803181820998</v>
      </c>
      <c r="AI194" s="125">
        <f>AI82/293.07*(1/(VLOOKUP($Z194,'Fuel economy adjusted factor'!$A$2:$L$52,5,FALSE)*m2k))/'TCO Inputs'!$AZ$84</f>
        <v>39.790803181820998</v>
      </c>
      <c r="AJ194" s="125">
        <f>AJ82/293.07*(1/(VLOOKUP($Z194,'Fuel economy adjusted factor'!$A$2:$L$52,5,FALSE)*m2k))/'TCO Inputs'!$AZ$84</f>
        <v>39.790803181820998</v>
      </c>
      <c r="AK194" s="125">
        <f>AK82/293.07*(1/(VLOOKUP($Z194,'Fuel economy adjusted factor'!$A$2:$L$52,5,FALSE)*m2k))/'TCO Inputs'!$AZ$84</f>
        <v>39.790803181820998</v>
      </c>
      <c r="AL194" s="125">
        <f>AL82/293.07*(1/(VLOOKUP($Z194,'Fuel economy adjusted factor'!$A$2:$L$52,5,FALSE)*m2k))/'TCO Inputs'!$AZ$84</f>
        <v>39.790803181820998</v>
      </c>
      <c r="AM194" s="125">
        <f>AM82/293.07*(1/(VLOOKUP($Z194,'Fuel economy adjusted factor'!$A$2:$L$52,5,FALSE)*m2k))/'TCO Inputs'!$AZ$84</f>
        <v>33.44418346381363</v>
      </c>
      <c r="AN194" s="125">
        <f>AN82/293.07*(1/(VLOOKUP($Z194,'Fuel economy adjusted factor'!$A$2:$L$52,5,FALSE)*m2k))/'TCO Inputs'!$AZ$84</f>
        <v>33.44418346381363</v>
      </c>
      <c r="AO194" s="125">
        <f>AO82/293.07*(1/(VLOOKUP($Z194,'Fuel economy adjusted factor'!$A$2:$L$52,5,FALSE)*m2k))/'TCO Inputs'!$AZ$84</f>
        <v>33.44418346381363</v>
      </c>
      <c r="AP194" s="125">
        <f>AP82/293.07*(1/(VLOOKUP($Z194,'Fuel economy adjusted factor'!$A$2:$L$52,5,FALSE)*m2k))/'TCO Inputs'!$AZ$84</f>
        <v>33.44418346381363</v>
      </c>
      <c r="AQ194" s="125">
        <f>AQ82/293.07*(1/(VLOOKUP($Z194,'Fuel economy adjusted factor'!$A$2:$L$52,5,FALSE)*m2k))/'TCO Inputs'!$AZ$84</f>
        <v>33.44418346381363</v>
      </c>
      <c r="AR194" s="125">
        <f>AR82/293.07*(1/(VLOOKUP($Z194,'Fuel economy adjusted factor'!$A$2:$L$52,5,FALSE)*m2k))/'TCO Inputs'!$AZ$84</f>
        <v>33.44418346381363</v>
      </c>
      <c r="AS194" s="125">
        <f>AS82/293.07*(1/(VLOOKUP($Z194,'Fuel economy adjusted factor'!$A$2:$L$52,5,FALSE)*m2k))/'TCO Inputs'!$AZ$84</f>
        <v>33.44418346381363</v>
      </c>
      <c r="AT194" s="125">
        <f>AT82/293.07*(1/(VLOOKUP($Z194,'Fuel economy adjusted factor'!$A$2:$L$52,5,FALSE)*m2k))/'TCO Inputs'!$AZ$84</f>
        <v>33.44418346381363</v>
      </c>
      <c r="AU194" s="125">
        <f>AU82/293.07*(1/(VLOOKUP($Z194,'Fuel economy adjusted factor'!$A$2:$L$52,5,FALSE)*m2k))/'TCO Inputs'!$AZ$84</f>
        <v>33.44418346381363</v>
      </c>
      <c r="AV194" s="125">
        <f>AV82/293.07*(1/(VLOOKUP($Z194,'Fuel economy adjusted factor'!$A$2:$L$52,5,FALSE)*m2k))/'TCO Inputs'!$AZ$84</f>
        <v>33.44418346381363</v>
      </c>
      <c r="AW194" s="125">
        <f>AW82/293.07*(1/(VLOOKUP($Z194,'Fuel economy adjusted factor'!$A$2:$L$52,5,FALSE)*m2k))/'TCO Inputs'!$AZ$84</f>
        <v>33.602087140778451</v>
      </c>
      <c r="AX194" s="125">
        <f>AX82/293.07*(1/(VLOOKUP($Z194,'Fuel economy adjusted factor'!$A$2:$L$52,5,FALSE)*m2k))/'TCO Inputs'!$AZ$84</f>
        <v>33.602087140778451</v>
      </c>
      <c r="AY194" s="125">
        <f>AY82/293.07*(1/(VLOOKUP($Z194,'Fuel economy adjusted factor'!$A$2:$L$52,5,FALSE)*m2k))/'TCO Inputs'!$AZ$84</f>
        <v>33.602087140778451</v>
      </c>
      <c r="AZ194" s="125">
        <f>AZ82/293.07*(1/(VLOOKUP($Z194,'Fuel economy adjusted factor'!$A$2:$L$52,5,FALSE)*m2k))/'TCO Inputs'!$AZ$84</f>
        <v>33.602087140778451</v>
      </c>
      <c r="BA194" s="125">
        <f>BA82/293.07*(1/(VLOOKUP($Z194,'Fuel economy adjusted factor'!$A$2:$L$52,5,FALSE)*m2k))/'TCO Inputs'!$AZ$84</f>
        <v>33.602087140778451</v>
      </c>
      <c r="BB194" s="125">
        <f>BB82/293.07*(1/(VLOOKUP($Z194,'Fuel economy adjusted factor'!$A$2:$L$52,5,FALSE)*m2k))/'TCO Inputs'!$AZ$84</f>
        <v>33.800621003628969</v>
      </c>
      <c r="BC194" s="98" cm="1">
        <f t="array" ref="BC194">SUMPRODUCT(INDEX(AA194:BB194,,'TCO Inputs'!$AZ$12-2023+_xlfn.SEQUENCE('TCO Inputs'!$AZ$13))*INDEX('VKT US'!C84:AA84,,_xlfn.SEQUENCE('TCO Inputs'!$AZ$13)))*m2k*CONVERT(0.9072,"g","ton")</f>
        <v>23.442920877801036</v>
      </c>
      <c r="BM194" s="123" t="s">
        <v>204</v>
      </c>
      <c r="BN194" s="125">
        <f>BN82/293.07*(1/(VLOOKUP($BM194,'Fuel economy adjusted factor'!$A$2:$L$52,5,FALSE)*m2k))</f>
        <v>101.84957995694771</v>
      </c>
      <c r="BO194" s="125">
        <f>BO82/293.07*(1/(VLOOKUP($BM194,'Fuel economy adjusted factor'!$A$2:$L$52,5,FALSE)*m2k))</f>
        <v>101.84957995694771</v>
      </c>
      <c r="BP194" s="125">
        <f>BP82/293.07*(1/(VLOOKUP($BM194,'Fuel economy adjusted factor'!$A$2:$L$52,5,FALSE)*m2k))</f>
        <v>80.285201139451061</v>
      </c>
      <c r="BQ194" s="125">
        <f>BQ82/293.07*(1/(VLOOKUP($BM194,'Fuel economy adjusted factor'!$A$2:$L$52,5,FALSE)*m2k))</f>
        <v>80.285201139451061</v>
      </c>
      <c r="BR194" s="125">
        <f>BR82/293.07*(1/(VLOOKUP($BM194,'Fuel economy adjusted factor'!$A$2:$L$52,5,FALSE)*m2k))</f>
        <v>80.285201139451061</v>
      </c>
      <c r="BS194" s="125">
        <f>BS82/293.07*(1/(VLOOKUP($BM194,'Fuel economy adjusted factor'!$A$2:$L$52,5,FALSE)*m2k))</f>
        <v>80.285201139451061</v>
      </c>
      <c r="BT194" s="125">
        <f>BT82/293.07*(1/(VLOOKUP($BM194,'Fuel economy adjusted factor'!$A$2:$L$52,5,FALSE)*m2k))</f>
        <v>80.285201139451061</v>
      </c>
      <c r="BU194" s="125">
        <f>BU82/293.07*(1/(VLOOKUP($BM194,'Fuel economy adjusted factor'!$A$2:$L$52,5,FALSE)*m2k))</f>
        <v>4.5351598168266571</v>
      </c>
      <c r="BV194" s="125">
        <f>BV82/293.07*(1/(VLOOKUP($BM194,'Fuel economy adjusted factor'!$A$2:$L$52,5,FALSE)*m2k))</f>
        <v>4.5351598168266571</v>
      </c>
      <c r="BW194" s="125">
        <f>BW82/293.07*(1/(VLOOKUP($BM194,'Fuel economy adjusted factor'!$A$2:$L$52,5,FALSE)*m2k))</f>
        <v>4.5351598168266571</v>
      </c>
      <c r="BX194" s="125">
        <f>BX82/293.07*(1/(VLOOKUP($BM194,'Fuel economy adjusted factor'!$A$2:$L$52,5,FALSE)*m2k))</f>
        <v>4.5351598168266571</v>
      </c>
      <c r="BY194" s="125">
        <f>BY82/293.07*(1/(VLOOKUP($BM194,'Fuel economy adjusted factor'!$A$2:$L$52,5,FALSE)*m2k))</f>
        <v>4.5351598168266571</v>
      </c>
      <c r="BZ194" s="125">
        <f>BZ82/293.07*(1/(VLOOKUP($BM194,'Fuel economy adjusted factor'!$A$2:$L$52,5,FALSE)*m2k))</f>
        <v>4.729815343751719</v>
      </c>
      <c r="CA194" s="125">
        <f>CA82/293.07*(1/(VLOOKUP($BM194,'Fuel economy adjusted factor'!$A$2:$L$52,5,FALSE)*m2k))</f>
        <v>4.729815343751719</v>
      </c>
      <c r="CB194" s="125">
        <f>CB82/293.07*(1/(VLOOKUP($BM194,'Fuel economy adjusted factor'!$A$2:$L$52,5,FALSE)*m2k))</f>
        <v>4.729815343751719</v>
      </c>
      <c r="CC194" s="125">
        <f>CC82/293.07*(1/(VLOOKUP($BM194,'Fuel economy adjusted factor'!$A$2:$L$52,5,FALSE)*m2k))</f>
        <v>4.729815343751719</v>
      </c>
      <c r="CD194" s="125">
        <f>CD82/293.07*(1/(VLOOKUP($BM194,'Fuel economy adjusted factor'!$A$2:$L$52,5,FALSE)*m2k))</f>
        <v>4.729815343751719</v>
      </c>
      <c r="CE194" s="125">
        <f>CE82/293.07*(1/(VLOOKUP($BM194,'Fuel economy adjusted factor'!$A$2:$L$52,5,FALSE)*m2k))</f>
        <v>4.7957470544844023</v>
      </c>
      <c r="CF194" s="125">
        <f>CF82/293.07*(1/(VLOOKUP($BM194,'Fuel economy adjusted factor'!$A$2:$L$52,5,FALSE)*m2k))</f>
        <v>4.7957470544844023</v>
      </c>
      <c r="CG194" s="125">
        <f>CG82/293.07*(1/(VLOOKUP($BM194,'Fuel economy adjusted factor'!$A$2:$L$52,5,FALSE)*m2k))</f>
        <v>4.7957470544844023</v>
      </c>
      <c r="CH194" s="125">
        <f>CH82/293.07*(1/(VLOOKUP($BM194,'Fuel economy adjusted factor'!$A$2:$L$52,5,FALSE)*m2k))</f>
        <v>4.7957470544844023</v>
      </c>
      <c r="CI194" s="125">
        <f>CI82/293.07*(1/(VLOOKUP($BM194,'Fuel economy adjusted factor'!$A$2:$L$52,5,FALSE)*m2k))</f>
        <v>4.7957470544844023</v>
      </c>
      <c r="CJ194" s="125">
        <f>CJ82/293.07*(1/(VLOOKUP($BM194,'Fuel economy adjusted factor'!$A$2:$L$52,5,FALSE)*m2k))</f>
        <v>4.9645008379073392</v>
      </c>
      <c r="CK194" s="125">
        <f>CK82/293.07*(1/(VLOOKUP($BM194,'Fuel economy adjusted factor'!$A$2:$L$52,5,FALSE)*m2k))</f>
        <v>4.9645008379073392</v>
      </c>
      <c r="CL194" s="125">
        <f>CL82/293.07*(1/(VLOOKUP($BM194,'Fuel economy adjusted factor'!$A$2:$L$52,5,FALSE)*m2k))</f>
        <v>4.9645008379073392</v>
      </c>
      <c r="CM194" s="125">
        <f>CM82/293.07*(1/(VLOOKUP($BM194,'Fuel economy adjusted factor'!$A$2:$L$52,5,FALSE)*m2k))</f>
        <v>4.9645008379073392</v>
      </c>
      <c r="CN194" s="125">
        <f>CN82/293.07*(1/(VLOOKUP($BM194,'Fuel economy adjusted factor'!$A$2:$L$52,5,FALSE)*m2k))</f>
        <v>4.9645008379073392</v>
      </c>
      <c r="CO194" s="125">
        <f>CO82/293.07*(1/(VLOOKUP($BM194,'Fuel economy adjusted factor'!$A$2:$L$52,5,FALSE)*m2k))</f>
        <v>5.1779939964703106</v>
      </c>
      <c r="CP194" s="98" cm="1">
        <f t="array" ref="CP194">SUMPRODUCT(INDEX(BN194:CO194,,'TCO Inputs'!$AZ$12-2023+_xlfn.SEQUENCE('TCO Inputs'!$AZ$13))*INDEX('VKT US'!C84:AA84,,_xlfn.SEQUENCE('TCO Inputs'!$AZ$13)))*m2k*CONVERT(0.9072,"g","ton")</f>
        <v>15.087722917111492</v>
      </c>
      <c r="CQ194" s="194"/>
      <c r="CR194" s="123" t="s">
        <v>204</v>
      </c>
      <c r="CS194" s="125">
        <f>CS82/293.07*(1/(VLOOKUP($BM194,'Fuel economy adjusted factor'!$A$2:$L$52,5,FALSE)*m2k))/'TCO Inputs'!$AZ$84</f>
        <v>119.8230352434679</v>
      </c>
      <c r="CT194" s="125">
        <f>CT82/293.07*(1/(VLOOKUP($BM194,'Fuel economy adjusted factor'!$A$2:$L$52,5,FALSE)*m2k))</f>
        <v>4.7690604096640303</v>
      </c>
      <c r="CU194" s="125">
        <f>CU82/293.07*(1/(VLOOKUP($BM194,'Fuel economy adjusted factor'!$A$2:$L$52,5,FALSE)*m2k))</f>
        <v>4.7690604096640303</v>
      </c>
      <c r="CV194" s="125">
        <f>CV82/293.07*(1/(VLOOKUP($BM194,'Fuel economy adjusted factor'!$A$2:$L$52,5,FALSE)*m2k))</f>
        <v>4.7690604096640303</v>
      </c>
      <c r="CW194" s="125">
        <f>CW82/293.07*(1/(VLOOKUP($BM194,'Fuel economy adjusted factor'!$A$2:$L$52,5,FALSE)*m2k))</f>
        <v>4.7690604096640303</v>
      </c>
      <c r="CX194" s="125">
        <f>CX82/293.07*(1/(VLOOKUP($BM194,'Fuel economy adjusted factor'!$A$2:$L$52,5,FALSE)*m2k))</f>
        <v>4.7690604096640303</v>
      </c>
      <c r="CY194" s="125">
        <f>CY82/293.07*(1/(VLOOKUP($BM194,'Fuel economy adjusted factor'!$A$2:$L$52,5,FALSE)*m2k))</f>
        <v>4.7690604096640303</v>
      </c>
      <c r="CZ194" s="125">
        <f>CZ82/293.07*(1/(VLOOKUP($BM194,'Fuel economy adjusted factor'!$A$2:$L$52,5,FALSE)*m2k))</f>
        <v>4.7690604096640303</v>
      </c>
      <c r="DA194" s="125">
        <f>DA82/293.07*(1/(VLOOKUP($BM194,'Fuel economy adjusted factor'!$A$2:$L$52,5,FALSE)*m2k))</f>
        <v>4.7690604096640303</v>
      </c>
      <c r="DB194" s="125">
        <f>DB82/293.07*(1/(VLOOKUP($BM194,'Fuel economy adjusted factor'!$A$2:$L$52,5,FALSE)*m2k))</f>
        <v>4.7690604096640303</v>
      </c>
      <c r="DC194" s="125">
        <f>DC82/293.07*(1/(VLOOKUP($BM194,'Fuel economy adjusted factor'!$A$2:$L$52,5,FALSE)*m2k))</f>
        <v>4.7690604096640303</v>
      </c>
      <c r="DD194" s="125">
        <f>DD82/293.07*(1/(VLOOKUP($BM194,'Fuel economy adjusted factor'!$A$2:$L$52,5,FALSE)*m2k))</f>
        <v>4.7690604096640303</v>
      </c>
      <c r="DE194" s="125">
        <f>DE82/293.07*(1/(VLOOKUP($BM194,'Fuel economy adjusted factor'!$A$2:$L$52,5,FALSE)*m2k))</f>
        <v>4.9056332390388731</v>
      </c>
      <c r="DF194" s="125">
        <f>DF82/293.07*(1/(VLOOKUP($BM194,'Fuel economy adjusted factor'!$A$2:$L$52,5,FALSE)*m2k))</f>
        <v>4.9056332390388731</v>
      </c>
      <c r="DG194" s="125">
        <f>DG82/293.07*(1/(VLOOKUP($BM194,'Fuel economy adjusted factor'!$A$2:$L$52,5,FALSE)*m2k))</f>
        <v>4.9056332390388731</v>
      </c>
      <c r="DH194" s="125">
        <f>DH82/293.07*(1/(VLOOKUP($BM194,'Fuel economy adjusted factor'!$A$2:$L$52,5,FALSE)*m2k))</f>
        <v>4.9056332390388731</v>
      </c>
      <c r="DI194" s="125">
        <f>DI82/293.07*(1/(VLOOKUP($BM194,'Fuel economy adjusted factor'!$A$2:$L$52,5,FALSE)*m2k))</f>
        <v>4.9056332390388731</v>
      </c>
      <c r="DJ194" s="125">
        <f>DJ82/293.07*(1/(VLOOKUP($BM194,'Fuel economy adjusted factor'!$A$2:$L$52,5,FALSE)*m2k))</f>
        <v>5.1607261674688942</v>
      </c>
      <c r="DK194" s="125">
        <f>DK82/293.07*(1/(VLOOKUP($BM194,'Fuel economy adjusted factor'!$A$2:$L$52,5,FALSE)*m2k))</f>
        <v>5.1607261674688942</v>
      </c>
      <c r="DL194" s="125">
        <f>DL82/293.07*(1/(VLOOKUP($BM194,'Fuel economy adjusted factor'!$A$2:$L$52,5,FALSE)*m2k))</f>
        <v>5.1607261674688942</v>
      </c>
      <c r="DM194" s="125">
        <f>DM82/293.07*(1/(VLOOKUP($BM194,'Fuel economy adjusted factor'!$A$2:$L$52,5,FALSE)*m2k))</f>
        <v>5.1607261674688942</v>
      </c>
      <c r="DN194" s="125">
        <f>DN82/293.07*(1/(VLOOKUP($BM194,'Fuel economy adjusted factor'!$A$2:$L$52,5,FALSE)*m2k))</f>
        <v>5.1607261674688942</v>
      </c>
      <c r="DO194" s="125">
        <f>DO82/293.07*(1/(VLOOKUP($BM194,'Fuel economy adjusted factor'!$A$2:$L$52,5,FALSE)*m2k))</f>
        <v>5.3294799508918311</v>
      </c>
      <c r="DP194" s="125">
        <f>DP82/293.07*(1/(VLOOKUP($BM194,'Fuel economy adjusted factor'!$A$2:$L$52,5,FALSE)*m2k))</f>
        <v>5.3294799508918311</v>
      </c>
      <c r="DQ194" s="125">
        <f>DQ82/293.07*(1/(VLOOKUP($BM194,'Fuel economy adjusted factor'!$A$2:$L$52,5,FALSE)*m2k))</f>
        <v>5.3294799508918311</v>
      </c>
      <c r="DR194" s="125">
        <f>DR82/293.07*(1/(VLOOKUP($BM194,'Fuel economy adjusted factor'!$A$2:$L$52,5,FALSE)*m2k))</f>
        <v>5.3294799508918311</v>
      </c>
      <c r="DS194" s="125">
        <f>DS82/293.07*(1/(VLOOKUP($BM194,'Fuel economy adjusted factor'!$A$2:$L$52,5,FALSE)*m2k))</f>
        <v>5.3294799508918311</v>
      </c>
      <c r="DT194" s="125">
        <f>DT82/293.07*(1/(VLOOKUP($BM194,'Fuel economy adjusted factor'!$A$2:$L$52,5,FALSE)*m2k))</f>
        <v>5.5437580107730486</v>
      </c>
      <c r="DU194" s="98" cm="1">
        <f t="array" ref="DU194">SUMPRODUCT(INDEX(CS194:DT194,,'TCO Inputs'!$AZ$12-2023+_xlfn.SEQUENCE('TCO Inputs'!$AZ$13))*INDEX('VKT US'!C84:AA84,,_xlfn.SEQUENCE('TCO Inputs'!$AZ$13)))*m2k*CONVERT(0.9072,"g","ton")</f>
        <v>4.4346628063070517</v>
      </c>
      <c r="DW194" s="123" t="s">
        <v>204</v>
      </c>
      <c r="DX194" s="125">
        <f>DX82/293.07*(1/(VLOOKUP($BM194,'Fuel economy adjusted factor'!$A$2:$L$52,5,FALSE)*m2k))/'TCO Inputs'!$AZ$84</f>
        <v>158.30762724056666</v>
      </c>
      <c r="DY194" s="125">
        <f>DY82/293.07*(1/(VLOOKUP($BM194,'Fuel economy adjusted factor'!$A$2:$L$52,5,FALSE)*m2k))/'TCO Inputs'!$AZ$84</f>
        <v>158.30762724056666</v>
      </c>
      <c r="DZ194" s="125">
        <f>DZ82/293.07*(1/(VLOOKUP($BM194,'Fuel economy adjusted factor'!$A$2:$L$52,5,FALSE)*m2k))/'TCO Inputs'!$AZ$84</f>
        <v>138.49988820596792</v>
      </c>
      <c r="EA194" s="125">
        <f>EA82/293.07*(1/(VLOOKUP($BM194,'Fuel economy adjusted factor'!$A$2:$L$52,5,FALSE)*m2k))/'TCO Inputs'!$AZ$84</f>
        <v>138.49988820596792</v>
      </c>
      <c r="EB194" s="125">
        <f>EB82/293.07*(1/(VLOOKUP($BM194,'Fuel economy adjusted factor'!$A$2:$L$52,5,FALSE)*m2k))/'TCO Inputs'!$AZ$84</f>
        <v>138.49988820596792</v>
      </c>
      <c r="EC194" s="125">
        <f>EC82/293.07*(1/(VLOOKUP($BM194,'Fuel economy adjusted factor'!$A$2:$L$52,5,FALSE)*m2k))/'TCO Inputs'!$AZ$84</f>
        <v>138.49988820596792</v>
      </c>
      <c r="ED194" s="125">
        <f>ED82/293.07*(1/(VLOOKUP($BM194,'Fuel economy adjusted factor'!$A$2:$L$52,5,FALSE)*m2k))/'TCO Inputs'!$AZ$84</f>
        <v>138.49988820596792</v>
      </c>
      <c r="EE194" s="125">
        <f>EE82/293.07*(1/(VLOOKUP($BM194,'Fuel economy adjusted factor'!$A$2:$L$52,5,FALSE)*m2k))/'TCO Inputs'!$AZ$84</f>
        <v>86.169310738424528</v>
      </c>
      <c r="EF194" s="125">
        <f>EF82/293.07*(1/(VLOOKUP($BM194,'Fuel economy adjusted factor'!$A$2:$L$52,5,FALSE)*m2k))/'TCO Inputs'!$AZ$84</f>
        <v>86.169310738424528</v>
      </c>
      <c r="EG194" s="125">
        <f>EG82/293.07*(1/(VLOOKUP($BM194,'Fuel economy adjusted factor'!$A$2:$L$52,5,FALSE)*m2k))/'TCO Inputs'!$AZ$84</f>
        <v>86.169310738424528</v>
      </c>
      <c r="EH194" s="125">
        <f>EH82/293.07*(1/(VLOOKUP($BM194,'Fuel economy adjusted factor'!$A$2:$L$52,5,FALSE)*m2k))/'TCO Inputs'!$AZ$84</f>
        <v>86.169310738424528</v>
      </c>
      <c r="EI194" s="125">
        <f>EI82/293.07*(1/(VLOOKUP($BM194,'Fuel economy adjusted factor'!$A$2:$L$52,5,FALSE)*m2k))/'TCO Inputs'!$AZ$84</f>
        <v>86.169310738424528</v>
      </c>
      <c r="EJ194" s="125">
        <f>EJ82/293.07*(1/(VLOOKUP($BM194,'Fuel economy adjusted factor'!$A$2:$L$52,5,FALSE)*m2k))/'TCO Inputs'!$AZ$84</f>
        <v>76.725501311023947</v>
      </c>
      <c r="EK194" s="125">
        <f>EK82/293.07*(1/(VLOOKUP($BM194,'Fuel economy adjusted factor'!$A$2:$L$52,5,FALSE)*m2k))/'TCO Inputs'!$AZ$84</f>
        <v>76.725501311023947</v>
      </c>
      <c r="EL194" s="125">
        <f>EL82/293.07*(1/(VLOOKUP($BM194,'Fuel economy adjusted factor'!$A$2:$L$52,5,FALSE)*m2k))/'TCO Inputs'!$AZ$84</f>
        <v>76.725501311023947</v>
      </c>
      <c r="EM194" s="125">
        <f>EM82/293.07*(1/(VLOOKUP($BM194,'Fuel economy adjusted factor'!$A$2:$L$52,5,FALSE)*m2k))/'TCO Inputs'!$AZ$84</f>
        <v>76.725501311023947</v>
      </c>
      <c r="EN194" s="125">
        <f>EN82/293.07*(1/(VLOOKUP($BM194,'Fuel economy adjusted factor'!$A$2:$L$52,5,FALSE)*m2k))/'TCO Inputs'!$AZ$84</f>
        <v>76.725501311023947</v>
      </c>
      <c r="EO194" s="125">
        <f>EO82/293.07*(1/(VLOOKUP($BM194,'Fuel economy adjusted factor'!$A$2:$L$52,5,FALSE)*m2k))/'TCO Inputs'!$AZ$84</f>
        <v>74.553212721295139</v>
      </c>
      <c r="EP194" s="125">
        <f>EP82/293.07*(1/(VLOOKUP($BM194,'Fuel economy adjusted factor'!$A$2:$L$52,5,FALSE)*m2k))/'TCO Inputs'!$AZ$84</f>
        <v>74.553212721295139</v>
      </c>
      <c r="EQ194" s="125">
        <f>EQ82/293.07*(1/(VLOOKUP($BM194,'Fuel economy adjusted factor'!$A$2:$L$52,5,FALSE)*m2k))/'TCO Inputs'!$AZ$84</f>
        <v>74.553212721295139</v>
      </c>
      <c r="ER194" s="125">
        <f>ER82/293.07*(1/(VLOOKUP($BM194,'Fuel economy adjusted factor'!$A$2:$L$52,5,FALSE)*m2k))/'TCO Inputs'!$AZ$84</f>
        <v>74.553212721295139</v>
      </c>
      <c r="ES194" s="125">
        <f>ES82/293.07*(1/(VLOOKUP($BM194,'Fuel economy adjusted factor'!$A$2:$L$52,5,FALSE)*m2k))/'TCO Inputs'!$AZ$84</f>
        <v>74.553212721295139</v>
      </c>
      <c r="ET194" s="125">
        <f>ET82/293.07*(1/(VLOOKUP($BM194,'Fuel economy adjusted factor'!$A$2:$L$52,5,FALSE)*m2k))/'TCO Inputs'!$AZ$84</f>
        <v>71.914715000368716</v>
      </c>
      <c r="EU194" s="125">
        <f>EU82/293.07*(1/(VLOOKUP($BM194,'Fuel economy adjusted factor'!$A$2:$L$52,5,FALSE)*m2k))/'TCO Inputs'!$AZ$84</f>
        <v>71.914715000368716</v>
      </c>
      <c r="EV194" s="125">
        <f>EV82/293.07*(1/(VLOOKUP($BM194,'Fuel economy adjusted factor'!$A$2:$L$52,5,FALSE)*m2k))/'TCO Inputs'!$AZ$84</f>
        <v>71.914715000368716</v>
      </c>
      <c r="EW194" s="125">
        <f>EW82/293.07*(1/(VLOOKUP($BM194,'Fuel economy adjusted factor'!$A$2:$L$52,5,FALSE)*m2k))/'TCO Inputs'!$AZ$84</f>
        <v>71.914715000368716</v>
      </c>
      <c r="EX194" s="125">
        <f>EX82/293.07*(1/(VLOOKUP($BM194,'Fuel economy adjusted factor'!$A$2:$L$52,5,FALSE)*m2k))/'TCO Inputs'!$AZ$84</f>
        <v>71.914715000368716</v>
      </c>
      <c r="EY194" s="125">
        <f>EY82/293.07*(1/(VLOOKUP($BM194,'Fuel economy adjusted factor'!$A$2:$L$52,5,FALSE)*m2k))/'TCO Inputs'!$AZ$84</f>
        <v>67.709888759519487</v>
      </c>
      <c r="EZ194" s="98" cm="1">
        <f t="array" ref="EZ194">SUMPRODUCT(INDEX(DX194:EY194,,'TCO Inputs'!$AZ$12-2023+_xlfn.SEQUENCE('TCO Inputs'!$AZ$13))*INDEX('VKT US'!C84:AA84,,_xlfn.SEQUENCE('TCO Inputs'!$AZ$13)))*m2k*CONVERT(0.9072,"g","ton")</f>
        <v>35.4413143270652</v>
      </c>
      <c r="FB194" s="123" t="s">
        <v>204</v>
      </c>
      <c r="FC194" s="125">
        <f>FC82/293.07*(1/(VLOOKUP($BM194,'Fuel economy adjusted factor'!$A$2:$L$52,5,FALSE)*m2k))/'TCO Inputs'!$AZ$84</f>
        <v>171.13229137478143</v>
      </c>
      <c r="FD194" s="125">
        <f>FD82/293.07*(1/(VLOOKUP($BM194,'Fuel economy adjusted factor'!$A$2:$L$52,5,FALSE)*m2k))/'TCO Inputs'!$AZ$84</f>
        <v>171.13229137478143</v>
      </c>
      <c r="FE194" s="125">
        <f>FE82/293.07*(1/(VLOOKUP($BM194,'Fuel economy adjusted factor'!$A$2:$L$52,5,FALSE)*m2k))/'TCO Inputs'!$AZ$84</f>
        <v>149.19922006582624</v>
      </c>
      <c r="FF194" s="125">
        <f>FF82/293.07*(1/(VLOOKUP($BM194,'Fuel economy adjusted factor'!$A$2:$L$52,5,FALSE)*m2k))/'TCO Inputs'!$AZ$84</f>
        <v>149.19922006582624</v>
      </c>
      <c r="FG194" s="125">
        <f>FG82/293.07*(1/(VLOOKUP($BM194,'Fuel economy adjusted factor'!$A$2:$L$52,5,FALSE)*m2k))/'TCO Inputs'!$AZ$84</f>
        <v>149.19922006582624</v>
      </c>
      <c r="FH194" s="125">
        <f>FH82/293.07*(1/(VLOOKUP($BM194,'Fuel economy adjusted factor'!$A$2:$L$52,5,FALSE)*m2k))/'TCO Inputs'!$AZ$84</f>
        <v>149.19922006582624</v>
      </c>
      <c r="FI194" s="125">
        <f>FI82/293.07*(1/(VLOOKUP($BM194,'Fuel economy adjusted factor'!$A$2:$L$52,5,FALSE)*m2k))/'TCO Inputs'!$AZ$84</f>
        <v>149.19922006582624</v>
      </c>
      <c r="FJ194" s="125">
        <f>FJ82/293.07*(1/(VLOOKUP($BM194,'Fuel economy adjusted factor'!$A$2:$L$52,5,FALSE)*m2k))/'TCO Inputs'!$AZ$84</f>
        <v>94.369895815964853</v>
      </c>
      <c r="FK194" s="125">
        <f>FK82/293.07*(1/(VLOOKUP($BM194,'Fuel economy adjusted factor'!$A$2:$L$52,5,FALSE)*m2k))/'TCO Inputs'!$AZ$84</f>
        <v>94.369895815964853</v>
      </c>
      <c r="FL194" s="125">
        <f>FL82/293.07*(1/(VLOOKUP($BM194,'Fuel economy adjusted factor'!$A$2:$L$52,5,FALSE)*m2k))/'TCO Inputs'!$AZ$84</f>
        <v>94.369895815964853</v>
      </c>
      <c r="FM194" s="125">
        <f>FM82/293.07*(1/(VLOOKUP($BM194,'Fuel economy adjusted factor'!$A$2:$L$52,5,FALSE)*m2k))/'TCO Inputs'!$AZ$84</f>
        <v>94.369895815964853</v>
      </c>
      <c r="FN194" s="125">
        <f>FN82/293.07*(1/(VLOOKUP($BM194,'Fuel economy adjusted factor'!$A$2:$L$52,5,FALSE)*m2k))/'TCO Inputs'!$AZ$84</f>
        <v>94.369895815964853</v>
      </c>
      <c r="FO194" s="125">
        <f>FO82/293.07*(1/(VLOOKUP($BM194,'Fuel economy adjusted factor'!$A$2:$L$52,5,FALSE)*m2k))/'TCO Inputs'!$AZ$84</f>
        <v>83.584477377923733</v>
      </c>
      <c r="FP194" s="125">
        <f>FP82/293.07*(1/(VLOOKUP($BM194,'Fuel economy adjusted factor'!$A$2:$L$52,5,FALSE)*m2k))/'TCO Inputs'!$AZ$84</f>
        <v>83.584477377923733</v>
      </c>
      <c r="FQ194" s="125">
        <f>FQ82/293.07*(1/(VLOOKUP($BM194,'Fuel economy adjusted factor'!$A$2:$L$52,5,FALSE)*m2k))/'TCO Inputs'!$AZ$84</f>
        <v>83.584477377923733</v>
      </c>
      <c r="FR194" s="125">
        <f>FR82/293.07*(1/(VLOOKUP($BM194,'Fuel economy adjusted factor'!$A$2:$L$52,5,FALSE)*m2k))/'TCO Inputs'!$AZ$84</f>
        <v>83.584477377923733</v>
      </c>
      <c r="FS194" s="125">
        <f>FS82/293.07*(1/(VLOOKUP($BM194,'Fuel economy adjusted factor'!$A$2:$L$52,5,FALSE)*m2k))/'TCO Inputs'!$AZ$84</f>
        <v>83.584477377923733</v>
      </c>
      <c r="FT194" s="125">
        <f>FT82/293.07*(1/(VLOOKUP($BM194,'Fuel economy adjusted factor'!$A$2:$L$52,5,FALSE)*m2k))/'TCO Inputs'!$AZ$84</f>
        <v>81.676038560287552</v>
      </c>
      <c r="FU194" s="125">
        <f>FU82/293.07*(1/(VLOOKUP($BM194,'Fuel economy adjusted factor'!$A$2:$L$52,5,FALSE)*m2k))/'TCO Inputs'!$AZ$84</f>
        <v>81.676038560287552</v>
      </c>
      <c r="FV194" s="125">
        <f>FV82/293.07*(1/(VLOOKUP($BM194,'Fuel economy adjusted factor'!$A$2:$L$52,5,FALSE)*m2k))/'TCO Inputs'!$AZ$84</f>
        <v>81.676038560287552</v>
      </c>
      <c r="FW194" s="125">
        <f>FW82/293.07*(1/(VLOOKUP($BM194,'Fuel economy adjusted factor'!$A$2:$L$52,5,FALSE)*m2k))/'TCO Inputs'!$AZ$84</f>
        <v>81.676038560287552</v>
      </c>
      <c r="FX194" s="125">
        <f>FX82/293.07*(1/(VLOOKUP($BM194,'Fuel economy adjusted factor'!$A$2:$L$52,5,FALSE)*m2k))/'TCO Inputs'!$AZ$84</f>
        <v>81.676038560287552</v>
      </c>
      <c r="FY194" s="125">
        <f>FY82/293.07*(1/(VLOOKUP($BM194,'Fuel economy adjusted factor'!$A$2:$L$52,5,FALSE)*m2k))/'TCO Inputs'!$AZ$84</f>
        <v>79.033068809325684</v>
      </c>
      <c r="FZ194" s="125">
        <f>FZ82/293.07*(1/(VLOOKUP($BM194,'Fuel economy adjusted factor'!$A$2:$L$52,5,FALSE)*m2k))/'TCO Inputs'!$AZ$84</f>
        <v>79.033068809325684</v>
      </c>
      <c r="GA194" s="125">
        <f>GA82/293.07*(1/(VLOOKUP($BM194,'Fuel economy adjusted factor'!$A$2:$L$52,5,FALSE)*m2k))/'TCO Inputs'!$AZ$84</f>
        <v>79.033068809325684</v>
      </c>
      <c r="GB194" s="125">
        <f>GB82/293.07*(1/(VLOOKUP($BM194,'Fuel economy adjusted factor'!$A$2:$L$52,5,FALSE)*m2k))/'TCO Inputs'!$AZ$84</f>
        <v>79.033068809325684</v>
      </c>
      <c r="GC194" s="125">
        <f>GC82/293.07*(1/(VLOOKUP($BM194,'Fuel economy adjusted factor'!$A$2:$L$52,5,FALSE)*m2k))/'TCO Inputs'!$AZ$84</f>
        <v>79.033068809325684</v>
      </c>
      <c r="GD194" s="125">
        <f>GD82/293.07*(1/(VLOOKUP($BM194,'Fuel economy adjusted factor'!$A$2:$L$52,5,FALSE)*m2k))/'TCO Inputs'!$AZ$84</f>
        <v>74.685137607341446</v>
      </c>
      <c r="GE194" s="98" cm="1">
        <f t="array" ref="GE194">SUMPRODUCT(INDEX(FC194:GD194,,'TCO Inputs'!$AZ$12-2023+_xlfn.SEQUENCE('TCO Inputs'!$AZ$13))*INDEX('VKT US'!C84:AA84,,_xlfn.SEQUENCE('TCO Inputs'!$AZ$13)))*m2k*CONVERT(0.9072,"g","ton")</f>
        <v>38.397478361376535</v>
      </c>
      <c r="GH194" s="123" t="s">
        <v>204</v>
      </c>
      <c r="GI194" s="125">
        <f>GI82/293.07*(1/(VLOOKUP($GH194,'Fuel economy adjusted factor'!$A$2:$L$52,5,FALSE)*m2k))/'TCO Inputs'!$AZ$84</f>
        <v>301.26359420921074</v>
      </c>
      <c r="GJ194" s="125">
        <f>GJ82/293.07*(1/(VLOOKUP($GH194,'Fuel economy adjusted factor'!$A$2:$L$52,5,FALSE)*m2k))/'TCO Inputs'!$AZ$84</f>
        <v>301.26359420921074</v>
      </c>
      <c r="GK194" s="125">
        <f>GK82/293.07*(1/(VLOOKUP($GH194,'Fuel economy adjusted factor'!$A$2:$L$52,5,FALSE)*m2k))/'TCO Inputs'!$AZ$84</f>
        <v>301.26359420921074</v>
      </c>
      <c r="GL194" s="125">
        <f>GL82/293.07*(1/(VLOOKUP($GH194,'Fuel economy adjusted factor'!$A$2:$L$52,5,FALSE)*m2k))/'TCO Inputs'!$AZ$84</f>
        <v>301.26359420921074</v>
      </c>
      <c r="GM194" s="125">
        <f>GM82/293.07*(1/(VLOOKUP($GH194,'Fuel economy adjusted factor'!$A$2:$L$52,5,FALSE)*m2k))/'TCO Inputs'!$AZ$84</f>
        <v>301.26359420921074</v>
      </c>
      <c r="GN194" s="125">
        <f>GN82/293.07*(1/(VLOOKUP($GH194,'Fuel economy adjusted factor'!$A$2:$L$52,5,FALSE)*m2k))/'TCO Inputs'!$AZ$84</f>
        <v>301.26359420921074</v>
      </c>
      <c r="GO194" s="125">
        <f>GO82/293.07*(1/(VLOOKUP($GH194,'Fuel economy adjusted factor'!$A$2:$L$52,5,FALSE)*m2k))/'TCO Inputs'!$AZ$84</f>
        <v>301.26359420921074</v>
      </c>
      <c r="GP194" s="125">
        <f>GP82/293.07*(1/(VLOOKUP($GH194,'Fuel economy adjusted factor'!$A$2:$L$52,5,FALSE)*m2k))/'TCO Inputs'!$AZ$84</f>
        <v>301.26359420921074</v>
      </c>
      <c r="GQ194" s="125">
        <f>GQ82/293.07*(1/(VLOOKUP($GH194,'Fuel economy adjusted factor'!$A$2:$L$52,5,FALSE)*m2k))/'TCO Inputs'!$AZ$84</f>
        <v>301.26359420921074</v>
      </c>
      <c r="GR194" s="125">
        <f>GR82/293.07*(1/(VLOOKUP($GH194,'Fuel economy adjusted factor'!$A$2:$L$52,5,FALSE)*m2k))/'TCO Inputs'!$AZ$84</f>
        <v>301.26359420921074</v>
      </c>
      <c r="GS194" s="125">
        <f>GS82/293.07*(1/(VLOOKUP($GH194,'Fuel economy adjusted factor'!$A$2:$L$52,5,FALSE)*m2k))/'TCO Inputs'!$AZ$84</f>
        <v>301.26359420921074</v>
      </c>
      <c r="GT194" s="125">
        <f>GT82/293.07*(1/(VLOOKUP($GH194,'Fuel economy adjusted factor'!$A$2:$L$52,5,FALSE)*m2k))/'TCO Inputs'!$AZ$84</f>
        <v>301.26359420921074</v>
      </c>
      <c r="GU194" s="125">
        <f>GU82/293.07*(1/(VLOOKUP($GH194,'Fuel economy adjusted factor'!$A$2:$L$52,5,FALSE)*m2k))/'TCO Inputs'!$AZ$84</f>
        <v>301.26359420921074</v>
      </c>
      <c r="GV194" s="125">
        <f>GV82/293.07*(1/(VLOOKUP($GH194,'Fuel economy adjusted factor'!$A$2:$L$52,5,FALSE)*m2k))/'TCO Inputs'!$AZ$84</f>
        <v>301.26359420921074</v>
      </c>
      <c r="GW194" s="125">
        <f>GW82/293.07*(1/(VLOOKUP($GH194,'Fuel economy adjusted factor'!$A$2:$L$52,5,FALSE)*m2k))/'TCO Inputs'!$AZ$84</f>
        <v>301.26359420921074</v>
      </c>
      <c r="GX194" s="125">
        <f>GX82/293.07*(1/(VLOOKUP($GH194,'Fuel economy adjusted factor'!$A$2:$L$52,5,FALSE)*m2k))/'TCO Inputs'!$AZ$84</f>
        <v>301.26359420921074</v>
      </c>
      <c r="GY194" s="125">
        <f>GY82/293.07*(1/(VLOOKUP($GH194,'Fuel economy adjusted factor'!$A$2:$L$52,5,FALSE)*m2k))/'TCO Inputs'!$AZ$84</f>
        <v>301.26359420921074</v>
      </c>
      <c r="GZ194" s="125">
        <f>GZ82/293.07*(1/(VLOOKUP($GH194,'Fuel economy adjusted factor'!$A$2:$L$52,5,FALSE)*m2k))/'TCO Inputs'!$AZ$84</f>
        <v>301.26359420921074</v>
      </c>
      <c r="HA194" s="125">
        <f>HA82/293.07*(1/(VLOOKUP($GH194,'Fuel economy adjusted factor'!$A$2:$L$52,5,FALSE)*m2k))/'TCO Inputs'!$AZ$84</f>
        <v>301.26359420921074</v>
      </c>
      <c r="HB194" s="125">
        <f>HB82/293.07*(1/(VLOOKUP($GH194,'Fuel economy adjusted factor'!$A$2:$L$52,5,FALSE)*m2k))/'TCO Inputs'!$AZ$84</f>
        <v>301.26359420921074</v>
      </c>
      <c r="HC194" s="125">
        <f>HC82/293.07*(1/(VLOOKUP($GH194,'Fuel economy adjusted factor'!$A$2:$L$52,5,FALSE)*m2k))/'TCO Inputs'!$AZ$84</f>
        <v>301.26359420921074</v>
      </c>
      <c r="HD194" s="125">
        <f>HD82/293.07*(1/(VLOOKUP($GH194,'Fuel economy adjusted factor'!$A$2:$L$52,5,FALSE)*m2k))/'TCO Inputs'!$AZ$84</f>
        <v>301.26359420921074</v>
      </c>
      <c r="HE194" s="125">
        <f>HE82/293.07*(1/(VLOOKUP($GH194,'Fuel economy adjusted factor'!$A$2:$L$52,5,FALSE)*m2k))/'TCO Inputs'!$AZ$84</f>
        <v>301.26359420921074</v>
      </c>
      <c r="HF194" s="125">
        <f>HF82/293.07*(1/(VLOOKUP($GH194,'Fuel economy adjusted factor'!$A$2:$L$52,5,FALSE)*m2k))/'TCO Inputs'!$AZ$84</f>
        <v>301.26359420921074</v>
      </c>
      <c r="HG194" s="125">
        <f>HG82/293.07*(1/(VLOOKUP($GH194,'Fuel economy adjusted factor'!$A$2:$L$52,5,FALSE)*m2k))/'TCO Inputs'!$AZ$84</f>
        <v>301.26359420921074</v>
      </c>
      <c r="HH194" s="125">
        <f>HH82/293.07*(1/(VLOOKUP($GH194,'Fuel economy adjusted factor'!$A$2:$L$52,5,FALSE)*m2k))/'TCO Inputs'!$AZ$84</f>
        <v>301.26359420921074</v>
      </c>
      <c r="HI194" s="125">
        <f>HI82/293.07*(1/(VLOOKUP($GH194,'Fuel economy adjusted factor'!$A$2:$L$52,5,FALSE)*m2k))/'TCO Inputs'!$AZ$84</f>
        <v>301.26359420921074</v>
      </c>
      <c r="HJ194" s="125">
        <f>HJ82/293.07*(1/(VLOOKUP($GH194,'Fuel economy adjusted factor'!$A$2:$L$52,5,FALSE)*m2k))/'TCO Inputs'!$AZ$84</f>
        <v>301.26359420921074</v>
      </c>
      <c r="HK194" s="98" cm="1">
        <f t="array" ref="HK194">SUMPRODUCT(INDEX(GI194:HJ194,,'TCO Inputs'!$AZ$12-2023+_xlfn.SEQUENCE('TCO Inputs'!$AZ$13))*INDEX('VKT US'!C84:AA84,,_xlfn.SEQUENCE('TCO Inputs'!$AZ$13)))*m2k*CONVERT(0.9072,"g","ton")</f>
        <v>91.117905318403075</v>
      </c>
    </row>
    <row r="195" spans="26:219" x14ac:dyDescent="0.25">
      <c r="Z195" s="123" t="s">
        <v>205</v>
      </c>
      <c r="AA195" s="125">
        <f>AA83/293.07*(1/(VLOOKUP($Z195,'Fuel economy adjusted factor'!$A$2:$L$52,5,FALSE)*m2k))/'TCO Inputs'!$AZ$84</f>
        <v>102.39088049050333</v>
      </c>
      <c r="AB195" s="125">
        <f>AB83/293.07*(1/(VLOOKUP($Z195,'Fuel economy adjusted factor'!$A$2:$L$52,5,FALSE)*m2k))/'TCO Inputs'!$AZ$84</f>
        <v>102.39088049050333</v>
      </c>
      <c r="AC195" s="125">
        <f>AC83/293.07*(1/(VLOOKUP($Z195,'Fuel economy adjusted factor'!$A$2:$L$52,5,FALSE)*m2k))/'TCO Inputs'!$AZ$84</f>
        <v>89.934576674849296</v>
      </c>
      <c r="AD195" s="125">
        <f>AD83/293.07*(1/(VLOOKUP($Z195,'Fuel economy adjusted factor'!$A$2:$L$52,5,FALSE)*m2k))/'TCO Inputs'!$AZ$84</f>
        <v>89.934576674849296</v>
      </c>
      <c r="AE195" s="125">
        <f>AE83/293.07*(1/(VLOOKUP($Z195,'Fuel economy adjusted factor'!$A$2:$L$52,5,FALSE)*m2k))/'TCO Inputs'!$AZ$84</f>
        <v>89.934576674849296</v>
      </c>
      <c r="AF195" s="125">
        <f>AF83/293.07*(1/(VLOOKUP($Z195,'Fuel economy adjusted factor'!$A$2:$L$52,5,FALSE)*m2k))/'TCO Inputs'!$AZ$84</f>
        <v>89.934576674849296</v>
      </c>
      <c r="AG195" s="125">
        <f>AG83/293.07*(1/(VLOOKUP($Z195,'Fuel economy adjusted factor'!$A$2:$L$52,5,FALSE)*m2k))/'TCO Inputs'!$AZ$84</f>
        <v>89.934576674849296</v>
      </c>
      <c r="AH195" s="125">
        <f>AH83/293.07*(1/(VLOOKUP($Z195,'Fuel economy adjusted factor'!$A$2:$L$52,5,FALSE)*m2k))/'TCO Inputs'!$AZ$84</f>
        <v>34.001937648571449</v>
      </c>
      <c r="AI195" s="125">
        <f>AI83/293.07*(1/(VLOOKUP($Z195,'Fuel economy adjusted factor'!$A$2:$L$52,5,FALSE)*m2k))/'TCO Inputs'!$AZ$84</f>
        <v>34.001937648571449</v>
      </c>
      <c r="AJ195" s="125">
        <f>AJ83/293.07*(1/(VLOOKUP($Z195,'Fuel economy adjusted factor'!$A$2:$L$52,5,FALSE)*m2k))/'TCO Inputs'!$AZ$84</f>
        <v>34.001937648571449</v>
      </c>
      <c r="AK195" s="125">
        <f>AK83/293.07*(1/(VLOOKUP($Z195,'Fuel economy adjusted factor'!$A$2:$L$52,5,FALSE)*m2k))/'TCO Inputs'!$AZ$84</f>
        <v>34.001937648571449</v>
      </c>
      <c r="AL195" s="125">
        <f>AL83/293.07*(1/(VLOOKUP($Z195,'Fuel economy adjusted factor'!$A$2:$L$52,5,FALSE)*m2k))/'TCO Inputs'!$AZ$84</f>
        <v>34.001937648571449</v>
      </c>
      <c r="AM195" s="125">
        <f>AM83/293.07*(1/(VLOOKUP($Z195,'Fuel economy adjusted factor'!$A$2:$L$52,5,FALSE)*m2k))/'TCO Inputs'!$AZ$84</f>
        <v>28.578640035180445</v>
      </c>
      <c r="AN195" s="125">
        <f>AN83/293.07*(1/(VLOOKUP($Z195,'Fuel economy adjusted factor'!$A$2:$L$52,5,FALSE)*m2k))/'TCO Inputs'!$AZ$84</f>
        <v>28.578640035180445</v>
      </c>
      <c r="AO195" s="125">
        <f>AO83/293.07*(1/(VLOOKUP($Z195,'Fuel economy adjusted factor'!$A$2:$L$52,5,FALSE)*m2k))/'TCO Inputs'!$AZ$84</f>
        <v>28.578640035180445</v>
      </c>
      <c r="AP195" s="125">
        <f>AP83/293.07*(1/(VLOOKUP($Z195,'Fuel economy adjusted factor'!$A$2:$L$52,5,FALSE)*m2k))/'TCO Inputs'!$AZ$84</f>
        <v>28.578640035180445</v>
      </c>
      <c r="AQ195" s="125">
        <f>AQ83/293.07*(1/(VLOOKUP($Z195,'Fuel economy adjusted factor'!$A$2:$L$52,5,FALSE)*m2k))/'TCO Inputs'!$AZ$84</f>
        <v>28.578640035180445</v>
      </c>
      <c r="AR195" s="125">
        <f>AR83/293.07*(1/(VLOOKUP($Z195,'Fuel economy adjusted factor'!$A$2:$L$52,5,FALSE)*m2k))/'TCO Inputs'!$AZ$84</f>
        <v>28.578640035180445</v>
      </c>
      <c r="AS195" s="125">
        <f>AS83/293.07*(1/(VLOOKUP($Z195,'Fuel economy adjusted factor'!$A$2:$L$52,5,FALSE)*m2k))/'TCO Inputs'!$AZ$84</f>
        <v>28.578640035180445</v>
      </c>
      <c r="AT195" s="125">
        <f>AT83/293.07*(1/(VLOOKUP($Z195,'Fuel economy adjusted factor'!$A$2:$L$52,5,FALSE)*m2k))/'TCO Inputs'!$AZ$84</f>
        <v>28.578640035180445</v>
      </c>
      <c r="AU195" s="125">
        <f>AU83/293.07*(1/(VLOOKUP($Z195,'Fuel economy adjusted factor'!$A$2:$L$52,5,FALSE)*m2k))/'TCO Inputs'!$AZ$84</f>
        <v>28.578640035180445</v>
      </c>
      <c r="AV195" s="125">
        <f>AV83/293.07*(1/(VLOOKUP($Z195,'Fuel economy adjusted factor'!$A$2:$L$52,5,FALSE)*m2k))/'TCO Inputs'!$AZ$84</f>
        <v>28.578640035180445</v>
      </c>
      <c r="AW195" s="125">
        <f>AW83/293.07*(1/(VLOOKUP($Z195,'Fuel economy adjusted factor'!$A$2:$L$52,5,FALSE)*m2k))/'TCO Inputs'!$AZ$84</f>
        <v>28.71357149042413</v>
      </c>
      <c r="AX195" s="125">
        <f>AX83/293.07*(1/(VLOOKUP($Z195,'Fuel economy adjusted factor'!$A$2:$L$52,5,FALSE)*m2k))/'TCO Inputs'!$AZ$84</f>
        <v>28.71357149042413</v>
      </c>
      <c r="AY195" s="125">
        <f>AY83/293.07*(1/(VLOOKUP($Z195,'Fuel economy adjusted factor'!$A$2:$L$52,5,FALSE)*m2k))/'TCO Inputs'!$AZ$84</f>
        <v>28.71357149042413</v>
      </c>
      <c r="AZ195" s="125">
        <f>AZ83/293.07*(1/(VLOOKUP($Z195,'Fuel economy adjusted factor'!$A$2:$L$52,5,FALSE)*m2k))/'TCO Inputs'!$AZ$84</f>
        <v>28.71357149042413</v>
      </c>
      <c r="BA195" s="125">
        <f>BA83/293.07*(1/(VLOOKUP($Z195,'Fuel economy adjusted factor'!$A$2:$L$52,5,FALSE)*m2k))/'TCO Inputs'!$AZ$84</f>
        <v>28.71357149042413</v>
      </c>
      <c r="BB195" s="125">
        <f>BB83/293.07*(1/(VLOOKUP($Z195,'Fuel economy adjusted factor'!$A$2:$L$52,5,FALSE)*m2k))/'TCO Inputs'!$AZ$84</f>
        <v>28.883222150525846</v>
      </c>
      <c r="BC195" s="98" cm="1">
        <f t="array" ref="BC195">SUMPRODUCT(INDEX(AA195:BB195,,'TCO Inputs'!$AZ$12-2023+_xlfn.SEQUENCE('TCO Inputs'!$AZ$13))*INDEX('VKT US'!C85:AA85,,_xlfn.SEQUENCE('TCO Inputs'!$AZ$13)))*m2k*CONVERT(0.9072,"g","ton")</f>
        <v>25.075837233803668</v>
      </c>
      <c r="BM195" s="123" t="s">
        <v>205</v>
      </c>
      <c r="BN195" s="125">
        <f>BN83/293.07*(1/(VLOOKUP($BM195,'Fuel economy adjusted factor'!$A$2:$L$52,5,FALSE)*m2k))</f>
        <v>87.032248416927828</v>
      </c>
      <c r="BO195" s="125">
        <f>BO83/293.07*(1/(VLOOKUP($BM195,'Fuel economy adjusted factor'!$A$2:$L$52,5,FALSE)*m2k))</f>
        <v>87.032248416927828</v>
      </c>
      <c r="BP195" s="125">
        <f>BP83/293.07*(1/(VLOOKUP($BM195,'Fuel economy adjusted factor'!$A$2:$L$52,5,FALSE)*m2k))</f>
        <v>68.605109345814967</v>
      </c>
      <c r="BQ195" s="125">
        <f>BQ83/293.07*(1/(VLOOKUP($BM195,'Fuel economy adjusted factor'!$A$2:$L$52,5,FALSE)*m2k))</f>
        <v>68.605109345814967</v>
      </c>
      <c r="BR195" s="125">
        <f>BR83/293.07*(1/(VLOOKUP($BM195,'Fuel economy adjusted factor'!$A$2:$L$52,5,FALSE)*m2k))</f>
        <v>68.605109345814967</v>
      </c>
      <c r="BS195" s="125">
        <f>BS83/293.07*(1/(VLOOKUP($BM195,'Fuel economy adjusted factor'!$A$2:$L$52,5,FALSE)*m2k))</f>
        <v>68.605109345814967</v>
      </c>
      <c r="BT195" s="125">
        <f>BT83/293.07*(1/(VLOOKUP($BM195,'Fuel economy adjusted factor'!$A$2:$L$52,5,FALSE)*m2k))</f>
        <v>68.605109345814967</v>
      </c>
      <c r="BU195" s="125">
        <f>BU83/293.07*(1/(VLOOKUP($BM195,'Fuel economy adjusted factor'!$A$2:$L$52,5,FALSE)*m2k))</f>
        <v>3.8753734277094734</v>
      </c>
      <c r="BV195" s="125">
        <f>BV83/293.07*(1/(VLOOKUP($BM195,'Fuel economy adjusted factor'!$A$2:$L$52,5,FALSE)*m2k))</f>
        <v>3.8753734277094734</v>
      </c>
      <c r="BW195" s="125">
        <f>BW83/293.07*(1/(VLOOKUP($BM195,'Fuel economy adjusted factor'!$A$2:$L$52,5,FALSE)*m2k))</f>
        <v>3.8753734277094734</v>
      </c>
      <c r="BX195" s="125">
        <f>BX83/293.07*(1/(VLOOKUP($BM195,'Fuel economy adjusted factor'!$A$2:$L$52,5,FALSE)*m2k))</f>
        <v>3.8753734277094734</v>
      </c>
      <c r="BY195" s="125">
        <f>BY83/293.07*(1/(VLOOKUP($BM195,'Fuel economy adjusted factor'!$A$2:$L$52,5,FALSE)*m2k))</f>
        <v>3.8753734277094734</v>
      </c>
      <c r="BZ195" s="125">
        <f>BZ83/293.07*(1/(VLOOKUP($BM195,'Fuel economy adjusted factor'!$A$2:$L$52,5,FALSE)*m2k))</f>
        <v>4.0417099818929199</v>
      </c>
      <c r="CA195" s="125">
        <f>CA83/293.07*(1/(VLOOKUP($BM195,'Fuel economy adjusted factor'!$A$2:$L$52,5,FALSE)*m2k))</f>
        <v>4.0417099818929199</v>
      </c>
      <c r="CB195" s="125">
        <f>CB83/293.07*(1/(VLOOKUP($BM195,'Fuel economy adjusted factor'!$A$2:$L$52,5,FALSE)*m2k))</f>
        <v>4.0417099818929199</v>
      </c>
      <c r="CC195" s="125">
        <f>CC83/293.07*(1/(VLOOKUP($BM195,'Fuel economy adjusted factor'!$A$2:$L$52,5,FALSE)*m2k))</f>
        <v>4.0417099818929199</v>
      </c>
      <c r="CD195" s="125">
        <f>CD83/293.07*(1/(VLOOKUP($BM195,'Fuel economy adjusted factor'!$A$2:$L$52,5,FALSE)*m2k))</f>
        <v>4.0417099818929199</v>
      </c>
      <c r="CE195" s="125">
        <f>CE83/293.07*(1/(VLOOKUP($BM195,'Fuel economy adjusted factor'!$A$2:$L$52,5,FALSE)*m2k))</f>
        <v>4.0980497825034421</v>
      </c>
      <c r="CF195" s="125">
        <f>CF83/293.07*(1/(VLOOKUP($BM195,'Fuel economy adjusted factor'!$A$2:$L$52,5,FALSE)*m2k))</f>
        <v>4.0980497825034421</v>
      </c>
      <c r="CG195" s="125">
        <f>CG83/293.07*(1/(VLOOKUP($BM195,'Fuel economy adjusted factor'!$A$2:$L$52,5,FALSE)*m2k))</f>
        <v>4.0980497825034421</v>
      </c>
      <c r="CH195" s="125">
        <f>CH83/293.07*(1/(VLOOKUP($BM195,'Fuel economy adjusted factor'!$A$2:$L$52,5,FALSE)*m2k))</f>
        <v>4.0980497825034421</v>
      </c>
      <c r="CI195" s="125">
        <f>CI83/293.07*(1/(VLOOKUP($BM195,'Fuel economy adjusted factor'!$A$2:$L$52,5,FALSE)*m2k))</f>
        <v>4.0980497825034421</v>
      </c>
      <c r="CJ195" s="125">
        <f>CJ83/293.07*(1/(VLOOKUP($BM195,'Fuel economy adjusted factor'!$A$2:$L$52,5,FALSE)*m2k))</f>
        <v>4.2422528435898963</v>
      </c>
      <c r="CK195" s="125">
        <f>CK83/293.07*(1/(VLOOKUP($BM195,'Fuel economy adjusted factor'!$A$2:$L$52,5,FALSE)*m2k))</f>
        <v>4.2422528435898963</v>
      </c>
      <c r="CL195" s="125">
        <f>CL83/293.07*(1/(VLOOKUP($BM195,'Fuel economy adjusted factor'!$A$2:$L$52,5,FALSE)*m2k))</f>
        <v>4.2422528435898963</v>
      </c>
      <c r="CM195" s="125">
        <f>CM83/293.07*(1/(VLOOKUP($BM195,'Fuel economy adjusted factor'!$A$2:$L$52,5,FALSE)*m2k))</f>
        <v>4.2422528435898963</v>
      </c>
      <c r="CN195" s="125">
        <f>CN83/293.07*(1/(VLOOKUP($BM195,'Fuel economy adjusted factor'!$A$2:$L$52,5,FALSE)*m2k))</f>
        <v>4.2422528435898963</v>
      </c>
      <c r="CO195" s="125">
        <f>CO83/293.07*(1/(VLOOKUP($BM195,'Fuel economy adjusted factor'!$A$2:$L$52,5,FALSE)*m2k))</f>
        <v>4.4246864836620627</v>
      </c>
      <c r="CP195" s="98" cm="1">
        <f t="array" ref="CP195">SUMPRODUCT(INDEX(BN195:CO195,,'TCO Inputs'!$AZ$12-2023+_xlfn.SEQUENCE('TCO Inputs'!$AZ$13))*INDEX('VKT US'!C85:AA85,,_xlfn.SEQUENCE('TCO Inputs'!$AZ$13)))*m2k*CONVERT(0.9072,"g","ton")</f>
        <v>16.138658065278825</v>
      </c>
      <c r="CQ195" s="194"/>
      <c r="CR195" s="123" t="s">
        <v>205</v>
      </c>
      <c r="CS195" s="125">
        <f>CS83/293.07*(1/(VLOOKUP($BM195,'Fuel economy adjusted factor'!$A$2:$L$52,5,FALSE)*m2k))/'TCO Inputs'!$AZ$84</f>
        <v>102.39088049050333</v>
      </c>
      <c r="CT195" s="125">
        <f>CT83/293.07*(1/(VLOOKUP($BM195,'Fuel economy adjusted factor'!$A$2:$L$52,5,FALSE)*m2k))</f>
        <v>4.075245577494421</v>
      </c>
      <c r="CU195" s="125">
        <f>CU83/293.07*(1/(VLOOKUP($BM195,'Fuel economy adjusted factor'!$A$2:$L$52,5,FALSE)*m2k))</f>
        <v>4.075245577494421</v>
      </c>
      <c r="CV195" s="125">
        <f>CV83/293.07*(1/(VLOOKUP($BM195,'Fuel economy adjusted factor'!$A$2:$L$52,5,FALSE)*m2k))</f>
        <v>4.075245577494421</v>
      </c>
      <c r="CW195" s="125">
        <f>CW83/293.07*(1/(VLOOKUP($BM195,'Fuel economy adjusted factor'!$A$2:$L$52,5,FALSE)*m2k))</f>
        <v>4.075245577494421</v>
      </c>
      <c r="CX195" s="125">
        <f>CX83/293.07*(1/(VLOOKUP($BM195,'Fuel economy adjusted factor'!$A$2:$L$52,5,FALSE)*m2k))</f>
        <v>4.075245577494421</v>
      </c>
      <c r="CY195" s="125">
        <f>CY83/293.07*(1/(VLOOKUP($BM195,'Fuel economy adjusted factor'!$A$2:$L$52,5,FALSE)*m2k))</f>
        <v>4.075245577494421</v>
      </c>
      <c r="CZ195" s="125">
        <f>CZ83/293.07*(1/(VLOOKUP($BM195,'Fuel economy adjusted factor'!$A$2:$L$52,5,FALSE)*m2k))</f>
        <v>4.075245577494421</v>
      </c>
      <c r="DA195" s="125">
        <f>DA83/293.07*(1/(VLOOKUP($BM195,'Fuel economy adjusted factor'!$A$2:$L$52,5,FALSE)*m2k))</f>
        <v>4.075245577494421</v>
      </c>
      <c r="DB195" s="125">
        <f>DB83/293.07*(1/(VLOOKUP($BM195,'Fuel economy adjusted factor'!$A$2:$L$52,5,FALSE)*m2k))</f>
        <v>4.075245577494421</v>
      </c>
      <c r="DC195" s="125">
        <f>DC83/293.07*(1/(VLOOKUP($BM195,'Fuel economy adjusted factor'!$A$2:$L$52,5,FALSE)*m2k))</f>
        <v>4.075245577494421</v>
      </c>
      <c r="DD195" s="125">
        <f>DD83/293.07*(1/(VLOOKUP($BM195,'Fuel economy adjusted factor'!$A$2:$L$52,5,FALSE)*m2k))</f>
        <v>4.075245577494421</v>
      </c>
      <c r="DE195" s="125">
        <f>DE83/293.07*(1/(VLOOKUP($BM195,'Fuel economy adjusted factor'!$A$2:$L$52,5,FALSE)*m2k))</f>
        <v>4.1919494501876446</v>
      </c>
      <c r="DF195" s="125">
        <f>DF83/293.07*(1/(VLOOKUP($BM195,'Fuel economy adjusted factor'!$A$2:$L$52,5,FALSE)*m2k))</f>
        <v>4.1919494501876446</v>
      </c>
      <c r="DG195" s="125">
        <f>DG83/293.07*(1/(VLOOKUP($BM195,'Fuel economy adjusted factor'!$A$2:$L$52,5,FALSE)*m2k))</f>
        <v>4.1919494501876446</v>
      </c>
      <c r="DH195" s="125">
        <f>DH83/293.07*(1/(VLOOKUP($BM195,'Fuel economy adjusted factor'!$A$2:$L$52,5,FALSE)*m2k))</f>
        <v>4.1919494501876446</v>
      </c>
      <c r="DI195" s="125">
        <f>DI83/293.07*(1/(VLOOKUP($BM195,'Fuel economy adjusted factor'!$A$2:$L$52,5,FALSE)*m2k))</f>
        <v>4.1919494501876446</v>
      </c>
      <c r="DJ195" s="125">
        <f>DJ83/293.07*(1/(VLOOKUP($BM195,'Fuel economy adjusted factor'!$A$2:$L$52,5,FALSE)*m2k))</f>
        <v>4.4099308215974027</v>
      </c>
      <c r="DK195" s="125">
        <f>DK83/293.07*(1/(VLOOKUP($BM195,'Fuel economy adjusted factor'!$A$2:$L$52,5,FALSE)*m2k))</f>
        <v>4.4099308215974027</v>
      </c>
      <c r="DL195" s="125">
        <f>DL83/293.07*(1/(VLOOKUP($BM195,'Fuel economy adjusted factor'!$A$2:$L$52,5,FALSE)*m2k))</f>
        <v>4.4099308215974027</v>
      </c>
      <c r="DM195" s="125">
        <f>DM83/293.07*(1/(VLOOKUP($BM195,'Fuel economy adjusted factor'!$A$2:$L$52,5,FALSE)*m2k))</f>
        <v>4.4099308215974027</v>
      </c>
      <c r="DN195" s="125">
        <f>DN83/293.07*(1/(VLOOKUP($BM195,'Fuel economy adjusted factor'!$A$2:$L$52,5,FALSE)*m2k))</f>
        <v>4.4099308215974027</v>
      </c>
      <c r="DO195" s="125">
        <f>DO83/293.07*(1/(VLOOKUP($BM195,'Fuel economy adjusted factor'!$A$2:$L$52,5,FALSE)*m2k))</f>
        <v>4.5541338826838578</v>
      </c>
      <c r="DP195" s="125">
        <f>DP83/293.07*(1/(VLOOKUP($BM195,'Fuel economy adjusted factor'!$A$2:$L$52,5,FALSE)*m2k))</f>
        <v>4.5541338826838578</v>
      </c>
      <c r="DQ195" s="125">
        <f>DQ83/293.07*(1/(VLOOKUP($BM195,'Fuel economy adjusted factor'!$A$2:$L$52,5,FALSE)*m2k))</f>
        <v>4.5541338826838578</v>
      </c>
      <c r="DR195" s="125">
        <f>DR83/293.07*(1/(VLOOKUP($BM195,'Fuel economy adjusted factor'!$A$2:$L$52,5,FALSE)*m2k))</f>
        <v>4.5541338826838578</v>
      </c>
      <c r="DS195" s="125">
        <f>DS83/293.07*(1/(VLOOKUP($BM195,'Fuel economy adjusted factor'!$A$2:$L$52,5,FALSE)*m2k))</f>
        <v>4.5541338826838578</v>
      </c>
      <c r="DT195" s="125">
        <f>DT83/293.07*(1/(VLOOKUP($BM195,'Fuel economy adjusted factor'!$A$2:$L$52,5,FALSE)*m2k))</f>
        <v>4.7372382346680535</v>
      </c>
      <c r="DU195" s="98" cm="1">
        <f t="array" ref="DU195">SUMPRODUCT(INDEX(CS195:DT195,,'TCO Inputs'!$AZ$12-2023+_xlfn.SEQUENCE('TCO Inputs'!$AZ$13))*INDEX('VKT US'!C85:AA85,,_xlfn.SEQUENCE('TCO Inputs'!$AZ$13)))*m2k*CONVERT(0.9072,"g","ton")</f>
        <v>4.7435591877572163</v>
      </c>
      <c r="DW195" s="123" t="s">
        <v>205</v>
      </c>
      <c r="DX195" s="125">
        <f>DX83/293.07*(1/(VLOOKUP($BM195,'Fuel economy adjusted factor'!$A$2:$L$52,5,FALSE)*m2k))/'TCO Inputs'!$AZ$84</f>
        <v>135.27663782334085</v>
      </c>
      <c r="DY195" s="125">
        <f>DY83/293.07*(1/(VLOOKUP($BM195,'Fuel economy adjusted factor'!$A$2:$L$52,5,FALSE)*m2k))/'TCO Inputs'!$AZ$84</f>
        <v>135.27663782334085</v>
      </c>
      <c r="DZ195" s="125">
        <f>DZ83/293.07*(1/(VLOOKUP($BM195,'Fuel economy adjusted factor'!$A$2:$L$52,5,FALSE)*m2k))/'TCO Inputs'!$AZ$84</f>
        <v>118.35057818749762</v>
      </c>
      <c r="EA195" s="125">
        <f>EA83/293.07*(1/(VLOOKUP($BM195,'Fuel economy adjusted factor'!$A$2:$L$52,5,FALSE)*m2k))/'TCO Inputs'!$AZ$84</f>
        <v>118.35057818749762</v>
      </c>
      <c r="EB195" s="125">
        <f>EB83/293.07*(1/(VLOOKUP($BM195,'Fuel economy adjusted factor'!$A$2:$L$52,5,FALSE)*m2k))/'TCO Inputs'!$AZ$84</f>
        <v>118.35057818749762</v>
      </c>
      <c r="EC195" s="125">
        <f>EC83/293.07*(1/(VLOOKUP($BM195,'Fuel economy adjusted factor'!$A$2:$L$52,5,FALSE)*m2k))/'TCO Inputs'!$AZ$84</f>
        <v>118.35057818749762</v>
      </c>
      <c r="ED195" s="125">
        <f>ED83/293.07*(1/(VLOOKUP($BM195,'Fuel economy adjusted factor'!$A$2:$L$52,5,FALSE)*m2k))/'TCO Inputs'!$AZ$84</f>
        <v>118.35057818749762</v>
      </c>
      <c r="EE195" s="125">
        <f>EE83/293.07*(1/(VLOOKUP($BM195,'Fuel economy adjusted factor'!$A$2:$L$52,5,FALSE)*m2k))/'TCO Inputs'!$AZ$84</f>
        <v>73.633183968673094</v>
      </c>
      <c r="EF195" s="125">
        <f>EF83/293.07*(1/(VLOOKUP($BM195,'Fuel economy adjusted factor'!$A$2:$L$52,5,FALSE)*m2k))/'TCO Inputs'!$AZ$84</f>
        <v>73.633183968673094</v>
      </c>
      <c r="EG195" s="125">
        <f>EG83/293.07*(1/(VLOOKUP($BM195,'Fuel economy adjusted factor'!$A$2:$L$52,5,FALSE)*m2k))/'TCO Inputs'!$AZ$84</f>
        <v>73.633183968673094</v>
      </c>
      <c r="EH195" s="125">
        <f>EH83/293.07*(1/(VLOOKUP($BM195,'Fuel economy adjusted factor'!$A$2:$L$52,5,FALSE)*m2k))/'TCO Inputs'!$AZ$84</f>
        <v>73.633183968673094</v>
      </c>
      <c r="EI195" s="125">
        <f>EI83/293.07*(1/(VLOOKUP($BM195,'Fuel economy adjusted factor'!$A$2:$L$52,5,FALSE)*m2k))/'TCO Inputs'!$AZ$84</f>
        <v>73.633183968673094</v>
      </c>
      <c r="EJ195" s="125">
        <f>EJ83/293.07*(1/(VLOOKUP($BM195,'Fuel economy adjusted factor'!$A$2:$L$52,5,FALSE)*m2k))/'TCO Inputs'!$AZ$84</f>
        <v>65.563283548513482</v>
      </c>
      <c r="EK195" s="125">
        <f>EK83/293.07*(1/(VLOOKUP($BM195,'Fuel economy adjusted factor'!$A$2:$L$52,5,FALSE)*m2k))/'TCO Inputs'!$AZ$84</f>
        <v>65.563283548513482</v>
      </c>
      <c r="EL195" s="125">
        <f>EL83/293.07*(1/(VLOOKUP($BM195,'Fuel economy adjusted factor'!$A$2:$L$52,5,FALSE)*m2k))/'TCO Inputs'!$AZ$84</f>
        <v>65.563283548513482</v>
      </c>
      <c r="EM195" s="125">
        <f>EM83/293.07*(1/(VLOOKUP($BM195,'Fuel economy adjusted factor'!$A$2:$L$52,5,FALSE)*m2k))/'TCO Inputs'!$AZ$84</f>
        <v>65.563283548513482</v>
      </c>
      <c r="EN195" s="125">
        <f>EN83/293.07*(1/(VLOOKUP($BM195,'Fuel economy adjusted factor'!$A$2:$L$52,5,FALSE)*m2k))/'TCO Inputs'!$AZ$84</f>
        <v>65.563283548513482</v>
      </c>
      <c r="EO195" s="125">
        <f>EO83/293.07*(1/(VLOOKUP($BM195,'Fuel economy adjusted factor'!$A$2:$L$52,5,FALSE)*m2k))/'TCO Inputs'!$AZ$84</f>
        <v>63.707024934050345</v>
      </c>
      <c r="EP195" s="125">
        <f>EP83/293.07*(1/(VLOOKUP($BM195,'Fuel economy adjusted factor'!$A$2:$L$52,5,FALSE)*m2k))/'TCO Inputs'!$AZ$84</f>
        <v>63.707024934050345</v>
      </c>
      <c r="EQ195" s="125">
        <f>EQ83/293.07*(1/(VLOOKUP($BM195,'Fuel economy adjusted factor'!$A$2:$L$52,5,FALSE)*m2k))/'TCO Inputs'!$AZ$84</f>
        <v>63.707024934050345</v>
      </c>
      <c r="ER195" s="125">
        <f>ER83/293.07*(1/(VLOOKUP($BM195,'Fuel economy adjusted factor'!$A$2:$L$52,5,FALSE)*m2k))/'TCO Inputs'!$AZ$84</f>
        <v>63.707024934050345</v>
      </c>
      <c r="ES195" s="125">
        <f>ES83/293.07*(1/(VLOOKUP($BM195,'Fuel economy adjusted factor'!$A$2:$L$52,5,FALSE)*m2k))/'TCO Inputs'!$AZ$84</f>
        <v>63.707024934050345</v>
      </c>
      <c r="ET195" s="125">
        <f>ET83/293.07*(1/(VLOOKUP($BM195,'Fuel economy adjusted factor'!$A$2:$L$52,5,FALSE)*m2k))/'TCO Inputs'!$AZ$84</f>
        <v>61.452382458428637</v>
      </c>
      <c r="EU195" s="125">
        <f>EU83/293.07*(1/(VLOOKUP($BM195,'Fuel economy adjusted factor'!$A$2:$L$52,5,FALSE)*m2k))/'TCO Inputs'!$AZ$84</f>
        <v>61.452382458428637</v>
      </c>
      <c r="EV195" s="125">
        <f>EV83/293.07*(1/(VLOOKUP($BM195,'Fuel economy adjusted factor'!$A$2:$L$52,5,FALSE)*m2k))/'TCO Inputs'!$AZ$84</f>
        <v>61.452382458428637</v>
      </c>
      <c r="EW195" s="125">
        <f>EW83/293.07*(1/(VLOOKUP($BM195,'Fuel economy adjusted factor'!$A$2:$L$52,5,FALSE)*m2k))/'TCO Inputs'!$AZ$84</f>
        <v>61.452382458428637</v>
      </c>
      <c r="EX195" s="125">
        <f>EX83/293.07*(1/(VLOOKUP($BM195,'Fuel economy adjusted factor'!$A$2:$L$52,5,FALSE)*m2k))/'TCO Inputs'!$AZ$84</f>
        <v>61.452382458428637</v>
      </c>
      <c r="EY195" s="125">
        <f>EY83/293.07*(1/(VLOOKUP($BM195,'Fuel economy adjusted factor'!$A$2:$L$52,5,FALSE)*m2k))/'TCO Inputs'!$AZ$84</f>
        <v>57.859284852151809</v>
      </c>
      <c r="EZ195" s="98" cm="1">
        <f t="array" ref="EZ195">SUMPRODUCT(INDEX(DX195:EY195,,'TCO Inputs'!$AZ$12-2023+_xlfn.SEQUENCE('TCO Inputs'!$AZ$13))*INDEX('VKT US'!C85:AA85,,_xlfn.SEQUENCE('TCO Inputs'!$AZ$13)))*m2k*CONVERT(0.9072,"g","ton")</f>
        <v>37.909978626388771</v>
      </c>
      <c r="FB195" s="123" t="s">
        <v>205</v>
      </c>
      <c r="FC195" s="125">
        <f>FC83/293.07*(1/(VLOOKUP($BM195,'Fuel economy adjusted factor'!$A$2:$L$52,5,FALSE)*m2k))/'TCO Inputs'!$AZ$84</f>
        <v>146.23553775463608</v>
      </c>
      <c r="FD195" s="125">
        <f>FD83/293.07*(1/(VLOOKUP($BM195,'Fuel economy adjusted factor'!$A$2:$L$52,5,FALSE)*m2k))/'TCO Inputs'!$AZ$84</f>
        <v>146.23553775463608</v>
      </c>
      <c r="FE195" s="125">
        <f>FE83/293.07*(1/(VLOOKUP($BM195,'Fuel economy adjusted factor'!$A$2:$L$52,5,FALSE)*m2k))/'TCO Inputs'!$AZ$84</f>
        <v>127.49334449753994</v>
      </c>
      <c r="FF195" s="125">
        <f>FF83/293.07*(1/(VLOOKUP($BM195,'Fuel economy adjusted factor'!$A$2:$L$52,5,FALSE)*m2k))/'TCO Inputs'!$AZ$84</f>
        <v>127.49334449753994</v>
      </c>
      <c r="FG195" s="125">
        <f>FG83/293.07*(1/(VLOOKUP($BM195,'Fuel economy adjusted factor'!$A$2:$L$52,5,FALSE)*m2k))/'TCO Inputs'!$AZ$84</f>
        <v>127.49334449753994</v>
      </c>
      <c r="FH195" s="125">
        <f>FH83/293.07*(1/(VLOOKUP($BM195,'Fuel economy adjusted factor'!$A$2:$L$52,5,FALSE)*m2k))/'TCO Inputs'!$AZ$84</f>
        <v>127.49334449753994</v>
      </c>
      <c r="FI195" s="125">
        <f>FI83/293.07*(1/(VLOOKUP($BM195,'Fuel economy adjusted factor'!$A$2:$L$52,5,FALSE)*m2k))/'TCO Inputs'!$AZ$84</f>
        <v>127.49334449753994</v>
      </c>
      <c r="FJ195" s="125">
        <f>FJ83/293.07*(1/(VLOOKUP($BM195,'Fuel economy adjusted factor'!$A$2:$L$52,5,FALSE)*m2k))/'TCO Inputs'!$AZ$84</f>
        <v>80.640727425743165</v>
      </c>
      <c r="FK195" s="125">
        <f>FK83/293.07*(1/(VLOOKUP($BM195,'Fuel economy adjusted factor'!$A$2:$L$52,5,FALSE)*m2k))/'TCO Inputs'!$AZ$84</f>
        <v>80.640727425743165</v>
      </c>
      <c r="FL195" s="125">
        <f>FL83/293.07*(1/(VLOOKUP($BM195,'Fuel economy adjusted factor'!$A$2:$L$52,5,FALSE)*m2k))/'TCO Inputs'!$AZ$84</f>
        <v>80.640727425743165</v>
      </c>
      <c r="FM195" s="125">
        <f>FM83/293.07*(1/(VLOOKUP($BM195,'Fuel economy adjusted factor'!$A$2:$L$52,5,FALSE)*m2k))/'TCO Inputs'!$AZ$84</f>
        <v>80.640727425743165</v>
      </c>
      <c r="FN195" s="125">
        <f>FN83/293.07*(1/(VLOOKUP($BM195,'Fuel economy adjusted factor'!$A$2:$L$52,5,FALSE)*m2k))/'TCO Inputs'!$AZ$84</f>
        <v>80.640727425743165</v>
      </c>
      <c r="FO195" s="125">
        <f>FO83/293.07*(1/(VLOOKUP($BM195,'Fuel economy adjusted factor'!$A$2:$L$52,5,FALSE)*m2k))/'TCO Inputs'!$AZ$84</f>
        <v>71.424398628148779</v>
      </c>
      <c r="FP195" s="125">
        <f>FP83/293.07*(1/(VLOOKUP($BM195,'Fuel economy adjusted factor'!$A$2:$L$52,5,FALSE)*m2k))/'TCO Inputs'!$AZ$84</f>
        <v>71.424398628148779</v>
      </c>
      <c r="FQ195" s="125">
        <f>FQ83/293.07*(1/(VLOOKUP($BM195,'Fuel economy adjusted factor'!$A$2:$L$52,5,FALSE)*m2k))/'TCO Inputs'!$AZ$84</f>
        <v>71.424398628148779</v>
      </c>
      <c r="FR195" s="125">
        <f>FR83/293.07*(1/(VLOOKUP($BM195,'Fuel economy adjusted factor'!$A$2:$L$52,5,FALSE)*m2k))/'TCO Inputs'!$AZ$84</f>
        <v>71.424398628148779</v>
      </c>
      <c r="FS195" s="125">
        <f>FS83/293.07*(1/(VLOOKUP($BM195,'Fuel economy adjusted factor'!$A$2:$L$52,5,FALSE)*m2k))/'TCO Inputs'!$AZ$84</f>
        <v>71.424398628148779</v>
      </c>
      <c r="FT195" s="125">
        <f>FT83/293.07*(1/(VLOOKUP($BM195,'Fuel economy adjusted factor'!$A$2:$L$52,5,FALSE)*m2k))/'TCO Inputs'!$AZ$84</f>
        <v>69.793604261247793</v>
      </c>
      <c r="FU195" s="125">
        <f>FU83/293.07*(1/(VLOOKUP($BM195,'Fuel economy adjusted factor'!$A$2:$L$52,5,FALSE)*m2k))/'TCO Inputs'!$AZ$84</f>
        <v>69.793604261247793</v>
      </c>
      <c r="FV195" s="125">
        <f>FV83/293.07*(1/(VLOOKUP($BM195,'Fuel economy adjusted factor'!$A$2:$L$52,5,FALSE)*m2k))/'TCO Inputs'!$AZ$84</f>
        <v>69.793604261247793</v>
      </c>
      <c r="FW195" s="125">
        <f>FW83/293.07*(1/(VLOOKUP($BM195,'Fuel economy adjusted factor'!$A$2:$L$52,5,FALSE)*m2k))/'TCO Inputs'!$AZ$84</f>
        <v>69.793604261247793</v>
      </c>
      <c r="FX195" s="125">
        <f>FX83/293.07*(1/(VLOOKUP($BM195,'Fuel economy adjusted factor'!$A$2:$L$52,5,FALSE)*m2k))/'TCO Inputs'!$AZ$84</f>
        <v>69.793604261247793</v>
      </c>
      <c r="FY195" s="125">
        <f>FY83/293.07*(1/(VLOOKUP($BM195,'Fuel economy adjusted factor'!$A$2:$L$52,5,FALSE)*m2k))/'TCO Inputs'!$AZ$84</f>
        <v>67.535140357701309</v>
      </c>
      <c r="FZ195" s="125">
        <f>FZ83/293.07*(1/(VLOOKUP($BM195,'Fuel economy adjusted factor'!$A$2:$L$52,5,FALSE)*m2k))/'TCO Inputs'!$AZ$84</f>
        <v>67.535140357701309</v>
      </c>
      <c r="GA195" s="125">
        <f>GA83/293.07*(1/(VLOOKUP($BM195,'Fuel economy adjusted factor'!$A$2:$L$52,5,FALSE)*m2k))/'TCO Inputs'!$AZ$84</f>
        <v>67.535140357701309</v>
      </c>
      <c r="GB195" s="125">
        <f>GB83/293.07*(1/(VLOOKUP($BM195,'Fuel economy adjusted factor'!$A$2:$L$52,5,FALSE)*m2k))/'TCO Inputs'!$AZ$84</f>
        <v>67.535140357701309</v>
      </c>
      <c r="GC195" s="125">
        <f>GC83/293.07*(1/(VLOOKUP($BM195,'Fuel economy adjusted factor'!$A$2:$L$52,5,FALSE)*m2k))/'TCO Inputs'!$AZ$84</f>
        <v>67.535140357701309</v>
      </c>
      <c r="GD195" s="125">
        <f>GD83/293.07*(1/(VLOOKUP($BM195,'Fuel economy adjusted factor'!$A$2:$L$52,5,FALSE)*m2k))/'TCO Inputs'!$AZ$84</f>
        <v>63.819757057831431</v>
      </c>
      <c r="GE195" s="98" cm="1">
        <f t="array" ref="GE195">SUMPRODUCT(INDEX(FC195:GD195,,'TCO Inputs'!$AZ$12-2023+_xlfn.SEQUENCE('TCO Inputs'!$AZ$13))*INDEX('VKT US'!C85:AA85,,_xlfn.SEQUENCE('TCO Inputs'!$AZ$13)))*m2k*CONVERT(0.9072,"g","ton")</f>
        <v>41.072054228964845</v>
      </c>
      <c r="GH195" s="123" t="s">
        <v>205</v>
      </c>
      <c r="GI195" s="125">
        <f>GI83/293.07*(1/(VLOOKUP($GH195,'Fuel economy adjusted factor'!$A$2:$L$52,5,FALSE)*m2k))/'TCO Inputs'!$AZ$84</f>
        <v>257.43501329387652</v>
      </c>
      <c r="GJ195" s="125">
        <f>GJ83/293.07*(1/(VLOOKUP($GH195,'Fuel economy adjusted factor'!$A$2:$L$52,5,FALSE)*m2k))/'TCO Inputs'!$AZ$84</f>
        <v>257.43501329387652</v>
      </c>
      <c r="GK195" s="125">
        <f>GK83/293.07*(1/(VLOOKUP($GH195,'Fuel economy adjusted factor'!$A$2:$L$52,5,FALSE)*m2k))/'TCO Inputs'!$AZ$84</f>
        <v>257.43501329387652</v>
      </c>
      <c r="GL195" s="125">
        <f>GL83/293.07*(1/(VLOOKUP($GH195,'Fuel economy adjusted factor'!$A$2:$L$52,5,FALSE)*m2k))/'TCO Inputs'!$AZ$84</f>
        <v>257.43501329387652</v>
      </c>
      <c r="GM195" s="125">
        <f>GM83/293.07*(1/(VLOOKUP($GH195,'Fuel economy adjusted factor'!$A$2:$L$52,5,FALSE)*m2k))/'TCO Inputs'!$AZ$84</f>
        <v>257.43501329387652</v>
      </c>
      <c r="GN195" s="125">
        <f>GN83/293.07*(1/(VLOOKUP($GH195,'Fuel economy adjusted factor'!$A$2:$L$52,5,FALSE)*m2k))/'TCO Inputs'!$AZ$84</f>
        <v>257.43501329387652</v>
      </c>
      <c r="GO195" s="125">
        <f>GO83/293.07*(1/(VLOOKUP($GH195,'Fuel economy adjusted factor'!$A$2:$L$52,5,FALSE)*m2k))/'TCO Inputs'!$AZ$84</f>
        <v>257.43501329387652</v>
      </c>
      <c r="GP195" s="125">
        <f>GP83/293.07*(1/(VLOOKUP($GH195,'Fuel economy adjusted factor'!$A$2:$L$52,5,FALSE)*m2k))/'TCO Inputs'!$AZ$84</f>
        <v>257.43501329387652</v>
      </c>
      <c r="GQ195" s="125">
        <f>GQ83/293.07*(1/(VLOOKUP($GH195,'Fuel economy adjusted factor'!$A$2:$L$52,5,FALSE)*m2k))/'TCO Inputs'!$AZ$84</f>
        <v>257.43501329387652</v>
      </c>
      <c r="GR195" s="125">
        <f>GR83/293.07*(1/(VLOOKUP($GH195,'Fuel economy adjusted factor'!$A$2:$L$52,5,FALSE)*m2k))/'TCO Inputs'!$AZ$84</f>
        <v>257.43501329387652</v>
      </c>
      <c r="GS195" s="125">
        <f>GS83/293.07*(1/(VLOOKUP($GH195,'Fuel economy adjusted factor'!$A$2:$L$52,5,FALSE)*m2k))/'TCO Inputs'!$AZ$84</f>
        <v>257.43501329387652</v>
      </c>
      <c r="GT195" s="125">
        <f>GT83/293.07*(1/(VLOOKUP($GH195,'Fuel economy adjusted factor'!$A$2:$L$52,5,FALSE)*m2k))/'TCO Inputs'!$AZ$84</f>
        <v>257.43501329387652</v>
      </c>
      <c r="GU195" s="125">
        <f>GU83/293.07*(1/(VLOOKUP($GH195,'Fuel economy adjusted factor'!$A$2:$L$52,5,FALSE)*m2k))/'TCO Inputs'!$AZ$84</f>
        <v>257.43501329387652</v>
      </c>
      <c r="GV195" s="125">
        <f>GV83/293.07*(1/(VLOOKUP($GH195,'Fuel economy adjusted factor'!$A$2:$L$52,5,FALSE)*m2k))/'TCO Inputs'!$AZ$84</f>
        <v>257.43501329387652</v>
      </c>
      <c r="GW195" s="125">
        <f>GW83/293.07*(1/(VLOOKUP($GH195,'Fuel economy adjusted factor'!$A$2:$L$52,5,FALSE)*m2k))/'TCO Inputs'!$AZ$84</f>
        <v>257.43501329387652</v>
      </c>
      <c r="GX195" s="125">
        <f>GX83/293.07*(1/(VLOOKUP($GH195,'Fuel economy adjusted factor'!$A$2:$L$52,5,FALSE)*m2k))/'TCO Inputs'!$AZ$84</f>
        <v>257.43501329387652</v>
      </c>
      <c r="GY195" s="125">
        <f>GY83/293.07*(1/(VLOOKUP($GH195,'Fuel economy adjusted factor'!$A$2:$L$52,5,FALSE)*m2k))/'TCO Inputs'!$AZ$84</f>
        <v>257.43501329387652</v>
      </c>
      <c r="GZ195" s="125">
        <f>GZ83/293.07*(1/(VLOOKUP($GH195,'Fuel economy adjusted factor'!$A$2:$L$52,5,FALSE)*m2k))/'TCO Inputs'!$AZ$84</f>
        <v>257.43501329387652</v>
      </c>
      <c r="HA195" s="125">
        <f>HA83/293.07*(1/(VLOOKUP($GH195,'Fuel economy adjusted factor'!$A$2:$L$52,5,FALSE)*m2k))/'TCO Inputs'!$AZ$84</f>
        <v>257.43501329387652</v>
      </c>
      <c r="HB195" s="125">
        <f>HB83/293.07*(1/(VLOOKUP($GH195,'Fuel economy adjusted factor'!$A$2:$L$52,5,FALSE)*m2k))/'TCO Inputs'!$AZ$84</f>
        <v>257.43501329387652</v>
      </c>
      <c r="HC195" s="125">
        <f>HC83/293.07*(1/(VLOOKUP($GH195,'Fuel economy adjusted factor'!$A$2:$L$52,5,FALSE)*m2k))/'TCO Inputs'!$AZ$84</f>
        <v>257.43501329387652</v>
      </c>
      <c r="HD195" s="125">
        <f>HD83/293.07*(1/(VLOOKUP($GH195,'Fuel economy adjusted factor'!$A$2:$L$52,5,FALSE)*m2k))/'TCO Inputs'!$AZ$84</f>
        <v>257.43501329387652</v>
      </c>
      <c r="HE195" s="125">
        <f>HE83/293.07*(1/(VLOOKUP($GH195,'Fuel economy adjusted factor'!$A$2:$L$52,5,FALSE)*m2k))/'TCO Inputs'!$AZ$84</f>
        <v>257.43501329387652</v>
      </c>
      <c r="HF195" s="125">
        <f>HF83/293.07*(1/(VLOOKUP($GH195,'Fuel economy adjusted factor'!$A$2:$L$52,5,FALSE)*m2k))/'TCO Inputs'!$AZ$84</f>
        <v>257.43501329387652</v>
      </c>
      <c r="HG195" s="125">
        <f>HG83/293.07*(1/(VLOOKUP($GH195,'Fuel economy adjusted factor'!$A$2:$L$52,5,FALSE)*m2k))/'TCO Inputs'!$AZ$84</f>
        <v>257.43501329387652</v>
      </c>
      <c r="HH195" s="125">
        <f>HH83/293.07*(1/(VLOOKUP($GH195,'Fuel economy adjusted factor'!$A$2:$L$52,5,FALSE)*m2k))/'TCO Inputs'!$AZ$84</f>
        <v>257.43501329387652</v>
      </c>
      <c r="HI195" s="125">
        <f>HI83/293.07*(1/(VLOOKUP($GH195,'Fuel economy adjusted factor'!$A$2:$L$52,5,FALSE)*m2k))/'TCO Inputs'!$AZ$84</f>
        <v>257.43501329387652</v>
      </c>
      <c r="HJ195" s="125">
        <f>HJ83/293.07*(1/(VLOOKUP($GH195,'Fuel economy adjusted factor'!$A$2:$L$52,5,FALSE)*m2k))/'TCO Inputs'!$AZ$84</f>
        <v>257.43501329387652</v>
      </c>
      <c r="HK195" s="98" cm="1">
        <f t="array" ref="HK195">SUMPRODUCT(INDEX(GI195:HJ195,,'TCO Inputs'!$AZ$12-2023+_xlfn.SEQUENCE('TCO Inputs'!$AZ$13))*INDEX('VKT US'!C85:AA85,,_xlfn.SEQUENCE('TCO Inputs'!$AZ$13)))*m2k*CONVERT(0.9072,"g","ton")</f>
        <v>97.464721856098777</v>
      </c>
    </row>
    <row r="196" spans="26:219" x14ac:dyDescent="0.25">
      <c r="Z196" s="123" t="s">
        <v>207</v>
      </c>
      <c r="AA196" s="125">
        <f>AA84/293.07*(1/(VLOOKUP($Z196,'Fuel economy adjusted factor'!$A$2:$L$52,5,FALSE)*m2k))/'TCO Inputs'!$AZ$84</f>
        <v>104.69262564595832</v>
      </c>
      <c r="AB196" s="125">
        <f>AB84/293.07*(1/(VLOOKUP($Z196,'Fuel economy adjusted factor'!$A$2:$L$52,5,FALSE)*m2k))/'TCO Inputs'!$AZ$84</f>
        <v>104.69262564595832</v>
      </c>
      <c r="AC196" s="125">
        <f>AC84/293.07*(1/(VLOOKUP($Z196,'Fuel economy adjusted factor'!$A$2:$L$52,5,FALSE)*m2k))/'TCO Inputs'!$AZ$84</f>
        <v>91.956304344125741</v>
      </c>
      <c r="AD196" s="125">
        <f>AD84/293.07*(1/(VLOOKUP($Z196,'Fuel economy adjusted factor'!$A$2:$L$52,5,FALSE)*m2k))/'TCO Inputs'!$AZ$84</f>
        <v>91.956304344125741</v>
      </c>
      <c r="AE196" s="125">
        <f>AE84/293.07*(1/(VLOOKUP($Z196,'Fuel economy adjusted factor'!$A$2:$L$52,5,FALSE)*m2k))/'TCO Inputs'!$AZ$84</f>
        <v>91.956304344125741</v>
      </c>
      <c r="AF196" s="125">
        <f>AF84/293.07*(1/(VLOOKUP($Z196,'Fuel economy adjusted factor'!$A$2:$L$52,5,FALSE)*m2k))/'TCO Inputs'!$AZ$84</f>
        <v>91.956304344125741</v>
      </c>
      <c r="AG196" s="125">
        <f>AG84/293.07*(1/(VLOOKUP($Z196,'Fuel economy adjusted factor'!$A$2:$L$52,5,FALSE)*m2k))/'TCO Inputs'!$AZ$84</f>
        <v>91.956304344125741</v>
      </c>
      <c r="AH196" s="125">
        <f>AH84/293.07*(1/(VLOOKUP($Z196,'Fuel economy adjusted factor'!$A$2:$L$52,5,FALSE)*m2k))/'TCO Inputs'!$AZ$84</f>
        <v>34.766300596558217</v>
      </c>
      <c r="AI196" s="125">
        <f>AI84/293.07*(1/(VLOOKUP($Z196,'Fuel economy adjusted factor'!$A$2:$L$52,5,FALSE)*m2k))/'TCO Inputs'!$AZ$84</f>
        <v>34.766300596558217</v>
      </c>
      <c r="AJ196" s="125">
        <f>AJ84/293.07*(1/(VLOOKUP($Z196,'Fuel economy adjusted factor'!$A$2:$L$52,5,FALSE)*m2k))/'TCO Inputs'!$AZ$84</f>
        <v>34.766300596558217</v>
      </c>
      <c r="AK196" s="125">
        <f>AK84/293.07*(1/(VLOOKUP($Z196,'Fuel economy adjusted factor'!$A$2:$L$52,5,FALSE)*m2k))/'TCO Inputs'!$AZ$84</f>
        <v>34.766300596558217</v>
      </c>
      <c r="AL196" s="125">
        <f>AL84/293.07*(1/(VLOOKUP($Z196,'Fuel economy adjusted factor'!$A$2:$L$52,5,FALSE)*m2k))/'TCO Inputs'!$AZ$84</f>
        <v>34.766300596558217</v>
      </c>
      <c r="AM196" s="125">
        <f>AM84/293.07*(1/(VLOOKUP($Z196,'Fuel economy adjusted factor'!$A$2:$L$52,5,FALSE)*m2k))/'TCO Inputs'!$AZ$84</f>
        <v>29.221087350169306</v>
      </c>
      <c r="AN196" s="125">
        <f>AN84/293.07*(1/(VLOOKUP($Z196,'Fuel economy adjusted factor'!$A$2:$L$52,5,FALSE)*m2k))/'TCO Inputs'!$AZ$84</f>
        <v>29.221087350169306</v>
      </c>
      <c r="AO196" s="125">
        <f>AO84/293.07*(1/(VLOOKUP($Z196,'Fuel economy adjusted factor'!$A$2:$L$52,5,FALSE)*m2k))/'TCO Inputs'!$AZ$84</f>
        <v>29.221087350169306</v>
      </c>
      <c r="AP196" s="125">
        <f>AP84/293.07*(1/(VLOOKUP($Z196,'Fuel economy adjusted factor'!$A$2:$L$52,5,FALSE)*m2k))/'TCO Inputs'!$AZ$84</f>
        <v>29.221087350169306</v>
      </c>
      <c r="AQ196" s="125">
        <f>AQ84/293.07*(1/(VLOOKUP($Z196,'Fuel economy adjusted factor'!$A$2:$L$52,5,FALSE)*m2k))/'TCO Inputs'!$AZ$84</f>
        <v>29.221087350169306</v>
      </c>
      <c r="AR196" s="125">
        <f>AR84/293.07*(1/(VLOOKUP($Z196,'Fuel economy adjusted factor'!$A$2:$L$52,5,FALSE)*m2k))/'TCO Inputs'!$AZ$84</f>
        <v>29.221087350169306</v>
      </c>
      <c r="AS196" s="125">
        <f>AS84/293.07*(1/(VLOOKUP($Z196,'Fuel economy adjusted factor'!$A$2:$L$52,5,FALSE)*m2k))/'TCO Inputs'!$AZ$84</f>
        <v>29.221087350169306</v>
      </c>
      <c r="AT196" s="125">
        <f>AT84/293.07*(1/(VLOOKUP($Z196,'Fuel economy adjusted factor'!$A$2:$L$52,5,FALSE)*m2k))/'TCO Inputs'!$AZ$84</f>
        <v>29.221087350169306</v>
      </c>
      <c r="AU196" s="125">
        <f>AU84/293.07*(1/(VLOOKUP($Z196,'Fuel economy adjusted factor'!$A$2:$L$52,5,FALSE)*m2k))/'TCO Inputs'!$AZ$84</f>
        <v>29.221087350169306</v>
      </c>
      <c r="AV196" s="125">
        <f>AV84/293.07*(1/(VLOOKUP($Z196,'Fuel economy adjusted factor'!$A$2:$L$52,5,FALSE)*m2k))/'TCO Inputs'!$AZ$84</f>
        <v>29.221087350169306</v>
      </c>
      <c r="AW196" s="125">
        <f>AW84/293.07*(1/(VLOOKUP($Z196,'Fuel economy adjusted factor'!$A$2:$L$52,5,FALSE)*m2k))/'TCO Inputs'!$AZ$84</f>
        <v>29.359052062104773</v>
      </c>
      <c r="AX196" s="125">
        <f>AX84/293.07*(1/(VLOOKUP($Z196,'Fuel economy adjusted factor'!$A$2:$L$52,5,FALSE)*m2k))/'TCO Inputs'!$AZ$84</f>
        <v>29.359052062104773</v>
      </c>
      <c r="AY196" s="125">
        <f>AY84/293.07*(1/(VLOOKUP($Z196,'Fuel economy adjusted factor'!$A$2:$L$52,5,FALSE)*m2k))/'TCO Inputs'!$AZ$84</f>
        <v>29.359052062104773</v>
      </c>
      <c r="AZ196" s="125">
        <f>AZ84/293.07*(1/(VLOOKUP($Z196,'Fuel economy adjusted factor'!$A$2:$L$52,5,FALSE)*m2k))/'TCO Inputs'!$AZ$84</f>
        <v>29.359052062104773</v>
      </c>
      <c r="BA196" s="125">
        <f>BA84/293.07*(1/(VLOOKUP($Z196,'Fuel economy adjusted factor'!$A$2:$L$52,5,FALSE)*m2k))/'TCO Inputs'!$AZ$84</f>
        <v>29.359052062104773</v>
      </c>
      <c r="BB196" s="125">
        <f>BB84/293.07*(1/(VLOOKUP($Z196,'Fuel economy adjusted factor'!$A$2:$L$52,5,FALSE)*m2k))/'TCO Inputs'!$AZ$84</f>
        <v>29.532516466000249</v>
      </c>
      <c r="BC196" s="98" cm="1">
        <f t="array" ref="BC196">SUMPRODUCT(INDEX(AA196:BB196,,'TCO Inputs'!$AZ$12-2023+_xlfn.SEQUENCE('TCO Inputs'!$AZ$13))*INDEX('VKT US'!C86:AA86,,_xlfn.SEQUENCE('TCO Inputs'!$AZ$13)))*m2k*CONVERT(0.9072,"g","ton")</f>
        <v>28.584459639250426</v>
      </c>
      <c r="BM196" s="123" t="s">
        <v>207</v>
      </c>
      <c r="BN196" s="125">
        <f>BN84/293.07*(1/(VLOOKUP($BM196,'Fuel economy adjusted factor'!$A$2:$L$52,5,FALSE)*m2k))</f>
        <v>88.988731799064567</v>
      </c>
      <c r="BO196" s="125">
        <f>BO84/293.07*(1/(VLOOKUP($BM196,'Fuel economy adjusted factor'!$A$2:$L$52,5,FALSE)*m2k))</f>
        <v>88.988731799064567</v>
      </c>
      <c r="BP196" s="125">
        <f>BP84/293.07*(1/(VLOOKUP($BM196,'Fuel economy adjusted factor'!$A$2:$L$52,5,FALSE)*m2k))</f>
        <v>70.14735097241018</v>
      </c>
      <c r="BQ196" s="125">
        <f>BQ84/293.07*(1/(VLOOKUP($BM196,'Fuel economy adjusted factor'!$A$2:$L$52,5,FALSE)*m2k))</f>
        <v>70.14735097241018</v>
      </c>
      <c r="BR196" s="125">
        <f>BR84/293.07*(1/(VLOOKUP($BM196,'Fuel economy adjusted factor'!$A$2:$L$52,5,FALSE)*m2k))</f>
        <v>70.14735097241018</v>
      </c>
      <c r="BS196" s="125">
        <f>BS84/293.07*(1/(VLOOKUP($BM196,'Fuel economy adjusted factor'!$A$2:$L$52,5,FALSE)*m2k))</f>
        <v>70.14735097241018</v>
      </c>
      <c r="BT196" s="125">
        <f>BT84/293.07*(1/(VLOOKUP($BM196,'Fuel economy adjusted factor'!$A$2:$L$52,5,FALSE)*m2k))</f>
        <v>70.14735097241018</v>
      </c>
      <c r="BU196" s="125">
        <f>BU84/293.07*(1/(VLOOKUP($BM196,'Fuel economy adjusted factor'!$A$2:$L$52,5,FALSE)*m2k))</f>
        <v>3.9624917527993393</v>
      </c>
      <c r="BV196" s="125">
        <f>BV84/293.07*(1/(VLOOKUP($BM196,'Fuel economy adjusted factor'!$A$2:$L$52,5,FALSE)*m2k))</f>
        <v>3.9624917527993393</v>
      </c>
      <c r="BW196" s="125">
        <f>BW84/293.07*(1/(VLOOKUP($BM196,'Fuel economy adjusted factor'!$A$2:$L$52,5,FALSE)*m2k))</f>
        <v>3.9624917527993393</v>
      </c>
      <c r="BX196" s="125">
        <f>BX84/293.07*(1/(VLOOKUP($BM196,'Fuel economy adjusted factor'!$A$2:$L$52,5,FALSE)*m2k))</f>
        <v>3.9624917527993393</v>
      </c>
      <c r="BY196" s="125">
        <f>BY84/293.07*(1/(VLOOKUP($BM196,'Fuel economy adjusted factor'!$A$2:$L$52,5,FALSE)*m2k))</f>
        <v>3.9624917527993393</v>
      </c>
      <c r="BZ196" s="125">
        <f>BZ84/293.07*(1/(VLOOKUP($BM196,'Fuel economy adjusted factor'!$A$2:$L$52,5,FALSE)*m2k))</f>
        <v>4.1325675497349987</v>
      </c>
      <c r="CA196" s="125">
        <f>CA84/293.07*(1/(VLOOKUP($BM196,'Fuel economy adjusted factor'!$A$2:$L$52,5,FALSE)*m2k))</f>
        <v>4.1325675497349987</v>
      </c>
      <c r="CB196" s="125">
        <f>CB84/293.07*(1/(VLOOKUP($BM196,'Fuel economy adjusted factor'!$A$2:$L$52,5,FALSE)*m2k))</f>
        <v>4.1325675497349987</v>
      </c>
      <c r="CC196" s="125">
        <f>CC84/293.07*(1/(VLOOKUP($BM196,'Fuel economy adjusted factor'!$A$2:$L$52,5,FALSE)*m2k))</f>
        <v>4.1325675497349987</v>
      </c>
      <c r="CD196" s="125">
        <f>CD84/293.07*(1/(VLOOKUP($BM196,'Fuel economy adjusted factor'!$A$2:$L$52,5,FALSE)*m2k))</f>
        <v>4.1325675497349987</v>
      </c>
      <c r="CE196" s="125">
        <f>CE84/293.07*(1/(VLOOKUP($BM196,'Fuel economy adjusted factor'!$A$2:$L$52,5,FALSE)*m2k))</f>
        <v>4.1901738680519154</v>
      </c>
      <c r="CF196" s="125">
        <f>CF84/293.07*(1/(VLOOKUP($BM196,'Fuel economy adjusted factor'!$A$2:$L$52,5,FALSE)*m2k))</f>
        <v>4.1901738680519154</v>
      </c>
      <c r="CG196" s="125">
        <f>CG84/293.07*(1/(VLOOKUP($BM196,'Fuel economy adjusted factor'!$A$2:$L$52,5,FALSE)*m2k))</f>
        <v>4.1901738680519154</v>
      </c>
      <c r="CH196" s="125">
        <f>CH84/293.07*(1/(VLOOKUP($BM196,'Fuel economy adjusted factor'!$A$2:$L$52,5,FALSE)*m2k))</f>
        <v>4.1901738680519154</v>
      </c>
      <c r="CI196" s="125">
        <f>CI84/293.07*(1/(VLOOKUP($BM196,'Fuel economy adjusted factor'!$A$2:$L$52,5,FALSE)*m2k))</f>
        <v>4.1901738680519154</v>
      </c>
      <c r="CJ196" s="125">
        <f>CJ84/293.07*(1/(VLOOKUP($BM196,'Fuel economy adjusted factor'!$A$2:$L$52,5,FALSE)*m2k))</f>
        <v>4.3376186113630713</v>
      </c>
      <c r="CK196" s="125">
        <f>CK84/293.07*(1/(VLOOKUP($BM196,'Fuel economy adjusted factor'!$A$2:$L$52,5,FALSE)*m2k))</f>
        <v>4.3376186113630713</v>
      </c>
      <c r="CL196" s="125">
        <f>CL84/293.07*(1/(VLOOKUP($BM196,'Fuel economy adjusted factor'!$A$2:$L$52,5,FALSE)*m2k))</f>
        <v>4.3376186113630713</v>
      </c>
      <c r="CM196" s="125">
        <f>CM84/293.07*(1/(VLOOKUP($BM196,'Fuel economy adjusted factor'!$A$2:$L$52,5,FALSE)*m2k))</f>
        <v>4.3376186113630713</v>
      </c>
      <c r="CN196" s="125">
        <f>CN84/293.07*(1/(VLOOKUP($BM196,'Fuel economy adjusted factor'!$A$2:$L$52,5,FALSE)*m2k))</f>
        <v>4.3376186113630713</v>
      </c>
      <c r="CO196" s="125">
        <f>CO84/293.07*(1/(VLOOKUP($BM196,'Fuel economy adjusted factor'!$A$2:$L$52,5,FALSE)*m2k))</f>
        <v>4.5241533563892773</v>
      </c>
      <c r="CP196" s="98" cm="1">
        <f t="array" ref="CP196">SUMPRODUCT(INDEX(BN196:CO196,,'TCO Inputs'!$AZ$12-2023+_xlfn.SEQUENCE('TCO Inputs'!$AZ$13))*INDEX('VKT US'!C86:AA86,,_xlfn.SEQUENCE('TCO Inputs'!$AZ$13)))*m2k*CONVERT(0.9072,"g","ton")</f>
        <v>18.396786348443321</v>
      </c>
      <c r="CQ196" s="194"/>
      <c r="CR196" s="123" t="s">
        <v>207</v>
      </c>
      <c r="CS196" s="125">
        <f>CS84/293.07*(1/(VLOOKUP($BM196,'Fuel economy adjusted factor'!$A$2:$L$52,5,FALSE)*m2k))/'TCO Inputs'!$AZ$84</f>
        <v>104.69262564595832</v>
      </c>
      <c r="CT196" s="125">
        <f>CT84/293.07*(1/(VLOOKUP($BM196,'Fuel economy adjusted factor'!$A$2:$L$52,5,FALSE)*m2k))</f>
        <v>4.1668570249236403</v>
      </c>
      <c r="CU196" s="125">
        <f>CU84/293.07*(1/(VLOOKUP($BM196,'Fuel economy adjusted factor'!$A$2:$L$52,5,FALSE)*m2k))</f>
        <v>4.1668570249236403</v>
      </c>
      <c r="CV196" s="125">
        <f>CV84/293.07*(1/(VLOOKUP($BM196,'Fuel economy adjusted factor'!$A$2:$L$52,5,FALSE)*m2k))</f>
        <v>4.1668570249236403</v>
      </c>
      <c r="CW196" s="125">
        <f>CW84/293.07*(1/(VLOOKUP($BM196,'Fuel economy adjusted factor'!$A$2:$L$52,5,FALSE)*m2k))</f>
        <v>4.1668570249236403</v>
      </c>
      <c r="CX196" s="125">
        <f>CX84/293.07*(1/(VLOOKUP($BM196,'Fuel economy adjusted factor'!$A$2:$L$52,5,FALSE)*m2k))</f>
        <v>4.1668570249236403</v>
      </c>
      <c r="CY196" s="125">
        <f>CY84/293.07*(1/(VLOOKUP($BM196,'Fuel economy adjusted factor'!$A$2:$L$52,5,FALSE)*m2k))</f>
        <v>4.1668570249236403</v>
      </c>
      <c r="CZ196" s="125">
        <f>CZ84/293.07*(1/(VLOOKUP($BM196,'Fuel economy adjusted factor'!$A$2:$L$52,5,FALSE)*m2k))</f>
        <v>4.1668570249236403</v>
      </c>
      <c r="DA196" s="125">
        <f>DA84/293.07*(1/(VLOOKUP($BM196,'Fuel economy adjusted factor'!$A$2:$L$52,5,FALSE)*m2k))</f>
        <v>4.1668570249236403</v>
      </c>
      <c r="DB196" s="125">
        <f>DB84/293.07*(1/(VLOOKUP($BM196,'Fuel economy adjusted factor'!$A$2:$L$52,5,FALSE)*m2k))</f>
        <v>4.1668570249236403</v>
      </c>
      <c r="DC196" s="125">
        <f>DC84/293.07*(1/(VLOOKUP($BM196,'Fuel economy adjusted factor'!$A$2:$L$52,5,FALSE)*m2k))</f>
        <v>4.1668570249236403</v>
      </c>
      <c r="DD196" s="125">
        <f>DD84/293.07*(1/(VLOOKUP($BM196,'Fuel economy adjusted factor'!$A$2:$L$52,5,FALSE)*m2k))</f>
        <v>4.1668570249236403</v>
      </c>
      <c r="DE196" s="125">
        <f>DE84/293.07*(1/(VLOOKUP($BM196,'Fuel economy adjusted factor'!$A$2:$L$52,5,FALSE)*m2k))</f>
        <v>4.2861843985801098</v>
      </c>
      <c r="DF196" s="125">
        <f>DF84/293.07*(1/(VLOOKUP($BM196,'Fuel economy adjusted factor'!$A$2:$L$52,5,FALSE)*m2k))</f>
        <v>4.2861843985801098</v>
      </c>
      <c r="DG196" s="125">
        <f>DG84/293.07*(1/(VLOOKUP($BM196,'Fuel economy adjusted factor'!$A$2:$L$52,5,FALSE)*m2k))</f>
        <v>4.2861843985801098</v>
      </c>
      <c r="DH196" s="125">
        <f>DH84/293.07*(1/(VLOOKUP($BM196,'Fuel economy adjusted factor'!$A$2:$L$52,5,FALSE)*m2k))</f>
        <v>4.2861843985801098</v>
      </c>
      <c r="DI196" s="125">
        <f>DI84/293.07*(1/(VLOOKUP($BM196,'Fuel economy adjusted factor'!$A$2:$L$52,5,FALSE)*m2k))</f>
        <v>4.2861843985801098</v>
      </c>
      <c r="DJ196" s="125">
        <f>DJ84/293.07*(1/(VLOOKUP($BM196,'Fuel economy adjusted factor'!$A$2:$L$52,5,FALSE)*m2k))</f>
        <v>4.5090659873062755</v>
      </c>
      <c r="DK196" s="125">
        <f>DK84/293.07*(1/(VLOOKUP($BM196,'Fuel economy adjusted factor'!$A$2:$L$52,5,FALSE)*m2k))</f>
        <v>4.5090659873062755</v>
      </c>
      <c r="DL196" s="125">
        <f>DL84/293.07*(1/(VLOOKUP($BM196,'Fuel economy adjusted factor'!$A$2:$L$52,5,FALSE)*m2k))</f>
        <v>4.5090659873062755</v>
      </c>
      <c r="DM196" s="125">
        <f>DM84/293.07*(1/(VLOOKUP($BM196,'Fuel economy adjusted factor'!$A$2:$L$52,5,FALSE)*m2k))</f>
        <v>4.5090659873062755</v>
      </c>
      <c r="DN196" s="125">
        <f>DN84/293.07*(1/(VLOOKUP($BM196,'Fuel economy adjusted factor'!$A$2:$L$52,5,FALSE)*m2k))</f>
        <v>4.5090659873062755</v>
      </c>
      <c r="DO196" s="125">
        <f>DO84/293.07*(1/(VLOOKUP($BM196,'Fuel economy adjusted factor'!$A$2:$L$52,5,FALSE)*m2k))</f>
        <v>4.6565107306174314</v>
      </c>
      <c r="DP196" s="125">
        <f>DP84/293.07*(1/(VLOOKUP($BM196,'Fuel economy adjusted factor'!$A$2:$L$52,5,FALSE)*m2k))</f>
        <v>4.6565107306174314</v>
      </c>
      <c r="DQ196" s="125">
        <f>DQ84/293.07*(1/(VLOOKUP($BM196,'Fuel economy adjusted factor'!$A$2:$L$52,5,FALSE)*m2k))</f>
        <v>4.6565107306174314</v>
      </c>
      <c r="DR196" s="125">
        <f>DR84/293.07*(1/(VLOOKUP($BM196,'Fuel economy adjusted factor'!$A$2:$L$52,5,FALSE)*m2k))</f>
        <v>4.6565107306174314</v>
      </c>
      <c r="DS196" s="125">
        <f>DS84/293.07*(1/(VLOOKUP($BM196,'Fuel economy adjusted factor'!$A$2:$L$52,5,FALSE)*m2k))</f>
        <v>4.6565107306174314</v>
      </c>
      <c r="DT196" s="125">
        <f>DT84/293.07*(1/(VLOOKUP($BM196,'Fuel economy adjusted factor'!$A$2:$L$52,5,FALSE)*m2k))</f>
        <v>4.8437312651474107</v>
      </c>
      <c r="DU196" s="98" cm="1">
        <f t="array" ref="DU196">SUMPRODUCT(INDEX(CS196:DT196,,'TCO Inputs'!$AZ$12-2023+_xlfn.SEQUENCE('TCO Inputs'!$AZ$13))*INDEX('VKT US'!C86:AA86,,_xlfn.SEQUENCE('TCO Inputs'!$AZ$13)))*m2k*CONVERT(0.9072,"g","ton")</f>
        <v>5.4072801192877336</v>
      </c>
      <c r="DW196" s="123" t="s">
        <v>207</v>
      </c>
      <c r="DX196" s="125">
        <f>DX84/293.07*(1/(VLOOKUP($BM196,'Fuel economy adjusted factor'!$A$2:$L$52,5,FALSE)*m2k))/'TCO Inputs'!$AZ$84</f>
        <v>138.31765421332094</v>
      </c>
      <c r="DY196" s="125">
        <f>DY84/293.07*(1/(VLOOKUP($BM196,'Fuel economy adjusted factor'!$A$2:$L$52,5,FALSE)*m2k))/'TCO Inputs'!$AZ$84</f>
        <v>138.31765421332094</v>
      </c>
      <c r="DZ196" s="125">
        <f>DZ84/293.07*(1/(VLOOKUP($BM196,'Fuel economy adjusted factor'!$A$2:$L$52,5,FALSE)*m2k))/'TCO Inputs'!$AZ$84</f>
        <v>121.01109706069585</v>
      </c>
      <c r="EA196" s="125">
        <f>EA84/293.07*(1/(VLOOKUP($BM196,'Fuel economy adjusted factor'!$A$2:$L$52,5,FALSE)*m2k))/'TCO Inputs'!$AZ$84</f>
        <v>121.01109706069585</v>
      </c>
      <c r="EB196" s="125">
        <f>EB84/293.07*(1/(VLOOKUP($BM196,'Fuel economy adjusted factor'!$A$2:$L$52,5,FALSE)*m2k))/'TCO Inputs'!$AZ$84</f>
        <v>121.01109706069585</v>
      </c>
      <c r="EC196" s="125">
        <f>EC84/293.07*(1/(VLOOKUP($BM196,'Fuel economy adjusted factor'!$A$2:$L$52,5,FALSE)*m2k))/'TCO Inputs'!$AZ$84</f>
        <v>121.01109706069585</v>
      </c>
      <c r="ED196" s="125">
        <f>ED84/293.07*(1/(VLOOKUP($BM196,'Fuel economy adjusted factor'!$A$2:$L$52,5,FALSE)*m2k))/'TCO Inputs'!$AZ$84</f>
        <v>121.01109706069585</v>
      </c>
      <c r="EE196" s="125">
        <f>EE84/293.07*(1/(VLOOKUP($BM196,'Fuel economy adjusted factor'!$A$2:$L$52,5,FALSE)*m2k))/'TCO Inputs'!$AZ$84</f>
        <v>75.288456622533488</v>
      </c>
      <c r="EF196" s="125">
        <f>EF84/293.07*(1/(VLOOKUP($BM196,'Fuel economy adjusted factor'!$A$2:$L$52,5,FALSE)*m2k))/'TCO Inputs'!$AZ$84</f>
        <v>75.288456622533488</v>
      </c>
      <c r="EG196" s="125">
        <f>EG84/293.07*(1/(VLOOKUP($BM196,'Fuel economy adjusted factor'!$A$2:$L$52,5,FALSE)*m2k))/'TCO Inputs'!$AZ$84</f>
        <v>75.288456622533488</v>
      </c>
      <c r="EH196" s="125">
        <f>EH84/293.07*(1/(VLOOKUP($BM196,'Fuel economy adjusted factor'!$A$2:$L$52,5,FALSE)*m2k))/'TCO Inputs'!$AZ$84</f>
        <v>75.288456622533488</v>
      </c>
      <c r="EI196" s="125">
        <f>EI84/293.07*(1/(VLOOKUP($BM196,'Fuel economy adjusted factor'!$A$2:$L$52,5,FALSE)*m2k))/'TCO Inputs'!$AZ$84</f>
        <v>75.288456622533488</v>
      </c>
      <c r="EJ196" s="125">
        <f>EJ84/293.07*(1/(VLOOKUP($BM196,'Fuel economy adjusted factor'!$A$2:$L$52,5,FALSE)*m2k))/'TCO Inputs'!$AZ$84</f>
        <v>67.037144985787762</v>
      </c>
      <c r="EK196" s="125">
        <f>EK84/293.07*(1/(VLOOKUP($BM196,'Fuel economy adjusted factor'!$A$2:$L$52,5,FALSE)*m2k))/'TCO Inputs'!$AZ$84</f>
        <v>67.037144985787762</v>
      </c>
      <c r="EL196" s="125">
        <f>EL84/293.07*(1/(VLOOKUP($BM196,'Fuel economy adjusted factor'!$A$2:$L$52,5,FALSE)*m2k))/'TCO Inputs'!$AZ$84</f>
        <v>67.037144985787762</v>
      </c>
      <c r="EM196" s="125">
        <f>EM84/293.07*(1/(VLOOKUP($BM196,'Fuel economy adjusted factor'!$A$2:$L$52,5,FALSE)*m2k))/'TCO Inputs'!$AZ$84</f>
        <v>67.037144985787762</v>
      </c>
      <c r="EN196" s="125">
        <f>EN84/293.07*(1/(VLOOKUP($BM196,'Fuel economy adjusted factor'!$A$2:$L$52,5,FALSE)*m2k))/'TCO Inputs'!$AZ$84</f>
        <v>67.037144985787762</v>
      </c>
      <c r="EO196" s="125">
        <f>EO84/293.07*(1/(VLOOKUP($BM196,'Fuel economy adjusted factor'!$A$2:$L$52,5,FALSE)*m2k))/'TCO Inputs'!$AZ$84</f>
        <v>65.139157710992336</v>
      </c>
      <c r="EP196" s="125">
        <f>EP84/293.07*(1/(VLOOKUP($BM196,'Fuel economy adjusted factor'!$A$2:$L$52,5,FALSE)*m2k))/'TCO Inputs'!$AZ$84</f>
        <v>65.139157710992336</v>
      </c>
      <c r="EQ196" s="125">
        <f>EQ84/293.07*(1/(VLOOKUP($BM196,'Fuel economy adjusted factor'!$A$2:$L$52,5,FALSE)*m2k))/'TCO Inputs'!$AZ$84</f>
        <v>65.139157710992336</v>
      </c>
      <c r="ER196" s="125">
        <f>ER84/293.07*(1/(VLOOKUP($BM196,'Fuel economy adjusted factor'!$A$2:$L$52,5,FALSE)*m2k))/'TCO Inputs'!$AZ$84</f>
        <v>65.139157710992336</v>
      </c>
      <c r="ES196" s="125">
        <f>ES84/293.07*(1/(VLOOKUP($BM196,'Fuel economy adjusted factor'!$A$2:$L$52,5,FALSE)*m2k))/'TCO Inputs'!$AZ$84</f>
        <v>65.139157710992336</v>
      </c>
      <c r="ET196" s="125">
        <f>ET84/293.07*(1/(VLOOKUP($BM196,'Fuel economy adjusted factor'!$A$2:$L$52,5,FALSE)*m2k))/'TCO Inputs'!$AZ$84</f>
        <v>62.833830912990692</v>
      </c>
      <c r="EU196" s="125">
        <f>EU84/293.07*(1/(VLOOKUP($BM196,'Fuel economy adjusted factor'!$A$2:$L$52,5,FALSE)*m2k))/'TCO Inputs'!$AZ$84</f>
        <v>62.833830912990692</v>
      </c>
      <c r="EV196" s="125">
        <f>EV84/293.07*(1/(VLOOKUP($BM196,'Fuel economy adjusted factor'!$A$2:$L$52,5,FALSE)*m2k))/'TCO Inputs'!$AZ$84</f>
        <v>62.833830912990692</v>
      </c>
      <c r="EW196" s="125">
        <f>EW84/293.07*(1/(VLOOKUP($BM196,'Fuel economy adjusted factor'!$A$2:$L$52,5,FALSE)*m2k))/'TCO Inputs'!$AZ$84</f>
        <v>62.833830912990692</v>
      </c>
      <c r="EX196" s="125">
        <f>EX84/293.07*(1/(VLOOKUP($BM196,'Fuel economy adjusted factor'!$A$2:$L$52,5,FALSE)*m2k))/'TCO Inputs'!$AZ$84</f>
        <v>62.833830912990692</v>
      </c>
      <c r="EY196" s="125">
        <f>EY84/293.07*(1/(VLOOKUP($BM196,'Fuel economy adjusted factor'!$A$2:$L$52,5,FALSE)*m2k))/'TCO Inputs'!$AZ$84</f>
        <v>59.159960537022812</v>
      </c>
      <c r="EZ196" s="98" cm="1">
        <f t="array" ref="EZ196">SUMPRODUCT(INDEX(DX196:EY196,,'TCO Inputs'!$AZ$12-2023+_xlfn.SEQUENCE('TCO Inputs'!$AZ$13))*INDEX('VKT US'!C86:AA86,,_xlfn.SEQUENCE('TCO Inputs'!$AZ$13)))*m2k*CONVERT(0.9072,"g","ton")</f>
        <v>43.214359858344132</v>
      </c>
      <c r="FB196" s="123" t="s">
        <v>207</v>
      </c>
      <c r="FC196" s="125">
        <f>FC84/293.07*(1/(VLOOKUP($BM196,'Fuel economy adjusted factor'!$A$2:$L$52,5,FALSE)*m2k))/'TCO Inputs'!$AZ$84</f>
        <v>149.52291001835351</v>
      </c>
      <c r="FD196" s="125">
        <f>FD84/293.07*(1/(VLOOKUP($BM196,'Fuel economy adjusted factor'!$A$2:$L$52,5,FALSE)*m2k))/'TCO Inputs'!$AZ$84</f>
        <v>149.52291001835351</v>
      </c>
      <c r="FE196" s="125">
        <f>FE84/293.07*(1/(VLOOKUP($BM196,'Fuel economy adjusted factor'!$A$2:$L$52,5,FALSE)*m2k))/'TCO Inputs'!$AZ$84</f>
        <v>130.35939259327034</v>
      </c>
      <c r="FF196" s="125">
        <f>FF84/293.07*(1/(VLOOKUP($BM196,'Fuel economy adjusted factor'!$A$2:$L$52,5,FALSE)*m2k))/'TCO Inputs'!$AZ$84</f>
        <v>130.35939259327034</v>
      </c>
      <c r="FG196" s="125">
        <f>FG84/293.07*(1/(VLOOKUP($BM196,'Fuel economy adjusted factor'!$A$2:$L$52,5,FALSE)*m2k))/'TCO Inputs'!$AZ$84</f>
        <v>130.35939259327034</v>
      </c>
      <c r="FH196" s="125">
        <f>FH84/293.07*(1/(VLOOKUP($BM196,'Fuel economy adjusted factor'!$A$2:$L$52,5,FALSE)*m2k))/'TCO Inputs'!$AZ$84</f>
        <v>130.35939259327034</v>
      </c>
      <c r="FI196" s="125">
        <f>FI84/293.07*(1/(VLOOKUP($BM196,'Fuel economy adjusted factor'!$A$2:$L$52,5,FALSE)*m2k))/'TCO Inputs'!$AZ$84</f>
        <v>130.35939259327034</v>
      </c>
      <c r="FJ196" s="125">
        <f>FJ84/293.07*(1/(VLOOKUP($BM196,'Fuel economy adjusted factor'!$A$2:$L$52,5,FALSE)*m2k))/'TCO Inputs'!$AZ$84</f>
        <v>82.453529530729298</v>
      </c>
      <c r="FK196" s="125">
        <f>FK84/293.07*(1/(VLOOKUP($BM196,'Fuel economy adjusted factor'!$A$2:$L$52,5,FALSE)*m2k))/'TCO Inputs'!$AZ$84</f>
        <v>82.453529530729298</v>
      </c>
      <c r="FL196" s="125">
        <f>FL84/293.07*(1/(VLOOKUP($BM196,'Fuel economy adjusted factor'!$A$2:$L$52,5,FALSE)*m2k))/'TCO Inputs'!$AZ$84</f>
        <v>82.453529530729298</v>
      </c>
      <c r="FM196" s="125">
        <f>FM84/293.07*(1/(VLOOKUP($BM196,'Fuel economy adjusted factor'!$A$2:$L$52,5,FALSE)*m2k))/'TCO Inputs'!$AZ$84</f>
        <v>82.453529530729298</v>
      </c>
      <c r="FN196" s="125">
        <f>FN84/293.07*(1/(VLOOKUP($BM196,'Fuel economy adjusted factor'!$A$2:$L$52,5,FALSE)*m2k))/'TCO Inputs'!$AZ$84</f>
        <v>82.453529530729298</v>
      </c>
      <c r="FO196" s="125">
        <f>FO84/293.07*(1/(VLOOKUP($BM196,'Fuel economy adjusted factor'!$A$2:$L$52,5,FALSE)*m2k))/'TCO Inputs'!$AZ$84</f>
        <v>73.030017827203068</v>
      </c>
      <c r="FP196" s="125">
        <f>FP84/293.07*(1/(VLOOKUP($BM196,'Fuel economy adjusted factor'!$A$2:$L$52,5,FALSE)*m2k))/'TCO Inputs'!$AZ$84</f>
        <v>73.030017827203068</v>
      </c>
      <c r="FQ196" s="125">
        <f>FQ84/293.07*(1/(VLOOKUP($BM196,'Fuel economy adjusted factor'!$A$2:$L$52,5,FALSE)*m2k))/'TCO Inputs'!$AZ$84</f>
        <v>73.030017827203068</v>
      </c>
      <c r="FR196" s="125">
        <f>FR84/293.07*(1/(VLOOKUP($BM196,'Fuel economy adjusted factor'!$A$2:$L$52,5,FALSE)*m2k))/'TCO Inputs'!$AZ$84</f>
        <v>73.030017827203068</v>
      </c>
      <c r="FS196" s="125">
        <f>FS84/293.07*(1/(VLOOKUP($BM196,'Fuel economy adjusted factor'!$A$2:$L$52,5,FALSE)*m2k))/'TCO Inputs'!$AZ$84</f>
        <v>73.030017827203068</v>
      </c>
      <c r="FT196" s="125">
        <f>FT84/293.07*(1/(VLOOKUP($BM196,'Fuel economy adjusted factor'!$A$2:$L$52,5,FALSE)*m2k))/'TCO Inputs'!$AZ$84</f>
        <v>71.362563232207805</v>
      </c>
      <c r="FU196" s="125">
        <f>FU84/293.07*(1/(VLOOKUP($BM196,'Fuel economy adjusted factor'!$A$2:$L$52,5,FALSE)*m2k))/'TCO Inputs'!$AZ$84</f>
        <v>71.362563232207805</v>
      </c>
      <c r="FV196" s="125">
        <f>FV84/293.07*(1/(VLOOKUP($BM196,'Fuel economy adjusted factor'!$A$2:$L$52,5,FALSE)*m2k))/'TCO Inputs'!$AZ$84</f>
        <v>71.362563232207805</v>
      </c>
      <c r="FW196" s="125">
        <f>FW84/293.07*(1/(VLOOKUP($BM196,'Fuel economy adjusted factor'!$A$2:$L$52,5,FALSE)*m2k))/'TCO Inputs'!$AZ$84</f>
        <v>71.362563232207805</v>
      </c>
      <c r="FX196" s="125">
        <f>FX84/293.07*(1/(VLOOKUP($BM196,'Fuel economy adjusted factor'!$A$2:$L$52,5,FALSE)*m2k))/'TCO Inputs'!$AZ$84</f>
        <v>71.362563232207805</v>
      </c>
      <c r="FY196" s="125">
        <f>FY84/293.07*(1/(VLOOKUP($BM196,'Fuel economy adjusted factor'!$A$2:$L$52,5,FALSE)*m2k))/'TCO Inputs'!$AZ$84</f>
        <v>69.053329100650231</v>
      </c>
      <c r="FZ196" s="125">
        <f>FZ84/293.07*(1/(VLOOKUP($BM196,'Fuel economy adjusted factor'!$A$2:$L$52,5,FALSE)*m2k))/'TCO Inputs'!$AZ$84</f>
        <v>69.053329100650231</v>
      </c>
      <c r="GA196" s="125">
        <f>GA84/293.07*(1/(VLOOKUP($BM196,'Fuel economy adjusted factor'!$A$2:$L$52,5,FALSE)*m2k))/'TCO Inputs'!$AZ$84</f>
        <v>69.053329100650231</v>
      </c>
      <c r="GB196" s="125">
        <f>GB84/293.07*(1/(VLOOKUP($BM196,'Fuel economy adjusted factor'!$A$2:$L$52,5,FALSE)*m2k))/'TCO Inputs'!$AZ$84</f>
        <v>69.053329100650231</v>
      </c>
      <c r="GC196" s="125">
        <f>GC84/293.07*(1/(VLOOKUP($BM196,'Fuel economy adjusted factor'!$A$2:$L$52,5,FALSE)*m2k))/'TCO Inputs'!$AZ$84</f>
        <v>69.053329100650231</v>
      </c>
      <c r="GD196" s="125">
        <f>GD84/293.07*(1/(VLOOKUP($BM196,'Fuel economy adjusted factor'!$A$2:$L$52,5,FALSE)*m2k))/'TCO Inputs'!$AZ$84</f>
        <v>65.254424050892425</v>
      </c>
      <c r="GE196" s="98" cm="1">
        <f t="array" ref="GE196">SUMPRODUCT(INDEX(FC196:GD196,,'TCO Inputs'!$AZ$12-2023+_xlfn.SEQUENCE('TCO Inputs'!$AZ$13))*INDEX('VKT US'!C86:AA86,,_xlfn.SEQUENCE('TCO Inputs'!$AZ$13)))*m2k*CONVERT(0.9072,"g","ton")</f>
        <v>46.818874499085531</v>
      </c>
      <c r="GH196" s="123" t="s">
        <v>207</v>
      </c>
      <c r="GI196" s="125">
        <f>GI84/293.07*(1/(VLOOKUP($GH196,'Fuel economy adjusted factor'!$A$2:$L$52,5,FALSE)*m2k))/'TCO Inputs'!$AZ$84</f>
        <v>263.22214777162554</v>
      </c>
      <c r="GJ196" s="125">
        <f>GJ84/293.07*(1/(VLOOKUP($GH196,'Fuel economy adjusted factor'!$A$2:$L$52,5,FALSE)*m2k))/'TCO Inputs'!$AZ$84</f>
        <v>263.22214777162554</v>
      </c>
      <c r="GK196" s="125">
        <f>GK84/293.07*(1/(VLOOKUP($GH196,'Fuel economy adjusted factor'!$A$2:$L$52,5,FALSE)*m2k))/'TCO Inputs'!$AZ$84</f>
        <v>263.22214777162554</v>
      </c>
      <c r="GL196" s="125">
        <f>GL84/293.07*(1/(VLOOKUP($GH196,'Fuel economy adjusted factor'!$A$2:$L$52,5,FALSE)*m2k))/'TCO Inputs'!$AZ$84</f>
        <v>263.22214777162554</v>
      </c>
      <c r="GM196" s="125">
        <f>GM84/293.07*(1/(VLOOKUP($GH196,'Fuel economy adjusted factor'!$A$2:$L$52,5,FALSE)*m2k))/'TCO Inputs'!$AZ$84</f>
        <v>263.22214777162554</v>
      </c>
      <c r="GN196" s="125">
        <f>GN84/293.07*(1/(VLOOKUP($GH196,'Fuel economy adjusted factor'!$A$2:$L$52,5,FALSE)*m2k))/'TCO Inputs'!$AZ$84</f>
        <v>263.22214777162554</v>
      </c>
      <c r="GO196" s="125">
        <f>GO84/293.07*(1/(VLOOKUP($GH196,'Fuel economy adjusted factor'!$A$2:$L$52,5,FALSE)*m2k))/'TCO Inputs'!$AZ$84</f>
        <v>263.22214777162554</v>
      </c>
      <c r="GP196" s="125">
        <f>GP84/293.07*(1/(VLOOKUP($GH196,'Fuel economy adjusted factor'!$A$2:$L$52,5,FALSE)*m2k))/'TCO Inputs'!$AZ$84</f>
        <v>263.22214777162554</v>
      </c>
      <c r="GQ196" s="125">
        <f>GQ84/293.07*(1/(VLOOKUP($GH196,'Fuel economy adjusted factor'!$A$2:$L$52,5,FALSE)*m2k))/'TCO Inputs'!$AZ$84</f>
        <v>263.22214777162554</v>
      </c>
      <c r="GR196" s="125">
        <f>GR84/293.07*(1/(VLOOKUP($GH196,'Fuel economy adjusted factor'!$A$2:$L$52,5,FALSE)*m2k))/'TCO Inputs'!$AZ$84</f>
        <v>263.22214777162554</v>
      </c>
      <c r="GS196" s="125">
        <f>GS84/293.07*(1/(VLOOKUP($GH196,'Fuel economy adjusted factor'!$A$2:$L$52,5,FALSE)*m2k))/'TCO Inputs'!$AZ$84</f>
        <v>263.22214777162554</v>
      </c>
      <c r="GT196" s="125">
        <f>GT84/293.07*(1/(VLOOKUP($GH196,'Fuel economy adjusted factor'!$A$2:$L$52,5,FALSE)*m2k))/'TCO Inputs'!$AZ$84</f>
        <v>263.22214777162554</v>
      </c>
      <c r="GU196" s="125">
        <f>GU84/293.07*(1/(VLOOKUP($GH196,'Fuel economy adjusted factor'!$A$2:$L$52,5,FALSE)*m2k))/'TCO Inputs'!$AZ$84</f>
        <v>263.22214777162554</v>
      </c>
      <c r="GV196" s="125">
        <f>GV84/293.07*(1/(VLOOKUP($GH196,'Fuel economy adjusted factor'!$A$2:$L$52,5,FALSE)*m2k))/'TCO Inputs'!$AZ$84</f>
        <v>263.22214777162554</v>
      </c>
      <c r="GW196" s="125">
        <f>GW84/293.07*(1/(VLOOKUP($GH196,'Fuel economy adjusted factor'!$A$2:$L$52,5,FALSE)*m2k))/'TCO Inputs'!$AZ$84</f>
        <v>263.22214777162554</v>
      </c>
      <c r="GX196" s="125">
        <f>GX84/293.07*(1/(VLOOKUP($GH196,'Fuel economy adjusted factor'!$A$2:$L$52,5,FALSE)*m2k))/'TCO Inputs'!$AZ$84</f>
        <v>263.22214777162554</v>
      </c>
      <c r="GY196" s="125">
        <f>GY84/293.07*(1/(VLOOKUP($GH196,'Fuel economy adjusted factor'!$A$2:$L$52,5,FALSE)*m2k))/'TCO Inputs'!$AZ$84</f>
        <v>263.22214777162554</v>
      </c>
      <c r="GZ196" s="125">
        <f>GZ84/293.07*(1/(VLOOKUP($GH196,'Fuel economy adjusted factor'!$A$2:$L$52,5,FALSE)*m2k))/'TCO Inputs'!$AZ$84</f>
        <v>263.22214777162554</v>
      </c>
      <c r="HA196" s="125">
        <f>HA84/293.07*(1/(VLOOKUP($GH196,'Fuel economy adjusted factor'!$A$2:$L$52,5,FALSE)*m2k))/'TCO Inputs'!$AZ$84</f>
        <v>263.22214777162554</v>
      </c>
      <c r="HB196" s="125">
        <f>HB84/293.07*(1/(VLOOKUP($GH196,'Fuel economy adjusted factor'!$A$2:$L$52,5,FALSE)*m2k))/'TCO Inputs'!$AZ$84</f>
        <v>263.22214777162554</v>
      </c>
      <c r="HC196" s="125">
        <f>HC84/293.07*(1/(VLOOKUP($GH196,'Fuel economy adjusted factor'!$A$2:$L$52,5,FALSE)*m2k))/'TCO Inputs'!$AZ$84</f>
        <v>263.22214777162554</v>
      </c>
      <c r="HD196" s="125">
        <f>HD84/293.07*(1/(VLOOKUP($GH196,'Fuel economy adjusted factor'!$A$2:$L$52,5,FALSE)*m2k))/'TCO Inputs'!$AZ$84</f>
        <v>263.22214777162554</v>
      </c>
      <c r="HE196" s="125">
        <f>HE84/293.07*(1/(VLOOKUP($GH196,'Fuel economy adjusted factor'!$A$2:$L$52,5,FALSE)*m2k))/'TCO Inputs'!$AZ$84</f>
        <v>263.22214777162554</v>
      </c>
      <c r="HF196" s="125">
        <f>HF84/293.07*(1/(VLOOKUP($GH196,'Fuel economy adjusted factor'!$A$2:$L$52,5,FALSE)*m2k))/'TCO Inputs'!$AZ$84</f>
        <v>263.22214777162554</v>
      </c>
      <c r="HG196" s="125">
        <f>HG84/293.07*(1/(VLOOKUP($GH196,'Fuel economy adjusted factor'!$A$2:$L$52,5,FALSE)*m2k))/'TCO Inputs'!$AZ$84</f>
        <v>263.22214777162554</v>
      </c>
      <c r="HH196" s="125">
        <f>HH84/293.07*(1/(VLOOKUP($GH196,'Fuel economy adjusted factor'!$A$2:$L$52,5,FALSE)*m2k))/'TCO Inputs'!$AZ$84</f>
        <v>263.22214777162554</v>
      </c>
      <c r="HI196" s="125">
        <f>HI84/293.07*(1/(VLOOKUP($GH196,'Fuel economy adjusted factor'!$A$2:$L$52,5,FALSE)*m2k))/'TCO Inputs'!$AZ$84</f>
        <v>263.22214777162554</v>
      </c>
      <c r="HJ196" s="125">
        <f>HJ84/293.07*(1/(VLOOKUP($GH196,'Fuel economy adjusted factor'!$A$2:$L$52,5,FALSE)*m2k))/'TCO Inputs'!$AZ$84</f>
        <v>263.22214777162554</v>
      </c>
      <c r="HK196" s="98" cm="1">
        <f t="array" ref="HK196">SUMPRODUCT(INDEX(GI196:HJ196,,'TCO Inputs'!$AZ$12-2023+_xlfn.SEQUENCE('TCO Inputs'!$AZ$13))*INDEX('VKT US'!C86:AA86,,_xlfn.SEQUENCE('TCO Inputs'!$AZ$13)))*m2k*CONVERT(0.9072,"g","ton")</f>
        <v>111.10202950235967</v>
      </c>
    </row>
    <row r="197" spans="26:219" x14ac:dyDescent="0.25">
      <c r="Z197" s="123" t="s">
        <v>206</v>
      </c>
      <c r="AA197" s="125">
        <f>AA85/293.07*(1/(VLOOKUP($Z197,'Fuel economy adjusted factor'!$A$2:$L$52,5,FALSE)*m2k))/'TCO Inputs'!$AZ$84</f>
        <v>172.36254657180297</v>
      </c>
      <c r="AB197" s="125">
        <f>AB85/293.07*(1/(VLOOKUP($Z197,'Fuel economy adjusted factor'!$A$2:$L$52,5,FALSE)*m2k))/'TCO Inputs'!$AZ$84</f>
        <v>172.36254657180297</v>
      </c>
      <c r="AC197" s="125">
        <f>AC85/293.07*(1/(VLOOKUP($Z197,'Fuel economy adjusted factor'!$A$2:$L$52,5,FALSE)*m2k))/'TCO Inputs'!$AZ$84</f>
        <v>151.39387986776646</v>
      </c>
      <c r="AD197" s="125">
        <f>AD85/293.07*(1/(VLOOKUP($Z197,'Fuel economy adjusted factor'!$A$2:$L$52,5,FALSE)*m2k))/'TCO Inputs'!$AZ$84</f>
        <v>151.39387986776646</v>
      </c>
      <c r="AE197" s="125">
        <f>AE85/293.07*(1/(VLOOKUP($Z197,'Fuel economy adjusted factor'!$A$2:$L$52,5,FALSE)*m2k))/'TCO Inputs'!$AZ$84</f>
        <v>151.39387986776646</v>
      </c>
      <c r="AF197" s="125">
        <f>AF85/293.07*(1/(VLOOKUP($Z197,'Fuel economy adjusted factor'!$A$2:$L$52,5,FALSE)*m2k))/'TCO Inputs'!$AZ$84</f>
        <v>151.39387986776646</v>
      </c>
      <c r="AG197" s="125">
        <f>AG85/293.07*(1/(VLOOKUP($Z197,'Fuel economy adjusted factor'!$A$2:$L$52,5,FALSE)*m2k))/'TCO Inputs'!$AZ$84</f>
        <v>151.39387986776646</v>
      </c>
      <c r="AH197" s="125">
        <f>AH85/293.07*(1/(VLOOKUP($Z197,'Fuel economy adjusted factor'!$A$2:$L$52,5,FALSE)*m2k))/'TCO Inputs'!$AZ$84</f>
        <v>57.238110790804335</v>
      </c>
      <c r="AI197" s="125">
        <f>AI85/293.07*(1/(VLOOKUP($Z197,'Fuel economy adjusted factor'!$A$2:$L$52,5,FALSE)*m2k))/'TCO Inputs'!$AZ$84</f>
        <v>57.238110790804335</v>
      </c>
      <c r="AJ197" s="125">
        <f>AJ85/293.07*(1/(VLOOKUP($Z197,'Fuel economy adjusted factor'!$A$2:$L$52,5,FALSE)*m2k))/'TCO Inputs'!$AZ$84</f>
        <v>57.238110790804335</v>
      </c>
      <c r="AK197" s="125">
        <f>AK85/293.07*(1/(VLOOKUP($Z197,'Fuel economy adjusted factor'!$A$2:$L$52,5,FALSE)*m2k))/'TCO Inputs'!$AZ$84</f>
        <v>57.238110790804335</v>
      </c>
      <c r="AL197" s="125">
        <f>AL85/293.07*(1/(VLOOKUP($Z197,'Fuel economy adjusted factor'!$A$2:$L$52,5,FALSE)*m2k))/'TCO Inputs'!$AZ$84</f>
        <v>57.238110790804335</v>
      </c>
      <c r="AM197" s="125">
        <f>AM85/293.07*(1/(VLOOKUP($Z197,'Fuel economy adjusted factor'!$A$2:$L$52,5,FALSE)*m2k))/'TCO Inputs'!$AZ$84</f>
        <v>48.108651380133935</v>
      </c>
      <c r="AN197" s="125">
        <f>AN85/293.07*(1/(VLOOKUP($Z197,'Fuel economy adjusted factor'!$A$2:$L$52,5,FALSE)*m2k))/'TCO Inputs'!$AZ$84</f>
        <v>48.108651380133935</v>
      </c>
      <c r="AO197" s="125">
        <f>AO85/293.07*(1/(VLOOKUP($Z197,'Fuel economy adjusted factor'!$A$2:$L$52,5,FALSE)*m2k))/'TCO Inputs'!$AZ$84</f>
        <v>48.108651380133935</v>
      </c>
      <c r="AP197" s="125">
        <f>AP85/293.07*(1/(VLOOKUP($Z197,'Fuel economy adjusted factor'!$A$2:$L$52,5,FALSE)*m2k))/'TCO Inputs'!$AZ$84</f>
        <v>48.108651380133935</v>
      </c>
      <c r="AQ197" s="125">
        <f>AQ85/293.07*(1/(VLOOKUP($Z197,'Fuel economy adjusted factor'!$A$2:$L$52,5,FALSE)*m2k))/'TCO Inputs'!$AZ$84</f>
        <v>48.108651380133935</v>
      </c>
      <c r="AR197" s="125">
        <f>AR85/293.07*(1/(VLOOKUP($Z197,'Fuel economy adjusted factor'!$A$2:$L$52,5,FALSE)*m2k))/'TCO Inputs'!$AZ$84</f>
        <v>48.108651380133935</v>
      </c>
      <c r="AS197" s="125">
        <f>AS85/293.07*(1/(VLOOKUP($Z197,'Fuel economy adjusted factor'!$A$2:$L$52,5,FALSE)*m2k))/'TCO Inputs'!$AZ$84</f>
        <v>48.108651380133935</v>
      </c>
      <c r="AT197" s="125">
        <f>AT85/293.07*(1/(VLOOKUP($Z197,'Fuel economy adjusted factor'!$A$2:$L$52,5,FALSE)*m2k))/'TCO Inputs'!$AZ$84</f>
        <v>48.108651380133935</v>
      </c>
      <c r="AU197" s="125">
        <f>AU85/293.07*(1/(VLOOKUP($Z197,'Fuel economy adjusted factor'!$A$2:$L$52,5,FALSE)*m2k))/'TCO Inputs'!$AZ$84</f>
        <v>48.108651380133935</v>
      </c>
      <c r="AV197" s="125">
        <f>AV85/293.07*(1/(VLOOKUP($Z197,'Fuel economy adjusted factor'!$A$2:$L$52,5,FALSE)*m2k))/'TCO Inputs'!$AZ$84</f>
        <v>48.108651380133935</v>
      </c>
      <c r="AW197" s="125">
        <f>AW85/293.07*(1/(VLOOKUP($Z197,'Fuel economy adjusted factor'!$A$2:$L$52,5,FALSE)*m2k))/'TCO Inputs'!$AZ$84</f>
        <v>48.335792011477551</v>
      </c>
      <c r="AX197" s="125">
        <f>AX85/293.07*(1/(VLOOKUP($Z197,'Fuel economy adjusted factor'!$A$2:$L$52,5,FALSE)*m2k))/'TCO Inputs'!$AZ$84</f>
        <v>48.335792011477551</v>
      </c>
      <c r="AY197" s="125">
        <f>AY85/293.07*(1/(VLOOKUP($Z197,'Fuel economy adjusted factor'!$A$2:$L$52,5,FALSE)*m2k))/'TCO Inputs'!$AZ$84</f>
        <v>48.335792011477551</v>
      </c>
      <c r="AZ197" s="125">
        <f>AZ85/293.07*(1/(VLOOKUP($Z197,'Fuel economy adjusted factor'!$A$2:$L$52,5,FALSE)*m2k))/'TCO Inputs'!$AZ$84</f>
        <v>48.335792011477551</v>
      </c>
      <c r="BA197" s="125">
        <f>BA85/293.07*(1/(VLOOKUP($Z197,'Fuel economy adjusted factor'!$A$2:$L$52,5,FALSE)*m2k))/'TCO Inputs'!$AZ$84</f>
        <v>48.335792011477551</v>
      </c>
      <c r="BB197" s="125">
        <f>BB85/293.07*(1/(VLOOKUP($Z197,'Fuel economy adjusted factor'!$A$2:$L$52,5,FALSE)*m2k))/'TCO Inputs'!$AZ$84</f>
        <v>48.621378185389112</v>
      </c>
      <c r="BC197" s="98" cm="1">
        <f t="array" ref="BC197">SUMPRODUCT(INDEX(AA197:BB197,,'TCO Inputs'!$AZ$12-2023+_xlfn.SEQUENCE('TCO Inputs'!$AZ$13))*INDEX('VKT US'!C87:AA87,,_xlfn.SEQUENCE('TCO Inputs'!$AZ$13)))*m2k*CONVERT(0.9072,"g","ton")</f>
        <v>43.6546149341941</v>
      </c>
      <c r="BM197" s="123" t="s">
        <v>206</v>
      </c>
      <c r="BN197" s="125">
        <f>BN85/293.07*(1/(VLOOKUP($BM197,'Fuel economy adjusted factor'!$A$2:$L$52,5,FALSE)*m2k))</f>
        <v>146.50816458603251</v>
      </c>
      <c r="BO197" s="125">
        <f>BO85/293.07*(1/(VLOOKUP($BM197,'Fuel economy adjusted factor'!$A$2:$L$52,5,FALSE)*m2k))</f>
        <v>146.50816458603251</v>
      </c>
      <c r="BP197" s="125">
        <f>BP85/293.07*(1/(VLOOKUP($BM197,'Fuel economy adjusted factor'!$A$2:$L$52,5,FALSE)*m2k))</f>
        <v>115.48832569887338</v>
      </c>
      <c r="BQ197" s="125">
        <f>BQ85/293.07*(1/(VLOOKUP($BM197,'Fuel economy adjusted factor'!$A$2:$L$52,5,FALSE)*m2k))</f>
        <v>115.48832569887338</v>
      </c>
      <c r="BR197" s="125">
        <f>BR85/293.07*(1/(VLOOKUP($BM197,'Fuel economy adjusted factor'!$A$2:$L$52,5,FALSE)*m2k))</f>
        <v>115.48832569887338</v>
      </c>
      <c r="BS197" s="125">
        <f>BS85/293.07*(1/(VLOOKUP($BM197,'Fuel economy adjusted factor'!$A$2:$L$52,5,FALSE)*m2k))</f>
        <v>115.48832569887338</v>
      </c>
      <c r="BT197" s="125">
        <f>BT85/293.07*(1/(VLOOKUP($BM197,'Fuel economy adjusted factor'!$A$2:$L$52,5,FALSE)*m2k))</f>
        <v>115.48832569887338</v>
      </c>
      <c r="BU197" s="125">
        <f>BU85/293.07*(1/(VLOOKUP($BM197,'Fuel economy adjusted factor'!$A$2:$L$52,5,FALSE)*m2k))</f>
        <v>6.5237180275899229</v>
      </c>
      <c r="BV197" s="125">
        <f>BV85/293.07*(1/(VLOOKUP($BM197,'Fuel economy adjusted factor'!$A$2:$L$52,5,FALSE)*m2k))</f>
        <v>6.5237180275899229</v>
      </c>
      <c r="BW197" s="125">
        <f>BW85/293.07*(1/(VLOOKUP($BM197,'Fuel economy adjusted factor'!$A$2:$L$52,5,FALSE)*m2k))</f>
        <v>6.5237180275899229</v>
      </c>
      <c r="BX197" s="125">
        <f>BX85/293.07*(1/(VLOOKUP($BM197,'Fuel economy adjusted factor'!$A$2:$L$52,5,FALSE)*m2k))</f>
        <v>6.5237180275899229</v>
      </c>
      <c r="BY197" s="125">
        <f>BY85/293.07*(1/(VLOOKUP($BM197,'Fuel economy adjusted factor'!$A$2:$L$52,5,FALSE)*m2k))</f>
        <v>6.5237180275899229</v>
      </c>
      <c r="BZ197" s="125">
        <f>BZ85/293.07*(1/(VLOOKUP($BM197,'Fuel economy adjusted factor'!$A$2:$L$52,5,FALSE)*m2k))</f>
        <v>6.8037253088018126</v>
      </c>
      <c r="CA197" s="125">
        <f>CA85/293.07*(1/(VLOOKUP($BM197,'Fuel economy adjusted factor'!$A$2:$L$52,5,FALSE)*m2k))</f>
        <v>6.8037253088018126</v>
      </c>
      <c r="CB197" s="125">
        <f>CB85/293.07*(1/(VLOOKUP($BM197,'Fuel economy adjusted factor'!$A$2:$L$52,5,FALSE)*m2k))</f>
        <v>6.8037253088018126</v>
      </c>
      <c r="CC197" s="125">
        <f>CC85/293.07*(1/(VLOOKUP($BM197,'Fuel economy adjusted factor'!$A$2:$L$52,5,FALSE)*m2k))</f>
        <v>6.8037253088018126</v>
      </c>
      <c r="CD197" s="125">
        <f>CD85/293.07*(1/(VLOOKUP($BM197,'Fuel economy adjusted factor'!$A$2:$L$52,5,FALSE)*m2k))</f>
        <v>6.8037253088018126</v>
      </c>
      <c r="CE197" s="125">
        <f>CE85/293.07*(1/(VLOOKUP($BM197,'Fuel economy adjusted factor'!$A$2:$L$52,5,FALSE)*m2k))</f>
        <v>6.8985664846961621</v>
      </c>
      <c r="CF197" s="125">
        <f>CF85/293.07*(1/(VLOOKUP($BM197,'Fuel economy adjusted factor'!$A$2:$L$52,5,FALSE)*m2k))</f>
        <v>6.8985664846961621</v>
      </c>
      <c r="CG197" s="125">
        <f>CG85/293.07*(1/(VLOOKUP($BM197,'Fuel economy adjusted factor'!$A$2:$L$52,5,FALSE)*m2k))</f>
        <v>6.8985664846961621</v>
      </c>
      <c r="CH197" s="125">
        <f>CH85/293.07*(1/(VLOOKUP($BM197,'Fuel economy adjusted factor'!$A$2:$L$52,5,FALSE)*m2k))</f>
        <v>6.8985664846961621</v>
      </c>
      <c r="CI197" s="125">
        <f>CI85/293.07*(1/(VLOOKUP($BM197,'Fuel economy adjusted factor'!$A$2:$L$52,5,FALSE)*m2k))</f>
        <v>6.8985664846961621</v>
      </c>
      <c r="CJ197" s="125">
        <f>CJ85/293.07*(1/(VLOOKUP($BM197,'Fuel economy adjusted factor'!$A$2:$L$52,5,FALSE)*m2k))</f>
        <v>7.1413147325209865</v>
      </c>
      <c r="CK197" s="125">
        <f>CK85/293.07*(1/(VLOOKUP($BM197,'Fuel economy adjusted factor'!$A$2:$L$52,5,FALSE)*m2k))</f>
        <v>7.1413147325209865</v>
      </c>
      <c r="CL197" s="125">
        <f>CL85/293.07*(1/(VLOOKUP($BM197,'Fuel economy adjusted factor'!$A$2:$L$52,5,FALSE)*m2k))</f>
        <v>7.1413147325209865</v>
      </c>
      <c r="CM197" s="125">
        <f>CM85/293.07*(1/(VLOOKUP($BM197,'Fuel economy adjusted factor'!$A$2:$L$52,5,FALSE)*m2k))</f>
        <v>7.1413147325209865</v>
      </c>
      <c r="CN197" s="125">
        <f>CN85/293.07*(1/(VLOOKUP($BM197,'Fuel economy adjusted factor'!$A$2:$L$52,5,FALSE)*m2k))</f>
        <v>7.1413147325209865</v>
      </c>
      <c r="CO197" s="125">
        <f>CO85/293.07*(1/(VLOOKUP($BM197,'Fuel economy adjusted factor'!$A$2:$L$52,5,FALSE)*m2k))</f>
        <v>7.4484194925598342</v>
      </c>
      <c r="CP197" s="98" cm="1">
        <f t="array" ref="CP197">SUMPRODUCT(INDEX(BN197:CO197,,'TCO Inputs'!$AZ$12-2023+_xlfn.SEQUENCE('TCO Inputs'!$AZ$13))*INDEX('VKT US'!C87:AA87,,_xlfn.SEQUENCE('TCO Inputs'!$AZ$13)))*m2k*CONVERT(0.9072,"g","ton")</f>
        <v>28.095847680995099</v>
      </c>
      <c r="CQ197" s="194"/>
      <c r="CR197" s="123" t="s">
        <v>206</v>
      </c>
      <c r="CS197" s="125">
        <f>CS85/293.07*(1/(VLOOKUP($BM197,'Fuel economy adjusted factor'!$A$2:$L$52,5,FALSE)*m2k))/'TCO Inputs'!$AZ$84</f>
        <v>172.36254657180297</v>
      </c>
      <c r="CT197" s="125">
        <f>CT85/293.07*(1/(VLOOKUP($BM197,'Fuel economy adjusted factor'!$A$2:$L$52,5,FALSE)*m2k))</f>
        <v>6.8601783896913071</v>
      </c>
      <c r="CU197" s="125">
        <f>CU85/293.07*(1/(VLOOKUP($BM197,'Fuel economy adjusted factor'!$A$2:$L$52,5,FALSE)*m2k))</f>
        <v>6.8601783896913071</v>
      </c>
      <c r="CV197" s="125">
        <f>CV85/293.07*(1/(VLOOKUP($BM197,'Fuel economy adjusted factor'!$A$2:$L$52,5,FALSE)*m2k))</f>
        <v>6.8601783896913071</v>
      </c>
      <c r="CW197" s="125">
        <f>CW85/293.07*(1/(VLOOKUP($BM197,'Fuel economy adjusted factor'!$A$2:$L$52,5,FALSE)*m2k))</f>
        <v>6.8601783896913071</v>
      </c>
      <c r="CX197" s="125">
        <f>CX85/293.07*(1/(VLOOKUP($BM197,'Fuel economy adjusted factor'!$A$2:$L$52,5,FALSE)*m2k))</f>
        <v>6.8601783896913071</v>
      </c>
      <c r="CY197" s="125">
        <f>CY85/293.07*(1/(VLOOKUP($BM197,'Fuel economy adjusted factor'!$A$2:$L$52,5,FALSE)*m2k))</f>
        <v>6.8601783896913071</v>
      </c>
      <c r="CZ197" s="125">
        <f>CZ85/293.07*(1/(VLOOKUP($BM197,'Fuel economy adjusted factor'!$A$2:$L$52,5,FALSE)*m2k))</f>
        <v>6.8601783896913071</v>
      </c>
      <c r="DA197" s="125">
        <f>DA85/293.07*(1/(VLOOKUP($BM197,'Fuel economy adjusted factor'!$A$2:$L$52,5,FALSE)*m2k))</f>
        <v>6.8601783896913071</v>
      </c>
      <c r="DB197" s="125">
        <f>DB85/293.07*(1/(VLOOKUP($BM197,'Fuel economy adjusted factor'!$A$2:$L$52,5,FALSE)*m2k))</f>
        <v>6.8601783896913071</v>
      </c>
      <c r="DC197" s="125">
        <f>DC85/293.07*(1/(VLOOKUP($BM197,'Fuel economy adjusted factor'!$A$2:$L$52,5,FALSE)*m2k))</f>
        <v>6.8601783896913071</v>
      </c>
      <c r="DD197" s="125">
        <f>DD85/293.07*(1/(VLOOKUP($BM197,'Fuel economy adjusted factor'!$A$2:$L$52,5,FALSE)*m2k))</f>
        <v>6.8601783896913071</v>
      </c>
      <c r="DE197" s="125">
        <f>DE85/293.07*(1/(VLOOKUP($BM197,'Fuel economy adjusted factor'!$A$2:$L$52,5,FALSE)*m2k))</f>
        <v>7.0566351111867451</v>
      </c>
      <c r="DF197" s="125">
        <f>DF85/293.07*(1/(VLOOKUP($BM197,'Fuel economy adjusted factor'!$A$2:$L$52,5,FALSE)*m2k))</f>
        <v>7.0566351111867451</v>
      </c>
      <c r="DG197" s="125">
        <f>DG85/293.07*(1/(VLOOKUP($BM197,'Fuel economy adjusted factor'!$A$2:$L$52,5,FALSE)*m2k))</f>
        <v>7.0566351111867451</v>
      </c>
      <c r="DH197" s="125">
        <f>DH85/293.07*(1/(VLOOKUP($BM197,'Fuel economy adjusted factor'!$A$2:$L$52,5,FALSE)*m2k))</f>
        <v>7.0566351111867451</v>
      </c>
      <c r="DI197" s="125">
        <f>DI85/293.07*(1/(VLOOKUP($BM197,'Fuel economy adjusted factor'!$A$2:$L$52,5,FALSE)*m2k))</f>
        <v>7.0566351111867451</v>
      </c>
      <c r="DJ197" s="125">
        <f>DJ85/293.07*(1/(VLOOKUP($BM197,'Fuel economy adjusted factor'!$A$2:$L$52,5,FALSE)*m2k))</f>
        <v>7.4235801369684555</v>
      </c>
      <c r="DK197" s="125">
        <f>DK85/293.07*(1/(VLOOKUP($BM197,'Fuel economy adjusted factor'!$A$2:$L$52,5,FALSE)*m2k))</f>
        <v>7.4235801369684555</v>
      </c>
      <c r="DL197" s="125">
        <f>DL85/293.07*(1/(VLOOKUP($BM197,'Fuel economy adjusted factor'!$A$2:$L$52,5,FALSE)*m2k))</f>
        <v>7.4235801369684555</v>
      </c>
      <c r="DM197" s="125">
        <f>DM85/293.07*(1/(VLOOKUP($BM197,'Fuel economy adjusted factor'!$A$2:$L$52,5,FALSE)*m2k))</f>
        <v>7.4235801369684555</v>
      </c>
      <c r="DN197" s="125">
        <f>DN85/293.07*(1/(VLOOKUP($BM197,'Fuel economy adjusted factor'!$A$2:$L$52,5,FALSE)*m2k))</f>
        <v>7.4235801369684555</v>
      </c>
      <c r="DO197" s="125">
        <f>DO85/293.07*(1/(VLOOKUP($BM197,'Fuel economy adjusted factor'!$A$2:$L$52,5,FALSE)*m2k))</f>
        <v>7.6663283847932808</v>
      </c>
      <c r="DP197" s="125">
        <f>DP85/293.07*(1/(VLOOKUP($BM197,'Fuel economy adjusted factor'!$A$2:$L$52,5,FALSE)*m2k))</f>
        <v>7.6663283847932808</v>
      </c>
      <c r="DQ197" s="125">
        <f>DQ85/293.07*(1/(VLOOKUP($BM197,'Fuel economy adjusted factor'!$A$2:$L$52,5,FALSE)*m2k))</f>
        <v>7.6663283847932808</v>
      </c>
      <c r="DR197" s="125">
        <f>DR85/293.07*(1/(VLOOKUP($BM197,'Fuel economy adjusted factor'!$A$2:$L$52,5,FALSE)*m2k))</f>
        <v>7.6663283847932808</v>
      </c>
      <c r="DS197" s="125">
        <f>DS85/293.07*(1/(VLOOKUP($BM197,'Fuel economy adjusted factor'!$A$2:$L$52,5,FALSE)*m2k))</f>
        <v>7.6663283847932808</v>
      </c>
      <c r="DT197" s="125">
        <f>DT85/293.07*(1/(VLOOKUP($BM197,'Fuel economy adjusted factor'!$A$2:$L$52,5,FALSE)*m2k))</f>
        <v>7.9745622064499182</v>
      </c>
      <c r="DU197" s="98" cm="1">
        <f t="array" ref="DU197">SUMPRODUCT(INDEX(CS197:DT197,,'TCO Inputs'!$AZ$12-2023+_xlfn.SEQUENCE('TCO Inputs'!$AZ$13))*INDEX('VKT US'!C87:AA87,,_xlfn.SEQUENCE('TCO Inputs'!$AZ$13)))*m2k*CONVERT(0.9072,"g","ton")</f>
        <v>8.2580791950566059</v>
      </c>
      <c r="DW197" s="123" t="s">
        <v>206</v>
      </c>
      <c r="DX197" s="125">
        <f>DX85/293.07*(1/(VLOOKUP($BM197,'Fuel economy adjusted factor'!$A$2:$L$52,5,FALSE)*m2k))/'TCO Inputs'!$AZ$84</f>
        <v>227.72170407368566</v>
      </c>
      <c r="DY197" s="125">
        <f>DY85/293.07*(1/(VLOOKUP($BM197,'Fuel economy adjusted factor'!$A$2:$L$52,5,FALSE)*m2k))/'TCO Inputs'!$AZ$84</f>
        <v>227.72170407368566</v>
      </c>
      <c r="DZ197" s="125">
        <f>DZ85/293.07*(1/(VLOOKUP($BM197,'Fuel economy adjusted factor'!$A$2:$L$52,5,FALSE)*m2k))/'TCO Inputs'!$AZ$84</f>
        <v>199.22874915148697</v>
      </c>
      <c r="EA197" s="125">
        <f>EA85/293.07*(1/(VLOOKUP($BM197,'Fuel economy adjusted factor'!$A$2:$L$52,5,FALSE)*m2k))/'TCO Inputs'!$AZ$84</f>
        <v>199.22874915148697</v>
      </c>
      <c r="EB197" s="125">
        <f>EB85/293.07*(1/(VLOOKUP($BM197,'Fuel economy adjusted factor'!$A$2:$L$52,5,FALSE)*m2k))/'TCO Inputs'!$AZ$84</f>
        <v>199.22874915148697</v>
      </c>
      <c r="EC197" s="125">
        <f>EC85/293.07*(1/(VLOOKUP($BM197,'Fuel economy adjusted factor'!$A$2:$L$52,5,FALSE)*m2k))/'TCO Inputs'!$AZ$84</f>
        <v>199.22874915148697</v>
      </c>
      <c r="ED197" s="125">
        <f>ED85/293.07*(1/(VLOOKUP($BM197,'Fuel economy adjusted factor'!$A$2:$L$52,5,FALSE)*m2k))/'TCO Inputs'!$AZ$84</f>
        <v>199.22874915148697</v>
      </c>
      <c r="EE197" s="125">
        <f>EE85/293.07*(1/(VLOOKUP($BM197,'Fuel economy adjusted factor'!$A$2:$L$52,5,FALSE)*m2k))/'TCO Inputs'!$AZ$84</f>
        <v>123.95247545710565</v>
      </c>
      <c r="EF197" s="125">
        <f>EF85/293.07*(1/(VLOOKUP($BM197,'Fuel economy adjusted factor'!$A$2:$L$52,5,FALSE)*m2k))/'TCO Inputs'!$AZ$84</f>
        <v>123.95247545710565</v>
      </c>
      <c r="EG197" s="125">
        <f>EG85/293.07*(1/(VLOOKUP($BM197,'Fuel economy adjusted factor'!$A$2:$L$52,5,FALSE)*m2k))/'TCO Inputs'!$AZ$84</f>
        <v>123.95247545710565</v>
      </c>
      <c r="EH197" s="125">
        <f>EH85/293.07*(1/(VLOOKUP($BM197,'Fuel economy adjusted factor'!$A$2:$L$52,5,FALSE)*m2k))/'TCO Inputs'!$AZ$84</f>
        <v>123.95247545710565</v>
      </c>
      <c r="EI197" s="125">
        <f>EI85/293.07*(1/(VLOOKUP($BM197,'Fuel economy adjusted factor'!$A$2:$L$52,5,FALSE)*m2k))/'TCO Inputs'!$AZ$84</f>
        <v>123.95247545710565</v>
      </c>
      <c r="EJ197" s="125">
        <f>EJ85/293.07*(1/(VLOOKUP($BM197,'Fuel economy adjusted factor'!$A$2:$L$52,5,FALSE)*m2k))/'TCO Inputs'!$AZ$84</f>
        <v>110.36778334061798</v>
      </c>
      <c r="EK197" s="125">
        <f>EK85/293.07*(1/(VLOOKUP($BM197,'Fuel economy adjusted factor'!$A$2:$L$52,5,FALSE)*m2k))/'TCO Inputs'!$AZ$84</f>
        <v>110.36778334061798</v>
      </c>
      <c r="EL197" s="125">
        <f>EL85/293.07*(1/(VLOOKUP($BM197,'Fuel economy adjusted factor'!$A$2:$L$52,5,FALSE)*m2k))/'TCO Inputs'!$AZ$84</f>
        <v>110.36778334061798</v>
      </c>
      <c r="EM197" s="125">
        <f>EM85/293.07*(1/(VLOOKUP($BM197,'Fuel economy adjusted factor'!$A$2:$L$52,5,FALSE)*m2k))/'TCO Inputs'!$AZ$84</f>
        <v>110.36778334061798</v>
      </c>
      <c r="EN197" s="125">
        <f>EN85/293.07*(1/(VLOOKUP($BM197,'Fuel economy adjusted factor'!$A$2:$L$52,5,FALSE)*m2k))/'TCO Inputs'!$AZ$84</f>
        <v>110.36778334061798</v>
      </c>
      <c r="EO197" s="125">
        <f>EO85/293.07*(1/(VLOOKUP($BM197,'Fuel economy adjusted factor'!$A$2:$L$52,5,FALSE)*m2k))/'TCO Inputs'!$AZ$84</f>
        <v>107.24299859072622</v>
      </c>
      <c r="EP197" s="125">
        <f>EP85/293.07*(1/(VLOOKUP($BM197,'Fuel economy adjusted factor'!$A$2:$L$52,5,FALSE)*m2k))/'TCO Inputs'!$AZ$84</f>
        <v>107.24299859072622</v>
      </c>
      <c r="EQ197" s="125">
        <f>EQ85/293.07*(1/(VLOOKUP($BM197,'Fuel economy adjusted factor'!$A$2:$L$52,5,FALSE)*m2k))/'TCO Inputs'!$AZ$84</f>
        <v>107.24299859072622</v>
      </c>
      <c r="ER197" s="125">
        <f>ER85/293.07*(1/(VLOOKUP($BM197,'Fuel economy adjusted factor'!$A$2:$L$52,5,FALSE)*m2k))/'TCO Inputs'!$AZ$84</f>
        <v>107.24299859072622</v>
      </c>
      <c r="ES197" s="125">
        <f>ES85/293.07*(1/(VLOOKUP($BM197,'Fuel economy adjusted factor'!$A$2:$L$52,5,FALSE)*m2k))/'TCO Inputs'!$AZ$84</f>
        <v>107.24299859072622</v>
      </c>
      <c r="ET197" s="125">
        <f>ET85/293.07*(1/(VLOOKUP($BM197,'Fuel economy adjusted factor'!$A$2:$L$52,5,FALSE)*m2k))/'TCO Inputs'!$AZ$84</f>
        <v>103.44758324860348</v>
      </c>
      <c r="EU197" s="125">
        <f>EU85/293.07*(1/(VLOOKUP($BM197,'Fuel economy adjusted factor'!$A$2:$L$52,5,FALSE)*m2k))/'TCO Inputs'!$AZ$84</f>
        <v>103.44758324860348</v>
      </c>
      <c r="EV197" s="125">
        <f>EV85/293.07*(1/(VLOOKUP($BM197,'Fuel economy adjusted factor'!$A$2:$L$52,5,FALSE)*m2k))/'TCO Inputs'!$AZ$84</f>
        <v>103.44758324860348</v>
      </c>
      <c r="EW197" s="125">
        <f>EW85/293.07*(1/(VLOOKUP($BM197,'Fuel economy adjusted factor'!$A$2:$L$52,5,FALSE)*m2k))/'TCO Inputs'!$AZ$84</f>
        <v>103.44758324860348</v>
      </c>
      <c r="EX197" s="125">
        <f>EX85/293.07*(1/(VLOOKUP($BM197,'Fuel economy adjusted factor'!$A$2:$L$52,5,FALSE)*m2k))/'TCO Inputs'!$AZ$84</f>
        <v>103.44758324860348</v>
      </c>
      <c r="EY197" s="125">
        <f>EY85/293.07*(1/(VLOOKUP($BM197,'Fuel economy adjusted factor'!$A$2:$L$52,5,FALSE)*m2k))/'TCO Inputs'!$AZ$84</f>
        <v>97.3990421038053</v>
      </c>
      <c r="EZ197" s="98" cm="1">
        <f t="array" ref="EZ197">SUMPRODUCT(INDEX(DX197:EY197,,'TCO Inputs'!$AZ$12-2023+_xlfn.SEQUENCE('TCO Inputs'!$AZ$13))*INDEX('VKT US'!C87:AA87,,_xlfn.SEQUENCE('TCO Inputs'!$AZ$13)))*m2k*CONVERT(0.9072,"g","ton")</f>
        <v>65.997617693401253</v>
      </c>
      <c r="FB197" s="123" t="s">
        <v>206</v>
      </c>
      <c r="FC197" s="125">
        <f>FC85/293.07*(1/(VLOOKUP($BM197,'Fuel economy adjusted factor'!$A$2:$L$52,5,FALSE)*m2k))/'TCO Inputs'!$AZ$84</f>
        <v>246.16967415397806</v>
      </c>
      <c r="FD197" s="125">
        <f>FD85/293.07*(1/(VLOOKUP($BM197,'Fuel economy adjusted factor'!$A$2:$L$52,5,FALSE)*m2k))/'TCO Inputs'!$AZ$84</f>
        <v>246.16967415397806</v>
      </c>
      <c r="FE197" s="125">
        <f>FE85/293.07*(1/(VLOOKUP($BM197,'Fuel economy adjusted factor'!$A$2:$L$52,5,FALSE)*m2k))/'TCO Inputs'!$AZ$84</f>
        <v>214.61948000916274</v>
      </c>
      <c r="FF197" s="125">
        <f>FF85/293.07*(1/(VLOOKUP($BM197,'Fuel economy adjusted factor'!$A$2:$L$52,5,FALSE)*m2k))/'TCO Inputs'!$AZ$84</f>
        <v>214.61948000916274</v>
      </c>
      <c r="FG197" s="125">
        <f>FG85/293.07*(1/(VLOOKUP($BM197,'Fuel economy adjusted factor'!$A$2:$L$52,5,FALSE)*m2k))/'TCO Inputs'!$AZ$84</f>
        <v>214.61948000916274</v>
      </c>
      <c r="FH197" s="125">
        <f>FH85/293.07*(1/(VLOOKUP($BM197,'Fuel economy adjusted factor'!$A$2:$L$52,5,FALSE)*m2k))/'TCO Inputs'!$AZ$84</f>
        <v>214.61948000916274</v>
      </c>
      <c r="FI197" s="125">
        <f>FI85/293.07*(1/(VLOOKUP($BM197,'Fuel economy adjusted factor'!$A$2:$L$52,5,FALSE)*m2k))/'TCO Inputs'!$AZ$84</f>
        <v>214.61948000916274</v>
      </c>
      <c r="FJ197" s="125">
        <f>FJ85/293.07*(1/(VLOOKUP($BM197,'Fuel economy adjusted factor'!$A$2:$L$52,5,FALSE)*m2k))/'TCO Inputs'!$AZ$84</f>
        <v>135.74881932764399</v>
      </c>
      <c r="FK197" s="125">
        <f>FK85/293.07*(1/(VLOOKUP($BM197,'Fuel economy adjusted factor'!$A$2:$L$52,5,FALSE)*m2k))/'TCO Inputs'!$AZ$84</f>
        <v>135.74881932764399</v>
      </c>
      <c r="FL197" s="125">
        <f>FL85/293.07*(1/(VLOOKUP($BM197,'Fuel economy adjusted factor'!$A$2:$L$52,5,FALSE)*m2k))/'TCO Inputs'!$AZ$84</f>
        <v>135.74881932764399</v>
      </c>
      <c r="FM197" s="125">
        <f>FM85/293.07*(1/(VLOOKUP($BM197,'Fuel economy adjusted factor'!$A$2:$L$52,5,FALSE)*m2k))/'TCO Inputs'!$AZ$84</f>
        <v>135.74881932764399</v>
      </c>
      <c r="FN197" s="125">
        <f>FN85/293.07*(1/(VLOOKUP($BM197,'Fuel economy adjusted factor'!$A$2:$L$52,5,FALSE)*m2k))/'TCO Inputs'!$AZ$84</f>
        <v>135.74881932764399</v>
      </c>
      <c r="FO197" s="125">
        <f>FO85/293.07*(1/(VLOOKUP($BM197,'Fuel economy adjusted factor'!$A$2:$L$52,5,FALSE)*m2k))/'TCO Inputs'!$AZ$84</f>
        <v>120.23425500329728</v>
      </c>
      <c r="FP197" s="125">
        <f>FP85/293.07*(1/(VLOOKUP($BM197,'Fuel economy adjusted factor'!$A$2:$L$52,5,FALSE)*m2k))/'TCO Inputs'!$AZ$84</f>
        <v>120.23425500329728</v>
      </c>
      <c r="FQ197" s="125">
        <f>FQ85/293.07*(1/(VLOOKUP($BM197,'Fuel economy adjusted factor'!$A$2:$L$52,5,FALSE)*m2k))/'TCO Inputs'!$AZ$84</f>
        <v>120.23425500329728</v>
      </c>
      <c r="FR197" s="125">
        <f>FR85/293.07*(1/(VLOOKUP($BM197,'Fuel economy adjusted factor'!$A$2:$L$52,5,FALSE)*m2k))/'TCO Inputs'!$AZ$84</f>
        <v>120.23425500329728</v>
      </c>
      <c r="FS197" s="125">
        <f>FS85/293.07*(1/(VLOOKUP($BM197,'Fuel economy adjusted factor'!$A$2:$L$52,5,FALSE)*m2k))/'TCO Inputs'!$AZ$84</f>
        <v>120.23425500329728</v>
      </c>
      <c r="FT197" s="125">
        <f>FT85/293.07*(1/(VLOOKUP($BM197,'Fuel economy adjusted factor'!$A$2:$L$52,5,FALSE)*m2k))/'TCO Inputs'!$AZ$84</f>
        <v>117.48901178761778</v>
      </c>
      <c r="FU197" s="125">
        <f>FU85/293.07*(1/(VLOOKUP($BM197,'Fuel economy adjusted factor'!$A$2:$L$52,5,FALSE)*m2k))/'TCO Inputs'!$AZ$84</f>
        <v>117.48901178761778</v>
      </c>
      <c r="FV197" s="125">
        <f>FV85/293.07*(1/(VLOOKUP($BM197,'Fuel economy adjusted factor'!$A$2:$L$52,5,FALSE)*m2k))/'TCO Inputs'!$AZ$84</f>
        <v>117.48901178761778</v>
      </c>
      <c r="FW197" s="125">
        <f>FW85/293.07*(1/(VLOOKUP($BM197,'Fuel economy adjusted factor'!$A$2:$L$52,5,FALSE)*m2k))/'TCO Inputs'!$AZ$84</f>
        <v>117.48901178761778</v>
      </c>
      <c r="FX197" s="125">
        <f>FX85/293.07*(1/(VLOOKUP($BM197,'Fuel economy adjusted factor'!$A$2:$L$52,5,FALSE)*m2k))/'TCO Inputs'!$AZ$84</f>
        <v>117.48901178761778</v>
      </c>
      <c r="FY197" s="125">
        <f>FY85/293.07*(1/(VLOOKUP($BM197,'Fuel economy adjusted factor'!$A$2:$L$52,5,FALSE)*m2k))/'TCO Inputs'!$AZ$84</f>
        <v>113.68716353813551</v>
      </c>
      <c r="FZ197" s="125">
        <f>FZ85/293.07*(1/(VLOOKUP($BM197,'Fuel economy adjusted factor'!$A$2:$L$52,5,FALSE)*m2k))/'TCO Inputs'!$AZ$84</f>
        <v>113.68716353813551</v>
      </c>
      <c r="GA197" s="125">
        <f>GA85/293.07*(1/(VLOOKUP($BM197,'Fuel economy adjusted factor'!$A$2:$L$52,5,FALSE)*m2k))/'TCO Inputs'!$AZ$84</f>
        <v>113.68716353813551</v>
      </c>
      <c r="GB197" s="125">
        <f>GB85/293.07*(1/(VLOOKUP($BM197,'Fuel economy adjusted factor'!$A$2:$L$52,5,FALSE)*m2k))/'TCO Inputs'!$AZ$84</f>
        <v>113.68716353813551</v>
      </c>
      <c r="GC197" s="125">
        <f>GC85/293.07*(1/(VLOOKUP($BM197,'Fuel economy adjusted factor'!$A$2:$L$52,5,FALSE)*m2k))/'TCO Inputs'!$AZ$84</f>
        <v>113.68716353813551</v>
      </c>
      <c r="GD197" s="125">
        <f>GD85/293.07*(1/(VLOOKUP($BM197,'Fuel economy adjusted factor'!$A$2:$L$52,5,FALSE)*m2k))/'TCO Inputs'!$AZ$84</f>
        <v>107.43276935783238</v>
      </c>
      <c r="GE197" s="98" cm="1">
        <f t="array" ref="GE197">SUMPRODUCT(INDEX(FC197:GD197,,'TCO Inputs'!$AZ$12-2023+_xlfn.SEQUENCE('TCO Inputs'!$AZ$13))*INDEX('VKT US'!C87:AA87,,_xlfn.SEQUENCE('TCO Inputs'!$AZ$13)))*m2k*CONVERT(0.9072,"g","ton")</f>
        <v>71.502486445587252</v>
      </c>
      <c r="GH197" s="123" t="s">
        <v>206</v>
      </c>
      <c r="GI197" s="125">
        <f>GI85/293.07*(1/(VLOOKUP($GH197,'Fuel economy adjusted factor'!$A$2:$L$52,5,FALSE)*m2k))/'TCO Inputs'!$AZ$84</f>
        <v>433.36041506346839</v>
      </c>
      <c r="GJ197" s="125">
        <f>GJ85/293.07*(1/(VLOOKUP($GH197,'Fuel economy adjusted factor'!$A$2:$L$52,5,FALSE)*m2k))/'TCO Inputs'!$AZ$84</f>
        <v>433.36041506346839</v>
      </c>
      <c r="GK197" s="125">
        <f>GK85/293.07*(1/(VLOOKUP($GH197,'Fuel economy adjusted factor'!$A$2:$L$52,5,FALSE)*m2k))/'TCO Inputs'!$AZ$84</f>
        <v>433.36041506346839</v>
      </c>
      <c r="GL197" s="125">
        <f>GL85/293.07*(1/(VLOOKUP($GH197,'Fuel economy adjusted factor'!$A$2:$L$52,5,FALSE)*m2k))/'TCO Inputs'!$AZ$84</f>
        <v>433.36041506346839</v>
      </c>
      <c r="GM197" s="125">
        <f>GM85/293.07*(1/(VLOOKUP($GH197,'Fuel economy adjusted factor'!$A$2:$L$52,5,FALSE)*m2k))/'TCO Inputs'!$AZ$84</f>
        <v>433.36041506346839</v>
      </c>
      <c r="GN197" s="125">
        <f>GN85/293.07*(1/(VLOOKUP($GH197,'Fuel economy adjusted factor'!$A$2:$L$52,5,FALSE)*m2k))/'TCO Inputs'!$AZ$84</f>
        <v>433.36041506346839</v>
      </c>
      <c r="GO197" s="125">
        <f>GO85/293.07*(1/(VLOOKUP($GH197,'Fuel economy adjusted factor'!$A$2:$L$52,5,FALSE)*m2k))/'TCO Inputs'!$AZ$84</f>
        <v>433.36041506346839</v>
      </c>
      <c r="GP197" s="125">
        <f>GP85/293.07*(1/(VLOOKUP($GH197,'Fuel economy adjusted factor'!$A$2:$L$52,5,FALSE)*m2k))/'TCO Inputs'!$AZ$84</f>
        <v>433.36041506346839</v>
      </c>
      <c r="GQ197" s="125">
        <f>GQ85/293.07*(1/(VLOOKUP($GH197,'Fuel economy adjusted factor'!$A$2:$L$52,5,FALSE)*m2k))/'TCO Inputs'!$AZ$84</f>
        <v>433.36041506346839</v>
      </c>
      <c r="GR197" s="125">
        <f>GR85/293.07*(1/(VLOOKUP($GH197,'Fuel economy adjusted factor'!$A$2:$L$52,5,FALSE)*m2k))/'TCO Inputs'!$AZ$84</f>
        <v>433.36041506346839</v>
      </c>
      <c r="GS197" s="125">
        <f>GS85/293.07*(1/(VLOOKUP($GH197,'Fuel economy adjusted factor'!$A$2:$L$52,5,FALSE)*m2k))/'TCO Inputs'!$AZ$84</f>
        <v>433.36041506346839</v>
      </c>
      <c r="GT197" s="125">
        <f>GT85/293.07*(1/(VLOOKUP($GH197,'Fuel economy adjusted factor'!$A$2:$L$52,5,FALSE)*m2k))/'TCO Inputs'!$AZ$84</f>
        <v>433.36041506346839</v>
      </c>
      <c r="GU197" s="125">
        <f>GU85/293.07*(1/(VLOOKUP($GH197,'Fuel economy adjusted factor'!$A$2:$L$52,5,FALSE)*m2k))/'TCO Inputs'!$AZ$84</f>
        <v>433.36041506346839</v>
      </c>
      <c r="GV197" s="125">
        <f>GV85/293.07*(1/(VLOOKUP($GH197,'Fuel economy adjusted factor'!$A$2:$L$52,5,FALSE)*m2k))/'TCO Inputs'!$AZ$84</f>
        <v>433.36041506346839</v>
      </c>
      <c r="GW197" s="125">
        <f>GW85/293.07*(1/(VLOOKUP($GH197,'Fuel economy adjusted factor'!$A$2:$L$52,5,FALSE)*m2k))/'TCO Inputs'!$AZ$84</f>
        <v>433.36041506346839</v>
      </c>
      <c r="GX197" s="125">
        <f>GX85/293.07*(1/(VLOOKUP($GH197,'Fuel economy adjusted factor'!$A$2:$L$52,5,FALSE)*m2k))/'TCO Inputs'!$AZ$84</f>
        <v>433.36041506346839</v>
      </c>
      <c r="GY197" s="125">
        <f>GY85/293.07*(1/(VLOOKUP($GH197,'Fuel economy adjusted factor'!$A$2:$L$52,5,FALSE)*m2k))/'TCO Inputs'!$AZ$84</f>
        <v>433.36041506346839</v>
      </c>
      <c r="GZ197" s="125">
        <f>GZ85/293.07*(1/(VLOOKUP($GH197,'Fuel economy adjusted factor'!$A$2:$L$52,5,FALSE)*m2k))/'TCO Inputs'!$AZ$84</f>
        <v>433.36041506346839</v>
      </c>
      <c r="HA197" s="125">
        <f>HA85/293.07*(1/(VLOOKUP($GH197,'Fuel economy adjusted factor'!$A$2:$L$52,5,FALSE)*m2k))/'TCO Inputs'!$AZ$84</f>
        <v>433.36041506346839</v>
      </c>
      <c r="HB197" s="125">
        <f>HB85/293.07*(1/(VLOOKUP($GH197,'Fuel economy adjusted factor'!$A$2:$L$52,5,FALSE)*m2k))/'TCO Inputs'!$AZ$84</f>
        <v>433.36041506346839</v>
      </c>
      <c r="HC197" s="125">
        <f>HC85/293.07*(1/(VLOOKUP($GH197,'Fuel economy adjusted factor'!$A$2:$L$52,5,FALSE)*m2k))/'TCO Inputs'!$AZ$84</f>
        <v>433.36041506346839</v>
      </c>
      <c r="HD197" s="125">
        <f>HD85/293.07*(1/(VLOOKUP($GH197,'Fuel economy adjusted factor'!$A$2:$L$52,5,FALSE)*m2k))/'TCO Inputs'!$AZ$84</f>
        <v>433.36041506346839</v>
      </c>
      <c r="HE197" s="125">
        <f>HE85/293.07*(1/(VLOOKUP($GH197,'Fuel economy adjusted factor'!$A$2:$L$52,5,FALSE)*m2k))/'TCO Inputs'!$AZ$84</f>
        <v>433.36041506346839</v>
      </c>
      <c r="HF197" s="125">
        <f>HF85/293.07*(1/(VLOOKUP($GH197,'Fuel economy adjusted factor'!$A$2:$L$52,5,FALSE)*m2k))/'TCO Inputs'!$AZ$84</f>
        <v>433.36041506346839</v>
      </c>
      <c r="HG197" s="125">
        <f>HG85/293.07*(1/(VLOOKUP($GH197,'Fuel economy adjusted factor'!$A$2:$L$52,5,FALSE)*m2k))/'TCO Inputs'!$AZ$84</f>
        <v>433.36041506346839</v>
      </c>
      <c r="HH197" s="125">
        <f>HH85/293.07*(1/(VLOOKUP($GH197,'Fuel economy adjusted factor'!$A$2:$L$52,5,FALSE)*m2k))/'TCO Inputs'!$AZ$84</f>
        <v>433.36041506346839</v>
      </c>
      <c r="HI197" s="125">
        <f>HI85/293.07*(1/(VLOOKUP($GH197,'Fuel economy adjusted factor'!$A$2:$L$52,5,FALSE)*m2k))/'TCO Inputs'!$AZ$84</f>
        <v>433.36041506346839</v>
      </c>
      <c r="HJ197" s="125">
        <f>HJ85/293.07*(1/(VLOOKUP($GH197,'Fuel economy adjusted factor'!$A$2:$L$52,5,FALSE)*m2k))/'TCO Inputs'!$AZ$84</f>
        <v>433.36041506346839</v>
      </c>
      <c r="HK197" s="98" cm="1">
        <f t="array" ref="HK197">SUMPRODUCT(INDEX(GI197:HJ197,,'TCO Inputs'!$AZ$12-2023+_xlfn.SEQUENCE('TCO Inputs'!$AZ$13))*INDEX('VKT US'!C87:AA87,,_xlfn.SEQUENCE('TCO Inputs'!$AZ$13)))*m2k*CONVERT(0.9072,"g","ton")</f>
        <v>169.67668367860637</v>
      </c>
    </row>
    <row r="198" spans="26:219" x14ac:dyDescent="0.25">
      <c r="Z198" s="123" t="s">
        <v>208</v>
      </c>
      <c r="AA198" s="125">
        <f>AA86/293.07*(1/(VLOOKUP($Z198,'Fuel economy adjusted factor'!$A$2:$L$52,5,FALSE)*m2k))/'TCO Inputs'!$AZ$84</f>
        <v>141.43560750239914</v>
      </c>
      <c r="AB198" s="125">
        <f>AB86/293.07*(1/(VLOOKUP($Z198,'Fuel economy adjusted factor'!$A$2:$L$52,5,FALSE)*m2k))/'TCO Inputs'!$AZ$84</f>
        <v>141.43560750239914</v>
      </c>
      <c r="AC198" s="125">
        <f>AC86/293.07*(1/(VLOOKUP($Z198,'Fuel economy adjusted factor'!$A$2:$L$52,5,FALSE)*m2k))/'TCO Inputs'!$AZ$84</f>
        <v>124.22933982541703</v>
      </c>
      <c r="AD198" s="125">
        <f>AD86/293.07*(1/(VLOOKUP($Z198,'Fuel economy adjusted factor'!$A$2:$L$52,5,FALSE)*m2k))/'TCO Inputs'!$AZ$84</f>
        <v>124.22933982541703</v>
      </c>
      <c r="AE198" s="125">
        <f>AE86/293.07*(1/(VLOOKUP($Z198,'Fuel economy adjusted factor'!$A$2:$L$52,5,FALSE)*m2k))/'TCO Inputs'!$AZ$84</f>
        <v>124.22933982541703</v>
      </c>
      <c r="AF198" s="125">
        <f>AF86/293.07*(1/(VLOOKUP($Z198,'Fuel economy adjusted factor'!$A$2:$L$52,5,FALSE)*m2k))/'TCO Inputs'!$AZ$84</f>
        <v>124.22933982541703</v>
      </c>
      <c r="AG198" s="125">
        <f>AG86/293.07*(1/(VLOOKUP($Z198,'Fuel economy adjusted factor'!$A$2:$L$52,5,FALSE)*m2k))/'TCO Inputs'!$AZ$84</f>
        <v>124.22933982541703</v>
      </c>
      <c r="AH198" s="125">
        <f>AH86/293.07*(1/(VLOOKUP($Z198,'Fuel economy adjusted factor'!$A$2:$L$52,5,FALSE)*m2k))/'TCO Inputs'!$AZ$84</f>
        <v>46.967900701180483</v>
      </c>
      <c r="AI198" s="125">
        <f>AI86/293.07*(1/(VLOOKUP($Z198,'Fuel economy adjusted factor'!$A$2:$L$52,5,FALSE)*m2k))/'TCO Inputs'!$AZ$84</f>
        <v>46.967900701180483</v>
      </c>
      <c r="AJ198" s="125">
        <f>AJ86/293.07*(1/(VLOOKUP($Z198,'Fuel economy adjusted factor'!$A$2:$L$52,5,FALSE)*m2k))/'TCO Inputs'!$AZ$84</f>
        <v>46.967900701180483</v>
      </c>
      <c r="AK198" s="125">
        <f>AK86/293.07*(1/(VLOOKUP($Z198,'Fuel economy adjusted factor'!$A$2:$L$52,5,FALSE)*m2k))/'TCO Inputs'!$AZ$84</f>
        <v>46.967900701180483</v>
      </c>
      <c r="AL198" s="125">
        <f>AL86/293.07*(1/(VLOOKUP($Z198,'Fuel economy adjusted factor'!$A$2:$L$52,5,FALSE)*m2k))/'TCO Inputs'!$AZ$84</f>
        <v>46.967900701180483</v>
      </c>
      <c r="AM198" s="125">
        <f>AM86/293.07*(1/(VLOOKUP($Z198,'Fuel economy adjusted factor'!$A$2:$L$52,5,FALSE)*m2k))/'TCO Inputs'!$AZ$84</f>
        <v>39.47653634390835</v>
      </c>
      <c r="AN198" s="125">
        <f>AN86/293.07*(1/(VLOOKUP($Z198,'Fuel economy adjusted factor'!$A$2:$L$52,5,FALSE)*m2k))/'TCO Inputs'!$AZ$84</f>
        <v>39.47653634390835</v>
      </c>
      <c r="AO198" s="125">
        <f>AO86/293.07*(1/(VLOOKUP($Z198,'Fuel economy adjusted factor'!$A$2:$L$52,5,FALSE)*m2k))/'TCO Inputs'!$AZ$84</f>
        <v>39.47653634390835</v>
      </c>
      <c r="AP198" s="125">
        <f>AP86/293.07*(1/(VLOOKUP($Z198,'Fuel economy adjusted factor'!$A$2:$L$52,5,FALSE)*m2k))/'TCO Inputs'!$AZ$84</f>
        <v>39.47653634390835</v>
      </c>
      <c r="AQ198" s="125">
        <f>AQ86/293.07*(1/(VLOOKUP($Z198,'Fuel economy adjusted factor'!$A$2:$L$52,5,FALSE)*m2k))/'TCO Inputs'!$AZ$84</f>
        <v>39.47653634390835</v>
      </c>
      <c r="AR198" s="125">
        <f>AR86/293.07*(1/(VLOOKUP($Z198,'Fuel economy adjusted factor'!$A$2:$L$52,5,FALSE)*m2k))/'TCO Inputs'!$AZ$84</f>
        <v>39.47653634390835</v>
      </c>
      <c r="AS198" s="125">
        <f>AS86/293.07*(1/(VLOOKUP($Z198,'Fuel economy adjusted factor'!$A$2:$L$52,5,FALSE)*m2k))/'TCO Inputs'!$AZ$84</f>
        <v>39.47653634390835</v>
      </c>
      <c r="AT198" s="125">
        <f>AT86/293.07*(1/(VLOOKUP($Z198,'Fuel economy adjusted factor'!$A$2:$L$52,5,FALSE)*m2k))/'TCO Inputs'!$AZ$84</f>
        <v>39.47653634390835</v>
      </c>
      <c r="AU198" s="125">
        <f>AU86/293.07*(1/(VLOOKUP($Z198,'Fuel economy adjusted factor'!$A$2:$L$52,5,FALSE)*m2k))/'TCO Inputs'!$AZ$84</f>
        <v>39.47653634390835</v>
      </c>
      <c r="AV198" s="125">
        <f>AV86/293.07*(1/(VLOOKUP($Z198,'Fuel economy adjusted factor'!$A$2:$L$52,5,FALSE)*m2k))/'TCO Inputs'!$AZ$84</f>
        <v>39.47653634390835</v>
      </c>
      <c r="AW198" s="125">
        <f>AW86/293.07*(1/(VLOOKUP($Z198,'Fuel economy adjusted factor'!$A$2:$L$52,5,FALSE)*m2k))/'TCO Inputs'!$AZ$84</f>
        <v>39.662921227524457</v>
      </c>
      <c r="AX198" s="125">
        <f>AX86/293.07*(1/(VLOOKUP($Z198,'Fuel economy adjusted factor'!$A$2:$L$52,5,FALSE)*m2k))/'TCO Inputs'!$AZ$84</f>
        <v>39.662921227524457</v>
      </c>
      <c r="AY198" s="125">
        <f>AY86/293.07*(1/(VLOOKUP($Z198,'Fuel economy adjusted factor'!$A$2:$L$52,5,FALSE)*m2k))/'TCO Inputs'!$AZ$84</f>
        <v>39.662921227524457</v>
      </c>
      <c r="AZ198" s="125">
        <f>AZ86/293.07*(1/(VLOOKUP($Z198,'Fuel economy adjusted factor'!$A$2:$L$52,5,FALSE)*m2k))/'TCO Inputs'!$AZ$84</f>
        <v>39.662921227524457</v>
      </c>
      <c r="BA198" s="125">
        <f>BA86/293.07*(1/(VLOOKUP($Z198,'Fuel economy adjusted factor'!$A$2:$L$52,5,FALSE)*m2k))/'TCO Inputs'!$AZ$84</f>
        <v>39.662921227524457</v>
      </c>
      <c r="BB198" s="125">
        <f>BB86/293.07*(1/(VLOOKUP($Z198,'Fuel economy adjusted factor'!$A$2:$L$52,5,FALSE)*m2k))/'TCO Inputs'!$AZ$84</f>
        <v>39.89726479464413</v>
      </c>
      <c r="BC198" s="98" cm="1">
        <f t="array" ref="BC198">SUMPRODUCT(INDEX(AA198:BB198,,'TCO Inputs'!$AZ$12-2023+_xlfn.SEQUENCE('TCO Inputs'!$AZ$13))*INDEX('VKT US'!C88:AA88,,_xlfn.SEQUENCE('TCO Inputs'!$AZ$13)))*m2k*CONVERT(0.9072,"g","ton")</f>
        <v>30.713696354581483</v>
      </c>
      <c r="BM198" s="123" t="s">
        <v>208</v>
      </c>
      <c r="BN198" s="125">
        <f>BN86/293.07*(1/(VLOOKUP($BM198,'Fuel economy adjusted factor'!$A$2:$L$52,5,FALSE)*m2k))</f>
        <v>120.22026637703925</v>
      </c>
      <c r="BO198" s="125">
        <f>BO86/293.07*(1/(VLOOKUP($BM198,'Fuel economy adjusted factor'!$A$2:$L$52,5,FALSE)*m2k))</f>
        <v>120.22026637703925</v>
      </c>
      <c r="BP198" s="125">
        <f>BP86/293.07*(1/(VLOOKUP($BM198,'Fuel economy adjusted factor'!$A$2:$L$52,5,FALSE)*m2k))</f>
        <v>94.766304104532281</v>
      </c>
      <c r="BQ198" s="125">
        <f>BQ86/293.07*(1/(VLOOKUP($BM198,'Fuel economy adjusted factor'!$A$2:$L$52,5,FALSE)*m2k))</f>
        <v>94.766304104532281</v>
      </c>
      <c r="BR198" s="125">
        <f>BR86/293.07*(1/(VLOOKUP($BM198,'Fuel economy adjusted factor'!$A$2:$L$52,5,FALSE)*m2k))</f>
        <v>94.766304104532281</v>
      </c>
      <c r="BS198" s="125">
        <f>BS86/293.07*(1/(VLOOKUP($BM198,'Fuel economy adjusted factor'!$A$2:$L$52,5,FALSE)*m2k))</f>
        <v>94.766304104532281</v>
      </c>
      <c r="BT198" s="125">
        <f>BT86/293.07*(1/(VLOOKUP($BM198,'Fuel economy adjusted factor'!$A$2:$L$52,5,FALSE)*m2k))</f>
        <v>94.766304104532281</v>
      </c>
      <c r="BU198" s="125">
        <f>BU86/293.07*(1/(VLOOKUP($BM198,'Fuel economy adjusted factor'!$A$2:$L$52,5,FALSE)*m2k))</f>
        <v>5.3531700520690562</v>
      </c>
      <c r="BV198" s="125">
        <f>BV86/293.07*(1/(VLOOKUP($BM198,'Fuel economy adjusted factor'!$A$2:$L$52,5,FALSE)*m2k))</f>
        <v>5.3531700520690562</v>
      </c>
      <c r="BW198" s="125">
        <f>BW86/293.07*(1/(VLOOKUP($BM198,'Fuel economy adjusted factor'!$A$2:$L$52,5,FALSE)*m2k))</f>
        <v>5.3531700520690562</v>
      </c>
      <c r="BX198" s="125">
        <f>BX86/293.07*(1/(VLOOKUP($BM198,'Fuel economy adjusted factor'!$A$2:$L$52,5,FALSE)*m2k))</f>
        <v>5.3531700520690562</v>
      </c>
      <c r="BY198" s="125">
        <f>BY86/293.07*(1/(VLOOKUP($BM198,'Fuel economy adjusted factor'!$A$2:$L$52,5,FALSE)*m2k))</f>
        <v>5.3531700520690562</v>
      </c>
      <c r="BZ198" s="125">
        <f>BZ86/293.07*(1/(VLOOKUP($BM198,'Fuel economy adjusted factor'!$A$2:$L$52,5,FALSE)*m2k))</f>
        <v>5.5829357448542973</v>
      </c>
      <c r="CA198" s="125">
        <f>CA86/293.07*(1/(VLOOKUP($BM198,'Fuel economy adjusted factor'!$A$2:$L$52,5,FALSE)*m2k))</f>
        <v>5.5829357448542973</v>
      </c>
      <c r="CB198" s="125">
        <f>CB86/293.07*(1/(VLOOKUP($BM198,'Fuel economy adjusted factor'!$A$2:$L$52,5,FALSE)*m2k))</f>
        <v>5.5829357448542973</v>
      </c>
      <c r="CC198" s="125">
        <f>CC86/293.07*(1/(VLOOKUP($BM198,'Fuel economy adjusted factor'!$A$2:$L$52,5,FALSE)*m2k))</f>
        <v>5.5829357448542973</v>
      </c>
      <c r="CD198" s="125">
        <f>CD86/293.07*(1/(VLOOKUP($BM198,'Fuel economy adjusted factor'!$A$2:$L$52,5,FALSE)*m2k))</f>
        <v>5.5829357448542973</v>
      </c>
      <c r="CE198" s="125">
        <f>CE86/293.07*(1/(VLOOKUP($BM198,'Fuel economy adjusted factor'!$A$2:$L$52,5,FALSE)*m2k))</f>
        <v>5.6607596085396219</v>
      </c>
      <c r="CF198" s="125">
        <f>CF86/293.07*(1/(VLOOKUP($BM198,'Fuel economy adjusted factor'!$A$2:$L$52,5,FALSE)*m2k))</f>
        <v>5.6607596085396219</v>
      </c>
      <c r="CG198" s="125">
        <f>CG86/293.07*(1/(VLOOKUP($BM198,'Fuel economy adjusted factor'!$A$2:$L$52,5,FALSE)*m2k))</f>
        <v>5.6607596085396219</v>
      </c>
      <c r="CH198" s="125">
        <f>CH86/293.07*(1/(VLOOKUP($BM198,'Fuel economy adjusted factor'!$A$2:$L$52,5,FALSE)*m2k))</f>
        <v>5.6607596085396219</v>
      </c>
      <c r="CI198" s="125">
        <f>CI86/293.07*(1/(VLOOKUP($BM198,'Fuel economy adjusted factor'!$A$2:$L$52,5,FALSE)*m2k))</f>
        <v>5.6607596085396219</v>
      </c>
      <c r="CJ198" s="125">
        <f>CJ86/293.07*(1/(VLOOKUP($BM198,'Fuel economy adjusted factor'!$A$2:$L$52,5,FALSE)*m2k))</f>
        <v>5.8599516405913432</v>
      </c>
      <c r="CK198" s="125">
        <f>CK86/293.07*(1/(VLOOKUP($BM198,'Fuel economy adjusted factor'!$A$2:$L$52,5,FALSE)*m2k))</f>
        <v>5.8599516405913432</v>
      </c>
      <c r="CL198" s="125">
        <f>CL86/293.07*(1/(VLOOKUP($BM198,'Fuel economy adjusted factor'!$A$2:$L$52,5,FALSE)*m2k))</f>
        <v>5.8599516405913432</v>
      </c>
      <c r="CM198" s="125">
        <f>CM86/293.07*(1/(VLOOKUP($BM198,'Fuel economy adjusted factor'!$A$2:$L$52,5,FALSE)*m2k))</f>
        <v>5.8599516405913432</v>
      </c>
      <c r="CN198" s="125">
        <f>CN86/293.07*(1/(VLOOKUP($BM198,'Fuel economy adjusted factor'!$A$2:$L$52,5,FALSE)*m2k))</f>
        <v>5.8599516405913432</v>
      </c>
      <c r="CO198" s="125">
        <f>CO86/293.07*(1/(VLOOKUP($BM198,'Fuel economy adjusted factor'!$A$2:$L$52,5,FALSE)*m2k))</f>
        <v>6.1119527230009618</v>
      </c>
      <c r="CP198" s="98" cm="1">
        <f t="array" ref="CP198">SUMPRODUCT(INDEX(BN198:CO198,,'TCO Inputs'!$AZ$12-2023+_xlfn.SEQUENCE('TCO Inputs'!$AZ$13))*INDEX('VKT US'!C88:AA88,,_xlfn.SEQUENCE('TCO Inputs'!$AZ$13)))*m2k*CONVERT(0.9072,"g","ton")</f>
        <v>19.767150295551815</v>
      </c>
      <c r="CQ198" s="194"/>
      <c r="CR198" s="123" t="s">
        <v>208</v>
      </c>
      <c r="CS198" s="125">
        <f>CS86/293.07*(1/(VLOOKUP($BM198,'Fuel economy adjusted factor'!$A$2:$L$52,5,FALSE)*m2k))/'TCO Inputs'!$AZ$84</f>
        <v>141.43560750239914</v>
      </c>
      <c r="CT198" s="125">
        <f>CT86/293.07*(1/(VLOOKUP($BM198,'Fuel economy adjusted factor'!$A$2:$L$52,5,FALSE)*m2k))</f>
        <v>5.6292594732384194</v>
      </c>
      <c r="CU198" s="125">
        <f>CU86/293.07*(1/(VLOOKUP($BM198,'Fuel economy adjusted factor'!$A$2:$L$52,5,FALSE)*m2k))</f>
        <v>5.6292594732384194</v>
      </c>
      <c r="CV198" s="125">
        <f>CV86/293.07*(1/(VLOOKUP($BM198,'Fuel economy adjusted factor'!$A$2:$L$52,5,FALSE)*m2k))</f>
        <v>5.6292594732384194</v>
      </c>
      <c r="CW198" s="125">
        <f>CW86/293.07*(1/(VLOOKUP($BM198,'Fuel economy adjusted factor'!$A$2:$L$52,5,FALSE)*m2k))</f>
        <v>5.6292594732384194</v>
      </c>
      <c r="CX198" s="125">
        <f>CX86/293.07*(1/(VLOOKUP($BM198,'Fuel economy adjusted factor'!$A$2:$L$52,5,FALSE)*m2k))</f>
        <v>5.6292594732384194</v>
      </c>
      <c r="CY198" s="125">
        <f>CY86/293.07*(1/(VLOOKUP($BM198,'Fuel economy adjusted factor'!$A$2:$L$52,5,FALSE)*m2k))</f>
        <v>5.6292594732384194</v>
      </c>
      <c r="CZ198" s="125">
        <f>CZ86/293.07*(1/(VLOOKUP($BM198,'Fuel economy adjusted factor'!$A$2:$L$52,5,FALSE)*m2k))</f>
        <v>5.6292594732384194</v>
      </c>
      <c r="DA198" s="125">
        <f>DA86/293.07*(1/(VLOOKUP($BM198,'Fuel economy adjusted factor'!$A$2:$L$52,5,FALSE)*m2k))</f>
        <v>5.6292594732384194</v>
      </c>
      <c r="DB198" s="125">
        <f>DB86/293.07*(1/(VLOOKUP($BM198,'Fuel economy adjusted factor'!$A$2:$L$52,5,FALSE)*m2k))</f>
        <v>5.6292594732384194</v>
      </c>
      <c r="DC198" s="125">
        <f>DC86/293.07*(1/(VLOOKUP($BM198,'Fuel economy adjusted factor'!$A$2:$L$52,5,FALSE)*m2k))</f>
        <v>5.6292594732384194</v>
      </c>
      <c r="DD198" s="125">
        <f>DD86/293.07*(1/(VLOOKUP($BM198,'Fuel economy adjusted factor'!$A$2:$L$52,5,FALSE)*m2k))</f>
        <v>5.6292594732384194</v>
      </c>
      <c r="DE198" s="125">
        <f>DE86/293.07*(1/(VLOOKUP($BM198,'Fuel economy adjusted factor'!$A$2:$L$52,5,FALSE)*m2k))</f>
        <v>5.790466048015162</v>
      </c>
      <c r="DF198" s="125">
        <f>DF86/293.07*(1/(VLOOKUP($BM198,'Fuel economy adjusted factor'!$A$2:$L$52,5,FALSE)*m2k))</f>
        <v>5.790466048015162</v>
      </c>
      <c r="DG198" s="125">
        <f>DG86/293.07*(1/(VLOOKUP($BM198,'Fuel economy adjusted factor'!$A$2:$L$52,5,FALSE)*m2k))</f>
        <v>5.790466048015162</v>
      </c>
      <c r="DH198" s="125">
        <f>DH86/293.07*(1/(VLOOKUP($BM198,'Fuel economy adjusted factor'!$A$2:$L$52,5,FALSE)*m2k))</f>
        <v>5.790466048015162</v>
      </c>
      <c r="DI198" s="125">
        <f>DI86/293.07*(1/(VLOOKUP($BM198,'Fuel economy adjusted factor'!$A$2:$L$52,5,FALSE)*m2k))</f>
        <v>5.790466048015162</v>
      </c>
      <c r="DJ198" s="125">
        <f>DJ86/293.07*(1/(VLOOKUP($BM198,'Fuel economy adjusted factor'!$A$2:$L$52,5,FALSE)*m2k))</f>
        <v>6.0915702825119498</v>
      </c>
      <c r="DK198" s="125">
        <f>DK86/293.07*(1/(VLOOKUP($BM198,'Fuel economy adjusted factor'!$A$2:$L$52,5,FALSE)*m2k))</f>
        <v>6.0915702825119498</v>
      </c>
      <c r="DL198" s="125">
        <f>DL86/293.07*(1/(VLOOKUP($BM198,'Fuel economy adjusted factor'!$A$2:$L$52,5,FALSE)*m2k))</f>
        <v>6.0915702825119498</v>
      </c>
      <c r="DM198" s="125">
        <f>DM86/293.07*(1/(VLOOKUP($BM198,'Fuel economy adjusted factor'!$A$2:$L$52,5,FALSE)*m2k))</f>
        <v>6.0915702825119498</v>
      </c>
      <c r="DN198" s="125">
        <f>DN86/293.07*(1/(VLOOKUP($BM198,'Fuel economy adjusted factor'!$A$2:$L$52,5,FALSE)*m2k))</f>
        <v>6.0915702825119498</v>
      </c>
      <c r="DO198" s="125">
        <f>DO86/293.07*(1/(VLOOKUP($BM198,'Fuel economy adjusted factor'!$A$2:$L$52,5,FALSE)*m2k))</f>
        <v>6.2907623145636711</v>
      </c>
      <c r="DP198" s="125">
        <f>DP86/293.07*(1/(VLOOKUP($BM198,'Fuel economy adjusted factor'!$A$2:$L$52,5,FALSE)*m2k))</f>
        <v>6.2907623145636711</v>
      </c>
      <c r="DQ198" s="125">
        <f>DQ86/293.07*(1/(VLOOKUP($BM198,'Fuel economy adjusted factor'!$A$2:$L$52,5,FALSE)*m2k))</f>
        <v>6.2907623145636711</v>
      </c>
      <c r="DR198" s="125">
        <f>DR86/293.07*(1/(VLOOKUP($BM198,'Fuel economy adjusted factor'!$A$2:$L$52,5,FALSE)*m2k))</f>
        <v>6.2907623145636711</v>
      </c>
      <c r="DS198" s="125">
        <f>DS86/293.07*(1/(VLOOKUP($BM198,'Fuel economy adjusted factor'!$A$2:$L$52,5,FALSE)*m2k))</f>
        <v>6.2907623145636711</v>
      </c>
      <c r="DT198" s="125">
        <f>DT86/293.07*(1/(VLOOKUP($BM198,'Fuel economy adjusted factor'!$A$2:$L$52,5,FALSE)*m2k))</f>
        <v>6.5436898715409733</v>
      </c>
      <c r="DU198" s="98" cm="1">
        <f t="array" ref="DU198">SUMPRODUCT(INDEX(CS198:DT198,,'TCO Inputs'!$AZ$12-2023+_xlfn.SEQUENCE('TCO Inputs'!$AZ$13))*INDEX('VKT US'!C88:AA88,,_xlfn.SEQUENCE('TCO Inputs'!$AZ$13)))*m2k*CONVERT(0.9072,"g","ton")</f>
        <v>5.8100646919321539</v>
      </c>
      <c r="DW198" s="123" t="s">
        <v>208</v>
      </c>
      <c r="DX198" s="125">
        <f>DX86/293.07*(1/(VLOOKUP($BM198,'Fuel economy adjusted factor'!$A$2:$L$52,5,FALSE)*m2k))/'TCO Inputs'!$AZ$84</f>
        <v>186.86169471118865</v>
      </c>
      <c r="DY198" s="125">
        <f>DY86/293.07*(1/(VLOOKUP($BM198,'Fuel economy adjusted factor'!$A$2:$L$52,5,FALSE)*m2k))/'TCO Inputs'!$AZ$84</f>
        <v>186.86169471118865</v>
      </c>
      <c r="DZ198" s="125">
        <f>DZ86/293.07*(1/(VLOOKUP($BM198,'Fuel economy adjusted factor'!$A$2:$L$52,5,FALSE)*m2k))/'TCO Inputs'!$AZ$84</f>
        <v>163.48121867905451</v>
      </c>
      <c r="EA198" s="125">
        <f>EA86/293.07*(1/(VLOOKUP($BM198,'Fuel economy adjusted factor'!$A$2:$L$52,5,FALSE)*m2k))/'TCO Inputs'!$AZ$84</f>
        <v>163.48121867905451</v>
      </c>
      <c r="EB198" s="125">
        <f>EB86/293.07*(1/(VLOOKUP($BM198,'Fuel economy adjusted factor'!$A$2:$L$52,5,FALSE)*m2k))/'TCO Inputs'!$AZ$84</f>
        <v>163.48121867905451</v>
      </c>
      <c r="EC198" s="125">
        <f>EC86/293.07*(1/(VLOOKUP($BM198,'Fuel economy adjusted factor'!$A$2:$L$52,5,FALSE)*m2k))/'TCO Inputs'!$AZ$84</f>
        <v>163.48121867905451</v>
      </c>
      <c r="ED198" s="125">
        <f>ED86/293.07*(1/(VLOOKUP($BM198,'Fuel economy adjusted factor'!$A$2:$L$52,5,FALSE)*m2k))/'TCO Inputs'!$AZ$84</f>
        <v>163.48121867905451</v>
      </c>
      <c r="EE198" s="125">
        <f>EE86/293.07*(1/(VLOOKUP($BM198,'Fuel economy adjusted factor'!$A$2:$L$52,5,FALSE)*m2k))/'TCO Inputs'!$AZ$84</f>
        <v>101.71173503983215</v>
      </c>
      <c r="EF198" s="125">
        <f>EF86/293.07*(1/(VLOOKUP($BM198,'Fuel economy adjusted factor'!$A$2:$L$52,5,FALSE)*m2k))/'TCO Inputs'!$AZ$84</f>
        <v>101.71173503983215</v>
      </c>
      <c r="EG198" s="125">
        <f>EG86/293.07*(1/(VLOOKUP($BM198,'Fuel economy adjusted factor'!$A$2:$L$52,5,FALSE)*m2k))/'TCO Inputs'!$AZ$84</f>
        <v>101.71173503983215</v>
      </c>
      <c r="EH198" s="125">
        <f>EH86/293.07*(1/(VLOOKUP($BM198,'Fuel economy adjusted factor'!$A$2:$L$52,5,FALSE)*m2k))/'TCO Inputs'!$AZ$84</f>
        <v>101.71173503983215</v>
      </c>
      <c r="EI198" s="125">
        <f>EI86/293.07*(1/(VLOOKUP($BM198,'Fuel economy adjusted factor'!$A$2:$L$52,5,FALSE)*m2k))/'TCO Inputs'!$AZ$84</f>
        <v>101.71173503983215</v>
      </c>
      <c r="EJ198" s="125">
        <f>EJ86/293.07*(1/(VLOOKUP($BM198,'Fuel economy adjusted factor'!$A$2:$L$52,5,FALSE)*m2k))/'TCO Inputs'!$AZ$84</f>
        <v>90.564538502978465</v>
      </c>
      <c r="EK198" s="125">
        <f>EK86/293.07*(1/(VLOOKUP($BM198,'Fuel economy adjusted factor'!$A$2:$L$52,5,FALSE)*m2k))/'TCO Inputs'!$AZ$84</f>
        <v>90.564538502978465</v>
      </c>
      <c r="EL198" s="125">
        <f>EL86/293.07*(1/(VLOOKUP($BM198,'Fuel economy adjusted factor'!$A$2:$L$52,5,FALSE)*m2k))/'TCO Inputs'!$AZ$84</f>
        <v>90.564538502978465</v>
      </c>
      <c r="EM198" s="125">
        <f>EM86/293.07*(1/(VLOOKUP($BM198,'Fuel economy adjusted factor'!$A$2:$L$52,5,FALSE)*m2k))/'TCO Inputs'!$AZ$84</f>
        <v>90.564538502978465</v>
      </c>
      <c r="EN198" s="125">
        <f>EN86/293.07*(1/(VLOOKUP($BM198,'Fuel economy adjusted factor'!$A$2:$L$52,5,FALSE)*m2k))/'TCO Inputs'!$AZ$84</f>
        <v>90.564538502978465</v>
      </c>
      <c r="EO198" s="125">
        <f>EO86/293.07*(1/(VLOOKUP($BM198,'Fuel economy adjusted factor'!$A$2:$L$52,5,FALSE)*m2k))/'TCO Inputs'!$AZ$84</f>
        <v>88.000432563460677</v>
      </c>
      <c r="EP198" s="125">
        <f>EP86/293.07*(1/(VLOOKUP($BM198,'Fuel economy adjusted factor'!$A$2:$L$52,5,FALSE)*m2k))/'TCO Inputs'!$AZ$84</f>
        <v>88.000432563460677</v>
      </c>
      <c r="EQ198" s="125">
        <f>EQ86/293.07*(1/(VLOOKUP($BM198,'Fuel economy adjusted factor'!$A$2:$L$52,5,FALSE)*m2k))/'TCO Inputs'!$AZ$84</f>
        <v>88.000432563460677</v>
      </c>
      <c r="ER198" s="125">
        <f>ER86/293.07*(1/(VLOOKUP($BM198,'Fuel economy adjusted factor'!$A$2:$L$52,5,FALSE)*m2k))/'TCO Inputs'!$AZ$84</f>
        <v>88.000432563460677</v>
      </c>
      <c r="ES198" s="125">
        <f>ES86/293.07*(1/(VLOOKUP($BM198,'Fuel economy adjusted factor'!$A$2:$L$52,5,FALSE)*m2k))/'TCO Inputs'!$AZ$84</f>
        <v>88.000432563460677</v>
      </c>
      <c r="ET198" s="125">
        <f>ET86/293.07*(1/(VLOOKUP($BM198,'Fuel economy adjusted factor'!$A$2:$L$52,5,FALSE)*m2k))/'TCO Inputs'!$AZ$84</f>
        <v>84.886026996161647</v>
      </c>
      <c r="EU198" s="125">
        <f>EU86/293.07*(1/(VLOOKUP($BM198,'Fuel economy adjusted factor'!$A$2:$L$52,5,FALSE)*m2k))/'TCO Inputs'!$AZ$84</f>
        <v>84.886026996161647</v>
      </c>
      <c r="EV198" s="125">
        <f>EV86/293.07*(1/(VLOOKUP($BM198,'Fuel economy adjusted factor'!$A$2:$L$52,5,FALSE)*m2k))/'TCO Inputs'!$AZ$84</f>
        <v>84.886026996161647</v>
      </c>
      <c r="EW198" s="125">
        <f>EW86/293.07*(1/(VLOOKUP($BM198,'Fuel economy adjusted factor'!$A$2:$L$52,5,FALSE)*m2k))/'TCO Inputs'!$AZ$84</f>
        <v>84.886026996161647</v>
      </c>
      <c r="EX198" s="125">
        <f>EX86/293.07*(1/(VLOOKUP($BM198,'Fuel economy adjusted factor'!$A$2:$L$52,5,FALSE)*m2k))/'TCO Inputs'!$AZ$84</f>
        <v>84.886026996161647</v>
      </c>
      <c r="EY198" s="125">
        <f>EY86/293.07*(1/(VLOOKUP($BM198,'Fuel economy adjusted factor'!$A$2:$L$52,5,FALSE)*m2k))/'TCO Inputs'!$AZ$84</f>
        <v>79.922773039122859</v>
      </c>
      <c r="EZ198" s="98" cm="1">
        <f t="array" ref="EZ198">SUMPRODUCT(INDEX(DX198:EY198,,'TCO Inputs'!$AZ$12-2023+_xlfn.SEQUENCE('TCO Inputs'!$AZ$13))*INDEX('VKT US'!C88:AA88,,_xlfn.SEQUENCE('TCO Inputs'!$AZ$13)))*m2k*CONVERT(0.9072,"g","ton")</f>
        <v>46.433367766878021</v>
      </c>
      <c r="FB198" s="123" t="s">
        <v>208</v>
      </c>
      <c r="FC198" s="125">
        <f>FC86/293.07*(1/(VLOOKUP($BM198,'Fuel economy adjusted factor'!$A$2:$L$52,5,FALSE)*m2k))/'TCO Inputs'!$AZ$84</f>
        <v>201.99955329698824</v>
      </c>
      <c r="FD198" s="125">
        <f>FD86/293.07*(1/(VLOOKUP($BM198,'Fuel economy adjusted factor'!$A$2:$L$52,5,FALSE)*m2k))/'TCO Inputs'!$AZ$84</f>
        <v>201.99955329698824</v>
      </c>
      <c r="FE198" s="125">
        <f>FE86/293.07*(1/(VLOOKUP($BM198,'Fuel economy adjusted factor'!$A$2:$L$52,5,FALSE)*m2k))/'TCO Inputs'!$AZ$84</f>
        <v>176.11039718712718</v>
      </c>
      <c r="FF198" s="125">
        <f>FF86/293.07*(1/(VLOOKUP($BM198,'Fuel economy adjusted factor'!$A$2:$L$52,5,FALSE)*m2k))/'TCO Inputs'!$AZ$84</f>
        <v>176.11039718712718</v>
      </c>
      <c r="FG198" s="125">
        <f>FG86/293.07*(1/(VLOOKUP($BM198,'Fuel economy adjusted factor'!$A$2:$L$52,5,FALSE)*m2k))/'TCO Inputs'!$AZ$84</f>
        <v>176.11039718712718</v>
      </c>
      <c r="FH198" s="125">
        <f>FH86/293.07*(1/(VLOOKUP($BM198,'Fuel economy adjusted factor'!$A$2:$L$52,5,FALSE)*m2k))/'TCO Inputs'!$AZ$84</f>
        <v>176.11039718712718</v>
      </c>
      <c r="FI198" s="125">
        <f>FI86/293.07*(1/(VLOOKUP($BM198,'Fuel economy adjusted factor'!$A$2:$L$52,5,FALSE)*m2k))/'TCO Inputs'!$AZ$84</f>
        <v>176.11039718712718</v>
      </c>
      <c r="FJ198" s="125">
        <f>FJ86/293.07*(1/(VLOOKUP($BM198,'Fuel economy adjusted factor'!$A$2:$L$52,5,FALSE)*m2k))/'TCO Inputs'!$AZ$84</f>
        <v>111.3914659026026</v>
      </c>
      <c r="FK198" s="125">
        <f>FK86/293.07*(1/(VLOOKUP($BM198,'Fuel economy adjusted factor'!$A$2:$L$52,5,FALSE)*m2k))/'TCO Inputs'!$AZ$84</f>
        <v>111.3914659026026</v>
      </c>
      <c r="FL198" s="125">
        <f>FL86/293.07*(1/(VLOOKUP($BM198,'Fuel economy adjusted factor'!$A$2:$L$52,5,FALSE)*m2k))/'TCO Inputs'!$AZ$84</f>
        <v>111.3914659026026</v>
      </c>
      <c r="FM198" s="125">
        <f>FM86/293.07*(1/(VLOOKUP($BM198,'Fuel economy adjusted factor'!$A$2:$L$52,5,FALSE)*m2k))/'TCO Inputs'!$AZ$84</f>
        <v>111.3914659026026</v>
      </c>
      <c r="FN198" s="125">
        <f>FN86/293.07*(1/(VLOOKUP($BM198,'Fuel economy adjusted factor'!$A$2:$L$52,5,FALSE)*m2k))/'TCO Inputs'!$AZ$84</f>
        <v>111.3914659026026</v>
      </c>
      <c r="FO198" s="125">
        <f>FO86/293.07*(1/(VLOOKUP($BM198,'Fuel economy adjusted factor'!$A$2:$L$52,5,FALSE)*m2k))/'TCO Inputs'!$AZ$84</f>
        <v>98.66067331457991</v>
      </c>
      <c r="FP198" s="125">
        <f>FP86/293.07*(1/(VLOOKUP($BM198,'Fuel economy adjusted factor'!$A$2:$L$52,5,FALSE)*m2k))/'TCO Inputs'!$AZ$84</f>
        <v>98.66067331457991</v>
      </c>
      <c r="FQ198" s="125">
        <f>FQ86/293.07*(1/(VLOOKUP($BM198,'Fuel economy adjusted factor'!$A$2:$L$52,5,FALSE)*m2k))/'TCO Inputs'!$AZ$84</f>
        <v>98.66067331457991</v>
      </c>
      <c r="FR198" s="125">
        <f>FR86/293.07*(1/(VLOOKUP($BM198,'Fuel economy adjusted factor'!$A$2:$L$52,5,FALSE)*m2k))/'TCO Inputs'!$AZ$84</f>
        <v>98.66067331457991</v>
      </c>
      <c r="FS198" s="125">
        <f>FS86/293.07*(1/(VLOOKUP($BM198,'Fuel economy adjusted factor'!$A$2:$L$52,5,FALSE)*m2k))/'TCO Inputs'!$AZ$84</f>
        <v>98.66067331457991</v>
      </c>
      <c r="FT198" s="125">
        <f>FT86/293.07*(1/(VLOOKUP($BM198,'Fuel economy adjusted factor'!$A$2:$L$52,5,FALSE)*m2k))/'TCO Inputs'!$AZ$84</f>
        <v>96.408007931792014</v>
      </c>
      <c r="FU198" s="125">
        <f>FU86/293.07*(1/(VLOOKUP($BM198,'Fuel economy adjusted factor'!$A$2:$L$52,5,FALSE)*m2k))/'TCO Inputs'!$AZ$84</f>
        <v>96.408007931792014</v>
      </c>
      <c r="FV198" s="125">
        <f>FV86/293.07*(1/(VLOOKUP($BM198,'Fuel economy adjusted factor'!$A$2:$L$52,5,FALSE)*m2k))/'TCO Inputs'!$AZ$84</f>
        <v>96.408007931792014</v>
      </c>
      <c r="FW198" s="125">
        <f>FW86/293.07*(1/(VLOOKUP($BM198,'Fuel economy adjusted factor'!$A$2:$L$52,5,FALSE)*m2k))/'TCO Inputs'!$AZ$84</f>
        <v>96.408007931792014</v>
      </c>
      <c r="FX198" s="125">
        <f>FX86/293.07*(1/(VLOOKUP($BM198,'Fuel economy adjusted factor'!$A$2:$L$52,5,FALSE)*m2k))/'TCO Inputs'!$AZ$84</f>
        <v>96.408007931792014</v>
      </c>
      <c r="FY198" s="125">
        <f>FY86/293.07*(1/(VLOOKUP($BM198,'Fuel economy adjusted factor'!$A$2:$L$52,5,FALSE)*m2k))/'TCO Inputs'!$AZ$84</f>
        <v>93.288323710989118</v>
      </c>
      <c r="FZ198" s="125">
        <f>FZ86/293.07*(1/(VLOOKUP($BM198,'Fuel economy adjusted factor'!$A$2:$L$52,5,FALSE)*m2k))/'TCO Inputs'!$AZ$84</f>
        <v>93.288323710989118</v>
      </c>
      <c r="GA198" s="125">
        <f>GA86/293.07*(1/(VLOOKUP($BM198,'Fuel economy adjusted factor'!$A$2:$L$52,5,FALSE)*m2k))/'TCO Inputs'!$AZ$84</f>
        <v>93.288323710989118</v>
      </c>
      <c r="GB198" s="125">
        <f>GB86/293.07*(1/(VLOOKUP($BM198,'Fuel economy adjusted factor'!$A$2:$L$52,5,FALSE)*m2k))/'TCO Inputs'!$AZ$84</f>
        <v>93.288323710989118</v>
      </c>
      <c r="GC198" s="125">
        <f>GC86/293.07*(1/(VLOOKUP($BM198,'Fuel economy adjusted factor'!$A$2:$L$52,5,FALSE)*m2k))/'TCO Inputs'!$AZ$84</f>
        <v>93.288323710989118</v>
      </c>
      <c r="GD198" s="125">
        <f>GD86/293.07*(1/(VLOOKUP($BM198,'Fuel economy adjusted factor'!$A$2:$L$52,5,FALSE)*m2k))/'TCO Inputs'!$AZ$84</f>
        <v>88.156152841825616</v>
      </c>
      <c r="GE198" s="98" cm="1">
        <f t="array" ref="GE198">SUMPRODUCT(INDEX(FC198:GD198,,'TCO Inputs'!$AZ$12-2023+_xlfn.SEQUENCE('TCO Inputs'!$AZ$13))*INDEX('VKT US'!C88:AA88,,_xlfn.SEQUENCE('TCO Inputs'!$AZ$13)))*m2k*CONVERT(0.9072,"g","ton")</f>
        <v>50.306380221147315</v>
      </c>
      <c r="GH198" s="123" t="s">
        <v>208</v>
      </c>
      <c r="GI198" s="125">
        <f>GI86/293.07*(1/(VLOOKUP($GH198,'Fuel economy adjusted factor'!$A$2:$L$52,5,FALSE)*m2k))/'TCO Inputs'!$AZ$84</f>
        <v>355.60273847810748</v>
      </c>
      <c r="GJ198" s="125">
        <f>GJ86/293.07*(1/(VLOOKUP($GH198,'Fuel economy adjusted factor'!$A$2:$L$52,5,FALSE)*m2k))/'TCO Inputs'!$AZ$84</f>
        <v>355.60273847810748</v>
      </c>
      <c r="GK198" s="125">
        <f>GK86/293.07*(1/(VLOOKUP($GH198,'Fuel economy adjusted factor'!$A$2:$L$52,5,FALSE)*m2k))/'TCO Inputs'!$AZ$84</f>
        <v>355.60273847810748</v>
      </c>
      <c r="GL198" s="125">
        <f>GL86/293.07*(1/(VLOOKUP($GH198,'Fuel economy adjusted factor'!$A$2:$L$52,5,FALSE)*m2k))/'TCO Inputs'!$AZ$84</f>
        <v>355.60273847810748</v>
      </c>
      <c r="GM198" s="125">
        <f>GM86/293.07*(1/(VLOOKUP($GH198,'Fuel economy adjusted factor'!$A$2:$L$52,5,FALSE)*m2k))/'TCO Inputs'!$AZ$84</f>
        <v>355.60273847810748</v>
      </c>
      <c r="GN198" s="125">
        <f>GN86/293.07*(1/(VLOOKUP($GH198,'Fuel economy adjusted factor'!$A$2:$L$52,5,FALSE)*m2k))/'TCO Inputs'!$AZ$84</f>
        <v>355.60273847810748</v>
      </c>
      <c r="GO198" s="125">
        <f>GO86/293.07*(1/(VLOOKUP($GH198,'Fuel economy adjusted factor'!$A$2:$L$52,5,FALSE)*m2k))/'TCO Inputs'!$AZ$84</f>
        <v>355.60273847810748</v>
      </c>
      <c r="GP198" s="125">
        <f>GP86/293.07*(1/(VLOOKUP($GH198,'Fuel economy adjusted factor'!$A$2:$L$52,5,FALSE)*m2k))/'TCO Inputs'!$AZ$84</f>
        <v>355.60273847810748</v>
      </c>
      <c r="GQ198" s="125">
        <f>GQ86/293.07*(1/(VLOOKUP($GH198,'Fuel economy adjusted factor'!$A$2:$L$52,5,FALSE)*m2k))/'TCO Inputs'!$AZ$84</f>
        <v>355.60273847810748</v>
      </c>
      <c r="GR198" s="125">
        <f>GR86/293.07*(1/(VLOOKUP($GH198,'Fuel economy adjusted factor'!$A$2:$L$52,5,FALSE)*m2k))/'TCO Inputs'!$AZ$84</f>
        <v>355.60273847810748</v>
      </c>
      <c r="GS198" s="125">
        <f>GS86/293.07*(1/(VLOOKUP($GH198,'Fuel economy adjusted factor'!$A$2:$L$52,5,FALSE)*m2k))/'TCO Inputs'!$AZ$84</f>
        <v>355.60273847810748</v>
      </c>
      <c r="GT198" s="125">
        <f>GT86/293.07*(1/(VLOOKUP($GH198,'Fuel economy adjusted factor'!$A$2:$L$52,5,FALSE)*m2k))/'TCO Inputs'!$AZ$84</f>
        <v>355.60273847810748</v>
      </c>
      <c r="GU198" s="125">
        <f>GU86/293.07*(1/(VLOOKUP($GH198,'Fuel economy adjusted factor'!$A$2:$L$52,5,FALSE)*m2k))/'TCO Inputs'!$AZ$84</f>
        <v>355.60273847810748</v>
      </c>
      <c r="GV198" s="125">
        <f>GV86/293.07*(1/(VLOOKUP($GH198,'Fuel economy adjusted factor'!$A$2:$L$52,5,FALSE)*m2k))/'TCO Inputs'!$AZ$84</f>
        <v>355.60273847810748</v>
      </c>
      <c r="GW198" s="125">
        <f>GW86/293.07*(1/(VLOOKUP($GH198,'Fuel economy adjusted factor'!$A$2:$L$52,5,FALSE)*m2k))/'TCO Inputs'!$AZ$84</f>
        <v>355.60273847810748</v>
      </c>
      <c r="GX198" s="125">
        <f>GX86/293.07*(1/(VLOOKUP($GH198,'Fuel economy adjusted factor'!$A$2:$L$52,5,FALSE)*m2k))/'TCO Inputs'!$AZ$84</f>
        <v>355.60273847810748</v>
      </c>
      <c r="GY198" s="125">
        <f>GY86/293.07*(1/(VLOOKUP($GH198,'Fuel economy adjusted factor'!$A$2:$L$52,5,FALSE)*m2k))/'TCO Inputs'!$AZ$84</f>
        <v>355.60273847810748</v>
      </c>
      <c r="GZ198" s="125">
        <f>GZ86/293.07*(1/(VLOOKUP($GH198,'Fuel economy adjusted factor'!$A$2:$L$52,5,FALSE)*m2k))/'TCO Inputs'!$AZ$84</f>
        <v>355.60273847810748</v>
      </c>
      <c r="HA198" s="125">
        <f>HA86/293.07*(1/(VLOOKUP($GH198,'Fuel economy adjusted factor'!$A$2:$L$52,5,FALSE)*m2k))/'TCO Inputs'!$AZ$84</f>
        <v>355.60273847810748</v>
      </c>
      <c r="HB198" s="125">
        <f>HB86/293.07*(1/(VLOOKUP($GH198,'Fuel economy adjusted factor'!$A$2:$L$52,5,FALSE)*m2k))/'TCO Inputs'!$AZ$84</f>
        <v>355.60273847810748</v>
      </c>
      <c r="HC198" s="125">
        <f>HC86/293.07*(1/(VLOOKUP($GH198,'Fuel economy adjusted factor'!$A$2:$L$52,5,FALSE)*m2k))/'TCO Inputs'!$AZ$84</f>
        <v>355.60273847810748</v>
      </c>
      <c r="HD198" s="125">
        <f>HD86/293.07*(1/(VLOOKUP($GH198,'Fuel economy adjusted factor'!$A$2:$L$52,5,FALSE)*m2k))/'TCO Inputs'!$AZ$84</f>
        <v>355.60273847810748</v>
      </c>
      <c r="HE198" s="125">
        <f>HE86/293.07*(1/(VLOOKUP($GH198,'Fuel economy adjusted factor'!$A$2:$L$52,5,FALSE)*m2k))/'TCO Inputs'!$AZ$84</f>
        <v>355.60273847810748</v>
      </c>
      <c r="HF198" s="125">
        <f>HF86/293.07*(1/(VLOOKUP($GH198,'Fuel economy adjusted factor'!$A$2:$L$52,5,FALSE)*m2k))/'TCO Inputs'!$AZ$84</f>
        <v>355.60273847810748</v>
      </c>
      <c r="HG198" s="125">
        <f>HG86/293.07*(1/(VLOOKUP($GH198,'Fuel economy adjusted factor'!$A$2:$L$52,5,FALSE)*m2k))/'TCO Inputs'!$AZ$84</f>
        <v>355.60273847810748</v>
      </c>
      <c r="HH198" s="125">
        <f>HH86/293.07*(1/(VLOOKUP($GH198,'Fuel economy adjusted factor'!$A$2:$L$52,5,FALSE)*m2k))/'TCO Inputs'!$AZ$84</f>
        <v>355.60273847810748</v>
      </c>
      <c r="HI198" s="125">
        <f>HI86/293.07*(1/(VLOOKUP($GH198,'Fuel economy adjusted factor'!$A$2:$L$52,5,FALSE)*m2k))/'TCO Inputs'!$AZ$84</f>
        <v>355.60273847810748</v>
      </c>
      <c r="HJ198" s="125">
        <f>HJ86/293.07*(1/(VLOOKUP($GH198,'Fuel economy adjusted factor'!$A$2:$L$52,5,FALSE)*m2k))/'TCO Inputs'!$AZ$84</f>
        <v>355.60273847810748</v>
      </c>
      <c r="HK198" s="98" cm="1">
        <f t="array" ref="HK198">SUMPRODUCT(INDEX(GI198:HJ198,,'TCO Inputs'!$AZ$12-2023+_xlfn.SEQUENCE('TCO Inputs'!$AZ$13))*INDEX('VKT US'!C88:AA88,,_xlfn.SEQUENCE('TCO Inputs'!$AZ$13)))*m2k*CONVERT(0.9072,"g","ton")</f>
        <v>119.37794317537467</v>
      </c>
    </row>
    <row r="199" spans="26:219" x14ac:dyDescent="0.25">
      <c r="Z199" s="123" t="s">
        <v>211</v>
      </c>
      <c r="AA199" s="125">
        <f>AA87/293.07*(1/(VLOOKUP($Z199,'Fuel economy adjusted factor'!$A$2:$L$52,5,FALSE)*m2k))/'TCO Inputs'!$AZ$84</f>
        <v>128.52697188660164</v>
      </c>
      <c r="AB199" s="125">
        <f>AB87/293.07*(1/(VLOOKUP($Z199,'Fuel economy adjusted factor'!$A$2:$L$52,5,FALSE)*m2k))/'TCO Inputs'!$AZ$84</f>
        <v>128.52697188660164</v>
      </c>
      <c r="AC199" s="125">
        <f>AC87/293.07*(1/(VLOOKUP($Z199,'Fuel economy adjusted factor'!$A$2:$L$52,5,FALSE)*m2k))/'TCO Inputs'!$AZ$84</f>
        <v>112.89109686866951</v>
      </c>
      <c r="AD199" s="125">
        <f>AD87/293.07*(1/(VLOOKUP($Z199,'Fuel economy adjusted factor'!$A$2:$L$52,5,FALSE)*m2k))/'TCO Inputs'!$AZ$84</f>
        <v>112.89109686866951</v>
      </c>
      <c r="AE199" s="125">
        <f>AE87/293.07*(1/(VLOOKUP($Z199,'Fuel economy adjusted factor'!$A$2:$L$52,5,FALSE)*m2k))/'TCO Inputs'!$AZ$84</f>
        <v>112.89109686866951</v>
      </c>
      <c r="AF199" s="125">
        <f>AF87/293.07*(1/(VLOOKUP($Z199,'Fuel economy adjusted factor'!$A$2:$L$52,5,FALSE)*m2k))/'TCO Inputs'!$AZ$84</f>
        <v>112.89109686866951</v>
      </c>
      <c r="AG199" s="125">
        <f>AG87/293.07*(1/(VLOOKUP($Z199,'Fuel economy adjusted factor'!$A$2:$L$52,5,FALSE)*m2k))/'TCO Inputs'!$AZ$84</f>
        <v>112.89109686866951</v>
      </c>
      <c r="AH199" s="125">
        <f>AH87/293.07*(1/(VLOOKUP($Z199,'Fuel economy adjusted factor'!$A$2:$L$52,5,FALSE)*m2k))/'TCO Inputs'!$AZ$84</f>
        <v>42.681204256791723</v>
      </c>
      <c r="AI199" s="125">
        <f>AI87/293.07*(1/(VLOOKUP($Z199,'Fuel economy adjusted factor'!$A$2:$L$52,5,FALSE)*m2k))/'TCO Inputs'!$AZ$84</f>
        <v>42.681204256791723</v>
      </c>
      <c r="AJ199" s="125">
        <f>AJ87/293.07*(1/(VLOOKUP($Z199,'Fuel economy adjusted factor'!$A$2:$L$52,5,FALSE)*m2k))/'TCO Inputs'!$AZ$84</f>
        <v>42.681204256791723</v>
      </c>
      <c r="AK199" s="125">
        <f>AK87/293.07*(1/(VLOOKUP($Z199,'Fuel economy adjusted factor'!$A$2:$L$52,5,FALSE)*m2k))/'TCO Inputs'!$AZ$84</f>
        <v>42.681204256791723</v>
      </c>
      <c r="AL199" s="125">
        <f>AL87/293.07*(1/(VLOOKUP($Z199,'Fuel economy adjusted factor'!$A$2:$L$52,5,FALSE)*m2k))/'TCO Inputs'!$AZ$84</f>
        <v>42.681204256791723</v>
      </c>
      <c r="AM199" s="125">
        <f>AM87/293.07*(1/(VLOOKUP($Z199,'Fuel economy adjusted factor'!$A$2:$L$52,5,FALSE)*m2k))/'TCO Inputs'!$AZ$84</f>
        <v>35.873566539938331</v>
      </c>
      <c r="AN199" s="125">
        <f>AN87/293.07*(1/(VLOOKUP($Z199,'Fuel economy adjusted factor'!$A$2:$L$52,5,FALSE)*m2k))/'TCO Inputs'!$AZ$84</f>
        <v>35.873566539938331</v>
      </c>
      <c r="AO199" s="125">
        <f>AO87/293.07*(1/(VLOOKUP($Z199,'Fuel economy adjusted factor'!$A$2:$L$52,5,FALSE)*m2k))/'TCO Inputs'!$AZ$84</f>
        <v>35.873566539938331</v>
      </c>
      <c r="AP199" s="125">
        <f>AP87/293.07*(1/(VLOOKUP($Z199,'Fuel economy adjusted factor'!$A$2:$L$52,5,FALSE)*m2k))/'TCO Inputs'!$AZ$84</f>
        <v>35.873566539938331</v>
      </c>
      <c r="AQ199" s="125">
        <f>AQ87/293.07*(1/(VLOOKUP($Z199,'Fuel economy adjusted factor'!$A$2:$L$52,5,FALSE)*m2k))/'TCO Inputs'!$AZ$84</f>
        <v>35.873566539938331</v>
      </c>
      <c r="AR199" s="125">
        <f>AR87/293.07*(1/(VLOOKUP($Z199,'Fuel economy adjusted factor'!$A$2:$L$52,5,FALSE)*m2k))/'TCO Inputs'!$AZ$84</f>
        <v>35.873566539938331</v>
      </c>
      <c r="AS199" s="125">
        <f>AS87/293.07*(1/(VLOOKUP($Z199,'Fuel economy adjusted factor'!$A$2:$L$52,5,FALSE)*m2k))/'TCO Inputs'!$AZ$84</f>
        <v>35.873566539938331</v>
      </c>
      <c r="AT199" s="125">
        <f>AT87/293.07*(1/(VLOOKUP($Z199,'Fuel economy adjusted factor'!$A$2:$L$52,5,FALSE)*m2k))/'TCO Inputs'!$AZ$84</f>
        <v>35.873566539938331</v>
      </c>
      <c r="AU199" s="125">
        <f>AU87/293.07*(1/(VLOOKUP($Z199,'Fuel economy adjusted factor'!$A$2:$L$52,5,FALSE)*m2k))/'TCO Inputs'!$AZ$84</f>
        <v>35.873566539938331</v>
      </c>
      <c r="AV199" s="125">
        <f>AV87/293.07*(1/(VLOOKUP($Z199,'Fuel economy adjusted factor'!$A$2:$L$52,5,FALSE)*m2k))/'TCO Inputs'!$AZ$84</f>
        <v>35.873566539938331</v>
      </c>
      <c r="AW199" s="125">
        <f>AW87/293.07*(1/(VLOOKUP($Z199,'Fuel economy adjusted factor'!$A$2:$L$52,5,FALSE)*m2k))/'TCO Inputs'!$AZ$84</f>
        <v>36.042940328616055</v>
      </c>
      <c r="AX199" s="125">
        <f>AX87/293.07*(1/(VLOOKUP($Z199,'Fuel economy adjusted factor'!$A$2:$L$52,5,FALSE)*m2k))/'TCO Inputs'!$AZ$84</f>
        <v>36.042940328616055</v>
      </c>
      <c r="AY199" s="125">
        <f>AY87/293.07*(1/(VLOOKUP($Z199,'Fuel economy adjusted factor'!$A$2:$L$52,5,FALSE)*m2k))/'TCO Inputs'!$AZ$84</f>
        <v>36.042940328616055</v>
      </c>
      <c r="AZ199" s="125">
        <f>AZ87/293.07*(1/(VLOOKUP($Z199,'Fuel economy adjusted factor'!$A$2:$L$52,5,FALSE)*m2k))/'TCO Inputs'!$AZ$84</f>
        <v>36.042940328616055</v>
      </c>
      <c r="BA199" s="125">
        <f>BA87/293.07*(1/(VLOOKUP($Z199,'Fuel economy adjusted factor'!$A$2:$L$52,5,FALSE)*m2k))/'TCO Inputs'!$AZ$84</f>
        <v>36.042940328616055</v>
      </c>
      <c r="BB199" s="125">
        <f>BB87/293.07*(1/(VLOOKUP($Z199,'Fuel economy adjusted factor'!$A$2:$L$52,5,FALSE)*m2k))/'TCO Inputs'!$AZ$84</f>
        <v>36.255895676953529</v>
      </c>
      <c r="BC199" s="98" cm="1">
        <f t="array" ref="BC199">SUMPRODUCT(INDEX(AA199:BB199,,'TCO Inputs'!$AZ$12-2023+_xlfn.SEQUENCE('TCO Inputs'!$AZ$13))*INDEX('VKT US'!C89:AA89,,_xlfn.SEQUENCE('TCO Inputs'!$AZ$13)))*m2k*CONVERT(0.9072,"g","ton")</f>
        <v>26.09315294700059</v>
      </c>
      <c r="BM199" s="123" t="s">
        <v>211</v>
      </c>
      <c r="BN199" s="125">
        <f>BN87/293.07*(1/(VLOOKUP($BM199,'Fuel economy adjusted factor'!$A$2:$L$52,5,FALSE)*m2k))</f>
        <v>109.24792610361141</v>
      </c>
      <c r="BO199" s="125">
        <f>BO87/293.07*(1/(VLOOKUP($BM199,'Fuel economy adjusted factor'!$A$2:$L$52,5,FALSE)*m2k))</f>
        <v>109.24792610361141</v>
      </c>
      <c r="BP199" s="125">
        <f>BP87/293.07*(1/(VLOOKUP($BM199,'Fuel economy adjusted factor'!$A$2:$L$52,5,FALSE)*m2k))</f>
        <v>86.117112363191538</v>
      </c>
      <c r="BQ199" s="125">
        <f>BQ87/293.07*(1/(VLOOKUP($BM199,'Fuel economy adjusted factor'!$A$2:$L$52,5,FALSE)*m2k))</f>
        <v>86.117112363191538</v>
      </c>
      <c r="BR199" s="125">
        <f>BR87/293.07*(1/(VLOOKUP($BM199,'Fuel economy adjusted factor'!$A$2:$L$52,5,FALSE)*m2k))</f>
        <v>86.117112363191538</v>
      </c>
      <c r="BS199" s="125">
        <f>BS87/293.07*(1/(VLOOKUP($BM199,'Fuel economy adjusted factor'!$A$2:$L$52,5,FALSE)*m2k))</f>
        <v>86.117112363191538</v>
      </c>
      <c r="BT199" s="125">
        <f>BT87/293.07*(1/(VLOOKUP($BM199,'Fuel economy adjusted factor'!$A$2:$L$52,5,FALSE)*m2k))</f>
        <v>86.117112363191538</v>
      </c>
      <c r="BU199" s="125">
        <f>BU87/293.07*(1/(VLOOKUP($BM199,'Fuel economy adjusted factor'!$A$2:$L$52,5,FALSE)*m2k))</f>
        <v>4.8645934990225621</v>
      </c>
      <c r="BV199" s="125">
        <f>BV87/293.07*(1/(VLOOKUP($BM199,'Fuel economy adjusted factor'!$A$2:$L$52,5,FALSE)*m2k))</f>
        <v>4.8645934990225621</v>
      </c>
      <c r="BW199" s="125">
        <f>BW87/293.07*(1/(VLOOKUP($BM199,'Fuel economy adjusted factor'!$A$2:$L$52,5,FALSE)*m2k))</f>
        <v>4.8645934990225621</v>
      </c>
      <c r="BX199" s="125">
        <f>BX87/293.07*(1/(VLOOKUP($BM199,'Fuel economy adjusted factor'!$A$2:$L$52,5,FALSE)*m2k))</f>
        <v>4.8645934990225621</v>
      </c>
      <c r="BY199" s="125">
        <f>BY87/293.07*(1/(VLOOKUP($BM199,'Fuel economy adjusted factor'!$A$2:$L$52,5,FALSE)*m2k))</f>
        <v>4.8645934990225621</v>
      </c>
      <c r="BZ199" s="125">
        <f>BZ87/293.07*(1/(VLOOKUP($BM199,'Fuel economy adjusted factor'!$A$2:$L$52,5,FALSE)*m2k))</f>
        <v>5.0733887893925163</v>
      </c>
      <c r="CA199" s="125">
        <f>CA87/293.07*(1/(VLOOKUP($BM199,'Fuel economy adjusted factor'!$A$2:$L$52,5,FALSE)*m2k))</f>
        <v>5.0733887893925163</v>
      </c>
      <c r="CB199" s="125">
        <f>CB87/293.07*(1/(VLOOKUP($BM199,'Fuel economy adjusted factor'!$A$2:$L$52,5,FALSE)*m2k))</f>
        <v>5.0733887893925163</v>
      </c>
      <c r="CC199" s="125">
        <f>CC87/293.07*(1/(VLOOKUP($BM199,'Fuel economy adjusted factor'!$A$2:$L$52,5,FALSE)*m2k))</f>
        <v>5.0733887893925163</v>
      </c>
      <c r="CD199" s="125">
        <f>CD87/293.07*(1/(VLOOKUP($BM199,'Fuel economy adjusted factor'!$A$2:$L$52,5,FALSE)*m2k))</f>
        <v>5.0733887893925163</v>
      </c>
      <c r="CE199" s="125">
        <f>CE87/293.07*(1/(VLOOKUP($BM199,'Fuel economy adjusted factor'!$A$2:$L$52,5,FALSE)*m2k))</f>
        <v>5.1441097748404045</v>
      </c>
      <c r="CF199" s="125">
        <f>CF87/293.07*(1/(VLOOKUP($BM199,'Fuel economy adjusted factor'!$A$2:$L$52,5,FALSE)*m2k))</f>
        <v>5.1441097748404045</v>
      </c>
      <c r="CG199" s="125">
        <f>CG87/293.07*(1/(VLOOKUP($BM199,'Fuel economy adjusted factor'!$A$2:$L$52,5,FALSE)*m2k))</f>
        <v>5.1441097748404045</v>
      </c>
      <c r="CH199" s="125">
        <f>CH87/293.07*(1/(VLOOKUP($BM199,'Fuel economy adjusted factor'!$A$2:$L$52,5,FALSE)*m2k))</f>
        <v>5.1441097748404045</v>
      </c>
      <c r="CI199" s="125">
        <f>CI87/293.07*(1/(VLOOKUP($BM199,'Fuel economy adjusted factor'!$A$2:$L$52,5,FALSE)*m2k))</f>
        <v>5.1441097748404045</v>
      </c>
      <c r="CJ199" s="125">
        <f>CJ87/293.07*(1/(VLOOKUP($BM199,'Fuel economy adjusted factor'!$A$2:$L$52,5,FALSE)*m2k))</f>
        <v>5.3251218209272588</v>
      </c>
      <c r="CK199" s="125">
        <f>CK87/293.07*(1/(VLOOKUP($BM199,'Fuel economy adjusted factor'!$A$2:$L$52,5,FALSE)*m2k))</f>
        <v>5.3251218209272588</v>
      </c>
      <c r="CL199" s="125">
        <f>CL87/293.07*(1/(VLOOKUP($BM199,'Fuel economy adjusted factor'!$A$2:$L$52,5,FALSE)*m2k))</f>
        <v>5.3251218209272588</v>
      </c>
      <c r="CM199" s="125">
        <f>CM87/293.07*(1/(VLOOKUP($BM199,'Fuel economy adjusted factor'!$A$2:$L$52,5,FALSE)*m2k))</f>
        <v>5.3251218209272588</v>
      </c>
      <c r="CN199" s="125">
        <f>CN87/293.07*(1/(VLOOKUP($BM199,'Fuel economy adjusted factor'!$A$2:$L$52,5,FALSE)*m2k))</f>
        <v>5.3251218209272588</v>
      </c>
      <c r="CO199" s="125">
        <f>CO87/293.07*(1/(VLOOKUP($BM199,'Fuel economy adjusted factor'!$A$2:$L$52,5,FALSE)*m2k))</f>
        <v>5.5541231071394668</v>
      </c>
      <c r="CP199" s="98" cm="1">
        <f t="array" ref="CP199">SUMPRODUCT(INDEX(BN199:CO199,,'TCO Inputs'!$AZ$12-2023+_xlfn.SEQUENCE('TCO Inputs'!$AZ$13))*INDEX('VKT US'!C89:AA89,,_xlfn.SEQUENCE('TCO Inputs'!$AZ$13)))*m2k*CONVERT(0.9072,"g","ton")</f>
        <v>16.793396341278953</v>
      </c>
      <c r="CQ199" s="194"/>
      <c r="CR199" s="123" t="s">
        <v>211</v>
      </c>
      <c r="CS199" s="125">
        <f>CS87/293.07*(1/(VLOOKUP($BM199,'Fuel economy adjusted factor'!$A$2:$L$52,5,FALSE)*m2k))/'TCO Inputs'!$AZ$84</f>
        <v>128.52697188660164</v>
      </c>
      <c r="CT199" s="125">
        <f>CT87/293.07*(1/(VLOOKUP($BM199,'Fuel economy adjusted factor'!$A$2:$L$52,5,FALSE)*m2k))</f>
        <v>5.1154846140638774</v>
      </c>
      <c r="CU199" s="125">
        <f>CU87/293.07*(1/(VLOOKUP($BM199,'Fuel economy adjusted factor'!$A$2:$L$52,5,FALSE)*m2k))</f>
        <v>5.1154846140638774</v>
      </c>
      <c r="CV199" s="125">
        <f>CV87/293.07*(1/(VLOOKUP($BM199,'Fuel economy adjusted factor'!$A$2:$L$52,5,FALSE)*m2k))</f>
        <v>5.1154846140638774</v>
      </c>
      <c r="CW199" s="125">
        <f>CW87/293.07*(1/(VLOOKUP($BM199,'Fuel economy adjusted factor'!$A$2:$L$52,5,FALSE)*m2k))</f>
        <v>5.1154846140638774</v>
      </c>
      <c r="CX199" s="125">
        <f>CX87/293.07*(1/(VLOOKUP($BM199,'Fuel economy adjusted factor'!$A$2:$L$52,5,FALSE)*m2k))</f>
        <v>5.1154846140638774</v>
      </c>
      <c r="CY199" s="125">
        <f>CY87/293.07*(1/(VLOOKUP($BM199,'Fuel economy adjusted factor'!$A$2:$L$52,5,FALSE)*m2k))</f>
        <v>5.1154846140638774</v>
      </c>
      <c r="CZ199" s="125">
        <f>CZ87/293.07*(1/(VLOOKUP($BM199,'Fuel economy adjusted factor'!$A$2:$L$52,5,FALSE)*m2k))</f>
        <v>5.1154846140638774</v>
      </c>
      <c r="DA199" s="125">
        <f>DA87/293.07*(1/(VLOOKUP($BM199,'Fuel economy adjusted factor'!$A$2:$L$52,5,FALSE)*m2k))</f>
        <v>5.1154846140638774</v>
      </c>
      <c r="DB199" s="125">
        <f>DB87/293.07*(1/(VLOOKUP($BM199,'Fuel economy adjusted factor'!$A$2:$L$52,5,FALSE)*m2k))</f>
        <v>5.1154846140638774</v>
      </c>
      <c r="DC199" s="125">
        <f>DC87/293.07*(1/(VLOOKUP($BM199,'Fuel economy adjusted factor'!$A$2:$L$52,5,FALSE)*m2k))</f>
        <v>5.1154846140638774</v>
      </c>
      <c r="DD199" s="125">
        <f>DD87/293.07*(1/(VLOOKUP($BM199,'Fuel economy adjusted factor'!$A$2:$L$52,5,FALSE)*m2k))</f>
        <v>5.1154846140638774</v>
      </c>
      <c r="DE199" s="125">
        <f>DE87/293.07*(1/(VLOOKUP($BM199,'Fuel economy adjusted factor'!$A$2:$L$52,5,FALSE)*m2k))</f>
        <v>5.2619780839202157</v>
      </c>
      <c r="DF199" s="125">
        <f>DF87/293.07*(1/(VLOOKUP($BM199,'Fuel economy adjusted factor'!$A$2:$L$52,5,FALSE)*m2k))</f>
        <v>5.2619780839202157</v>
      </c>
      <c r="DG199" s="125">
        <f>DG87/293.07*(1/(VLOOKUP($BM199,'Fuel economy adjusted factor'!$A$2:$L$52,5,FALSE)*m2k))</f>
        <v>5.2619780839202157</v>
      </c>
      <c r="DH199" s="125">
        <f>DH87/293.07*(1/(VLOOKUP($BM199,'Fuel economy adjusted factor'!$A$2:$L$52,5,FALSE)*m2k))</f>
        <v>5.2619780839202157</v>
      </c>
      <c r="DI199" s="125">
        <f>DI87/293.07*(1/(VLOOKUP($BM199,'Fuel economy adjusted factor'!$A$2:$L$52,5,FALSE)*m2k))</f>
        <v>5.2619780839202157</v>
      </c>
      <c r="DJ199" s="125">
        <f>DJ87/293.07*(1/(VLOOKUP($BM199,'Fuel economy adjusted factor'!$A$2:$L$52,5,FALSE)*m2k))</f>
        <v>5.5356009442840683</v>
      </c>
      <c r="DK199" s="125">
        <f>DK87/293.07*(1/(VLOOKUP($BM199,'Fuel economy adjusted factor'!$A$2:$L$52,5,FALSE)*m2k))</f>
        <v>5.5356009442840683</v>
      </c>
      <c r="DL199" s="125">
        <f>DL87/293.07*(1/(VLOOKUP($BM199,'Fuel economy adjusted factor'!$A$2:$L$52,5,FALSE)*m2k))</f>
        <v>5.5356009442840683</v>
      </c>
      <c r="DM199" s="125">
        <f>DM87/293.07*(1/(VLOOKUP($BM199,'Fuel economy adjusted factor'!$A$2:$L$52,5,FALSE)*m2k))</f>
        <v>5.5356009442840683</v>
      </c>
      <c r="DN199" s="125">
        <f>DN87/293.07*(1/(VLOOKUP($BM199,'Fuel economy adjusted factor'!$A$2:$L$52,5,FALSE)*m2k))</f>
        <v>5.5356009442840683</v>
      </c>
      <c r="DO199" s="125">
        <f>DO87/293.07*(1/(VLOOKUP($BM199,'Fuel economy adjusted factor'!$A$2:$L$52,5,FALSE)*m2k))</f>
        <v>5.7166129903709226</v>
      </c>
      <c r="DP199" s="125">
        <f>DP87/293.07*(1/(VLOOKUP($BM199,'Fuel economy adjusted factor'!$A$2:$L$52,5,FALSE)*m2k))</f>
        <v>5.7166129903709226</v>
      </c>
      <c r="DQ199" s="125">
        <f>DQ87/293.07*(1/(VLOOKUP($BM199,'Fuel economy adjusted factor'!$A$2:$L$52,5,FALSE)*m2k))</f>
        <v>5.7166129903709226</v>
      </c>
      <c r="DR199" s="125">
        <f>DR87/293.07*(1/(VLOOKUP($BM199,'Fuel economy adjusted factor'!$A$2:$L$52,5,FALSE)*m2k))</f>
        <v>5.7166129903709226</v>
      </c>
      <c r="DS199" s="125">
        <f>DS87/293.07*(1/(VLOOKUP($BM199,'Fuel economy adjusted factor'!$A$2:$L$52,5,FALSE)*m2k))</f>
        <v>5.7166129903709226</v>
      </c>
      <c r="DT199" s="125">
        <f>DT87/293.07*(1/(VLOOKUP($BM199,'Fuel economy adjusted factor'!$A$2:$L$52,5,FALSE)*m2k))</f>
        <v>5.9464561930765587</v>
      </c>
      <c r="DU199" s="98" cm="1">
        <f t="array" ref="DU199">SUMPRODUCT(INDEX(CS199:DT199,,'TCO Inputs'!$AZ$12-2023+_xlfn.SEQUENCE('TCO Inputs'!$AZ$13))*INDEX('VKT US'!C89:AA89,,_xlfn.SEQUENCE('TCO Inputs'!$AZ$13)))*m2k*CONVERT(0.9072,"g","ton")</f>
        <v>4.9360033025116277</v>
      </c>
      <c r="DW199" s="123" t="s">
        <v>211</v>
      </c>
      <c r="DX199" s="125">
        <f>DX87/293.07*(1/(VLOOKUP($BM199,'Fuel economy adjusted factor'!$A$2:$L$52,5,FALSE)*m2k))/'TCO Inputs'!$AZ$84</f>
        <v>169.80708187236581</v>
      </c>
      <c r="DY199" s="125">
        <f>DY87/293.07*(1/(VLOOKUP($BM199,'Fuel economy adjusted factor'!$A$2:$L$52,5,FALSE)*m2k))/'TCO Inputs'!$AZ$84</f>
        <v>169.80708187236581</v>
      </c>
      <c r="DZ199" s="125">
        <f>DZ87/293.07*(1/(VLOOKUP($BM199,'Fuel economy adjusted factor'!$A$2:$L$52,5,FALSE)*m2k))/'TCO Inputs'!$AZ$84</f>
        <v>148.56051010205334</v>
      </c>
      <c r="EA199" s="125">
        <f>EA87/293.07*(1/(VLOOKUP($BM199,'Fuel economy adjusted factor'!$A$2:$L$52,5,FALSE)*m2k))/'TCO Inputs'!$AZ$84</f>
        <v>148.56051010205334</v>
      </c>
      <c r="EB199" s="125">
        <f>EB87/293.07*(1/(VLOOKUP($BM199,'Fuel economy adjusted factor'!$A$2:$L$52,5,FALSE)*m2k))/'TCO Inputs'!$AZ$84</f>
        <v>148.56051010205334</v>
      </c>
      <c r="EC199" s="125">
        <f>EC87/293.07*(1/(VLOOKUP($BM199,'Fuel economy adjusted factor'!$A$2:$L$52,5,FALSE)*m2k))/'TCO Inputs'!$AZ$84</f>
        <v>148.56051010205334</v>
      </c>
      <c r="ED199" s="125">
        <f>ED87/293.07*(1/(VLOOKUP($BM199,'Fuel economy adjusted factor'!$A$2:$L$52,5,FALSE)*m2k))/'TCO Inputs'!$AZ$84</f>
        <v>148.56051010205334</v>
      </c>
      <c r="EE199" s="125">
        <f>EE87/293.07*(1/(VLOOKUP($BM199,'Fuel economy adjusted factor'!$A$2:$L$52,5,FALSE)*m2k))/'TCO Inputs'!$AZ$84</f>
        <v>92.428643259302532</v>
      </c>
      <c r="EF199" s="125">
        <f>EF87/293.07*(1/(VLOOKUP($BM199,'Fuel economy adjusted factor'!$A$2:$L$52,5,FALSE)*m2k))/'TCO Inputs'!$AZ$84</f>
        <v>92.428643259302532</v>
      </c>
      <c r="EG199" s="125">
        <f>EG87/293.07*(1/(VLOOKUP($BM199,'Fuel economy adjusted factor'!$A$2:$L$52,5,FALSE)*m2k))/'TCO Inputs'!$AZ$84</f>
        <v>92.428643259302532</v>
      </c>
      <c r="EH199" s="125">
        <f>EH87/293.07*(1/(VLOOKUP($BM199,'Fuel economy adjusted factor'!$A$2:$L$52,5,FALSE)*m2k))/'TCO Inputs'!$AZ$84</f>
        <v>92.428643259302532</v>
      </c>
      <c r="EI199" s="125">
        <f>EI87/293.07*(1/(VLOOKUP($BM199,'Fuel economy adjusted factor'!$A$2:$L$52,5,FALSE)*m2k))/'TCO Inputs'!$AZ$84</f>
        <v>92.428643259302532</v>
      </c>
      <c r="EJ199" s="125">
        <f>EJ87/293.07*(1/(VLOOKUP($BM199,'Fuel economy adjusted factor'!$A$2:$L$52,5,FALSE)*m2k))/'TCO Inputs'!$AZ$84</f>
        <v>82.298836195813834</v>
      </c>
      <c r="EK199" s="125">
        <f>EK87/293.07*(1/(VLOOKUP($BM199,'Fuel economy adjusted factor'!$A$2:$L$52,5,FALSE)*m2k))/'TCO Inputs'!$AZ$84</f>
        <v>82.298836195813834</v>
      </c>
      <c r="EL199" s="125">
        <f>EL87/293.07*(1/(VLOOKUP($BM199,'Fuel economy adjusted factor'!$A$2:$L$52,5,FALSE)*m2k))/'TCO Inputs'!$AZ$84</f>
        <v>82.298836195813834</v>
      </c>
      <c r="EM199" s="125">
        <f>EM87/293.07*(1/(VLOOKUP($BM199,'Fuel economy adjusted factor'!$A$2:$L$52,5,FALSE)*m2k))/'TCO Inputs'!$AZ$84</f>
        <v>82.298836195813834</v>
      </c>
      <c r="EN199" s="125">
        <f>EN87/293.07*(1/(VLOOKUP($BM199,'Fuel economy adjusted factor'!$A$2:$L$52,5,FALSE)*m2k))/'TCO Inputs'!$AZ$84</f>
        <v>82.298836195813834</v>
      </c>
      <c r="EO199" s="125">
        <f>EO87/293.07*(1/(VLOOKUP($BM199,'Fuel economy adjusted factor'!$A$2:$L$52,5,FALSE)*m2k))/'TCO Inputs'!$AZ$84</f>
        <v>79.968752719507634</v>
      </c>
      <c r="EP199" s="125">
        <f>EP87/293.07*(1/(VLOOKUP($BM199,'Fuel economy adjusted factor'!$A$2:$L$52,5,FALSE)*m2k))/'TCO Inputs'!$AZ$84</f>
        <v>79.968752719507634</v>
      </c>
      <c r="EQ199" s="125">
        <f>EQ87/293.07*(1/(VLOOKUP($BM199,'Fuel economy adjusted factor'!$A$2:$L$52,5,FALSE)*m2k))/'TCO Inputs'!$AZ$84</f>
        <v>79.968752719507634</v>
      </c>
      <c r="ER199" s="125">
        <f>ER87/293.07*(1/(VLOOKUP($BM199,'Fuel economy adjusted factor'!$A$2:$L$52,5,FALSE)*m2k))/'TCO Inputs'!$AZ$84</f>
        <v>79.968752719507634</v>
      </c>
      <c r="ES199" s="125">
        <f>ES87/293.07*(1/(VLOOKUP($BM199,'Fuel economy adjusted factor'!$A$2:$L$52,5,FALSE)*m2k))/'TCO Inputs'!$AZ$84</f>
        <v>79.968752719507634</v>
      </c>
      <c r="ET199" s="125">
        <f>ET87/293.07*(1/(VLOOKUP($BM199,'Fuel economy adjusted factor'!$A$2:$L$52,5,FALSE)*m2k))/'TCO Inputs'!$AZ$84</f>
        <v>77.138594714318415</v>
      </c>
      <c r="EU199" s="125">
        <f>EU87/293.07*(1/(VLOOKUP($BM199,'Fuel economy adjusted factor'!$A$2:$L$52,5,FALSE)*m2k))/'TCO Inputs'!$AZ$84</f>
        <v>77.138594714318415</v>
      </c>
      <c r="EV199" s="125">
        <f>EV87/293.07*(1/(VLOOKUP($BM199,'Fuel economy adjusted factor'!$A$2:$L$52,5,FALSE)*m2k))/'TCO Inputs'!$AZ$84</f>
        <v>77.138594714318415</v>
      </c>
      <c r="EW199" s="125">
        <f>EW87/293.07*(1/(VLOOKUP($BM199,'Fuel economy adjusted factor'!$A$2:$L$52,5,FALSE)*m2k))/'TCO Inputs'!$AZ$84</f>
        <v>77.138594714318415</v>
      </c>
      <c r="EX199" s="125">
        <f>EX87/293.07*(1/(VLOOKUP($BM199,'Fuel economy adjusted factor'!$A$2:$L$52,5,FALSE)*m2k))/'TCO Inputs'!$AZ$84</f>
        <v>77.138594714318415</v>
      </c>
      <c r="EY199" s="125">
        <f>EY87/293.07*(1/(VLOOKUP($BM199,'Fuel economy adjusted factor'!$A$2:$L$52,5,FALSE)*m2k))/'TCO Inputs'!$AZ$84</f>
        <v>72.628330198421509</v>
      </c>
      <c r="EZ199" s="98" cm="1">
        <f t="array" ref="EZ199">SUMPRODUCT(INDEX(DX199:EY199,,'TCO Inputs'!$AZ$12-2023+_xlfn.SEQUENCE('TCO Inputs'!$AZ$13))*INDEX('VKT US'!C89:AA89,,_xlfn.SEQUENCE('TCO Inputs'!$AZ$13)))*m2k*CONVERT(0.9072,"g","ton")</f>
        <v>39.447969824209885</v>
      </c>
      <c r="FB199" s="123" t="s">
        <v>211</v>
      </c>
      <c r="FC199" s="125">
        <f>FC87/293.07*(1/(VLOOKUP($BM199,'Fuel economy adjusted factor'!$A$2:$L$52,5,FALSE)*m2k))/'TCO Inputs'!$AZ$84</f>
        <v>183.56332868487661</v>
      </c>
      <c r="FD199" s="125">
        <f>FD87/293.07*(1/(VLOOKUP($BM199,'Fuel economy adjusted factor'!$A$2:$L$52,5,FALSE)*m2k))/'TCO Inputs'!$AZ$84</f>
        <v>183.56332868487661</v>
      </c>
      <c r="FE199" s="125">
        <f>FE87/293.07*(1/(VLOOKUP($BM199,'Fuel economy adjusted factor'!$A$2:$L$52,5,FALSE)*m2k))/'TCO Inputs'!$AZ$84</f>
        <v>160.03704065699438</v>
      </c>
      <c r="FF199" s="125">
        <f>FF87/293.07*(1/(VLOOKUP($BM199,'Fuel economy adjusted factor'!$A$2:$L$52,5,FALSE)*m2k))/'TCO Inputs'!$AZ$84</f>
        <v>160.03704065699438</v>
      </c>
      <c r="FG199" s="125">
        <f>FG87/293.07*(1/(VLOOKUP($BM199,'Fuel economy adjusted factor'!$A$2:$L$52,5,FALSE)*m2k))/'TCO Inputs'!$AZ$84</f>
        <v>160.03704065699438</v>
      </c>
      <c r="FH199" s="125">
        <f>FH87/293.07*(1/(VLOOKUP($BM199,'Fuel economy adjusted factor'!$A$2:$L$52,5,FALSE)*m2k))/'TCO Inputs'!$AZ$84</f>
        <v>160.03704065699438</v>
      </c>
      <c r="FI199" s="125">
        <f>FI87/293.07*(1/(VLOOKUP($BM199,'Fuel economy adjusted factor'!$A$2:$L$52,5,FALSE)*m2k))/'TCO Inputs'!$AZ$84</f>
        <v>160.03704065699438</v>
      </c>
      <c r="FJ199" s="125">
        <f>FJ87/293.07*(1/(VLOOKUP($BM199,'Fuel economy adjusted factor'!$A$2:$L$52,5,FALSE)*m2k))/'TCO Inputs'!$AZ$84</f>
        <v>101.2249182457699</v>
      </c>
      <c r="FK199" s="125">
        <f>FK87/293.07*(1/(VLOOKUP($BM199,'Fuel economy adjusted factor'!$A$2:$L$52,5,FALSE)*m2k))/'TCO Inputs'!$AZ$84</f>
        <v>101.2249182457699</v>
      </c>
      <c r="FL199" s="125">
        <f>FL87/293.07*(1/(VLOOKUP($BM199,'Fuel economy adjusted factor'!$A$2:$L$52,5,FALSE)*m2k))/'TCO Inputs'!$AZ$84</f>
        <v>101.2249182457699</v>
      </c>
      <c r="FM199" s="125">
        <f>FM87/293.07*(1/(VLOOKUP($BM199,'Fuel economy adjusted factor'!$A$2:$L$52,5,FALSE)*m2k))/'TCO Inputs'!$AZ$84</f>
        <v>101.2249182457699</v>
      </c>
      <c r="FN199" s="125">
        <f>FN87/293.07*(1/(VLOOKUP($BM199,'Fuel economy adjusted factor'!$A$2:$L$52,5,FALSE)*m2k))/'TCO Inputs'!$AZ$84</f>
        <v>101.2249182457699</v>
      </c>
      <c r="FO199" s="125">
        <f>FO87/293.07*(1/(VLOOKUP($BM199,'Fuel economy adjusted factor'!$A$2:$L$52,5,FALSE)*m2k))/'TCO Inputs'!$AZ$84</f>
        <v>89.656047789812092</v>
      </c>
      <c r="FP199" s="125">
        <f>FP87/293.07*(1/(VLOOKUP($BM199,'Fuel economy adjusted factor'!$A$2:$L$52,5,FALSE)*m2k))/'TCO Inputs'!$AZ$84</f>
        <v>89.656047789812092</v>
      </c>
      <c r="FQ199" s="125">
        <f>FQ87/293.07*(1/(VLOOKUP($BM199,'Fuel economy adjusted factor'!$A$2:$L$52,5,FALSE)*m2k))/'TCO Inputs'!$AZ$84</f>
        <v>89.656047789812092</v>
      </c>
      <c r="FR199" s="125">
        <f>FR87/293.07*(1/(VLOOKUP($BM199,'Fuel economy adjusted factor'!$A$2:$L$52,5,FALSE)*m2k))/'TCO Inputs'!$AZ$84</f>
        <v>89.656047789812092</v>
      </c>
      <c r="FS199" s="125">
        <f>FS87/293.07*(1/(VLOOKUP($BM199,'Fuel economy adjusted factor'!$A$2:$L$52,5,FALSE)*m2k))/'TCO Inputs'!$AZ$84</f>
        <v>89.656047789812092</v>
      </c>
      <c r="FT199" s="125">
        <f>FT87/293.07*(1/(VLOOKUP($BM199,'Fuel economy adjusted factor'!$A$2:$L$52,5,FALSE)*m2k))/'TCO Inputs'!$AZ$84</f>
        <v>87.608980114024803</v>
      </c>
      <c r="FU199" s="125">
        <f>FU87/293.07*(1/(VLOOKUP($BM199,'Fuel economy adjusted factor'!$A$2:$L$52,5,FALSE)*m2k))/'TCO Inputs'!$AZ$84</f>
        <v>87.608980114024803</v>
      </c>
      <c r="FV199" s="125">
        <f>FV87/293.07*(1/(VLOOKUP($BM199,'Fuel economy adjusted factor'!$A$2:$L$52,5,FALSE)*m2k))/'TCO Inputs'!$AZ$84</f>
        <v>87.608980114024803</v>
      </c>
      <c r="FW199" s="125">
        <f>FW87/293.07*(1/(VLOOKUP($BM199,'Fuel economy adjusted factor'!$A$2:$L$52,5,FALSE)*m2k))/'TCO Inputs'!$AZ$84</f>
        <v>87.608980114024803</v>
      </c>
      <c r="FX199" s="125">
        <f>FX87/293.07*(1/(VLOOKUP($BM199,'Fuel economy adjusted factor'!$A$2:$L$52,5,FALSE)*m2k))/'TCO Inputs'!$AZ$84</f>
        <v>87.608980114024803</v>
      </c>
      <c r="FY199" s="125">
        <f>FY87/293.07*(1/(VLOOKUP($BM199,'Fuel economy adjusted factor'!$A$2:$L$52,5,FALSE)*m2k))/'TCO Inputs'!$AZ$84</f>
        <v>84.774025230860673</v>
      </c>
      <c r="FZ199" s="125">
        <f>FZ87/293.07*(1/(VLOOKUP($BM199,'Fuel economy adjusted factor'!$A$2:$L$52,5,FALSE)*m2k))/'TCO Inputs'!$AZ$84</f>
        <v>84.774025230860673</v>
      </c>
      <c r="GA199" s="125">
        <f>GA87/293.07*(1/(VLOOKUP($BM199,'Fuel economy adjusted factor'!$A$2:$L$52,5,FALSE)*m2k))/'TCO Inputs'!$AZ$84</f>
        <v>84.774025230860673</v>
      </c>
      <c r="GB199" s="125">
        <f>GB87/293.07*(1/(VLOOKUP($BM199,'Fuel economy adjusted factor'!$A$2:$L$52,5,FALSE)*m2k))/'TCO Inputs'!$AZ$84</f>
        <v>84.774025230860673</v>
      </c>
      <c r="GC199" s="125">
        <f>GC87/293.07*(1/(VLOOKUP($BM199,'Fuel economy adjusted factor'!$A$2:$L$52,5,FALSE)*m2k))/'TCO Inputs'!$AZ$84</f>
        <v>84.774025230860673</v>
      </c>
      <c r="GD199" s="125">
        <f>GD87/293.07*(1/(VLOOKUP($BM199,'Fuel economy adjusted factor'!$A$2:$L$52,5,FALSE)*m2k))/'TCO Inputs'!$AZ$84</f>
        <v>80.110260619767089</v>
      </c>
      <c r="GE199" s="98" cm="1">
        <f t="array" ref="GE199">SUMPRODUCT(INDEX(FC199:GD199,,'TCO Inputs'!$AZ$12-2023+_xlfn.SEQUENCE('TCO Inputs'!$AZ$13))*INDEX('VKT US'!C89:AA89,,_xlfn.SEQUENCE('TCO Inputs'!$AZ$13)))*m2k*CONVERT(0.9072,"g","ton")</f>
        <v>42.738329446450948</v>
      </c>
      <c r="GH199" s="123" t="s">
        <v>211</v>
      </c>
      <c r="GI199" s="125">
        <f>GI87/293.07*(1/(VLOOKUP($GH199,'Fuel economy adjusted factor'!$A$2:$L$52,5,FALSE)*m2k))/'TCO Inputs'!$AZ$84</f>
        <v>323.14735997721795</v>
      </c>
      <c r="GJ199" s="125">
        <f>GJ87/293.07*(1/(VLOOKUP($GH199,'Fuel economy adjusted factor'!$A$2:$L$52,5,FALSE)*m2k))/'TCO Inputs'!$AZ$84</f>
        <v>323.14735997721795</v>
      </c>
      <c r="GK199" s="125">
        <f>GK87/293.07*(1/(VLOOKUP($GH199,'Fuel economy adjusted factor'!$A$2:$L$52,5,FALSE)*m2k))/'TCO Inputs'!$AZ$84</f>
        <v>323.14735997721795</v>
      </c>
      <c r="GL199" s="125">
        <f>GL87/293.07*(1/(VLOOKUP($GH199,'Fuel economy adjusted factor'!$A$2:$L$52,5,FALSE)*m2k))/'TCO Inputs'!$AZ$84</f>
        <v>323.14735997721795</v>
      </c>
      <c r="GM199" s="125">
        <f>GM87/293.07*(1/(VLOOKUP($GH199,'Fuel economy adjusted factor'!$A$2:$L$52,5,FALSE)*m2k))/'TCO Inputs'!$AZ$84</f>
        <v>323.14735997721795</v>
      </c>
      <c r="GN199" s="125">
        <f>GN87/293.07*(1/(VLOOKUP($GH199,'Fuel economy adjusted factor'!$A$2:$L$52,5,FALSE)*m2k))/'TCO Inputs'!$AZ$84</f>
        <v>323.14735997721795</v>
      </c>
      <c r="GO199" s="125">
        <f>GO87/293.07*(1/(VLOOKUP($GH199,'Fuel economy adjusted factor'!$A$2:$L$52,5,FALSE)*m2k))/'TCO Inputs'!$AZ$84</f>
        <v>323.14735997721795</v>
      </c>
      <c r="GP199" s="125">
        <f>GP87/293.07*(1/(VLOOKUP($GH199,'Fuel economy adjusted factor'!$A$2:$L$52,5,FALSE)*m2k))/'TCO Inputs'!$AZ$84</f>
        <v>323.14735997721795</v>
      </c>
      <c r="GQ199" s="125">
        <f>GQ87/293.07*(1/(VLOOKUP($GH199,'Fuel economy adjusted factor'!$A$2:$L$52,5,FALSE)*m2k))/'TCO Inputs'!$AZ$84</f>
        <v>323.14735997721795</v>
      </c>
      <c r="GR199" s="125">
        <f>GR87/293.07*(1/(VLOOKUP($GH199,'Fuel economy adjusted factor'!$A$2:$L$52,5,FALSE)*m2k))/'TCO Inputs'!$AZ$84</f>
        <v>323.14735997721795</v>
      </c>
      <c r="GS199" s="125">
        <f>GS87/293.07*(1/(VLOOKUP($GH199,'Fuel economy adjusted factor'!$A$2:$L$52,5,FALSE)*m2k))/'TCO Inputs'!$AZ$84</f>
        <v>323.14735997721795</v>
      </c>
      <c r="GT199" s="125">
        <f>GT87/293.07*(1/(VLOOKUP($GH199,'Fuel economy adjusted factor'!$A$2:$L$52,5,FALSE)*m2k))/'TCO Inputs'!$AZ$84</f>
        <v>323.14735997721795</v>
      </c>
      <c r="GU199" s="125">
        <f>GU87/293.07*(1/(VLOOKUP($GH199,'Fuel economy adjusted factor'!$A$2:$L$52,5,FALSE)*m2k))/'TCO Inputs'!$AZ$84</f>
        <v>323.14735997721795</v>
      </c>
      <c r="GV199" s="125">
        <f>GV87/293.07*(1/(VLOOKUP($GH199,'Fuel economy adjusted factor'!$A$2:$L$52,5,FALSE)*m2k))/'TCO Inputs'!$AZ$84</f>
        <v>323.14735997721795</v>
      </c>
      <c r="GW199" s="125">
        <f>GW87/293.07*(1/(VLOOKUP($GH199,'Fuel economy adjusted factor'!$A$2:$L$52,5,FALSE)*m2k))/'TCO Inputs'!$AZ$84</f>
        <v>323.14735997721795</v>
      </c>
      <c r="GX199" s="125">
        <f>GX87/293.07*(1/(VLOOKUP($GH199,'Fuel economy adjusted factor'!$A$2:$L$52,5,FALSE)*m2k))/'TCO Inputs'!$AZ$84</f>
        <v>323.14735997721795</v>
      </c>
      <c r="GY199" s="125">
        <f>GY87/293.07*(1/(VLOOKUP($GH199,'Fuel economy adjusted factor'!$A$2:$L$52,5,FALSE)*m2k))/'TCO Inputs'!$AZ$84</f>
        <v>323.14735997721795</v>
      </c>
      <c r="GZ199" s="125">
        <f>GZ87/293.07*(1/(VLOOKUP($GH199,'Fuel economy adjusted factor'!$A$2:$L$52,5,FALSE)*m2k))/'TCO Inputs'!$AZ$84</f>
        <v>323.14735997721795</v>
      </c>
      <c r="HA199" s="125">
        <f>HA87/293.07*(1/(VLOOKUP($GH199,'Fuel economy adjusted factor'!$A$2:$L$52,5,FALSE)*m2k))/'TCO Inputs'!$AZ$84</f>
        <v>323.14735997721795</v>
      </c>
      <c r="HB199" s="125">
        <f>HB87/293.07*(1/(VLOOKUP($GH199,'Fuel economy adjusted factor'!$A$2:$L$52,5,FALSE)*m2k))/'TCO Inputs'!$AZ$84</f>
        <v>323.14735997721795</v>
      </c>
      <c r="HC199" s="125">
        <f>HC87/293.07*(1/(VLOOKUP($GH199,'Fuel economy adjusted factor'!$A$2:$L$52,5,FALSE)*m2k))/'TCO Inputs'!$AZ$84</f>
        <v>323.14735997721795</v>
      </c>
      <c r="HD199" s="125">
        <f>HD87/293.07*(1/(VLOOKUP($GH199,'Fuel economy adjusted factor'!$A$2:$L$52,5,FALSE)*m2k))/'TCO Inputs'!$AZ$84</f>
        <v>323.14735997721795</v>
      </c>
      <c r="HE199" s="125">
        <f>HE87/293.07*(1/(VLOOKUP($GH199,'Fuel economy adjusted factor'!$A$2:$L$52,5,FALSE)*m2k))/'TCO Inputs'!$AZ$84</f>
        <v>323.14735997721795</v>
      </c>
      <c r="HF199" s="125">
        <f>HF87/293.07*(1/(VLOOKUP($GH199,'Fuel economy adjusted factor'!$A$2:$L$52,5,FALSE)*m2k))/'TCO Inputs'!$AZ$84</f>
        <v>323.14735997721795</v>
      </c>
      <c r="HG199" s="125">
        <f>HG87/293.07*(1/(VLOOKUP($GH199,'Fuel economy adjusted factor'!$A$2:$L$52,5,FALSE)*m2k))/'TCO Inputs'!$AZ$84</f>
        <v>323.14735997721795</v>
      </c>
      <c r="HH199" s="125">
        <f>HH87/293.07*(1/(VLOOKUP($GH199,'Fuel economy adjusted factor'!$A$2:$L$52,5,FALSE)*m2k))/'TCO Inputs'!$AZ$84</f>
        <v>323.14735997721795</v>
      </c>
      <c r="HI199" s="125">
        <f>HI87/293.07*(1/(VLOOKUP($GH199,'Fuel economy adjusted factor'!$A$2:$L$52,5,FALSE)*m2k))/'TCO Inputs'!$AZ$84</f>
        <v>323.14735997721795</v>
      </c>
      <c r="HJ199" s="125">
        <f>HJ87/293.07*(1/(VLOOKUP($GH199,'Fuel economy adjusted factor'!$A$2:$L$52,5,FALSE)*m2k))/'TCO Inputs'!$AZ$84</f>
        <v>323.14735997721795</v>
      </c>
      <c r="HK199" s="98" cm="1">
        <f t="array" ref="HK199">SUMPRODUCT(INDEX(GI199:HJ199,,'TCO Inputs'!$AZ$12-2023+_xlfn.SEQUENCE('TCO Inputs'!$AZ$13))*INDEX('VKT US'!C89:AA89,,_xlfn.SEQUENCE('TCO Inputs'!$AZ$13)))*m2k*CONVERT(0.9072,"g","ton")</f>
        <v>101.41882285388773</v>
      </c>
    </row>
    <row r="200" spans="26:219" x14ac:dyDescent="0.25">
      <c r="Z200" s="123" t="s">
        <v>215</v>
      </c>
      <c r="AA200" s="125">
        <f>AA88/293.07*(1/(VLOOKUP($Z200,'Fuel economy adjusted factor'!$A$2:$L$52,5,FALSE)*m2k))/'TCO Inputs'!$AZ$84</f>
        <v>88.531535812563945</v>
      </c>
      <c r="AB200" s="125">
        <f>AB88/293.07*(1/(VLOOKUP($Z200,'Fuel economy adjusted factor'!$A$2:$L$52,5,FALSE)*m2k))/'TCO Inputs'!$AZ$84</f>
        <v>88.531535812563945</v>
      </c>
      <c r="AC200" s="125">
        <f>AC88/293.07*(1/(VLOOKUP($Z200,'Fuel economy adjusted factor'!$A$2:$L$52,5,FALSE)*m2k))/'TCO Inputs'!$AZ$84</f>
        <v>77.761282621411468</v>
      </c>
      <c r="AD200" s="125">
        <f>AD88/293.07*(1/(VLOOKUP($Z200,'Fuel economy adjusted factor'!$A$2:$L$52,5,FALSE)*m2k))/'TCO Inputs'!$AZ$84</f>
        <v>77.761282621411468</v>
      </c>
      <c r="AE200" s="125">
        <f>AE88/293.07*(1/(VLOOKUP($Z200,'Fuel economy adjusted factor'!$A$2:$L$52,5,FALSE)*m2k))/'TCO Inputs'!$AZ$84</f>
        <v>77.761282621411468</v>
      </c>
      <c r="AF200" s="125">
        <f>AF88/293.07*(1/(VLOOKUP($Z200,'Fuel economy adjusted factor'!$A$2:$L$52,5,FALSE)*m2k))/'TCO Inputs'!$AZ$84</f>
        <v>77.761282621411468</v>
      </c>
      <c r="AG200" s="125">
        <f>AG88/293.07*(1/(VLOOKUP($Z200,'Fuel economy adjusted factor'!$A$2:$L$52,5,FALSE)*m2k))/'TCO Inputs'!$AZ$84</f>
        <v>77.761282621411468</v>
      </c>
      <c r="AH200" s="125">
        <f>AH88/293.07*(1/(VLOOKUP($Z200,'Fuel economy adjusted factor'!$A$2:$L$52,5,FALSE)*m2k))/'TCO Inputs'!$AZ$84</f>
        <v>29.399529979725745</v>
      </c>
      <c r="AI200" s="125">
        <f>AI88/293.07*(1/(VLOOKUP($Z200,'Fuel economy adjusted factor'!$A$2:$L$52,5,FALSE)*m2k))/'TCO Inputs'!$AZ$84</f>
        <v>29.399529979725745</v>
      </c>
      <c r="AJ200" s="125">
        <f>AJ88/293.07*(1/(VLOOKUP($Z200,'Fuel economy adjusted factor'!$A$2:$L$52,5,FALSE)*m2k))/'TCO Inputs'!$AZ$84</f>
        <v>29.399529979725745</v>
      </c>
      <c r="AK200" s="125">
        <f>AK88/293.07*(1/(VLOOKUP($Z200,'Fuel economy adjusted factor'!$A$2:$L$52,5,FALSE)*m2k))/'TCO Inputs'!$AZ$84</f>
        <v>29.399529979725745</v>
      </c>
      <c r="AL200" s="125">
        <f>AL88/293.07*(1/(VLOOKUP($Z200,'Fuel economy adjusted factor'!$A$2:$L$52,5,FALSE)*m2k))/'TCO Inputs'!$AZ$84</f>
        <v>29.399529979725745</v>
      </c>
      <c r="AM200" s="125">
        <f>AM88/293.07*(1/(VLOOKUP($Z200,'Fuel economy adjusted factor'!$A$2:$L$52,5,FALSE)*m2k))/'TCO Inputs'!$AZ$84</f>
        <v>24.710314840818434</v>
      </c>
      <c r="AN200" s="125">
        <f>AN88/293.07*(1/(VLOOKUP($Z200,'Fuel economy adjusted factor'!$A$2:$L$52,5,FALSE)*m2k))/'TCO Inputs'!$AZ$84</f>
        <v>24.710314840818434</v>
      </c>
      <c r="AO200" s="125">
        <f>AO88/293.07*(1/(VLOOKUP($Z200,'Fuel economy adjusted factor'!$A$2:$L$52,5,FALSE)*m2k))/'TCO Inputs'!$AZ$84</f>
        <v>24.710314840818434</v>
      </c>
      <c r="AP200" s="125">
        <f>AP88/293.07*(1/(VLOOKUP($Z200,'Fuel economy adjusted factor'!$A$2:$L$52,5,FALSE)*m2k))/'TCO Inputs'!$AZ$84</f>
        <v>24.710314840818434</v>
      </c>
      <c r="AQ200" s="125">
        <f>AQ88/293.07*(1/(VLOOKUP($Z200,'Fuel economy adjusted factor'!$A$2:$L$52,5,FALSE)*m2k))/'TCO Inputs'!$AZ$84</f>
        <v>24.710314840818434</v>
      </c>
      <c r="AR200" s="125">
        <f>AR88/293.07*(1/(VLOOKUP($Z200,'Fuel economy adjusted factor'!$A$2:$L$52,5,FALSE)*m2k))/'TCO Inputs'!$AZ$84</f>
        <v>24.710314840818434</v>
      </c>
      <c r="AS200" s="125">
        <f>AS88/293.07*(1/(VLOOKUP($Z200,'Fuel economy adjusted factor'!$A$2:$L$52,5,FALSE)*m2k))/'TCO Inputs'!$AZ$84</f>
        <v>24.710314840818434</v>
      </c>
      <c r="AT200" s="125">
        <f>AT88/293.07*(1/(VLOOKUP($Z200,'Fuel economy adjusted factor'!$A$2:$L$52,5,FALSE)*m2k))/'TCO Inputs'!$AZ$84</f>
        <v>24.710314840818434</v>
      </c>
      <c r="AU200" s="125">
        <f>AU88/293.07*(1/(VLOOKUP($Z200,'Fuel economy adjusted factor'!$A$2:$L$52,5,FALSE)*m2k))/'TCO Inputs'!$AZ$84</f>
        <v>24.710314840818434</v>
      </c>
      <c r="AV200" s="125">
        <f>AV88/293.07*(1/(VLOOKUP($Z200,'Fuel economy adjusted factor'!$A$2:$L$52,5,FALSE)*m2k))/'TCO Inputs'!$AZ$84</f>
        <v>24.710314840818434</v>
      </c>
      <c r="AW200" s="125">
        <f>AW88/293.07*(1/(VLOOKUP($Z200,'Fuel economy adjusted factor'!$A$2:$L$52,5,FALSE)*m2k))/'TCO Inputs'!$AZ$84</f>
        <v>24.826982349730571</v>
      </c>
      <c r="AX200" s="125">
        <f>AX88/293.07*(1/(VLOOKUP($Z200,'Fuel economy adjusted factor'!$A$2:$L$52,5,FALSE)*m2k))/'TCO Inputs'!$AZ$84</f>
        <v>24.826982349730571</v>
      </c>
      <c r="AY200" s="125">
        <f>AY88/293.07*(1/(VLOOKUP($Z200,'Fuel economy adjusted factor'!$A$2:$L$52,5,FALSE)*m2k))/'TCO Inputs'!$AZ$84</f>
        <v>24.826982349730571</v>
      </c>
      <c r="AZ200" s="125">
        <f>AZ88/293.07*(1/(VLOOKUP($Z200,'Fuel economy adjusted factor'!$A$2:$L$52,5,FALSE)*m2k))/'TCO Inputs'!$AZ$84</f>
        <v>24.826982349730571</v>
      </c>
      <c r="BA200" s="125">
        <f>BA88/293.07*(1/(VLOOKUP($Z200,'Fuel economy adjusted factor'!$A$2:$L$52,5,FALSE)*m2k))/'TCO Inputs'!$AZ$84</f>
        <v>24.826982349730571</v>
      </c>
      <c r="BB200" s="125">
        <f>BB88/293.07*(1/(VLOOKUP($Z200,'Fuel economy adjusted factor'!$A$2:$L$52,5,FALSE)*m2k))/'TCO Inputs'!$AZ$84</f>
        <v>24.973669568538238</v>
      </c>
      <c r="BC200" s="98" cm="1">
        <f t="array" ref="BC200">SUMPRODUCT(INDEX(AA200:BB200,,'TCO Inputs'!$AZ$12-2023+_xlfn.SEQUENCE('TCO Inputs'!$AZ$13))*INDEX('VKT US'!C90:AA90,,_xlfn.SEQUENCE('TCO Inputs'!$AZ$13)))*m2k*CONVERT(0.9072,"g","ton")</f>
        <v>16.968557138133971</v>
      </c>
      <c r="BM200" s="123" t="s">
        <v>215</v>
      </c>
      <c r="BN200" s="125">
        <f>BN88/293.07*(1/(VLOOKUP($BM200,'Fuel economy adjusted factor'!$A$2:$L$52,5,FALSE)*m2k))</f>
        <v>75.251805440679348</v>
      </c>
      <c r="BO200" s="125">
        <f>BO88/293.07*(1/(VLOOKUP($BM200,'Fuel economy adjusted factor'!$A$2:$L$52,5,FALSE)*m2k))</f>
        <v>75.251805440679348</v>
      </c>
      <c r="BP200" s="125">
        <f>BP88/293.07*(1/(VLOOKUP($BM200,'Fuel economy adjusted factor'!$A$2:$L$52,5,FALSE)*m2k))</f>
        <v>59.318912640244505</v>
      </c>
      <c r="BQ200" s="125">
        <f>BQ88/293.07*(1/(VLOOKUP($BM200,'Fuel economy adjusted factor'!$A$2:$L$52,5,FALSE)*m2k))</f>
        <v>59.318912640244505</v>
      </c>
      <c r="BR200" s="125">
        <f>BR88/293.07*(1/(VLOOKUP($BM200,'Fuel economy adjusted factor'!$A$2:$L$52,5,FALSE)*m2k))</f>
        <v>59.318912640244505</v>
      </c>
      <c r="BS200" s="125">
        <f>BS88/293.07*(1/(VLOOKUP($BM200,'Fuel economy adjusted factor'!$A$2:$L$52,5,FALSE)*m2k))</f>
        <v>59.318912640244505</v>
      </c>
      <c r="BT200" s="125">
        <f>BT88/293.07*(1/(VLOOKUP($BM200,'Fuel economy adjusted factor'!$A$2:$L$52,5,FALSE)*m2k))</f>
        <v>59.318912640244505</v>
      </c>
      <c r="BU200" s="125">
        <f>BU88/293.07*(1/(VLOOKUP($BM200,'Fuel economy adjusted factor'!$A$2:$L$52,5,FALSE)*m2k))</f>
        <v>3.3508136638608303</v>
      </c>
      <c r="BV200" s="125">
        <f>BV88/293.07*(1/(VLOOKUP($BM200,'Fuel economy adjusted factor'!$A$2:$L$52,5,FALSE)*m2k))</f>
        <v>3.3508136638608303</v>
      </c>
      <c r="BW200" s="125">
        <f>BW88/293.07*(1/(VLOOKUP($BM200,'Fuel economy adjusted factor'!$A$2:$L$52,5,FALSE)*m2k))</f>
        <v>3.3508136638608303</v>
      </c>
      <c r="BX200" s="125">
        <f>BX88/293.07*(1/(VLOOKUP($BM200,'Fuel economy adjusted factor'!$A$2:$L$52,5,FALSE)*m2k))</f>
        <v>3.3508136638608303</v>
      </c>
      <c r="BY200" s="125">
        <f>BY88/293.07*(1/(VLOOKUP($BM200,'Fuel economy adjusted factor'!$A$2:$L$52,5,FALSE)*m2k))</f>
        <v>3.3508136638608303</v>
      </c>
      <c r="BZ200" s="125">
        <f>BZ88/293.07*(1/(VLOOKUP($BM200,'Fuel economy adjusted factor'!$A$2:$L$52,5,FALSE)*m2k))</f>
        <v>3.49463536490574</v>
      </c>
      <c r="CA200" s="125">
        <f>CA88/293.07*(1/(VLOOKUP($BM200,'Fuel economy adjusted factor'!$A$2:$L$52,5,FALSE)*m2k))</f>
        <v>3.49463536490574</v>
      </c>
      <c r="CB200" s="125">
        <f>CB88/293.07*(1/(VLOOKUP($BM200,'Fuel economy adjusted factor'!$A$2:$L$52,5,FALSE)*m2k))</f>
        <v>3.49463536490574</v>
      </c>
      <c r="CC200" s="125">
        <f>CC88/293.07*(1/(VLOOKUP($BM200,'Fuel economy adjusted factor'!$A$2:$L$52,5,FALSE)*m2k))</f>
        <v>3.49463536490574</v>
      </c>
      <c r="CD200" s="125">
        <f>CD88/293.07*(1/(VLOOKUP($BM200,'Fuel economy adjusted factor'!$A$2:$L$52,5,FALSE)*m2k))</f>
        <v>3.49463536490574</v>
      </c>
      <c r="CE200" s="125">
        <f>CE88/293.07*(1/(VLOOKUP($BM200,'Fuel economy adjusted factor'!$A$2:$L$52,5,FALSE)*m2k))</f>
        <v>3.5433491668725638</v>
      </c>
      <c r="CF200" s="125">
        <f>CF88/293.07*(1/(VLOOKUP($BM200,'Fuel economy adjusted factor'!$A$2:$L$52,5,FALSE)*m2k))</f>
        <v>3.5433491668725638</v>
      </c>
      <c r="CG200" s="125">
        <f>CG88/293.07*(1/(VLOOKUP($BM200,'Fuel economy adjusted factor'!$A$2:$L$52,5,FALSE)*m2k))</f>
        <v>3.5433491668725638</v>
      </c>
      <c r="CH200" s="125">
        <f>CH88/293.07*(1/(VLOOKUP($BM200,'Fuel economy adjusted factor'!$A$2:$L$52,5,FALSE)*m2k))</f>
        <v>3.5433491668725638</v>
      </c>
      <c r="CI200" s="125">
        <f>CI88/293.07*(1/(VLOOKUP($BM200,'Fuel economy adjusted factor'!$A$2:$L$52,5,FALSE)*m2k))</f>
        <v>3.5433491668725638</v>
      </c>
      <c r="CJ200" s="125">
        <f>CJ88/293.07*(1/(VLOOKUP($BM200,'Fuel economy adjusted factor'!$A$2:$L$52,5,FALSE)*m2k))</f>
        <v>3.6680333028590781</v>
      </c>
      <c r="CK200" s="125">
        <f>CK88/293.07*(1/(VLOOKUP($BM200,'Fuel economy adjusted factor'!$A$2:$L$52,5,FALSE)*m2k))</f>
        <v>3.6680333028590781</v>
      </c>
      <c r="CL200" s="125">
        <f>CL88/293.07*(1/(VLOOKUP($BM200,'Fuel economy adjusted factor'!$A$2:$L$52,5,FALSE)*m2k))</f>
        <v>3.6680333028590781</v>
      </c>
      <c r="CM200" s="125">
        <f>CM88/293.07*(1/(VLOOKUP($BM200,'Fuel economy adjusted factor'!$A$2:$L$52,5,FALSE)*m2k))</f>
        <v>3.6680333028590781</v>
      </c>
      <c r="CN200" s="125">
        <f>CN88/293.07*(1/(VLOOKUP($BM200,'Fuel economy adjusted factor'!$A$2:$L$52,5,FALSE)*m2k))</f>
        <v>3.6680333028590781</v>
      </c>
      <c r="CO200" s="125">
        <f>CO88/293.07*(1/(VLOOKUP($BM200,'Fuel economy adjusted factor'!$A$2:$L$52,5,FALSE)*m2k))</f>
        <v>3.8257732330373648</v>
      </c>
      <c r="CP200" s="98" cm="1">
        <f t="array" ref="CP200">SUMPRODUCT(INDEX(BN200:CO200,,'TCO Inputs'!$AZ$12-2023+_xlfn.SEQUENCE('TCO Inputs'!$AZ$13))*INDEX('VKT US'!C90:AA90,,_xlfn.SEQUENCE('TCO Inputs'!$AZ$13)))*m2k*CONVERT(0.9072,"g","ton")</f>
        <v>10.920861343936517</v>
      </c>
      <c r="CQ200" s="194"/>
      <c r="CR200" s="123" t="s">
        <v>215</v>
      </c>
      <c r="CS200" s="125">
        <f>CS88/293.07*(1/(VLOOKUP($BM200,'Fuel economy adjusted factor'!$A$2:$L$52,5,FALSE)*m2k))/'TCO Inputs'!$AZ$84</f>
        <v>88.531535812563945</v>
      </c>
      <c r="CT200" s="125">
        <f>CT88/293.07*(1/(VLOOKUP($BM200,'Fuel economy adjusted factor'!$A$2:$L$52,5,FALSE)*m2k))</f>
        <v>3.5236316756002775</v>
      </c>
      <c r="CU200" s="125">
        <f>CU88/293.07*(1/(VLOOKUP($BM200,'Fuel economy adjusted factor'!$A$2:$L$52,5,FALSE)*m2k))</f>
        <v>3.5236316756002775</v>
      </c>
      <c r="CV200" s="125">
        <f>CV88/293.07*(1/(VLOOKUP($BM200,'Fuel economy adjusted factor'!$A$2:$L$52,5,FALSE)*m2k))</f>
        <v>3.5236316756002775</v>
      </c>
      <c r="CW200" s="125">
        <f>CW88/293.07*(1/(VLOOKUP($BM200,'Fuel economy adjusted factor'!$A$2:$L$52,5,FALSE)*m2k))</f>
        <v>3.5236316756002775</v>
      </c>
      <c r="CX200" s="125">
        <f>CX88/293.07*(1/(VLOOKUP($BM200,'Fuel economy adjusted factor'!$A$2:$L$52,5,FALSE)*m2k))</f>
        <v>3.5236316756002775</v>
      </c>
      <c r="CY200" s="125">
        <f>CY88/293.07*(1/(VLOOKUP($BM200,'Fuel economy adjusted factor'!$A$2:$L$52,5,FALSE)*m2k))</f>
        <v>3.5236316756002775</v>
      </c>
      <c r="CZ200" s="125">
        <f>CZ88/293.07*(1/(VLOOKUP($BM200,'Fuel economy adjusted factor'!$A$2:$L$52,5,FALSE)*m2k))</f>
        <v>3.5236316756002775</v>
      </c>
      <c r="DA200" s="125">
        <f>DA88/293.07*(1/(VLOOKUP($BM200,'Fuel economy adjusted factor'!$A$2:$L$52,5,FALSE)*m2k))</f>
        <v>3.5236316756002775</v>
      </c>
      <c r="DB200" s="125">
        <f>DB88/293.07*(1/(VLOOKUP($BM200,'Fuel economy adjusted factor'!$A$2:$L$52,5,FALSE)*m2k))</f>
        <v>3.5236316756002775</v>
      </c>
      <c r="DC200" s="125">
        <f>DC88/293.07*(1/(VLOOKUP($BM200,'Fuel economy adjusted factor'!$A$2:$L$52,5,FALSE)*m2k))</f>
        <v>3.5236316756002775</v>
      </c>
      <c r="DD200" s="125">
        <f>DD88/293.07*(1/(VLOOKUP($BM200,'Fuel economy adjusted factor'!$A$2:$L$52,5,FALSE)*m2k))</f>
        <v>3.5236316756002775</v>
      </c>
      <c r="DE200" s="125">
        <f>DE88/293.07*(1/(VLOOKUP($BM200,'Fuel economy adjusted factor'!$A$2:$L$52,5,FALSE)*m2k))</f>
        <v>3.6245388368172704</v>
      </c>
      <c r="DF200" s="125">
        <f>DF88/293.07*(1/(VLOOKUP($BM200,'Fuel economy adjusted factor'!$A$2:$L$52,5,FALSE)*m2k))</f>
        <v>3.6245388368172704</v>
      </c>
      <c r="DG200" s="125">
        <f>DG88/293.07*(1/(VLOOKUP($BM200,'Fuel economy adjusted factor'!$A$2:$L$52,5,FALSE)*m2k))</f>
        <v>3.6245388368172704</v>
      </c>
      <c r="DH200" s="125">
        <f>DH88/293.07*(1/(VLOOKUP($BM200,'Fuel economy adjusted factor'!$A$2:$L$52,5,FALSE)*m2k))</f>
        <v>3.6245388368172704</v>
      </c>
      <c r="DI200" s="125">
        <f>DI88/293.07*(1/(VLOOKUP($BM200,'Fuel economy adjusted factor'!$A$2:$L$52,5,FALSE)*m2k))</f>
        <v>3.6245388368172704</v>
      </c>
      <c r="DJ200" s="125">
        <f>DJ88/293.07*(1/(VLOOKUP($BM200,'Fuel economy adjusted factor'!$A$2:$L$52,5,FALSE)*m2k))</f>
        <v>3.813014856331769</v>
      </c>
      <c r="DK200" s="125">
        <f>DK88/293.07*(1/(VLOOKUP($BM200,'Fuel economy adjusted factor'!$A$2:$L$52,5,FALSE)*m2k))</f>
        <v>3.813014856331769</v>
      </c>
      <c r="DL200" s="125">
        <f>DL88/293.07*(1/(VLOOKUP($BM200,'Fuel economy adjusted factor'!$A$2:$L$52,5,FALSE)*m2k))</f>
        <v>3.813014856331769</v>
      </c>
      <c r="DM200" s="125">
        <f>DM88/293.07*(1/(VLOOKUP($BM200,'Fuel economy adjusted factor'!$A$2:$L$52,5,FALSE)*m2k))</f>
        <v>3.813014856331769</v>
      </c>
      <c r="DN200" s="125">
        <f>DN88/293.07*(1/(VLOOKUP($BM200,'Fuel economy adjusted factor'!$A$2:$L$52,5,FALSE)*m2k))</f>
        <v>3.813014856331769</v>
      </c>
      <c r="DO200" s="125">
        <f>DO88/293.07*(1/(VLOOKUP($BM200,'Fuel economy adjusted factor'!$A$2:$L$52,5,FALSE)*m2k))</f>
        <v>3.9376989923182828</v>
      </c>
      <c r="DP200" s="125">
        <f>DP88/293.07*(1/(VLOOKUP($BM200,'Fuel economy adjusted factor'!$A$2:$L$52,5,FALSE)*m2k))</f>
        <v>3.9376989923182828</v>
      </c>
      <c r="DQ200" s="125">
        <f>DQ88/293.07*(1/(VLOOKUP($BM200,'Fuel economy adjusted factor'!$A$2:$L$52,5,FALSE)*m2k))</f>
        <v>3.9376989923182828</v>
      </c>
      <c r="DR200" s="125">
        <f>DR88/293.07*(1/(VLOOKUP($BM200,'Fuel economy adjusted factor'!$A$2:$L$52,5,FALSE)*m2k))</f>
        <v>3.9376989923182828</v>
      </c>
      <c r="DS200" s="125">
        <f>DS88/293.07*(1/(VLOOKUP($BM200,'Fuel economy adjusted factor'!$A$2:$L$52,5,FALSE)*m2k))</f>
        <v>3.9376989923182828</v>
      </c>
      <c r="DT200" s="125">
        <f>DT88/293.07*(1/(VLOOKUP($BM200,'Fuel economy adjusted factor'!$A$2:$L$52,5,FALSE)*m2k))</f>
        <v>4.096018848710461</v>
      </c>
      <c r="DU200" s="98" cm="1">
        <f t="array" ref="DU200">SUMPRODUCT(INDEX(CS200:DT200,,'TCO Inputs'!$AZ$12-2023+_xlfn.SEQUENCE('TCO Inputs'!$AZ$13))*INDEX('VKT US'!C90:AA90,,_xlfn.SEQUENCE('TCO Inputs'!$AZ$13)))*m2k*CONVERT(0.9072,"g","ton")</f>
        <v>3.2099169557167069</v>
      </c>
      <c r="DW200" s="123" t="s">
        <v>215</v>
      </c>
      <c r="DX200" s="125">
        <f>DX88/293.07*(1/(VLOOKUP($BM200,'Fuel economy adjusted factor'!$A$2:$L$52,5,FALSE)*m2k))/'TCO Inputs'!$AZ$84</f>
        <v>116.9659685382931</v>
      </c>
      <c r="DY200" s="125">
        <f>DY88/293.07*(1/(VLOOKUP($BM200,'Fuel economy adjusted factor'!$A$2:$L$52,5,FALSE)*m2k))/'TCO Inputs'!$AZ$84</f>
        <v>116.9659685382931</v>
      </c>
      <c r="DZ200" s="125">
        <f>DZ88/293.07*(1/(VLOOKUP($BM200,'Fuel economy adjusted factor'!$A$2:$L$52,5,FALSE)*m2k))/'TCO Inputs'!$AZ$84</f>
        <v>102.33097323756188</v>
      </c>
      <c r="EA200" s="125">
        <f>EA88/293.07*(1/(VLOOKUP($BM200,'Fuel economy adjusted factor'!$A$2:$L$52,5,FALSE)*m2k))/'TCO Inputs'!$AZ$84</f>
        <v>102.33097323756188</v>
      </c>
      <c r="EB200" s="125">
        <f>EB88/293.07*(1/(VLOOKUP($BM200,'Fuel economy adjusted factor'!$A$2:$L$52,5,FALSE)*m2k))/'TCO Inputs'!$AZ$84</f>
        <v>102.33097323756188</v>
      </c>
      <c r="EC200" s="125">
        <f>EC88/293.07*(1/(VLOOKUP($BM200,'Fuel economy adjusted factor'!$A$2:$L$52,5,FALSE)*m2k))/'TCO Inputs'!$AZ$84</f>
        <v>102.33097323756188</v>
      </c>
      <c r="ED200" s="125">
        <f>ED88/293.07*(1/(VLOOKUP($BM200,'Fuel economy adjusted factor'!$A$2:$L$52,5,FALSE)*m2k))/'TCO Inputs'!$AZ$84</f>
        <v>102.33097323756188</v>
      </c>
      <c r="EE200" s="125">
        <f>EE88/293.07*(1/(VLOOKUP($BM200,'Fuel economy adjusted factor'!$A$2:$L$52,5,FALSE)*m2k))/'TCO Inputs'!$AZ$84</f>
        <v>63.66640107289934</v>
      </c>
      <c r="EF200" s="125">
        <f>EF88/293.07*(1/(VLOOKUP($BM200,'Fuel economy adjusted factor'!$A$2:$L$52,5,FALSE)*m2k))/'TCO Inputs'!$AZ$84</f>
        <v>63.66640107289934</v>
      </c>
      <c r="EG200" s="125">
        <f>EG88/293.07*(1/(VLOOKUP($BM200,'Fuel economy adjusted factor'!$A$2:$L$52,5,FALSE)*m2k))/'TCO Inputs'!$AZ$84</f>
        <v>63.66640107289934</v>
      </c>
      <c r="EH200" s="125">
        <f>EH88/293.07*(1/(VLOOKUP($BM200,'Fuel economy adjusted factor'!$A$2:$L$52,5,FALSE)*m2k))/'TCO Inputs'!$AZ$84</f>
        <v>63.66640107289934</v>
      </c>
      <c r="EI200" s="125">
        <f>EI88/293.07*(1/(VLOOKUP($BM200,'Fuel economy adjusted factor'!$A$2:$L$52,5,FALSE)*m2k))/'TCO Inputs'!$AZ$84</f>
        <v>63.66640107289934</v>
      </c>
      <c r="EJ200" s="125">
        <f>EJ88/293.07*(1/(VLOOKUP($BM200,'Fuel economy adjusted factor'!$A$2:$L$52,5,FALSE)*m2k))/'TCO Inputs'!$AZ$84</f>
        <v>56.688819918907328</v>
      </c>
      <c r="EK200" s="125">
        <f>EK88/293.07*(1/(VLOOKUP($BM200,'Fuel economy adjusted factor'!$A$2:$L$52,5,FALSE)*m2k))/'TCO Inputs'!$AZ$84</f>
        <v>56.688819918907328</v>
      </c>
      <c r="EL200" s="125">
        <f>EL88/293.07*(1/(VLOOKUP($BM200,'Fuel economy adjusted factor'!$A$2:$L$52,5,FALSE)*m2k))/'TCO Inputs'!$AZ$84</f>
        <v>56.688819918907328</v>
      </c>
      <c r="EM200" s="125">
        <f>EM88/293.07*(1/(VLOOKUP($BM200,'Fuel economy adjusted factor'!$A$2:$L$52,5,FALSE)*m2k))/'TCO Inputs'!$AZ$84</f>
        <v>56.688819918907328</v>
      </c>
      <c r="EN200" s="125">
        <f>EN88/293.07*(1/(VLOOKUP($BM200,'Fuel economy adjusted factor'!$A$2:$L$52,5,FALSE)*m2k))/'TCO Inputs'!$AZ$84</f>
        <v>56.688819918907328</v>
      </c>
      <c r="EO200" s="125">
        <f>EO88/293.07*(1/(VLOOKUP($BM200,'Fuel economy adjusted factor'!$A$2:$L$52,5,FALSE)*m2k))/'TCO Inputs'!$AZ$84</f>
        <v>55.08381930541065</v>
      </c>
      <c r="EP200" s="125">
        <f>EP88/293.07*(1/(VLOOKUP($BM200,'Fuel economy adjusted factor'!$A$2:$L$52,5,FALSE)*m2k))/'TCO Inputs'!$AZ$84</f>
        <v>55.08381930541065</v>
      </c>
      <c r="EQ200" s="125">
        <f>EQ88/293.07*(1/(VLOOKUP($BM200,'Fuel economy adjusted factor'!$A$2:$L$52,5,FALSE)*m2k))/'TCO Inputs'!$AZ$84</f>
        <v>55.08381930541065</v>
      </c>
      <c r="ER200" s="125">
        <f>ER88/293.07*(1/(VLOOKUP($BM200,'Fuel economy adjusted factor'!$A$2:$L$52,5,FALSE)*m2k))/'TCO Inputs'!$AZ$84</f>
        <v>55.08381930541065</v>
      </c>
      <c r="ES200" s="125">
        <f>ES88/293.07*(1/(VLOOKUP($BM200,'Fuel economy adjusted factor'!$A$2:$L$52,5,FALSE)*m2k))/'TCO Inputs'!$AZ$84</f>
        <v>55.08381930541065</v>
      </c>
      <c r="ET200" s="125">
        <f>ET88/293.07*(1/(VLOOKUP($BM200,'Fuel economy adjusted factor'!$A$2:$L$52,5,FALSE)*m2k))/'TCO Inputs'!$AZ$84</f>
        <v>53.134358961688477</v>
      </c>
      <c r="EU200" s="125">
        <f>EU88/293.07*(1/(VLOOKUP($BM200,'Fuel economy adjusted factor'!$A$2:$L$52,5,FALSE)*m2k))/'TCO Inputs'!$AZ$84</f>
        <v>53.134358961688477</v>
      </c>
      <c r="EV200" s="125">
        <f>EV88/293.07*(1/(VLOOKUP($BM200,'Fuel economy adjusted factor'!$A$2:$L$52,5,FALSE)*m2k))/'TCO Inputs'!$AZ$84</f>
        <v>53.134358961688477</v>
      </c>
      <c r="EW200" s="125">
        <f>EW88/293.07*(1/(VLOOKUP($BM200,'Fuel economy adjusted factor'!$A$2:$L$52,5,FALSE)*m2k))/'TCO Inputs'!$AZ$84</f>
        <v>53.134358961688477</v>
      </c>
      <c r="EX200" s="125">
        <f>EX88/293.07*(1/(VLOOKUP($BM200,'Fuel economy adjusted factor'!$A$2:$L$52,5,FALSE)*m2k))/'TCO Inputs'!$AZ$84</f>
        <v>53.134358961688477</v>
      </c>
      <c r="EY200" s="125">
        <f>EY88/293.07*(1/(VLOOKUP($BM200,'Fuel economy adjusted factor'!$A$2:$L$52,5,FALSE)*m2k))/'TCO Inputs'!$AZ$84</f>
        <v>50.027613049510897</v>
      </c>
      <c r="EZ200" s="98" cm="1">
        <f t="array" ref="EZ200">SUMPRODUCT(INDEX(DX200:EY200,,'TCO Inputs'!$AZ$12-2023+_xlfn.SEQUENCE('TCO Inputs'!$AZ$13))*INDEX('VKT US'!C90:AA90,,_xlfn.SEQUENCE('TCO Inputs'!$AZ$13)))*m2k*CONVERT(0.9072,"g","ton")</f>
        <v>25.653286565448767</v>
      </c>
      <c r="FB200" s="123" t="s">
        <v>215</v>
      </c>
      <c r="FC200" s="125">
        <f>FC88/293.07*(1/(VLOOKUP($BM200,'Fuel economy adjusted factor'!$A$2:$L$52,5,FALSE)*m2k))/'TCO Inputs'!$AZ$84</f>
        <v>126.44150226830878</v>
      </c>
      <c r="FD200" s="125">
        <f>FD88/293.07*(1/(VLOOKUP($BM200,'Fuel economy adjusted factor'!$A$2:$L$52,5,FALSE)*m2k))/'TCO Inputs'!$AZ$84</f>
        <v>126.44150226830878</v>
      </c>
      <c r="FE200" s="125">
        <f>FE88/293.07*(1/(VLOOKUP($BM200,'Fuel economy adjusted factor'!$A$2:$L$52,5,FALSE)*m2k))/'TCO Inputs'!$AZ$84</f>
        <v>110.23620013985898</v>
      </c>
      <c r="FF200" s="125">
        <f>FF88/293.07*(1/(VLOOKUP($BM200,'Fuel economy adjusted factor'!$A$2:$L$52,5,FALSE)*m2k))/'TCO Inputs'!$AZ$84</f>
        <v>110.23620013985898</v>
      </c>
      <c r="FG200" s="125">
        <f>FG88/293.07*(1/(VLOOKUP($BM200,'Fuel economy adjusted factor'!$A$2:$L$52,5,FALSE)*m2k))/'TCO Inputs'!$AZ$84</f>
        <v>110.23620013985898</v>
      </c>
      <c r="FH200" s="125">
        <f>FH88/293.07*(1/(VLOOKUP($BM200,'Fuel economy adjusted factor'!$A$2:$L$52,5,FALSE)*m2k))/'TCO Inputs'!$AZ$84</f>
        <v>110.23620013985898</v>
      </c>
      <c r="FI200" s="125">
        <f>FI88/293.07*(1/(VLOOKUP($BM200,'Fuel economy adjusted factor'!$A$2:$L$52,5,FALSE)*m2k))/'TCO Inputs'!$AZ$84</f>
        <v>110.23620013985898</v>
      </c>
      <c r="FJ200" s="125">
        <f>FJ88/293.07*(1/(VLOOKUP($BM200,'Fuel economy adjusted factor'!$A$2:$L$52,5,FALSE)*m2k))/'TCO Inputs'!$AZ$84</f>
        <v>69.725422946290081</v>
      </c>
      <c r="FK200" s="125">
        <f>FK88/293.07*(1/(VLOOKUP($BM200,'Fuel economy adjusted factor'!$A$2:$L$52,5,FALSE)*m2k))/'TCO Inputs'!$AZ$84</f>
        <v>69.725422946290081</v>
      </c>
      <c r="FL200" s="125">
        <f>FL88/293.07*(1/(VLOOKUP($BM200,'Fuel economy adjusted factor'!$A$2:$L$52,5,FALSE)*m2k))/'TCO Inputs'!$AZ$84</f>
        <v>69.725422946290081</v>
      </c>
      <c r="FM200" s="125">
        <f>FM88/293.07*(1/(VLOOKUP($BM200,'Fuel economy adjusted factor'!$A$2:$L$52,5,FALSE)*m2k))/'TCO Inputs'!$AZ$84</f>
        <v>69.725422946290081</v>
      </c>
      <c r="FN200" s="125">
        <f>FN88/293.07*(1/(VLOOKUP($BM200,'Fuel economy adjusted factor'!$A$2:$L$52,5,FALSE)*m2k))/'TCO Inputs'!$AZ$84</f>
        <v>69.725422946290081</v>
      </c>
      <c r="FO200" s="125">
        <f>FO88/293.07*(1/(VLOOKUP($BM200,'Fuel economy adjusted factor'!$A$2:$L$52,5,FALSE)*m2k))/'TCO Inputs'!$AZ$84</f>
        <v>61.756590770066431</v>
      </c>
      <c r="FP200" s="125">
        <f>FP88/293.07*(1/(VLOOKUP($BM200,'Fuel economy adjusted factor'!$A$2:$L$52,5,FALSE)*m2k))/'TCO Inputs'!$AZ$84</f>
        <v>61.756590770066431</v>
      </c>
      <c r="FQ200" s="125">
        <f>FQ88/293.07*(1/(VLOOKUP($BM200,'Fuel economy adjusted factor'!$A$2:$L$52,5,FALSE)*m2k))/'TCO Inputs'!$AZ$84</f>
        <v>61.756590770066431</v>
      </c>
      <c r="FR200" s="125">
        <f>FR88/293.07*(1/(VLOOKUP($BM200,'Fuel economy adjusted factor'!$A$2:$L$52,5,FALSE)*m2k))/'TCO Inputs'!$AZ$84</f>
        <v>61.756590770066431</v>
      </c>
      <c r="FS200" s="125">
        <f>FS88/293.07*(1/(VLOOKUP($BM200,'Fuel economy adjusted factor'!$A$2:$L$52,5,FALSE)*m2k))/'TCO Inputs'!$AZ$84</f>
        <v>61.756590770066431</v>
      </c>
      <c r="FT200" s="125">
        <f>FT88/293.07*(1/(VLOOKUP($BM200,'Fuel economy adjusted factor'!$A$2:$L$52,5,FALSE)*m2k))/'TCO Inputs'!$AZ$84</f>
        <v>60.346536190941983</v>
      </c>
      <c r="FU200" s="125">
        <f>FU88/293.07*(1/(VLOOKUP($BM200,'Fuel economy adjusted factor'!$A$2:$L$52,5,FALSE)*m2k))/'TCO Inputs'!$AZ$84</f>
        <v>60.346536190941983</v>
      </c>
      <c r="FV200" s="125">
        <f>FV88/293.07*(1/(VLOOKUP($BM200,'Fuel economy adjusted factor'!$A$2:$L$52,5,FALSE)*m2k))/'TCO Inputs'!$AZ$84</f>
        <v>60.346536190941983</v>
      </c>
      <c r="FW200" s="125">
        <f>FW88/293.07*(1/(VLOOKUP($BM200,'Fuel economy adjusted factor'!$A$2:$L$52,5,FALSE)*m2k))/'TCO Inputs'!$AZ$84</f>
        <v>60.346536190941983</v>
      </c>
      <c r="FX200" s="125">
        <f>FX88/293.07*(1/(VLOOKUP($BM200,'Fuel economy adjusted factor'!$A$2:$L$52,5,FALSE)*m2k))/'TCO Inputs'!$AZ$84</f>
        <v>60.346536190941983</v>
      </c>
      <c r="FY200" s="125">
        <f>FY88/293.07*(1/(VLOOKUP($BM200,'Fuel economy adjusted factor'!$A$2:$L$52,5,FALSE)*m2k))/'TCO Inputs'!$AZ$84</f>
        <v>58.393771677145708</v>
      </c>
      <c r="FZ200" s="125">
        <f>FZ88/293.07*(1/(VLOOKUP($BM200,'Fuel economy adjusted factor'!$A$2:$L$52,5,FALSE)*m2k))/'TCO Inputs'!$AZ$84</f>
        <v>58.393771677145708</v>
      </c>
      <c r="GA200" s="125">
        <f>GA88/293.07*(1/(VLOOKUP($BM200,'Fuel economy adjusted factor'!$A$2:$L$52,5,FALSE)*m2k))/'TCO Inputs'!$AZ$84</f>
        <v>58.393771677145708</v>
      </c>
      <c r="GB200" s="125">
        <f>GB88/293.07*(1/(VLOOKUP($BM200,'Fuel economy adjusted factor'!$A$2:$L$52,5,FALSE)*m2k))/'TCO Inputs'!$AZ$84</f>
        <v>58.393771677145708</v>
      </c>
      <c r="GC200" s="125">
        <f>GC88/293.07*(1/(VLOOKUP($BM200,'Fuel economy adjusted factor'!$A$2:$L$52,5,FALSE)*m2k))/'TCO Inputs'!$AZ$84</f>
        <v>58.393771677145708</v>
      </c>
      <c r="GD200" s="125">
        <f>GD88/293.07*(1/(VLOOKUP($BM200,'Fuel economy adjusted factor'!$A$2:$L$52,5,FALSE)*m2k))/'TCO Inputs'!$AZ$84</f>
        <v>55.181292322596754</v>
      </c>
      <c r="GE200" s="98" cm="1">
        <f t="array" ref="GE200">SUMPRODUCT(INDEX(FC200:GD200,,'TCO Inputs'!$AZ$12-2023+_xlfn.SEQUENCE('TCO Inputs'!$AZ$13))*INDEX('VKT US'!C90:AA90,,_xlfn.SEQUENCE('TCO Inputs'!$AZ$13)))*m2k*CONVERT(0.9072,"g","ton")</f>
        <v>27.79303009772374</v>
      </c>
      <c r="GH200" s="123" t="s">
        <v>215</v>
      </c>
      <c r="GI200" s="125">
        <f>GI88/293.07*(1/(VLOOKUP($GH200,'Fuel economy adjusted factor'!$A$2:$L$52,5,FALSE)*m2k))/'TCO Inputs'!$AZ$84</f>
        <v>222.58932621395476</v>
      </c>
      <c r="GJ200" s="125">
        <f>GJ88/293.07*(1/(VLOOKUP($GH200,'Fuel economy adjusted factor'!$A$2:$L$52,5,FALSE)*m2k))/'TCO Inputs'!$AZ$84</f>
        <v>222.58932621395476</v>
      </c>
      <c r="GK200" s="125">
        <f>GK88/293.07*(1/(VLOOKUP($GH200,'Fuel economy adjusted factor'!$A$2:$L$52,5,FALSE)*m2k))/'TCO Inputs'!$AZ$84</f>
        <v>222.58932621395476</v>
      </c>
      <c r="GL200" s="125">
        <f>GL88/293.07*(1/(VLOOKUP($GH200,'Fuel economy adjusted factor'!$A$2:$L$52,5,FALSE)*m2k))/'TCO Inputs'!$AZ$84</f>
        <v>222.58932621395476</v>
      </c>
      <c r="GM200" s="125">
        <f>GM88/293.07*(1/(VLOOKUP($GH200,'Fuel economy adjusted factor'!$A$2:$L$52,5,FALSE)*m2k))/'TCO Inputs'!$AZ$84</f>
        <v>222.58932621395476</v>
      </c>
      <c r="GN200" s="125">
        <f>GN88/293.07*(1/(VLOOKUP($GH200,'Fuel economy adjusted factor'!$A$2:$L$52,5,FALSE)*m2k))/'TCO Inputs'!$AZ$84</f>
        <v>222.58932621395476</v>
      </c>
      <c r="GO200" s="125">
        <f>GO88/293.07*(1/(VLOOKUP($GH200,'Fuel economy adjusted factor'!$A$2:$L$52,5,FALSE)*m2k))/'TCO Inputs'!$AZ$84</f>
        <v>222.58932621395476</v>
      </c>
      <c r="GP200" s="125">
        <f>GP88/293.07*(1/(VLOOKUP($GH200,'Fuel economy adjusted factor'!$A$2:$L$52,5,FALSE)*m2k))/'TCO Inputs'!$AZ$84</f>
        <v>222.58932621395476</v>
      </c>
      <c r="GQ200" s="125">
        <f>GQ88/293.07*(1/(VLOOKUP($GH200,'Fuel economy adjusted factor'!$A$2:$L$52,5,FALSE)*m2k))/'TCO Inputs'!$AZ$84</f>
        <v>222.58932621395476</v>
      </c>
      <c r="GR200" s="125">
        <f>GR88/293.07*(1/(VLOOKUP($GH200,'Fuel economy adjusted factor'!$A$2:$L$52,5,FALSE)*m2k))/'TCO Inputs'!$AZ$84</f>
        <v>222.58932621395476</v>
      </c>
      <c r="GS200" s="125">
        <f>GS88/293.07*(1/(VLOOKUP($GH200,'Fuel economy adjusted factor'!$A$2:$L$52,5,FALSE)*m2k))/'TCO Inputs'!$AZ$84</f>
        <v>222.58932621395476</v>
      </c>
      <c r="GT200" s="125">
        <f>GT88/293.07*(1/(VLOOKUP($GH200,'Fuel economy adjusted factor'!$A$2:$L$52,5,FALSE)*m2k))/'TCO Inputs'!$AZ$84</f>
        <v>222.58932621395476</v>
      </c>
      <c r="GU200" s="125">
        <f>GU88/293.07*(1/(VLOOKUP($GH200,'Fuel economy adjusted factor'!$A$2:$L$52,5,FALSE)*m2k))/'TCO Inputs'!$AZ$84</f>
        <v>222.58932621395476</v>
      </c>
      <c r="GV200" s="125">
        <f>GV88/293.07*(1/(VLOOKUP($GH200,'Fuel economy adjusted factor'!$A$2:$L$52,5,FALSE)*m2k))/'TCO Inputs'!$AZ$84</f>
        <v>222.58932621395476</v>
      </c>
      <c r="GW200" s="125">
        <f>GW88/293.07*(1/(VLOOKUP($GH200,'Fuel economy adjusted factor'!$A$2:$L$52,5,FALSE)*m2k))/'TCO Inputs'!$AZ$84</f>
        <v>222.58932621395476</v>
      </c>
      <c r="GX200" s="125">
        <f>GX88/293.07*(1/(VLOOKUP($GH200,'Fuel economy adjusted factor'!$A$2:$L$52,5,FALSE)*m2k))/'TCO Inputs'!$AZ$84</f>
        <v>222.58932621395476</v>
      </c>
      <c r="GY200" s="125">
        <f>GY88/293.07*(1/(VLOOKUP($GH200,'Fuel economy adjusted factor'!$A$2:$L$52,5,FALSE)*m2k))/'TCO Inputs'!$AZ$84</f>
        <v>222.58932621395476</v>
      </c>
      <c r="GZ200" s="125">
        <f>GZ88/293.07*(1/(VLOOKUP($GH200,'Fuel economy adjusted factor'!$A$2:$L$52,5,FALSE)*m2k))/'TCO Inputs'!$AZ$84</f>
        <v>222.58932621395476</v>
      </c>
      <c r="HA200" s="125">
        <f>HA88/293.07*(1/(VLOOKUP($GH200,'Fuel economy adjusted factor'!$A$2:$L$52,5,FALSE)*m2k))/'TCO Inputs'!$AZ$84</f>
        <v>222.58932621395476</v>
      </c>
      <c r="HB200" s="125">
        <f>HB88/293.07*(1/(VLOOKUP($GH200,'Fuel economy adjusted factor'!$A$2:$L$52,5,FALSE)*m2k))/'TCO Inputs'!$AZ$84</f>
        <v>222.58932621395476</v>
      </c>
      <c r="HC200" s="125">
        <f>HC88/293.07*(1/(VLOOKUP($GH200,'Fuel economy adjusted factor'!$A$2:$L$52,5,FALSE)*m2k))/'TCO Inputs'!$AZ$84</f>
        <v>222.58932621395476</v>
      </c>
      <c r="HD200" s="125">
        <f>HD88/293.07*(1/(VLOOKUP($GH200,'Fuel economy adjusted factor'!$A$2:$L$52,5,FALSE)*m2k))/'TCO Inputs'!$AZ$84</f>
        <v>222.58932621395476</v>
      </c>
      <c r="HE200" s="125">
        <f>HE88/293.07*(1/(VLOOKUP($GH200,'Fuel economy adjusted factor'!$A$2:$L$52,5,FALSE)*m2k))/'TCO Inputs'!$AZ$84</f>
        <v>222.58932621395476</v>
      </c>
      <c r="HF200" s="125">
        <f>HF88/293.07*(1/(VLOOKUP($GH200,'Fuel economy adjusted factor'!$A$2:$L$52,5,FALSE)*m2k))/'TCO Inputs'!$AZ$84</f>
        <v>222.58932621395476</v>
      </c>
      <c r="HG200" s="125">
        <f>HG88/293.07*(1/(VLOOKUP($GH200,'Fuel economy adjusted factor'!$A$2:$L$52,5,FALSE)*m2k))/'TCO Inputs'!$AZ$84</f>
        <v>222.58932621395476</v>
      </c>
      <c r="HH200" s="125">
        <f>HH88/293.07*(1/(VLOOKUP($GH200,'Fuel economy adjusted factor'!$A$2:$L$52,5,FALSE)*m2k))/'TCO Inputs'!$AZ$84</f>
        <v>222.58932621395476</v>
      </c>
      <c r="HI200" s="125">
        <f>HI88/293.07*(1/(VLOOKUP($GH200,'Fuel economy adjusted factor'!$A$2:$L$52,5,FALSE)*m2k))/'TCO Inputs'!$AZ$84</f>
        <v>222.58932621395476</v>
      </c>
      <c r="HJ200" s="125">
        <f>HJ88/293.07*(1/(VLOOKUP($GH200,'Fuel economy adjusted factor'!$A$2:$L$52,5,FALSE)*m2k))/'TCO Inputs'!$AZ$84</f>
        <v>222.58932621395476</v>
      </c>
      <c r="HK200" s="98" cm="1">
        <f t="array" ref="HK200">SUMPRODUCT(INDEX(GI200:HJ200,,'TCO Inputs'!$AZ$12-2023+_xlfn.SEQUENCE('TCO Inputs'!$AZ$13))*INDEX('VKT US'!C90:AA90,,_xlfn.SEQUENCE('TCO Inputs'!$AZ$13)))*m2k*CONVERT(0.9072,"g","ton")</f>
        <v>65.953359257655478</v>
      </c>
    </row>
    <row r="201" spans="26:219" x14ac:dyDescent="0.25">
      <c r="Z201" s="123" t="s">
        <v>212</v>
      </c>
      <c r="AA201" s="125">
        <f>AA89/293.07*(1/(VLOOKUP($Z201,'Fuel economy adjusted factor'!$A$2:$L$52,5,FALSE)*m2k))/'TCO Inputs'!$AZ$84</f>
        <v>39.262437973638903</v>
      </c>
      <c r="AB201" s="125">
        <f>AB89/293.07*(1/(VLOOKUP($Z201,'Fuel economy adjusted factor'!$A$2:$L$52,5,FALSE)*m2k))/'TCO Inputs'!$AZ$84</f>
        <v>39.262437973638903</v>
      </c>
      <c r="AC201" s="125">
        <f>AC89/293.07*(1/(VLOOKUP($Z201,'Fuel economy adjusted factor'!$A$2:$L$52,5,FALSE)*m2k))/'TCO Inputs'!$AZ$84</f>
        <v>34.485988610179433</v>
      </c>
      <c r="AD201" s="125">
        <f>AD89/293.07*(1/(VLOOKUP($Z201,'Fuel economy adjusted factor'!$A$2:$L$52,5,FALSE)*m2k))/'TCO Inputs'!$AZ$84</f>
        <v>34.485988610179433</v>
      </c>
      <c r="AE201" s="125">
        <f>AE89/293.07*(1/(VLOOKUP($Z201,'Fuel economy adjusted factor'!$A$2:$L$52,5,FALSE)*m2k))/'TCO Inputs'!$AZ$84</f>
        <v>34.485988610179433</v>
      </c>
      <c r="AF201" s="125">
        <f>AF89/293.07*(1/(VLOOKUP($Z201,'Fuel economy adjusted factor'!$A$2:$L$52,5,FALSE)*m2k))/'TCO Inputs'!$AZ$84</f>
        <v>34.485988610179433</v>
      </c>
      <c r="AG201" s="125">
        <f>AG89/293.07*(1/(VLOOKUP($Z201,'Fuel economy adjusted factor'!$A$2:$L$52,5,FALSE)*m2k))/'TCO Inputs'!$AZ$84</f>
        <v>34.485988610179433</v>
      </c>
      <c r="AH201" s="125">
        <f>AH89/293.07*(1/(VLOOKUP($Z201,'Fuel economy adjusted factor'!$A$2:$L$52,5,FALSE)*m2k))/'TCO Inputs'!$AZ$84</f>
        <v>13.038260453619145</v>
      </c>
      <c r="AI201" s="125">
        <f>AI89/293.07*(1/(VLOOKUP($Z201,'Fuel economy adjusted factor'!$A$2:$L$52,5,FALSE)*m2k))/'TCO Inputs'!$AZ$84</f>
        <v>13.038260453619145</v>
      </c>
      <c r="AJ201" s="125">
        <f>AJ89/293.07*(1/(VLOOKUP($Z201,'Fuel economy adjusted factor'!$A$2:$L$52,5,FALSE)*m2k))/'TCO Inputs'!$AZ$84</f>
        <v>13.038260453619145</v>
      </c>
      <c r="AK201" s="125">
        <f>AK89/293.07*(1/(VLOOKUP($Z201,'Fuel economy adjusted factor'!$A$2:$L$52,5,FALSE)*m2k))/'TCO Inputs'!$AZ$84</f>
        <v>13.038260453619145</v>
      </c>
      <c r="AL201" s="125">
        <f>AL89/293.07*(1/(VLOOKUP($Z201,'Fuel economy adjusted factor'!$A$2:$L$52,5,FALSE)*m2k))/'TCO Inputs'!$AZ$84</f>
        <v>13.038260453619145</v>
      </c>
      <c r="AM201" s="125">
        <f>AM89/293.07*(1/(VLOOKUP($Z201,'Fuel economy adjusted factor'!$A$2:$L$52,5,FALSE)*m2k))/'TCO Inputs'!$AZ$84</f>
        <v>10.958662298604771</v>
      </c>
      <c r="AN201" s="125">
        <f>AN89/293.07*(1/(VLOOKUP($Z201,'Fuel economy adjusted factor'!$A$2:$L$52,5,FALSE)*m2k))/'TCO Inputs'!$AZ$84</f>
        <v>10.958662298604771</v>
      </c>
      <c r="AO201" s="125">
        <f>AO89/293.07*(1/(VLOOKUP($Z201,'Fuel economy adjusted factor'!$A$2:$L$52,5,FALSE)*m2k))/'TCO Inputs'!$AZ$84</f>
        <v>10.958662298604771</v>
      </c>
      <c r="AP201" s="125">
        <f>AP89/293.07*(1/(VLOOKUP($Z201,'Fuel economy adjusted factor'!$A$2:$L$52,5,FALSE)*m2k))/'TCO Inputs'!$AZ$84</f>
        <v>10.958662298604771</v>
      </c>
      <c r="AQ201" s="125">
        <f>AQ89/293.07*(1/(VLOOKUP($Z201,'Fuel economy adjusted factor'!$A$2:$L$52,5,FALSE)*m2k))/'TCO Inputs'!$AZ$84</f>
        <v>10.958662298604771</v>
      </c>
      <c r="AR201" s="125">
        <f>AR89/293.07*(1/(VLOOKUP($Z201,'Fuel economy adjusted factor'!$A$2:$L$52,5,FALSE)*m2k))/'TCO Inputs'!$AZ$84</f>
        <v>10.958662298604771</v>
      </c>
      <c r="AS201" s="125">
        <f>AS89/293.07*(1/(VLOOKUP($Z201,'Fuel economy adjusted factor'!$A$2:$L$52,5,FALSE)*m2k))/'TCO Inputs'!$AZ$84</f>
        <v>10.958662298604771</v>
      </c>
      <c r="AT201" s="125">
        <f>AT89/293.07*(1/(VLOOKUP($Z201,'Fuel economy adjusted factor'!$A$2:$L$52,5,FALSE)*m2k))/'TCO Inputs'!$AZ$84</f>
        <v>10.958662298604771</v>
      </c>
      <c r="AU201" s="125">
        <f>AU89/293.07*(1/(VLOOKUP($Z201,'Fuel economy adjusted factor'!$A$2:$L$52,5,FALSE)*m2k))/'TCO Inputs'!$AZ$84</f>
        <v>10.958662298604771</v>
      </c>
      <c r="AV201" s="125">
        <f>AV89/293.07*(1/(VLOOKUP($Z201,'Fuel economy adjusted factor'!$A$2:$L$52,5,FALSE)*m2k))/'TCO Inputs'!$AZ$84</f>
        <v>10.958662298604771</v>
      </c>
      <c r="AW201" s="125">
        <f>AW89/293.07*(1/(VLOOKUP($Z201,'Fuel economy adjusted factor'!$A$2:$L$52,5,FALSE)*m2k))/'TCO Inputs'!$AZ$84</f>
        <v>11.010402628083524</v>
      </c>
      <c r="AX201" s="125">
        <f>AX89/293.07*(1/(VLOOKUP($Z201,'Fuel economy adjusted factor'!$A$2:$L$52,5,FALSE)*m2k))/'TCO Inputs'!$AZ$84</f>
        <v>11.010402628083524</v>
      </c>
      <c r="AY201" s="125">
        <f>AY89/293.07*(1/(VLOOKUP($Z201,'Fuel economy adjusted factor'!$A$2:$L$52,5,FALSE)*m2k))/'TCO Inputs'!$AZ$84</f>
        <v>11.010402628083524</v>
      </c>
      <c r="AZ201" s="125">
        <f>AZ89/293.07*(1/(VLOOKUP($Z201,'Fuel economy adjusted factor'!$A$2:$L$52,5,FALSE)*m2k))/'TCO Inputs'!$AZ$84</f>
        <v>11.010402628083524</v>
      </c>
      <c r="BA201" s="125">
        <f>BA89/293.07*(1/(VLOOKUP($Z201,'Fuel economy adjusted factor'!$A$2:$L$52,5,FALSE)*m2k))/'TCO Inputs'!$AZ$84</f>
        <v>11.010402628083524</v>
      </c>
      <c r="BB201" s="125">
        <f>BB89/293.07*(1/(VLOOKUP($Z201,'Fuel economy adjusted factor'!$A$2:$L$52,5,FALSE)*m2k))/'TCO Inputs'!$AZ$84</f>
        <v>11.0754562587147</v>
      </c>
      <c r="BC201" s="98" cm="1">
        <f t="array" ref="BC201">SUMPRODUCT(INDEX(AA201:BB201,,'TCO Inputs'!$AZ$12-2023+_xlfn.SEQUENCE('TCO Inputs'!$AZ$13))*INDEX('VKT US'!C91:AA91,,_xlfn.SEQUENCE('TCO Inputs'!$AZ$13)))*m2k*CONVERT(0.9072,"g","ton")</f>
        <v>6.2120286545144427</v>
      </c>
      <c r="BM201" s="123" t="s">
        <v>212</v>
      </c>
      <c r="BN201" s="125">
        <f>BN89/293.07*(1/(VLOOKUP($BM201,'Fuel economy adjusted factor'!$A$2:$L$52,5,FALSE)*m2k))</f>
        <v>33.373072277593067</v>
      </c>
      <c r="BO201" s="125">
        <f>BO89/293.07*(1/(VLOOKUP($BM201,'Fuel economy adjusted factor'!$A$2:$L$52,5,FALSE)*m2k))</f>
        <v>33.373072277593067</v>
      </c>
      <c r="BP201" s="125">
        <f>BP89/293.07*(1/(VLOOKUP($BM201,'Fuel economy adjusted factor'!$A$2:$L$52,5,FALSE)*m2k))</f>
        <v>26.307067948444928</v>
      </c>
      <c r="BQ201" s="125">
        <f>BQ89/293.07*(1/(VLOOKUP($BM201,'Fuel economy adjusted factor'!$A$2:$L$52,5,FALSE)*m2k))</f>
        <v>26.307067948444928</v>
      </c>
      <c r="BR201" s="125">
        <f>BR89/293.07*(1/(VLOOKUP($BM201,'Fuel economy adjusted factor'!$A$2:$L$52,5,FALSE)*m2k))</f>
        <v>26.307067948444928</v>
      </c>
      <c r="BS201" s="125">
        <f>BS89/293.07*(1/(VLOOKUP($BM201,'Fuel economy adjusted factor'!$A$2:$L$52,5,FALSE)*m2k))</f>
        <v>26.307067948444928</v>
      </c>
      <c r="BT201" s="125">
        <f>BT89/293.07*(1/(VLOOKUP($BM201,'Fuel economy adjusted factor'!$A$2:$L$52,5,FALSE)*m2k))</f>
        <v>26.307067948444928</v>
      </c>
      <c r="BU201" s="125">
        <f>BU89/293.07*(1/(VLOOKUP($BM201,'Fuel economy adjusted factor'!$A$2:$L$52,5,FALSE)*m2k))</f>
        <v>1.4860367261344529</v>
      </c>
      <c r="BV201" s="125">
        <f>BV89/293.07*(1/(VLOOKUP($BM201,'Fuel economy adjusted factor'!$A$2:$L$52,5,FALSE)*m2k))</f>
        <v>1.4860367261344529</v>
      </c>
      <c r="BW201" s="125">
        <f>BW89/293.07*(1/(VLOOKUP($BM201,'Fuel economy adjusted factor'!$A$2:$L$52,5,FALSE)*m2k))</f>
        <v>1.4860367261344529</v>
      </c>
      <c r="BX201" s="125">
        <f>BX89/293.07*(1/(VLOOKUP($BM201,'Fuel economy adjusted factor'!$A$2:$L$52,5,FALSE)*m2k))</f>
        <v>1.4860367261344529</v>
      </c>
      <c r="BY201" s="125">
        <f>BY89/293.07*(1/(VLOOKUP($BM201,'Fuel economy adjusted factor'!$A$2:$L$52,5,FALSE)*m2k))</f>
        <v>1.4860367261344529</v>
      </c>
      <c r="BZ201" s="125">
        <f>BZ89/293.07*(1/(VLOOKUP($BM201,'Fuel economy adjusted factor'!$A$2:$L$52,5,FALSE)*m2k))</f>
        <v>1.5498195416556271</v>
      </c>
      <c r="CA201" s="125">
        <f>CA89/293.07*(1/(VLOOKUP($BM201,'Fuel economy adjusted factor'!$A$2:$L$52,5,FALSE)*m2k))</f>
        <v>1.5498195416556271</v>
      </c>
      <c r="CB201" s="125">
        <f>CB89/293.07*(1/(VLOOKUP($BM201,'Fuel economy adjusted factor'!$A$2:$L$52,5,FALSE)*m2k))</f>
        <v>1.5498195416556271</v>
      </c>
      <c r="CC201" s="125">
        <f>CC89/293.07*(1/(VLOOKUP($BM201,'Fuel economy adjusted factor'!$A$2:$L$52,5,FALSE)*m2k))</f>
        <v>1.5498195416556271</v>
      </c>
      <c r="CD201" s="125">
        <f>CD89/293.07*(1/(VLOOKUP($BM201,'Fuel economy adjusted factor'!$A$2:$L$52,5,FALSE)*m2k))</f>
        <v>1.5498195416556271</v>
      </c>
      <c r="CE201" s="125">
        <f>CE89/293.07*(1/(VLOOKUP($BM201,'Fuel economy adjusted factor'!$A$2:$L$52,5,FALSE)*m2k))</f>
        <v>1.571423398525702</v>
      </c>
      <c r="CF201" s="125">
        <f>CF89/293.07*(1/(VLOOKUP($BM201,'Fuel economy adjusted factor'!$A$2:$L$52,5,FALSE)*m2k))</f>
        <v>1.571423398525702</v>
      </c>
      <c r="CG201" s="125">
        <f>CG89/293.07*(1/(VLOOKUP($BM201,'Fuel economy adjusted factor'!$A$2:$L$52,5,FALSE)*m2k))</f>
        <v>1.571423398525702</v>
      </c>
      <c r="CH201" s="125">
        <f>CH89/293.07*(1/(VLOOKUP($BM201,'Fuel economy adjusted factor'!$A$2:$L$52,5,FALSE)*m2k))</f>
        <v>1.571423398525702</v>
      </c>
      <c r="CI201" s="125">
        <f>CI89/293.07*(1/(VLOOKUP($BM201,'Fuel economy adjusted factor'!$A$2:$L$52,5,FALSE)*m2k))</f>
        <v>1.571423398525702</v>
      </c>
      <c r="CJ201" s="125">
        <f>CJ89/293.07*(1/(VLOOKUP($BM201,'Fuel economy adjusted factor'!$A$2:$L$52,5,FALSE)*m2k))</f>
        <v>1.6267189845622039</v>
      </c>
      <c r="CK201" s="125">
        <f>CK89/293.07*(1/(VLOOKUP($BM201,'Fuel economy adjusted factor'!$A$2:$L$52,5,FALSE)*m2k))</f>
        <v>1.6267189845622039</v>
      </c>
      <c r="CL201" s="125">
        <f>CL89/293.07*(1/(VLOOKUP($BM201,'Fuel economy adjusted factor'!$A$2:$L$52,5,FALSE)*m2k))</f>
        <v>1.6267189845622039</v>
      </c>
      <c r="CM201" s="125">
        <f>CM89/293.07*(1/(VLOOKUP($BM201,'Fuel economy adjusted factor'!$A$2:$L$52,5,FALSE)*m2k))</f>
        <v>1.6267189845622039</v>
      </c>
      <c r="CN201" s="125">
        <f>CN89/293.07*(1/(VLOOKUP($BM201,'Fuel economy adjusted factor'!$A$2:$L$52,5,FALSE)*m2k))</f>
        <v>1.6267189845622039</v>
      </c>
      <c r="CO201" s="125">
        <f>CO89/293.07*(1/(VLOOKUP($BM201,'Fuel economy adjusted factor'!$A$2:$L$52,5,FALSE)*m2k))</f>
        <v>1.696674330617685</v>
      </c>
      <c r="CP201" s="98" cm="1">
        <f t="array" ref="CP201">SUMPRODUCT(INDEX(BN201:CO201,,'TCO Inputs'!$AZ$12-2023+_xlfn.SEQUENCE('TCO Inputs'!$AZ$13))*INDEX('VKT US'!C91:AA91,,_xlfn.SEQUENCE('TCO Inputs'!$AZ$13)))*m2k*CONVERT(0.9072,"g","ton")</f>
        <v>3.998024289764285</v>
      </c>
      <c r="CQ201" s="194"/>
      <c r="CR201" s="123" t="s">
        <v>212</v>
      </c>
      <c r="CS201" s="125">
        <f>CS89/293.07*(1/(VLOOKUP($BM201,'Fuel economy adjusted factor'!$A$2:$L$52,5,FALSE)*m2k))/'TCO Inputs'!$AZ$84</f>
        <v>39.262437973638903</v>
      </c>
      <c r="CT201" s="125">
        <f>CT89/293.07*(1/(VLOOKUP($BM201,'Fuel economy adjusted factor'!$A$2:$L$52,5,FALSE)*m2k))</f>
        <v>1.5626789802687671</v>
      </c>
      <c r="CU201" s="125">
        <f>CU89/293.07*(1/(VLOOKUP($BM201,'Fuel economy adjusted factor'!$A$2:$L$52,5,FALSE)*m2k))</f>
        <v>1.5626789802687671</v>
      </c>
      <c r="CV201" s="125">
        <f>CV89/293.07*(1/(VLOOKUP($BM201,'Fuel economy adjusted factor'!$A$2:$L$52,5,FALSE)*m2k))</f>
        <v>1.5626789802687671</v>
      </c>
      <c r="CW201" s="125">
        <f>CW89/293.07*(1/(VLOOKUP($BM201,'Fuel economy adjusted factor'!$A$2:$L$52,5,FALSE)*m2k))</f>
        <v>1.5626789802687671</v>
      </c>
      <c r="CX201" s="125">
        <f>CX89/293.07*(1/(VLOOKUP($BM201,'Fuel economy adjusted factor'!$A$2:$L$52,5,FALSE)*m2k))</f>
        <v>1.5626789802687671</v>
      </c>
      <c r="CY201" s="125">
        <f>CY89/293.07*(1/(VLOOKUP($BM201,'Fuel economy adjusted factor'!$A$2:$L$52,5,FALSE)*m2k))</f>
        <v>1.5626789802687671</v>
      </c>
      <c r="CZ201" s="125">
        <f>CZ89/293.07*(1/(VLOOKUP($BM201,'Fuel economy adjusted factor'!$A$2:$L$52,5,FALSE)*m2k))</f>
        <v>1.5626789802687671</v>
      </c>
      <c r="DA201" s="125">
        <f>DA89/293.07*(1/(VLOOKUP($BM201,'Fuel economy adjusted factor'!$A$2:$L$52,5,FALSE)*m2k))</f>
        <v>1.5626789802687671</v>
      </c>
      <c r="DB201" s="125">
        <f>DB89/293.07*(1/(VLOOKUP($BM201,'Fuel economy adjusted factor'!$A$2:$L$52,5,FALSE)*m2k))</f>
        <v>1.5626789802687671</v>
      </c>
      <c r="DC201" s="125">
        <f>DC89/293.07*(1/(VLOOKUP($BM201,'Fuel economy adjusted factor'!$A$2:$L$52,5,FALSE)*m2k))</f>
        <v>1.5626789802687671</v>
      </c>
      <c r="DD201" s="125">
        <f>DD89/293.07*(1/(VLOOKUP($BM201,'Fuel economy adjusted factor'!$A$2:$L$52,5,FALSE)*m2k))</f>
        <v>1.5626789802687671</v>
      </c>
      <c r="DE201" s="125">
        <f>DE89/293.07*(1/(VLOOKUP($BM201,'Fuel economy adjusted factor'!$A$2:$L$52,5,FALSE)*m2k))</f>
        <v>1.607429826642494</v>
      </c>
      <c r="DF201" s="125">
        <f>DF89/293.07*(1/(VLOOKUP($BM201,'Fuel economy adjusted factor'!$A$2:$L$52,5,FALSE)*m2k))</f>
        <v>1.607429826642494</v>
      </c>
      <c r="DG201" s="125">
        <f>DG89/293.07*(1/(VLOOKUP($BM201,'Fuel economy adjusted factor'!$A$2:$L$52,5,FALSE)*m2k))</f>
        <v>1.607429826642494</v>
      </c>
      <c r="DH201" s="125">
        <f>DH89/293.07*(1/(VLOOKUP($BM201,'Fuel economy adjusted factor'!$A$2:$L$52,5,FALSE)*m2k))</f>
        <v>1.607429826642494</v>
      </c>
      <c r="DI201" s="125">
        <f>DI89/293.07*(1/(VLOOKUP($BM201,'Fuel economy adjusted factor'!$A$2:$L$52,5,FALSE)*m2k))</f>
        <v>1.607429826642494</v>
      </c>
      <c r="DJ201" s="125">
        <f>DJ89/293.07*(1/(VLOOKUP($BM201,'Fuel economy adjusted factor'!$A$2:$L$52,5,FALSE)*m2k))</f>
        <v>1.6910161776279036</v>
      </c>
      <c r="DK201" s="125">
        <f>DK89/293.07*(1/(VLOOKUP($BM201,'Fuel economy adjusted factor'!$A$2:$L$52,5,FALSE)*m2k))</f>
        <v>1.6910161776279036</v>
      </c>
      <c r="DL201" s="125">
        <f>DL89/293.07*(1/(VLOOKUP($BM201,'Fuel economy adjusted factor'!$A$2:$L$52,5,FALSE)*m2k))</f>
        <v>1.6910161776279036</v>
      </c>
      <c r="DM201" s="125">
        <f>DM89/293.07*(1/(VLOOKUP($BM201,'Fuel economy adjusted factor'!$A$2:$L$52,5,FALSE)*m2k))</f>
        <v>1.6910161776279036</v>
      </c>
      <c r="DN201" s="125">
        <f>DN89/293.07*(1/(VLOOKUP($BM201,'Fuel economy adjusted factor'!$A$2:$L$52,5,FALSE)*m2k))</f>
        <v>1.6910161776279036</v>
      </c>
      <c r="DO201" s="125">
        <f>DO89/293.07*(1/(VLOOKUP($BM201,'Fuel economy adjusted factor'!$A$2:$L$52,5,FALSE)*m2k))</f>
        <v>1.7463117636644057</v>
      </c>
      <c r="DP201" s="125">
        <f>DP89/293.07*(1/(VLOOKUP($BM201,'Fuel economy adjusted factor'!$A$2:$L$52,5,FALSE)*m2k))</f>
        <v>1.7463117636644057</v>
      </c>
      <c r="DQ201" s="125">
        <f>DQ89/293.07*(1/(VLOOKUP($BM201,'Fuel economy adjusted factor'!$A$2:$L$52,5,FALSE)*m2k))</f>
        <v>1.7463117636644057</v>
      </c>
      <c r="DR201" s="125">
        <f>DR89/293.07*(1/(VLOOKUP($BM201,'Fuel economy adjusted factor'!$A$2:$L$52,5,FALSE)*m2k))</f>
        <v>1.7463117636644057</v>
      </c>
      <c r="DS201" s="125">
        <f>DS89/293.07*(1/(VLOOKUP($BM201,'Fuel economy adjusted factor'!$A$2:$L$52,5,FALSE)*m2k))</f>
        <v>1.7463117636644057</v>
      </c>
      <c r="DT201" s="125">
        <f>DT89/293.07*(1/(VLOOKUP($BM201,'Fuel economy adjusted factor'!$A$2:$L$52,5,FALSE)*m2k))</f>
        <v>1.8165242984921497</v>
      </c>
      <c r="DU201" s="98" cm="1">
        <f t="array" ref="DU201">SUMPRODUCT(INDEX(CS201:DT201,,'TCO Inputs'!$AZ$12-2023+_xlfn.SEQUENCE('TCO Inputs'!$AZ$13))*INDEX('VKT US'!C91:AA91,,_xlfn.SEQUENCE('TCO Inputs'!$AZ$13)))*m2k*CONVERT(0.9072,"g","ton")</f>
        <v>1.1751203090044673</v>
      </c>
      <c r="DW201" s="123" t="s">
        <v>212</v>
      </c>
      <c r="DX201" s="125">
        <f>DX89/293.07*(1/(VLOOKUP($BM201,'Fuel economy adjusted factor'!$A$2:$L$52,5,FALSE)*m2k))/'TCO Inputs'!$AZ$84</f>
        <v>51.872691946564046</v>
      </c>
      <c r="DY201" s="125">
        <f>DY89/293.07*(1/(VLOOKUP($BM201,'Fuel economy adjusted factor'!$A$2:$L$52,5,FALSE)*m2k))/'TCO Inputs'!$AZ$84</f>
        <v>51.872691946564046</v>
      </c>
      <c r="DZ201" s="125">
        <f>DZ89/293.07*(1/(VLOOKUP($BM201,'Fuel economy adjusted factor'!$A$2:$L$52,5,FALSE)*m2k))/'TCO Inputs'!$AZ$84</f>
        <v>45.38228612715082</v>
      </c>
      <c r="EA201" s="125">
        <f>EA89/293.07*(1/(VLOOKUP($BM201,'Fuel economy adjusted factor'!$A$2:$L$52,5,FALSE)*m2k))/'TCO Inputs'!$AZ$84</f>
        <v>45.38228612715082</v>
      </c>
      <c r="EB201" s="125">
        <f>EB89/293.07*(1/(VLOOKUP($BM201,'Fuel economy adjusted factor'!$A$2:$L$52,5,FALSE)*m2k))/'TCO Inputs'!$AZ$84</f>
        <v>45.38228612715082</v>
      </c>
      <c r="EC201" s="125">
        <f>EC89/293.07*(1/(VLOOKUP($BM201,'Fuel economy adjusted factor'!$A$2:$L$52,5,FALSE)*m2k))/'TCO Inputs'!$AZ$84</f>
        <v>45.38228612715082</v>
      </c>
      <c r="ED201" s="125">
        <f>ED89/293.07*(1/(VLOOKUP($BM201,'Fuel economy adjusted factor'!$A$2:$L$52,5,FALSE)*m2k))/'TCO Inputs'!$AZ$84</f>
        <v>45.38228612715082</v>
      </c>
      <c r="EE201" s="125">
        <f>EE89/293.07*(1/(VLOOKUP($BM201,'Fuel economy adjusted factor'!$A$2:$L$52,5,FALSE)*m2k))/'TCO Inputs'!$AZ$84</f>
        <v>28.235115320057329</v>
      </c>
      <c r="EF201" s="125">
        <f>EF89/293.07*(1/(VLOOKUP($BM201,'Fuel economy adjusted factor'!$A$2:$L$52,5,FALSE)*m2k))/'TCO Inputs'!$AZ$84</f>
        <v>28.235115320057329</v>
      </c>
      <c r="EG201" s="125">
        <f>EG89/293.07*(1/(VLOOKUP($BM201,'Fuel economy adjusted factor'!$A$2:$L$52,5,FALSE)*m2k))/'TCO Inputs'!$AZ$84</f>
        <v>28.235115320057329</v>
      </c>
      <c r="EH201" s="125">
        <f>EH89/293.07*(1/(VLOOKUP($BM201,'Fuel economy adjusted factor'!$A$2:$L$52,5,FALSE)*m2k))/'TCO Inputs'!$AZ$84</f>
        <v>28.235115320057329</v>
      </c>
      <c r="EI201" s="125">
        <f>EI89/293.07*(1/(VLOOKUP($BM201,'Fuel economy adjusted factor'!$A$2:$L$52,5,FALSE)*m2k))/'TCO Inputs'!$AZ$84</f>
        <v>28.235115320057329</v>
      </c>
      <c r="EJ201" s="125">
        <f>EJ89/293.07*(1/(VLOOKUP($BM201,'Fuel economy adjusted factor'!$A$2:$L$52,5,FALSE)*m2k))/'TCO Inputs'!$AZ$84</f>
        <v>25.140660392214937</v>
      </c>
      <c r="EK201" s="125">
        <f>EK89/293.07*(1/(VLOOKUP($BM201,'Fuel economy adjusted factor'!$A$2:$L$52,5,FALSE)*m2k))/'TCO Inputs'!$AZ$84</f>
        <v>25.140660392214937</v>
      </c>
      <c r="EL201" s="125">
        <f>EL89/293.07*(1/(VLOOKUP($BM201,'Fuel economy adjusted factor'!$A$2:$L$52,5,FALSE)*m2k))/'TCO Inputs'!$AZ$84</f>
        <v>25.140660392214937</v>
      </c>
      <c r="EM201" s="125">
        <f>EM89/293.07*(1/(VLOOKUP($BM201,'Fuel economy adjusted factor'!$A$2:$L$52,5,FALSE)*m2k))/'TCO Inputs'!$AZ$84</f>
        <v>25.140660392214937</v>
      </c>
      <c r="EN201" s="125">
        <f>EN89/293.07*(1/(VLOOKUP($BM201,'Fuel economy adjusted factor'!$A$2:$L$52,5,FALSE)*m2k))/'TCO Inputs'!$AZ$84</f>
        <v>25.140660392214937</v>
      </c>
      <c r="EO201" s="125">
        <f>EO89/293.07*(1/(VLOOKUP($BM201,'Fuel economy adjusted factor'!$A$2:$L$52,5,FALSE)*m2k))/'TCO Inputs'!$AZ$84</f>
        <v>24.428866154639735</v>
      </c>
      <c r="EP201" s="125">
        <f>EP89/293.07*(1/(VLOOKUP($BM201,'Fuel economy adjusted factor'!$A$2:$L$52,5,FALSE)*m2k))/'TCO Inputs'!$AZ$84</f>
        <v>24.428866154639735</v>
      </c>
      <c r="EQ201" s="125">
        <f>EQ89/293.07*(1/(VLOOKUP($BM201,'Fuel economy adjusted factor'!$A$2:$L$52,5,FALSE)*m2k))/'TCO Inputs'!$AZ$84</f>
        <v>24.428866154639735</v>
      </c>
      <c r="ER201" s="125">
        <f>ER89/293.07*(1/(VLOOKUP($BM201,'Fuel economy adjusted factor'!$A$2:$L$52,5,FALSE)*m2k))/'TCO Inputs'!$AZ$84</f>
        <v>24.428866154639735</v>
      </c>
      <c r="ES201" s="125">
        <f>ES89/293.07*(1/(VLOOKUP($BM201,'Fuel economy adjusted factor'!$A$2:$L$52,5,FALSE)*m2k))/'TCO Inputs'!$AZ$84</f>
        <v>24.428866154639735</v>
      </c>
      <c r="ET201" s="125">
        <f>ET89/293.07*(1/(VLOOKUP($BM201,'Fuel economy adjusted factor'!$A$2:$L$52,5,FALSE)*m2k))/'TCO Inputs'!$AZ$84</f>
        <v>23.564309077605518</v>
      </c>
      <c r="EU201" s="125">
        <f>EU89/293.07*(1/(VLOOKUP($BM201,'Fuel economy adjusted factor'!$A$2:$L$52,5,FALSE)*m2k))/'TCO Inputs'!$AZ$84</f>
        <v>23.564309077605518</v>
      </c>
      <c r="EV201" s="125">
        <f>EV89/293.07*(1/(VLOOKUP($BM201,'Fuel economy adjusted factor'!$A$2:$L$52,5,FALSE)*m2k))/'TCO Inputs'!$AZ$84</f>
        <v>23.564309077605518</v>
      </c>
      <c r="EW201" s="125">
        <f>EW89/293.07*(1/(VLOOKUP($BM201,'Fuel economy adjusted factor'!$A$2:$L$52,5,FALSE)*m2k))/'TCO Inputs'!$AZ$84</f>
        <v>23.564309077605518</v>
      </c>
      <c r="EX201" s="125">
        <f>EX89/293.07*(1/(VLOOKUP($BM201,'Fuel economy adjusted factor'!$A$2:$L$52,5,FALSE)*m2k))/'TCO Inputs'!$AZ$84</f>
        <v>23.564309077605518</v>
      </c>
      <c r="EY201" s="125">
        <f>EY89/293.07*(1/(VLOOKUP($BM201,'Fuel economy adjusted factor'!$A$2:$L$52,5,FALSE)*m2k))/'TCO Inputs'!$AZ$84</f>
        <v>22.186512820518356</v>
      </c>
      <c r="EZ201" s="98" cm="1">
        <f t="array" ref="EZ201">SUMPRODUCT(INDEX(DX201:EY201,,'TCO Inputs'!$AZ$12-2023+_xlfn.SEQUENCE('TCO Inputs'!$AZ$13))*INDEX('VKT US'!C91:AA91,,_xlfn.SEQUENCE('TCO Inputs'!$AZ$13)))*m2k*CONVERT(0.9072,"g","ton")</f>
        <v>9.3914261495401874</v>
      </c>
      <c r="FB201" s="123" t="s">
        <v>212</v>
      </c>
      <c r="FC201" s="125">
        <f>FC89/293.07*(1/(VLOOKUP($BM201,'Fuel economy adjusted factor'!$A$2:$L$52,5,FALSE)*m2k))/'TCO Inputs'!$AZ$84</f>
        <v>56.074952213792663</v>
      </c>
      <c r="FD201" s="125">
        <f>FD89/293.07*(1/(VLOOKUP($BM201,'Fuel economy adjusted factor'!$A$2:$L$52,5,FALSE)*m2k))/'TCO Inputs'!$AZ$84</f>
        <v>56.074952213792663</v>
      </c>
      <c r="FE201" s="125">
        <f>FE89/293.07*(1/(VLOOKUP($BM201,'Fuel economy adjusted factor'!$A$2:$L$52,5,FALSE)*m2k))/'TCO Inputs'!$AZ$84</f>
        <v>48.888138342073482</v>
      </c>
      <c r="FF201" s="125">
        <f>FF89/293.07*(1/(VLOOKUP($BM201,'Fuel economy adjusted factor'!$A$2:$L$52,5,FALSE)*m2k))/'TCO Inputs'!$AZ$84</f>
        <v>48.888138342073482</v>
      </c>
      <c r="FG201" s="125">
        <f>FG89/293.07*(1/(VLOOKUP($BM201,'Fuel economy adjusted factor'!$A$2:$L$52,5,FALSE)*m2k))/'TCO Inputs'!$AZ$84</f>
        <v>48.888138342073482</v>
      </c>
      <c r="FH201" s="125">
        <f>FH89/293.07*(1/(VLOOKUP($BM201,'Fuel economy adjusted factor'!$A$2:$L$52,5,FALSE)*m2k))/'TCO Inputs'!$AZ$84</f>
        <v>48.888138342073482</v>
      </c>
      <c r="FI201" s="125">
        <f>FI89/293.07*(1/(VLOOKUP($BM201,'Fuel economy adjusted factor'!$A$2:$L$52,5,FALSE)*m2k))/'TCO Inputs'!$AZ$84</f>
        <v>48.888138342073482</v>
      </c>
      <c r="FJ201" s="125">
        <f>FJ89/293.07*(1/(VLOOKUP($BM201,'Fuel economy adjusted factor'!$A$2:$L$52,5,FALSE)*m2k))/'TCO Inputs'!$AZ$84</f>
        <v>30.922202676009025</v>
      </c>
      <c r="FK201" s="125">
        <f>FK89/293.07*(1/(VLOOKUP($BM201,'Fuel economy adjusted factor'!$A$2:$L$52,5,FALSE)*m2k))/'TCO Inputs'!$AZ$84</f>
        <v>30.922202676009025</v>
      </c>
      <c r="FL201" s="125">
        <f>FL89/293.07*(1/(VLOOKUP($BM201,'Fuel economy adjusted factor'!$A$2:$L$52,5,FALSE)*m2k))/'TCO Inputs'!$AZ$84</f>
        <v>30.922202676009025</v>
      </c>
      <c r="FM201" s="125">
        <f>FM89/293.07*(1/(VLOOKUP($BM201,'Fuel economy adjusted factor'!$A$2:$L$52,5,FALSE)*m2k))/'TCO Inputs'!$AZ$84</f>
        <v>30.922202676009025</v>
      </c>
      <c r="FN201" s="125">
        <f>FN89/293.07*(1/(VLOOKUP($BM201,'Fuel economy adjusted factor'!$A$2:$L$52,5,FALSE)*m2k))/'TCO Inputs'!$AZ$84</f>
        <v>30.922202676009025</v>
      </c>
      <c r="FO201" s="125">
        <f>FO89/293.07*(1/(VLOOKUP($BM201,'Fuel economy adjusted factor'!$A$2:$L$52,5,FALSE)*m2k))/'TCO Inputs'!$AZ$84</f>
        <v>27.3881424547594</v>
      </c>
      <c r="FP201" s="125">
        <f>FP89/293.07*(1/(VLOOKUP($BM201,'Fuel economy adjusted factor'!$A$2:$L$52,5,FALSE)*m2k))/'TCO Inputs'!$AZ$84</f>
        <v>27.3881424547594</v>
      </c>
      <c r="FQ201" s="125">
        <f>FQ89/293.07*(1/(VLOOKUP($BM201,'Fuel economy adjusted factor'!$A$2:$L$52,5,FALSE)*m2k))/'TCO Inputs'!$AZ$84</f>
        <v>27.3881424547594</v>
      </c>
      <c r="FR201" s="125">
        <f>FR89/293.07*(1/(VLOOKUP($BM201,'Fuel economy adjusted factor'!$A$2:$L$52,5,FALSE)*m2k))/'TCO Inputs'!$AZ$84</f>
        <v>27.3881424547594</v>
      </c>
      <c r="FS201" s="125">
        <f>FS89/293.07*(1/(VLOOKUP($BM201,'Fuel economy adjusted factor'!$A$2:$L$52,5,FALSE)*m2k))/'TCO Inputs'!$AZ$84</f>
        <v>27.3881424547594</v>
      </c>
      <c r="FT201" s="125">
        <f>FT89/293.07*(1/(VLOOKUP($BM201,'Fuel economy adjusted factor'!$A$2:$L$52,5,FALSE)*m2k))/'TCO Inputs'!$AZ$84</f>
        <v>26.762803924887617</v>
      </c>
      <c r="FU201" s="125">
        <f>FU89/293.07*(1/(VLOOKUP($BM201,'Fuel economy adjusted factor'!$A$2:$L$52,5,FALSE)*m2k))/'TCO Inputs'!$AZ$84</f>
        <v>26.762803924887617</v>
      </c>
      <c r="FV201" s="125">
        <f>FV89/293.07*(1/(VLOOKUP($BM201,'Fuel economy adjusted factor'!$A$2:$L$52,5,FALSE)*m2k))/'TCO Inputs'!$AZ$84</f>
        <v>26.762803924887617</v>
      </c>
      <c r="FW201" s="125">
        <f>FW89/293.07*(1/(VLOOKUP($BM201,'Fuel economy adjusted factor'!$A$2:$L$52,5,FALSE)*m2k))/'TCO Inputs'!$AZ$84</f>
        <v>26.762803924887617</v>
      </c>
      <c r="FX201" s="125">
        <f>FX89/293.07*(1/(VLOOKUP($BM201,'Fuel economy adjusted factor'!$A$2:$L$52,5,FALSE)*m2k))/'TCO Inputs'!$AZ$84</f>
        <v>26.762803924887617</v>
      </c>
      <c r="FY201" s="125">
        <f>FY89/293.07*(1/(VLOOKUP($BM201,'Fuel economy adjusted factor'!$A$2:$L$52,5,FALSE)*m2k))/'TCO Inputs'!$AZ$84</f>
        <v>25.896781496875377</v>
      </c>
      <c r="FZ201" s="125">
        <f>FZ89/293.07*(1/(VLOOKUP($BM201,'Fuel economy adjusted factor'!$A$2:$L$52,5,FALSE)*m2k))/'TCO Inputs'!$AZ$84</f>
        <v>25.896781496875377</v>
      </c>
      <c r="GA201" s="125">
        <f>GA89/293.07*(1/(VLOOKUP($BM201,'Fuel economy adjusted factor'!$A$2:$L$52,5,FALSE)*m2k))/'TCO Inputs'!$AZ$84</f>
        <v>25.896781496875377</v>
      </c>
      <c r="GB201" s="125">
        <f>GB89/293.07*(1/(VLOOKUP($BM201,'Fuel economy adjusted factor'!$A$2:$L$52,5,FALSE)*m2k))/'TCO Inputs'!$AZ$84</f>
        <v>25.896781496875377</v>
      </c>
      <c r="GC201" s="125">
        <f>GC89/293.07*(1/(VLOOKUP($BM201,'Fuel economy adjusted factor'!$A$2:$L$52,5,FALSE)*m2k))/'TCO Inputs'!$AZ$84</f>
        <v>25.896781496875377</v>
      </c>
      <c r="GD201" s="125">
        <f>GD89/293.07*(1/(VLOOKUP($BM201,'Fuel economy adjusted factor'!$A$2:$L$52,5,FALSE)*m2k))/'TCO Inputs'!$AZ$84</f>
        <v>24.472094008491446</v>
      </c>
      <c r="GE201" s="98" cm="1">
        <f t="array" ref="GE201">SUMPRODUCT(INDEX(FC201:GD201,,'TCO Inputs'!$AZ$12-2023+_xlfn.SEQUENCE('TCO Inputs'!$AZ$13))*INDEX('VKT US'!C91:AA91,,_xlfn.SEQUENCE('TCO Inputs'!$AZ$13)))*m2k*CONVERT(0.9072,"g","ton")</f>
        <v>10.174766066281384</v>
      </c>
      <c r="GH201" s="123" t="s">
        <v>212</v>
      </c>
      <c r="GI201" s="125">
        <f>GI89/293.07*(1/(VLOOKUP($GH201,'Fuel economy adjusted factor'!$A$2:$L$52,5,FALSE)*m2k))/'TCO Inputs'!$AZ$84</f>
        <v>98.71510229498611</v>
      </c>
      <c r="GJ201" s="125">
        <f>GJ89/293.07*(1/(VLOOKUP($GH201,'Fuel economy adjusted factor'!$A$2:$L$52,5,FALSE)*m2k))/'TCO Inputs'!$AZ$84</f>
        <v>98.71510229498611</v>
      </c>
      <c r="GK201" s="125">
        <f>GK89/293.07*(1/(VLOOKUP($GH201,'Fuel economy adjusted factor'!$A$2:$L$52,5,FALSE)*m2k))/'TCO Inputs'!$AZ$84</f>
        <v>98.71510229498611</v>
      </c>
      <c r="GL201" s="125">
        <f>GL89/293.07*(1/(VLOOKUP($GH201,'Fuel economy adjusted factor'!$A$2:$L$52,5,FALSE)*m2k))/'TCO Inputs'!$AZ$84</f>
        <v>98.71510229498611</v>
      </c>
      <c r="GM201" s="125">
        <f>GM89/293.07*(1/(VLOOKUP($GH201,'Fuel economy adjusted factor'!$A$2:$L$52,5,FALSE)*m2k))/'TCO Inputs'!$AZ$84</f>
        <v>98.71510229498611</v>
      </c>
      <c r="GN201" s="125">
        <f>GN89/293.07*(1/(VLOOKUP($GH201,'Fuel economy adjusted factor'!$A$2:$L$52,5,FALSE)*m2k))/'TCO Inputs'!$AZ$84</f>
        <v>98.71510229498611</v>
      </c>
      <c r="GO201" s="125">
        <f>GO89/293.07*(1/(VLOOKUP($GH201,'Fuel economy adjusted factor'!$A$2:$L$52,5,FALSE)*m2k))/'TCO Inputs'!$AZ$84</f>
        <v>98.71510229498611</v>
      </c>
      <c r="GP201" s="125">
        <f>GP89/293.07*(1/(VLOOKUP($GH201,'Fuel economy adjusted factor'!$A$2:$L$52,5,FALSE)*m2k))/'TCO Inputs'!$AZ$84</f>
        <v>98.71510229498611</v>
      </c>
      <c r="GQ201" s="125">
        <f>GQ89/293.07*(1/(VLOOKUP($GH201,'Fuel economy adjusted factor'!$A$2:$L$52,5,FALSE)*m2k))/'TCO Inputs'!$AZ$84</f>
        <v>98.71510229498611</v>
      </c>
      <c r="GR201" s="125">
        <f>GR89/293.07*(1/(VLOOKUP($GH201,'Fuel economy adjusted factor'!$A$2:$L$52,5,FALSE)*m2k))/'TCO Inputs'!$AZ$84</f>
        <v>98.71510229498611</v>
      </c>
      <c r="GS201" s="125">
        <f>GS89/293.07*(1/(VLOOKUP($GH201,'Fuel economy adjusted factor'!$A$2:$L$52,5,FALSE)*m2k))/'TCO Inputs'!$AZ$84</f>
        <v>98.71510229498611</v>
      </c>
      <c r="GT201" s="125">
        <f>GT89/293.07*(1/(VLOOKUP($GH201,'Fuel economy adjusted factor'!$A$2:$L$52,5,FALSE)*m2k))/'TCO Inputs'!$AZ$84</f>
        <v>98.71510229498611</v>
      </c>
      <c r="GU201" s="125">
        <f>GU89/293.07*(1/(VLOOKUP($GH201,'Fuel economy adjusted factor'!$A$2:$L$52,5,FALSE)*m2k))/'TCO Inputs'!$AZ$84</f>
        <v>98.71510229498611</v>
      </c>
      <c r="GV201" s="125">
        <f>GV89/293.07*(1/(VLOOKUP($GH201,'Fuel economy adjusted factor'!$A$2:$L$52,5,FALSE)*m2k))/'TCO Inputs'!$AZ$84</f>
        <v>98.71510229498611</v>
      </c>
      <c r="GW201" s="125">
        <f>GW89/293.07*(1/(VLOOKUP($GH201,'Fuel economy adjusted factor'!$A$2:$L$52,5,FALSE)*m2k))/'TCO Inputs'!$AZ$84</f>
        <v>98.71510229498611</v>
      </c>
      <c r="GX201" s="125">
        <f>GX89/293.07*(1/(VLOOKUP($GH201,'Fuel economy adjusted factor'!$A$2:$L$52,5,FALSE)*m2k))/'TCO Inputs'!$AZ$84</f>
        <v>98.71510229498611</v>
      </c>
      <c r="GY201" s="125">
        <f>GY89/293.07*(1/(VLOOKUP($GH201,'Fuel economy adjusted factor'!$A$2:$L$52,5,FALSE)*m2k))/'TCO Inputs'!$AZ$84</f>
        <v>98.71510229498611</v>
      </c>
      <c r="GZ201" s="125">
        <f>GZ89/293.07*(1/(VLOOKUP($GH201,'Fuel economy adjusted factor'!$A$2:$L$52,5,FALSE)*m2k))/'TCO Inputs'!$AZ$84</f>
        <v>98.71510229498611</v>
      </c>
      <c r="HA201" s="125">
        <f>HA89/293.07*(1/(VLOOKUP($GH201,'Fuel economy adjusted factor'!$A$2:$L$52,5,FALSE)*m2k))/'TCO Inputs'!$AZ$84</f>
        <v>98.71510229498611</v>
      </c>
      <c r="HB201" s="125">
        <f>HB89/293.07*(1/(VLOOKUP($GH201,'Fuel economy adjusted factor'!$A$2:$L$52,5,FALSE)*m2k))/'TCO Inputs'!$AZ$84</f>
        <v>98.71510229498611</v>
      </c>
      <c r="HC201" s="125">
        <f>HC89/293.07*(1/(VLOOKUP($GH201,'Fuel economy adjusted factor'!$A$2:$L$52,5,FALSE)*m2k))/'TCO Inputs'!$AZ$84</f>
        <v>98.71510229498611</v>
      </c>
      <c r="HD201" s="125">
        <f>HD89/293.07*(1/(VLOOKUP($GH201,'Fuel economy adjusted factor'!$A$2:$L$52,5,FALSE)*m2k))/'TCO Inputs'!$AZ$84</f>
        <v>98.71510229498611</v>
      </c>
      <c r="HE201" s="125">
        <f>HE89/293.07*(1/(VLOOKUP($GH201,'Fuel economy adjusted factor'!$A$2:$L$52,5,FALSE)*m2k))/'TCO Inputs'!$AZ$84</f>
        <v>98.71510229498611</v>
      </c>
      <c r="HF201" s="125">
        <f>HF89/293.07*(1/(VLOOKUP($GH201,'Fuel economy adjusted factor'!$A$2:$L$52,5,FALSE)*m2k))/'TCO Inputs'!$AZ$84</f>
        <v>98.71510229498611</v>
      </c>
      <c r="HG201" s="125">
        <f>HG89/293.07*(1/(VLOOKUP($GH201,'Fuel economy adjusted factor'!$A$2:$L$52,5,FALSE)*m2k))/'TCO Inputs'!$AZ$84</f>
        <v>98.71510229498611</v>
      </c>
      <c r="HH201" s="125">
        <f>HH89/293.07*(1/(VLOOKUP($GH201,'Fuel economy adjusted factor'!$A$2:$L$52,5,FALSE)*m2k))/'TCO Inputs'!$AZ$84</f>
        <v>98.71510229498611</v>
      </c>
      <c r="HI201" s="125">
        <f>HI89/293.07*(1/(VLOOKUP($GH201,'Fuel economy adjusted factor'!$A$2:$L$52,5,FALSE)*m2k))/'TCO Inputs'!$AZ$84</f>
        <v>98.71510229498611</v>
      </c>
      <c r="HJ201" s="125">
        <f>HJ89/293.07*(1/(VLOOKUP($GH201,'Fuel economy adjusted factor'!$A$2:$L$52,5,FALSE)*m2k))/'TCO Inputs'!$AZ$84</f>
        <v>98.71510229498611</v>
      </c>
      <c r="HK201" s="98" cm="1">
        <f t="array" ref="HK201">SUMPRODUCT(INDEX(GI201:HJ201,,'TCO Inputs'!$AZ$12-2023+_xlfn.SEQUENCE('TCO Inputs'!$AZ$13))*INDEX('VKT US'!C91:AA91,,_xlfn.SEQUENCE('TCO Inputs'!$AZ$13)))*m2k*CONVERT(0.9072,"g","ton")</f>
        <v>24.144902494349406</v>
      </c>
    </row>
    <row r="202" spans="26:219" x14ac:dyDescent="0.25">
      <c r="Z202" s="123" t="s">
        <v>213</v>
      </c>
      <c r="AA202" s="125">
        <f>AA90/293.07*(1/(VLOOKUP($Z202,'Fuel economy adjusted factor'!$A$2:$L$52,5,FALSE)*m2k))/'TCO Inputs'!$AZ$84</f>
        <v>65.337896342043607</v>
      </c>
      <c r="AB202" s="125">
        <f>AB90/293.07*(1/(VLOOKUP($Z202,'Fuel economy adjusted factor'!$A$2:$L$52,5,FALSE)*m2k))/'TCO Inputs'!$AZ$84</f>
        <v>65.337896342043607</v>
      </c>
      <c r="AC202" s="125">
        <f>AC90/293.07*(1/(VLOOKUP($Z202,'Fuel economy adjusted factor'!$A$2:$L$52,5,FALSE)*m2k))/'TCO Inputs'!$AZ$84</f>
        <v>57.389252052499749</v>
      </c>
      <c r="AD202" s="125">
        <f>AD90/293.07*(1/(VLOOKUP($Z202,'Fuel economy adjusted factor'!$A$2:$L$52,5,FALSE)*m2k))/'TCO Inputs'!$AZ$84</f>
        <v>57.389252052499749</v>
      </c>
      <c r="AE202" s="125">
        <f>AE90/293.07*(1/(VLOOKUP($Z202,'Fuel economy adjusted factor'!$A$2:$L$52,5,FALSE)*m2k))/'TCO Inputs'!$AZ$84</f>
        <v>57.389252052499749</v>
      </c>
      <c r="AF202" s="125">
        <f>AF90/293.07*(1/(VLOOKUP($Z202,'Fuel economy adjusted factor'!$A$2:$L$52,5,FALSE)*m2k))/'TCO Inputs'!$AZ$84</f>
        <v>57.389252052499749</v>
      </c>
      <c r="AG202" s="125">
        <f>AG90/293.07*(1/(VLOOKUP($Z202,'Fuel economy adjusted factor'!$A$2:$L$52,5,FALSE)*m2k))/'TCO Inputs'!$AZ$84</f>
        <v>57.389252052499749</v>
      </c>
      <c r="AH202" s="125">
        <f>AH90/293.07*(1/(VLOOKUP($Z202,'Fuel economy adjusted factor'!$A$2:$L$52,5,FALSE)*m2k))/'TCO Inputs'!$AZ$84</f>
        <v>21.697392061366678</v>
      </c>
      <c r="AI202" s="125">
        <f>AI90/293.07*(1/(VLOOKUP($Z202,'Fuel economy adjusted factor'!$A$2:$L$52,5,FALSE)*m2k))/'TCO Inputs'!$AZ$84</f>
        <v>21.697392061366678</v>
      </c>
      <c r="AJ202" s="125">
        <f>AJ90/293.07*(1/(VLOOKUP($Z202,'Fuel economy adjusted factor'!$A$2:$L$52,5,FALSE)*m2k))/'TCO Inputs'!$AZ$84</f>
        <v>21.697392061366678</v>
      </c>
      <c r="AK202" s="125">
        <f>AK90/293.07*(1/(VLOOKUP($Z202,'Fuel economy adjusted factor'!$A$2:$L$52,5,FALSE)*m2k))/'TCO Inputs'!$AZ$84</f>
        <v>21.697392061366678</v>
      </c>
      <c r="AL202" s="125">
        <f>AL90/293.07*(1/(VLOOKUP($Z202,'Fuel economy adjusted factor'!$A$2:$L$52,5,FALSE)*m2k))/'TCO Inputs'!$AZ$84</f>
        <v>21.697392061366678</v>
      </c>
      <c r="AM202" s="125">
        <f>AM90/293.07*(1/(VLOOKUP($Z202,'Fuel economy adjusted factor'!$A$2:$L$52,5,FALSE)*m2k))/'TCO Inputs'!$AZ$84</f>
        <v>18.236665328689941</v>
      </c>
      <c r="AN202" s="125">
        <f>AN90/293.07*(1/(VLOOKUP($Z202,'Fuel economy adjusted factor'!$A$2:$L$52,5,FALSE)*m2k))/'TCO Inputs'!$AZ$84</f>
        <v>18.236665328689941</v>
      </c>
      <c r="AO202" s="125">
        <f>AO90/293.07*(1/(VLOOKUP($Z202,'Fuel economy adjusted factor'!$A$2:$L$52,5,FALSE)*m2k))/'TCO Inputs'!$AZ$84</f>
        <v>18.236665328689941</v>
      </c>
      <c r="AP202" s="125">
        <f>AP90/293.07*(1/(VLOOKUP($Z202,'Fuel economy adjusted factor'!$A$2:$L$52,5,FALSE)*m2k))/'TCO Inputs'!$AZ$84</f>
        <v>18.236665328689941</v>
      </c>
      <c r="AQ202" s="125">
        <f>AQ90/293.07*(1/(VLOOKUP($Z202,'Fuel economy adjusted factor'!$A$2:$L$52,5,FALSE)*m2k))/'TCO Inputs'!$AZ$84</f>
        <v>18.236665328689941</v>
      </c>
      <c r="AR202" s="125">
        <f>AR90/293.07*(1/(VLOOKUP($Z202,'Fuel economy adjusted factor'!$A$2:$L$52,5,FALSE)*m2k))/'TCO Inputs'!$AZ$84</f>
        <v>18.236665328689941</v>
      </c>
      <c r="AS202" s="125">
        <f>AS90/293.07*(1/(VLOOKUP($Z202,'Fuel economy adjusted factor'!$A$2:$L$52,5,FALSE)*m2k))/'TCO Inputs'!$AZ$84</f>
        <v>18.236665328689941</v>
      </c>
      <c r="AT202" s="125">
        <f>AT90/293.07*(1/(VLOOKUP($Z202,'Fuel economy adjusted factor'!$A$2:$L$52,5,FALSE)*m2k))/'TCO Inputs'!$AZ$84</f>
        <v>18.236665328689941</v>
      </c>
      <c r="AU202" s="125">
        <f>AU90/293.07*(1/(VLOOKUP($Z202,'Fuel economy adjusted factor'!$A$2:$L$52,5,FALSE)*m2k))/'TCO Inputs'!$AZ$84</f>
        <v>18.236665328689941</v>
      </c>
      <c r="AV202" s="125">
        <f>AV90/293.07*(1/(VLOOKUP($Z202,'Fuel economy adjusted factor'!$A$2:$L$52,5,FALSE)*m2k))/'TCO Inputs'!$AZ$84</f>
        <v>18.236665328689941</v>
      </c>
      <c r="AW202" s="125">
        <f>AW90/293.07*(1/(VLOOKUP($Z202,'Fuel economy adjusted factor'!$A$2:$L$52,5,FALSE)*m2k))/'TCO Inputs'!$AZ$84</f>
        <v>18.322768088952959</v>
      </c>
      <c r="AX202" s="125">
        <f>AX90/293.07*(1/(VLOOKUP($Z202,'Fuel economy adjusted factor'!$A$2:$L$52,5,FALSE)*m2k))/'TCO Inputs'!$AZ$84</f>
        <v>18.322768088952959</v>
      </c>
      <c r="AY202" s="125">
        <f>AY90/293.07*(1/(VLOOKUP($Z202,'Fuel economy adjusted factor'!$A$2:$L$52,5,FALSE)*m2k))/'TCO Inputs'!$AZ$84</f>
        <v>18.322768088952959</v>
      </c>
      <c r="AZ202" s="125">
        <f>AZ90/293.07*(1/(VLOOKUP($Z202,'Fuel economy adjusted factor'!$A$2:$L$52,5,FALSE)*m2k))/'TCO Inputs'!$AZ$84</f>
        <v>18.322768088952959</v>
      </c>
      <c r="BA202" s="125">
        <f>BA90/293.07*(1/(VLOOKUP($Z202,'Fuel economy adjusted factor'!$A$2:$L$52,5,FALSE)*m2k))/'TCO Inputs'!$AZ$84</f>
        <v>18.322768088952959</v>
      </c>
      <c r="BB202" s="125">
        <f>BB90/293.07*(1/(VLOOKUP($Z202,'Fuel economy adjusted factor'!$A$2:$L$52,5,FALSE)*m2k))/'TCO Inputs'!$AZ$84</f>
        <v>18.431025945424004</v>
      </c>
      <c r="BC202" s="98" cm="1">
        <f t="array" ref="BC202">SUMPRODUCT(INDEX(AA202:BB202,,'TCO Inputs'!$AZ$12-2023+_xlfn.SEQUENCE('TCO Inputs'!$AZ$13))*INDEX('VKT US'!C92:AA92,,_xlfn.SEQUENCE('TCO Inputs'!$AZ$13)))*m2k*CONVERT(0.9072,"g","ton")</f>
        <v>10.956824461623651</v>
      </c>
      <c r="BM202" s="123" t="s">
        <v>213</v>
      </c>
      <c r="BN202" s="125">
        <f>BN90/293.07*(1/(VLOOKUP($BM202,'Fuel economy adjusted factor'!$A$2:$L$52,5,FALSE)*m2k))</f>
        <v>55.537211890737069</v>
      </c>
      <c r="BO202" s="125">
        <f>BO90/293.07*(1/(VLOOKUP($BM202,'Fuel economy adjusted factor'!$A$2:$L$52,5,FALSE)*m2k))</f>
        <v>55.537211890737069</v>
      </c>
      <c r="BP202" s="125">
        <f>BP90/293.07*(1/(VLOOKUP($BM202,'Fuel economy adjusted factor'!$A$2:$L$52,5,FALSE)*m2k))</f>
        <v>43.778444930817599</v>
      </c>
      <c r="BQ202" s="125">
        <f>BQ90/293.07*(1/(VLOOKUP($BM202,'Fuel economy adjusted factor'!$A$2:$L$52,5,FALSE)*m2k))</f>
        <v>43.778444930817599</v>
      </c>
      <c r="BR202" s="125">
        <f>BR90/293.07*(1/(VLOOKUP($BM202,'Fuel economy adjusted factor'!$A$2:$L$52,5,FALSE)*m2k))</f>
        <v>43.778444930817599</v>
      </c>
      <c r="BS202" s="125">
        <f>BS90/293.07*(1/(VLOOKUP($BM202,'Fuel economy adjusted factor'!$A$2:$L$52,5,FALSE)*m2k))</f>
        <v>43.778444930817599</v>
      </c>
      <c r="BT202" s="125">
        <f>BT90/293.07*(1/(VLOOKUP($BM202,'Fuel economy adjusted factor'!$A$2:$L$52,5,FALSE)*m2k))</f>
        <v>43.778444930817599</v>
      </c>
      <c r="BU202" s="125">
        <f>BU90/293.07*(1/(VLOOKUP($BM202,'Fuel economy adjusted factor'!$A$2:$L$52,5,FALSE)*m2k))</f>
        <v>2.4729619092383595</v>
      </c>
      <c r="BV202" s="125">
        <f>BV90/293.07*(1/(VLOOKUP($BM202,'Fuel economy adjusted factor'!$A$2:$L$52,5,FALSE)*m2k))</f>
        <v>2.4729619092383595</v>
      </c>
      <c r="BW202" s="125">
        <f>BW90/293.07*(1/(VLOOKUP($BM202,'Fuel economy adjusted factor'!$A$2:$L$52,5,FALSE)*m2k))</f>
        <v>2.4729619092383595</v>
      </c>
      <c r="BX202" s="125">
        <f>BX90/293.07*(1/(VLOOKUP($BM202,'Fuel economy adjusted factor'!$A$2:$L$52,5,FALSE)*m2k))</f>
        <v>2.4729619092383595</v>
      </c>
      <c r="BY202" s="125">
        <f>BY90/293.07*(1/(VLOOKUP($BM202,'Fuel economy adjusted factor'!$A$2:$L$52,5,FALSE)*m2k))</f>
        <v>2.4729619092383595</v>
      </c>
      <c r="BZ202" s="125">
        <f>BZ90/293.07*(1/(VLOOKUP($BM202,'Fuel economy adjusted factor'!$A$2:$L$52,5,FALSE)*m2k))</f>
        <v>2.5791049610713666</v>
      </c>
      <c r="CA202" s="125">
        <f>CA90/293.07*(1/(VLOOKUP($BM202,'Fuel economy adjusted factor'!$A$2:$L$52,5,FALSE)*m2k))</f>
        <v>2.5791049610713666</v>
      </c>
      <c r="CB202" s="125">
        <f>CB90/293.07*(1/(VLOOKUP($BM202,'Fuel economy adjusted factor'!$A$2:$L$52,5,FALSE)*m2k))</f>
        <v>2.5791049610713666</v>
      </c>
      <c r="CC202" s="125">
        <f>CC90/293.07*(1/(VLOOKUP($BM202,'Fuel economy adjusted factor'!$A$2:$L$52,5,FALSE)*m2k))</f>
        <v>2.5791049610713666</v>
      </c>
      <c r="CD202" s="125">
        <f>CD90/293.07*(1/(VLOOKUP($BM202,'Fuel economy adjusted factor'!$A$2:$L$52,5,FALSE)*m2k))</f>
        <v>2.5791049610713666</v>
      </c>
      <c r="CE202" s="125">
        <f>CE90/293.07*(1/(VLOOKUP($BM202,'Fuel economy adjusted factor'!$A$2:$L$52,5,FALSE)*m2k))</f>
        <v>2.6150566399180302</v>
      </c>
      <c r="CF202" s="125">
        <f>CF90/293.07*(1/(VLOOKUP($BM202,'Fuel economy adjusted factor'!$A$2:$L$52,5,FALSE)*m2k))</f>
        <v>2.6150566399180302</v>
      </c>
      <c r="CG202" s="125">
        <f>CG90/293.07*(1/(VLOOKUP($BM202,'Fuel economy adjusted factor'!$A$2:$L$52,5,FALSE)*m2k))</f>
        <v>2.6150566399180302</v>
      </c>
      <c r="CH202" s="125">
        <f>CH90/293.07*(1/(VLOOKUP($BM202,'Fuel economy adjusted factor'!$A$2:$L$52,5,FALSE)*m2k))</f>
        <v>2.6150566399180302</v>
      </c>
      <c r="CI202" s="125">
        <f>CI90/293.07*(1/(VLOOKUP($BM202,'Fuel economy adjusted factor'!$A$2:$L$52,5,FALSE)*m2k))</f>
        <v>2.6150566399180302</v>
      </c>
      <c r="CJ202" s="125">
        <f>CJ90/293.07*(1/(VLOOKUP($BM202,'Fuel economy adjusted factor'!$A$2:$L$52,5,FALSE)*m2k))</f>
        <v>2.7070758179184189</v>
      </c>
      <c r="CK202" s="125">
        <f>CK90/293.07*(1/(VLOOKUP($BM202,'Fuel economy adjusted factor'!$A$2:$L$52,5,FALSE)*m2k))</f>
        <v>2.7070758179184189</v>
      </c>
      <c r="CL202" s="125">
        <f>CL90/293.07*(1/(VLOOKUP($BM202,'Fuel economy adjusted factor'!$A$2:$L$52,5,FALSE)*m2k))</f>
        <v>2.7070758179184189</v>
      </c>
      <c r="CM202" s="125">
        <f>CM90/293.07*(1/(VLOOKUP($BM202,'Fuel economy adjusted factor'!$A$2:$L$52,5,FALSE)*m2k))</f>
        <v>2.7070758179184189</v>
      </c>
      <c r="CN202" s="125">
        <f>CN90/293.07*(1/(VLOOKUP($BM202,'Fuel economy adjusted factor'!$A$2:$L$52,5,FALSE)*m2k))</f>
        <v>2.7070758179184189</v>
      </c>
      <c r="CO202" s="125">
        <f>CO90/293.07*(1/(VLOOKUP($BM202,'Fuel economy adjusted factor'!$A$2:$L$52,5,FALSE)*m2k))</f>
        <v>2.8234907779933289</v>
      </c>
      <c r="CP202" s="98" cm="1">
        <f t="array" ref="CP202">SUMPRODUCT(INDEX(BN202:CO202,,'TCO Inputs'!$AZ$12-2023+_xlfn.SEQUENCE('TCO Inputs'!$AZ$13))*INDEX('VKT US'!C92:AA92,,_xlfn.SEQUENCE('TCO Inputs'!$AZ$13)))*m2k*CONVERT(0.9072,"g","ton")</f>
        <v>7.0517463412568366</v>
      </c>
      <c r="CQ202" s="194"/>
      <c r="CR202" s="123" t="s">
        <v>213</v>
      </c>
      <c r="CS202" s="125">
        <f>CS90/293.07*(1/(VLOOKUP($BM202,'Fuel economy adjusted factor'!$A$2:$L$52,5,FALSE)*m2k))/'TCO Inputs'!$AZ$84</f>
        <v>65.337896342043607</v>
      </c>
      <c r="CT202" s="125">
        <f>CT90/293.07*(1/(VLOOKUP($BM202,'Fuel economy adjusted factor'!$A$2:$L$52,5,FALSE)*m2k))</f>
        <v>2.6005047699086661</v>
      </c>
      <c r="CU202" s="125">
        <f>CU90/293.07*(1/(VLOOKUP($BM202,'Fuel economy adjusted factor'!$A$2:$L$52,5,FALSE)*m2k))</f>
        <v>2.6005047699086661</v>
      </c>
      <c r="CV202" s="125">
        <f>CV90/293.07*(1/(VLOOKUP($BM202,'Fuel economy adjusted factor'!$A$2:$L$52,5,FALSE)*m2k))</f>
        <v>2.6005047699086661</v>
      </c>
      <c r="CW202" s="125">
        <f>CW90/293.07*(1/(VLOOKUP($BM202,'Fuel economy adjusted factor'!$A$2:$L$52,5,FALSE)*m2k))</f>
        <v>2.6005047699086661</v>
      </c>
      <c r="CX202" s="125">
        <f>CX90/293.07*(1/(VLOOKUP($BM202,'Fuel economy adjusted factor'!$A$2:$L$52,5,FALSE)*m2k))</f>
        <v>2.6005047699086661</v>
      </c>
      <c r="CY202" s="125">
        <f>CY90/293.07*(1/(VLOOKUP($BM202,'Fuel economy adjusted factor'!$A$2:$L$52,5,FALSE)*m2k))</f>
        <v>2.6005047699086661</v>
      </c>
      <c r="CZ202" s="125">
        <f>CZ90/293.07*(1/(VLOOKUP($BM202,'Fuel economy adjusted factor'!$A$2:$L$52,5,FALSE)*m2k))</f>
        <v>2.6005047699086661</v>
      </c>
      <c r="DA202" s="125">
        <f>DA90/293.07*(1/(VLOOKUP($BM202,'Fuel economy adjusted factor'!$A$2:$L$52,5,FALSE)*m2k))</f>
        <v>2.6005047699086661</v>
      </c>
      <c r="DB202" s="125">
        <f>DB90/293.07*(1/(VLOOKUP($BM202,'Fuel economy adjusted factor'!$A$2:$L$52,5,FALSE)*m2k))</f>
        <v>2.6005047699086661</v>
      </c>
      <c r="DC202" s="125">
        <f>DC90/293.07*(1/(VLOOKUP($BM202,'Fuel economy adjusted factor'!$A$2:$L$52,5,FALSE)*m2k))</f>
        <v>2.6005047699086661</v>
      </c>
      <c r="DD202" s="125">
        <f>DD90/293.07*(1/(VLOOKUP($BM202,'Fuel economy adjusted factor'!$A$2:$L$52,5,FALSE)*m2k))</f>
        <v>2.6005047699086661</v>
      </c>
      <c r="DE202" s="125">
        <f>DE90/293.07*(1/(VLOOKUP($BM202,'Fuel economy adjusted factor'!$A$2:$L$52,5,FALSE)*m2k))</f>
        <v>2.6749761046624694</v>
      </c>
      <c r="DF202" s="125">
        <f>DF90/293.07*(1/(VLOOKUP($BM202,'Fuel economy adjusted factor'!$A$2:$L$52,5,FALSE)*m2k))</f>
        <v>2.6749761046624694</v>
      </c>
      <c r="DG202" s="125">
        <f>DG90/293.07*(1/(VLOOKUP($BM202,'Fuel economy adjusted factor'!$A$2:$L$52,5,FALSE)*m2k))</f>
        <v>2.6749761046624694</v>
      </c>
      <c r="DH202" s="125">
        <f>DH90/293.07*(1/(VLOOKUP($BM202,'Fuel economy adjusted factor'!$A$2:$L$52,5,FALSE)*m2k))</f>
        <v>2.6749761046624694</v>
      </c>
      <c r="DI202" s="125">
        <f>DI90/293.07*(1/(VLOOKUP($BM202,'Fuel economy adjusted factor'!$A$2:$L$52,5,FALSE)*m2k))</f>
        <v>2.6749761046624694</v>
      </c>
      <c r="DJ202" s="125">
        <f>DJ90/293.07*(1/(VLOOKUP($BM202,'Fuel economy adjusted factor'!$A$2:$L$52,5,FALSE)*m2k))</f>
        <v>2.8140748621049174</v>
      </c>
      <c r="DK202" s="125">
        <f>DK90/293.07*(1/(VLOOKUP($BM202,'Fuel economy adjusted factor'!$A$2:$L$52,5,FALSE)*m2k))</f>
        <v>2.8140748621049174</v>
      </c>
      <c r="DL202" s="125">
        <f>DL90/293.07*(1/(VLOOKUP($BM202,'Fuel economy adjusted factor'!$A$2:$L$52,5,FALSE)*m2k))</f>
        <v>2.8140748621049174</v>
      </c>
      <c r="DM202" s="125">
        <f>DM90/293.07*(1/(VLOOKUP($BM202,'Fuel economy adjusted factor'!$A$2:$L$52,5,FALSE)*m2k))</f>
        <v>2.8140748621049174</v>
      </c>
      <c r="DN202" s="125">
        <f>DN90/293.07*(1/(VLOOKUP($BM202,'Fuel economy adjusted factor'!$A$2:$L$52,5,FALSE)*m2k))</f>
        <v>2.8140748621049174</v>
      </c>
      <c r="DO202" s="125">
        <f>DO90/293.07*(1/(VLOOKUP($BM202,'Fuel economy adjusted factor'!$A$2:$L$52,5,FALSE)*m2k))</f>
        <v>2.9060940401053066</v>
      </c>
      <c r="DP202" s="125">
        <f>DP90/293.07*(1/(VLOOKUP($BM202,'Fuel economy adjusted factor'!$A$2:$L$52,5,FALSE)*m2k))</f>
        <v>2.9060940401053066</v>
      </c>
      <c r="DQ202" s="125">
        <f>DQ90/293.07*(1/(VLOOKUP($BM202,'Fuel economy adjusted factor'!$A$2:$L$52,5,FALSE)*m2k))</f>
        <v>2.9060940401053066</v>
      </c>
      <c r="DR202" s="125">
        <f>DR90/293.07*(1/(VLOOKUP($BM202,'Fuel economy adjusted factor'!$A$2:$L$52,5,FALSE)*m2k))</f>
        <v>2.9060940401053066</v>
      </c>
      <c r="DS202" s="125">
        <f>DS90/293.07*(1/(VLOOKUP($BM202,'Fuel economy adjusted factor'!$A$2:$L$52,5,FALSE)*m2k))</f>
        <v>2.9060940401053066</v>
      </c>
      <c r="DT202" s="125">
        <f>DT90/293.07*(1/(VLOOKUP($BM202,'Fuel economy adjusted factor'!$A$2:$L$52,5,FALSE)*m2k))</f>
        <v>3.0229369963569637</v>
      </c>
      <c r="DU202" s="98" cm="1">
        <f t="array" ref="DU202">SUMPRODUCT(INDEX(CS202:DT202,,'TCO Inputs'!$AZ$12-2023+_xlfn.SEQUENCE('TCO Inputs'!$AZ$13))*INDEX('VKT US'!C92:AA92,,_xlfn.SEQUENCE('TCO Inputs'!$AZ$13)))*m2k*CONVERT(0.9072,"g","ton")</f>
        <v>2.0726863417949408</v>
      </c>
      <c r="DW202" s="123" t="s">
        <v>213</v>
      </c>
      <c r="DX202" s="125">
        <f>DX90/293.07*(1/(VLOOKUP($BM202,'Fuel economy adjusted factor'!$A$2:$L$52,5,FALSE)*m2k))/'TCO Inputs'!$AZ$84</f>
        <v>86.323028938318402</v>
      </c>
      <c r="DY202" s="125">
        <f>DY90/293.07*(1/(VLOOKUP($BM202,'Fuel economy adjusted factor'!$A$2:$L$52,5,FALSE)*m2k))/'TCO Inputs'!$AZ$84</f>
        <v>86.323028938318402</v>
      </c>
      <c r="DZ202" s="125">
        <f>DZ90/293.07*(1/(VLOOKUP($BM202,'Fuel economy adjusted factor'!$A$2:$L$52,5,FALSE)*m2k))/'TCO Inputs'!$AZ$84</f>
        <v>75.522134125537249</v>
      </c>
      <c r="EA202" s="125">
        <f>EA90/293.07*(1/(VLOOKUP($BM202,'Fuel economy adjusted factor'!$A$2:$L$52,5,FALSE)*m2k))/'TCO Inputs'!$AZ$84</f>
        <v>75.522134125537249</v>
      </c>
      <c r="EB202" s="125">
        <f>EB90/293.07*(1/(VLOOKUP($BM202,'Fuel economy adjusted factor'!$A$2:$L$52,5,FALSE)*m2k))/'TCO Inputs'!$AZ$84</f>
        <v>75.522134125537249</v>
      </c>
      <c r="EC202" s="125">
        <f>EC90/293.07*(1/(VLOOKUP($BM202,'Fuel economy adjusted factor'!$A$2:$L$52,5,FALSE)*m2k))/'TCO Inputs'!$AZ$84</f>
        <v>75.522134125537249</v>
      </c>
      <c r="ED202" s="125">
        <f>ED90/293.07*(1/(VLOOKUP($BM202,'Fuel economy adjusted factor'!$A$2:$L$52,5,FALSE)*m2k))/'TCO Inputs'!$AZ$84</f>
        <v>75.522134125537249</v>
      </c>
      <c r="EE202" s="125">
        <f>EE90/293.07*(1/(VLOOKUP($BM202,'Fuel economy adjusted factor'!$A$2:$L$52,5,FALSE)*m2k))/'TCO Inputs'!$AZ$84</f>
        <v>46.986971089930314</v>
      </c>
      <c r="EF202" s="125">
        <f>EF90/293.07*(1/(VLOOKUP($BM202,'Fuel economy adjusted factor'!$A$2:$L$52,5,FALSE)*m2k))/'TCO Inputs'!$AZ$84</f>
        <v>46.986971089930314</v>
      </c>
      <c r="EG202" s="125">
        <f>EG90/293.07*(1/(VLOOKUP($BM202,'Fuel economy adjusted factor'!$A$2:$L$52,5,FALSE)*m2k))/'TCO Inputs'!$AZ$84</f>
        <v>46.986971089930314</v>
      </c>
      <c r="EH202" s="125">
        <f>EH90/293.07*(1/(VLOOKUP($BM202,'Fuel economy adjusted factor'!$A$2:$L$52,5,FALSE)*m2k))/'TCO Inputs'!$AZ$84</f>
        <v>46.986971089930314</v>
      </c>
      <c r="EI202" s="125">
        <f>EI90/293.07*(1/(VLOOKUP($BM202,'Fuel economy adjusted factor'!$A$2:$L$52,5,FALSE)*m2k))/'TCO Inputs'!$AZ$84</f>
        <v>46.986971089930314</v>
      </c>
      <c r="EJ202" s="125">
        <f>EJ90/293.07*(1/(VLOOKUP($BM202,'Fuel economy adjusted factor'!$A$2:$L$52,5,FALSE)*m2k))/'TCO Inputs'!$AZ$84</f>
        <v>41.837388289029349</v>
      </c>
      <c r="EK202" s="125">
        <f>EK90/293.07*(1/(VLOOKUP($BM202,'Fuel economy adjusted factor'!$A$2:$L$52,5,FALSE)*m2k))/'TCO Inputs'!$AZ$84</f>
        <v>41.837388289029349</v>
      </c>
      <c r="EL202" s="125">
        <f>EL90/293.07*(1/(VLOOKUP($BM202,'Fuel economy adjusted factor'!$A$2:$L$52,5,FALSE)*m2k))/'TCO Inputs'!$AZ$84</f>
        <v>41.837388289029349</v>
      </c>
      <c r="EM202" s="125">
        <f>EM90/293.07*(1/(VLOOKUP($BM202,'Fuel economy adjusted factor'!$A$2:$L$52,5,FALSE)*m2k))/'TCO Inputs'!$AZ$84</f>
        <v>41.837388289029349</v>
      </c>
      <c r="EN202" s="125">
        <f>EN90/293.07*(1/(VLOOKUP($BM202,'Fuel economy adjusted factor'!$A$2:$L$52,5,FALSE)*m2k))/'TCO Inputs'!$AZ$84</f>
        <v>41.837388289029349</v>
      </c>
      <c r="EO202" s="125">
        <f>EO90/293.07*(1/(VLOOKUP($BM202,'Fuel economy adjusted factor'!$A$2:$L$52,5,FALSE)*m2k))/'TCO Inputs'!$AZ$84</f>
        <v>40.652868414263089</v>
      </c>
      <c r="EP202" s="125">
        <f>EP90/293.07*(1/(VLOOKUP($BM202,'Fuel economy adjusted factor'!$A$2:$L$52,5,FALSE)*m2k))/'TCO Inputs'!$AZ$84</f>
        <v>40.652868414263089</v>
      </c>
      <c r="EQ202" s="125">
        <f>EQ90/293.07*(1/(VLOOKUP($BM202,'Fuel economy adjusted factor'!$A$2:$L$52,5,FALSE)*m2k))/'TCO Inputs'!$AZ$84</f>
        <v>40.652868414263089</v>
      </c>
      <c r="ER202" s="125">
        <f>ER90/293.07*(1/(VLOOKUP($BM202,'Fuel economy adjusted factor'!$A$2:$L$52,5,FALSE)*m2k))/'TCO Inputs'!$AZ$84</f>
        <v>40.652868414263089</v>
      </c>
      <c r="ES202" s="125">
        <f>ES90/293.07*(1/(VLOOKUP($BM202,'Fuel economy adjusted factor'!$A$2:$L$52,5,FALSE)*m2k))/'TCO Inputs'!$AZ$84</f>
        <v>40.652868414263089</v>
      </c>
      <c r="ET202" s="125">
        <f>ET90/293.07*(1/(VLOOKUP($BM202,'Fuel economy adjusted factor'!$A$2:$L$52,5,FALSE)*m2k))/'TCO Inputs'!$AZ$84</f>
        <v>39.214130944140408</v>
      </c>
      <c r="EU202" s="125">
        <f>EU90/293.07*(1/(VLOOKUP($BM202,'Fuel economy adjusted factor'!$A$2:$L$52,5,FALSE)*m2k))/'TCO Inputs'!$AZ$84</f>
        <v>39.214130944140408</v>
      </c>
      <c r="EV202" s="125">
        <f>EV90/293.07*(1/(VLOOKUP($BM202,'Fuel economy adjusted factor'!$A$2:$L$52,5,FALSE)*m2k))/'TCO Inputs'!$AZ$84</f>
        <v>39.214130944140408</v>
      </c>
      <c r="EW202" s="125">
        <f>EW90/293.07*(1/(VLOOKUP($BM202,'Fuel economy adjusted factor'!$A$2:$L$52,5,FALSE)*m2k))/'TCO Inputs'!$AZ$84</f>
        <v>39.214130944140408</v>
      </c>
      <c r="EX202" s="125">
        <f>EX90/293.07*(1/(VLOOKUP($BM202,'Fuel economy adjusted factor'!$A$2:$L$52,5,FALSE)*m2k))/'TCO Inputs'!$AZ$84</f>
        <v>39.214130944140408</v>
      </c>
      <c r="EY202" s="125">
        <f>EY90/293.07*(1/(VLOOKUP($BM202,'Fuel economy adjusted factor'!$A$2:$L$52,5,FALSE)*m2k))/'TCO Inputs'!$AZ$84</f>
        <v>36.921295509762693</v>
      </c>
      <c r="EZ202" s="98" cm="1">
        <f t="array" ref="EZ202">SUMPRODUCT(INDEX(DX202:EY202,,'TCO Inputs'!$AZ$12-2023+_xlfn.SEQUENCE('TCO Inputs'!$AZ$13))*INDEX('VKT US'!C92:AA92,,_xlfn.SEQUENCE('TCO Inputs'!$AZ$13)))*m2k*CONVERT(0.9072,"g","ton")</f>
        <v>16.564670494562783</v>
      </c>
      <c r="FB202" s="123" t="s">
        <v>213</v>
      </c>
      <c r="FC202" s="125">
        <f>FC90/293.07*(1/(VLOOKUP($BM202,'Fuel economy adjusted factor'!$A$2:$L$52,5,FALSE)*m2k))/'TCO Inputs'!$AZ$84</f>
        <v>93.316146531444375</v>
      </c>
      <c r="FD202" s="125">
        <f>FD90/293.07*(1/(VLOOKUP($BM202,'Fuel economy adjusted factor'!$A$2:$L$52,5,FALSE)*m2k))/'TCO Inputs'!$AZ$84</f>
        <v>93.316146531444375</v>
      </c>
      <c r="FE202" s="125">
        <f>FE90/293.07*(1/(VLOOKUP($BM202,'Fuel economy adjusted factor'!$A$2:$L$52,5,FALSE)*m2k))/'TCO Inputs'!$AZ$84</f>
        <v>81.356336493788973</v>
      </c>
      <c r="FF202" s="125">
        <f>FF90/293.07*(1/(VLOOKUP($BM202,'Fuel economy adjusted factor'!$A$2:$L$52,5,FALSE)*m2k))/'TCO Inputs'!$AZ$84</f>
        <v>81.356336493788973</v>
      </c>
      <c r="FG202" s="125">
        <f>FG90/293.07*(1/(VLOOKUP($BM202,'Fuel economy adjusted factor'!$A$2:$L$52,5,FALSE)*m2k))/'TCO Inputs'!$AZ$84</f>
        <v>81.356336493788973</v>
      </c>
      <c r="FH202" s="125">
        <f>FH90/293.07*(1/(VLOOKUP($BM202,'Fuel economy adjusted factor'!$A$2:$L$52,5,FALSE)*m2k))/'TCO Inputs'!$AZ$84</f>
        <v>81.356336493788973</v>
      </c>
      <c r="FI202" s="125">
        <f>FI90/293.07*(1/(VLOOKUP($BM202,'Fuel economy adjusted factor'!$A$2:$L$52,5,FALSE)*m2k))/'TCO Inputs'!$AZ$84</f>
        <v>81.356336493788973</v>
      </c>
      <c r="FJ202" s="125">
        <f>FJ90/293.07*(1/(VLOOKUP($BM202,'Fuel economy adjusted factor'!$A$2:$L$52,5,FALSE)*m2k))/'TCO Inputs'!$AZ$84</f>
        <v>51.458640303214153</v>
      </c>
      <c r="FK202" s="125">
        <f>FK90/293.07*(1/(VLOOKUP($BM202,'Fuel economy adjusted factor'!$A$2:$L$52,5,FALSE)*m2k))/'TCO Inputs'!$AZ$84</f>
        <v>51.458640303214153</v>
      </c>
      <c r="FL202" s="125">
        <f>FL90/293.07*(1/(VLOOKUP($BM202,'Fuel economy adjusted factor'!$A$2:$L$52,5,FALSE)*m2k))/'TCO Inputs'!$AZ$84</f>
        <v>51.458640303214153</v>
      </c>
      <c r="FM202" s="125">
        <f>FM90/293.07*(1/(VLOOKUP($BM202,'Fuel economy adjusted factor'!$A$2:$L$52,5,FALSE)*m2k))/'TCO Inputs'!$AZ$84</f>
        <v>51.458640303214153</v>
      </c>
      <c r="FN202" s="125">
        <f>FN90/293.07*(1/(VLOOKUP($BM202,'Fuel economy adjusted factor'!$A$2:$L$52,5,FALSE)*m2k))/'TCO Inputs'!$AZ$84</f>
        <v>51.458640303214153</v>
      </c>
      <c r="FO202" s="125">
        <f>FO90/293.07*(1/(VLOOKUP($BM202,'Fuel economy adjusted factor'!$A$2:$L$52,5,FALSE)*m2k))/'TCO Inputs'!$AZ$84</f>
        <v>45.577496076827082</v>
      </c>
      <c r="FP202" s="125">
        <f>FP90/293.07*(1/(VLOOKUP($BM202,'Fuel economy adjusted factor'!$A$2:$L$52,5,FALSE)*m2k))/'TCO Inputs'!$AZ$84</f>
        <v>45.577496076827082</v>
      </c>
      <c r="FQ202" s="125">
        <f>FQ90/293.07*(1/(VLOOKUP($BM202,'Fuel economy adjusted factor'!$A$2:$L$52,5,FALSE)*m2k))/'TCO Inputs'!$AZ$84</f>
        <v>45.577496076827082</v>
      </c>
      <c r="FR202" s="125">
        <f>FR90/293.07*(1/(VLOOKUP($BM202,'Fuel economy adjusted factor'!$A$2:$L$52,5,FALSE)*m2k))/'TCO Inputs'!$AZ$84</f>
        <v>45.577496076827082</v>
      </c>
      <c r="FS202" s="125">
        <f>FS90/293.07*(1/(VLOOKUP($BM202,'Fuel economy adjusted factor'!$A$2:$L$52,5,FALSE)*m2k))/'TCO Inputs'!$AZ$84</f>
        <v>45.577496076827082</v>
      </c>
      <c r="FT202" s="125">
        <f>FT90/293.07*(1/(VLOOKUP($BM202,'Fuel economy adjusted factor'!$A$2:$L$52,5,FALSE)*m2k))/'TCO Inputs'!$AZ$84</f>
        <v>44.536849949073087</v>
      </c>
      <c r="FU202" s="125">
        <f>FU90/293.07*(1/(VLOOKUP($BM202,'Fuel economy adjusted factor'!$A$2:$L$52,5,FALSE)*m2k))/'TCO Inputs'!$AZ$84</f>
        <v>44.536849949073087</v>
      </c>
      <c r="FV202" s="125">
        <f>FV90/293.07*(1/(VLOOKUP($BM202,'Fuel economy adjusted factor'!$A$2:$L$52,5,FALSE)*m2k))/'TCO Inputs'!$AZ$84</f>
        <v>44.536849949073087</v>
      </c>
      <c r="FW202" s="125">
        <f>FW90/293.07*(1/(VLOOKUP($BM202,'Fuel economy adjusted factor'!$A$2:$L$52,5,FALSE)*m2k))/'TCO Inputs'!$AZ$84</f>
        <v>44.536849949073087</v>
      </c>
      <c r="FX202" s="125">
        <f>FX90/293.07*(1/(VLOOKUP($BM202,'Fuel economy adjusted factor'!$A$2:$L$52,5,FALSE)*m2k))/'TCO Inputs'!$AZ$84</f>
        <v>44.536849949073087</v>
      </c>
      <c r="FY202" s="125">
        <f>FY90/293.07*(1/(VLOOKUP($BM202,'Fuel economy adjusted factor'!$A$2:$L$52,5,FALSE)*m2k))/'TCO Inputs'!$AZ$84</f>
        <v>43.095673940865453</v>
      </c>
      <c r="FZ202" s="125">
        <f>FZ90/293.07*(1/(VLOOKUP($BM202,'Fuel economy adjusted factor'!$A$2:$L$52,5,FALSE)*m2k))/'TCO Inputs'!$AZ$84</f>
        <v>43.095673940865453</v>
      </c>
      <c r="GA202" s="125">
        <f>GA90/293.07*(1/(VLOOKUP($BM202,'Fuel economy adjusted factor'!$A$2:$L$52,5,FALSE)*m2k))/'TCO Inputs'!$AZ$84</f>
        <v>43.095673940865453</v>
      </c>
      <c r="GB202" s="125">
        <f>GB90/293.07*(1/(VLOOKUP($BM202,'Fuel economy adjusted factor'!$A$2:$L$52,5,FALSE)*m2k))/'TCO Inputs'!$AZ$84</f>
        <v>43.095673940865453</v>
      </c>
      <c r="GC202" s="125">
        <f>GC90/293.07*(1/(VLOOKUP($BM202,'Fuel economy adjusted factor'!$A$2:$L$52,5,FALSE)*m2k))/'TCO Inputs'!$AZ$84</f>
        <v>43.095673940865453</v>
      </c>
      <c r="GD202" s="125">
        <f>GD90/293.07*(1/(VLOOKUP($BM202,'Fuel economy adjusted factor'!$A$2:$L$52,5,FALSE)*m2k))/'TCO Inputs'!$AZ$84</f>
        <v>40.724805287769222</v>
      </c>
      <c r="GE202" s="98" cm="1">
        <f t="array" ref="GE202">SUMPRODUCT(INDEX(FC202:GD202,,'TCO Inputs'!$AZ$12-2023+_xlfn.SEQUENCE('TCO Inputs'!$AZ$13))*INDEX('VKT US'!C92:AA92,,_xlfn.SEQUENCE('TCO Inputs'!$AZ$13)))*m2k*CONVERT(0.9072,"g","ton")</f>
        <v>17.946331532986797</v>
      </c>
      <c r="GH202" s="123" t="s">
        <v>213</v>
      </c>
      <c r="GI202" s="125">
        <f>GI90/293.07*(1/(VLOOKUP($GH202,'Fuel economy adjusted factor'!$A$2:$L$52,5,FALSE)*m2k))/'TCO Inputs'!$AZ$84</f>
        <v>164.2750031333893</v>
      </c>
      <c r="GJ202" s="125">
        <f>GJ90/293.07*(1/(VLOOKUP($GH202,'Fuel economy adjusted factor'!$A$2:$L$52,5,FALSE)*m2k))/'TCO Inputs'!$AZ$84</f>
        <v>164.2750031333893</v>
      </c>
      <c r="GK202" s="125">
        <f>GK90/293.07*(1/(VLOOKUP($GH202,'Fuel economy adjusted factor'!$A$2:$L$52,5,FALSE)*m2k))/'TCO Inputs'!$AZ$84</f>
        <v>164.2750031333893</v>
      </c>
      <c r="GL202" s="125">
        <f>GL90/293.07*(1/(VLOOKUP($GH202,'Fuel economy adjusted factor'!$A$2:$L$52,5,FALSE)*m2k))/'TCO Inputs'!$AZ$84</f>
        <v>164.2750031333893</v>
      </c>
      <c r="GM202" s="125">
        <f>GM90/293.07*(1/(VLOOKUP($GH202,'Fuel economy adjusted factor'!$A$2:$L$52,5,FALSE)*m2k))/'TCO Inputs'!$AZ$84</f>
        <v>164.2750031333893</v>
      </c>
      <c r="GN202" s="125">
        <f>GN90/293.07*(1/(VLOOKUP($GH202,'Fuel economy adjusted factor'!$A$2:$L$52,5,FALSE)*m2k))/'TCO Inputs'!$AZ$84</f>
        <v>164.2750031333893</v>
      </c>
      <c r="GO202" s="125">
        <f>GO90/293.07*(1/(VLOOKUP($GH202,'Fuel economy adjusted factor'!$A$2:$L$52,5,FALSE)*m2k))/'TCO Inputs'!$AZ$84</f>
        <v>164.2750031333893</v>
      </c>
      <c r="GP202" s="125">
        <f>GP90/293.07*(1/(VLOOKUP($GH202,'Fuel economy adjusted factor'!$A$2:$L$52,5,FALSE)*m2k))/'TCO Inputs'!$AZ$84</f>
        <v>164.2750031333893</v>
      </c>
      <c r="GQ202" s="125">
        <f>GQ90/293.07*(1/(VLOOKUP($GH202,'Fuel economy adjusted factor'!$A$2:$L$52,5,FALSE)*m2k))/'TCO Inputs'!$AZ$84</f>
        <v>164.2750031333893</v>
      </c>
      <c r="GR202" s="125">
        <f>GR90/293.07*(1/(VLOOKUP($GH202,'Fuel economy adjusted factor'!$A$2:$L$52,5,FALSE)*m2k))/'TCO Inputs'!$AZ$84</f>
        <v>164.2750031333893</v>
      </c>
      <c r="GS202" s="125">
        <f>GS90/293.07*(1/(VLOOKUP($GH202,'Fuel economy adjusted factor'!$A$2:$L$52,5,FALSE)*m2k))/'TCO Inputs'!$AZ$84</f>
        <v>164.2750031333893</v>
      </c>
      <c r="GT202" s="125">
        <f>GT90/293.07*(1/(VLOOKUP($GH202,'Fuel economy adjusted factor'!$A$2:$L$52,5,FALSE)*m2k))/'TCO Inputs'!$AZ$84</f>
        <v>164.2750031333893</v>
      </c>
      <c r="GU202" s="125">
        <f>GU90/293.07*(1/(VLOOKUP($GH202,'Fuel economy adjusted factor'!$A$2:$L$52,5,FALSE)*m2k))/'TCO Inputs'!$AZ$84</f>
        <v>164.2750031333893</v>
      </c>
      <c r="GV202" s="125">
        <f>GV90/293.07*(1/(VLOOKUP($GH202,'Fuel economy adjusted factor'!$A$2:$L$52,5,FALSE)*m2k))/'TCO Inputs'!$AZ$84</f>
        <v>164.2750031333893</v>
      </c>
      <c r="GW202" s="125">
        <f>GW90/293.07*(1/(VLOOKUP($GH202,'Fuel economy adjusted factor'!$A$2:$L$52,5,FALSE)*m2k))/'TCO Inputs'!$AZ$84</f>
        <v>164.2750031333893</v>
      </c>
      <c r="GX202" s="125">
        <f>GX90/293.07*(1/(VLOOKUP($GH202,'Fuel economy adjusted factor'!$A$2:$L$52,5,FALSE)*m2k))/'TCO Inputs'!$AZ$84</f>
        <v>164.2750031333893</v>
      </c>
      <c r="GY202" s="125">
        <f>GY90/293.07*(1/(VLOOKUP($GH202,'Fuel economy adjusted factor'!$A$2:$L$52,5,FALSE)*m2k))/'TCO Inputs'!$AZ$84</f>
        <v>164.2750031333893</v>
      </c>
      <c r="GZ202" s="125">
        <f>GZ90/293.07*(1/(VLOOKUP($GH202,'Fuel economy adjusted factor'!$A$2:$L$52,5,FALSE)*m2k))/'TCO Inputs'!$AZ$84</f>
        <v>164.2750031333893</v>
      </c>
      <c r="HA202" s="125">
        <f>HA90/293.07*(1/(VLOOKUP($GH202,'Fuel economy adjusted factor'!$A$2:$L$52,5,FALSE)*m2k))/'TCO Inputs'!$AZ$84</f>
        <v>164.2750031333893</v>
      </c>
      <c r="HB202" s="125">
        <f>HB90/293.07*(1/(VLOOKUP($GH202,'Fuel economy adjusted factor'!$A$2:$L$52,5,FALSE)*m2k))/'TCO Inputs'!$AZ$84</f>
        <v>164.2750031333893</v>
      </c>
      <c r="HC202" s="125">
        <f>HC90/293.07*(1/(VLOOKUP($GH202,'Fuel economy adjusted factor'!$A$2:$L$52,5,FALSE)*m2k))/'TCO Inputs'!$AZ$84</f>
        <v>164.2750031333893</v>
      </c>
      <c r="HD202" s="125">
        <f>HD90/293.07*(1/(VLOOKUP($GH202,'Fuel economy adjusted factor'!$A$2:$L$52,5,FALSE)*m2k))/'TCO Inputs'!$AZ$84</f>
        <v>164.2750031333893</v>
      </c>
      <c r="HE202" s="125">
        <f>HE90/293.07*(1/(VLOOKUP($GH202,'Fuel economy adjusted factor'!$A$2:$L$52,5,FALSE)*m2k))/'TCO Inputs'!$AZ$84</f>
        <v>164.2750031333893</v>
      </c>
      <c r="HF202" s="125">
        <f>HF90/293.07*(1/(VLOOKUP($GH202,'Fuel economy adjusted factor'!$A$2:$L$52,5,FALSE)*m2k))/'TCO Inputs'!$AZ$84</f>
        <v>164.2750031333893</v>
      </c>
      <c r="HG202" s="125">
        <f>HG90/293.07*(1/(VLOOKUP($GH202,'Fuel economy adjusted factor'!$A$2:$L$52,5,FALSE)*m2k))/'TCO Inputs'!$AZ$84</f>
        <v>164.2750031333893</v>
      </c>
      <c r="HH202" s="125">
        <f>HH90/293.07*(1/(VLOOKUP($GH202,'Fuel economy adjusted factor'!$A$2:$L$52,5,FALSE)*m2k))/'TCO Inputs'!$AZ$84</f>
        <v>164.2750031333893</v>
      </c>
      <c r="HI202" s="125">
        <f>HI90/293.07*(1/(VLOOKUP($GH202,'Fuel economy adjusted factor'!$A$2:$L$52,5,FALSE)*m2k))/'TCO Inputs'!$AZ$84</f>
        <v>164.2750031333893</v>
      </c>
      <c r="HJ202" s="125">
        <f>HJ90/293.07*(1/(VLOOKUP($GH202,'Fuel economy adjusted factor'!$A$2:$L$52,5,FALSE)*m2k))/'TCO Inputs'!$AZ$84</f>
        <v>164.2750031333893</v>
      </c>
      <c r="HK202" s="98" cm="1">
        <f t="array" ref="HK202">SUMPRODUCT(INDEX(GI202:HJ202,,'TCO Inputs'!$AZ$12-2023+_xlfn.SEQUENCE('TCO Inputs'!$AZ$13))*INDEX('VKT US'!C92:AA92,,_xlfn.SEQUENCE('TCO Inputs'!$AZ$13)))*m2k*CONVERT(0.9072,"g","ton")</f>
        <v>42.586966832702721</v>
      </c>
    </row>
    <row r="203" spans="26:219" x14ac:dyDescent="0.25">
      <c r="Z203" s="123" t="s">
        <v>214</v>
      </c>
      <c r="AA203" s="125">
        <f>AA91/293.07*(1/(VLOOKUP($Z203,'Fuel economy adjusted factor'!$A$2:$L$52,5,FALSE)*m2k))/'TCO Inputs'!$AZ$84</f>
        <v>94.02935745423288</v>
      </c>
      <c r="AB203" s="125">
        <f>AB91/293.07*(1/(VLOOKUP($Z203,'Fuel economy adjusted factor'!$A$2:$L$52,5,FALSE)*m2k))/'TCO Inputs'!$AZ$84</f>
        <v>94.02935745423288</v>
      </c>
      <c r="AC203" s="125">
        <f>AC91/293.07*(1/(VLOOKUP($Z203,'Fuel economy adjusted factor'!$A$2:$L$52,5,FALSE)*m2k))/'TCO Inputs'!$AZ$84</f>
        <v>82.590269925834349</v>
      </c>
      <c r="AD203" s="125">
        <f>AD91/293.07*(1/(VLOOKUP($Z203,'Fuel economy adjusted factor'!$A$2:$L$52,5,FALSE)*m2k))/'TCO Inputs'!$AZ$84</f>
        <v>82.590269925834349</v>
      </c>
      <c r="AE203" s="125">
        <f>AE91/293.07*(1/(VLOOKUP($Z203,'Fuel economy adjusted factor'!$A$2:$L$52,5,FALSE)*m2k))/'TCO Inputs'!$AZ$84</f>
        <v>82.590269925834349</v>
      </c>
      <c r="AF203" s="125">
        <f>AF91/293.07*(1/(VLOOKUP($Z203,'Fuel economy adjusted factor'!$A$2:$L$52,5,FALSE)*m2k))/'TCO Inputs'!$AZ$84</f>
        <v>82.590269925834349</v>
      </c>
      <c r="AG203" s="125">
        <f>AG91/293.07*(1/(VLOOKUP($Z203,'Fuel economy adjusted factor'!$A$2:$L$52,5,FALSE)*m2k))/'TCO Inputs'!$AZ$84</f>
        <v>82.590269925834349</v>
      </c>
      <c r="AH203" s="125">
        <f>AH91/293.07*(1/(VLOOKUP($Z203,'Fuel economy adjusted factor'!$A$2:$L$52,5,FALSE)*m2k))/'TCO Inputs'!$AZ$84</f>
        <v>31.225245197404067</v>
      </c>
      <c r="AI203" s="125">
        <f>AI91/293.07*(1/(VLOOKUP($Z203,'Fuel economy adjusted factor'!$A$2:$L$52,5,FALSE)*m2k))/'TCO Inputs'!$AZ$84</f>
        <v>31.225245197404067</v>
      </c>
      <c r="AJ203" s="125">
        <f>AJ91/293.07*(1/(VLOOKUP($Z203,'Fuel economy adjusted factor'!$A$2:$L$52,5,FALSE)*m2k))/'TCO Inputs'!$AZ$84</f>
        <v>31.225245197404067</v>
      </c>
      <c r="AK203" s="125">
        <f>AK91/293.07*(1/(VLOOKUP($Z203,'Fuel economy adjusted factor'!$A$2:$L$52,5,FALSE)*m2k))/'TCO Inputs'!$AZ$84</f>
        <v>31.225245197404067</v>
      </c>
      <c r="AL203" s="125">
        <f>AL91/293.07*(1/(VLOOKUP($Z203,'Fuel economy adjusted factor'!$A$2:$L$52,5,FALSE)*m2k))/'TCO Inputs'!$AZ$84</f>
        <v>31.225245197404067</v>
      </c>
      <c r="AM203" s="125">
        <f>AM91/293.07*(1/(VLOOKUP($Z203,'Fuel economy adjusted factor'!$A$2:$L$52,5,FALSE)*m2k))/'TCO Inputs'!$AZ$84</f>
        <v>26.244829095625086</v>
      </c>
      <c r="AN203" s="125">
        <f>AN91/293.07*(1/(VLOOKUP($Z203,'Fuel economy adjusted factor'!$A$2:$L$52,5,FALSE)*m2k))/'TCO Inputs'!$AZ$84</f>
        <v>26.244829095625086</v>
      </c>
      <c r="AO203" s="125">
        <f>AO91/293.07*(1/(VLOOKUP($Z203,'Fuel economy adjusted factor'!$A$2:$L$52,5,FALSE)*m2k))/'TCO Inputs'!$AZ$84</f>
        <v>26.244829095625086</v>
      </c>
      <c r="AP203" s="125">
        <f>AP91/293.07*(1/(VLOOKUP($Z203,'Fuel economy adjusted factor'!$A$2:$L$52,5,FALSE)*m2k))/'TCO Inputs'!$AZ$84</f>
        <v>26.244829095625086</v>
      </c>
      <c r="AQ203" s="125">
        <f>AQ91/293.07*(1/(VLOOKUP($Z203,'Fuel economy adjusted factor'!$A$2:$L$52,5,FALSE)*m2k))/'TCO Inputs'!$AZ$84</f>
        <v>26.244829095625086</v>
      </c>
      <c r="AR203" s="125">
        <f>AR91/293.07*(1/(VLOOKUP($Z203,'Fuel economy adjusted factor'!$A$2:$L$52,5,FALSE)*m2k))/'TCO Inputs'!$AZ$84</f>
        <v>26.244829095625086</v>
      </c>
      <c r="AS203" s="125">
        <f>AS91/293.07*(1/(VLOOKUP($Z203,'Fuel economy adjusted factor'!$A$2:$L$52,5,FALSE)*m2k))/'TCO Inputs'!$AZ$84</f>
        <v>26.244829095625086</v>
      </c>
      <c r="AT203" s="125">
        <f>AT91/293.07*(1/(VLOOKUP($Z203,'Fuel economy adjusted factor'!$A$2:$L$52,5,FALSE)*m2k))/'TCO Inputs'!$AZ$84</f>
        <v>26.244829095625086</v>
      </c>
      <c r="AU203" s="125">
        <f>AU91/293.07*(1/(VLOOKUP($Z203,'Fuel economy adjusted factor'!$A$2:$L$52,5,FALSE)*m2k))/'TCO Inputs'!$AZ$84</f>
        <v>26.244829095625086</v>
      </c>
      <c r="AV203" s="125">
        <f>AV91/293.07*(1/(VLOOKUP($Z203,'Fuel economy adjusted factor'!$A$2:$L$52,5,FALSE)*m2k))/'TCO Inputs'!$AZ$84</f>
        <v>26.244829095625086</v>
      </c>
      <c r="AW203" s="125">
        <f>AW91/293.07*(1/(VLOOKUP($Z203,'Fuel economy adjusted factor'!$A$2:$L$52,5,FALSE)*m2k))/'TCO Inputs'!$AZ$84</f>
        <v>26.368741674324951</v>
      </c>
      <c r="AX203" s="125">
        <f>AX91/293.07*(1/(VLOOKUP($Z203,'Fuel economy adjusted factor'!$A$2:$L$52,5,FALSE)*m2k))/'TCO Inputs'!$AZ$84</f>
        <v>26.368741674324951</v>
      </c>
      <c r="AY203" s="125">
        <f>AY91/293.07*(1/(VLOOKUP($Z203,'Fuel economy adjusted factor'!$A$2:$L$52,5,FALSE)*m2k))/'TCO Inputs'!$AZ$84</f>
        <v>26.368741674324951</v>
      </c>
      <c r="AZ203" s="125">
        <f>AZ91/293.07*(1/(VLOOKUP($Z203,'Fuel economy adjusted factor'!$A$2:$L$52,5,FALSE)*m2k))/'TCO Inputs'!$AZ$84</f>
        <v>26.368741674324951</v>
      </c>
      <c r="BA203" s="125">
        <f>BA91/293.07*(1/(VLOOKUP($Z203,'Fuel economy adjusted factor'!$A$2:$L$52,5,FALSE)*m2k))/'TCO Inputs'!$AZ$84</f>
        <v>26.368741674324951</v>
      </c>
      <c r="BB203" s="125">
        <f>BB91/293.07*(1/(VLOOKUP($Z203,'Fuel economy adjusted factor'!$A$2:$L$52,5,FALSE)*m2k))/'TCO Inputs'!$AZ$84</f>
        <v>26.524538191403739</v>
      </c>
      <c r="BC203" s="98" cm="1">
        <f t="array" ref="BC203">SUMPRODUCT(INDEX(AA203:BB203,,'TCO Inputs'!$AZ$12-2023+_xlfn.SEQUENCE('TCO Inputs'!$AZ$13))*INDEX('VKT US'!C93:AA93,,_xlfn.SEQUENCE('TCO Inputs'!$AZ$13)))*m2k*CONVERT(0.9072,"g","ton")</f>
        <v>24.632800850449712</v>
      </c>
      <c r="BM203" s="123" t="s">
        <v>214</v>
      </c>
      <c r="BN203" s="125">
        <f>BN91/293.07*(1/(VLOOKUP($BM203,'Fuel economy adjusted factor'!$A$2:$L$52,5,FALSE)*m2k))</f>
        <v>79.924953836097941</v>
      </c>
      <c r="BO203" s="125">
        <f>BO91/293.07*(1/(VLOOKUP($BM203,'Fuel economy adjusted factor'!$A$2:$L$52,5,FALSE)*m2k))</f>
        <v>79.924953836097941</v>
      </c>
      <c r="BP203" s="125">
        <f>BP91/293.07*(1/(VLOOKUP($BM203,'Fuel economy adjusted factor'!$A$2:$L$52,5,FALSE)*m2k))</f>
        <v>63.0026260049857</v>
      </c>
      <c r="BQ203" s="125">
        <f>BQ91/293.07*(1/(VLOOKUP($BM203,'Fuel economy adjusted factor'!$A$2:$L$52,5,FALSE)*m2k))</f>
        <v>63.0026260049857</v>
      </c>
      <c r="BR203" s="125">
        <f>BR91/293.07*(1/(VLOOKUP($BM203,'Fuel economy adjusted factor'!$A$2:$L$52,5,FALSE)*m2k))</f>
        <v>63.0026260049857</v>
      </c>
      <c r="BS203" s="125">
        <f>BS91/293.07*(1/(VLOOKUP($BM203,'Fuel economy adjusted factor'!$A$2:$L$52,5,FALSE)*m2k))</f>
        <v>63.0026260049857</v>
      </c>
      <c r="BT203" s="125">
        <f>BT91/293.07*(1/(VLOOKUP($BM203,'Fuel economy adjusted factor'!$A$2:$L$52,5,FALSE)*m2k))</f>
        <v>63.0026260049857</v>
      </c>
      <c r="BU203" s="125">
        <f>BU91/293.07*(1/(VLOOKUP($BM203,'Fuel economy adjusted factor'!$A$2:$L$52,5,FALSE)*m2k))</f>
        <v>3.5588996945536331</v>
      </c>
      <c r="BV203" s="125">
        <f>BV91/293.07*(1/(VLOOKUP($BM203,'Fuel economy adjusted factor'!$A$2:$L$52,5,FALSE)*m2k))</f>
        <v>3.5588996945536331</v>
      </c>
      <c r="BW203" s="125">
        <f>BW91/293.07*(1/(VLOOKUP($BM203,'Fuel economy adjusted factor'!$A$2:$L$52,5,FALSE)*m2k))</f>
        <v>3.5588996945536331</v>
      </c>
      <c r="BX203" s="125">
        <f>BX91/293.07*(1/(VLOOKUP($BM203,'Fuel economy adjusted factor'!$A$2:$L$52,5,FALSE)*m2k))</f>
        <v>3.5588996945536331</v>
      </c>
      <c r="BY203" s="125">
        <f>BY91/293.07*(1/(VLOOKUP($BM203,'Fuel economy adjusted factor'!$A$2:$L$52,5,FALSE)*m2k))</f>
        <v>3.5588996945536331</v>
      </c>
      <c r="BZ203" s="125">
        <f>BZ91/293.07*(1/(VLOOKUP($BM203,'Fuel economy adjusted factor'!$A$2:$L$52,5,FALSE)*m2k))</f>
        <v>3.7116527447871563</v>
      </c>
      <c r="CA203" s="125">
        <f>CA91/293.07*(1/(VLOOKUP($BM203,'Fuel economy adjusted factor'!$A$2:$L$52,5,FALSE)*m2k))</f>
        <v>3.7116527447871563</v>
      </c>
      <c r="CB203" s="125">
        <f>CB91/293.07*(1/(VLOOKUP($BM203,'Fuel economy adjusted factor'!$A$2:$L$52,5,FALSE)*m2k))</f>
        <v>3.7116527447871563</v>
      </c>
      <c r="CC203" s="125">
        <f>CC91/293.07*(1/(VLOOKUP($BM203,'Fuel economy adjusted factor'!$A$2:$L$52,5,FALSE)*m2k))</f>
        <v>3.7116527447871563</v>
      </c>
      <c r="CD203" s="125">
        <f>CD91/293.07*(1/(VLOOKUP($BM203,'Fuel economy adjusted factor'!$A$2:$L$52,5,FALSE)*m2k))</f>
        <v>3.7116527447871563</v>
      </c>
      <c r="CE203" s="125">
        <f>CE91/293.07*(1/(VLOOKUP($BM203,'Fuel economy adjusted factor'!$A$2:$L$52,5,FALSE)*m2k))</f>
        <v>3.7633916811565764</v>
      </c>
      <c r="CF203" s="125">
        <f>CF91/293.07*(1/(VLOOKUP($BM203,'Fuel economy adjusted factor'!$A$2:$L$52,5,FALSE)*m2k))</f>
        <v>3.7633916811565764</v>
      </c>
      <c r="CG203" s="125">
        <f>CG91/293.07*(1/(VLOOKUP($BM203,'Fuel economy adjusted factor'!$A$2:$L$52,5,FALSE)*m2k))</f>
        <v>3.7633916811565764</v>
      </c>
      <c r="CH203" s="125">
        <f>CH91/293.07*(1/(VLOOKUP($BM203,'Fuel economy adjusted factor'!$A$2:$L$52,5,FALSE)*m2k))</f>
        <v>3.7633916811565764</v>
      </c>
      <c r="CI203" s="125">
        <f>CI91/293.07*(1/(VLOOKUP($BM203,'Fuel economy adjusted factor'!$A$2:$L$52,5,FALSE)*m2k))</f>
        <v>3.7633916811565764</v>
      </c>
      <c r="CJ203" s="125">
        <f>CJ91/293.07*(1/(VLOOKUP($BM203,'Fuel economy adjusted factor'!$A$2:$L$52,5,FALSE)*m2k))</f>
        <v>3.8958187206735428</v>
      </c>
      <c r="CK203" s="125">
        <f>CK91/293.07*(1/(VLOOKUP($BM203,'Fuel economy adjusted factor'!$A$2:$L$52,5,FALSE)*m2k))</f>
        <v>3.8958187206735428</v>
      </c>
      <c r="CL203" s="125">
        <f>CL91/293.07*(1/(VLOOKUP($BM203,'Fuel economy adjusted factor'!$A$2:$L$52,5,FALSE)*m2k))</f>
        <v>3.8958187206735428</v>
      </c>
      <c r="CM203" s="125">
        <f>CM91/293.07*(1/(VLOOKUP($BM203,'Fuel economy adjusted factor'!$A$2:$L$52,5,FALSE)*m2k))</f>
        <v>3.8958187206735428</v>
      </c>
      <c r="CN203" s="125">
        <f>CN91/293.07*(1/(VLOOKUP($BM203,'Fuel economy adjusted factor'!$A$2:$L$52,5,FALSE)*m2k))</f>
        <v>3.8958187206735428</v>
      </c>
      <c r="CO203" s="125">
        <f>CO91/293.07*(1/(VLOOKUP($BM203,'Fuel economy adjusted factor'!$A$2:$L$52,5,FALSE)*m2k))</f>
        <v>4.0633543241554708</v>
      </c>
      <c r="CP203" s="98" cm="1">
        <f t="array" ref="CP203">SUMPRODUCT(INDEX(BN203:CO203,,'TCO Inputs'!$AZ$12-2023+_xlfn.SEQUENCE('TCO Inputs'!$AZ$13))*INDEX('VKT US'!C93:AA93,,_xlfn.SEQUENCE('TCO Inputs'!$AZ$13)))*m2k*CONVERT(0.9072,"g","ton")</f>
        <v>15.853522512883847</v>
      </c>
      <c r="CQ203" s="194"/>
      <c r="CR203" s="123" t="s">
        <v>214</v>
      </c>
      <c r="CS203" s="125">
        <f>CS91/293.07*(1/(VLOOKUP($BM203,'Fuel economy adjusted factor'!$A$2:$L$52,5,FALSE)*m2k))/'TCO Inputs'!$AZ$84</f>
        <v>94.02935745423288</v>
      </c>
      <c r="CT203" s="125">
        <f>CT91/293.07*(1/(VLOOKUP($BM203,'Fuel economy adjusted factor'!$A$2:$L$52,5,FALSE)*m2k))</f>
        <v>3.7424497307213347</v>
      </c>
      <c r="CU203" s="125">
        <f>CU91/293.07*(1/(VLOOKUP($BM203,'Fuel economy adjusted factor'!$A$2:$L$52,5,FALSE)*m2k))</f>
        <v>3.7424497307213347</v>
      </c>
      <c r="CV203" s="125">
        <f>CV91/293.07*(1/(VLOOKUP($BM203,'Fuel economy adjusted factor'!$A$2:$L$52,5,FALSE)*m2k))</f>
        <v>3.7424497307213347</v>
      </c>
      <c r="CW203" s="125">
        <f>CW91/293.07*(1/(VLOOKUP($BM203,'Fuel economy adjusted factor'!$A$2:$L$52,5,FALSE)*m2k))</f>
        <v>3.7424497307213347</v>
      </c>
      <c r="CX203" s="125">
        <f>CX91/293.07*(1/(VLOOKUP($BM203,'Fuel economy adjusted factor'!$A$2:$L$52,5,FALSE)*m2k))</f>
        <v>3.7424497307213347</v>
      </c>
      <c r="CY203" s="125">
        <f>CY91/293.07*(1/(VLOOKUP($BM203,'Fuel economy adjusted factor'!$A$2:$L$52,5,FALSE)*m2k))</f>
        <v>3.7424497307213347</v>
      </c>
      <c r="CZ203" s="125">
        <f>CZ91/293.07*(1/(VLOOKUP($BM203,'Fuel economy adjusted factor'!$A$2:$L$52,5,FALSE)*m2k))</f>
        <v>3.7424497307213347</v>
      </c>
      <c r="DA203" s="125">
        <f>DA91/293.07*(1/(VLOOKUP($BM203,'Fuel economy adjusted factor'!$A$2:$L$52,5,FALSE)*m2k))</f>
        <v>3.7424497307213347</v>
      </c>
      <c r="DB203" s="125">
        <f>DB91/293.07*(1/(VLOOKUP($BM203,'Fuel economy adjusted factor'!$A$2:$L$52,5,FALSE)*m2k))</f>
        <v>3.7424497307213347</v>
      </c>
      <c r="DC203" s="125">
        <f>DC91/293.07*(1/(VLOOKUP($BM203,'Fuel economy adjusted factor'!$A$2:$L$52,5,FALSE)*m2k))</f>
        <v>3.7424497307213347</v>
      </c>
      <c r="DD203" s="125">
        <f>DD91/293.07*(1/(VLOOKUP($BM203,'Fuel economy adjusted factor'!$A$2:$L$52,5,FALSE)*m2k))</f>
        <v>3.7424497307213347</v>
      </c>
      <c r="DE203" s="125">
        <f>DE91/293.07*(1/(VLOOKUP($BM203,'Fuel economy adjusted factor'!$A$2:$L$52,5,FALSE)*m2k))</f>
        <v>3.8496232417722749</v>
      </c>
      <c r="DF203" s="125">
        <f>DF91/293.07*(1/(VLOOKUP($BM203,'Fuel economy adjusted factor'!$A$2:$L$52,5,FALSE)*m2k))</f>
        <v>3.8496232417722749</v>
      </c>
      <c r="DG203" s="125">
        <f>DG91/293.07*(1/(VLOOKUP($BM203,'Fuel economy adjusted factor'!$A$2:$L$52,5,FALSE)*m2k))</f>
        <v>3.8496232417722749</v>
      </c>
      <c r="DH203" s="125">
        <f>DH91/293.07*(1/(VLOOKUP($BM203,'Fuel economy adjusted factor'!$A$2:$L$52,5,FALSE)*m2k))</f>
        <v>3.8496232417722749</v>
      </c>
      <c r="DI203" s="125">
        <f>DI91/293.07*(1/(VLOOKUP($BM203,'Fuel economy adjusted factor'!$A$2:$L$52,5,FALSE)*m2k))</f>
        <v>3.8496232417722749</v>
      </c>
      <c r="DJ203" s="125">
        <f>DJ91/293.07*(1/(VLOOKUP($BM203,'Fuel economy adjusted factor'!$A$2:$L$52,5,FALSE)*m2k))</f>
        <v>4.0498036503444332</v>
      </c>
      <c r="DK203" s="125">
        <f>DK91/293.07*(1/(VLOOKUP($BM203,'Fuel economy adjusted factor'!$A$2:$L$52,5,FALSE)*m2k))</f>
        <v>4.0498036503444332</v>
      </c>
      <c r="DL203" s="125">
        <f>DL91/293.07*(1/(VLOOKUP($BM203,'Fuel economy adjusted factor'!$A$2:$L$52,5,FALSE)*m2k))</f>
        <v>4.0498036503444332</v>
      </c>
      <c r="DM203" s="125">
        <f>DM91/293.07*(1/(VLOOKUP($BM203,'Fuel economy adjusted factor'!$A$2:$L$52,5,FALSE)*m2k))</f>
        <v>4.0498036503444332</v>
      </c>
      <c r="DN203" s="125">
        <f>DN91/293.07*(1/(VLOOKUP($BM203,'Fuel economy adjusted factor'!$A$2:$L$52,5,FALSE)*m2k))</f>
        <v>4.0498036503444332</v>
      </c>
      <c r="DO203" s="125">
        <f>DO91/293.07*(1/(VLOOKUP($BM203,'Fuel economy adjusted factor'!$A$2:$L$52,5,FALSE)*m2k))</f>
        <v>4.1822306898613988</v>
      </c>
      <c r="DP203" s="125">
        <f>DP91/293.07*(1/(VLOOKUP($BM203,'Fuel economy adjusted factor'!$A$2:$L$52,5,FALSE)*m2k))</f>
        <v>4.1822306898613988</v>
      </c>
      <c r="DQ203" s="125">
        <f>DQ91/293.07*(1/(VLOOKUP($BM203,'Fuel economy adjusted factor'!$A$2:$L$52,5,FALSE)*m2k))</f>
        <v>4.1822306898613988</v>
      </c>
      <c r="DR203" s="125">
        <f>DR91/293.07*(1/(VLOOKUP($BM203,'Fuel economy adjusted factor'!$A$2:$L$52,5,FALSE)*m2k))</f>
        <v>4.1822306898613988</v>
      </c>
      <c r="DS203" s="125">
        <f>DS91/293.07*(1/(VLOOKUP($BM203,'Fuel economy adjusted factor'!$A$2:$L$52,5,FALSE)*m2k))</f>
        <v>4.1822306898613988</v>
      </c>
      <c r="DT203" s="125">
        <f>DT91/293.07*(1/(VLOOKUP($BM203,'Fuel economy adjusted factor'!$A$2:$L$52,5,FALSE)*m2k))</f>
        <v>4.350382233062013</v>
      </c>
      <c r="DU203" s="98" cm="1">
        <f t="array" ref="DU203">SUMPRODUCT(INDEX(CS203:DT203,,'TCO Inputs'!$AZ$12-2023+_xlfn.SEQUENCE('TCO Inputs'!$AZ$13))*INDEX('VKT US'!C93:AA93,,_xlfn.SEQUENCE('TCO Inputs'!$AZ$13)))*m2k*CONVERT(0.9072,"g","ton")</f>
        <v>4.6597506478000215</v>
      </c>
      <c r="DW203" s="123" t="s">
        <v>214</v>
      </c>
      <c r="DX203" s="125">
        <f>DX91/293.07*(1/(VLOOKUP($BM203,'Fuel economy adjusted factor'!$A$2:$L$52,5,FALSE)*m2k))/'TCO Inputs'!$AZ$84</f>
        <v>124.22957271353366</v>
      </c>
      <c r="DY203" s="125">
        <f>DY91/293.07*(1/(VLOOKUP($BM203,'Fuel economy adjusted factor'!$A$2:$L$52,5,FALSE)*m2k))/'TCO Inputs'!$AZ$84</f>
        <v>124.22957271353366</v>
      </c>
      <c r="DZ203" s="125">
        <f>DZ91/293.07*(1/(VLOOKUP($BM203,'Fuel economy adjusted factor'!$A$2:$L$52,5,FALSE)*m2k))/'TCO Inputs'!$AZ$84</f>
        <v>108.68574201136501</v>
      </c>
      <c r="EA203" s="125">
        <f>EA91/293.07*(1/(VLOOKUP($BM203,'Fuel economy adjusted factor'!$A$2:$L$52,5,FALSE)*m2k))/'TCO Inputs'!$AZ$84</f>
        <v>108.68574201136501</v>
      </c>
      <c r="EB203" s="125">
        <f>EB91/293.07*(1/(VLOOKUP($BM203,'Fuel economy adjusted factor'!$A$2:$L$52,5,FALSE)*m2k))/'TCO Inputs'!$AZ$84</f>
        <v>108.68574201136501</v>
      </c>
      <c r="EC203" s="125">
        <f>EC91/293.07*(1/(VLOOKUP($BM203,'Fuel economy adjusted factor'!$A$2:$L$52,5,FALSE)*m2k))/'TCO Inputs'!$AZ$84</f>
        <v>108.68574201136501</v>
      </c>
      <c r="ED203" s="125">
        <f>ED91/293.07*(1/(VLOOKUP($BM203,'Fuel economy adjusted factor'!$A$2:$L$52,5,FALSE)*m2k))/'TCO Inputs'!$AZ$84</f>
        <v>108.68574201136501</v>
      </c>
      <c r="EE203" s="125">
        <f>EE91/293.07*(1/(VLOOKUP($BM203,'Fuel economy adjusted factor'!$A$2:$L$52,5,FALSE)*m2k))/'TCO Inputs'!$AZ$84</f>
        <v>67.62009412084133</v>
      </c>
      <c r="EF203" s="125">
        <f>EF91/293.07*(1/(VLOOKUP($BM203,'Fuel economy adjusted factor'!$A$2:$L$52,5,FALSE)*m2k))/'TCO Inputs'!$AZ$84</f>
        <v>67.62009412084133</v>
      </c>
      <c r="EG203" s="125">
        <f>EG91/293.07*(1/(VLOOKUP($BM203,'Fuel economy adjusted factor'!$A$2:$L$52,5,FALSE)*m2k))/'TCO Inputs'!$AZ$84</f>
        <v>67.62009412084133</v>
      </c>
      <c r="EH203" s="125">
        <f>EH91/293.07*(1/(VLOOKUP($BM203,'Fuel economy adjusted factor'!$A$2:$L$52,5,FALSE)*m2k))/'TCO Inputs'!$AZ$84</f>
        <v>67.62009412084133</v>
      </c>
      <c r="EI203" s="125">
        <f>EI91/293.07*(1/(VLOOKUP($BM203,'Fuel economy adjusted factor'!$A$2:$L$52,5,FALSE)*m2k))/'TCO Inputs'!$AZ$84</f>
        <v>67.62009412084133</v>
      </c>
      <c r="EJ203" s="125">
        <f>EJ91/293.07*(1/(VLOOKUP($BM203,'Fuel economy adjusted factor'!$A$2:$L$52,5,FALSE)*m2k))/'TCO Inputs'!$AZ$84</f>
        <v>60.209204131496726</v>
      </c>
      <c r="EK203" s="125">
        <f>EK91/293.07*(1/(VLOOKUP($BM203,'Fuel economy adjusted factor'!$A$2:$L$52,5,FALSE)*m2k))/'TCO Inputs'!$AZ$84</f>
        <v>60.209204131496726</v>
      </c>
      <c r="EL203" s="125">
        <f>EL91/293.07*(1/(VLOOKUP($BM203,'Fuel economy adjusted factor'!$A$2:$L$52,5,FALSE)*m2k))/'TCO Inputs'!$AZ$84</f>
        <v>60.209204131496726</v>
      </c>
      <c r="EM203" s="125">
        <f>EM91/293.07*(1/(VLOOKUP($BM203,'Fuel economy adjusted factor'!$A$2:$L$52,5,FALSE)*m2k))/'TCO Inputs'!$AZ$84</f>
        <v>60.209204131496726</v>
      </c>
      <c r="EN203" s="125">
        <f>EN91/293.07*(1/(VLOOKUP($BM203,'Fuel economy adjusted factor'!$A$2:$L$52,5,FALSE)*m2k))/'TCO Inputs'!$AZ$84</f>
        <v>60.209204131496726</v>
      </c>
      <c r="EO203" s="125">
        <f>EO91/293.07*(1/(VLOOKUP($BM203,'Fuel economy adjusted factor'!$A$2:$L$52,5,FALSE)*m2k))/'TCO Inputs'!$AZ$84</f>
        <v>58.504532739369758</v>
      </c>
      <c r="EP203" s="125">
        <f>EP91/293.07*(1/(VLOOKUP($BM203,'Fuel economy adjusted factor'!$A$2:$L$52,5,FALSE)*m2k))/'TCO Inputs'!$AZ$84</f>
        <v>58.504532739369758</v>
      </c>
      <c r="EQ203" s="125">
        <f>EQ91/293.07*(1/(VLOOKUP($BM203,'Fuel economy adjusted factor'!$A$2:$L$52,5,FALSE)*m2k))/'TCO Inputs'!$AZ$84</f>
        <v>58.504532739369758</v>
      </c>
      <c r="ER203" s="125">
        <f>ER91/293.07*(1/(VLOOKUP($BM203,'Fuel economy adjusted factor'!$A$2:$L$52,5,FALSE)*m2k))/'TCO Inputs'!$AZ$84</f>
        <v>58.504532739369758</v>
      </c>
      <c r="ES203" s="125">
        <f>ES91/293.07*(1/(VLOOKUP($BM203,'Fuel economy adjusted factor'!$A$2:$L$52,5,FALSE)*m2k))/'TCO Inputs'!$AZ$84</f>
        <v>58.504532739369758</v>
      </c>
      <c r="ET203" s="125">
        <f>ET91/293.07*(1/(VLOOKUP($BM203,'Fuel economy adjusted factor'!$A$2:$L$52,5,FALSE)*m2k))/'TCO Inputs'!$AZ$84</f>
        <v>56.434010616148107</v>
      </c>
      <c r="EU203" s="125">
        <f>EU91/293.07*(1/(VLOOKUP($BM203,'Fuel economy adjusted factor'!$A$2:$L$52,5,FALSE)*m2k))/'TCO Inputs'!$AZ$84</f>
        <v>56.434010616148107</v>
      </c>
      <c r="EV203" s="125">
        <f>EV91/293.07*(1/(VLOOKUP($BM203,'Fuel economy adjusted factor'!$A$2:$L$52,5,FALSE)*m2k))/'TCO Inputs'!$AZ$84</f>
        <v>56.434010616148107</v>
      </c>
      <c r="EW203" s="125">
        <f>EW91/293.07*(1/(VLOOKUP($BM203,'Fuel economy adjusted factor'!$A$2:$L$52,5,FALSE)*m2k))/'TCO Inputs'!$AZ$84</f>
        <v>56.434010616148107</v>
      </c>
      <c r="EX203" s="125">
        <f>EX91/293.07*(1/(VLOOKUP($BM203,'Fuel economy adjusted factor'!$A$2:$L$52,5,FALSE)*m2k))/'TCO Inputs'!$AZ$84</f>
        <v>56.434010616148107</v>
      </c>
      <c r="EY203" s="125">
        <f>EY91/293.07*(1/(VLOOKUP($BM203,'Fuel economy adjusted factor'!$A$2:$L$52,5,FALSE)*m2k))/'TCO Inputs'!$AZ$84</f>
        <v>53.134335317234274</v>
      </c>
      <c r="EZ203" s="98" cm="1">
        <f t="array" ref="EZ203">SUMPRODUCT(INDEX(DX203:EY203,,'TCO Inputs'!$AZ$12-2023+_xlfn.SEQUENCE('TCO Inputs'!$AZ$13))*INDEX('VKT US'!C93:AA93,,_xlfn.SEQUENCE('TCO Inputs'!$AZ$13)))*m2k*CONVERT(0.9072,"g","ton")</f>
        <v>37.240190428807885</v>
      </c>
      <c r="FB203" s="123" t="s">
        <v>214</v>
      </c>
      <c r="FC203" s="125">
        <f>FC91/293.07*(1/(VLOOKUP($BM203,'Fuel economy adjusted factor'!$A$2:$L$52,5,FALSE)*m2k))/'TCO Inputs'!$AZ$84</f>
        <v>134.29353850822667</v>
      </c>
      <c r="FD203" s="125">
        <f>FD91/293.07*(1/(VLOOKUP($BM203,'Fuel economy adjusted factor'!$A$2:$L$52,5,FALSE)*m2k))/'TCO Inputs'!$AZ$84</f>
        <v>134.29353850822667</v>
      </c>
      <c r="FE203" s="125">
        <f>FE91/293.07*(1/(VLOOKUP($BM203,'Fuel economy adjusted factor'!$A$2:$L$52,5,FALSE)*m2k))/'TCO Inputs'!$AZ$84</f>
        <v>117.08188468900535</v>
      </c>
      <c r="FF203" s="125">
        <f>FF91/293.07*(1/(VLOOKUP($BM203,'Fuel economy adjusted factor'!$A$2:$L$52,5,FALSE)*m2k))/'TCO Inputs'!$AZ$84</f>
        <v>117.08188468900535</v>
      </c>
      <c r="FG203" s="125">
        <f>FG91/293.07*(1/(VLOOKUP($BM203,'Fuel economy adjusted factor'!$A$2:$L$52,5,FALSE)*m2k))/'TCO Inputs'!$AZ$84</f>
        <v>117.08188468900535</v>
      </c>
      <c r="FH203" s="125">
        <f>FH91/293.07*(1/(VLOOKUP($BM203,'Fuel economy adjusted factor'!$A$2:$L$52,5,FALSE)*m2k))/'TCO Inputs'!$AZ$84</f>
        <v>117.08188468900535</v>
      </c>
      <c r="FI203" s="125">
        <f>FI91/293.07*(1/(VLOOKUP($BM203,'Fuel economy adjusted factor'!$A$2:$L$52,5,FALSE)*m2k))/'TCO Inputs'!$AZ$84</f>
        <v>117.08188468900535</v>
      </c>
      <c r="FJ203" s="125">
        <f>FJ91/293.07*(1/(VLOOKUP($BM203,'Fuel economy adjusted factor'!$A$2:$L$52,5,FALSE)*m2k))/'TCO Inputs'!$AZ$84</f>
        <v>74.055382160600161</v>
      </c>
      <c r="FK203" s="125">
        <f>FK91/293.07*(1/(VLOOKUP($BM203,'Fuel economy adjusted factor'!$A$2:$L$52,5,FALSE)*m2k))/'TCO Inputs'!$AZ$84</f>
        <v>74.055382160600161</v>
      </c>
      <c r="FL203" s="125">
        <f>FL91/293.07*(1/(VLOOKUP($BM203,'Fuel economy adjusted factor'!$A$2:$L$52,5,FALSE)*m2k))/'TCO Inputs'!$AZ$84</f>
        <v>74.055382160600161</v>
      </c>
      <c r="FM203" s="125">
        <f>FM91/293.07*(1/(VLOOKUP($BM203,'Fuel economy adjusted factor'!$A$2:$L$52,5,FALSE)*m2k))/'TCO Inputs'!$AZ$84</f>
        <v>74.055382160600161</v>
      </c>
      <c r="FN203" s="125">
        <f>FN91/293.07*(1/(VLOOKUP($BM203,'Fuel economy adjusted factor'!$A$2:$L$52,5,FALSE)*m2k))/'TCO Inputs'!$AZ$84</f>
        <v>74.055382160600161</v>
      </c>
      <c r="FO203" s="125">
        <f>FO91/293.07*(1/(VLOOKUP($BM203,'Fuel economy adjusted factor'!$A$2:$L$52,5,FALSE)*m2k))/'TCO Inputs'!$AZ$84</f>
        <v>65.591684311990306</v>
      </c>
      <c r="FP203" s="125">
        <f>FP91/293.07*(1/(VLOOKUP($BM203,'Fuel economy adjusted factor'!$A$2:$L$52,5,FALSE)*m2k))/'TCO Inputs'!$AZ$84</f>
        <v>65.591684311990306</v>
      </c>
      <c r="FQ203" s="125">
        <f>FQ91/293.07*(1/(VLOOKUP($BM203,'Fuel economy adjusted factor'!$A$2:$L$52,5,FALSE)*m2k))/'TCO Inputs'!$AZ$84</f>
        <v>65.591684311990306</v>
      </c>
      <c r="FR203" s="125">
        <f>FR91/293.07*(1/(VLOOKUP($BM203,'Fuel economy adjusted factor'!$A$2:$L$52,5,FALSE)*m2k))/'TCO Inputs'!$AZ$84</f>
        <v>65.591684311990306</v>
      </c>
      <c r="FS203" s="125">
        <f>FS91/293.07*(1/(VLOOKUP($BM203,'Fuel economy adjusted factor'!$A$2:$L$52,5,FALSE)*m2k))/'TCO Inputs'!$AZ$84</f>
        <v>65.591684311990306</v>
      </c>
      <c r="FT203" s="125">
        <f>FT91/293.07*(1/(VLOOKUP($BM203,'Fuel economy adjusted factor'!$A$2:$L$52,5,FALSE)*m2k))/'TCO Inputs'!$AZ$84</f>
        <v>64.094065132185492</v>
      </c>
      <c r="FU203" s="125">
        <f>FU91/293.07*(1/(VLOOKUP($BM203,'Fuel economy adjusted factor'!$A$2:$L$52,5,FALSE)*m2k))/'TCO Inputs'!$AZ$84</f>
        <v>64.094065132185492</v>
      </c>
      <c r="FV203" s="125">
        <f>FV91/293.07*(1/(VLOOKUP($BM203,'Fuel economy adjusted factor'!$A$2:$L$52,5,FALSE)*m2k))/'TCO Inputs'!$AZ$84</f>
        <v>64.094065132185492</v>
      </c>
      <c r="FW203" s="125">
        <f>FW91/293.07*(1/(VLOOKUP($BM203,'Fuel economy adjusted factor'!$A$2:$L$52,5,FALSE)*m2k))/'TCO Inputs'!$AZ$84</f>
        <v>64.094065132185492</v>
      </c>
      <c r="FX203" s="125">
        <f>FX91/293.07*(1/(VLOOKUP($BM203,'Fuel economy adjusted factor'!$A$2:$L$52,5,FALSE)*m2k))/'TCO Inputs'!$AZ$84</f>
        <v>64.094065132185492</v>
      </c>
      <c r="FY203" s="125">
        <f>FY91/293.07*(1/(VLOOKUP($BM203,'Fuel economy adjusted factor'!$A$2:$L$52,5,FALSE)*m2k))/'TCO Inputs'!$AZ$84</f>
        <v>62.020033649432953</v>
      </c>
      <c r="FZ203" s="125">
        <f>FZ91/293.07*(1/(VLOOKUP($BM203,'Fuel economy adjusted factor'!$A$2:$L$52,5,FALSE)*m2k))/'TCO Inputs'!$AZ$84</f>
        <v>62.020033649432953</v>
      </c>
      <c r="GA203" s="125">
        <f>GA91/293.07*(1/(VLOOKUP($BM203,'Fuel economy adjusted factor'!$A$2:$L$52,5,FALSE)*m2k))/'TCO Inputs'!$AZ$84</f>
        <v>62.020033649432953</v>
      </c>
      <c r="GB203" s="125">
        <f>GB91/293.07*(1/(VLOOKUP($BM203,'Fuel economy adjusted factor'!$A$2:$L$52,5,FALSE)*m2k))/'TCO Inputs'!$AZ$84</f>
        <v>62.020033649432953</v>
      </c>
      <c r="GC203" s="125">
        <f>GC91/293.07*(1/(VLOOKUP($BM203,'Fuel economy adjusted factor'!$A$2:$L$52,5,FALSE)*m2k))/'TCO Inputs'!$AZ$84</f>
        <v>62.020033649432953</v>
      </c>
      <c r="GD203" s="125">
        <f>GD91/293.07*(1/(VLOOKUP($BM203,'Fuel economy adjusted factor'!$A$2:$L$52,5,FALSE)*m2k))/'TCO Inputs'!$AZ$84</f>
        <v>58.608058845530834</v>
      </c>
      <c r="GE203" s="98" cm="1">
        <f t="array" ref="GE203">SUMPRODUCT(INDEX(FC203:GD203,,'TCO Inputs'!$AZ$12-2023+_xlfn.SEQUENCE('TCO Inputs'!$AZ$13))*INDEX('VKT US'!C93:AA93,,_xlfn.SEQUENCE('TCO Inputs'!$AZ$13)))*m2k*CONVERT(0.9072,"g","ton")</f>
        <v>40.346398922110801</v>
      </c>
      <c r="GH203" s="123" t="s">
        <v>214</v>
      </c>
      <c r="GI203" s="125">
        <f>GI91/293.07*(1/(VLOOKUP($GH203,'Fuel economy adjusted factor'!$A$2:$L$52,5,FALSE)*m2k))/'TCO Inputs'!$AZ$84</f>
        <v>236.41215673001503</v>
      </c>
      <c r="GJ203" s="125">
        <f>GJ91/293.07*(1/(VLOOKUP($GH203,'Fuel economy adjusted factor'!$A$2:$L$52,5,FALSE)*m2k))/'TCO Inputs'!$AZ$84</f>
        <v>236.41215673001503</v>
      </c>
      <c r="GK203" s="125">
        <f>GK91/293.07*(1/(VLOOKUP($GH203,'Fuel economy adjusted factor'!$A$2:$L$52,5,FALSE)*m2k))/'TCO Inputs'!$AZ$84</f>
        <v>236.41215673001503</v>
      </c>
      <c r="GL203" s="125">
        <f>GL91/293.07*(1/(VLOOKUP($GH203,'Fuel economy adjusted factor'!$A$2:$L$52,5,FALSE)*m2k))/'TCO Inputs'!$AZ$84</f>
        <v>236.41215673001503</v>
      </c>
      <c r="GM203" s="125">
        <f>GM91/293.07*(1/(VLOOKUP($GH203,'Fuel economy adjusted factor'!$A$2:$L$52,5,FALSE)*m2k))/'TCO Inputs'!$AZ$84</f>
        <v>236.41215673001503</v>
      </c>
      <c r="GN203" s="125">
        <f>GN91/293.07*(1/(VLOOKUP($GH203,'Fuel economy adjusted factor'!$A$2:$L$52,5,FALSE)*m2k))/'TCO Inputs'!$AZ$84</f>
        <v>236.41215673001503</v>
      </c>
      <c r="GO203" s="125">
        <f>GO91/293.07*(1/(VLOOKUP($GH203,'Fuel economy adjusted factor'!$A$2:$L$52,5,FALSE)*m2k))/'TCO Inputs'!$AZ$84</f>
        <v>236.41215673001503</v>
      </c>
      <c r="GP203" s="125">
        <f>GP91/293.07*(1/(VLOOKUP($GH203,'Fuel economy adjusted factor'!$A$2:$L$52,5,FALSE)*m2k))/'TCO Inputs'!$AZ$84</f>
        <v>236.41215673001503</v>
      </c>
      <c r="GQ203" s="125">
        <f>GQ91/293.07*(1/(VLOOKUP($GH203,'Fuel economy adjusted factor'!$A$2:$L$52,5,FALSE)*m2k))/'TCO Inputs'!$AZ$84</f>
        <v>236.41215673001503</v>
      </c>
      <c r="GR203" s="125">
        <f>GR91/293.07*(1/(VLOOKUP($GH203,'Fuel economy adjusted factor'!$A$2:$L$52,5,FALSE)*m2k))/'TCO Inputs'!$AZ$84</f>
        <v>236.41215673001503</v>
      </c>
      <c r="GS203" s="125">
        <f>GS91/293.07*(1/(VLOOKUP($GH203,'Fuel economy adjusted factor'!$A$2:$L$52,5,FALSE)*m2k))/'TCO Inputs'!$AZ$84</f>
        <v>236.41215673001503</v>
      </c>
      <c r="GT203" s="125">
        <f>GT91/293.07*(1/(VLOOKUP($GH203,'Fuel economy adjusted factor'!$A$2:$L$52,5,FALSE)*m2k))/'TCO Inputs'!$AZ$84</f>
        <v>236.41215673001503</v>
      </c>
      <c r="GU203" s="125">
        <f>GU91/293.07*(1/(VLOOKUP($GH203,'Fuel economy adjusted factor'!$A$2:$L$52,5,FALSE)*m2k))/'TCO Inputs'!$AZ$84</f>
        <v>236.41215673001503</v>
      </c>
      <c r="GV203" s="125">
        <f>GV91/293.07*(1/(VLOOKUP($GH203,'Fuel economy adjusted factor'!$A$2:$L$52,5,FALSE)*m2k))/'TCO Inputs'!$AZ$84</f>
        <v>236.41215673001503</v>
      </c>
      <c r="GW203" s="125">
        <f>GW91/293.07*(1/(VLOOKUP($GH203,'Fuel economy adjusted factor'!$A$2:$L$52,5,FALSE)*m2k))/'TCO Inputs'!$AZ$84</f>
        <v>236.41215673001503</v>
      </c>
      <c r="GX203" s="125">
        <f>GX91/293.07*(1/(VLOOKUP($GH203,'Fuel economy adjusted factor'!$A$2:$L$52,5,FALSE)*m2k))/'TCO Inputs'!$AZ$84</f>
        <v>236.41215673001503</v>
      </c>
      <c r="GY203" s="125">
        <f>GY91/293.07*(1/(VLOOKUP($GH203,'Fuel economy adjusted factor'!$A$2:$L$52,5,FALSE)*m2k))/'TCO Inputs'!$AZ$84</f>
        <v>236.41215673001503</v>
      </c>
      <c r="GZ203" s="125">
        <f>GZ91/293.07*(1/(VLOOKUP($GH203,'Fuel economy adjusted factor'!$A$2:$L$52,5,FALSE)*m2k))/'TCO Inputs'!$AZ$84</f>
        <v>236.41215673001503</v>
      </c>
      <c r="HA203" s="125">
        <f>HA91/293.07*(1/(VLOOKUP($GH203,'Fuel economy adjusted factor'!$A$2:$L$52,5,FALSE)*m2k))/'TCO Inputs'!$AZ$84</f>
        <v>236.41215673001503</v>
      </c>
      <c r="HB203" s="125">
        <f>HB91/293.07*(1/(VLOOKUP($GH203,'Fuel economy adjusted factor'!$A$2:$L$52,5,FALSE)*m2k))/'TCO Inputs'!$AZ$84</f>
        <v>236.41215673001503</v>
      </c>
      <c r="HC203" s="125">
        <f>HC91/293.07*(1/(VLOOKUP($GH203,'Fuel economy adjusted factor'!$A$2:$L$52,5,FALSE)*m2k))/'TCO Inputs'!$AZ$84</f>
        <v>236.41215673001503</v>
      </c>
      <c r="HD203" s="125">
        <f>HD91/293.07*(1/(VLOOKUP($GH203,'Fuel economy adjusted factor'!$A$2:$L$52,5,FALSE)*m2k))/'TCO Inputs'!$AZ$84</f>
        <v>236.41215673001503</v>
      </c>
      <c r="HE203" s="125">
        <f>HE91/293.07*(1/(VLOOKUP($GH203,'Fuel economy adjusted factor'!$A$2:$L$52,5,FALSE)*m2k))/'TCO Inputs'!$AZ$84</f>
        <v>236.41215673001503</v>
      </c>
      <c r="HF203" s="125">
        <f>HF91/293.07*(1/(VLOOKUP($GH203,'Fuel economy adjusted factor'!$A$2:$L$52,5,FALSE)*m2k))/'TCO Inputs'!$AZ$84</f>
        <v>236.41215673001503</v>
      </c>
      <c r="HG203" s="125">
        <f>HG91/293.07*(1/(VLOOKUP($GH203,'Fuel economy adjusted factor'!$A$2:$L$52,5,FALSE)*m2k))/'TCO Inputs'!$AZ$84</f>
        <v>236.41215673001503</v>
      </c>
      <c r="HH203" s="125">
        <f>HH91/293.07*(1/(VLOOKUP($GH203,'Fuel economy adjusted factor'!$A$2:$L$52,5,FALSE)*m2k))/'TCO Inputs'!$AZ$84</f>
        <v>236.41215673001503</v>
      </c>
      <c r="HI203" s="125">
        <f>HI91/293.07*(1/(VLOOKUP($GH203,'Fuel economy adjusted factor'!$A$2:$L$52,5,FALSE)*m2k))/'TCO Inputs'!$AZ$84</f>
        <v>236.41215673001503</v>
      </c>
      <c r="HJ203" s="125">
        <f>HJ91/293.07*(1/(VLOOKUP($GH203,'Fuel economy adjusted factor'!$A$2:$L$52,5,FALSE)*m2k))/'TCO Inputs'!$AZ$84</f>
        <v>236.41215673001503</v>
      </c>
      <c r="HK203" s="98" cm="1">
        <f t="array" ref="HK203">SUMPRODUCT(INDEX(GI203:HJ203,,'TCO Inputs'!$AZ$12-2023+_xlfn.SEQUENCE('TCO Inputs'!$AZ$13))*INDEX('VKT US'!C93:AA93,,_xlfn.SEQUENCE('TCO Inputs'!$AZ$13)))*m2k*CONVERT(0.9072,"g","ton")</f>
        <v>95.742728788704227</v>
      </c>
    </row>
    <row r="204" spans="26:219" x14ac:dyDescent="0.25">
      <c r="Z204" s="123" t="s">
        <v>216</v>
      </c>
      <c r="AA204" s="125">
        <f>AA92/293.07*(1/(VLOOKUP($Z204,'Fuel economy adjusted factor'!$A$2:$L$52,5,FALSE)*m2k))/'TCO Inputs'!$AZ$84</f>
        <v>64.968952827554205</v>
      </c>
      <c r="AB204" s="125">
        <f>AB92/293.07*(1/(VLOOKUP($Z204,'Fuel economy adjusted factor'!$A$2:$L$52,5,FALSE)*m2k))/'TCO Inputs'!$AZ$84</f>
        <v>64.968952827554205</v>
      </c>
      <c r="AC204" s="125">
        <f>AC92/293.07*(1/(VLOOKUP($Z204,'Fuel economy adjusted factor'!$A$2:$L$52,5,FALSE)*m2k))/'TCO Inputs'!$AZ$84</f>
        <v>57.065192149571054</v>
      </c>
      <c r="AD204" s="125">
        <f>AD92/293.07*(1/(VLOOKUP($Z204,'Fuel economy adjusted factor'!$A$2:$L$52,5,FALSE)*m2k))/'TCO Inputs'!$AZ$84</f>
        <v>57.065192149571054</v>
      </c>
      <c r="AE204" s="125">
        <f>AE92/293.07*(1/(VLOOKUP($Z204,'Fuel economy adjusted factor'!$A$2:$L$52,5,FALSE)*m2k))/'TCO Inputs'!$AZ$84</f>
        <v>57.065192149571054</v>
      </c>
      <c r="AF204" s="125">
        <f>AF92/293.07*(1/(VLOOKUP($Z204,'Fuel economy adjusted factor'!$A$2:$L$52,5,FALSE)*m2k))/'TCO Inputs'!$AZ$84</f>
        <v>57.065192149571054</v>
      </c>
      <c r="AG204" s="125">
        <f>AG92/293.07*(1/(VLOOKUP($Z204,'Fuel economy adjusted factor'!$A$2:$L$52,5,FALSE)*m2k))/'TCO Inputs'!$AZ$84</f>
        <v>57.065192149571054</v>
      </c>
      <c r="AH204" s="125">
        <f>AH92/293.07*(1/(VLOOKUP($Z204,'Fuel economy adjusted factor'!$A$2:$L$52,5,FALSE)*m2k))/'TCO Inputs'!$AZ$84</f>
        <v>21.574873392561233</v>
      </c>
      <c r="AI204" s="125">
        <f>AI92/293.07*(1/(VLOOKUP($Z204,'Fuel economy adjusted factor'!$A$2:$L$52,5,FALSE)*m2k))/'TCO Inputs'!$AZ$84</f>
        <v>21.574873392561233</v>
      </c>
      <c r="AJ204" s="125">
        <f>AJ92/293.07*(1/(VLOOKUP($Z204,'Fuel economy adjusted factor'!$A$2:$L$52,5,FALSE)*m2k))/'TCO Inputs'!$AZ$84</f>
        <v>21.574873392561233</v>
      </c>
      <c r="AK204" s="125">
        <f>AK92/293.07*(1/(VLOOKUP($Z204,'Fuel economy adjusted factor'!$A$2:$L$52,5,FALSE)*m2k))/'TCO Inputs'!$AZ$84</f>
        <v>21.574873392561233</v>
      </c>
      <c r="AL204" s="125">
        <f>AL92/293.07*(1/(VLOOKUP($Z204,'Fuel economy adjusted factor'!$A$2:$L$52,5,FALSE)*m2k))/'TCO Inputs'!$AZ$84</f>
        <v>21.574873392561233</v>
      </c>
      <c r="AM204" s="125">
        <f>AM92/293.07*(1/(VLOOKUP($Z204,'Fuel economy adjusted factor'!$A$2:$L$52,5,FALSE)*m2k))/'TCO Inputs'!$AZ$84</f>
        <v>18.133688346331777</v>
      </c>
      <c r="AN204" s="125">
        <f>AN92/293.07*(1/(VLOOKUP($Z204,'Fuel economy adjusted factor'!$A$2:$L$52,5,FALSE)*m2k))/'TCO Inputs'!$AZ$84</f>
        <v>18.133688346331777</v>
      </c>
      <c r="AO204" s="125">
        <f>AO92/293.07*(1/(VLOOKUP($Z204,'Fuel economy adjusted factor'!$A$2:$L$52,5,FALSE)*m2k))/'TCO Inputs'!$AZ$84</f>
        <v>18.133688346331777</v>
      </c>
      <c r="AP204" s="125">
        <f>AP92/293.07*(1/(VLOOKUP($Z204,'Fuel economy adjusted factor'!$A$2:$L$52,5,FALSE)*m2k))/'TCO Inputs'!$AZ$84</f>
        <v>18.133688346331777</v>
      </c>
      <c r="AQ204" s="125">
        <f>AQ92/293.07*(1/(VLOOKUP($Z204,'Fuel economy adjusted factor'!$A$2:$L$52,5,FALSE)*m2k))/'TCO Inputs'!$AZ$84</f>
        <v>18.133688346331777</v>
      </c>
      <c r="AR204" s="125">
        <f>AR92/293.07*(1/(VLOOKUP($Z204,'Fuel economy adjusted factor'!$A$2:$L$52,5,FALSE)*m2k))/'TCO Inputs'!$AZ$84</f>
        <v>18.133688346331777</v>
      </c>
      <c r="AS204" s="125">
        <f>AS92/293.07*(1/(VLOOKUP($Z204,'Fuel economy adjusted factor'!$A$2:$L$52,5,FALSE)*m2k))/'TCO Inputs'!$AZ$84</f>
        <v>18.133688346331777</v>
      </c>
      <c r="AT204" s="125">
        <f>AT92/293.07*(1/(VLOOKUP($Z204,'Fuel economy adjusted factor'!$A$2:$L$52,5,FALSE)*m2k))/'TCO Inputs'!$AZ$84</f>
        <v>18.133688346331777</v>
      </c>
      <c r="AU204" s="125">
        <f>AU92/293.07*(1/(VLOOKUP($Z204,'Fuel economy adjusted factor'!$A$2:$L$52,5,FALSE)*m2k))/'TCO Inputs'!$AZ$84</f>
        <v>18.133688346331777</v>
      </c>
      <c r="AV204" s="125">
        <f>AV92/293.07*(1/(VLOOKUP($Z204,'Fuel economy adjusted factor'!$A$2:$L$52,5,FALSE)*m2k))/'TCO Inputs'!$AZ$84</f>
        <v>18.133688346331777</v>
      </c>
      <c r="AW204" s="125">
        <f>AW92/293.07*(1/(VLOOKUP($Z204,'Fuel economy adjusted factor'!$A$2:$L$52,5,FALSE)*m2k))/'TCO Inputs'!$AZ$84</f>
        <v>18.219304910118368</v>
      </c>
      <c r="AX204" s="125">
        <f>AX92/293.07*(1/(VLOOKUP($Z204,'Fuel economy adjusted factor'!$A$2:$L$52,5,FALSE)*m2k))/'TCO Inputs'!$AZ$84</f>
        <v>18.219304910118368</v>
      </c>
      <c r="AY204" s="125">
        <f>AY92/293.07*(1/(VLOOKUP($Z204,'Fuel economy adjusted factor'!$A$2:$L$52,5,FALSE)*m2k))/'TCO Inputs'!$AZ$84</f>
        <v>18.219304910118368</v>
      </c>
      <c r="AZ204" s="125">
        <f>AZ92/293.07*(1/(VLOOKUP($Z204,'Fuel economy adjusted factor'!$A$2:$L$52,5,FALSE)*m2k))/'TCO Inputs'!$AZ$84</f>
        <v>18.219304910118368</v>
      </c>
      <c r="BA204" s="125">
        <f>BA92/293.07*(1/(VLOOKUP($Z204,'Fuel economy adjusted factor'!$A$2:$L$52,5,FALSE)*m2k))/'TCO Inputs'!$AZ$84</f>
        <v>18.219304910118368</v>
      </c>
      <c r="BB204" s="125">
        <f>BB92/293.07*(1/(VLOOKUP($Z204,'Fuel economy adjusted factor'!$A$2:$L$52,5,FALSE)*m2k))/'TCO Inputs'!$AZ$84</f>
        <v>18.326951466926072</v>
      </c>
      <c r="BC204" s="98" cm="1">
        <f t="array" ref="BC204">SUMPRODUCT(INDEX(AA204:BB204,,'TCO Inputs'!$AZ$12-2023+_xlfn.SEQUENCE('TCO Inputs'!$AZ$13))*INDEX('VKT US'!C94:AA94,,_xlfn.SEQUENCE('TCO Inputs'!$AZ$13)))*m2k*CONVERT(0.9072,"g","ton")</f>
        <v>9.0327817821983096</v>
      </c>
      <c r="BM204" s="123" t="s">
        <v>216</v>
      </c>
      <c r="BN204" s="125">
        <f>BN92/293.07*(1/(VLOOKUP($BM204,'Fuel economy adjusted factor'!$A$2:$L$52,5,FALSE)*m2k))</f>
        <v>55.223609903421071</v>
      </c>
      <c r="BO204" s="125">
        <f>BO92/293.07*(1/(VLOOKUP($BM204,'Fuel economy adjusted factor'!$A$2:$L$52,5,FALSE)*m2k))</f>
        <v>55.223609903421071</v>
      </c>
      <c r="BP204" s="125">
        <f>BP92/293.07*(1/(VLOOKUP($BM204,'Fuel economy adjusted factor'!$A$2:$L$52,5,FALSE)*m2k))</f>
        <v>43.53124117563236</v>
      </c>
      <c r="BQ204" s="125">
        <f>BQ92/293.07*(1/(VLOOKUP($BM204,'Fuel economy adjusted factor'!$A$2:$L$52,5,FALSE)*m2k))</f>
        <v>43.53124117563236</v>
      </c>
      <c r="BR204" s="125">
        <f>BR92/293.07*(1/(VLOOKUP($BM204,'Fuel economy adjusted factor'!$A$2:$L$52,5,FALSE)*m2k))</f>
        <v>43.53124117563236</v>
      </c>
      <c r="BS204" s="125">
        <f>BS92/293.07*(1/(VLOOKUP($BM204,'Fuel economy adjusted factor'!$A$2:$L$52,5,FALSE)*m2k))</f>
        <v>43.53124117563236</v>
      </c>
      <c r="BT204" s="125">
        <f>BT92/293.07*(1/(VLOOKUP($BM204,'Fuel economy adjusted factor'!$A$2:$L$52,5,FALSE)*m2k))</f>
        <v>43.53124117563236</v>
      </c>
      <c r="BU204" s="125">
        <f>BU92/293.07*(1/(VLOOKUP($BM204,'Fuel economy adjusted factor'!$A$2:$L$52,5,FALSE)*m2k))</f>
        <v>2.4589978346496015</v>
      </c>
      <c r="BV204" s="125">
        <f>BV92/293.07*(1/(VLOOKUP($BM204,'Fuel economy adjusted factor'!$A$2:$L$52,5,FALSE)*m2k))</f>
        <v>2.4589978346496015</v>
      </c>
      <c r="BW204" s="125">
        <f>BW92/293.07*(1/(VLOOKUP($BM204,'Fuel economy adjusted factor'!$A$2:$L$52,5,FALSE)*m2k))</f>
        <v>2.4589978346496015</v>
      </c>
      <c r="BX204" s="125">
        <f>BX92/293.07*(1/(VLOOKUP($BM204,'Fuel economy adjusted factor'!$A$2:$L$52,5,FALSE)*m2k))</f>
        <v>2.4589978346496015</v>
      </c>
      <c r="BY204" s="125">
        <f>BY92/293.07*(1/(VLOOKUP($BM204,'Fuel economy adjusted factor'!$A$2:$L$52,5,FALSE)*m2k))</f>
        <v>2.4589978346496015</v>
      </c>
      <c r="BZ204" s="125">
        <f>BZ92/293.07*(1/(VLOOKUP($BM204,'Fuel economy adjusted factor'!$A$2:$L$52,5,FALSE)*m2k))</f>
        <v>2.5645415284871063</v>
      </c>
      <c r="CA204" s="125">
        <f>CA92/293.07*(1/(VLOOKUP($BM204,'Fuel economy adjusted factor'!$A$2:$L$52,5,FALSE)*m2k))</f>
        <v>2.5645415284871063</v>
      </c>
      <c r="CB204" s="125">
        <f>CB92/293.07*(1/(VLOOKUP($BM204,'Fuel economy adjusted factor'!$A$2:$L$52,5,FALSE)*m2k))</f>
        <v>2.5645415284871063</v>
      </c>
      <c r="CC204" s="125">
        <f>CC92/293.07*(1/(VLOOKUP($BM204,'Fuel economy adjusted factor'!$A$2:$L$52,5,FALSE)*m2k))</f>
        <v>2.5645415284871063</v>
      </c>
      <c r="CD204" s="125">
        <f>CD92/293.07*(1/(VLOOKUP($BM204,'Fuel economy adjusted factor'!$A$2:$L$52,5,FALSE)*m2k))</f>
        <v>2.5645415284871063</v>
      </c>
      <c r="CE204" s="125">
        <f>CE92/293.07*(1/(VLOOKUP($BM204,'Fuel economy adjusted factor'!$A$2:$L$52,5,FALSE)*m2k))</f>
        <v>2.6002901989804545</v>
      </c>
      <c r="CF204" s="125">
        <f>CF92/293.07*(1/(VLOOKUP($BM204,'Fuel economy adjusted factor'!$A$2:$L$52,5,FALSE)*m2k))</f>
        <v>2.6002901989804545</v>
      </c>
      <c r="CG204" s="125">
        <f>CG92/293.07*(1/(VLOOKUP($BM204,'Fuel economy adjusted factor'!$A$2:$L$52,5,FALSE)*m2k))</f>
        <v>2.6002901989804545</v>
      </c>
      <c r="CH204" s="125">
        <f>CH92/293.07*(1/(VLOOKUP($BM204,'Fuel economy adjusted factor'!$A$2:$L$52,5,FALSE)*m2k))</f>
        <v>2.6002901989804545</v>
      </c>
      <c r="CI204" s="125">
        <f>CI92/293.07*(1/(VLOOKUP($BM204,'Fuel economy adjusted factor'!$A$2:$L$52,5,FALSE)*m2k))</f>
        <v>2.6002901989804545</v>
      </c>
      <c r="CJ204" s="125">
        <f>CJ92/293.07*(1/(VLOOKUP($BM204,'Fuel economy adjusted factor'!$A$2:$L$52,5,FALSE)*m2k))</f>
        <v>2.691789772267001</v>
      </c>
      <c r="CK204" s="125">
        <f>CK92/293.07*(1/(VLOOKUP($BM204,'Fuel economy adjusted factor'!$A$2:$L$52,5,FALSE)*m2k))</f>
        <v>2.691789772267001</v>
      </c>
      <c r="CL204" s="125">
        <f>CL92/293.07*(1/(VLOOKUP($BM204,'Fuel economy adjusted factor'!$A$2:$L$52,5,FALSE)*m2k))</f>
        <v>2.691789772267001</v>
      </c>
      <c r="CM204" s="125">
        <f>CM92/293.07*(1/(VLOOKUP($BM204,'Fuel economy adjusted factor'!$A$2:$L$52,5,FALSE)*m2k))</f>
        <v>2.691789772267001</v>
      </c>
      <c r="CN204" s="125">
        <f>CN92/293.07*(1/(VLOOKUP($BM204,'Fuel economy adjusted factor'!$A$2:$L$52,5,FALSE)*m2k))</f>
        <v>2.691789772267001</v>
      </c>
      <c r="CO204" s="125">
        <f>CO92/293.07*(1/(VLOOKUP($BM204,'Fuel economy adjusted factor'!$A$2:$L$52,5,FALSE)*m2k))</f>
        <v>2.8075473719597475</v>
      </c>
      <c r="CP204" s="98" cm="1">
        <f t="array" ref="CP204">SUMPRODUCT(INDEX(BN204:CO204,,'TCO Inputs'!$AZ$12-2023+_xlfn.SEQUENCE('TCO Inputs'!$AZ$13))*INDEX('VKT US'!C94:AA94,,_xlfn.SEQUENCE('TCO Inputs'!$AZ$13)))*m2k*CONVERT(0.9072,"g","ton")</f>
        <v>5.8134440418468918</v>
      </c>
      <c r="CQ204" s="194"/>
      <c r="CR204" s="123" t="s">
        <v>216</v>
      </c>
      <c r="CS204" s="125">
        <f>CS92/293.07*(1/(VLOOKUP($BM204,'Fuel economy adjusted factor'!$A$2:$L$52,5,FALSE)*m2k))/'TCO Inputs'!$AZ$84</f>
        <v>64.968952827554205</v>
      </c>
      <c r="CT204" s="125">
        <f>CT92/293.07*(1/(VLOOKUP($BM204,'Fuel economy adjusted factor'!$A$2:$L$52,5,FALSE)*m2k))</f>
        <v>2.5858204990188614</v>
      </c>
      <c r="CU204" s="125">
        <f>CU92/293.07*(1/(VLOOKUP($BM204,'Fuel economy adjusted factor'!$A$2:$L$52,5,FALSE)*m2k))</f>
        <v>2.5858204990188614</v>
      </c>
      <c r="CV204" s="125">
        <f>CV92/293.07*(1/(VLOOKUP($BM204,'Fuel economy adjusted factor'!$A$2:$L$52,5,FALSE)*m2k))</f>
        <v>2.5858204990188614</v>
      </c>
      <c r="CW204" s="125">
        <f>CW92/293.07*(1/(VLOOKUP($BM204,'Fuel economy adjusted factor'!$A$2:$L$52,5,FALSE)*m2k))</f>
        <v>2.5858204990188614</v>
      </c>
      <c r="CX204" s="125">
        <f>CX92/293.07*(1/(VLOOKUP($BM204,'Fuel economy adjusted factor'!$A$2:$L$52,5,FALSE)*m2k))</f>
        <v>2.5858204990188614</v>
      </c>
      <c r="CY204" s="125">
        <f>CY92/293.07*(1/(VLOOKUP($BM204,'Fuel economy adjusted factor'!$A$2:$L$52,5,FALSE)*m2k))</f>
        <v>2.5858204990188614</v>
      </c>
      <c r="CZ204" s="125">
        <f>CZ92/293.07*(1/(VLOOKUP($BM204,'Fuel economy adjusted factor'!$A$2:$L$52,5,FALSE)*m2k))</f>
        <v>2.5858204990188614</v>
      </c>
      <c r="DA204" s="125">
        <f>DA92/293.07*(1/(VLOOKUP($BM204,'Fuel economy adjusted factor'!$A$2:$L$52,5,FALSE)*m2k))</f>
        <v>2.5858204990188614</v>
      </c>
      <c r="DB204" s="125">
        <f>DB92/293.07*(1/(VLOOKUP($BM204,'Fuel economy adjusted factor'!$A$2:$L$52,5,FALSE)*m2k))</f>
        <v>2.5858204990188614</v>
      </c>
      <c r="DC204" s="125">
        <f>DC92/293.07*(1/(VLOOKUP($BM204,'Fuel economy adjusted factor'!$A$2:$L$52,5,FALSE)*m2k))</f>
        <v>2.5858204990188614</v>
      </c>
      <c r="DD204" s="125">
        <f>DD92/293.07*(1/(VLOOKUP($BM204,'Fuel economy adjusted factor'!$A$2:$L$52,5,FALSE)*m2k))</f>
        <v>2.5858204990188614</v>
      </c>
      <c r="DE204" s="125">
        <f>DE92/293.07*(1/(VLOOKUP($BM204,'Fuel economy adjusted factor'!$A$2:$L$52,5,FALSE)*m2k))</f>
        <v>2.6598713164693684</v>
      </c>
      <c r="DF204" s="125">
        <f>DF92/293.07*(1/(VLOOKUP($BM204,'Fuel economy adjusted factor'!$A$2:$L$52,5,FALSE)*m2k))</f>
        <v>2.6598713164693684</v>
      </c>
      <c r="DG204" s="125">
        <f>DG92/293.07*(1/(VLOOKUP($BM204,'Fuel economy adjusted factor'!$A$2:$L$52,5,FALSE)*m2k))</f>
        <v>2.6598713164693684</v>
      </c>
      <c r="DH204" s="125">
        <f>DH92/293.07*(1/(VLOOKUP($BM204,'Fuel economy adjusted factor'!$A$2:$L$52,5,FALSE)*m2k))</f>
        <v>2.6598713164693684</v>
      </c>
      <c r="DI204" s="125">
        <f>DI92/293.07*(1/(VLOOKUP($BM204,'Fuel economy adjusted factor'!$A$2:$L$52,5,FALSE)*m2k))</f>
        <v>2.6598713164693684</v>
      </c>
      <c r="DJ204" s="125">
        <f>DJ92/293.07*(1/(VLOOKUP($BM204,'Fuel economy adjusted factor'!$A$2:$L$52,5,FALSE)*m2k))</f>
        <v>2.7981846249257756</v>
      </c>
      <c r="DK204" s="125">
        <f>DK92/293.07*(1/(VLOOKUP($BM204,'Fuel economy adjusted factor'!$A$2:$L$52,5,FALSE)*m2k))</f>
        <v>2.7981846249257756</v>
      </c>
      <c r="DL204" s="125">
        <f>DL92/293.07*(1/(VLOOKUP($BM204,'Fuel economy adjusted factor'!$A$2:$L$52,5,FALSE)*m2k))</f>
        <v>2.7981846249257756</v>
      </c>
      <c r="DM204" s="125">
        <f>DM92/293.07*(1/(VLOOKUP($BM204,'Fuel economy adjusted factor'!$A$2:$L$52,5,FALSE)*m2k))</f>
        <v>2.7981846249257756</v>
      </c>
      <c r="DN204" s="125">
        <f>DN92/293.07*(1/(VLOOKUP($BM204,'Fuel economy adjusted factor'!$A$2:$L$52,5,FALSE)*m2k))</f>
        <v>2.7981846249257756</v>
      </c>
      <c r="DO204" s="125">
        <f>DO92/293.07*(1/(VLOOKUP($BM204,'Fuel economy adjusted factor'!$A$2:$L$52,5,FALSE)*m2k))</f>
        <v>2.889684198212322</v>
      </c>
      <c r="DP204" s="125">
        <f>DP92/293.07*(1/(VLOOKUP($BM204,'Fuel economy adjusted factor'!$A$2:$L$52,5,FALSE)*m2k))</f>
        <v>2.889684198212322</v>
      </c>
      <c r="DQ204" s="125">
        <f>DQ92/293.07*(1/(VLOOKUP($BM204,'Fuel economy adjusted factor'!$A$2:$L$52,5,FALSE)*m2k))</f>
        <v>2.889684198212322</v>
      </c>
      <c r="DR204" s="125">
        <f>DR92/293.07*(1/(VLOOKUP($BM204,'Fuel economy adjusted factor'!$A$2:$L$52,5,FALSE)*m2k))</f>
        <v>2.889684198212322</v>
      </c>
      <c r="DS204" s="125">
        <f>DS92/293.07*(1/(VLOOKUP($BM204,'Fuel economy adjusted factor'!$A$2:$L$52,5,FALSE)*m2k))</f>
        <v>2.889684198212322</v>
      </c>
      <c r="DT204" s="125">
        <f>DT92/293.07*(1/(VLOOKUP($BM204,'Fuel economy adjusted factor'!$A$2:$L$52,5,FALSE)*m2k))</f>
        <v>3.0058673773157034</v>
      </c>
      <c r="DU204" s="98" cm="1">
        <f t="array" ref="DU204">SUMPRODUCT(INDEX(CS204:DT204,,'TCO Inputs'!$AZ$12-2023+_xlfn.SEQUENCE('TCO Inputs'!$AZ$13))*INDEX('VKT US'!C94:AA94,,_xlfn.SEQUENCE('TCO Inputs'!$AZ$13)))*m2k*CONVERT(0.9072,"g","ton")</f>
        <v>1.7087180226306409</v>
      </c>
      <c r="DW204" s="123" t="s">
        <v>216</v>
      </c>
      <c r="DX204" s="125">
        <f>DX92/293.07*(1/(VLOOKUP($BM204,'Fuel economy adjusted factor'!$A$2:$L$52,5,FALSE)*m2k))/'TCO Inputs'!$AZ$84</f>
        <v>85.835588670710948</v>
      </c>
      <c r="DY204" s="125">
        <f>DY92/293.07*(1/(VLOOKUP($BM204,'Fuel economy adjusted factor'!$A$2:$L$52,5,FALSE)*m2k))/'TCO Inputs'!$AZ$84</f>
        <v>85.835588670710948</v>
      </c>
      <c r="DZ204" s="125">
        <f>DZ92/293.07*(1/(VLOOKUP($BM204,'Fuel economy adjusted factor'!$A$2:$L$52,5,FALSE)*m2k))/'TCO Inputs'!$AZ$84</f>
        <v>75.09568327318425</v>
      </c>
      <c r="EA204" s="125">
        <f>EA92/293.07*(1/(VLOOKUP($BM204,'Fuel economy adjusted factor'!$A$2:$L$52,5,FALSE)*m2k))/'TCO Inputs'!$AZ$84</f>
        <v>75.09568327318425</v>
      </c>
      <c r="EB204" s="125">
        <f>EB92/293.07*(1/(VLOOKUP($BM204,'Fuel economy adjusted factor'!$A$2:$L$52,5,FALSE)*m2k))/'TCO Inputs'!$AZ$84</f>
        <v>75.09568327318425</v>
      </c>
      <c r="EC204" s="125">
        <f>EC92/293.07*(1/(VLOOKUP($BM204,'Fuel economy adjusted factor'!$A$2:$L$52,5,FALSE)*m2k))/'TCO Inputs'!$AZ$84</f>
        <v>75.09568327318425</v>
      </c>
      <c r="ED204" s="125">
        <f>ED92/293.07*(1/(VLOOKUP($BM204,'Fuel economy adjusted factor'!$A$2:$L$52,5,FALSE)*m2k))/'TCO Inputs'!$AZ$84</f>
        <v>75.09568327318425</v>
      </c>
      <c r="EE204" s="125">
        <f>EE92/293.07*(1/(VLOOKUP($BM204,'Fuel economy adjusted factor'!$A$2:$L$52,5,FALSE)*m2k))/'TCO Inputs'!$AZ$84</f>
        <v>46.72164974933527</v>
      </c>
      <c r="EF204" s="125">
        <f>EF92/293.07*(1/(VLOOKUP($BM204,'Fuel economy adjusted factor'!$A$2:$L$52,5,FALSE)*m2k))/'TCO Inputs'!$AZ$84</f>
        <v>46.72164974933527</v>
      </c>
      <c r="EG204" s="125">
        <f>EG92/293.07*(1/(VLOOKUP($BM204,'Fuel economy adjusted factor'!$A$2:$L$52,5,FALSE)*m2k))/'TCO Inputs'!$AZ$84</f>
        <v>46.72164974933527</v>
      </c>
      <c r="EH204" s="125">
        <f>EH92/293.07*(1/(VLOOKUP($BM204,'Fuel economy adjusted factor'!$A$2:$L$52,5,FALSE)*m2k))/'TCO Inputs'!$AZ$84</f>
        <v>46.72164974933527</v>
      </c>
      <c r="EI204" s="125">
        <f>EI92/293.07*(1/(VLOOKUP($BM204,'Fuel economy adjusted factor'!$A$2:$L$52,5,FALSE)*m2k))/'TCO Inputs'!$AZ$84</f>
        <v>46.72164974933527</v>
      </c>
      <c r="EJ204" s="125">
        <f>EJ92/293.07*(1/(VLOOKUP($BM204,'Fuel economy adjusted factor'!$A$2:$L$52,5,FALSE)*m2k))/'TCO Inputs'!$AZ$84</f>
        <v>41.601145098835303</v>
      </c>
      <c r="EK204" s="125">
        <f>EK92/293.07*(1/(VLOOKUP($BM204,'Fuel economy adjusted factor'!$A$2:$L$52,5,FALSE)*m2k))/'TCO Inputs'!$AZ$84</f>
        <v>41.601145098835303</v>
      </c>
      <c r="EL204" s="125">
        <f>EL92/293.07*(1/(VLOOKUP($BM204,'Fuel economy adjusted factor'!$A$2:$L$52,5,FALSE)*m2k))/'TCO Inputs'!$AZ$84</f>
        <v>41.601145098835303</v>
      </c>
      <c r="EM204" s="125">
        <f>EM92/293.07*(1/(VLOOKUP($BM204,'Fuel economy adjusted factor'!$A$2:$L$52,5,FALSE)*m2k))/'TCO Inputs'!$AZ$84</f>
        <v>41.601145098835303</v>
      </c>
      <c r="EN204" s="125">
        <f>EN92/293.07*(1/(VLOOKUP($BM204,'Fuel economy adjusted factor'!$A$2:$L$52,5,FALSE)*m2k))/'TCO Inputs'!$AZ$84</f>
        <v>41.601145098835303</v>
      </c>
      <c r="EO204" s="125">
        <f>EO92/293.07*(1/(VLOOKUP($BM204,'Fuel economy adjusted factor'!$A$2:$L$52,5,FALSE)*m2k))/'TCO Inputs'!$AZ$84</f>
        <v>40.423313852721712</v>
      </c>
      <c r="EP204" s="125">
        <f>EP92/293.07*(1/(VLOOKUP($BM204,'Fuel economy adjusted factor'!$A$2:$L$52,5,FALSE)*m2k))/'TCO Inputs'!$AZ$84</f>
        <v>40.423313852721712</v>
      </c>
      <c r="EQ204" s="125">
        <f>EQ92/293.07*(1/(VLOOKUP($BM204,'Fuel economy adjusted factor'!$A$2:$L$52,5,FALSE)*m2k))/'TCO Inputs'!$AZ$84</f>
        <v>40.423313852721712</v>
      </c>
      <c r="ER204" s="125">
        <f>ER92/293.07*(1/(VLOOKUP($BM204,'Fuel economy adjusted factor'!$A$2:$L$52,5,FALSE)*m2k))/'TCO Inputs'!$AZ$84</f>
        <v>40.423313852721712</v>
      </c>
      <c r="ES204" s="125">
        <f>ES92/293.07*(1/(VLOOKUP($BM204,'Fuel economy adjusted factor'!$A$2:$L$52,5,FALSE)*m2k))/'TCO Inputs'!$AZ$84</f>
        <v>40.423313852721712</v>
      </c>
      <c r="ET204" s="125">
        <f>ET92/293.07*(1/(VLOOKUP($BM204,'Fuel economy adjusted factor'!$A$2:$L$52,5,FALSE)*m2k))/'TCO Inputs'!$AZ$84</f>
        <v>38.992700501806603</v>
      </c>
      <c r="EU204" s="125">
        <f>EU92/293.07*(1/(VLOOKUP($BM204,'Fuel economy adjusted factor'!$A$2:$L$52,5,FALSE)*m2k))/'TCO Inputs'!$AZ$84</f>
        <v>38.992700501806603</v>
      </c>
      <c r="EV204" s="125">
        <f>EV92/293.07*(1/(VLOOKUP($BM204,'Fuel economy adjusted factor'!$A$2:$L$52,5,FALSE)*m2k))/'TCO Inputs'!$AZ$84</f>
        <v>38.992700501806603</v>
      </c>
      <c r="EW204" s="125">
        <f>EW92/293.07*(1/(VLOOKUP($BM204,'Fuel economy adjusted factor'!$A$2:$L$52,5,FALSE)*m2k))/'TCO Inputs'!$AZ$84</f>
        <v>38.992700501806603</v>
      </c>
      <c r="EX204" s="125">
        <f>EX92/293.07*(1/(VLOOKUP($BM204,'Fuel economy adjusted factor'!$A$2:$L$52,5,FALSE)*m2k))/'TCO Inputs'!$AZ$84</f>
        <v>38.992700501806603</v>
      </c>
      <c r="EY204" s="125">
        <f>EY92/293.07*(1/(VLOOKUP($BM204,'Fuel economy adjusted factor'!$A$2:$L$52,5,FALSE)*m2k))/'TCO Inputs'!$AZ$84</f>
        <v>36.712812021810109</v>
      </c>
      <c r="EZ204" s="98" cm="1">
        <f t="array" ref="EZ204">SUMPRODUCT(INDEX(DX204:EY204,,'TCO Inputs'!$AZ$12-2023+_xlfn.SEQUENCE('TCO Inputs'!$AZ$13))*INDEX('VKT US'!C94:AA94,,_xlfn.SEQUENCE('TCO Inputs'!$AZ$13)))*m2k*CONVERT(0.9072,"g","ton")</f>
        <v>13.655877612666634</v>
      </c>
      <c r="FB204" s="123" t="s">
        <v>216</v>
      </c>
      <c r="FC204" s="125">
        <f>FC92/293.07*(1/(VLOOKUP($BM204,'Fuel economy adjusted factor'!$A$2:$L$52,5,FALSE)*m2k))/'TCO Inputs'!$AZ$84</f>
        <v>92.789218225095382</v>
      </c>
      <c r="FD204" s="125">
        <f>FD92/293.07*(1/(VLOOKUP($BM204,'Fuel economy adjusted factor'!$A$2:$L$52,5,FALSE)*m2k))/'TCO Inputs'!$AZ$84</f>
        <v>92.789218225095382</v>
      </c>
      <c r="FE204" s="125">
        <f>FE92/293.07*(1/(VLOOKUP($BM204,'Fuel economy adjusted factor'!$A$2:$L$52,5,FALSE)*m2k))/'TCO Inputs'!$AZ$84</f>
        <v>80.89694164956461</v>
      </c>
      <c r="FF204" s="125">
        <f>FF92/293.07*(1/(VLOOKUP($BM204,'Fuel economy adjusted factor'!$A$2:$L$52,5,FALSE)*m2k))/'TCO Inputs'!$AZ$84</f>
        <v>80.89694164956461</v>
      </c>
      <c r="FG204" s="125">
        <f>FG92/293.07*(1/(VLOOKUP($BM204,'Fuel economy adjusted factor'!$A$2:$L$52,5,FALSE)*m2k))/'TCO Inputs'!$AZ$84</f>
        <v>80.89694164956461</v>
      </c>
      <c r="FH204" s="125">
        <f>FH92/293.07*(1/(VLOOKUP($BM204,'Fuel economy adjusted factor'!$A$2:$L$52,5,FALSE)*m2k))/'TCO Inputs'!$AZ$84</f>
        <v>80.89694164956461</v>
      </c>
      <c r="FI204" s="125">
        <f>FI92/293.07*(1/(VLOOKUP($BM204,'Fuel economy adjusted factor'!$A$2:$L$52,5,FALSE)*m2k))/'TCO Inputs'!$AZ$84</f>
        <v>80.89694164956461</v>
      </c>
      <c r="FJ204" s="125">
        <f>FJ92/293.07*(1/(VLOOKUP($BM204,'Fuel economy adjusted factor'!$A$2:$L$52,5,FALSE)*m2k))/'TCO Inputs'!$AZ$84</f>
        <v>51.168068787031189</v>
      </c>
      <c r="FK204" s="125">
        <f>FK92/293.07*(1/(VLOOKUP($BM204,'Fuel economy adjusted factor'!$A$2:$L$52,5,FALSE)*m2k))/'TCO Inputs'!$AZ$84</f>
        <v>51.168068787031189</v>
      </c>
      <c r="FL204" s="125">
        <f>FL92/293.07*(1/(VLOOKUP($BM204,'Fuel economy adjusted factor'!$A$2:$L$52,5,FALSE)*m2k))/'TCO Inputs'!$AZ$84</f>
        <v>51.168068787031189</v>
      </c>
      <c r="FM204" s="125">
        <f>FM92/293.07*(1/(VLOOKUP($BM204,'Fuel economy adjusted factor'!$A$2:$L$52,5,FALSE)*m2k))/'TCO Inputs'!$AZ$84</f>
        <v>51.168068787031189</v>
      </c>
      <c r="FN204" s="125">
        <f>FN92/293.07*(1/(VLOOKUP($BM204,'Fuel economy adjusted factor'!$A$2:$L$52,5,FALSE)*m2k))/'TCO Inputs'!$AZ$84</f>
        <v>51.168068787031189</v>
      </c>
      <c r="FO204" s="125">
        <f>FO92/293.07*(1/(VLOOKUP($BM204,'Fuel economy adjusted factor'!$A$2:$L$52,5,FALSE)*m2k))/'TCO Inputs'!$AZ$84</f>
        <v>45.320133619116746</v>
      </c>
      <c r="FP204" s="125">
        <f>FP92/293.07*(1/(VLOOKUP($BM204,'Fuel economy adjusted factor'!$A$2:$L$52,5,FALSE)*m2k))/'TCO Inputs'!$AZ$84</f>
        <v>45.320133619116746</v>
      </c>
      <c r="FQ204" s="125">
        <f>FQ92/293.07*(1/(VLOOKUP($BM204,'Fuel economy adjusted factor'!$A$2:$L$52,5,FALSE)*m2k))/'TCO Inputs'!$AZ$84</f>
        <v>45.320133619116746</v>
      </c>
      <c r="FR204" s="125">
        <f>FR92/293.07*(1/(VLOOKUP($BM204,'Fuel economy adjusted factor'!$A$2:$L$52,5,FALSE)*m2k))/'TCO Inputs'!$AZ$84</f>
        <v>45.320133619116746</v>
      </c>
      <c r="FS204" s="125">
        <f>FS92/293.07*(1/(VLOOKUP($BM204,'Fuel economy adjusted factor'!$A$2:$L$52,5,FALSE)*m2k))/'TCO Inputs'!$AZ$84</f>
        <v>45.320133619116746</v>
      </c>
      <c r="FT204" s="125">
        <f>FT92/293.07*(1/(VLOOKUP($BM204,'Fuel economy adjusted factor'!$A$2:$L$52,5,FALSE)*m2k))/'TCO Inputs'!$AZ$84</f>
        <v>44.285363708094671</v>
      </c>
      <c r="FU204" s="125">
        <f>FU92/293.07*(1/(VLOOKUP($BM204,'Fuel economy adjusted factor'!$A$2:$L$52,5,FALSE)*m2k))/'TCO Inputs'!$AZ$84</f>
        <v>44.285363708094671</v>
      </c>
      <c r="FV204" s="125">
        <f>FV92/293.07*(1/(VLOOKUP($BM204,'Fuel economy adjusted factor'!$A$2:$L$52,5,FALSE)*m2k))/'TCO Inputs'!$AZ$84</f>
        <v>44.285363708094671</v>
      </c>
      <c r="FW204" s="125">
        <f>FW92/293.07*(1/(VLOOKUP($BM204,'Fuel economy adjusted factor'!$A$2:$L$52,5,FALSE)*m2k))/'TCO Inputs'!$AZ$84</f>
        <v>44.285363708094671</v>
      </c>
      <c r="FX204" s="125">
        <f>FX92/293.07*(1/(VLOOKUP($BM204,'Fuel economy adjusted factor'!$A$2:$L$52,5,FALSE)*m2k))/'TCO Inputs'!$AZ$84</f>
        <v>44.285363708094671</v>
      </c>
      <c r="FY204" s="125">
        <f>FY92/293.07*(1/(VLOOKUP($BM204,'Fuel economy adjusted factor'!$A$2:$L$52,5,FALSE)*m2k))/'TCO Inputs'!$AZ$84</f>
        <v>42.852325588788176</v>
      </c>
      <c r="FZ204" s="125">
        <f>FZ92/293.07*(1/(VLOOKUP($BM204,'Fuel economy adjusted factor'!$A$2:$L$52,5,FALSE)*m2k))/'TCO Inputs'!$AZ$84</f>
        <v>42.852325588788176</v>
      </c>
      <c r="GA204" s="125">
        <f>GA92/293.07*(1/(VLOOKUP($BM204,'Fuel economy adjusted factor'!$A$2:$L$52,5,FALSE)*m2k))/'TCO Inputs'!$AZ$84</f>
        <v>42.852325588788176</v>
      </c>
      <c r="GB204" s="125">
        <f>GB92/293.07*(1/(VLOOKUP($BM204,'Fuel economy adjusted factor'!$A$2:$L$52,5,FALSE)*m2k))/'TCO Inputs'!$AZ$84</f>
        <v>42.852325588788176</v>
      </c>
      <c r="GC204" s="125">
        <f>GC92/293.07*(1/(VLOOKUP($BM204,'Fuel economy adjusted factor'!$A$2:$L$52,5,FALSE)*m2k))/'TCO Inputs'!$AZ$84</f>
        <v>42.852325588788176</v>
      </c>
      <c r="GD204" s="125">
        <f>GD92/293.07*(1/(VLOOKUP($BM204,'Fuel economy adjusted factor'!$A$2:$L$52,5,FALSE)*m2k))/'TCO Inputs'!$AZ$84</f>
        <v>40.494844520267471</v>
      </c>
      <c r="GE204" s="98" cm="1">
        <f t="array" ref="GE204">SUMPRODUCT(INDEX(FC204:GD204,,'TCO Inputs'!$AZ$12-2023+_xlfn.SEQUENCE('TCO Inputs'!$AZ$13))*INDEX('VKT US'!C94:AA94,,_xlfn.SEQUENCE('TCO Inputs'!$AZ$13)))*m2k*CONVERT(0.9072,"g","ton")</f>
        <v>14.794915908001361</v>
      </c>
      <c r="GH204" s="123" t="s">
        <v>216</v>
      </c>
      <c r="GI204" s="125">
        <f>GI92/293.07*(1/(VLOOKUP($GH204,'Fuel economy adjusted factor'!$A$2:$L$52,5,FALSE)*m2k))/'TCO Inputs'!$AZ$84</f>
        <v>163.34739143494235</v>
      </c>
      <c r="GJ204" s="125">
        <f>GJ92/293.07*(1/(VLOOKUP($GH204,'Fuel economy adjusted factor'!$A$2:$L$52,5,FALSE)*m2k))/'TCO Inputs'!$AZ$84</f>
        <v>163.34739143494235</v>
      </c>
      <c r="GK204" s="125">
        <f>GK92/293.07*(1/(VLOOKUP($GH204,'Fuel economy adjusted factor'!$A$2:$L$52,5,FALSE)*m2k))/'TCO Inputs'!$AZ$84</f>
        <v>163.34739143494235</v>
      </c>
      <c r="GL204" s="125">
        <f>GL92/293.07*(1/(VLOOKUP($GH204,'Fuel economy adjusted factor'!$A$2:$L$52,5,FALSE)*m2k))/'TCO Inputs'!$AZ$84</f>
        <v>163.34739143494235</v>
      </c>
      <c r="GM204" s="125">
        <f>GM92/293.07*(1/(VLOOKUP($GH204,'Fuel economy adjusted factor'!$A$2:$L$52,5,FALSE)*m2k))/'TCO Inputs'!$AZ$84</f>
        <v>163.34739143494235</v>
      </c>
      <c r="GN204" s="125">
        <f>GN92/293.07*(1/(VLOOKUP($GH204,'Fuel economy adjusted factor'!$A$2:$L$52,5,FALSE)*m2k))/'TCO Inputs'!$AZ$84</f>
        <v>163.34739143494235</v>
      </c>
      <c r="GO204" s="125">
        <f>GO92/293.07*(1/(VLOOKUP($GH204,'Fuel economy adjusted factor'!$A$2:$L$52,5,FALSE)*m2k))/'TCO Inputs'!$AZ$84</f>
        <v>163.34739143494235</v>
      </c>
      <c r="GP204" s="125">
        <f>GP92/293.07*(1/(VLOOKUP($GH204,'Fuel economy adjusted factor'!$A$2:$L$52,5,FALSE)*m2k))/'TCO Inputs'!$AZ$84</f>
        <v>163.34739143494235</v>
      </c>
      <c r="GQ204" s="125">
        <f>GQ92/293.07*(1/(VLOOKUP($GH204,'Fuel economy adjusted factor'!$A$2:$L$52,5,FALSE)*m2k))/'TCO Inputs'!$AZ$84</f>
        <v>163.34739143494235</v>
      </c>
      <c r="GR204" s="125">
        <f>GR92/293.07*(1/(VLOOKUP($GH204,'Fuel economy adjusted factor'!$A$2:$L$52,5,FALSE)*m2k))/'TCO Inputs'!$AZ$84</f>
        <v>163.34739143494235</v>
      </c>
      <c r="GS204" s="125">
        <f>GS92/293.07*(1/(VLOOKUP($GH204,'Fuel economy adjusted factor'!$A$2:$L$52,5,FALSE)*m2k))/'TCO Inputs'!$AZ$84</f>
        <v>163.34739143494235</v>
      </c>
      <c r="GT204" s="125">
        <f>GT92/293.07*(1/(VLOOKUP($GH204,'Fuel economy adjusted factor'!$A$2:$L$52,5,FALSE)*m2k))/'TCO Inputs'!$AZ$84</f>
        <v>163.34739143494235</v>
      </c>
      <c r="GU204" s="125">
        <f>GU92/293.07*(1/(VLOOKUP($GH204,'Fuel economy adjusted factor'!$A$2:$L$52,5,FALSE)*m2k))/'TCO Inputs'!$AZ$84</f>
        <v>163.34739143494235</v>
      </c>
      <c r="GV204" s="125">
        <f>GV92/293.07*(1/(VLOOKUP($GH204,'Fuel economy adjusted factor'!$A$2:$L$52,5,FALSE)*m2k))/'TCO Inputs'!$AZ$84</f>
        <v>163.34739143494235</v>
      </c>
      <c r="GW204" s="125">
        <f>GW92/293.07*(1/(VLOOKUP($GH204,'Fuel economy adjusted factor'!$A$2:$L$52,5,FALSE)*m2k))/'TCO Inputs'!$AZ$84</f>
        <v>163.34739143494235</v>
      </c>
      <c r="GX204" s="125">
        <f>GX92/293.07*(1/(VLOOKUP($GH204,'Fuel economy adjusted factor'!$A$2:$L$52,5,FALSE)*m2k))/'TCO Inputs'!$AZ$84</f>
        <v>163.34739143494235</v>
      </c>
      <c r="GY204" s="125">
        <f>GY92/293.07*(1/(VLOOKUP($GH204,'Fuel economy adjusted factor'!$A$2:$L$52,5,FALSE)*m2k))/'TCO Inputs'!$AZ$84</f>
        <v>163.34739143494235</v>
      </c>
      <c r="GZ204" s="125">
        <f>GZ92/293.07*(1/(VLOOKUP($GH204,'Fuel economy adjusted factor'!$A$2:$L$52,5,FALSE)*m2k))/'TCO Inputs'!$AZ$84</f>
        <v>163.34739143494235</v>
      </c>
      <c r="HA204" s="125">
        <f>HA92/293.07*(1/(VLOOKUP($GH204,'Fuel economy adjusted factor'!$A$2:$L$52,5,FALSE)*m2k))/'TCO Inputs'!$AZ$84</f>
        <v>163.34739143494235</v>
      </c>
      <c r="HB204" s="125">
        <f>HB92/293.07*(1/(VLOOKUP($GH204,'Fuel economy adjusted factor'!$A$2:$L$52,5,FALSE)*m2k))/'TCO Inputs'!$AZ$84</f>
        <v>163.34739143494235</v>
      </c>
      <c r="HC204" s="125">
        <f>HC92/293.07*(1/(VLOOKUP($GH204,'Fuel economy adjusted factor'!$A$2:$L$52,5,FALSE)*m2k))/'TCO Inputs'!$AZ$84</f>
        <v>163.34739143494235</v>
      </c>
      <c r="HD204" s="125">
        <f>HD92/293.07*(1/(VLOOKUP($GH204,'Fuel economy adjusted factor'!$A$2:$L$52,5,FALSE)*m2k))/'TCO Inputs'!$AZ$84</f>
        <v>163.34739143494235</v>
      </c>
      <c r="HE204" s="125">
        <f>HE92/293.07*(1/(VLOOKUP($GH204,'Fuel economy adjusted factor'!$A$2:$L$52,5,FALSE)*m2k))/'TCO Inputs'!$AZ$84</f>
        <v>163.34739143494235</v>
      </c>
      <c r="HF204" s="125">
        <f>HF92/293.07*(1/(VLOOKUP($GH204,'Fuel economy adjusted factor'!$A$2:$L$52,5,FALSE)*m2k))/'TCO Inputs'!$AZ$84</f>
        <v>163.34739143494235</v>
      </c>
      <c r="HG204" s="125">
        <f>HG92/293.07*(1/(VLOOKUP($GH204,'Fuel economy adjusted factor'!$A$2:$L$52,5,FALSE)*m2k))/'TCO Inputs'!$AZ$84</f>
        <v>163.34739143494235</v>
      </c>
      <c r="HH204" s="125">
        <f>HH92/293.07*(1/(VLOOKUP($GH204,'Fuel economy adjusted factor'!$A$2:$L$52,5,FALSE)*m2k))/'TCO Inputs'!$AZ$84</f>
        <v>163.34739143494235</v>
      </c>
      <c r="HI204" s="125">
        <f>HI92/293.07*(1/(VLOOKUP($GH204,'Fuel economy adjusted factor'!$A$2:$L$52,5,FALSE)*m2k))/'TCO Inputs'!$AZ$84</f>
        <v>163.34739143494235</v>
      </c>
      <c r="HJ204" s="125">
        <f>HJ92/293.07*(1/(VLOOKUP($GH204,'Fuel economy adjusted factor'!$A$2:$L$52,5,FALSE)*m2k))/'TCO Inputs'!$AZ$84</f>
        <v>163.34739143494235</v>
      </c>
      <c r="HK204" s="98" cm="1">
        <f t="array" ref="HK204">SUMPRODUCT(INDEX(GI204:HJ204,,'TCO Inputs'!$AZ$12-2023+_xlfn.SEQUENCE('TCO Inputs'!$AZ$13))*INDEX('VKT US'!C94:AA94,,_xlfn.SEQUENCE('TCO Inputs'!$AZ$13)))*m2k*CONVERT(0.9072,"g","ton")</f>
        <v>35.108600992272947</v>
      </c>
    </row>
    <row r="205" spans="26:219" x14ac:dyDescent="0.25">
      <c r="Z205" s="123" t="s">
        <v>209</v>
      </c>
      <c r="AA205" s="125">
        <f>AA93/293.07*(1/(VLOOKUP($Z205,'Fuel economy adjusted factor'!$A$2:$L$52,5,FALSE)*m2k))/'TCO Inputs'!$AZ$84</f>
        <v>77.830888261679249</v>
      </c>
      <c r="AB205" s="125">
        <f>AB93/293.07*(1/(VLOOKUP($Z205,'Fuel economy adjusted factor'!$A$2:$L$52,5,FALSE)*m2k))/'TCO Inputs'!$AZ$84</f>
        <v>77.830888261679249</v>
      </c>
      <c r="AC205" s="125">
        <f>AC93/293.07*(1/(VLOOKUP($Z205,'Fuel economy adjusted factor'!$A$2:$L$52,5,FALSE)*m2k))/'TCO Inputs'!$AZ$84</f>
        <v>68.362416208451634</v>
      </c>
      <c r="AD205" s="125">
        <f>AD93/293.07*(1/(VLOOKUP($Z205,'Fuel economy adjusted factor'!$A$2:$L$52,5,FALSE)*m2k))/'TCO Inputs'!$AZ$84</f>
        <v>68.362416208451634</v>
      </c>
      <c r="AE205" s="125">
        <f>AE93/293.07*(1/(VLOOKUP($Z205,'Fuel economy adjusted factor'!$A$2:$L$52,5,FALSE)*m2k))/'TCO Inputs'!$AZ$84</f>
        <v>68.362416208451634</v>
      </c>
      <c r="AF205" s="125">
        <f>AF93/293.07*(1/(VLOOKUP($Z205,'Fuel economy adjusted factor'!$A$2:$L$52,5,FALSE)*m2k))/'TCO Inputs'!$AZ$84</f>
        <v>68.362416208451634</v>
      </c>
      <c r="AG205" s="125">
        <f>AG93/293.07*(1/(VLOOKUP($Z205,'Fuel economy adjusted factor'!$A$2:$L$52,5,FALSE)*m2k))/'TCO Inputs'!$AZ$84</f>
        <v>68.362416208451634</v>
      </c>
      <c r="AH205" s="125">
        <f>AH93/293.07*(1/(VLOOKUP($Z205,'Fuel economy adjusted factor'!$A$2:$L$52,5,FALSE)*m2k))/'TCO Inputs'!$AZ$84</f>
        <v>25.846061652453518</v>
      </c>
      <c r="AI205" s="125">
        <f>AI93/293.07*(1/(VLOOKUP($Z205,'Fuel economy adjusted factor'!$A$2:$L$52,5,FALSE)*m2k))/'TCO Inputs'!$AZ$84</f>
        <v>25.846061652453518</v>
      </c>
      <c r="AJ205" s="125">
        <f>AJ93/293.07*(1/(VLOOKUP($Z205,'Fuel economy adjusted factor'!$A$2:$L$52,5,FALSE)*m2k))/'TCO Inputs'!$AZ$84</f>
        <v>25.846061652453518</v>
      </c>
      <c r="AK205" s="125">
        <f>AK93/293.07*(1/(VLOOKUP($Z205,'Fuel economy adjusted factor'!$A$2:$L$52,5,FALSE)*m2k))/'TCO Inputs'!$AZ$84</f>
        <v>25.846061652453518</v>
      </c>
      <c r="AL205" s="125">
        <f>AL93/293.07*(1/(VLOOKUP($Z205,'Fuel economy adjusted factor'!$A$2:$L$52,5,FALSE)*m2k))/'TCO Inputs'!$AZ$84</f>
        <v>25.846061652453518</v>
      </c>
      <c r="AM205" s="125">
        <f>AM93/293.07*(1/(VLOOKUP($Z205,'Fuel economy adjusted factor'!$A$2:$L$52,5,FALSE)*m2k))/'TCO Inputs'!$AZ$84</f>
        <v>21.723623516014051</v>
      </c>
      <c r="AN205" s="125">
        <f>AN93/293.07*(1/(VLOOKUP($Z205,'Fuel economy adjusted factor'!$A$2:$L$52,5,FALSE)*m2k))/'TCO Inputs'!$AZ$84</f>
        <v>21.723623516014051</v>
      </c>
      <c r="AO205" s="125">
        <f>AO93/293.07*(1/(VLOOKUP($Z205,'Fuel economy adjusted factor'!$A$2:$L$52,5,FALSE)*m2k))/'TCO Inputs'!$AZ$84</f>
        <v>21.723623516014051</v>
      </c>
      <c r="AP205" s="125">
        <f>AP93/293.07*(1/(VLOOKUP($Z205,'Fuel economy adjusted factor'!$A$2:$L$52,5,FALSE)*m2k))/'TCO Inputs'!$AZ$84</f>
        <v>21.723623516014051</v>
      </c>
      <c r="AQ205" s="125">
        <f>AQ93/293.07*(1/(VLOOKUP($Z205,'Fuel economy adjusted factor'!$A$2:$L$52,5,FALSE)*m2k))/'TCO Inputs'!$AZ$84</f>
        <v>21.723623516014051</v>
      </c>
      <c r="AR205" s="125">
        <f>AR93/293.07*(1/(VLOOKUP($Z205,'Fuel economy adjusted factor'!$A$2:$L$52,5,FALSE)*m2k))/'TCO Inputs'!$AZ$84</f>
        <v>21.723623516014051</v>
      </c>
      <c r="AS205" s="125">
        <f>AS93/293.07*(1/(VLOOKUP($Z205,'Fuel economy adjusted factor'!$A$2:$L$52,5,FALSE)*m2k))/'TCO Inputs'!$AZ$84</f>
        <v>21.723623516014051</v>
      </c>
      <c r="AT205" s="125">
        <f>AT93/293.07*(1/(VLOOKUP($Z205,'Fuel economy adjusted factor'!$A$2:$L$52,5,FALSE)*m2k))/'TCO Inputs'!$AZ$84</f>
        <v>21.723623516014051</v>
      </c>
      <c r="AU205" s="125">
        <f>AU93/293.07*(1/(VLOOKUP($Z205,'Fuel economy adjusted factor'!$A$2:$L$52,5,FALSE)*m2k))/'TCO Inputs'!$AZ$84</f>
        <v>21.723623516014051</v>
      </c>
      <c r="AV205" s="125">
        <f>AV93/293.07*(1/(VLOOKUP($Z205,'Fuel economy adjusted factor'!$A$2:$L$52,5,FALSE)*m2k))/'TCO Inputs'!$AZ$84</f>
        <v>21.723623516014051</v>
      </c>
      <c r="AW205" s="125">
        <f>AW93/293.07*(1/(VLOOKUP($Z205,'Fuel economy adjusted factor'!$A$2:$L$52,5,FALSE)*m2k))/'TCO Inputs'!$AZ$84</f>
        <v>21.826189632896217</v>
      </c>
      <c r="AX205" s="125">
        <f>AX93/293.07*(1/(VLOOKUP($Z205,'Fuel economy adjusted factor'!$A$2:$L$52,5,FALSE)*m2k))/'TCO Inputs'!$AZ$84</f>
        <v>21.826189632896217</v>
      </c>
      <c r="AY205" s="125">
        <f>AY93/293.07*(1/(VLOOKUP($Z205,'Fuel economy adjusted factor'!$A$2:$L$52,5,FALSE)*m2k))/'TCO Inputs'!$AZ$84</f>
        <v>21.826189632896217</v>
      </c>
      <c r="AZ205" s="125">
        <f>AZ93/293.07*(1/(VLOOKUP($Z205,'Fuel economy adjusted factor'!$A$2:$L$52,5,FALSE)*m2k))/'TCO Inputs'!$AZ$84</f>
        <v>21.826189632896217</v>
      </c>
      <c r="BA205" s="125">
        <f>BA93/293.07*(1/(VLOOKUP($Z205,'Fuel economy adjusted factor'!$A$2:$L$52,5,FALSE)*m2k))/'TCO Inputs'!$AZ$84</f>
        <v>21.826189632896217</v>
      </c>
      <c r="BB205" s="125">
        <f>BB93/293.07*(1/(VLOOKUP($Z205,'Fuel economy adjusted factor'!$A$2:$L$52,5,FALSE)*m2k))/'TCO Inputs'!$AZ$84</f>
        <v>21.95514703131532</v>
      </c>
      <c r="BC205" s="98" cm="1">
        <f t="array" ref="BC205">SUMPRODUCT(INDEX(AA205:BB205,,'TCO Inputs'!$AZ$12-2023+_xlfn.SEQUENCE('TCO Inputs'!$AZ$13))*INDEX('VKT US'!C95:AA95,,_xlfn.SEQUENCE('TCO Inputs'!$AZ$13)))*m2k*CONVERT(0.9072,"g","ton")</f>
        <v>17.106917452567071</v>
      </c>
      <c r="BM205" s="123" t="s">
        <v>209</v>
      </c>
      <c r="BN205" s="125">
        <f>BN93/293.07*(1/(VLOOKUP($BM205,'Fuel economy adjusted factor'!$A$2:$L$52,5,FALSE)*m2k))</f>
        <v>66.156255022427359</v>
      </c>
      <c r="BO205" s="125">
        <f>BO93/293.07*(1/(VLOOKUP($BM205,'Fuel economy adjusted factor'!$A$2:$L$52,5,FALSE)*m2k))</f>
        <v>66.156255022427359</v>
      </c>
      <c r="BP205" s="125">
        <f>BP93/293.07*(1/(VLOOKUP($BM205,'Fuel economy adjusted factor'!$A$2:$L$52,5,FALSE)*m2k))</f>
        <v>52.149142326885801</v>
      </c>
      <c r="BQ205" s="125">
        <f>BQ93/293.07*(1/(VLOOKUP($BM205,'Fuel economy adjusted factor'!$A$2:$L$52,5,FALSE)*m2k))</f>
        <v>52.149142326885801</v>
      </c>
      <c r="BR205" s="125">
        <f>BR93/293.07*(1/(VLOOKUP($BM205,'Fuel economy adjusted factor'!$A$2:$L$52,5,FALSE)*m2k))</f>
        <v>52.149142326885801</v>
      </c>
      <c r="BS205" s="125">
        <f>BS93/293.07*(1/(VLOOKUP($BM205,'Fuel economy adjusted factor'!$A$2:$L$52,5,FALSE)*m2k))</f>
        <v>52.149142326885801</v>
      </c>
      <c r="BT205" s="125">
        <f>BT93/293.07*(1/(VLOOKUP($BM205,'Fuel economy adjusted factor'!$A$2:$L$52,5,FALSE)*m2k))</f>
        <v>52.149142326885801</v>
      </c>
      <c r="BU205" s="125">
        <f>BU93/293.07*(1/(VLOOKUP($BM205,'Fuel economy adjusted factor'!$A$2:$L$52,5,FALSE)*m2k))</f>
        <v>2.9458068411894587</v>
      </c>
      <c r="BV205" s="125">
        <f>BV93/293.07*(1/(VLOOKUP($BM205,'Fuel economy adjusted factor'!$A$2:$L$52,5,FALSE)*m2k))</f>
        <v>2.9458068411894587</v>
      </c>
      <c r="BW205" s="125">
        <f>BW93/293.07*(1/(VLOOKUP($BM205,'Fuel economy adjusted factor'!$A$2:$L$52,5,FALSE)*m2k))</f>
        <v>2.9458068411894587</v>
      </c>
      <c r="BX205" s="125">
        <f>BX93/293.07*(1/(VLOOKUP($BM205,'Fuel economy adjusted factor'!$A$2:$L$52,5,FALSE)*m2k))</f>
        <v>2.9458068411894587</v>
      </c>
      <c r="BY205" s="125">
        <f>BY93/293.07*(1/(VLOOKUP($BM205,'Fuel economy adjusted factor'!$A$2:$L$52,5,FALSE)*m2k))</f>
        <v>2.9458068411894587</v>
      </c>
      <c r="BZ205" s="125">
        <f>BZ93/293.07*(1/(VLOOKUP($BM205,'Fuel economy adjusted factor'!$A$2:$L$52,5,FALSE)*m2k))</f>
        <v>3.0722450718254888</v>
      </c>
      <c r="CA205" s="125">
        <f>CA93/293.07*(1/(VLOOKUP($BM205,'Fuel economy adjusted factor'!$A$2:$L$52,5,FALSE)*m2k))</f>
        <v>3.0722450718254888</v>
      </c>
      <c r="CB205" s="125">
        <f>CB93/293.07*(1/(VLOOKUP($BM205,'Fuel economy adjusted factor'!$A$2:$L$52,5,FALSE)*m2k))</f>
        <v>3.0722450718254888</v>
      </c>
      <c r="CC205" s="125">
        <f>CC93/293.07*(1/(VLOOKUP($BM205,'Fuel economy adjusted factor'!$A$2:$L$52,5,FALSE)*m2k))</f>
        <v>3.0722450718254888</v>
      </c>
      <c r="CD205" s="125">
        <f>CD93/293.07*(1/(VLOOKUP($BM205,'Fuel economy adjusted factor'!$A$2:$L$52,5,FALSE)*m2k))</f>
        <v>3.0722450718254888</v>
      </c>
      <c r="CE205" s="125">
        <f>CE93/293.07*(1/(VLOOKUP($BM205,'Fuel economy adjusted factor'!$A$2:$L$52,5,FALSE)*m2k))</f>
        <v>3.1150709241376933</v>
      </c>
      <c r="CF205" s="125">
        <f>CF93/293.07*(1/(VLOOKUP($BM205,'Fuel economy adjusted factor'!$A$2:$L$52,5,FALSE)*m2k))</f>
        <v>3.1150709241376933</v>
      </c>
      <c r="CG205" s="125">
        <f>CG93/293.07*(1/(VLOOKUP($BM205,'Fuel economy adjusted factor'!$A$2:$L$52,5,FALSE)*m2k))</f>
        <v>3.1150709241376933</v>
      </c>
      <c r="CH205" s="125">
        <f>CH93/293.07*(1/(VLOOKUP($BM205,'Fuel economy adjusted factor'!$A$2:$L$52,5,FALSE)*m2k))</f>
        <v>3.1150709241376933</v>
      </c>
      <c r="CI205" s="125">
        <f>CI93/293.07*(1/(VLOOKUP($BM205,'Fuel economy adjusted factor'!$A$2:$L$52,5,FALSE)*m2k))</f>
        <v>3.1150709241376933</v>
      </c>
      <c r="CJ205" s="125">
        <f>CJ93/293.07*(1/(VLOOKUP($BM205,'Fuel economy adjusted factor'!$A$2:$L$52,5,FALSE)*m2k))</f>
        <v>3.2246847127939291</v>
      </c>
      <c r="CK205" s="125">
        <f>CK93/293.07*(1/(VLOOKUP($BM205,'Fuel economy adjusted factor'!$A$2:$L$52,5,FALSE)*m2k))</f>
        <v>3.2246847127939291</v>
      </c>
      <c r="CL205" s="125">
        <f>CL93/293.07*(1/(VLOOKUP($BM205,'Fuel economy adjusted factor'!$A$2:$L$52,5,FALSE)*m2k))</f>
        <v>3.2246847127939291</v>
      </c>
      <c r="CM205" s="125">
        <f>CM93/293.07*(1/(VLOOKUP($BM205,'Fuel economy adjusted factor'!$A$2:$L$52,5,FALSE)*m2k))</f>
        <v>3.2246847127939291</v>
      </c>
      <c r="CN205" s="125">
        <f>CN93/293.07*(1/(VLOOKUP($BM205,'Fuel economy adjusted factor'!$A$2:$L$52,5,FALSE)*m2k))</f>
        <v>3.2246847127939291</v>
      </c>
      <c r="CO205" s="125">
        <f>CO93/293.07*(1/(VLOOKUP($BM205,'Fuel economy adjusted factor'!$A$2:$L$52,5,FALSE)*m2k))</f>
        <v>3.3633589012334464</v>
      </c>
      <c r="CP205" s="98" cm="1">
        <f t="array" ref="CP205">SUMPRODUCT(INDEX(BN205:CO205,,'TCO Inputs'!$AZ$12-2023+_xlfn.SEQUENCE('TCO Inputs'!$AZ$13))*INDEX('VKT US'!C95:AA95,,_xlfn.SEQUENCE('TCO Inputs'!$AZ$13)))*m2k*CONVERT(0.9072,"g","ton")</f>
        <v>11.009909210359503</v>
      </c>
      <c r="CQ205" s="194"/>
      <c r="CR205" s="123" t="s">
        <v>209</v>
      </c>
      <c r="CS205" s="125">
        <f>CS93/293.07*(1/(VLOOKUP($BM205,'Fuel economy adjusted factor'!$A$2:$L$52,5,FALSE)*m2k))/'TCO Inputs'!$AZ$84</f>
        <v>77.830888261679249</v>
      </c>
      <c r="CT205" s="125">
        <f>CT93/293.07*(1/(VLOOKUP($BM205,'Fuel economy adjusted factor'!$A$2:$L$52,5,FALSE)*m2k))</f>
        <v>3.0977366505827533</v>
      </c>
      <c r="CU205" s="125">
        <f>CU93/293.07*(1/(VLOOKUP($BM205,'Fuel economy adjusted factor'!$A$2:$L$52,5,FALSE)*m2k))</f>
        <v>3.0977366505827533</v>
      </c>
      <c r="CV205" s="125">
        <f>CV93/293.07*(1/(VLOOKUP($BM205,'Fuel economy adjusted factor'!$A$2:$L$52,5,FALSE)*m2k))</f>
        <v>3.0977366505827533</v>
      </c>
      <c r="CW205" s="125">
        <f>CW93/293.07*(1/(VLOOKUP($BM205,'Fuel economy adjusted factor'!$A$2:$L$52,5,FALSE)*m2k))</f>
        <v>3.0977366505827533</v>
      </c>
      <c r="CX205" s="125">
        <f>CX93/293.07*(1/(VLOOKUP($BM205,'Fuel economy adjusted factor'!$A$2:$L$52,5,FALSE)*m2k))</f>
        <v>3.0977366505827533</v>
      </c>
      <c r="CY205" s="125">
        <f>CY93/293.07*(1/(VLOOKUP($BM205,'Fuel economy adjusted factor'!$A$2:$L$52,5,FALSE)*m2k))</f>
        <v>3.0977366505827533</v>
      </c>
      <c r="CZ205" s="125">
        <f>CZ93/293.07*(1/(VLOOKUP($BM205,'Fuel economy adjusted factor'!$A$2:$L$52,5,FALSE)*m2k))</f>
        <v>3.0977366505827533</v>
      </c>
      <c r="DA205" s="125">
        <f>DA93/293.07*(1/(VLOOKUP($BM205,'Fuel economy adjusted factor'!$A$2:$L$52,5,FALSE)*m2k))</f>
        <v>3.0977366505827533</v>
      </c>
      <c r="DB205" s="125">
        <f>DB93/293.07*(1/(VLOOKUP($BM205,'Fuel economy adjusted factor'!$A$2:$L$52,5,FALSE)*m2k))</f>
        <v>3.0977366505827533</v>
      </c>
      <c r="DC205" s="125">
        <f>DC93/293.07*(1/(VLOOKUP($BM205,'Fuel economy adjusted factor'!$A$2:$L$52,5,FALSE)*m2k))</f>
        <v>3.0977366505827533</v>
      </c>
      <c r="DD205" s="125">
        <f>DD93/293.07*(1/(VLOOKUP($BM205,'Fuel economy adjusted factor'!$A$2:$L$52,5,FALSE)*m2k))</f>
        <v>3.0977366505827533</v>
      </c>
      <c r="DE205" s="125">
        <f>DE93/293.07*(1/(VLOOKUP($BM205,'Fuel economy adjusted factor'!$A$2:$L$52,5,FALSE)*m2k))</f>
        <v>3.186447344658033</v>
      </c>
      <c r="DF205" s="125">
        <f>DF93/293.07*(1/(VLOOKUP($BM205,'Fuel economy adjusted factor'!$A$2:$L$52,5,FALSE)*m2k))</f>
        <v>3.186447344658033</v>
      </c>
      <c r="DG205" s="125">
        <f>DG93/293.07*(1/(VLOOKUP($BM205,'Fuel economy adjusted factor'!$A$2:$L$52,5,FALSE)*m2k))</f>
        <v>3.186447344658033</v>
      </c>
      <c r="DH205" s="125">
        <f>DH93/293.07*(1/(VLOOKUP($BM205,'Fuel economy adjusted factor'!$A$2:$L$52,5,FALSE)*m2k))</f>
        <v>3.186447344658033</v>
      </c>
      <c r="DI205" s="125">
        <f>DI93/293.07*(1/(VLOOKUP($BM205,'Fuel economy adjusted factor'!$A$2:$L$52,5,FALSE)*m2k))</f>
        <v>3.186447344658033</v>
      </c>
      <c r="DJ205" s="125">
        <f>DJ93/293.07*(1/(VLOOKUP($BM205,'Fuel economy adjusted factor'!$A$2:$L$52,5,FALSE)*m2k))</f>
        <v>3.3521426065802511</v>
      </c>
      <c r="DK205" s="125">
        <f>DK93/293.07*(1/(VLOOKUP($BM205,'Fuel economy adjusted factor'!$A$2:$L$52,5,FALSE)*m2k))</f>
        <v>3.3521426065802511</v>
      </c>
      <c r="DL205" s="125">
        <f>DL93/293.07*(1/(VLOOKUP($BM205,'Fuel economy adjusted factor'!$A$2:$L$52,5,FALSE)*m2k))</f>
        <v>3.3521426065802511</v>
      </c>
      <c r="DM205" s="125">
        <f>DM93/293.07*(1/(VLOOKUP($BM205,'Fuel economy adjusted factor'!$A$2:$L$52,5,FALSE)*m2k))</f>
        <v>3.3521426065802511</v>
      </c>
      <c r="DN205" s="125">
        <f>DN93/293.07*(1/(VLOOKUP($BM205,'Fuel economy adjusted factor'!$A$2:$L$52,5,FALSE)*m2k))</f>
        <v>3.3521426065802511</v>
      </c>
      <c r="DO205" s="125">
        <f>DO93/293.07*(1/(VLOOKUP($BM205,'Fuel economy adjusted factor'!$A$2:$L$52,5,FALSE)*m2k))</f>
        <v>3.4617563952364869</v>
      </c>
      <c r="DP205" s="125">
        <f>DP93/293.07*(1/(VLOOKUP($BM205,'Fuel economy adjusted factor'!$A$2:$L$52,5,FALSE)*m2k))</f>
        <v>3.4617563952364869</v>
      </c>
      <c r="DQ205" s="125">
        <f>DQ93/293.07*(1/(VLOOKUP($BM205,'Fuel economy adjusted factor'!$A$2:$L$52,5,FALSE)*m2k))</f>
        <v>3.4617563952364869</v>
      </c>
      <c r="DR205" s="125">
        <f>DR93/293.07*(1/(VLOOKUP($BM205,'Fuel economy adjusted factor'!$A$2:$L$52,5,FALSE)*m2k))</f>
        <v>3.4617563952364869</v>
      </c>
      <c r="DS205" s="125">
        <f>DS93/293.07*(1/(VLOOKUP($BM205,'Fuel economy adjusted factor'!$A$2:$L$52,5,FALSE)*m2k))</f>
        <v>3.4617563952364869</v>
      </c>
      <c r="DT205" s="125">
        <f>DT93/293.07*(1/(VLOOKUP($BM205,'Fuel economy adjusted factor'!$A$2:$L$52,5,FALSE)*m2k))</f>
        <v>3.6009404152511499</v>
      </c>
      <c r="DU205" s="98" cm="1">
        <f t="array" ref="DU205">SUMPRODUCT(INDEX(CS205:DT205,,'TCO Inputs'!$AZ$12-2023+_xlfn.SEQUENCE('TCO Inputs'!$AZ$13))*INDEX('VKT US'!C95:AA95,,_xlfn.SEQUENCE('TCO Inputs'!$AZ$13)))*m2k*CONVERT(0.9072,"g","ton")</f>
        <v>3.2360903725653913</v>
      </c>
      <c r="DW205" s="123" t="s">
        <v>209</v>
      </c>
      <c r="DX205" s="125">
        <f>DX93/293.07*(1/(VLOOKUP($BM205,'Fuel economy adjusted factor'!$A$2:$L$52,5,FALSE)*m2k))/'TCO Inputs'!$AZ$84</f>
        <v>102.82850222994836</v>
      </c>
      <c r="DY205" s="125">
        <f>DY93/293.07*(1/(VLOOKUP($BM205,'Fuel economy adjusted factor'!$A$2:$L$52,5,FALSE)*m2k))/'TCO Inputs'!$AZ$84</f>
        <v>102.82850222994836</v>
      </c>
      <c r="DZ205" s="125">
        <f>DZ93/293.07*(1/(VLOOKUP($BM205,'Fuel economy adjusted factor'!$A$2:$L$52,5,FALSE)*m2k))/'TCO Inputs'!$AZ$84</f>
        <v>89.962412496986062</v>
      </c>
      <c r="EA205" s="125">
        <f>EA93/293.07*(1/(VLOOKUP($BM205,'Fuel economy adjusted factor'!$A$2:$L$52,5,FALSE)*m2k))/'TCO Inputs'!$AZ$84</f>
        <v>89.962412496986062</v>
      </c>
      <c r="EB205" s="125">
        <f>EB93/293.07*(1/(VLOOKUP($BM205,'Fuel economy adjusted factor'!$A$2:$L$52,5,FALSE)*m2k))/'TCO Inputs'!$AZ$84</f>
        <v>89.962412496986062</v>
      </c>
      <c r="EC205" s="125">
        <f>EC93/293.07*(1/(VLOOKUP($BM205,'Fuel economy adjusted factor'!$A$2:$L$52,5,FALSE)*m2k))/'TCO Inputs'!$AZ$84</f>
        <v>89.962412496986062</v>
      </c>
      <c r="ED205" s="125">
        <f>ED93/293.07*(1/(VLOOKUP($BM205,'Fuel economy adjusted factor'!$A$2:$L$52,5,FALSE)*m2k))/'TCO Inputs'!$AZ$84</f>
        <v>89.962412496986062</v>
      </c>
      <c r="EE205" s="125">
        <f>EE93/293.07*(1/(VLOOKUP($BM205,'Fuel economy adjusted factor'!$A$2:$L$52,5,FALSE)*m2k))/'TCO Inputs'!$AZ$84</f>
        <v>55.971157649621027</v>
      </c>
      <c r="EF205" s="125">
        <f>EF93/293.07*(1/(VLOOKUP($BM205,'Fuel economy adjusted factor'!$A$2:$L$52,5,FALSE)*m2k))/'TCO Inputs'!$AZ$84</f>
        <v>55.971157649621027</v>
      </c>
      <c r="EG205" s="125">
        <f>EG93/293.07*(1/(VLOOKUP($BM205,'Fuel economy adjusted factor'!$A$2:$L$52,5,FALSE)*m2k))/'TCO Inputs'!$AZ$84</f>
        <v>55.971157649621027</v>
      </c>
      <c r="EH205" s="125">
        <f>EH93/293.07*(1/(VLOOKUP($BM205,'Fuel economy adjusted factor'!$A$2:$L$52,5,FALSE)*m2k))/'TCO Inputs'!$AZ$84</f>
        <v>55.971157649621027</v>
      </c>
      <c r="EI205" s="125">
        <f>EI93/293.07*(1/(VLOOKUP($BM205,'Fuel economy adjusted factor'!$A$2:$L$52,5,FALSE)*m2k))/'TCO Inputs'!$AZ$84</f>
        <v>55.971157649621027</v>
      </c>
      <c r="EJ205" s="125">
        <f>EJ93/293.07*(1/(VLOOKUP($BM205,'Fuel economy adjusted factor'!$A$2:$L$52,5,FALSE)*m2k))/'TCO Inputs'!$AZ$84</f>
        <v>49.836944183778478</v>
      </c>
      <c r="EK205" s="125">
        <f>EK93/293.07*(1/(VLOOKUP($BM205,'Fuel economy adjusted factor'!$A$2:$L$52,5,FALSE)*m2k))/'TCO Inputs'!$AZ$84</f>
        <v>49.836944183778478</v>
      </c>
      <c r="EL205" s="125">
        <f>EL93/293.07*(1/(VLOOKUP($BM205,'Fuel economy adjusted factor'!$A$2:$L$52,5,FALSE)*m2k))/'TCO Inputs'!$AZ$84</f>
        <v>49.836944183778478</v>
      </c>
      <c r="EM205" s="125">
        <f>EM93/293.07*(1/(VLOOKUP($BM205,'Fuel economy adjusted factor'!$A$2:$L$52,5,FALSE)*m2k))/'TCO Inputs'!$AZ$84</f>
        <v>49.836944183778478</v>
      </c>
      <c r="EN205" s="125">
        <f>EN93/293.07*(1/(VLOOKUP($BM205,'Fuel economy adjusted factor'!$A$2:$L$52,5,FALSE)*m2k))/'TCO Inputs'!$AZ$84</f>
        <v>49.836944183778478</v>
      </c>
      <c r="EO205" s="125">
        <f>EO93/293.07*(1/(VLOOKUP($BM205,'Fuel economy adjusted factor'!$A$2:$L$52,5,FALSE)*m2k))/'TCO Inputs'!$AZ$84</f>
        <v>48.425937108588222</v>
      </c>
      <c r="EP205" s="125">
        <f>EP93/293.07*(1/(VLOOKUP($BM205,'Fuel economy adjusted factor'!$A$2:$L$52,5,FALSE)*m2k))/'TCO Inputs'!$AZ$84</f>
        <v>48.425937108588222</v>
      </c>
      <c r="EQ205" s="125">
        <f>EQ93/293.07*(1/(VLOOKUP($BM205,'Fuel economy adjusted factor'!$A$2:$L$52,5,FALSE)*m2k))/'TCO Inputs'!$AZ$84</f>
        <v>48.425937108588222</v>
      </c>
      <c r="ER205" s="125">
        <f>ER93/293.07*(1/(VLOOKUP($BM205,'Fuel economy adjusted factor'!$A$2:$L$52,5,FALSE)*m2k))/'TCO Inputs'!$AZ$84</f>
        <v>48.425937108588222</v>
      </c>
      <c r="ES205" s="125">
        <f>ES93/293.07*(1/(VLOOKUP($BM205,'Fuel economy adjusted factor'!$A$2:$L$52,5,FALSE)*m2k))/'TCO Inputs'!$AZ$84</f>
        <v>48.425937108588222</v>
      </c>
      <c r="ET205" s="125">
        <f>ET93/293.07*(1/(VLOOKUP($BM205,'Fuel economy adjusted factor'!$A$2:$L$52,5,FALSE)*m2k))/'TCO Inputs'!$AZ$84</f>
        <v>46.712104531414269</v>
      </c>
      <c r="EU205" s="125">
        <f>EU93/293.07*(1/(VLOOKUP($BM205,'Fuel economy adjusted factor'!$A$2:$L$52,5,FALSE)*m2k))/'TCO Inputs'!$AZ$84</f>
        <v>46.712104531414269</v>
      </c>
      <c r="EV205" s="125">
        <f>EV93/293.07*(1/(VLOOKUP($BM205,'Fuel economy adjusted factor'!$A$2:$L$52,5,FALSE)*m2k))/'TCO Inputs'!$AZ$84</f>
        <v>46.712104531414269</v>
      </c>
      <c r="EW205" s="125">
        <f>EW93/293.07*(1/(VLOOKUP($BM205,'Fuel economy adjusted factor'!$A$2:$L$52,5,FALSE)*m2k))/'TCO Inputs'!$AZ$84</f>
        <v>46.712104531414269</v>
      </c>
      <c r="EX205" s="125">
        <f>EX93/293.07*(1/(VLOOKUP($BM205,'Fuel economy adjusted factor'!$A$2:$L$52,5,FALSE)*m2k))/'TCO Inputs'!$AZ$84</f>
        <v>46.712104531414269</v>
      </c>
      <c r="EY205" s="125">
        <f>EY93/293.07*(1/(VLOOKUP($BM205,'Fuel economy adjusted factor'!$A$2:$L$52,5,FALSE)*m2k))/'TCO Inputs'!$AZ$84</f>
        <v>43.980865411604412</v>
      </c>
      <c r="EZ205" s="98" cm="1">
        <f t="array" ref="EZ205">SUMPRODUCT(INDEX(DX205:EY205,,'TCO Inputs'!$AZ$12-2023+_xlfn.SEQUENCE('TCO Inputs'!$AZ$13))*INDEX('VKT US'!C95:AA95,,_xlfn.SEQUENCE('TCO Inputs'!$AZ$13)))*m2k*CONVERT(0.9072,"g","ton")</f>
        <v>25.862461498034012</v>
      </c>
      <c r="FB205" s="123" t="s">
        <v>209</v>
      </c>
      <c r="FC205" s="125">
        <f>FC93/293.07*(1/(VLOOKUP($BM205,'Fuel economy adjusted factor'!$A$2:$L$52,5,FALSE)*m2k))/'TCO Inputs'!$AZ$84</f>
        <v>111.15874523535615</v>
      </c>
      <c r="FD205" s="125">
        <f>FD93/293.07*(1/(VLOOKUP($BM205,'Fuel economy adjusted factor'!$A$2:$L$52,5,FALSE)*m2k))/'TCO Inputs'!$AZ$84</f>
        <v>111.15874523535615</v>
      </c>
      <c r="FE205" s="125">
        <f>FE93/293.07*(1/(VLOOKUP($BM205,'Fuel economy adjusted factor'!$A$2:$L$52,5,FALSE)*m2k))/'TCO Inputs'!$AZ$84</f>
        <v>96.912148837475343</v>
      </c>
      <c r="FF205" s="125">
        <f>FF93/293.07*(1/(VLOOKUP($BM205,'Fuel economy adjusted factor'!$A$2:$L$52,5,FALSE)*m2k))/'TCO Inputs'!$AZ$84</f>
        <v>96.912148837475343</v>
      </c>
      <c r="FG205" s="125">
        <f>FG93/293.07*(1/(VLOOKUP($BM205,'Fuel economy adjusted factor'!$A$2:$L$52,5,FALSE)*m2k))/'TCO Inputs'!$AZ$84</f>
        <v>96.912148837475343</v>
      </c>
      <c r="FH205" s="125">
        <f>FH93/293.07*(1/(VLOOKUP($BM205,'Fuel economy adjusted factor'!$A$2:$L$52,5,FALSE)*m2k))/'TCO Inputs'!$AZ$84</f>
        <v>96.912148837475343</v>
      </c>
      <c r="FI205" s="125">
        <f>FI93/293.07*(1/(VLOOKUP($BM205,'Fuel economy adjusted factor'!$A$2:$L$52,5,FALSE)*m2k))/'TCO Inputs'!$AZ$84</f>
        <v>96.912148837475343</v>
      </c>
      <c r="FJ205" s="125">
        <f>FJ93/293.07*(1/(VLOOKUP($BM205,'Fuel economy adjusted factor'!$A$2:$L$52,5,FALSE)*m2k))/'TCO Inputs'!$AZ$84</f>
        <v>61.29783644350703</v>
      </c>
      <c r="FK205" s="125">
        <f>FK93/293.07*(1/(VLOOKUP($BM205,'Fuel economy adjusted factor'!$A$2:$L$52,5,FALSE)*m2k))/'TCO Inputs'!$AZ$84</f>
        <v>61.29783644350703</v>
      </c>
      <c r="FL205" s="125">
        <f>FL93/293.07*(1/(VLOOKUP($BM205,'Fuel economy adjusted factor'!$A$2:$L$52,5,FALSE)*m2k))/'TCO Inputs'!$AZ$84</f>
        <v>61.29783644350703</v>
      </c>
      <c r="FM205" s="125">
        <f>FM93/293.07*(1/(VLOOKUP($BM205,'Fuel economy adjusted factor'!$A$2:$L$52,5,FALSE)*m2k))/'TCO Inputs'!$AZ$84</f>
        <v>61.29783644350703</v>
      </c>
      <c r="FN205" s="125">
        <f>FN93/293.07*(1/(VLOOKUP($BM205,'Fuel economy adjusted factor'!$A$2:$L$52,5,FALSE)*m2k))/'TCO Inputs'!$AZ$84</f>
        <v>61.29783644350703</v>
      </c>
      <c r="FO205" s="125">
        <f>FO93/293.07*(1/(VLOOKUP($BM205,'Fuel economy adjusted factor'!$A$2:$L$52,5,FALSE)*m2k))/'TCO Inputs'!$AZ$84</f>
        <v>54.292182684186194</v>
      </c>
      <c r="FP205" s="125">
        <f>FP93/293.07*(1/(VLOOKUP($BM205,'Fuel economy adjusted factor'!$A$2:$L$52,5,FALSE)*m2k))/'TCO Inputs'!$AZ$84</f>
        <v>54.292182684186194</v>
      </c>
      <c r="FQ205" s="125">
        <f>FQ93/293.07*(1/(VLOOKUP($BM205,'Fuel economy adjusted factor'!$A$2:$L$52,5,FALSE)*m2k))/'TCO Inputs'!$AZ$84</f>
        <v>54.292182684186194</v>
      </c>
      <c r="FR205" s="125">
        <f>FR93/293.07*(1/(VLOOKUP($BM205,'Fuel economy adjusted factor'!$A$2:$L$52,5,FALSE)*m2k))/'TCO Inputs'!$AZ$84</f>
        <v>54.292182684186194</v>
      </c>
      <c r="FS205" s="125">
        <f>FS93/293.07*(1/(VLOOKUP($BM205,'Fuel economy adjusted factor'!$A$2:$L$52,5,FALSE)*m2k))/'TCO Inputs'!$AZ$84</f>
        <v>54.292182684186194</v>
      </c>
      <c r="FT205" s="125">
        <f>FT93/293.07*(1/(VLOOKUP($BM205,'Fuel economy adjusted factor'!$A$2:$L$52,5,FALSE)*m2k))/'TCO Inputs'!$AZ$84</f>
        <v>53.052558866713326</v>
      </c>
      <c r="FU205" s="125">
        <f>FU93/293.07*(1/(VLOOKUP($BM205,'Fuel economy adjusted factor'!$A$2:$L$52,5,FALSE)*m2k))/'TCO Inputs'!$AZ$84</f>
        <v>53.052558866713326</v>
      </c>
      <c r="FV205" s="125">
        <f>FV93/293.07*(1/(VLOOKUP($BM205,'Fuel economy adjusted factor'!$A$2:$L$52,5,FALSE)*m2k))/'TCO Inputs'!$AZ$84</f>
        <v>53.052558866713326</v>
      </c>
      <c r="FW205" s="125">
        <f>FW93/293.07*(1/(VLOOKUP($BM205,'Fuel economy adjusted factor'!$A$2:$L$52,5,FALSE)*m2k))/'TCO Inputs'!$AZ$84</f>
        <v>53.052558866713326</v>
      </c>
      <c r="FX205" s="125">
        <f>FX93/293.07*(1/(VLOOKUP($BM205,'Fuel economy adjusted factor'!$A$2:$L$52,5,FALSE)*m2k))/'TCO Inputs'!$AZ$84</f>
        <v>53.052558866713326</v>
      </c>
      <c r="FY205" s="125">
        <f>FY93/293.07*(1/(VLOOKUP($BM205,'Fuel economy adjusted factor'!$A$2:$L$52,5,FALSE)*m2k))/'TCO Inputs'!$AZ$84</f>
        <v>51.335821488561109</v>
      </c>
      <c r="FZ205" s="125">
        <f>FZ93/293.07*(1/(VLOOKUP($BM205,'Fuel economy adjusted factor'!$A$2:$L$52,5,FALSE)*m2k))/'TCO Inputs'!$AZ$84</f>
        <v>51.335821488561109</v>
      </c>
      <c r="GA205" s="125">
        <f>GA93/293.07*(1/(VLOOKUP($BM205,'Fuel economy adjusted factor'!$A$2:$L$52,5,FALSE)*m2k))/'TCO Inputs'!$AZ$84</f>
        <v>51.335821488561109</v>
      </c>
      <c r="GB205" s="125">
        <f>GB93/293.07*(1/(VLOOKUP($BM205,'Fuel economy adjusted factor'!$A$2:$L$52,5,FALSE)*m2k))/'TCO Inputs'!$AZ$84</f>
        <v>51.335821488561109</v>
      </c>
      <c r="GC205" s="125">
        <f>GC93/293.07*(1/(VLOOKUP($BM205,'Fuel economy adjusted factor'!$A$2:$L$52,5,FALSE)*m2k))/'TCO Inputs'!$AZ$84</f>
        <v>51.335821488561109</v>
      </c>
      <c r="GD205" s="125">
        <f>GD93/293.07*(1/(VLOOKUP($BM205,'Fuel economy adjusted factor'!$A$2:$L$52,5,FALSE)*m2k))/'TCO Inputs'!$AZ$84</f>
        <v>48.511628737446912</v>
      </c>
      <c r="GE205" s="98" cm="1">
        <f t="array" ref="GE205">SUMPRODUCT(INDEX(FC205:GD205,,'TCO Inputs'!$AZ$12-2023+_xlfn.SEQUENCE('TCO Inputs'!$AZ$13))*INDEX('VKT US'!C95:AA95,,_xlfn.SEQUENCE('TCO Inputs'!$AZ$13)))*m2k*CONVERT(0.9072,"g","ton")</f>
        <v>28.019652335081069</v>
      </c>
      <c r="GH205" s="123" t="s">
        <v>209</v>
      </c>
      <c r="GI205" s="125">
        <f>GI93/293.07*(1/(VLOOKUP($GH205,'Fuel economy adjusted factor'!$A$2:$L$52,5,FALSE)*m2k))/'TCO Inputs'!$AZ$84</f>
        <v>195.68535457782275</v>
      </c>
      <c r="GJ205" s="125">
        <f>GJ93/293.07*(1/(VLOOKUP($GH205,'Fuel economy adjusted factor'!$A$2:$L$52,5,FALSE)*m2k))/'TCO Inputs'!$AZ$84</f>
        <v>195.68535457782275</v>
      </c>
      <c r="GK205" s="125">
        <f>GK93/293.07*(1/(VLOOKUP($GH205,'Fuel economy adjusted factor'!$A$2:$L$52,5,FALSE)*m2k))/'TCO Inputs'!$AZ$84</f>
        <v>195.68535457782275</v>
      </c>
      <c r="GL205" s="125">
        <f>GL93/293.07*(1/(VLOOKUP($GH205,'Fuel economy adjusted factor'!$A$2:$L$52,5,FALSE)*m2k))/'TCO Inputs'!$AZ$84</f>
        <v>195.68535457782275</v>
      </c>
      <c r="GM205" s="125">
        <f>GM93/293.07*(1/(VLOOKUP($GH205,'Fuel economy adjusted factor'!$A$2:$L$52,5,FALSE)*m2k))/'TCO Inputs'!$AZ$84</f>
        <v>195.68535457782275</v>
      </c>
      <c r="GN205" s="125">
        <f>GN93/293.07*(1/(VLOOKUP($GH205,'Fuel economy adjusted factor'!$A$2:$L$52,5,FALSE)*m2k))/'TCO Inputs'!$AZ$84</f>
        <v>195.68535457782275</v>
      </c>
      <c r="GO205" s="125">
        <f>GO93/293.07*(1/(VLOOKUP($GH205,'Fuel economy adjusted factor'!$A$2:$L$52,5,FALSE)*m2k))/'TCO Inputs'!$AZ$84</f>
        <v>195.68535457782275</v>
      </c>
      <c r="GP205" s="125">
        <f>GP93/293.07*(1/(VLOOKUP($GH205,'Fuel economy adjusted factor'!$A$2:$L$52,5,FALSE)*m2k))/'TCO Inputs'!$AZ$84</f>
        <v>195.68535457782275</v>
      </c>
      <c r="GQ205" s="125">
        <f>GQ93/293.07*(1/(VLOOKUP($GH205,'Fuel economy adjusted factor'!$A$2:$L$52,5,FALSE)*m2k))/'TCO Inputs'!$AZ$84</f>
        <v>195.68535457782275</v>
      </c>
      <c r="GR205" s="125">
        <f>GR93/293.07*(1/(VLOOKUP($GH205,'Fuel economy adjusted factor'!$A$2:$L$52,5,FALSE)*m2k))/'TCO Inputs'!$AZ$84</f>
        <v>195.68535457782275</v>
      </c>
      <c r="GS205" s="125">
        <f>GS93/293.07*(1/(VLOOKUP($GH205,'Fuel economy adjusted factor'!$A$2:$L$52,5,FALSE)*m2k))/'TCO Inputs'!$AZ$84</f>
        <v>195.68535457782275</v>
      </c>
      <c r="GT205" s="125">
        <f>GT93/293.07*(1/(VLOOKUP($GH205,'Fuel economy adjusted factor'!$A$2:$L$52,5,FALSE)*m2k))/'TCO Inputs'!$AZ$84</f>
        <v>195.68535457782275</v>
      </c>
      <c r="GU205" s="125">
        <f>GU93/293.07*(1/(VLOOKUP($GH205,'Fuel economy adjusted factor'!$A$2:$L$52,5,FALSE)*m2k))/'TCO Inputs'!$AZ$84</f>
        <v>195.68535457782275</v>
      </c>
      <c r="GV205" s="125">
        <f>GV93/293.07*(1/(VLOOKUP($GH205,'Fuel economy adjusted factor'!$A$2:$L$52,5,FALSE)*m2k))/'TCO Inputs'!$AZ$84</f>
        <v>195.68535457782275</v>
      </c>
      <c r="GW205" s="125">
        <f>GW93/293.07*(1/(VLOOKUP($GH205,'Fuel economy adjusted factor'!$A$2:$L$52,5,FALSE)*m2k))/'TCO Inputs'!$AZ$84</f>
        <v>195.68535457782275</v>
      </c>
      <c r="GX205" s="125">
        <f>GX93/293.07*(1/(VLOOKUP($GH205,'Fuel economy adjusted factor'!$A$2:$L$52,5,FALSE)*m2k))/'TCO Inputs'!$AZ$84</f>
        <v>195.68535457782275</v>
      </c>
      <c r="GY205" s="125">
        <f>GY93/293.07*(1/(VLOOKUP($GH205,'Fuel economy adjusted factor'!$A$2:$L$52,5,FALSE)*m2k))/'TCO Inputs'!$AZ$84</f>
        <v>195.68535457782275</v>
      </c>
      <c r="GZ205" s="125">
        <f>GZ93/293.07*(1/(VLOOKUP($GH205,'Fuel economy adjusted factor'!$A$2:$L$52,5,FALSE)*m2k))/'TCO Inputs'!$AZ$84</f>
        <v>195.68535457782275</v>
      </c>
      <c r="HA205" s="125">
        <f>HA93/293.07*(1/(VLOOKUP($GH205,'Fuel economy adjusted factor'!$A$2:$L$52,5,FALSE)*m2k))/'TCO Inputs'!$AZ$84</f>
        <v>195.68535457782275</v>
      </c>
      <c r="HB205" s="125">
        <f>HB93/293.07*(1/(VLOOKUP($GH205,'Fuel economy adjusted factor'!$A$2:$L$52,5,FALSE)*m2k))/'TCO Inputs'!$AZ$84</f>
        <v>195.68535457782275</v>
      </c>
      <c r="HC205" s="125">
        <f>HC93/293.07*(1/(VLOOKUP($GH205,'Fuel economy adjusted factor'!$A$2:$L$52,5,FALSE)*m2k))/'TCO Inputs'!$AZ$84</f>
        <v>195.68535457782275</v>
      </c>
      <c r="HD205" s="125">
        <f>HD93/293.07*(1/(VLOOKUP($GH205,'Fuel economy adjusted factor'!$A$2:$L$52,5,FALSE)*m2k))/'TCO Inputs'!$AZ$84</f>
        <v>195.68535457782275</v>
      </c>
      <c r="HE205" s="125">
        <f>HE93/293.07*(1/(VLOOKUP($GH205,'Fuel economy adjusted factor'!$A$2:$L$52,5,FALSE)*m2k))/'TCO Inputs'!$AZ$84</f>
        <v>195.68535457782275</v>
      </c>
      <c r="HF205" s="125">
        <f>HF93/293.07*(1/(VLOOKUP($GH205,'Fuel economy adjusted factor'!$A$2:$L$52,5,FALSE)*m2k))/'TCO Inputs'!$AZ$84</f>
        <v>195.68535457782275</v>
      </c>
      <c r="HG205" s="125">
        <f>HG93/293.07*(1/(VLOOKUP($GH205,'Fuel economy adjusted factor'!$A$2:$L$52,5,FALSE)*m2k))/'TCO Inputs'!$AZ$84</f>
        <v>195.68535457782275</v>
      </c>
      <c r="HH205" s="125">
        <f>HH93/293.07*(1/(VLOOKUP($GH205,'Fuel economy adjusted factor'!$A$2:$L$52,5,FALSE)*m2k))/'TCO Inputs'!$AZ$84</f>
        <v>195.68535457782275</v>
      </c>
      <c r="HI205" s="125">
        <f>HI93/293.07*(1/(VLOOKUP($GH205,'Fuel economy adjusted factor'!$A$2:$L$52,5,FALSE)*m2k))/'TCO Inputs'!$AZ$84</f>
        <v>195.68535457782275</v>
      </c>
      <c r="HJ205" s="125">
        <f>HJ93/293.07*(1/(VLOOKUP($GH205,'Fuel economy adjusted factor'!$A$2:$L$52,5,FALSE)*m2k))/'TCO Inputs'!$AZ$84</f>
        <v>195.68535457782275</v>
      </c>
      <c r="HK205" s="98" cm="1">
        <f t="array" ref="HK205">SUMPRODUCT(INDEX(GI205:HJ205,,'TCO Inputs'!$AZ$12-2023+_xlfn.SEQUENCE('TCO Inputs'!$AZ$13))*INDEX('VKT US'!C95:AA95,,_xlfn.SEQUENCE('TCO Inputs'!$AZ$13)))*m2k*CONVERT(0.9072,"g","ton")</f>
        <v>66.491137894372969</v>
      </c>
    </row>
    <row r="206" spans="26:219" x14ac:dyDescent="0.25">
      <c r="Z206" s="123" t="s">
        <v>210</v>
      </c>
      <c r="AA206" s="125">
        <f>AA94/293.07*(1/(VLOOKUP($Z206,'Fuel economy adjusted factor'!$A$2:$L$52,5,FALSE)*m2k))/'TCO Inputs'!$AZ$84</f>
        <v>169.20719067176509</v>
      </c>
      <c r="AB206" s="125">
        <f>AB94/293.07*(1/(VLOOKUP($Z206,'Fuel economy adjusted factor'!$A$2:$L$52,5,FALSE)*m2k))/'TCO Inputs'!$AZ$84</f>
        <v>169.20719067176509</v>
      </c>
      <c r="AC206" s="125">
        <f>AC94/293.07*(1/(VLOOKUP($Z206,'Fuel economy adjusted factor'!$A$2:$L$52,5,FALSE)*m2k))/'TCO Inputs'!$AZ$84</f>
        <v>148.62238697924971</v>
      </c>
      <c r="AD206" s="125">
        <f>AD94/293.07*(1/(VLOOKUP($Z206,'Fuel economy adjusted factor'!$A$2:$L$52,5,FALSE)*m2k))/'TCO Inputs'!$AZ$84</f>
        <v>148.62238697924971</v>
      </c>
      <c r="AE206" s="125">
        <f>AE94/293.07*(1/(VLOOKUP($Z206,'Fuel economy adjusted factor'!$A$2:$L$52,5,FALSE)*m2k))/'TCO Inputs'!$AZ$84</f>
        <v>148.62238697924971</v>
      </c>
      <c r="AF206" s="125">
        <f>AF94/293.07*(1/(VLOOKUP($Z206,'Fuel economy adjusted factor'!$A$2:$L$52,5,FALSE)*m2k))/'TCO Inputs'!$AZ$84</f>
        <v>148.62238697924971</v>
      </c>
      <c r="AG206" s="125">
        <f>AG94/293.07*(1/(VLOOKUP($Z206,'Fuel economy adjusted factor'!$A$2:$L$52,5,FALSE)*m2k))/'TCO Inputs'!$AZ$84</f>
        <v>148.62238697924971</v>
      </c>
      <c r="AH206" s="125">
        <f>AH94/293.07*(1/(VLOOKUP($Z206,'Fuel economy adjusted factor'!$A$2:$L$52,5,FALSE)*m2k))/'TCO Inputs'!$AZ$84</f>
        <v>56.190281003052</v>
      </c>
      <c r="AI206" s="125">
        <f>AI94/293.07*(1/(VLOOKUP($Z206,'Fuel economy adjusted factor'!$A$2:$L$52,5,FALSE)*m2k))/'TCO Inputs'!$AZ$84</f>
        <v>56.190281003052</v>
      </c>
      <c r="AJ206" s="125">
        <f>AJ94/293.07*(1/(VLOOKUP($Z206,'Fuel economy adjusted factor'!$A$2:$L$52,5,FALSE)*m2k))/'TCO Inputs'!$AZ$84</f>
        <v>56.190281003052</v>
      </c>
      <c r="AK206" s="125">
        <f>AK94/293.07*(1/(VLOOKUP($Z206,'Fuel economy adjusted factor'!$A$2:$L$52,5,FALSE)*m2k))/'TCO Inputs'!$AZ$84</f>
        <v>56.190281003052</v>
      </c>
      <c r="AL206" s="125">
        <f>AL94/293.07*(1/(VLOOKUP($Z206,'Fuel economy adjusted factor'!$A$2:$L$52,5,FALSE)*m2k))/'TCO Inputs'!$AZ$84</f>
        <v>56.190281003052</v>
      </c>
      <c r="AM206" s="125">
        <f>AM94/293.07*(1/(VLOOKUP($Z206,'Fuel economy adjusted factor'!$A$2:$L$52,5,FALSE)*m2k))/'TCO Inputs'!$AZ$84</f>
        <v>47.227950090936325</v>
      </c>
      <c r="AN206" s="125">
        <f>AN94/293.07*(1/(VLOOKUP($Z206,'Fuel economy adjusted factor'!$A$2:$L$52,5,FALSE)*m2k))/'TCO Inputs'!$AZ$84</f>
        <v>47.227950090936325</v>
      </c>
      <c r="AO206" s="125">
        <f>AO94/293.07*(1/(VLOOKUP($Z206,'Fuel economy adjusted factor'!$A$2:$L$52,5,FALSE)*m2k))/'TCO Inputs'!$AZ$84</f>
        <v>47.227950090936325</v>
      </c>
      <c r="AP206" s="125">
        <f>AP94/293.07*(1/(VLOOKUP($Z206,'Fuel economy adjusted factor'!$A$2:$L$52,5,FALSE)*m2k))/'TCO Inputs'!$AZ$84</f>
        <v>47.227950090936325</v>
      </c>
      <c r="AQ206" s="125">
        <f>AQ94/293.07*(1/(VLOOKUP($Z206,'Fuel economy adjusted factor'!$A$2:$L$52,5,FALSE)*m2k))/'TCO Inputs'!$AZ$84</f>
        <v>47.227950090936325</v>
      </c>
      <c r="AR206" s="125">
        <f>AR94/293.07*(1/(VLOOKUP($Z206,'Fuel economy adjusted factor'!$A$2:$L$52,5,FALSE)*m2k))/'TCO Inputs'!$AZ$84</f>
        <v>47.227950090936325</v>
      </c>
      <c r="AS206" s="125">
        <f>AS94/293.07*(1/(VLOOKUP($Z206,'Fuel economy adjusted factor'!$A$2:$L$52,5,FALSE)*m2k))/'TCO Inputs'!$AZ$84</f>
        <v>47.227950090936325</v>
      </c>
      <c r="AT206" s="125">
        <f>AT94/293.07*(1/(VLOOKUP($Z206,'Fuel economy adjusted factor'!$A$2:$L$52,5,FALSE)*m2k))/'TCO Inputs'!$AZ$84</f>
        <v>47.227950090936325</v>
      </c>
      <c r="AU206" s="125">
        <f>AU94/293.07*(1/(VLOOKUP($Z206,'Fuel economy adjusted factor'!$A$2:$L$52,5,FALSE)*m2k))/'TCO Inputs'!$AZ$84</f>
        <v>47.227950090936325</v>
      </c>
      <c r="AV206" s="125">
        <f>AV94/293.07*(1/(VLOOKUP($Z206,'Fuel economy adjusted factor'!$A$2:$L$52,5,FALSE)*m2k))/'TCO Inputs'!$AZ$84</f>
        <v>47.227950090936325</v>
      </c>
      <c r="AW206" s="125">
        <f>AW94/293.07*(1/(VLOOKUP($Z206,'Fuel economy adjusted factor'!$A$2:$L$52,5,FALSE)*m2k))/'TCO Inputs'!$AZ$84</f>
        <v>47.450932571071895</v>
      </c>
      <c r="AX206" s="125">
        <f>AX94/293.07*(1/(VLOOKUP($Z206,'Fuel economy adjusted factor'!$A$2:$L$52,5,FALSE)*m2k))/'TCO Inputs'!$AZ$84</f>
        <v>47.450932571071895</v>
      </c>
      <c r="AY206" s="125">
        <f>AY94/293.07*(1/(VLOOKUP($Z206,'Fuel economy adjusted factor'!$A$2:$L$52,5,FALSE)*m2k))/'TCO Inputs'!$AZ$84</f>
        <v>47.450932571071895</v>
      </c>
      <c r="AZ206" s="125">
        <f>AZ94/293.07*(1/(VLOOKUP($Z206,'Fuel economy adjusted factor'!$A$2:$L$52,5,FALSE)*m2k))/'TCO Inputs'!$AZ$84</f>
        <v>47.450932571071895</v>
      </c>
      <c r="BA206" s="125">
        <f>BA94/293.07*(1/(VLOOKUP($Z206,'Fuel economy adjusted factor'!$A$2:$L$52,5,FALSE)*m2k))/'TCO Inputs'!$AZ$84</f>
        <v>47.450932571071895</v>
      </c>
      <c r="BB206" s="125">
        <f>BB94/293.07*(1/(VLOOKUP($Z206,'Fuel economy adjusted factor'!$A$2:$L$52,5,FALSE)*m2k))/'TCO Inputs'!$AZ$84</f>
        <v>47.731290660131243</v>
      </c>
      <c r="BC206" s="98" cm="1">
        <f t="array" ref="BC206">SUMPRODUCT(INDEX(AA206:BB206,,'TCO Inputs'!$AZ$12-2023+_xlfn.SEQUENCE('TCO Inputs'!$AZ$13))*INDEX('VKT US'!C96:AA96,,_xlfn.SEQUENCE('TCO Inputs'!$AZ$13)))*m2k*CONVERT(0.9072,"g","ton")</f>
        <v>40.8886498156633</v>
      </c>
      <c r="BM206" s="123" t="s">
        <v>210</v>
      </c>
      <c r="BN206" s="125">
        <f>BN94/293.07*(1/(VLOOKUP($BM206,'Fuel economy adjusted factor'!$A$2:$L$52,5,FALSE)*m2k))</f>
        <v>143.82611207100032</v>
      </c>
      <c r="BO206" s="125">
        <f>BO94/293.07*(1/(VLOOKUP($BM206,'Fuel economy adjusted factor'!$A$2:$L$52,5,FALSE)*m2k))</f>
        <v>143.82611207100032</v>
      </c>
      <c r="BP206" s="125">
        <f>BP94/293.07*(1/(VLOOKUP($BM206,'Fuel economy adjusted factor'!$A$2:$L$52,5,FALSE)*m2k))</f>
        <v>113.37413803381918</v>
      </c>
      <c r="BQ206" s="125">
        <f>BQ94/293.07*(1/(VLOOKUP($BM206,'Fuel economy adjusted factor'!$A$2:$L$52,5,FALSE)*m2k))</f>
        <v>113.37413803381918</v>
      </c>
      <c r="BR206" s="125">
        <f>BR94/293.07*(1/(VLOOKUP($BM206,'Fuel economy adjusted factor'!$A$2:$L$52,5,FALSE)*m2k))</f>
        <v>113.37413803381918</v>
      </c>
      <c r="BS206" s="125">
        <f>BS94/293.07*(1/(VLOOKUP($BM206,'Fuel economy adjusted factor'!$A$2:$L$52,5,FALSE)*m2k))</f>
        <v>113.37413803381918</v>
      </c>
      <c r="BT206" s="125">
        <f>BT94/293.07*(1/(VLOOKUP($BM206,'Fuel economy adjusted factor'!$A$2:$L$52,5,FALSE)*m2k))</f>
        <v>113.37413803381918</v>
      </c>
      <c r="BU206" s="125">
        <f>BU94/293.07*(1/(VLOOKUP($BM206,'Fuel economy adjusted factor'!$A$2:$L$52,5,FALSE)*m2k))</f>
        <v>6.4042915478937434</v>
      </c>
      <c r="BV206" s="125">
        <f>BV94/293.07*(1/(VLOOKUP($BM206,'Fuel economy adjusted factor'!$A$2:$L$52,5,FALSE)*m2k))</f>
        <v>6.4042915478937434</v>
      </c>
      <c r="BW206" s="125">
        <f>BW94/293.07*(1/(VLOOKUP($BM206,'Fuel economy adjusted factor'!$A$2:$L$52,5,FALSE)*m2k))</f>
        <v>6.4042915478937434</v>
      </c>
      <c r="BX206" s="125">
        <f>BX94/293.07*(1/(VLOOKUP($BM206,'Fuel economy adjusted factor'!$A$2:$L$52,5,FALSE)*m2k))</f>
        <v>6.4042915478937434</v>
      </c>
      <c r="BY206" s="125">
        <f>BY94/293.07*(1/(VLOOKUP($BM206,'Fuel economy adjusted factor'!$A$2:$L$52,5,FALSE)*m2k))</f>
        <v>6.4042915478937434</v>
      </c>
      <c r="BZ206" s="125">
        <f>BZ94/293.07*(1/(VLOOKUP($BM206,'Fuel economy adjusted factor'!$A$2:$L$52,5,FALSE)*m2k))</f>
        <v>6.6791728742830907</v>
      </c>
      <c r="CA206" s="125">
        <f>CA94/293.07*(1/(VLOOKUP($BM206,'Fuel economy adjusted factor'!$A$2:$L$52,5,FALSE)*m2k))</f>
        <v>6.6791728742830907</v>
      </c>
      <c r="CB206" s="125">
        <f>CB94/293.07*(1/(VLOOKUP($BM206,'Fuel economy adjusted factor'!$A$2:$L$52,5,FALSE)*m2k))</f>
        <v>6.6791728742830907</v>
      </c>
      <c r="CC206" s="125">
        <f>CC94/293.07*(1/(VLOOKUP($BM206,'Fuel economy adjusted factor'!$A$2:$L$52,5,FALSE)*m2k))</f>
        <v>6.6791728742830907</v>
      </c>
      <c r="CD206" s="125">
        <f>CD94/293.07*(1/(VLOOKUP($BM206,'Fuel economy adjusted factor'!$A$2:$L$52,5,FALSE)*m2k))</f>
        <v>6.6791728742830907</v>
      </c>
      <c r="CE206" s="125">
        <f>CE94/293.07*(1/(VLOOKUP($BM206,'Fuel economy adjusted factor'!$A$2:$L$52,5,FALSE)*m2k))</f>
        <v>6.7722778396730297</v>
      </c>
      <c r="CF206" s="125">
        <f>CF94/293.07*(1/(VLOOKUP($BM206,'Fuel economy adjusted factor'!$A$2:$L$52,5,FALSE)*m2k))</f>
        <v>6.7722778396730297</v>
      </c>
      <c r="CG206" s="125">
        <f>CG94/293.07*(1/(VLOOKUP($BM206,'Fuel economy adjusted factor'!$A$2:$L$52,5,FALSE)*m2k))</f>
        <v>6.7722778396730297</v>
      </c>
      <c r="CH206" s="125">
        <f>CH94/293.07*(1/(VLOOKUP($BM206,'Fuel economy adjusted factor'!$A$2:$L$52,5,FALSE)*m2k))</f>
        <v>6.7722778396730297</v>
      </c>
      <c r="CI206" s="125">
        <f>CI94/293.07*(1/(VLOOKUP($BM206,'Fuel economy adjusted factor'!$A$2:$L$52,5,FALSE)*m2k))</f>
        <v>6.7722778396730297</v>
      </c>
      <c r="CJ206" s="125">
        <f>CJ94/293.07*(1/(VLOOKUP($BM206,'Fuel economy adjusted factor'!$A$2:$L$52,5,FALSE)*m2k))</f>
        <v>7.0105822153734714</v>
      </c>
      <c r="CK206" s="125">
        <f>CK94/293.07*(1/(VLOOKUP($BM206,'Fuel economy adjusted factor'!$A$2:$L$52,5,FALSE)*m2k))</f>
        <v>7.0105822153734714</v>
      </c>
      <c r="CL206" s="125">
        <f>CL94/293.07*(1/(VLOOKUP($BM206,'Fuel economy adjusted factor'!$A$2:$L$52,5,FALSE)*m2k))</f>
        <v>7.0105822153734714</v>
      </c>
      <c r="CM206" s="125">
        <f>CM94/293.07*(1/(VLOOKUP($BM206,'Fuel economy adjusted factor'!$A$2:$L$52,5,FALSE)*m2k))</f>
        <v>7.0105822153734714</v>
      </c>
      <c r="CN206" s="125">
        <f>CN94/293.07*(1/(VLOOKUP($BM206,'Fuel economy adjusted factor'!$A$2:$L$52,5,FALSE)*m2k))</f>
        <v>7.0105822153734714</v>
      </c>
      <c r="CO206" s="125">
        <f>CO94/293.07*(1/(VLOOKUP($BM206,'Fuel economy adjusted factor'!$A$2:$L$52,5,FALSE)*m2k))</f>
        <v>7.3120649604456585</v>
      </c>
      <c r="CP206" s="98" cm="1">
        <f t="array" ref="CP206">SUMPRODUCT(INDEX(BN206:CO206,,'TCO Inputs'!$AZ$12-2023+_xlfn.SEQUENCE('TCO Inputs'!$AZ$13))*INDEX('VKT US'!C96:AA96,,_xlfn.SEQUENCE('TCO Inputs'!$AZ$13)))*m2k*CONVERT(0.9072,"g","ton")</f>
        <v>26.315689162168809</v>
      </c>
      <c r="CQ206" s="194"/>
      <c r="CR206" s="123" t="s">
        <v>210</v>
      </c>
      <c r="CS206" s="125">
        <f>CS94/293.07*(1/(VLOOKUP($BM206,'Fuel economy adjusted factor'!$A$2:$L$52,5,FALSE)*m2k))/'TCO Inputs'!$AZ$84</f>
        <v>169.20719067176509</v>
      </c>
      <c r="CT206" s="125">
        <f>CT94/293.07*(1/(VLOOKUP($BM206,'Fuel economy adjusted factor'!$A$2:$L$52,5,FALSE)*m2k))</f>
        <v>6.7345924965390083</v>
      </c>
      <c r="CU206" s="125">
        <f>CU94/293.07*(1/(VLOOKUP($BM206,'Fuel economy adjusted factor'!$A$2:$L$52,5,FALSE)*m2k))</f>
        <v>6.7345924965390083</v>
      </c>
      <c r="CV206" s="125">
        <f>CV94/293.07*(1/(VLOOKUP($BM206,'Fuel economy adjusted factor'!$A$2:$L$52,5,FALSE)*m2k))</f>
        <v>6.7345924965390083</v>
      </c>
      <c r="CW206" s="125">
        <f>CW94/293.07*(1/(VLOOKUP($BM206,'Fuel economy adjusted factor'!$A$2:$L$52,5,FALSE)*m2k))</f>
        <v>6.7345924965390083</v>
      </c>
      <c r="CX206" s="125">
        <f>CX94/293.07*(1/(VLOOKUP($BM206,'Fuel economy adjusted factor'!$A$2:$L$52,5,FALSE)*m2k))</f>
        <v>6.7345924965390083</v>
      </c>
      <c r="CY206" s="125">
        <f>CY94/293.07*(1/(VLOOKUP($BM206,'Fuel economy adjusted factor'!$A$2:$L$52,5,FALSE)*m2k))</f>
        <v>6.7345924965390083</v>
      </c>
      <c r="CZ206" s="125">
        <f>CZ94/293.07*(1/(VLOOKUP($BM206,'Fuel economy adjusted factor'!$A$2:$L$52,5,FALSE)*m2k))</f>
        <v>6.7345924965390083</v>
      </c>
      <c r="DA206" s="125">
        <f>DA94/293.07*(1/(VLOOKUP($BM206,'Fuel economy adjusted factor'!$A$2:$L$52,5,FALSE)*m2k))</f>
        <v>6.7345924965390083</v>
      </c>
      <c r="DB206" s="125">
        <f>DB94/293.07*(1/(VLOOKUP($BM206,'Fuel economy adjusted factor'!$A$2:$L$52,5,FALSE)*m2k))</f>
        <v>6.7345924965390083</v>
      </c>
      <c r="DC206" s="125">
        <f>DC94/293.07*(1/(VLOOKUP($BM206,'Fuel economy adjusted factor'!$A$2:$L$52,5,FALSE)*m2k))</f>
        <v>6.7345924965390083</v>
      </c>
      <c r="DD206" s="125">
        <f>DD94/293.07*(1/(VLOOKUP($BM206,'Fuel economy adjusted factor'!$A$2:$L$52,5,FALSE)*m2k))</f>
        <v>6.7345924965390083</v>
      </c>
      <c r="DE206" s="125">
        <f>DE94/293.07*(1/(VLOOKUP($BM206,'Fuel economy adjusted factor'!$A$2:$L$52,5,FALSE)*m2k))</f>
        <v>6.9274527819895981</v>
      </c>
      <c r="DF206" s="125">
        <f>DF94/293.07*(1/(VLOOKUP($BM206,'Fuel economy adjusted factor'!$A$2:$L$52,5,FALSE)*m2k))</f>
        <v>6.9274527819895981</v>
      </c>
      <c r="DG206" s="125">
        <f>DG94/293.07*(1/(VLOOKUP($BM206,'Fuel economy adjusted factor'!$A$2:$L$52,5,FALSE)*m2k))</f>
        <v>6.9274527819895981</v>
      </c>
      <c r="DH206" s="125">
        <f>DH94/293.07*(1/(VLOOKUP($BM206,'Fuel economy adjusted factor'!$A$2:$L$52,5,FALSE)*m2k))</f>
        <v>6.9274527819895981</v>
      </c>
      <c r="DI206" s="125">
        <f>DI94/293.07*(1/(VLOOKUP($BM206,'Fuel economy adjusted factor'!$A$2:$L$52,5,FALSE)*m2k))</f>
        <v>6.9274527819895981</v>
      </c>
      <c r="DJ206" s="125">
        <f>DJ94/293.07*(1/(VLOOKUP($BM206,'Fuel economy adjusted factor'!$A$2:$L$52,5,FALSE)*m2k))</f>
        <v>7.2876803266530565</v>
      </c>
      <c r="DK206" s="125">
        <f>DK94/293.07*(1/(VLOOKUP($BM206,'Fuel economy adjusted factor'!$A$2:$L$52,5,FALSE)*m2k))</f>
        <v>7.2876803266530565</v>
      </c>
      <c r="DL206" s="125">
        <f>DL94/293.07*(1/(VLOOKUP($BM206,'Fuel economy adjusted factor'!$A$2:$L$52,5,FALSE)*m2k))</f>
        <v>7.2876803266530565</v>
      </c>
      <c r="DM206" s="125">
        <f>DM94/293.07*(1/(VLOOKUP($BM206,'Fuel economy adjusted factor'!$A$2:$L$52,5,FALSE)*m2k))</f>
        <v>7.2876803266530565</v>
      </c>
      <c r="DN206" s="125">
        <f>DN94/293.07*(1/(VLOOKUP($BM206,'Fuel economy adjusted factor'!$A$2:$L$52,5,FALSE)*m2k))</f>
        <v>7.2876803266530565</v>
      </c>
      <c r="DO206" s="125">
        <f>DO94/293.07*(1/(VLOOKUP($BM206,'Fuel economy adjusted factor'!$A$2:$L$52,5,FALSE)*m2k))</f>
        <v>7.5259847023534974</v>
      </c>
      <c r="DP206" s="125">
        <f>DP94/293.07*(1/(VLOOKUP($BM206,'Fuel economy adjusted factor'!$A$2:$L$52,5,FALSE)*m2k))</f>
        <v>7.5259847023534974</v>
      </c>
      <c r="DQ206" s="125">
        <f>DQ94/293.07*(1/(VLOOKUP($BM206,'Fuel economy adjusted factor'!$A$2:$L$52,5,FALSE)*m2k))</f>
        <v>7.5259847023534974</v>
      </c>
      <c r="DR206" s="125">
        <f>DR94/293.07*(1/(VLOOKUP($BM206,'Fuel economy adjusted factor'!$A$2:$L$52,5,FALSE)*m2k))</f>
        <v>7.5259847023534974</v>
      </c>
      <c r="DS206" s="125">
        <f>DS94/293.07*(1/(VLOOKUP($BM206,'Fuel economy adjusted factor'!$A$2:$L$52,5,FALSE)*m2k))</f>
        <v>7.5259847023534974</v>
      </c>
      <c r="DT206" s="125">
        <f>DT94/293.07*(1/(VLOOKUP($BM206,'Fuel economy adjusted factor'!$A$2:$L$52,5,FALSE)*m2k))</f>
        <v>7.8285758398708039</v>
      </c>
      <c r="DU206" s="98" cm="1">
        <f t="array" ref="DU206">SUMPRODUCT(INDEX(CS206:DT206,,'TCO Inputs'!$AZ$12-2023+_xlfn.SEQUENCE('TCO Inputs'!$AZ$13))*INDEX('VKT US'!C96:AA96,,_xlfn.SEQUENCE('TCO Inputs'!$AZ$13)))*m2k*CONVERT(0.9072,"g","ton")</f>
        <v>7.7348456484081387</v>
      </c>
      <c r="DW206" s="123" t="s">
        <v>210</v>
      </c>
      <c r="DX206" s="125">
        <f>DX94/293.07*(1/(VLOOKUP($BM206,'Fuel economy adjusted factor'!$A$2:$L$52,5,FALSE)*m2k))/'TCO Inputs'!$AZ$84</f>
        <v>223.55291545453949</v>
      </c>
      <c r="DY206" s="125">
        <f>DY94/293.07*(1/(VLOOKUP($BM206,'Fuel economy adjusted factor'!$A$2:$L$52,5,FALSE)*m2k))/'TCO Inputs'!$AZ$84</f>
        <v>223.55291545453949</v>
      </c>
      <c r="DZ206" s="125">
        <f>DZ94/293.07*(1/(VLOOKUP($BM206,'Fuel economy adjusted factor'!$A$2:$L$52,5,FALSE)*m2k))/'TCO Inputs'!$AZ$84</f>
        <v>195.58156696721568</v>
      </c>
      <c r="EA206" s="125">
        <f>EA94/293.07*(1/(VLOOKUP($BM206,'Fuel economy adjusted factor'!$A$2:$L$52,5,FALSE)*m2k))/'TCO Inputs'!$AZ$84</f>
        <v>195.58156696721568</v>
      </c>
      <c r="EB206" s="125">
        <f>EB94/293.07*(1/(VLOOKUP($BM206,'Fuel economy adjusted factor'!$A$2:$L$52,5,FALSE)*m2k))/'TCO Inputs'!$AZ$84</f>
        <v>195.58156696721568</v>
      </c>
      <c r="EC206" s="125">
        <f>EC94/293.07*(1/(VLOOKUP($BM206,'Fuel economy adjusted factor'!$A$2:$L$52,5,FALSE)*m2k))/'TCO Inputs'!$AZ$84</f>
        <v>195.58156696721568</v>
      </c>
      <c r="ED206" s="125">
        <f>ED94/293.07*(1/(VLOOKUP($BM206,'Fuel economy adjusted factor'!$A$2:$L$52,5,FALSE)*m2k))/'TCO Inputs'!$AZ$84</f>
        <v>195.58156696721568</v>
      </c>
      <c r="EE206" s="125">
        <f>EE94/293.07*(1/(VLOOKUP($BM206,'Fuel economy adjusted factor'!$A$2:$L$52,5,FALSE)*m2k))/'TCO Inputs'!$AZ$84</f>
        <v>121.68333878828213</v>
      </c>
      <c r="EF206" s="125">
        <f>EF94/293.07*(1/(VLOOKUP($BM206,'Fuel economy adjusted factor'!$A$2:$L$52,5,FALSE)*m2k))/'TCO Inputs'!$AZ$84</f>
        <v>121.68333878828213</v>
      </c>
      <c r="EG206" s="125">
        <f>EG94/293.07*(1/(VLOOKUP($BM206,'Fuel economy adjusted factor'!$A$2:$L$52,5,FALSE)*m2k))/'TCO Inputs'!$AZ$84</f>
        <v>121.68333878828213</v>
      </c>
      <c r="EH206" s="125">
        <f>EH94/293.07*(1/(VLOOKUP($BM206,'Fuel economy adjusted factor'!$A$2:$L$52,5,FALSE)*m2k))/'TCO Inputs'!$AZ$84</f>
        <v>121.68333878828213</v>
      </c>
      <c r="EI206" s="125">
        <f>EI94/293.07*(1/(VLOOKUP($BM206,'Fuel economy adjusted factor'!$A$2:$L$52,5,FALSE)*m2k))/'TCO Inputs'!$AZ$84</f>
        <v>121.68333878828213</v>
      </c>
      <c r="EJ206" s="125">
        <f>EJ94/293.07*(1/(VLOOKUP($BM206,'Fuel economy adjusted factor'!$A$2:$L$52,5,FALSE)*m2k))/'TCO Inputs'!$AZ$84</f>
        <v>108.34733491220695</v>
      </c>
      <c r="EK206" s="125">
        <f>EK94/293.07*(1/(VLOOKUP($BM206,'Fuel economy adjusted factor'!$A$2:$L$52,5,FALSE)*m2k))/'TCO Inputs'!$AZ$84</f>
        <v>108.34733491220695</v>
      </c>
      <c r="EL206" s="125">
        <f>EL94/293.07*(1/(VLOOKUP($BM206,'Fuel economy adjusted factor'!$A$2:$L$52,5,FALSE)*m2k))/'TCO Inputs'!$AZ$84</f>
        <v>108.34733491220695</v>
      </c>
      <c r="EM206" s="125">
        <f>EM94/293.07*(1/(VLOOKUP($BM206,'Fuel economy adjusted factor'!$A$2:$L$52,5,FALSE)*m2k))/'TCO Inputs'!$AZ$84</f>
        <v>108.34733491220695</v>
      </c>
      <c r="EN206" s="125">
        <f>EN94/293.07*(1/(VLOOKUP($BM206,'Fuel economy adjusted factor'!$A$2:$L$52,5,FALSE)*m2k))/'TCO Inputs'!$AZ$84</f>
        <v>108.34733491220695</v>
      </c>
      <c r="EO206" s="125">
        <f>EO94/293.07*(1/(VLOOKUP($BM206,'Fuel economy adjusted factor'!$A$2:$L$52,5,FALSE)*m2k))/'TCO Inputs'!$AZ$84</f>
        <v>105.27975405140265</v>
      </c>
      <c r="EP206" s="125">
        <f>EP94/293.07*(1/(VLOOKUP($BM206,'Fuel economy adjusted factor'!$A$2:$L$52,5,FALSE)*m2k))/'TCO Inputs'!$AZ$84</f>
        <v>105.27975405140265</v>
      </c>
      <c r="EQ206" s="125">
        <f>EQ94/293.07*(1/(VLOOKUP($BM206,'Fuel economy adjusted factor'!$A$2:$L$52,5,FALSE)*m2k))/'TCO Inputs'!$AZ$84</f>
        <v>105.27975405140265</v>
      </c>
      <c r="ER206" s="125">
        <f>ER94/293.07*(1/(VLOOKUP($BM206,'Fuel economy adjusted factor'!$A$2:$L$52,5,FALSE)*m2k))/'TCO Inputs'!$AZ$84</f>
        <v>105.27975405140265</v>
      </c>
      <c r="ES206" s="125">
        <f>ES94/293.07*(1/(VLOOKUP($BM206,'Fuel economy adjusted factor'!$A$2:$L$52,5,FALSE)*m2k))/'TCO Inputs'!$AZ$84</f>
        <v>105.27975405140265</v>
      </c>
      <c r="ET206" s="125">
        <f>ET94/293.07*(1/(VLOOKUP($BM206,'Fuel economy adjusted factor'!$A$2:$L$52,5,FALSE)*m2k))/'TCO Inputs'!$AZ$84</f>
        <v>101.55381950096609</v>
      </c>
      <c r="EU206" s="125">
        <f>EU94/293.07*(1/(VLOOKUP($BM206,'Fuel economy adjusted factor'!$A$2:$L$52,5,FALSE)*m2k))/'TCO Inputs'!$AZ$84</f>
        <v>101.55381950096609</v>
      </c>
      <c r="EV206" s="125">
        <f>EV94/293.07*(1/(VLOOKUP($BM206,'Fuel economy adjusted factor'!$A$2:$L$52,5,FALSE)*m2k))/'TCO Inputs'!$AZ$84</f>
        <v>101.55381950096609</v>
      </c>
      <c r="EW206" s="125">
        <f>EW94/293.07*(1/(VLOOKUP($BM206,'Fuel economy adjusted factor'!$A$2:$L$52,5,FALSE)*m2k))/'TCO Inputs'!$AZ$84</f>
        <v>101.55381950096609</v>
      </c>
      <c r="EX206" s="125">
        <f>EX94/293.07*(1/(VLOOKUP($BM206,'Fuel economy adjusted factor'!$A$2:$L$52,5,FALSE)*m2k))/'TCO Inputs'!$AZ$84</f>
        <v>101.55381950096609</v>
      </c>
      <c r="EY206" s="125">
        <f>EY94/293.07*(1/(VLOOKUP($BM206,'Fuel economy adjusted factor'!$A$2:$L$52,5,FALSE)*m2k))/'TCO Inputs'!$AZ$84</f>
        <v>95.616006007664467</v>
      </c>
      <c r="EZ206" s="98" cm="1">
        <f t="array" ref="EZ206">SUMPRODUCT(INDEX(DX206:EY206,,'TCO Inputs'!$AZ$12-2023+_xlfn.SEQUENCE('TCO Inputs'!$AZ$13))*INDEX('VKT US'!C96:AA96,,_xlfn.SEQUENCE('TCO Inputs'!$AZ$13)))*m2k*CONVERT(0.9072,"g","ton")</f>
        <v>61.815995458930644</v>
      </c>
      <c r="FB206" s="123" t="s">
        <v>210</v>
      </c>
      <c r="FC206" s="125">
        <f>FC94/293.07*(1/(VLOOKUP($BM206,'Fuel economy adjusted factor'!$A$2:$L$52,5,FALSE)*m2k))/'TCO Inputs'!$AZ$84</f>
        <v>241.66316766981811</v>
      </c>
      <c r="FD206" s="125">
        <f>FD94/293.07*(1/(VLOOKUP($BM206,'Fuel economy adjusted factor'!$A$2:$L$52,5,FALSE)*m2k))/'TCO Inputs'!$AZ$84</f>
        <v>241.66316766981811</v>
      </c>
      <c r="FE206" s="125">
        <f>FE94/293.07*(1/(VLOOKUP($BM206,'Fuel economy adjusted factor'!$A$2:$L$52,5,FALSE)*m2k))/'TCO Inputs'!$AZ$84</f>
        <v>210.69054732640114</v>
      </c>
      <c r="FF206" s="125">
        <f>FF94/293.07*(1/(VLOOKUP($BM206,'Fuel economy adjusted factor'!$A$2:$L$52,5,FALSE)*m2k))/'TCO Inputs'!$AZ$84</f>
        <v>210.69054732640114</v>
      </c>
      <c r="FG206" s="125">
        <f>FG94/293.07*(1/(VLOOKUP($BM206,'Fuel economy adjusted factor'!$A$2:$L$52,5,FALSE)*m2k))/'TCO Inputs'!$AZ$84</f>
        <v>210.69054732640114</v>
      </c>
      <c r="FH206" s="125">
        <f>FH94/293.07*(1/(VLOOKUP($BM206,'Fuel economy adjusted factor'!$A$2:$L$52,5,FALSE)*m2k))/'TCO Inputs'!$AZ$84</f>
        <v>210.69054732640114</v>
      </c>
      <c r="FI206" s="125">
        <f>FI94/293.07*(1/(VLOOKUP($BM206,'Fuel economy adjusted factor'!$A$2:$L$52,5,FALSE)*m2k))/'TCO Inputs'!$AZ$84</f>
        <v>210.69054732640114</v>
      </c>
      <c r="FJ206" s="125">
        <f>FJ94/293.07*(1/(VLOOKUP($BM206,'Fuel economy adjusted factor'!$A$2:$L$52,5,FALSE)*m2k))/'TCO Inputs'!$AZ$84</f>
        <v>133.26373282533811</v>
      </c>
      <c r="FK206" s="125">
        <f>FK94/293.07*(1/(VLOOKUP($BM206,'Fuel economy adjusted factor'!$A$2:$L$52,5,FALSE)*m2k))/'TCO Inputs'!$AZ$84</f>
        <v>133.26373282533811</v>
      </c>
      <c r="FL206" s="125">
        <f>FL94/293.07*(1/(VLOOKUP($BM206,'Fuel economy adjusted factor'!$A$2:$L$52,5,FALSE)*m2k))/'TCO Inputs'!$AZ$84</f>
        <v>133.26373282533811</v>
      </c>
      <c r="FM206" s="125">
        <f>FM94/293.07*(1/(VLOOKUP($BM206,'Fuel economy adjusted factor'!$A$2:$L$52,5,FALSE)*m2k))/'TCO Inputs'!$AZ$84</f>
        <v>133.26373282533811</v>
      </c>
      <c r="FN206" s="125">
        <f>FN94/293.07*(1/(VLOOKUP($BM206,'Fuel economy adjusted factor'!$A$2:$L$52,5,FALSE)*m2k))/'TCO Inputs'!$AZ$84</f>
        <v>133.26373282533811</v>
      </c>
      <c r="FO206" s="125">
        <f>FO94/293.07*(1/(VLOOKUP($BM206,'Fuel economy adjusted factor'!$A$2:$L$52,5,FALSE)*m2k))/'TCO Inputs'!$AZ$84</f>
        <v>118.0331859575155</v>
      </c>
      <c r="FP206" s="125">
        <f>FP94/293.07*(1/(VLOOKUP($BM206,'Fuel economy adjusted factor'!$A$2:$L$52,5,FALSE)*m2k))/'TCO Inputs'!$AZ$84</f>
        <v>118.0331859575155</v>
      </c>
      <c r="FQ206" s="125">
        <f>FQ94/293.07*(1/(VLOOKUP($BM206,'Fuel economy adjusted factor'!$A$2:$L$52,5,FALSE)*m2k))/'TCO Inputs'!$AZ$84</f>
        <v>118.0331859575155</v>
      </c>
      <c r="FR206" s="125">
        <f>FR94/293.07*(1/(VLOOKUP($BM206,'Fuel economy adjusted factor'!$A$2:$L$52,5,FALSE)*m2k))/'TCO Inputs'!$AZ$84</f>
        <v>118.0331859575155</v>
      </c>
      <c r="FS206" s="125">
        <f>FS94/293.07*(1/(VLOOKUP($BM206,'Fuel economy adjusted factor'!$A$2:$L$52,5,FALSE)*m2k))/'TCO Inputs'!$AZ$84</f>
        <v>118.0331859575155</v>
      </c>
      <c r="FT206" s="125">
        <f>FT94/293.07*(1/(VLOOKUP($BM206,'Fuel economy adjusted factor'!$A$2:$L$52,5,FALSE)*m2k))/'TCO Inputs'!$AZ$84</f>
        <v>115.33819855175483</v>
      </c>
      <c r="FU206" s="125">
        <f>FU94/293.07*(1/(VLOOKUP($BM206,'Fuel economy adjusted factor'!$A$2:$L$52,5,FALSE)*m2k))/'TCO Inputs'!$AZ$84</f>
        <v>115.33819855175483</v>
      </c>
      <c r="FV206" s="125">
        <f>FV94/293.07*(1/(VLOOKUP($BM206,'Fuel economy adjusted factor'!$A$2:$L$52,5,FALSE)*m2k))/'TCO Inputs'!$AZ$84</f>
        <v>115.33819855175483</v>
      </c>
      <c r="FW206" s="125">
        <f>FW94/293.07*(1/(VLOOKUP($BM206,'Fuel economy adjusted factor'!$A$2:$L$52,5,FALSE)*m2k))/'TCO Inputs'!$AZ$84</f>
        <v>115.33819855175483</v>
      </c>
      <c r="FX206" s="125">
        <f>FX94/293.07*(1/(VLOOKUP($BM206,'Fuel economy adjusted factor'!$A$2:$L$52,5,FALSE)*m2k))/'TCO Inputs'!$AZ$84</f>
        <v>115.33819855175483</v>
      </c>
      <c r="FY206" s="125">
        <f>FY94/293.07*(1/(VLOOKUP($BM206,'Fuel economy adjusted factor'!$A$2:$L$52,5,FALSE)*m2k))/'TCO Inputs'!$AZ$84</f>
        <v>111.60594885801245</v>
      </c>
      <c r="FZ206" s="125">
        <f>FZ94/293.07*(1/(VLOOKUP($BM206,'Fuel economy adjusted factor'!$A$2:$L$52,5,FALSE)*m2k))/'TCO Inputs'!$AZ$84</f>
        <v>111.60594885801245</v>
      </c>
      <c r="GA206" s="125">
        <f>GA94/293.07*(1/(VLOOKUP($BM206,'Fuel economy adjusted factor'!$A$2:$L$52,5,FALSE)*m2k))/'TCO Inputs'!$AZ$84</f>
        <v>111.60594885801245</v>
      </c>
      <c r="GB206" s="125">
        <f>GB94/293.07*(1/(VLOOKUP($BM206,'Fuel economy adjusted factor'!$A$2:$L$52,5,FALSE)*m2k))/'TCO Inputs'!$AZ$84</f>
        <v>111.60594885801245</v>
      </c>
      <c r="GC206" s="125">
        <f>GC94/293.07*(1/(VLOOKUP($BM206,'Fuel economy adjusted factor'!$A$2:$L$52,5,FALSE)*m2k))/'TCO Inputs'!$AZ$84</f>
        <v>111.60594885801245</v>
      </c>
      <c r="GD206" s="125">
        <f>GD94/293.07*(1/(VLOOKUP($BM206,'Fuel economy adjusted factor'!$A$2:$L$52,5,FALSE)*m2k))/'TCO Inputs'!$AZ$84</f>
        <v>105.46605077892447</v>
      </c>
      <c r="GE206" s="98" cm="1">
        <f t="array" ref="GE206">SUMPRODUCT(INDEX(FC206:GD206,,'TCO Inputs'!$AZ$12-2023+_xlfn.SEQUENCE('TCO Inputs'!$AZ$13))*INDEX('VKT US'!C96:AA96,,_xlfn.SEQUENCE('TCO Inputs'!$AZ$13)))*m2k*CONVERT(0.9072,"g","ton")</f>
        <v>66.972074627848301</v>
      </c>
      <c r="GH206" s="123" t="s">
        <v>210</v>
      </c>
      <c r="GI206" s="125">
        <f>GI94/293.07*(1/(VLOOKUP($GH206,'Fuel economy adjusted factor'!$A$2:$L$52,5,FALSE)*m2k))/'TCO Inputs'!$AZ$84</f>
        <v>425.42710025865534</v>
      </c>
      <c r="GJ206" s="125">
        <f>GJ94/293.07*(1/(VLOOKUP($GH206,'Fuel economy adjusted factor'!$A$2:$L$52,5,FALSE)*m2k))/'TCO Inputs'!$AZ$84</f>
        <v>425.42710025865534</v>
      </c>
      <c r="GK206" s="125">
        <f>GK94/293.07*(1/(VLOOKUP($GH206,'Fuel economy adjusted factor'!$A$2:$L$52,5,FALSE)*m2k))/'TCO Inputs'!$AZ$84</f>
        <v>425.42710025865534</v>
      </c>
      <c r="GL206" s="125">
        <f>GL94/293.07*(1/(VLOOKUP($GH206,'Fuel economy adjusted factor'!$A$2:$L$52,5,FALSE)*m2k))/'TCO Inputs'!$AZ$84</f>
        <v>425.42710025865534</v>
      </c>
      <c r="GM206" s="125">
        <f>GM94/293.07*(1/(VLOOKUP($GH206,'Fuel economy adjusted factor'!$A$2:$L$52,5,FALSE)*m2k))/'TCO Inputs'!$AZ$84</f>
        <v>425.42710025865534</v>
      </c>
      <c r="GN206" s="125">
        <f>GN94/293.07*(1/(VLOOKUP($GH206,'Fuel economy adjusted factor'!$A$2:$L$52,5,FALSE)*m2k))/'TCO Inputs'!$AZ$84</f>
        <v>425.42710025865534</v>
      </c>
      <c r="GO206" s="125">
        <f>GO94/293.07*(1/(VLOOKUP($GH206,'Fuel economy adjusted factor'!$A$2:$L$52,5,FALSE)*m2k))/'TCO Inputs'!$AZ$84</f>
        <v>425.42710025865534</v>
      </c>
      <c r="GP206" s="125">
        <f>GP94/293.07*(1/(VLOOKUP($GH206,'Fuel economy adjusted factor'!$A$2:$L$52,5,FALSE)*m2k))/'TCO Inputs'!$AZ$84</f>
        <v>425.42710025865534</v>
      </c>
      <c r="GQ206" s="125">
        <f>GQ94/293.07*(1/(VLOOKUP($GH206,'Fuel economy adjusted factor'!$A$2:$L$52,5,FALSE)*m2k))/'TCO Inputs'!$AZ$84</f>
        <v>425.42710025865534</v>
      </c>
      <c r="GR206" s="125">
        <f>GR94/293.07*(1/(VLOOKUP($GH206,'Fuel economy adjusted factor'!$A$2:$L$52,5,FALSE)*m2k))/'TCO Inputs'!$AZ$84</f>
        <v>425.42710025865534</v>
      </c>
      <c r="GS206" s="125">
        <f>GS94/293.07*(1/(VLOOKUP($GH206,'Fuel economy adjusted factor'!$A$2:$L$52,5,FALSE)*m2k))/'TCO Inputs'!$AZ$84</f>
        <v>425.42710025865534</v>
      </c>
      <c r="GT206" s="125">
        <f>GT94/293.07*(1/(VLOOKUP($GH206,'Fuel economy adjusted factor'!$A$2:$L$52,5,FALSE)*m2k))/'TCO Inputs'!$AZ$84</f>
        <v>425.42710025865534</v>
      </c>
      <c r="GU206" s="125">
        <f>GU94/293.07*(1/(VLOOKUP($GH206,'Fuel economy adjusted factor'!$A$2:$L$52,5,FALSE)*m2k))/'TCO Inputs'!$AZ$84</f>
        <v>425.42710025865534</v>
      </c>
      <c r="GV206" s="125">
        <f>GV94/293.07*(1/(VLOOKUP($GH206,'Fuel economy adjusted factor'!$A$2:$L$52,5,FALSE)*m2k))/'TCO Inputs'!$AZ$84</f>
        <v>425.42710025865534</v>
      </c>
      <c r="GW206" s="125">
        <f>GW94/293.07*(1/(VLOOKUP($GH206,'Fuel economy adjusted factor'!$A$2:$L$52,5,FALSE)*m2k))/'TCO Inputs'!$AZ$84</f>
        <v>425.42710025865534</v>
      </c>
      <c r="GX206" s="125">
        <f>GX94/293.07*(1/(VLOOKUP($GH206,'Fuel economy adjusted factor'!$A$2:$L$52,5,FALSE)*m2k))/'TCO Inputs'!$AZ$84</f>
        <v>425.42710025865534</v>
      </c>
      <c r="GY206" s="125">
        <f>GY94/293.07*(1/(VLOOKUP($GH206,'Fuel economy adjusted factor'!$A$2:$L$52,5,FALSE)*m2k))/'TCO Inputs'!$AZ$84</f>
        <v>425.42710025865534</v>
      </c>
      <c r="GZ206" s="125">
        <f>GZ94/293.07*(1/(VLOOKUP($GH206,'Fuel economy adjusted factor'!$A$2:$L$52,5,FALSE)*m2k))/'TCO Inputs'!$AZ$84</f>
        <v>425.42710025865534</v>
      </c>
      <c r="HA206" s="125">
        <f>HA94/293.07*(1/(VLOOKUP($GH206,'Fuel economy adjusted factor'!$A$2:$L$52,5,FALSE)*m2k))/'TCO Inputs'!$AZ$84</f>
        <v>425.42710025865534</v>
      </c>
      <c r="HB206" s="125">
        <f>HB94/293.07*(1/(VLOOKUP($GH206,'Fuel economy adjusted factor'!$A$2:$L$52,5,FALSE)*m2k))/'TCO Inputs'!$AZ$84</f>
        <v>425.42710025865534</v>
      </c>
      <c r="HC206" s="125">
        <f>HC94/293.07*(1/(VLOOKUP($GH206,'Fuel economy adjusted factor'!$A$2:$L$52,5,FALSE)*m2k))/'TCO Inputs'!$AZ$84</f>
        <v>425.42710025865534</v>
      </c>
      <c r="HD206" s="125">
        <f>HD94/293.07*(1/(VLOOKUP($GH206,'Fuel economy adjusted factor'!$A$2:$L$52,5,FALSE)*m2k))/'TCO Inputs'!$AZ$84</f>
        <v>425.42710025865534</v>
      </c>
      <c r="HE206" s="125">
        <f>HE94/293.07*(1/(VLOOKUP($GH206,'Fuel economy adjusted factor'!$A$2:$L$52,5,FALSE)*m2k))/'TCO Inputs'!$AZ$84</f>
        <v>425.42710025865534</v>
      </c>
      <c r="HF206" s="125">
        <f>HF94/293.07*(1/(VLOOKUP($GH206,'Fuel economy adjusted factor'!$A$2:$L$52,5,FALSE)*m2k))/'TCO Inputs'!$AZ$84</f>
        <v>425.42710025865534</v>
      </c>
      <c r="HG206" s="125">
        <f>HG94/293.07*(1/(VLOOKUP($GH206,'Fuel economy adjusted factor'!$A$2:$L$52,5,FALSE)*m2k))/'TCO Inputs'!$AZ$84</f>
        <v>425.42710025865534</v>
      </c>
      <c r="HH206" s="125">
        <f>HH94/293.07*(1/(VLOOKUP($GH206,'Fuel economy adjusted factor'!$A$2:$L$52,5,FALSE)*m2k))/'TCO Inputs'!$AZ$84</f>
        <v>425.42710025865534</v>
      </c>
      <c r="HI206" s="125">
        <f>HI94/293.07*(1/(VLOOKUP($GH206,'Fuel economy adjusted factor'!$A$2:$L$52,5,FALSE)*m2k))/'TCO Inputs'!$AZ$84</f>
        <v>425.42710025865534</v>
      </c>
      <c r="HJ206" s="125">
        <f>HJ94/293.07*(1/(VLOOKUP($GH206,'Fuel economy adjusted factor'!$A$2:$L$52,5,FALSE)*m2k))/'TCO Inputs'!$AZ$84</f>
        <v>425.42710025865534</v>
      </c>
      <c r="HK206" s="98" cm="1">
        <f t="array" ref="HK206">SUMPRODUCT(INDEX(GI206:HJ206,,'TCO Inputs'!$AZ$12-2023+_xlfn.SEQUENCE('TCO Inputs'!$AZ$13))*INDEX('VKT US'!C96:AA96,,_xlfn.SEQUENCE('TCO Inputs'!$AZ$13)))*m2k*CONVERT(0.9072,"g","ton")</f>
        <v>158.92593512222876</v>
      </c>
    </row>
    <row r="207" spans="26:219" x14ac:dyDescent="0.25">
      <c r="Z207" s="123" t="s">
        <v>217</v>
      </c>
      <c r="AA207" s="125">
        <f>AA95/293.07*(1/(VLOOKUP($Z207,'Fuel economy adjusted factor'!$A$2:$L$52,5,FALSE)*m2k))/'TCO Inputs'!$AZ$84</f>
        <v>141.11714265231214</v>
      </c>
      <c r="AB207" s="125">
        <f>AB95/293.07*(1/(VLOOKUP($Z207,'Fuel economy adjusted factor'!$A$2:$L$52,5,FALSE)*m2k))/'TCO Inputs'!$AZ$84</f>
        <v>141.11714265231214</v>
      </c>
      <c r="AC207" s="125">
        <f>AC95/293.07*(1/(VLOOKUP($Z207,'Fuel economy adjusted factor'!$A$2:$L$52,5,FALSE)*m2k))/'TCO Inputs'!$AZ$84</f>
        <v>123.94961763393681</v>
      </c>
      <c r="AD207" s="125">
        <f>AD95/293.07*(1/(VLOOKUP($Z207,'Fuel economy adjusted factor'!$A$2:$L$52,5,FALSE)*m2k))/'TCO Inputs'!$AZ$84</f>
        <v>123.94961763393681</v>
      </c>
      <c r="AE207" s="125">
        <f>AE95/293.07*(1/(VLOOKUP($Z207,'Fuel economy adjusted factor'!$A$2:$L$52,5,FALSE)*m2k))/'TCO Inputs'!$AZ$84</f>
        <v>123.94961763393681</v>
      </c>
      <c r="AF207" s="125">
        <f>AF95/293.07*(1/(VLOOKUP($Z207,'Fuel economy adjusted factor'!$A$2:$L$52,5,FALSE)*m2k))/'TCO Inputs'!$AZ$84</f>
        <v>123.94961763393681</v>
      </c>
      <c r="AG207" s="125">
        <f>AG95/293.07*(1/(VLOOKUP($Z207,'Fuel economy adjusted factor'!$A$2:$L$52,5,FALSE)*m2k))/'TCO Inputs'!$AZ$84</f>
        <v>123.94961763393681</v>
      </c>
      <c r="AH207" s="125">
        <f>AH95/293.07*(1/(VLOOKUP($Z207,'Fuel economy adjusted factor'!$A$2:$L$52,5,FALSE)*m2k))/'TCO Inputs'!$AZ$84</f>
        <v>46.862144974459063</v>
      </c>
      <c r="AI207" s="125">
        <f>AI95/293.07*(1/(VLOOKUP($Z207,'Fuel economy adjusted factor'!$A$2:$L$52,5,FALSE)*m2k))/'TCO Inputs'!$AZ$84</f>
        <v>46.862144974459063</v>
      </c>
      <c r="AJ207" s="125">
        <f>AJ95/293.07*(1/(VLOOKUP($Z207,'Fuel economy adjusted factor'!$A$2:$L$52,5,FALSE)*m2k))/'TCO Inputs'!$AZ$84</f>
        <v>46.862144974459063</v>
      </c>
      <c r="AK207" s="125">
        <f>AK95/293.07*(1/(VLOOKUP($Z207,'Fuel economy adjusted factor'!$A$2:$L$52,5,FALSE)*m2k))/'TCO Inputs'!$AZ$84</f>
        <v>46.862144974459063</v>
      </c>
      <c r="AL207" s="125">
        <f>AL95/293.07*(1/(VLOOKUP($Z207,'Fuel economy adjusted factor'!$A$2:$L$52,5,FALSE)*m2k))/'TCO Inputs'!$AZ$84</f>
        <v>46.862144974459063</v>
      </c>
      <c r="AM207" s="125">
        <f>AM95/293.07*(1/(VLOOKUP($Z207,'Fuel economy adjusted factor'!$A$2:$L$52,5,FALSE)*m2k))/'TCO Inputs'!$AZ$84</f>
        <v>39.387648620012492</v>
      </c>
      <c r="AN207" s="125">
        <f>AN95/293.07*(1/(VLOOKUP($Z207,'Fuel economy adjusted factor'!$A$2:$L$52,5,FALSE)*m2k))/'TCO Inputs'!$AZ$84</f>
        <v>39.387648620012492</v>
      </c>
      <c r="AO207" s="125">
        <f>AO95/293.07*(1/(VLOOKUP($Z207,'Fuel economy adjusted factor'!$A$2:$L$52,5,FALSE)*m2k))/'TCO Inputs'!$AZ$84</f>
        <v>39.387648620012492</v>
      </c>
      <c r="AP207" s="125">
        <f>AP95/293.07*(1/(VLOOKUP($Z207,'Fuel economy adjusted factor'!$A$2:$L$52,5,FALSE)*m2k))/'TCO Inputs'!$AZ$84</f>
        <v>39.387648620012492</v>
      </c>
      <c r="AQ207" s="125">
        <f>AQ95/293.07*(1/(VLOOKUP($Z207,'Fuel economy adjusted factor'!$A$2:$L$52,5,FALSE)*m2k))/'TCO Inputs'!$AZ$84</f>
        <v>39.387648620012492</v>
      </c>
      <c r="AR207" s="125">
        <f>AR95/293.07*(1/(VLOOKUP($Z207,'Fuel economy adjusted factor'!$A$2:$L$52,5,FALSE)*m2k))/'TCO Inputs'!$AZ$84</f>
        <v>39.387648620012492</v>
      </c>
      <c r="AS207" s="125">
        <f>AS95/293.07*(1/(VLOOKUP($Z207,'Fuel economy adjusted factor'!$A$2:$L$52,5,FALSE)*m2k))/'TCO Inputs'!$AZ$84</f>
        <v>39.387648620012492</v>
      </c>
      <c r="AT207" s="125">
        <f>AT95/293.07*(1/(VLOOKUP($Z207,'Fuel economy adjusted factor'!$A$2:$L$52,5,FALSE)*m2k))/'TCO Inputs'!$AZ$84</f>
        <v>39.387648620012492</v>
      </c>
      <c r="AU207" s="125">
        <f>AU95/293.07*(1/(VLOOKUP($Z207,'Fuel economy adjusted factor'!$A$2:$L$52,5,FALSE)*m2k))/'TCO Inputs'!$AZ$84</f>
        <v>39.387648620012492</v>
      </c>
      <c r="AV207" s="125">
        <f>AV95/293.07*(1/(VLOOKUP($Z207,'Fuel economy adjusted factor'!$A$2:$L$52,5,FALSE)*m2k))/'TCO Inputs'!$AZ$84</f>
        <v>39.387648620012492</v>
      </c>
      <c r="AW207" s="125">
        <f>AW95/293.07*(1/(VLOOKUP($Z207,'Fuel economy adjusted factor'!$A$2:$L$52,5,FALSE)*m2k))/'TCO Inputs'!$AZ$84</f>
        <v>39.57361382830733</v>
      </c>
      <c r="AX207" s="125">
        <f>AX95/293.07*(1/(VLOOKUP($Z207,'Fuel economy adjusted factor'!$A$2:$L$52,5,FALSE)*m2k))/'TCO Inputs'!$AZ$84</f>
        <v>39.57361382830733</v>
      </c>
      <c r="AY207" s="125">
        <f>AY95/293.07*(1/(VLOOKUP($Z207,'Fuel economy adjusted factor'!$A$2:$L$52,5,FALSE)*m2k))/'TCO Inputs'!$AZ$84</f>
        <v>39.57361382830733</v>
      </c>
      <c r="AZ207" s="125">
        <f>AZ95/293.07*(1/(VLOOKUP($Z207,'Fuel economy adjusted factor'!$A$2:$L$52,5,FALSE)*m2k))/'TCO Inputs'!$AZ$84</f>
        <v>39.57361382830733</v>
      </c>
      <c r="BA207" s="125">
        <f>BA95/293.07*(1/(VLOOKUP($Z207,'Fuel economy adjusted factor'!$A$2:$L$52,5,FALSE)*m2k))/'TCO Inputs'!$AZ$84</f>
        <v>39.57361382830733</v>
      </c>
      <c r="BB207" s="125">
        <f>BB95/293.07*(1/(VLOOKUP($Z207,'Fuel economy adjusted factor'!$A$2:$L$52,5,FALSE)*m2k))/'TCO Inputs'!$AZ$84</f>
        <v>39.807429733473334</v>
      </c>
      <c r="BC207" s="98" cm="1">
        <f t="array" ref="BC207">SUMPRODUCT(INDEX(AA207:BB207,,'TCO Inputs'!$AZ$12-2023+_xlfn.SEQUENCE('TCO Inputs'!$AZ$13))*INDEX('VKT US'!C97:AA97,,_xlfn.SEQUENCE('TCO Inputs'!$AZ$13)))*m2k*CONVERT(0.9072,"g","ton")</f>
        <v>27.553069010902977</v>
      </c>
      <c r="BM207" s="123" t="s">
        <v>217</v>
      </c>
      <c r="BN207" s="125">
        <f>BN95/293.07*(1/(VLOOKUP($BM207,'Fuel economy adjusted factor'!$A$2:$L$52,5,FALSE)*m2k))</f>
        <v>119.94957125446531</v>
      </c>
      <c r="BO207" s="125">
        <f>BO95/293.07*(1/(VLOOKUP($BM207,'Fuel economy adjusted factor'!$A$2:$L$52,5,FALSE)*m2k))</f>
        <v>119.94957125446531</v>
      </c>
      <c r="BP207" s="125">
        <f>BP95/293.07*(1/(VLOOKUP($BM207,'Fuel economy adjusted factor'!$A$2:$L$52,5,FALSE)*m2k))</f>
        <v>94.55292264166809</v>
      </c>
      <c r="BQ207" s="125">
        <f>BQ95/293.07*(1/(VLOOKUP($BM207,'Fuel economy adjusted factor'!$A$2:$L$52,5,FALSE)*m2k))</f>
        <v>94.55292264166809</v>
      </c>
      <c r="BR207" s="125">
        <f>BR95/293.07*(1/(VLOOKUP($BM207,'Fuel economy adjusted factor'!$A$2:$L$52,5,FALSE)*m2k))</f>
        <v>94.55292264166809</v>
      </c>
      <c r="BS207" s="125">
        <f>BS95/293.07*(1/(VLOOKUP($BM207,'Fuel economy adjusted factor'!$A$2:$L$52,5,FALSE)*m2k))</f>
        <v>94.55292264166809</v>
      </c>
      <c r="BT207" s="125">
        <f>BT95/293.07*(1/(VLOOKUP($BM207,'Fuel economy adjusted factor'!$A$2:$L$52,5,FALSE)*m2k))</f>
        <v>94.55292264166809</v>
      </c>
      <c r="BU207" s="125">
        <f>BU95/293.07*(1/(VLOOKUP($BM207,'Fuel economy adjusted factor'!$A$2:$L$52,5,FALSE)*m2k))</f>
        <v>5.3411165350783412</v>
      </c>
      <c r="BV207" s="125">
        <f>BV95/293.07*(1/(VLOOKUP($BM207,'Fuel economy adjusted factor'!$A$2:$L$52,5,FALSE)*m2k))</f>
        <v>5.3411165350783412</v>
      </c>
      <c r="BW207" s="125">
        <f>BW95/293.07*(1/(VLOOKUP($BM207,'Fuel economy adjusted factor'!$A$2:$L$52,5,FALSE)*m2k))</f>
        <v>5.3411165350783412</v>
      </c>
      <c r="BX207" s="125">
        <f>BX95/293.07*(1/(VLOOKUP($BM207,'Fuel economy adjusted factor'!$A$2:$L$52,5,FALSE)*m2k))</f>
        <v>5.3411165350783412</v>
      </c>
      <c r="BY207" s="125">
        <f>BY95/293.07*(1/(VLOOKUP($BM207,'Fuel economy adjusted factor'!$A$2:$L$52,5,FALSE)*m2k))</f>
        <v>5.3411165350783412</v>
      </c>
      <c r="BZ207" s="125">
        <f>BZ95/293.07*(1/(VLOOKUP($BM207,'Fuel economy adjusted factor'!$A$2:$L$52,5,FALSE)*m2k))</f>
        <v>5.5703648737248326</v>
      </c>
      <c r="CA207" s="125">
        <f>CA95/293.07*(1/(VLOOKUP($BM207,'Fuel economy adjusted factor'!$A$2:$L$52,5,FALSE)*m2k))</f>
        <v>5.5703648737248326</v>
      </c>
      <c r="CB207" s="125">
        <f>CB95/293.07*(1/(VLOOKUP($BM207,'Fuel economy adjusted factor'!$A$2:$L$52,5,FALSE)*m2k))</f>
        <v>5.5703648737248326</v>
      </c>
      <c r="CC207" s="125">
        <f>CC95/293.07*(1/(VLOOKUP($BM207,'Fuel economy adjusted factor'!$A$2:$L$52,5,FALSE)*m2k))</f>
        <v>5.5703648737248326</v>
      </c>
      <c r="CD207" s="125">
        <f>CD95/293.07*(1/(VLOOKUP($BM207,'Fuel economy adjusted factor'!$A$2:$L$52,5,FALSE)*m2k))</f>
        <v>5.5703648737248326</v>
      </c>
      <c r="CE207" s="125">
        <f>CE95/293.07*(1/(VLOOKUP($BM207,'Fuel economy adjusted factor'!$A$2:$L$52,5,FALSE)*m2k))</f>
        <v>5.648013504556709</v>
      </c>
      <c r="CF207" s="125">
        <f>CF95/293.07*(1/(VLOOKUP($BM207,'Fuel economy adjusted factor'!$A$2:$L$52,5,FALSE)*m2k))</f>
        <v>5.648013504556709</v>
      </c>
      <c r="CG207" s="125">
        <f>CG95/293.07*(1/(VLOOKUP($BM207,'Fuel economy adjusted factor'!$A$2:$L$52,5,FALSE)*m2k))</f>
        <v>5.648013504556709</v>
      </c>
      <c r="CH207" s="125">
        <f>CH95/293.07*(1/(VLOOKUP($BM207,'Fuel economy adjusted factor'!$A$2:$L$52,5,FALSE)*m2k))</f>
        <v>5.648013504556709</v>
      </c>
      <c r="CI207" s="125">
        <f>CI95/293.07*(1/(VLOOKUP($BM207,'Fuel economy adjusted factor'!$A$2:$L$52,5,FALSE)*m2k))</f>
        <v>5.648013504556709</v>
      </c>
      <c r="CJ207" s="125">
        <f>CJ95/293.07*(1/(VLOOKUP($BM207,'Fuel economy adjusted factor'!$A$2:$L$52,5,FALSE)*m2k))</f>
        <v>5.8467570239478208</v>
      </c>
      <c r="CK207" s="125">
        <f>CK95/293.07*(1/(VLOOKUP($BM207,'Fuel economy adjusted factor'!$A$2:$L$52,5,FALSE)*m2k))</f>
        <v>5.8467570239478208</v>
      </c>
      <c r="CL207" s="125">
        <f>CL95/293.07*(1/(VLOOKUP($BM207,'Fuel economy adjusted factor'!$A$2:$L$52,5,FALSE)*m2k))</f>
        <v>5.8467570239478208</v>
      </c>
      <c r="CM207" s="125">
        <f>CM95/293.07*(1/(VLOOKUP($BM207,'Fuel economy adjusted factor'!$A$2:$L$52,5,FALSE)*m2k))</f>
        <v>5.8467570239478208</v>
      </c>
      <c r="CN207" s="125">
        <f>CN95/293.07*(1/(VLOOKUP($BM207,'Fuel economy adjusted factor'!$A$2:$L$52,5,FALSE)*m2k))</f>
        <v>5.8467570239478208</v>
      </c>
      <c r="CO207" s="125">
        <f>CO95/293.07*(1/(VLOOKUP($BM207,'Fuel economy adjusted factor'!$A$2:$L$52,5,FALSE)*m2k))</f>
        <v>6.0981906856891319</v>
      </c>
      <c r="CP207" s="98" cm="1">
        <f t="array" ref="CP207">SUMPRODUCT(INDEX(BN207:CO207,,'TCO Inputs'!$AZ$12-2023+_xlfn.SEQUENCE('TCO Inputs'!$AZ$13))*INDEX('VKT US'!C97:AA97,,_xlfn.SEQUENCE('TCO Inputs'!$AZ$13)))*m2k*CONVERT(0.9072,"g","ton")</f>
        <v>17.73298954168332</v>
      </c>
      <c r="CQ207" s="194"/>
      <c r="CR207" s="123" t="s">
        <v>217</v>
      </c>
      <c r="CS207" s="125">
        <f>CS95/293.07*(1/(VLOOKUP($BM207,'Fuel economy adjusted factor'!$A$2:$L$52,5,FALSE)*m2k))/'TCO Inputs'!$AZ$84</f>
        <v>141.11714265231214</v>
      </c>
      <c r="CT207" s="125">
        <f>CT95/293.07*(1/(VLOOKUP($BM207,'Fuel economy adjusted factor'!$A$2:$L$52,5,FALSE)*m2k))</f>
        <v>5.6165842968390445</v>
      </c>
      <c r="CU207" s="125">
        <f>CU95/293.07*(1/(VLOOKUP($BM207,'Fuel economy adjusted factor'!$A$2:$L$52,5,FALSE)*m2k))</f>
        <v>5.6165842968390445</v>
      </c>
      <c r="CV207" s="125">
        <f>CV95/293.07*(1/(VLOOKUP($BM207,'Fuel economy adjusted factor'!$A$2:$L$52,5,FALSE)*m2k))</f>
        <v>5.6165842968390445</v>
      </c>
      <c r="CW207" s="125">
        <f>CW95/293.07*(1/(VLOOKUP($BM207,'Fuel economy adjusted factor'!$A$2:$L$52,5,FALSE)*m2k))</f>
        <v>5.6165842968390445</v>
      </c>
      <c r="CX207" s="125">
        <f>CX95/293.07*(1/(VLOOKUP($BM207,'Fuel economy adjusted factor'!$A$2:$L$52,5,FALSE)*m2k))</f>
        <v>5.6165842968390445</v>
      </c>
      <c r="CY207" s="125">
        <f>CY95/293.07*(1/(VLOOKUP($BM207,'Fuel economy adjusted factor'!$A$2:$L$52,5,FALSE)*m2k))</f>
        <v>5.6165842968390445</v>
      </c>
      <c r="CZ207" s="125">
        <f>CZ95/293.07*(1/(VLOOKUP($BM207,'Fuel economy adjusted factor'!$A$2:$L$52,5,FALSE)*m2k))</f>
        <v>5.6165842968390445</v>
      </c>
      <c r="DA207" s="125">
        <f>DA95/293.07*(1/(VLOOKUP($BM207,'Fuel economy adjusted factor'!$A$2:$L$52,5,FALSE)*m2k))</f>
        <v>5.6165842968390445</v>
      </c>
      <c r="DB207" s="125">
        <f>DB95/293.07*(1/(VLOOKUP($BM207,'Fuel economy adjusted factor'!$A$2:$L$52,5,FALSE)*m2k))</f>
        <v>5.6165842968390445</v>
      </c>
      <c r="DC207" s="125">
        <f>DC95/293.07*(1/(VLOOKUP($BM207,'Fuel economy adjusted factor'!$A$2:$L$52,5,FALSE)*m2k))</f>
        <v>5.6165842968390445</v>
      </c>
      <c r="DD207" s="125">
        <f>DD95/293.07*(1/(VLOOKUP($BM207,'Fuel economy adjusted factor'!$A$2:$L$52,5,FALSE)*m2k))</f>
        <v>5.6165842968390445</v>
      </c>
      <c r="DE207" s="125">
        <f>DE95/293.07*(1/(VLOOKUP($BM207,'Fuel economy adjusted factor'!$A$2:$L$52,5,FALSE)*m2k))</f>
        <v>5.7774278892765025</v>
      </c>
      <c r="DF207" s="125">
        <f>DF95/293.07*(1/(VLOOKUP($BM207,'Fuel economy adjusted factor'!$A$2:$L$52,5,FALSE)*m2k))</f>
        <v>5.7774278892765025</v>
      </c>
      <c r="DG207" s="125">
        <f>DG95/293.07*(1/(VLOOKUP($BM207,'Fuel economy adjusted factor'!$A$2:$L$52,5,FALSE)*m2k))</f>
        <v>5.7774278892765025</v>
      </c>
      <c r="DH207" s="125">
        <f>DH95/293.07*(1/(VLOOKUP($BM207,'Fuel economy adjusted factor'!$A$2:$L$52,5,FALSE)*m2k))</f>
        <v>5.7774278892765025</v>
      </c>
      <c r="DI207" s="125">
        <f>DI95/293.07*(1/(VLOOKUP($BM207,'Fuel economy adjusted factor'!$A$2:$L$52,5,FALSE)*m2k))</f>
        <v>5.7774278892765025</v>
      </c>
      <c r="DJ207" s="125">
        <f>DJ95/293.07*(1/(VLOOKUP($BM207,'Fuel economy adjusted factor'!$A$2:$L$52,5,FALSE)*m2k))</f>
        <v>6.0778541395188803</v>
      </c>
      <c r="DK207" s="125">
        <f>DK95/293.07*(1/(VLOOKUP($BM207,'Fuel economy adjusted factor'!$A$2:$L$52,5,FALSE)*m2k))</f>
        <v>6.0778541395188803</v>
      </c>
      <c r="DL207" s="125">
        <f>DL95/293.07*(1/(VLOOKUP($BM207,'Fuel economy adjusted factor'!$A$2:$L$52,5,FALSE)*m2k))</f>
        <v>6.0778541395188803</v>
      </c>
      <c r="DM207" s="125">
        <f>DM95/293.07*(1/(VLOOKUP($BM207,'Fuel economy adjusted factor'!$A$2:$L$52,5,FALSE)*m2k))</f>
        <v>6.0778541395188803</v>
      </c>
      <c r="DN207" s="125">
        <f>DN95/293.07*(1/(VLOOKUP($BM207,'Fuel economy adjusted factor'!$A$2:$L$52,5,FALSE)*m2k))</f>
        <v>6.0778541395188803</v>
      </c>
      <c r="DO207" s="125">
        <f>DO95/293.07*(1/(VLOOKUP($BM207,'Fuel economy adjusted factor'!$A$2:$L$52,5,FALSE)*m2k))</f>
        <v>6.2765976589099921</v>
      </c>
      <c r="DP207" s="125">
        <f>DP95/293.07*(1/(VLOOKUP($BM207,'Fuel economy adjusted factor'!$A$2:$L$52,5,FALSE)*m2k))</f>
        <v>6.2765976589099921</v>
      </c>
      <c r="DQ207" s="125">
        <f>DQ95/293.07*(1/(VLOOKUP($BM207,'Fuel economy adjusted factor'!$A$2:$L$52,5,FALSE)*m2k))</f>
        <v>6.2765976589099921</v>
      </c>
      <c r="DR207" s="125">
        <f>DR95/293.07*(1/(VLOOKUP($BM207,'Fuel economy adjusted factor'!$A$2:$L$52,5,FALSE)*m2k))</f>
        <v>6.2765976589099921</v>
      </c>
      <c r="DS207" s="125">
        <f>DS95/293.07*(1/(VLOOKUP($BM207,'Fuel economy adjusted factor'!$A$2:$L$52,5,FALSE)*m2k))</f>
        <v>6.2765976589099921</v>
      </c>
      <c r="DT207" s="125">
        <f>DT95/293.07*(1/(VLOOKUP($BM207,'Fuel economy adjusted factor'!$A$2:$L$52,5,FALSE)*m2k))</f>
        <v>6.528955709113589</v>
      </c>
      <c r="DU207" s="98" cm="1">
        <f t="array" ref="DU207">SUMPRODUCT(INDEX(CS207:DT207,,'TCO Inputs'!$AZ$12-2023+_xlfn.SEQUENCE('TCO Inputs'!$AZ$13))*INDEX('VKT US'!C97:AA97,,_xlfn.SEQUENCE('TCO Inputs'!$AZ$13)))*m2k*CONVERT(0.9072,"g","ton")</f>
        <v>5.212173473569484</v>
      </c>
      <c r="DW207" s="123" t="s">
        <v>217</v>
      </c>
      <c r="DX207" s="125">
        <f>DX95/293.07*(1/(VLOOKUP($BM207,'Fuel economy adjusted factor'!$A$2:$L$52,5,FALSE)*m2k))/'TCO Inputs'!$AZ$84</f>
        <v>186.44094577360454</v>
      </c>
      <c r="DY207" s="125">
        <f>DY95/293.07*(1/(VLOOKUP($BM207,'Fuel economy adjusted factor'!$A$2:$L$52,5,FALSE)*m2k))/'TCO Inputs'!$AZ$84</f>
        <v>186.44094577360454</v>
      </c>
      <c r="DZ207" s="125">
        <f>DZ95/293.07*(1/(VLOOKUP($BM207,'Fuel economy adjusted factor'!$A$2:$L$52,5,FALSE)*m2k))/'TCO Inputs'!$AZ$84</f>
        <v>163.11311461588372</v>
      </c>
      <c r="EA207" s="125">
        <f>EA95/293.07*(1/(VLOOKUP($BM207,'Fuel economy adjusted factor'!$A$2:$L$52,5,FALSE)*m2k))/'TCO Inputs'!$AZ$84</f>
        <v>163.11311461588372</v>
      </c>
      <c r="EB207" s="125">
        <f>EB95/293.07*(1/(VLOOKUP($BM207,'Fuel economy adjusted factor'!$A$2:$L$52,5,FALSE)*m2k))/'TCO Inputs'!$AZ$84</f>
        <v>163.11311461588372</v>
      </c>
      <c r="EC207" s="125">
        <f>EC95/293.07*(1/(VLOOKUP($BM207,'Fuel economy adjusted factor'!$A$2:$L$52,5,FALSE)*m2k))/'TCO Inputs'!$AZ$84</f>
        <v>163.11311461588372</v>
      </c>
      <c r="ED207" s="125">
        <f>ED95/293.07*(1/(VLOOKUP($BM207,'Fuel economy adjusted factor'!$A$2:$L$52,5,FALSE)*m2k))/'TCO Inputs'!$AZ$84</f>
        <v>163.11311461588372</v>
      </c>
      <c r="EE207" s="125">
        <f>EE95/293.07*(1/(VLOOKUP($BM207,'Fuel economy adjusted factor'!$A$2:$L$52,5,FALSE)*m2k))/'TCO Inputs'!$AZ$84</f>
        <v>101.48271483039869</v>
      </c>
      <c r="EF207" s="125">
        <f>EF95/293.07*(1/(VLOOKUP($BM207,'Fuel economy adjusted factor'!$A$2:$L$52,5,FALSE)*m2k))/'TCO Inputs'!$AZ$84</f>
        <v>101.48271483039869</v>
      </c>
      <c r="EG207" s="125">
        <f>EG95/293.07*(1/(VLOOKUP($BM207,'Fuel economy adjusted factor'!$A$2:$L$52,5,FALSE)*m2k))/'TCO Inputs'!$AZ$84</f>
        <v>101.48271483039869</v>
      </c>
      <c r="EH207" s="125">
        <f>EH95/293.07*(1/(VLOOKUP($BM207,'Fuel economy adjusted factor'!$A$2:$L$52,5,FALSE)*m2k))/'TCO Inputs'!$AZ$84</f>
        <v>101.48271483039869</v>
      </c>
      <c r="EI207" s="125">
        <f>EI95/293.07*(1/(VLOOKUP($BM207,'Fuel economy adjusted factor'!$A$2:$L$52,5,FALSE)*m2k))/'TCO Inputs'!$AZ$84</f>
        <v>101.48271483039869</v>
      </c>
      <c r="EJ207" s="125">
        <f>EJ95/293.07*(1/(VLOOKUP($BM207,'Fuel economy adjusted factor'!$A$2:$L$52,5,FALSE)*m2k))/'TCO Inputs'!$AZ$84</f>
        <v>90.360617986166176</v>
      </c>
      <c r="EK207" s="125">
        <f>EK95/293.07*(1/(VLOOKUP($BM207,'Fuel economy adjusted factor'!$A$2:$L$52,5,FALSE)*m2k))/'TCO Inputs'!$AZ$84</f>
        <v>90.360617986166176</v>
      </c>
      <c r="EL207" s="125">
        <f>EL95/293.07*(1/(VLOOKUP($BM207,'Fuel economy adjusted factor'!$A$2:$L$52,5,FALSE)*m2k))/'TCO Inputs'!$AZ$84</f>
        <v>90.360617986166176</v>
      </c>
      <c r="EM207" s="125">
        <f>EM95/293.07*(1/(VLOOKUP($BM207,'Fuel economy adjusted factor'!$A$2:$L$52,5,FALSE)*m2k))/'TCO Inputs'!$AZ$84</f>
        <v>90.360617986166176</v>
      </c>
      <c r="EN207" s="125">
        <f>EN95/293.07*(1/(VLOOKUP($BM207,'Fuel economy adjusted factor'!$A$2:$L$52,5,FALSE)*m2k))/'TCO Inputs'!$AZ$84</f>
        <v>90.360617986166176</v>
      </c>
      <c r="EO207" s="125">
        <f>EO95/293.07*(1/(VLOOKUP($BM207,'Fuel economy adjusted factor'!$A$2:$L$52,5,FALSE)*m2k))/'TCO Inputs'!$AZ$84</f>
        <v>87.802285540523485</v>
      </c>
      <c r="EP207" s="125">
        <f>EP95/293.07*(1/(VLOOKUP($BM207,'Fuel economy adjusted factor'!$A$2:$L$52,5,FALSE)*m2k))/'TCO Inputs'!$AZ$84</f>
        <v>87.802285540523485</v>
      </c>
      <c r="EQ207" s="125">
        <f>EQ95/293.07*(1/(VLOOKUP($BM207,'Fuel economy adjusted factor'!$A$2:$L$52,5,FALSE)*m2k))/'TCO Inputs'!$AZ$84</f>
        <v>87.802285540523485</v>
      </c>
      <c r="ER207" s="125">
        <f>ER95/293.07*(1/(VLOOKUP($BM207,'Fuel economy adjusted factor'!$A$2:$L$52,5,FALSE)*m2k))/'TCO Inputs'!$AZ$84</f>
        <v>87.802285540523485</v>
      </c>
      <c r="ES207" s="125">
        <f>ES95/293.07*(1/(VLOOKUP($BM207,'Fuel economy adjusted factor'!$A$2:$L$52,5,FALSE)*m2k))/'TCO Inputs'!$AZ$84</f>
        <v>87.802285540523485</v>
      </c>
      <c r="ET207" s="125">
        <f>ET95/293.07*(1/(VLOOKUP($BM207,'Fuel economy adjusted factor'!$A$2:$L$52,5,FALSE)*m2k))/'TCO Inputs'!$AZ$84</f>
        <v>84.694892554565314</v>
      </c>
      <c r="EU207" s="125">
        <f>EU95/293.07*(1/(VLOOKUP($BM207,'Fuel economy adjusted factor'!$A$2:$L$52,5,FALSE)*m2k))/'TCO Inputs'!$AZ$84</f>
        <v>84.694892554565314</v>
      </c>
      <c r="EV207" s="125">
        <f>EV95/293.07*(1/(VLOOKUP($BM207,'Fuel economy adjusted factor'!$A$2:$L$52,5,FALSE)*m2k))/'TCO Inputs'!$AZ$84</f>
        <v>84.694892554565314</v>
      </c>
      <c r="EW207" s="125">
        <f>EW95/293.07*(1/(VLOOKUP($BM207,'Fuel economy adjusted factor'!$A$2:$L$52,5,FALSE)*m2k))/'TCO Inputs'!$AZ$84</f>
        <v>84.694892554565314</v>
      </c>
      <c r="EX207" s="125">
        <f>EX95/293.07*(1/(VLOOKUP($BM207,'Fuel economy adjusted factor'!$A$2:$L$52,5,FALSE)*m2k))/'TCO Inputs'!$AZ$84</f>
        <v>84.694892554565314</v>
      </c>
      <c r="EY207" s="125">
        <f>EY95/293.07*(1/(VLOOKUP($BM207,'Fuel economy adjusted factor'!$A$2:$L$52,5,FALSE)*m2k))/'TCO Inputs'!$AZ$84</f>
        <v>79.742814156180245</v>
      </c>
      <c r="EZ207" s="98" cm="1">
        <f t="array" ref="EZ207">SUMPRODUCT(INDEX(DX207:EY207,,'TCO Inputs'!$AZ$12-2023+_xlfn.SEQUENCE('TCO Inputs'!$AZ$13))*INDEX('VKT US'!C97:AA97,,_xlfn.SEQUENCE('TCO Inputs'!$AZ$13)))*m2k*CONVERT(0.9072,"g","ton")</f>
        <v>41.655090019752244</v>
      </c>
      <c r="FB207" s="123" t="s">
        <v>217</v>
      </c>
      <c r="FC207" s="125">
        <f>FC95/293.07*(1/(VLOOKUP($BM207,'Fuel economy adjusted factor'!$A$2:$L$52,5,FALSE)*m2k))/'TCO Inputs'!$AZ$84</f>
        <v>201.54471905408181</v>
      </c>
      <c r="FD207" s="125">
        <f>FD95/293.07*(1/(VLOOKUP($BM207,'Fuel economy adjusted factor'!$A$2:$L$52,5,FALSE)*m2k))/'TCO Inputs'!$AZ$84</f>
        <v>201.54471905408181</v>
      </c>
      <c r="FE207" s="125">
        <f>FE95/293.07*(1/(VLOOKUP($BM207,'Fuel economy adjusted factor'!$A$2:$L$52,5,FALSE)*m2k))/'TCO Inputs'!$AZ$84</f>
        <v>175.7138565123328</v>
      </c>
      <c r="FF207" s="125">
        <f>FF95/293.07*(1/(VLOOKUP($BM207,'Fuel economy adjusted factor'!$A$2:$L$52,5,FALSE)*m2k))/'TCO Inputs'!$AZ$84</f>
        <v>175.7138565123328</v>
      </c>
      <c r="FG207" s="125">
        <f>FG95/293.07*(1/(VLOOKUP($BM207,'Fuel economy adjusted factor'!$A$2:$L$52,5,FALSE)*m2k))/'TCO Inputs'!$AZ$84</f>
        <v>175.7138565123328</v>
      </c>
      <c r="FH207" s="125">
        <f>FH95/293.07*(1/(VLOOKUP($BM207,'Fuel economy adjusted factor'!$A$2:$L$52,5,FALSE)*m2k))/'TCO Inputs'!$AZ$84</f>
        <v>175.7138565123328</v>
      </c>
      <c r="FI207" s="125">
        <f>FI95/293.07*(1/(VLOOKUP($BM207,'Fuel economy adjusted factor'!$A$2:$L$52,5,FALSE)*m2k))/'TCO Inputs'!$AZ$84</f>
        <v>175.7138565123328</v>
      </c>
      <c r="FJ207" s="125">
        <f>FJ95/293.07*(1/(VLOOKUP($BM207,'Fuel economy adjusted factor'!$A$2:$L$52,5,FALSE)*m2k))/'TCO Inputs'!$AZ$84</f>
        <v>111.14065023378994</v>
      </c>
      <c r="FK207" s="125">
        <f>FK95/293.07*(1/(VLOOKUP($BM207,'Fuel economy adjusted factor'!$A$2:$L$52,5,FALSE)*m2k))/'TCO Inputs'!$AZ$84</f>
        <v>111.14065023378994</v>
      </c>
      <c r="FL207" s="125">
        <f>FL95/293.07*(1/(VLOOKUP($BM207,'Fuel economy adjusted factor'!$A$2:$L$52,5,FALSE)*m2k))/'TCO Inputs'!$AZ$84</f>
        <v>111.14065023378994</v>
      </c>
      <c r="FM207" s="125">
        <f>FM95/293.07*(1/(VLOOKUP($BM207,'Fuel economy adjusted factor'!$A$2:$L$52,5,FALSE)*m2k))/'TCO Inputs'!$AZ$84</f>
        <v>111.14065023378994</v>
      </c>
      <c r="FN207" s="125">
        <f>FN95/293.07*(1/(VLOOKUP($BM207,'Fuel economy adjusted factor'!$A$2:$L$52,5,FALSE)*m2k))/'TCO Inputs'!$AZ$84</f>
        <v>111.14065023378994</v>
      </c>
      <c r="FO207" s="125">
        <f>FO95/293.07*(1/(VLOOKUP($BM207,'Fuel economy adjusted factor'!$A$2:$L$52,5,FALSE)*m2k))/'TCO Inputs'!$AZ$84</f>
        <v>98.438523057714249</v>
      </c>
      <c r="FP207" s="125">
        <f>FP95/293.07*(1/(VLOOKUP($BM207,'Fuel economy adjusted factor'!$A$2:$L$52,5,FALSE)*m2k))/'TCO Inputs'!$AZ$84</f>
        <v>98.438523057714249</v>
      </c>
      <c r="FQ207" s="125">
        <f>FQ95/293.07*(1/(VLOOKUP($BM207,'Fuel economy adjusted factor'!$A$2:$L$52,5,FALSE)*m2k))/'TCO Inputs'!$AZ$84</f>
        <v>98.438523057714249</v>
      </c>
      <c r="FR207" s="125">
        <f>FR95/293.07*(1/(VLOOKUP($BM207,'Fuel economy adjusted factor'!$A$2:$L$52,5,FALSE)*m2k))/'TCO Inputs'!$AZ$84</f>
        <v>98.438523057714249</v>
      </c>
      <c r="FS207" s="125">
        <f>FS95/293.07*(1/(VLOOKUP($BM207,'Fuel economy adjusted factor'!$A$2:$L$52,5,FALSE)*m2k))/'TCO Inputs'!$AZ$84</f>
        <v>98.438523057714249</v>
      </c>
      <c r="FT207" s="125">
        <f>FT95/293.07*(1/(VLOOKUP($BM207,'Fuel economy adjusted factor'!$A$2:$L$52,5,FALSE)*m2k))/'TCO Inputs'!$AZ$84</f>
        <v>96.190929910667364</v>
      </c>
      <c r="FU207" s="125">
        <f>FU95/293.07*(1/(VLOOKUP($BM207,'Fuel economy adjusted factor'!$A$2:$L$52,5,FALSE)*m2k))/'TCO Inputs'!$AZ$84</f>
        <v>96.190929910667364</v>
      </c>
      <c r="FV207" s="125">
        <f>FV95/293.07*(1/(VLOOKUP($BM207,'Fuel economy adjusted factor'!$A$2:$L$52,5,FALSE)*m2k))/'TCO Inputs'!$AZ$84</f>
        <v>96.190929910667364</v>
      </c>
      <c r="FW207" s="125">
        <f>FW95/293.07*(1/(VLOOKUP($BM207,'Fuel economy adjusted factor'!$A$2:$L$52,5,FALSE)*m2k))/'TCO Inputs'!$AZ$84</f>
        <v>96.190929910667364</v>
      </c>
      <c r="FX207" s="125">
        <f>FX95/293.07*(1/(VLOOKUP($BM207,'Fuel economy adjusted factor'!$A$2:$L$52,5,FALSE)*m2k))/'TCO Inputs'!$AZ$84</f>
        <v>96.190929910667364</v>
      </c>
      <c r="FY207" s="125">
        <f>FY95/293.07*(1/(VLOOKUP($BM207,'Fuel economy adjusted factor'!$A$2:$L$52,5,FALSE)*m2k))/'TCO Inputs'!$AZ$84</f>
        <v>93.078270156936384</v>
      </c>
      <c r="FZ207" s="125">
        <f>FZ95/293.07*(1/(VLOOKUP($BM207,'Fuel economy adjusted factor'!$A$2:$L$52,5,FALSE)*m2k))/'TCO Inputs'!$AZ$84</f>
        <v>93.078270156936384</v>
      </c>
      <c r="GA207" s="125">
        <f>GA95/293.07*(1/(VLOOKUP($BM207,'Fuel economy adjusted factor'!$A$2:$L$52,5,FALSE)*m2k))/'TCO Inputs'!$AZ$84</f>
        <v>93.078270156936384</v>
      </c>
      <c r="GB207" s="125">
        <f>GB95/293.07*(1/(VLOOKUP($BM207,'Fuel economy adjusted factor'!$A$2:$L$52,5,FALSE)*m2k))/'TCO Inputs'!$AZ$84</f>
        <v>93.078270156936384</v>
      </c>
      <c r="GC207" s="125">
        <f>GC95/293.07*(1/(VLOOKUP($BM207,'Fuel economy adjusted factor'!$A$2:$L$52,5,FALSE)*m2k))/'TCO Inputs'!$AZ$84</f>
        <v>93.078270156936384</v>
      </c>
      <c r="GD207" s="125">
        <f>GD95/293.07*(1/(VLOOKUP($BM207,'Fuel economy adjusted factor'!$A$2:$L$52,5,FALSE)*m2k))/'TCO Inputs'!$AZ$84</f>
        <v>87.957655189821409</v>
      </c>
      <c r="GE207" s="98" cm="1">
        <f t="array" ref="GE207">SUMPRODUCT(INDEX(FC207:GD207,,'TCO Inputs'!$AZ$12-2023+_xlfn.SEQUENCE('TCO Inputs'!$AZ$13))*INDEX('VKT US'!C97:AA97,,_xlfn.SEQUENCE('TCO Inputs'!$AZ$13)))*m2k*CONVERT(0.9072,"g","ton")</f>
        <v>45.129545786996651</v>
      </c>
      <c r="GH207" s="123" t="s">
        <v>217</v>
      </c>
      <c r="GI207" s="125">
        <f>GI95/293.07*(1/(VLOOKUP($GH207,'Fuel economy adjusted factor'!$A$2:$L$52,5,FALSE)*m2k))/'TCO Inputs'!$AZ$84</f>
        <v>354.80204214145107</v>
      </c>
      <c r="GJ207" s="125">
        <f>GJ95/293.07*(1/(VLOOKUP($GH207,'Fuel economy adjusted factor'!$A$2:$L$52,5,FALSE)*m2k))/'TCO Inputs'!$AZ$84</f>
        <v>354.80204214145107</v>
      </c>
      <c r="GK207" s="125">
        <f>GK95/293.07*(1/(VLOOKUP($GH207,'Fuel economy adjusted factor'!$A$2:$L$52,5,FALSE)*m2k))/'TCO Inputs'!$AZ$84</f>
        <v>354.80204214145107</v>
      </c>
      <c r="GL207" s="125">
        <f>GL95/293.07*(1/(VLOOKUP($GH207,'Fuel economy adjusted factor'!$A$2:$L$52,5,FALSE)*m2k))/'TCO Inputs'!$AZ$84</f>
        <v>354.80204214145107</v>
      </c>
      <c r="GM207" s="125">
        <f>GM95/293.07*(1/(VLOOKUP($GH207,'Fuel economy adjusted factor'!$A$2:$L$52,5,FALSE)*m2k))/'TCO Inputs'!$AZ$84</f>
        <v>354.80204214145107</v>
      </c>
      <c r="GN207" s="125">
        <f>GN95/293.07*(1/(VLOOKUP($GH207,'Fuel economy adjusted factor'!$A$2:$L$52,5,FALSE)*m2k))/'TCO Inputs'!$AZ$84</f>
        <v>354.80204214145107</v>
      </c>
      <c r="GO207" s="125">
        <f>GO95/293.07*(1/(VLOOKUP($GH207,'Fuel economy adjusted factor'!$A$2:$L$52,5,FALSE)*m2k))/'TCO Inputs'!$AZ$84</f>
        <v>354.80204214145107</v>
      </c>
      <c r="GP207" s="125">
        <f>GP95/293.07*(1/(VLOOKUP($GH207,'Fuel economy adjusted factor'!$A$2:$L$52,5,FALSE)*m2k))/'TCO Inputs'!$AZ$84</f>
        <v>354.80204214145107</v>
      </c>
      <c r="GQ207" s="125">
        <f>GQ95/293.07*(1/(VLOOKUP($GH207,'Fuel economy adjusted factor'!$A$2:$L$52,5,FALSE)*m2k))/'TCO Inputs'!$AZ$84</f>
        <v>354.80204214145107</v>
      </c>
      <c r="GR207" s="125">
        <f>GR95/293.07*(1/(VLOOKUP($GH207,'Fuel economy adjusted factor'!$A$2:$L$52,5,FALSE)*m2k))/'TCO Inputs'!$AZ$84</f>
        <v>354.80204214145107</v>
      </c>
      <c r="GS207" s="125">
        <f>GS95/293.07*(1/(VLOOKUP($GH207,'Fuel economy adjusted factor'!$A$2:$L$52,5,FALSE)*m2k))/'TCO Inputs'!$AZ$84</f>
        <v>354.80204214145107</v>
      </c>
      <c r="GT207" s="125">
        <f>GT95/293.07*(1/(VLOOKUP($GH207,'Fuel economy adjusted factor'!$A$2:$L$52,5,FALSE)*m2k))/'TCO Inputs'!$AZ$84</f>
        <v>354.80204214145107</v>
      </c>
      <c r="GU207" s="125">
        <f>GU95/293.07*(1/(VLOOKUP($GH207,'Fuel economy adjusted factor'!$A$2:$L$52,5,FALSE)*m2k))/'TCO Inputs'!$AZ$84</f>
        <v>354.80204214145107</v>
      </c>
      <c r="GV207" s="125">
        <f>GV95/293.07*(1/(VLOOKUP($GH207,'Fuel economy adjusted factor'!$A$2:$L$52,5,FALSE)*m2k))/'TCO Inputs'!$AZ$84</f>
        <v>354.80204214145107</v>
      </c>
      <c r="GW207" s="125">
        <f>GW95/293.07*(1/(VLOOKUP($GH207,'Fuel economy adjusted factor'!$A$2:$L$52,5,FALSE)*m2k))/'TCO Inputs'!$AZ$84</f>
        <v>354.80204214145107</v>
      </c>
      <c r="GX207" s="125">
        <f>GX95/293.07*(1/(VLOOKUP($GH207,'Fuel economy adjusted factor'!$A$2:$L$52,5,FALSE)*m2k))/'TCO Inputs'!$AZ$84</f>
        <v>354.80204214145107</v>
      </c>
      <c r="GY207" s="125">
        <f>GY95/293.07*(1/(VLOOKUP($GH207,'Fuel economy adjusted factor'!$A$2:$L$52,5,FALSE)*m2k))/'TCO Inputs'!$AZ$84</f>
        <v>354.80204214145107</v>
      </c>
      <c r="GZ207" s="125">
        <f>GZ95/293.07*(1/(VLOOKUP($GH207,'Fuel economy adjusted factor'!$A$2:$L$52,5,FALSE)*m2k))/'TCO Inputs'!$AZ$84</f>
        <v>354.80204214145107</v>
      </c>
      <c r="HA207" s="125">
        <f>HA95/293.07*(1/(VLOOKUP($GH207,'Fuel economy adjusted factor'!$A$2:$L$52,5,FALSE)*m2k))/'TCO Inputs'!$AZ$84</f>
        <v>354.80204214145107</v>
      </c>
      <c r="HB207" s="125">
        <f>HB95/293.07*(1/(VLOOKUP($GH207,'Fuel economy adjusted factor'!$A$2:$L$52,5,FALSE)*m2k))/'TCO Inputs'!$AZ$84</f>
        <v>354.80204214145107</v>
      </c>
      <c r="HC207" s="125">
        <f>HC95/293.07*(1/(VLOOKUP($GH207,'Fuel economy adjusted factor'!$A$2:$L$52,5,FALSE)*m2k))/'TCO Inputs'!$AZ$84</f>
        <v>354.80204214145107</v>
      </c>
      <c r="HD207" s="125">
        <f>HD95/293.07*(1/(VLOOKUP($GH207,'Fuel economy adjusted factor'!$A$2:$L$52,5,FALSE)*m2k))/'TCO Inputs'!$AZ$84</f>
        <v>354.80204214145107</v>
      </c>
      <c r="HE207" s="125">
        <f>HE95/293.07*(1/(VLOOKUP($GH207,'Fuel economy adjusted factor'!$A$2:$L$52,5,FALSE)*m2k))/'TCO Inputs'!$AZ$84</f>
        <v>354.80204214145107</v>
      </c>
      <c r="HF207" s="125">
        <f>HF95/293.07*(1/(VLOOKUP($GH207,'Fuel economy adjusted factor'!$A$2:$L$52,5,FALSE)*m2k))/'TCO Inputs'!$AZ$84</f>
        <v>354.80204214145107</v>
      </c>
      <c r="HG207" s="125">
        <f>HG95/293.07*(1/(VLOOKUP($GH207,'Fuel economy adjusted factor'!$A$2:$L$52,5,FALSE)*m2k))/'TCO Inputs'!$AZ$84</f>
        <v>354.80204214145107</v>
      </c>
      <c r="HH207" s="125">
        <f>HH95/293.07*(1/(VLOOKUP($GH207,'Fuel economy adjusted factor'!$A$2:$L$52,5,FALSE)*m2k))/'TCO Inputs'!$AZ$84</f>
        <v>354.80204214145107</v>
      </c>
      <c r="HI207" s="125">
        <f>HI95/293.07*(1/(VLOOKUP($GH207,'Fuel economy adjusted factor'!$A$2:$L$52,5,FALSE)*m2k))/'TCO Inputs'!$AZ$84</f>
        <v>354.80204214145107</v>
      </c>
      <c r="HJ207" s="125">
        <f>HJ95/293.07*(1/(VLOOKUP($GH207,'Fuel economy adjusted factor'!$A$2:$L$52,5,FALSE)*m2k))/'TCO Inputs'!$AZ$84</f>
        <v>354.80204214145107</v>
      </c>
      <c r="HK207" s="98" cm="1">
        <f t="array" ref="HK207">SUMPRODUCT(INDEX(GI207:HJ207,,'TCO Inputs'!$AZ$12-2023+_xlfn.SEQUENCE('TCO Inputs'!$AZ$13))*INDEX('VKT US'!C97:AA97,,_xlfn.SEQUENCE('TCO Inputs'!$AZ$13)))*m2k*CONVERT(0.9072,"g","ton")</f>
        <v>107.09322214810878</v>
      </c>
    </row>
    <row r="208" spans="26:219" x14ac:dyDescent="0.25">
      <c r="Z208" s="123" t="s">
        <v>218</v>
      </c>
      <c r="AA208" s="125">
        <f>AA96/293.07*(1/(VLOOKUP($Z208,'Fuel economy adjusted factor'!$A$2:$L$52,5,FALSE)*m2k))/'TCO Inputs'!$AZ$84</f>
        <v>77.330469936443791</v>
      </c>
      <c r="AB208" s="125">
        <f>AB96/293.07*(1/(VLOOKUP($Z208,'Fuel economy adjusted factor'!$A$2:$L$52,5,FALSE)*m2k))/'TCO Inputs'!$AZ$84</f>
        <v>77.330469936443791</v>
      </c>
      <c r="AC208" s="125">
        <f>AC96/293.07*(1/(VLOOKUP($Z208,'Fuel economy adjusted factor'!$A$2:$L$52,5,FALSE)*m2k))/'TCO Inputs'!$AZ$84</f>
        <v>67.922875987439824</v>
      </c>
      <c r="AD208" s="125">
        <f>AD96/293.07*(1/(VLOOKUP($Z208,'Fuel economy adjusted factor'!$A$2:$L$52,5,FALSE)*m2k))/'TCO Inputs'!$AZ$84</f>
        <v>67.922875987439824</v>
      </c>
      <c r="AE208" s="125">
        <f>AE96/293.07*(1/(VLOOKUP($Z208,'Fuel economy adjusted factor'!$A$2:$L$52,5,FALSE)*m2k))/'TCO Inputs'!$AZ$84</f>
        <v>67.922875987439824</v>
      </c>
      <c r="AF208" s="125">
        <f>AF96/293.07*(1/(VLOOKUP($Z208,'Fuel economy adjusted factor'!$A$2:$L$52,5,FALSE)*m2k))/'TCO Inputs'!$AZ$84</f>
        <v>67.922875987439824</v>
      </c>
      <c r="AG208" s="125">
        <f>AG96/293.07*(1/(VLOOKUP($Z208,'Fuel economy adjusted factor'!$A$2:$L$52,5,FALSE)*m2k))/'TCO Inputs'!$AZ$84</f>
        <v>67.922875987439824</v>
      </c>
      <c r="AH208" s="125">
        <f>AH96/293.07*(1/(VLOOKUP($Z208,'Fuel economy adjusted factor'!$A$2:$L$52,5,FALSE)*m2k))/'TCO Inputs'!$AZ$84</f>
        <v>25.679882861809777</v>
      </c>
      <c r="AI208" s="125">
        <f>AI96/293.07*(1/(VLOOKUP($Z208,'Fuel economy adjusted factor'!$A$2:$L$52,5,FALSE)*m2k))/'TCO Inputs'!$AZ$84</f>
        <v>25.679882861809777</v>
      </c>
      <c r="AJ208" s="125">
        <f>AJ96/293.07*(1/(VLOOKUP($Z208,'Fuel economy adjusted factor'!$A$2:$L$52,5,FALSE)*m2k))/'TCO Inputs'!$AZ$84</f>
        <v>25.679882861809777</v>
      </c>
      <c r="AK208" s="125">
        <f>AK96/293.07*(1/(VLOOKUP($Z208,'Fuel economy adjusted factor'!$A$2:$L$52,5,FALSE)*m2k))/'TCO Inputs'!$AZ$84</f>
        <v>25.679882861809777</v>
      </c>
      <c r="AL208" s="125">
        <f>AL96/293.07*(1/(VLOOKUP($Z208,'Fuel economy adjusted factor'!$A$2:$L$52,5,FALSE)*m2k))/'TCO Inputs'!$AZ$84</f>
        <v>25.679882861809777</v>
      </c>
      <c r="AM208" s="125">
        <f>AM96/293.07*(1/(VLOOKUP($Z208,'Fuel economy adjusted factor'!$A$2:$L$52,5,FALSE)*m2k))/'TCO Inputs'!$AZ$84</f>
        <v>21.583950186559296</v>
      </c>
      <c r="AN208" s="125">
        <f>AN96/293.07*(1/(VLOOKUP($Z208,'Fuel economy adjusted factor'!$A$2:$L$52,5,FALSE)*m2k))/'TCO Inputs'!$AZ$84</f>
        <v>21.583950186559296</v>
      </c>
      <c r="AO208" s="125">
        <f>AO96/293.07*(1/(VLOOKUP($Z208,'Fuel economy adjusted factor'!$A$2:$L$52,5,FALSE)*m2k))/'TCO Inputs'!$AZ$84</f>
        <v>21.583950186559296</v>
      </c>
      <c r="AP208" s="125">
        <f>AP96/293.07*(1/(VLOOKUP($Z208,'Fuel economy adjusted factor'!$A$2:$L$52,5,FALSE)*m2k))/'TCO Inputs'!$AZ$84</f>
        <v>21.583950186559296</v>
      </c>
      <c r="AQ208" s="125">
        <f>AQ96/293.07*(1/(VLOOKUP($Z208,'Fuel economy adjusted factor'!$A$2:$L$52,5,FALSE)*m2k))/'TCO Inputs'!$AZ$84</f>
        <v>21.583950186559296</v>
      </c>
      <c r="AR208" s="125">
        <f>AR96/293.07*(1/(VLOOKUP($Z208,'Fuel economy adjusted factor'!$A$2:$L$52,5,FALSE)*m2k))/'TCO Inputs'!$AZ$84</f>
        <v>21.583950186559296</v>
      </c>
      <c r="AS208" s="125">
        <f>AS96/293.07*(1/(VLOOKUP($Z208,'Fuel economy adjusted factor'!$A$2:$L$52,5,FALSE)*m2k))/'TCO Inputs'!$AZ$84</f>
        <v>21.583950186559296</v>
      </c>
      <c r="AT208" s="125">
        <f>AT96/293.07*(1/(VLOOKUP($Z208,'Fuel economy adjusted factor'!$A$2:$L$52,5,FALSE)*m2k))/'TCO Inputs'!$AZ$84</f>
        <v>21.583950186559296</v>
      </c>
      <c r="AU208" s="125">
        <f>AU96/293.07*(1/(VLOOKUP($Z208,'Fuel economy adjusted factor'!$A$2:$L$52,5,FALSE)*m2k))/'TCO Inputs'!$AZ$84</f>
        <v>21.583950186559296</v>
      </c>
      <c r="AV208" s="125">
        <f>AV96/293.07*(1/(VLOOKUP($Z208,'Fuel economy adjusted factor'!$A$2:$L$52,5,FALSE)*m2k))/'TCO Inputs'!$AZ$84</f>
        <v>21.583950186559296</v>
      </c>
      <c r="AW208" s="125">
        <f>AW96/293.07*(1/(VLOOKUP($Z208,'Fuel economy adjusted factor'!$A$2:$L$52,5,FALSE)*m2k))/'TCO Inputs'!$AZ$84</f>
        <v>21.685856848492634</v>
      </c>
      <c r="AX208" s="125">
        <f>AX96/293.07*(1/(VLOOKUP($Z208,'Fuel economy adjusted factor'!$A$2:$L$52,5,FALSE)*m2k))/'TCO Inputs'!$AZ$84</f>
        <v>21.685856848492634</v>
      </c>
      <c r="AY208" s="125">
        <f>AY96/293.07*(1/(VLOOKUP($Z208,'Fuel economy adjusted factor'!$A$2:$L$52,5,FALSE)*m2k))/'TCO Inputs'!$AZ$84</f>
        <v>21.685856848492634</v>
      </c>
      <c r="AZ208" s="125">
        <f>AZ96/293.07*(1/(VLOOKUP($Z208,'Fuel economy adjusted factor'!$A$2:$L$52,5,FALSE)*m2k))/'TCO Inputs'!$AZ$84</f>
        <v>21.685856848492634</v>
      </c>
      <c r="BA208" s="125">
        <f>BA96/293.07*(1/(VLOOKUP($Z208,'Fuel economy adjusted factor'!$A$2:$L$52,5,FALSE)*m2k))/'TCO Inputs'!$AZ$84</f>
        <v>21.685856848492634</v>
      </c>
      <c r="BB208" s="125">
        <f>BB96/293.07*(1/(VLOOKUP($Z208,'Fuel economy adjusted factor'!$A$2:$L$52,5,FALSE)*m2k))/'TCO Inputs'!$AZ$84</f>
        <v>21.813985107648591</v>
      </c>
      <c r="BC208" s="98" cm="1">
        <f t="array" ref="BC208">SUMPRODUCT(INDEX(AA208:BB208,,'TCO Inputs'!$AZ$12-2023+_xlfn.SEQUENCE('TCO Inputs'!$AZ$13))*INDEX('VKT US'!C98:AA98,,_xlfn.SEQUENCE('TCO Inputs'!$AZ$13)))*m2k*CONVERT(0.9072,"g","ton")</f>
        <v>18.71639519615076</v>
      </c>
      <c r="BM208" s="123" t="s">
        <v>218</v>
      </c>
      <c r="BN208" s="125">
        <f>BN96/293.07*(1/(VLOOKUP($BM208,'Fuel economy adjusted factor'!$A$2:$L$52,5,FALSE)*m2k))</f>
        <v>65.730899445977215</v>
      </c>
      <c r="BO208" s="125">
        <f>BO96/293.07*(1/(VLOOKUP($BM208,'Fuel economy adjusted factor'!$A$2:$L$52,5,FALSE)*m2k))</f>
        <v>65.730899445977215</v>
      </c>
      <c r="BP208" s="125">
        <f>BP96/293.07*(1/(VLOOKUP($BM208,'Fuel economy adjusted factor'!$A$2:$L$52,5,FALSE)*m2k))</f>
        <v>51.813846314614345</v>
      </c>
      <c r="BQ208" s="125">
        <f>BQ96/293.07*(1/(VLOOKUP($BM208,'Fuel economy adjusted factor'!$A$2:$L$52,5,FALSE)*m2k))</f>
        <v>51.813846314614345</v>
      </c>
      <c r="BR208" s="125">
        <f>BR96/293.07*(1/(VLOOKUP($BM208,'Fuel economy adjusted factor'!$A$2:$L$52,5,FALSE)*m2k))</f>
        <v>51.813846314614345</v>
      </c>
      <c r="BS208" s="125">
        <f>BS96/293.07*(1/(VLOOKUP($BM208,'Fuel economy adjusted factor'!$A$2:$L$52,5,FALSE)*m2k))</f>
        <v>51.813846314614345</v>
      </c>
      <c r="BT208" s="125">
        <f>BT96/293.07*(1/(VLOOKUP($BM208,'Fuel economy adjusted factor'!$A$2:$L$52,5,FALSE)*m2k))</f>
        <v>51.813846314614345</v>
      </c>
      <c r="BU208" s="125">
        <f>BU96/293.07*(1/(VLOOKUP($BM208,'Fuel economy adjusted factor'!$A$2:$L$52,5,FALSE)*m2k))</f>
        <v>2.9268666008959268</v>
      </c>
      <c r="BV208" s="125">
        <f>BV96/293.07*(1/(VLOOKUP($BM208,'Fuel economy adjusted factor'!$A$2:$L$52,5,FALSE)*m2k))</f>
        <v>2.9268666008959268</v>
      </c>
      <c r="BW208" s="125">
        <f>BW96/293.07*(1/(VLOOKUP($BM208,'Fuel economy adjusted factor'!$A$2:$L$52,5,FALSE)*m2k))</f>
        <v>2.9268666008959268</v>
      </c>
      <c r="BX208" s="125">
        <f>BX96/293.07*(1/(VLOOKUP($BM208,'Fuel economy adjusted factor'!$A$2:$L$52,5,FALSE)*m2k))</f>
        <v>2.9268666008959268</v>
      </c>
      <c r="BY208" s="125">
        <f>BY96/293.07*(1/(VLOOKUP($BM208,'Fuel economy adjusted factor'!$A$2:$L$52,5,FALSE)*m2k))</f>
        <v>2.9268666008959268</v>
      </c>
      <c r="BZ208" s="125">
        <f>BZ96/293.07*(1/(VLOOKUP($BM208,'Fuel economy adjusted factor'!$A$2:$L$52,5,FALSE)*m2k))</f>
        <v>3.0524918894079018</v>
      </c>
      <c r="CA208" s="125">
        <f>CA96/293.07*(1/(VLOOKUP($BM208,'Fuel economy adjusted factor'!$A$2:$L$52,5,FALSE)*m2k))</f>
        <v>3.0524918894079018</v>
      </c>
      <c r="CB208" s="125">
        <f>CB96/293.07*(1/(VLOOKUP($BM208,'Fuel economy adjusted factor'!$A$2:$L$52,5,FALSE)*m2k))</f>
        <v>3.0524918894079018</v>
      </c>
      <c r="CC208" s="125">
        <f>CC96/293.07*(1/(VLOOKUP($BM208,'Fuel economy adjusted factor'!$A$2:$L$52,5,FALSE)*m2k))</f>
        <v>3.0524918894079018</v>
      </c>
      <c r="CD208" s="125">
        <f>CD96/293.07*(1/(VLOOKUP($BM208,'Fuel economy adjusted factor'!$A$2:$L$52,5,FALSE)*m2k))</f>
        <v>3.0524918894079018</v>
      </c>
      <c r="CE208" s="125">
        <f>CE96/293.07*(1/(VLOOKUP($BM208,'Fuel economy adjusted factor'!$A$2:$L$52,5,FALSE)*m2k))</f>
        <v>3.095042390355506</v>
      </c>
      <c r="CF208" s="125">
        <f>CF96/293.07*(1/(VLOOKUP($BM208,'Fuel economy adjusted factor'!$A$2:$L$52,5,FALSE)*m2k))</f>
        <v>3.095042390355506</v>
      </c>
      <c r="CG208" s="125">
        <f>CG96/293.07*(1/(VLOOKUP($BM208,'Fuel economy adjusted factor'!$A$2:$L$52,5,FALSE)*m2k))</f>
        <v>3.095042390355506</v>
      </c>
      <c r="CH208" s="125">
        <f>CH96/293.07*(1/(VLOOKUP($BM208,'Fuel economy adjusted factor'!$A$2:$L$52,5,FALSE)*m2k))</f>
        <v>3.095042390355506</v>
      </c>
      <c r="CI208" s="125">
        <f>CI96/293.07*(1/(VLOOKUP($BM208,'Fuel economy adjusted factor'!$A$2:$L$52,5,FALSE)*m2k))</f>
        <v>3.095042390355506</v>
      </c>
      <c r="CJ208" s="125">
        <f>CJ96/293.07*(1/(VLOOKUP($BM208,'Fuel economy adjusted factor'!$A$2:$L$52,5,FALSE)*m2k))</f>
        <v>3.2039514106380644</v>
      </c>
      <c r="CK208" s="125">
        <f>CK96/293.07*(1/(VLOOKUP($BM208,'Fuel economy adjusted factor'!$A$2:$L$52,5,FALSE)*m2k))</f>
        <v>3.2039514106380644</v>
      </c>
      <c r="CL208" s="125">
        <f>CL96/293.07*(1/(VLOOKUP($BM208,'Fuel economy adjusted factor'!$A$2:$L$52,5,FALSE)*m2k))</f>
        <v>3.2039514106380644</v>
      </c>
      <c r="CM208" s="125">
        <f>CM96/293.07*(1/(VLOOKUP($BM208,'Fuel economy adjusted factor'!$A$2:$L$52,5,FALSE)*m2k))</f>
        <v>3.2039514106380644</v>
      </c>
      <c r="CN208" s="125">
        <f>CN96/293.07*(1/(VLOOKUP($BM208,'Fuel economy adjusted factor'!$A$2:$L$52,5,FALSE)*m2k))</f>
        <v>3.2039514106380644</v>
      </c>
      <c r="CO208" s="125">
        <f>CO96/293.07*(1/(VLOOKUP($BM208,'Fuel economy adjusted factor'!$A$2:$L$52,5,FALSE)*m2k))</f>
        <v>3.3417339851350687</v>
      </c>
      <c r="CP208" s="98" cm="1">
        <f t="array" ref="CP208">SUMPRODUCT(INDEX(BN208:CO208,,'TCO Inputs'!$AZ$12-2023+_xlfn.SEQUENCE('TCO Inputs'!$AZ$13))*INDEX('VKT US'!C98:AA98,,_xlfn.SEQUENCE('TCO Inputs'!$AZ$13)))*m2k*CONVERT(0.9072,"g","ton")</f>
        <v>12.045759408507953</v>
      </c>
      <c r="CQ208" s="194"/>
      <c r="CR208" s="123" t="s">
        <v>218</v>
      </c>
      <c r="CS208" s="125">
        <f>CS96/293.07*(1/(VLOOKUP($BM208,'Fuel economy adjusted factor'!$A$2:$L$52,5,FALSE)*m2k))/'TCO Inputs'!$AZ$84</f>
        <v>77.330469936443791</v>
      </c>
      <c r="CT208" s="125">
        <f>CT96/293.07*(1/(VLOOKUP($BM208,'Fuel economy adjusted factor'!$A$2:$L$52,5,FALSE)*m2k))</f>
        <v>3.0778195685433807</v>
      </c>
      <c r="CU208" s="125">
        <f>CU96/293.07*(1/(VLOOKUP($BM208,'Fuel economy adjusted factor'!$A$2:$L$52,5,FALSE)*m2k))</f>
        <v>3.0778195685433807</v>
      </c>
      <c r="CV208" s="125">
        <f>CV96/293.07*(1/(VLOOKUP($BM208,'Fuel economy adjusted factor'!$A$2:$L$52,5,FALSE)*m2k))</f>
        <v>3.0778195685433807</v>
      </c>
      <c r="CW208" s="125">
        <f>CW96/293.07*(1/(VLOOKUP($BM208,'Fuel economy adjusted factor'!$A$2:$L$52,5,FALSE)*m2k))</f>
        <v>3.0778195685433807</v>
      </c>
      <c r="CX208" s="125">
        <f>CX96/293.07*(1/(VLOOKUP($BM208,'Fuel economy adjusted factor'!$A$2:$L$52,5,FALSE)*m2k))</f>
        <v>3.0778195685433807</v>
      </c>
      <c r="CY208" s="125">
        <f>CY96/293.07*(1/(VLOOKUP($BM208,'Fuel economy adjusted factor'!$A$2:$L$52,5,FALSE)*m2k))</f>
        <v>3.0778195685433807</v>
      </c>
      <c r="CZ208" s="125">
        <f>CZ96/293.07*(1/(VLOOKUP($BM208,'Fuel economy adjusted factor'!$A$2:$L$52,5,FALSE)*m2k))</f>
        <v>3.0778195685433807</v>
      </c>
      <c r="DA208" s="125">
        <f>DA96/293.07*(1/(VLOOKUP($BM208,'Fuel economy adjusted factor'!$A$2:$L$52,5,FALSE)*m2k))</f>
        <v>3.0778195685433807</v>
      </c>
      <c r="DB208" s="125">
        <f>DB96/293.07*(1/(VLOOKUP($BM208,'Fuel economy adjusted factor'!$A$2:$L$52,5,FALSE)*m2k))</f>
        <v>3.0778195685433807</v>
      </c>
      <c r="DC208" s="125">
        <f>DC96/293.07*(1/(VLOOKUP($BM208,'Fuel economy adjusted factor'!$A$2:$L$52,5,FALSE)*m2k))</f>
        <v>3.0778195685433807</v>
      </c>
      <c r="DD208" s="125">
        <f>DD96/293.07*(1/(VLOOKUP($BM208,'Fuel economy adjusted factor'!$A$2:$L$52,5,FALSE)*m2k))</f>
        <v>3.0778195685433807</v>
      </c>
      <c r="DE208" s="125">
        <f>DE96/293.07*(1/(VLOOKUP($BM208,'Fuel economy adjusted factor'!$A$2:$L$52,5,FALSE)*m2k))</f>
        <v>3.1659598919348464</v>
      </c>
      <c r="DF208" s="125">
        <f>DF96/293.07*(1/(VLOOKUP($BM208,'Fuel economy adjusted factor'!$A$2:$L$52,5,FALSE)*m2k))</f>
        <v>3.1659598919348464</v>
      </c>
      <c r="DG208" s="125">
        <f>DG96/293.07*(1/(VLOOKUP($BM208,'Fuel economy adjusted factor'!$A$2:$L$52,5,FALSE)*m2k))</f>
        <v>3.1659598919348464</v>
      </c>
      <c r="DH208" s="125">
        <f>DH96/293.07*(1/(VLOOKUP($BM208,'Fuel economy adjusted factor'!$A$2:$L$52,5,FALSE)*m2k))</f>
        <v>3.1659598919348464</v>
      </c>
      <c r="DI208" s="125">
        <f>DI96/293.07*(1/(VLOOKUP($BM208,'Fuel economy adjusted factor'!$A$2:$L$52,5,FALSE)*m2k))</f>
        <v>3.1659598919348464</v>
      </c>
      <c r="DJ208" s="125">
        <f>DJ96/293.07*(1/(VLOOKUP($BM208,'Fuel economy adjusted factor'!$A$2:$L$52,5,FALSE)*m2k))</f>
        <v>3.3305898063154578</v>
      </c>
      <c r="DK208" s="125">
        <f>DK96/293.07*(1/(VLOOKUP($BM208,'Fuel economy adjusted factor'!$A$2:$L$52,5,FALSE)*m2k))</f>
        <v>3.3305898063154578</v>
      </c>
      <c r="DL208" s="125">
        <f>DL96/293.07*(1/(VLOOKUP($BM208,'Fuel economy adjusted factor'!$A$2:$L$52,5,FALSE)*m2k))</f>
        <v>3.3305898063154578</v>
      </c>
      <c r="DM208" s="125">
        <f>DM96/293.07*(1/(VLOOKUP($BM208,'Fuel economy adjusted factor'!$A$2:$L$52,5,FALSE)*m2k))</f>
        <v>3.3305898063154578</v>
      </c>
      <c r="DN208" s="125">
        <f>DN96/293.07*(1/(VLOOKUP($BM208,'Fuel economy adjusted factor'!$A$2:$L$52,5,FALSE)*m2k))</f>
        <v>3.3305898063154578</v>
      </c>
      <c r="DO208" s="125">
        <f>DO96/293.07*(1/(VLOOKUP($BM208,'Fuel economy adjusted factor'!$A$2:$L$52,5,FALSE)*m2k))</f>
        <v>3.4394988265980162</v>
      </c>
      <c r="DP208" s="125">
        <f>DP96/293.07*(1/(VLOOKUP($BM208,'Fuel economy adjusted factor'!$A$2:$L$52,5,FALSE)*m2k))</f>
        <v>3.4394988265980162</v>
      </c>
      <c r="DQ208" s="125">
        <f>DQ96/293.07*(1/(VLOOKUP($BM208,'Fuel economy adjusted factor'!$A$2:$L$52,5,FALSE)*m2k))</f>
        <v>3.4394988265980162</v>
      </c>
      <c r="DR208" s="125">
        <f>DR96/293.07*(1/(VLOOKUP($BM208,'Fuel economy adjusted factor'!$A$2:$L$52,5,FALSE)*m2k))</f>
        <v>3.4394988265980162</v>
      </c>
      <c r="DS208" s="125">
        <f>DS96/293.07*(1/(VLOOKUP($BM208,'Fuel economy adjusted factor'!$A$2:$L$52,5,FALSE)*m2k))</f>
        <v>3.4394988265980162</v>
      </c>
      <c r="DT208" s="125">
        <f>DT96/293.07*(1/(VLOOKUP($BM208,'Fuel economy adjusted factor'!$A$2:$L$52,5,FALSE)*m2k))</f>
        <v>3.5777879546777305</v>
      </c>
      <c r="DU208" s="98" cm="1">
        <f t="array" ref="DU208">SUMPRODUCT(INDEX(CS208:DT208,,'TCO Inputs'!$AZ$12-2023+_xlfn.SEQUENCE('TCO Inputs'!$AZ$13))*INDEX('VKT US'!C98:AA98,,_xlfn.SEQUENCE('TCO Inputs'!$AZ$13)))*m2k*CONVERT(0.9072,"g","ton")</f>
        <v>3.5405529062340673</v>
      </c>
      <c r="DW208" s="123" t="s">
        <v>218</v>
      </c>
      <c r="DX208" s="125">
        <f>DX96/293.07*(1/(VLOOKUP($BM208,'Fuel economy adjusted factor'!$A$2:$L$52,5,FALSE)*m2k))/'TCO Inputs'!$AZ$84</f>
        <v>102.16736025891782</v>
      </c>
      <c r="DY208" s="125">
        <f>DY96/293.07*(1/(VLOOKUP($BM208,'Fuel economy adjusted factor'!$A$2:$L$52,5,FALSE)*m2k))/'TCO Inputs'!$AZ$84</f>
        <v>102.16736025891782</v>
      </c>
      <c r="DZ208" s="125">
        <f>DZ96/293.07*(1/(VLOOKUP($BM208,'Fuel economy adjusted factor'!$A$2:$L$52,5,FALSE)*m2k))/'TCO Inputs'!$AZ$84</f>
        <v>89.383993815131561</v>
      </c>
      <c r="EA208" s="125">
        <f>EA96/293.07*(1/(VLOOKUP($BM208,'Fuel economy adjusted factor'!$A$2:$L$52,5,FALSE)*m2k))/'TCO Inputs'!$AZ$84</f>
        <v>89.383993815131561</v>
      </c>
      <c r="EB208" s="125">
        <f>EB96/293.07*(1/(VLOOKUP($BM208,'Fuel economy adjusted factor'!$A$2:$L$52,5,FALSE)*m2k))/'TCO Inputs'!$AZ$84</f>
        <v>89.383993815131561</v>
      </c>
      <c r="EC208" s="125">
        <f>EC96/293.07*(1/(VLOOKUP($BM208,'Fuel economy adjusted factor'!$A$2:$L$52,5,FALSE)*m2k))/'TCO Inputs'!$AZ$84</f>
        <v>89.383993815131561</v>
      </c>
      <c r="ED208" s="125">
        <f>ED96/293.07*(1/(VLOOKUP($BM208,'Fuel economy adjusted factor'!$A$2:$L$52,5,FALSE)*m2k))/'TCO Inputs'!$AZ$84</f>
        <v>89.383993815131561</v>
      </c>
      <c r="EE208" s="125">
        <f>EE96/293.07*(1/(VLOOKUP($BM208,'Fuel economy adjusted factor'!$A$2:$L$52,5,FALSE)*m2k))/'TCO Inputs'!$AZ$84</f>
        <v>55.611287762509576</v>
      </c>
      <c r="EF208" s="125">
        <f>EF96/293.07*(1/(VLOOKUP($BM208,'Fuel economy adjusted factor'!$A$2:$L$52,5,FALSE)*m2k))/'TCO Inputs'!$AZ$84</f>
        <v>55.611287762509576</v>
      </c>
      <c r="EG208" s="125">
        <f>EG96/293.07*(1/(VLOOKUP($BM208,'Fuel economy adjusted factor'!$A$2:$L$52,5,FALSE)*m2k))/'TCO Inputs'!$AZ$84</f>
        <v>55.611287762509576</v>
      </c>
      <c r="EH208" s="125">
        <f>EH96/293.07*(1/(VLOOKUP($BM208,'Fuel economy adjusted factor'!$A$2:$L$52,5,FALSE)*m2k))/'TCO Inputs'!$AZ$84</f>
        <v>55.611287762509576</v>
      </c>
      <c r="EI208" s="125">
        <f>EI96/293.07*(1/(VLOOKUP($BM208,'Fuel economy adjusted factor'!$A$2:$L$52,5,FALSE)*m2k))/'TCO Inputs'!$AZ$84</f>
        <v>55.611287762509576</v>
      </c>
      <c r="EJ208" s="125">
        <f>EJ96/293.07*(1/(VLOOKUP($BM208,'Fuel economy adjusted factor'!$A$2:$L$52,5,FALSE)*m2k))/'TCO Inputs'!$AZ$84</f>
        <v>49.516514586991001</v>
      </c>
      <c r="EK208" s="125">
        <f>EK96/293.07*(1/(VLOOKUP($BM208,'Fuel economy adjusted factor'!$A$2:$L$52,5,FALSE)*m2k))/'TCO Inputs'!$AZ$84</f>
        <v>49.516514586991001</v>
      </c>
      <c r="EL208" s="125">
        <f>EL96/293.07*(1/(VLOOKUP($BM208,'Fuel economy adjusted factor'!$A$2:$L$52,5,FALSE)*m2k))/'TCO Inputs'!$AZ$84</f>
        <v>49.516514586991001</v>
      </c>
      <c r="EM208" s="125">
        <f>EM96/293.07*(1/(VLOOKUP($BM208,'Fuel economy adjusted factor'!$A$2:$L$52,5,FALSE)*m2k))/'TCO Inputs'!$AZ$84</f>
        <v>49.516514586991001</v>
      </c>
      <c r="EN208" s="125">
        <f>EN96/293.07*(1/(VLOOKUP($BM208,'Fuel economy adjusted factor'!$A$2:$L$52,5,FALSE)*m2k))/'TCO Inputs'!$AZ$84</f>
        <v>49.516514586991001</v>
      </c>
      <c r="EO208" s="125">
        <f>EO96/293.07*(1/(VLOOKUP($BM208,'Fuel economy adjusted factor'!$A$2:$L$52,5,FALSE)*m2k))/'TCO Inputs'!$AZ$84</f>
        <v>48.114579665713329</v>
      </c>
      <c r="EP208" s="125">
        <f>EP96/293.07*(1/(VLOOKUP($BM208,'Fuel economy adjusted factor'!$A$2:$L$52,5,FALSE)*m2k))/'TCO Inputs'!$AZ$84</f>
        <v>48.114579665713329</v>
      </c>
      <c r="EQ208" s="125">
        <f>EQ96/293.07*(1/(VLOOKUP($BM208,'Fuel economy adjusted factor'!$A$2:$L$52,5,FALSE)*m2k))/'TCO Inputs'!$AZ$84</f>
        <v>48.114579665713329</v>
      </c>
      <c r="ER208" s="125">
        <f>ER96/293.07*(1/(VLOOKUP($BM208,'Fuel economy adjusted factor'!$A$2:$L$52,5,FALSE)*m2k))/'TCO Inputs'!$AZ$84</f>
        <v>48.114579665713329</v>
      </c>
      <c r="ES208" s="125">
        <f>ES96/293.07*(1/(VLOOKUP($BM208,'Fuel economy adjusted factor'!$A$2:$L$52,5,FALSE)*m2k))/'TCO Inputs'!$AZ$84</f>
        <v>48.114579665713329</v>
      </c>
      <c r="ET208" s="125">
        <f>ET96/293.07*(1/(VLOOKUP($BM208,'Fuel economy adjusted factor'!$A$2:$L$52,5,FALSE)*m2k))/'TCO Inputs'!$AZ$84</f>
        <v>46.411766277028136</v>
      </c>
      <c r="EU208" s="125">
        <f>EU96/293.07*(1/(VLOOKUP($BM208,'Fuel economy adjusted factor'!$A$2:$L$52,5,FALSE)*m2k))/'TCO Inputs'!$AZ$84</f>
        <v>46.411766277028136</v>
      </c>
      <c r="EV208" s="125">
        <f>EV96/293.07*(1/(VLOOKUP($BM208,'Fuel economy adjusted factor'!$A$2:$L$52,5,FALSE)*m2k))/'TCO Inputs'!$AZ$84</f>
        <v>46.411766277028136</v>
      </c>
      <c r="EW208" s="125">
        <f>EW96/293.07*(1/(VLOOKUP($BM208,'Fuel economy adjusted factor'!$A$2:$L$52,5,FALSE)*m2k))/'TCO Inputs'!$AZ$84</f>
        <v>46.411766277028136</v>
      </c>
      <c r="EX208" s="125">
        <f>EX96/293.07*(1/(VLOOKUP($BM208,'Fuel economy adjusted factor'!$A$2:$L$52,5,FALSE)*m2k))/'TCO Inputs'!$AZ$84</f>
        <v>46.411766277028136</v>
      </c>
      <c r="EY208" s="125">
        <f>EY96/293.07*(1/(VLOOKUP($BM208,'Fuel economy adjusted factor'!$A$2:$L$52,5,FALSE)*m2k))/'TCO Inputs'!$AZ$84</f>
        <v>43.698087821585332</v>
      </c>
      <c r="EZ208" s="98" cm="1">
        <f t="array" ref="EZ208">SUMPRODUCT(INDEX(DX208:EY208,,'TCO Inputs'!$AZ$12-2023+_xlfn.SEQUENCE('TCO Inputs'!$AZ$13))*INDEX('VKT US'!C98:AA98,,_xlfn.SEQUENCE('TCO Inputs'!$AZ$13)))*m2k*CONVERT(0.9072,"g","ton")</f>
        <v>28.295690996614972</v>
      </c>
      <c r="FB208" s="123" t="s">
        <v>218</v>
      </c>
      <c r="FC208" s="125">
        <f>FC96/293.07*(1/(VLOOKUP($BM208,'Fuel economy adjusted factor'!$A$2:$L$52,5,FALSE)*m2k))/'TCO Inputs'!$AZ$84</f>
        <v>110.44404347146354</v>
      </c>
      <c r="FD208" s="125">
        <f>FD96/293.07*(1/(VLOOKUP($BM208,'Fuel economy adjusted factor'!$A$2:$L$52,5,FALSE)*m2k))/'TCO Inputs'!$AZ$84</f>
        <v>110.44404347146354</v>
      </c>
      <c r="FE208" s="125">
        <f>FE96/293.07*(1/(VLOOKUP($BM208,'Fuel economy adjusted factor'!$A$2:$L$52,5,FALSE)*m2k))/'TCO Inputs'!$AZ$84</f>
        <v>96.289046412469432</v>
      </c>
      <c r="FF208" s="125">
        <f>FF96/293.07*(1/(VLOOKUP($BM208,'Fuel economy adjusted factor'!$A$2:$L$52,5,FALSE)*m2k))/'TCO Inputs'!$AZ$84</f>
        <v>96.289046412469432</v>
      </c>
      <c r="FG208" s="125">
        <f>FG96/293.07*(1/(VLOOKUP($BM208,'Fuel economy adjusted factor'!$A$2:$L$52,5,FALSE)*m2k))/'TCO Inputs'!$AZ$84</f>
        <v>96.289046412469432</v>
      </c>
      <c r="FH208" s="125">
        <f>FH96/293.07*(1/(VLOOKUP($BM208,'Fuel economy adjusted factor'!$A$2:$L$52,5,FALSE)*m2k))/'TCO Inputs'!$AZ$84</f>
        <v>96.289046412469432</v>
      </c>
      <c r="FI208" s="125">
        <f>FI96/293.07*(1/(VLOOKUP($BM208,'Fuel economy adjusted factor'!$A$2:$L$52,5,FALSE)*m2k))/'TCO Inputs'!$AZ$84</f>
        <v>96.289046412469432</v>
      </c>
      <c r="FJ208" s="125">
        <f>FJ96/293.07*(1/(VLOOKUP($BM208,'Fuel economy adjusted factor'!$A$2:$L$52,5,FALSE)*m2k))/'TCO Inputs'!$AZ$84</f>
        <v>60.903718358274801</v>
      </c>
      <c r="FK208" s="125">
        <f>FK96/293.07*(1/(VLOOKUP($BM208,'Fuel economy adjusted factor'!$A$2:$L$52,5,FALSE)*m2k))/'TCO Inputs'!$AZ$84</f>
        <v>60.903718358274801</v>
      </c>
      <c r="FL208" s="125">
        <f>FL96/293.07*(1/(VLOOKUP($BM208,'Fuel economy adjusted factor'!$A$2:$L$52,5,FALSE)*m2k))/'TCO Inputs'!$AZ$84</f>
        <v>60.903718358274801</v>
      </c>
      <c r="FM208" s="125">
        <f>FM96/293.07*(1/(VLOOKUP($BM208,'Fuel economy adjusted factor'!$A$2:$L$52,5,FALSE)*m2k))/'TCO Inputs'!$AZ$84</f>
        <v>60.903718358274801</v>
      </c>
      <c r="FN208" s="125">
        <f>FN96/293.07*(1/(VLOOKUP($BM208,'Fuel economy adjusted factor'!$A$2:$L$52,5,FALSE)*m2k))/'TCO Inputs'!$AZ$84</f>
        <v>60.903718358274801</v>
      </c>
      <c r="FO208" s="125">
        <f>FO96/293.07*(1/(VLOOKUP($BM208,'Fuel economy adjusted factor'!$A$2:$L$52,5,FALSE)*m2k))/'TCO Inputs'!$AZ$84</f>
        <v>53.943107866475621</v>
      </c>
      <c r="FP208" s="125">
        <f>FP96/293.07*(1/(VLOOKUP($BM208,'Fuel economy adjusted factor'!$A$2:$L$52,5,FALSE)*m2k))/'TCO Inputs'!$AZ$84</f>
        <v>53.943107866475621</v>
      </c>
      <c r="FQ208" s="125">
        <f>FQ96/293.07*(1/(VLOOKUP($BM208,'Fuel economy adjusted factor'!$A$2:$L$52,5,FALSE)*m2k))/'TCO Inputs'!$AZ$84</f>
        <v>53.943107866475621</v>
      </c>
      <c r="FR208" s="125">
        <f>FR96/293.07*(1/(VLOOKUP($BM208,'Fuel economy adjusted factor'!$A$2:$L$52,5,FALSE)*m2k))/'TCO Inputs'!$AZ$84</f>
        <v>53.943107866475621</v>
      </c>
      <c r="FS208" s="125">
        <f>FS96/293.07*(1/(VLOOKUP($BM208,'Fuel economy adjusted factor'!$A$2:$L$52,5,FALSE)*m2k))/'TCO Inputs'!$AZ$84</f>
        <v>53.943107866475621</v>
      </c>
      <c r="FT208" s="125">
        <f>FT96/293.07*(1/(VLOOKUP($BM208,'Fuel economy adjusted factor'!$A$2:$L$52,5,FALSE)*m2k))/'TCO Inputs'!$AZ$84</f>
        <v>52.711454284066456</v>
      </c>
      <c r="FU208" s="125">
        <f>FU96/293.07*(1/(VLOOKUP($BM208,'Fuel economy adjusted factor'!$A$2:$L$52,5,FALSE)*m2k))/'TCO Inputs'!$AZ$84</f>
        <v>52.711454284066456</v>
      </c>
      <c r="FV208" s="125">
        <f>FV96/293.07*(1/(VLOOKUP($BM208,'Fuel economy adjusted factor'!$A$2:$L$52,5,FALSE)*m2k))/'TCO Inputs'!$AZ$84</f>
        <v>52.711454284066456</v>
      </c>
      <c r="FW208" s="125">
        <f>FW96/293.07*(1/(VLOOKUP($BM208,'Fuel economy adjusted factor'!$A$2:$L$52,5,FALSE)*m2k))/'TCO Inputs'!$AZ$84</f>
        <v>52.711454284066456</v>
      </c>
      <c r="FX208" s="125">
        <f>FX96/293.07*(1/(VLOOKUP($BM208,'Fuel economy adjusted factor'!$A$2:$L$52,5,FALSE)*m2k))/'TCO Inputs'!$AZ$84</f>
        <v>52.711454284066456</v>
      </c>
      <c r="FY208" s="125">
        <f>FY96/293.07*(1/(VLOOKUP($BM208,'Fuel economy adjusted factor'!$A$2:$L$52,5,FALSE)*m2k))/'TCO Inputs'!$AZ$84</f>
        <v>51.005754770993669</v>
      </c>
      <c r="FZ208" s="125">
        <f>FZ96/293.07*(1/(VLOOKUP($BM208,'Fuel economy adjusted factor'!$A$2:$L$52,5,FALSE)*m2k))/'TCO Inputs'!$AZ$84</f>
        <v>51.005754770993669</v>
      </c>
      <c r="GA208" s="125">
        <f>GA96/293.07*(1/(VLOOKUP($BM208,'Fuel economy adjusted factor'!$A$2:$L$52,5,FALSE)*m2k))/'TCO Inputs'!$AZ$84</f>
        <v>51.005754770993669</v>
      </c>
      <c r="GB208" s="125">
        <f>GB96/293.07*(1/(VLOOKUP($BM208,'Fuel economy adjusted factor'!$A$2:$L$52,5,FALSE)*m2k))/'TCO Inputs'!$AZ$84</f>
        <v>51.005754770993669</v>
      </c>
      <c r="GC208" s="125">
        <f>GC96/293.07*(1/(VLOOKUP($BM208,'Fuel economy adjusted factor'!$A$2:$L$52,5,FALSE)*m2k))/'TCO Inputs'!$AZ$84</f>
        <v>51.005754770993669</v>
      </c>
      <c r="GD208" s="125">
        <f>GD96/293.07*(1/(VLOOKUP($BM208,'Fuel economy adjusted factor'!$A$2:$L$52,5,FALSE)*m2k))/'TCO Inputs'!$AZ$84</f>
        <v>48.199720335147596</v>
      </c>
      <c r="GE208" s="98" cm="1">
        <f t="array" ref="GE208">SUMPRODUCT(INDEX(FC208:GD208,,'TCO Inputs'!$AZ$12-2023+_xlfn.SEQUENCE('TCO Inputs'!$AZ$13))*INDEX('VKT US'!C98:AA98,,_xlfn.SEQUENCE('TCO Inputs'!$AZ$13)))*m2k*CONVERT(0.9072,"g","ton")</f>
        <v>30.655837781191288</v>
      </c>
      <c r="GH208" s="123" t="s">
        <v>218</v>
      </c>
      <c r="GI208" s="125">
        <f>GI96/293.07*(1/(VLOOKUP($GH208,'Fuel economy adjusted factor'!$A$2:$L$52,5,FALSE)*m2k))/'TCO Inputs'!$AZ$84</f>
        <v>194.42718395176351</v>
      </c>
      <c r="GJ208" s="125">
        <f>GJ96/293.07*(1/(VLOOKUP($GH208,'Fuel economy adjusted factor'!$A$2:$L$52,5,FALSE)*m2k))/'TCO Inputs'!$AZ$84</f>
        <v>194.42718395176351</v>
      </c>
      <c r="GK208" s="125">
        <f>GK96/293.07*(1/(VLOOKUP($GH208,'Fuel economy adjusted factor'!$A$2:$L$52,5,FALSE)*m2k))/'TCO Inputs'!$AZ$84</f>
        <v>194.42718395176351</v>
      </c>
      <c r="GL208" s="125">
        <f>GL96/293.07*(1/(VLOOKUP($GH208,'Fuel economy adjusted factor'!$A$2:$L$52,5,FALSE)*m2k))/'TCO Inputs'!$AZ$84</f>
        <v>194.42718395176351</v>
      </c>
      <c r="GM208" s="125">
        <f>GM96/293.07*(1/(VLOOKUP($GH208,'Fuel economy adjusted factor'!$A$2:$L$52,5,FALSE)*m2k))/'TCO Inputs'!$AZ$84</f>
        <v>194.42718395176351</v>
      </c>
      <c r="GN208" s="125">
        <f>GN96/293.07*(1/(VLOOKUP($GH208,'Fuel economy adjusted factor'!$A$2:$L$52,5,FALSE)*m2k))/'TCO Inputs'!$AZ$84</f>
        <v>194.42718395176351</v>
      </c>
      <c r="GO208" s="125">
        <f>GO96/293.07*(1/(VLOOKUP($GH208,'Fuel economy adjusted factor'!$A$2:$L$52,5,FALSE)*m2k))/'TCO Inputs'!$AZ$84</f>
        <v>194.42718395176351</v>
      </c>
      <c r="GP208" s="125">
        <f>GP96/293.07*(1/(VLOOKUP($GH208,'Fuel economy adjusted factor'!$A$2:$L$52,5,FALSE)*m2k))/'TCO Inputs'!$AZ$84</f>
        <v>194.42718395176351</v>
      </c>
      <c r="GQ208" s="125">
        <f>GQ96/293.07*(1/(VLOOKUP($GH208,'Fuel economy adjusted factor'!$A$2:$L$52,5,FALSE)*m2k))/'TCO Inputs'!$AZ$84</f>
        <v>194.42718395176351</v>
      </c>
      <c r="GR208" s="125">
        <f>GR96/293.07*(1/(VLOOKUP($GH208,'Fuel economy adjusted factor'!$A$2:$L$52,5,FALSE)*m2k))/'TCO Inputs'!$AZ$84</f>
        <v>194.42718395176351</v>
      </c>
      <c r="GS208" s="125">
        <f>GS96/293.07*(1/(VLOOKUP($GH208,'Fuel economy adjusted factor'!$A$2:$L$52,5,FALSE)*m2k))/'TCO Inputs'!$AZ$84</f>
        <v>194.42718395176351</v>
      </c>
      <c r="GT208" s="125">
        <f>GT96/293.07*(1/(VLOOKUP($GH208,'Fuel economy adjusted factor'!$A$2:$L$52,5,FALSE)*m2k))/'TCO Inputs'!$AZ$84</f>
        <v>194.42718395176351</v>
      </c>
      <c r="GU208" s="125">
        <f>GU96/293.07*(1/(VLOOKUP($GH208,'Fuel economy adjusted factor'!$A$2:$L$52,5,FALSE)*m2k))/'TCO Inputs'!$AZ$84</f>
        <v>194.42718395176351</v>
      </c>
      <c r="GV208" s="125">
        <f>GV96/293.07*(1/(VLOOKUP($GH208,'Fuel economy adjusted factor'!$A$2:$L$52,5,FALSE)*m2k))/'TCO Inputs'!$AZ$84</f>
        <v>194.42718395176351</v>
      </c>
      <c r="GW208" s="125">
        <f>GW96/293.07*(1/(VLOOKUP($GH208,'Fuel economy adjusted factor'!$A$2:$L$52,5,FALSE)*m2k))/'TCO Inputs'!$AZ$84</f>
        <v>194.42718395176351</v>
      </c>
      <c r="GX208" s="125">
        <f>GX96/293.07*(1/(VLOOKUP($GH208,'Fuel economy adjusted factor'!$A$2:$L$52,5,FALSE)*m2k))/'TCO Inputs'!$AZ$84</f>
        <v>194.42718395176351</v>
      </c>
      <c r="GY208" s="125">
        <f>GY96/293.07*(1/(VLOOKUP($GH208,'Fuel economy adjusted factor'!$A$2:$L$52,5,FALSE)*m2k))/'TCO Inputs'!$AZ$84</f>
        <v>194.42718395176351</v>
      </c>
      <c r="GZ208" s="125">
        <f>GZ96/293.07*(1/(VLOOKUP($GH208,'Fuel economy adjusted factor'!$A$2:$L$52,5,FALSE)*m2k))/'TCO Inputs'!$AZ$84</f>
        <v>194.42718395176351</v>
      </c>
      <c r="HA208" s="125">
        <f>HA96/293.07*(1/(VLOOKUP($GH208,'Fuel economy adjusted factor'!$A$2:$L$52,5,FALSE)*m2k))/'TCO Inputs'!$AZ$84</f>
        <v>194.42718395176351</v>
      </c>
      <c r="HB208" s="125">
        <f>HB96/293.07*(1/(VLOOKUP($GH208,'Fuel economy adjusted factor'!$A$2:$L$52,5,FALSE)*m2k))/'TCO Inputs'!$AZ$84</f>
        <v>194.42718395176351</v>
      </c>
      <c r="HC208" s="125">
        <f>HC96/293.07*(1/(VLOOKUP($GH208,'Fuel economy adjusted factor'!$A$2:$L$52,5,FALSE)*m2k))/'TCO Inputs'!$AZ$84</f>
        <v>194.42718395176351</v>
      </c>
      <c r="HD208" s="125">
        <f>HD96/293.07*(1/(VLOOKUP($GH208,'Fuel economy adjusted factor'!$A$2:$L$52,5,FALSE)*m2k))/'TCO Inputs'!$AZ$84</f>
        <v>194.42718395176351</v>
      </c>
      <c r="HE208" s="125">
        <f>HE96/293.07*(1/(VLOOKUP($GH208,'Fuel economy adjusted factor'!$A$2:$L$52,5,FALSE)*m2k))/'TCO Inputs'!$AZ$84</f>
        <v>194.42718395176351</v>
      </c>
      <c r="HF208" s="125">
        <f>HF96/293.07*(1/(VLOOKUP($GH208,'Fuel economy adjusted factor'!$A$2:$L$52,5,FALSE)*m2k))/'TCO Inputs'!$AZ$84</f>
        <v>194.42718395176351</v>
      </c>
      <c r="HG208" s="125">
        <f>HG96/293.07*(1/(VLOOKUP($GH208,'Fuel economy adjusted factor'!$A$2:$L$52,5,FALSE)*m2k))/'TCO Inputs'!$AZ$84</f>
        <v>194.42718395176351</v>
      </c>
      <c r="HH208" s="125">
        <f>HH96/293.07*(1/(VLOOKUP($GH208,'Fuel economy adjusted factor'!$A$2:$L$52,5,FALSE)*m2k))/'TCO Inputs'!$AZ$84</f>
        <v>194.42718395176351</v>
      </c>
      <c r="HI208" s="125">
        <f>HI96/293.07*(1/(VLOOKUP($GH208,'Fuel economy adjusted factor'!$A$2:$L$52,5,FALSE)*m2k))/'TCO Inputs'!$AZ$84</f>
        <v>194.42718395176351</v>
      </c>
      <c r="HJ208" s="125">
        <f>HJ96/293.07*(1/(VLOOKUP($GH208,'Fuel economy adjusted factor'!$A$2:$L$52,5,FALSE)*m2k))/'TCO Inputs'!$AZ$84</f>
        <v>194.42718395176351</v>
      </c>
      <c r="HK208" s="98" cm="1">
        <f t="array" ref="HK208">SUMPRODUCT(INDEX(GI208:HJ208,,'TCO Inputs'!$AZ$12-2023+_xlfn.SEQUENCE('TCO Inputs'!$AZ$13))*INDEX('VKT US'!C98:AA98,,_xlfn.SEQUENCE('TCO Inputs'!$AZ$13)))*m2k*CONVERT(0.9072,"g","ton")</f>
        <v>72.746853272860903</v>
      </c>
    </row>
    <row r="209" spans="26:219" x14ac:dyDescent="0.25">
      <c r="Z209" s="123" t="s">
        <v>219</v>
      </c>
      <c r="AA209" s="125">
        <f>AA97/293.07*(1/(VLOOKUP($Z209,'Fuel economy adjusted factor'!$A$2:$L$52,5,FALSE)*m2k))/'TCO Inputs'!$AZ$84</f>
        <v>51.61386005603849</v>
      </c>
      <c r="AB209" s="125">
        <f>AB97/293.07*(1/(VLOOKUP($Z209,'Fuel economy adjusted factor'!$A$2:$L$52,5,FALSE)*m2k))/'TCO Inputs'!$AZ$84</f>
        <v>51.61386005603849</v>
      </c>
      <c r="AC209" s="125">
        <f>AC97/293.07*(1/(VLOOKUP($Z209,'Fuel economy adjusted factor'!$A$2:$L$52,5,FALSE)*m2k))/'TCO Inputs'!$AZ$84</f>
        <v>45.334805526213472</v>
      </c>
      <c r="AD209" s="125">
        <f>AD97/293.07*(1/(VLOOKUP($Z209,'Fuel economy adjusted factor'!$A$2:$L$52,5,FALSE)*m2k))/'TCO Inputs'!$AZ$84</f>
        <v>45.334805526213472</v>
      </c>
      <c r="AE209" s="125">
        <f>AE97/293.07*(1/(VLOOKUP($Z209,'Fuel economy adjusted factor'!$A$2:$L$52,5,FALSE)*m2k))/'TCO Inputs'!$AZ$84</f>
        <v>45.334805526213472</v>
      </c>
      <c r="AF209" s="125">
        <f>AF97/293.07*(1/(VLOOKUP($Z209,'Fuel economy adjusted factor'!$A$2:$L$52,5,FALSE)*m2k))/'TCO Inputs'!$AZ$84</f>
        <v>45.334805526213472</v>
      </c>
      <c r="AG209" s="125">
        <f>AG97/293.07*(1/(VLOOKUP($Z209,'Fuel economy adjusted factor'!$A$2:$L$52,5,FALSE)*m2k))/'TCO Inputs'!$AZ$84</f>
        <v>45.334805526213472</v>
      </c>
      <c r="AH209" s="125">
        <f>AH97/293.07*(1/(VLOOKUP($Z209,'Fuel economy adjusted factor'!$A$2:$L$52,5,FALSE)*m2k))/'TCO Inputs'!$AZ$84</f>
        <v>17.139917569028867</v>
      </c>
      <c r="AI209" s="125">
        <f>AI97/293.07*(1/(VLOOKUP($Z209,'Fuel economy adjusted factor'!$A$2:$L$52,5,FALSE)*m2k))/'TCO Inputs'!$AZ$84</f>
        <v>17.139917569028867</v>
      </c>
      <c r="AJ209" s="125">
        <f>AJ97/293.07*(1/(VLOOKUP($Z209,'Fuel economy adjusted factor'!$A$2:$L$52,5,FALSE)*m2k))/'TCO Inputs'!$AZ$84</f>
        <v>17.139917569028867</v>
      </c>
      <c r="AK209" s="125">
        <f>AK97/293.07*(1/(VLOOKUP($Z209,'Fuel economy adjusted factor'!$A$2:$L$52,5,FALSE)*m2k))/'TCO Inputs'!$AZ$84</f>
        <v>17.139917569028867</v>
      </c>
      <c r="AL209" s="125">
        <f>AL97/293.07*(1/(VLOOKUP($Z209,'Fuel economy adjusted factor'!$A$2:$L$52,5,FALSE)*m2k))/'TCO Inputs'!$AZ$84</f>
        <v>17.139917569028867</v>
      </c>
      <c r="AM209" s="125">
        <f>AM97/293.07*(1/(VLOOKUP($Z209,'Fuel economy adjusted factor'!$A$2:$L$52,5,FALSE)*m2k))/'TCO Inputs'!$AZ$84</f>
        <v>14.406106484302695</v>
      </c>
      <c r="AN209" s="125">
        <f>AN97/293.07*(1/(VLOOKUP($Z209,'Fuel economy adjusted factor'!$A$2:$L$52,5,FALSE)*m2k))/'TCO Inputs'!$AZ$84</f>
        <v>14.406106484302695</v>
      </c>
      <c r="AO209" s="125">
        <f>AO97/293.07*(1/(VLOOKUP($Z209,'Fuel economy adjusted factor'!$A$2:$L$52,5,FALSE)*m2k))/'TCO Inputs'!$AZ$84</f>
        <v>14.406106484302695</v>
      </c>
      <c r="AP209" s="125">
        <f>AP97/293.07*(1/(VLOOKUP($Z209,'Fuel economy adjusted factor'!$A$2:$L$52,5,FALSE)*m2k))/'TCO Inputs'!$AZ$84</f>
        <v>14.406106484302695</v>
      </c>
      <c r="AQ209" s="125">
        <f>AQ97/293.07*(1/(VLOOKUP($Z209,'Fuel economy adjusted factor'!$A$2:$L$52,5,FALSE)*m2k))/'TCO Inputs'!$AZ$84</f>
        <v>14.406106484302695</v>
      </c>
      <c r="AR209" s="125">
        <f>AR97/293.07*(1/(VLOOKUP($Z209,'Fuel economy adjusted factor'!$A$2:$L$52,5,FALSE)*m2k))/'TCO Inputs'!$AZ$84</f>
        <v>14.406106484302695</v>
      </c>
      <c r="AS209" s="125">
        <f>AS97/293.07*(1/(VLOOKUP($Z209,'Fuel economy adjusted factor'!$A$2:$L$52,5,FALSE)*m2k))/'TCO Inputs'!$AZ$84</f>
        <v>14.406106484302695</v>
      </c>
      <c r="AT209" s="125">
        <f>AT97/293.07*(1/(VLOOKUP($Z209,'Fuel economy adjusted factor'!$A$2:$L$52,5,FALSE)*m2k))/'TCO Inputs'!$AZ$84</f>
        <v>14.406106484302695</v>
      </c>
      <c r="AU209" s="125">
        <f>AU97/293.07*(1/(VLOOKUP($Z209,'Fuel economy adjusted factor'!$A$2:$L$52,5,FALSE)*m2k))/'TCO Inputs'!$AZ$84</f>
        <v>14.406106484302695</v>
      </c>
      <c r="AV209" s="125">
        <f>AV97/293.07*(1/(VLOOKUP($Z209,'Fuel economy adjusted factor'!$A$2:$L$52,5,FALSE)*m2k))/'TCO Inputs'!$AZ$84</f>
        <v>14.406106484302695</v>
      </c>
      <c r="AW209" s="125">
        <f>AW97/293.07*(1/(VLOOKUP($Z209,'Fuel economy adjusted factor'!$A$2:$L$52,5,FALSE)*m2k))/'TCO Inputs'!$AZ$84</f>
        <v>14.474123608628052</v>
      </c>
      <c r="AX209" s="125">
        <f>AX97/293.07*(1/(VLOOKUP($Z209,'Fuel economy adjusted factor'!$A$2:$L$52,5,FALSE)*m2k))/'TCO Inputs'!$AZ$84</f>
        <v>14.474123608628052</v>
      </c>
      <c r="AY209" s="125">
        <f>AY97/293.07*(1/(VLOOKUP($Z209,'Fuel economy adjusted factor'!$A$2:$L$52,5,FALSE)*m2k))/'TCO Inputs'!$AZ$84</f>
        <v>14.474123608628052</v>
      </c>
      <c r="AZ209" s="125">
        <f>AZ97/293.07*(1/(VLOOKUP($Z209,'Fuel economy adjusted factor'!$A$2:$L$52,5,FALSE)*m2k))/'TCO Inputs'!$AZ$84</f>
        <v>14.474123608628052</v>
      </c>
      <c r="BA209" s="125">
        <f>BA97/293.07*(1/(VLOOKUP($Z209,'Fuel economy adjusted factor'!$A$2:$L$52,5,FALSE)*m2k))/'TCO Inputs'!$AZ$84</f>
        <v>14.474123608628052</v>
      </c>
      <c r="BB209" s="125">
        <f>BB97/293.07*(1/(VLOOKUP($Z209,'Fuel economy adjusted factor'!$A$2:$L$52,5,FALSE)*m2k))/'TCO Inputs'!$AZ$84</f>
        <v>14.559642215235959</v>
      </c>
      <c r="BC209" s="98" cm="1">
        <f t="array" ref="BC209">SUMPRODUCT(INDEX(AA209:BB209,,'TCO Inputs'!$AZ$12-2023+_xlfn.SEQUENCE('TCO Inputs'!$AZ$13))*INDEX('VKT US'!C99:AA99,,_xlfn.SEQUENCE('TCO Inputs'!$AZ$13)))*m2k*CONVERT(0.9072,"g","ton")</f>
        <v>8.623613601527536</v>
      </c>
      <c r="BM209" s="123" t="s">
        <v>219</v>
      </c>
      <c r="BN209" s="125">
        <f>BN97/293.07*(1/(VLOOKUP($BM209,'Fuel economy adjusted factor'!$A$2:$L$52,5,FALSE)*m2k))</f>
        <v>43.871781047632716</v>
      </c>
      <c r="BO209" s="125">
        <f>BO97/293.07*(1/(VLOOKUP($BM209,'Fuel economy adjusted factor'!$A$2:$L$52,5,FALSE)*m2k))</f>
        <v>43.871781047632716</v>
      </c>
      <c r="BP209" s="125">
        <f>BP97/293.07*(1/(VLOOKUP($BM209,'Fuel economy adjusted factor'!$A$2:$L$52,5,FALSE)*m2k))</f>
        <v>34.582909102266534</v>
      </c>
      <c r="BQ209" s="125">
        <f>BQ97/293.07*(1/(VLOOKUP($BM209,'Fuel economy adjusted factor'!$A$2:$L$52,5,FALSE)*m2k))</f>
        <v>34.582909102266534</v>
      </c>
      <c r="BR209" s="125">
        <f>BR97/293.07*(1/(VLOOKUP($BM209,'Fuel economy adjusted factor'!$A$2:$L$52,5,FALSE)*m2k))</f>
        <v>34.582909102266534</v>
      </c>
      <c r="BS209" s="125">
        <f>BS97/293.07*(1/(VLOOKUP($BM209,'Fuel economy adjusted factor'!$A$2:$L$52,5,FALSE)*m2k))</f>
        <v>34.582909102266534</v>
      </c>
      <c r="BT209" s="125">
        <f>BT97/293.07*(1/(VLOOKUP($BM209,'Fuel economy adjusted factor'!$A$2:$L$52,5,FALSE)*m2k))</f>
        <v>34.582909102266534</v>
      </c>
      <c r="BU209" s="125">
        <f>BU97/293.07*(1/(VLOOKUP($BM209,'Fuel economy adjusted factor'!$A$2:$L$52,5,FALSE)*m2k))</f>
        <v>1.9535234075972121</v>
      </c>
      <c r="BV209" s="125">
        <f>BV97/293.07*(1/(VLOOKUP($BM209,'Fuel economy adjusted factor'!$A$2:$L$52,5,FALSE)*m2k))</f>
        <v>1.9535234075972121</v>
      </c>
      <c r="BW209" s="125">
        <f>BW97/293.07*(1/(VLOOKUP($BM209,'Fuel economy adjusted factor'!$A$2:$L$52,5,FALSE)*m2k))</f>
        <v>1.9535234075972121</v>
      </c>
      <c r="BX209" s="125">
        <f>BX97/293.07*(1/(VLOOKUP($BM209,'Fuel economy adjusted factor'!$A$2:$L$52,5,FALSE)*m2k))</f>
        <v>1.9535234075972121</v>
      </c>
      <c r="BY209" s="125">
        <f>BY97/293.07*(1/(VLOOKUP($BM209,'Fuel economy adjusted factor'!$A$2:$L$52,5,FALSE)*m2k))</f>
        <v>1.9535234075972121</v>
      </c>
      <c r="BZ209" s="125">
        <f>BZ97/293.07*(1/(VLOOKUP($BM209,'Fuel economy adjusted factor'!$A$2:$L$52,5,FALSE)*m2k))</f>
        <v>2.0373714181690552</v>
      </c>
      <c r="CA209" s="125">
        <f>CA97/293.07*(1/(VLOOKUP($BM209,'Fuel economy adjusted factor'!$A$2:$L$52,5,FALSE)*m2k))</f>
        <v>2.0373714181690552</v>
      </c>
      <c r="CB209" s="125">
        <f>CB97/293.07*(1/(VLOOKUP($BM209,'Fuel economy adjusted factor'!$A$2:$L$52,5,FALSE)*m2k))</f>
        <v>2.0373714181690552</v>
      </c>
      <c r="CC209" s="125">
        <f>CC97/293.07*(1/(VLOOKUP($BM209,'Fuel economy adjusted factor'!$A$2:$L$52,5,FALSE)*m2k))</f>
        <v>2.0373714181690552</v>
      </c>
      <c r="CD209" s="125">
        <f>CD97/293.07*(1/(VLOOKUP($BM209,'Fuel economy adjusted factor'!$A$2:$L$52,5,FALSE)*m2k))</f>
        <v>2.0373714181690552</v>
      </c>
      <c r="CE209" s="125">
        <f>CE97/293.07*(1/(VLOOKUP($BM209,'Fuel economy adjusted factor'!$A$2:$L$52,5,FALSE)*m2k))</f>
        <v>2.0657715507820988</v>
      </c>
      <c r="CF209" s="125">
        <f>CF97/293.07*(1/(VLOOKUP($BM209,'Fuel economy adjusted factor'!$A$2:$L$52,5,FALSE)*m2k))</f>
        <v>2.0657715507820988</v>
      </c>
      <c r="CG209" s="125">
        <f>CG97/293.07*(1/(VLOOKUP($BM209,'Fuel economy adjusted factor'!$A$2:$L$52,5,FALSE)*m2k))</f>
        <v>2.0657715507820988</v>
      </c>
      <c r="CH209" s="125">
        <f>CH97/293.07*(1/(VLOOKUP($BM209,'Fuel economy adjusted factor'!$A$2:$L$52,5,FALSE)*m2k))</f>
        <v>2.0657715507820988</v>
      </c>
      <c r="CI209" s="125">
        <f>CI97/293.07*(1/(VLOOKUP($BM209,'Fuel economy adjusted factor'!$A$2:$L$52,5,FALSE)*m2k))</f>
        <v>2.0657715507820988</v>
      </c>
      <c r="CJ209" s="125">
        <f>CJ97/293.07*(1/(VLOOKUP($BM209,'Fuel economy adjusted factor'!$A$2:$L$52,5,FALSE)*m2k))</f>
        <v>2.1384623663988176</v>
      </c>
      <c r="CK209" s="125">
        <f>CK97/293.07*(1/(VLOOKUP($BM209,'Fuel economy adjusted factor'!$A$2:$L$52,5,FALSE)*m2k))</f>
        <v>2.1384623663988176</v>
      </c>
      <c r="CL209" s="125">
        <f>CL97/293.07*(1/(VLOOKUP($BM209,'Fuel economy adjusted factor'!$A$2:$L$52,5,FALSE)*m2k))</f>
        <v>2.1384623663988176</v>
      </c>
      <c r="CM209" s="125">
        <f>CM97/293.07*(1/(VLOOKUP($BM209,'Fuel economy adjusted factor'!$A$2:$L$52,5,FALSE)*m2k))</f>
        <v>2.1384623663988176</v>
      </c>
      <c r="CN209" s="125">
        <f>CN97/293.07*(1/(VLOOKUP($BM209,'Fuel economy adjusted factor'!$A$2:$L$52,5,FALSE)*m2k))</f>
        <v>2.1384623663988176</v>
      </c>
      <c r="CO209" s="125">
        <f>CO97/293.07*(1/(VLOOKUP($BM209,'Fuel economy adjusted factor'!$A$2:$L$52,5,FALSE)*m2k))</f>
        <v>2.2304247005743871</v>
      </c>
      <c r="CP209" s="98" cm="1">
        <f t="array" ref="CP209">SUMPRODUCT(INDEX(BN209:CO209,,'TCO Inputs'!$AZ$12-2023+_xlfn.SEQUENCE('TCO Inputs'!$AZ$13))*INDEX('VKT US'!C99:AA99,,_xlfn.SEQUENCE('TCO Inputs'!$AZ$13)))*m2k*CONVERT(0.9072,"g","ton")</f>
        <v>5.5501058610528329</v>
      </c>
      <c r="CQ209" s="194"/>
      <c r="CR209" s="123" t="s">
        <v>219</v>
      </c>
      <c r="CS209" s="125">
        <f>CS97/293.07*(1/(VLOOKUP($BM209,'Fuel economy adjusted factor'!$A$2:$L$52,5,FALSE)*m2k))/'TCO Inputs'!$AZ$84</f>
        <v>51.61386005603849</v>
      </c>
      <c r="CT209" s="125">
        <f>CT97/293.07*(1/(VLOOKUP($BM209,'Fuel economy adjusted factor'!$A$2:$L$52,5,FALSE)*m2k))</f>
        <v>2.0542762590101526</v>
      </c>
      <c r="CU209" s="125">
        <f>CU97/293.07*(1/(VLOOKUP($BM209,'Fuel economy adjusted factor'!$A$2:$L$52,5,FALSE)*m2k))</f>
        <v>2.0542762590101526</v>
      </c>
      <c r="CV209" s="125">
        <f>CV97/293.07*(1/(VLOOKUP($BM209,'Fuel economy adjusted factor'!$A$2:$L$52,5,FALSE)*m2k))</f>
        <v>2.0542762590101526</v>
      </c>
      <c r="CW209" s="125">
        <f>CW97/293.07*(1/(VLOOKUP($BM209,'Fuel economy adjusted factor'!$A$2:$L$52,5,FALSE)*m2k))</f>
        <v>2.0542762590101526</v>
      </c>
      <c r="CX209" s="125">
        <f>CX97/293.07*(1/(VLOOKUP($BM209,'Fuel economy adjusted factor'!$A$2:$L$52,5,FALSE)*m2k))</f>
        <v>2.0542762590101526</v>
      </c>
      <c r="CY209" s="125">
        <f>CY97/293.07*(1/(VLOOKUP($BM209,'Fuel economy adjusted factor'!$A$2:$L$52,5,FALSE)*m2k))</f>
        <v>2.0542762590101526</v>
      </c>
      <c r="CZ209" s="125">
        <f>CZ97/293.07*(1/(VLOOKUP($BM209,'Fuel economy adjusted factor'!$A$2:$L$52,5,FALSE)*m2k))</f>
        <v>2.0542762590101526</v>
      </c>
      <c r="DA209" s="125">
        <f>DA97/293.07*(1/(VLOOKUP($BM209,'Fuel economy adjusted factor'!$A$2:$L$52,5,FALSE)*m2k))</f>
        <v>2.0542762590101526</v>
      </c>
      <c r="DB209" s="125">
        <f>DB97/293.07*(1/(VLOOKUP($BM209,'Fuel economy adjusted factor'!$A$2:$L$52,5,FALSE)*m2k))</f>
        <v>2.0542762590101526</v>
      </c>
      <c r="DC209" s="125">
        <f>DC97/293.07*(1/(VLOOKUP($BM209,'Fuel economy adjusted factor'!$A$2:$L$52,5,FALSE)*m2k))</f>
        <v>2.0542762590101526</v>
      </c>
      <c r="DD209" s="125">
        <f>DD97/293.07*(1/(VLOOKUP($BM209,'Fuel economy adjusted factor'!$A$2:$L$52,5,FALSE)*m2k))</f>
        <v>2.0542762590101526</v>
      </c>
      <c r="DE209" s="125">
        <f>DE97/293.07*(1/(VLOOKUP($BM209,'Fuel economy adjusted factor'!$A$2:$L$52,5,FALSE)*m2k))</f>
        <v>2.1131051051371714</v>
      </c>
      <c r="DF209" s="125">
        <f>DF97/293.07*(1/(VLOOKUP($BM209,'Fuel economy adjusted factor'!$A$2:$L$52,5,FALSE)*m2k))</f>
        <v>2.1131051051371714</v>
      </c>
      <c r="DG209" s="125">
        <f>DG97/293.07*(1/(VLOOKUP($BM209,'Fuel economy adjusted factor'!$A$2:$L$52,5,FALSE)*m2k))</f>
        <v>2.1131051051371714</v>
      </c>
      <c r="DH209" s="125">
        <f>DH97/293.07*(1/(VLOOKUP($BM209,'Fuel economy adjusted factor'!$A$2:$L$52,5,FALSE)*m2k))</f>
        <v>2.1131051051371714</v>
      </c>
      <c r="DI209" s="125">
        <f>DI97/293.07*(1/(VLOOKUP($BM209,'Fuel economy adjusted factor'!$A$2:$L$52,5,FALSE)*m2k))</f>
        <v>2.1131051051371714</v>
      </c>
      <c r="DJ209" s="125">
        <f>DJ97/293.07*(1/(VLOOKUP($BM209,'Fuel economy adjusted factor'!$A$2:$L$52,5,FALSE)*m2k))</f>
        <v>2.2229865706043048</v>
      </c>
      <c r="DK209" s="125">
        <f>DK97/293.07*(1/(VLOOKUP($BM209,'Fuel economy adjusted factor'!$A$2:$L$52,5,FALSE)*m2k))</f>
        <v>2.2229865706043048</v>
      </c>
      <c r="DL209" s="125">
        <f>DL97/293.07*(1/(VLOOKUP($BM209,'Fuel economy adjusted factor'!$A$2:$L$52,5,FALSE)*m2k))</f>
        <v>2.2229865706043048</v>
      </c>
      <c r="DM209" s="125">
        <f>DM97/293.07*(1/(VLOOKUP($BM209,'Fuel economy adjusted factor'!$A$2:$L$52,5,FALSE)*m2k))</f>
        <v>2.2229865706043048</v>
      </c>
      <c r="DN209" s="125">
        <f>DN97/293.07*(1/(VLOOKUP($BM209,'Fuel economy adjusted factor'!$A$2:$L$52,5,FALSE)*m2k))</f>
        <v>2.2229865706043048</v>
      </c>
      <c r="DO209" s="125">
        <f>DO97/293.07*(1/(VLOOKUP($BM209,'Fuel economy adjusted factor'!$A$2:$L$52,5,FALSE)*m2k))</f>
        <v>2.2956773862210231</v>
      </c>
      <c r="DP209" s="125">
        <f>DP97/293.07*(1/(VLOOKUP($BM209,'Fuel economy adjusted factor'!$A$2:$L$52,5,FALSE)*m2k))</f>
        <v>2.2956773862210231</v>
      </c>
      <c r="DQ209" s="125">
        <f>DQ97/293.07*(1/(VLOOKUP($BM209,'Fuel economy adjusted factor'!$A$2:$L$52,5,FALSE)*m2k))</f>
        <v>2.2956773862210231</v>
      </c>
      <c r="DR209" s="125">
        <f>DR97/293.07*(1/(VLOOKUP($BM209,'Fuel economy adjusted factor'!$A$2:$L$52,5,FALSE)*m2k))</f>
        <v>2.2956773862210231</v>
      </c>
      <c r="DS209" s="125">
        <f>DS97/293.07*(1/(VLOOKUP($BM209,'Fuel economy adjusted factor'!$A$2:$L$52,5,FALSE)*m2k))</f>
        <v>2.2956773862210231</v>
      </c>
      <c r="DT209" s="125">
        <f>DT97/293.07*(1/(VLOOKUP($BM209,'Fuel economy adjusted factor'!$A$2:$L$52,5,FALSE)*m2k))</f>
        <v>2.387977817213415</v>
      </c>
      <c r="DU209" s="98" cm="1">
        <f t="array" ref="DU209">SUMPRODUCT(INDEX(CS209:DT209,,'TCO Inputs'!$AZ$12-2023+_xlfn.SEQUENCE('TCO Inputs'!$AZ$13))*INDEX('VKT US'!C99:AA99,,_xlfn.SEQUENCE('TCO Inputs'!$AZ$13)))*m2k*CONVERT(0.9072,"g","ton")</f>
        <v>1.6313162806803345</v>
      </c>
      <c r="DW209" s="123" t="s">
        <v>219</v>
      </c>
      <c r="DX209" s="125">
        <f>DX97/293.07*(1/(VLOOKUP($BM209,'Fuel economy adjusted factor'!$A$2:$L$52,5,FALSE)*m2k))/'TCO Inputs'!$AZ$84</f>
        <v>68.191126202034269</v>
      </c>
      <c r="DY209" s="125">
        <f>DY97/293.07*(1/(VLOOKUP($BM209,'Fuel economy adjusted factor'!$A$2:$L$52,5,FALSE)*m2k))/'TCO Inputs'!$AZ$84</f>
        <v>68.191126202034269</v>
      </c>
      <c r="DZ209" s="125">
        <f>DZ97/293.07*(1/(VLOOKUP($BM209,'Fuel economy adjusted factor'!$A$2:$L$52,5,FALSE)*m2k))/'TCO Inputs'!$AZ$84</f>
        <v>59.658928127757484</v>
      </c>
      <c r="EA209" s="125">
        <f>EA97/293.07*(1/(VLOOKUP($BM209,'Fuel economy adjusted factor'!$A$2:$L$52,5,FALSE)*m2k))/'TCO Inputs'!$AZ$84</f>
        <v>59.658928127757484</v>
      </c>
      <c r="EB209" s="125">
        <f>EB97/293.07*(1/(VLOOKUP($BM209,'Fuel economy adjusted factor'!$A$2:$L$52,5,FALSE)*m2k))/'TCO Inputs'!$AZ$84</f>
        <v>59.658928127757484</v>
      </c>
      <c r="EC209" s="125">
        <f>EC97/293.07*(1/(VLOOKUP($BM209,'Fuel economy adjusted factor'!$A$2:$L$52,5,FALSE)*m2k))/'TCO Inputs'!$AZ$84</f>
        <v>59.658928127757484</v>
      </c>
      <c r="ED209" s="125">
        <f>ED97/293.07*(1/(VLOOKUP($BM209,'Fuel economy adjusted factor'!$A$2:$L$52,5,FALSE)*m2k))/'TCO Inputs'!$AZ$84</f>
        <v>59.658928127757484</v>
      </c>
      <c r="EE209" s="125">
        <f>EE97/293.07*(1/(VLOOKUP($BM209,'Fuel economy adjusted factor'!$A$2:$L$52,5,FALSE)*m2k))/'TCO Inputs'!$AZ$84</f>
        <v>37.117493614991645</v>
      </c>
      <c r="EF209" s="125">
        <f>EF97/293.07*(1/(VLOOKUP($BM209,'Fuel economy adjusted factor'!$A$2:$L$52,5,FALSE)*m2k))/'TCO Inputs'!$AZ$84</f>
        <v>37.117493614991645</v>
      </c>
      <c r="EG209" s="125">
        <f>EG97/293.07*(1/(VLOOKUP($BM209,'Fuel economy adjusted factor'!$A$2:$L$52,5,FALSE)*m2k))/'TCO Inputs'!$AZ$84</f>
        <v>37.117493614991645</v>
      </c>
      <c r="EH209" s="125">
        <f>EH97/293.07*(1/(VLOOKUP($BM209,'Fuel economy adjusted factor'!$A$2:$L$52,5,FALSE)*m2k))/'TCO Inputs'!$AZ$84</f>
        <v>37.117493614991645</v>
      </c>
      <c r="EI209" s="125">
        <f>EI97/293.07*(1/(VLOOKUP($BM209,'Fuel economy adjusted factor'!$A$2:$L$52,5,FALSE)*m2k))/'TCO Inputs'!$AZ$84</f>
        <v>37.117493614991645</v>
      </c>
      <c r="EJ209" s="125">
        <f>EJ97/293.07*(1/(VLOOKUP($BM209,'Fuel economy adjusted factor'!$A$2:$L$52,5,FALSE)*m2k))/'TCO Inputs'!$AZ$84</f>
        <v>33.049565798012722</v>
      </c>
      <c r="EK209" s="125">
        <f>EK97/293.07*(1/(VLOOKUP($BM209,'Fuel economy adjusted factor'!$A$2:$L$52,5,FALSE)*m2k))/'TCO Inputs'!$AZ$84</f>
        <v>33.049565798012722</v>
      </c>
      <c r="EL209" s="125">
        <f>EL97/293.07*(1/(VLOOKUP($BM209,'Fuel economy adjusted factor'!$A$2:$L$52,5,FALSE)*m2k))/'TCO Inputs'!$AZ$84</f>
        <v>33.049565798012722</v>
      </c>
      <c r="EM209" s="125">
        <f>EM97/293.07*(1/(VLOOKUP($BM209,'Fuel economy adjusted factor'!$A$2:$L$52,5,FALSE)*m2k))/'TCO Inputs'!$AZ$84</f>
        <v>33.049565798012722</v>
      </c>
      <c r="EN209" s="125">
        <f>EN97/293.07*(1/(VLOOKUP($BM209,'Fuel economy adjusted factor'!$A$2:$L$52,5,FALSE)*m2k))/'TCO Inputs'!$AZ$84</f>
        <v>33.049565798012722</v>
      </c>
      <c r="EO209" s="125">
        <f>EO97/293.07*(1/(VLOOKUP($BM209,'Fuel economy adjusted factor'!$A$2:$L$52,5,FALSE)*m2k))/'TCO Inputs'!$AZ$84</f>
        <v>32.113850899422673</v>
      </c>
      <c r="EP209" s="125">
        <f>EP97/293.07*(1/(VLOOKUP($BM209,'Fuel economy adjusted factor'!$A$2:$L$52,5,FALSE)*m2k))/'TCO Inputs'!$AZ$84</f>
        <v>32.113850899422673</v>
      </c>
      <c r="EQ209" s="125">
        <f>EQ97/293.07*(1/(VLOOKUP($BM209,'Fuel economy adjusted factor'!$A$2:$L$52,5,FALSE)*m2k))/'TCO Inputs'!$AZ$84</f>
        <v>32.113850899422673</v>
      </c>
      <c r="ER209" s="125">
        <f>ER97/293.07*(1/(VLOOKUP($BM209,'Fuel economy adjusted factor'!$A$2:$L$52,5,FALSE)*m2k))/'TCO Inputs'!$AZ$84</f>
        <v>32.113850899422673</v>
      </c>
      <c r="ES209" s="125">
        <f>ES97/293.07*(1/(VLOOKUP($BM209,'Fuel economy adjusted factor'!$A$2:$L$52,5,FALSE)*m2k))/'TCO Inputs'!$AZ$84</f>
        <v>32.113850899422673</v>
      </c>
      <c r="ET209" s="125">
        <f>ET97/293.07*(1/(VLOOKUP($BM209,'Fuel economy adjusted factor'!$A$2:$L$52,5,FALSE)*m2k))/'TCO Inputs'!$AZ$84</f>
        <v>30.977316076637038</v>
      </c>
      <c r="EU209" s="125">
        <f>EU97/293.07*(1/(VLOOKUP($BM209,'Fuel economy adjusted factor'!$A$2:$L$52,5,FALSE)*m2k))/'TCO Inputs'!$AZ$84</f>
        <v>30.977316076637038</v>
      </c>
      <c r="EV209" s="125">
        <f>EV97/293.07*(1/(VLOOKUP($BM209,'Fuel economy adjusted factor'!$A$2:$L$52,5,FALSE)*m2k))/'TCO Inputs'!$AZ$84</f>
        <v>30.977316076637038</v>
      </c>
      <c r="EW209" s="125">
        <f>EW97/293.07*(1/(VLOOKUP($BM209,'Fuel economy adjusted factor'!$A$2:$L$52,5,FALSE)*m2k))/'TCO Inputs'!$AZ$84</f>
        <v>30.977316076637038</v>
      </c>
      <c r="EX209" s="125">
        <f>EX97/293.07*(1/(VLOOKUP($BM209,'Fuel economy adjusted factor'!$A$2:$L$52,5,FALSE)*m2k))/'TCO Inputs'!$AZ$84</f>
        <v>30.977316076637038</v>
      </c>
      <c r="EY209" s="125">
        <f>EY97/293.07*(1/(VLOOKUP($BM209,'Fuel economy adjusted factor'!$A$2:$L$52,5,FALSE)*m2k))/'TCO Inputs'!$AZ$84</f>
        <v>29.166084098460431</v>
      </c>
      <c r="EZ209" s="98" cm="1">
        <f t="array" ref="EZ209">SUMPRODUCT(INDEX(DX209:EY209,,'TCO Inputs'!$AZ$12-2023+_xlfn.SEQUENCE('TCO Inputs'!$AZ$13))*INDEX('VKT US'!C99:AA99,,_xlfn.SEQUENCE('TCO Inputs'!$AZ$13)))*m2k*CONVERT(0.9072,"g","ton")</f>
        <v>13.037291806769121</v>
      </c>
      <c r="FB209" s="123" t="s">
        <v>219</v>
      </c>
      <c r="FC209" s="125">
        <f>FC97/293.07*(1/(VLOOKUP($BM209,'Fuel economy adjusted factor'!$A$2:$L$52,5,FALSE)*m2k))/'TCO Inputs'!$AZ$84</f>
        <v>73.715359656345299</v>
      </c>
      <c r="FD209" s="125">
        <f>FD97/293.07*(1/(VLOOKUP($BM209,'Fuel economy adjusted factor'!$A$2:$L$52,5,FALSE)*m2k))/'TCO Inputs'!$AZ$84</f>
        <v>73.715359656345299</v>
      </c>
      <c r="FE209" s="125">
        <f>FE97/293.07*(1/(VLOOKUP($BM209,'Fuel economy adjusted factor'!$A$2:$L$52,5,FALSE)*m2k))/'TCO Inputs'!$AZ$84</f>
        <v>64.267673150663668</v>
      </c>
      <c r="FF209" s="125">
        <f>FF97/293.07*(1/(VLOOKUP($BM209,'Fuel economy adjusted factor'!$A$2:$L$52,5,FALSE)*m2k))/'TCO Inputs'!$AZ$84</f>
        <v>64.267673150663668</v>
      </c>
      <c r="FG209" s="125">
        <f>FG97/293.07*(1/(VLOOKUP($BM209,'Fuel economy adjusted factor'!$A$2:$L$52,5,FALSE)*m2k))/'TCO Inputs'!$AZ$84</f>
        <v>64.267673150663668</v>
      </c>
      <c r="FH209" s="125">
        <f>FH97/293.07*(1/(VLOOKUP($BM209,'Fuel economy adjusted factor'!$A$2:$L$52,5,FALSE)*m2k))/'TCO Inputs'!$AZ$84</f>
        <v>64.267673150663668</v>
      </c>
      <c r="FI209" s="125">
        <f>FI97/293.07*(1/(VLOOKUP($BM209,'Fuel economy adjusted factor'!$A$2:$L$52,5,FALSE)*m2k))/'TCO Inputs'!$AZ$84</f>
        <v>64.267673150663668</v>
      </c>
      <c r="FJ209" s="125">
        <f>FJ97/293.07*(1/(VLOOKUP($BM209,'Fuel economy adjusted factor'!$A$2:$L$52,5,FALSE)*m2k))/'TCO Inputs'!$AZ$84</f>
        <v>40.649901634115672</v>
      </c>
      <c r="FK209" s="125">
        <f>FK97/293.07*(1/(VLOOKUP($BM209,'Fuel economy adjusted factor'!$A$2:$L$52,5,FALSE)*m2k))/'TCO Inputs'!$AZ$84</f>
        <v>40.649901634115672</v>
      </c>
      <c r="FL209" s="125">
        <f>FL97/293.07*(1/(VLOOKUP($BM209,'Fuel economy adjusted factor'!$A$2:$L$52,5,FALSE)*m2k))/'TCO Inputs'!$AZ$84</f>
        <v>40.649901634115672</v>
      </c>
      <c r="FM209" s="125">
        <f>FM97/293.07*(1/(VLOOKUP($BM209,'Fuel economy adjusted factor'!$A$2:$L$52,5,FALSE)*m2k))/'TCO Inputs'!$AZ$84</f>
        <v>40.649901634115672</v>
      </c>
      <c r="FN209" s="125">
        <f>FN97/293.07*(1/(VLOOKUP($BM209,'Fuel economy adjusted factor'!$A$2:$L$52,5,FALSE)*m2k))/'TCO Inputs'!$AZ$84</f>
        <v>40.649901634115672</v>
      </c>
      <c r="FO209" s="125">
        <f>FO97/293.07*(1/(VLOOKUP($BM209,'Fuel economy adjusted factor'!$A$2:$L$52,5,FALSE)*m2k))/'TCO Inputs'!$AZ$84</f>
        <v>36.004074754703346</v>
      </c>
      <c r="FP209" s="125">
        <f>FP97/293.07*(1/(VLOOKUP($BM209,'Fuel economy adjusted factor'!$A$2:$L$52,5,FALSE)*m2k))/'TCO Inputs'!$AZ$84</f>
        <v>36.004074754703346</v>
      </c>
      <c r="FQ209" s="125">
        <f>FQ97/293.07*(1/(VLOOKUP($BM209,'Fuel economy adjusted factor'!$A$2:$L$52,5,FALSE)*m2k))/'TCO Inputs'!$AZ$84</f>
        <v>36.004074754703346</v>
      </c>
      <c r="FR209" s="125">
        <f>FR97/293.07*(1/(VLOOKUP($BM209,'Fuel economy adjusted factor'!$A$2:$L$52,5,FALSE)*m2k))/'TCO Inputs'!$AZ$84</f>
        <v>36.004074754703346</v>
      </c>
      <c r="FS209" s="125">
        <f>FS97/293.07*(1/(VLOOKUP($BM209,'Fuel economy adjusted factor'!$A$2:$L$52,5,FALSE)*m2k))/'TCO Inputs'!$AZ$84</f>
        <v>36.004074754703346</v>
      </c>
      <c r="FT209" s="125">
        <f>FT97/293.07*(1/(VLOOKUP($BM209,'Fuel economy adjusted factor'!$A$2:$L$52,5,FALSE)*m2k))/'TCO Inputs'!$AZ$84</f>
        <v>35.182013338391876</v>
      </c>
      <c r="FU209" s="125">
        <f>FU97/293.07*(1/(VLOOKUP($BM209,'Fuel economy adjusted factor'!$A$2:$L$52,5,FALSE)*m2k))/'TCO Inputs'!$AZ$84</f>
        <v>35.182013338391876</v>
      </c>
      <c r="FV209" s="125">
        <f>FV97/293.07*(1/(VLOOKUP($BM209,'Fuel economy adjusted factor'!$A$2:$L$52,5,FALSE)*m2k))/'TCO Inputs'!$AZ$84</f>
        <v>35.182013338391876</v>
      </c>
      <c r="FW209" s="125">
        <f>FW97/293.07*(1/(VLOOKUP($BM209,'Fuel economy adjusted factor'!$A$2:$L$52,5,FALSE)*m2k))/'TCO Inputs'!$AZ$84</f>
        <v>35.182013338391876</v>
      </c>
      <c r="FX209" s="125">
        <f>FX97/293.07*(1/(VLOOKUP($BM209,'Fuel economy adjusted factor'!$A$2:$L$52,5,FALSE)*m2k))/'TCO Inputs'!$AZ$84</f>
        <v>35.182013338391876</v>
      </c>
      <c r="FY209" s="125">
        <f>FY97/293.07*(1/(VLOOKUP($BM209,'Fuel economy adjusted factor'!$A$2:$L$52,5,FALSE)*m2k))/'TCO Inputs'!$AZ$84</f>
        <v>34.04355218539812</v>
      </c>
      <c r="FZ209" s="125">
        <f>FZ97/293.07*(1/(VLOOKUP($BM209,'Fuel economy adjusted factor'!$A$2:$L$52,5,FALSE)*m2k))/'TCO Inputs'!$AZ$84</f>
        <v>34.04355218539812</v>
      </c>
      <c r="GA209" s="125">
        <f>GA97/293.07*(1/(VLOOKUP($BM209,'Fuel economy adjusted factor'!$A$2:$L$52,5,FALSE)*m2k))/'TCO Inputs'!$AZ$84</f>
        <v>34.04355218539812</v>
      </c>
      <c r="GB209" s="125">
        <f>GB97/293.07*(1/(VLOOKUP($BM209,'Fuel economy adjusted factor'!$A$2:$L$52,5,FALSE)*m2k))/'TCO Inputs'!$AZ$84</f>
        <v>34.04355218539812</v>
      </c>
      <c r="GC209" s="125">
        <f>GC97/293.07*(1/(VLOOKUP($BM209,'Fuel economy adjusted factor'!$A$2:$L$52,5,FALSE)*m2k))/'TCO Inputs'!$AZ$84</f>
        <v>34.04355218539812</v>
      </c>
      <c r="GD209" s="125">
        <f>GD97/293.07*(1/(VLOOKUP($BM209,'Fuel economy adjusted factor'!$A$2:$L$52,5,FALSE)*m2k))/'TCO Inputs'!$AZ$84</f>
        <v>32.170677640561955</v>
      </c>
      <c r="GE209" s="98" cm="1">
        <f t="array" ref="GE209">SUMPRODUCT(INDEX(FC209:GD209,,'TCO Inputs'!$AZ$12-2023+_xlfn.SEQUENCE('TCO Inputs'!$AZ$13))*INDEX('VKT US'!C99:AA99,,_xlfn.SEQUENCE('TCO Inputs'!$AZ$13)))*m2k*CONVERT(0.9072,"g","ton")</f>
        <v>14.124733790108911</v>
      </c>
      <c r="GH209" s="123" t="s">
        <v>219</v>
      </c>
      <c r="GI209" s="125">
        <f>GI97/293.07*(1/(VLOOKUP($GH209,'Fuel economy adjusted factor'!$A$2:$L$52,5,FALSE)*m2k))/'TCO Inputs'!$AZ$84</f>
        <v>129.76951351548277</v>
      </c>
      <c r="GJ209" s="125">
        <f>GJ97/293.07*(1/(VLOOKUP($GH209,'Fuel economy adjusted factor'!$A$2:$L$52,5,FALSE)*m2k))/'TCO Inputs'!$AZ$84</f>
        <v>129.76951351548277</v>
      </c>
      <c r="GK209" s="125">
        <f>GK97/293.07*(1/(VLOOKUP($GH209,'Fuel economy adjusted factor'!$A$2:$L$52,5,FALSE)*m2k))/'TCO Inputs'!$AZ$84</f>
        <v>129.76951351548277</v>
      </c>
      <c r="GL209" s="125">
        <f>GL97/293.07*(1/(VLOOKUP($GH209,'Fuel economy adjusted factor'!$A$2:$L$52,5,FALSE)*m2k))/'TCO Inputs'!$AZ$84</f>
        <v>129.76951351548277</v>
      </c>
      <c r="GM209" s="125">
        <f>GM97/293.07*(1/(VLOOKUP($GH209,'Fuel economy adjusted factor'!$A$2:$L$52,5,FALSE)*m2k))/'TCO Inputs'!$AZ$84</f>
        <v>129.76951351548277</v>
      </c>
      <c r="GN209" s="125">
        <f>GN97/293.07*(1/(VLOOKUP($GH209,'Fuel economy adjusted factor'!$A$2:$L$52,5,FALSE)*m2k))/'TCO Inputs'!$AZ$84</f>
        <v>129.76951351548277</v>
      </c>
      <c r="GO209" s="125">
        <f>GO97/293.07*(1/(VLOOKUP($GH209,'Fuel economy adjusted factor'!$A$2:$L$52,5,FALSE)*m2k))/'TCO Inputs'!$AZ$84</f>
        <v>129.76951351548277</v>
      </c>
      <c r="GP209" s="125">
        <f>GP97/293.07*(1/(VLOOKUP($GH209,'Fuel economy adjusted factor'!$A$2:$L$52,5,FALSE)*m2k))/'TCO Inputs'!$AZ$84</f>
        <v>129.76951351548277</v>
      </c>
      <c r="GQ209" s="125">
        <f>GQ97/293.07*(1/(VLOOKUP($GH209,'Fuel economy adjusted factor'!$A$2:$L$52,5,FALSE)*m2k))/'TCO Inputs'!$AZ$84</f>
        <v>129.76951351548277</v>
      </c>
      <c r="GR209" s="125">
        <f>GR97/293.07*(1/(VLOOKUP($GH209,'Fuel economy adjusted factor'!$A$2:$L$52,5,FALSE)*m2k))/'TCO Inputs'!$AZ$84</f>
        <v>129.76951351548277</v>
      </c>
      <c r="GS209" s="125">
        <f>GS97/293.07*(1/(VLOOKUP($GH209,'Fuel economy adjusted factor'!$A$2:$L$52,5,FALSE)*m2k))/'TCO Inputs'!$AZ$84</f>
        <v>129.76951351548277</v>
      </c>
      <c r="GT209" s="125">
        <f>GT97/293.07*(1/(VLOOKUP($GH209,'Fuel economy adjusted factor'!$A$2:$L$52,5,FALSE)*m2k))/'TCO Inputs'!$AZ$84</f>
        <v>129.76951351548277</v>
      </c>
      <c r="GU209" s="125">
        <f>GU97/293.07*(1/(VLOOKUP($GH209,'Fuel economy adjusted factor'!$A$2:$L$52,5,FALSE)*m2k))/'TCO Inputs'!$AZ$84</f>
        <v>129.76951351548277</v>
      </c>
      <c r="GV209" s="125">
        <f>GV97/293.07*(1/(VLOOKUP($GH209,'Fuel economy adjusted factor'!$A$2:$L$52,5,FALSE)*m2k))/'TCO Inputs'!$AZ$84</f>
        <v>129.76951351548277</v>
      </c>
      <c r="GW209" s="125">
        <f>GW97/293.07*(1/(VLOOKUP($GH209,'Fuel economy adjusted factor'!$A$2:$L$52,5,FALSE)*m2k))/'TCO Inputs'!$AZ$84</f>
        <v>129.76951351548277</v>
      </c>
      <c r="GX209" s="125">
        <f>GX97/293.07*(1/(VLOOKUP($GH209,'Fuel economy adjusted factor'!$A$2:$L$52,5,FALSE)*m2k))/'TCO Inputs'!$AZ$84</f>
        <v>129.76951351548277</v>
      </c>
      <c r="GY209" s="125">
        <f>GY97/293.07*(1/(VLOOKUP($GH209,'Fuel economy adjusted factor'!$A$2:$L$52,5,FALSE)*m2k))/'TCO Inputs'!$AZ$84</f>
        <v>129.76951351548277</v>
      </c>
      <c r="GZ209" s="125">
        <f>GZ97/293.07*(1/(VLOOKUP($GH209,'Fuel economy adjusted factor'!$A$2:$L$52,5,FALSE)*m2k))/'TCO Inputs'!$AZ$84</f>
        <v>129.76951351548277</v>
      </c>
      <c r="HA209" s="125">
        <f>HA97/293.07*(1/(VLOOKUP($GH209,'Fuel economy adjusted factor'!$A$2:$L$52,5,FALSE)*m2k))/'TCO Inputs'!$AZ$84</f>
        <v>129.76951351548277</v>
      </c>
      <c r="HB209" s="125">
        <f>HB97/293.07*(1/(VLOOKUP($GH209,'Fuel economy adjusted factor'!$A$2:$L$52,5,FALSE)*m2k))/'TCO Inputs'!$AZ$84</f>
        <v>129.76951351548277</v>
      </c>
      <c r="HC209" s="125">
        <f>HC97/293.07*(1/(VLOOKUP($GH209,'Fuel economy adjusted factor'!$A$2:$L$52,5,FALSE)*m2k))/'TCO Inputs'!$AZ$84</f>
        <v>129.76951351548277</v>
      </c>
      <c r="HD209" s="125">
        <f>HD97/293.07*(1/(VLOOKUP($GH209,'Fuel economy adjusted factor'!$A$2:$L$52,5,FALSE)*m2k))/'TCO Inputs'!$AZ$84</f>
        <v>129.76951351548277</v>
      </c>
      <c r="HE209" s="125">
        <f>HE97/293.07*(1/(VLOOKUP($GH209,'Fuel economy adjusted factor'!$A$2:$L$52,5,FALSE)*m2k))/'TCO Inputs'!$AZ$84</f>
        <v>129.76951351548277</v>
      </c>
      <c r="HF209" s="125">
        <f>HF97/293.07*(1/(VLOOKUP($GH209,'Fuel economy adjusted factor'!$A$2:$L$52,5,FALSE)*m2k))/'TCO Inputs'!$AZ$84</f>
        <v>129.76951351548277</v>
      </c>
      <c r="HG209" s="125">
        <f>HG97/293.07*(1/(VLOOKUP($GH209,'Fuel economy adjusted factor'!$A$2:$L$52,5,FALSE)*m2k))/'TCO Inputs'!$AZ$84</f>
        <v>129.76951351548277</v>
      </c>
      <c r="HH209" s="125">
        <f>HH97/293.07*(1/(VLOOKUP($GH209,'Fuel economy adjusted factor'!$A$2:$L$52,5,FALSE)*m2k))/'TCO Inputs'!$AZ$84</f>
        <v>129.76951351548277</v>
      </c>
      <c r="HI209" s="125">
        <f>HI97/293.07*(1/(VLOOKUP($GH209,'Fuel economy adjusted factor'!$A$2:$L$52,5,FALSE)*m2k))/'TCO Inputs'!$AZ$84</f>
        <v>129.76951351548277</v>
      </c>
      <c r="HJ209" s="125">
        <f>HJ97/293.07*(1/(VLOOKUP($GH209,'Fuel economy adjusted factor'!$A$2:$L$52,5,FALSE)*m2k))/'TCO Inputs'!$AZ$84</f>
        <v>129.76951351548277</v>
      </c>
      <c r="HK209" s="98" cm="1">
        <f t="array" ref="HK209">SUMPRODUCT(INDEX(GI209:HJ209,,'TCO Inputs'!$AZ$12-2023+_xlfn.SEQUENCE('TCO Inputs'!$AZ$13))*INDEX('VKT US'!C99:AA99,,_xlfn.SEQUENCE('TCO Inputs'!$AZ$13)))*m2k*CONVERT(0.9072,"g","ton")</f>
        <v>33.518246797929926</v>
      </c>
    </row>
    <row r="210" spans="26:219" x14ac:dyDescent="0.25">
      <c r="Z210" s="123" t="s">
        <v>220</v>
      </c>
      <c r="AA210" s="125">
        <f>AA98/293.07*(1/(VLOOKUP($Z210,'Fuel economy adjusted factor'!$A$2:$L$52,5,FALSE)*m2k))/'TCO Inputs'!$AZ$84</f>
        <v>89.606194507563885</v>
      </c>
      <c r="AB210" s="125">
        <f>AB98/293.07*(1/(VLOOKUP($Z210,'Fuel economy adjusted factor'!$A$2:$L$52,5,FALSE)*m2k))/'TCO Inputs'!$AZ$84</f>
        <v>89.606194507563885</v>
      </c>
      <c r="AC210" s="125">
        <f>AC98/293.07*(1/(VLOOKUP($Z210,'Fuel economy adjusted factor'!$A$2:$L$52,5,FALSE)*m2k))/'TCO Inputs'!$AZ$84</f>
        <v>78.705204329494933</v>
      </c>
      <c r="AD210" s="125">
        <f>AD98/293.07*(1/(VLOOKUP($Z210,'Fuel economy adjusted factor'!$A$2:$L$52,5,FALSE)*m2k))/'TCO Inputs'!$AZ$84</f>
        <v>78.705204329494933</v>
      </c>
      <c r="AE210" s="125">
        <f>AE98/293.07*(1/(VLOOKUP($Z210,'Fuel economy adjusted factor'!$A$2:$L$52,5,FALSE)*m2k))/'TCO Inputs'!$AZ$84</f>
        <v>78.705204329494933</v>
      </c>
      <c r="AF210" s="125">
        <f>AF98/293.07*(1/(VLOOKUP($Z210,'Fuel economy adjusted factor'!$A$2:$L$52,5,FALSE)*m2k))/'TCO Inputs'!$AZ$84</f>
        <v>78.705204329494933</v>
      </c>
      <c r="AG210" s="125">
        <f>AG98/293.07*(1/(VLOOKUP($Z210,'Fuel economy adjusted factor'!$A$2:$L$52,5,FALSE)*m2k))/'TCO Inputs'!$AZ$84</f>
        <v>78.705204329494933</v>
      </c>
      <c r="AH210" s="125">
        <f>AH98/293.07*(1/(VLOOKUP($Z210,'Fuel economy adjusted factor'!$A$2:$L$52,5,FALSE)*m2k))/'TCO Inputs'!$AZ$84</f>
        <v>29.756402366854719</v>
      </c>
      <c r="AI210" s="125">
        <f>AI98/293.07*(1/(VLOOKUP($Z210,'Fuel economy adjusted factor'!$A$2:$L$52,5,FALSE)*m2k))/'TCO Inputs'!$AZ$84</f>
        <v>29.756402366854719</v>
      </c>
      <c r="AJ210" s="125">
        <f>AJ98/293.07*(1/(VLOOKUP($Z210,'Fuel economy adjusted factor'!$A$2:$L$52,5,FALSE)*m2k))/'TCO Inputs'!$AZ$84</f>
        <v>29.756402366854719</v>
      </c>
      <c r="AK210" s="125">
        <f>AK98/293.07*(1/(VLOOKUP($Z210,'Fuel economy adjusted factor'!$A$2:$L$52,5,FALSE)*m2k))/'TCO Inputs'!$AZ$84</f>
        <v>29.756402366854719</v>
      </c>
      <c r="AL210" s="125">
        <f>AL98/293.07*(1/(VLOOKUP($Z210,'Fuel economy adjusted factor'!$A$2:$L$52,5,FALSE)*m2k))/'TCO Inputs'!$AZ$84</f>
        <v>29.756402366854719</v>
      </c>
      <c r="AM210" s="125">
        <f>AM98/293.07*(1/(VLOOKUP($Z210,'Fuel economy adjusted factor'!$A$2:$L$52,5,FALSE)*m2k))/'TCO Inputs'!$AZ$84</f>
        <v>25.010266202286882</v>
      </c>
      <c r="AN210" s="125">
        <f>AN98/293.07*(1/(VLOOKUP($Z210,'Fuel economy adjusted factor'!$A$2:$L$52,5,FALSE)*m2k))/'TCO Inputs'!$AZ$84</f>
        <v>25.010266202286882</v>
      </c>
      <c r="AO210" s="125">
        <f>AO98/293.07*(1/(VLOOKUP($Z210,'Fuel economy adjusted factor'!$A$2:$L$52,5,FALSE)*m2k))/'TCO Inputs'!$AZ$84</f>
        <v>25.010266202286882</v>
      </c>
      <c r="AP210" s="125">
        <f>AP98/293.07*(1/(VLOOKUP($Z210,'Fuel economy adjusted factor'!$A$2:$L$52,5,FALSE)*m2k))/'TCO Inputs'!$AZ$84</f>
        <v>25.010266202286882</v>
      </c>
      <c r="AQ210" s="125">
        <f>AQ98/293.07*(1/(VLOOKUP($Z210,'Fuel economy adjusted factor'!$A$2:$L$52,5,FALSE)*m2k))/'TCO Inputs'!$AZ$84</f>
        <v>25.010266202286882</v>
      </c>
      <c r="AR210" s="125">
        <f>AR98/293.07*(1/(VLOOKUP($Z210,'Fuel economy adjusted factor'!$A$2:$L$52,5,FALSE)*m2k))/'TCO Inputs'!$AZ$84</f>
        <v>25.010266202286882</v>
      </c>
      <c r="AS210" s="125">
        <f>AS98/293.07*(1/(VLOOKUP($Z210,'Fuel economy adjusted factor'!$A$2:$L$52,5,FALSE)*m2k))/'TCO Inputs'!$AZ$84</f>
        <v>25.010266202286882</v>
      </c>
      <c r="AT210" s="125">
        <f>AT98/293.07*(1/(VLOOKUP($Z210,'Fuel economy adjusted factor'!$A$2:$L$52,5,FALSE)*m2k))/'TCO Inputs'!$AZ$84</f>
        <v>25.010266202286882</v>
      </c>
      <c r="AU210" s="125">
        <f>AU98/293.07*(1/(VLOOKUP($Z210,'Fuel economy adjusted factor'!$A$2:$L$52,5,FALSE)*m2k))/'TCO Inputs'!$AZ$84</f>
        <v>25.010266202286882</v>
      </c>
      <c r="AV210" s="125">
        <f>AV98/293.07*(1/(VLOOKUP($Z210,'Fuel economy adjusted factor'!$A$2:$L$52,5,FALSE)*m2k))/'TCO Inputs'!$AZ$84</f>
        <v>25.010266202286882</v>
      </c>
      <c r="AW210" s="125">
        <f>AW98/293.07*(1/(VLOOKUP($Z210,'Fuel economy adjusted factor'!$A$2:$L$52,5,FALSE)*m2k))/'TCO Inputs'!$AZ$84</f>
        <v>25.12834990432982</v>
      </c>
      <c r="AX210" s="125">
        <f>AX98/293.07*(1/(VLOOKUP($Z210,'Fuel economy adjusted factor'!$A$2:$L$52,5,FALSE)*m2k))/'TCO Inputs'!$AZ$84</f>
        <v>25.12834990432982</v>
      </c>
      <c r="AY210" s="125">
        <f>AY98/293.07*(1/(VLOOKUP($Z210,'Fuel economy adjusted factor'!$A$2:$L$52,5,FALSE)*m2k))/'TCO Inputs'!$AZ$84</f>
        <v>25.12834990432982</v>
      </c>
      <c r="AZ210" s="125">
        <f>AZ98/293.07*(1/(VLOOKUP($Z210,'Fuel economy adjusted factor'!$A$2:$L$52,5,FALSE)*m2k))/'TCO Inputs'!$AZ$84</f>
        <v>25.12834990432982</v>
      </c>
      <c r="BA210" s="125">
        <f>BA98/293.07*(1/(VLOOKUP($Z210,'Fuel economy adjusted factor'!$A$2:$L$52,5,FALSE)*m2k))/'TCO Inputs'!$AZ$84</f>
        <v>25.12834990432982</v>
      </c>
      <c r="BB210" s="125">
        <f>BB98/293.07*(1/(VLOOKUP($Z210,'Fuel economy adjusted factor'!$A$2:$L$52,5,FALSE)*m2k))/'TCO Inputs'!$AZ$84</f>
        <v>25.276817716839947</v>
      </c>
      <c r="BC210" s="98" cm="1">
        <f t="array" ref="BC210">SUMPRODUCT(INDEX(AA210:BB210,,'TCO Inputs'!$AZ$12-2023+_xlfn.SEQUENCE('TCO Inputs'!$AZ$13))*INDEX('VKT US'!C100:AA100,,_xlfn.SEQUENCE('TCO Inputs'!$AZ$13)))*m2k*CONVERT(0.9072,"g","ton")</f>
        <v>14.024153567382362</v>
      </c>
      <c r="BM210" s="123" t="s">
        <v>220</v>
      </c>
      <c r="BN210" s="125">
        <f>BN98/293.07*(1/(VLOOKUP($BM210,'Fuel economy adjusted factor'!$A$2:$L$52,5,FALSE)*m2k))</f>
        <v>76.165265331429296</v>
      </c>
      <c r="BO210" s="125">
        <f>BO98/293.07*(1/(VLOOKUP($BM210,'Fuel economy adjusted factor'!$A$2:$L$52,5,FALSE)*m2k))</f>
        <v>76.165265331429296</v>
      </c>
      <c r="BP210" s="125">
        <f>BP98/293.07*(1/(VLOOKUP($BM210,'Fuel economy adjusted factor'!$A$2:$L$52,5,FALSE)*m2k))</f>
        <v>60.038967755765661</v>
      </c>
      <c r="BQ210" s="125">
        <f>BQ98/293.07*(1/(VLOOKUP($BM210,'Fuel economy adjusted factor'!$A$2:$L$52,5,FALSE)*m2k))</f>
        <v>60.038967755765661</v>
      </c>
      <c r="BR210" s="125">
        <f>BR98/293.07*(1/(VLOOKUP($BM210,'Fuel economy adjusted factor'!$A$2:$L$52,5,FALSE)*m2k))</f>
        <v>60.038967755765661</v>
      </c>
      <c r="BS210" s="125">
        <f>BS98/293.07*(1/(VLOOKUP($BM210,'Fuel economy adjusted factor'!$A$2:$L$52,5,FALSE)*m2k))</f>
        <v>60.038967755765661</v>
      </c>
      <c r="BT210" s="125">
        <f>BT98/293.07*(1/(VLOOKUP($BM210,'Fuel economy adjusted factor'!$A$2:$L$52,5,FALSE)*m2k))</f>
        <v>60.038967755765661</v>
      </c>
      <c r="BU210" s="125">
        <f>BU98/293.07*(1/(VLOOKUP($BM210,'Fuel economy adjusted factor'!$A$2:$L$52,5,FALSE)*m2k))</f>
        <v>3.3914882213068522</v>
      </c>
      <c r="BV210" s="125">
        <f>BV98/293.07*(1/(VLOOKUP($BM210,'Fuel economy adjusted factor'!$A$2:$L$52,5,FALSE)*m2k))</f>
        <v>3.3914882213068522</v>
      </c>
      <c r="BW210" s="125">
        <f>BW98/293.07*(1/(VLOOKUP($BM210,'Fuel economy adjusted factor'!$A$2:$L$52,5,FALSE)*m2k))</f>
        <v>3.3914882213068522</v>
      </c>
      <c r="BX210" s="125">
        <f>BX98/293.07*(1/(VLOOKUP($BM210,'Fuel economy adjusted factor'!$A$2:$L$52,5,FALSE)*m2k))</f>
        <v>3.3914882213068522</v>
      </c>
      <c r="BY210" s="125">
        <f>BY98/293.07*(1/(VLOOKUP($BM210,'Fuel economy adjusted factor'!$A$2:$L$52,5,FALSE)*m2k))</f>
        <v>3.3914882213068522</v>
      </c>
      <c r="BZ210" s="125">
        <f>BZ98/293.07*(1/(VLOOKUP($BM210,'Fuel economy adjusted factor'!$A$2:$L$52,5,FALSE)*m2k))</f>
        <v>3.5370557323632901</v>
      </c>
      <c r="CA210" s="125">
        <f>CA98/293.07*(1/(VLOOKUP($BM210,'Fuel economy adjusted factor'!$A$2:$L$52,5,FALSE)*m2k))</f>
        <v>3.5370557323632901</v>
      </c>
      <c r="CB210" s="125">
        <f>CB98/293.07*(1/(VLOOKUP($BM210,'Fuel economy adjusted factor'!$A$2:$L$52,5,FALSE)*m2k))</f>
        <v>3.5370557323632901</v>
      </c>
      <c r="CC210" s="125">
        <f>CC98/293.07*(1/(VLOOKUP($BM210,'Fuel economy adjusted factor'!$A$2:$L$52,5,FALSE)*m2k))</f>
        <v>3.5370557323632901</v>
      </c>
      <c r="CD210" s="125">
        <f>CD98/293.07*(1/(VLOOKUP($BM210,'Fuel economy adjusted factor'!$A$2:$L$52,5,FALSE)*m2k))</f>
        <v>3.5370557323632901</v>
      </c>
      <c r="CE210" s="125">
        <f>CE98/293.07*(1/(VLOOKUP($BM210,'Fuel economy adjusted factor'!$A$2:$L$52,5,FALSE)*m2k))</f>
        <v>3.5863608570759555</v>
      </c>
      <c r="CF210" s="125">
        <f>CF98/293.07*(1/(VLOOKUP($BM210,'Fuel economy adjusted factor'!$A$2:$L$52,5,FALSE)*m2k))</f>
        <v>3.5863608570759555</v>
      </c>
      <c r="CG210" s="125">
        <f>CG98/293.07*(1/(VLOOKUP($BM210,'Fuel economy adjusted factor'!$A$2:$L$52,5,FALSE)*m2k))</f>
        <v>3.5863608570759555</v>
      </c>
      <c r="CH210" s="125">
        <f>CH98/293.07*(1/(VLOOKUP($BM210,'Fuel economy adjusted factor'!$A$2:$L$52,5,FALSE)*m2k))</f>
        <v>3.5863608570759555</v>
      </c>
      <c r="CI210" s="125">
        <f>CI98/293.07*(1/(VLOOKUP($BM210,'Fuel economy adjusted factor'!$A$2:$L$52,5,FALSE)*m2k))</f>
        <v>3.5863608570759555</v>
      </c>
      <c r="CJ210" s="125">
        <f>CJ98/293.07*(1/(VLOOKUP($BM210,'Fuel economy adjusted factor'!$A$2:$L$52,5,FALSE)*m2k))</f>
        <v>3.7125584977095607</v>
      </c>
      <c r="CK210" s="125">
        <f>CK98/293.07*(1/(VLOOKUP($BM210,'Fuel economy adjusted factor'!$A$2:$L$52,5,FALSE)*m2k))</f>
        <v>3.7125584977095607</v>
      </c>
      <c r="CL210" s="125">
        <f>CL98/293.07*(1/(VLOOKUP($BM210,'Fuel economy adjusted factor'!$A$2:$L$52,5,FALSE)*m2k))</f>
        <v>3.7125584977095607</v>
      </c>
      <c r="CM210" s="125">
        <f>CM98/293.07*(1/(VLOOKUP($BM210,'Fuel economy adjusted factor'!$A$2:$L$52,5,FALSE)*m2k))</f>
        <v>3.7125584977095607</v>
      </c>
      <c r="CN210" s="125">
        <f>CN98/293.07*(1/(VLOOKUP($BM210,'Fuel economy adjusted factor'!$A$2:$L$52,5,FALSE)*m2k))</f>
        <v>3.7125584977095607</v>
      </c>
      <c r="CO210" s="125">
        <f>CO98/293.07*(1/(VLOOKUP($BM210,'Fuel economy adjusted factor'!$A$2:$L$52,5,FALSE)*m2k))</f>
        <v>3.8722131872553311</v>
      </c>
      <c r="CP210" s="98" cm="1">
        <f t="array" ref="CP210">SUMPRODUCT(INDEX(BN210:CO210,,'TCO Inputs'!$AZ$12-2023+_xlfn.SEQUENCE('TCO Inputs'!$AZ$13))*INDEX('VKT US'!C100:AA100,,_xlfn.SEQUENCE('TCO Inputs'!$AZ$13)))*m2k*CONVERT(0.9072,"g","ton")</f>
        <v>9.0258609101927458</v>
      </c>
      <c r="CQ210" s="194"/>
      <c r="CR210" s="123" t="s">
        <v>220</v>
      </c>
      <c r="CS210" s="125">
        <f>CS98/293.07*(1/(VLOOKUP($BM210,'Fuel economy adjusted factor'!$A$2:$L$52,5,FALSE)*m2k))/'TCO Inputs'!$AZ$84</f>
        <v>89.606194507563885</v>
      </c>
      <c r="CT210" s="125">
        <f>CT98/293.07*(1/(VLOOKUP($BM210,'Fuel economy adjusted factor'!$A$2:$L$52,5,FALSE)*m2k))</f>
        <v>3.5664040208827341</v>
      </c>
      <c r="CU210" s="125">
        <f>CU98/293.07*(1/(VLOOKUP($BM210,'Fuel economy adjusted factor'!$A$2:$L$52,5,FALSE)*m2k))</f>
        <v>3.5664040208827341</v>
      </c>
      <c r="CV210" s="125">
        <f>CV98/293.07*(1/(VLOOKUP($BM210,'Fuel economy adjusted factor'!$A$2:$L$52,5,FALSE)*m2k))</f>
        <v>3.5664040208827341</v>
      </c>
      <c r="CW210" s="125">
        <f>CW98/293.07*(1/(VLOOKUP($BM210,'Fuel economy adjusted factor'!$A$2:$L$52,5,FALSE)*m2k))</f>
        <v>3.5664040208827341</v>
      </c>
      <c r="CX210" s="125">
        <f>CX98/293.07*(1/(VLOOKUP($BM210,'Fuel economy adjusted factor'!$A$2:$L$52,5,FALSE)*m2k))</f>
        <v>3.5664040208827341</v>
      </c>
      <c r="CY210" s="125">
        <f>CY98/293.07*(1/(VLOOKUP($BM210,'Fuel economy adjusted factor'!$A$2:$L$52,5,FALSE)*m2k))</f>
        <v>3.5664040208827341</v>
      </c>
      <c r="CZ210" s="125">
        <f>CZ98/293.07*(1/(VLOOKUP($BM210,'Fuel economy adjusted factor'!$A$2:$L$52,5,FALSE)*m2k))</f>
        <v>3.5664040208827341</v>
      </c>
      <c r="DA210" s="125">
        <f>DA98/293.07*(1/(VLOOKUP($BM210,'Fuel economy adjusted factor'!$A$2:$L$52,5,FALSE)*m2k))</f>
        <v>3.5664040208827341</v>
      </c>
      <c r="DB210" s="125">
        <f>DB98/293.07*(1/(VLOOKUP($BM210,'Fuel economy adjusted factor'!$A$2:$L$52,5,FALSE)*m2k))</f>
        <v>3.5664040208827341</v>
      </c>
      <c r="DC210" s="125">
        <f>DC98/293.07*(1/(VLOOKUP($BM210,'Fuel economy adjusted factor'!$A$2:$L$52,5,FALSE)*m2k))</f>
        <v>3.5664040208827341</v>
      </c>
      <c r="DD210" s="125">
        <f>DD98/293.07*(1/(VLOOKUP($BM210,'Fuel economy adjusted factor'!$A$2:$L$52,5,FALSE)*m2k))</f>
        <v>3.5664040208827341</v>
      </c>
      <c r="DE210" s="125">
        <f>DE98/293.07*(1/(VLOOKUP($BM210,'Fuel economy adjusted factor'!$A$2:$L$52,5,FALSE)*m2k))</f>
        <v>3.6685360649303957</v>
      </c>
      <c r="DF210" s="125">
        <f>DF98/293.07*(1/(VLOOKUP($BM210,'Fuel economy adjusted factor'!$A$2:$L$52,5,FALSE)*m2k))</f>
        <v>3.6685360649303957</v>
      </c>
      <c r="DG210" s="125">
        <f>DG98/293.07*(1/(VLOOKUP($BM210,'Fuel economy adjusted factor'!$A$2:$L$52,5,FALSE)*m2k))</f>
        <v>3.6685360649303957</v>
      </c>
      <c r="DH210" s="125">
        <f>DH98/293.07*(1/(VLOOKUP($BM210,'Fuel economy adjusted factor'!$A$2:$L$52,5,FALSE)*m2k))</f>
        <v>3.6685360649303957</v>
      </c>
      <c r="DI210" s="125">
        <f>DI98/293.07*(1/(VLOOKUP($BM210,'Fuel economy adjusted factor'!$A$2:$L$52,5,FALSE)*m2k))</f>
        <v>3.6685360649303957</v>
      </c>
      <c r="DJ210" s="125">
        <f>DJ98/293.07*(1/(VLOOKUP($BM210,'Fuel economy adjusted factor'!$A$2:$L$52,5,FALSE)*m2k))</f>
        <v>3.859299940306776</v>
      </c>
      <c r="DK210" s="125">
        <f>DK98/293.07*(1/(VLOOKUP($BM210,'Fuel economy adjusted factor'!$A$2:$L$52,5,FALSE)*m2k))</f>
        <v>3.859299940306776</v>
      </c>
      <c r="DL210" s="125">
        <f>DL98/293.07*(1/(VLOOKUP($BM210,'Fuel economy adjusted factor'!$A$2:$L$52,5,FALSE)*m2k))</f>
        <v>3.859299940306776</v>
      </c>
      <c r="DM210" s="125">
        <f>DM98/293.07*(1/(VLOOKUP($BM210,'Fuel economy adjusted factor'!$A$2:$L$52,5,FALSE)*m2k))</f>
        <v>3.859299940306776</v>
      </c>
      <c r="DN210" s="125">
        <f>DN98/293.07*(1/(VLOOKUP($BM210,'Fuel economy adjusted factor'!$A$2:$L$52,5,FALSE)*m2k))</f>
        <v>3.859299940306776</v>
      </c>
      <c r="DO210" s="125">
        <f>DO98/293.07*(1/(VLOOKUP($BM210,'Fuel economy adjusted factor'!$A$2:$L$52,5,FALSE)*m2k))</f>
        <v>3.9854975809403821</v>
      </c>
      <c r="DP210" s="125">
        <f>DP98/293.07*(1/(VLOOKUP($BM210,'Fuel economy adjusted factor'!$A$2:$L$52,5,FALSE)*m2k))</f>
        <v>3.9854975809403821</v>
      </c>
      <c r="DQ210" s="125">
        <f>DQ98/293.07*(1/(VLOOKUP($BM210,'Fuel economy adjusted factor'!$A$2:$L$52,5,FALSE)*m2k))</f>
        <v>3.9854975809403821</v>
      </c>
      <c r="DR210" s="125">
        <f>DR98/293.07*(1/(VLOOKUP($BM210,'Fuel economy adjusted factor'!$A$2:$L$52,5,FALSE)*m2k))</f>
        <v>3.9854975809403821</v>
      </c>
      <c r="DS210" s="125">
        <f>DS98/293.07*(1/(VLOOKUP($BM210,'Fuel economy adjusted factor'!$A$2:$L$52,5,FALSE)*m2k))</f>
        <v>3.9854975809403821</v>
      </c>
      <c r="DT210" s="125">
        <f>DT98/293.07*(1/(VLOOKUP($BM210,'Fuel economy adjusted factor'!$A$2:$L$52,5,FALSE)*m2k))</f>
        <v>4.1457392362565422</v>
      </c>
      <c r="DU210" s="98" cm="1">
        <f t="array" ref="DU210">SUMPRODUCT(INDEX(CS210:DT210,,'TCO Inputs'!$AZ$12-2023+_xlfn.SEQUENCE('TCO Inputs'!$AZ$13))*INDEX('VKT US'!C100:AA100,,_xlfn.SEQUENCE('TCO Inputs'!$AZ$13)))*m2k*CONVERT(0.9072,"g","ton")</f>
        <v>2.6529284699374291</v>
      </c>
      <c r="DW210" s="123" t="s">
        <v>220</v>
      </c>
      <c r="DX210" s="125">
        <f>DX98/293.07*(1/(VLOOKUP($BM210,'Fuel economy adjusted factor'!$A$2:$L$52,5,FALSE)*m2k))/'TCO Inputs'!$AZ$84</f>
        <v>118.38578458412442</v>
      </c>
      <c r="DY210" s="125">
        <f>DY98/293.07*(1/(VLOOKUP($BM210,'Fuel economy adjusted factor'!$A$2:$L$52,5,FALSE)*m2k))/'TCO Inputs'!$AZ$84</f>
        <v>118.38578458412442</v>
      </c>
      <c r="DZ210" s="125">
        <f>DZ98/293.07*(1/(VLOOKUP($BM210,'Fuel economy adjusted factor'!$A$2:$L$52,5,FALSE)*m2k))/'TCO Inputs'!$AZ$84</f>
        <v>103.57313931034278</v>
      </c>
      <c r="EA210" s="125">
        <f>EA98/293.07*(1/(VLOOKUP($BM210,'Fuel economy adjusted factor'!$A$2:$L$52,5,FALSE)*m2k))/'TCO Inputs'!$AZ$84</f>
        <v>103.57313931034278</v>
      </c>
      <c r="EB210" s="125">
        <f>EB98/293.07*(1/(VLOOKUP($BM210,'Fuel economy adjusted factor'!$A$2:$L$52,5,FALSE)*m2k))/'TCO Inputs'!$AZ$84</f>
        <v>103.57313931034278</v>
      </c>
      <c r="EC210" s="125">
        <f>EC98/293.07*(1/(VLOOKUP($BM210,'Fuel economy adjusted factor'!$A$2:$L$52,5,FALSE)*m2k))/'TCO Inputs'!$AZ$84</f>
        <v>103.57313931034278</v>
      </c>
      <c r="ED210" s="125">
        <f>ED98/293.07*(1/(VLOOKUP($BM210,'Fuel economy adjusted factor'!$A$2:$L$52,5,FALSE)*m2k))/'TCO Inputs'!$AZ$84</f>
        <v>103.57313931034278</v>
      </c>
      <c r="EE210" s="125">
        <f>EE98/293.07*(1/(VLOOKUP($BM210,'Fuel economy adjusted factor'!$A$2:$L$52,5,FALSE)*m2k))/'TCO Inputs'!$AZ$84</f>
        <v>64.43922909247874</v>
      </c>
      <c r="EF210" s="125">
        <f>EF98/293.07*(1/(VLOOKUP($BM210,'Fuel economy adjusted factor'!$A$2:$L$52,5,FALSE)*m2k))/'TCO Inputs'!$AZ$84</f>
        <v>64.43922909247874</v>
      </c>
      <c r="EG210" s="125">
        <f>EG98/293.07*(1/(VLOOKUP($BM210,'Fuel economy adjusted factor'!$A$2:$L$52,5,FALSE)*m2k))/'TCO Inputs'!$AZ$84</f>
        <v>64.43922909247874</v>
      </c>
      <c r="EH210" s="125">
        <f>EH98/293.07*(1/(VLOOKUP($BM210,'Fuel economy adjusted factor'!$A$2:$L$52,5,FALSE)*m2k))/'TCO Inputs'!$AZ$84</f>
        <v>64.43922909247874</v>
      </c>
      <c r="EI210" s="125">
        <f>EI98/293.07*(1/(VLOOKUP($BM210,'Fuel economy adjusted factor'!$A$2:$L$52,5,FALSE)*m2k))/'TCO Inputs'!$AZ$84</f>
        <v>64.43922909247874</v>
      </c>
      <c r="EJ210" s="125">
        <f>EJ98/293.07*(1/(VLOOKUP($BM210,'Fuel economy adjusted factor'!$A$2:$L$52,5,FALSE)*m2k))/'TCO Inputs'!$AZ$84</f>
        <v>57.376949099949897</v>
      </c>
      <c r="EK210" s="125">
        <f>EK98/293.07*(1/(VLOOKUP($BM210,'Fuel economy adjusted factor'!$A$2:$L$52,5,FALSE)*m2k))/'TCO Inputs'!$AZ$84</f>
        <v>57.376949099949897</v>
      </c>
      <c r="EL210" s="125">
        <f>EL98/293.07*(1/(VLOOKUP($BM210,'Fuel economy adjusted factor'!$A$2:$L$52,5,FALSE)*m2k))/'TCO Inputs'!$AZ$84</f>
        <v>57.376949099949897</v>
      </c>
      <c r="EM210" s="125">
        <f>EM98/293.07*(1/(VLOOKUP($BM210,'Fuel economy adjusted factor'!$A$2:$L$52,5,FALSE)*m2k))/'TCO Inputs'!$AZ$84</f>
        <v>57.376949099949897</v>
      </c>
      <c r="EN210" s="125">
        <f>EN98/293.07*(1/(VLOOKUP($BM210,'Fuel economy adjusted factor'!$A$2:$L$52,5,FALSE)*m2k))/'TCO Inputs'!$AZ$84</f>
        <v>57.376949099949897</v>
      </c>
      <c r="EO210" s="125">
        <f>EO98/293.07*(1/(VLOOKUP($BM210,'Fuel economy adjusted factor'!$A$2:$L$52,5,FALSE)*m2k))/'TCO Inputs'!$AZ$84</f>
        <v>55.752465848442448</v>
      </c>
      <c r="EP210" s="125">
        <f>EP98/293.07*(1/(VLOOKUP($BM210,'Fuel economy adjusted factor'!$A$2:$L$52,5,FALSE)*m2k))/'TCO Inputs'!$AZ$84</f>
        <v>55.752465848442448</v>
      </c>
      <c r="EQ210" s="125">
        <f>EQ98/293.07*(1/(VLOOKUP($BM210,'Fuel economy adjusted factor'!$A$2:$L$52,5,FALSE)*m2k))/'TCO Inputs'!$AZ$84</f>
        <v>55.752465848442448</v>
      </c>
      <c r="ER210" s="125">
        <f>ER98/293.07*(1/(VLOOKUP($BM210,'Fuel economy adjusted factor'!$A$2:$L$52,5,FALSE)*m2k))/'TCO Inputs'!$AZ$84</f>
        <v>55.752465848442448</v>
      </c>
      <c r="ES210" s="125">
        <f>ES98/293.07*(1/(VLOOKUP($BM210,'Fuel economy adjusted factor'!$A$2:$L$52,5,FALSE)*m2k))/'TCO Inputs'!$AZ$84</f>
        <v>55.752465848442448</v>
      </c>
      <c r="ET210" s="125">
        <f>ET98/293.07*(1/(VLOOKUP($BM210,'Fuel economy adjusted factor'!$A$2:$L$52,5,FALSE)*m2k))/'TCO Inputs'!$AZ$84</f>
        <v>53.779341569720032</v>
      </c>
      <c r="EU210" s="125">
        <f>EU98/293.07*(1/(VLOOKUP($BM210,'Fuel economy adjusted factor'!$A$2:$L$52,5,FALSE)*m2k))/'TCO Inputs'!$AZ$84</f>
        <v>53.779341569720032</v>
      </c>
      <c r="EV210" s="125">
        <f>EV98/293.07*(1/(VLOOKUP($BM210,'Fuel economy adjusted factor'!$A$2:$L$52,5,FALSE)*m2k))/'TCO Inputs'!$AZ$84</f>
        <v>53.779341569720032</v>
      </c>
      <c r="EW210" s="125">
        <f>EW98/293.07*(1/(VLOOKUP($BM210,'Fuel economy adjusted factor'!$A$2:$L$52,5,FALSE)*m2k))/'TCO Inputs'!$AZ$84</f>
        <v>53.779341569720032</v>
      </c>
      <c r="EX210" s="125">
        <f>EX98/293.07*(1/(VLOOKUP($BM210,'Fuel economy adjusted factor'!$A$2:$L$52,5,FALSE)*m2k))/'TCO Inputs'!$AZ$84</f>
        <v>53.779341569720032</v>
      </c>
      <c r="EY210" s="125">
        <f>EY98/293.07*(1/(VLOOKUP($BM210,'Fuel economy adjusted factor'!$A$2:$L$52,5,FALSE)*m2k))/'TCO Inputs'!$AZ$84</f>
        <v>50.634883767908633</v>
      </c>
      <c r="EZ210" s="98" cm="1">
        <f t="array" ref="EZ210">SUMPRODUCT(INDEX(DX210:EY210,,'TCO Inputs'!$AZ$12-2023+_xlfn.SEQUENCE('TCO Inputs'!$AZ$13))*INDEX('VKT US'!C100:AA100,,_xlfn.SEQUENCE('TCO Inputs'!$AZ$13)))*m2k*CONVERT(0.9072,"g","ton")</f>
        <v>21.201898745616262</v>
      </c>
      <c r="FB210" s="123" t="s">
        <v>220</v>
      </c>
      <c r="FC210" s="125">
        <f>FC98/293.07*(1/(VLOOKUP($BM210,'Fuel economy adjusted factor'!$A$2:$L$52,5,FALSE)*m2k))/'TCO Inputs'!$AZ$84</f>
        <v>127.97633907616876</v>
      </c>
      <c r="FD210" s="125">
        <f>FD98/293.07*(1/(VLOOKUP($BM210,'Fuel economy adjusted factor'!$A$2:$L$52,5,FALSE)*m2k))/'TCO Inputs'!$AZ$84</f>
        <v>127.97633907616876</v>
      </c>
      <c r="FE210" s="125">
        <f>FE98/293.07*(1/(VLOOKUP($BM210,'Fuel economy adjusted factor'!$A$2:$L$52,5,FALSE)*m2k))/'TCO Inputs'!$AZ$84</f>
        <v>111.57432547448403</v>
      </c>
      <c r="FF210" s="125">
        <f>FF98/293.07*(1/(VLOOKUP($BM210,'Fuel economy adjusted factor'!$A$2:$L$52,5,FALSE)*m2k))/'TCO Inputs'!$AZ$84</f>
        <v>111.57432547448403</v>
      </c>
      <c r="FG210" s="125">
        <f>FG98/293.07*(1/(VLOOKUP($BM210,'Fuel economy adjusted factor'!$A$2:$L$52,5,FALSE)*m2k))/'TCO Inputs'!$AZ$84</f>
        <v>111.57432547448403</v>
      </c>
      <c r="FH210" s="125">
        <f>FH98/293.07*(1/(VLOOKUP($BM210,'Fuel economy adjusted factor'!$A$2:$L$52,5,FALSE)*m2k))/'TCO Inputs'!$AZ$84</f>
        <v>111.57432547448403</v>
      </c>
      <c r="FI210" s="125">
        <f>FI98/293.07*(1/(VLOOKUP($BM210,'Fuel economy adjusted factor'!$A$2:$L$52,5,FALSE)*m2k))/'TCO Inputs'!$AZ$84</f>
        <v>111.57432547448403</v>
      </c>
      <c r="FJ210" s="125">
        <f>FJ98/293.07*(1/(VLOOKUP($BM210,'Fuel economy adjusted factor'!$A$2:$L$52,5,FALSE)*m2k))/'TCO Inputs'!$AZ$84</f>
        <v>70.571799679101119</v>
      </c>
      <c r="FK210" s="125">
        <f>FK98/293.07*(1/(VLOOKUP($BM210,'Fuel economy adjusted factor'!$A$2:$L$52,5,FALSE)*m2k))/'TCO Inputs'!$AZ$84</f>
        <v>70.571799679101119</v>
      </c>
      <c r="FL210" s="125">
        <f>FL98/293.07*(1/(VLOOKUP($BM210,'Fuel economy adjusted factor'!$A$2:$L$52,5,FALSE)*m2k))/'TCO Inputs'!$AZ$84</f>
        <v>70.571799679101119</v>
      </c>
      <c r="FM210" s="125">
        <f>FM98/293.07*(1/(VLOOKUP($BM210,'Fuel economy adjusted factor'!$A$2:$L$52,5,FALSE)*m2k))/'TCO Inputs'!$AZ$84</f>
        <v>70.571799679101119</v>
      </c>
      <c r="FN210" s="125">
        <f>FN98/293.07*(1/(VLOOKUP($BM210,'Fuel economy adjusted factor'!$A$2:$L$52,5,FALSE)*m2k))/'TCO Inputs'!$AZ$84</f>
        <v>70.571799679101119</v>
      </c>
      <c r="FO210" s="125">
        <f>FO98/293.07*(1/(VLOOKUP($BM210,'Fuel economy adjusted factor'!$A$2:$L$52,5,FALSE)*m2k))/'TCO Inputs'!$AZ$84</f>
        <v>62.506236155018506</v>
      </c>
      <c r="FP210" s="125">
        <f>FP98/293.07*(1/(VLOOKUP($BM210,'Fuel economy adjusted factor'!$A$2:$L$52,5,FALSE)*m2k))/'TCO Inputs'!$AZ$84</f>
        <v>62.506236155018506</v>
      </c>
      <c r="FQ210" s="125">
        <f>FQ98/293.07*(1/(VLOOKUP($BM210,'Fuel economy adjusted factor'!$A$2:$L$52,5,FALSE)*m2k))/'TCO Inputs'!$AZ$84</f>
        <v>62.506236155018506</v>
      </c>
      <c r="FR210" s="125">
        <f>FR98/293.07*(1/(VLOOKUP($BM210,'Fuel economy adjusted factor'!$A$2:$L$52,5,FALSE)*m2k))/'TCO Inputs'!$AZ$84</f>
        <v>62.506236155018506</v>
      </c>
      <c r="FS210" s="125">
        <f>FS98/293.07*(1/(VLOOKUP($BM210,'Fuel economy adjusted factor'!$A$2:$L$52,5,FALSE)*m2k))/'TCO Inputs'!$AZ$84</f>
        <v>62.506236155018506</v>
      </c>
      <c r="FT210" s="125">
        <f>FT98/293.07*(1/(VLOOKUP($BM210,'Fuel economy adjusted factor'!$A$2:$L$52,5,FALSE)*m2k))/'TCO Inputs'!$AZ$84</f>
        <v>61.079065331383276</v>
      </c>
      <c r="FU210" s="125">
        <f>FU98/293.07*(1/(VLOOKUP($BM210,'Fuel economy adjusted factor'!$A$2:$L$52,5,FALSE)*m2k))/'TCO Inputs'!$AZ$84</f>
        <v>61.079065331383276</v>
      </c>
      <c r="FV210" s="125">
        <f>FV98/293.07*(1/(VLOOKUP($BM210,'Fuel economy adjusted factor'!$A$2:$L$52,5,FALSE)*m2k))/'TCO Inputs'!$AZ$84</f>
        <v>61.079065331383276</v>
      </c>
      <c r="FW210" s="125">
        <f>FW98/293.07*(1/(VLOOKUP($BM210,'Fuel economy adjusted factor'!$A$2:$L$52,5,FALSE)*m2k))/'TCO Inputs'!$AZ$84</f>
        <v>61.079065331383276</v>
      </c>
      <c r="FX210" s="125">
        <f>FX98/293.07*(1/(VLOOKUP($BM210,'Fuel economy adjusted factor'!$A$2:$L$52,5,FALSE)*m2k))/'TCO Inputs'!$AZ$84</f>
        <v>61.079065331383276</v>
      </c>
      <c r="FY210" s="125">
        <f>FY98/293.07*(1/(VLOOKUP($BM210,'Fuel economy adjusted factor'!$A$2:$L$52,5,FALSE)*m2k))/'TCO Inputs'!$AZ$84</f>
        <v>59.10259677422237</v>
      </c>
      <c r="FZ210" s="125">
        <f>FZ98/293.07*(1/(VLOOKUP($BM210,'Fuel economy adjusted factor'!$A$2:$L$52,5,FALSE)*m2k))/'TCO Inputs'!$AZ$84</f>
        <v>59.10259677422237</v>
      </c>
      <c r="GA210" s="125">
        <f>GA98/293.07*(1/(VLOOKUP($BM210,'Fuel economy adjusted factor'!$A$2:$L$52,5,FALSE)*m2k))/'TCO Inputs'!$AZ$84</f>
        <v>59.10259677422237</v>
      </c>
      <c r="GB210" s="125">
        <f>GB98/293.07*(1/(VLOOKUP($BM210,'Fuel economy adjusted factor'!$A$2:$L$52,5,FALSE)*m2k))/'TCO Inputs'!$AZ$84</f>
        <v>59.10259677422237</v>
      </c>
      <c r="GC210" s="125">
        <f>GC98/293.07*(1/(VLOOKUP($BM210,'Fuel economy adjusted factor'!$A$2:$L$52,5,FALSE)*m2k))/'TCO Inputs'!$AZ$84</f>
        <v>59.10259677422237</v>
      </c>
      <c r="GD210" s="125">
        <f>GD98/293.07*(1/(VLOOKUP($BM210,'Fuel economy adjusted factor'!$A$2:$L$52,5,FALSE)*m2k))/'TCO Inputs'!$AZ$84</f>
        <v>55.851122062378565</v>
      </c>
      <c r="GE210" s="98" cm="1">
        <f t="array" ref="GE210">SUMPRODUCT(INDEX(FC210:GD210,,'TCO Inputs'!$AZ$12-2023+_xlfn.SEQUENCE('TCO Inputs'!$AZ$13))*INDEX('VKT US'!C100:AA100,,_xlfn.SEQUENCE('TCO Inputs'!$AZ$13)))*m2k*CONVERT(0.9072,"g","ton")</f>
        <v>22.970351516653544</v>
      </c>
      <c r="GH210" s="123" t="s">
        <v>220</v>
      </c>
      <c r="GI210" s="125">
        <f>GI98/293.07*(1/(VLOOKUP($GH210,'Fuel economy adjusted factor'!$A$2:$L$52,5,FALSE)*m2k))/'TCO Inputs'!$AZ$84</f>
        <v>225.29127363454901</v>
      </c>
      <c r="GJ210" s="125">
        <f>GJ98/293.07*(1/(VLOOKUP($GH210,'Fuel economy adjusted factor'!$A$2:$L$52,5,FALSE)*m2k))/'TCO Inputs'!$AZ$84</f>
        <v>225.29127363454901</v>
      </c>
      <c r="GK210" s="125">
        <f>GK98/293.07*(1/(VLOOKUP($GH210,'Fuel economy adjusted factor'!$A$2:$L$52,5,FALSE)*m2k))/'TCO Inputs'!$AZ$84</f>
        <v>225.29127363454901</v>
      </c>
      <c r="GL210" s="125">
        <f>GL98/293.07*(1/(VLOOKUP($GH210,'Fuel economy adjusted factor'!$A$2:$L$52,5,FALSE)*m2k))/'TCO Inputs'!$AZ$84</f>
        <v>225.29127363454901</v>
      </c>
      <c r="GM210" s="125">
        <f>GM98/293.07*(1/(VLOOKUP($GH210,'Fuel economy adjusted factor'!$A$2:$L$52,5,FALSE)*m2k))/'TCO Inputs'!$AZ$84</f>
        <v>225.29127363454901</v>
      </c>
      <c r="GN210" s="125">
        <f>GN98/293.07*(1/(VLOOKUP($GH210,'Fuel economy adjusted factor'!$A$2:$L$52,5,FALSE)*m2k))/'TCO Inputs'!$AZ$84</f>
        <v>225.29127363454901</v>
      </c>
      <c r="GO210" s="125">
        <f>GO98/293.07*(1/(VLOOKUP($GH210,'Fuel economy adjusted factor'!$A$2:$L$52,5,FALSE)*m2k))/'TCO Inputs'!$AZ$84</f>
        <v>225.29127363454901</v>
      </c>
      <c r="GP210" s="125">
        <f>GP98/293.07*(1/(VLOOKUP($GH210,'Fuel economy adjusted factor'!$A$2:$L$52,5,FALSE)*m2k))/'TCO Inputs'!$AZ$84</f>
        <v>225.29127363454901</v>
      </c>
      <c r="GQ210" s="125">
        <f>GQ98/293.07*(1/(VLOOKUP($GH210,'Fuel economy adjusted factor'!$A$2:$L$52,5,FALSE)*m2k))/'TCO Inputs'!$AZ$84</f>
        <v>225.29127363454901</v>
      </c>
      <c r="GR210" s="125">
        <f>GR98/293.07*(1/(VLOOKUP($GH210,'Fuel economy adjusted factor'!$A$2:$L$52,5,FALSE)*m2k))/'TCO Inputs'!$AZ$84</f>
        <v>225.29127363454901</v>
      </c>
      <c r="GS210" s="125">
        <f>GS98/293.07*(1/(VLOOKUP($GH210,'Fuel economy adjusted factor'!$A$2:$L$52,5,FALSE)*m2k))/'TCO Inputs'!$AZ$84</f>
        <v>225.29127363454901</v>
      </c>
      <c r="GT210" s="125">
        <f>GT98/293.07*(1/(VLOOKUP($GH210,'Fuel economy adjusted factor'!$A$2:$L$52,5,FALSE)*m2k))/'TCO Inputs'!$AZ$84</f>
        <v>225.29127363454901</v>
      </c>
      <c r="GU210" s="125">
        <f>GU98/293.07*(1/(VLOOKUP($GH210,'Fuel economy adjusted factor'!$A$2:$L$52,5,FALSE)*m2k))/'TCO Inputs'!$AZ$84</f>
        <v>225.29127363454901</v>
      </c>
      <c r="GV210" s="125">
        <f>GV98/293.07*(1/(VLOOKUP($GH210,'Fuel economy adjusted factor'!$A$2:$L$52,5,FALSE)*m2k))/'TCO Inputs'!$AZ$84</f>
        <v>225.29127363454901</v>
      </c>
      <c r="GW210" s="125">
        <f>GW98/293.07*(1/(VLOOKUP($GH210,'Fuel economy adjusted factor'!$A$2:$L$52,5,FALSE)*m2k))/'TCO Inputs'!$AZ$84</f>
        <v>225.29127363454901</v>
      </c>
      <c r="GX210" s="125">
        <f>GX98/293.07*(1/(VLOOKUP($GH210,'Fuel economy adjusted factor'!$A$2:$L$52,5,FALSE)*m2k))/'TCO Inputs'!$AZ$84</f>
        <v>225.29127363454901</v>
      </c>
      <c r="GY210" s="125">
        <f>GY98/293.07*(1/(VLOOKUP($GH210,'Fuel economy adjusted factor'!$A$2:$L$52,5,FALSE)*m2k))/'TCO Inputs'!$AZ$84</f>
        <v>225.29127363454901</v>
      </c>
      <c r="GZ210" s="125">
        <f>GZ98/293.07*(1/(VLOOKUP($GH210,'Fuel economy adjusted factor'!$A$2:$L$52,5,FALSE)*m2k))/'TCO Inputs'!$AZ$84</f>
        <v>225.29127363454901</v>
      </c>
      <c r="HA210" s="125">
        <f>HA98/293.07*(1/(VLOOKUP($GH210,'Fuel economy adjusted factor'!$A$2:$L$52,5,FALSE)*m2k))/'TCO Inputs'!$AZ$84</f>
        <v>225.29127363454901</v>
      </c>
      <c r="HB210" s="125">
        <f>HB98/293.07*(1/(VLOOKUP($GH210,'Fuel economy adjusted factor'!$A$2:$L$52,5,FALSE)*m2k))/'TCO Inputs'!$AZ$84</f>
        <v>225.29127363454901</v>
      </c>
      <c r="HC210" s="125">
        <f>HC98/293.07*(1/(VLOOKUP($GH210,'Fuel economy adjusted factor'!$A$2:$L$52,5,FALSE)*m2k))/'TCO Inputs'!$AZ$84</f>
        <v>225.29127363454901</v>
      </c>
      <c r="HD210" s="125">
        <f>HD98/293.07*(1/(VLOOKUP($GH210,'Fuel economy adjusted factor'!$A$2:$L$52,5,FALSE)*m2k))/'TCO Inputs'!$AZ$84</f>
        <v>225.29127363454901</v>
      </c>
      <c r="HE210" s="125">
        <f>HE98/293.07*(1/(VLOOKUP($GH210,'Fuel economy adjusted factor'!$A$2:$L$52,5,FALSE)*m2k))/'TCO Inputs'!$AZ$84</f>
        <v>225.29127363454901</v>
      </c>
      <c r="HF210" s="125">
        <f>HF98/293.07*(1/(VLOOKUP($GH210,'Fuel economy adjusted factor'!$A$2:$L$52,5,FALSE)*m2k))/'TCO Inputs'!$AZ$84</f>
        <v>225.29127363454901</v>
      </c>
      <c r="HG210" s="125">
        <f>HG98/293.07*(1/(VLOOKUP($GH210,'Fuel economy adjusted factor'!$A$2:$L$52,5,FALSE)*m2k))/'TCO Inputs'!$AZ$84</f>
        <v>225.29127363454901</v>
      </c>
      <c r="HH210" s="125">
        <f>HH98/293.07*(1/(VLOOKUP($GH210,'Fuel economy adjusted factor'!$A$2:$L$52,5,FALSE)*m2k))/'TCO Inputs'!$AZ$84</f>
        <v>225.29127363454901</v>
      </c>
      <c r="HI210" s="125">
        <f>HI98/293.07*(1/(VLOOKUP($GH210,'Fuel economy adjusted factor'!$A$2:$L$52,5,FALSE)*m2k))/'TCO Inputs'!$AZ$84</f>
        <v>225.29127363454901</v>
      </c>
      <c r="HJ210" s="125">
        <f>HJ98/293.07*(1/(VLOOKUP($GH210,'Fuel economy adjusted factor'!$A$2:$L$52,5,FALSE)*m2k))/'TCO Inputs'!$AZ$84</f>
        <v>225.29127363454901</v>
      </c>
      <c r="HK210" s="98" cm="1">
        <f t="array" ref="HK210">SUMPRODUCT(INDEX(GI210:HJ210,,'TCO Inputs'!$AZ$12-2023+_xlfn.SEQUENCE('TCO Inputs'!$AZ$13))*INDEX('VKT US'!C100:AA100,,_xlfn.SEQUENCE('TCO Inputs'!$AZ$13)))*m2k*CONVERT(0.9072,"g","ton")</f>
        <v>54.509056426221015</v>
      </c>
    </row>
    <row r="211" spans="26:219" x14ac:dyDescent="0.25">
      <c r="Z211" s="123" t="s">
        <v>221</v>
      </c>
      <c r="AA211" s="125">
        <f>AA99/293.07*(1/(VLOOKUP($Z211,'Fuel economy adjusted factor'!$A$2:$L$52,5,FALSE)*m2k))/'TCO Inputs'!$AZ$84</f>
        <v>113.7002925399519</v>
      </c>
      <c r="AB211" s="125">
        <f>AB99/293.07*(1/(VLOOKUP($Z211,'Fuel economy adjusted factor'!$A$2:$L$52,5,FALSE)*m2k))/'TCO Inputs'!$AZ$84</f>
        <v>113.7002925399519</v>
      </c>
      <c r="AC211" s="125">
        <f>AC99/293.07*(1/(VLOOKUP($Z211,'Fuel economy adjusted factor'!$A$2:$L$52,5,FALSE)*m2k))/'TCO Inputs'!$AZ$84</f>
        <v>99.868148690600549</v>
      </c>
      <c r="AD211" s="125">
        <f>AD99/293.07*(1/(VLOOKUP($Z211,'Fuel economy adjusted factor'!$A$2:$L$52,5,FALSE)*m2k))/'TCO Inputs'!$AZ$84</f>
        <v>99.868148690600549</v>
      </c>
      <c r="AE211" s="125">
        <f>AE99/293.07*(1/(VLOOKUP($Z211,'Fuel economy adjusted factor'!$A$2:$L$52,5,FALSE)*m2k))/'TCO Inputs'!$AZ$84</f>
        <v>99.868148690600549</v>
      </c>
      <c r="AF211" s="125">
        <f>AF99/293.07*(1/(VLOOKUP($Z211,'Fuel economy adjusted factor'!$A$2:$L$52,5,FALSE)*m2k))/'TCO Inputs'!$AZ$84</f>
        <v>99.868148690600549</v>
      </c>
      <c r="AG211" s="125">
        <f>AG99/293.07*(1/(VLOOKUP($Z211,'Fuel economy adjusted factor'!$A$2:$L$52,5,FALSE)*m2k))/'TCO Inputs'!$AZ$84</f>
        <v>99.868148690600549</v>
      </c>
      <c r="AH211" s="125">
        <f>AH99/293.07*(1/(VLOOKUP($Z211,'Fuel economy adjusted factor'!$A$2:$L$52,5,FALSE)*m2k))/'TCO Inputs'!$AZ$84</f>
        <v>37.757564336272594</v>
      </c>
      <c r="AI211" s="125">
        <f>AI99/293.07*(1/(VLOOKUP($Z211,'Fuel economy adjusted factor'!$A$2:$L$52,5,FALSE)*m2k))/'TCO Inputs'!$AZ$84</f>
        <v>37.757564336272594</v>
      </c>
      <c r="AJ211" s="125">
        <f>AJ99/293.07*(1/(VLOOKUP($Z211,'Fuel economy adjusted factor'!$A$2:$L$52,5,FALSE)*m2k))/'TCO Inputs'!$AZ$84</f>
        <v>37.757564336272594</v>
      </c>
      <c r="AK211" s="125">
        <f>AK99/293.07*(1/(VLOOKUP($Z211,'Fuel economy adjusted factor'!$A$2:$L$52,5,FALSE)*m2k))/'TCO Inputs'!$AZ$84</f>
        <v>37.757564336272594</v>
      </c>
      <c r="AL211" s="125">
        <f>AL99/293.07*(1/(VLOOKUP($Z211,'Fuel economy adjusted factor'!$A$2:$L$52,5,FALSE)*m2k))/'TCO Inputs'!$AZ$84</f>
        <v>37.757564336272594</v>
      </c>
      <c r="AM211" s="125">
        <f>AM99/293.07*(1/(VLOOKUP($Z211,'Fuel economy adjusted factor'!$A$2:$L$52,5,FALSE)*m2k))/'TCO Inputs'!$AZ$84</f>
        <v>31.735245529951055</v>
      </c>
      <c r="AN211" s="125">
        <f>AN99/293.07*(1/(VLOOKUP($Z211,'Fuel economy adjusted factor'!$A$2:$L$52,5,FALSE)*m2k))/'TCO Inputs'!$AZ$84</f>
        <v>31.735245529951055</v>
      </c>
      <c r="AO211" s="125">
        <f>AO99/293.07*(1/(VLOOKUP($Z211,'Fuel economy adjusted factor'!$A$2:$L$52,5,FALSE)*m2k))/'TCO Inputs'!$AZ$84</f>
        <v>31.735245529951055</v>
      </c>
      <c r="AP211" s="125">
        <f>AP99/293.07*(1/(VLOOKUP($Z211,'Fuel economy adjusted factor'!$A$2:$L$52,5,FALSE)*m2k))/'TCO Inputs'!$AZ$84</f>
        <v>31.735245529951055</v>
      </c>
      <c r="AQ211" s="125">
        <f>AQ99/293.07*(1/(VLOOKUP($Z211,'Fuel economy adjusted factor'!$A$2:$L$52,5,FALSE)*m2k))/'TCO Inputs'!$AZ$84</f>
        <v>31.735245529951055</v>
      </c>
      <c r="AR211" s="125">
        <f>AR99/293.07*(1/(VLOOKUP($Z211,'Fuel economy adjusted factor'!$A$2:$L$52,5,FALSE)*m2k))/'TCO Inputs'!$AZ$84</f>
        <v>31.735245529951055</v>
      </c>
      <c r="AS211" s="125">
        <f>AS99/293.07*(1/(VLOOKUP($Z211,'Fuel economy adjusted factor'!$A$2:$L$52,5,FALSE)*m2k))/'TCO Inputs'!$AZ$84</f>
        <v>31.735245529951055</v>
      </c>
      <c r="AT211" s="125">
        <f>AT99/293.07*(1/(VLOOKUP($Z211,'Fuel economy adjusted factor'!$A$2:$L$52,5,FALSE)*m2k))/'TCO Inputs'!$AZ$84</f>
        <v>31.735245529951055</v>
      </c>
      <c r="AU211" s="125">
        <f>AU99/293.07*(1/(VLOOKUP($Z211,'Fuel economy adjusted factor'!$A$2:$L$52,5,FALSE)*m2k))/'TCO Inputs'!$AZ$84</f>
        <v>31.735245529951055</v>
      </c>
      <c r="AV211" s="125">
        <f>AV99/293.07*(1/(VLOOKUP($Z211,'Fuel economy adjusted factor'!$A$2:$L$52,5,FALSE)*m2k))/'TCO Inputs'!$AZ$84</f>
        <v>31.735245529951055</v>
      </c>
      <c r="AW211" s="125">
        <f>AW99/293.07*(1/(VLOOKUP($Z211,'Fuel economy adjusted factor'!$A$2:$L$52,5,FALSE)*m2k))/'TCO Inputs'!$AZ$84</f>
        <v>31.885080611557481</v>
      </c>
      <c r="AX211" s="125">
        <f>AX99/293.07*(1/(VLOOKUP($Z211,'Fuel economy adjusted factor'!$A$2:$L$52,5,FALSE)*m2k))/'TCO Inputs'!$AZ$84</f>
        <v>31.885080611557481</v>
      </c>
      <c r="AY211" s="125">
        <f>AY99/293.07*(1/(VLOOKUP($Z211,'Fuel economy adjusted factor'!$A$2:$L$52,5,FALSE)*m2k))/'TCO Inputs'!$AZ$84</f>
        <v>31.885080611557481</v>
      </c>
      <c r="AZ211" s="125">
        <f>AZ99/293.07*(1/(VLOOKUP($Z211,'Fuel economy adjusted factor'!$A$2:$L$52,5,FALSE)*m2k))/'TCO Inputs'!$AZ$84</f>
        <v>31.885080611557481</v>
      </c>
      <c r="BA211" s="125">
        <f>BA99/293.07*(1/(VLOOKUP($Z211,'Fuel economy adjusted factor'!$A$2:$L$52,5,FALSE)*m2k))/'TCO Inputs'!$AZ$84</f>
        <v>31.885080611557481</v>
      </c>
      <c r="BB211" s="125">
        <f>BB99/293.07*(1/(VLOOKUP($Z211,'Fuel economy adjusted factor'!$A$2:$L$52,5,FALSE)*m2k))/'TCO Inputs'!$AZ$84</f>
        <v>32.073469749249774</v>
      </c>
      <c r="BC211" s="98" cm="1">
        <f t="array" ref="BC211">SUMPRODUCT(INDEX(AA211:BB211,,'TCO Inputs'!$AZ$12-2023+_xlfn.SEQUENCE('TCO Inputs'!$AZ$13))*INDEX('VKT US'!C101:AA101,,_xlfn.SEQUENCE('TCO Inputs'!$AZ$13)))*m2k*CONVERT(0.9072,"g","ton")</f>
        <v>15.487715070716817</v>
      </c>
      <c r="BM211" s="123" t="s">
        <v>221</v>
      </c>
      <c r="BN211" s="125">
        <f>BN99/293.07*(1/(VLOOKUP($BM211,'Fuel economy adjusted factor'!$A$2:$L$52,5,FALSE)*m2k))</f>
        <v>96.645248658959119</v>
      </c>
      <c r="BO211" s="125">
        <f>BO99/293.07*(1/(VLOOKUP($BM211,'Fuel economy adjusted factor'!$A$2:$L$52,5,FALSE)*m2k))</f>
        <v>96.645248658959119</v>
      </c>
      <c r="BP211" s="125">
        <f>BP99/293.07*(1/(VLOOKUP($BM211,'Fuel economy adjusted factor'!$A$2:$L$52,5,FALSE)*m2k))</f>
        <v>76.182771014241183</v>
      </c>
      <c r="BQ211" s="125">
        <f>BQ99/293.07*(1/(VLOOKUP($BM211,'Fuel economy adjusted factor'!$A$2:$L$52,5,FALSE)*m2k))</f>
        <v>76.182771014241183</v>
      </c>
      <c r="BR211" s="125">
        <f>BR99/293.07*(1/(VLOOKUP($BM211,'Fuel economy adjusted factor'!$A$2:$L$52,5,FALSE)*m2k))</f>
        <v>76.182771014241183</v>
      </c>
      <c r="BS211" s="125">
        <f>BS99/293.07*(1/(VLOOKUP($BM211,'Fuel economy adjusted factor'!$A$2:$L$52,5,FALSE)*m2k))</f>
        <v>76.182771014241183</v>
      </c>
      <c r="BT211" s="125">
        <f>BT99/293.07*(1/(VLOOKUP($BM211,'Fuel economy adjusted factor'!$A$2:$L$52,5,FALSE)*m2k))</f>
        <v>76.182771014241183</v>
      </c>
      <c r="BU211" s="125">
        <f>BU99/293.07*(1/(VLOOKUP($BM211,'Fuel economy adjusted factor'!$A$2:$L$52,5,FALSE)*m2k))</f>
        <v>4.3034212648751611</v>
      </c>
      <c r="BV211" s="125">
        <f>BV99/293.07*(1/(VLOOKUP($BM211,'Fuel economy adjusted factor'!$A$2:$L$52,5,FALSE)*m2k))</f>
        <v>4.3034212648751611</v>
      </c>
      <c r="BW211" s="125">
        <f>BW99/293.07*(1/(VLOOKUP($BM211,'Fuel economy adjusted factor'!$A$2:$L$52,5,FALSE)*m2k))</f>
        <v>4.3034212648751611</v>
      </c>
      <c r="BX211" s="125">
        <f>BX99/293.07*(1/(VLOOKUP($BM211,'Fuel economy adjusted factor'!$A$2:$L$52,5,FALSE)*m2k))</f>
        <v>4.3034212648751611</v>
      </c>
      <c r="BY211" s="125">
        <f>BY99/293.07*(1/(VLOOKUP($BM211,'Fuel economy adjusted factor'!$A$2:$L$52,5,FALSE)*m2k))</f>
        <v>4.3034212648751611</v>
      </c>
      <c r="BZ211" s="125">
        <f>BZ99/293.07*(1/(VLOOKUP($BM211,'Fuel economy adjusted factor'!$A$2:$L$52,5,FALSE)*m2k))</f>
        <v>4.4881302426683494</v>
      </c>
      <c r="CA211" s="125">
        <f>CA99/293.07*(1/(VLOOKUP($BM211,'Fuel economy adjusted factor'!$A$2:$L$52,5,FALSE)*m2k))</f>
        <v>4.4881302426683494</v>
      </c>
      <c r="CB211" s="125">
        <f>CB99/293.07*(1/(VLOOKUP($BM211,'Fuel economy adjusted factor'!$A$2:$L$52,5,FALSE)*m2k))</f>
        <v>4.4881302426683494</v>
      </c>
      <c r="CC211" s="125">
        <f>CC99/293.07*(1/(VLOOKUP($BM211,'Fuel economy adjusted factor'!$A$2:$L$52,5,FALSE)*m2k))</f>
        <v>4.4881302426683494</v>
      </c>
      <c r="CD211" s="125">
        <f>CD99/293.07*(1/(VLOOKUP($BM211,'Fuel economy adjusted factor'!$A$2:$L$52,5,FALSE)*m2k))</f>
        <v>4.4881302426683494</v>
      </c>
      <c r="CE211" s="125">
        <f>CE99/293.07*(1/(VLOOKUP($BM211,'Fuel economy adjusted factor'!$A$2:$L$52,5,FALSE)*m2k))</f>
        <v>4.550692960953139</v>
      </c>
      <c r="CF211" s="125">
        <f>CF99/293.07*(1/(VLOOKUP($BM211,'Fuel economy adjusted factor'!$A$2:$L$52,5,FALSE)*m2k))</f>
        <v>4.550692960953139</v>
      </c>
      <c r="CG211" s="125">
        <f>CG99/293.07*(1/(VLOOKUP($BM211,'Fuel economy adjusted factor'!$A$2:$L$52,5,FALSE)*m2k))</f>
        <v>4.550692960953139</v>
      </c>
      <c r="CH211" s="125">
        <f>CH99/293.07*(1/(VLOOKUP($BM211,'Fuel economy adjusted factor'!$A$2:$L$52,5,FALSE)*m2k))</f>
        <v>4.550692960953139</v>
      </c>
      <c r="CI211" s="125">
        <f>CI99/293.07*(1/(VLOOKUP($BM211,'Fuel economy adjusted factor'!$A$2:$L$52,5,FALSE)*m2k))</f>
        <v>4.550692960953139</v>
      </c>
      <c r="CJ211" s="125">
        <f>CJ99/293.07*(1/(VLOOKUP($BM211,'Fuel economy adjusted factor'!$A$2:$L$52,5,FALSE)*m2k))</f>
        <v>4.7108237279915883</v>
      </c>
      <c r="CK211" s="125">
        <f>CK99/293.07*(1/(VLOOKUP($BM211,'Fuel economy adjusted factor'!$A$2:$L$52,5,FALSE)*m2k))</f>
        <v>4.7108237279915883</v>
      </c>
      <c r="CL211" s="125">
        <f>CL99/293.07*(1/(VLOOKUP($BM211,'Fuel economy adjusted factor'!$A$2:$L$52,5,FALSE)*m2k))</f>
        <v>4.7108237279915883</v>
      </c>
      <c r="CM211" s="125">
        <f>CM99/293.07*(1/(VLOOKUP($BM211,'Fuel economy adjusted factor'!$A$2:$L$52,5,FALSE)*m2k))</f>
        <v>4.7108237279915883</v>
      </c>
      <c r="CN211" s="125">
        <f>CN99/293.07*(1/(VLOOKUP($BM211,'Fuel economy adjusted factor'!$A$2:$L$52,5,FALSE)*m2k))</f>
        <v>4.7108237279915883</v>
      </c>
      <c r="CO211" s="125">
        <f>CO99/293.07*(1/(VLOOKUP($BM211,'Fuel economy adjusted factor'!$A$2:$L$52,5,FALSE)*m2k))</f>
        <v>4.913407768151858</v>
      </c>
      <c r="CP211" s="98" cm="1">
        <f t="array" ref="CP211">SUMPRODUCT(INDEX(BN211:CO211,,'TCO Inputs'!$AZ$12-2023+_xlfn.SEQUENCE('TCO Inputs'!$AZ$13))*INDEX('VKT US'!C101:AA101,,_xlfn.SEQUENCE('TCO Inputs'!$AZ$13)))*m2k*CONVERT(0.9072,"g","ton")</f>
        <v>9.9678002934959355</v>
      </c>
      <c r="CQ211" s="194"/>
      <c r="CR211" s="123" t="s">
        <v>221</v>
      </c>
      <c r="CS211" s="125">
        <f>CS99/293.07*(1/(VLOOKUP($BM211,'Fuel economy adjusted factor'!$A$2:$L$52,5,FALSE)*m2k))/'TCO Inputs'!$AZ$84</f>
        <v>113.7002925399519</v>
      </c>
      <c r="CT211" s="125">
        <f>CT99/293.07*(1/(VLOOKUP($BM211,'Fuel economy adjusted factor'!$A$2:$L$52,5,FALSE)*m2k))</f>
        <v>4.5253699559331055</v>
      </c>
      <c r="CU211" s="125">
        <f>CU99/293.07*(1/(VLOOKUP($BM211,'Fuel economy adjusted factor'!$A$2:$L$52,5,FALSE)*m2k))</f>
        <v>4.5253699559331055</v>
      </c>
      <c r="CV211" s="125">
        <f>CV99/293.07*(1/(VLOOKUP($BM211,'Fuel economy adjusted factor'!$A$2:$L$52,5,FALSE)*m2k))</f>
        <v>4.5253699559331055</v>
      </c>
      <c r="CW211" s="125">
        <f>CW99/293.07*(1/(VLOOKUP($BM211,'Fuel economy adjusted factor'!$A$2:$L$52,5,FALSE)*m2k))</f>
        <v>4.5253699559331055</v>
      </c>
      <c r="CX211" s="125">
        <f>CX99/293.07*(1/(VLOOKUP($BM211,'Fuel economy adjusted factor'!$A$2:$L$52,5,FALSE)*m2k))</f>
        <v>4.5253699559331055</v>
      </c>
      <c r="CY211" s="125">
        <f>CY99/293.07*(1/(VLOOKUP($BM211,'Fuel economy adjusted factor'!$A$2:$L$52,5,FALSE)*m2k))</f>
        <v>4.5253699559331055</v>
      </c>
      <c r="CZ211" s="125">
        <f>CZ99/293.07*(1/(VLOOKUP($BM211,'Fuel economy adjusted factor'!$A$2:$L$52,5,FALSE)*m2k))</f>
        <v>4.5253699559331055</v>
      </c>
      <c r="DA211" s="125">
        <f>DA99/293.07*(1/(VLOOKUP($BM211,'Fuel economy adjusted factor'!$A$2:$L$52,5,FALSE)*m2k))</f>
        <v>4.5253699559331055</v>
      </c>
      <c r="DB211" s="125">
        <f>DB99/293.07*(1/(VLOOKUP($BM211,'Fuel economy adjusted factor'!$A$2:$L$52,5,FALSE)*m2k))</f>
        <v>4.5253699559331055</v>
      </c>
      <c r="DC211" s="125">
        <f>DC99/293.07*(1/(VLOOKUP($BM211,'Fuel economy adjusted factor'!$A$2:$L$52,5,FALSE)*m2k))</f>
        <v>4.5253699559331055</v>
      </c>
      <c r="DD211" s="125">
        <f>DD99/293.07*(1/(VLOOKUP($BM211,'Fuel economy adjusted factor'!$A$2:$L$52,5,FALSE)*m2k))</f>
        <v>4.5253699559331055</v>
      </c>
      <c r="DE211" s="125">
        <f>DE99/293.07*(1/(VLOOKUP($BM211,'Fuel economy adjusted factor'!$A$2:$L$52,5,FALSE)*m2k))</f>
        <v>4.6549641580944545</v>
      </c>
      <c r="DF211" s="125">
        <f>DF99/293.07*(1/(VLOOKUP($BM211,'Fuel economy adjusted factor'!$A$2:$L$52,5,FALSE)*m2k))</f>
        <v>4.6549641580944545</v>
      </c>
      <c r="DG211" s="125">
        <f>DG99/293.07*(1/(VLOOKUP($BM211,'Fuel economy adjusted factor'!$A$2:$L$52,5,FALSE)*m2k))</f>
        <v>4.6549641580944545</v>
      </c>
      <c r="DH211" s="125">
        <f>DH99/293.07*(1/(VLOOKUP($BM211,'Fuel economy adjusted factor'!$A$2:$L$52,5,FALSE)*m2k))</f>
        <v>4.6549641580944545</v>
      </c>
      <c r="DI211" s="125">
        <f>DI99/293.07*(1/(VLOOKUP($BM211,'Fuel economy adjusted factor'!$A$2:$L$52,5,FALSE)*m2k))</f>
        <v>4.6549641580944545</v>
      </c>
      <c r="DJ211" s="125">
        <f>DJ99/293.07*(1/(VLOOKUP($BM211,'Fuel economy adjusted factor'!$A$2:$L$52,5,FALSE)*m2k))</f>
        <v>4.8970222943153665</v>
      </c>
      <c r="DK211" s="125">
        <f>DK99/293.07*(1/(VLOOKUP($BM211,'Fuel economy adjusted factor'!$A$2:$L$52,5,FALSE)*m2k))</f>
        <v>4.8970222943153665</v>
      </c>
      <c r="DL211" s="125">
        <f>DL99/293.07*(1/(VLOOKUP($BM211,'Fuel economy adjusted factor'!$A$2:$L$52,5,FALSE)*m2k))</f>
        <v>4.8970222943153665</v>
      </c>
      <c r="DM211" s="125">
        <f>DM99/293.07*(1/(VLOOKUP($BM211,'Fuel economy adjusted factor'!$A$2:$L$52,5,FALSE)*m2k))</f>
        <v>4.8970222943153665</v>
      </c>
      <c r="DN211" s="125">
        <f>DN99/293.07*(1/(VLOOKUP($BM211,'Fuel economy adjusted factor'!$A$2:$L$52,5,FALSE)*m2k))</f>
        <v>4.8970222943153665</v>
      </c>
      <c r="DO211" s="125">
        <f>DO99/293.07*(1/(VLOOKUP($BM211,'Fuel economy adjusted factor'!$A$2:$L$52,5,FALSE)*m2k))</f>
        <v>5.0571530613538149</v>
      </c>
      <c r="DP211" s="125">
        <f>DP99/293.07*(1/(VLOOKUP($BM211,'Fuel economy adjusted factor'!$A$2:$L$52,5,FALSE)*m2k))</f>
        <v>5.0571530613538149</v>
      </c>
      <c r="DQ211" s="125">
        <f>DQ99/293.07*(1/(VLOOKUP($BM211,'Fuel economy adjusted factor'!$A$2:$L$52,5,FALSE)*m2k))</f>
        <v>5.0571530613538149</v>
      </c>
      <c r="DR211" s="125">
        <f>DR99/293.07*(1/(VLOOKUP($BM211,'Fuel economy adjusted factor'!$A$2:$L$52,5,FALSE)*m2k))</f>
        <v>5.0571530613538149</v>
      </c>
      <c r="DS211" s="125">
        <f>DS99/293.07*(1/(VLOOKUP($BM211,'Fuel economy adjusted factor'!$A$2:$L$52,5,FALSE)*m2k))</f>
        <v>5.0571530613538149</v>
      </c>
      <c r="DT211" s="125">
        <f>DT99/293.07*(1/(VLOOKUP($BM211,'Fuel economy adjusted factor'!$A$2:$L$52,5,FALSE)*m2k))</f>
        <v>5.2604818957793809</v>
      </c>
      <c r="DU211" s="98" cm="1">
        <f t="array" ref="DU211">SUMPRODUCT(INDEX(CS211:DT211,,'TCO Inputs'!$AZ$12-2023+_xlfn.SEQUENCE('TCO Inputs'!$AZ$13))*INDEX('VKT US'!C101:AA101,,_xlfn.SEQUENCE('TCO Inputs'!$AZ$13)))*m2k*CONVERT(0.9072,"g","ton")</f>
        <v>2.9297882434021827</v>
      </c>
      <c r="DW211" s="123" t="s">
        <v>221</v>
      </c>
      <c r="DX211" s="125">
        <f>DX99/293.07*(1/(VLOOKUP($BM211,'Fuel economy adjusted factor'!$A$2:$L$52,5,FALSE)*m2k))/'TCO Inputs'!$AZ$84</f>
        <v>150.21839074585898</v>
      </c>
      <c r="DY211" s="125">
        <f>DY99/293.07*(1/(VLOOKUP($BM211,'Fuel economy adjusted factor'!$A$2:$L$52,5,FALSE)*m2k))/'TCO Inputs'!$AZ$84</f>
        <v>150.21839074585898</v>
      </c>
      <c r="DZ211" s="125">
        <f>DZ99/293.07*(1/(VLOOKUP($BM211,'Fuel economy adjusted factor'!$A$2:$L$52,5,FALSE)*m2k))/'TCO Inputs'!$AZ$84</f>
        <v>131.42279173426007</v>
      </c>
      <c r="EA211" s="125">
        <f>EA99/293.07*(1/(VLOOKUP($BM211,'Fuel economy adjusted factor'!$A$2:$L$52,5,FALSE)*m2k))/'TCO Inputs'!$AZ$84</f>
        <v>131.42279173426007</v>
      </c>
      <c r="EB211" s="125">
        <f>EB99/293.07*(1/(VLOOKUP($BM211,'Fuel economy adjusted factor'!$A$2:$L$52,5,FALSE)*m2k))/'TCO Inputs'!$AZ$84</f>
        <v>131.42279173426007</v>
      </c>
      <c r="EC211" s="125">
        <f>EC99/293.07*(1/(VLOOKUP($BM211,'Fuel economy adjusted factor'!$A$2:$L$52,5,FALSE)*m2k))/'TCO Inputs'!$AZ$84</f>
        <v>131.42279173426007</v>
      </c>
      <c r="ED211" s="125">
        <f>ED99/293.07*(1/(VLOOKUP($BM211,'Fuel economy adjusted factor'!$A$2:$L$52,5,FALSE)*m2k))/'TCO Inputs'!$AZ$84</f>
        <v>131.42279173426007</v>
      </c>
      <c r="EE211" s="125">
        <f>EE99/293.07*(1/(VLOOKUP($BM211,'Fuel economy adjusted factor'!$A$2:$L$52,5,FALSE)*m2k))/'TCO Inputs'!$AZ$84</f>
        <v>81.766213141049533</v>
      </c>
      <c r="EF211" s="125">
        <f>EF99/293.07*(1/(VLOOKUP($BM211,'Fuel economy adjusted factor'!$A$2:$L$52,5,FALSE)*m2k))/'TCO Inputs'!$AZ$84</f>
        <v>81.766213141049533</v>
      </c>
      <c r="EG211" s="125">
        <f>EG99/293.07*(1/(VLOOKUP($BM211,'Fuel economy adjusted factor'!$A$2:$L$52,5,FALSE)*m2k))/'TCO Inputs'!$AZ$84</f>
        <v>81.766213141049533</v>
      </c>
      <c r="EH211" s="125">
        <f>EH99/293.07*(1/(VLOOKUP($BM211,'Fuel economy adjusted factor'!$A$2:$L$52,5,FALSE)*m2k))/'TCO Inputs'!$AZ$84</f>
        <v>81.766213141049533</v>
      </c>
      <c r="EI211" s="125">
        <f>EI99/293.07*(1/(VLOOKUP($BM211,'Fuel economy adjusted factor'!$A$2:$L$52,5,FALSE)*m2k))/'TCO Inputs'!$AZ$84</f>
        <v>81.766213141049533</v>
      </c>
      <c r="EJ211" s="125">
        <f>EJ99/293.07*(1/(VLOOKUP($BM211,'Fuel economy adjusted factor'!$A$2:$L$52,5,FALSE)*m2k))/'TCO Inputs'!$AZ$84</f>
        <v>72.804965477733177</v>
      </c>
      <c r="EK211" s="125">
        <f>EK99/293.07*(1/(VLOOKUP($BM211,'Fuel economy adjusted factor'!$A$2:$L$52,5,FALSE)*m2k))/'TCO Inputs'!$AZ$84</f>
        <v>72.804965477733177</v>
      </c>
      <c r="EL211" s="125">
        <f>EL99/293.07*(1/(VLOOKUP($BM211,'Fuel economy adjusted factor'!$A$2:$L$52,5,FALSE)*m2k))/'TCO Inputs'!$AZ$84</f>
        <v>72.804965477733177</v>
      </c>
      <c r="EM211" s="125">
        <f>EM99/293.07*(1/(VLOOKUP($BM211,'Fuel economy adjusted factor'!$A$2:$L$52,5,FALSE)*m2k))/'TCO Inputs'!$AZ$84</f>
        <v>72.804965477733177</v>
      </c>
      <c r="EN211" s="125">
        <f>EN99/293.07*(1/(VLOOKUP($BM211,'Fuel economy adjusted factor'!$A$2:$L$52,5,FALSE)*m2k))/'TCO Inputs'!$AZ$84</f>
        <v>72.804965477733177</v>
      </c>
      <c r="EO211" s="125">
        <f>EO99/293.07*(1/(VLOOKUP($BM211,'Fuel economy adjusted factor'!$A$2:$L$52,5,FALSE)*m2k))/'TCO Inputs'!$AZ$84</f>
        <v>70.743676948098553</v>
      </c>
      <c r="EP211" s="125">
        <f>EP99/293.07*(1/(VLOOKUP($BM211,'Fuel economy adjusted factor'!$A$2:$L$52,5,FALSE)*m2k))/'TCO Inputs'!$AZ$84</f>
        <v>70.743676948098553</v>
      </c>
      <c r="EQ211" s="125">
        <f>EQ99/293.07*(1/(VLOOKUP($BM211,'Fuel economy adjusted factor'!$A$2:$L$52,5,FALSE)*m2k))/'TCO Inputs'!$AZ$84</f>
        <v>70.743676948098553</v>
      </c>
      <c r="ER211" s="125">
        <f>ER99/293.07*(1/(VLOOKUP($BM211,'Fuel economy adjusted factor'!$A$2:$L$52,5,FALSE)*m2k))/'TCO Inputs'!$AZ$84</f>
        <v>70.743676948098553</v>
      </c>
      <c r="ES211" s="125">
        <f>ES99/293.07*(1/(VLOOKUP($BM211,'Fuel economy adjusted factor'!$A$2:$L$52,5,FALSE)*m2k))/'TCO Inputs'!$AZ$84</f>
        <v>70.743676948098553</v>
      </c>
      <c r="ET211" s="125">
        <f>ET99/293.07*(1/(VLOOKUP($BM211,'Fuel economy adjusted factor'!$A$2:$L$52,5,FALSE)*m2k))/'TCO Inputs'!$AZ$84</f>
        <v>68.240001739690044</v>
      </c>
      <c r="EU211" s="125">
        <f>EU99/293.07*(1/(VLOOKUP($BM211,'Fuel economy adjusted factor'!$A$2:$L$52,5,FALSE)*m2k))/'TCO Inputs'!$AZ$84</f>
        <v>68.240001739690044</v>
      </c>
      <c r="EV211" s="125">
        <f>EV99/293.07*(1/(VLOOKUP($BM211,'Fuel economy adjusted factor'!$A$2:$L$52,5,FALSE)*m2k))/'TCO Inputs'!$AZ$84</f>
        <v>68.240001739690044</v>
      </c>
      <c r="EW211" s="125">
        <f>EW99/293.07*(1/(VLOOKUP($BM211,'Fuel economy adjusted factor'!$A$2:$L$52,5,FALSE)*m2k))/'TCO Inputs'!$AZ$84</f>
        <v>68.240001739690044</v>
      </c>
      <c r="EX211" s="125">
        <f>EX99/293.07*(1/(VLOOKUP($BM211,'Fuel economy adjusted factor'!$A$2:$L$52,5,FALSE)*m2k))/'TCO Inputs'!$AZ$84</f>
        <v>68.240001739690044</v>
      </c>
      <c r="EY211" s="125">
        <f>EY99/293.07*(1/(VLOOKUP($BM211,'Fuel economy adjusted factor'!$A$2:$L$52,5,FALSE)*m2k))/'TCO Inputs'!$AZ$84</f>
        <v>64.2500345961204</v>
      </c>
      <c r="EZ211" s="98" cm="1">
        <f t="array" ref="EZ211">SUMPRODUCT(INDEX(DX211:EY211,,'TCO Inputs'!$AZ$12-2023+_xlfn.SEQUENCE('TCO Inputs'!$AZ$13))*INDEX('VKT US'!C101:AA101,,_xlfn.SEQUENCE('TCO Inputs'!$AZ$13)))*m2k*CONVERT(0.9072,"g","ton")</f>
        <v>23.41453016416046</v>
      </c>
      <c r="FB211" s="123" t="s">
        <v>221</v>
      </c>
      <c r="FC211" s="125">
        <f>FC99/293.07*(1/(VLOOKUP($BM211,'Fuel economy adjusted factor'!$A$2:$L$52,5,FALSE)*m2k))/'TCO Inputs'!$AZ$84</f>
        <v>162.38773748978016</v>
      </c>
      <c r="FD211" s="125">
        <f>FD99/293.07*(1/(VLOOKUP($BM211,'Fuel economy adjusted factor'!$A$2:$L$52,5,FALSE)*m2k))/'TCO Inputs'!$AZ$84</f>
        <v>162.38773748978016</v>
      </c>
      <c r="FE211" s="125">
        <f>FE99/293.07*(1/(VLOOKUP($BM211,'Fuel economy adjusted factor'!$A$2:$L$52,5,FALSE)*m2k))/'TCO Inputs'!$AZ$84</f>
        <v>141.57540688022172</v>
      </c>
      <c r="FF211" s="125">
        <f>FF99/293.07*(1/(VLOOKUP($BM211,'Fuel economy adjusted factor'!$A$2:$L$52,5,FALSE)*m2k))/'TCO Inputs'!$AZ$84</f>
        <v>141.57540688022172</v>
      </c>
      <c r="FG211" s="125">
        <f>FG99/293.07*(1/(VLOOKUP($BM211,'Fuel economy adjusted factor'!$A$2:$L$52,5,FALSE)*m2k))/'TCO Inputs'!$AZ$84</f>
        <v>141.57540688022172</v>
      </c>
      <c r="FH211" s="125">
        <f>FH99/293.07*(1/(VLOOKUP($BM211,'Fuel economy adjusted factor'!$A$2:$L$52,5,FALSE)*m2k))/'TCO Inputs'!$AZ$84</f>
        <v>141.57540688022172</v>
      </c>
      <c r="FI211" s="125">
        <f>FI99/293.07*(1/(VLOOKUP($BM211,'Fuel economy adjusted factor'!$A$2:$L$52,5,FALSE)*m2k))/'TCO Inputs'!$AZ$84</f>
        <v>141.57540688022172</v>
      </c>
      <c r="FJ211" s="125">
        <f>FJ99/293.07*(1/(VLOOKUP($BM211,'Fuel economy adjusted factor'!$A$2:$L$52,5,FALSE)*m2k))/'TCO Inputs'!$AZ$84</f>
        <v>89.547762994302275</v>
      </c>
      <c r="FK211" s="125">
        <f>FK99/293.07*(1/(VLOOKUP($BM211,'Fuel economy adjusted factor'!$A$2:$L$52,5,FALSE)*m2k))/'TCO Inputs'!$AZ$84</f>
        <v>89.547762994302275</v>
      </c>
      <c r="FL211" s="125">
        <f>FL99/293.07*(1/(VLOOKUP($BM211,'Fuel economy adjusted factor'!$A$2:$L$52,5,FALSE)*m2k))/'TCO Inputs'!$AZ$84</f>
        <v>89.547762994302275</v>
      </c>
      <c r="FM211" s="125">
        <f>FM99/293.07*(1/(VLOOKUP($BM211,'Fuel economy adjusted factor'!$A$2:$L$52,5,FALSE)*m2k))/'TCO Inputs'!$AZ$84</f>
        <v>89.547762994302275</v>
      </c>
      <c r="FN211" s="125">
        <f>FN99/293.07*(1/(VLOOKUP($BM211,'Fuel economy adjusted factor'!$A$2:$L$52,5,FALSE)*m2k))/'TCO Inputs'!$AZ$84</f>
        <v>89.547762994302275</v>
      </c>
      <c r="FO211" s="125">
        <f>FO99/293.07*(1/(VLOOKUP($BM211,'Fuel economy adjusted factor'!$A$2:$L$52,5,FALSE)*m2k))/'TCO Inputs'!$AZ$84</f>
        <v>79.313460140269711</v>
      </c>
      <c r="FP211" s="125">
        <f>FP99/293.07*(1/(VLOOKUP($BM211,'Fuel economy adjusted factor'!$A$2:$L$52,5,FALSE)*m2k))/'TCO Inputs'!$AZ$84</f>
        <v>79.313460140269711</v>
      </c>
      <c r="FQ211" s="125">
        <f>FQ99/293.07*(1/(VLOOKUP($BM211,'Fuel economy adjusted factor'!$A$2:$L$52,5,FALSE)*m2k))/'TCO Inputs'!$AZ$84</f>
        <v>79.313460140269711</v>
      </c>
      <c r="FR211" s="125">
        <f>FR99/293.07*(1/(VLOOKUP($BM211,'Fuel economy adjusted factor'!$A$2:$L$52,5,FALSE)*m2k))/'TCO Inputs'!$AZ$84</f>
        <v>79.313460140269711</v>
      </c>
      <c r="FS211" s="125">
        <f>FS99/293.07*(1/(VLOOKUP($BM211,'Fuel economy adjusted factor'!$A$2:$L$52,5,FALSE)*m2k))/'TCO Inputs'!$AZ$84</f>
        <v>79.313460140269711</v>
      </c>
      <c r="FT211" s="125">
        <f>FT99/293.07*(1/(VLOOKUP($BM211,'Fuel economy adjusted factor'!$A$2:$L$52,5,FALSE)*m2k))/'TCO Inputs'!$AZ$84</f>
        <v>77.502539131475942</v>
      </c>
      <c r="FU211" s="125">
        <f>FU99/293.07*(1/(VLOOKUP($BM211,'Fuel economy adjusted factor'!$A$2:$L$52,5,FALSE)*m2k))/'TCO Inputs'!$AZ$84</f>
        <v>77.502539131475942</v>
      </c>
      <c r="FV211" s="125">
        <f>FV99/293.07*(1/(VLOOKUP($BM211,'Fuel economy adjusted factor'!$A$2:$L$52,5,FALSE)*m2k))/'TCO Inputs'!$AZ$84</f>
        <v>77.502539131475942</v>
      </c>
      <c r="FW211" s="125">
        <f>FW99/293.07*(1/(VLOOKUP($BM211,'Fuel economy adjusted factor'!$A$2:$L$52,5,FALSE)*m2k))/'TCO Inputs'!$AZ$84</f>
        <v>77.502539131475942</v>
      </c>
      <c r="FX211" s="125">
        <f>FX99/293.07*(1/(VLOOKUP($BM211,'Fuel economy adjusted factor'!$A$2:$L$52,5,FALSE)*m2k))/'TCO Inputs'!$AZ$84</f>
        <v>77.502539131475942</v>
      </c>
      <c r="FY211" s="125">
        <f>FY99/293.07*(1/(VLOOKUP($BM211,'Fuel economy adjusted factor'!$A$2:$L$52,5,FALSE)*m2k))/'TCO Inputs'!$AZ$84</f>
        <v>74.994620405765048</v>
      </c>
      <c r="FZ211" s="125">
        <f>FZ99/293.07*(1/(VLOOKUP($BM211,'Fuel economy adjusted factor'!$A$2:$L$52,5,FALSE)*m2k))/'TCO Inputs'!$AZ$84</f>
        <v>74.994620405765048</v>
      </c>
      <c r="GA211" s="125">
        <f>GA99/293.07*(1/(VLOOKUP($BM211,'Fuel economy adjusted factor'!$A$2:$L$52,5,FALSE)*m2k))/'TCO Inputs'!$AZ$84</f>
        <v>74.994620405765048</v>
      </c>
      <c r="GB211" s="125">
        <f>GB99/293.07*(1/(VLOOKUP($BM211,'Fuel economy adjusted factor'!$A$2:$L$52,5,FALSE)*m2k))/'TCO Inputs'!$AZ$84</f>
        <v>74.994620405765048</v>
      </c>
      <c r="GC211" s="125">
        <f>GC99/293.07*(1/(VLOOKUP($BM211,'Fuel economy adjusted factor'!$A$2:$L$52,5,FALSE)*m2k))/'TCO Inputs'!$AZ$84</f>
        <v>74.994620405765048</v>
      </c>
      <c r="GD211" s="125">
        <f>GD99/293.07*(1/(VLOOKUP($BM211,'Fuel economy adjusted factor'!$A$2:$L$52,5,FALSE)*m2k))/'TCO Inputs'!$AZ$84</f>
        <v>70.868860708518994</v>
      </c>
      <c r="GE211" s="98" cm="1">
        <f t="array" ref="GE211">SUMPRODUCT(INDEX(FC211:GD211,,'TCO Inputs'!$AZ$12-2023+_xlfn.SEQUENCE('TCO Inputs'!$AZ$13))*INDEX('VKT US'!C101:AA101,,_xlfn.SEQUENCE('TCO Inputs'!$AZ$13)))*m2k*CONVERT(0.9072,"g","ton")</f>
        <v>25.367538771934665</v>
      </c>
      <c r="GH211" s="123" t="s">
        <v>221</v>
      </c>
      <c r="GI211" s="125">
        <f>GI99/293.07*(1/(VLOOKUP($GH211,'Fuel economy adjusted factor'!$A$2:$L$52,5,FALSE)*m2k))/'TCO Inputs'!$AZ$84</f>
        <v>285.8695635912124</v>
      </c>
      <c r="GJ211" s="125">
        <f>GJ99/293.07*(1/(VLOOKUP($GH211,'Fuel economy adjusted factor'!$A$2:$L$52,5,FALSE)*m2k))/'TCO Inputs'!$AZ$84</f>
        <v>285.8695635912124</v>
      </c>
      <c r="GK211" s="125">
        <f>GK99/293.07*(1/(VLOOKUP($GH211,'Fuel economy adjusted factor'!$A$2:$L$52,5,FALSE)*m2k))/'TCO Inputs'!$AZ$84</f>
        <v>285.8695635912124</v>
      </c>
      <c r="GL211" s="125">
        <f>GL99/293.07*(1/(VLOOKUP($GH211,'Fuel economy adjusted factor'!$A$2:$L$52,5,FALSE)*m2k))/'TCO Inputs'!$AZ$84</f>
        <v>285.8695635912124</v>
      </c>
      <c r="GM211" s="125">
        <f>GM99/293.07*(1/(VLOOKUP($GH211,'Fuel economy adjusted factor'!$A$2:$L$52,5,FALSE)*m2k))/'TCO Inputs'!$AZ$84</f>
        <v>285.8695635912124</v>
      </c>
      <c r="GN211" s="125">
        <f>GN99/293.07*(1/(VLOOKUP($GH211,'Fuel economy adjusted factor'!$A$2:$L$52,5,FALSE)*m2k))/'TCO Inputs'!$AZ$84</f>
        <v>285.8695635912124</v>
      </c>
      <c r="GO211" s="125">
        <f>GO99/293.07*(1/(VLOOKUP($GH211,'Fuel economy adjusted factor'!$A$2:$L$52,5,FALSE)*m2k))/'TCO Inputs'!$AZ$84</f>
        <v>285.8695635912124</v>
      </c>
      <c r="GP211" s="125">
        <f>GP99/293.07*(1/(VLOOKUP($GH211,'Fuel economy adjusted factor'!$A$2:$L$52,5,FALSE)*m2k))/'TCO Inputs'!$AZ$84</f>
        <v>285.8695635912124</v>
      </c>
      <c r="GQ211" s="125">
        <f>GQ99/293.07*(1/(VLOOKUP($GH211,'Fuel economy adjusted factor'!$A$2:$L$52,5,FALSE)*m2k))/'TCO Inputs'!$AZ$84</f>
        <v>285.8695635912124</v>
      </c>
      <c r="GR211" s="125">
        <f>GR99/293.07*(1/(VLOOKUP($GH211,'Fuel economy adjusted factor'!$A$2:$L$52,5,FALSE)*m2k))/'TCO Inputs'!$AZ$84</f>
        <v>285.8695635912124</v>
      </c>
      <c r="GS211" s="125">
        <f>GS99/293.07*(1/(VLOOKUP($GH211,'Fuel economy adjusted factor'!$A$2:$L$52,5,FALSE)*m2k))/'TCO Inputs'!$AZ$84</f>
        <v>285.8695635912124</v>
      </c>
      <c r="GT211" s="125">
        <f>GT99/293.07*(1/(VLOOKUP($GH211,'Fuel economy adjusted factor'!$A$2:$L$52,5,FALSE)*m2k))/'TCO Inputs'!$AZ$84</f>
        <v>285.8695635912124</v>
      </c>
      <c r="GU211" s="125">
        <f>GU99/293.07*(1/(VLOOKUP($GH211,'Fuel economy adjusted factor'!$A$2:$L$52,5,FALSE)*m2k))/'TCO Inputs'!$AZ$84</f>
        <v>285.8695635912124</v>
      </c>
      <c r="GV211" s="125">
        <f>GV99/293.07*(1/(VLOOKUP($GH211,'Fuel economy adjusted factor'!$A$2:$L$52,5,FALSE)*m2k))/'TCO Inputs'!$AZ$84</f>
        <v>285.8695635912124</v>
      </c>
      <c r="GW211" s="125">
        <f>GW99/293.07*(1/(VLOOKUP($GH211,'Fuel economy adjusted factor'!$A$2:$L$52,5,FALSE)*m2k))/'TCO Inputs'!$AZ$84</f>
        <v>285.8695635912124</v>
      </c>
      <c r="GX211" s="125">
        <f>GX99/293.07*(1/(VLOOKUP($GH211,'Fuel economy adjusted factor'!$A$2:$L$52,5,FALSE)*m2k))/'TCO Inputs'!$AZ$84</f>
        <v>285.8695635912124</v>
      </c>
      <c r="GY211" s="125">
        <f>GY99/293.07*(1/(VLOOKUP($GH211,'Fuel economy adjusted factor'!$A$2:$L$52,5,FALSE)*m2k))/'TCO Inputs'!$AZ$84</f>
        <v>285.8695635912124</v>
      </c>
      <c r="GZ211" s="125">
        <f>GZ99/293.07*(1/(VLOOKUP($GH211,'Fuel economy adjusted factor'!$A$2:$L$52,5,FALSE)*m2k))/'TCO Inputs'!$AZ$84</f>
        <v>285.8695635912124</v>
      </c>
      <c r="HA211" s="125">
        <f>HA99/293.07*(1/(VLOOKUP($GH211,'Fuel economy adjusted factor'!$A$2:$L$52,5,FALSE)*m2k))/'TCO Inputs'!$AZ$84</f>
        <v>285.8695635912124</v>
      </c>
      <c r="HB211" s="125">
        <f>HB99/293.07*(1/(VLOOKUP($GH211,'Fuel economy adjusted factor'!$A$2:$L$52,5,FALSE)*m2k))/'TCO Inputs'!$AZ$84</f>
        <v>285.8695635912124</v>
      </c>
      <c r="HC211" s="125">
        <f>HC99/293.07*(1/(VLOOKUP($GH211,'Fuel economy adjusted factor'!$A$2:$L$52,5,FALSE)*m2k))/'TCO Inputs'!$AZ$84</f>
        <v>285.8695635912124</v>
      </c>
      <c r="HD211" s="125">
        <f>HD99/293.07*(1/(VLOOKUP($GH211,'Fuel economy adjusted factor'!$A$2:$L$52,5,FALSE)*m2k))/'TCO Inputs'!$AZ$84</f>
        <v>285.8695635912124</v>
      </c>
      <c r="HE211" s="125">
        <f>HE99/293.07*(1/(VLOOKUP($GH211,'Fuel economy adjusted factor'!$A$2:$L$52,5,FALSE)*m2k))/'TCO Inputs'!$AZ$84</f>
        <v>285.8695635912124</v>
      </c>
      <c r="HF211" s="125">
        <f>HF99/293.07*(1/(VLOOKUP($GH211,'Fuel economy adjusted factor'!$A$2:$L$52,5,FALSE)*m2k))/'TCO Inputs'!$AZ$84</f>
        <v>285.8695635912124</v>
      </c>
      <c r="HG211" s="125">
        <f>HG99/293.07*(1/(VLOOKUP($GH211,'Fuel economy adjusted factor'!$A$2:$L$52,5,FALSE)*m2k))/'TCO Inputs'!$AZ$84</f>
        <v>285.8695635912124</v>
      </c>
      <c r="HH211" s="125">
        <f>HH99/293.07*(1/(VLOOKUP($GH211,'Fuel economy adjusted factor'!$A$2:$L$52,5,FALSE)*m2k))/'TCO Inputs'!$AZ$84</f>
        <v>285.8695635912124</v>
      </c>
      <c r="HI211" s="125">
        <f>HI99/293.07*(1/(VLOOKUP($GH211,'Fuel economy adjusted factor'!$A$2:$L$52,5,FALSE)*m2k))/'TCO Inputs'!$AZ$84</f>
        <v>285.8695635912124</v>
      </c>
      <c r="HJ211" s="125">
        <f>HJ99/293.07*(1/(VLOOKUP($GH211,'Fuel economy adjusted factor'!$A$2:$L$52,5,FALSE)*m2k))/'TCO Inputs'!$AZ$84</f>
        <v>285.8695635912124</v>
      </c>
      <c r="HK211" s="98" cm="1">
        <f t="array" ref="HK211">SUMPRODUCT(INDEX(GI211:HJ211,,'TCO Inputs'!$AZ$12-2023+_xlfn.SEQUENCE('TCO Inputs'!$AZ$13))*INDEX('VKT US'!C101:AA101,,_xlfn.SEQUENCE('TCO Inputs'!$AZ$13)))*m2k*CONVERT(0.9072,"g","ton")</f>
        <v>60.197624808276537</v>
      </c>
    </row>
    <row r="212" spans="26:219" x14ac:dyDescent="0.25">
      <c r="Z212" s="123" t="s">
        <v>222</v>
      </c>
      <c r="AA212" s="125">
        <f>AA100/293.07*(1/(VLOOKUP($Z212,'Fuel economy adjusted factor'!$A$2:$L$52,5,FALSE)*m2k))/'TCO Inputs'!$AZ$84</f>
        <v>64.888678612291173</v>
      </c>
      <c r="AB212" s="125">
        <f>AB100/293.07*(1/(VLOOKUP($Z212,'Fuel economy adjusted factor'!$A$2:$L$52,5,FALSE)*m2k))/'TCO Inputs'!$AZ$84</f>
        <v>64.888678612291173</v>
      </c>
      <c r="AC212" s="125">
        <f>AC100/293.07*(1/(VLOOKUP($Z212,'Fuel economy adjusted factor'!$A$2:$L$52,5,FALSE)*m2k))/'TCO Inputs'!$AZ$84</f>
        <v>56.994683647905653</v>
      </c>
      <c r="AD212" s="125">
        <f>AD100/293.07*(1/(VLOOKUP($Z212,'Fuel economy adjusted factor'!$A$2:$L$52,5,FALSE)*m2k))/'TCO Inputs'!$AZ$84</f>
        <v>56.994683647905653</v>
      </c>
      <c r="AE212" s="125">
        <f>AE100/293.07*(1/(VLOOKUP($Z212,'Fuel economy adjusted factor'!$A$2:$L$52,5,FALSE)*m2k))/'TCO Inputs'!$AZ$84</f>
        <v>56.994683647905653</v>
      </c>
      <c r="AF212" s="125">
        <f>AF100/293.07*(1/(VLOOKUP($Z212,'Fuel economy adjusted factor'!$A$2:$L$52,5,FALSE)*m2k))/'TCO Inputs'!$AZ$84</f>
        <v>56.994683647905653</v>
      </c>
      <c r="AG212" s="125">
        <f>AG100/293.07*(1/(VLOOKUP($Z212,'Fuel economy adjusted factor'!$A$2:$L$52,5,FALSE)*m2k))/'TCO Inputs'!$AZ$84</f>
        <v>56.994683647905653</v>
      </c>
      <c r="AH212" s="125">
        <f>AH100/293.07*(1/(VLOOKUP($Z212,'Fuel economy adjusted factor'!$A$2:$L$52,5,FALSE)*m2k))/'TCO Inputs'!$AZ$84</f>
        <v>21.548215951497287</v>
      </c>
      <c r="AI212" s="125">
        <f>AI100/293.07*(1/(VLOOKUP($Z212,'Fuel economy adjusted factor'!$A$2:$L$52,5,FALSE)*m2k))/'TCO Inputs'!$AZ$84</f>
        <v>21.548215951497287</v>
      </c>
      <c r="AJ212" s="125">
        <f>AJ100/293.07*(1/(VLOOKUP($Z212,'Fuel economy adjusted factor'!$A$2:$L$52,5,FALSE)*m2k))/'TCO Inputs'!$AZ$84</f>
        <v>21.548215951497287</v>
      </c>
      <c r="AK212" s="125">
        <f>AK100/293.07*(1/(VLOOKUP($Z212,'Fuel economy adjusted factor'!$A$2:$L$52,5,FALSE)*m2k))/'TCO Inputs'!$AZ$84</f>
        <v>21.548215951497287</v>
      </c>
      <c r="AL212" s="125">
        <f>AL100/293.07*(1/(VLOOKUP($Z212,'Fuel economy adjusted factor'!$A$2:$L$52,5,FALSE)*m2k))/'TCO Inputs'!$AZ$84</f>
        <v>21.548215951497287</v>
      </c>
      <c r="AM212" s="125">
        <f>AM100/293.07*(1/(VLOOKUP($Z212,'Fuel economy adjusted factor'!$A$2:$L$52,5,FALSE)*m2k))/'TCO Inputs'!$AZ$84</f>
        <v>18.111282758147375</v>
      </c>
      <c r="AN212" s="125">
        <f>AN100/293.07*(1/(VLOOKUP($Z212,'Fuel economy adjusted factor'!$A$2:$L$52,5,FALSE)*m2k))/'TCO Inputs'!$AZ$84</f>
        <v>18.111282758147375</v>
      </c>
      <c r="AO212" s="125">
        <f>AO100/293.07*(1/(VLOOKUP($Z212,'Fuel economy adjusted factor'!$A$2:$L$52,5,FALSE)*m2k))/'TCO Inputs'!$AZ$84</f>
        <v>18.111282758147375</v>
      </c>
      <c r="AP212" s="125">
        <f>AP100/293.07*(1/(VLOOKUP($Z212,'Fuel economy adjusted factor'!$A$2:$L$52,5,FALSE)*m2k))/'TCO Inputs'!$AZ$84</f>
        <v>18.111282758147375</v>
      </c>
      <c r="AQ212" s="125">
        <f>AQ100/293.07*(1/(VLOOKUP($Z212,'Fuel economy adjusted factor'!$A$2:$L$52,5,FALSE)*m2k))/'TCO Inputs'!$AZ$84</f>
        <v>18.111282758147375</v>
      </c>
      <c r="AR212" s="125">
        <f>AR100/293.07*(1/(VLOOKUP($Z212,'Fuel economy adjusted factor'!$A$2:$L$52,5,FALSE)*m2k))/'TCO Inputs'!$AZ$84</f>
        <v>18.111282758147375</v>
      </c>
      <c r="AS212" s="125">
        <f>AS100/293.07*(1/(VLOOKUP($Z212,'Fuel economy adjusted factor'!$A$2:$L$52,5,FALSE)*m2k))/'TCO Inputs'!$AZ$84</f>
        <v>18.111282758147375</v>
      </c>
      <c r="AT212" s="125">
        <f>AT100/293.07*(1/(VLOOKUP($Z212,'Fuel economy adjusted factor'!$A$2:$L$52,5,FALSE)*m2k))/'TCO Inputs'!$AZ$84</f>
        <v>18.111282758147375</v>
      </c>
      <c r="AU212" s="125">
        <f>AU100/293.07*(1/(VLOOKUP($Z212,'Fuel economy adjusted factor'!$A$2:$L$52,5,FALSE)*m2k))/'TCO Inputs'!$AZ$84</f>
        <v>18.111282758147375</v>
      </c>
      <c r="AV212" s="125">
        <f>AV100/293.07*(1/(VLOOKUP($Z212,'Fuel economy adjusted factor'!$A$2:$L$52,5,FALSE)*m2k))/'TCO Inputs'!$AZ$84</f>
        <v>18.111282758147375</v>
      </c>
      <c r="AW212" s="125">
        <f>AW100/293.07*(1/(VLOOKUP($Z212,'Fuel economy adjusted factor'!$A$2:$L$52,5,FALSE)*m2k))/'TCO Inputs'!$AZ$84</f>
        <v>18.196793535982799</v>
      </c>
      <c r="AX212" s="125">
        <f>AX100/293.07*(1/(VLOOKUP($Z212,'Fuel economy adjusted factor'!$A$2:$L$52,5,FALSE)*m2k))/'TCO Inputs'!$AZ$84</f>
        <v>18.196793535982799</v>
      </c>
      <c r="AY212" s="125">
        <f>AY100/293.07*(1/(VLOOKUP($Z212,'Fuel economy adjusted factor'!$A$2:$L$52,5,FALSE)*m2k))/'TCO Inputs'!$AZ$84</f>
        <v>18.196793535982799</v>
      </c>
      <c r="AZ212" s="125">
        <f>AZ100/293.07*(1/(VLOOKUP($Z212,'Fuel economy adjusted factor'!$A$2:$L$52,5,FALSE)*m2k))/'TCO Inputs'!$AZ$84</f>
        <v>18.196793535982799</v>
      </c>
      <c r="BA212" s="125">
        <f>BA100/293.07*(1/(VLOOKUP($Z212,'Fuel economy adjusted factor'!$A$2:$L$52,5,FALSE)*m2k))/'TCO Inputs'!$AZ$84</f>
        <v>18.196793535982799</v>
      </c>
      <c r="BB212" s="125">
        <f>BB100/293.07*(1/(VLOOKUP($Z212,'Fuel economy adjusted factor'!$A$2:$L$52,5,FALSE)*m2k))/'TCO Inputs'!$AZ$84</f>
        <v>18.304307087062416</v>
      </c>
      <c r="BC212" s="98" cm="1">
        <f t="array" ref="BC212">SUMPRODUCT(INDEX(AA212:BB212,,'TCO Inputs'!$AZ$12-2023+_xlfn.SEQUENCE('TCO Inputs'!$AZ$13))*INDEX('VKT US'!C102:AA102,,_xlfn.SEQUENCE('TCO Inputs'!$AZ$13)))*m2k*CONVERT(0.9072,"g","ton")</f>
        <v>13.257798807843011</v>
      </c>
      <c r="BM212" s="123" t="s">
        <v>222</v>
      </c>
      <c r="BN212" s="125">
        <f>BN100/293.07*(1/(VLOOKUP($BM212,'Fuel economy adjusted factor'!$A$2:$L$52,5,FALSE)*m2k))</f>
        <v>55.155376820447493</v>
      </c>
      <c r="BO212" s="125">
        <f>BO100/293.07*(1/(VLOOKUP($BM212,'Fuel economy adjusted factor'!$A$2:$L$52,5,FALSE)*m2k))</f>
        <v>55.155376820447493</v>
      </c>
      <c r="BP212" s="125">
        <f>BP100/293.07*(1/(VLOOKUP($BM212,'Fuel economy adjusted factor'!$A$2:$L$52,5,FALSE)*m2k))</f>
        <v>43.477454927390454</v>
      </c>
      <c r="BQ212" s="125">
        <f>BQ100/293.07*(1/(VLOOKUP($BM212,'Fuel economy adjusted factor'!$A$2:$L$52,5,FALSE)*m2k))</f>
        <v>43.477454927390454</v>
      </c>
      <c r="BR212" s="125">
        <f>BR100/293.07*(1/(VLOOKUP($BM212,'Fuel economy adjusted factor'!$A$2:$L$52,5,FALSE)*m2k))</f>
        <v>43.477454927390454</v>
      </c>
      <c r="BS212" s="125">
        <f>BS100/293.07*(1/(VLOOKUP($BM212,'Fuel economy adjusted factor'!$A$2:$L$52,5,FALSE)*m2k))</f>
        <v>43.477454927390454</v>
      </c>
      <c r="BT212" s="125">
        <f>BT100/293.07*(1/(VLOOKUP($BM212,'Fuel economy adjusted factor'!$A$2:$L$52,5,FALSE)*m2k))</f>
        <v>43.477454927390454</v>
      </c>
      <c r="BU212" s="125">
        <f>BU100/293.07*(1/(VLOOKUP($BM212,'Fuel economy adjusted factor'!$A$2:$L$52,5,FALSE)*m2k))</f>
        <v>2.4559595507783203</v>
      </c>
      <c r="BV212" s="125">
        <f>BV100/293.07*(1/(VLOOKUP($BM212,'Fuel economy adjusted factor'!$A$2:$L$52,5,FALSE)*m2k))</f>
        <v>2.4559595507783203</v>
      </c>
      <c r="BW212" s="125">
        <f>BW100/293.07*(1/(VLOOKUP($BM212,'Fuel economy adjusted factor'!$A$2:$L$52,5,FALSE)*m2k))</f>
        <v>2.4559595507783203</v>
      </c>
      <c r="BX212" s="125">
        <f>BX100/293.07*(1/(VLOOKUP($BM212,'Fuel economy adjusted factor'!$A$2:$L$52,5,FALSE)*m2k))</f>
        <v>2.4559595507783203</v>
      </c>
      <c r="BY212" s="125">
        <f>BY100/293.07*(1/(VLOOKUP($BM212,'Fuel economy adjusted factor'!$A$2:$L$52,5,FALSE)*m2k))</f>
        <v>2.4559595507783203</v>
      </c>
      <c r="BZ212" s="125">
        <f>BZ100/293.07*(1/(VLOOKUP($BM212,'Fuel economy adjusted factor'!$A$2:$L$52,5,FALSE)*m2k))</f>
        <v>2.5613728371391762</v>
      </c>
      <c r="CA212" s="125">
        <f>CA100/293.07*(1/(VLOOKUP($BM212,'Fuel economy adjusted factor'!$A$2:$L$52,5,FALSE)*m2k))</f>
        <v>2.5613728371391762</v>
      </c>
      <c r="CB212" s="125">
        <f>CB100/293.07*(1/(VLOOKUP($BM212,'Fuel economy adjusted factor'!$A$2:$L$52,5,FALSE)*m2k))</f>
        <v>2.5613728371391762</v>
      </c>
      <c r="CC212" s="125">
        <f>CC100/293.07*(1/(VLOOKUP($BM212,'Fuel economy adjusted factor'!$A$2:$L$52,5,FALSE)*m2k))</f>
        <v>2.5613728371391762</v>
      </c>
      <c r="CD212" s="125">
        <f>CD100/293.07*(1/(VLOOKUP($BM212,'Fuel economy adjusted factor'!$A$2:$L$52,5,FALSE)*m2k))</f>
        <v>2.5613728371391762</v>
      </c>
      <c r="CE212" s="125">
        <f>CE100/293.07*(1/(VLOOKUP($BM212,'Fuel economy adjusted factor'!$A$2:$L$52,5,FALSE)*m2k))</f>
        <v>2.5970773373581757</v>
      </c>
      <c r="CF212" s="125">
        <f>CF100/293.07*(1/(VLOOKUP($BM212,'Fuel economy adjusted factor'!$A$2:$L$52,5,FALSE)*m2k))</f>
        <v>2.5970773373581757</v>
      </c>
      <c r="CG212" s="125">
        <f>CG100/293.07*(1/(VLOOKUP($BM212,'Fuel economy adjusted factor'!$A$2:$L$52,5,FALSE)*m2k))</f>
        <v>2.5970773373581757</v>
      </c>
      <c r="CH212" s="125">
        <f>CH100/293.07*(1/(VLOOKUP($BM212,'Fuel economy adjusted factor'!$A$2:$L$52,5,FALSE)*m2k))</f>
        <v>2.5970773373581757</v>
      </c>
      <c r="CI212" s="125">
        <f>CI100/293.07*(1/(VLOOKUP($BM212,'Fuel economy adjusted factor'!$A$2:$L$52,5,FALSE)*m2k))</f>
        <v>2.5970773373581757</v>
      </c>
      <c r="CJ212" s="125">
        <f>CJ100/293.07*(1/(VLOOKUP($BM212,'Fuel economy adjusted factor'!$A$2:$L$52,5,FALSE)*m2k))</f>
        <v>2.6884638557758529</v>
      </c>
      <c r="CK212" s="125">
        <f>CK100/293.07*(1/(VLOOKUP($BM212,'Fuel economy adjusted factor'!$A$2:$L$52,5,FALSE)*m2k))</f>
        <v>2.6884638557758529</v>
      </c>
      <c r="CL212" s="125">
        <f>CL100/293.07*(1/(VLOOKUP($BM212,'Fuel economy adjusted factor'!$A$2:$L$52,5,FALSE)*m2k))</f>
        <v>2.6884638557758529</v>
      </c>
      <c r="CM212" s="125">
        <f>CM100/293.07*(1/(VLOOKUP($BM212,'Fuel economy adjusted factor'!$A$2:$L$52,5,FALSE)*m2k))</f>
        <v>2.6884638557758529</v>
      </c>
      <c r="CN212" s="125">
        <f>CN100/293.07*(1/(VLOOKUP($BM212,'Fuel economy adjusted factor'!$A$2:$L$52,5,FALSE)*m2k))</f>
        <v>2.6884638557758529</v>
      </c>
      <c r="CO212" s="125">
        <f>CO100/293.07*(1/(VLOOKUP($BM212,'Fuel economy adjusted factor'!$A$2:$L$52,5,FALSE)*m2k))</f>
        <v>2.8040784279135655</v>
      </c>
      <c r="CP212" s="98" cm="1">
        <f t="array" ref="CP212">SUMPRODUCT(INDEX(BN212:CO212,,'TCO Inputs'!$AZ$12-2023+_xlfn.SEQUENCE('TCO Inputs'!$AZ$13))*INDEX('VKT US'!C102:AA102,,_xlfn.SEQUENCE('TCO Inputs'!$AZ$13)))*m2k*CONVERT(0.9072,"g","ton")</f>
        <v>8.532639594964559</v>
      </c>
      <c r="CQ212" s="194"/>
      <c r="CR212" s="123" t="s">
        <v>222</v>
      </c>
      <c r="CS212" s="125">
        <f>CS100/293.07*(1/(VLOOKUP($BM212,'Fuel economy adjusted factor'!$A$2:$L$52,5,FALSE)*m2k))/'TCO Inputs'!$AZ$84</f>
        <v>64.888678612291173</v>
      </c>
      <c r="CT212" s="125">
        <f>CT100/293.07*(1/(VLOOKUP($BM212,'Fuel economy adjusted factor'!$A$2:$L$52,5,FALSE)*m2k))</f>
        <v>2.5826255158409617</v>
      </c>
      <c r="CU212" s="125">
        <f>CU100/293.07*(1/(VLOOKUP($BM212,'Fuel economy adjusted factor'!$A$2:$L$52,5,FALSE)*m2k))</f>
        <v>2.5826255158409617</v>
      </c>
      <c r="CV212" s="125">
        <f>CV100/293.07*(1/(VLOOKUP($BM212,'Fuel economy adjusted factor'!$A$2:$L$52,5,FALSE)*m2k))</f>
        <v>2.5826255158409617</v>
      </c>
      <c r="CW212" s="125">
        <f>CW100/293.07*(1/(VLOOKUP($BM212,'Fuel economy adjusted factor'!$A$2:$L$52,5,FALSE)*m2k))</f>
        <v>2.5826255158409617</v>
      </c>
      <c r="CX212" s="125">
        <f>CX100/293.07*(1/(VLOOKUP($BM212,'Fuel economy adjusted factor'!$A$2:$L$52,5,FALSE)*m2k))</f>
        <v>2.5826255158409617</v>
      </c>
      <c r="CY212" s="125">
        <f>CY100/293.07*(1/(VLOOKUP($BM212,'Fuel economy adjusted factor'!$A$2:$L$52,5,FALSE)*m2k))</f>
        <v>2.5826255158409617</v>
      </c>
      <c r="CZ212" s="125">
        <f>CZ100/293.07*(1/(VLOOKUP($BM212,'Fuel economy adjusted factor'!$A$2:$L$52,5,FALSE)*m2k))</f>
        <v>2.5826255158409617</v>
      </c>
      <c r="DA212" s="125">
        <f>DA100/293.07*(1/(VLOOKUP($BM212,'Fuel economy adjusted factor'!$A$2:$L$52,5,FALSE)*m2k))</f>
        <v>2.5826255158409617</v>
      </c>
      <c r="DB212" s="125">
        <f>DB100/293.07*(1/(VLOOKUP($BM212,'Fuel economy adjusted factor'!$A$2:$L$52,5,FALSE)*m2k))</f>
        <v>2.5826255158409617</v>
      </c>
      <c r="DC212" s="125">
        <f>DC100/293.07*(1/(VLOOKUP($BM212,'Fuel economy adjusted factor'!$A$2:$L$52,5,FALSE)*m2k))</f>
        <v>2.5826255158409617</v>
      </c>
      <c r="DD212" s="125">
        <f>DD100/293.07*(1/(VLOOKUP($BM212,'Fuel economy adjusted factor'!$A$2:$L$52,5,FALSE)*m2k))</f>
        <v>2.5826255158409617</v>
      </c>
      <c r="DE212" s="125">
        <f>DE100/293.07*(1/(VLOOKUP($BM212,'Fuel economy adjusted factor'!$A$2:$L$52,5,FALSE)*m2k))</f>
        <v>2.6565848377231749</v>
      </c>
      <c r="DF212" s="125">
        <f>DF100/293.07*(1/(VLOOKUP($BM212,'Fuel economy adjusted factor'!$A$2:$L$52,5,FALSE)*m2k))</f>
        <v>2.6565848377231749</v>
      </c>
      <c r="DG212" s="125">
        <f>DG100/293.07*(1/(VLOOKUP($BM212,'Fuel economy adjusted factor'!$A$2:$L$52,5,FALSE)*m2k))</f>
        <v>2.6565848377231749</v>
      </c>
      <c r="DH212" s="125">
        <f>DH100/293.07*(1/(VLOOKUP($BM212,'Fuel economy adjusted factor'!$A$2:$L$52,5,FALSE)*m2k))</f>
        <v>2.6565848377231749</v>
      </c>
      <c r="DI212" s="125">
        <f>DI100/293.07*(1/(VLOOKUP($BM212,'Fuel economy adjusted factor'!$A$2:$L$52,5,FALSE)*m2k))</f>
        <v>2.6565848377231749</v>
      </c>
      <c r="DJ212" s="125">
        <f>DJ100/293.07*(1/(VLOOKUP($BM212,'Fuel economy adjusted factor'!$A$2:$L$52,5,FALSE)*m2k))</f>
        <v>2.7947272492847794</v>
      </c>
      <c r="DK212" s="125">
        <f>DK100/293.07*(1/(VLOOKUP($BM212,'Fuel economy adjusted factor'!$A$2:$L$52,5,FALSE)*m2k))</f>
        <v>2.7947272492847794</v>
      </c>
      <c r="DL212" s="125">
        <f>DL100/293.07*(1/(VLOOKUP($BM212,'Fuel economy adjusted factor'!$A$2:$L$52,5,FALSE)*m2k))</f>
        <v>2.7947272492847794</v>
      </c>
      <c r="DM212" s="125">
        <f>DM100/293.07*(1/(VLOOKUP($BM212,'Fuel economy adjusted factor'!$A$2:$L$52,5,FALSE)*m2k))</f>
        <v>2.7947272492847794</v>
      </c>
      <c r="DN212" s="125">
        <f>DN100/293.07*(1/(VLOOKUP($BM212,'Fuel economy adjusted factor'!$A$2:$L$52,5,FALSE)*m2k))</f>
        <v>2.7947272492847794</v>
      </c>
      <c r="DO212" s="125">
        <f>DO100/293.07*(1/(VLOOKUP($BM212,'Fuel economy adjusted factor'!$A$2:$L$52,5,FALSE)*m2k))</f>
        <v>2.8861137677024571</v>
      </c>
      <c r="DP212" s="125">
        <f>DP100/293.07*(1/(VLOOKUP($BM212,'Fuel economy adjusted factor'!$A$2:$L$52,5,FALSE)*m2k))</f>
        <v>2.8861137677024571</v>
      </c>
      <c r="DQ212" s="125">
        <f>DQ100/293.07*(1/(VLOOKUP($BM212,'Fuel economy adjusted factor'!$A$2:$L$52,5,FALSE)*m2k))</f>
        <v>2.8861137677024571</v>
      </c>
      <c r="DR212" s="125">
        <f>DR100/293.07*(1/(VLOOKUP($BM212,'Fuel economy adjusted factor'!$A$2:$L$52,5,FALSE)*m2k))</f>
        <v>2.8861137677024571</v>
      </c>
      <c r="DS212" s="125">
        <f>DS100/293.07*(1/(VLOOKUP($BM212,'Fuel economy adjusted factor'!$A$2:$L$52,5,FALSE)*m2k))</f>
        <v>2.8861137677024571</v>
      </c>
      <c r="DT212" s="125">
        <f>DT100/293.07*(1/(VLOOKUP($BM212,'Fuel economy adjusted factor'!$A$2:$L$52,5,FALSE)*m2k))</f>
        <v>3.0021533934142051</v>
      </c>
      <c r="DU212" s="98" cm="1">
        <f t="array" ref="DU212">SUMPRODUCT(INDEX(CS212:DT212,,'TCO Inputs'!$AZ$12-2023+_xlfn.SEQUENCE('TCO Inputs'!$AZ$13))*INDEX('VKT US'!C102:AA102,,_xlfn.SEQUENCE('TCO Inputs'!$AZ$13)))*m2k*CONVERT(0.9072,"g","ton")</f>
        <v>2.5079582690703623</v>
      </c>
      <c r="DW212" s="123" t="s">
        <v>222</v>
      </c>
      <c r="DX212" s="125">
        <f>DX100/293.07*(1/(VLOOKUP($BM212,'Fuel economy adjusted factor'!$A$2:$L$52,5,FALSE)*m2k))/'TCO Inputs'!$AZ$84</f>
        <v>85.729532097189292</v>
      </c>
      <c r="DY212" s="125">
        <f>DY100/293.07*(1/(VLOOKUP($BM212,'Fuel economy adjusted factor'!$A$2:$L$52,5,FALSE)*m2k))/'TCO Inputs'!$AZ$84</f>
        <v>85.729532097189292</v>
      </c>
      <c r="DZ212" s="125">
        <f>DZ100/293.07*(1/(VLOOKUP($BM212,'Fuel economy adjusted factor'!$A$2:$L$52,5,FALSE)*m2k))/'TCO Inputs'!$AZ$84</f>
        <v>75.002896691562782</v>
      </c>
      <c r="EA212" s="125">
        <f>EA100/293.07*(1/(VLOOKUP($BM212,'Fuel economy adjusted factor'!$A$2:$L$52,5,FALSE)*m2k))/'TCO Inputs'!$AZ$84</f>
        <v>75.002896691562782</v>
      </c>
      <c r="EB212" s="125">
        <f>EB100/293.07*(1/(VLOOKUP($BM212,'Fuel economy adjusted factor'!$A$2:$L$52,5,FALSE)*m2k))/'TCO Inputs'!$AZ$84</f>
        <v>75.002896691562782</v>
      </c>
      <c r="EC212" s="125">
        <f>EC100/293.07*(1/(VLOOKUP($BM212,'Fuel economy adjusted factor'!$A$2:$L$52,5,FALSE)*m2k))/'TCO Inputs'!$AZ$84</f>
        <v>75.002896691562782</v>
      </c>
      <c r="ED212" s="125">
        <f>ED100/293.07*(1/(VLOOKUP($BM212,'Fuel economy adjusted factor'!$A$2:$L$52,5,FALSE)*m2k))/'TCO Inputs'!$AZ$84</f>
        <v>75.002896691562782</v>
      </c>
      <c r="EE212" s="125">
        <f>EE100/293.07*(1/(VLOOKUP($BM212,'Fuel economy adjusted factor'!$A$2:$L$52,5,FALSE)*m2k))/'TCO Inputs'!$AZ$84</f>
        <v>46.663921502131153</v>
      </c>
      <c r="EF212" s="125">
        <f>EF100/293.07*(1/(VLOOKUP($BM212,'Fuel economy adjusted factor'!$A$2:$L$52,5,FALSE)*m2k))/'TCO Inputs'!$AZ$84</f>
        <v>46.663921502131153</v>
      </c>
      <c r="EG212" s="125">
        <f>EG100/293.07*(1/(VLOOKUP($BM212,'Fuel economy adjusted factor'!$A$2:$L$52,5,FALSE)*m2k))/'TCO Inputs'!$AZ$84</f>
        <v>46.663921502131153</v>
      </c>
      <c r="EH212" s="125">
        <f>EH100/293.07*(1/(VLOOKUP($BM212,'Fuel economy adjusted factor'!$A$2:$L$52,5,FALSE)*m2k))/'TCO Inputs'!$AZ$84</f>
        <v>46.663921502131153</v>
      </c>
      <c r="EI212" s="125">
        <f>EI100/293.07*(1/(VLOOKUP($BM212,'Fuel economy adjusted factor'!$A$2:$L$52,5,FALSE)*m2k))/'TCO Inputs'!$AZ$84</f>
        <v>46.663921502131153</v>
      </c>
      <c r="EJ212" s="125">
        <f>EJ100/293.07*(1/(VLOOKUP($BM212,'Fuel economy adjusted factor'!$A$2:$L$52,5,FALSE)*m2k))/'TCO Inputs'!$AZ$84</f>
        <v>41.549743635035874</v>
      </c>
      <c r="EK212" s="125">
        <f>EK100/293.07*(1/(VLOOKUP($BM212,'Fuel economy adjusted factor'!$A$2:$L$52,5,FALSE)*m2k))/'TCO Inputs'!$AZ$84</f>
        <v>41.549743635035874</v>
      </c>
      <c r="EL212" s="125">
        <f>EL100/293.07*(1/(VLOOKUP($BM212,'Fuel economy adjusted factor'!$A$2:$L$52,5,FALSE)*m2k))/'TCO Inputs'!$AZ$84</f>
        <v>41.549743635035874</v>
      </c>
      <c r="EM212" s="125">
        <f>EM100/293.07*(1/(VLOOKUP($BM212,'Fuel economy adjusted factor'!$A$2:$L$52,5,FALSE)*m2k))/'TCO Inputs'!$AZ$84</f>
        <v>41.549743635035874</v>
      </c>
      <c r="EN212" s="125">
        <f>EN100/293.07*(1/(VLOOKUP($BM212,'Fuel economy adjusted factor'!$A$2:$L$52,5,FALSE)*m2k))/'TCO Inputs'!$AZ$84</f>
        <v>41.549743635035874</v>
      </c>
      <c r="EO212" s="125">
        <f>EO100/293.07*(1/(VLOOKUP($BM212,'Fuel economy adjusted factor'!$A$2:$L$52,5,FALSE)*m2k))/'TCO Inputs'!$AZ$84</f>
        <v>40.373367691414927</v>
      </c>
      <c r="EP212" s="125">
        <f>EP100/293.07*(1/(VLOOKUP($BM212,'Fuel economy adjusted factor'!$A$2:$L$52,5,FALSE)*m2k))/'TCO Inputs'!$AZ$84</f>
        <v>40.373367691414927</v>
      </c>
      <c r="EQ212" s="125">
        <f>EQ100/293.07*(1/(VLOOKUP($BM212,'Fuel economy adjusted factor'!$A$2:$L$52,5,FALSE)*m2k))/'TCO Inputs'!$AZ$84</f>
        <v>40.373367691414927</v>
      </c>
      <c r="ER212" s="125">
        <f>ER100/293.07*(1/(VLOOKUP($BM212,'Fuel economy adjusted factor'!$A$2:$L$52,5,FALSE)*m2k))/'TCO Inputs'!$AZ$84</f>
        <v>40.373367691414927</v>
      </c>
      <c r="ES212" s="125">
        <f>ES100/293.07*(1/(VLOOKUP($BM212,'Fuel economy adjusted factor'!$A$2:$L$52,5,FALSE)*m2k))/'TCO Inputs'!$AZ$84</f>
        <v>40.373367691414927</v>
      </c>
      <c r="ET212" s="125">
        <f>ET100/293.07*(1/(VLOOKUP($BM212,'Fuel economy adjusted factor'!$A$2:$L$52,5,FALSE)*m2k))/'TCO Inputs'!$AZ$84</f>
        <v>38.944521975025097</v>
      </c>
      <c r="EU212" s="125">
        <f>EU100/293.07*(1/(VLOOKUP($BM212,'Fuel economy adjusted factor'!$A$2:$L$52,5,FALSE)*m2k))/'TCO Inputs'!$AZ$84</f>
        <v>38.944521975025097</v>
      </c>
      <c r="EV212" s="125">
        <f>EV100/293.07*(1/(VLOOKUP($BM212,'Fuel economy adjusted factor'!$A$2:$L$52,5,FALSE)*m2k))/'TCO Inputs'!$AZ$84</f>
        <v>38.944521975025097</v>
      </c>
      <c r="EW212" s="125">
        <f>EW100/293.07*(1/(VLOOKUP($BM212,'Fuel economy adjusted factor'!$A$2:$L$52,5,FALSE)*m2k))/'TCO Inputs'!$AZ$84</f>
        <v>38.944521975025097</v>
      </c>
      <c r="EX212" s="125">
        <f>EX100/293.07*(1/(VLOOKUP($BM212,'Fuel economy adjusted factor'!$A$2:$L$52,5,FALSE)*m2k))/'TCO Inputs'!$AZ$84</f>
        <v>38.944521975025097</v>
      </c>
      <c r="EY212" s="125">
        <f>EY100/293.07*(1/(VLOOKUP($BM212,'Fuel economy adjusted factor'!$A$2:$L$52,5,FALSE)*m2k))/'TCO Inputs'!$AZ$84</f>
        <v>36.667450475303852</v>
      </c>
      <c r="EZ212" s="98" cm="1">
        <f t="array" ref="EZ212">SUMPRODUCT(INDEX(DX212:EY212,,'TCO Inputs'!$AZ$12-2023+_xlfn.SEQUENCE('TCO Inputs'!$AZ$13))*INDEX('VKT US'!C102:AA102,,_xlfn.SEQUENCE('TCO Inputs'!$AZ$13)))*m2k*CONVERT(0.9072,"g","ton")</f>
        <v>20.043313599146902</v>
      </c>
      <c r="FB212" s="123" t="s">
        <v>222</v>
      </c>
      <c r="FC212" s="125">
        <f>FC100/293.07*(1/(VLOOKUP($BM212,'Fuel economy adjusted factor'!$A$2:$L$52,5,FALSE)*m2k))/'TCO Inputs'!$AZ$84</f>
        <v>92.674569899184092</v>
      </c>
      <c r="FD212" s="125">
        <f>FD100/293.07*(1/(VLOOKUP($BM212,'Fuel economy adjusted factor'!$A$2:$L$52,5,FALSE)*m2k))/'TCO Inputs'!$AZ$84</f>
        <v>92.674569899184092</v>
      </c>
      <c r="FE212" s="125">
        <f>FE100/293.07*(1/(VLOOKUP($BM212,'Fuel economy adjusted factor'!$A$2:$L$52,5,FALSE)*m2k))/'TCO Inputs'!$AZ$84</f>
        <v>80.796987160143573</v>
      </c>
      <c r="FF212" s="125">
        <f>FF100/293.07*(1/(VLOOKUP($BM212,'Fuel economy adjusted factor'!$A$2:$L$52,5,FALSE)*m2k))/'TCO Inputs'!$AZ$84</f>
        <v>80.796987160143573</v>
      </c>
      <c r="FG212" s="125">
        <f>FG100/293.07*(1/(VLOOKUP($BM212,'Fuel economy adjusted factor'!$A$2:$L$52,5,FALSE)*m2k))/'TCO Inputs'!$AZ$84</f>
        <v>80.796987160143573</v>
      </c>
      <c r="FH212" s="125">
        <f>FH100/293.07*(1/(VLOOKUP($BM212,'Fuel economy adjusted factor'!$A$2:$L$52,5,FALSE)*m2k))/'TCO Inputs'!$AZ$84</f>
        <v>80.796987160143573</v>
      </c>
      <c r="FI212" s="125">
        <f>FI100/293.07*(1/(VLOOKUP($BM212,'Fuel economy adjusted factor'!$A$2:$L$52,5,FALSE)*m2k))/'TCO Inputs'!$AZ$84</f>
        <v>80.796987160143573</v>
      </c>
      <c r="FJ212" s="125">
        <f>FJ100/293.07*(1/(VLOOKUP($BM212,'Fuel economy adjusted factor'!$A$2:$L$52,5,FALSE)*m2k))/'TCO Inputs'!$AZ$84</f>
        <v>51.104846641842769</v>
      </c>
      <c r="FK212" s="125">
        <f>FK100/293.07*(1/(VLOOKUP($BM212,'Fuel economy adjusted factor'!$A$2:$L$52,5,FALSE)*m2k))/'TCO Inputs'!$AZ$84</f>
        <v>51.104846641842769</v>
      </c>
      <c r="FL212" s="125">
        <f>FL100/293.07*(1/(VLOOKUP($BM212,'Fuel economy adjusted factor'!$A$2:$L$52,5,FALSE)*m2k))/'TCO Inputs'!$AZ$84</f>
        <v>51.104846641842769</v>
      </c>
      <c r="FM212" s="125">
        <f>FM100/293.07*(1/(VLOOKUP($BM212,'Fuel economy adjusted factor'!$A$2:$L$52,5,FALSE)*m2k))/'TCO Inputs'!$AZ$84</f>
        <v>51.104846641842769</v>
      </c>
      <c r="FN212" s="125">
        <f>FN100/293.07*(1/(VLOOKUP($BM212,'Fuel economy adjusted factor'!$A$2:$L$52,5,FALSE)*m2k))/'TCO Inputs'!$AZ$84</f>
        <v>51.104846641842769</v>
      </c>
      <c r="FO212" s="125">
        <f>FO100/293.07*(1/(VLOOKUP($BM212,'Fuel economy adjusted factor'!$A$2:$L$52,5,FALSE)*m2k))/'TCO Inputs'!$AZ$84</f>
        <v>45.264137054549266</v>
      </c>
      <c r="FP212" s="125">
        <f>FP100/293.07*(1/(VLOOKUP($BM212,'Fuel economy adjusted factor'!$A$2:$L$52,5,FALSE)*m2k))/'TCO Inputs'!$AZ$84</f>
        <v>45.264137054549266</v>
      </c>
      <c r="FQ212" s="125">
        <f>FQ100/293.07*(1/(VLOOKUP($BM212,'Fuel economy adjusted factor'!$A$2:$L$52,5,FALSE)*m2k))/'TCO Inputs'!$AZ$84</f>
        <v>45.264137054549266</v>
      </c>
      <c r="FR212" s="125">
        <f>FR100/293.07*(1/(VLOOKUP($BM212,'Fuel economy adjusted factor'!$A$2:$L$52,5,FALSE)*m2k))/'TCO Inputs'!$AZ$84</f>
        <v>45.264137054549266</v>
      </c>
      <c r="FS212" s="125">
        <f>FS100/293.07*(1/(VLOOKUP($BM212,'Fuel economy adjusted factor'!$A$2:$L$52,5,FALSE)*m2k))/'TCO Inputs'!$AZ$84</f>
        <v>45.264137054549266</v>
      </c>
      <c r="FT212" s="125">
        <f>FT100/293.07*(1/(VLOOKUP($BM212,'Fuel economy adjusted factor'!$A$2:$L$52,5,FALSE)*m2k))/'TCO Inputs'!$AZ$84</f>
        <v>44.230645682567292</v>
      </c>
      <c r="FU212" s="125">
        <f>FU100/293.07*(1/(VLOOKUP($BM212,'Fuel economy adjusted factor'!$A$2:$L$52,5,FALSE)*m2k))/'TCO Inputs'!$AZ$84</f>
        <v>44.230645682567292</v>
      </c>
      <c r="FV212" s="125">
        <f>FV100/293.07*(1/(VLOOKUP($BM212,'Fuel economy adjusted factor'!$A$2:$L$52,5,FALSE)*m2k))/'TCO Inputs'!$AZ$84</f>
        <v>44.230645682567292</v>
      </c>
      <c r="FW212" s="125">
        <f>FW100/293.07*(1/(VLOOKUP($BM212,'Fuel economy adjusted factor'!$A$2:$L$52,5,FALSE)*m2k))/'TCO Inputs'!$AZ$84</f>
        <v>44.230645682567292</v>
      </c>
      <c r="FX212" s="125">
        <f>FX100/293.07*(1/(VLOOKUP($BM212,'Fuel economy adjusted factor'!$A$2:$L$52,5,FALSE)*m2k))/'TCO Inputs'!$AZ$84</f>
        <v>44.230645682567292</v>
      </c>
      <c r="FY212" s="125">
        <f>FY100/293.07*(1/(VLOOKUP($BM212,'Fuel economy adjusted factor'!$A$2:$L$52,5,FALSE)*m2k))/'TCO Inputs'!$AZ$84</f>
        <v>42.799378193776811</v>
      </c>
      <c r="FZ212" s="125">
        <f>FZ100/293.07*(1/(VLOOKUP($BM212,'Fuel economy adjusted factor'!$A$2:$L$52,5,FALSE)*m2k))/'TCO Inputs'!$AZ$84</f>
        <v>42.799378193776811</v>
      </c>
      <c r="GA212" s="125">
        <f>GA100/293.07*(1/(VLOOKUP($BM212,'Fuel economy adjusted factor'!$A$2:$L$52,5,FALSE)*m2k))/'TCO Inputs'!$AZ$84</f>
        <v>42.799378193776811</v>
      </c>
      <c r="GB212" s="125">
        <f>GB100/293.07*(1/(VLOOKUP($BM212,'Fuel economy adjusted factor'!$A$2:$L$52,5,FALSE)*m2k))/'TCO Inputs'!$AZ$84</f>
        <v>42.799378193776811</v>
      </c>
      <c r="GC212" s="125">
        <f>GC100/293.07*(1/(VLOOKUP($BM212,'Fuel economy adjusted factor'!$A$2:$L$52,5,FALSE)*m2k))/'TCO Inputs'!$AZ$84</f>
        <v>42.799378193776811</v>
      </c>
      <c r="GD212" s="125">
        <f>GD100/293.07*(1/(VLOOKUP($BM212,'Fuel economy adjusted factor'!$A$2:$L$52,5,FALSE)*m2k))/'TCO Inputs'!$AZ$84</f>
        <v>40.444809977234428</v>
      </c>
      <c r="GE212" s="98" cm="1">
        <f t="array" ref="GE212">SUMPRODUCT(INDEX(FC212:GD212,,'TCO Inputs'!$AZ$12-2023+_xlfn.SEQUENCE('TCO Inputs'!$AZ$13))*INDEX('VKT US'!C102:AA102,,_xlfn.SEQUENCE('TCO Inputs'!$AZ$13)))*m2k*CONVERT(0.9072,"g","ton")</f>
        <v>21.715128652150561</v>
      </c>
      <c r="GH212" s="123" t="s">
        <v>222</v>
      </c>
      <c r="GI212" s="125">
        <f>GI100/293.07*(1/(VLOOKUP($GH212,'Fuel economy adjusted factor'!$A$2:$L$52,5,FALSE)*m2k))/'TCO Inputs'!$AZ$84</f>
        <v>163.14556297547026</v>
      </c>
      <c r="GJ212" s="125">
        <f>GJ100/293.07*(1/(VLOOKUP($GH212,'Fuel economy adjusted factor'!$A$2:$L$52,5,FALSE)*m2k))/'TCO Inputs'!$AZ$84</f>
        <v>163.14556297547026</v>
      </c>
      <c r="GK212" s="125">
        <f>GK100/293.07*(1/(VLOOKUP($GH212,'Fuel economy adjusted factor'!$A$2:$L$52,5,FALSE)*m2k))/'TCO Inputs'!$AZ$84</f>
        <v>163.14556297547026</v>
      </c>
      <c r="GL212" s="125">
        <f>GL100/293.07*(1/(VLOOKUP($GH212,'Fuel economy adjusted factor'!$A$2:$L$52,5,FALSE)*m2k))/'TCO Inputs'!$AZ$84</f>
        <v>163.14556297547026</v>
      </c>
      <c r="GM212" s="125">
        <f>GM100/293.07*(1/(VLOOKUP($GH212,'Fuel economy adjusted factor'!$A$2:$L$52,5,FALSE)*m2k))/'TCO Inputs'!$AZ$84</f>
        <v>163.14556297547026</v>
      </c>
      <c r="GN212" s="125">
        <f>GN100/293.07*(1/(VLOOKUP($GH212,'Fuel economy adjusted factor'!$A$2:$L$52,5,FALSE)*m2k))/'TCO Inputs'!$AZ$84</f>
        <v>163.14556297547026</v>
      </c>
      <c r="GO212" s="125">
        <f>GO100/293.07*(1/(VLOOKUP($GH212,'Fuel economy adjusted factor'!$A$2:$L$52,5,FALSE)*m2k))/'TCO Inputs'!$AZ$84</f>
        <v>163.14556297547026</v>
      </c>
      <c r="GP212" s="125">
        <f>GP100/293.07*(1/(VLOOKUP($GH212,'Fuel economy adjusted factor'!$A$2:$L$52,5,FALSE)*m2k))/'TCO Inputs'!$AZ$84</f>
        <v>163.14556297547026</v>
      </c>
      <c r="GQ212" s="125">
        <f>GQ100/293.07*(1/(VLOOKUP($GH212,'Fuel economy adjusted factor'!$A$2:$L$52,5,FALSE)*m2k))/'TCO Inputs'!$AZ$84</f>
        <v>163.14556297547026</v>
      </c>
      <c r="GR212" s="125">
        <f>GR100/293.07*(1/(VLOOKUP($GH212,'Fuel economy adjusted factor'!$A$2:$L$52,5,FALSE)*m2k))/'TCO Inputs'!$AZ$84</f>
        <v>163.14556297547026</v>
      </c>
      <c r="GS212" s="125">
        <f>GS100/293.07*(1/(VLOOKUP($GH212,'Fuel economy adjusted factor'!$A$2:$L$52,5,FALSE)*m2k))/'TCO Inputs'!$AZ$84</f>
        <v>163.14556297547026</v>
      </c>
      <c r="GT212" s="125">
        <f>GT100/293.07*(1/(VLOOKUP($GH212,'Fuel economy adjusted factor'!$A$2:$L$52,5,FALSE)*m2k))/'TCO Inputs'!$AZ$84</f>
        <v>163.14556297547026</v>
      </c>
      <c r="GU212" s="125">
        <f>GU100/293.07*(1/(VLOOKUP($GH212,'Fuel economy adjusted factor'!$A$2:$L$52,5,FALSE)*m2k))/'TCO Inputs'!$AZ$84</f>
        <v>163.14556297547026</v>
      </c>
      <c r="GV212" s="125">
        <f>GV100/293.07*(1/(VLOOKUP($GH212,'Fuel economy adjusted factor'!$A$2:$L$52,5,FALSE)*m2k))/'TCO Inputs'!$AZ$84</f>
        <v>163.14556297547026</v>
      </c>
      <c r="GW212" s="125">
        <f>GW100/293.07*(1/(VLOOKUP($GH212,'Fuel economy adjusted factor'!$A$2:$L$52,5,FALSE)*m2k))/'TCO Inputs'!$AZ$84</f>
        <v>163.14556297547026</v>
      </c>
      <c r="GX212" s="125">
        <f>GX100/293.07*(1/(VLOOKUP($GH212,'Fuel economy adjusted factor'!$A$2:$L$52,5,FALSE)*m2k))/'TCO Inputs'!$AZ$84</f>
        <v>163.14556297547026</v>
      </c>
      <c r="GY212" s="125">
        <f>GY100/293.07*(1/(VLOOKUP($GH212,'Fuel economy adjusted factor'!$A$2:$L$52,5,FALSE)*m2k))/'TCO Inputs'!$AZ$84</f>
        <v>163.14556297547026</v>
      </c>
      <c r="GZ212" s="125">
        <f>GZ100/293.07*(1/(VLOOKUP($GH212,'Fuel economy adjusted factor'!$A$2:$L$52,5,FALSE)*m2k))/'TCO Inputs'!$AZ$84</f>
        <v>163.14556297547026</v>
      </c>
      <c r="HA212" s="125">
        <f>HA100/293.07*(1/(VLOOKUP($GH212,'Fuel economy adjusted factor'!$A$2:$L$52,5,FALSE)*m2k))/'TCO Inputs'!$AZ$84</f>
        <v>163.14556297547026</v>
      </c>
      <c r="HB212" s="125">
        <f>HB100/293.07*(1/(VLOOKUP($GH212,'Fuel economy adjusted factor'!$A$2:$L$52,5,FALSE)*m2k))/'TCO Inputs'!$AZ$84</f>
        <v>163.14556297547026</v>
      </c>
      <c r="HC212" s="125">
        <f>HC100/293.07*(1/(VLOOKUP($GH212,'Fuel economy adjusted factor'!$A$2:$L$52,5,FALSE)*m2k))/'TCO Inputs'!$AZ$84</f>
        <v>163.14556297547026</v>
      </c>
      <c r="HD212" s="125">
        <f>HD100/293.07*(1/(VLOOKUP($GH212,'Fuel economy adjusted factor'!$A$2:$L$52,5,FALSE)*m2k))/'TCO Inputs'!$AZ$84</f>
        <v>163.14556297547026</v>
      </c>
      <c r="HE212" s="125">
        <f>HE100/293.07*(1/(VLOOKUP($GH212,'Fuel economy adjusted factor'!$A$2:$L$52,5,FALSE)*m2k))/'TCO Inputs'!$AZ$84</f>
        <v>163.14556297547026</v>
      </c>
      <c r="HF212" s="125">
        <f>HF100/293.07*(1/(VLOOKUP($GH212,'Fuel economy adjusted factor'!$A$2:$L$52,5,FALSE)*m2k))/'TCO Inputs'!$AZ$84</f>
        <v>163.14556297547026</v>
      </c>
      <c r="HG212" s="125">
        <f>HG100/293.07*(1/(VLOOKUP($GH212,'Fuel economy adjusted factor'!$A$2:$L$52,5,FALSE)*m2k))/'TCO Inputs'!$AZ$84</f>
        <v>163.14556297547026</v>
      </c>
      <c r="HH212" s="125">
        <f>HH100/293.07*(1/(VLOOKUP($GH212,'Fuel economy adjusted factor'!$A$2:$L$52,5,FALSE)*m2k))/'TCO Inputs'!$AZ$84</f>
        <v>163.14556297547026</v>
      </c>
      <c r="HI212" s="125">
        <f>HI100/293.07*(1/(VLOOKUP($GH212,'Fuel economy adjusted factor'!$A$2:$L$52,5,FALSE)*m2k))/'TCO Inputs'!$AZ$84</f>
        <v>163.14556297547026</v>
      </c>
      <c r="HJ212" s="125">
        <f>HJ100/293.07*(1/(VLOOKUP($GH212,'Fuel economy adjusted factor'!$A$2:$L$52,5,FALSE)*m2k))/'TCO Inputs'!$AZ$84</f>
        <v>163.14556297547026</v>
      </c>
      <c r="HK212" s="98" cm="1">
        <f t="array" ref="HK212">SUMPRODUCT(INDEX(GI212:HJ212,,'TCO Inputs'!$AZ$12-2023+_xlfn.SEQUENCE('TCO Inputs'!$AZ$13))*INDEX('VKT US'!C102:AA102,,_xlfn.SEQUENCE('TCO Inputs'!$AZ$13)))*m2k*CONVERT(0.9072,"g","ton")</f>
        <v>51.530390039724011</v>
      </c>
    </row>
    <row r="213" spans="26:219" x14ac:dyDescent="0.25">
      <c r="Z213" s="123" t="s">
        <v>223</v>
      </c>
      <c r="AA213" s="125">
        <f>AA101/293.07*(1/(VLOOKUP($Z213,'Fuel economy adjusted factor'!$A$2:$L$52,5,FALSE)*m2k))/'TCO Inputs'!$AZ$84</f>
        <v>46.485666421243593</v>
      </c>
      <c r="AB213" s="125">
        <f>AB101/293.07*(1/(VLOOKUP($Z213,'Fuel economy adjusted factor'!$A$2:$L$52,5,FALSE)*m2k))/'TCO Inputs'!$AZ$84</f>
        <v>46.485666421243593</v>
      </c>
      <c r="AC213" s="125">
        <f>AC101/293.07*(1/(VLOOKUP($Z213,'Fuel economy adjusted factor'!$A$2:$L$52,5,FALSE)*m2k))/'TCO Inputs'!$AZ$84</f>
        <v>40.830479345575625</v>
      </c>
      <c r="AD213" s="125">
        <f>AD101/293.07*(1/(VLOOKUP($Z213,'Fuel economy adjusted factor'!$A$2:$L$52,5,FALSE)*m2k))/'TCO Inputs'!$AZ$84</f>
        <v>40.830479345575625</v>
      </c>
      <c r="AE213" s="125">
        <f>AE101/293.07*(1/(VLOOKUP($Z213,'Fuel economy adjusted factor'!$A$2:$L$52,5,FALSE)*m2k))/'TCO Inputs'!$AZ$84</f>
        <v>40.830479345575625</v>
      </c>
      <c r="AF213" s="125">
        <f>AF101/293.07*(1/(VLOOKUP($Z213,'Fuel economy adjusted factor'!$A$2:$L$52,5,FALSE)*m2k))/'TCO Inputs'!$AZ$84</f>
        <v>40.830479345575625</v>
      </c>
      <c r="AG213" s="125">
        <f>AG101/293.07*(1/(VLOOKUP($Z213,'Fuel economy adjusted factor'!$A$2:$L$52,5,FALSE)*m2k))/'TCO Inputs'!$AZ$84</f>
        <v>40.830479345575625</v>
      </c>
      <c r="AH213" s="125">
        <f>AH101/293.07*(1/(VLOOKUP($Z213,'Fuel economy adjusted factor'!$A$2:$L$52,5,FALSE)*m2k))/'TCO Inputs'!$AZ$84</f>
        <v>15.436948326213637</v>
      </c>
      <c r="AI213" s="125">
        <f>AI101/293.07*(1/(VLOOKUP($Z213,'Fuel economy adjusted factor'!$A$2:$L$52,5,FALSE)*m2k))/'TCO Inputs'!$AZ$84</f>
        <v>15.436948326213637</v>
      </c>
      <c r="AJ213" s="125">
        <f>AJ101/293.07*(1/(VLOOKUP($Z213,'Fuel economy adjusted factor'!$A$2:$L$52,5,FALSE)*m2k))/'TCO Inputs'!$AZ$84</f>
        <v>15.436948326213637</v>
      </c>
      <c r="AK213" s="125">
        <f>AK101/293.07*(1/(VLOOKUP($Z213,'Fuel economy adjusted factor'!$A$2:$L$52,5,FALSE)*m2k))/'TCO Inputs'!$AZ$84</f>
        <v>15.436948326213637</v>
      </c>
      <c r="AL213" s="125">
        <f>AL101/293.07*(1/(VLOOKUP($Z213,'Fuel economy adjusted factor'!$A$2:$L$52,5,FALSE)*m2k))/'TCO Inputs'!$AZ$84</f>
        <v>15.436948326213637</v>
      </c>
      <c r="AM213" s="125">
        <f>AM101/293.07*(1/(VLOOKUP($Z213,'Fuel economy adjusted factor'!$A$2:$L$52,5,FALSE)*m2k))/'TCO Inputs'!$AZ$84</f>
        <v>12.974760262672147</v>
      </c>
      <c r="AN213" s="125">
        <f>AN101/293.07*(1/(VLOOKUP($Z213,'Fuel economy adjusted factor'!$A$2:$L$52,5,FALSE)*m2k))/'TCO Inputs'!$AZ$84</f>
        <v>12.974760262672147</v>
      </c>
      <c r="AO213" s="125">
        <f>AO101/293.07*(1/(VLOOKUP($Z213,'Fuel economy adjusted factor'!$A$2:$L$52,5,FALSE)*m2k))/'TCO Inputs'!$AZ$84</f>
        <v>12.974760262672147</v>
      </c>
      <c r="AP213" s="125">
        <f>AP101/293.07*(1/(VLOOKUP($Z213,'Fuel economy adjusted factor'!$A$2:$L$52,5,FALSE)*m2k))/'TCO Inputs'!$AZ$84</f>
        <v>12.974760262672147</v>
      </c>
      <c r="AQ213" s="125">
        <f>AQ101/293.07*(1/(VLOOKUP($Z213,'Fuel economy adjusted factor'!$A$2:$L$52,5,FALSE)*m2k))/'TCO Inputs'!$AZ$84</f>
        <v>12.974760262672147</v>
      </c>
      <c r="AR213" s="125">
        <f>AR101/293.07*(1/(VLOOKUP($Z213,'Fuel economy adjusted factor'!$A$2:$L$52,5,FALSE)*m2k))/'TCO Inputs'!$AZ$84</f>
        <v>12.974760262672147</v>
      </c>
      <c r="AS213" s="125">
        <f>AS101/293.07*(1/(VLOOKUP($Z213,'Fuel economy adjusted factor'!$A$2:$L$52,5,FALSE)*m2k))/'TCO Inputs'!$AZ$84</f>
        <v>12.974760262672147</v>
      </c>
      <c r="AT213" s="125">
        <f>AT101/293.07*(1/(VLOOKUP($Z213,'Fuel economy adjusted factor'!$A$2:$L$52,5,FALSE)*m2k))/'TCO Inputs'!$AZ$84</f>
        <v>12.974760262672147</v>
      </c>
      <c r="AU213" s="125">
        <f>AU101/293.07*(1/(VLOOKUP($Z213,'Fuel economy adjusted factor'!$A$2:$L$52,5,FALSE)*m2k))/'TCO Inputs'!$AZ$84</f>
        <v>12.974760262672147</v>
      </c>
      <c r="AV213" s="125">
        <f>AV101/293.07*(1/(VLOOKUP($Z213,'Fuel economy adjusted factor'!$A$2:$L$52,5,FALSE)*m2k))/'TCO Inputs'!$AZ$84</f>
        <v>12.974760262672147</v>
      </c>
      <c r="AW213" s="125">
        <f>AW101/293.07*(1/(VLOOKUP($Z213,'Fuel economy adjusted factor'!$A$2:$L$52,5,FALSE)*m2k))/'TCO Inputs'!$AZ$84</f>
        <v>13.0360194157153</v>
      </c>
      <c r="AX213" s="125">
        <f>AX101/293.07*(1/(VLOOKUP($Z213,'Fuel economy adjusted factor'!$A$2:$L$52,5,FALSE)*m2k))/'TCO Inputs'!$AZ$84</f>
        <v>13.0360194157153</v>
      </c>
      <c r="AY213" s="125">
        <f>AY101/293.07*(1/(VLOOKUP($Z213,'Fuel economy adjusted factor'!$A$2:$L$52,5,FALSE)*m2k))/'TCO Inputs'!$AZ$84</f>
        <v>13.0360194157153</v>
      </c>
      <c r="AZ213" s="125">
        <f>AZ101/293.07*(1/(VLOOKUP($Z213,'Fuel economy adjusted factor'!$A$2:$L$52,5,FALSE)*m2k))/'TCO Inputs'!$AZ$84</f>
        <v>13.0360194157153</v>
      </c>
      <c r="BA213" s="125">
        <f>BA101/293.07*(1/(VLOOKUP($Z213,'Fuel economy adjusted factor'!$A$2:$L$52,5,FALSE)*m2k))/'TCO Inputs'!$AZ$84</f>
        <v>13.0360194157153</v>
      </c>
      <c r="BB213" s="125">
        <f>BB101/293.07*(1/(VLOOKUP($Z213,'Fuel economy adjusted factor'!$A$2:$L$52,5,FALSE)*m2k))/'TCO Inputs'!$AZ$84</f>
        <v>13.113041157845583</v>
      </c>
      <c r="BC213" s="98" cm="1">
        <f t="array" ref="BC213">SUMPRODUCT(INDEX(AA213:BB213,,'TCO Inputs'!$AZ$12-2023+_xlfn.SEQUENCE('TCO Inputs'!$AZ$13))*INDEX('VKT US'!C103:AA103,,_xlfn.SEQUENCE('TCO Inputs'!$AZ$13)))*m2k*CONVERT(0.9072,"g","ton")</f>
        <v>9.879178897481145</v>
      </c>
      <c r="BM213" s="123" t="s">
        <v>223</v>
      </c>
      <c r="BN213" s="125">
        <f>BN101/293.07*(1/(VLOOKUP($BM213,'Fuel economy adjusted factor'!$A$2:$L$52,5,FALSE)*m2k))</f>
        <v>39.512816458057053</v>
      </c>
      <c r="BO213" s="125">
        <f>BO101/293.07*(1/(VLOOKUP($BM213,'Fuel economy adjusted factor'!$A$2:$L$52,5,FALSE)*m2k))</f>
        <v>39.512816458057053</v>
      </c>
      <c r="BP213" s="125">
        <f>BP101/293.07*(1/(VLOOKUP($BM213,'Fuel economy adjusted factor'!$A$2:$L$52,5,FALSE)*m2k))</f>
        <v>31.146858124130375</v>
      </c>
      <c r="BQ213" s="125">
        <f>BQ101/293.07*(1/(VLOOKUP($BM213,'Fuel economy adjusted factor'!$A$2:$L$52,5,FALSE)*m2k))</f>
        <v>31.146858124130375</v>
      </c>
      <c r="BR213" s="125">
        <f>BR101/293.07*(1/(VLOOKUP($BM213,'Fuel economy adjusted factor'!$A$2:$L$52,5,FALSE)*m2k))</f>
        <v>31.146858124130375</v>
      </c>
      <c r="BS213" s="125">
        <f>BS101/293.07*(1/(VLOOKUP($BM213,'Fuel economy adjusted factor'!$A$2:$L$52,5,FALSE)*m2k))</f>
        <v>31.146858124130375</v>
      </c>
      <c r="BT213" s="125">
        <f>BT101/293.07*(1/(VLOOKUP($BM213,'Fuel economy adjusted factor'!$A$2:$L$52,5,FALSE)*m2k))</f>
        <v>31.146858124130375</v>
      </c>
      <c r="BU213" s="125">
        <f>BU101/293.07*(1/(VLOOKUP($BM213,'Fuel economy adjusted factor'!$A$2:$L$52,5,FALSE)*m2k))</f>
        <v>1.7594273587183642</v>
      </c>
      <c r="BV213" s="125">
        <f>BV101/293.07*(1/(VLOOKUP($BM213,'Fuel economy adjusted factor'!$A$2:$L$52,5,FALSE)*m2k))</f>
        <v>1.7594273587183642</v>
      </c>
      <c r="BW213" s="125">
        <f>BW101/293.07*(1/(VLOOKUP($BM213,'Fuel economy adjusted factor'!$A$2:$L$52,5,FALSE)*m2k))</f>
        <v>1.7594273587183642</v>
      </c>
      <c r="BX213" s="125">
        <f>BX101/293.07*(1/(VLOOKUP($BM213,'Fuel economy adjusted factor'!$A$2:$L$52,5,FALSE)*m2k))</f>
        <v>1.7594273587183642</v>
      </c>
      <c r="BY213" s="125">
        <f>BY101/293.07*(1/(VLOOKUP($BM213,'Fuel economy adjusted factor'!$A$2:$L$52,5,FALSE)*m2k))</f>
        <v>1.7594273587183642</v>
      </c>
      <c r="BZ213" s="125">
        <f>BZ101/293.07*(1/(VLOOKUP($BM213,'Fuel economy adjusted factor'!$A$2:$L$52,5,FALSE)*m2k))</f>
        <v>1.8349444900721463</v>
      </c>
      <c r="CA213" s="125">
        <f>CA101/293.07*(1/(VLOOKUP($BM213,'Fuel economy adjusted factor'!$A$2:$L$52,5,FALSE)*m2k))</f>
        <v>1.8349444900721463</v>
      </c>
      <c r="CB213" s="125">
        <f>CB101/293.07*(1/(VLOOKUP($BM213,'Fuel economy adjusted factor'!$A$2:$L$52,5,FALSE)*m2k))</f>
        <v>1.8349444900721463</v>
      </c>
      <c r="CC213" s="125">
        <f>CC101/293.07*(1/(VLOOKUP($BM213,'Fuel economy adjusted factor'!$A$2:$L$52,5,FALSE)*m2k))</f>
        <v>1.8349444900721463</v>
      </c>
      <c r="CD213" s="125">
        <f>CD101/293.07*(1/(VLOOKUP($BM213,'Fuel economy adjusted factor'!$A$2:$L$52,5,FALSE)*m2k))</f>
        <v>1.8349444900721463</v>
      </c>
      <c r="CE213" s="125">
        <f>CE101/293.07*(1/(VLOOKUP($BM213,'Fuel economy adjusted factor'!$A$2:$L$52,5,FALSE)*m2k))</f>
        <v>1.8605228732726213</v>
      </c>
      <c r="CF213" s="125">
        <f>CF101/293.07*(1/(VLOOKUP($BM213,'Fuel economy adjusted factor'!$A$2:$L$52,5,FALSE)*m2k))</f>
        <v>1.8605228732726213</v>
      </c>
      <c r="CG213" s="125">
        <f>CG101/293.07*(1/(VLOOKUP($BM213,'Fuel economy adjusted factor'!$A$2:$L$52,5,FALSE)*m2k))</f>
        <v>1.8605228732726213</v>
      </c>
      <c r="CH213" s="125">
        <f>CH101/293.07*(1/(VLOOKUP($BM213,'Fuel economy adjusted factor'!$A$2:$L$52,5,FALSE)*m2k))</f>
        <v>1.8605228732726213</v>
      </c>
      <c r="CI213" s="125">
        <f>CI101/293.07*(1/(VLOOKUP($BM213,'Fuel economy adjusted factor'!$A$2:$L$52,5,FALSE)*m2k))</f>
        <v>1.8605228732726213</v>
      </c>
      <c r="CJ213" s="125">
        <f>CJ101/293.07*(1/(VLOOKUP($BM213,'Fuel economy adjusted factor'!$A$2:$L$52,5,FALSE)*m2k))</f>
        <v>1.9259913540833602</v>
      </c>
      <c r="CK213" s="125">
        <f>CK101/293.07*(1/(VLOOKUP($BM213,'Fuel economy adjusted factor'!$A$2:$L$52,5,FALSE)*m2k))</f>
        <v>1.9259913540833602</v>
      </c>
      <c r="CL213" s="125">
        <f>CL101/293.07*(1/(VLOOKUP($BM213,'Fuel economy adjusted factor'!$A$2:$L$52,5,FALSE)*m2k))</f>
        <v>1.9259913540833602</v>
      </c>
      <c r="CM213" s="125">
        <f>CM101/293.07*(1/(VLOOKUP($BM213,'Fuel economy adjusted factor'!$A$2:$L$52,5,FALSE)*m2k))</f>
        <v>1.9259913540833602</v>
      </c>
      <c r="CN213" s="125">
        <f>CN101/293.07*(1/(VLOOKUP($BM213,'Fuel economy adjusted factor'!$A$2:$L$52,5,FALSE)*m2k))</f>
        <v>1.9259913540833602</v>
      </c>
      <c r="CO213" s="125">
        <f>CO101/293.07*(1/(VLOOKUP($BM213,'Fuel economy adjusted factor'!$A$2:$L$52,5,FALSE)*m2k))</f>
        <v>2.0088165949229917</v>
      </c>
      <c r="CP213" s="98" cm="1">
        <f t="array" ref="CP213">SUMPRODUCT(INDEX(BN213:CO213,,'TCO Inputs'!$AZ$12-2023+_xlfn.SEQUENCE('TCO Inputs'!$AZ$13))*INDEX('VKT US'!C103:AA103,,_xlfn.SEQUENCE('TCO Inputs'!$AZ$13)))*m2k*CONVERT(0.9072,"g","ton")</f>
        <v>6.358180135945239</v>
      </c>
      <c r="CQ213" s="194"/>
      <c r="CR213" s="123" t="s">
        <v>223</v>
      </c>
      <c r="CS213" s="125">
        <f>CS101/293.07*(1/(VLOOKUP($BM213,'Fuel economy adjusted factor'!$A$2:$L$52,5,FALSE)*m2k))/'TCO Inputs'!$AZ$84</f>
        <v>46.485666421243593</v>
      </c>
      <c r="CT213" s="125">
        <f>CT101/293.07*(1/(VLOOKUP($BM213,'Fuel economy adjusted factor'!$A$2:$L$52,5,FALSE)*m2k))</f>
        <v>1.8501697181676673</v>
      </c>
      <c r="CU213" s="125">
        <f>CU101/293.07*(1/(VLOOKUP($BM213,'Fuel economy adjusted factor'!$A$2:$L$52,5,FALSE)*m2k))</f>
        <v>1.8501697181676673</v>
      </c>
      <c r="CV213" s="125">
        <f>CV101/293.07*(1/(VLOOKUP($BM213,'Fuel economy adjusted factor'!$A$2:$L$52,5,FALSE)*m2k))</f>
        <v>1.8501697181676673</v>
      </c>
      <c r="CW213" s="125">
        <f>CW101/293.07*(1/(VLOOKUP($BM213,'Fuel economy adjusted factor'!$A$2:$L$52,5,FALSE)*m2k))</f>
        <v>1.8501697181676673</v>
      </c>
      <c r="CX213" s="125">
        <f>CX101/293.07*(1/(VLOOKUP($BM213,'Fuel economy adjusted factor'!$A$2:$L$52,5,FALSE)*m2k))</f>
        <v>1.8501697181676673</v>
      </c>
      <c r="CY213" s="125">
        <f>CY101/293.07*(1/(VLOOKUP($BM213,'Fuel economy adjusted factor'!$A$2:$L$52,5,FALSE)*m2k))</f>
        <v>1.8501697181676673</v>
      </c>
      <c r="CZ213" s="125">
        <f>CZ101/293.07*(1/(VLOOKUP($BM213,'Fuel economy adjusted factor'!$A$2:$L$52,5,FALSE)*m2k))</f>
        <v>1.8501697181676673</v>
      </c>
      <c r="DA213" s="125">
        <f>DA101/293.07*(1/(VLOOKUP($BM213,'Fuel economy adjusted factor'!$A$2:$L$52,5,FALSE)*m2k))</f>
        <v>1.8501697181676673</v>
      </c>
      <c r="DB213" s="125">
        <f>DB101/293.07*(1/(VLOOKUP($BM213,'Fuel economy adjusted factor'!$A$2:$L$52,5,FALSE)*m2k))</f>
        <v>1.8501697181676673</v>
      </c>
      <c r="DC213" s="125">
        <f>DC101/293.07*(1/(VLOOKUP($BM213,'Fuel economy adjusted factor'!$A$2:$L$52,5,FALSE)*m2k))</f>
        <v>1.8501697181676673</v>
      </c>
      <c r="DD213" s="125">
        <f>DD101/293.07*(1/(VLOOKUP($BM213,'Fuel economy adjusted factor'!$A$2:$L$52,5,FALSE)*m2k))</f>
        <v>1.8501697181676673</v>
      </c>
      <c r="DE213" s="125">
        <f>DE101/293.07*(1/(VLOOKUP($BM213,'Fuel economy adjusted factor'!$A$2:$L$52,5,FALSE)*m2k))</f>
        <v>1.9031535119400789</v>
      </c>
      <c r="DF213" s="125">
        <f>DF101/293.07*(1/(VLOOKUP($BM213,'Fuel economy adjusted factor'!$A$2:$L$52,5,FALSE)*m2k))</f>
        <v>1.9031535119400789</v>
      </c>
      <c r="DG213" s="125">
        <f>DG101/293.07*(1/(VLOOKUP($BM213,'Fuel economy adjusted factor'!$A$2:$L$52,5,FALSE)*m2k))</f>
        <v>1.9031535119400789</v>
      </c>
      <c r="DH213" s="125">
        <f>DH101/293.07*(1/(VLOOKUP($BM213,'Fuel economy adjusted factor'!$A$2:$L$52,5,FALSE)*m2k))</f>
        <v>1.9031535119400789</v>
      </c>
      <c r="DI213" s="125">
        <f>DI101/293.07*(1/(VLOOKUP($BM213,'Fuel economy adjusted factor'!$A$2:$L$52,5,FALSE)*m2k))</f>
        <v>1.9031535119400789</v>
      </c>
      <c r="DJ213" s="125">
        <f>DJ101/293.07*(1/(VLOOKUP($BM213,'Fuel economy adjusted factor'!$A$2:$L$52,5,FALSE)*m2k))</f>
        <v>2.002117494560963</v>
      </c>
      <c r="DK213" s="125">
        <f>DK101/293.07*(1/(VLOOKUP($BM213,'Fuel economy adjusted factor'!$A$2:$L$52,5,FALSE)*m2k))</f>
        <v>2.002117494560963</v>
      </c>
      <c r="DL213" s="125">
        <f>DL101/293.07*(1/(VLOOKUP($BM213,'Fuel economy adjusted factor'!$A$2:$L$52,5,FALSE)*m2k))</f>
        <v>2.002117494560963</v>
      </c>
      <c r="DM213" s="125">
        <f>DM101/293.07*(1/(VLOOKUP($BM213,'Fuel economy adjusted factor'!$A$2:$L$52,5,FALSE)*m2k))</f>
        <v>2.002117494560963</v>
      </c>
      <c r="DN213" s="125">
        <f>DN101/293.07*(1/(VLOOKUP($BM213,'Fuel economy adjusted factor'!$A$2:$L$52,5,FALSE)*m2k))</f>
        <v>2.002117494560963</v>
      </c>
      <c r="DO213" s="125">
        <f>DO101/293.07*(1/(VLOOKUP($BM213,'Fuel economy adjusted factor'!$A$2:$L$52,5,FALSE)*m2k))</f>
        <v>2.0675859753717014</v>
      </c>
      <c r="DP213" s="125">
        <f>DP101/293.07*(1/(VLOOKUP($BM213,'Fuel economy adjusted factor'!$A$2:$L$52,5,FALSE)*m2k))</f>
        <v>2.0675859753717014</v>
      </c>
      <c r="DQ213" s="125">
        <f>DQ101/293.07*(1/(VLOOKUP($BM213,'Fuel economy adjusted factor'!$A$2:$L$52,5,FALSE)*m2k))</f>
        <v>2.0675859753717014</v>
      </c>
      <c r="DR213" s="125">
        <f>DR101/293.07*(1/(VLOOKUP($BM213,'Fuel economy adjusted factor'!$A$2:$L$52,5,FALSE)*m2k))</f>
        <v>2.0675859753717014</v>
      </c>
      <c r="DS213" s="125">
        <f>DS101/293.07*(1/(VLOOKUP($BM213,'Fuel economy adjusted factor'!$A$2:$L$52,5,FALSE)*m2k))</f>
        <v>2.0675859753717014</v>
      </c>
      <c r="DT213" s="125">
        <f>DT101/293.07*(1/(VLOOKUP($BM213,'Fuel economy adjusted factor'!$A$2:$L$52,5,FALSE)*m2k))</f>
        <v>2.1507157207732446</v>
      </c>
      <c r="DU213" s="98" cm="1">
        <f t="array" ref="DU213">SUMPRODUCT(INDEX(CS213:DT213,,'TCO Inputs'!$AZ$12-2023+_xlfn.SEQUENCE('TCO Inputs'!$AZ$13))*INDEX('VKT US'!C103:AA103,,_xlfn.SEQUENCE('TCO Inputs'!$AZ$13)))*m2k*CONVERT(0.9072,"g","ton")</f>
        <v>1.8688297180151821</v>
      </c>
      <c r="DW213" s="123" t="s">
        <v>223</v>
      </c>
      <c r="DX213" s="125">
        <f>DX101/293.07*(1/(VLOOKUP($BM213,'Fuel economy adjusted factor'!$A$2:$L$52,5,FALSE)*m2k))/'TCO Inputs'!$AZ$84</f>
        <v>61.415866631076121</v>
      </c>
      <c r="DY213" s="125">
        <f>DY101/293.07*(1/(VLOOKUP($BM213,'Fuel economy adjusted factor'!$A$2:$L$52,5,FALSE)*m2k))/'TCO Inputs'!$AZ$84</f>
        <v>61.415866631076121</v>
      </c>
      <c r="DZ213" s="125">
        <f>DZ101/293.07*(1/(VLOOKUP($BM213,'Fuel economy adjusted factor'!$A$2:$L$52,5,FALSE)*m2k))/'TCO Inputs'!$AZ$84</f>
        <v>53.731401390728266</v>
      </c>
      <c r="EA213" s="125">
        <f>EA101/293.07*(1/(VLOOKUP($BM213,'Fuel economy adjusted factor'!$A$2:$L$52,5,FALSE)*m2k))/'TCO Inputs'!$AZ$84</f>
        <v>53.731401390728266</v>
      </c>
      <c r="EB213" s="125">
        <f>EB101/293.07*(1/(VLOOKUP($BM213,'Fuel economy adjusted factor'!$A$2:$L$52,5,FALSE)*m2k))/'TCO Inputs'!$AZ$84</f>
        <v>53.731401390728266</v>
      </c>
      <c r="EC213" s="125">
        <f>EC101/293.07*(1/(VLOOKUP($BM213,'Fuel economy adjusted factor'!$A$2:$L$52,5,FALSE)*m2k))/'TCO Inputs'!$AZ$84</f>
        <v>53.731401390728266</v>
      </c>
      <c r="ED213" s="125">
        <f>ED101/293.07*(1/(VLOOKUP($BM213,'Fuel economy adjusted factor'!$A$2:$L$52,5,FALSE)*m2k))/'TCO Inputs'!$AZ$84</f>
        <v>53.731401390728266</v>
      </c>
      <c r="EE213" s="125">
        <f>EE101/293.07*(1/(VLOOKUP($BM213,'Fuel economy adjusted factor'!$A$2:$L$52,5,FALSE)*m2k))/'TCO Inputs'!$AZ$84</f>
        <v>33.429614152202433</v>
      </c>
      <c r="EF213" s="125">
        <f>EF101/293.07*(1/(VLOOKUP($BM213,'Fuel economy adjusted factor'!$A$2:$L$52,5,FALSE)*m2k))/'TCO Inputs'!$AZ$84</f>
        <v>33.429614152202433</v>
      </c>
      <c r="EG213" s="125">
        <f>EG101/293.07*(1/(VLOOKUP($BM213,'Fuel economy adjusted factor'!$A$2:$L$52,5,FALSE)*m2k))/'TCO Inputs'!$AZ$84</f>
        <v>33.429614152202433</v>
      </c>
      <c r="EH213" s="125">
        <f>EH101/293.07*(1/(VLOOKUP($BM213,'Fuel economy adjusted factor'!$A$2:$L$52,5,FALSE)*m2k))/'TCO Inputs'!$AZ$84</f>
        <v>33.429614152202433</v>
      </c>
      <c r="EI213" s="125">
        <f>EI101/293.07*(1/(VLOOKUP($BM213,'Fuel economy adjusted factor'!$A$2:$L$52,5,FALSE)*m2k))/'TCO Inputs'!$AZ$84</f>
        <v>33.429614152202433</v>
      </c>
      <c r="EJ213" s="125">
        <f>EJ101/293.07*(1/(VLOOKUP($BM213,'Fuel economy adjusted factor'!$A$2:$L$52,5,FALSE)*m2k))/'TCO Inputs'!$AZ$84</f>
        <v>29.765863072153994</v>
      </c>
      <c r="EK213" s="125">
        <f>EK101/293.07*(1/(VLOOKUP($BM213,'Fuel economy adjusted factor'!$A$2:$L$52,5,FALSE)*m2k))/'TCO Inputs'!$AZ$84</f>
        <v>29.765863072153994</v>
      </c>
      <c r="EL213" s="125">
        <f>EL101/293.07*(1/(VLOOKUP($BM213,'Fuel economy adjusted factor'!$A$2:$L$52,5,FALSE)*m2k))/'TCO Inputs'!$AZ$84</f>
        <v>29.765863072153994</v>
      </c>
      <c r="EM213" s="125">
        <f>EM101/293.07*(1/(VLOOKUP($BM213,'Fuel economy adjusted factor'!$A$2:$L$52,5,FALSE)*m2k))/'TCO Inputs'!$AZ$84</f>
        <v>29.765863072153994</v>
      </c>
      <c r="EN213" s="125">
        <f>EN101/293.07*(1/(VLOOKUP($BM213,'Fuel economy adjusted factor'!$A$2:$L$52,5,FALSE)*m2k))/'TCO Inputs'!$AZ$84</f>
        <v>29.765863072153994</v>
      </c>
      <c r="EO213" s="125">
        <f>EO101/293.07*(1/(VLOOKUP($BM213,'Fuel economy adjusted factor'!$A$2:$L$52,5,FALSE)*m2k))/'TCO Inputs'!$AZ$84</f>
        <v>28.923117914283257</v>
      </c>
      <c r="EP213" s="125">
        <f>EP101/293.07*(1/(VLOOKUP($BM213,'Fuel economy adjusted factor'!$A$2:$L$52,5,FALSE)*m2k))/'TCO Inputs'!$AZ$84</f>
        <v>28.923117914283257</v>
      </c>
      <c r="EQ213" s="125">
        <f>EQ101/293.07*(1/(VLOOKUP($BM213,'Fuel economy adjusted factor'!$A$2:$L$52,5,FALSE)*m2k))/'TCO Inputs'!$AZ$84</f>
        <v>28.923117914283257</v>
      </c>
      <c r="ER213" s="125">
        <f>ER101/293.07*(1/(VLOOKUP($BM213,'Fuel economy adjusted factor'!$A$2:$L$52,5,FALSE)*m2k))/'TCO Inputs'!$AZ$84</f>
        <v>28.923117914283257</v>
      </c>
      <c r="ES213" s="125">
        <f>ES101/293.07*(1/(VLOOKUP($BM213,'Fuel economy adjusted factor'!$A$2:$L$52,5,FALSE)*m2k))/'TCO Inputs'!$AZ$84</f>
        <v>28.923117914283257</v>
      </c>
      <c r="ET213" s="125">
        <f>ET101/293.07*(1/(VLOOKUP($BM213,'Fuel economy adjusted factor'!$A$2:$L$52,5,FALSE)*m2k))/'TCO Inputs'!$AZ$84</f>
        <v>27.899505679298727</v>
      </c>
      <c r="EU213" s="125">
        <f>EU101/293.07*(1/(VLOOKUP($BM213,'Fuel economy adjusted factor'!$A$2:$L$52,5,FALSE)*m2k))/'TCO Inputs'!$AZ$84</f>
        <v>27.899505679298727</v>
      </c>
      <c r="EV213" s="125">
        <f>EV101/293.07*(1/(VLOOKUP($BM213,'Fuel economy adjusted factor'!$A$2:$L$52,5,FALSE)*m2k))/'TCO Inputs'!$AZ$84</f>
        <v>27.899505679298727</v>
      </c>
      <c r="EW213" s="125">
        <f>EW101/293.07*(1/(VLOOKUP($BM213,'Fuel economy adjusted factor'!$A$2:$L$52,5,FALSE)*m2k))/'TCO Inputs'!$AZ$84</f>
        <v>27.899505679298727</v>
      </c>
      <c r="EX213" s="125">
        <f>EX101/293.07*(1/(VLOOKUP($BM213,'Fuel economy adjusted factor'!$A$2:$L$52,5,FALSE)*m2k))/'TCO Inputs'!$AZ$84</f>
        <v>27.899505679298727</v>
      </c>
      <c r="EY213" s="125">
        <f>EY101/293.07*(1/(VLOOKUP($BM213,'Fuel economy adjusted factor'!$A$2:$L$52,5,FALSE)*m2k))/'TCO Inputs'!$AZ$84</f>
        <v>26.268232113291596</v>
      </c>
      <c r="EZ213" s="98" cm="1">
        <f t="array" ref="EZ213">SUMPRODUCT(INDEX(DX213:EY213,,'TCO Inputs'!$AZ$12-2023+_xlfn.SEQUENCE('TCO Inputs'!$AZ$13))*INDEX('VKT US'!C103:AA103,,_xlfn.SEQUENCE('TCO Inputs'!$AZ$13)))*m2k*CONVERT(0.9072,"g","ton")</f>
        <v>14.935471839197756</v>
      </c>
      <c r="FB213" s="123" t="s">
        <v>223</v>
      </c>
      <c r="FC213" s="125">
        <f>FC101/293.07*(1/(VLOOKUP($BM213,'Fuel economy adjusted factor'!$A$2:$L$52,5,FALSE)*m2k))/'TCO Inputs'!$AZ$84</f>
        <v>66.391229320697974</v>
      </c>
      <c r="FD213" s="125">
        <f>FD101/293.07*(1/(VLOOKUP($BM213,'Fuel economy adjusted factor'!$A$2:$L$52,5,FALSE)*m2k))/'TCO Inputs'!$AZ$84</f>
        <v>66.391229320697974</v>
      </c>
      <c r="FE213" s="125">
        <f>FE101/293.07*(1/(VLOOKUP($BM213,'Fuel economy adjusted factor'!$A$2:$L$52,5,FALSE)*m2k))/'TCO Inputs'!$AZ$84</f>
        <v>57.882235750390116</v>
      </c>
      <c r="FF213" s="125">
        <f>FF101/293.07*(1/(VLOOKUP($BM213,'Fuel economy adjusted factor'!$A$2:$L$52,5,FALSE)*m2k))/'TCO Inputs'!$AZ$84</f>
        <v>57.882235750390116</v>
      </c>
      <c r="FG213" s="125">
        <f>FG101/293.07*(1/(VLOOKUP($BM213,'Fuel economy adjusted factor'!$A$2:$L$52,5,FALSE)*m2k))/'TCO Inputs'!$AZ$84</f>
        <v>57.882235750390116</v>
      </c>
      <c r="FH213" s="125">
        <f>FH101/293.07*(1/(VLOOKUP($BM213,'Fuel economy adjusted factor'!$A$2:$L$52,5,FALSE)*m2k))/'TCO Inputs'!$AZ$84</f>
        <v>57.882235750390116</v>
      </c>
      <c r="FI213" s="125">
        <f>FI101/293.07*(1/(VLOOKUP($BM213,'Fuel economy adjusted factor'!$A$2:$L$52,5,FALSE)*m2k))/'TCO Inputs'!$AZ$84</f>
        <v>57.882235750390116</v>
      </c>
      <c r="FJ213" s="125">
        <f>FJ101/293.07*(1/(VLOOKUP($BM213,'Fuel economy adjusted factor'!$A$2:$L$52,5,FALSE)*m2k))/'TCO Inputs'!$AZ$84</f>
        <v>36.611053026614115</v>
      </c>
      <c r="FK213" s="125">
        <f>FK101/293.07*(1/(VLOOKUP($BM213,'Fuel economy adjusted factor'!$A$2:$L$52,5,FALSE)*m2k))/'TCO Inputs'!$AZ$84</f>
        <v>36.611053026614115</v>
      </c>
      <c r="FL213" s="125">
        <f>FL101/293.07*(1/(VLOOKUP($BM213,'Fuel economy adjusted factor'!$A$2:$L$52,5,FALSE)*m2k))/'TCO Inputs'!$AZ$84</f>
        <v>36.611053026614115</v>
      </c>
      <c r="FM213" s="125">
        <f>FM101/293.07*(1/(VLOOKUP($BM213,'Fuel economy adjusted factor'!$A$2:$L$52,5,FALSE)*m2k))/'TCO Inputs'!$AZ$84</f>
        <v>36.611053026614115</v>
      </c>
      <c r="FN213" s="125">
        <f>FN101/293.07*(1/(VLOOKUP($BM213,'Fuel economy adjusted factor'!$A$2:$L$52,5,FALSE)*m2k))/'TCO Inputs'!$AZ$84</f>
        <v>36.611053026614115</v>
      </c>
      <c r="FO213" s="125">
        <f>FO101/293.07*(1/(VLOOKUP($BM213,'Fuel economy adjusted factor'!$A$2:$L$52,5,FALSE)*m2k))/'TCO Inputs'!$AZ$84</f>
        <v>32.426821149115902</v>
      </c>
      <c r="FP213" s="125">
        <f>FP101/293.07*(1/(VLOOKUP($BM213,'Fuel economy adjusted factor'!$A$2:$L$52,5,FALSE)*m2k))/'TCO Inputs'!$AZ$84</f>
        <v>32.426821149115902</v>
      </c>
      <c r="FQ213" s="125">
        <f>FQ101/293.07*(1/(VLOOKUP($BM213,'Fuel economy adjusted factor'!$A$2:$L$52,5,FALSE)*m2k))/'TCO Inputs'!$AZ$84</f>
        <v>32.426821149115902</v>
      </c>
      <c r="FR213" s="125">
        <f>FR101/293.07*(1/(VLOOKUP($BM213,'Fuel economy adjusted factor'!$A$2:$L$52,5,FALSE)*m2k))/'TCO Inputs'!$AZ$84</f>
        <v>32.426821149115902</v>
      </c>
      <c r="FS213" s="125">
        <f>FS101/293.07*(1/(VLOOKUP($BM213,'Fuel economy adjusted factor'!$A$2:$L$52,5,FALSE)*m2k))/'TCO Inputs'!$AZ$84</f>
        <v>32.426821149115902</v>
      </c>
      <c r="FT213" s="125">
        <f>FT101/293.07*(1/(VLOOKUP($BM213,'Fuel economy adjusted factor'!$A$2:$L$52,5,FALSE)*m2k))/'TCO Inputs'!$AZ$84</f>
        <v>31.68643721474362</v>
      </c>
      <c r="FU213" s="125">
        <f>FU101/293.07*(1/(VLOOKUP($BM213,'Fuel economy adjusted factor'!$A$2:$L$52,5,FALSE)*m2k))/'TCO Inputs'!$AZ$84</f>
        <v>31.68643721474362</v>
      </c>
      <c r="FV213" s="125">
        <f>FV101/293.07*(1/(VLOOKUP($BM213,'Fuel economy adjusted factor'!$A$2:$L$52,5,FALSE)*m2k))/'TCO Inputs'!$AZ$84</f>
        <v>31.68643721474362</v>
      </c>
      <c r="FW213" s="125">
        <f>FW101/293.07*(1/(VLOOKUP($BM213,'Fuel economy adjusted factor'!$A$2:$L$52,5,FALSE)*m2k))/'TCO Inputs'!$AZ$84</f>
        <v>31.68643721474362</v>
      </c>
      <c r="FX213" s="125">
        <f>FX101/293.07*(1/(VLOOKUP($BM213,'Fuel economy adjusted factor'!$A$2:$L$52,5,FALSE)*m2k))/'TCO Inputs'!$AZ$84</f>
        <v>31.68643721474362</v>
      </c>
      <c r="FY213" s="125">
        <f>FY101/293.07*(1/(VLOOKUP($BM213,'Fuel economy adjusted factor'!$A$2:$L$52,5,FALSE)*m2k))/'TCO Inputs'!$AZ$84</f>
        <v>30.661090043767587</v>
      </c>
      <c r="FZ213" s="125">
        <f>FZ101/293.07*(1/(VLOOKUP($BM213,'Fuel economy adjusted factor'!$A$2:$L$52,5,FALSE)*m2k))/'TCO Inputs'!$AZ$84</f>
        <v>30.661090043767587</v>
      </c>
      <c r="GA213" s="125">
        <f>GA101/293.07*(1/(VLOOKUP($BM213,'Fuel economy adjusted factor'!$A$2:$L$52,5,FALSE)*m2k))/'TCO Inputs'!$AZ$84</f>
        <v>30.661090043767587</v>
      </c>
      <c r="GB213" s="125">
        <f>GB101/293.07*(1/(VLOOKUP($BM213,'Fuel economy adjusted factor'!$A$2:$L$52,5,FALSE)*m2k))/'TCO Inputs'!$AZ$84</f>
        <v>30.661090043767587</v>
      </c>
      <c r="GC213" s="125">
        <f>GC101/293.07*(1/(VLOOKUP($BM213,'Fuel economy adjusted factor'!$A$2:$L$52,5,FALSE)*m2k))/'TCO Inputs'!$AZ$84</f>
        <v>30.661090043767587</v>
      </c>
      <c r="GD213" s="125">
        <f>GD101/293.07*(1/(VLOOKUP($BM213,'Fuel economy adjusted factor'!$A$2:$L$52,5,FALSE)*m2k))/'TCO Inputs'!$AZ$84</f>
        <v>28.974298526032484</v>
      </c>
      <c r="GE213" s="98" cm="1">
        <f t="array" ref="GE213">SUMPRODUCT(INDEX(FC213:GD213,,'TCO Inputs'!$AZ$12-2023+_xlfn.SEQUENCE('TCO Inputs'!$AZ$13))*INDEX('VKT US'!C103:AA103,,_xlfn.SEQUENCE('TCO Inputs'!$AZ$13)))*m2k*CONVERT(0.9072,"g","ton")</f>
        <v>16.181241233612948</v>
      </c>
      <c r="GH213" s="123" t="s">
        <v>223</v>
      </c>
      <c r="GI213" s="125">
        <f>GI101/293.07*(1/(VLOOKUP($GH213,'Fuel economy adjusted factor'!$A$2:$L$52,5,FALSE)*m2k))/'TCO Inputs'!$AZ$84</f>
        <v>116.8760156744378</v>
      </c>
      <c r="GJ213" s="125">
        <f>GJ101/293.07*(1/(VLOOKUP($GH213,'Fuel economy adjusted factor'!$A$2:$L$52,5,FALSE)*m2k))/'TCO Inputs'!$AZ$84</f>
        <v>116.8760156744378</v>
      </c>
      <c r="GK213" s="125">
        <f>GK101/293.07*(1/(VLOOKUP($GH213,'Fuel economy adjusted factor'!$A$2:$L$52,5,FALSE)*m2k))/'TCO Inputs'!$AZ$84</f>
        <v>116.8760156744378</v>
      </c>
      <c r="GL213" s="125">
        <f>GL101/293.07*(1/(VLOOKUP($GH213,'Fuel economy adjusted factor'!$A$2:$L$52,5,FALSE)*m2k))/'TCO Inputs'!$AZ$84</f>
        <v>116.8760156744378</v>
      </c>
      <c r="GM213" s="125">
        <f>GM101/293.07*(1/(VLOOKUP($GH213,'Fuel economy adjusted factor'!$A$2:$L$52,5,FALSE)*m2k))/'TCO Inputs'!$AZ$84</f>
        <v>116.8760156744378</v>
      </c>
      <c r="GN213" s="125">
        <f>GN101/293.07*(1/(VLOOKUP($GH213,'Fuel economy adjusted factor'!$A$2:$L$52,5,FALSE)*m2k))/'TCO Inputs'!$AZ$84</f>
        <v>116.8760156744378</v>
      </c>
      <c r="GO213" s="125">
        <f>GO101/293.07*(1/(VLOOKUP($GH213,'Fuel economy adjusted factor'!$A$2:$L$52,5,FALSE)*m2k))/'TCO Inputs'!$AZ$84</f>
        <v>116.8760156744378</v>
      </c>
      <c r="GP213" s="125">
        <f>GP101/293.07*(1/(VLOOKUP($GH213,'Fuel economy adjusted factor'!$A$2:$L$52,5,FALSE)*m2k))/'TCO Inputs'!$AZ$84</f>
        <v>116.8760156744378</v>
      </c>
      <c r="GQ213" s="125">
        <f>GQ101/293.07*(1/(VLOOKUP($GH213,'Fuel economy adjusted factor'!$A$2:$L$52,5,FALSE)*m2k))/'TCO Inputs'!$AZ$84</f>
        <v>116.8760156744378</v>
      </c>
      <c r="GR213" s="125">
        <f>GR101/293.07*(1/(VLOOKUP($GH213,'Fuel economy adjusted factor'!$A$2:$L$52,5,FALSE)*m2k))/'TCO Inputs'!$AZ$84</f>
        <v>116.8760156744378</v>
      </c>
      <c r="GS213" s="125">
        <f>GS101/293.07*(1/(VLOOKUP($GH213,'Fuel economy adjusted factor'!$A$2:$L$52,5,FALSE)*m2k))/'TCO Inputs'!$AZ$84</f>
        <v>116.8760156744378</v>
      </c>
      <c r="GT213" s="125">
        <f>GT101/293.07*(1/(VLOOKUP($GH213,'Fuel economy adjusted factor'!$A$2:$L$52,5,FALSE)*m2k))/'TCO Inputs'!$AZ$84</f>
        <v>116.8760156744378</v>
      </c>
      <c r="GU213" s="125">
        <f>GU101/293.07*(1/(VLOOKUP($GH213,'Fuel economy adjusted factor'!$A$2:$L$52,5,FALSE)*m2k))/'TCO Inputs'!$AZ$84</f>
        <v>116.8760156744378</v>
      </c>
      <c r="GV213" s="125">
        <f>GV101/293.07*(1/(VLOOKUP($GH213,'Fuel economy adjusted factor'!$A$2:$L$52,5,FALSE)*m2k))/'TCO Inputs'!$AZ$84</f>
        <v>116.8760156744378</v>
      </c>
      <c r="GW213" s="125">
        <f>GW101/293.07*(1/(VLOOKUP($GH213,'Fuel economy adjusted factor'!$A$2:$L$52,5,FALSE)*m2k))/'TCO Inputs'!$AZ$84</f>
        <v>116.8760156744378</v>
      </c>
      <c r="GX213" s="125">
        <f>GX101/293.07*(1/(VLOOKUP($GH213,'Fuel economy adjusted factor'!$A$2:$L$52,5,FALSE)*m2k))/'TCO Inputs'!$AZ$84</f>
        <v>116.8760156744378</v>
      </c>
      <c r="GY213" s="125">
        <f>GY101/293.07*(1/(VLOOKUP($GH213,'Fuel economy adjusted factor'!$A$2:$L$52,5,FALSE)*m2k))/'TCO Inputs'!$AZ$84</f>
        <v>116.8760156744378</v>
      </c>
      <c r="GZ213" s="125">
        <f>GZ101/293.07*(1/(VLOOKUP($GH213,'Fuel economy adjusted factor'!$A$2:$L$52,5,FALSE)*m2k))/'TCO Inputs'!$AZ$84</f>
        <v>116.8760156744378</v>
      </c>
      <c r="HA213" s="125">
        <f>HA101/293.07*(1/(VLOOKUP($GH213,'Fuel economy adjusted factor'!$A$2:$L$52,5,FALSE)*m2k))/'TCO Inputs'!$AZ$84</f>
        <v>116.8760156744378</v>
      </c>
      <c r="HB213" s="125">
        <f>HB101/293.07*(1/(VLOOKUP($GH213,'Fuel economy adjusted factor'!$A$2:$L$52,5,FALSE)*m2k))/'TCO Inputs'!$AZ$84</f>
        <v>116.8760156744378</v>
      </c>
      <c r="HC213" s="125">
        <f>HC101/293.07*(1/(VLOOKUP($GH213,'Fuel economy adjusted factor'!$A$2:$L$52,5,FALSE)*m2k))/'TCO Inputs'!$AZ$84</f>
        <v>116.8760156744378</v>
      </c>
      <c r="HD213" s="125">
        <f>HD101/293.07*(1/(VLOOKUP($GH213,'Fuel economy adjusted factor'!$A$2:$L$52,5,FALSE)*m2k))/'TCO Inputs'!$AZ$84</f>
        <v>116.8760156744378</v>
      </c>
      <c r="HE213" s="125">
        <f>HE101/293.07*(1/(VLOOKUP($GH213,'Fuel economy adjusted factor'!$A$2:$L$52,5,FALSE)*m2k))/'TCO Inputs'!$AZ$84</f>
        <v>116.8760156744378</v>
      </c>
      <c r="HF213" s="125">
        <f>HF101/293.07*(1/(VLOOKUP($GH213,'Fuel economy adjusted factor'!$A$2:$L$52,5,FALSE)*m2k))/'TCO Inputs'!$AZ$84</f>
        <v>116.8760156744378</v>
      </c>
      <c r="HG213" s="125">
        <f>HG101/293.07*(1/(VLOOKUP($GH213,'Fuel economy adjusted factor'!$A$2:$L$52,5,FALSE)*m2k))/'TCO Inputs'!$AZ$84</f>
        <v>116.8760156744378</v>
      </c>
      <c r="HH213" s="125">
        <f>HH101/293.07*(1/(VLOOKUP($GH213,'Fuel economy adjusted factor'!$A$2:$L$52,5,FALSE)*m2k))/'TCO Inputs'!$AZ$84</f>
        <v>116.8760156744378</v>
      </c>
      <c r="HI213" s="125">
        <f>HI101/293.07*(1/(VLOOKUP($GH213,'Fuel economy adjusted factor'!$A$2:$L$52,5,FALSE)*m2k))/'TCO Inputs'!$AZ$84</f>
        <v>116.8760156744378</v>
      </c>
      <c r="HJ213" s="125">
        <f>HJ101/293.07*(1/(VLOOKUP($GH213,'Fuel economy adjusted factor'!$A$2:$L$52,5,FALSE)*m2k))/'TCO Inputs'!$AZ$84</f>
        <v>116.8760156744378</v>
      </c>
      <c r="HK213" s="98" cm="1">
        <f t="array" ref="HK213">SUMPRODUCT(INDEX(GI213:HJ213,,'TCO Inputs'!$AZ$12-2023+_xlfn.SEQUENCE('TCO Inputs'!$AZ$13))*INDEX('VKT US'!C103:AA103,,_xlfn.SEQUENCE('TCO Inputs'!$AZ$13)))*m2k*CONVERT(0.9072,"g","ton")</f>
        <v>38.398375872038059</v>
      </c>
    </row>
    <row r="214" spans="26:219" x14ac:dyDescent="0.25">
      <c r="Z214" s="123" t="s">
        <v>224</v>
      </c>
      <c r="AA214" s="125">
        <f>AA102/293.07*(1/(VLOOKUP($Z214,'Fuel economy adjusted factor'!$A$2:$L$52,5,FALSE)*m2k))/'TCO Inputs'!$AZ$84</f>
        <v>72.546135183454339</v>
      </c>
      <c r="AB214" s="125">
        <f>AB102/293.07*(1/(VLOOKUP($Z214,'Fuel economy adjusted factor'!$A$2:$L$52,5,FALSE)*m2k))/'TCO Inputs'!$AZ$84</f>
        <v>72.546135183454339</v>
      </c>
      <c r="AC214" s="125">
        <f>AC102/293.07*(1/(VLOOKUP($Z214,'Fuel economy adjusted factor'!$A$2:$L$52,5,FALSE)*m2k))/'TCO Inputs'!$AZ$84</f>
        <v>63.720576733642673</v>
      </c>
      <c r="AD214" s="125">
        <f>AD102/293.07*(1/(VLOOKUP($Z214,'Fuel economy adjusted factor'!$A$2:$L$52,5,FALSE)*m2k))/'TCO Inputs'!$AZ$84</f>
        <v>63.720576733642673</v>
      </c>
      <c r="AE214" s="125">
        <f>AE102/293.07*(1/(VLOOKUP($Z214,'Fuel economy adjusted factor'!$A$2:$L$52,5,FALSE)*m2k))/'TCO Inputs'!$AZ$84</f>
        <v>63.720576733642673</v>
      </c>
      <c r="AF214" s="125">
        <f>AF102/293.07*(1/(VLOOKUP($Z214,'Fuel economy adjusted factor'!$A$2:$L$52,5,FALSE)*m2k))/'TCO Inputs'!$AZ$84</f>
        <v>63.720576733642673</v>
      </c>
      <c r="AG214" s="125">
        <f>AG102/293.07*(1/(VLOOKUP($Z214,'Fuel economy adjusted factor'!$A$2:$L$52,5,FALSE)*m2k))/'TCO Inputs'!$AZ$84</f>
        <v>63.720576733642673</v>
      </c>
      <c r="AH214" s="125">
        <f>AH102/293.07*(1/(VLOOKUP($Z214,'Fuel economy adjusted factor'!$A$2:$L$52,5,FALSE)*m2k))/'TCO Inputs'!$AZ$84</f>
        <v>24.091102189334482</v>
      </c>
      <c r="AI214" s="125">
        <f>AI102/293.07*(1/(VLOOKUP($Z214,'Fuel economy adjusted factor'!$A$2:$L$52,5,FALSE)*m2k))/'TCO Inputs'!$AZ$84</f>
        <v>24.091102189334482</v>
      </c>
      <c r="AJ214" s="125">
        <f>AJ102/293.07*(1/(VLOOKUP($Z214,'Fuel economy adjusted factor'!$A$2:$L$52,5,FALSE)*m2k))/'TCO Inputs'!$AZ$84</f>
        <v>24.091102189334482</v>
      </c>
      <c r="AK214" s="125">
        <f>AK102/293.07*(1/(VLOOKUP($Z214,'Fuel economy adjusted factor'!$A$2:$L$52,5,FALSE)*m2k))/'TCO Inputs'!$AZ$84</f>
        <v>24.091102189334482</v>
      </c>
      <c r="AL214" s="125">
        <f>AL102/293.07*(1/(VLOOKUP($Z214,'Fuel economy adjusted factor'!$A$2:$L$52,5,FALSE)*m2k))/'TCO Inputs'!$AZ$84</f>
        <v>24.091102189334482</v>
      </c>
      <c r="AM214" s="125">
        <f>AM102/293.07*(1/(VLOOKUP($Z214,'Fuel economy adjusted factor'!$A$2:$L$52,5,FALSE)*m2k))/'TCO Inputs'!$AZ$84</f>
        <v>20.248579496723586</v>
      </c>
      <c r="AN214" s="125">
        <f>AN102/293.07*(1/(VLOOKUP($Z214,'Fuel economy adjusted factor'!$A$2:$L$52,5,FALSE)*m2k))/'TCO Inputs'!$AZ$84</f>
        <v>20.248579496723586</v>
      </c>
      <c r="AO214" s="125">
        <f>AO102/293.07*(1/(VLOOKUP($Z214,'Fuel economy adjusted factor'!$A$2:$L$52,5,FALSE)*m2k))/'TCO Inputs'!$AZ$84</f>
        <v>20.248579496723586</v>
      </c>
      <c r="AP214" s="125">
        <f>AP102/293.07*(1/(VLOOKUP($Z214,'Fuel economy adjusted factor'!$A$2:$L$52,5,FALSE)*m2k))/'TCO Inputs'!$AZ$84</f>
        <v>20.248579496723586</v>
      </c>
      <c r="AQ214" s="125">
        <f>AQ102/293.07*(1/(VLOOKUP($Z214,'Fuel economy adjusted factor'!$A$2:$L$52,5,FALSE)*m2k))/'TCO Inputs'!$AZ$84</f>
        <v>20.248579496723586</v>
      </c>
      <c r="AR214" s="125">
        <f>AR102/293.07*(1/(VLOOKUP($Z214,'Fuel economy adjusted factor'!$A$2:$L$52,5,FALSE)*m2k))/'TCO Inputs'!$AZ$84</f>
        <v>20.248579496723586</v>
      </c>
      <c r="AS214" s="125">
        <f>AS102/293.07*(1/(VLOOKUP($Z214,'Fuel economy adjusted factor'!$A$2:$L$52,5,FALSE)*m2k))/'TCO Inputs'!$AZ$84</f>
        <v>20.248579496723586</v>
      </c>
      <c r="AT214" s="125">
        <f>AT102/293.07*(1/(VLOOKUP($Z214,'Fuel economy adjusted factor'!$A$2:$L$52,5,FALSE)*m2k))/'TCO Inputs'!$AZ$84</f>
        <v>20.248579496723586</v>
      </c>
      <c r="AU214" s="125">
        <f>AU102/293.07*(1/(VLOOKUP($Z214,'Fuel economy adjusted factor'!$A$2:$L$52,5,FALSE)*m2k))/'TCO Inputs'!$AZ$84</f>
        <v>20.248579496723586</v>
      </c>
      <c r="AV214" s="125">
        <f>AV102/293.07*(1/(VLOOKUP($Z214,'Fuel economy adjusted factor'!$A$2:$L$52,5,FALSE)*m2k))/'TCO Inputs'!$AZ$84</f>
        <v>20.248579496723586</v>
      </c>
      <c r="AW214" s="125">
        <f>AW102/293.07*(1/(VLOOKUP($Z214,'Fuel economy adjusted factor'!$A$2:$L$52,5,FALSE)*m2k))/'TCO Inputs'!$AZ$84</f>
        <v>20.34418132713774</v>
      </c>
      <c r="AX214" s="125">
        <f>AX102/293.07*(1/(VLOOKUP($Z214,'Fuel economy adjusted factor'!$A$2:$L$52,5,FALSE)*m2k))/'TCO Inputs'!$AZ$84</f>
        <v>20.34418132713774</v>
      </c>
      <c r="AY214" s="125">
        <f>AY102/293.07*(1/(VLOOKUP($Z214,'Fuel economy adjusted factor'!$A$2:$L$52,5,FALSE)*m2k))/'TCO Inputs'!$AZ$84</f>
        <v>20.34418132713774</v>
      </c>
      <c r="AZ214" s="125">
        <f>AZ102/293.07*(1/(VLOOKUP($Z214,'Fuel economy adjusted factor'!$A$2:$L$52,5,FALSE)*m2k))/'TCO Inputs'!$AZ$84</f>
        <v>20.34418132713774</v>
      </c>
      <c r="BA214" s="125">
        <f>BA102/293.07*(1/(VLOOKUP($Z214,'Fuel economy adjusted factor'!$A$2:$L$52,5,FALSE)*m2k))/'TCO Inputs'!$AZ$84</f>
        <v>20.34418132713774</v>
      </c>
      <c r="BB214" s="125">
        <f>BB102/293.07*(1/(VLOOKUP($Z214,'Fuel economy adjusted factor'!$A$2:$L$52,5,FALSE)*m2k))/'TCO Inputs'!$AZ$84</f>
        <v>20.464382458945007</v>
      </c>
      <c r="BC214" s="98" cm="1">
        <f t="array" ref="BC214">SUMPRODUCT(INDEX(AA214:BB214,,'TCO Inputs'!$AZ$12-2023+_xlfn.SEQUENCE('TCO Inputs'!$AZ$13))*INDEX('VKT US'!C104:AA104,,_xlfn.SEQUENCE('TCO Inputs'!$AZ$13)))*m2k*CONVERT(0.9072,"g","ton")</f>
        <v>15.165592227179291</v>
      </c>
      <c r="BM214" s="123" t="s">
        <v>224</v>
      </c>
      <c r="BN214" s="125">
        <f>BN102/293.07*(1/(VLOOKUP($BM214,'Fuel economy adjusted factor'!$A$2:$L$52,5,FALSE)*m2k))</f>
        <v>61.664214905936184</v>
      </c>
      <c r="BO214" s="125">
        <f>BO102/293.07*(1/(VLOOKUP($BM214,'Fuel economy adjusted factor'!$A$2:$L$52,5,FALSE)*m2k))</f>
        <v>61.664214905936184</v>
      </c>
      <c r="BP214" s="125">
        <f>BP102/293.07*(1/(VLOOKUP($BM214,'Fuel economy adjusted factor'!$A$2:$L$52,5,FALSE)*m2k))</f>
        <v>48.608191599043593</v>
      </c>
      <c r="BQ214" s="125">
        <f>BQ102/293.07*(1/(VLOOKUP($BM214,'Fuel economy adjusted factor'!$A$2:$L$52,5,FALSE)*m2k))</f>
        <v>48.608191599043593</v>
      </c>
      <c r="BR214" s="125">
        <f>BR102/293.07*(1/(VLOOKUP($BM214,'Fuel economy adjusted factor'!$A$2:$L$52,5,FALSE)*m2k))</f>
        <v>48.608191599043593</v>
      </c>
      <c r="BS214" s="125">
        <f>BS102/293.07*(1/(VLOOKUP($BM214,'Fuel economy adjusted factor'!$A$2:$L$52,5,FALSE)*m2k))</f>
        <v>48.608191599043593</v>
      </c>
      <c r="BT214" s="125">
        <f>BT102/293.07*(1/(VLOOKUP($BM214,'Fuel economy adjusted factor'!$A$2:$L$52,5,FALSE)*m2k))</f>
        <v>48.608191599043593</v>
      </c>
      <c r="BU214" s="125">
        <f>BU102/293.07*(1/(VLOOKUP($BM214,'Fuel economy adjusted factor'!$A$2:$L$52,5,FALSE)*m2k))</f>
        <v>2.7457852030001257</v>
      </c>
      <c r="BV214" s="125">
        <f>BV102/293.07*(1/(VLOOKUP($BM214,'Fuel economy adjusted factor'!$A$2:$L$52,5,FALSE)*m2k))</f>
        <v>2.7457852030001257</v>
      </c>
      <c r="BW214" s="125">
        <f>BW102/293.07*(1/(VLOOKUP($BM214,'Fuel economy adjusted factor'!$A$2:$L$52,5,FALSE)*m2k))</f>
        <v>2.7457852030001257</v>
      </c>
      <c r="BX214" s="125">
        <f>BX102/293.07*(1/(VLOOKUP($BM214,'Fuel economy adjusted factor'!$A$2:$L$52,5,FALSE)*m2k))</f>
        <v>2.7457852030001257</v>
      </c>
      <c r="BY214" s="125">
        <f>BY102/293.07*(1/(VLOOKUP($BM214,'Fuel economy adjusted factor'!$A$2:$L$52,5,FALSE)*m2k))</f>
        <v>2.7457852030001257</v>
      </c>
      <c r="BZ214" s="125">
        <f>BZ102/293.07*(1/(VLOOKUP($BM214,'Fuel economy adjusted factor'!$A$2:$L$52,5,FALSE)*m2k))</f>
        <v>2.8636382196744128</v>
      </c>
      <c r="CA214" s="125">
        <f>CA102/293.07*(1/(VLOOKUP($BM214,'Fuel economy adjusted factor'!$A$2:$L$52,5,FALSE)*m2k))</f>
        <v>2.8636382196744128</v>
      </c>
      <c r="CB214" s="125">
        <f>CB102/293.07*(1/(VLOOKUP($BM214,'Fuel economy adjusted factor'!$A$2:$L$52,5,FALSE)*m2k))</f>
        <v>2.8636382196744128</v>
      </c>
      <c r="CC214" s="125">
        <f>CC102/293.07*(1/(VLOOKUP($BM214,'Fuel economy adjusted factor'!$A$2:$L$52,5,FALSE)*m2k))</f>
        <v>2.8636382196744128</v>
      </c>
      <c r="CD214" s="125">
        <f>CD102/293.07*(1/(VLOOKUP($BM214,'Fuel economy adjusted factor'!$A$2:$L$52,5,FALSE)*m2k))</f>
        <v>2.8636382196744128</v>
      </c>
      <c r="CE214" s="125">
        <f>CE102/293.07*(1/(VLOOKUP($BM214,'Fuel economy adjusted factor'!$A$2:$L$52,5,FALSE)*m2k))</f>
        <v>2.9035561769350582</v>
      </c>
      <c r="CF214" s="125">
        <f>CF102/293.07*(1/(VLOOKUP($BM214,'Fuel economy adjusted factor'!$A$2:$L$52,5,FALSE)*m2k))</f>
        <v>2.9035561769350582</v>
      </c>
      <c r="CG214" s="125">
        <f>CG102/293.07*(1/(VLOOKUP($BM214,'Fuel economy adjusted factor'!$A$2:$L$52,5,FALSE)*m2k))</f>
        <v>2.9035561769350582</v>
      </c>
      <c r="CH214" s="125">
        <f>CH102/293.07*(1/(VLOOKUP($BM214,'Fuel economy adjusted factor'!$A$2:$L$52,5,FALSE)*m2k))</f>
        <v>2.9035561769350582</v>
      </c>
      <c r="CI214" s="125">
        <f>CI102/293.07*(1/(VLOOKUP($BM214,'Fuel economy adjusted factor'!$A$2:$L$52,5,FALSE)*m2k))</f>
        <v>2.9035561769350582</v>
      </c>
      <c r="CJ214" s="125">
        <f>CJ102/293.07*(1/(VLOOKUP($BM214,'Fuel economy adjusted factor'!$A$2:$L$52,5,FALSE)*m2k))</f>
        <v>3.0057271389712352</v>
      </c>
      <c r="CK214" s="125">
        <f>CK102/293.07*(1/(VLOOKUP($BM214,'Fuel economy adjusted factor'!$A$2:$L$52,5,FALSE)*m2k))</f>
        <v>3.0057271389712352</v>
      </c>
      <c r="CL214" s="125">
        <f>CL102/293.07*(1/(VLOOKUP($BM214,'Fuel economy adjusted factor'!$A$2:$L$52,5,FALSE)*m2k))</f>
        <v>3.0057271389712352</v>
      </c>
      <c r="CM214" s="125">
        <f>CM102/293.07*(1/(VLOOKUP($BM214,'Fuel economy adjusted factor'!$A$2:$L$52,5,FALSE)*m2k))</f>
        <v>3.0057271389712352</v>
      </c>
      <c r="CN214" s="125">
        <f>CN102/293.07*(1/(VLOOKUP($BM214,'Fuel economy adjusted factor'!$A$2:$L$52,5,FALSE)*m2k))</f>
        <v>3.0057271389712352</v>
      </c>
      <c r="CO214" s="125">
        <f>CO102/293.07*(1/(VLOOKUP($BM214,'Fuel economy adjusted factor'!$A$2:$L$52,5,FALSE)*m2k))</f>
        <v>3.1349852862914203</v>
      </c>
      <c r="CP214" s="98" cm="1">
        <f t="array" ref="CP214">SUMPRODUCT(INDEX(BN214:CO214,,'TCO Inputs'!$AZ$12-2023+_xlfn.SEQUENCE('TCO Inputs'!$AZ$13))*INDEX('VKT US'!C104:AA104,,_xlfn.SEQUENCE('TCO Inputs'!$AZ$13)))*m2k*CONVERT(0.9072,"g","ton")</f>
        <v>9.7604839682862856</v>
      </c>
      <c r="CQ214" s="194"/>
      <c r="CR214" s="123" t="s">
        <v>224</v>
      </c>
      <c r="CS214" s="125">
        <f>CS102/293.07*(1/(VLOOKUP($BM214,'Fuel economy adjusted factor'!$A$2:$L$52,5,FALSE)*m2k))/'TCO Inputs'!$AZ$84</f>
        <v>72.546135183454339</v>
      </c>
      <c r="CT214" s="125">
        <f>CT102/293.07*(1/(VLOOKUP($BM214,'Fuel economy adjusted factor'!$A$2:$L$52,5,FALSE)*m2k))</f>
        <v>2.8873989085200358</v>
      </c>
      <c r="CU214" s="125">
        <f>CU102/293.07*(1/(VLOOKUP($BM214,'Fuel economy adjusted factor'!$A$2:$L$52,5,FALSE)*m2k))</f>
        <v>2.8873989085200358</v>
      </c>
      <c r="CV214" s="125">
        <f>CV102/293.07*(1/(VLOOKUP($BM214,'Fuel economy adjusted factor'!$A$2:$L$52,5,FALSE)*m2k))</f>
        <v>2.8873989085200358</v>
      </c>
      <c r="CW214" s="125">
        <f>CW102/293.07*(1/(VLOOKUP($BM214,'Fuel economy adjusted factor'!$A$2:$L$52,5,FALSE)*m2k))</f>
        <v>2.8873989085200358</v>
      </c>
      <c r="CX214" s="125">
        <f>CX102/293.07*(1/(VLOOKUP($BM214,'Fuel economy adjusted factor'!$A$2:$L$52,5,FALSE)*m2k))</f>
        <v>2.8873989085200358</v>
      </c>
      <c r="CY214" s="125">
        <f>CY102/293.07*(1/(VLOOKUP($BM214,'Fuel economy adjusted factor'!$A$2:$L$52,5,FALSE)*m2k))</f>
        <v>2.8873989085200358</v>
      </c>
      <c r="CZ214" s="125">
        <f>CZ102/293.07*(1/(VLOOKUP($BM214,'Fuel economy adjusted factor'!$A$2:$L$52,5,FALSE)*m2k))</f>
        <v>2.8873989085200358</v>
      </c>
      <c r="DA214" s="125">
        <f>DA102/293.07*(1/(VLOOKUP($BM214,'Fuel economy adjusted factor'!$A$2:$L$52,5,FALSE)*m2k))</f>
        <v>2.8873989085200358</v>
      </c>
      <c r="DB214" s="125">
        <f>DB102/293.07*(1/(VLOOKUP($BM214,'Fuel economy adjusted factor'!$A$2:$L$52,5,FALSE)*m2k))</f>
        <v>2.8873989085200358</v>
      </c>
      <c r="DC214" s="125">
        <f>DC102/293.07*(1/(VLOOKUP($BM214,'Fuel economy adjusted factor'!$A$2:$L$52,5,FALSE)*m2k))</f>
        <v>2.8873989085200358</v>
      </c>
      <c r="DD214" s="125">
        <f>DD102/293.07*(1/(VLOOKUP($BM214,'Fuel economy adjusted factor'!$A$2:$L$52,5,FALSE)*m2k))</f>
        <v>2.8873989085200358</v>
      </c>
      <c r="DE214" s="125">
        <f>DE102/293.07*(1/(VLOOKUP($BM214,'Fuel economy adjusted factor'!$A$2:$L$52,5,FALSE)*m2k))</f>
        <v>2.970086105702801</v>
      </c>
      <c r="DF214" s="125">
        <f>DF102/293.07*(1/(VLOOKUP($BM214,'Fuel economy adjusted factor'!$A$2:$L$52,5,FALSE)*m2k))</f>
        <v>2.970086105702801</v>
      </c>
      <c r="DG214" s="125">
        <f>DG102/293.07*(1/(VLOOKUP($BM214,'Fuel economy adjusted factor'!$A$2:$L$52,5,FALSE)*m2k))</f>
        <v>2.970086105702801</v>
      </c>
      <c r="DH214" s="125">
        <f>DH102/293.07*(1/(VLOOKUP($BM214,'Fuel economy adjusted factor'!$A$2:$L$52,5,FALSE)*m2k))</f>
        <v>2.970086105702801</v>
      </c>
      <c r="DI214" s="125">
        <f>DI102/293.07*(1/(VLOOKUP($BM214,'Fuel economy adjusted factor'!$A$2:$L$52,5,FALSE)*m2k))</f>
        <v>2.970086105702801</v>
      </c>
      <c r="DJ214" s="125">
        <f>DJ102/293.07*(1/(VLOOKUP($BM214,'Fuel economy adjusted factor'!$A$2:$L$52,5,FALSE)*m2k))</f>
        <v>3.1245305831993471</v>
      </c>
      <c r="DK214" s="125">
        <f>DK102/293.07*(1/(VLOOKUP($BM214,'Fuel economy adjusted factor'!$A$2:$L$52,5,FALSE)*m2k))</f>
        <v>3.1245305831993471</v>
      </c>
      <c r="DL214" s="125">
        <f>DL102/293.07*(1/(VLOOKUP($BM214,'Fuel economy adjusted factor'!$A$2:$L$52,5,FALSE)*m2k))</f>
        <v>3.1245305831993471</v>
      </c>
      <c r="DM214" s="125">
        <f>DM102/293.07*(1/(VLOOKUP($BM214,'Fuel economy adjusted factor'!$A$2:$L$52,5,FALSE)*m2k))</f>
        <v>3.1245305831993471</v>
      </c>
      <c r="DN214" s="125">
        <f>DN102/293.07*(1/(VLOOKUP($BM214,'Fuel economy adjusted factor'!$A$2:$L$52,5,FALSE)*m2k))</f>
        <v>3.1245305831993471</v>
      </c>
      <c r="DO214" s="125">
        <f>DO102/293.07*(1/(VLOOKUP($BM214,'Fuel economy adjusted factor'!$A$2:$L$52,5,FALSE)*m2k))</f>
        <v>3.2267015452355232</v>
      </c>
      <c r="DP214" s="125">
        <f>DP102/293.07*(1/(VLOOKUP($BM214,'Fuel economy adjusted factor'!$A$2:$L$52,5,FALSE)*m2k))</f>
        <v>3.2267015452355232</v>
      </c>
      <c r="DQ214" s="125">
        <f>DQ102/293.07*(1/(VLOOKUP($BM214,'Fuel economy adjusted factor'!$A$2:$L$52,5,FALSE)*m2k))</f>
        <v>3.2267015452355232</v>
      </c>
      <c r="DR214" s="125">
        <f>DR102/293.07*(1/(VLOOKUP($BM214,'Fuel economy adjusted factor'!$A$2:$L$52,5,FALSE)*m2k))</f>
        <v>3.2267015452355232</v>
      </c>
      <c r="DS214" s="125">
        <f>DS102/293.07*(1/(VLOOKUP($BM214,'Fuel economy adjusted factor'!$A$2:$L$52,5,FALSE)*m2k))</f>
        <v>3.2267015452355232</v>
      </c>
      <c r="DT214" s="125">
        <f>DT102/293.07*(1/(VLOOKUP($BM214,'Fuel economy adjusted factor'!$A$2:$L$52,5,FALSE)*m2k))</f>
        <v>3.3564349063326215</v>
      </c>
      <c r="DU214" s="98" cm="1">
        <f t="array" ref="DU214">SUMPRODUCT(INDEX(CS214:DT214,,'TCO Inputs'!$AZ$12-2023+_xlfn.SEQUENCE('TCO Inputs'!$AZ$13))*INDEX('VKT US'!C104:AA104,,_xlfn.SEQUENCE('TCO Inputs'!$AZ$13)))*m2k*CONVERT(0.9072,"g","ton")</f>
        <v>2.8688527396420493</v>
      </c>
      <c r="DW214" s="123" t="s">
        <v>224</v>
      </c>
      <c r="DX214" s="125">
        <f>DX102/293.07*(1/(VLOOKUP($BM214,'Fuel economy adjusted factor'!$A$2:$L$52,5,FALSE)*m2k))/'TCO Inputs'!$AZ$84</f>
        <v>95.846399676243621</v>
      </c>
      <c r="DY214" s="125">
        <f>DY102/293.07*(1/(VLOOKUP($BM214,'Fuel economy adjusted factor'!$A$2:$L$52,5,FALSE)*m2k))/'TCO Inputs'!$AZ$84</f>
        <v>95.846399676243621</v>
      </c>
      <c r="DZ214" s="125">
        <f>DZ102/293.07*(1/(VLOOKUP($BM214,'Fuel economy adjusted factor'!$A$2:$L$52,5,FALSE)*m2k))/'TCO Inputs'!$AZ$84</f>
        <v>83.853923348442322</v>
      </c>
      <c r="EA214" s="125">
        <f>EA102/293.07*(1/(VLOOKUP($BM214,'Fuel economy adjusted factor'!$A$2:$L$52,5,FALSE)*m2k))/'TCO Inputs'!$AZ$84</f>
        <v>83.853923348442322</v>
      </c>
      <c r="EB214" s="125">
        <f>EB102/293.07*(1/(VLOOKUP($BM214,'Fuel economy adjusted factor'!$A$2:$L$52,5,FALSE)*m2k))/'TCO Inputs'!$AZ$84</f>
        <v>83.853923348442322</v>
      </c>
      <c r="EC214" s="125">
        <f>EC102/293.07*(1/(VLOOKUP($BM214,'Fuel economy adjusted factor'!$A$2:$L$52,5,FALSE)*m2k))/'TCO Inputs'!$AZ$84</f>
        <v>83.853923348442322</v>
      </c>
      <c r="ED214" s="125">
        <f>ED102/293.07*(1/(VLOOKUP($BM214,'Fuel economy adjusted factor'!$A$2:$L$52,5,FALSE)*m2k))/'TCO Inputs'!$AZ$84</f>
        <v>83.853923348442322</v>
      </c>
      <c r="EE214" s="125">
        <f>EE102/293.07*(1/(VLOOKUP($BM214,'Fuel economy adjusted factor'!$A$2:$L$52,5,FALSE)*m2k))/'TCO Inputs'!$AZ$84</f>
        <v>52.170690325052611</v>
      </c>
      <c r="EF214" s="125">
        <f>EF102/293.07*(1/(VLOOKUP($BM214,'Fuel economy adjusted factor'!$A$2:$L$52,5,FALSE)*m2k))/'TCO Inputs'!$AZ$84</f>
        <v>52.170690325052611</v>
      </c>
      <c r="EG214" s="125">
        <f>EG102/293.07*(1/(VLOOKUP($BM214,'Fuel economy adjusted factor'!$A$2:$L$52,5,FALSE)*m2k))/'TCO Inputs'!$AZ$84</f>
        <v>52.170690325052611</v>
      </c>
      <c r="EH214" s="125">
        <f>EH102/293.07*(1/(VLOOKUP($BM214,'Fuel economy adjusted factor'!$A$2:$L$52,5,FALSE)*m2k))/'TCO Inputs'!$AZ$84</f>
        <v>52.170690325052611</v>
      </c>
      <c r="EI214" s="125">
        <f>EI102/293.07*(1/(VLOOKUP($BM214,'Fuel economy adjusted factor'!$A$2:$L$52,5,FALSE)*m2k))/'TCO Inputs'!$AZ$84</f>
        <v>52.170690325052611</v>
      </c>
      <c r="EJ214" s="125">
        <f>EJ102/293.07*(1/(VLOOKUP($BM214,'Fuel economy adjusted factor'!$A$2:$L$52,5,FALSE)*m2k))/'TCO Inputs'!$AZ$84</f>
        <v>46.452992772366635</v>
      </c>
      <c r="EK214" s="125">
        <f>EK102/293.07*(1/(VLOOKUP($BM214,'Fuel economy adjusted factor'!$A$2:$L$52,5,FALSE)*m2k))/'TCO Inputs'!$AZ$84</f>
        <v>46.452992772366635</v>
      </c>
      <c r="EL214" s="125">
        <f>EL102/293.07*(1/(VLOOKUP($BM214,'Fuel economy adjusted factor'!$A$2:$L$52,5,FALSE)*m2k))/'TCO Inputs'!$AZ$84</f>
        <v>46.452992772366635</v>
      </c>
      <c r="EM214" s="125">
        <f>EM102/293.07*(1/(VLOOKUP($BM214,'Fuel economy adjusted factor'!$A$2:$L$52,5,FALSE)*m2k))/'TCO Inputs'!$AZ$84</f>
        <v>46.452992772366635</v>
      </c>
      <c r="EN214" s="125">
        <f>EN102/293.07*(1/(VLOOKUP($BM214,'Fuel economy adjusted factor'!$A$2:$L$52,5,FALSE)*m2k))/'TCO Inputs'!$AZ$84</f>
        <v>46.452992772366635</v>
      </c>
      <c r="EO214" s="125">
        <f>EO102/293.07*(1/(VLOOKUP($BM214,'Fuel economy adjusted factor'!$A$2:$L$52,5,FALSE)*m2k))/'TCO Inputs'!$AZ$84</f>
        <v>45.13779372597515</v>
      </c>
      <c r="EP214" s="125">
        <f>EP102/293.07*(1/(VLOOKUP($BM214,'Fuel economy adjusted factor'!$A$2:$L$52,5,FALSE)*m2k))/'TCO Inputs'!$AZ$84</f>
        <v>45.13779372597515</v>
      </c>
      <c r="EQ214" s="125">
        <f>EQ102/293.07*(1/(VLOOKUP($BM214,'Fuel economy adjusted factor'!$A$2:$L$52,5,FALSE)*m2k))/'TCO Inputs'!$AZ$84</f>
        <v>45.13779372597515</v>
      </c>
      <c r="ER214" s="125">
        <f>ER102/293.07*(1/(VLOOKUP($BM214,'Fuel economy adjusted factor'!$A$2:$L$52,5,FALSE)*m2k))/'TCO Inputs'!$AZ$84</f>
        <v>45.13779372597515</v>
      </c>
      <c r="ES214" s="125">
        <f>ES102/293.07*(1/(VLOOKUP($BM214,'Fuel economy adjusted factor'!$A$2:$L$52,5,FALSE)*m2k))/'TCO Inputs'!$AZ$84</f>
        <v>45.13779372597515</v>
      </c>
      <c r="ET214" s="125">
        <f>ET102/293.07*(1/(VLOOKUP($BM214,'Fuel economy adjusted factor'!$A$2:$L$52,5,FALSE)*m2k))/'TCO Inputs'!$AZ$84</f>
        <v>43.540331168340622</v>
      </c>
      <c r="EU214" s="125">
        <f>EU102/293.07*(1/(VLOOKUP($BM214,'Fuel economy adjusted factor'!$A$2:$L$52,5,FALSE)*m2k))/'TCO Inputs'!$AZ$84</f>
        <v>43.540331168340622</v>
      </c>
      <c r="EV214" s="125">
        <f>EV102/293.07*(1/(VLOOKUP($BM214,'Fuel economy adjusted factor'!$A$2:$L$52,5,FALSE)*m2k))/'TCO Inputs'!$AZ$84</f>
        <v>43.540331168340622</v>
      </c>
      <c r="EW214" s="125">
        <f>EW102/293.07*(1/(VLOOKUP($BM214,'Fuel economy adjusted factor'!$A$2:$L$52,5,FALSE)*m2k))/'TCO Inputs'!$AZ$84</f>
        <v>43.540331168340622</v>
      </c>
      <c r="EX214" s="125">
        <f>EX102/293.07*(1/(VLOOKUP($BM214,'Fuel economy adjusted factor'!$A$2:$L$52,5,FALSE)*m2k))/'TCO Inputs'!$AZ$84</f>
        <v>43.540331168340622</v>
      </c>
      <c r="EY214" s="125">
        <f>EY102/293.07*(1/(VLOOKUP($BM214,'Fuel economy adjusted factor'!$A$2:$L$52,5,FALSE)*m2k))/'TCO Inputs'!$AZ$84</f>
        <v>40.994544439839146</v>
      </c>
      <c r="EZ214" s="98" cm="1">
        <f t="array" ref="EZ214">SUMPRODUCT(INDEX(DX214:EY214,,'TCO Inputs'!$AZ$12-2023+_xlfn.SEQUENCE('TCO Inputs'!$AZ$13))*INDEX('VKT US'!C104:AA104,,_xlfn.SEQUENCE('TCO Inputs'!$AZ$13)))*m2k*CONVERT(0.9072,"g","ton")</f>
        <v>22.927540637162046</v>
      </c>
      <c r="FB214" s="123" t="s">
        <v>224</v>
      </c>
      <c r="FC214" s="125">
        <f>FC102/293.07*(1/(VLOOKUP($BM214,'Fuel economy adjusted factor'!$A$2:$L$52,5,FALSE)*m2k))/'TCO Inputs'!$AZ$84</f>
        <v>103.61101535362742</v>
      </c>
      <c r="FD214" s="125">
        <f>FD102/293.07*(1/(VLOOKUP($BM214,'Fuel economy adjusted factor'!$A$2:$L$52,5,FALSE)*m2k))/'TCO Inputs'!$AZ$84</f>
        <v>103.61101535362742</v>
      </c>
      <c r="FE214" s="125">
        <f>FE102/293.07*(1/(VLOOKUP($BM214,'Fuel economy adjusted factor'!$A$2:$L$52,5,FALSE)*m2k))/'TCO Inputs'!$AZ$84</f>
        <v>90.331769397833241</v>
      </c>
      <c r="FF214" s="125">
        <f>FF102/293.07*(1/(VLOOKUP($BM214,'Fuel economy adjusted factor'!$A$2:$L$52,5,FALSE)*m2k))/'TCO Inputs'!$AZ$84</f>
        <v>90.331769397833241</v>
      </c>
      <c r="FG214" s="125">
        <f>FG102/293.07*(1/(VLOOKUP($BM214,'Fuel economy adjusted factor'!$A$2:$L$52,5,FALSE)*m2k))/'TCO Inputs'!$AZ$84</f>
        <v>90.331769397833241</v>
      </c>
      <c r="FH214" s="125">
        <f>FH102/293.07*(1/(VLOOKUP($BM214,'Fuel economy adjusted factor'!$A$2:$L$52,5,FALSE)*m2k))/'TCO Inputs'!$AZ$84</f>
        <v>90.331769397833241</v>
      </c>
      <c r="FI214" s="125">
        <f>FI102/293.07*(1/(VLOOKUP($BM214,'Fuel economy adjusted factor'!$A$2:$L$52,5,FALSE)*m2k))/'TCO Inputs'!$AZ$84</f>
        <v>90.331769397833241</v>
      </c>
      <c r="FJ214" s="125">
        <f>FJ102/293.07*(1/(VLOOKUP($BM214,'Fuel economy adjusted factor'!$A$2:$L$52,5,FALSE)*m2k))/'TCO Inputs'!$AZ$84</f>
        <v>57.13568518109048</v>
      </c>
      <c r="FK214" s="125">
        <f>FK102/293.07*(1/(VLOOKUP($BM214,'Fuel economy adjusted factor'!$A$2:$L$52,5,FALSE)*m2k))/'TCO Inputs'!$AZ$84</f>
        <v>57.13568518109048</v>
      </c>
      <c r="FL214" s="125">
        <f>FL102/293.07*(1/(VLOOKUP($BM214,'Fuel economy adjusted factor'!$A$2:$L$52,5,FALSE)*m2k))/'TCO Inputs'!$AZ$84</f>
        <v>57.13568518109048</v>
      </c>
      <c r="FM214" s="125">
        <f>FM102/293.07*(1/(VLOOKUP($BM214,'Fuel economy adjusted factor'!$A$2:$L$52,5,FALSE)*m2k))/'TCO Inputs'!$AZ$84</f>
        <v>57.13568518109048</v>
      </c>
      <c r="FN214" s="125">
        <f>FN102/293.07*(1/(VLOOKUP($BM214,'Fuel economy adjusted factor'!$A$2:$L$52,5,FALSE)*m2k))/'TCO Inputs'!$AZ$84</f>
        <v>57.13568518109048</v>
      </c>
      <c r="FO214" s="125">
        <f>FO102/293.07*(1/(VLOOKUP($BM214,'Fuel economy adjusted factor'!$A$2:$L$52,5,FALSE)*m2k))/'TCO Inputs'!$AZ$84</f>
        <v>50.60571853130218</v>
      </c>
      <c r="FP214" s="125">
        <f>FP102/293.07*(1/(VLOOKUP($BM214,'Fuel economy adjusted factor'!$A$2:$L$52,5,FALSE)*m2k))/'TCO Inputs'!$AZ$84</f>
        <v>50.60571853130218</v>
      </c>
      <c r="FQ214" s="125">
        <f>FQ102/293.07*(1/(VLOOKUP($BM214,'Fuel economy adjusted factor'!$A$2:$L$52,5,FALSE)*m2k))/'TCO Inputs'!$AZ$84</f>
        <v>50.60571853130218</v>
      </c>
      <c r="FR214" s="125">
        <f>FR102/293.07*(1/(VLOOKUP($BM214,'Fuel economy adjusted factor'!$A$2:$L$52,5,FALSE)*m2k))/'TCO Inputs'!$AZ$84</f>
        <v>50.60571853130218</v>
      </c>
      <c r="FS214" s="125">
        <f>FS102/293.07*(1/(VLOOKUP($BM214,'Fuel economy adjusted factor'!$A$2:$L$52,5,FALSE)*m2k))/'TCO Inputs'!$AZ$84</f>
        <v>50.60571853130218</v>
      </c>
      <c r="FT214" s="125">
        <f>FT102/293.07*(1/(VLOOKUP($BM214,'Fuel economy adjusted factor'!$A$2:$L$52,5,FALSE)*m2k))/'TCO Inputs'!$AZ$84</f>
        <v>49.450265740674155</v>
      </c>
      <c r="FU214" s="125">
        <f>FU102/293.07*(1/(VLOOKUP($BM214,'Fuel economy adjusted factor'!$A$2:$L$52,5,FALSE)*m2k))/'TCO Inputs'!$AZ$84</f>
        <v>49.450265740674155</v>
      </c>
      <c r="FV214" s="125">
        <f>FV102/293.07*(1/(VLOOKUP($BM214,'Fuel economy adjusted factor'!$A$2:$L$52,5,FALSE)*m2k))/'TCO Inputs'!$AZ$84</f>
        <v>49.450265740674155</v>
      </c>
      <c r="FW214" s="125">
        <f>FW102/293.07*(1/(VLOOKUP($BM214,'Fuel economy adjusted factor'!$A$2:$L$52,5,FALSE)*m2k))/'TCO Inputs'!$AZ$84</f>
        <v>49.450265740674155</v>
      </c>
      <c r="FX214" s="125">
        <f>FX102/293.07*(1/(VLOOKUP($BM214,'Fuel economy adjusted factor'!$A$2:$L$52,5,FALSE)*m2k))/'TCO Inputs'!$AZ$84</f>
        <v>49.450265740674155</v>
      </c>
      <c r="FY214" s="125">
        <f>FY102/293.07*(1/(VLOOKUP($BM214,'Fuel economy adjusted factor'!$A$2:$L$52,5,FALSE)*m2k))/'TCO Inputs'!$AZ$84</f>
        <v>47.850095619382614</v>
      </c>
      <c r="FZ214" s="125">
        <f>FZ102/293.07*(1/(VLOOKUP($BM214,'Fuel economy adjusted factor'!$A$2:$L$52,5,FALSE)*m2k))/'TCO Inputs'!$AZ$84</f>
        <v>47.850095619382614</v>
      </c>
      <c r="GA214" s="125">
        <f>GA102/293.07*(1/(VLOOKUP($BM214,'Fuel economy adjusted factor'!$A$2:$L$52,5,FALSE)*m2k))/'TCO Inputs'!$AZ$84</f>
        <v>47.850095619382614</v>
      </c>
      <c r="GB214" s="125">
        <f>GB102/293.07*(1/(VLOOKUP($BM214,'Fuel economy adjusted factor'!$A$2:$L$52,5,FALSE)*m2k))/'TCO Inputs'!$AZ$84</f>
        <v>47.850095619382614</v>
      </c>
      <c r="GC214" s="125">
        <f>GC102/293.07*(1/(VLOOKUP($BM214,'Fuel economy adjusted factor'!$A$2:$L$52,5,FALSE)*m2k))/'TCO Inputs'!$AZ$84</f>
        <v>47.850095619382614</v>
      </c>
      <c r="GD214" s="125">
        <f>GD102/293.07*(1/(VLOOKUP($BM214,'Fuel economy adjusted factor'!$A$2:$L$52,5,FALSE)*m2k))/'TCO Inputs'!$AZ$84</f>
        <v>45.21766685385689</v>
      </c>
      <c r="GE214" s="98" cm="1">
        <f t="array" ref="GE214">SUMPRODUCT(INDEX(FC214:GD214,,'TCO Inputs'!$AZ$12-2023+_xlfn.SEQUENCE('TCO Inputs'!$AZ$13))*INDEX('VKT US'!C104:AA104,,_xlfn.SEQUENCE('TCO Inputs'!$AZ$13)))*m2k*CONVERT(0.9072,"g","ton")</f>
        <v>24.839929393439952</v>
      </c>
      <c r="GH214" s="123" t="s">
        <v>224</v>
      </c>
      <c r="GI214" s="125">
        <f>GI102/293.07*(1/(VLOOKUP($GH214,'Fuel economy adjusted factor'!$A$2:$L$52,5,FALSE)*m2k))/'TCO Inputs'!$AZ$84</f>
        <v>182.39822907963082</v>
      </c>
      <c r="GJ214" s="125">
        <f>GJ102/293.07*(1/(VLOOKUP($GH214,'Fuel economy adjusted factor'!$A$2:$L$52,5,FALSE)*m2k))/'TCO Inputs'!$AZ$84</f>
        <v>182.39822907963082</v>
      </c>
      <c r="GK214" s="125">
        <f>GK102/293.07*(1/(VLOOKUP($GH214,'Fuel economy adjusted factor'!$A$2:$L$52,5,FALSE)*m2k))/'TCO Inputs'!$AZ$84</f>
        <v>182.39822907963082</v>
      </c>
      <c r="GL214" s="125">
        <f>GL102/293.07*(1/(VLOOKUP($GH214,'Fuel economy adjusted factor'!$A$2:$L$52,5,FALSE)*m2k))/'TCO Inputs'!$AZ$84</f>
        <v>182.39822907963082</v>
      </c>
      <c r="GM214" s="125">
        <f>GM102/293.07*(1/(VLOOKUP($GH214,'Fuel economy adjusted factor'!$A$2:$L$52,5,FALSE)*m2k))/'TCO Inputs'!$AZ$84</f>
        <v>182.39822907963082</v>
      </c>
      <c r="GN214" s="125">
        <f>GN102/293.07*(1/(VLOOKUP($GH214,'Fuel economy adjusted factor'!$A$2:$L$52,5,FALSE)*m2k))/'TCO Inputs'!$AZ$84</f>
        <v>182.39822907963082</v>
      </c>
      <c r="GO214" s="125">
        <f>GO102/293.07*(1/(VLOOKUP($GH214,'Fuel economy adjusted factor'!$A$2:$L$52,5,FALSE)*m2k))/'TCO Inputs'!$AZ$84</f>
        <v>182.39822907963082</v>
      </c>
      <c r="GP214" s="125">
        <f>GP102/293.07*(1/(VLOOKUP($GH214,'Fuel economy adjusted factor'!$A$2:$L$52,5,FALSE)*m2k))/'TCO Inputs'!$AZ$84</f>
        <v>182.39822907963082</v>
      </c>
      <c r="GQ214" s="125">
        <f>GQ102/293.07*(1/(VLOOKUP($GH214,'Fuel economy adjusted factor'!$A$2:$L$52,5,FALSE)*m2k))/'TCO Inputs'!$AZ$84</f>
        <v>182.39822907963082</v>
      </c>
      <c r="GR214" s="125">
        <f>GR102/293.07*(1/(VLOOKUP($GH214,'Fuel economy adjusted factor'!$A$2:$L$52,5,FALSE)*m2k))/'TCO Inputs'!$AZ$84</f>
        <v>182.39822907963082</v>
      </c>
      <c r="GS214" s="125">
        <f>GS102/293.07*(1/(VLOOKUP($GH214,'Fuel economy adjusted factor'!$A$2:$L$52,5,FALSE)*m2k))/'TCO Inputs'!$AZ$84</f>
        <v>182.39822907963082</v>
      </c>
      <c r="GT214" s="125">
        <f>GT102/293.07*(1/(VLOOKUP($GH214,'Fuel economy adjusted factor'!$A$2:$L$52,5,FALSE)*m2k))/'TCO Inputs'!$AZ$84</f>
        <v>182.39822907963082</v>
      </c>
      <c r="GU214" s="125">
        <f>GU102/293.07*(1/(VLOOKUP($GH214,'Fuel economy adjusted factor'!$A$2:$L$52,5,FALSE)*m2k))/'TCO Inputs'!$AZ$84</f>
        <v>182.39822907963082</v>
      </c>
      <c r="GV214" s="125">
        <f>GV102/293.07*(1/(VLOOKUP($GH214,'Fuel economy adjusted factor'!$A$2:$L$52,5,FALSE)*m2k))/'TCO Inputs'!$AZ$84</f>
        <v>182.39822907963082</v>
      </c>
      <c r="GW214" s="125">
        <f>GW102/293.07*(1/(VLOOKUP($GH214,'Fuel economy adjusted factor'!$A$2:$L$52,5,FALSE)*m2k))/'TCO Inputs'!$AZ$84</f>
        <v>182.39822907963082</v>
      </c>
      <c r="GX214" s="125">
        <f>GX102/293.07*(1/(VLOOKUP($GH214,'Fuel economy adjusted factor'!$A$2:$L$52,5,FALSE)*m2k))/'TCO Inputs'!$AZ$84</f>
        <v>182.39822907963082</v>
      </c>
      <c r="GY214" s="125">
        <f>GY102/293.07*(1/(VLOOKUP($GH214,'Fuel economy adjusted factor'!$A$2:$L$52,5,FALSE)*m2k))/'TCO Inputs'!$AZ$84</f>
        <v>182.39822907963082</v>
      </c>
      <c r="GZ214" s="125">
        <f>GZ102/293.07*(1/(VLOOKUP($GH214,'Fuel economy adjusted factor'!$A$2:$L$52,5,FALSE)*m2k))/'TCO Inputs'!$AZ$84</f>
        <v>182.39822907963082</v>
      </c>
      <c r="HA214" s="125">
        <f>HA102/293.07*(1/(VLOOKUP($GH214,'Fuel economy adjusted factor'!$A$2:$L$52,5,FALSE)*m2k))/'TCO Inputs'!$AZ$84</f>
        <v>182.39822907963082</v>
      </c>
      <c r="HB214" s="125">
        <f>HB102/293.07*(1/(VLOOKUP($GH214,'Fuel economy adjusted factor'!$A$2:$L$52,5,FALSE)*m2k))/'TCO Inputs'!$AZ$84</f>
        <v>182.39822907963082</v>
      </c>
      <c r="HC214" s="125">
        <f>HC102/293.07*(1/(VLOOKUP($GH214,'Fuel economy adjusted factor'!$A$2:$L$52,5,FALSE)*m2k))/'TCO Inputs'!$AZ$84</f>
        <v>182.39822907963082</v>
      </c>
      <c r="HD214" s="125">
        <f>HD102/293.07*(1/(VLOOKUP($GH214,'Fuel economy adjusted factor'!$A$2:$L$52,5,FALSE)*m2k))/'TCO Inputs'!$AZ$84</f>
        <v>182.39822907963082</v>
      </c>
      <c r="HE214" s="125">
        <f>HE102/293.07*(1/(VLOOKUP($GH214,'Fuel economy adjusted factor'!$A$2:$L$52,5,FALSE)*m2k))/'TCO Inputs'!$AZ$84</f>
        <v>182.39822907963082</v>
      </c>
      <c r="HF214" s="125">
        <f>HF102/293.07*(1/(VLOOKUP($GH214,'Fuel economy adjusted factor'!$A$2:$L$52,5,FALSE)*m2k))/'TCO Inputs'!$AZ$84</f>
        <v>182.39822907963082</v>
      </c>
      <c r="HG214" s="125">
        <f>HG102/293.07*(1/(VLOOKUP($GH214,'Fuel economy adjusted factor'!$A$2:$L$52,5,FALSE)*m2k))/'TCO Inputs'!$AZ$84</f>
        <v>182.39822907963082</v>
      </c>
      <c r="HH214" s="125">
        <f>HH102/293.07*(1/(VLOOKUP($GH214,'Fuel economy adjusted factor'!$A$2:$L$52,5,FALSE)*m2k))/'TCO Inputs'!$AZ$84</f>
        <v>182.39822907963082</v>
      </c>
      <c r="HI214" s="125">
        <f>HI102/293.07*(1/(VLOOKUP($GH214,'Fuel economy adjusted factor'!$A$2:$L$52,5,FALSE)*m2k))/'TCO Inputs'!$AZ$84</f>
        <v>182.39822907963082</v>
      </c>
      <c r="HJ214" s="125">
        <f>HJ102/293.07*(1/(VLOOKUP($GH214,'Fuel economy adjusted factor'!$A$2:$L$52,5,FALSE)*m2k))/'TCO Inputs'!$AZ$84</f>
        <v>182.39822907963082</v>
      </c>
      <c r="HK214" s="98" cm="1">
        <f t="array" ref="HK214">SUMPRODUCT(INDEX(GI214:HJ214,,'TCO Inputs'!$AZ$12-2023+_xlfn.SEQUENCE('TCO Inputs'!$AZ$13))*INDEX('VKT US'!C104:AA104,,_xlfn.SEQUENCE('TCO Inputs'!$AZ$13)))*m2k*CONVERT(0.9072,"g","ton")</f>
        <v>58.945598283452945</v>
      </c>
    </row>
    <row r="215" spans="26:219" x14ac:dyDescent="0.25">
      <c r="Z215" s="123" t="s">
        <v>225</v>
      </c>
      <c r="AA215" s="125">
        <f>AA103/293.07*(1/(VLOOKUP($Z215,'Fuel economy adjusted factor'!$A$2:$L$52,5,FALSE)*m2k))/'TCO Inputs'!$AZ$84</f>
        <v>90.544597540982679</v>
      </c>
      <c r="AB215" s="125">
        <f>AB103/293.07*(1/(VLOOKUP($Z215,'Fuel economy adjusted factor'!$A$2:$L$52,5,FALSE)*m2k))/'TCO Inputs'!$AZ$84</f>
        <v>90.544597540982679</v>
      </c>
      <c r="AC215" s="125">
        <f>AC103/293.07*(1/(VLOOKUP($Z215,'Fuel economy adjusted factor'!$A$2:$L$52,5,FALSE)*m2k))/'TCO Inputs'!$AZ$84</f>
        <v>79.529446480325376</v>
      </c>
      <c r="AD215" s="125">
        <f>AD103/293.07*(1/(VLOOKUP($Z215,'Fuel economy adjusted factor'!$A$2:$L$52,5,FALSE)*m2k))/'TCO Inputs'!$AZ$84</f>
        <v>79.529446480325376</v>
      </c>
      <c r="AE215" s="125">
        <f>AE103/293.07*(1/(VLOOKUP($Z215,'Fuel economy adjusted factor'!$A$2:$L$52,5,FALSE)*m2k))/'TCO Inputs'!$AZ$84</f>
        <v>79.529446480325376</v>
      </c>
      <c r="AF215" s="125">
        <f>AF103/293.07*(1/(VLOOKUP($Z215,'Fuel economy adjusted factor'!$A$2:$L$52,5,FALSE)*m2k))/'TCO Inputs'!$AZ$84</f>
        <v>79.529446480325376</v>
      </c>
      <c r="AG215" s="125">
        <f>AG103/293.07*(1/(VLOOKUP($Z215,'Fuel economy adjusted factor'!$A$2:$L$52,5,FALSE)*m2k))/'TCO Inputs'!$AZ$84</f>
        <v>79.529446480325376</v>
      </c>
      <c r="AH215" s="125">
        <f>AH103/293.07*(1/(VLOOKUP($Z215,'Fuel economy adjusted factor'!$A$2:$L$52,5,FALSE)*m2k))/'TCO Inputs'!$AZ$84</f>
        <v>30.068027008411505</v>
      </c>
      <c r="AI215" s="125">
        <f>AI103/293.07*(1/(VLOOKUP($Z215,'Fuel economy adjusted factor'!$A$2:$L$52,5,FALSE)*m2k))/'TCO Inputs'!$AZ$84</f>
        <v>30.068027008411505</v>
      </c>
      <c r="AJ215" s="125">
        <f>AJ103/293.07*(1/(VLOOKUP($Z215,'Fuel economy adjusted factor'!$A$2:$L$52,5,FALSE)*m2k))/'TCO Inputs'!$AZ$84</f>
        <v>30.068027008411505</v>
      </c>
      <c r="AK215" s="125">
        <f>AK103/293.07*(1/(VLOOKUP($Z215,'Fuel economy adjusted factor'!$A$2:$L$52,5,FALSE)*m2k))/'TCO Inputs'!$AZ$84</f>
        <v>30.068027008411505</v>
      </c>
      <c r="AL215" s="125">
        <f>AL103/293.07*(1/(VLOOKUP($Z215,'Fuel economy adjusted factor'!$A$2:$L$52,5,FALSE)*m2k))/'TCO Inputs'!$AZ$84</f>
        <v>30.068027008411505</v>
      </c>
      <c r="AM215" s="125">
        <f>AM103/293.07*(1/(VLOOKUP($Z215,'Fuel economy adjusted factor'!$A$2:$L$52,5,FALSE)*m2k))/'TCO Inputs'!$AZ$84</f>
        <v>25.272186818376181</v>
      </c>
      <c r="AN215" s="125">
        <f>AN103/293.07*(1/(VLOOKUP($Z215,'Fuel economy adjusted factor'!$A$2:$L$52,5,FALSE)*m2k))/'TCO Inputs'!$AZ$84</f>
        <v>25.272186818376181</v>
      </c>
      <c r="AO215" s="125">
        <f>AO103/293.07*(1/(VLOOKUP($Z215,'Fuel economy adjusted factor'!$A$2:$L$52,5,FALSE)*m2k))/'TCO Inputs'!$AZ$84</f>
        <v>25.272186818376181</v>
      </c>
      <c r="AP215" s="125">
        <f>AP103/293.07*(1/(VLOOKUP($Z215,'Fuel economy adjusted factor'!$A$2:$L$52,5,FALSE)*m2k))/'TCO Inputs'!$AZ$84</f>
        <v>25.272186818376181</v>
      </c>
      <c r="AQ215" s="125">
        <f>AQ103/293.07*(1/(VLOOKUP($Z215,'Fuel economy adjusted factor'!$A$2:$L$52,5,FALSE)*m2k))/'TCO Inputs'!$AZ$84</f>
        <v>25.272186818376181</v>
      </c>
      <c r="AR215" s="125">
        <f>AR103/293.07*(1/(VLOOKUP($Z215,'Fuel economy adjusted factor'!$A$2:$L$52,5,FALSE)*m2k))/'TCO Inputs'!$AZ$84</f>
        <v>25.272186818376181</v>
      </c>
      <c r="AS215" s="125">
        <f>AS103/293.07*(1/(VLOOKUP($Z215,'Fuel economy adjusted factor'!$A$2:$L$52,5,FALSE)*m2k))/'TCO Inputs'!$AZ$84</f>
        <v>25.272186818376181</v>
      </c>
      <c r="AT215" s="125">
        <f>AT103/293.07*(1/(VLOOKUP($Z215,'Fuel economy adjusted factor'!$A$2:$L$52,5,FALSE)*m2k))/'TCO Inputs'!$AZ$84</f>
        <v>25.272186818376181</v>
      </c>
      <c r="AU215" s="125">
        <f>AU103/293.07*(1/(VLOOKUP($Z215,'Fuel economy adjusted factor'!$A$2:$L$52,5,FALSE)*m2k))/'TCO Inputs'!$AZ$84</f>
        <v>25.272186818376181</v>
      </c>
      <c r="AV215" s="125">
        <f>AV103/293.07*(1/(VLOOKUP($Z215,'Fuel economy adjusted factor'!$A$2:$L$52,5,FALSE)*m2k))/'TCO Inputs'!$AZ$84</f>
        <v>25.272186818376181</v>
      </c>
      <c r="AW215" s="125">
        <f>AW103/293.07*(1/(VLOOKUP($Z215,'Fuel economy adjusted factor'!$A$2:$L$52,5,FALSE)*m2k))/'TCO Inputs'!$AZ$84</f>
        <v>25.391507154837115</v>
      </c>
      <c r="AX215" s="125">
        <f>AX103/293.07*(1/(VLOOKUP($Z215,'Fuel economy adjusted factor'!$A$2:$L$52,5,FALSE)*m2k))/'TCO Inputs'!$AZ$84</f>
        <v>25.391507154837115</v>
      </c>
      <c r="AY215" s="125">
        <f>AY103/293.07*(1/(VLOOKUP($Z215,'Fuel economy adjusted factor'!$A$2:$L$52,5,FALSE)*m2k))/'TCO Inputs'!$AZ$84</f>
        <v>25.391507154837115</v>
      </c>
      <c r="AZ215" s="125">
        <f>AZ103/293.07*(1/(VLOOKUP($Z215,'Fuel economy adjusted factor'!$A$2:$L$52,5,FALSE)*m2k))/'TCO Inputs'!$AZ$84</f>
        <v>25.391507154837115</v>
      </c>
      <c r="BA215" s="125">
        <f>BA103/293.07*(1/(VLOOKUP($Z215,'Fuel economy adjusted factor'!$A$2:$L$52,5,FALSE)*m2k))/'TCO Inputs'!$AZ$84</f>
        <v>25.391507154837115</v>
      </c>
      <c r="BB215" s="125">
        <f>BB103/293.07*(1/(VLOOKUP($Z215,'Fuel economy adjusted factor'!$A$2:$L$52,5,FALSE)*m2k))/'TCO Inputs'!$AZ$84</f>
        <v>25.541529800095024</v>
      </c>
      <c r="BC215" s="98" cm="1">
        <f t="array" ref="BC215">SUMPRODUCT(INDEX(AA215:BB215,,'TCO Inputs'!$AZ$12-2023+_xlfn.SEQUENCE('TCO Inputs'!$AZ$13))*INDEX('VKT US'!C105:AA105,,_xlfn.SEQUENCE('TCO Inputs'!$AZ$13)))*m2k*CONVERT(0.9072,"g","ton")</f>
        <v>20.023920089234043</v>
      </c>
      <c r="BM215" s="123" t="s">
        <v>225</v>
      </c>
      <c r="BN215" s="125">
        <f>BN103/293.07*(1/(VLOOKUP($BM215,'Fuel economy adjusted factor'!$A$2:$L$52,5,FALSE)*m2k))</f>
        <v>76.96290790983528</v>
      </c>
      <c r="BO215" s="125">
        <f>BO103/293.07*(1/(VLOOKUP($BM215,'Fuel economy adjusted factor'!$A$2:$L$52,5,FALSE)*m2k))</f>
        <v>76.96290790983528</v>
      </c>
      <c r="BP215" s="125">
        <f>BP103/293.07*(1/(VLOOKUP($BM215,'Fuel economy adjusted factor'!$A$2:$L$52,5,FALSE)*m2k))</f>
        <v>60.667727293819567</v>
      </c>
      <c r="BQ215" s="125">
        <f>BQ103/293.07*(1/(VLOOKUP($BM215,'Fuel economy adjusted factor'!$A$2:$L$52,5,FALSE)*m2k))</f>
        <v>60.667727293819567</v>
      </c>
      <c r="BR215" s="125">
        <f>BR103/293.07*(1/(VLOOKUP($BM215,'Fuel economy adjusted factor'!$A$2:$L$52,5,FALSE)*m2k))</f>
        <v>60.667727293819567</v>
      </c>
      <c r="BS215" s="125">
        <f>BS103/293.07*(1/(VLOOKUP($BM215,'Fuel economy adjusted factor'!$A$2:$L$52,5,FALSE)*m2k))</f>
        <v>60.667727293819567</v>
      </c>
      <c r="BT215" s="125">
        <f>BT103/293.07*(1/(VLOOKUP($BM215,'Fuel economy adjusted factor'!$A$2:$L$52,5,FALSE)*m2k))</f>
        <v>60.667727293819567</v>
      </c>
      <c r="BU215" s="125">
        <f>BU103/293.07*(1/(VLOOKUP($BM215,'Fuel economy adjusted factor'!$A$2:$L$52,5,FALSE)*m2k))</f>
        <v>3.4270056635123671</v>
      </c>
      <c r="BV215" s="125">
        <f>BV103/293.07*(1/(VLOOKUP($BM215,'Fuel economy adjusted factor'!$A$2:$L$52,5,FALSE)*m2k))</f>
        <v>3.4270056635123671</v>
      </c>
      <c r="BW215" s="125">
        <f>BW103/293.07*(1/(VLOOKUP($BM215,'Fuel economy adjusted factor'!$A$2:$L$52,5,FALSE)*m2k))</f>
        <v>3.4270056635123671</v>
      </c>
      <c r="BX215" s="125">
        <f>BX103/293.07*(1/(VLOOKUP($BM215,'Fuel economy adjusted factor'!$A$2:$L$52,5,FALSE)*m2k))</f>
        <v>3.4270056635123671</v>
      </c>
      <c r="BY215" s="125">
        <f>BY103/293.07*(1/(VLOOKUP($BM215,'Fuel economy adjusted factor'!$A$2:$L$52,5,FALSE)*m2k))</f>
        <v>3.4270056635123671</v>
      </c>
      <c r="BZ215" s="125">
        <f>BZ103/293.07*(1/(VLOOKUP($BM215,'Fuel economy adjusted factor'!$A$2:$L$52,5,FALSE)*m2k))</f>
        <v>3.5740976338396546</v>
      </c>
      <c r="CA215" s="125">
        <f>CA103/293.07*(1/(VLOOKUP($BM215,'Fuel economy adjusted factor'!$A$2:$L$52,5,FALSE)*m2k))</f>
        <v>3.5740976338396546</v>
      </c>
      <c r="CB215" s="125">
        <f>CB103/293.07*(1/(VLOOKUP($BM215,'Fuel economy adjusted factor'!$A$2:$L$52,5,FALSE)*m2k))</f>
        <v>3.5740976338396546</v>
      </c>
      <c r="CC215" s="125">
        <f>CC103/293.07*(1/(VLOOKUP($BM215,'Fuel economy adjusted factor'!$A$2:$L$52,5,FALSE)*m2k))</f>
        <v>3.5740976338396546</v>
      </c>
      <c r="CD215" s="125">
        <f>CD103/293.07*(1/(VLOOKUP($BM215,'Fuel economy adjusted factor'!$A$2:$L$52,5,FALSE)*m2k))</f>
        <v>3.5740976338396546</v>
      </c>
      <c r="CE215" s="125">
        <f>CE103/293.07*(1/(VLOOKUP($BM215,'Fuel economy adjusted factor'!$A$2:$L$52,5,FALSE)*m2k))</f>
        <v>3.6239191076601878</v>
      </c>
      <c r="CF215" s="125">
        <f>CF103/293.07*(1/(VLOOKUP($BM215,'Fuel economy adjusted factor'!$A$2:$L$52,5,FALSE)*m2k))</f>
        <v>3.6239191076601878</v>
      </c>
      <c r="CG215" s="125">
        <f>CG103/293.07*(1/(VLOOKUP($BM215,'Fuel economy adjusted factor'!$A$2:$L$52,5,FALSE)*m2k))</f>
        <v>3.6239191076601878</v>
      </c>
      <c r="CH215" s="125">
        <f>CH103/293.07*(1/(VLOOKUP($BM215,'Fuel economy adjusted factor'!$A$2:$L$52,5,FALSE)*m2k))</f>
        <v>3.6239191076601878</v>
      </c>
      <c r="CI215" s="125">
        <f>CI103/293.07*(1/(VLOOKUP($BM215,'Fuel economy adjusted factor'!$A$2:$L$52,5,FALSE)*m2k))</f>
        <v>3.6239191076601878</v>
      </c>
      <c r="CJ215" s="125">
        <f>CJ103/293.07*(1/(VLOOKUP($BM215,'Fuel economy adjusted factor'!$A$2:$L$52,5,FALSE)*m2k))</f>
        <v>3.7514383561294085</v>
      </c>
      <c r="CK215" s="125">
        <f>CK103/293.07*(1/(VLOOKUP($BM215,'Fuel economy adjusted factor'!$A$2:$L$52,5,FALSE)*m2k))</f>
        <v>3.7514383561294085</v>
      </c>
      <c r="CL215" s="125">
        <f>CL103/293.07*(1/(VLOOKUP($BM215,'Fuel economy adjusted factor'!$A$2:$L$52,5,FALSE)*m2k))</f>
        <v>3.7514383561294085</v>
      </c>
      <c r="CM215" s="125">
        <f>CM103/293.07*(1/(VLOOKUP($BM215,'Fuel economy adjusted factor'!$A$2:$L$52,5,FALSE)*m2k))</f>
        <v>3.7514383561294085</v>
      </c>
      <c r="CN215" s="125">
        <f>CN103/293.07*(1/(VLOOKUP($BM215,'Fuel economy adjusted factor'!$A$2:$L$52,5,FALSE)*m2k))</f>
        <v>3.7514383561294085</v>
      </c>
      <c r="CO215" s="125">
        <f>CO103/293.07*(1/(VLOOKUP($BM215,'Fuel economy adjusted factor'!$A$2:$L$52,5,FALSE)*m2k))</f>
        <v>3.9127650332625619</v>
      </c>
      <c r="CP215" s="98" cm="1">
        <f t="array" ref="CP215">SUMPRODUCT(INDEX(BN215:CO215,,'TCO Inputs'!$AZ$12-2023+_xlfn.SEQUENCE('TCO Inputs'!$AZ$13))*INDEX('VKT US'!C105:AA105,,_xlfn.SEQUENCE('TCO Inputs'!$AZ$13)))*m2k*CONVERT(0.9072,"g","ton")</f>
        <v>12.887274567685369</v>
      </c>
      <c r="CQ215" s="194"/>
      <c r="CR215" s="123" t="s">
        <v>225</v>
      </c>
      <c r="CS215" s="125">
        <f>CS103/293.07*(1/(VLOOKUP($BM215,'Fuel economy adjusted factor'!$A$2:$L$52,5,FALSE)*m2k))/'TCO Inputs'!$AZ$84</f>
        <v>90.544597540982679</v>
      </c>
      <c r="CT215" s="125">
        <f>CT103/293.07*(1/(VLOOKUP($BM215,'Fuel economy adjusted factor'!$A$2:$L$52,5,FALSE)*m2k))</f>
        <v>3.6037532730185431</v>
      </c>
      <c r="CU215" s="125">
        <f>CU103/293.07*(1/(VLOOKUP($BM215,'Fuel economy adjusted factor'!$A$2:$L$52,5,FALSE)*m2k))</f>
        <v>3.6037532730185431</v>
      </c>
      <c r="CV215" s="125">
        <f>CV103/293.07*(1/(VLOOKUP($BM215,'Fuel economy adjusted factor'!$A$2:$L$52,5,FALSE)*m2k))</f>
        <v>3.6037532730185431</v>
      </c>
      <c r="CW215" s="125">
        <f>CW103/293.07*(1/(VLOOKUP($BM215,'Fuel economy adjusted factor'!$A$2:$L$52,5,FALSE)*m2k))</f>
        <v>3.6037532730185431</v>
      </c>
      <c r="CX215" s="125">
        <f>CX103/293.07*(1/(VLOOKUP($BM215,'Fuel economy adjusted factor'!$A$2:$L$52,5,FALSE)*m2k))</f>
        <v>3.6037532730185431</v>
      </c>
      <c r="CY215" s="125">
        <f>CY103/293.07*(1/(VLOOKUP($BM215,'Fuel economy adjusted factor'!$A$2:$L$52,5,FALSE)*m2k))</f>
        <v>3.6037532730185431</v>
      </c>
      <c r="CZ215" s="125">
        <f>CZ103/293.07*(1/(VLOOKUP($BM215,'Fuel economy adjusted factor'!$A$2:$L$52,5,FALSE)*m2k))</f>
        <v>3.6037532730185431</v>
      </c>
      <c r="DA215" s="125">
        <f>DA103/293.07*(1/(VLOOKUP($BM215,'Fuel economy adjusted factor'!$A$2:$L$52,5,FALSE)*m2k))</f>
        <v>3.6037532730185431</v>
      </c>
      <c r="DB215" s="125">
        <f>DB103/293.07*(1/(VLOOKUP($BM215,'Fuel economy adjusted factor'!$A$2:$L$52,5,FALSE)*m2k))</f>
        <v>3.6037532730185431</v>
      </c>
      <c r="DC215" s="125">
        <f>DC103/293.07*(1/(VLOOKUP($BM215,'Fuel economy adjusted factor'!$A$2:$L$52,5,FALSE)*m2k))</f>
        <v>3.6037532730185431</v>
      </c>
      <c r="DD215" s="125">
        <f>DD103/293.07*(1/(VLOOKUP($BM215,'Fuel economy adjusted factor'!$A$2:$L$52,5,FALSE)*m2k))</f>
        <v>3.6037532730185431</v>
      </c>
      <c r="DE215" s="125">
        <f>DE103/293.07*(1/(VLOOKUP($BM215,'Fuel economy adjusted factor'!$A$2:$L$52,5,FALSE)*m2k))</f>
        <v>3.7069548973610758</v>
      </c>
      <c r="DF215" s="125">
        <f>DF103/293.07*(1/(VLOOKUP($BM215,'Fuel economy adjusted factor'!$A$2:$L$52,5,FALSE)*m2k))</f>
        <v>3.7069548973610758</v>
      </c>
      <c r="DG215" s="125">
        <f>DG103/293.07*(1/(VLOOKUP($BM215,'Fuel economy adjusted factor'!$A$2:$L$52,5,FALSE)*m2k))</f>
        <v>3.7069548973610758</v>
      </c>
      <c r="DH215" s="125">
        <f>DH103/293.07*(1/(VLOOKUP($BM215,'Fuel economy adjusted factor'!$A$2:$L$52,5,FALSE)*m2k))</f>
        <v>3.7069548973610758</v>
      </c>
      <c r="DI215" s="125">
        <f>DI103/293.07*(1/(VLOOKUP($BM215,'Fuel economy adjusted factor'!$A$2:$L$52,5,FALSE)*m2k))</f>
        <v>3.7069548973610758</v>
      </c>
      <c r="DJ215" s="125">
        <f>DJ103/293.07*(1/(VLOOKUP($BM215,'Fuel economy adjusted factor'!$A$2:$L$52,5,FALSE)*m2k))</f>
        <v>3.8997165520238513</v>
      </c>
      <c r="DK215" s="125">
        <f>DK103/293.07*(1/(VLOOKUP($BM215,'Fuel economy adjusted factor'!$A$2:$L$52,5,FALSE)*m2k))</f>
        <v>3.8997165520238513</v>
      </c>
      <c r="DL215" s="125">
        <f>DL103/293.07*(1/(VLOOKUP($BM215,'Fuel economy adjusted factor'!$A$2:$L$52,5,FALSE)*m2k))</f>
        <v>3.8997165520238513</v>
      </c>
      <c r="DM215" s="125">
        <f>DM103/293.07*(1/(VLOOKUP($BM215,'Fuel economy adjusted factor'!$A$2:$L$52,5,FALSE)*m2k))</f>
        <v>3.8997165520238513</v>
      </c>
      <c r="DN215" s="125">
        <f>DN103/293.07*(1/(VLOOKUP($BM215,'Fuel economy adjusted factor'!$A$2:$L$52,5,FALSE)*m2k))</f>
        <v>3.8997165520238513</v>
      </c>
      <c r="DO215" s="125">
        <f>DO103/293.07*(1/(VLOOKUP($BM215,'Fuel economy adjusted factor'!$A$2:$L$52,5,FALSE)*m2k))</f>
        <v>4.0272358004930728</v>
      </c>
      <c r="DP215" s="125">
        <f>DP103/293.07*(1/(VLOOKUP($BM215,'Fuel economy adjusted factor'!$A$2:$L$52,5,FALSE)*m2k))</f>
        <v>4.0272358004930728</v>
      </c>
      <c r="DQ215" s="125">
        <f>DQ103/293.07*(1/(VLOOKUP($BM215,'Fuel economy adjusted factor'!$A$2:$L$52,5,FALSE)*m2k))</f>
        <v>4.0272358004930728</v>
      </c>
      <c r="DR215" s="125">
        <f>DR103/293.07*(1/(VLOOKUP($BM215,'Fuel economy adjusted factor'!$A$2:$L$52,5,FALSE)*m2k))</f>
        <v>4.0272358004930728</v>
      </c>
      <c r="DS215" s="125">
        <f>DS103/293.07*(1/(VLOOKUP($BM215,'Fuel economy adjusted factor'!$A$2:$L$52,5,FALSE)*m2k))</f>
        <v>4.0272358004930728</v>
      </c>
      <c r="DT215" s="125">
        <f>DT103/293.07*(1/(VLOOKUP($BM215,'Fuel economy adjusted factor'!$A$2:$L$52,5,FALSE)*m2k))</f>
        <v>4.1891555904098041</v>
      </c>
      <c r="DU215" s="98" cm="1">
        <f t="array" ref="DU215">SUMPRODUCT(INDEX(CS215:DT215,,'TCO Inputs'!$AZ$12-2023+_xlfn.SEQUENCE('TCO Inputs'!$AZ$13))*INDEX('VKT US'!C105:AA105,,_xlfn.SEQUENCE('TCO Inputs'!$AZ$13)))*m2k*CONVERT(0.9072,"g","ton")</f>
        <v>3.7878954640109752</v>
      </c>
      <c r="DW215" s="123" t="s">
        <v>225</v>
      </c>
      <c r="DX215" s="125">
        <f>DX103/293.07*(1/(VLOOKUP($BM215,'Fuel economy adjusted factor'!$A$2:$L$52,5,FALSE)*m2k))/'TCO Inputs'!$AZ$84</f>
        <v>119.62558256882768</v>
      </c>
      <c r="DY215" s="125">
        <f>DY103/293.07*(1/(VLOOKUP($BM215,'Fuel economy adjusted factor'!$A$2:$L$52,5,FALSE)*m2k))/'TCO Inputs'!$AZ$84</f>
        <v>119.62558256882768</v>
      </c>
      <c r="DZ215" s="125">
        <f>DZ103/293.07*(1/(VLOOKUP($BM215,'Fuel economy adjusted factor'!$A$2:$L$52,5,FALSE)*m2k))/'TCO Inputs'!$AZ$84</f>
        <v>104.65781151011272</v>
      </c>
      <c r="EA215" s="125">
        <f>EA103/293.07*(1/(VLOOKUP($BM215,'Fuel economy adjusted factor'!$A$2:$L$52,5,FALSE)*m2k))/'TCO Inputs'!$AZ$84</f>
        <v>104.65781151011272</v>
      </c>
      <c r="EB215" s="125">
        <f>EB103/293.07*(1/(VLOOKUP($BM215,'Fuel economy adjusted factor'!$A$2:$L$52,5,FALSE)*m2k))/'TCO Inputs'!$AZ$84</f>
        <v>104.65781151011272</v>
      </c>
      <c r="EC215" s="125">
        <f>EC103/293.07*(1/(VLOOKUP($BM215,'Fuel economy adjusted factor'!$A$2:$L$52,5,FALSE)*m2k))/'TCO Inputs'!$AZ$84</f>
        <v>104.65781151011272</v>
      </c>
      <c r="ED215" s="125">
        <f>ED103/293.07*(1/(VLOOKUP($BM215,'Fuel economy adjusted factor'!$A$2:$L$52,5,FALSE)*m2k))/'TCO Inputs'!$AZ$84</f>
        <v>104.65781151011272</v>
      </c>
      <c r="EE215" s="125">
        <f>EE103/293.07*(1/(VLOOKUP($BM215,'Fuel economy adjusted factor'!$A$2:$L$52,5,FALSE)*m2k))/'TCO Inputs'!$AZ$84</f>
        <v>65.114070473522389</v>
      </c>
      <c r="EF215" s="125">
        <f>EF103/293.07*(1/(VLOOKUP($BM215,'Fuel economy adjusted factor'!$A$2:$L$52,5,FALSE)*m2k))/'TCO Inputs'!$AZ$84</f>
        <v>65.114070473522389</v>
      </c>
      <c r="EG215" s="125">
        <f>EG103/293.07*(1/(VLOOKUP($BM215,'Fuel economy adjusted factor'!$A$2:$L$52,5,FALSE)*m2k))/'TCO Inputs'!$AZ$84</f>
        <v>65.114070473522389</v>
      </c>
      <c r="EH215" s="125">
        <f>EH103/293.07*(1/(VLOOKUP($BM215,'Fuel economy adjusted factor'!$A$2:$L$52,5,FALSE)*m2k))/'TCO Inputs'!$AZ$84</f>
        <v>65.114070473522389</v>
      </c>
      <c r="EI215" s="125">
        <f>EI103/293.07*(1/(VLOOKUP($BM215,'Fuel economy adjusted factor'!$A$2:$L$52,5,FALSE)*m2k))/'TCO Inputs'!$AZ$84</f>
        <v>65.114070473522389</v>
      </c>
      <c r="EJ215" s="125">
        <f>EJ103/293.07*(1/(VLOOKUP($BM215,'Fuel economy adjusted factor'!$A$2:$L$52,5,FALSE)*m2k))/'TCO Inputs'!$AZ$84</f>
        <v>57.977830583418822</v>
      </c>
      <c r="EK215" s="125">
        <f>EK103/293.07*(1/(VLOOKUP($BM215,'Fuel economy adjusted factor'!$A$2:$L$52,5,FALSE)*m2k))/'TCO Inputs'!$AZ$84</f>
        <v>57.977830583418822</v>
      </c>
      <c r="EL215" s="125">
        <f>EL103/293.07*(1/(VLOOKUP($BM215,'Fuel economy adjusted factor'!$A$2:$L$52,5,FALSE)*m2k))/'TCO Inputs'!$AZ$84</f>
        <v>57.977830583418822</v>
      </c>
      <c r="EM215" s="125">
        <f>EM103/293.07*(1/(VLOOKUP($BM215,'Fuel economy adjusted factor'!$A$2:$L$52,5,FALSE)*m2k))/'TCO Inputs'!$AZ$84</f>
        <v>57.977830583418822</v>
      </c>
      <c r="EN215" s="125">
        <f>EN103/293.07*(1/(VLOOKUP($BM215,'Fuel economy adjusted factor'!$A$2:$L$52,5,FALSE)*m2k))/'TCO Inputs'!$AZ$84</f>
        <v>57.977830583418822</v>
      </c>
      <c r="EO215" s="125">
        <f>EO103/293.07*(1/(VLOOKUP($BM215,'Fuel economy adjusted factor'!$A$2:$L$52,5,FALSE)*m2k))/'TCO Inputs'!$AZ$84</f>
        <v>56.336334891874927</v>
      </c>
      <c r="EP215" s="125">
        <f>EP103/293.07*(1/(VLOOKUP($BM215,'Fuel economy adjusted factor'!$A$2:$L$52,5,FALSE)*m2k))/'TCO Inputs'!$AZ$84</f>
        <v>56.336334891874927</v>
      </c>
      <c r="EQ215" s="125">
        <f>EQ103/293.07*(1/(VLOOKUP($BM215,'Fuel economy adjusted factor'!$A$2:$L$52,5,FALSE)*m2k))/'TCO Inputs'!$AZ$84</f>
        <v>56.336334891874927</v>
      </c>
      <c r="ER215" s="125">
        <f>ER103/293.07*(1/(VLOOKUP($BM215,'Fuel economy adjusted factor'!$A$2:$L$52,5,FALSE)*m2k))/'TCO Inputs'!$AZ$84</f>
        <v>56.336334891874927</v>
      </c>
      <c r="ES215" s="125">
        <f>ES103/293.07*(1/(VLOOKUP($BM215,'Fuel economy adjusted factor'!$A$2:$L$52,5,FALSE)*m2k))/'TCO Inputs'!$AZ$84</f>
        <v>56.336334891874927</v>
      </c>
      <c r="ET215" s="125">
        <f>ET103/293.07*(1/(VLOOKUP($BM215,'Fuel economy adjusted factor'!$A$2:$L$52,5,FALSE)*m2k))/'TCO Inputs'!$AZ$84</f>
        <v>54.342547021548839</v>
      </c>
      <c r="EU215" s="125">
        <f>EU103/293.07*(1/(VLOOKUP($BM215,'Fuel economy adjusted factor'!$A$2:$L$52,5,FALSE)*m2k))/'TCO Inputs'!$AZ$84</f>
        <v>54.342547021548839</v>
      </c>
      <c r="EV215" s="125">
        <f>EV103/293.07*(1/(VLOOKUP($BM215,'Fuel economy adjusted factor'!$A$2:$L$52,5,FALSE)*m2k))/'TCO Inputs'!$AZ$84</f>
        <v>54.342547021548839</v>
      </c>
      <c r="EW215" s="125">
        <f>EW103/293.07*(1/(VLOOKUP($BM215,'Fuel economy adjusted factor'!$A$2:$L$52,5,FALSE)*m2k))/'TCO Inputs'!$AZ$84</f>
        <v>54.342547021548839</v>
      </c>
      <c r="EX215" s="125">
        <f>EX103/293.07*(1/(VLOOKUP($BM215,'Fuel economy adjusted factor'!$A$2:$L$52,5,FALSE)*m2k))/'TCO Inputs'!$AZ$84</f>
        <v>54.342547021548839</v>
      </c>
      <c r="EY215" s="125">
        <f>EY103/293.07*(1/(VLOOKUP($BM215,'Fuel economy adjusted factor'!$A$2:$L$52,5,FALSE)*m2k))/'TCO Inputs'!$AZ$84</f>
        <v>51.165158809558825</v>
      </c>
      <c r="EZ215" s="98" cm="1">
        <f t="array" ref="EZ215">SUMPRODUCT(INDEX(DX215:EY215,,'TCO Inputs'!$AZ$12-2023+_xlfn.SEQUENCE('TCO Inputs'!$AZ$13))*INDEX('VKT US'!C105:AA105,,_xlfn.SEQUENCE('TCO Inputs'!$AZ$13)))*m2k*CONVERT(0.9072,"g","ton")</f>
        <v>30.272424227417641</v>
      </c>
      <c r="FB215" s="123" t="s">
        <v>225</v>
      </c>
      <c r="FC215" s="125">
        <f>FC103/293.07*(1/(VLOOKUP($BM215,'Fuel economy adjusted factor'!$A$2:$L$52,5,FALSE)*m2k))/'TCO Inputs'!$AZ$84</f>
        <v>129.31657437412875</v>
      </c>
      <c r="FD215" s="125">
        <f>FD103/293.07*(1/(VLOOKUP($BM215,'Fuel economy adjusted factor'!$A$2:$L$52,5,FALSE)*m2k))/'TCO Inputs'!$AZ$84</f>
        <v>129.31657437412875</v>
      </c>
      <c r="FE215" s="125">
        <f>FE103/293.07*(1/(VLOOKUP($BM215,'Fuel economy adjusted factor'!$A$2:$L$52,5,FALSE)*m2k))/'TCO Inputs'!$AZ$84</f>
        <v>112.74279028935879</v>
      </c>
      <c r="FF215" s="125">
        <f>FF103/293.07*(1/(VLOOKUP($BM215,'Fuel economy adjusted factor'!$A$2:$L$52,5,FALSE)*m2k))/'TCO Inputs'!$AZ$84</f>
        <v>112.74279028935879</v>
      </c>
      <c r="FG215" s="125">
        <f>FG103/293.07*(1/(VLOOKUP($BM215,'Fuel economy adjusted factor'!$A$2:$L$52,5,FALSE)*m2k))/'TCO Inputs'!$AZ$84</f>
        <v>112.74279028935879</v>
      </c>
      <c r="FH215" s="125">
        <f>FH103/293.07*(1/(VLOOKUP($BM215,'Fuel economy adjusted factor'!$A$2:$L$52,5,FALSE)*m2k))/'TCO Inputs'!$AZ$84</f>
        <v>112.74279028935879</v>
      </c>
      <c r="FI215" s="125">
        <f>FI103/293.07*(1/(VLOOKUP($BM215,'Fuel economy adjusted factor'!$A$2:$L$52,5,FALSE)*m2k))/'TCO Inputs'!$AZ$84</f>
        <v>112.74279028935879</v>
      </c>
      <c r="FJ215" s="125">
        <f>FJ103/293.07*(1/(VLOOKUP($BM215,'Fuel economy adjusted factor'!$A$2:$L$52,5,FALSE)*m2k))/'TCO Inputs'!$AZ$84</f>
        <v>71.310864553540142</v>
      </c>
      <c r="FK215" s="125">
        <f>FK103/293.07*(1/(VLOOKUP($BM215,'Fuel economy adjusted factor'!$A$2:$L$52,5,FALSE)*m2k))/'TCO Inputs'!$AZ$84</f>
        <v>71.310864553540142</v>
      </c>
      <c r="FL215" s="125">
        <f>FL103/293.07*(1/(VLOOKUP($BM215,'Fuel economy adjusted factor'!$A$2:$L$52,5,FALSE)*m2k))/'TCO Inputs'!$AZ$84</f>
        <v>71.310864553540142</v>
      </c>
      <c r="FM215" s="125">
        <f>FM103/293.07*(1/(VLOOKUP($BM215,'Fuel economy adjusted factor'!$A$2:$L$52,5,FALSE)*m2k))/'TCO Inputs'!$AZ$84</f>
        <v>71.310864553540142</v>
      </c>
      <c r="FN215" s="125">
        <f>FN103/293.07*(1/(VLOOKUP($BM215,'Fuel economy adjusted factor'!$A$2:$L$52,5,FALSE)*m2k))/'TCO Inputs'!$AZ$84</f>
        <v>71.310864553540142</v>
      </c>
      <c r="FO215" s="125">
        <f>FO103/293.07*(1/(VLOOKUP($BM215,'Fuel economy adjusted factor'!$A$2:$L$52,5,FALSE)*m2k))/'TCO Inputs'!$AZ$84</f>
        <v>63.160834220897854</v>
      </c>
      <c r="FP215" s="125">
        <f>FP103/293.07*(1/(VLOOKUP($BM215,'Fuel economy adjusted factor'!$A$2:$L$52,5,FALSE)*m2k))/'TCO Inputs'!$AZ$84</f>
        <v>63.160834220897854</v>
      </c>
      <c r="FQ215" s="125">
        <f>FQ103/293.07*(1/(VLOOKUP($BM215,'Fuel economy adjusted factor'!$A$2:$L$52,5,FALSE)*m2k))/'TCO Inputs'!$AZ$84</f>
        <v>63.160834220897854</v>
      </c>
      <c r="FR215" s="125">
        <f>FR103/293.07*(1/(VLOOKUP($BM215,'Fuel economy adjusted factor'!$A$2:$L$52,5,FALSE)*m2k))/'TCO Inputs'!$AZ$84</f>
        <v>63.160834220897854</v>
      </c>
      <c r="FS215" s="125">
        <f>FS103/293.07*(1/(VLOOKUP($BM215,'Fuel economy adjusted factor'!$A$2:$L$52,5,FALSE)*m2k))/'TCO Inputs'!$AZ$84</f>
        <v>63.160834220897854</v>
      </c>
      <c r="FT215" s="125">
        <f>FT103/293.07*(1/(VLOOKUP($BM215,'Fuel economy adjusted factor'!$A$2:$L$52,5,FALSE)*m2k))/'TCO Inputs'!$AZ$84</f>
        <v>61.718717316386574</v>
      </c>
      <c r="FU215" s="125">
        <f>FU103/293.07*(1/(VLOOKUP($BM215,'Fuel economy adjusted factor'!$A$2:$L$52,5,FALSE)*m2k))/'TCO Inputs'!$AZ$84</f>
        <v>61.718717316386574</v>
      </c>
      <c r="FV215" s="125">
        <f>FV103/293.07*(1/(VLOOKUP($BM215,'Fuel economy adjusted factor'!$A$2:$L$52,5,FALSE)*m2k))/'TCO Inputs'!$AZ$84</f>
        <v>61.718717316386574</v>
      </c>
      <c r="FW215" s="125">
        <f>FW103/293.07*(1/(VLOOKUP($BM215,'Fuel economy adjusted factor'!$A$2:$L$52,5,FALSE)*m2k))/'TCO Inputs'!$AZ$84</f>
        <v>61.718717316386574</v>
      </c>
      <c r="FX215" s="125">
        <f>FX103/293.07*(1/(VLOOKUP($BM215,'Fuel economy adjusted factor'!$A$2:$L$52,5,FALSE)*m2k))/'TCO Inputs'!$AZ$84</f>
        <v>61.718717316386574</v>
      </c>
      <c r="FY215" s="125">
        <f>FY103/293.07*(1/(VLOOKUP($BM215,'Fuel economy adjusted factor'!$A$2:$L$52,5,FALSE)*m2k))/'TCO Inputs'!$AZ$84</f>
        <v>59.721550144585365</v>
      </c>
      <c r="FZ215" s="125">
        <f>FZ103/293.07*(1/(VLOOKUP($BM215,'Fuel economy adjusted factor'!$A$2:$L$52,5,FALSE)*m2k))/'TCO Inputs'!$AZ$84</f>
        <v>59.721550144585365</v>
      </c>
      <c r="GA215" s="125">
        <f>GA103/293.07*(1/(VLOOKUP($BM215,'Fuel economy adjusted factor'!$A$2:$L$52,5,FALSE)*m2k))/'TCO Inputs'!$AZ$84</f>
        <v>59.721550144585365</v>
      </c>
      <c r="GB215" s="125">
        <f>GB103/293.07*(1/(VLOOKUP($BM215,'Fuel economy adjusted factor'!$A$2:$L$52,5,FALSE)*m2k))/'TCO Inputs'!$AZ$84</f>
        <v>59.721550144585365</v>
      </c>
      <c r="GC215" s="125">
        <f>GC103/293.07*(1/(VLOOKUP($BM215,'Fuel economy adjusted factor'!$A$2:$L$52,5,FALSE)*m2k))/'TCO Inputs'!$AZ$84</f>
        <v>59.721550144585365</v>
      </c>
      <c r="GD215" s="125">
        <f>GD103/293.07*(1/(VLOOKUP($BM215,'Fuel economy adjusted factor'!$A$2:$L$52,5,FALSE)*m2k))/'TCO Inputs'!$AZ$84</f>
        <v>56.436024285391234</v>
      </c>
      <c r="GE215" s="98" cm="1">
        <f t="array" ref="GE215">SUMPRODUCT(INDEX(FC215:GD215,,'TCO Inputs'!$AZ$12-2023+_xlfn.SEQUENCE('TCO Inputs'!$AZ$13))*INDEX('VKT US'!C105:AA105,,_xlfn.SEQUENCE('TCO Inputs'!$AZ$13)))*m2k*CONVERT(0.9072,"g","ton")</f>
        <v>32.797450554225364</v>
      </c>
      <c r="GH215" s="123" t="s">
        <v>225</v>
      </c>
      <c r="GI215" s="125">
        <f>GI103/293.07*(1/(VLOOKUP($GH215,'Fuel economy adjusted factor'!$A$2:$L$52,5,FALSE)*m2k))/'TCO Inputs'!$AZ$84</f>
        <v>227.65064193205663</v>
      </c>
      <c r="GJ215" s="125">
        <f>GJ103/293.07*(1/(VLOOKUP($GH215,'Fuel economy adjusted factor'!$A$2:$L$52,5,FALSE)*m2k))/'TCO Inputs'!$AZ$84</f>
        <v>227.65064193205663</v>
      </c>
      <c r="GK215" s="125">
        <f>GK103/293.07*(1/(VLOOKUP($GH215,'Fuel economy adjusted factor'!$A$2:$L$52,5,FALSE)*m2k))/'TCO Inputs'!$AZ$84</f>
        <v>227.65064193205663</v>
      </c>
      <c r="GL215" s="125">
        <f>GL103/293.07*(1/(VLOOKUP($GH215,'Fuel economy adjusted factor'!$A$2:$L$52,5,FALSE)*m2k))/'TCO Inputs'!$AZ$84</f>
        <v>227.65064193205663</v>
      </c>
      <c r="GM215" s="125">
        <f>GM103/293.07*(1/(VLOOKUP($GH215,'Fuel economy adjusted factor'!$A$2:$L$52,5,FALSE)*m2k))/'TCO Inputs'!$AZ$84</f>
        <v>227.65064193205663</v>
      </c>
      <c r="GN215" s="125">
        <f>GN103/293.07*(1/(VLOOKUP($GH215,'Fuel economy adjusted factor'!$A$2:$L$52,5,FALSE)*m2k))/'TCO Inputs'!$AZ$84</f>
        <v>227.65064193205663</v>
      </c>
      <c r="GO215" s="125">
        <f>GO103/293.07*(1/(VLOOKUP($GH215,'Fuel economy adjusted factor'!$A$2:$L$52,5,FALSE)*m2k))/'TCO Inputs'!$AZ$84</f>
        <v>227.65064193205663</v>
      </c>
      <c r="GP215" s="125">
        <f>GP103/293.07*(1/(VLOOKUP($GH215,'Fuel economy adjusted factor'!$A$2:$L$52,5,FALSE)*m2k))/'TCO Inputs'!$AZ$84</f>
        <v>227.65064193205663</v>
      </c>
      <c r="GQ215" s="125">
        <f>GQ103/293.07*(1/(VLOOKUP($GH215,'Fuel economy adjusted factor'!$A$2:$L$52,5,FALSE)*m2k))/'TCO Inputs'!$AZ$84</f>
        <v>227.65064193205663</v>
      </c>
      <c r="GR215" s="125">
        <f>GR103/293.07*(1/(VLOOKUP($GH215,'Fuel economy adjusted factor'!$A$2:$L$52,5,FALSE)*m2k))/'TCO Inputs'!$AZ$84</f>
        <v>227.65064193205663</v>
      </c>
      <c r="GS215" s="125">
        <f>GS103/293.07*(1/(VLOOKUP($GH215,'Fuel economy adjusted factor'!$A$2:$L$52,5,FALSE)*m2k))/'TCO Inputs'!$AZ$84</f>
        <v>227.65064193205663</v>
      </c>
      <c r="GT215" s="125">
        <f>GT103/293.07*(1/(VLOOKUP($GH215,'Fuel economy adjusted factor'!$A$2:$L$52,5,FALSE)*m2k))/'TCO Inputs'!$AZ$84</f>
        <v>227.65064193205663</v>
      </c>
      <c r="GU215" s="125">
        <f>GU103/293.07*(1/(VLOOKUP($GH215,'Fuel economy adjusted factor'!$A$2:$L$52,5,FALSE)*m2k))/'TCO Inputs'!$AZ$84</f>
        <v>227.65064193205663</v>
      </c>
      <c r="GV215" s="125">
        <f>GV103/293.07*(1/(VLOOKUP($GH215,'Fuel economy adjusted factor'!$A$2:$L$52,5,FALSE)*m2k))/'TCO Inputs'!$AZ$84</f>
        <v>227.65064193205663</v>
      </c>
      <c r="GW215" s="125">
        <f>GW103/293.07*(1/(VLOOKUP($GH215,'Fuel economy adjusted factor'!$A$2:$L$52,5,FALSE)*m2k))/'TCO Inputs'!$AZ$84</f>
        <v>227.65064193205663</v>
      </c>
      <c r="GX215" s="125">
        <f>GX103/293.07*(1/(VLOOKUP($GH215,'Fuel economy adjusted factor'!$A$2:$L$52,5,FALSE)*m2k))/'TCO Inputs'!$AZ$84</f>
        <v>227.65064193205663</v>
      </c>
      <c r="GY215" s="125">
        <f>GY103/293.07*(1/(VLOOKUP($GH215,'Fuel economy adjusted factor'!$A$2:$L$52,5,FALSE)*m2k))/'TCO Inputs'!$AZ$84</f>
        <v>227.65064193205663</v>
      </c>
      <c r="GZ215" s="125">
        <f>GZ103/293.07*(1/(VLOOKUP($GH215,'Fuel economy adjusted factor'!$A$2:$L$52,5,FALSE)*m2k))/'TCO Inputs'!$AZ$84</f>
        <v>227.65064193205663</v>
      </c>
      <c r="HA215" s="125">
        <f>HA103/293.07*(1/(VLOOKUP($GH215,'Fuel economy adjusted factor'!$A$2:$L$52,5,FALSE)*m2k))/'TCO Inputs'!$AZ$84</f>
        <v>227.65064193205663</v>
      </c>
      <c r="HB215" s="125">
        <f>HB103/293.07*(1/(VLOOKUP($GH215,'Fuel economy adjusted factor'!$A$2:$L$52,5,FALSE)*m2k))/'TCO Inputs'!$AZ$84</f>
        <v>227.65064193205663</v>
      </c>
      <c r="HC215" s="125">
        <f>HC103/293.07*(1/(VLOOKUP($GH215,'Fuel economy adjusted factor'!$A$2:$L$52,5,FALSE)*m2k))/'TCO Inputs'!$AZ$84</f>
        <v>227.65064193205663</v>
      </c>
      <c r="HD215" s="125">
        <f>HD103/293.07*(1/(VLOOKUP($GH215,'Fuel economy adjusted factor'!$A$2:$L$52,5,FALSE)*m2k))/'TCO Inputs'!$AZ$84</f>
        <v>227.65064193205663</v>
      </c>
      <c r="HE215" s="125">
        <f>HE103/293.07*(1/(VLOOKUP($GH215,'Fuel economy adjusted factor'!$A$2:$L$52,5,FALSE)*m2k))/'TCO Inputs'!$AZ$84</f>
        <v>227.65064193205663</v>
      </c>
      <c r="HF215" s="125">
        <f>HF103/293.07*(1/(VLOOKUP($GH215,'Fuel economy adjusted factor'!$A$2:$L$52,5,FALSE)*m2k))/'TCO Inputs'!$AZ$84</f>
        <v>227.65064193205663</v>
      </c>
      <c r="HG215" s="125">
        <f>HG103/293.07*(1/(VLOOKUP($GH215,'Fuel economy adjusted factor'!$A$2:$L$52,5,FALSE)*m2k))/'TCO Inputs'!$AZ$84</f>
        <v>227.65064193205663</v>
      </c>
      <c r="HH215" s="125">
        <f>HH103/293.07*(1/(VLOOKUP($GH215,'Fuel economy adjusted factor'!$A$2:$L$52,5,FALSE)*m2k))/'TCO Inputs'!$AZ$84</f>
        <v>227.65064193205663</v>
      </c>
      <c r="HI215" s="125">
        <f>HI103/293.07*(1/(VLOOKUP($GH215,'Fuel economy adjusted factor'!$A$2:$L$52,5,FALSE)*m2k))/'TCO Inputs'!$AZ$84</f>
        <v>227.65064193205663</v>
      </c>
      <c r="HJ215" s="125">
        <f>HJ103/293.07*(1/(VLOOKUP($GH215,'Fuel economy adjusted factor'!$A$2:$L$52,5,FALSE)*m2k))/'TCO Inputs'!$AZ$84</f>
        <v>227.65064193205663</v>
      </c>
      <c r="HK215" s="98" cm="1">
        <f t="array" ref="HK215">SUMPRODUCT(INDEX(GI215:HJ215,,'TCO Inputs'!$AZ$12-2023+_xlfn.SEQUENCE('TCO Inputs'!$AZ$13))*INDEX('VKT US'!C105:AA105,,_xlfn.SEQUENCE('TCO Inputs'!$AZ$13)))*m2k*CONVERT(0.9072,"g","ton")</f>
        <v>77.828938821434107</v>
      </c>
    </row>
    <row r="216" spans="26:219" x14ac:dyDescent="0.25">
      <c r="Z216" s="123" t="s">
        <v>226</v>
      </c>
      <c r="AA216" s="125">
        <f>AA104/293.07*(1/(VLOOKUP($Z216,'Fuel economy adjusted factor'!$A$2:$L$52,5,FALSE)*m2k))/'TCO Inputs'!$AZ$84</f>
        <v>175.99545705609239</v>
      </c>
      <c r="AB216" s="125">
        <f>AB104/293.07*(1/(VLOOKUP($Z216,'Fuel economy adjusted factor'!$A$2:$L$52,5,FALSE)*m2k))/'TCO Inputs'!$AZ$84</f>
        <v>175.99545705609239</v>
      </c>
      <c r="AC216" s="125">
        <f>AC104/293.07*(1/(VLOOKUP($Z216,'Fuel economy adjusted factor'!$A$2:$L$52,5,FALSE)*m2k))/'TCO Inputs'!$AZ$84</f>
        <v>154.58483071160154</v>
      </c>
      <c r="AD216" s="125">
        <f>AD104/293.07*(1/(VLOOKUP($Z216,'Fuel economy adjusted factor'!$A$2:$L$52,5,FALSE)*m2k))/'TCO Inputs'!$AZ$84</f>
        <v>154.58483071160154</v>
      </c>
      <c r="AE216" s="125">
        <f>AE104/293.07*(1/(VLOOKUP($Z216,'Fuel economy adjusted factor'!$A$2:$L$52,5,FALSE)*m2k))/'TCO Inputs'!$AZ$84</f>
        <v>154.58483071160154</v>
      </c>
      <c r="AF216" s="125">
        <f>AF104/293.07*(1/(VLOOKUP($Z216,'Fuel economy adjusted factor'!$A$2:$L$52,5,FALSE)*m2k))/'TCO Inputs'!$AZ$84</f>
        <v>154.58483071160154</v>
      </c>
      <c r="AG216" s="125">
        <f>AG104/293.07*(1/(VLOOKUP($Z216,'Fuel economy adjusted factor'!$A$2:$L$52,5,FALSE)*m2k))/'TCO Inputs'!$AZ$84</f>
        <v>154.58483071160154</v>
      </c>
      <c r="AH216" s="125">
        <f>AH104/293.07*(1/(VLOOKUP($Z216,'Fuel economy adjusted factor'!$A$2:$L$52,5,FALSE)*m2k))/'TCO Inputs'!$AZ$84</f>
        <v>58.444526783887902</v>
      </c>
      <c r="AI216" s="125">
        <f>AI104/293.07*(1/(VLOOKUP($Z216,'Fuel economy adjusted factor'!$A$2:$L$52,5,FALSE)*m2k))/'TCO Inputs'!$AZ$84</f>
        <v>58.444526783887902</v>
      </c>
      <c r="AJ216" s="125">
        <f>AJ104/293.07*(1/(VLOOKUP($Z216,'Fuel economy adjusted factor'!$A$2:$L$52,5,FALSE)*m2k))/'TCO Inputs'!$AZ$84</f>
        <v>58.444526783887902</v>
      </c>
      <c r="AK216" s="125">
        <f>AK104/293.07*(1/(VLOOKUP($Z216,'Fuel economy adjusted factor'!$A$2:$L$52,5,FALSE)*m2k))/'TCO Inputs'!$AZ$84</f>
        <v>58.444526783887902</v>
      </c>
      <c r="AL216" s="125">
        <f>AL104/293.07*(1/(VLOOKUP($Z216,'Fuel economy adjusted factor'!$A$2:$L$52,5,FALSE)*m2k))/'TCO Inputs'!$AZ$84</f>
        <v>58.444526783887902</v>
      </c>
      <c r="AM216" s="125">
        <f>AM104/293.07*(1/(VLOOKUP($Z216,'Fuel economy adjusted factor'!$A$2:$L$52,5,FALSE)*m2k))/'TCO Inputs'!$AZ$84</f>
        <v>49.122644428276253</v>
      </c>
      <c r="AN216" s="125">
        <f>AN104/293.07*(1/(VLOOKUP($Z216,'Fuel economy adjusted factor'!$A$2:$L$52,5,FALSE)*m2k))/'TCO Inputs'!$AZ$84</f>
        <v>49.122644428276253</v>
      </c>
      <c r="AO216" s="125">
        <f>AO104/293.07*(1/(VLOOKUP($Z216,'Fuel economy adjusted factor'!$A$2:$L$52,5,FALSE)*m2k))/'TCO Inputs'!$AZ$84</f>
        <v>49.122644428276253</v>
      </c>
      <c r="AP216" s="125">
        <f>AP104/293.07*(1/(VLOOKUP($Z216,'Fuel economy adjusted factor'!$A$2:$L$52,5,FALSE)*m2k))/'TCO Inputs'!$AZ$84</f>
        <v>49.122644428276253</v>
      </c>
      <c r="AQ216" s="125">
        <f>AQ104/293.07*(1/(VLOOKUP($Z216,'Fuel economy adjusted factor'!$A$2:$L$52,5,FALSE)*m2k))/'TCO Inputs'!$AZ$84</f>
        <v>49.122644428276253</v>
      </c>
      <c r="AR216" s="125">
        <f>AR104/293.07*(1/(VLOOKUP($Z216,'Fuel economy adjusted factor'!$A$2:$L$52,5,FALSE)*m2k))/'TCO Inputs'!$AZ$84</f>
        <v>49.122644428276253</v>
      </c>
      <c r="AS216" s="125">
        <f>AS104/293.07*(1/(VLOOKUP($Z216,'Fuel economy adjusted factor'!$A$2:$L$52,5,FALSE)*m2k))/'TCO Inputs'!$AZ$84</f>
        <v>49.122644428276253</v>
      </c>
      <c r="AT216" s="125">
        <f>AT104/293.07*(1/(VLOOKUP($Z216,'Fuel economy adjusted factor'!$A$2:$L$52,5,FALSE)*m2k))/'TCO Inputs'!$AZ$84</f>
        <v>49.122644428276253</v>
      </c>
      <c r="AU216" s="125">
        <f>AU104/293.07*(1/(VLOOKUP($Z216,'Fuel economy adjusted factor'!$A$2:$L$52,5,FALSE)*m2k))/'TCO Inputs'!$AZ$84</f>
        <v>49.122644428276253</v>
      </c>
      <c r="AV216" s="125">
        <f>AV104/293.07*(1/(VLOOKUP($Z216,'Fuel economy adjusted factor'!$A$2:$L$52,5,FALSE)*m2k))/'TCO Inputs'!$AZ$84</f>
        <v>49.122644428276253</v>
      </c>
      <c r="AW216" s="125">
        <f>AW104/293.07*(1/(VLOOKUP($Z216,'Fuel economy adjusted factor'!$A$2:$L$52,5,FALSE)*m2k))/'TCO Inputs'!$AZ$84</f>
        <v>49.354572535770743</v>
      </c>
      <c r="AX216" s="125">
        <f>AX104/293.07*(1/(VLOOKUP($Z216,'Fuel economy adjusted factor'!$A$2:$L$52,5,FALSE)*m2k))/'TCO Inputs'!$AZ$84</f>
        <v>49.354572535770743</v>
      </c>
      <c r="AY216" s="125">
        <f>AY104/293.07*(1/(VLOOKUP($Z216,'Fuel economy adjusted factor'!$A$2:$L$52,5,FALSE)*m2k))/'TCO Inputs'!$AZ$84</f>
        <v>49.354572535770743</v>
      </c>
      <c r="AZ216" s="125">
        <f>AZ104/293.07*(1/(VLOOKUP($Z216,'Fuel economy adjusted factor'!$A$2:$L$52,5,FALSE)*m2k))/'TCO Inputs'!$AZ$84</f>
        <v>49.354572535770743</v>
      </c>
      <c r="BA216" s="125">
        <f>BA104/293.07*(1/(VLOOKUP($Z216,'Fuel economy adjusted factor'!$A$2:$L$52,5,FALSE)*m2k))/'TCO Inputs'!$AZ$84</f>
        <v>49.354572535770743</v>
      </c>
      <c r="BB216" s="125">
        <f>BB104/293.07*(1/(VLOOKUP($Z216,'Fuel economy adjusted factor'!$A$2:$L$52,5,FALSE)*m2k))/'TCO Inputs'!$AZ$84</f>
        <v>49.646178051041588</v>
      </c>
      <c r="BC216" s="98" cm="1">
        <f t="array" ref="BC216">SUMPRODUCT(INDEX(AA216:BB216,,'TCO Inputs'!$AZ$12-2023+_xlfn.SEQUENCE('TCO Inputs'!$AZ$13))*INDEX('VKT US'!C106:AA106,,_xlfn.SEQUENCE('TCO Inputs'!$AZ$13)))*m2k*CONVERT(0.9072,"g","ton")</f>
        <v>37.342557345431551</v>
      </c>
      <c r="BM216" s="123" t="s">
        <v>226</v>
      </c>
      <c r="BN216" s="125">
        <f>BN104/293.07*(1/(VLOOKUP($BM216,'Fuel economy adjusted factor'!$A$2:$L$52,5,FALSE)*m2k))</f>
        <v>149.59613849767854</v>
      </c>
      <c r="BO216" s="125">
        <f>BO104/293.07*(1/(VLOOKUP($BM216,'Fuel economy adjusted factor'!$A$2:$L$52,5,FALSE)*m2k))</f>
        <v>149.59613849767854</v>
      </c>
      <c r="BP216" s="125">
        <f>BP104/293.07*(1/(VLOOKUP($BM216,'Fuel economy adjusted factor'!$A$2:$L$52,5,FALSE)*m2k))</f>
        <v>117.92248995084844</v>
      </c>
      <c r="BQ216" s="125">
        <f>BQ104/293.07*(1/(VLOOKUP($BM216,'Fuel economy adjusted factor'!$A$2:$L$52,5,FALSE)*m2k))</f>
        <v>117.92248995084844</v>
      </c>
      <c r="BR216" s="125">
        <f>BR104/293.07*(1/(VLOOKUP($BM216,'Fuel economy adjusted factor'!$A$2:$L$52,5,FALSE)*m2k))</f>
        <v>117.92248995084844</v>
      </c>
      <c r="BS216" s="125">
        <f>BS104/293.07*(1/(VLOOKUP($BM216,'Fuel economy adjusted factor'!$A$2:$L$52,5,FALSE)*m2k))</f>
        <v>117.92248995084844</v>
      </c>
      <c r="BT216" s="125">
        <f>BT104/293.07*(1/(VLOOKUP($BM216,'Fuel economy adjusted factor'!$A$2:$L$52,5,FALSE)*m2k))</f>
        <v>117.92248995084844</v>
      </c>
      <c r="BU216" s="125">
        <f>BU104/293.07*(1/(VLOOKUP($BM216,'Fuel economy adjusted factor'!$A$2:$L$52,5,FALSE)*m2k))</f>
        <v>6.6612193820915877</v>
      </c>
      <c r="BV216" s="125">
        <f>BV104/293.07*(1/(VLOOKUP($BM216,'Fuel economy adjusted factor'!$A$2:$L$52,5,FALSE)*m2k))</f>
        <v>6.6612193820915877</v>
      </c>
      <c r="BW216" s="125">
        <f>BW104/293.07*(1/(VLOOKUP($BM216,'Fuel economy adjusted factor'!$A$2:$L$52,5,FALSE)*m2k))</f>
        <v>6.6612193820915877</v>
      </c>
      <c r="BX216" s="125">
        <f>BX104/293.07*(1/(VLOOKUP($BM216,'Fuel economy adjusted factor'!$A$2:$L$52,5,FALSE)*m2k))</f>
        <v>6.6612193820915877</v>
      </c>
      <c r="BY216" s="125">
        <f>BY104/293.07*(1/(VLOOKUP($BM216,'Fuel economy adjusted factor'!$A$2:$L$52,5,FALSE)*m2k))</f>
        <v>6.6612193820915877</v>
      </c>
      <c r="BZ216" s="125">
        <f>BZ104/293.07*(1/(VLOOKUP($BM216,'Fuel economy adjusted factor'!$A$2:$L$52,5,FALSE)*m2k))</f>
        <v>6.9471284175292336</v>
      </c>
      <c r="CA216" s="125">
        <f>CA104/293.07*(1/(VLOOKUP($BM216,'Fuel economy adjusted factor'!$A$2:$L$52,5,FALSE)*m2k))</f>
        <v>6.9471284175292336</v>
      </c>
      <c r="CB216" s="125">
        <f>CB104/293.07*(1/(VLOOKUP($BM216,'Fuel economy adjusted factor'!$A$2:$L$52,5,FALSE)*m2k))</f>
        <v>6.9471284175292336</v>
      </c>
      <c r="CC216" s="125">
        <f>CC104/293.07*(1/(VLOOKUP($BM216,'Fuel economy adjusted factor'!$A$2:$L$52,5,FALSE)*m2k))</f>
        <v>6.9471284175292336</v>
      </c>
      <c r="CD216" s="125">
        <f>CD104/293.07*(1/(VLOOKUP($BM216,'Fuel economy adjusted factor'!$A$2:$L$52,5,FALSE)*m2k))</f>
        <v>6.9471284175292336</v>
      </c>
      <c r="CE216" s="125">
        <f>CE104/293.07*(1/(VLOOKUP($BM216,'Fuel economy adjusted factor'!$A$2:$L$52,5,FALSE)*m2k))</f>
        <v>7.0439685746935989</v>
      </c>
      <c r="CF216" s="125">
        <f>CF104/293.07*(1/(VLOOKUP($BM216,'Fuel economy adjusted factor'!$A$2:$L$52,5,FALSE)*m2k))</f>
        <v>7.0439685746935989</v>
      </c>
      <c r="CG216" s="125">
        <f>CG104/293.07*(1/(VLOOKUP($BM216,'Fuel economy adjusted factor'!$A$2:$L$52,5,FALSE)*m2k))</f>
        <v>7.0439685746935989</v>
      </c>
      <c r="CH216" s="125">
        <f>CH104/293.07*(1/(VLOOKUP($BM216,'Fuel economy adjusted factor'!$A$2:$L$52,5,FALSE)*m2k))</f>
        <v>7.0439685746935989</v>
      </c>
      <c r="CI216" s="125">
        <f>CI104/293.07*(1/(VLOOKUP($BM216,'Fuel economy adjusted factor'!$A$2:$L$52,5,FALSE)*m2k))</f>
        <v>7.0439685746935989</v>
      </c>
      <c r="CJ216" s="125">
        <f>CJ104/293.07*(1/(VLOOKUP($BM216,'Fuel economy adjusted factor'!$A$2:$L$52,5,FALSE)*m2k))</f>
        <v>7.2918332626738138</v>
      </c>
      <c r="CK216" s="125">
        <f>CK104/293.07*(1/(VLOOKUP($BM216,'Fuel economy adjusted factor'!$A$2:$L$52,5,FALSE)*m2k))</f>
        <v>7.2918332626738138</v>
      </c>
      <c r="CL216" s="125">
        <f>CL104/293.07*(1/(VLOOKUP($BM216,'Fuel economy adjusted factor'!$A$2:$L$52,5,FALSE)*m2k))</f>
        <v>7.2918332626738138</v>
      </c>
      <c r="CM216" s="125">
        <f>CM104/293.07*(1/(VLOOKUP($BM216,'Fuel economy adjusted factor'!$A$2:$L$52,5,FALSE)*m2k))</f>
        <v>7.2918332626738138</v>
      </c>
      <c r="CN216" s="125">
        <f>CN104/293.07*(1/(VLOOKUP($BM216,'Fuel economy adjusted factor'!$A$2:$L$52,5,FALSE)*m2k))</f>
        <v>7.2918332626738138</v>
      </c>
      <c r="CO216" s="125">
        <f>CO104/293.07*(1/(VLOOKUP($BM216,'Fuel economy adjusted factor'!$A$2:$L$52,5,FALSE)*m2k))</f>
        <v>7.6054109144441329</v>
      </c>
      <c r="CP216" s="98" cm="1">
        <f t="array" ref="CP216">SUMPRODUCT(INDEX(BN216:CO216,,'TCO Inputs'!$AZ$12-2023+_xlfn.SEQUENCE('TCO Inputs'!$AZ$13))*INDEX('VKT US'!C106:AA106,,_xlfn.SEQUENCE('TCO Inputs'!$AZ$13)))*m2k*CONVERT(0.9072,"g","ton")</f>
        <v>24.033445370612299</v>
      </c>
      <c r="CQ216" s="194"/>
      <c r="CR216" s="123" t="s">
        <v>226</v>
      </c>
      <c r="CS216" s="125">
        <f>CS104/293.07*(1/(VLOOKUP($BM216,'Fuel economy adjusted factor'!$A$2:$L$52,5,FALSE)*m2k))/'TCO Inputs'!$AZ$84</f>
        <v>175.99545705609239</v>
      </c>
      <c r="CT216" s="125">
        <f>CT104/293.07*(1/(VLOOKUP($BM216,'Fuel economy adjusted factor'!$A$2:$L$52,5,FALSE)*m2k))</f>
        <v>7.0047713682223076</v>
      </c>
      <c r="CU216" s="125">
        <f>CU104/293.07*(1/(VLOOKUP($BM216,'Fuel economy adjusted factor'!$A$2:$L$52,5,FALSE)*m2k))</f>
        <v>7.0047713682223076</v>
      </c>
      <c r="CV216" s="125">
        <f>CV104/293.07*(1/(VLOOKUP($BM216,'Fuel economy adjusted factor'!$A$2:$L$52,5,FALSE)*m2k))</f>
        <v>7.0047713682223076</v>
      </c>
      <c r="CW216" s="125">
        <f>CW104/293.07*(1/(VLOOKUP($BM216,'Fuel economy adjusted factor'!$A$2:$L$52,5,FALSE)*m2k))</f>
        <v>7.0047713682223076</v>
      </c>
      <c r="CX216" s="125">
        <f>CX104/293.07*(1/(VLOOKUP($BM216,'Fuel economy adjusted factor'!$A$2:$L$52,5,FALSE)*m2k))</f>
        <v>7.0047713682223076</v>
      </c>
      <c r="CY216" s="125">
        <f>CY104/293.07*(1/(VLOOKUP($BM216,'Fuel economy adjusted factor'!$A$2:$L$52,5,FALSE)*m2k))</f>
        <v>7.0047713682223076</v>
      </c>
      <c r="CZ216" s="125">
        <f>CZ104/293.07*(1/(VLOOKUP($BM216,'Fuel economy adjusted factor'!$A$2:$L$52,5,FALSE)*m2k))</f>
        <v>7.0047713682223076</v>
      </c>
      <c r="DA216" s="125">
        <f>DA104/293.07*(1/(VLOOKUP($BM216,'Fuel economy adjusted factor'!$A$2:$L$52,5,FALSE)*m2k))</f>
        <v>7.0047713682223076</v>
      </c>
      <c r="DB216" s="125">
        <f>DB104/293.07*(1/(VLOOKUP($BM216,'Fuel economy adjusted factor'!$A$2:$L$52,5,FALSE)*m2k))</f>
        <v>7.0047713682223076</v>
      </c>
      <c r="DC216" s="125">
        <f>DC104/293.07*(1/(VLOOKUP($BM216,'Fuel economy adjusted factor'!$A$2:$L$52,5,FALSE)*m2k))</f>
        <v>7.0047713682223076</v>
      </c>
      <c r="DD216" s="125">
        <f>DD104/293.07*(1/(VLOOKUP($BM216,'Fuel economy adjusted factor'!$A$2:$L$52,5,FALSE)*m2k))</f>
        <v>7.0047713682223076</v>
      </c>
      <c r="DE216" s="125">
        <f>DE104/293.07*(1/(VLOOKUP($BM216,'Fuel economy adjusted factor'!$A$2:$L$52,5,FALSE)*m2k))</f>
        <v>7.2053688366342037</v>
      </c>
      <c r="DF216" s="125">
        <f>DF104/293.07*(1/(VLOOKUP($BM216,'Fuel economy adjusted factor'!$A$2:$L$52,5,FALSE)*m2k))</f>
        <v>7.2053688366342037</v>
      </c>
      <c r="DG216" s="125">
        <f>DG104/293.07*(1/(VLOOKUP($BM216,'Fuel economy adjusted factor'!$A$2:$L$52,5,FALSE)*m2k))</f>
        <v>7.2053688366342037</v>
      </c>
      <c r="DH216" s="125">
        <f>DH104/293.07*(1/(VLOOKUP($BM216,'Fuel economy adjusted factor'!$A$2:$L$52,5,FALSE)*m2k))</f>
        <v>7.2053688366342037</v>
      </c>
      <c r="DI216" s="125">
        <f>DI104/293.07*(1/(VLOOKUP($BM216,'Fuel economy adjusted factor'!$A$2:$L$52,5,FALSE)*m2k))</f>
        <v>7.2053688366342037</v>
      </c>
      <c r="DJ216" s="125">
        <f>DJ104/293.07*(1/(VLOOKUP($BM216,'Fuel economy adjusted factor'!$A$2:$L$52,5,FALSE)*m2k))</f>
        <v>7.580048016139183</v>
      </c>
      <c r="DK216" s="125">
        <f>DK104/293.07*(1/(VLOOKUP($BM216,'Fuel economy adjusted factor'!$A$2:$L$52,5,FALSE)*m2k))</f>
        <v>7.580048016139183</v>
      </c>
      <c r="DL216" s="125">
        <f>DL104/293.07*(1/(VLOOKUP($BM216,'Fuel economy adjusted factor'!$A$2:$L$52,5,FALSE)*m2k))</f>
        <v>7.580048016139183</v>
      </c>
      <c r="DM216" s="125">
        <f>DM104/293.07*(1/(VLOOKUP($BM216,'Fuel economy adjusted factor'!$A$2:$L$52,5,FALSE)*m2k))</f>
        <v>7.580048016139183</v>
      </c>
      <c r="DN216" s="125">
        <f>DN104/293.07*(1/(VLOOKUP($BM216,'Fuel economy adjusted factor'!$A$2:$L$52,5,FALSE)*m2k))</f>
        <v>7.580048016139183</v>
      </c>
      <c r="DO216" s="125">
        <f>DO104/293.07*(1/(VLOOKUP($BM216,'Fuel economy adjusted factor'!$A$2:$L$52,5,FALSE)*m2k))</f>
        <v>7.8279127041193997</v>
      </c>
      <c r="DP216" s="125">
        <f>DP104/293.07*(1/(VLOOKUP($BM216,'Fuel economy adjusted factor'!$A$2:$L$52,5,FALSE)*m2k))</f>
        <v>7.8279127041193997</v>
      </c>
      <c r="DQ216" s="125">
        <f>DQ104/293.07*(1/(VLOOKUP($BM216,'Fuel economy adjusted factor'!$A$2:$L$52,5,FALSE)*m2k))</f>
        <v>7.8279127041193997</v>
      </c>
      <c r="DR216" s="125">
        <f>DR104/293.07*(1/(VLOOKUP($BM216,'Fuel economy adjusted factor'!$A$2:$L$52,5,FALSE)*m2k))</f>
        <v>7.8279127041193997</v>
      </c>
      <c r="DS216" s="125">
        <f>DS104/293.07*(1/(VLOOKUP($BM216,'Fuel economy adjusted factor'!$A$2:$L$52,5,FALSE)*m2k))</f>
        <v>7.8279127041193997</v>
      </c>
      <c r="DT216" s="125">
        <f>DT104/293.07*(1/(VLOOKUP($BM216,'Fuel economy adjusted factor'!$A$2:$L$52,5,FALSE)*m2k))</f>
        <v>8.1426432149035808</v>
      </c>
      <c r="DU216" s="98" cm="1">
        <f t="array" ref="DU216">SUMPRODUCT(INDEX(CS216:DT216,,'TCO Inputs'!$AZ$12-2023+_xlfn.SEQUENCE('TCO Inputs'!$AZ$13))*INDEX('VKT US'!C106:AA106,,_xlfn.SEQUENCE('TCO Inputs'!$AZ$13)))*m2k*CONVERT(0.9072,"g","ton")</f>
        <v>7.0640365599232018</v>
      </c>
      <c r="DW216" s="123" t="s">
        <v>226</v>
      </c>
      <c r="DX216" s="125">
        <f>DX104/293.07*(1/(VLOOKUP($BM216,'Fuel economy adjusted factor'!$A$2:$L$52,5,FALSE)*m2k))/'TCO Inputs'!$AZ$84</f>
        <v>232.52142757907558</v>
      </c>
      <c r="DY216" s="125">
        <f>DY104/293.07*(1/(VLOOKUP($BM216,'Fuel economy adjusted factor'!$A$2:$L$52,5,FALSE)*m2k))/'TCO Inputs'!$AZ$84</f>
        <v>232.52142757907558</v>
      </c>
      <c r="DZ216" s="125">
        <f>DZ104/293.07*(1/(VLOOKUP($BM216,'Fuel economy adjusted factor'!$A$2:$L$52,5,FALSE)*m2k))/'TCO Inputs'!$AZ$84</f>
        <v>203.42792249836484</v>
      </c>
      <c r="EA216" s="125">
        <f>EA104/293.07*(1/(VLOOKUP($BM216,'Fuel economy adjusted factor'!$A$2:$L$52,5,FALSE)*m2k))/'TCO Inputs'!$AZ$84</f>
        <v>203.42792249836484</v>
      </c>
      <c r="EB216" s="125">
        <f>EB104/293.07*(1/(VLOOKUP($BM216,'Fuel economy adjusted factor'!$A$2:$L$52,5,FALSE)*m2k))/'TCO Inputs'!$AZ$84</f>
        <v>203.42792249836484</v>
      </c>
      <c r="EC216" s="125">
        <f>EC104/293.07*(1/(VLOOKUP($BM216,'Fuel economy adjusted factor'!$A$2:$L$52,5,FALSE)*m2k))/'TCO Inputs'!$AZ$84</f>
        <v>203.42792249836484</v>
      </c>
      <c r="ED216" s="125">
        <f>ED104/293.07*(1/(VLOOKUP($BM216,'Fuel economy adjusted factor'!$A$2:$L$52,5,FALSE)*m2k))/'TCO Inputs'!$AZ$84</f>
        <v>203.42792249836484</v>
      </c>
      <c r="EE216" s="125">
        <f>EE104/293.07*(1/(VLOOKUP($BM216,'Fuel economy adjusted factor'!$A$2:$L$52,5,FALSE)*m2k))/'TCO Inputs'!$AZ$84</f>
        <v>126.56503982563078</v>
      </c>
      <c r="EF216" s="125">
        <f>EF104/293.07*(1/(VLOOKUP($BM216,'Fuel economy adjusted factor'!$A$2:$L$52,5,FALSE)*m2k))/'TCO Inputs'!$AZ$84</f>
        <v>126.56503982563078</v>
      </c>
      <c r="EG216" s="125">
        <f>EG104/293.07*(1/(VLOOKUP($BM216,'Fuel economy adjusted factor'!$A$2:$L$52,5,FALSE)*m2k))/'TCO Inputs'!$AZ$84</f>
        <v>126.56503982563078</v>
      </c>
      <c r="EH216" s="125">
        <f>EH104/293.07*(1/(VLOOKUP($BM216,'Fuel economy adjusted factor'!$A$2:$L$52,5,FALSE)*m2k))/'TCO Inputs'!$AZ$84</f>
        <v>126.56503982563078</v>
      </c>
      <c r="EI216" s="125">
        <f>EI104/293.07*(1/(VLOOKUP($BM216,'Fuel economy adjusted factor'!$A$2:$L$52,5,FALSE)*m2k))/'TCO Inputs'!$AZ$84</f>
        <v>126.56503982563078</v>
      </c>
      <c r="EJ216" s="125">
        <f>EJ104/293.07*(1/(VLOOKUP($BM216,'Fuel economy adjusted factor'!$A$2:$L$52,5,FALSE)*m2k))/'TCO Inputs'!$AZ$84</f>
        <v>112.69402117592915</v>
      </c>
      <c r="EK216" s="125">
        <f>EK104/293.07*(1/(VLOOKUP($BM216,'Fuel economy adjusted factor'!$A$2:$L$52,5,FALSE)*m2k))/'TCO Inputs'!$AZ$84</f>
        <v>112.69402117592915</v>
      </c>
      <c r="EL216" s="125">
        <f>EL104/293.07*(1/(VLOOKUP($BM216,'Fuel economy adjusted factor'!$A$2:$L$52,5,FALSE)*m2k))/'TCO Inputs'!$AZ$84</f>
        <v>112.69402117592915</v>
      </c>
      <c r="EM216" s="125">
        <f>EM104/293.07*(1/(VLOOKUP($BM216,'Fuel economy adjusted factor'!$A$2:$L$52,5,FALSE)*m2k))/'TCO Inputs'!$AZ$84</f>
        <v>112.69402117592915</v>
      </c>
      <c r="EN216" s="125">
        <f>EN104/293.07*(1/(VLOOKUP($BM216,'Fuel economy adjusted factor'!$A$2:$L$52,5,FALSE)*m2k))/'TCO Inputs'!$AZ$84</f>
        <v>112.69402117592915</v>
      </c>
      <c r="EO216" s="125">
        <f>EO104/293.07*(1/(VLOOKUP($BM216,'Fuel economy adjusted factor'!$A$2:$L$52,5,FALSE)*m2k))/'TCO Inputs'!$AZ$84</f>
        <v>109.5033748830003</v>
      </c>
      <c r="EP216" s="125">
        <f>EP104/293.07*(1/(VLOOKUP($BM216,'Fuel economy adjusted factor'!$A$2:$L$52,5,FALSE)*m2k))/'TCO Inputs'!$AZ$84</f>
        <v>109.5033748830003</v>
      </c>
      <c r="EQ216" s="125">
        <f>EQ104/293.07*(1/(VLOOKUP($BM216,'Fuel economy adjusted factor'!$A$2:$L$52,5,FALSE)*m2k))/'TCO Inputs'!$AZ$84</f>
        <v>109.5033748830003</v>
      </c>
      <c r="ER216" s="125">
        <f>ER104/293.07*(1/(VLOOKUP($BM216,'Fuel economy adjusted factor'!$A$2:$L$52,5,FALSE)*m2k))/'TCO Inputs'!$AZ$84</f>
        <v>109.5033748830003</v>
      </c>
      <c r="ES216" s="125">
        <f>ES104/293.07*(1/(VLOOKUP($BM216,'Fuel economy adjusted factor'!$A$2:$L$52,5,FALSE)*m2k))/'TCO Inputs'!$AZ$84</f>
        <v>109.5033748830003</v>
      </c>
      <c r="ET216" s="125">
        <f>ET104/293.07*(1/(VLOOKUP($BM216,'Fuel economy adjusted factor'!$A$2:$L$52,5,FALSE)*m2k))/'TCO Inputs'!$AZ$84</f>
        <v>105.62796301922667</v>
      </c>
      <c r="EU216" s="125">
        <f>EU104/293.07*(1/(VLOOKUP($BM216,'Fuel economy adjusted factor'!$A$2:$L$52,5,FALSE)*m2k))/'TCO Inputs'!$AZ$84</f>
        <v>105.62796301922667</v>
      </c>
      <c r="EV216" s="125">
        <f>EV104/293.07*(1/(VLOOKUP($BM216,'Fuel economy adjusted factor'!$A$2:$L$52,5,FALSE)*m2k))/'TCO Inputs'!$AZ$84</f>
        <v>105.62796301922667</v>
      </c>
      <c r="EW216" s="125">
        <f>EW104/293.07*(1/(VLOOKUP($BM216,'Fuel economy adjusted factor'!$A$2:$L$52,5,FALSE)*m2k))/'TCO Inputs'!$AZ$84</f>
        <v>105.62796301922667</v>
      </c>
      <c r="EX216" s="125">
        <f>EX104/293.07*(1/(VLOOKUP($BM216,'Fuel economy adjusted factor'!$A$2:$L$52,5,FALSE)*m2k))/'TCO Inputs'!$AZ$84</f>
        <v>105.62796301922667</v>
      </c>
      <c r="EY216" s="125">
        <f>EY104/293.07*(1/(VLOOKUP($BM216,'Fuel economy adjusted factor'!$A$2:$L$52,5,FALSE)*m2k))/'TCO Inputs'!$AZ$84</f>
        <v>99.451935892255207</v>
      </c>
      <c r="EZ216" s="98" cm="1">
        <f t="array" ref="EZ216">SUMPRODUCT(INDEX(DX216:EY216,,'TCO Inputs'!$AZ$12-2023+_xlfn.SEQUENCE('TCO Inputs'!$AZ$13))*INDEX('VKT US'!C106:AA106,,_xlfn.SEQUENCE('TCO Inputs'!$AZ$13)))*m2k*CONVERT(0.9072,"g","ton")</f>
        <v>56.454966493067801</v>
      </c>
      <c r="FB216" s="123" t="s">
        <v>226</v>
      </c>
      <c r="FC216" s="125">
        <f>FC104/293.07*(1/(VLOOKUP($BM216,'Fuel economy adjusted factor'!$A$2:$L$52,5,FALSE)*m2k))/'TCO Inputs'!$AZ$84</f>
        <v>251.35822821015495</v>
      </c>
      <c r="FD216" s="125">
        <f>FD104/293.07*(1/(VLOOKUP($BM216,'Fuel economy adjusted factor'!$A$2:$L$52,5,FALSE)*m2k))/'TCO Inputs'!$AZ$84</f>
        <v>251.35822821015495</v>
      </c>
      <c r="FE216" s="125">
        <f>FE104/293.07*(1/(VLOOKUP($BM216,'Fuel economy adjusted factor'!$A$2:$L$52,5,FALSE)*m2k))/'TCO Inputs'!$AZ$84</f>
        <v>219.14304603070113</v>
      </c>
      <c r="FF216" s="125">
        <f>FF104/293.07*(1/(VLOOKUP($BM216,'Fuel economy adjusted factor'!$A$2:$L$52,5,FALSE)*m2k))/'TCO Inputs'!$AZ$84</f>
        <v>219.14304603070113</v>
      </c>
      <c r="FG216" s="125">
        <f>FG104/293.07*(1/(VLOOKUP($BM216,'Fuel economy adjusted factor'!$A$2:$L$52,5,FALSE)*m2k))/'TCO Inputs'!$AZ$84</f>
        <v>219.14304603070113</v>
      </c>
      <c r="FH216" s="125">
        <f>FH104/293.07*(1/(VLOOKUP($BM216,'Fuel economy adjusted factor'!$A$2:$L$52,5,FALSE)*m2k))/'TCO Inputs'!$AZ$84</f>
        <v>219.14304603070113</v>
      </c>
      <c r="FI216" s="125">
        <f>FI104/293.07*(1/(VLOOKUP($BM216,'Fuel economy adjusted factor'!$A$2:$L$52,5,FALSE)*m2k))/'TCO Inputs'!$AZ$84</f>
        <v>219.14304603070113</v>
      </c>
      <c r="FJ216" s="125">
        <f>FJ104/293.07*(1/(VLOOKUP($BM216,'Fuel economy adjusted factor'!$A$2:$L$52,5,FALSE)*m2k))/'TCO Inputs'!$AZ$84</f>
        <v>138.61001695307979</v>
      </c>
      <c r="FK216" s="125">
        <f>FK104/293.07*(1/(VLOOKUP($BM216,'Fuel economy adjusted factor'!$A$2:$L$52,5,FALSE)*m2k))/'TCO Inputs'!$AZ$84</f>
        <v>138.61001695307979</v>
      </c>
      <c r="FL216" s="125">
        <f>FL104/293.07*(1/(VLOOKUP($BM216,'Fuel economy adjusted factor'!$A$2:$L$52,5,FALSE)*m2k))/'TCO Inputs'!$AZ$84</f>
        <v>138.61001695307979</v>
      </c>
      <c r="FM216" s="125">
        <f>FM104/293.07*(1/(VLOOKUP($BM216,'Fuel economy adjusted factor'!$A$2:$L$52,5,FALSE)*m2k))/'TCO Inputs'!$AZ$84</f>
        <v>138.61001695307979</v>
      </c>
      <c r="FN216" s="125">
        <f>FN104/293.07*(1/(VLOOKUP($BM216,'Fuel economy adjusted factor'!$A$2:$L$52,5,FALSE)*m2k))/'TCO Inputs'!$AZ$84</f>
        <v>138.61001695307979</v>
      </c>
      <c r="FO216" s="125">
        <f>FO104/293.07*(1/(VLOOKUP($BM216,'Fuel economy adjusted factor'!$A$2:$L$52,5,FALSE)*m2k))/'TCO Inputs'!$AZ$84</f>
        <v>122.76844989806955</v>
      </c>
      <c r="FP216" s="125">
        <f>FP104/293.07*(1/(VLOOKUP($BM216,'Fuel economy adjusted factor'!$A$2:$L$52,5,FALSE)*m2k))/'TCO Inputs'!$AZ$84</f>
        <v>122.76844989806955</v>
      </c>
      <c r="FQ216" s="125">
        <f>FQ104/293.07*(1/(VLOOKUP($BM216,'Fuel economy adjusted factor'!$A$2:$L$52,5,FALSE)*m2k))/'TCO Inputs'!$AZ$84</f>
        <v>122.76844989806955</v>
      </c>
      <c r="FR216" s="125">
        <f>FR104/293.07*(1/(VLOOKUP($BM216,'Fuel economy adjusted factor'!$A$2:$L$52,5,FALSE)*m2k))/'TCO Inputs'!$AZ$84</f>
        <v>122.76844989806955</v>
      </c>
      <c r="FS216" s="125">
        <f>FS104/293.07*(1/(VLOOKUP($BM216,'Fuel economy adjusted factor'!$A$2:$L$52,5,FALSE)*m2k))/'TCO Inputs'!$AZ$84</f>
        <v>122.76844989806955</v>
      </c>
      <c r="FT216" s="125">
        <f>FT104/293.07*(1/(VLOOKUP($BM216,'Fuel economy adjusted factor'!$A$2:$L$52,5,FALSE)*m2k))/'TCO Inputs'!$AZ$84</f>
        <v>119.96534479151799</v>
      </c>
      <c r="FU216" s="125">
        <f>FU104/293.07*(1/(VLOOKUP($BM216,'Fuel economy adjusted factor'!$A$2:$L$52,5,FALSE)*m2k))/'TCO Inputs'!$AZ$84</f>
        <v>119.96534479151799</v>
      </c>
      <c r="FV216" s="125">
        <f>FV104/293.07*(1/(VLOOKUP($BM216,'Fuel economy adjusted factor'!$A$2:$L$52,5,FALSE)*m2k))/'TCO Inputs'!$AZ$84</f>
        <v>119.96534479151799</v>
      </c>
      <c r="FW216" s="125">
        <f>FW104/293.07*(1/(VLOOKUP($BM216,'Fuel economy adjusted factor'!$A$2:$L$52,5,FALSE)*m2k))/'TCO Inputs'!$AZ$84</f>
        <v>119.96534479151799</v>
      </c>
      <c r="FX216" s="125">
        <f>FX104/293.07*(1/(VLOOKUP($BM216,'Fuel economy adjusted factor'!$A$2:$L$52,5,FALSE)*m2k))/'TCO Inputs'!$AZ$84</f>
        <v>119.96534479151799</v>
      </c>
      <c r="FY216" s="125">
        <f>FY104/293.07*(1/(VLOOKUP($BM216,'Fuel economy adjusted factor'!$A$2:$L$52,5,FALSE)*m2k))/'TCO Inputs'!$AZ$84</f>
        <v>116.08336443306003</v>
      </c>
      <c r="FZ216" s="125">
        <f>FZ104/293.07*(1/(VLOOKUP($BM216,'Fuel economy adjusted factor'!$A$2:$L$52,5,FALSE)*m2k))/'TCO Inputs'!$AZ$84</f>
        <v>116.08336443306003</v>
      </c>
      <c r="GA216" s="125">
        <f>GA104/293.07*(1/(VLOOKUP($BM216,'Fuel economy adjusted factor'!$A$2:$L$52,5,FALSE)*m2k))/'TCO Inputs'!$AZ$84</f>
        <v>116.08336443306003</v>
      </c>
      <c r="GB216" s="125">
        <f>GB104/293.07*(1/(VLOOKUP($BM216,'Fuel economy adjusted factor'!$A$2:$L$52,5,FALSE)*m2k))/'TCO Inputs'!$AZ$84</f>
        <v>116.08336443306003</v>
      </c>
      <c r="GC216" s="125">
        <f>GC104/293.07*(1/(VLOOKUP($BM216,'Fuel economy adjusted factor'!$A$2:$L$52,5,FALSE)*m2k))/'TCO Inputs'!$AZ$84</f>
        <v>116.08336443306003</v>
      </c>
      <c r="GD216" s="125">
        <f>GD104/293.07*(1/(VLOOKUP($BM216,'Fuel economy adjusted factor'!$A$2:$L$52,5,FALSE)*m2k))/'TCO Inputs'!$AZ$84</f>
        <v>109.69714547618898</v>
      </c>
      <c r="GE216" s="98" cm="1">
        <f t="array" ref="GE216">SUMPRODUCT(INDEX(FC216:GD216,,'TCO Inputs'!$AZ$12-2023+_xlfn.SEQUENCE('TCO Inputs'!$AZ$13))*INDEX('VKT US'!C106:AA106,,_xlfn.SEQUENCE('TCO Inputs'!$AZ$13)))*m2k*CONVERT(0.9072,"g","ton")</f>
        <v>61.163881629931453</v>
      </c>
      <c r="GH216" s="123" t="s">
        <v>226</v>
      </c>
      <c r="GI216" s="125">
        <f>GI104/293.07*(1/(VLOOKUP($GH216,'Fuel economy adjusted factor'!$A$2:$L$52,5,FALSE)*m2k))/'TCO Inputs'!$AZ$84</f>
        <v>442.49441561447691</v>
      </c>
      <c r="GJ216" s="125">
        <f>GJ104/293.07*(1/(VLOOKUP($GH216,'Fuel economy adjusted factor'!$A$2:$L$52,5,FALSE)*m2k))/'TCO Inputs'!$AZ$84</f>
        <v>442.49441561447691</v>
      </c>
      <c r="GK216" s="125">
        <f>GK104/293.07*(1/(VLOOKUP($GH216,'Fuel economy adjusted factor'!$A$2:$L$52,5,FALSE)*m2k))/'TCO Inputs'!$AZ$84</f>
        <v>442.49441561447691</v>
      </c>
      <c r="GL216" s="125">
        <f>GL104/293.07*(1/(VLOOKUP($GH216,'Fuel economy adjusted factor'!$A$2:$L$52,5,FALSE)*m2k))/'TCO Inputs'!$AZ$84</f>
        <v>442.49441561447691</v>
      </c>
      <c r="GM216" s="125">
        <f>GM104/293.07*(1/(VLOOKUP($GH216,'Fuel economy adjusted factor'!$A$2:$L$52,5,FALSE)*m2k))/'TCO Inputs'!$AZ$84</f>
        <v>442.49441561447691</v>
      </c>
      <c r="GN216" s="125">
        <f>GN104/293.07*(1/(VLOOKUP($GH216,'Fuel economy adjusted factor'!$A$2:$L$52,5,FALSE)*m2k))/'TCO Inputs'!$AZ$84</f>
        <v>442.49441561447691</v>
      </c>
      <c r="GO216" s="125">
        <f>GO104/293.07*(1/(VLOOKUP($GH216,'Fuel economy adjusted factor'!$A$2:$L$52,5,FALSE)*m2k))/'TCO Inputs'!$AZ$84</f>
        <v>442.49441561447691</v>
      </c>
      <c r="GP216" s="125">
        <f>GP104/293.07*(1/(VLOOKUP($GH216,'Fuel economy adjusted factor'!$A$2:$L$52,5,FALSE)*m2k))/'TCO Inputs'!$AZ$84</f>
        <v>442.49441561447691</v>
      </c>
      <c r="GQ216" s="125">
        <f>GQ104/293.07*(1/(VLOOKUP($GH216,'Fuel economy adjusted factor'!$A$2:$L$52,5,FALSE)*m2k))/'TCO Inputs'!$AZ$84</f>
        <v>442.49441561447691</v>
      </c>
      <c r="GR216" s="125">
        <f>GR104/293.07*(1/(VLOOKUP($GH216,'Fuel economy adjusted factor'!$A$2:$L$52,5,FALSE)*m2k))/'TCO Inputs'!$AZ$84</f>
        <v>442.49441561447691</v>
      </c>
      <c r="GS216" s="125">
        <f>GS104/293.07*(1/(VLOOKUP($GH216,'Fuel economy adjusted factor'!$A$2:$L$52,5,FALSE)*m2k))/'TCO Inputs'!$AZ$84</f>
        <v>442.49441561447691</v>
      </c>
      <c r="GT216" s="125">
        <f>GT104/293.07*(1/(VLOOKUP($GH216,'Fuel economy adjusted factor'!$A$2:$L$52,5,FALSE)*m2k))/'TCO Inputs'!$AZ$84</f>
        <v>442.49441561447691</v>
      </c>
      <c r="GU216" s="125">
        <f>GU104/293.07*(1/(VLOOKUP($GH216,'Fuel economy adjusted factor'!$A$2:$L$52,5,FALSE)*m2k))/'TCO Inputs'!$AZ$84</f>
        <v>442.49441561447691</v>
      </c>
      <c r="GV216" s="125">
        <f>GV104/293.07*(1/(VLOOKUP($GH216,'Fuel economy adjusted factor'!$A$2:$L$52,5,FALSE)*m2k))/'TCO Inputs'!$AZ$84</f>
        <v>442.49441561447691</v>
      </c>
      <c r="GW216" s="125">
        <f>GW104/293.07*(1/(VLOOKUP($GH216,'Fuel economy adjusted factor'!$A$2:$L$52,5,FALSE)*m2k))/'TCO Inputs'!$AZ$84</f>
        <v>442.49441561447691</v>
      </c>
      <c r="GX216" s="125">
        <f>GX104/293.07*(1/(VLOOKUP($GH216,'Fuel economy adjusted factor'!$A$2:$L$52,5,FALSE)*m2k))/'TCO Inputs'!$AZ$84</f>
        <v>442.49441561447691</v>
      </c>
      <c r="GY216" s="125">
        <f>GY104/293.07*(1/(VLOOKUP($GH216,'Fuel economy adjusted factor'!$A$2:$L$52,5,FALSE)*m2k))/'TCO Inputs'!$AZ$84</f>
        <v>442.49441561447691</v>
      </c>
      <c r="GZ216" s="125">
        <f>GZ104/293.07*(1/(VLOOKUP($GH216,'Fuel economy adjusted factor'!$A$2:$L$52,5,FALSE)*m2k))/'TCO Inputs'!$AZ$84</f>
        <v>442.49441561447691</v>
      </c>
      <c r="HA216" s="125">
        <f>HA104/293.07*(1/(VLOOKUP($GH216,'Fuel economy adjusted factor'!$A$2:$L$52,5,FALSE)*m2k))/'TCO Inputs'!$AZ$84</f>
        <v>442.49441561447691</v>
      </c>
      <c r="HB216" s="125">
        <f>HB104/293.07*(1/(VLOOKUP($GH216,'Fuel economy adjusted factor'!$A$2:$L$52,5,FALSE)*m2k))/'TCO Inputs'!$AZ$84</f>
        <v>442.49441561447691</v>
      </c>
      <c r="HC216" s="125">
        <f>HC104/293.07*(1/(VLOOKUP($GH216,'Fuel economy adjusted factor'!$A$2:$L$52,5,FALSE)*m2k))/'TCO Inputs'!$AZ$84</f>
        <v>442.49441561447691</v>
      </c>
      <c r="HD216" s="125">
        <f>HD104/293.07*(1/(VLOOKUP($GH216,'Fuel economy adjusted factor'!$A$2:$L$52,5,FALSE)*m2k))/'TCO Inputs'!$AZ$84</f>
        <v>442.49441561447691</v>
      </c>
      <c r="HE216" s="125">
        <f>HE104/293.07*(1/(VLOOKUP($GH216,'Fuel economy adjusted factor'!$A$2:$L$52,5,FALSE)*m2k))/'TCO Inputs'!$AZ$84</f>
        <v>442.49441561447691</v>
      </c>
      <c r="HF216" s="125">
        <f>HF104/293.07*(1/(VLOOKUP($GH216,'Fuel economy adjusted factor'!$A$2:$L$52,5,FALSE)*m2k))/'TCO Inputs'!$AZ$84</f>
        <v>442.49441561447691</v>
      </c>
      <c r="HG216" s="125">
        <f>HG104/293.07*(1/(VLOOKUP($GH216,'Fuel economy adjusted factor'!$A$2:$L$52,5,FALSE)*m2k))/'TCO Inputs'!$AZ$84</f>
        <v>442.49441561447691</v>
      </c>
      <c r="HH216" s="125">
        <f>HH104/293.07*(1/(VLOOKUP($GH216,'Fuel economy adjusted factor'!$A$2:$L$52,5,FALSE)*m2k))/'TCO Inputs'!$AZ$84</f>
        <v>442.49441561447691</v>
      </c>
      <c r="HI216" s="125">
        <f>HI104/293.07*(1/(VLOOKUP($GH216,'Fuel economy adjusted factor'!$A$2:$L$52,5,FALSE)*m2k))/'TCO Inputs'!$AZ$84</f>
        <v>442.49441561447691</v>
      </c>
      <c r="HJ216" s="125">
        <f>HJ104/293.07*(1/(VLOOKUP($GH216,'Fuel economy adjusted factor'!$A$2:$L$52,5,FALSE)*m2k))/'TCO Inputs'!$AZ$84</f>
        <v>442.49441561447691</v>
      </c>
      <c r="HK216" s="98" cm="1">
        <f t="array" ref="HK216">SUMPRODUCT(INDEX(GI216:HJ216,,'TCO Inputs'!$AZ$12-2023+_xlfn.SEQUENCE('TCO Inputs'!$AZ$13))*INDEX('VKT US'!C106:AA106,,_xlfn.SEQUENCE('TCO Inputs'!$AZ$13)))*m2k*CONVERT(0.9072,"g","ton")</f>
        <v>145.14298889137544</v>
      </c>
    </row>
    <row r="217" spans="26:219" x14ac:dyDescent="0.25">
      <c r="Z217" s="123" t="s">
        <v>228</v>
      </c>
      <c r="AA217" s="125">
        <f>AA105/293.07*(1/(VLOOKUP($Z217,'Fuel economy adjusted factor'!$A$2:$L$52,5,FALSE)*m2k))/'TCO Inputs'!$AZ$84</f>
        <v>5.4652754062410454</v>
      </c>
      <c r="AB217" s="125">
        <f>AB105/293.07*(1/(VLOOKUP($Z217,'Fuel economy adjusted factor'!$A$2:$L$52,5,FALSE)*m2k))/'TCO Inputs'!$AZ$84</f>
        <v>5.4652754062410454</v>
      </c>
      <c r="AC217" s="125">
        <f>AC105/293.07*(1/(VLOOKUP($Z217,'Fuel economy adjusted factor'!$A$2:$L$52,5,FALSE)*m2k))/'TCO Inputs'!$AZ$84</f>
        <v>4.8004004625914041</v>
      </c>
      <c r="AD217" s="125">
        <f>AD105/293.07*(1/(VLOOKUP($Z217,'Fuel economy adjusted factor'!$A$2:$L$52,5,FALSE)*m2k))/'TCO Inputs'!$AZ$84</f>
        <v>4.8004004625914041</v>
      </c>
      <c r="AE217" s="125">
        <f>AE105/293.07*(1/(VLOOKUP($Z217,'Fuel economy adjusted factor'!$A$2:$L$52,5,FALSE)*m2k))/'TCO Inputs'!$AZ$84</f>
        <v>4.8004004625914041</v>
      </c>
      <c r="AF217" s="125">
        <f>AF105/293.07*(1/(VLOOKUP($Z217,'Fuel economy adjusted factor'!$A$2:$L$52,5,FALSE)*m2k))/'TCO Inputs'!$AZ$84</f>
        <v>4.8004004625914041</v>
      </c>
      <c r="AG217" s="125">
        <f>AG105/293.07*(1/(VLOOKUP($Z217,'Fuel economy adjusted factor'!$A$2:$L$52,5,FALSE)*m2k))/'TCO Inputs'!$AZ$84</f>
        <v>4.8004004625914041</v>
      </c>
      <c r="AH217" s="125">
        <f>AH105/293.07*(1/(VLOOKUP($Z217,'Fuel economy adjusted factor'!$A$2:$L$52,5,FALSE)*m2k))/'TCO Inputs'!$AZ$84</f>
        <v>1.8149072720642785</v>
      </c>
      <c r="AI217" s="125">
        <f>AI105/293.07*(1/(VLOOKUP($Z217,'Fuel economy adjusted factor'!$A$2:$L$52,5,FALSE)*m2k))/'TCO Inputs'!$AZ$84</f>
        <v>1.8149072720642785</v>
      </c>
      <c r="AJ217" s="125">
        <f>AJ105/293.07*(1/(VLOOKUP($Z217,'Fuel economy adjusted factor'!$A$2:$L$52,5,FALSE)*m2k))/'TCO Inputs'!$AZ$84</f>
        <v>1.8149072720642785</v>
      </c>
      <c r="AK217" s="125">
        <f>AK105/293.07*(1/(VLOOKUP($Z217,'Fuel economy adjusted factor'!$A$2:$L$52,5,FALSE)*m2k))/'TCO Inputs'!$AZ$84</f>
        <v>1.8149072720642785</v>
      </c>
      <c r="AL217" s="125">
        <f>AL105/293.07*(1/(VLOOKUP($Z217,'Fuel economy adjusted factor'!$A$2:$L$52,5,FALSE)*m2k))/'TCO Inputs'!$AZ$84</f>
        <v>1.8149072720642785</v>
      </c>
      <c r="AM217" s="125">
        <f>AM105/293.07*(1/(VLOOKUP($Z217,'Fuel economy adjusted factor'!$A$2:$L$52,5,FALSE)*m2k))/'TCO Inputs'!$AZ$84</f>
        <v>1.5254301728812061</v>
      </c>
      <c r="AN217" s="125">
        <f>AN105/293.07*(1/(VLOOKUP($Z217,'Fuel economy adjusted factor'!$A$2:$L$52,5,FALSE)*m2k))/'TCO Inputs'!$AZ$84</f>
        <v>1.5254301728812061</v>
      </c>
      <c r="AO217" s="125">
        <f>AO105/293.07*(1/(VLOOKUP($Z217,'Fuel economy adjusted factor'!$A$2:$L$52,5,FALSE)*m2k))/'TCO Inputs'!$AZ$84</f>
        <v>1.5254301728812061</v>
      </c>
      <c r="AP217" s="125">
        <f>AP105/293.07*(1/(VLOOKUP($Z217,'Fuel economy adjusted factor'!$A$2:$L$52,5,FALSE)*m2k))/'TCO Inputs'!$AZ$84</f>
        <v>1.5254301728812061</v>
      </c>
      <c r="AQ217" s="125">
        <f>AQ105/293.07*(1/(VLOOKUP($Z217,'Fuel economy adjusted factor'!$A$2:$L$52,5,FALSE)*m2k))/'TCO Inputs'!$AZ$84</f>
        <v>1.5254301728812061</v>
      </c>
      <c r="AR217" s="125">
        <f>AR105/293.07*(1/(VLOOKUP($Z217,'Fuel economy adjusted factor'!$A$2:$L$52,5,FALSE)*m2k))/'TCO Inputs'!$AZ$84</f>
        <v>1.5254301728812061</v>
      </c>
      <c r="AS217" s="125">
        <f>AS105/293.07*(1/(VLOOKUP($Z217,'Fuel economy adjusted factor'!$A$2:$L$52,5,FALSE)*m2k))/'TCO Inputs'!$AZ$84</f>
        <v>1.5254301728812061</v>
      </c>
      <c r="AT217" s="125">
        <f>AT105/293.07*(1/(VLOOKUP($Z217,'Fuel economy adjusted factor'!$A$2:$L$52,5,FALSE)*m2k))/'TCO Inputs'!$AZ$84</f>
        <v>1.5254301728812061</v>
      </c>
      <c r="AU217" s="125">
        <f>AU105/293.07*(1/(VLOOKUP($Z217,'Fuel economy adjusted factor'!$A$2:$L$52,5,FALSE)*m2k))/'TCO Inputs'!$AZ$84</f>
        <v>1.5254301728812061</v>
      </c>
      <c r="AV217" s="125">
        <f>AV105/293.07*(1/(VLOOKUP($Z217,'Fuel economy adjusted factor'!$A$2:$L$52,5,FALSE)*m2k))/'TCO Inputs'!$AZ$84</f>
        <v>1.5254301728812061</v>
      </c>
      <c r="AW217" s="125">
        <f>AW105/293.07*(1/(VLOOKUP($Z217,'Fuel economy adjusted factor'!$A$2:$L$52,5,FALSE)*m2k))/'TCO Inputs'!$AZ$84</f>
        <v>1.5326323530005579</v>
      </c>
      <c r="AX217" s="125">
        <f>AX105/293.07*(1/(VLOOKUP($Z217,'Fuel economy adjusted factor'!$A$2:$L$52,5,FALSE)*m2k))/'TCO Inputs'!$AZ$84</f>
        <v>1.5326323530005579</v>
      </c>
      <c r="AY217" s="125">
        <f>AY105/293.07*(1/(VLOOKUP($Z217,'Fuel economy adjusted factor'!$A$2:$L$52,5,FALSE)*m2k))/'TCO Inputs'!$AZ$84</f>
        <v>1.5326323530005579</v>
      </c>
      <c r="AZ217" s="125">
        <f>AZ105/293.07*(1/(VLOOKUP($Z217,'Fuel economy adjusted factor'!$A$2:$L$52,5,FALSE)*m2k))/'TCO Inputs'!$AZ$84</f>
        <v>1.5326323530005579</v>
      </c>
      <c r="BA217" s="125">
        <f>BA105/293.07*(1/(VLOOKUP($Z217,'Fuel economy adjusted factor'!$A$2:$L$52,5,FALSE)*m2k))/'TCO Inputs'!$AZ$84</f>
        <v>1.5326323530005579</v>
      </c>
      <c r="BB217" s="125">
        <f>BB105/293.07*(1/(VLOOKUP($Z217,'Fuel economy adjusted factor'!$A$2:$L$52,5,FALSE)*m2k))/'TCO Inputs'!$AZ$84</f>
        <v>1.5416877256652401</v>
      </c>
      <c r="BC217" s="98" cm="1">
        <f t="array" ref="BC217">SUMPRODUCT(INDEX(AA217:BB217,,'TCO Inputs'!$AZ$12-2023+_xlfn.SEQUENCE('TCO Inputs'!$AZ$13))*INDEX('VKT US'!C107:AA107,,_xlfn.SEQUENCE('TCO Inputs'!$AZ$13)))*m2k*CONVERT(0.9072,"g","ton")</f>
        <v>0.97187820012776427</v>
      </c>
      <c r="BM217" s="123" t="s">
        <v>228</v>
      </c>
      <c r="BN217" s="125">
        <f>BN105/293.07*(1/(VLOOKUP($BM217,'Fuel economy adjusted factor'!$A$2:$L$52,5,FALSE)*m2k))</f>
        <v>4.6454840953048882</v>
      </c>
      <c r="BO217" s="125">
        <f>BO105/293.07*(1/(VLOOKUP($BM217,'Fuel economy adjusted factor'!$A$2:$L$52,5,FALSE)*m2k))</f>
        <v>4.6454840953048882</v>
      </c>
      <c r="BP217" s="125">
        <f>BP105/293.07*(1/(VLOOKUP($BM217,'Fuel economy adjusted factor'!$A$2:$L$52,5,FALSE)*m2k))</f>
        <v>3.6619063636720668</v>
      </c>
      <c r="BQ217" s="125">
        <f>BQ105/293.07*(1/(VLOOKUP($BM217,'Fuel economy adjusted factor'!$A$2:$L$52,5,FALSE)*m2k))</f>
        <v>3.6619063636720668</v>
      </c>
      <c r="BR217" s="125">
        <f>BR105/293.07*(1/(VLOOKUP($BM217,'Fuel economy adjusted factor'!$A$2:$L$52,5,FALSE)*m2k))</f>
        <v>3.6619063636720668</v>
      </c>
      <c r="BS217" s="125">
        <f>BS105/293.07*(1/(VLOOKUP($BM217,'Fuel economy adjusted factor'!$A$2:$L$52,5,FALSE)*m2k))</f>
        <v>3.6619063636720668</v>
      </c>
      <c r="BT217" s="125">
        <f>BT105/293.07*(1/(VLOOKUP($BM217,'Fuel economy adjusted factor'!$A$2:$L$52,5,FALSE)*m2k))</f>
        <v>3.6619063636720668</v>
      </c>
      <c r="BU217" s="125">
        <f>BU105/293.07*(1/(VLOOKUP($BM217,'Fuel economy adjusted factor'!$A$2:$L$52,5,FALSE)*m2k))</f>
        <v>0.20685419427001675</v>
      </c>
      <c r="BV217" s="125">
        <f>BV105/293.07*(1/(VLOOKUP($BM217,'Fuel economy adjusted factor'!$A$2:$L$52,5,FALSE)*m2k))</f>
        <v>0.20685419427001675</v>
      </c>
      <c r="BW217" s="125">
        <f>BW105/293.07*(1/(VLOOKUP($BM217,'Fuel economy adjusted factor'!$A$2:$L$52,5,FALSE)*m2k))</f>
        <v>0.20685419427001675</v>
      </c>
      <c r="BX217" s="125">
        <f>BX105/293.07*(1/(VLOOKUP($BM217,'Fuel economy adjusted factor'!$A$2:$L$52,5,FALSE)*m2k))</f>
        <v>0.20685419427001675</v>
      </c>
      <c r="BY217" s="125">
        <f>BY105/293.07*(1/(VLOOKUP($BM217,'Fuel economy adjusted factor'!$A$2:$L$52,5,FALSE)*m2k))</f>
        <v>0.20685419427001675</v>
      </c>
      <c r="BZ217" s="125">
        <f>BZ105/293.07*(1/(VLOOKUP($BM217,'Fuel economy adjusted factor'!$A$2:$L$52,5,FALSE)*m2k))</f>
        <v>0.2157326712826447</v>
      </c>
      <c r="CA217" s="125">
        <f>CA105/293.07*(1/(VLOOKUP($BM217,'Fuel economy adjusted factor'!$A$2:$L$52,5,FALSE)*m2k))</f>
        <v>0.2157326712826447</v>
      </c>
      <c r="CB217" s="125">
        <f>CB105/293.07*(1/(VLOOKUP($BM217,'Fuel economy adjusted factor'!$A$2:$L$52,5,FALSE)*m2k))</f>
        <v>0.2157326712826447</v>
      </c>
      <c r="CC217" s="125">
        <f>CC105/293.07*(1/(VLOOKUP($BM217,'Fuel economy adjusted factor'!$A$2:$L$52,5,FALSE)*m2k))</f>
        <v>0.2157326712826447</v>
      </c>
      <c r="CD217" s="125">
        <f>CD105/293.07*(1/(VLOOKUP($BM217,'Fuel economy adjusted factor'!$A$2:$L$52,5,FALSE)*m2k))</f>
        <v>0.2157326712826447</v>
      </c>
      <c r="CE217" s="125">
        <f>CE105/293.07*(1/(VLOOKUP($BM217,'Fuel economy adjusted factor'!$A$2:$L$52,5,FALSE)*m2k))</f>
        <v>0.21873989736756705</v>
      </c>
      <c r="CF217" s="125">
        <f>CF105/293.07*(1/(VLOOKUP($BM217,'Fuel economy adjusted factor'!$A$2:$L$52,5,FALSE)*m2k))</f>
        <v>0.21873989736756705</v>
      </c>
      <c r="CG217" s="125">
        <f>CG105/293.07*(1/(VLOOKUP($BM217,'Fuel economy adjusted factor'!$A$2:$L$52,5,FALSE)*m2k))</f>
        <v>0.21873989736756705</v>
      </c>
      <c r="CH217" s="125">
        <f>CH105/293.07*(1/(VLOOKUP($BM217,'Fuel economy adjusted factor'!$A$2:$L$52,5,FALSE)*m2k))</f>
        <v>0.21873989736756705</v>
      </c>
      <c r="CI217" s="125">
        <f>CI105/293.07*(1/(VLOOKUP($BM217,'Fuel economy adjusted factor'!$A$2:$L$52,5,FALSE)*m2k))</f>
        <v>0.21873989736756705</v>
      </c>
      <c r="CJ217" s="125">
        <f>CJ105/293.07*(1/(VLOOKUP($BM217,'Fuel economy adjusted factor'!$A$2:$L$52,5,FALSE)*m2k))</f>
        <v>0.22643696413254688</v>
      </c>
      <c r="CK217" s="125">
        <f>CK105/293.07*(1/(VLOOKUP($BM217,'Fuel economy adjusted factor'!$A$2:$L$52,5,FALSE)*m2k))</f>
        <v>0.22643696413254688</v>
      </c>
      <c r="CL217" s="125">
        <f>CL105/293.07*(1/(VLOOKUP($BM217,'Fuel economy adjusted factor'!$A$2:$L$52,5,FALSE)*m2k))</f>
        <v>0.22643696413254688</v>
      </c>
      <c r="CM217" s="125">
        <f>CM105/293.07*(1/(VLOOKUP($BM217,'Fuel economy adjusted factor'!$A$2:$L$52,5,FALSE)*m2k))</f>
        <v>0.22643696413254688</v>
      </c>
      <c r="CN217" s="125">
        <f>CN105/293.07*(1/(VLOOKUP($BM217,'Fuel economy adjusted factor'!$A$2:$L$52,5,FALSE)*m2k))</f>
        <v>0.22643696413254688</v>
      </c>
      <c r="CO217" s="125">
        <f>CO105/293.07*(1/(VLOOKUP($BM217,'Fuel economy adjusted factor'!$A$2:$L$52,5,FALSE)*m2k))</f>
        <v>0.23617464859800974</v>
      </c>
      <c r="CP217" s="98" cm="1">
        <f t="array" ref="CP217">SUMPRODUCT(INDEX(BN217:CO217,,'TCO Inputs'!$AZ$12-2023+_xlfn.SEQUENCE('TCO Inputs'!$AZ$13))*INDEX('VKT US'!C107:AA107,,_xlfn.SEQUENCE('TCO Inputs'!$AZ$13)))*m2k*CONVERT(0.9072,"g","ton")</f>
        <v>0.62549496579984931</v>
      </c>
      <c r="CQ217" s="194"/>
      <c r="CR217" s="123" t="s">
        <v>228</v>
      </c>
      <c r="CS217" s="125">
        <f>CS105/293.07*(1/(VLOOKUP($BM217,'Fuel economy adjusted factor'!$A$2:$L$52,5,FALSE)*m2k))/'TCO Inputs'!$AZ$84</f>
        <v>5.4652754062410454</v>
      </c>
      <c r="CT217" s="125">
        <f>CT105/293.07*(1/(VLOOKUP($BM217,'Fuel economy adjusted factor'!$A$2:$L$52,5,FALSE)*m2k))</f>
        <v>0.21752268680938422</v>
      </c>
      <c r="CU217" s="125">
        <f>CU105/293.07*(1/(VLOOKUP($BM217,'Fuel economy adjusted factor'!$A$2:$L$52,5,FALSE)*m2k))</f>
        <v>0.21752268680938422</v>
      </c>
      <c r="CV217" s="125">
        <f>CV105/293.07*(1/(VLOOKUP($BM217,'Fuel economy adjusted factor'!$A$2:$L$52,5,FALSE)*m2k))</f>
        <v>0.21752268680938422</v>
      </c>
      <c r="CW217" s="125">
        <f>CW105/293.07*(1/(VLOOKUP($BM217,'Fuel economy adjusted factor'!$A$2:$L$52,5,FALSE)*m2k))</f>
        <v>0.21752268680938422</v>
      </c>
      <c r="CX217" s="125">
        <f>CX105/293.07*(1/(VLOOKUP($BM217,'Fuel economy adjusted factor'!$A$2:$L$52,5,FALSE)*m2k))</f>
        <v>0.21752268680938422</v>
      </c>
      <c r="CY217" s="125">
        <f>CY105/293.07*(1/(VLOOKUP($BM217,'Fuel economy adjusted factor'!$A$2:$L$52,5,FALSE)*m2k))</f>
        <v>0.21752268680938422</v>
      </c>
      <c r="CZ217" s="125">
        <f>CZ105/293.07*(1/(VLOOKUP($BM217,'Fuel economy adjusted factor'!$A$2:$L$52,5,FALSE)*m2k))</f>
        <v>0.21752268680938422</v>
      </c>
      <c r="DA217" s="125">
        <f>DA105/293.07*(1/(VLOOKUP($BM217,'Fuel economy adjusted factor'!$A$2:$L$52,5,FALSE)*m2k))</f>
        <v>0.21752268680938422</v>
      </c>
      <c r="DB217" s="125">
        <f>DB105/293.07*(1/(VLOOKUP($BM217,'Fuel economy adjusted factor'!$A$2:$L$52,5,FALSE)*m2k))</f>
        <v>0.21752268680938422</v>
      </c>
      <c r="DC217" s="125">
        <f>DC105/293.07*(1/(VLOOKUP($BM217,'Fuel economy adjusted factor'!$A$2:$L$52,5,FALSE)*m2k))</f>
        <v>0.21752268680938422</v>
      </c>
      <c r="DD217" s="125">
        <f>DD105/293.07*(1/(VLOOKUP($BM217,'Fuel economy adjusted factor'!$A$2:$L$52,5,FALSE)*m2k))</f>
        <v>0.21752268680938422</v>
      </c>
      <c r="DE217" s="125">
        <f>DE105/293.07*(1/(VLOOKUP($BM217,'Fuel economy adjusted factor'!$A$2:$L$52,5,FALSE)*m2k))</f>
        <v>0.22375194084243766</v>
      </c>
      <c r="DF217" s="125">
        <f>DF105/293.07*(1/(VLOOKUP($BM217,'Fuel economy adjusted factor'!$A$2:$L$52,5,FALSE)*m2k))</f>
        <v>0.22375194084243766</v>
      </c>
      <c r="DG217" s="125">
        <f>DG105/293.07*(1/(VLOOKUP($BM217,'Fuel economy adjusted factor'!$A$2:$L$52,5,FALSE)*m2k))</f>
        <v>0.22375194084243766</v>
      </c>
      <c r="DH217" s="125">
        <f>DH105/293.07*(1/(VLOOKUP($BM217,'Fuel economy adjusted factor'!$A$2:$L$52,5,FALSE)*m2k))</f>
        <v>0.22375194084243766</v>
      </c>
      <c r="DI217" s="125">
        <f>DI105/293.07*(1/(VLOOKUP($BM217,'Fuel economy adjusted factor'!$A$2:$L$52,5,FALSE)*m2k))</f>
        <v>0.22375194084243766</v>
      </c>
      <c r="DJ217" s="125">
        <f>DJ105/293.07*(1/(VLOOKUP($BM217,'Fuel economy adjusted factor'!$A$2:$L$52,5,FALSE)*m2k))</f>
        <v>0.23538704176624442</v>
      </c>
      <c r="DK217" s="125">
        <f>DK105/293.07*(1/(VLOOKUP($BM217,'Fuel economy adjusted factor'!$A$2:$L$52,5,FALSE)*m2k))</f>
        <v>0.23538704176624442</v>
      </c>
      <c r="DL217" s="125">
        <f>DL105/293.07*(1/(VLOOKUP($BM217,'Fuel economy adjusted factor'!$A$2:$L$52,5,FALSE)*m2k))</f>
        <v>0.23538704176624442</v>
      </c>
      <c r="DM217" s="125">
        <f>DM105/293.07*(1/(VLOOKUP($BM217,'Fuel economy adjusted factor'!$A$2:$L$52,5,FALSE)*m2k))</f>
        <v>0.23538704176624442</v>
      </c>
      <c r="DN217" s="125">
        <f>DN105/293.07*(1/(VLOOKUP($BM217,'Fuel economy adjusted factor'!$A$2:$L$52,5,FALSE)*m2k))</f>
        <v>0.23538704176624442</v>
      </c>
      <c r="DO217" s="125">
        <f>DO105/293.07*(1/(VLOOKUP($BM217,'Fuel economy adjusted factor'!$A$2:$L$52,5,FALSE)*m2k))</f>
        <v>0.24308410853122425</v>
      </c>
      <c r="DP217" s="125">
        <f>DP105/293.07*(1/(VLOOKUP($BM217,'Fuel economy adjusted factor'!$A$2:$L$52,5,FALSE)*m2k))</f>
        <v>0.24308410853122425</v>
      </c>
      <c r="DQ217" s="125">
        <f>DQ105/293.07*(1/(VLOOKUP($BM217,'Fuel economy adjusted factor'!$A$2:$L$52,5,FALSE)*m2k))</f>
        <v>0.24308410853122425</v>
      </c>
      <c r="DR217" s="125">
        <f>DR105/293.07*(1/(VLOOKUP($BM217,'Fuel economy adjusted factor'!$A$2:$L$52,5,FALSE)*m2k))</f>
        <v>0.24308410853122425</v>
      </c>
      <c r="DS217" s="125">
        <f>DS105/293.07*(1/(VLOOKUP($BM217,'Fuel economy adjusted factor'!$A$2:$L$52,5,FALSE)*m2k))</f>
        <v>0.24308410853122425</v>
      </c>
      <c r="DT217" s="125">
        <f>DT105/293.07*(1/(VLOOKUP($BM217,'Fuel economy adjusted factor'!$A$2:$L$52,5,FALSE)*m2k))</f>
        <v>0.25285759330722196</v>
      </c>
      <c r="DU217" s="98" cm="1">
        <f t="array" ref="DU217">SUMPRODUCT(INDEX(CS217:DT217,,'TCO Inputs'!$AZ$12-2023+_xlfn.SEQUENCE('TCO Inputs'!$AZ$13))*INDEX('VKT US'!C107:AA107,,_xlfn.SEQUENCE('TCO Inputs'!$AZ$13)))*m2k*CONVERT(0.9072,"g","ton")</f>
        <v>0.18384876734573155</v>
      </c>
      <c r="DW217" s="123" t="s">
        <v>228</v>
      </c>
      <c r="DX217" s="125">
        <f>DX105/293.07*(1/(VLOOKUP($BM217,'Fuel economy adjusted factor'!$A$2:$L$52,5,FALSE)*m2k))/'TCO Inputs'!$AZ$84</f>
        <v>7.2206047862187654</v>
      </c>
      <c r="DY217" s="125">
        <f>DY105/293.07*(1/(VLOOKUP($BM217,'Fuel economy adjusted factor'!$A$2:$L$52,5,FALSE)*m2k))/'TCO Inputs'!$AZ$84</f>
        <v>7.2206047862187654</v>
      </c>
      <c r="DZ217" s="125">
        <f>DZ105/293.07*(1/(VLOOKUP($BM217,'Fuel economy adjusted factor'!$A$2:$L$52,5,FALSE)*m2k))/'TCO Inputs'!$AZ$84</f>
        <v>6.3171495467560765</v>
      </c>
      <c r="EA217" s="125">
        <f>EA105/293.07*(1/(VLOOKUP($BM217,'Fuel economy adjusted factor'!$A$2:$L$52,5,FALSE)*m2k))/'TCO Inputs'!$AZ$84</f>
        <v>6.3171495467560765</v>
      </c>
      <c r="EB217" s="125">
        <f>EB105/293.07*(1/(VLOOKUP($BM217,'Fuel economy adjusted factor'!$A$2:$L$52,5,FALSE)*m2k))/'TCO Inputs'!$AZ$84</f>
        <v>6.3171495467560765</v>
      </c>
      <c r="EC217" s="125">
        <f>EC105/293.07*(1/(VLOOKUP($BM217,'Fuel economy adjusted factor'!$A$2:$L$52,5,FALSE)*m2k))/'TCO Inputs'!$AZ$84</f>
        <v>6.3171495467560765</v>
      </c>
      <c r="ED217" s="125">
        <f>ED105/293.07*(1/(VLOOKUP($BM217,'Fuel economy adjusted factor'!$A$2:$L$52,5,FALSE)*m2k))/'TCO Inputs'!$AZ$84</f>
        <v>6.3171495467560765</v>
      </c>
      <c r="EE217" s="125">
        <f>EE105/293.07*(1/(VLOOKUP($BM217,'Fuel economy adjusted factor'!$A$2:$L$52,5,FALSE)*m2k))/'TCO Inputs'!$AZ$84</f>
        <v>3.9302878098068121</v>
      </c>
      <c r="EF217" s="125">
        <f>EF105/293.07*(1/(VLOOKUP($BM217,'Fuel economy adjusted factor'!$A$2:$L$52,5,FALSE)*m2k))/'TCO Inputs'!$AZ$84</f>
        <v>3.9302878098068121</v>
      </c>
      <c r="EG217" s="125">
        <f>EG105/293.07*(1/(VLOOKUP($BM217,'Fuel economy adjusted factor'!$A$2:$L$52,5,FALSE)*m2k))/'TCO Inputs'!$AZ$84</f>
        <v>3.9302878098068121</v>
      </c>
      <c r="EH217" s="125">
        <f>EH105/293.07*(1/(VLOOKUP($BM217,'Fuel economy adjusted factor'!$A$2:$L$52,5,FALSE)*m2k))/'TCO Inputs'!$AZ$84</f>
        <v>3.9302878098068121</v>
      </c>
      <c r="EI217" s="125">
        <f>EI105/293.07*(1/(VLOOKUP($BM217,'Fuel economy adjusted factor'!$A$2:$L$52,5,FALSE)*m2k))/'TCO Inputs'!$AZ$84</f>
        <v>3.9302878098068121</v>
      </c>
      <c r="EJ217" s="125">
        <f>EJ105/293.07*(1/(VLOOKUP($BM217,'Fuel economy adjusted factor'!$A$2:$L$52,5,FALSE)*m2k))/'TCO Inputs'!$AZ$84</f>
        <v>3.4995440942939529</v>
      </c>
      <c r="EK217" s="125">
        <f>EK105/293.07*(1/(VLOOKUP($BM217,'Fuel economy adjusted factor'!$A$2:$L$52,5,FALSE)*m2k))/'TCO Inputs'!$AZ$84</f>
        <v>3.4995440942939529</v>
      </c>
      <c r="EL217" s="125">
        <f>EL105/293.07*(1/(VLOOKUP($BM217,'Fuel economy adjusted factor'!$A$2:$L$52,5,FALSE)*m2k))/'TCO Inputs'!$AZ$84</f>
        <v>3.4995440942939529</v>
      </c>
      <c r="EM217" s="125">
        <f>EM105/293.07*(1/(VLOOKUP($BM217,'Fuel economy adjusted factor'!$A$2:$L$52,5,FALSE)*m2k))/'TCO Inputs'!$AZ$84</f>
        <v>3.4995440942939529</v>
      </c>
      <c r="EN217" s="125">
        <f>EN105/293.07*(1/(VLOOKUP($BM217,'Fuel economy adjusted factor'!$A$2:$L$52,5,FALSE)*m2k))/'TCO Inputs'!$AZ$84</f>
        <v>3.4995440942939529</v>
      </c>
      <c r="EO217" s="125">
        <f>EO105/293.07*(1/(VLOOKUP($BM217,'Fuel economy adjusted factor'!$A$2:$L$52,5,FALSE)*m2k))/'TCO Inputs'!$AZ$84</f>
        <v>3.4004633509245337</v>
      </c>
      <c r="EP217" s="125">
        <f>EP105/293.07*(1/(VLOOKUP($BM217,'Fuel economy adjusted factor'!$A$2:$L$52,5,FALSE)*m2k))/'TCO Inputs'!$AZ$84</f>
        <v>3.4004633509245337</v>
      </c>
      <c r="EQ217" s="125">
        <f>EQ105/293.07*(1/(VLOOKUP($BM217,'Fuel economy adjusted factor'!$A$2:$L$52,5,FALSE)*m2k))/'TCO Inputs'!$AZ$84</f>
        <v>3.4004633509245337</v>
      </c>
      <c r="ER217" s="125">
        <f>ER105/293.07*(1/(VLOOKUP($BM217,'Fuel economy adjusted factor'!$A$2:$L$52,5,FALSE)*m2k))/'TCO Inputs'!$AZ$84</f>
        <v>3.4004633509245337</v>
      </c>
      <c r="ES217" s="125">
        <f>ES105/293.07*(1/(VLOOKUP($BM217,'Fuel economy adjusted factor'!$A$2:$L$52,5,FALSE)*m2k))/'TCO Inputs'!$AZ$84</f>
        <v>3.4004633509245337</v>
      </c>
      <c r="ET217" s="125">
        <f>ET105/293.07*(1/(VLOOKUP($BM217,'Fuel economy adjusted factor'!$A$2:$L$52,5,FALSE)*m2k))/'TCO Inputs'!$AZ$84</f>
        <v>3.2801182380311578</v>
      </c>
      <c r="EU217" s="125">
        <f>EU105/293.07*(1/(VLOOKUP($BM217,'Fuel economy adjusted factor'!$A$2:$L$52,5,FALSE)*m2k))/'TCO Inputs'!$AZ$84</f>
        <v>3.2801182380311578</v>
      </c>
      <c r="EV217" s="125">
        <f>EV105/293.07*(1/(VLOOKUP($BM217,'Fuel economy adjusted factor'!$A$2:$L$52,5,FALSE)*m2k))/'TCO Inputs'!$AZ$84</f>
        <v>3.2801182380311578</v>
      </c>
      <c r="EW217" s="125">
        <f>EW105/293.07*(1/(VLOOKUP($BM217,'Fuel economy adjusted factor'!$A$2:$L$52,5,FALSE)*m2k))/'TCO Inputs'!$AZ$84</f>
        <v>3.2801182380311578</v>
      </c>
      <c r="EX217" s="125">
        <f>EX105/293.07*(1/(VLOOKUP($BM217,'Fuel economy adjusted factor'!$A$2:$L$52,5,FALSE)*m2k))/'TCO Inputs'!$AZ$84</f>
        <v>3.2801182380311578</v>
      </c>
      <c r="EY217" s="125">
        <f>EY105/293.07*(1/(VLOOKUP($BM217,'Fuel economy adjusted factor'!$A$2:$L$52,5,FALSE)*m2k))/'TCO Inputs'!$AZ$84</f>
        <v>3.0883309627803155</v>
      </c>
      <c r="EZ217" s="98" cm="1">
        <f t="array" ref="EZ217">SUMPRODUCT(INDEX(DX217:EY217,,'TCO Inputs'!$AZ$12-2023+_xlfn.SEQUENCE('TCO Inputs'!$AZ$13))*INDEX('VKT US'!C107:AA107,,_xlfn.SEQUENCE('TCO Inputs'!$AZ$13)))*m2k*CONVERT(0.9072,"g","ton")</f>
        <v>1.4692981714137576</v>
      </c>
      <c r="FB217" s="123" t="s">
        <v>228</v>
      </c>
      <c r="FC217" s="125">
        <f>FC105/293.07*(1/(VLOOKUP($BM217,'Fuel economy adjusted factor'!$A$2:$L$52,5,FALSE)*m2k))/'TCO Inputs'!$AZ$84</f>
        <v>7.8055534260492392</v>
      </c>
      <c r="FD217" s="125">
        <f>FD105/293.07*(1/(VLOOKUP($BM217,'Fuel economy adjusted factor'!$A$2:$L$52,5,FALSE)*m2k))/'TCO Inputs'!$AZ$84</f>
        <v>7.8055534260492392</v>
      </c>
      <c r="FE217" s="125">
        <f>FE105/293.07*(1/(VLOOKUP($BM217,'Fuel economy adjusted factor'!$A$2:$L$52,5,FALSE)*m2k))/'TCO Inputs'!$AZ$84</f>
        <v>6.8051591782770977</v>
      </c>
      <c r="FF217" s="125">
        <f>FF105/293.07*(1/(VLOOKUP($BM217,'Fuel economy adjusted factor'!$A$2:$L$52,5,FALSE)*m2k))/'TCO Inputs'!$AZ$84</f>
        <v>6.8051591782770977</v>
      </c>
      <c r="FG217" s="125">
        <f>FG105/293.07*(1/(VLOOKUP($BM217,'Fuel economy adjusted factor'!$A$2:$L$52,5,FALSE)*m2k))/'TCO Inputs'!$AZ$84</f>
        <v>6.8051591782770977</v>
      </c>
      <c r="FH217" s="125">
        <f>FH105/293.07*(1/(VLOOKUP($BM217,'Fuel economy adjusted factor'!$A$2:$L$52,5,FALSE)*m2k))/'TCO Inputs'!$AZ$84</f>
        <v>6.8051591782770977</v>
      </c>
      <c r="FI217" s="125">
        <f>FI105/293.07*(1/(VLOOKUP($BM217,'Fuel economy adjusted factor'!$A$2:$L$52,5,FALSE)*m2k))/'TCO Inputs'!$AZ$84</f>
        <v>6.8051591782770977</v>
      </c>
      <c r="FJ217" s="125">
        <f>FJ105/293.07*(1/(VLOOKUP($BM217,'Fuel economy adjusted factor'!$A$2:$L$52,5,FALSE)*m2k))/'TCO Inputs'!$AZ$84</f>
        <v>4.304326539922454</v>
      </c>
      <c r="FK217" s="125">
        <f>FK105/293.07*(1/(VLOOKUP($BM217,'Fuel economy adjusted factor'!$A$2:$L$52,5,FALSE)*m2k))/'TCO Inputs'!$AZ$84</f>
        <v>4.304326539922454</v>
      </c>
      <c r="FL217" s="125">
        <f>FL105/293.07*(1/(VLOOKUP($BM217,'Fuel economy adjusted factor'!$A$2:$L$52,5,FALSE)*m2k))/'TCO Inputs'!$AZ$84</f>
        <v>4.304326539922454</v>
      </c>
      <c r="FM217" s="125">
        <f>FM105/293.07*(1/(VLOOKUP($BM217,'Fuel economy adjusted factor'!$A$2:$L$52,5,FALSE)*m2k))/'TCO Inputs'!$AZ$84</f>
        <v>4.304326539922454</v>
      </c>
      <c r="FN217" s="125">
        <f>FN105/293.07*(1/(VLOOKUP($BM217,'Fuel economy adjusted factor'!$A$2:$L$52,5,FALSE)*m2k))/'TCO Inputs'!$AZ$84</f>
        <v>4.304326539922454</v>
      </c>
      <c r="FO217" s="125">
        <f>FO105/293.07*(1/(VLOOKUP($BM217,'Fuel economy adjusted factor'!$A$2:$L$52,5,FALSE)*m2k))/'TCO Inputs'!$AZ$84</f>
        <v>3.8123903941248267</v>
      </c>
      <c r="FP217" s="125">
        <f>FP105/293.07*(1/(VLOOKUP($BM217,'Fuel economy adjusted factor'!$A$2:$L$52,5,FALSE)*m2k))/'TCO Inputs'!$AZ$84</f>
        <v>3.8123903941248267</v>
      </c>
      <c r="FQ217" s="125">
        <f>FQ105/293.07*(1/(VLOOKUP($BM217,'Fuel economy adjusted factor'!$A$2:$L$52,5,FALSE)*m2k))/'TCO Inputs'!$AZ$84</f>
        <v>3.8123903941248267</v>
      </c>
      <c r="FR217" s="125">
        <f>FR105/293.07*(1/(VLOOKUP($BM217,'Fuel economy adjusted factor'!$A$2:$L$52,5,FALSE)*m2k))/'TCO Inputs'!$AZ$84</f>
        <v>3.8123903941248267</v>
      </c>
      <c r="FS217" s="125">
        <f>FS105/293.07*(1/(VLOOKUP($BM217,'Fuel economy adjusted factor'!$A$2:$L$52,5,FALSE)*m2k))/'TCO Inputs'!$AZ$84</f>
        <v>3.8123903941248267</v>
      </c>
      <c r="FT217" s="125">
        <f>FT105/293.07*(1/(VLOOKUP($BM217,'Fuel economy adjusted factor'!$A$2:$L$52,5,FALSE)*m2k))/'TCO Inputs'!$AZ$84</f>
        <v>3.7253441620447449</v>
      </c>
      <c r="FU217" s="125">
        <f>FU105/293.07*(1/(VLOOKUP($BM217,'Fuel economy adjusted factor'!$A$2:$L$52,5,FALSE)*m2k))/'TCO Inputs'!$AZ$84</f>
        <v>3.7253441620447449</v>
      </c>
      <c r="FV217" s="125">
        <f>FV105/293.07*(1/(VLOOKUP($BM217,'Fuel economy adjusted factor'!$A$2:$L$52,5,FALSE)*m2k))/'TCO Inputs'!$AZ$84</f>
        <v>3.7253441620447449</v>
      </c>
      <c r="FW217" s="125">
        <f>FW105/293.07*(1/(VLOOKUP($BM217,'Fuel economy adjusted factor'!$A$2:$L$52,5,FALSE)*m2k))/'TCO Inputs'!$AZ$84</f>
        <v>3.7253441620447449</v>
      </c>
      <c r="FX217" s="125">
        <f>FX105/293.07*(1/(VLOOKUP($BM217,'Fuel economy adjusted factor'!$A$2:$L$52,5,FALSE)*m2k))/'TCO Inputs'!$AZ$84</f>
        <v>3.7253441620447449</v>
      </c>
      <c r="FY217" s="125">
        <f>FY105/293.07*(1/(VLOOKUP($BM217,'Fuel economy adjusted factor'!$A$2:$L$52,5,FALSE)*m2k))/'TCO Inputs'!$AZ$84</f>
        <v>3.6047950743837536</v>
      </c>
      <c r="FZ217" s="125">
        <f>FZ105/293.07*(1/(VLOOKUP($BM217,'Fuel economy adjusted factor'!$A$2:$L$52,5,FALSE)*m2k))/'TCO Inputs'!$AZ$84</f>
        <v>3.6047950743837536</v>
      </c>
      <c r="GA217" s="125">
        <f>GA105/293.07*(1/(VLOOKUP($BM217,'Fuel economy adjusted factor'!$A$2:$L$52,5,FALSE)*m2k))/'TCO Inputs'!$AZ$84</f>
        <v>3.6047950743837536</v>
      </c>
      <c r="GB217" s="125">
        <f>GB105/293.07*(1/(VLOOKUP($BM217,'Fuel economy adjusted factor'!$A$2:$L$52,5,FALSE)*m2k))/'TCO Inputs'!$AZ$84</f>
        <v>3.6047950743837536</v>
      </c>
      <c r="GC217" s="125">
        <f>GC105/293.07*(1/(VLOOKUP($BM217,'Fuel economy adjusted factor'!$A$2:$L$52,5,FALSE)*m2k))/'TCO Inputs'!$AZ$84</f>
        <v>3.6047950743837536</v>
      </c>
      <c r="GD217" s="125">
        <f>GD105/293.07*(1/(VLOOKUP($BM217,'Fuel economy adjusted factor'!$A$2:$L$52,5,FALSE)*m2k))/'TCO Inputs'!$AZ$84</f>
        <v>3.4064806065692026</v>
      </c>
      <c r="GE217" s="98" cm="1">
        <f t="array" ref="GE217">SUMPRODUCT(INDEX(FC217:GD217,,'TCO Inputs'!$AZ$12-2023+_xlfn.SEQUENCE('TCO Inputs'!$AZ$13))*INDEX('VKT US'!C107:AA107,,_xlfn.SEQUENCE('TCO Inputs'!$AZ$13)))*m2k*CONVERT(0.9072,"g","ton")</f>
        <v>1.5918524979810378</v>
      </c>
      <c r="GH217" s="123" t="s">
        <v>228</v>
      </c>
      <c r="GI217" s="125">
        <f>GI105/293.07*(1/(VLOOKUP($GH217,'Fuel economy adjusted factor'!$A$2:$L$52,5,FALSE)*m2k))/'TCO Inputs'!$AZ$84</f>
        <v>13.741001543500289</v>
      </c>
      <c r="GJ217" s="125">
        <f>GJ105/293.07*(1/(VLOOKUP($GH217,'Fuel economy adjusted factor'!$A$2:$L$52,5,FALSE)*m2k))/'TCO Inputs'!$AZ$84</f>
        <v>13.741001543500289</v>
      </c>
      <c r="GK217" s="125">
        <f>GK105/293.07*(1/(VLOOKUP($GH217,'Fuel economy adjusted factor'!$A$2:$L$52,5,FALSE)*m2k))/'TCO Inputs'!$AZ$84</f>
        <v>13.741001543500289</v>
      </c>
      <c r="GL217" s="125">
        <f>GL105/293.07*(1/(VLOOKUP($GH217,'Fuel economy adjusted factor'!$A$2:$L$52,5,FALSE)*m2k))/'TCO Inputs'!$AZ$84</f>
        <v>13.741001543500289</v>
      </c>
      <c r="GM217" s="125">
        <f>GM105/293.07*(1/(VLOOKUP($GH217,'Fuel economy adjusted factor'!$A$2:$L$52,5,FALSE)*m2k))/'TCO Inputs'!$AZ$84</f>
        <v>13.741001543500289</v>
      </c>
      <c r="GN217" s="125">
        <f>GN105/293.07*(1/(VLOOKUP($GH217,'Fuel economy adjusted factor'!$A$2:$L$52,5,FALSE)*m2k))/'TCO Inputs'!$AZ$84</f>
        <v>13.741001543500289</v>
      </c>
      <c r="GO217" s="125">
        <f>GO105/293.07*(1/(VLOOKUP($GH217,'Fuel economy adjusted factor'!$A$2:$L$52,5,FALSE)*m2k))/'TCO Inputs'!$AZ$84</f>
        <v>13.741001543500289</v>
      </c>
      <c r="GP217" s="125">
        <f>GP105/293.07*(1/(VLOOKUP($GH217,'Fuel economy adjusted factor'!$A$2:$L$52,5,FALSE)*m2k))/'TCO Inputs'!$AZ$84</f>
        <v>13.741001543500289</v>
      </c>
      <c r="GQ217" s="125">
        <f>GQ105/293.07*(1/(VLOOKUP($GH217,'Fuel economy adjusted factor'!$A$2:$L$52,5,FALSE)*m2k))/'TCO Inputs'!$AZ$84</f>
        <v>13.741001543500289</v>
      </c>
      <c r="GR217" s="125">
        <f>GR105/293.07*(1/(VLOOKUP($GH217,'Fuel economy adjusted factor'!$A$2:$L$52,5,FALSE)*m2k))/'TCO Inputs'!$AZ$84</f>
        <v>13.741001543500289</v>
      </c>
      <c r="GS217" s="125">
        <f>GS105/293.07*(1/(VLOOKUP($GH217,'Fuel economy adjusted factor'!$A$2:$L$52,5,FALSE)*m2k))/'TCO Inputs'!$AZ$84</f>
        <v>13.741001543500289</v>
      </c>
      <c r="GT217" s="125">
        <f>GT105/293.07*(1/(VLOOKUP($GH217,'Fuel economy adjusted factor'!$A$2:$L$52,5,FALSE)*m2k))/'TCO Inputs'!$AZ$84</f>
        <v>13.741001543500289</v>
      </c>
      <c r="GU217" s="125">
        <f>GU105/293.07*(1/(VLOOKUP($GH217,'Fuel economy adjusted factor'!$A$2:$L$52,5,FALSE)*m2k))/'TCO Inputs'!$AZ$84</f>
        <v>13.741001543500289</v>
      </c>
      <c r="GV217" s="125">
        <f>GV105/293.07*(1/(VLOOKUP($GH217,'Fuel economy adjusted factor'!$A$2:$L$52,5,FALSE)*m2k))/'TCO Inputs'!$AZ$84</f>
        <v>13.741001543500289</v>
      </c>
      <c r="GW217" s="125">
        <f>GW105/293.07*(1/(VLOOKUP($GH217,'Fuel economy adjusted factor'!$A$2:$L$52,5,FALSE)*m2k))/'TCO Inputs'!$AZ$84</f>
        <v>13.741001543500289</v>
      </c>
      <c r="GX217" s="125">
        <f>GX105/293.07*(1/(VLOOKUP($GH217,'Fuel economy adjusted factor'!$A$2:$L$52,5,FALSE)*m2k))/'TCO Inputs'!$AZ$84</f>
        <v>13.741001543500289</v>
      </c>
      <c r="GY217" s="125">
        <f>GY105/293.07*(1/(VLOOKUP($GH217,'Fuel economy adjusted factor'!$A$2:$L$52,5,FALSE)*m2k))/'TCO Inputs'!$AZ$84</f>
        <v>13.741001543500289</v>
      </c>
      <c r="GZ217" s="125">
        <f>GZ105/293.07*(1/(VLOOKUP($GH217,'Fuel economy adjusted factor'!$A$2:$L$52,5,FALSE)*m2k))/'TCO Inputs'!$AZ$84</f>
        <v>13.741001543500289</v>
      </c>
      <c r="HA217" s="125">
        <f>HA105/293.07*(1/(VLOOKUP($GH217,'Fuel economy adjusted factor'!$A$2:$L$52,5,FALSE)*m2k))/'TCO Inputs'!$AZ$84</f>
        <v>13.741001543500289</v>
      </c>
      <c r="HB217" s="125">
        <f>HB105/293.07*(1/(VLOOKUP($GH217,'Fuel economy adjusted factor'!$A$2:$L$52,5,FALSE)*m2k))/'TCO Inputs'!$AZ$84</f>
        <v>13.741001543500289</v>
      </c>
      <c r="HC217" s="125">
        <f>HC105/293.07*(1/(VLOOKUP($GH217,'Fuel economy adjusted factor'!$A$2:$L$52,5,FALSE)*m2k))/'TCO Inputs'!$AZ$84</f>
        <v>13.741001543500289</v>
      </c>
      <c r="HD217" s="125">
        <f>HD105/293.07*(1/(VLOOKUP($GH217,'Fuel economy adjusted factor'!$A$2:$L$52,5,FALSE)*m2k))/'TCO Inputs'!$AZ$84</f>
        <v>13.741001543500289</v>
      </c>
      <c r="HE217" s="125">
        <f>HE105/293.07*(1/(VLOOKUP($GH217,'Fuel economy adjusted factor'!$A$2:$L$52,5,FALSE)*m2k))/'TCO Inputs'!$AZ$84</f>
        <v>13.741001543500289</v>
      </c>
      <c r="HF217" s="125">
        <f>HF105/293.07*(1/(VLOOKUP($GH217,'Fuel economy adjusted factor'!$A$2:$L$52,5,FALSE)*m2k))/'TCO Inputs'!$AZ$84</f>
        <v>13.741001543500289</v>
      </c>
      <c r="HG217" s="125">
        <f>HG105/293.07*(1/(VLOOKUP($GH217,'Fuel economy adjusted factor'!$A$2:$L$52,5,FALSE)*m2k))/'TCO Inputs'!$AZ$84</f>
        <v>13.741001543500289</v>
      </c>
      <c r="HH217" s="125">
        <f>HH105/293.07*(1/(VLOOKUP($GH217,'Fuel economy adjusted factor'!$A$2:$L$52,5,FALSE)*m2k))/'TCO Inputs'!$AZ$84</f>
        <v>13.741001543500289</v>
      </c>
      <c r="HI217" s="125">
        <f>HI105/293.07*(1/(VLOOKUP($GH217,'Fuel economy adjusted factor'!$A$2:$L$52,5,FALSE)*m2k))/'TCO Inputs'!$AZ$84</f>
        <v>13.741001543500289</v>
      </c>
      <c r="HJ217" s="125">
        <f>HJ105/293.07*(1/(VLOOKUP($GH217,'Fuel economy adjusted factor'!$A$2:$L$52,5,FALSE)*m2k))/'TCO Inputs'!$AZ$84</f>
        <v>13.741001543500289</v>
      </c>
      <c r="HK217" s="98" cm="1">
        <f t="array" ref="HK217">SUMPRODUCT(INDEX(GI217:HJ217,,'TCO Inputs'!$AZ$12-2023+_xlfn.SEQUENCE('TCO Inputs'!$AZ$13))*INDEX('VKT US'!C107:AA107,,_xlfn.SEQUENCE('TCO Inputs'!$AZ$13)))*m2k*CONVERT(0.9072,"g","ton")</f>
        <v>3.7774945486472253</v>
      </c>
    </row>
    <row r="218" spans="26:219" x14ac:dyDescent="0.25">
      <c r="Z218" s="123" t="s">
        <v>227</v>
      </c>
      <c r="AA218" s="125">
        <f>AA106/293.07*(1/(VLOOKUP($Z218,'Fuel economy adjusted factor'!$A$2:$L$52,5,FALSE)*m2k))/'TCO Inputs'!$AZ$84</f>
        <v>72.715264139260171</v>
      </c>
      <c r="AB218" s="125">
        <f>AB106/293.07*(1/(VLOOKUP($Z218,'Fuel economy adjusted factor'!$A$2:$L$52,5,FALSE)*m2k))/'TCO Inputs'!$AZ$84</f>
        <v>72.715264139260171</v>
      </c>
      <c r="AC218" s="125">
        <f>AC106/293.07*(1/(VLOOKUP($Z218,'Fuel economy adjusted factor'!$A$2:$L$52,5,FALSE)*m2k))/'TCO Inputs'!$AZ$84</f>
        <v>63.869130403373731</v>
      </c>
      <c r="AD218" s="125">
        <f>AD106/293.07*(1/(VLOOKUP($Z218,'Fuel economy adjusted factor'!$A$2:$L$52,5,FALSE)*m2k))/'TCO Inputs'!$AZ$84</f>
        <v>63.869130403373731</v>
      </c>
      <c r="AE218" s="125">
        <f>AE106/293.07*(1/(VLOOKUP($Z218,'Fuel economy adjusted factor'!$A$2:$L$52,5,FALSE)*m2k))/'TCO Inputs'!$AZ$84</f>
        <v>63.869130403373731</v>
      </c>
      <c r="AF218" s="125">
        <f>AF106/293.07*(1/(VLOOKUP($Z218,'Fuel economy adjusted factor'!$A$2:$L$52,5,FALSE)*m2k))/'TCO Inputs'!$AZ$84</f>
        <v>63.869130403373731</v>
      </c>
      <c r="AG218" s="125">
        <f>AG106/293.07*(1/(VLOOKUP($Z218,'Fuel economy adjusted factor'!$A$2:$L$52,5,FALSE)*m2k))/'TCO Inputs'!$AZ$84</f>
        <v>63.869130403373731</v>
      </c>
      <c r="AH218" s="125">
        <f>AH106/293.07*(1/(VLOOKUP($Z218,'Fuel economy adjusted factor'!$A$2:$L$52,5,FALSE)*m2k))/'TCO Inputs'!$AZ$84</f>
        <v>24.14726649012308</v>
      </c>
      <c r="AI218" s="125">
        <f>AI106/293.07*(1/(VLOOKUP($Z218,'Fuel economy adjusted factor'!$A$2:$L$52,5,FALSE)*m2k))/'TCO Inputs'!$AZ$84</f>
        <v>24.14726649012308</v>
      </c>
      <c r="AJ218" s="125">
        <f>AJ106/293.07*(1/(VLOOKUP($Z218,'Fuel economy adjusted factor'!$A$2:$L$52,5,FALSE)*m2k))/'TCO Inputs'!$AZ$84</f>
        <v>24.14726649012308</v>
      </c>
      <c r="AK218" s="125">
        <f>AK106/293.07*(1/(VLOOKUP($Z218,'Fuel economy adjusted factor'!$A$2:$L$52,5,FALSE)*m2k))/'TCO Inputs'!$AZ$84</f>
        <v>24.14726649012308</v>
      </c>
      <c r="AL218" s="125">
        <f>AL106/293.07*(1/(VLOOKUP($Z218,'Fuel economy adjusted factor'!$A$2:$L$52,5,FALSE)*m2k))/'TCO Inputs'!$AZ$84</f>
        <v>24.14726649012308</v>
      </c>
      <c r="AM218" s="125">
        <f>AM106/293.07*(1/(VLOOKUP($Z218,'Fuel economy adjusted factor'!$A$2:$L$52,5,FALSE)*m2k))/'TCO Inputs'!$AZ$84</f>
        <v>20.29578561043553</v>
      </c>
      <c r="AN218" s="125">
        <f>AN106/293.07*(1/(VLOOKUP($Z218,'Fuel economy adjusted factor'!$A$2:$L$52,5,FALSE)*m2k))/'TCO Inputs'!$AZ$84</f>
        <v>20.29578561043553</v>
      </c>
      <c r="AO218" s="125">
        <f>AO106/293.07*(1/(VLOOKUP($Z218,'Fuel economy adjusted factor'!$A$2:$L$52,5,FALSE)*m2k))/'TCO Inputs'!$AZ$84</f>
        <v>20.29578561043553</v>
      </c>
      <c r="AP218" s="125">
        <f>AP106/293.07*(1/(VLOOKUP($Z218,'Fuel economy adjusted factor'!$A$2:$L$52,5,FALSE)*m2k))/'TCO Inputs'!$AZ$84</f>
        <v>20.29578561043553</v>
      </c>
      <c r="AQ218" s="125">
        <f>AQ106/293.07*(1/(VLOOKUP($Z218,'Fuel economy adjusted factor'!$A$2:$L$52,5,FALSE)*m2k))/'TCO Inputs'!$AZ$84</f>
        <v>20.29578561043553</v>
      </c>
      <c r="AR218" s="125">
        <f>AR106/293.07*(1/(VLOOKUP($Z218,'Fuel economy adjusted factor'!$A$2:$L$52,5,FALSE)*m2k))/'TCO Inputs'!$AZ$84</f>
        <v>20.29578561043553</v>
      </c>
      <c r="AS218" s="125">
        <f>AS106/293.07*(1/(VLOOKUP($Z218,'Fuel economy adjusted factor'!$A$2:$L$52,5,FALSE)*m2k))/'TCO Inputs'!$AZ$84</f>
        <v>20.29578561043553</v>
      </c>
      <c r="AT218" s="125">
        <f>AT106/293.07*(1/(VLOOKUP($Z218,'Fuel economy adjusted factor'!$A$2:$L$52,5,FALSE)*m2k))/'TCO Inputs'!$AZ$84</f>
        <v>20.29578561043553</v>
      </c>
      <c r="AU218" s="125">
        <f>AU106/293.07*(1/(VLOOKUP($Z218,'Fuel economy adjusted factor'!$A$2:$L$52,5,FALSE)*m2k))/'TCO Inputs'!$AZ$84</f>
        <v>20.29578561043553</v>
      </c>
      <c r="AV218" s="125">
        <f>AV106/293.07*(1/(VLOOKUP($Z218,'Fuel economy adjusted factor'!$A$2:$L$52,5,FALSE)*m2k))/'TCO Inputs'!$AZ$84</f>
        <v>20.29578561043553</v>
      </c>
      <c r="AW218" s="125">
        <f>AW106/293.07*(1/(VLOOKUP($Z218,'Fuel economy adjusted factor'!$A$2:$L$52,5,FALSE)*m2k))/'TCO Inputs'!$AZ$84</f>
        <v>20.391610320231337</v>
      </c>
      <c r="AX218" s="125">
        <f>AX106/293.07*(1/(VLOOKUP($Z218,'Fuel economy adjusted factor'!$A$2:$L$52,5,FALSE)*m2k))/'TCO Inputs'!$AZ$84</f>
        <v>20.391610320231337</v>
      </c>
      <c r="AY218" s="125">
        <f>AY106/293.07*(1/(VLOOKUP($Z218,'Fuel economy adjusted factor'!$A$2:$L$52,5,FALSE)*m2k))/'TCO Inputs'!$AZ$84</f>
        <v>20.391610320231337</v>
      </c>
      <c r="AZ218" s="125">
        <f>AZ106/293.07*(1/(VLOOKUP($Z218,'Fuel economy adjusted factor'!$A$2:$L$52,5,FALSE)*m2k))/'TCO Inputs'!$AZ$84</f>
        <v>20.391610320231337</v>
      </c>
      <c r="BA218" s="125">
        <f>BA106/293.07*(1/(VLOOKUP($Z218,'Fuel economy adjusted factor'!$A$2:$L$52,5,FALSE)*m2k))/'TCO Inputs'!$AZ$84</f>
        <v>20.391610320231337</v>
      </c>
      <c r="BB218" s="125">
        <f>BB106/293.07*(1/(VLOOKUP($Z218,'Fuel economy adjusted factor'!$A$2:$L$52,5,FALSE)*m2k))/'TCO Inputs'!$AZ$84</f>
        <v>20.512091680500919</v>
      </c>
      <c r="BC218" s="98" cm="1">
        <f t="array" ref="BC218">SUMPRODUCT(INDEX(AA218:BB218,,'TCO Inputs'!$AZ$12-2023+_xlfn.SEQUENCE('TCO Inputs'!$AZ$13))*INDEX('VKT US'!C108:AA108,,_xlfn.SEQUENCE('TCO Inputs'!$AZ$13)))*m2k*CONVERT(0.9072,"g","ton")</f>
        <v>14.427327647841183</v>
      </c>
      <c r="BM218" s="123" t="s">
        <v>227</v>
      </c>
      <c r="BN218" s="125">
        <f>BN106/293.07*(1/(VLOOKUP($BM218,'Fuel economy adjusted factor'!$A$2:$L$52,5,FALSE)*m2k))</f>
        <v>61.807974518371147</v>
      </c>
      <c r="BO218" s="125">
        <f>BO106/293.07*(1/(VLOOKUP($BM218,'Fuel economy adjusted factor'!$A$2:$L$52,5,FALSE)*m2k))</f>
        <v>61.807974518371147</v>
      </c>
      <c r="BP218" s="125">
        <f>BP106/293.07*(1/(VLOOKUP($BM218,'Fuel economy adjusted factor'!$A$2:$L$52,5,FALSE)*m2k))</f>
        <v>48.72151331725734</v>
      </c>
      <c r="BQ218" s="125">
        <f>BQ106/293.07*(1/(VLOOKUP($BM218,'Fuel economy adjusted factor'!$A$2:$L$52,5,FALSE)*m2k))</f>
        <v>48.72151331725734</v>
      </c>
      <c r="BR218" s="125">
        <f>BR106/293.07*(1/(VLOOKUP($BM218,'Fuel economy adjusted factor'!$A$2:$L$52,5,FALSE)*m2k))</f>
        <v>48.72151331725734</v>
      </c>
      <c r="BS218" s="125">
        <f>BS106/293.07*(1/(VLOOKUP($BM218,'Fuel economy adjusted factor'!$A$2:$L$52,5,FALSE)*m2k))</f>
        <v>48.72151331725734</v>
      </c>
      <c r="BT218" s="125">
        <f>BT106/293.07*(1/(VLOOKUP($BM218,'Fuel economy adjusted factor'!$A$2:$L$52,5,FALSE)*m2k))</f>
        <v>48.72151331725734</v>
      </c>
      <c r="BU218" s="125">
        <f>BU106/293.07*(1/(VLOOKUP($BM218,'Fuel economy adjusted factor'!$A$2:$L$52,5,FALSE)*m2k))</f>
        <v>2.7521865334511024</v>
      </c>
      <c r="BV218" s="125">
        <f>BV106/293.07*(1/(VLOOKUP($BM218,'Fuel economy adjusted factor'!$A$2:$L$52,5,FALSE)*m2k))</f>
        <v>2.7521865334511024</v>
      </c>
      <c r="BW218" s="125">
        <f>BW106/293.07*(1/(VLOOKUP($BM218,'Fuel economy adjusted factor'!$A$2:$L$52,5,FALSE)*m2k))</f>
        <v>2.7521865334511024</v>
      </c>
      <c r="BX218" s="125">
        <f>BX106/293.07*(1/(VLOOKUP($BM218,'Fuel economy adjusted factor'!$A$2:$L$52,5,FALSE)*m2k))</f>
        <v>2.7521865334511024</v>
      </c>
      <c r="BY218" s="125">
        <f>BY106/293.07*(1/(VLOOKUP($BM218,'Fuel economy adjusted factor'!$A$2:$L$52,5,FALSE)*m2k))</f>
        <v>2.7521865334511024</v>
      </c>
      <c r="BZ218" s="125">
        <f>BZ106/293.07*(1/(VLOOKUP($BM218,'Fuel economy adjusted factor'!$A$2:$L$52,5,FALSE)*m2k))</f>
        <v>2.8703143043572763</v>
      </c>
      <c r="CA218" s="125">
        <f>CA106/293.07*(1/(VLOOKUP($BM218,'Fuel economy adjusted factor'!$A$2:$L$52,5,FALSE)*m2k))</f>
        <v>2.8703143043572763</v>
      </c>
      <c r="CB218" s="125">
        <f>CB106/293.07*(1/(VLOOKUP($BM218,'Fuel economy adjusted factor'!$A$2:$L$52,5,FALSE)*m2k))</f>
        <v>2.8703143043572763</v>
      </c>
      <c r="CC218" s="125">
        <f>CC106/293.07*(1/(VLOOKUP($BM218,'Fuel economy adjusted factor'!$A$2:$L$52,5,FALSE)*m2k))</f>
        <v>2.8703143043572763</v>
      </c>
      <c r="CD218" s="125">
        <f>CD106/293.07*(1/(VLOOKUP($BM218,'Fuel economy adjusted factor'!$A$2:$L$52,5,FALSE)*m2k))</f>
        <v>2.8703143043572763</v>
      </c>
      <c r="CE218" s="125">
        <f>CE106/293.07*(1/(VLOOKUP($BM218,'Fuel economy adjusted factor'!$A$2:$L$52,5,FALSE)*m2k))</f>
        <v>2.9103253235351745</v>
      </c>
      <c r="CF218" s="125">
        <f>CF106/293.07*(1/(VLOOKUP($BM218,'Fuel economy adjusted factor'!$A$2:$L$52,5,FALSE)*m2k))</f>
        <v>2.9103253235351745</v>
      </c>
      <c r="CG218" s="125">
        <f>CG106/293.07*(1/(VLOOKUP($BM218,'Fuel economy adjusted factor'!$A$2:$L$52,5,FALSE)*m2k))</f>
        <v>2.9103253235351745</v>
      </c>
      <c r="CH218" s="125">
        <f>CH106/293.07*(1/(VLOOKUP($BM218,'Fuel economy adjusted factor'!$A$2:$L$52,5,FALSE)*m2k))</f>
        <v>2.9103253235351745</v>
      </c>
      <c r="CI218" s="125">
        <f>CI106/293.07*(1/(VLOOKUP($BM218,'Fuel economy adjusted factor'!$A$2:$L$52,5,FALSE)*m2k))</f>
        <v>2.9103253235351745</v>
      </c>
      <c r="CJ218" s="125">
        <f>CJ106/293.07*(1/(VLOOKUP($BM218,'Fuel economy adjusted factor'!$A$2:$L$52,5,FALSE)*m2k))</f>
        <v>3.0127344797643167</v>
      </c>
      <c r="CK218" s="125">
        <f>CK106/293.07*(1/(VLOOKUP($BM218,'Fuel economy adjusted factor'!$A$2:$L$52,5,FALSE)*m2k))</f>
        <v>3.0127344797643167</v>
      </c>
      <c r="CL218" s="125">
        <f>CL106/293.07*(1/(VLOOKUP($BM218,'Fuel economy adjusted factor'!$A$2:$L$52,5,FALSE)*m2k))</f>
        <v>3.0127344797643167</v>
      </c>
      <c r="CM218" s="125">
        <f>CM106/293.07*(1/(VLOOKUP($BM218,'Fuel economy adjusted factor'!$A$2:$L$52,5,FALSE)*m2k))</f>
        <v>3.0127344797643167</v>
      </c>
      <c r="CN218" s="125">
        <f>CN106/293.07*(1/(VLOOKUP($BM218,'Fuel economy adjusted factor'!$A$2:$L$52,5,FALSE)*m2k))</f>
        <v>3.0127344797643167</v>
      </c>
      <c r="CO218" s="125">
        <f>CO106/293.07*(1/(VLOOKUP($BM218,'Fuel economy adjusted factor'!$A$2:$L$52,5,FALSE)*m2k))</f>
        <v>3.1422939704356043</v>
      </c>
      <c r="CP218" s="98" cm="1">
        <f t="array" ref="CP218">SUMPRODUCT(INDEX(BN218:CO218,,'TCO Inputs'!$AZ$12-2023+_xlfn.SEQUENCE('TCO Inputs'!$AZ$13))*INDEX('VKT US'!C108:AA108,,_xlfn.SEQUENCE('TCO Inputs'!$AZ$13)))*m2k*CONVERT(0.9072,"g","ton")</f>
        <v>9.2853413241322933</v>
      </c>
      <c r="CQ218" s="194"/>
      <c r="CR218" s="123" t="s">
        <v>227</v>
      </c>
      <c r="CS218" s="125">
        <f>CS106/293.07*(1/(VLOOKUP($BM218,'Fuel economy adjusted factor'!$A$2:$L$52,5,FALSE)*m2k))/'TCO Inputs'!$AZ$84</f>
        <v>72.715264139260171</v>
      </c>
      <c r="CT218" s="125">
        <f>CT106/293.07*(1/(VLOOKUP($BM218,'Fuel economy adjusted factor'!$A$2:$L$52,5,FALSE)*m2k))</f>
        <v>2.8941303872012631</v>
      </c>
      <c r="CU218" s="125">
        <f>CU106/293.07*(1/(VLOOKUP($BM218,'Fuel economy adjusted factor'!$A$2:$L$52,5,FALSE)*m2k))</f>
        <v>2.8941303872012631</v>
      </c>
      <c r="CV218" s="125">
        <f>CV106/293.07*(1/(VLOOKUP($BM218,'Fuel economy adjusted factor'!$A$2:$L$52,5,FALSE)*m2k))</f>
        <v>2.8941303872012631</v>
      </c>
      <c r="CW218" s="125">
        <f>CW106/293.07*(1/(VLOOKUP($BM218,'Fuel economy adjusted factor'!$A$2:$L$52,5,FALSE)*m2k))</f>
        <v>2.8941303872012631</v>
      </c>
      <c r="CX218" s="125">
        <f>CX106/293.07*(1/(VLOOKUP($BM218,'Fuel economy adjusted factor'!$A$2:$L$52,5,FALSE)*m2k))</f>
        <v>2.8941303872012631</v>
      </c>
      <c r="CY218" s="125">
        <f>CY106/293.07*(1/(VLOOKUP($BM218,'Fuel economy adjusted factor'!$A$2:$L$52,5,FALSE)*m2k))</f>
        <v>2.8941303872012631</v>
      </c>
      <c r="CZ218" s="125">
        <f>CZ106/293.07*(1/(VLOOKUP($BM218,'Fuel economy adjusted factor'!$A$2:$L$52,5,FALSE)*m2k))</f>
        <v>2.8941303872012631</v>
      </c>
      <c r="DA218" s="125">
        <f>DA106/293.07*(1/(VLOOKUP($BM218,'Fuel economy adjusted factor'!$A$2:$L$52,5,FALSE)*m2k))</f>
        <v>2.8941303872012631</v>
      </c>
      <c r="DB218" s="125">
        <f>DB106/293.07*(1/(VLOOKUP($BM218,'Fuel economy adjusted factor'!$A$2:$L$52,5,FALSE)*m2k))</f>
        <v>2.8941303872012631</v>
      </c>
      <c r="DC218" s="125">
        <f>DC106/293.07*(1/(VLOOKUP($BM218,'Fuel economy adjusted factor'!$A$2:$L$52,5,FALSE)*m2k))</f>
        <v>2.8941303872012631</v>
      </c>
      <c r="DD218" s="125">
        <f>DD106/293.07*(1/(VLOOKUP($BM218,'Fuel economy adjusted factor'!$A$2:$L$52,5,FALSE)*m2k))</f>
        <v>2.8941303872012631</v>
      </c>
      <c r="DE218" s="125">
        <f>DE106/293.07*(1/(VLOOKUP($BM218,'Fuel economy adjusted factor'!$A$2:$L$52,5,FALSE)*m2k))</f>
        <v>2.9770103554983369</v>
      </c>
      <c r="DF218" s="125">
        <f>DF106/293.07*(1/(VLOOKUP($BM218,'Fuel economy adjusted factor'!$A$2:$L$52,5,FALSE)*m2k))</f>
        <v>2.9770103554983369</v>
      </c>
      <c r="DG218" s="125">
        <f>DG106/293.07*(1/(VLOOKUP($BM218,'Fuel economy adjusted factor'!$A$2:$L$52,5,FALSE)*m2k))</f>
        <v>2.9770103554983369</v>
      </c>
      <c r="DH218" s="125">
        <f>DH106/293.07*(1/(VLOOKUP($BM218,'Fuel economy adjusted factor'!$A$2:$L$52,5,FALSE)*m2k))</f>
        <v>2.9770103554983369</v>
      </c>
      <c r="DI218" s="125">
        <f>DI106/293.07*(1/(VLOOKUP($BM218,'Fuel economy adjusted factor'!$A$2:$L$52,5,FALSE)*m2k))</f>
        <v>2.9770103554983369</v>
      </c>
      <c r="DJ218" s="125">
        <f>DJ106/293.07*(1/(VLOOKUP($BM218,'Fuel economy adjusted factor'!$A$2:$L$52,5,FALSE)*m2k))</f>
        <v>3.1318148939842505</v>
      </c>
      <c r="DK218" s="125">
        <f>DK106/293.07*(1/(VLOOKUP($BM218,'Fuel economy adjusted factor'!$A$2:$L$52,5,FALSE)*m2k))</f>
        <v>3.1318148939842505</v>
      </c>
      <c r="DL218" s="125">
        <f>DL106/293.07*(1/(VLOOKUP($BM218,'Fuel economy adjusted factor'!$A$2:$L$52,5,FALSE)*m2k))</f>
        <v>3.1318148939842505</v>
      </c>
      <c r="DM218" s="125">
        <f>DM106/293.07*(1/(VLOOKUP($BM218,'Fuel economy adjusted factor'!$A$2:$L$52,5,FALSE)*m2k))</f>
        <v>3.1318148939842505</v>
      </c>
      <c r="DN218" s="125">
        <f>DN106/293.07*(1/(VLOOKUP($BM218,'Fuel economy adjusted factor'!$A$2:$L$52,5,FALSE)*m2k))</f>
        <v>3.1318148939842505</v>
      </c>
      <c r="DO218" s="125">
        <f>DO106/293.07*(1/(VLOOKUP($BM218,'Fuel economy adjusted factor'!$A$2:$L$52,5,FALSE)*m2k))</f>
        <v>3.2342240502133928</v>
      </c>
      <c r="DP218" s="125">
        <f>DP106/293.07*(1/(VLOOKUP($BM218,'Fuel economy adjusted factor'!$A$2:$L$52,5,FALSE)*m2k))</f>
        <v>3.2342240502133928</v>
      </c>
      <c r="DQ218" s="125">
        <f>DQ106/293.07*(1/(VLOOKUP($BM218,'Fuel economy adjusted factor'!$A$2:$L$52,5,FALSE)*m2k))</f>
        <v>3.2342240502133928</v>
      </c>
      <c r="DR218" s="125">
        <f>DR106/293.07*(1/(VLOOKUP($BM218,'Fuel economy adjusted factor'!$A$2:$L$52,5,FALSE)*m2k))</f>
        <v>3.2342240502133928</v>
      </c>
      <c r="DS218" s="125">
        <f>DS106/293.07*(1/(VLOOKUP($BM218,'Fuel economy adjusted factor'!$A$2:$L$52,5,FALSE)*m2k))</f>
        <v>3.2342240502133928</v>
      </c>
      <c r="DT218" s="125">
        <f>DT106/293.07*(1/(VLOOKUP($BM218,'Fuel economy adjusted factor'!$A$2:$L$52,5,FALSE)*m2k))</f>
        <v>3.364259862541561</v>
      </c>
      <c r="DU218" s="98" cm="1">
        <f t="array" ref="DU218">SUMPRODUCT(INDEX(CS218:DT218,,'TCO Inputs'!$AZ$12-2023+_xlfn.SEQUENCE('TCO Inputs'!$AZ$13))*INDEX('VKT US'!C108:AA108,,_xlfn.SEQUENCE('TCO Inputs'!$AZ$13)))*m2k*CONVERT(0.9072,"g","ton")</f>
        <v>2.7291963167811577</v>
      </c>
      <c r="DW218" s="123" t="s">
        <v>227</v>
      </c>
      <c r="DX218" s="125">
        <f>DX106/293.07*(1/(VLOOKUP($BM218,'Fuel economy adjusted factor'!$A$2:$L$52,5,FALSE)*m2k))/'TCO Inputs'!$AZ$84</f>
        <v>96.069849229469284</v>
      </c>
      <c r="DY218" s="125">
        <f>DY106/293.07*(1/(VLOOKUP($BM218,'Fuel economy adjusted factor'!$A$2:$L$52,5,FALSE)*m2k))/'TCO Inputs'!$AZ$84</f>
        <v>96.069849229469284</v>
      </c>
      <c r="DZ218" s="125">
        <f>DZ106/293.07*(1/(VLOOKUP($BM218,'Fuel economy adjusted factor'!$A$2:$L$52,5,FALSE)*m2k))/'TCO Inputs'!$AZ$84</f>
        <v>84.049414486051262</v>
      </c>
      <c r="EA218" s="125">
        <f>EA106/293.07*(1/(VLOOKUP($BM218,'Fuel economy adjusted factor'!$A$2:$L$52,5,FALSE)*m2k))/'TCO Inputs'!$AZ$84</f>
        <v>84.049414486051262</v>
      </c>
      <c r="EB218" s="125">
        <f>EB106/293.07*(1/(VLOOKUP($BM218,'Fuel economy adjusted factor'!$A$2:$L$52,5,FALSE)*m2k))/'TCO Inputs'!$AZ$84</f>
        <v>84.049414486051262</v>
      </c>
      <c r="EC218" s="125">
        <f>EC106/293.07*(1/(VLOOKUP($BM218,'Fuel economy adjusted factor'!$A$2:$L$52,5,FALSE)*m2k))/'TCO Inputs'!$AZ$84</f>
        <v>84.049414486051262</v>
      </c>
      <c r="ED218" s="125">
        <f>ED106/293.07*(1/(VLOOKUP($BM218,'Fuel economy adjusted factor'!$A$2:$L$52,5,FALSE)*m2k))/'TCO Inputs'!$AZ$84</f>
        <v>84.049414486051262</v>
      </c>
      <c r="EE218" s="125">
        <f>EE106/293.07*(1/(VLOOKUP($BM218,'Fuel economy adjusted factor'!$A$2:$L$52,5,FALSE)*m2k))/'TCO Inputs'!$AZ$84</f>
        <v>52.292317402167512</v>
      </c>
      <c r="EF218" s="125">
        <f>EF106/293.07*(1/(VLOOKUP($BM218,'Fuel economy adjusted factor'!$A$2:$L$52,5,FALSE)*m2k))/'TCO Inputs'!$AZ$84</f>
        <v>52.292317402167512</v>
      </c>
      <c r="EG218" s="125">
        <f>EG106/293.07*(1/(VLOOKUP($BM218,'Fuel economy adjusted factor'!$A$2:$L$52,5,FALSE)*m2k))/'TCO Inputs'!$AZ$84</f>
        <v>52.292317402167512</v>
      </c>
      <c r="EH218" s="125">
        <f>EH106/293.07*(1/(VLOOKUP($BM218,'Fuel economy adjusted factor'!$A$2:$L$52,5,FALSE)*m2k))/'TCO Inputs'!$AZ$84</f>
        <v>52.292317402167512</v>
      </c>
      <c r="EI218" s="125">
        <f>EI106/293.07*(1/(VLOOKUP($BM218,'Fuel economy adjusted factor'!$A$2:$L$52,5,FALSE)*m2k))/'TCO Inputs'!$AZ$84</f>
        <v>52.292317402167512</v>
      </c>
      <c r="EJ218" s="125">
        <f>EJ106/293.07*(1/(VLOOKUP($BM218,'Fuel economy adjusted factor'!$A$2:$L$52,5,FALSE)*m2k))/'TCO Inputs'!$AZ$84</f>
        <v>46.561290011658279</v>
      </c>
      <c r="EK218" s="125">
        <f>EK106/293.07*(1/(VLOOKUP($BM218,'Fuel economy adjusted factor'!$A$2:$L$52,5,FALSE)*m2k))/'TCO Inputs'!$AZ$84</f>
        <v>46.561290011658279</v>
      </c>
      <c r="EL218" s="125">
        <f>EL106/293.07*(1/(VLOOKUP($BM218,'Fuel economy adjusted factor'!$A$2:$L$52,5,FALSE)*m2k))/'TCO Inputs'!$AZ$84</f>
        <v>46.561290011658279</v>
      </c>
      <c r="EM218" s="125">
        <f>EM106/293.07*(1/(VLOOKUP($BM218,'Fuel economy adjusted factor'!$A$2:$L$52,5,FALSE)*m2k))/'TCO Inputs'!$AZ$84</f>
        <v>46.561290011658279</v>
      </c>
      <c r="EN218" s="125">
        <f>EN106/293.07*(1/(VLOOKUP($BM218,'Fuel economy adjusted factor'!$A$2:$L$52,5,FALSE)*m2k))/'TCO Inputs'!$AZ$84</f>
        <v>46.561290011658279</v>
      </c>
      <c r="EO218" s="125">
        <f>EO106/293.07*(1/(VLOOKUP($BM218,'Fuel economy adjusted factor'!$A$2:$L$52,5,FALSE)*m2k))/'TCO Inputs'!$AZ$84</f>
        <v>45.243024802736834</v>
      </c>
      <c r="EP218" s="125">
        <f>EP106/293.07*(1/(VLOOKUP($BM218,'Fuel economy adjusted factor'!$A$2:$L$52,5,FALSE)*m2k))/'TCO Inputs'!$AZ$84</f>
        <v>45.243024802736834</v>
      </c>
      <c r="EQ218" s="125">
        <f>EQ106/293.07*(1/(VLOOKUP($BM218,'Fuel economy adjusted factor'!$A$2:$L$52,5,FALSE)*m2k))/'TCO Inputs'!$AZ$84</f>
        <v>45.243024802736834</v>
      </c>
      <c r="ER218" s="125">
        <f>ER106/293.07*(1/(VLOOKUP($BM218,'Fuel economy adjusted factor'!$A$2:$L$52,5,FALSE)*m2k))/'TCO Inputs'!$AZ$84</f>
        <v>45.243024802736834</v>
      </c>
      <c r="ES218" s="125">
        <f>ES106/293.07*(1/(VLOOKUP($BM218,'Fuel economy adjusted factor'!$A$2:$L$52,5,FALSE)*m2k))/'TCO Inputs'!$AZ$84</f>
        <v>45.243024802736834</v>
      </c>
      <c r="ET218" s="125">
        <f>ET106/293.07*(1/(VLOOKUP($BM218,'Fuel economy adjusted factor'!$A$2:$L$52,5,FALSE)*m2k))/'TCO Inputs'!$AZ$84</f>
        <v>43.641838033280017</v>
      </c>
      <c r="EU218" s="125">
        <f>EU106/293.07*(1/(VLOOKUP($BM218,'Fuel economy adjusted factor'!$A$2:$L$52,5,FALSE)*m2k))/'TCO Inputs'!$AZ$84</f>
        <v>43.641838033280017</v>
      </c>
      <c r="EV218" s="125">
        <f>EV106/293.07*(1/(VLOOKUP($BM218,'Fuel economy adjusted factor'!$A$2:$L$52,5,FALSE)*m2k))/'TCO Inputs'!$AZ$84</f>
        <v>43.641838033280017</v>
      </c>
      <c r="EW218" s="125">
        <f>EW106/293.07*(1/(VLOOKUP($BM218,'Fuel economy adjusted factor'!$A$2:$L$52,5,FALSE)*m2k))/'TCO Inputs'!$AZ$84</f>
        <v>43.641838033280017</v>
      </c>
      <c r="EX218" s="125">
        <f>EX106/293.07*(1/(VLOOKUP($BM218,'Fuel economy adjusted factor'!$A$2:$L$52,5,FALSE)*m2k))/'TCO Inputs'!$AZ$84</f>
        <v>43.641838033280017</v>
      </c>
      <c r="EY218" s="125">
        <f>EY106/293.07*(1/(VLOOKUP($BM218,'Fuel economy adjusted factor'!$A$2:$L$52,5,FALSE)*m2k))/'TCO Inputs'!$AZ$84</f>
        <v>41.090116236700716</v>
      </c>
      <c r="EZ218" s="98" cm="1">
        <f t="array" ref="EZ218">SUMPRODUCT(INDEX(DX218:EY218,,'TCO Inputs'!$AZ$12-2023+_xlfn.SEQUENCE('TCO Inputs'!$AZ$13))*INDEX('VKT US'!C108:AA108,,_xlfn.SEQUENCE('TCO Inputs'!$AZ$13)))*m2k*CONVERT(0.9072,"g","ton")</f>
        <v>21.811422592433377</v>
      </c>
      <c r="FB218" s="123" t="s">
        <v>227</v>
      </c>
      <c r="FC218" s="125">
        <f>FC106/293.07*(1/(VLOOKUP($BM218,'Fuel economy adjusted factor'!$A$2:$L$52,5,FALSE)*m2k))/'TCO Inputs'!$AZ$84</f>
        <v>103.85256678558763</v>
      </c>
      <c r="FD218" s="125">
        <f>FD106/293.07*(1/(VLOOKUP($BM218,'Fuel economy adjusted factor'!$A$2:$L$52,5,FALSE)*m2k))/'TCO Inputs'!$AZ$84</f>
        <v>103.85256678558763</v>
      </c>
      <c r="FE218" s="125">
        <f>FE106/293.07*(1/(VLOOKUP($BM218,'Fuel economy adjusted factor'!$A$2:$L$52,5,FALSE)*m2k))/'TCO Inputs'!$AZ$84</f>
        <v>90.542362529992715</v>
      </c>
      <c r="FF218" s="125">
        <f>FF106/293.07*(1/(VLOOKUP($BM218,'Fuel economy adjusted factor'!$A$2:$L$52,5,FALSE)*m2k))/'TCO Inputs'!$AZ$84</f>
        <v>90.542362529992715</v>
      </c>
      <c r="FG218" s="125">
        <f>FG106/293.07*(1/(VLOOKUP($BM218,'Fuel economy adjusted factor'!$A$2:$L$52,5,FALSE)*m2k))/'TCO Inputs'!$AZ$84</f>
        <v>90.542362529992715</v>
      </c>
      <c r="FH218" s="125">
        <f>FH106/293.07*(1/(VLOOKUP($BM218,'Fuel economy adjusted factor'!$A$2:$L$52,5,FALSE)*m2k))/'TCO Inputs'!$AZ$84</f>
        <v>90.542362529992715</v>
      </c>
      <c r="FI218" s="125">
        <f>FI106/293.07*(1/(VLOOKUP($BM218,'Fuel economy adjusted factor'!$A$2:$L$52,5,FALSE)*m2k))/'TCO Inputs'!$AZ$84</f>
        <v>90.542362529992715</v>
      </c>
      <c r="FJ218" s="125">
        <f>FJ106/293.07*(1/(VLOOKUP($BM218,'Fuel economy adjusted factor'!$A$2:$L$52,5,FALSE)*m2k))/'TCO Inputs'!$AZ$84</f>
        <v>57.268887297915761</v>
      </c>
      <c r="FK218" s="125">
        <f>FK106/293.07*(1/(VLOOKUP($BM218,'Fuel economy adjusted factor'!$A$2:$L$52,5,FALSE)*m2k))/'TCO Inputs'!$AZ$84</f>
        <v>57.268887297915761</v>
      </c>
      <c r="FL218" s="125">
        <f>FL106/293.07*(1/(VLOOKUP($BM218,'Fuel economy adjusted factor'!$A$2:$L$52,5,FALSE)*m2k))/'TCO Inputs'!$AZ$84</f>
        <v>57.268887297915761</v>
      </c>
      <c r="FM218" s="125">
        <f>FM106/293.07*(1/(VLOOKUP($BM218,'Fuel economy adjusted factor'!$A$2:$L$52,5,FALSE)*m2k))/'TCO Inputs'!$AZ$84</f>
        <v>57.268887297915761</v>
      </c>
      <c r="FN218" s="125">
        <f>FN106/293.07*(1/(VLOOKUP($BM218,'Fuel economy adjusted factor'!$A$2:$L$52,5,FALSE)*m2k))/'TCO Inputs'!$AZ$84</f>
        <v>57.268887297915761</v>
      </c>
      <c r="FO218" s="125">
        <f>FO106/293.07*(1/(VLOOKUP($BM218,'Fuel economy adjusted factor'!$A$2:$L$52,5,FALSE)*m2k))/'TCO Inputs'!$AZ$84</f>
        <v>50.723697143275928</v>
      </c>
      <c r="FP218" s="125">
        <f>FP106/293.07*(1/(VLOOKUP($BM218,'Fuel economy adjusted factor'!$A$2:$L$52,5,FALSE)*m2k))/'TCO Inputs'!$AZ$84</f>
        <v>50.723697143275928</v>
      </c>
      <c r="FQ218" s="125">
        <f>FQ106/293.07*(1/(VLOOKUP($BM218,'Fuel economy adjusted factor'!$A$2:$L$52,5,FALSE)*m2k))/'TCO Inputs'!$AZ$84</f>
        <v>50.723697143275928</v>
      </c>
      <c r="FR218" s="125">
        <f>FR106/293.07*(1/(VLOOKUP($BM218,'Fuel economy adjusted factor'!$A$2:$L$52,5,FALSE)*m2k))/'TCO Inputs'!$AZ$84</f>
        <v>50.723697143275928</v>
      </c>
      <c r="FS218" s="125">
        <f>FS106/293.07*(1/(VLOOKUP($BM218,'Fuel economy adjusted factor'!$A$2:$L$52,5,FALSE)*m2k))/'TCO Inputs'!$AZ$84</f>
        <v>50.723697143275928</v>
      </c>
      <c r="FT218" s="125">
        <f>FT106/293.07*(1/(VLOOKUP($BM218,'Fuel economy adjusted factor'!$A$2:$L$52,5,FALSE)*m2k))/'TCO Inputs'!$AZ$84</f>
        <v>49.565550611300161</v>
      </c>
      <c r="FU218" s="125">
        <f>FU106/293.07*(1/(VLOOKUP($BM218,'Fuel economy adjusted factor'!$A$2:$L$52,5,FALSE)*m2k))/'TCO Inputs'!$AZ$84</f>
        <v>49.565550611300161</v>
      </c>
      <c r="FV218" s="125">
        <f>FV106/293.07*(1/(VLOOKUP($BM218,'Fuel economy adjusted factor'!$A$2:$L$52,5,FALSE)*m2k))/'TCO Inputs'!$AZ$84</f>
        <v>49.565550611300161</v>
      </c>
      <c r="FW218" s="125">
        <f>FW106/293.07*(1/(VLOOKUP($BM218,'Fuel economy adjusted factor'!$A$2:$L$52,5,FALSE)*m2k))/'TCO Inputs'!$AZ$84</f>
        <v>49.565550611300161</v>
      </c>
      <c r="FX218" s="125">
        <f>FX106/293.07*(1/(VLOOKUP($BM218,'Fuel economy adjusted factor'!$A$2:$L$52,5,FALSE)*m2k))/'TCO Inputs'!$AZ$84</f>
        <v>49.565550611300161</v>
      </c>
      <c r="FY218" s="125">
        <f>FY106/293.07*(1/(VLOOKUP($BM218,'Fuel economy adjusted factor'!$A$2:$L$52,5,FALSE)*m2k))/'TCO Inputs'!$AZ$84</f>
        <v>47.961649965962913</v>
      </c>
      <c r="FZ218" s="125">
        <f>FZ106/293.07*(1/(VLOOKUP($BM218,'Fuel economy adjusted factor'!$A$2:$L$52,5,FALSE)*m2k))/'TCO Inputs'!$AZ$84</f>
        <v>47.961649965962913</v>
      </c>
      <c r="GA218" s="125">
        <f>GA106/293.07*(1/(VLOOKUP($BM218,'Fuel economy adjusted factor'!$A$2:$L$52,5,FALSE)*m2k))/'TCO Inputs'!$AZ$84</f>
        <v>47.961649965962913</v>
      </c>
      <c r="GB218" s="125">
        <f>GB106/293.07*(1/(VLOOKUP($BM218,'Fuel economy adjusted factor'!$A$2:$L$52,5,FALSE)*m2k))/'TCO Inputs'!$AZ$84</f>
        <v>47.961649965962913</v>
      </c>
      <c r="GC218" s="125">
        <f>GC106/293.07*(1/(VLOOKUP($BM218,'Fuel economy adjusted factor'!$A$2:$L$52,5,FALSE)*m2k))/'TCO Inputs'!$AZ$84</f>
        <v>47.961649965962913</v>
      </c>
      <c r="GD218" s="125">
        <f>GD106/293.07*(1/(VLOOKUP($BM218,'Fuel economy adjusted factor'!$A$2:$L$52,5,FALSE)*m2k))/'TCO Inputs'!$AZ$84</f>
        <v>45.323084141209691</v>
      </c>
      <c r="GE218" s="98" cm="1">
        <f t="array" ref="GE218">SUMPRODUCT(INDEX(FC218:GD218,,'TCO Inputs'!$AZ$12-2023+_xlfn.SEQUENCE('TCO Inputs'!$AZ$13))*INDEX('VKT US'!C108:AA108,,_xlfn.SEQUENCE('TCO Inputs'!$AZ$13)))*m2k*CONVERT(0.9072,"g","ton")</f>
        <v>23.630715816434332</v>
      </c>
      <c r="GH218" s="123" t="s">
        <v>227</v>
      </c>
      <c r="GI218" s="125">
        <f>GI106/293.07*(1/(VLOOKUP($GH218,'Fuel economy adjusted factor'!$A$2:$L$52,5,FALSE)*m2k))/'TCO Inputs'!$AZ$84</f>
        <v>182.82345947883906</v>
      </c>
      <c r="GJ218" s="125">
        <f>GJ106/293.07*(1/(VLOOKUP($GH218,'Fuel economy adjusted factor'!$A$2:$L$52,5,FALSE)*m2k))/'TCO Inputs'!$AZ$84</f>
        <v>182.82345947883906</v>
      </c>
      <c r="GK218" s="125">
        <f>GK106/293.07*(1/(VLOOKUP($GH218,'Fuel economy adjusted factor'!$A$2:$L$52,5,FALSE)*m2k))/'TCO Inputs'!$AZ$84</f>
        <v>182.82345947883906</v>
      </c>
      <c r="GL218" s="125">
        <f>GL106/293.07*(1/(VLOOKUP($GH218,'Fuel economy adjusted factor'!$A$2:$L$52,5,FALSE)*m2k))/'TCO Inputs'!$AZ$84</f>
        <v>182.82345947883906</v>
      </c>
      <c r="GM218" s="125">
        <f>GM106/293.07*(1/(VLOOKUP($GH218,'Fuel economy adjusted factor'!$A$2:$L$52,5,FALSE)*m2k))/'TCO Inputs'!$AZ$84</f>
        <v>182.82345947883906</v>
      </c>
      <c r="GN218" s="125">
        <f>GN106/293.07*(1/(VLOOKUP($GH218,'Fuel economy adjusted factor'!$A$2:$L$52,5,FALSE)*m2k))/'TCO Inputs'!$AZ$84</f>
        <v>182.82345947883906</v>
      </c>
      <c r="GO218" s="125">
        <f>GO106/293.07*(1/(VLOOKUP($GH218,'Fuel economy adjusted factor'!$A$2:$L$52,5,FALSE)*m2k))/'TCO Inputs'!$AZ$84</f>
        <v>182.82345947883906</v>
      </c>
      <c r="GP218" s="125">
        <f>GP106/293.07*(1/(VLOOKUP($GH218,'Fuel economy adjusted factor'!$A$2:$L$52,5,FALSE)*m2k))/'TCO Inputs'!$AZ$84</f>
        <v>182.82345947883906</v>
      </c>
      <c r="GQ218" s="125">
        <f>GQ106/293.07*(1/(VLOOKUP($GH218,'Fuel economy adjusted factor'!$A$2:$L$52,5,FALSE)*m2k))/'TCO Inputs'!$AZ$84</f>
        <v>182.82345947883906</v>
      </c>
      <c r="GR218" s="125">
        <f>GR106/293.07*(1/(VLOOKUP($GH218,'Fuel economy adjusted factor'!$A$2:$L$52,5,FALSE)*m2k))/'TCO Inputs'!$AZ$84</f>
        <v>182.82345947883906</v>
      </c>
      <c r="GS218" s="125">
        <f>GS106/293.07*(1/(VLOOKUP($GH218,'Fuel economy adjusted factor'!$A$2:$L$52,5,FALSE)*m2k))/'TCO Inputs'!$AZ$84</f>
        <v>182.82345947883906</v>
      </c>
      <c r="GT218" s="125">
        <f>GT106/293.07*(1/(VLOOKUP($GH218,'Fuel economy adjusted factor'!$A$2:$L$52,5,FALSE)*m2k))/'TCO Inputs'!$AZ$84</f>
        <v>182.82345947883906</v>
      </c>
      <c r="GU218" s="125">
        <f>GU106/293.07*(1/(VLOOKUP($GH218,'Fuel economy adjusted factor'!$A$2:$L$52,5,FALSE)*m2k))/'TCO Inputs'!$AZ$84</f>
        <v>182.82345947883906</v>
      </c>
      <c r="GV218" s="125">
        <f>GV106/293.07*(1/(VLOOKUP($GH218,'Fuel economy adjusted factor'!$A$2:$L$52,5,FALSE)*m2k))/'TCO Inputs'!$AZ$84</f>
        <v>182.82345947883906</v>
      </c>
      <c r="GW218" s="125">
        <f>GW106/293.07*(1/(VLOOKUP($GH218,'Fuel economy adjusted factor'!$A$2:$L$52,5,FALSE)*m2k))/'TCO Inputs'!$AZ$84</f>
        <v>182.82345947883906</v>
      </c>
      <c r="GX218" s="125">
        <f>GX106/293.07*(1/(VLOOKUP($GH218,'Fuel economy adjusted factor'!$A$2:$L$52,5,FALSE)*m2k))/'TCO Inputs'!$AZ$84</f>
        <v>182.82345947883906</v>
      </c>
      <c r="GY218" s="125">
        <f>GY106/293.07*(1/(VLOOKUP($GH218,'Fuel economy adjusted factor'!$A$2:$L$52,5,FALSE)*m2k))/'TCO Inputs'!$AZ$84</f>
        <v>182.82345947883906</v>
      </c>
      <c r="GZ218" s="125">
        <f>GZ106/293.07*(1/(VLOOKUP($GH218,'Fuel economy adjusted factor'!$A$2:$L$52,5,FALSE)*m2k))/'TCO Inputs'!$AZ$84</f>
        <v>182.82345947883906</v>
      </c>
      <c r="HA218" s="125">
        <f>HA106/293.07*(1/(VLOOKUP($GH218,'Fuel economy adjusted factor'!$A$2:$L$52,5,FALSE)*m2k))/'TCO Inputs'!$AZ$84</f>
        <v>182.82345947883906</v>
      </c>
      <c r="HB218" s="125">
        <f>HB106/293.07*(1/(VLOOKUP($GH218,'Fuel economy adjusted factor'!$A$2:$L$52,5,FALSE)*m2k))/'TCO Inputs'!$AZ$84</f>
        <v>182.82345947883906</v>
      </c>
      <c r="HC218" s="125">
        <f>HC106/293.07*(1/(VLOOKUP($GH218,'Fuel economy adjusted factor'!$A$2:$L$52,5,FALSE)*m2k))/'TCO Inputs'!$AZ$84</f>
        <v>182.82345947883906</v>
      </c>
      <c r="HD218" s="125">
        <f>HD106/293.07*(1/(VLOOKUP($GH218,'Fuel economy adjusted factor'!$A$2:$L$52,5,FALSE)*m2k))/'TCO Inputs'!$AZ$84</f>
        <v>182.82345947883906</v>
      </c>
      <c r="HE218" s="125">
        <f>HE106/293.07*(1/(VLOOKUP($GH218,'Fuel economy adjusted factor'!$A$2:$L$52,5,FALSE)*m2k))/'TCO Inputs'!$AZ$84</f>
        <v>182.82345947883906</v>
      </c>
      <c r="HF218" s="125">
        <f>HF106/293.07*(1/(VLOOKUP($GH218,'Fuel economy adjusted factor'!$A$2:$L$52,5,FALSE)*m2k))/'TCO Inputs'!$AZ$84</f>
        <v>182.82345947883906</v>
      </c>
      <c r="HG218" s="125">
        <f>HG106/293.07*(1/(VLOOKUP($GH218,'Fuel economy adjusted factor'!$A$2:$L$52,5,FALSE)*m2k))/'TCO Inputs'!$AZ$84</f>
        <v>182.82345947883906</v>
      </c>
      <c r="HH218" s="125">
        <f>HH106/293.07*(1/(VLOOKUP($GH218,'Fuel economy adjusted factor'!$A$2:$L$52,5,FALSE)*m2k))/'TCO Inputs'!$AZ$84</f>
        <v>182.82345947883906</v>
      </c>
      <c r="HI218" s="125">
        <f>HI106/293.07*(1/(VLOOKUP($GH218,'Fuel economy adjusted factor'!$A$2:$L$52,5,FALSE)*m2k))/'TCO Inputs'!$AZ$84</f>
        <v>182.82345947883906</v>
      </c>
      <c r="HJ218" s="125">
        <f>HJ106/293.07*(1/(VLOOKUP($GH218,'Fuel economy adjusted factor'!$A$2:$L$52,5,FALSE)*m2k))/'TCO Inputs'!$AZ$84</f>
        <v>182.82345947883906</v>
      </c>
      <c r="HK218" s="98" cm="1">
        <f t="array" ref="HK218">SUMPRODUCT(INDEX(GI218:HJ218,,'TCO Inputs'!$AZ$12-2023+_xlfn.SEQUENCE('TCO Inputs'!$AZ$13))*INDEX('VKT US'!C108:AA108,,_xlfn.SEQUENCE('TCO Inputs'!$AZ$13)))*m2k*CONVERT(0.9072,"g","ton")</f>
        <v>56.076112761972581</v>
      </c>
    </row>
    <row r="219" spans="26:219" x14ac:dyDescent="0.25">
      <c r="Z219" s="123" t="s">
        <v>229</v>
      </c>
      <c r="AA219" s="125">
        <f>AA107/293.07*(1/(VLOOKUP($Z219,'Fuel economy adjusted factor'!$A$2:$L$52,5,FALSE)*m2k))/'TCO Inputs'!$AZ$84</f>
        <v>35.553721193934599</v>
      </c>
      <c r="AB219" s="125">
        <f>AB107/293.07*(1/(VLOOKUP($Z219,'Fuel economy adjusted factor'!$A$2:$L$52,5,FALSE)*m2k))/'TCO Inputs'!$AZ$84</f>
        <v>35.553721193934599</v>
      </c>
      <c r="AC219" s="125">
        <f>AC107/293.07*(1/(VLOOKUP($Z219,'Fuel economy adjusted factor'!$A$2:$L$52,5,FALSE)*m2k))/'TCO Inputs'!$AZ$84</f>
        <v>31.228453642301584</v>
      </c>
      <c r="AD219" s="125">
        <f>AD107/293.07*(1/(VLOOKUP($Z219,'Fuel economy adjusted factor'!$A$2:$L$52,5,FALSE)*m2k))/'TCO Inputs'!$AZ$84</f>
        <v>31.228453642301584</v>
      </c>
      <c r="AE219" s="125">
        <f>AE107/293.07*(1/(VLOOKUP($Z219,'Fuel economy adjusted factor'!$A$2:$L$52,5,FALSE)*m2k))/'TCO Inputs'!$AZ$84</f>
        <v>31.228453642301584</v>
      </c>
      <c r="AF219" s="125">
        <f>AF107/293.07*(1/(VLOOKUP($Z219,'Fuel economy adjusted factor'!$A$2:$L$52,5,FALSE)*m2k))/'TCO Inputs'!$AZ$84</f>
        <v>31.228453642301584</v>
      </c>
      <c r="AG219" s="125">
        <f>AG107/293.07*(1/(VLOOKUP($Z219,'Fuel economy adjusted factor'!$A$2:$L$52,5,FALSE)*m2k))/'TCO Inputs'!$AZ$84</f>
        <v>31.228453642301584</v>
      </c>
      <c r="AH219" s="125">
        <f>AH107/293.07*(1/(VLOOKUP($Z219,'Fuel economy adjusted factor'!$A$2:$L$52,5,FALSE)*m2k))/'TCO Inputs'!$AZ$84</f>
        <v>11.806670725162689</v>
      </c>
      <c r="AI219" s="125">
        <f>AI107/293.07*(1/(VLOOKUP($Z219,'Fuel economy adjusted factor'!$A$2:$L$52,5,FALSE)*m2k))/'TCO Inputs'!$AZ$84</f>
        <v>11.806670725162689</v>
      </c>
      <c r="AJ219" s="125">
        <f>AJ107/293.07*(1/(VLOOKUP($Z219,'Fuel economy adjusted factor'!$A$2:$L$52,5,FALSE)*m2k))/'TCO Inputs'!$AZ$84</f>
        <v>11.806670725162689</v>
      </c>
      <c r="AK219" s="125">
        <f>AK107/293.07*(1/(VLOOKUP($Z219,'Fuel economy adjusted factor'!$A$2:$L$52,5,FALSE)*m2k))/'TCO Inputs'!$AZ$84</f>
        <v>11.806670725162689</v>
      </c>
      <c r="AL219" s="125">
        <f>AL107/293.07*(1/(VLOOKUP($Z219,'Fuel economy adjusted factor'!$A$2:$L$52,5,FALSE)*m2k))/'TCO Inputs'!$AZ$84</f>
        <v>11.806670725162689</v>
      </c>
      <c r="AM219" s="125">
        <f>AM107/293.07*(1/(VLOOKUP($Z219,'Fuel economy adjusted factor'!$A$2:$L$52,5,FALSE)*m2k))/'TCO Inputs'!$AZ$84</f>
        <v>9.9235107174106485</v>
      </c>
      <c r="AN219" s="125">
        <f>AN107/293.07*(1/(VLOOKUP($Z219,'Fuel economy adjusted factor'!$A$2:$L$52,5,FALSE)*m2k))/'TCO Inputs'!$AZ$84</f>
        <v>9.9235107174106485</v>
      </c>
      <c r="AO219" s="125">
        <f>AO107/293.07*(1/(VLOOKUP($Z219,'Fuel economy adjusted factor'!$A$2:$L$52,5,FALSE)*m2k))/'TCO Inputs'!$AZ$84</f>
        <v>9.9235107174106485</v>
      </c>
      <c r="AP219" s="125">
        <f>AP107/293.07*(1/(VLOOKUP($Z219,'Fuel economy adjusted factor'!$A$2:$L$52,5,FALSE)*m2k))/'TCO Inputs'!$AZ$84</f>
        <v>9.9235107174106485</v>
      </c>
      <c r="AQ219" s="125">
        <f>AQ107/293.07*(1/(VLOOKUP($Z219,'Fuel economy adjusted factor'!$A$2:$L$52,5,FALSE)*m2k))/'TCO Inputs'!$AZ$84</f>
        <v>9.9235107174106485</v>
      </c>
      <c r="AR219" s="125">
        <f>AR107/293.07*(1/(VLOOKUP($Z219,'Fuel economy adjusted factor'!$A$2:$L$52,5,FALSE)*m2k))/'TCO Inputs'!$AZ$84</f>
        <v>9.9235107174106485</v>
      </c>
      <c r="AS219" s="125">
        <f>AS107/293.07*(1/(VLOOKUP($Z219,'Fuel economy adjusted factor'!$A$2:$L$52,5,FALSE)*m2k))/'TCO Inputs'!$AZ$84</f>
        <v>9.9235107174106485</v>
      </c>
      <c r="AT219" s="125">
        <f>AT107/293.07*(1/(VLOOKUP($Z219,'Fuel economy adjusted factor'!$A$2:$L$52,5,FALSE)*m2k))/'TCO Inputs'!$AZ$84</f>
        <v>9.9235107174106485</v>
      </c>
      <c r="AU219" s="125">
        <f>AU107/293.07*(1/(VLOOKUP($Z219,'Fuel economy adjusted factor'!$A$2:$L$52,5,FALSE)*m2k))/'TCO Inputs'!$AZ$84</f>
        <v>9.9235107174106485</v>
      </c>
      <c r="AV219" s="125">
        <f>AV107/293.07*(1/(VLOOKUP($Z219,'Fuel economy adjusted factor'!$A$2:$L$52,5,FALSE)*m2k))/'TCO Inputs'!$AZ$84</f>
        <v>9.9235107174106485</v>
      </c>
      <c r="AW219" s="125">
        <f>AW107/293.07*(1/(VLOOKUP($Z219,'Fuel economy adjusted factor'!$A$2:$L$52,5,FALSE)*m2k))/'TCO Inputs'!$AZ$84</f>
        <v>9.970363672644984</v>
      </c>
      <c r="AX219" s="125">
        <f>AX107/293.07*(1/(VLOOKUP($Z219,'Fuel economy adjusted factor'!$A$2:$L$52,5,FALSE)*m2k))/'TCO Inputs'!$AZ$84</f>
        <v>9.970363672644984</v>
      </c>
      <c r="AY219" s="125">
        <f>AY107/293.07*(1/(VLOOKUP($Z219,'Fuel economy adjusted factor'!$A$2:$L$52,5,FALSE)*m2k))/'TCO Inputs'!$AZ$84</f>
        <v>9.970363672644984</v>
      </c>
      <c r="AZ219" s="125">
        <f>AZ107/293.07*(1/(VLOOKUP($Z219,'Fuel economy adjusted factor'!$A$2:$L$52,5,FALSE)*m2k))/'TCO Inputs'!$AZ$84</f>
        <v>9.970363672644984</v>
      </c>
      <c r="BA219" s="125">
        <f>BA107/293.07*(1/(VLOOKUP($Z219,'Fuel economy adjusted factor'!$A$2:$L$52,5,FALSE)*m2k))/'TCO Inputs'!$AZ$84</f>
        <v>9.970363672644984</v>
      </c>
      <c r="BB219" s="125">
        <f>BB107/293.07*(1/(VLOOKUP($Z219,'Fuel economy adjusted factor'!$A$2:$L$52,5,FALSE)*m2k))/'TCO Inputs'!$AZ$84</f>
        <v>10.029272359050731</v>
      </c>
      <c r="BC219" s="98" cm="1">
        <f t="array" ref="BC219">SUMPRODUCT(INDEX(AA219:BB219,,'TCO Inputs'!$AZ$12-2023+_xlfn.SEQUENCE('TCO Inputs'!$AZ$13))*INDEX('VKT US'!C109:AA109,,_xlfn.SEQUENCE('TCO Inputs'!$AZ$13)))*m2k*CONVERT(0.9072,"g","ton")</f>
        <v>5.3233172132372628</v>
      </c>
      <c r="BM219" s="123" t="s">
        <v>229</v>
      </c>
      <c r="BN219" s="125">
        <f>BN107/293.07*(1/(VLOOKUP($BM219,'Fuel economy adjusted factor'!$A$2:$L$52,5,FALSE)*m2k))</f>
        <v>30.220663014844408</v>
      </c>
      <c r="BO219" s="125">
        <f>BO107/293.07*(1/(VLOOKUP($BM219,'Fuel economy adjusted factor'!$A$2:$L$52,5,FALSE)*m2k))</f>
        <v>30.220663014844408</v>
      </c>
      <c r="BP219" s="125">
        <f>BP107/293.07*(1/(VLOOKUP($BM219,'Fuel economy adjusted factor'!$A$2:$L$52,5,FALSE)*m2k))</f>
        <v>23.822111095008434</v>
      </c>
      <c r="BQ219" s="125">
        <f>BQ107/293.07*(1/(VLOOKUP($BM219,'Fuel economy adjusted factor'!$A$2:$L$52,5,FALSE)*m2k))</f>
        <v>23.822111095008434</v>
      </c>
      <c r="BR219" s="125">
        <f>BR107/293.07*(1/(VLOOKUP($BM219,'Fuel economy adjusted factor'!$A$2:$L$52,5,FALSE)*m2k))</f>
        <v>23.822111095008434</v>
      </c>
      <c r="BS219" s="125">
        <f>BS107/293.07*(1/(VLOOKUP($BM219,'Fuel economy adjusted factor'!$A$2:$L$52,5,FALSE)*m2k))</f>
        <v>23.822111095008434</v>
      </c>
      <c r="BT219" s="125">
        <f>BT107/293.07*(1/(VLOOKUP($BM219,'Fuel economy adjusted factor'!$A$2:$L$52,5,FALSE)*m2k))</f>
        <v>23.822111095008434</v>
      </c>
      <c r="BU219" s="125">
        <f>BU107/293.07*(1/(VLOOKUP($BM219,'Fuel economy adjusted factor'!$A$2:$L$52,5,FALSE)*m2k))</f>
        <v>1.3456661932304081</v>
      </c>
      <c r="BV219" s="125">
        <f>BV107/293.07*(1/(VLOOKUP($BM219,'Fuel economy adjusted factor'!$A$2:$L$52,5,FALSE)*m2k))</f>
        <v>1.3456661932304081</v>
      </c>
      <c r="BW219" s="125">
        <f>BW107/293.07*(1/(VLOOKUP($BM219,'Fuel economy adjusted factor'!$A$2:$L$52,5,FALSE)*m2k))</f>
        <v>1.3456661932304081</v>
      </c>
      <c r="BX219" s="125">
        <f>BX107/293.07*(1/(VLOOKUP($BM219,'Fuel economy adjusted factor'!$A$2:$L$52,5,FALSE)*m2k))</f>
        <v>1.3456661932304081</v>
      </c>
      <c r="BY219" s="125">
        <f>BY107/293.07*(1/(VLOOKUP($BM219,'Fuel economy adjusted factor'!$A$2:$L$52,5,FALSE)*m2k))</f>
        <v>1.3456661932304081</v>
      </c>
      <c r="BZ219" s="125">
        <f>BZ107/293.07*(1/(VLOOKUP($BM219,'Fuel economy adjusted factor'!$A$2:$L$52,5,FALSE)*m2k))</f>
        <v>1.4034241052970646</v>
      </c>
      <c r="CA219" s="125">
        <f>CA107/293.07*(1/(VLOOKUP($BM219,'Fuel economy adjusted factor'!$A$2:$L$52,5,FALSE)*m2k))</f>
        <v>1.4034241052970646</v>
      </c>
      <c r="CB219" s="125">
        <f>CB107/293.07*(1/(VLOOKUP($BM219,'Fuel economy adjusted factor'!$A$2:$L$52,5,FALSE)*m2k))</f>
        <v>1.4034241052970646</v>
      </c>
      <c r="CC219" s="125">
        <f>CC107/293.07*(1/(VLOOKUP($BM219,'Fuel economy adjusted factor'!$A$2:$L$52,5,FALSE)*m2k))</f>
        <v>1.4034241052970646</v>
      </c>
      <c r="CD219" s="125">
        <f>CD107/293.07*(1/(VLOOKUP($BM219,'Fuel economy adjusted factor'!$A$2:$L$52,5,FALSE)*m2k))</f>
        <v>1.4034241052970646</v>
      </c>
      <c r="CE219" s="125">
        <f>CE107/293.07*(1/(VLOOKUP($BM219,'Fuel economy adjusted factor'!$A$2:$L$52,5,FALSE)*m2k))</f>
        <v>1.4229872690615772</v>
      </c>
      <c r="CF219" s="125">
        <f>CF107/293.07*(1/(VLOOKUP($BM219,'Fuel economy adjusted factor'!$A$2:$L$52,5,FALSE)*m2k))</f>
        <v>1.4229872690615772</v>
      </c>
      <c r="CG219" s="125">
        <f>CG107/293.07*(1/(VLOOKUP($BM219,'Fuel economy adjusted factor'!$A$2:$L$52,5,FALSE)*m2k))</f>
        <v>1.4229872690615772</v>
      </c>
      <c r="CH219" s="125">
        <f>CH107/293.07*(1/(VLOOKUP($BM219,'Fuel economy adjusted factor'!$A$2:$L$52,5,FALSE)*m2k))</f>
        <v>1.4229872690615772</v>
      </c>
      <c r="CI219" s="125">
        <f>CI107/293.07*(1/(VLOOKUP($BM219,'Fuel economy adjusted factor'!$A$2:$L$52,5,FALSE)*m2k))</f>
        <v>1.4229872690615772</v>
      </c>
      <c r="CJ219" s="125">
        <f>CJ107/293.07*(1/(VLOOKUP($BM219,'Fuel economy adjusted factor'!$A$2:$L$52,5,FALSE)*m2k))</f>
        <v>1.473059652506461</v>
      </c>
      <c r="CK219" s="125">
        <f>CK107/293.07*(1/(VLOOKUP($BM219,'Fuel economy adjusted factor'!$A$2:$L$52,5,FALSE)*m2k))</f>
        <v>1.473059652506461</v>
      </c>
      <c r="CL219" s="125">
        <f>CL107/293.07*(1/(VLOOKUP($BM219,'Fuel economy adjusted factor'!$A$2:$L$52,5,FALSE)*m2k))</f>
        <v>1.473059652506461</v>
      </c>
      <c r="CM219" s="125">
        <f>CM107/293.07*(1/(VLOOKUP($BM219,'Fuel economy adjusted factor'!$A$2:$L$52,5,FALSE)*m2k))</f>
        <v>1.473059652506461</v>
      </c>
      <c r="CN219" s="125">
        <f>CN107/293.07*(1/(VLOOKUP($BM219,'Fuel economy adjusted factor'!$A$2:$L$52,5,FALSE)*m2k))</f>
        <v>1.473059652506461</v>
      </c>
      <c r="CO219" s="125">
        <f>CO107/293.07*(1/(VLOOKUP($BM219,'Fuel economy adjusted factor'!$A$2:$L$52,5,FALSE)*m2k))</f>
        <v>1.5364070399344067</v>
      </c>
      <c r="CP219" s="98" cm="1">
        <f t="array" ref="CP219">SUMPRODUCT(INDEX(BN219:CO219,,'TCO Inputs'!$AZ$12-2023+_xlfn.SEQUENCE('TCO Inputs'!$AZ$13))*INDEX('VKT US'!C109:AA109,,_xlfn.SEQUENCE('TCO Inputs'!$AZ$13)))*m2k*CONVERT(0.9072,"g","ton")</f>
        <v>3.4260549498876132</v>
      </c>
      <c r="CQ219" s="194"/>
      <c r="CR219" s="123" t="s">
        <v>229</v>
      </c>
      <c r="CS219" s="125">
        <f>CS107/293.07*(1/(VLOOKUP($BM219,'Fuel economy adjusted factor'!$A$2:$L$52,5,FALSE)*m2k))/'TCO Inputs'!$AZ$84</f>
        <v>35.553721193934599</v>
      </c>
      <c r="CT219" s="125">
        <f>CT107/293.07*(1/(VLOOKUP($BM219,'Fuel economy adjusted factor'!$A$2:$L$52,5,FALSE)*m2k))</f>
        <v>1.415068845633084</v>
      </c>
      <c r="CU219" s="125">
        <f>CU107/293.07*(1/(VLOOKUP($BM219,'Fuel economy adjusted factor'!$A$2:$L$52,5,FALSE)*m2k))</f>
        <v>1.415068845633084</v>
      </c>
      <c r="CV219" s="125">
        <f>CV107/293.07*(1/(VLOOKUP($BM219,'Fuel economy adjusted factor'!$A$2:$L$52,5,FALSE)*m2k))</f>
        <v>1.415068845633084</v>
      </c>
      <c r="CW219" s="125">
        <f>CW107/293.07*(1/(VLOOKUP($BM219,'Fuel economy adjusted factor'!$A$2:$L$52,5,FALSE)*m2k))</f>
        <v>1.415068845633084</v>
      </c>
      <c r="CX219" s="125">
        <f>CX107/293.07*(1/(VLOOKUP($BM219,'Fuel economy adjusted factor'!$A$2:$L$52,5,FALSE)*m2k))</f>
        <v>1.415068845633084</v>
      </c>
      <c r="CY219" s="125">
        <f>CY107/293.07*(1/(VLOOKUP($BM219,'Fuel economy adjusted factor'!$A$2:$L$52,5,FALSE)*m2k))</f>
        <v>1.415068845633084</v>
      </c>
      <c r="CZ219" s="125">
        <f>CZ107/293.07*(1/(VLOOKUP($BM219,'Fuel economy adjusted factor'!$A$2:$L$52,5,FALSE)*m2k))</f>
        <v>1.415068845633084</v>
      </c>
      <c r="DA219" s="125">
        <f>DA107/293.07*(1/(VLOOKUP($BM219,'Fuel economy adjusted factor'!$A$2:$L$52,5,FALSE)*m2k))</f>
        <v>1.415068845633084</v>
      </c>
      <c r="DB219" s="125">
        <f>DB107/293.07*(1/(VLOOKUP($BM219,'Fuel economy adjusted factor'!$A$2:$L$52,5,FALSE)*m2k))</f>
        <v>1.415068845633084</v>
      </c>
      <c r="DC219" s="125">
        <f>DC107/293.07*(1/(VLOOKUP($BM219,'Fuel economy adjusted factor'!$A$2:$L$52,5,FALSE)*m2k))</f>
        <v>1.415068845633084</v>
      </c>
      <c r="DD219" s="125">
        <f>DD107/293.07*(1/(VLOOKUP($BM219,'Fuel economy adjusted factor'!$A$2:$L$52,5,FALSE)*m2k))</f>
        <v>1.415068845633084</v>
      </c>
      <c r="DE219" s="125">
        <f>DE107/293.07*(1/(VLOOKUP($BM219,'Fuel economy adjusted factor'!$A$2:$L$52,5,FALSE)*m2k))</f>
        <v>1.4555925420024316</v>
      </c>
      <c r="DF219" s="125">
        <f>DF107/293.07*(1/(VLOOKUP($BM219,'Fuel economy adjusted factor'!$A$2:$L$52,5,FALSE)*m2k))</f>
        <v>1.4555925420024316</v>
      </c>
      <c r="DG219" s="125">
        <f>DG107/293.07*(1/(VLOOKUP($BM219,'Fuel economy adjusted factor'!$A$2:$L$52,5,FALSE)*m2k))</f>
        <v>1.4555925420024316</v>
      </c>
      <c r="DH219" s="125">
        <f>DH107/293.07*(1/(VLOOKUP($BM219,'Fuel economy adjusted factor'!$A$2:$L$52,5,FALSE)*m2k))</f>
        <v>1.4555925420024316</v>
      </c>
      <c r="DI219" s="125">
        <f>DI107/293.07*(1/(VLOOKUP($BM219,'Fuel economy adjusted factor'!$A$2:$L$52,5,FALSE)*m2k))</f>
        <v>1.4555925420024316</v>
      </c>
      <c r="DJ219" s="125">
        <f>DJ107/293.07*(1/(VLOOKUP($BM219,'Fuel economy adjusted factor'!$A$2:$L$52,5,FALSE)*m2k))</f>
        <v>1.531283354186558</v>
      </c>
      <c r="DK219" s="125">
        <f>DK107/293.07*(1/(VLOOKUP($BM219,'Fuel economy adjusted factor'!$A$2:$L$52,5,FALSE)*m2k))</f>
        <v>1.531283354186558</v>
      </c>
      <c r="DL219" s="125">
        <f>DL107/293.07*(1/(VLOOKUP($BM219,'Fuel economy adjusted factor'!$A$2:$L$52,5,FALSE)*m2k))</f>
        <v>1.531283354186558</v>
      </c>
      <c r="DM219" s="125">
        <f>DM107/293.07*(1/(VLOOKUP($BM219,'Fuel economy adjusted factor'!$A$2:$L$52,5,FALSE)*m2k))</f>
        <v>1.531283354186558</v>
      </c>
      <c r="DN219" s="125">
        <f>DN107/293.07*(1/(VLOOKUP($BM219,'Fuel economy adjusted factor'!$A$2:$L$52,5,FALSE)*m2k))</f>
        <v>1.531283354186558</v>
      </c>
      <c r="DO219" s="125">
        <f>DO107/293.07*(1/(VLOOKUP($BM219,'Fuel economy adjusted factor'!$A$2:$L$52,5,FALSE)*m2k))</f>
        <v>1.5813557376314418</v>
      </c>
      <c r="DP219" s="125">
        <f>DP107/293.07*(1/(VLOOKUP($BM219,'Fuel economy adjusted factor'!$A$2:$L$52,5,FALSE)*m2k))</f>
        <v>1.5813557376314418</v>
      </c>
      <c r="DQ219" s="125">
        <f>DQ107/293.07*(1/(VLOOKUP($BM219,'Fuel economy adjusted factor'!$A$2:$L$52,5,FALSE)*m2k))</f>
        <v>1.5813557376314418</v>
      </c>
      <c r="DR219" s="125">
        <f>DR107/293.07*(1/(VLOOKUP($BM219,'Fuel economy adjusted factor'!$A$2:$L$52,5,FALSE)*m2k))</f>
        <v>1.5813557376314418</v>
      </c>
      <c r="DS219" s="125">
        <f>DS107/293.07*(1/(VLOOKUP($BM219,'Fuel economy adjusted factor'!$A$2:$L$52,5,FALSE)*m2k))</f>
        <v>1.5813557376314418</v>
      </c>
      <c r="DT219" s="125">
        <f>DT107/293.07*(1/(VLOOKUP($BM219,'Fuel economy adjusted factor'!$A$2:$L$52,5,FALSE)*m2k))</f>
        <v>1.644936019866108</v>
      </c>
      <c r="DU219" s="98" cm="1">
        <f t="array" ref="DU219">SUMPRODUCT(INDEX(CS219:DT219,,'TCO Inputs'!$AZ$12-2023+_xlfn.SEQUENCE('TCO Inputs'!$AZ$13))*INDEX('VKT US'!C109:AA109,,_xlfn.SEQUENCE('TCO Inputs'!$AZ$13)))*m2k*CONVERT(0.9072,"g","ton")</f>
        <v>1.0070040749091054</v>
      </c>
      <c r="DW219" s="123" t="s">
        <v>229</v>
      </c>
      <c r="DX219" s="125">
        <f>DX107/293.07*(1/(VLOOKUP($BM219,'Fuel economy adjusted factor'!$A$2:$L$52,5,FALSE)*m2k))/'TCO Inputs'!$AZ$84</f>
        <v>46.972814787641305</v>
      </c>
      <c r="DY219" s="125">
        <f>DY107/293.07*(1/(VLOOKUP($BM219,'Fuel economy adjusted factor'!$A$2:$L$52,5,FALSE)*m2k))/'TCO Inputs'!$AZ$84</f>
        <v>46.972814787641305</v>
      </c>
      <c r="DZ219" s="125">
        <f>DZ107/293.07*(1/(VLOOKUP($BM219,'Fuel economy adjusted factor'!$A$2:$L$52,5,FALSE)*m2k))/'TCO Inputs'!$AZ$84</f>
        <v>41.095490534525858</v>
      </c>
      <c r="EA219" s="125">
        <f>EA107/293.07*(1/(VLOOKUP($BM219,'Fuel economy adjusted factor'!$A$2:$L$52,5,FALSE)*m2k))/'TCO Inputs'!$AZ$84</f>
        <v>41.095490534525858</v>
      </c>
      <c r="EB219" s="125">
        <f>EB107/293.07*(1/(VLOOKUP($BM219,'Fuel economy adjusted factor'!$A$2:$L$52,5,FALSE)*m2k))/'TCO Inputs'!$AZ$84</f>
        <v>41.095490534525858</v>
      </c>
      <c r="EC219" s="125">
        <f>EC107/293.07*(1/(VLOOKUP($BM219,'Fuel economy adjusted factor'!$A$2:$L$52,5,FALSE)*m2k))/'TCO Inputs'!$AZ$84</f>
        <v>41.095490534525858</v>
      </c>
      <c r="ED219" s="125">
        <f>ED107/293.07*(1/(VLOOKUP($BM219,'Fuel economy adjusted factor'!$A$2:$L$52,5,FALSE)*m2k))/'TCO Inputs'!$AZ$84</f>
        <v>41.095490534525858</v>
      </c>
      <c r="EE219" s="125">
        <f>EE107/293.07*(1/(VLOOKUP($BM219,'Fuel economy adjusted factor'!$A$2:$L$52,5,FALSE)*m2k))/'TCO Inputs'!$AZ$84</f>
        <v>25.56803575574984</v>
      </c>
      <c r="EF219" s="125">
        <f>EF107/293.07*(1/(VLOOKUP($BM219,'Fuel economy adjusted factor'!$A$2:$L$52,5,FALSE)*m2k))/'TCO Inputs'!$AZ$84</f>
        <v>25.56803575574984</v>
      </c>
      <c r="EG219" s="125">
        <f>EG107/293.07*(1/(VLOOKUP($BM219,'Fuel economy adjusted factor'!$A$2:$L$52,5,FALSE)*m2k))/'TCO Inputs'!$AZ$84</f>
        <v>25.56803575574984</v>
      </c>
      <c r="EH219" s="125">
        <f>EH107/293.07*(1/(VLOOKUP($BM219,'Fuel economy adjusted factor'!$A$2:$L$52,5,FALSE)*m2k))/'TCO Inputs'!$AZ$84</f>
        <v>25.56803575574984</v>
      </c>
      <c r="EI219" s="125">
        <f>EI107/293.07*(1/(VLOOKUP($BM219,'Fuel economy adjusted factor'!$A$2:$L$52,5,FALSE)*m2k))/'TCO Inputs'!$AZ$84</f>
        <v>25.56803575574984</v>
      </c>
      <c r="EJ219" s="125">
        <f>EJ107/293.07*(1/(VLOOKUP($BM219,'Fuel economy adjusted factor'!$A$2:$L$52,5,FALSE)*m2k))/'TCO Inputs'!$AZ$84</f>
        <v>22.765882007030182</v>
      </c>
      <c r="EK219" s="125">
        <f>EK107/293.07*(1/(VLOOKUP($BM219,'Fuel economy adjusted factor'!$A$2:$L$52,5,FALSE)*m2k))/'TCO Inputs'!$AZ$84</f>
        <v>22.765882007030182</v>
      </c>
      <c r="EL219" s="125">
        <f>EL107/293.07*(1/(VLOOKUP($BM219,'Fuel economy adjusted factor'!$A$2:$L$52,5,FALSE)*m2k))/'TCO Inputs'!$AZ$84</f>
        <v>22.765882007030182</v>
      </c>
      <c r="EM219" s="125">
        <f>EM107/293.07*(1/(VLOOKUP($BM219,'Fuel economy adjusted factor'!$A$2:$L$52,5,FALSE)*m2k))/'TCO Inputs'!$AZ$84</f>
        <v>22.765882007030182</v>
      </c>
      <c r="EN219" s="125">
        <f>EN107/293.07*(1/(VLOOKUP($BM219,'Fuel economy adjusted factor'!$A$2:$L$52,5,FALSE)*m2k))/'TCO Inputs'!$AZ$84</f>
        <v>22.765882007030182</v>
      </c>
      <c r="EO219" s="125">
        <f>EO107/293.07*(1/(VLOOKUP($BM219,'Fuel economy adjusted factor'!$A$2:$L$52,5,FALSE)*m2k))/'TCO Inputs'!$AZ$84</f>
        <v>22.121323615439998</v>
      </c>
      <c r="EP219" s="125">
        <f>EP107/293.07*(1/(VLOOKUP($BM219,'Fuel economy adjusted factor'!$A$2:$L$52,5,FALSE)*m2k))/'TCO Inputs'!$AZ$84</f>
        <v>22.121323615439998</v>
      </c>
      <c r="EQ219" s="125">
        <f>EQ107/293.07*(1/(VLOOKUP($BM219,'Fuel economy adjusted factor'!$A$2:$L$52,5,FALSE)*m2k))/'TCO Inputs'!$AZ$84</f>
        <v>22.121323615439998</v>
      </c>
      <c r="ER219" s="125">
        <f>ER107/293.07*(1/(VLOOKUP($BM219,'Fuel economy adjusted factor'!$A$2:$L$52,5,FALSE)*m2k))/'TCO Inputs'!$AZ$84</f>
        <v>22.121323615439998</v>
      </c>
      <c r="ES219" s="125">
        <f>ES107/293.07*(1/(VLOOKUP($BM219,'Fuel economy adjusted factor'!$A$2:$L$52,5,FALSE)*m2k))/'TCO Inputs'!$AZ$84</f>
        <v>22.121323615439998</v>
      </c>
      <c r="ET219" s="125">
        <f>ET107/293.07*(1/(VLOOKUP($BM219,'Fuel economy adjusted factor'!$A$2:$L$52,5,FALSE)*m2k))/'TCO Inputs'!$AZ$84</f>
        <v>21.338432311192527</v>
      </c>
      <c r="EU219" s="125">
        <f>EU107/293.07*(1/(VLOOKUP($BM219,'Fuel economy adjusted factor'!$A$2:$L$52,5,FALSE)*m2k))/'TCO Inputs'!$AZ$84</f>
        <v>21.338432311192527</v>
      </c>
      <c r="EV219" s="125">
        <f>EV107/293.07*(1/(VLOOKUP($BM219,'Fuel economy adjusted factor'!$A$2:$L$52,5,FALSE)*m2k))/'TCO Inputs'!$AZ$84</f>
        <v>21.338432311192527</v>
      </c>
      <c r="EW219" s="125">
        <f>EW107/293.07*(1/(VLOOKUP($BM219,'Fuel economy adjusted factor'!$A$2:$L$52,5,FALSE)*m2k))/'TCO Inputs'!$AZ$84</f>
        <v>21.338432311192527</v>
      </c>
      <c r="EX219" s="125">
        <f>EX107/293.07*(1/(VLOOKUP($BM219,'Fuel economy adjusted factor'!$A$2:$L$52,5,FALSE)*m2k))/'TCO Inputs'!$AZ$84</f>
        <v>21.338432311192527</v>
      </c>
      <c r="EY219" s="125">
        <f>EY107/293.07*(1/(VLOOKUP($BM219,'Fuel economy adjusted factor'!$A$2:$L$52,5,FALSE)*m2k))/'TCO Inputs'!$AZ$84</f>
        <v>20.09078222844899</v>
      </c>
      <c r="EZ219" s="98" cm="1">
        <f t="array" ref="EZ219">SUMPRODUCT(INDEX(DX219:EY219,,'TCO Inputs'!$AZ$12-2023+_xlfn.SEQUENCE('TCO Inputs'!$AZ$13))*INDEX('VKT US'!C109:AA109,,_xlfn.SEQUENCE('TCO Inputs'!$AZ$13)))*m2k*CONVERT(0.9072,"g","ton")</f>
        <v>8.0478605716607898</v>
      </c>
      <c r="FB219" s="123" t="s">
        <v>229</v>
      </c>
      <c r="FC219" s="125">
        <f>FC107/293.07*(1/(VLOOKUP($BM219,'Fuel economy adjusted factor'!$A$2:$L$52,5,FALSE)*m2k))/'TCO Inputs'!$AZ$84</f>
        <v>50.778130953328905</v>
      </c>
      <c r="FD219" s="125">
        <f>FD107/293.07*(1/(VLOOKUP($BM219,'Fuel economy adjusted factor'!$A$2:$L$52,5,FALSE)*m2k))/'TCO Inputs'!$AZ$84</f>
        <v>50.778130953328905</v>
      </c>
      <c r="FE219" s="125">
        <f>FE107/293.07*(1/(VLOOKUP($BM219,'Fuel economy adjusted factor'!$A$2:$L$52,5,FALSE)*m2k))/'TCO Inputs'!$AZ$84</f>
        <v>44.270181119970047</v>
      </c>
      <c r="FF219" s="125">
        <f>FF107/293.07*(1/(VLOOKUP($BM219,'Fuel economy adjusted factor'!$A$2:$L$52,5,FALSE)*m2k))/'TCO Inputs'!$AZ$84</f>
        <v>44.270181119970047</v>
      </c>
      <c r="FG219" s="125">
        <f>FG107/293.07*(1/(VLOOKUP($BM219,'Fuel economy adjusted factor'!$A$2:$L$52,5,FALSE)*m2k))/'TCO Inputs'!$AZ$84</f>
        <v>44.270181119970047</v>
      </c>
      <c r="FH219" s="125">
        <f>FH107/293.07*(1/(VLOOKUP($BM219,'Fuel economy adjusted factor'!$A$2:$L$52,5,FALSE)*m2k))/'TCO Inputs'!$AZ$84</f>
        <v>44.270181119970047</v>
      </c>
      <c r="FI219" s="125">
        <f>FI107/293.07*(1/(VLOOKUP($BM219,'Fuel economy adjusted factor'!$A$2:$L$52,5,FALSE)*m2k))/'TCO Inputs'!$AZ$84</f>
        <v>44.270181119970047</v>
      </c>
      <c r="FJ219" s="125">
        <f>FJ107/293.07*(1/(VLOOKUP($BM219,'Fuel economy adjusted factor'!$A$2:$L$52,5,FALSE)*m2k))/'TCO Inputs'!$AZ$84</f>
        <v>28.0013017373834</v>
      </c>
      <c r="FK219" s="125">
        <f>FK107/293.07*(1/(VLOOKUP($BM219,'Fuel economy adjusted factor'!$A$2:$L$52,5,FALSE)*m2k))/'TCO Inputs'!$AZ$84</f>
        <v>28.0013017373834</v>
      </c>
      <c r="FL219" s="125">
        <f>FL107/293.07*(1/(VLOOKUP($BM219,'Fuel economy adjusted factor'!$A$2:$L$52,5,FALSE)*m2k))/'TCO Inputs'!$AZ$84</f>
        <v>28.0013017373834</v>
      </c>
      <c r="FM219" s="125">
        <f>FM107/293.07*(1/(VLOOKUP($BM219,'Fuel economy adjusted factor'!$A$2:$L$52,5,FALSE)*m2k))/'TCO Inputs'!$AZ$84</f>
        <v>28.0013017373834</v>
      </c>
      <c r="FN219" s="125">
        <f>FN107/293.07*(1/(VLOOKUP($BM219,'Fuel economy adjusted factor'!$A$2:$L$52,5,FALSE)*m2k))/'TCO Inputs'!$AZ$84</f>
        <v>28.0013017373834</v>
      </c>
      <c r="FO219" s="125">
        <f>FO107/293.07*(1/(VLOOKUP($BM219,'Fuel economy adjusted factor'!$A$2:$L$52,5,FALSE)*m2k))/'TCO Inputs'!$AZ$84</f>
        <v>24.801067664470111</v>
      </c>
      <c r="FP219" s="125">
        <f>FP107/293.07*(1/(VLOOKUP($BM219,'Fuel economy adjusted factor'!$A$2:$L$52,5,FALSE)*m2k))/'TCO Inputs'!$AZ$84</f>
        <v>24.801067664470111</v>
      </c>
      <c r="FQ219" s="125">
        <f>FQ107/293.07*(1/(VLOOKUP($BM219,'Fuel economy adjusted factor'!$A$2:$L$52,5,FALSE)*m2k))/'TCO Inputs'!$AZ$84</f>
        <v>24.801067664470111</v>
      </c>
      <c r="FR219" s="125">
        <f>FR107/293.07*(1/(VLOOKUP($BM219,'Fuel economy adjusted factor'!$A$2:$L$52,5,FALSE)*m2k))/'TCO Inputs'!$AZ$84</f>
        <v>24.801067664470111</v>
      </c>
      <c r="FS219" s="125">
        <f>FS107/293.07*(1/(VLOOKUP($BM219,'Fuel economy adjusted factor'!$A$2:$L$52,5,FALSE)*m2k))/'TCO Inputs'!$AZ$84</f>
        <v>24.801067664470111</v>
      </c>
      <c r="FT219" s="125">
        <f>FT107/293.07*(1/(VLOOKUP($BM219,'Fuel economy adjusted factor'!$A$2:$L$52,5,FALSE)*m2k))/'TCO Inputs'!$AZ$84</f>
        <v>24.234798403304673</v>
      </c>
      <c r="FU219" s="125">
        <f>FU107/293.07*(1/(VLOOKUP($BM219,'Fuel economy adjusted factor'!$A$2:$L$52,5,FALSE)*m2k))/'TCO Inputs'!$AZ$84</f>
        <v>24.234798403304673</v>
      </c>
      <c r="FV219" s="125">
        <f>FV107/293.07*(1/(VLOOKUP($BM219,'Fuel economy adjusted factor'!$A$2:$L$52,5,FALSE)*m2k))/'TCO Inputs'!$AZ$84</f>
        <v>24.234798403304673</v>
      </c>
      <c r="FW219" s="125">
        <f>FW107/293.07*(1/(VLOOKUP($BM219,'Fuel economy adjusted factor'!$A$2:$L$52,5,FALSE)*m2k))/'TCO Inputs'!$AZ$84</f>
        <v>24.234798403304673</v>
      </c>
      <c r="FX219" s="125">
        <f>FX107/293.07*(1/(VLOOKUP($BM219,'Fuel economy adjusted factor'!$A$2:$L$52,5,FALSE)*m2k))/'TCO Inputs'!$AZ$84</f>
        <v>24.234798403304673</v>
      </c>
      <c r="FY219" s="125">
        <f>FY107/293.07*(1/(VLOOKUP($BM219,'Fuel economy adjusted factor'!$A$2:$L$52,5,FALSE)*m2k))/'TCO Inputs'!$AZ$84</f>
        <v>23.450580164643227</v>
      </c>
      <c r="FZ219" s="125">
        <f>FZ107/293.07*(1/(VLOOKUP($BM219,'Fuel economy adjusted factor'!$A$2:$L$52,5,FALSE)*m2k))/'TCO Inputs'!$AZ$84</f>
        <v>23.450580164643227</v>
      </c>
      <c r="GA219" s="125">
        <f>GA107/293.07*(1/(VLOOKUP($BM219,'Fuel economy adjusted factor'!$A$2:$L$52,5,FALSE)*m2k))/'TCO Inputs'!$AZ$84</f>
        <v>23.450580164643227</v>
      </c>
      <c r="GB219" s="125">
        <f>GB107/293.07*(1/(VLOOKUP($BM219,'Fuel economy adjusted factor'!$A$2:$L$52,5,FALSE)*m2k))/'TCO Inputs'!$AZ$84</f>
        <v>23.450580164643227</v>
      </c>
      <c r="GC219" s="125">
        <f>GC107/293.07*(1/(VLOOKUP($BM219,'Fuel economy adjusted factor'!$A$2:$L$52,5,FALSE)*m2k))/'TCO Inputs'!$AZ$84</f>
        <v>23.450580164643227</v>
      </c>
      <c r="GD219" s="125">
        <f>GD107/293.07*(1/(VLOOKUP($BM219,'Fuel economy adjusted factor'!$A$2:$L$52,5,FALSE)*m2k))/'TCO Inputs'!$AZ$84</f>
        <v>22.160468180652373</v>
      </c>
      <c r="GE219" s="98" cm="1">
        <f t="array" ref="GE219">SUMPRODUCT(INDEX(FC219:GD219,,'TCO Inputs'!$AZ$12-2023+_xlfn.SEQUENCE('TCO Inputs'!$AZ$13))*INDEX('VKT US'!C109:AA109,,_xlfn.SEQUENCE('TCO Inputs'!$AZ$13)))*m2k*CONVERT(0.9072,"g","ton")</f>
        <v>8.7191335316742347</v>
      </c>
      <c r="GH219" s="123" t="s">
        <v>229</v>
      </c>
      <c r="GI219" s="125">
        <f>GI107/293.07*(1/(VLOOKUP($GH219,'Fuel economy adjusted factor'!$A$2:$L$52,5,FALSE)*m2k))/'TCO Inputs'!$AZ$84</f>
        <v>89.39050669709053</v>
      </c>
      <c r="GJ219" s="125">
        <f>GJ107/293.07*(1/(VLOOKUP($GH219,'Fuel economy adjusted factor'!$A$2:$L$52,5,FALSE)*m2k))/'TCO Inputs'!$AZ$84</f>
        <v>89.39050669709053</v>
      </c>
      <c r="GK219" s="125">
        <f>GK107/293.07*(1/(VLOOKUP($GH219,'Fuel economy adjusted factor'!$A$2:$L$52,5,FALSE)*m2k))/'TCO Inputs'!$AZ$84</f>
        <v>89.39050669709053</v>
      </c>
      <c r="GL219" s="125">
        <f>GL107/293.07*(1/(VLOOKUP($GH219,'Fuel economy adjusted factor'!$A$2:$L$52,5,FALSE)*m2k))/'TCO Inputs'!$AZ$84</f>
        <v>89.39050669709053</v>
      </c>
      <c r="GM219" s="125">
        <f>GM107/293.07*(1/(VLOOKUP($GH219,'Fuel economy adjusted factor'!$A$2:$L$52,5,FALSE)*m2k))/'TCO Inputs'!$AZ$84</f>
        <v>89.39050669709053</v>
      </c>
      <c r="GN219" s="125">
        <f>GN107/293.07*(1/(VLOOKUP($GH219,'Fuel economy adjusted factor'!$A$2:$L$52,5,FALSE)*m2k))/'TCO Inputs'!$AZ$84</f>
        <v>89.39050669709053</v>
      </c>
      <c r="GO219" s="125">
        <f>GO107/293.07*(1/(VLOOKUP($GH219,'Fuel economy adjusted factor'!$A$2:$L$52,5,FALSE)*m2k))/'TCO Inputs'!$AZ$84</f>
        <v>89.39050669709053</v>
      </c>
      <c r="GP219" s="125">
        <f>GP107/293.07*(1/(VLOOKUP($GH219,'Fuel economy adjusted factor'!$A$2:$L$52,5,FALSE)*m2k))/'TCO Inputs'!$AZ$84</f>
        <v>89.39050669709053</v>
      </c>
      <c r="GQ219" s="125">
        <f>GQ107/293.07*(1/(VLOOKUP($GH219,'Fuel economy adjusted factor'!$A$2:$L$52,5,FALSE)*m2k))/'TCO Inputs'!$AZ$84</f>
        <v>89.39050669709053</v>
      </c>
      <c r="GR219" s="125">
        <f>GR107/293.07*(1/(VLOOKUP($GH219,'Fuel economy adjusted factor'!$A$2:$L$52,5,FALSE)*m2k))/'TCO Inputs'!$AZ$84</f>
        <v>89.39050669709053</v>
      </c>
      <c r="GS219" s="125">
        <f>GS107/293.07*(1/(VLOOKUP($GH219,'Fuel economy adjusted factor'!$A$2:$L$52,5,FALSE)*m2k))/'TCO Inputs'!$AZ$84</f>
        <v>89.39050669709053</v>
      </c>
      <c r="GT219" s="125">
        <f>GT107/293.07*(1/(VLOOKUP($GH219,'Fuel economy adjusted factor'!$A$2:$L$52,5,FALSE)*m2k))/'TCO Inputs'!$AZ$84</f>
        <v>89.39050669709053</v>
      </c>
      <c r="GU219" s="125">
        <f>GU107/293.07*(1/(VLOOKUP($GH219,'Fuel economy adjusted factor'!$A$2:$L$52,5,FALSE)*m2k))/'TCO Inputs'!$AZ$84</f>
        <v>89.39050669709053</v>
      </c>
      <c r="GV219" s="125">
        <f>GV107/293.07*(1/(VLOOKUP($GH219,'Fuel economy adjusted factor'!$A$2:$L$52,5,FALSE)*m2k))/'TCO Inputs'!$AZ$84</f>
        <v>89.39050669709053</v>
      </c>
      <c r="GW219" s="125">
        <f>GW107/293.07*(1/(VLOOKUP($GH219,'Fuel economy adjusted factor'!$A$2:$L$52,5,FALSE)*m2k))/'TCO Inputs'!$AZ$84</f>
        <v>89.39050669709053</v>
      </c>
      <c r="GX219" s="125">
        <f>GX107/293.07*(1/(VLOOKUP($GH219,'Fuel economy adjusted factor'!$A$2:$L$52,5,FALSE)*m2k))/'TCO Inputs'!$AZ$84</f>
        <v>89.39050669709053</v>
      </c>
      <c r="GY219" s="125">
        <f>GY107/293.07*(1/(VLOOKUP($GH219,'Fuel economy adjusted factor'!$A$2:$L$52,5,FALSE)*m2k))/'TCO Inputs'!$AZ$84</f>
        <v>89.39050669709053</v>
      </c>
      <c r="GZ219" s="125">
        <f>GZ107/293.07*(1/(VLOOKUP($GH219,'Fuel economy adjusted factor'!$A$2:$L$52,5,FALSE)*m2k))/'TCO Inputs'!$AZ$84</f>
        <v>89.39050669709053</v>
      </c>
      <c r="HA219" s="125">
        <f>HA107/293.07*(1/(VLOOKUP($GH219,'Fuel economy adjusted factor'!$A$2:$L$52,5,FALSE)*m2k))/'TCO Inputs'!$AZ$84</f>
        <v>89.39050669709053</v>
      </c>
      <c r="HB219" s="125">
        <f>HB107/293.07*(1/(VLOOKUP($GH219,'Fuel economy adjusted factor'!$A$2:$L$52,5,FALSE)*m2k))/'TCO Inputs'!$AZ$84</f>
        <v>89.39050669709053</v>
      </c>
      <c r="HC219" s="125">
        <f>HC107/293.07*(1/(VLOOKUP($GH219,'Fuel economy adjusted factor'!$A$2:$L$52,5,FALSE)*m2k))/'TCO Inputs'!$AZ$84</f>
        <v>89.39050669709053</v>
      </c>
      <c r="HD219" s="125">
        <f>HD107/293.07*(1/(VLOOKUP($GH219,'Fuel economy adjusted factor'!$A$2:$L$52,5,FALSE)*m2k))/'TCO Inputs'!$AZ$84</f>
        <v>89.39050669709053</v>
      </c>
      <c r="HE219" s="125">
        <f>HE107/293.07*(1/(VLOOKUP($GH219,'Fuel economy adjusted factor'!$A$2:$L$52,5,FALSE)*m2k))/'TCO Inputs'!$AZ$84</f>
        <v>89.39050669709053</v>
      </c>
      <c r="HF219" s="125">
        <f>HF107/293.07*(1/(VLOOKUP($GH219,'Fuel economy adjusted factor'!$A$2:$L$52,5,FALSE)*m2k))/'TCO Inputs'!$AZ$84</f>
        <v>89.39050669709053</v>
      </c>
      <c r="HG219" s="125">
        <f>HG107/293.07*(1/(VLOOKUP($GH219,'Fuel economy adjusted factor'!$A$2:$L$52,5,FALSE)*m2k))/'TCO Inputs'!$AZ$84</f>
        <v>89.39050669709053</v>
      </c>
      <c r="HH219" s="125">
        <f>HH107/293.07*(1/(VLOOKUP($GH219,'Fuel economy adjusted factor'!$A$2:$L$52,5,FALSE)*m2k))/'TCO Inputs'!$AZ$84</f>
        <v>89.39050669709053</v>
      </c>
      <c r="HI219" s="125">
        <f>HI107/293.07*(1/(VLOOKUP($GH219,'Fuel economy adjusted factor'!$A$2:$L$52,5,FALSE)*m2k))/'TCO Inputs'!$AZ$84</f>
        <v>89.39050669709053</v>
      </c>
      <c r="HJ219" s="125">
        <f>HJ107/293.07*(1/(VLOOKUP($GH219,'Fuel economy adjusted factor'!$A$2:$L$52,5,FALSE)*m2k))/'TCO Inputs'!$AZ$84</f>
        <v>89.39050669709053</v>
      </c>
      <c r="HK219" s="98" cm="1">
        <f t="array" ref="HK219">SUMPRODUCT(INDEX(GI219:HJ219,,'TCO Inputs'!$AZ$12-2023+_xlfn.SEQUENCE('TCO Inputs'!$AZ$13))*INDEX('VKT US'!C109:AA109,,_xlfn.SEQUENCE('TCO Inputs'!$AZ$13)))*m2k*CONVERT(0.9072,"g","ton")</f>
        <v>20.690660363695958</v>
      </c>
    </row>
    <row r="220" spans="26:219" x14ac:dyDescent="0.25">
      <c r="Z220" s="123" t="s">
        <v>159</v>
      </c>
      <c r="AA220" s="125">
        <f>AA108/293.07*(1/(VLOOKUP($Z220,'Fuel economy adjusted factor'!$A$2:$L$52,5,FALSE)*m2k))/'TCO Inputs'!$AZ$84</f>
        <v>236.07423664356753</v>
      </c>
      <c r="AB220" s="125">
        <f>AB108/293.07*(1/(VLOOKUP($Z220,'Fuel economy adjusted factor'!$A$2:$L$52,5,FALSE)*m2k))/'TCO Inputs'!$AZ$84</f>
        <v>236.07423664356753</v>
      </c>
      <c r="AC220" s="125">
        <f>AC108/293.07*(1/(VLOOKUP($Z220,'Fuel economy adjusted factor'!$A$2:$L$52,5,FALSE)*m2k))/'TCO Inputs'!$AZ$84</f>
        <v>207.35476084070413</v>
      </c>
      <c r="AD220" s="125">
        <f>AD108/293.07*(1/(VLOOKUP($Z220,'Fuel economy adjusted factor'!$A$2:$L$52,5,FALSE)*m2k))/'TCO Inputs'!$AZ$84</f>
        <v>207.35476084070413</v>
      </c>
      <c r="AE220" s="125">
        <f>AE108/293.07*(1/(VLOOKUP($Z220,'Fuel economy adjusted factor'!$A$2:$L$52,5,FALSE)*m2k))/'TCO Inputs'!$AZ$84</f>
        <v>207.35476084070413</v>
      </c>
      <c r="AF220" s="125">
        <f>AF108/293.07*(1/(VLOOKUP($Z220,'Fuel economy adjusted factor'!$A$2:$L$52,5,FALSE)*m2k))/'TCO Inputs'!$AZ$84</f>
        <v>207.35476084070413</v>
      </c>
      <c r="AG220" s="125">
        <f>AG108/293.07*(1/(VLOOKUP($Z220,'Fuel economy adjusted factor'!$A$2:$L$52,5,FALSE)*m2k))/'TCO Inputs'!$AZ$84</f>
        <v>207.35476084070413</v>
      </c>
      <c r="AH220" s="125">
        <f>AH108/293.07*(1/(VLOOKUP($Z220,'Fuel economy adjusted factor'!$A$2:$L$52,5,FALSE)*m2k))/'TCO Inputs'!$AZ$84</f>
        <v>78.395472685999408</v>
      </c>
      <c r="AI220" s="125">
        <f>AI108/293.07*(1/(VLOOKUP($Z220,'Fuel economy adjusted factor'!$A$2:$L$52,5,FALSE)*m2k))/'TCO Inputs'!$AZ$84</f>
        <v>78.395472685999408</v>
      </c>
      <c r="AJ220" s="125">
        <f>AJ108/293.07*(1/(VLOOKUP($Z220,'Fuel economy adjusted factor'!$A$2:$L$52,5,FALSE)*m2k))/'TCO Inputs'!$AZ$84</f>
        <v>78.395472685999408</v>
      </c>
      <c r="AK220" s="125">
        <f>AK108/293.07*(1/(VLOOKUP($Z220,'Fuel economy adjusted factor'!$A$2:$L$52,5,FALSE)*m2k))/'TCO Inputs'!$AZ$84</f>
        <v>78.395472685999408</v>
      </c>
      <c r="AL220" s="125">
        <f>AL108/293.07*(1/(VLOOKUP($Z220,'Fuel economy adjusted factor'!$A$2:$L$52,5,FALSE)*m2k))/'TCO Inputs'!$AZ$84</f>
        <v>78.395472685999408</v>
      </c>
      <c r="AM220" s="125">
        <f>AM108/293.07*(1/(VLOOKUP($Z220,'Fuel economy adjusted factor'!$A$2:$L$52,5,FALSE)*m2k))/'TCO Inputs'!$AZ$84</f>
        <v>65.891421172438015</v>
      </c>
      <c r="AN220" s="125">
        <f>AN108/293.07*(1/(VLOOKUP($Z220,'Fuel economy adjusted factor'!$A$2:$L$52,5,FALSE)*m2k))/'TCO Inputs'!$AZ$84</f>
        <v>65.891421172438015</v>
      </c>
      <c r="AO220" s="125">
        <f>AO108/293.07*(1/(VLOOKUP($Z220,'Fuel economy adjusted factor'!$A$2:$L$52,5,FALSE)*m2k))/'TCO Inputs'!$AZ$84</f>
        <v>65.891421172438015</v>
      </c>
      <c r="AP220" s="125">
        <f>AP108/293.07*(1/(VLOOKUP($Z220,'Fuel economy adjusted factor'!$A$2:$L$52,5,FALSE)*m2k))/'TCO Inputs'!$AZ$84</f>
        <v>65.891421172438015</v>
      </c>
      <c r="AQ220" s="125">
        <f>AQ108/293.07*(1/(VLOOKUP($Z220,'Fuel economy adjusted factor'!$A$2:$L$52,5,FALSE)*m2k))/'TCO Inputs'!$AZ$84</f>
        <v>65.891421172438015</v>
      </c>
      <c r="AR220" s="125">
        <f>AR108/293.07*(1/(VLOOKUP($Z220,'Fuel economy adjusted factor'!$A$2:$L$52,5,FALSE)*m2k))/'TCO Inputs'!$AZ$84</f>
        <v>65.891421172438015</v>
      </c>
      <c r="AS220" s="125">
        <f>AS108/293.07*(1/(VLOOKUP($Z220,'Fuel economy adjusted factor'!$A$2:$L$52,5,FALSE)*m2k))/'TCO Inputs'!$AZ$84</f>
        <v>65.891421172438015</v>
      </c>
      <c r="AT220" s="125">
        <f>AT108/293.07*(1/(VLOOKUP($Z220,'Fuel economy adjusted factor'!$A$2:$L$52,5,FALSE)*m2k))/'TCO Inputs'!$AZ$84</f>
        <v>65.891421172438015</v>
      </c>
      <c r="AU220" s="125">
        <f>AU108/293.07*(1/(VLOOKUP($Z220,'Fuel economy adjusted factor'!$A$2:$L$52,5,FALSE)*m2k))/'TCO Inputs'!$AZ$84</f>
        <v>65.891421172438015</v>
      </c>
      <c r="AV220" s="125">
        <f>AV108/293.07*(1/(VLOOKUP($Z220,'Fuel economy adjusted factor'!$A$2:$L$52,5,FALSE)*m2k))/'TCO Inputs'!$AZ$84</f>
        <v>65.891421172438015</v>
      </c>
      <c r="AW220" s="125">
        <f>AW108/293.07*(1/(VLOOKUP($Z220,'Fuel economy adjusted factor'!$A$2:$L$52,5,FALSE)*m2k))/'TCO Inputs'!$AZ$84</f>
        <v>66.202521537463326</v>
      </c>
      <c r="AX220" s="125">
        <f>AX108/293.07*(1/(VLOOKUP($Z220,'Fuel economy adjusted factor'!$A$2:$L$52,5,FALSE)*m2k))/'TCO Inputs'!$AZ$84</f>
        <v>66.202521537463326</v>
      </c>
      <c r="AY220" s="125">
        <f>AY108/293.07*(1/(VLOOKUP($Z220,'Fuel economy adjusted factor'!$A$2:$L$52,5,FALSE)*m2k))/'TCO Inputs'!$AZ$84</f>
        <v>66.202521537463326</v>
      </c>
      <c r="AZ220" s="125">
        <f>AZ108/293.07*(1/(VLOOKUP($Z220,'Fuel economy adjusted factor'!$A$2:$L$52,5,FALSE)*m2k))/'TCO Inputs'!$AZ$84</f>
        <v>66.202521537463326</v>
      </c>
      <c r="BA220" s="125">
        <f>BA108/293.07*(1/(VLOOKUP($Z220,'Fuel economy adjusted factor'!$A$2:$L$52,5,FALSE)*m2k))/'TCO Inputs'!$AZ$84</f>
        <v>66.202521537463326</v>
      </c>
      <c r="BB220" s="125">
        <f>BB108/293.07*(1/(VLOOKUP($Z220,'Fuel economy adjusted factor'!$A$2:$L$52,5,FALSE)*m2k))/'TCO Inputs'!$AZ$84</f>
        <v>66.593671119220318</v>
      </c>
      <c r="BC220" s="98" cm="1">
        <f t="array" ref="BC220">SUMPRODUCT(INDEX(AA220:BB220,,'TCO Inputs'!$AZ$12-2023+_xlfn.SEQUENCE('TCO Inputs'!$AZ$13))*INDEX('VKT US'!C110:AA110,,_xlfn.SEQUENCE('TCO Inputs'!$AZ$13)))*m2k*CONVERT(0.9072,"g","ton")</f>
        <v>54.480481702966948</v>
      </c>
      <c r="BM220" s="123" t="s">
        <v>159</v>
      </c>
      <c r="BN220" s="125">
        <f>BN108/293.07*(1/(VLOOKUP($BM220,'Fuel economy adjusted factor'!$A$2:$L$52,5,FALSE)*m2k))</f>
        <v>200.66310114703239</v>
      </c>
      <c r="BO220" s="125">
        <f>BO108/293.07*(1/(VLOOKUP($BM220,'Fuel economy adjusted factor'!$A$2:$L$52,5,FALSE)*m2k))</f>
        <v>200.66310114703239</v>
      </c>
      <c r="BP220" s="125">
        <f>BP108/293.07*(1/(VLOOKUP($BM220,'Fuel economy adjusted factor'!$A$2:$L$52,5,FALSE)*m2k))</f>
        <v>158.17716129674173</v>
      </c>
      <c r="BQ220" s="125">
        <f>BQ108/293.07*(1/(VLOOKUP($BM220,'Fuel economy adjusted factor'!$A$2:$L$52,5,FALSE)*m2k))</f>
        <v>158.17716129674173</v>
      </c>
      <c r="BR220" s="125">
        <f>BR108/293.07*(1/(VLOOKUP($BM220,'Fuel economy adjusted factor'!$A$2:$L$52,5,FALSE)*m2k))</f>
        <v>158.17716129674173</v>
      </c>
      <c r="BS220" s="125">
        <f>BS108/293.07*(1/(VLOOKUP($BM220,'Fuel economy adjusted factor'!$A$2:$L$52,5,FALSE)*m2k))</f>
        <v>158.17716129674173</v>
      </c>
      <c r="BT220" s="125">
        <f>BT108/293.07*(1/(VLOOKUP($BM220,'Fuel economy adjusted factor'!$A$2:$L$52,5,FALSE)*m2k))</f>
        <v>158.17716129674173</v>
      </c>
      <c r="BU220" s="125">
        <f>BU108/293.07*(1/(VLOOKUP($BM220,'Fuel economy adjusted factor'!$A$2:$L$52,5,FALSE)*m2k))</f>
        <v>8.9351299575955281</v>
      </c>
      <c r="BV220" s="125">
        <f>BV108/293.07*(1/(VLOOKUP($BM220,'Fuel economy adjusted factor'!$A$2:$L$52,5,FALSE)*m2k))</f>
        <v>8.9351299575955281</v>
      </c>
      <c r="BW220" s="125">
        <f>BW108/293.07*(1/(VLOOKUP($BM220,'Fuel economy adjusted factor'!$A$2:$L$52,5,FALSE)*m2k))</f>
        <v>8.9351299575955281</v>
      </c>
      <c r="BX220" s="125">
        <f>BX108/293.07*(1/(VLOOKUP($BM220,'Fuel economy adjusted factor'!$A$2:$L$52,5,FALSE)*m2k))</f>
        <v>8.9351299575955281</v>
      </c>
      <c r="BY220" s="125">
        <f>BY108/293.07*(1/(VLOOKUP($BM220,'Fuel economy adjusted factor'!$A$2:$L$52,5,FALSE)*m2k))</f>
        <v>8.9351299575955281</v>
      </c>
      <c r="BZ220" s="125">
        <f>BZ108/293.07*(1/(VLOOKUP($BM220,'Fuel economy adjusted factor'!$A$2:$L$52,5,FALSE)*m2k))</f>
        <v>9.3186384777553908</v>
      </c>
      <c r="CA220" s="125">
        <f>CA108/293.07*(1/(VLOOKUP($BM220,'Fuel economy adjusted factor'!$A$2:$L$52,5,FALSE)*m2k))</f>
        <v>9.3186384777553908</v>
      </c>
      <c r="CB220" s="125">
        <f>CB108/293.07*(1/(VLOOKUP($BM220,'Fuel economy adjusted factor'!$A$2:$L$52,5,FALSE)*m2k))</f>
        <v>9.3186384777553908</v>
      </c>
      <c r="CC220" s="125">
        <f>CC108/293.07*(1/(VLOOKUP($BM220,'Fuel economy adjusted factor'!$A$2:$L$52,5,FALSE)*m2k))</f>
        <v>9.3186384777553908</v>
      </c>
      <c r="CD220" s="125">
        <f>CD108/293.07*(1/(VLOOKUP($BM220,'Fuel economy adjusted factor'!$A$2:$L$52,5,FALSE)*m2k))</f>
        <v>9.3186384777553908</v>
      </c>
      <c r="CE220" s="125">
        <f>CE108/293.07*(1/(VLOOKUP($BM220,'Fuel economy adjusted factor'!$A$2:$L$52,5,FALSE)*m2k))</f>
        <v>9.4485365249063129</v>
      </c>
      <c r="CF220" s="125">
        <f>CF108/293.07*(1/(VLOOKUP($BM220,'Fuel economy adjusted factor'!$A$2:$L$52,5,FALSE)*m2k))</f>
        <v>9.4485365249063129</v>
      </c>
      <c r="CG220" s="125">
        <f>CG108/293.07*(1/(VLOOKUP($BM220,'Fuel economy adjusted factor'!$A$2:$L$52,5,FALSE)*m2k))</f>
        <v>9.4485365249063129</v>
      </c>
      <c r="CH220" s="125">
        <f>CH108/293.07*(1/(VLOOKUP($BM220,'Fuel economy adjusted factor'!$A$2:$L$52,5,FALSE)*m2k))</f>
        <v>9.4485365249063129</v>
      </c>
      <c r="CI220" s="125">
        <f>CI108/293.07*(1/(VLOOKUP($BM220,'Fuel economy adjusted factor'!$A$2:$L$52,5,FALSE)*m2k))</f>
        <v>9.4485365249063129</v>
      </c>
      <c r="CJ220" s="125">
        <f>CJ108/293.07*(1/(VLOOKUP($BM220,'Fuel economy adjusted factor'!$A$2:$L$52,5,FALSE)*m2k))</f>
        <v>9.7810136693997443</v>
      </c>
      <c r="CK220" s="125">
        <f>CK108/293.07*(1/(VLOOKUP($BM220,'Fuel economy adjusted factor'!$A$2:$L$52,5,FALSE)*m2k))</f>
        <v>9.7810136693997443</v>
      </c>
      <c r="CL220" s="125">
        <f>CL108/293.07*(1/(VLOOKUP($BM220,'Fuel economy adjusted factor'!$A$2:$L$52,5,FALSE)*m2k))</f>
        <v>9.7810136693997443</v>
      </c>
      <c r="CM220" s="125">
        <f>CM108/293.07*(1/(VLOOKUP($BM220,'Fuel economy adjusted factor'!$A$2:$L$52,5,FALSE)*m2k))</f>
        <v>9.7810136693997443</v>
      </c>
      <c r="CN220" s="125">
        <f>CN108/293.07*(1/(VLOOKUP($BM220,'Fuel economy adjusted factor'!$A$2:$L$52,5,FALSE)*m2k))</f>
        <v>9.7810136693997443</v>
      </c>
      <c r="CO220" s="125">
        <f>CO108/293.07*(1/(VLOOKUP($BM220,'Fuel economy adjusted factor'!$A$2:$L$52,5,FALSE)*m2k))</f>
        <v>10.201635917317011</v>
      </c>
      <c r="CP220" s="98" cm="1">
        <f t="array" ref="CP220">SUMPRODUCT(INDEX(BN220:CO220,,'TCO Inputs'!$AZ$12-2023+_xlfn.SEQUENCE('TCO Inputs'!$AZ$13))*INDEX('VKT US'!C110:AA110,,_xlfn.SEQUENCE('TCO Inputs'!$AZ$13)))*m2k*CONVERT(0.9072,"g","ton")</f>
        <v>35.063310438568131</v>
      </c>
      <c r="CQ220" s="194"/>
      <c r="CR220" s="123" t="s">
        <v>159</v>
      </c>
      <c r="CS220" s="125">
        <f>CS108/293.07*(1/(VLOOKUP($BM220,'Fuel economy adjusted factor'!$A$2:$L$52,5,FALSE)*m2k))/'TCO Inputs'!$AZ$84</f>
        <v>236.07423664356753</v>
      </c>
      <c r="CT220" s="125">
        <f>CT108/293.07*(1/(VLOOKUP($BM220,'Fuel economy adjusted factor'!$A$2:$L$52,5,FALSE)*m2k))</f>
        <v>9.3959587439166548</v>
      </c>
      <c r="CU220" s="125">
        <f>CU108/293.07*(1/(VLOOKUP($BM220,'Fuel economy adjusted factor'!$A$2:$L$52,5,FALSE)*m2k))</f>
        <v>9.3959587439166548</v>
      </c>
      <c r="CV220" s="125">
        <f>CV108/293.07*(1/(VLOOKUP($BM220,'Fuel economy adjusted factor'!$A$2:$L$52,5,FALSE)*m2k))</f>
        <v>9.3959587439166548</v>
      </c>
      <c r="CW220" s="125">
        <f>CW108/293.07*(1/(VLOOKUP($BM220,'Fuel economy adjusted factor'!$A$2:$L$52,5,FALSE)*m2k))</f>
        <v>9.3959587439166548</v>
      </c>
      <c r="CX220" s="125">
        <f>CX108/293.07*(1/(VLOOKUP($BM220,'Fuel economy adjusted factor'!$A$2:$L$52,5,FALSE)*m2k))</f>
        <v>9.3959587439166548</v>
      </c>
      <c r="CY220" s="125">
        <f>CY108/293.07*(1/(VLOOKUP($BM220,'Fuel economy adjusted factor'!$A$2:$L$52,5,FALSE)*m2k))</f>
        <v>9.3959587439166548</v>
      </c>
      <c r="CZ220" s="125">
        <f>CZ108/293.07*(1/(VLOOKUP($BM220,'Fuel economy adjusted factor'!$A$2:$L$52,5,FALSE)*m2k))</f>
        <v>9.3959587439166548</v>
      </c>
      <c r="DA220" s="125">
        <f>DA108/293.07*(1/(VLOOKUP($BM220,'Fuel economy adjusted factor'!$A$2:$L$52,5,FALSE)*m2k))</f>
        <v>9.3959587439166548</v>
      </c>
      <c r="DB220" s="125">
        <f>DB108/293.07*(1/(VLOOKUP($BM220,'Fuel economy adjusted factor'!$A$2:$L$52,5,FALSE)*m2k))</f>
        <v>9.3959587439166548</v>
      </c>
      <c r="DC220" s="125">
        <f>DC108/293.07*(1/(VLOOKUP($BM220,'Fuel economy adjusted factor'!$A$2:$L$52,5,FALSE)*m2k))</f>
        <v>9.3959587439166548</v>
      </c>
      <c r="DD220" s="125">
        <f>DD108/293.07*(1/(VLOOKUP($BM220,'Fuel economy adjusted factor'!$A$2:$L$52,5,FALSE)*m2k))</f>
        <v>9.3959587439166548</v>
      </c>
      <c r="DE220" s="125">
        <f>DE108/293.07*(1/(VLOOKUP($BM220,'Fuel economy adjusted factor'!$A$2:$L$52,5,FALSE)*m2k))</f>
        <v>9.6650332701578492</v>
      </c>
      <c r="DF220" s="125">
        <f>DF108/293.07*(1/(VLOOKUP($BM220,'Fuel economy adjusted factor'!$A$2:$L$52,5,FALSE)*m2k))</f>
        <v>9.6650332701578492</v>
      </c>
      <c r="DG220" s="125">
        <f>DG108/293.07*(1/(VLOOKUP($BM220,'Fuel economy adjusted factor'!$A$2:$L$52,5,FALSE)*m2k))</f>
        <v>9.6650332701578492</v>
      </c>
      <c r="DH220" s="125">
        <f>DH108/293.07*(1/(VLOOKUP($BM220,'Fuel economy adjusted factor'!$A$2:$L$52,5,FALSE)*m2k))</f>
        <v>9.6650332701578492</v>
      </c>
      <c r="DI220" s="125">
        <f>DI108/293.07*(1/(VLOOKUP($BM220,'Fuel economy adjusted factor'!$A$2:$L$52,5,FALSE)*m2k))</f>
        <v>9.6650332701578492</v>
      </c>
      <c r="DJ220" s="125">
        <f>DJ108/293.07*(1/(VLOOKUP($BM220,'Fuel economy adjusted factor'!$A$2:$L$52,5,FALSE)*m2k))</f>
        <v>10.167615000206057</v>
      </c>
      <c r="DK220" s="125">
        <f>DK108/293.07*(1/(VLOOKUP($BM220,'Fuel economy adjusted factor'!$A$2:$L$52,5,FALSE)*m2k))</f>
        <v>10.167615000206057</v>
      </c>
      <c r="DL220" s="125">
        <f>DL108/293.07*(1/(VLOOKUP($BM220,'Fuel economy adjusted factor'!$A$2:$L$52,5,FALSE)*m2k))</f>
        <v>10.167615000206057</v>
      </c>
      <c r="DM220" s="125">
        <f>DM108/293.07*(1/(VLOOKUP($BM220,'Fuel economy adjusted factor'!$A$2:$L$52,5,FALSE)*m2k))</f>
        <v>10.167615000206057</v>
      </c>
      <c r="DN220" s="125">
        <f>DN108/293.07*(1/(VLOOKUP($BM220,'Fuel economy adjusted factor'!$A$2:$L$52,5,FALSE)*m2k))</f>
        <v>10.167615000206057</v>
      </c>
      <c r="DO220" s="125">
        <f>DO108/293.07*(1/(VLOOKUP($BM220,'Fuel economy adjusted factor'!$A$2:$L$52,5,FALSE)*m2k))</f>
        <v>10.500092144699487</v>
      </c>
      <c r="DP220" s="125">
        <f>DP108/293.07*(1/(VLOOKUP($BM220,'Fuel economy adjusted factor'!$A$2:$L$52,5,FALSE)*m2k))</f>
        <v>10.500092144699487</v>
      </c>
      <c r="DQ220" s="125">
        <f>DQ108/293.07*(1/(VLOOKUP($BM220,'Fuel economy adjusted factor'!$A$2:$L$52,5,FALSE)*m2k))</f>
        <v>10.500092144699487</v>
      </c>
      <c r="DR220" s="125">
        <f>DR108/293.07*(1/(VLOOKUP($BM220,'Fuel economy adjusted factor'!$A$2:$L$52,5,FALSE)*m2k))</f>
        <v>10.500092144699487</v>
      </c>
      <c r="DS220" s="125">
        <f>DS108/293.07*(1/(VLOOKUP($BM220,'Fuel economy adjusted factor'!$A$2:$L$52,5,FALSE)*m2k))</f>
        <v>10.500092144699487</v>
      </c>
      <c r="DT220" s="125">
        <f>DT108/293.07*(1/(VLOOKUP($BM220,'Fuel economy adjusted factor'!$A$2:$L$52,5,FALSE)*m2k))</f>
        <v>10.922260797939982</v>
      </c>
      <c r="DU220" s="98" cm="1">
        <f t="array" ref="DU220">SUMPRODUCT(INDEX(CS220:DT220,,'TCO Inputs'!$AZ$12-2023+_xlfn.SEQUENCE('TCO Inputs'!$AZ$13))*INDEX('VKT US'!C110:AA110,,_xlfn.SEQUENCE('TCO Inputs'!$AZ$13)))*m2k*CONVERT(0.9072,"g","ton")</f>
        <v>10.305992463022033</v>
      </c>
      <c r="DW220" s="123" t="s">
        <v>159</v>
      </c>
      <c r="DX220" s="125">
        <f>DX108/293.07*(1/(VLOOKUP($BM220,'Fuel economy adjusted factor'!$A$2:$L$52,5,FALSE)*m2k))/'TCO Inputs'!$AZ$84</f>
        <v>311.89622412530701</v>
      </c>
      <c r="DY220" s="125">
        <f>DY108/293.07*(1/(VLOOKUP($BM220,'Fuel economy adjusted factor'!$A$2:$L$52,5,FALSE)*m2k))/'TCO Inputs'!$AZ$84</f>
        <v>311.89622412530701</v>
      </c>
      <c r="DZ220" s="125">
        <f>DZ108/293.07*(1/(VLOOKUP($BM220,'Fuel economy adjusted factor'!$A$2:$L$52,5,FALSE)*m2k))/'TCO Inputs'!$AZ$84</f>
        <v>272.87119974058356</v>
      </c>
      <c r="EA220" s="125">
        <f>EA108/293.07*(1/(VLOOKUP($BM220,'Fuel economy adjusted factor'!$A$2:$L$52,5,FALSE)*m2k))/'TCO Inputs'!$AZ$84</f>
        <v>272.87119974058356</v>
      </c>
      <c r="EB220" s="125">
        <f>EB108/293.07*(1/(VLOOKUP($BM220,'Fuel economy adjusted factor'!$A$2:$L$52,5,FALSE)*m2k))/'TCO Inputs'!$AZ$84</f>
        <v>272.87119974058356</v>
      </c>
      <c r="EC220" s="125">
        <f>EC108/293.07*(1/(VLOOKUP($BM220,'Fuel economy adjusted factor'!$A$2:$L$52,5,FALSE)*m2k))/'TCO Inputs'!$AZ$84</f>
        <v>272.87119974058356</v>
      </c>
      <c r="ED220" s="125">
        <f>ED108/293.07*(1/(VLOOKUP($BM220,'Fuel economy adjusted factor'!$A$2:$L$52,5,FALSE)*m2k))/'TCO Inputs'!$AZ$84</f>
        <v>272.87119974058356</v>
      </c>
      <c r="EE220" s="125">
        <f>EE108/293.07*(1/(VLOOKUP($BM220,'Fuel economy adjusted factor'!$A$2:$L$52,5,FALSE)*m2k))/'TCO Inputs'!$AZ$84</f>
        <v>169.76997964825711</v>
      </c>
      <c r="EF220" s="125">
        <f>EF108/293.07*(1/(VLOOKUP($BM220,'Fuel economy adjusted factor'!$A$2:$L$52,5,FALSE)*m2k))/'TCO Inputs'!$AZ$84</f>
        <v>169.76997964825711</v>
      </c>
      <c r="EG220" s="125">
        <f>EG108/293.07*(1/(VLOOKUP($BM220,'Fuel economy adjusted factor'!$A$2:$L$52,5,FALSE)*m2k))/'TCO Inputs'!$AZ$84</f>
        <v>169.76997964825711</v>
      </c>
      <c r="EH220" s="125">
        <f>EH108/293.07*(1/(VLOOKUP($BM220,'Fuel economy adjusted factor'!$A$2:$L$52,5,FALSE)*m2k))/'TCO Inputs'!$AZ$84</f>
        <v>169.76997964825711</v>
      </c>
      <c r="EI220" s="125">
        <f>EI108/293.07*(1/(VLOOKUP($BM220,'Fuel economy adjusted factor'!$A$2:$L$52,5,FALSE)*m2k))/'TCO Inputs'!$AZ$84</f>
        <v>169.76997964825711</v>
      </c>
      <c r="EJ220" s="125">
        <f>EJ108/293.07*(1/(VLOOKUP($BM220,'Fuel economy adjusted factor'!$A$2:$L$52,5,FALSE)*m2k))/'TCO Inputs'!$AZ$84</f>
        <v>151.16387359318239</v>
      </c>
      <c r="EK220" s="125">
        <f>EK108/293.07*(1/(VLOOKUP($BM220,'Fuel economy adjusted factor'!$A$2:$L$52,5,FALSE)*m2k))/'TCO Inputs'!$AZ$84</f>
        <v>151.16387359318239</v>
      </c>
      <c r="EL220" s="125">
        <f>EL108/293.07*(1/(VLOOKUP($BM220,'Fuel economy adjusted factor'!$A$2:$L$52,5,FALSE)*m2k))/'TCO Inputs'!$AZ$84</f>
        <v>151.16387359318239</v>
      </c>
      <c r="EM220" s="125">
        <f>EM108/293.07*(1/(VLOOKUP($BM220,'Fuel economy adjusted factor'!$A$2:$L$52,5,FALSE)*m2k))/'TCO Inputs'!$AZ$84</f>
        <v>151.16387359318239</v>
      </c>
      <c r="EN220" s="125">
        <f>EN108/293.07*(1/(VLOOKUP($BM220,'Fuel economy adjusted factor'!$A$2:$L$52,5,FALSE)*m2k))/'TCO Inputs'!$AZ$84</f>
        <v>151.16387359318239</v>
      </c>
      <c r="EO220" s="125">
        <f>EO108/293.07*(1/(VLOOKUP($BM220,'Fuel economy adjusted factor'!$A$2:$L$52,5,FALSE)*m2k))/'TCO Inputs'!$AZ$84</f>
        <v>146.88405068978355</v>
      </c>
      <c r="EP220" s="125">
        <f>EP108/293.07*(1/(VLOOKUP($BM220,'Fuel economy adjusted factor'!$A$2:$L$52,5,FALSE)*m2k))/'TCO Inputs'!$AZ$84</f>
        <v>146.88405068978355</v>
      </c>
      <c r="EQ220" s="125">
        <f>EQ108/293.07*(1/(VLOOKUP($BM220,'Fuel economy adjusted factor'!$A$2:$L$52,5,FALSE)*m2k))/'TCO Inputs'!$AZ$84</f>
        <v>146.88405068978355</v>
      </c>
      <c r="ER220" s="125">
        <f>ER108/293.07*(1/(VLOOKUP($BM220,'Fuel economy adjusted factor'!$A$2:$L$52,5,FALSE)*m2k))/'TCO Inputs'!$AZ$84</f>
        <v>146.88405068978355</v>
      </c>
      <c r="ES220" s="125">
        <f>ES108/293.07*(1/(VLOOKUP($BM220,'Fuel economy adjusted factor'!$A$2:$L$52,5,FALSE)*m2k))/'TCO Inputs'!$AZ$84</f>
        <v>146.88405068978355</v>
      </c>
      <c r="ET220" s="125">
        <f>ET108/293.07*(1/(VLOOKUP($BM220,'Fuel economy adjusted factor'!$A$2:$L$52,5,FALSE)*m2k))/'TCO Inputs'!$AZ$84</f>
        <v>141.68570686475974</v>
      </c>
      <c r="EU220" s="125">
        <f>EU108/293.07*(1/(VLOOKUP($BM220,'Fuel economy adjusted factor'!$A$2:$L$52,5,FALSE)*m2k))/'TCO Inputs'!$AZ$84</f>
        <v>141.68570686475974</v>
      </c>
      <c r="EV220" s="125">
        <f>EV108/293.07*(1/(VLOOKUP($BM220,'Fuel economy adjusted factor'!$A$2:$L$52,5,FALSE)*m2k))/'TCO Inputs'!$AZ$84</f>
        <v>141.68570686475974</v>
      </c>
      <c r="EW220" s="125">
        <f>EW108/293.07*(1/(VLOOKUP($BM220,'Fuel economy adjusted factor'!$A$2:$L$52,5,FALSE)*m2k))/'TCO Inputs'!$AZ$84</f>
        <v>141.68570686475974</v>
      </c>
      <c r="EX220" s="125">
        <f>EX108/293.07*(1/(VLOOKUP($BM220,'Fuel economy adjusted factor'!$A$2:$L$52,5,FALSE)*m2k))/'TCO Inputs'!$AZ$84</f>
        <v>141.68570686475974</v>
      </c>
      <c r="EY220" s="125">
        <f>EY108/293.07*(1/(VLOOKUP($BM220,'Fuel economy adjusted factor'!$A$2:$L$52,5,FALSE)*m2k))/'TCO Inputs'!$AZ$84</f>
        <v>133.40139706564335</v>
      </c>
      <c r="EZ220" s="98" cm="1">
        <f t="array" ref="EZ220">SUMPRODUCT(INDEX(DX220:EY220,,'TCO Inputs'!$AZ$12-2023+_xlfn.SEQUENCE('TCO Inputs'!$AZ$13))*INDEX('VKT US'!C110:AA110,,_xlfn.SEQUENCE('TCO Inputs'!$AZ$13)))*m2k*CONVERT(0.9072,"g","ton")</f>
        <v>82.36430463548497</v>
      </c>
      <c r="FB220" s="123" t="s">
        <v>159</v>
      </c>
      <c r="FC220" s="125">
        <f>FC108/293.07*(1/(VLOOKUP($BM220,'Fuel economy adjusted factor'!$A$2:$L$52,5,FALSE)*m2k))/'TCO Inputs'!$AZ$84</f>
        <v>337.16325887820881</v>
      </c>
      <c r="FD220" s="125">
        <f>FD108/293.07*(1/(VLOOKUP($BM220,'Fuel economy adjusted factor'!$A$2:$L$52,5,FALSE)*m2k))/'TCO Inputs'!$AZ$84</f>
        <v>337.16325887820881</v>
      </c>
      <c r="FE220" s="125">
        <f>FE108/293.07*(1/(VLOOKUP($BM220,'Fuel economy adjusted factor'!$A$2:$L$52,5,FALSE)*m2k))/'TCO Inputs'!$AZ$84</f>
        <v>293.95092448866751</v>
      </c>
      <c r="FF220" s="125">
        <f>FF108/293.07*(1/(VLOOKUP($BM220,'Fuel economy adjusted factor'!$A$2:$L$52,5,FALSE)*m2k))/'TCO Inputs'!$AZ$84</f>
        <v>293.95092448866751</v>
      </c>
      <c r="FG220" s="125">
        <f>FG108/293.07*(1/(VLOOKUP($BM220,'Fuel economy adjusted factor'!$A$2:$L$52,5,FALSE)*m2k))/'TCO Inputs'!$AZ$84</f>
        <v>293.95092448866751</v>
      </c>
      <c r="FH220" s="125">
        <f>FH108/293.07*(1/(VLOOKUP($BM220,'Fuel economy adjusted factor'!$A$2:$L$52,5,FALSE)*m2k))/'TCO Inputs'!$AZ$84</f>
        <v>293.95092448866751</v>
      </c>
      <c r="FI220" s="125">
        <f>FI108/293.07*(1/(VLOOKUP($BM220,'Fuel economy adjusted factor'!$A$2:$L$52,5,FALSE)*m2k))/'TCO Inputs'!$AZ$84</f>
        <v>293.95092448866751</v>
      </c>
      <c r="FJ220" s="125">
        <f>FJ108/293.07*(1/(VLOOKUP($BM220,'Fuel economy adjusted factor'!$A$2:$L$52,5,FALSE)*m2k))/'TCO Inputs'!$AZ$84</f>
        <v>185.92669657899853</v>
      </c>
      <c r="FK220" s="125">
        <f>FK108/293.07*(1/(VLOOKUP($BM220,'Fuel economy adjusted factor'!$A$2:$L$52,5,FALSE)*m2k))/'TCO Inputs'!$AZ$84</f>
        <v>185.92669657899853</v>
      </c>
      <c r="FL220" s="125">
        <f>FL108/293.07*(1/(VLOOKUP($BM220,'Fuel economy adjusted factor'!$A$2:$L$52,5,FALSE)*m2k))/'TCO Inputs'!$AZ$84</f>
        <v>185.92669657899853</v>
      </c>
      <c r="FM220" s="125">
        <f>FM108/293.07*(1/(VLOOKUP($BM220,'Fuel economy adjusted factor'!$A$2:$L$52,5,FALSE)*m2k))/'TCO Inputs'!$AZ$84</f>
        <v>185.92669657899853</v>
      </c>
      <c r="FN220" s="125">
        <f>FN108/293.07*(1/(VLOOKUP($BM220,'Fuel economy adjusted factor'!$A$2:$L$52,5,FALSE)*m2k))/'TCO Inputs'!$AZ$84</f>
        <v>185.92669657899853</v>
      </c>
      <c r="FO220" s="125">
        <f>FO108/293.07*(1/(VLOOKUP($BM220,'Fuel economy adjusted factor'!$A$2:$L$52,5,FALSE)*m2k))/'TCO Inputs'!$AZ$84</f>
        <v>164.6773648501829</v>
      </c>
      <c r="FP220" s="125">
        <f>FP108/293.07*(1/(VLOOKUP($BM220,'Fuel economy adjusted factor'!$A$2:$L$52,5,FALSE)*m2k))/'TCO Inputs'!$AZ$84</f>
        <v>164.6773648501829</v>
      </c>
      <c r="FQ220" s="125">
        <f>FQ108/293.07*(1/(VLOOKUP($BM220,'Fuel economy adjusted factor'!$A$2:$L$52,5,FALSE)*m2k))/'TCO Inputs'!$AZ$84</f>
        <v>164.6773648501829</v>
      </c>
      <c r="FR220" s="125">
        <f>FR108/293.07*(1/(VLOOKUP($BM220,'Fuel economy adjusted factor'!$A$2:$L$52,5,FALSE)*m2k))/'TCO Inputs'!$AZ$84</f>
        <v>164.6773648501829</v>
      </c>
      <c r="FS220" s="125">
        <f>FS108/293.07*(1/(VLOOKUP($BM220,'Fuel economy adjusted factor'!$A$2:$L$52,5,FALSE)*m2k))/'TCO Inputs'!$AZ$84</f>
        <v>164.6773648501829</v>
      </c>
      <c r="FT220" s="125">
        <f>FT108/293.07*(1/(VLOOKUP($BM220,'Fuel economy adjusted factor'!$A$2:$L$52,5,FALSE)*m2k))/'TCO Inputs'!$AZ$84</f>
        <v>160.91737632928641</v>
      </c>
      <c r="FU220" s="125">
        <f>FU108/293.07*(1/(VLOOKUP($BM220,'Fuel economy adjusted factor'!$A$2:$L$52,5,FALSE)*m2k))/'TCO Inputs'!$AZ$84</f>
        <v>160.91737632928641</v>
      </c>
      <c r="FV220" s="125">
        <f>FV108/293.07*(1/(VLOOKUP($BM220,'Fuel economy adjusted factor'!$A$2:$L$52,5,FALSE)*m2k))/'TCO Inputs'!$AZ$84</f>
        <v>160.91737632928641</v>
      </c>
      <c r="FW220" s="125">
        <f>FW108/293.07*(1/(VLOOKUP($BM220,'Fuel economy adjusted factor'!$A$2:$L$52,5,FALSE)*m2k))/'TCO Inputs'!$AZ$84</f>
        <v>160.91737632928641</v>
      </c>
      <c r="FX220" s="125">
        <f>FX108/293.07*(1/(VLOOKUP($BM220,'Fuel economy adjusted factor'!$A$2:$L$52,5,FALSE)*m2k))/'TCO Inputs'!$AZ$84</f>
        <v>160.91737632928641</v>
      </c>
      <c r="FY220" s="125">
        <f>FY108/293.07*(1/(VLOOKUP($BM220,'Fuel economy adjusted factor'!$A$2:$L$52,5,FALSE)*m2k))/'TCO Inputs'!$AZ$84</f>
        <v>155.71022175201679</v>
      </c>
      <c r="FZ220" s="125">
        <f>FZ108/293.07*(1/(VLOOKUP($BM220,'Fuel economy adjusted factor'!$A$2:$L$52,5,FALSE)*m2k))/'TCO Inputs'!$AZ$84</f>
        <v>155.71022175201679</v>
      </c>
      <c r="GA220" s="125">
        <f>GA108/293.07*(1/(VLOOKUP($BM220,'Fuel economy adjusted factor'!$A$2:$L$52,5,FALSE)*m2k))/'TCO Inputs'!$AZ$84</f>
        <v>155.71022175201679</v>
      </c>
      <c r="GB220" s="125">
        <f>GB108/293.07*(1/(VLOOKUP($BM220,'Fuel economy adjusted factor'!$A$2:$L$52,5,FALSE)*m2k))/'TCO Inputs'!$AZ$84</f>
        <v>155.71022175201679</v>
      </c>
      <c r="GC220" s="125">
        <f>GC108/293.07*(1/(VLOOKUP($BM220,'Fuel economy adjusted factor'!$A$2:$L$52,5,FALSE)*m2k))/'TCO Inputs'!$AZ$84</f>
        <v>155.71022175201679</v>
      </c>
      <c r="GD220" s="125">
        <f>GD108/293.07*(1/(VLOOKUP($BM220,'Fuel economy adjusted factor'!$A$2:$L$52,5,FALSE)*m2k))/'TCO Inputs'!$AZ$84</f>
        <v>147.14396788103471</v>
      </c>
      <c r="GE220" s="98" cm="1">
        <f t="array" ref="GE220">SUMPRODUCT(INDEX(FC220:GD220,,'TCO Inputs'!$AZ$12-2023+_xlfn.SEQUENCE('TCO Inputs'!$AZ$13))*INDEX('VKT US'!C110:AA110,,_xlfn.SEQUENCE('TCO Inputs'!$AZ$13)))*m2k*CONVERT(0.9072,"g","ton")</f>
        <v>89.234320595602611</v>
      </c>
      <c r="GH220" s="123" t="s">
        <v>159</v>
      </c>
      <c r="GI220" s="125">
        <f>GI108/293.07*(1/(VLOOKUP($GH220,'Fuel economy adjusted factor'!$A$2:$L$52,5,FALSE)*m2k))/'TCO Inputs'!$AZ$84</f>
        <v>593.54674906145851</v>
      </c>
      <c r="GJ220" s="125">
        <f>GJ108/293.07*(1/(VLOOKUP($GH220,'Fuel economy adjusted factor'!$A$2:$L$52,5,FALSE)*m2k))/'TCO Inputs'!$AZ$84</f>
        <v>593.54674906145851</v>
      </c>
      <c r="GK220" s="125">
        <f>GK108/293.07*(1/(VLOOKUP($GH220,'Fuel economy adjusted factor'!$A$2:$L$52,5,FALSE)*m2k))/'TCO Inputs'!$AZ$84</f>
        <v>593.54674906145851</v>
      </c>
      <c r="GL220" s="125">
        <f>GL108/293.07*(1/(VLOOKUP($GH220,'Fuel economy adjusted factor'!$A$2:$L$52,5,FALSE)*m2k))/'TCO Inputs'!$AZ$84</f>
        <v>593.54674906145851</v>
      </c>
      <c r="GM220" s="125">
        <f>GM108/293.07*(1/(VLOOKUP($GH220,'Fuel economy adjusted factor'!$A$2:$L$52,5,FALSE)*m2k))/'TCO Inputs'!$AZ$84</f>
        <v>593.54674906145851</v>
      </c>
      <c r="GN220" s="125">
        <f>GN108/293.07*(1/(VLOOKUP($GH220,'Fuel economy adjusted factor'!$A$2:$L$52,5,FALSE)*m2k))/'TCO Inputs'!$AZ$84</f>
        <v>593.54674906145851</v>
      </c>
      <c r="GO220" s="125">
        <f>GO108/293.07*(1/(VLOOKUP($GH220,'Fuel economy adjusted factor'!$A$2:$L$52,5,FALSE)*m2k))/'TCO Inputs'!$AZ$84</f>
        <v>593.54674906145851</v>
      </c>
      <c r="GP220" s="125">
        <f>GP108/293.07*(1/(VLOOKUP($GH220,'Fuel economy adjusted factor'!$A$2:$L$52,5,FALSE)*m2k))/'TCO Inputs'!$AZ$84</f>
        <v>593.54674906145851</v>
      </c>
      <c r="GQ220" s="125">
        <f>GQ108/293.07*(1/(VLOOKUP($GH220,'Fuel economy adjusted factor'!$A$2:$L$52,5,FALSE)*m2k))/'TCO Inputs'!$AZ$84</f>
        <v>593.54674906145851</v>
      </c>
      <c r="GR220" s="125">
        <f>GR108/293.07*(1/(VLOOKUP($GH220,'Fuel economy adjusted factor'!$A$2:$L$52,5,FALSE)*m2k))/'TCO Inputs'!$AZ$84</f>
        <v>593.54674906145851</v>
      </c>
      <c r="GS220" s="125">
        <f>GS108/293.07*(1/(VLOOKUP($GH220,'Fuel economy adjusted factor'!$A$2:$L$52,5,FALSE)*m2k))/'TCO Inputs'!$AZ$84</f>
        <v>593.54674906145851</v>
      </c>
      <c r="GT220" s="125">
        <f>GT108/293.07*(1/(VLOOKUP($GH220,'Fuel economy adjusted factor'!$A$2:$L$52,5,FALSE)*m2k))/'TCO Inputs'!$AZ$84</f>
        <v>593.54674906145851</v>
      </c>
      <c r="GU220" s="125">
        <f>GU108/293.07*(1/(VLOOKUP($GH220,'Fuel economy adjusted factor'!$A$2:$L$52,5,FALSE)*m2k))/'TCO Inputs'!$AZ$84</f>
        <v>593.54674906145851</v>
      </c>
      <c r="GV220" s="125">
        <f>GV108/293.07*(1/(VLOOKUP($GH220,'Fuel economy adjusted factor'!$A$2:$L$52,5,FALSE)*m2k))/'TCO Inputs'!$AZ$84</f>
        <v>593.54674906145851</v>
      </c>
      <c r="GW220" s="125">
        <f>GW108/293.07*(1/(VLOOKUP($GH220,'Fuel economy adjusted factor'!$A$2:$L$52,5,FALSE)*m2k))/'TCO Inputs'!$AZ$84</f>
        <v>593.54674906145851</v>
      </c>
      <c r="GX220" s="125">
        <f>GX108/293.07*(1/(VLOOKUP($GH220,'Fuel economy adjusted factor'!$A$2:$L$52,5,FALSE)*m2k))/'TCO Inputs'!$AZ$84</f>
        <v>593.54674906145851</v>
      </c>
      <c r="GY220" s="125">
        <f>GY108/293.07*(1/(VLOOKUP($GH220,'Fuel economy adjusted factor'!$A$2:$L$52,5,FALSE)*m2k))/'TCO Inputs'!$AZ$84</f>
        <v>593.54674906145851</v>
      </c>
      <c r="GZ220" s="125">
        <f>GZ108/293.07*(1/(VLOOKUP($GH220,'Fuel economy adjusted factor'!$A$2:$L$52,5,FALSE)*m2k))/'TCO Inputs'!$AZ$84</f>
        <v>593.54674906145851</v>
      </c>
      <c r="HA220" s="125">
        <f>HA108/293.07*(1/(VLOOKUP($GH220,'Fuel economy adjusted factor'!$A$2:$L$52,5,FALSE)*m2k))/'TCO Inputs'!$AZ$84</f>
        <v>593.54674906145851</v>
      </c>
      <c r="HB220" s="125">
        <f>HB108/293.07*(1/(VLOOKUP($GH220,'Fuel economy adjusted factor'!$A$2:$L$52,5,FALSE)*m2k))/'TCO Inputs'!$AZ$84</f>
        <v>593.54674906145851</v>
      </c>
      <c r="HC220" s="125">
        <f>HC108/293.07*(1/(VLOOKUP($GH220,'Fuel economy adjusted factor'!$A$2:$L$52,5,FALSE)*m2k))/'TCO Inputs'!$AZ$84</f>
        <v>593.54674906145851</v>
      </c>
      <c r="HD220" s="125">
        <f>HD108/293.07*(1/(VLOOKUP($GH220,'Fuel economy adjusted factor'!$A$2:$L$52,5,FALSE)*m2k))/'TCO Inputs'!$AZ$84</f>
        <v>593.54674906145851</v>
      </c>
      <c r="HE220" s="125">
        <f>HE108/293.07*(1/(VLOOKUP($GH220,'Fuel economy adjusted factor'!$A$2:$L$52,5,FALSE)*m2k))/'TCO Inputs'!$AZ$84</f>
        <v>593.54674906145851</v>
      </c>
      <c r="HF220" s="125">
        <f>HF108/293.07*(1/(VLOOKUP($GH220,'Fuel economy adjusted factor'!$A$2:$L$52,5,FALSE)*m2k))/'TCO Inputs'!$AZ$84</f>
        <v>593.54674906145851</v>
      </c>
      <c r="HG220" s="125">
        <f>HG108/293.07*(1/(VLOOKUP($GH220,'Fuel economy adjusted factor'!$A$2:$L$52,5,FALSE)*m2k))/'TCO Inputs'!$AZ$84</f>
        <v>593.54674906145851</v>
      </c>
      <c r="HH220" s="125">
        <f>HH108/293.07*(1/(VLOOKUP($GH220,'Fuel economy adjusted factor'!$A$2:$L$52,5,FALSE)*m2k))/'TCO Inputs'!$AZ$84</f>
        <v>593.54674906145851</v>
      </c>
      <c r="HI220" s="125">
        <f>HI108/293.07*(1/(VLOOKUP($GH220,'Fuel economy adjusted factor'!$A$2:$L$52,5,FALSE)*m2k))/'TCO Inputs'!$AZ$84</f>
        <v>593.54674906145851</v>
      </c>
      <c r="HJ220" s="125">
        <f>HJ108/293.07*(1/(VLOOKUP($GH220,'Fuel economy adjusted factor'!$A$2:$L$52,5,FALSE)*m2k))/'TCO Inputs'!$AZ$84</f>
        <v>593.54674906145851</v>
      </c>
      <c r="HK220" s="98" cm="1">
        <f t="array" ref="HK220">SUMPRODUCT(INDEX(GI220:HJ220,,'TCO Inputs'!$AZ$12-2023+_xlfn.SEQUENCE('TCO Inputs'!$AZ$13))*INDEX('VKT US'!C110:AA110,,_xlfn.SEQUENCE('TCO Inputs'!$AZ$13)))*m2k*CONVERT(0.9072,"g","ton")</f>
        <v>211.75464437166909</v>
      </c>
    </row>
    <row r="221" spans="26:219" x14ac:dyDescent="0.25">
      <c r="Z221" s="123" t="s">
        <v>158</v>
      </c>
      <c r="AA221" s="125">
        <f>AA109/293.07*(1/(VLOOKUP($Z221,'Fuel economy adjusted factor'!$A$2:$L$52,5,FALSE)*m2k))/'TCO Inputs'!$AZ$84</f>
        <v>153.24274158458348</v>
      </c>
      <c r="AB221" s="125">
        <f>AB109/293.07*(1/(VLOOKUP($Z221,'Fuel economy adjusted factor'!$A$2:$L$52,5,FALSE)*m2k))/'TCO Inputs'!$AZ$84</f>
        <v>153.24274158458348</v>
      </c>
      <c r="AC221" s="125">
        <f>AC109/293.07*(1/(VLOOKUP($Z221,'Fuel economy adjusted factor'!$A$2:$L$52,5,FALSE)*m2k))/'TCO Inputs'!$AZ$84</f>
        <v>134.60008378559738</v>
      </c>
      <c r="AD221" s="125">
        <f>AD109/293.07*(1/(VLOOKUP($Z221,'Fuel economy adjusted factor'!$A$2:$L$52,5,FALSE)*m2k))/'TCO Inputs'!$AZ$84</f>
        <v>134.60008378559738</v>
      </c>
      <c r="AE221" s="125">
        <f>AE109/293.07*(1/(VLOOKUP($Z221,'Fuel economy adjusted factor'!$A$2:$L$52,5,FALSE)*m2k))/'TCO Inputs'!$AZ$84</f>
        <v>134.60008378559738</v>
      </c>
      <c r="AF221" s="125">
        <f>AF109/293.07*(1/(VLOOKUP($Z221,'Fuel economy adjusted factor'!$A$2:$L$52,5,FALSE)*m2k))/'TCO Inputs'!$AZ$84</f>
        <v>134.60008378559738</v>
      </c>
      <c r="AG221" s="125">
        <f>AG109/293.07*(1/(VLOOKUP($Z221,'Fuel economy adjusted factor'!$A$2:$L$52,5,FALSE)*m2k))/'TCO Inputs'!$AZ$84</f>
        <v>134.60008378559738</v>
      </c>
      <c r="AH221" s="125">
        <f>AH109/293.07*(1/(VLOOKUP($Z221,'Fuel economy adjusted factor'!$A$2:$L$52,5,FALSE)*m2k))/'TCO Inputs'!$AZ$84</f>
        <v>50.888810795395287</v>
      </c>
      <c r="AI221" s="125">
        <f>AI109/293.07*(1/(VLOOKUP($Z221,'Fuel economy adjusted factor'!$A$2:$L$52,5,FALSE)*m2k))/'TCO Inputs'!$AZ$84</f>
        <v>50.888810795395287</v>
      </c>
      <c r="AJ221" s="125">
        <f>AJ109/293.07*(1/(VLOOKUP($Z221,'Fuel economy adjusted factor'!$A$2:$L$52,5,FALSE)*m2k))/'TCO Inputs'!$AZ$84</f>
        <v>50.888810795395287</v>
      </c>
      <c r="AK221" s="125">
        <f>AK109/293.07*(1/(VLOOKUP($Z221,'Fuel economy adjusted factor'!$A$2:$L$52,5,FALSE)*m2k))/'TCO Inputs'!$AZ$84</f>
        <v>50.888810795395287</v>
      </c>
      <c r="AL221" s="125">
        <f>AL109/293.07*(1/(VLOOKUP($Z221,'Fuel economy adjusted factor'!$A$2:$L$52,5,FALSE)*m2k))/'TCO Inputs'!$AZ$84</f>
        <v>50.888810795395287</v>
      </c>
      <c r="AM221" s="125">
        <f>AM109/293.07*(1/(VLOOKUP($Z221,'Fuel economy adjusted factor'!$A$2:$L$52,5,FALSE)*m2k))/'TCO Inputs'!$AZ$84</f>
        <v>42.772062597471084</v>
      </c>
      <c r="AN221" s="125">
        <f>AN109/293.07*(1/(VLOOKUP($Z221,'Fuel economy adjusted factor'!$A$2:$L$52,5,FALSE)*m2k))/'TCO Inputs'!$AZ$84</f>
        <v>42.772062597471084</v>
      </c>
      <c r="AO221" s="125">
        <f>AO109/293.07*(1/(VLOOKUP($Z221,'Fuel economy adjusted factor'!$A$2:$L$52,5,FALSE)*m2k))/'TCO Inputs'!$AZ$84</f>
        <v>42.772062597471084</v>
      </c>
      <c r="AP221" s="125">
        <f>AP109/293.07*(1/(VLOOKUP($Z221,'Fuel economy adjusted factor'!$A$2:$L$52,5,FALSE)*m2k))/'TCO Inputs'!$AZ$84</f>
        <v>42.772062597471084</v>
      </c>
      <c r="AQ221" s="125">
        <f>AQ109/293.07*(1/(VLOOKUP($Z221,'Fuel economy adjusted factor'!$A$2:$L$52,5,FALSE)*m2k))/'TCO Inputs'!$AZ$84</f>
        <v>42.772062597471084</v>
      </c>
      <c r="AR221" s="125">
        <f>AR109/293.07*(1/(VLOOKUP($Z221,'Fuel economy adjusted factor'!$A$2:$L$52,5,FALSE)*m2k))/'TCO Inputs'!$AZ$84</f>
        <v>42.772062597471084</v>
      </c>
      <c r="AS221" s="125">
        <f>AS109/293.07*(1/(VLOOKUP($Z221,'Fuel economy adjusted factor'!$A$2:$L$52,5,FALSE)*m2k))/'TCO Inputs'!$AZ$84</f>
        <v>42.772062597471084</v>
      </c>
      <c r="AT221" s="125">
        <f>AT109/293.07*(1/(VLOOKUP($Z221,'Fuel economy adjusted factor'!$A$2:$L$52,5,FALSE)*m2k))/'TCO Inputs'!$AZ$84</f>
        <v>42.772062597471084</v>
      </c>
      <c r="AU221" s="125">
        <f>AU109/293.07*(1/(VLOOKUP($Z221,'Fuel economy adjusted factor'!$A$2:$L$52,5,FALSE)*m2k))/'TCO Inputs'!$AZ$84</f>
        <v>42.772062597471084</v>
      </c>
      <c r="AV221" s="125">
        <f>AV109/293.07*(1/(VLOOKUP($Z221,'Fuel economy adjusted factor'!$A$2:$L$52,5,FALSE)*m2k))/'TCO Inputs'!$AZ$84</f>
        <v>42.772062597471084</v>
      </c>
      <c r="AW221" s="125">
        <f>AW109/293.07*(1/(VLOOKUP($Z221,'Fuel economy adjusted factor'!$A$2:$L$52,5,FALSE)*m2k))/'TCO Inputs'!$AZ$84</f>
        <v>42.974007009204684</v>
      </c>
      <c r="AX221" s="125">
        <f>AX109/293.07*(1/(VLOOKUP($Z221,'Fuel economy adjusted factor'!$A$2:$L$52,5,FALSE)*m2k))/'TCO Inputs'!$AZ$84</f>
        <v>42.974007009204684</v>
      </c>
      <c r="AY221" s="125">
        <f>AY109/293.07*(1/(VLOOKUP($Z221,'Fuel economy adjusted factor'!$A$2:$L$52,5,FALSE)*m2k))/'TCO Inputs'!$AZ$84</f>
        <v>42.974007009204684</v>
      </c>
      <c r="AZ221" s="125">
        <f>AZ109/293.07*(1/(VLOOKUP($Z221,'Fuel economy adjusted factor'!$A$2:$L$52,5,FALSE)*m2k))/'TCO Inputs'!$AZ$84</f>
        <v>42.974007009204684</v>
      </c>
      <c r="BA221" s="125">
        <f>BA109/293.07*(1/(VLOOKUP($Z221,'Fuel economy adjusted factor'!$A$2:$L$52,5,FALSE)*m2k))/'TCO Inputs'!$AZ$84</f>
        <v>42.974007009204684</v>
      </c>
      <c r="BB221" s="125">
        <f>BB109/293.07*(1/(VLOOKUP($Z221,'Fuel economy adjusted factor'!$A$2:$L$52,5,FALSE)*m2k))/'TCO Inputs'!$AZ$84</f>
        <v>43.227913725711851</v>
      </c>
      <c r="BC221" s="98" cm="1">
        <f t="array" ref="BC221">SUMPRODUCT(INDEX(AA221:BB221,,'TCO Inputs'!$AZ$12-2023+_xlfn.SEQUENCE('TCO Inputs'!$AZ$13))*INDEX('VKT US'!C111:AA111,,_xlfn.SEQUENCE('TCO Inputs'!$AZ$13)))*m2k*CONVERT(0.9072,"g","ton")</f>
        <v>32.359834314610254</v>
      </c>
      <c r="BM221" s="123" t="s">
        <v>158</v>
      </c>
      <c r="BN221" s="125">
        <f>BN109/293.07*(1/(VLOOKUP($BM221,'Fuel economy adjusted factor'!$A$2:$L$52,5,FALSE)*m2k))</f>
        <v>130.25633034689596</v>
      </c>
      <c r="BO221" s="125">
        <f>BO109/293.07*(1/(VLOOKUP($BM221,'Fuel economy adjusted factor'!$A$2:$L$52,5,FALSE)*m2k))</f>
        <v>130.25633034689596</v>
      </c>
      <c r="BP221" s="125">
        <f>BP109/293.07*(1/(VLOOKUP($BM221,'Fuel economy adjusted factor'!$A$2:$L$52,5,FALSE)*m2k))</f>
        <v>102.67745518447722</v>
      </c>
      <c r="BQ221" s="125">
        <f>BQ109/293.07*(1/(VLOOKUP($BM221,'Fuel economy adjusted factor'!$A$2:$L$52,5,FALSE)*m2k))</f>
        <v>102.67745518447722</v>
      </c>
      <c r="BR221" s="125">
        <f>BR109/293.07*(1/(VLOOKUP($BM221,'Fuel economy adjusted factor'!$A$2:$L$52,5,FALSE)*m2k))</f>
        <v>102.67745518447722</v>
      </c>
      <c r="BS221" s="125">
        <f>BS109/293.07*(1/(VLOOKUP($BM221,'Fuel economy adjusted factor'!$A$2:$L$52,5,FALSE)*m2k))</f>
        <v>102.67745518447722</v>
      </c>
      <c r="BT221" s="125">
        <f>BT109/293.07*(1/(VLOOKUP($BM221,'Fuel economy adjusted factor'!$A$2:$L$52,5,FALSE)*m2k))</f>
        <v>102.67745518447722</v>
      </c>
      <c r="BU221" s="125">
        <f>BU109/293.07*(1/(VLOOKUP($BM221,'Fuel economy adjusted factor'!$A$2:$L$52,5,FALSE)*m2k))</f>
        <v>5.8000560780539994</v>
      </c>
      <c r="BV221" s="125">
        <f>BV109/293.07*(1/(VLOOKUP($BM221,'Fuel economy adjusted factor'!$A$2:$L$52,5,FALSE)*m2k))</f>
        <v>5.8000560780539994</v>
      </c>
      <c r="BW221" s="125">
        <f>BW109/293.07*(1/(VLOOKUP($BM221,'Fuel economy adjusted factor'!$A$2:$L$52,5,FALSE)*m2k))</f>
        <v>5.8000560780539994</v>
      </c>
      <c r="BX221" s="125">
        <f>BX109/293.07*(1/(VLOOKUP($BM221,'Fuel economy adjusted factor'!$A$2:$L$52,5,FALSE)*m2k))</f>
        <v>5.8000560780539994</v>
      </c>
      <c r="BY221" s="125">
        <f>BY109/293.07*(1/(VLOOKUP($BM221,'Fuel economy adjusted factor'!$A$2:$L$52,5,FALSE)*m2k))</f>
        <v>5.8000560780539994</v>
      </c>
      <c r="BZ221" s="125">
        <f>BZ109/293.07*(1/(VLOOKUP($BM221,'Fuel economy adjusted factor'!$A$2:$L$52,5,FALSE)*m2k))</f>
        <v>6.0490027563782283</v>
      </c>
      <c r="CA221" s="125">
        <f>CA109/293.07*(1/(VLOOKUP($BM221,'Fuel economy adjusted factor'!$A$2:$L$52,5,FALSE)*m2k))</f>
        <v>6.0490027563782283</v>
      </c>
      <c r="CB221" s="125">
        <f>CB109/293.07*(1/(VLOOKUP($BM221,'Fuel economy adjusted factor'!$A$2:$L$52,5,FALSE)*m2k))</f>
        <v>6.0490027563782283</v>
      </c>
      <c r="CC221" s="125">
        <f>CC109/293.07*(1/(VLOOKUP($BM221,'Fuel economy adjusted factor'!$A$2:$L$52,5,FALSE)*m2k))</f>
        <v>6.0490027563782283</v>
      </c>
      <c r="CD221" s="125">
        <f>CD109/293.07*(1/(VLOOKUP($BM221,'Fuel economy adjusted factor'!$A$2:$L$52,5,FALSE)*m2k))</f>
        <v>6.0490027563782283</v>
      </c>
      <c r="CE221" s="125">
        <f>CE109/293.07*(1/(VLOOKUP($BM221,'Fuel economy adjusted factor'!$A$2:$L$52,5,FALSE)*m2k))</f>
        <v>6.1333234054880474</v>
      </c>
      <c r="CF221" s="125">
        <f>CF109/293.07*(1/(VLOOKUP($BM221,'Fuel economy adjusted factor'!$A$2:$L$52,5,FALSE)*m2k))</f>
        <v>6.1333234054880474</v>
      </c>
      <c r="CG221" s="125">
        <f>CG109/293.07*(1/(VLOOKUP($BM221,'Fuel economy adjusted factor'!$A$2:$L$52,5,FALSE)*m2k))</f>
        <v>6.1333234054880474</v>
      </c>
      <c r="CH221" s="125">
        <f>CH109/293.07*(1/(VLOOKUP($BM221,'Fuel economy adjusted factor'!$A$2:$L$52,5,FALSE)*m2k))</f>
        <v>6.1333234054880474</v>
      </c>
      <c r="CI221" s="125">
        <f>CI109/293.07*(1/(VLOOKUP($BM221,'Fuel economy adjusted factor'!$A$2:$L$52,5,FALSE)*m2k))</f>
        <v>6.1333234054880474</v>
      </c>
      <c r="CJ221" s="125">
        <f>CJ109/293.07*(1/(VLOOKUP($BM221,'Fuel economy adjusted factor'!$A$2:$L$52,5,FALSE)*m2k))</f>
        <v>6.3491441145191319</v>
      </c>
      <c r="CK221" s="125">
        <f>CK109/293.07*(1/(VLOOKUP($BM221,'Fuel economy adjusted factor'!$A$2:$L$52,5,FALSE)*m2k))</f>
        <v>6.3491441145191319</v>
      </c>
      <c r="CL221" s="125">
        <f>CL109/293.07*(1/(VLOOKUP($BM221,'Fuel economy adjusted factor'!$A$2:$L$52,5,FALSE)*m2k))</f>
        <v>6.3491441145191319</v>
      </c>
      <c r="CM221" s="125">
        <f>CM109/293.07*(1/(VLOOKUP($BM221,'Fuel economy adjusted factor'!$A$2:$L$52,5,FALSE)*m2k))</f>
        <v>6.3491441145191319</v>
      </c>
      <c r="CN221" s="125">
        <f>CN109/293.07*(1/(VLOOKUP($BM221,'Fuel economy adjusted factor'!$A$2:$L$52,5,FALSE)*m2k))</f>
        <v>6.3491441145191319</v>
      </c>
      <c r="CO221" s="125">
        <f>CO109/293.07*(1/(VLOOKUP($BM221,'Fuel economy adjusted factor'!$A$2:$L$52,5,FALSE)*m2k))</f>
        <v>6.622182406874737</v>
      </c>
      <c r="CP221" s="98" cm="1">
        <f t="array" ref="CP221">SUMPRODUCT(INDEX(BN221:CO221,,'TCO Inputs'!$AZ$12-2023+_xlfn.SEQUENCE('TCO Inputs'!$AZ$13))*INDEX('VKT US'!C111:AA111,,_xlfn.SEQUENCE('TCO Inputs'!$AZ$13)))*m2k*CONVERT(0.9072,"g","ton")</f>
        <v>20.826594788570254</v>
      </c>
      <c r="CQ221" s="194"/>
      <c r="CR221" s="123" t="s">
        <v>158</v>
      </c>
      <c r="CS221" s="125">
        <f>CS109/293.07*(1/(VLOOKUP($BM221,'Fuel economy adjusted factor'!$A$2:$L$52,5,FALSE)*m2k))/'TCO Inputs'!$AZ$84</f>
        <v>153.24274158458348</v>
      </c>
      <c r="CT221" s="125">
        <f>CT109/293.07*(1/(VLOOKUP($BM221,'Fuel economy adjusted factor'!$A$2:$L$52,5,FALSE)*m2k))</f>
        <v>6.0991936189435965</v>
      </c>
      <c r="CU221" s="125">
        <f>CU109/293.07*(1/(VLOOKUP($BM221,'Fuel economy adjusted factor'!$A$2:$L$52,5,FALSE)*m2k))</f>
        <v>6.0991936189435965</v>
      </c>
      <c r="CV221" s="125">
        <f>CV109/293.07*(1/(VLOOKUP($BM221,'Fuel economy adjusted factor'!$A$2:$L$52,5,FALSE)*m2k))</f>
        <v>6.0991936189435965</v>
      </c>
      <c r="CW221" s="125">
        <f>CW109/293.07*(1/(VLOOKUP($BM221,'Fuel economy adjusted factor'!$A$2:$L$52,5,FALSE)*m2k))</f>
        <v>6.0991936189435965</v>
      </c>
      <c r="CX221" s="125">
        <f>CX109/293.07*(1/(VLOOKUP($BM221,'Fuel economy adjusted factor'!$A$2:$L$52,5,FALSE)*m2k))</f>
        <v>6.0991936189435965</v>
      </c>
      <c r="CY221" s="125">
        <f>CY109/293.07*(1/(VLOOKUP($BM221,'Fuel economy adjusted factor'!$A$2:$L$52,5,FALSE)*m2k))</f>
        <v>6.0991936189435965</v>
      </c>
      <c r="CZ221" s="125">
        <f>CZ109/293.07*(1/(VLOOKUP($BM221,'Fuel economy adjusted factor'!$A$2:$L$52,5,FALSE)*m2k))</f>
        <v>6.0991936189435965</v>
      </c>
      <c r="DA221" s="125">
        <f>DA109/293.07*(1/(VLOOKUP($BM221,'Fuel economy adjusted factor'!$A$2:$L$52,5,FALSE)*m2k))</f>
        <v>6.0991936189435965</v>
      </c>
      <c r="DB221" s="125">
        <f>DB109/293.07*(1/(VLOOKUP($BM221,'Fuel economy adjusted factor'!$A$2:$L$52,5,FALSE)*m2k))</f>
        <v>6.0991936189435965</v>
      </c>
      <c r="DC221" s="125">
        <f>DC109/293.07*(1/(VLOOKUP($BM221,'Fuel economy adjusted factor'!$A$2:$L$52,5,FALSE)*m2k))</f>
        <v>6.0991936189435965</v>
      </c>
      <c r="DD221" s="125">
        <f>DD109/293.07*(1/(VLOOKUP($BM221,'Fuel economy adjusted factor'!$A$2:$L$52,5,FALSE)*m2k))</f>
        <v>6.0991936189435965</v>
      </c>
      <c r="DE221" s="125">
        <f>DE109/293.07*(1/(VLOOKUP($BM221,'Fuel economy adjusted factor'!$A$2:$L$52,5,FALSE)*m2k))</f>
        <v>6.2738578206710791</v>
      </c>
      <c r="DF221" s="125">
        <f>DF109/293.07*(1/(VLOOKUP($BM221,'Fuel economy adjusted factor'!$A$2:$L$52,5,FALSE)*m2k))</f>
        <v>6.2738578206710791</v>
      </c>
      <c r="DG221" s="125">
        <f>DG109/293.07*(1/(VLOOKUP($BM221,'Fuel economy adjusted factor'!$A$2:$L$52,5,FALSE)*m2k))</f>
        <v>6.2738578206710791</v>
      </c>
      <c r="DH221" s="125">
        <f>DH109/293.07*(1/(VLOOKUP($BM221,'Fuel economy adjusted factor'!$A$2:$L$52,5,FALSE)*m2k))</f>
        <v>6.2738578206710791</v>
      </c>
      <c r="DI221" s="125">
        <f>DI109/293.07*(1/(VLOOKUP($BM221,'Fuel economy adjusted factor'!$A$2:$L$52,5,FALSE)*m2k))</f>
        <v>6.2738578206710791</v>
      </c>
      <c r="DJ221" s="125">
        <f>DJ109/293.07*(1/(VLOOKUP($BM221,'Fuel economy adjusted factor'!$A$2:$L$52,5,FALSE)*m2k))</f>
        <v>6.6000984273459755</v>
      </c>
      <c r="DK221" s="125">
        <f>DK109/293.07*(1/(VLOOKUP($BM221,'Fuel economy adjusted factor'!$A$2:$L$52,5,FALSE)*m2k))</f>
        <v>6.6000984273459755</v>
      </c>
      <c r="DL221" s="125">
        <f>DL109/293.07*(1/(VLOOKUP($BM221,'Fuel economy adjusted factor'!$A$2:$L$52,5,FALSE)*m2k))</f>
        <v>6.6000984273459755</v>
      </c>
      <c r="DM221" s="125">
        <f>DM109/293.07*(1/(VLOOKUP($BM221,'Fuel economy adjusted factor'!$A$2:$L$52,5,FALSE)*m2k))</f>
        <v>6.6000984273459755</v>
      </c>
      <c r="DN221" s="125">
        <f>DN109/293.07*(1/(VLOOKUP($BM221,'Fuel economy adjusted factor'!$A$2:$L$52,5,FALSE)*m2k))</f>
        <v>6.6000984273459755</v>
      </c>
      <c r="DO221" s="125">
        <f>DO109/293.07*(1/(VLOOKUP($BM221,'Fuel economy adjusted factor'!$A$2:$L$52,5,FALSE)*m2k))</f>
        <v>6.8159191363770599</v>
      </c>
      <c r="DP221" s="125">
        <f>DP109/293.07*(1/(VLOOKUP($BM221,'Fuel economy adjusted factor'!$A$2:$L$52,5,FALSE)*m2k))</f>
        <v>6.8159191363770599</v>
      </c>
      <c r="DQ221" s="125">
        <f>DQ109/293.07*(1/(VLOOKUP($BM221,'Fuel economy adjusted factor'!$A$2:$L$52,5,FALSE)*m2k))</f>
        <v>6.8159191363770599</v>
      </c>
      <c r="DR221" s="125">
        <f>DR109/293.07*(1/(VLOOKUP($BM221,'Fuel economy adjusted factor'!$A$2:$L$52,5,FALSE)*m2k))</f>
        <v>6.8159191363770599</v>
      </c>
      <c r="DS221" s="125">
        <f>DS109/293.07*(1/(VLOOKUP($BM221,'Fuel economy adjusted factor'!$A$2:$L$52,5,FALSE)*m2k))</f>
        <v>6.8159191363770599</v>
      </c>
      <c r="DT221" s="125">
        <f>DT109/293.07*(1/(VLOOKUP($BM221,'Fuel economy adjusted factor'!$A$2:$L$52,5,FALSE)*m2k))</f>
        <v>7.0899612459839743</v>
      </c>
      <c r="DU221" s="98" cm="1">
        <f t="array" ref="DU221">SUMPRODUCT(INDEX(CS221:DT221,,'TCO Inputs'!$AZ$12-2023+_xlfn.SEQUENCE('TCO Inputs'!$AZ$13))*INDEX('VKT US'!C111:AA111,,_xlfn.SEQUENCE('TCO Inputs'!$AZ$13)))*m2k*CONVERT(0.9072,"g","ton")</f>
        <v>6.1214621847378572</v>
      </c>
      <c r="DW221" s="123" t="s">
        <v>158</v>
      </c>
      <c r="DX221" s="125">
        <f>DX109/293.07*(1/(VLOOKUP($BM221,'Fuel economy adjusted factor'!$A$2:$L$52,5,FALSE)*m2k))/'TCO Inputs'!$AZ$84</f>
        <v>202.46102732084839</v>
      </c>
      <c r="DY221" s="125">
        <f>DY109/293.07*(1/(VLOOKUP($BM221,'Fuel economy adjusted factor'!$A$2:$L$52,5,FALSE)*m2k))/'TCO Inputs'!$AZ$84</f>
        <v>202.46102732084839</v>
      </c>
      <c r="DZ221" s="125">
        <f>DZ109/293.07*(1/(VLOOKUP($BM221,'Fuel economy adjusted factor'!$A$2:$L$52,5,FALSE)*m2k))/'TCO Inputs'!$AZ$84</f>
        <v>177.12873434323947</v>
      </c>
      <c r="EA221" s="125">
        <f>EA109/293.07*(1/(VLOOKUP($BM221,'Fuel economy adjusted factor'!$A$2:$L$52,5,FALSE)*m2k))/'TCO Inputs'!$AZ$84</f>
        <v>177.12873434323947</v>
      </c>
      <c r="EB221" s="125">
        <f>EB109/293.07*(1/(VLOOKUP($BM221,'Fuel economy adjusted factor'!$A$2:$L$52,5,FALSE)*m2k))/'TCO Inputs'!$AZ$84</f>
        <v>177.12873434323947</v>
      </c>
      <c r="EC221" s="125">
        <f>EC109/293.07*(1/(VLOOKUP($BM221,'Fuel economy adjusted factor'!$A$2:$L$52,5,FALSE)*m2k))/'TCO Inputs'!$AZ$84</f>
        <v>177.12873434323947</v>
      </c>
      <c r="ED221" s="125">
        <f>ED109/293.07*(1/(VLOOKUP($BM221,'Fuel economy adjusted factor'!$A$2:$L$52,5,FALSE)*m2k))/'TCO Inputs'!$AZ$84</f>
        <v>177.12873434323947</v>
      </c>
      <c r="EE221" s="125">
        <f>EE109/293.07*(1/(VLOOKUP($BM221,'Fuel economy adjusted factor'!$A$2:$L$52,5,FALSE)*m2k))/'TCO Inputs'!$AZ$84</f>
        <v>110.20269509263596</v>
      </c>
      <c r="EF221" s="125">
        <f>EF109/293.07*(1/(VLOOKUP($BM221,'Fuel economy adjusted factor'!$A$2:$L$52,5,FALSE)*m2k))/'TCO Inputs'!$AZ$84</f>
        <v>110.20269509263596</v>
      </c>
      <c r="EG221" s="125">
        <f>EG109/293.07*(1/(VLOOKUP($BM221,'Fuel economy adjusted factor'!$A$2:$L$52,5,FALSE)*m2k))/'TCO Inputs'!$AZ$84</f>
        <v>110.20269509263596</v>
      </c>
      <c r="EH221" s="125">
        <f>EH109/293.07*(1/(VLOOKUP($BM221,'Fuel economy adjusted factor'!$A$2:$L$52,5,FALSE)*m2k))/'TCO Inputs'!$AZ$84</f>
        <v>110.20269509263596</v>
      </c>
      <c r="EI221" s="125">
        <f>EI109/293.07*(1/(VLOOKUP($BM221,'Fuel economy adjusted factor'!$A$2:$L$52,5,FALSE)*m2k))/'TCO Inputs'!$AZ$84</f>
        <v>110.20269509263596</v>
      </c>
      <c r="EJ221" s="125">
        <f>EJ109/293.07*(1/(VLOOKUP($BM221,'Fuel economy adjusted factor'!$A$2:$L$52,5,FALSE)*m2k))/'TCO Inputs'!$AZ$84</f>
        <v>98.12492352962515</v>
      </c>
      <c r="EK221" s="125">
        <f>EK109/293.07*(1/(VLOOKUP($BM221,'Fuel economy adjusted factor'!$A$2:$L$52,5,FALSE)*m2k))/'TCO Inputs'!$AZ$84</f>
        <v>98.12492352962515</v>
      </c>
      <c r="EL221" s="125">
        <f>EL109/293.07*(1/(VLOOKUP($BM221,'Fuel economy adjusted factor'!$A$2:$L$52,5,FALSE)*m2k))/'TCO Inputs'!$AZ$84</f>
        <v>98.12492352962515</v>
      </c>
      <c r="EM221" s="125">
        <f>EM109/293.07*(1/(VLOOKUP($BM221,'Fuel economy adjusted factor'!$A$2:$L$52,5,FALSE)*m2k))/'TCO Inputs'!$AZ$84</f>
        <v>98.12492352962515</v>
      </c>
      <c r="EN221" s="125">
        <f>EN109/293.07*(1/(VLOOKUP($BM221,'Fuel economy adjusted factor'!$A$2:$L$52,5,FALSE)*m2k))/'TCO Inputs'!$AZ$84</f>
        <v>98.12492352962515</v>
      </c>
      <c r="EO221" s="125">
        <f>EO109/293.07*(1/(VLOOKUP($BM221,'Fuel economy adjusted factor'!$A$2:$L$52,5,FALSE)*m2k))/'TCO Inputs'!$AZ$84</f>
        <v>95.346764402487722</v>
      </c>
      <c r="EP221" s="125">
        <f>EP109/293.07*(1/(VLOOKUP($BM221,'Fuel economy adjusted factor'!$A$2:$L$52,5,FALSE)*m2k))/'TCO Inputs'!$AZ$84</f>
        <v>95.346764402487722</v>
      </c>
      <c r="EQ221" s="125">
        <f>EQ109/293.07*(1/(VLOOKUP($BM221,'Fuel economy adjusted factor'!$A$2:$L$52,5,FALSE)*m2k))/'TCO Inputs'!$AZ$84</f>
        <v>95.346764402487722</v>
      </c>
      <c r="ER221" s="125">
        <f>ER109/293.07*(1/(VLOOKUP($BM221,'Fuel economy adjusted factor'!$A$2:$L$52,5,FALSE)*m2k))/'TCO Inputs'!$AZ$84</f>
        <v>95.346764402487722</v>
      </c>
      <c r="ES221" s="125">
        <f>ES109/293.07*(1/(VLOOKUP($BM221,'Fuel economy adjusted factor'!$A$2:$L$52,5,FALSE)*m2k))/'TCO Inputs'!$AZ$84</f>
        <v>95.346764402487722</v>
      </c>
      <c r="ET221" s="125">
        <f>ET109/293.07*(1/(VLOOKUP($BM221,'Fuel economy adjusted factor'!$A$2:$L$52,5,FALSE)*m2k))/'TCO Inputs'!$AZ$84</f>
        <v>91.972366286149892</v>
      </c>
      <c r="EU221" s="125">
        <f>EU109/293.07*(1/(VLOOKUP($BM221,'Fuel economy adjusted factor'!$A$2:$L$52,5,FALSE)*m2k))/'TCO Inputs'!$AZ$84</f>
        <v>91.972366286149892</v>
      </c>
      <c r="EV221" s="125">
        <f>EV109/293.07*(1/(VLOOKUP($BM221,'Fuel economy adjusted factor'!$A$2:$L$52,5,FALSE)*m2k))/'TCO Inputs'!$AZ$84</f>
        <v>91.972366286149892</v>
      </c>
      <c r="EW221" s="125">
        <f>EW109/293.07*(1/(VLOOKUP($BM221,'Fuel economy adjusted factor'!$A$2:$L$52,5,FALSE)*m2k))/'TCO Inputs'!$AZ$84</f>
        <v>91.972366286149892</v>
      </c>
      <c r="EX221" s="125">
        <f>EX109/293.07*(1/(VLOOKUP($BM221,'Fuel economy adjusted factor'!$A$2:$L$52,5,FALSE)*m2k))/'TCO Inputs'!$AZ$84</f>
        <v>91.972366286149892</v>
      </c>
      <c r="EY221" s="125">
        <f>EY109/293.07*(1/(VLOOKUP($BM221,'Fuel economy adjusted factor'!$A$2:$L$52,5,FALSE)*m2k))/'TCO Inputs'!$AZ$84</f>
        <v>86.594776745664092</v>
      </c>
      <c r="EZ221" s="98" cm="1">
        <f t="array" ref="EZ221">SUMPRODUCT(INDEX(DX221:EY221,,'TCO Inputs'!$AZ$12-2023+_xlfn.SEQUENCE('TCO Inputs'!$AZ$13))*INDEX('VKT US'!C111:AA111,,_xlfn.SEQUENCE('TCO Inputs'!$AZ$13)))*m2k*CONVERT(0.9072,"g","ton")</f>
        <v>48.922020660056504</v>
      </c>
      <c r="FB221" s="123" t="s">
        <v>158</v>
      </c>
      <c r="FC221" s="125">
        <f>FC109/293.07*(1/(VLOOKUP($BM221,'Fuel economy adjusted factor'!$A$2:$L$52,5,FALSE)*m2k))/'TCO Inputs'!$AZ$84</f>
        <v>218.86260392784465</v>
      </c>
      <c r="FD221" s="125">
        <f>FD109/293.07*(1/(VLOOKUP($BM221,'Fuel economy adjusted factor'!$A$2:$L$52,5,FALSE)*m2k))/'TCO Inputs'!$AZ$84</f>
        <v>218.86260392784465</v>
      </c>
      <c r="FE221" s="125">
        <f>FE109/293.07*(1/(VLOOKUP($BM221,'Fuel economy adjusted factor'!$A$2:$L$52,5,FALSE)*m2k))/'TCO Inputs'!$AZ$84</f>
        <v>190.81220467093141</v>
      </c>
      <c r="FF221" s="125">
        <f>FF109/293.07*(1/(VLOOKUP($BM221,'Fuel economy adjusted factor'!$A$2:$L$52,5,FALSE)*m2k))/'TCO Inputs'!$AZ$84</f>
        <v>190.81220467093141</v>
      </c>
      <c r="FG221" s="125">
        <f>FG109/293.07*(1/(VLOOKUP($BM221,'Fuel economy adjusted factor'!$A$2:$L$52,5,FALSE)*m2k))/'TCO Inputs'!$AZ$84</f>
        <v>190.81220467093141</v>
      </c>
      <c r="FH221" s="125">
        <f>FH109/293.07*(1/(VLOOKUP($BM221,'Fuel economy adjusted factor'!$A$2:$L$52,5,FALSE)*m2k))/'TCO Inputs'!$AZ$84</f>
        <v>190.81220467093141</v>
      </c>
      <c r="FI221" s="125">
        <f>FI109/293.07*(1/(VLOOKUP($BM221,'Fuel economy adjusted factor'!$A$2:$L$52,5,FALSE)*m2k))/'TCO Inputs'!$AZ$84</f>
        <v>190.81220467093141</v>
      </c>
      <c r="FJ221" s="125">
        <f>FJ109/293.07*(1/(VLOOKUP($BM221,'Fuel economy adjusted factor'!$A$2:$L$52,5,FALSE)*m2k))/'TCO Inputs'!$AZ$84</f>
        <v>120.69049601777918</v>
      </c>
      <c r="FK221" s="125">
        <f>FK109/293.07*(1/(VLOOKUP($BM221,'Fuel economy adjusted factor'!$A$2:$L$52,5,FALSE)*m2k))/'TCO Inputs'!$AZ$84</f>
        <v>120.69049601777918</v>
      </c>
      <c r="FL221" s="125">
        <f>FL109/293.07*(1/(VLOOKUP($BM221,'Fuel economy adjusted factor'!$A$2:$L$52,5,FALSE)*m2k))/'TCO Inputs'!$AZ$84</f>
        <v>120.69049601777918</v>
      </c>
      <c r="FM221" s="125">
        <f>FM109/293.07*(1/(VLOOKUP($BM221,'Fuel economy adjusted factor'!$A$2:$L$52,5,FALSE)*m2k))/'TCO Inputs'!$AZ$84</f>
        <v>120.69049601777918</v>
      </c>
      <c r="FN221" s="125">
        <f>FN109/293.07*(1/(VLOOKUP($BM221,'Fuel economy adjusted factor'!$A$2:$L$52,5,FALSE)*m2k))/'TCO Inputs'!$AZ$84</f>
        <v>120.69049601777918</v>
      </c>
      <c r="FO221" s="125">
        <f>FO109/293.07*(1/(VLOOKUP($BM221,'Fuel economy adjusted factor'!$A$2:$L$52,5,FALSE)*m2k))/'TCO Inputs'!$AZ$84</f>
        <v>106.89692880239318</v>
      </c>
      <c r="FP221" s="125">
        <f>FP109/293.07*(1/(VLOOKUP($BM221,'Fuel economy adjusted factor'!$A$2:$L$52,5,FALSE)*m2k))/'TCO Inputs'!$AZ$84</f>
        <v>106.89692880239318</v>
      </c>
      <c r="FQ221" s="125">
        <f>FQ109/293.07*(1/(VLOOKUP($BM221,'Fuel economy adjusted factor'!$A$2:$L$52,5,FALSE)*m2k))/'TCO Inputs'!$AZ$84</f>
        <v>106.89692880239318</v>
      </c>
      <c r="FR221" s="125">
        <f>FR109/293.07*(1/(VLOOKUP($BM221,'Fuel economy adjusted factor'!$A$2:$L$52,5,FALSE)*m2k))/'TCO Inputs'!$AZ$84</f>
        <v>106.89692880239318</v>
      </c>
      <c r="FS221" s="125">
        <f>FS109/293.07*(1/(VLOOKUP($BM221,'Fuel economy adjusted factor'!$A$2:$L$52,5,FALSE)*m2k))/'TCO Inputs'!$AZ$84</f>
        <v>106.89692880239318</v>
      </c>
      <c r="FT221" s="125">
        <f>FT109/293.07*(1/(VLOOKUP($BM221,'Fuel economy adjusted factor'!$A$2:$L$52,5,FALSE)*m2k))/'TCO Inputs'!$AZ$84</f>
        <v>104.45620948688951</v>
      </c>
      <c r="FU221" s="125">
        <f>FU109/293.07*(1/(VLOOKUP($BM221,'Fuel economy adjusted factor'!$A$2:$L$52,5,FALSE)*m2k))/'TCO Inputs'!$AZ$84</f>
        <v>104.45620948688951</v>
      </c>
      <c r="FV221" s="125">
        <f>FV109/293.07*(1/(VLOOKUP($BM221,'Fuel economy adjusted factor'!$A$2:$L$52,5,FALSE)*m2k))/'TCO Inputs'!$AZ$84</f>
        <v>104.45620948688951</v>
      </c>
      <c r="FW221" s="125">
        <f>FW109/293.07*(1/(VLOOKUP($BM221,'Fuel economy adjusted factor'!$A$2:$L$52,5,FALSE)*m2k))/'TCO Inputs'!$AZ$84</f>
        <v>104.45620948688951</v>
      </c>
      <c r="FX221" s="125">
        <f>FX109/293.07*(1/(VLOOKUP($BM221,'Fuel economy adjusted factor'!$A$2:$L$52,5,FALSE)*m2k))/'TCO Inputs'!$AZ$84</f>
        <v>104.45620948688951</v>
      </c>
      <c r="FY221" s="125">
        <f>FY109/293.07*(1/(VLOOKUP($BM221,'Fuel economy adjusted factor'!$A$2:$L$52,5,FALSE)*m2k))/'TCO Inputs'!$AZ$84</f>
        <v>101.07609205171045</v>
      </c>
      <c r="FZ221" s="125">
        <f>FZ109/293.07*(1/(VLOOKUP($BM221,'Fuel economy adjusted factor'!$A$2:$L$52,5,FALSE)*m2k))/'TCO Inputs'!$AZ$84</f>
        <v>101.07609205171045</v>
      </c>
      <c r="GA221" s="125">
        <f>GA109/293.07*(1/(VLOOKUP($BM221,'Fuel economy adjusted factor'!$A$2:$L$52,5,FALSE)*m2k))/'TCO Inputs'!$AZ$84</f>
        <v>101.07609205171045</v>
      </c>
      <c r="GB221" s="125">
        <f>GB109/293.07*(1/(VLOOKUP($BM221,'Fuel economy adjusted factor'!$A$2:$L$52,5,FALSE)*m2k))/'TCO Inputs'!$AZ$84</f>
        <v>101.07609205171045</v>
      </c>
      <c r="GC221" s="125">
        <f>GC109/293.07*(1/(VLOOKUP($BM221,'Fuel economy adjusted factor'!$A$2:$L$52,5,FALSE)*m2k))/'TCO Inputs'!$AZ$84</f>
        <v>101.07609205171045</v>
      </c>
      <c r="GD221" s="125">
        <f>GD109/293.07*(1/(VLOOKUP($BM221,'Fuel economy adjusted factor'!$A$2:$L$52,5,FALSE)*m2k))/'TCO Inputs'!$AZ$84</f>
        <v>95.515484308304607</v>
      </c>
      <c r="GE221" s="98" cm="1">
        <f t="array" ref="GE221">SUMPRODUCT(INDEX(FC221:GD221,,'TCO Inputs'!$AZ$12-2023+_xlfn.SEQUENCE('TCO Inputs'!$AZ$13))*INDEX('VKT US'!C111:AA111,,_xlfn.SEQUENCE('TCO Inputs'!$AZ$13)))*m2k*CONVERT(0.9072,"g","ton")</f>
        <v>53.002611933463484</v>
      </c>
      <c r="GH221" s="123" t="s">
        <v>158</v>
      </c>
      <c r="GI221" s="125">
        <f>GI109/293.07*(1/(VLOOKUP($GH221,'Fuel economy adjusted factor'!$A$2:$L$52,5,FALSE)*m2k))/'TCO Inputs'!$AZ$84</f>
        <v>385.28868028121218</v>
      </c>
      <c r="GJ221" s="125">
        <f>GJ109/293.07*(1/(VLOOKUP($GH221,'Fuel economy adjusted factor'!$A$2:$L$52,5,FALSE)*m2k))/'TCO Inputs'!$AZ$84</f>
        <v>385.28868028121218</v>
      </c>
      <c r="GK221" s="125">
        <f>GK109/293.07*(1/(VLOOKUP($GH221,'Fuel economy adjusted factor'!$A$2:$L$52,5,FALSE)*m2k))/'TCO Inputs'!$AZ$84</f>
        <v>385.28868028121218</v>
      </c>
      <c r="GL221" s="125">
        <f>GL109/293.07*(1/(VLOOKUP($GH221,'Fuel economy adjusted factor'!$A$2:$L$52,5,FALSE)*m2k))/'TCO Inputs'!$AZ$84</f>
        <v>385.28868028121218</v>
      </c>
      <c r="GM221" s="125">
        <f>GM109/293.07*(1/(VLOOKUP($GH221,'Fuel economy adjusted factor'!$A$2:$L$52,5,FALSE)*m2k))/'TCO Inputs'!$AZ$84</f>
        <v>385.28868028121218</v>
      </c>
      <c r="GN221" s="125">
        <f>GN109/293.07*(1/(VLOOKUP($GH221,'Fuel economy adjusted factor'!$A$2:$L$52,5,FALSE)*m2k))/'TCO Inputs'!$AZ$84</f>
        <v>385.28868028121218</v>
      </c>
      <c r="GO221" s="125">
        <f>GO109/293.07*(1/(VLOOKUP($GH221,'Fuel economy adjusted factor'!$A$2:$L$52,5,FALSE)*m2k))/'TCO Inputs'!$AZ$84</f>
        <v>385.28868028121218</v>
      </c>
      <c r="GP221" s="125">
        <f>GP109/293.07*(1/(VLOOKUP($GH221,'Fuel economy adjusted factor'!$A$2:$L$52,5,FALSE)*m2k))/'TCO Inputs'!$AZ$84</f>
        <v>385.28868028121218</v>
      </c>
      <c r="GQ221" s="125">
        <f>GQ109/293.07*(1/(VLOOKUP($GH221,'Fuel economy adjusted factor'!$A$2:$L$52,5,FALSE)*m2k))/'TCO Inputs'!$AZ$84</f>
        <v>385.28868028121218</v>
      </c>
      <c r="GR221" s="125">
        <f>GR109/293.07*(1/(VLOOKUP($GH221,'Fuel economy adjusted factor'!$A$2:$L$52,5,FALSE)*m2k))/'TCO Inputs'!$AZ$84</f>
        <v>385.28868028121218</v>
      </c>
      <c r="GS221" s="125">
        <f>GS109/293.07*(1/(VLOOKUP($GH221,'Fuel economy adjusted factor'!$A$2:$L$52,5,FALSE)*m2k))/'TCO Inputs'!$AZ$84</f>
        <v>385.28868028121218</v>
      </c>
      <c r="GT221" s="125">
        <f>GT109/293.07*(1/(VLOOKUP($GH221,'Fuel economy adjusted factor'!$A$2:$L$52,5,FALSE)*m2k))/'TCO Inputs'!$AZ$84</f>
        <v>385.28868028121218</v>
      </c>
      <c r="GU221" s="125">
        <f>GU109/293.07*(1/(VLOOKUP($GH221,'Fuel economy adjusted factor'!$A$2:$L$52,5,FALSE)*m2k))/'TCO Inputs'!$AZ$84</f>
        <v>385.28868028121218</v>
      </c>
      <c r="GV221" s="125">
        <f>GV109/293.07*(1/(VLOOKUP($GH221,'Fuel economy adjusted factor'!$A$2:$L$52,5,FALSE)*m2k))/'TCO Inputs'!$AZ$84</f>
        <v>385.28868028121218</v>
      </c>
      <c r="GW221" s="125">
        <f>GW109/293.07*(1/(VLOOKUP($GH221,'Fuel economy adjusted factor'!$A$2:$L$52,5,FALSE)*m2k))/'TCO Inputs'!$AZ$84</f>
        <v>385.28868028121218</v>
      </c>
      <c r="GX221" s="125">
        <f>GX109/293.07*(1/(VLOOKUP($GH221,'Fuel economy adjusted factor'!$A$2:$L$52,5,FALSE)*m2k))/'TCO Inputs'!$AZ$84</f>
        <v>385.28868028121218</v>
      </c>
      <c r="GY221" s="125">
        <f>GY109/293.07*(1/(VLOOKUP($GH221,'Fuel economy adjusted factor'!$A$2:$L$52,5,FALSE)*m2k))/'TCO Inputs'!$AZ$84</f>
        <v>385.28868028121218</v>
      </c>
      <c r="GZ221" s="125">
        <f>GZ109/293.07*(1/(VLOOKUP($GH221,'Fuel economy adjusted factor'!$A$2:$L$52,5,FALSE)*m2k))/'TCO Inputs'!$AZ$84</f>
        <v>385.28868028121218</v>
      </c>
      <c r="HA221" s="125">
        <f>HA109/293.07*(1/(VLOOKUP($GH221,'Fuel economy adjusted factor'!$A$2:$L$52,5,FALSE)*m2k))/'TCO Inputs'!$AZ$84</f>
        <v>385.28868028121218</v>
      </c>
      <c r="HB221" s="125">
        <f>HB109/293.07*(1/(VLOOKUP($GH221,'Fuel economy adjusted factor'!$A$2:$L$52,5,FALSE)*m2k))/'TCO Inputs'!$AZ$84</f>
        <v>385.28868028121218</v>
      </c>
      <c r="HC221" s="125">
        <f>HC109/293.07*(1/(VLOOKUP($GH221,'Fuel economy adjusted factor'!$A$2:$L$52,5,FALSE)*m2k))/'TCO Inputs'!$AZ$84</f>
        <v>385.28868028121218</v>
      </c>
      <c r="HD221" s="125">
        <f>HD109/293.07*(1/(VLOOKUP($GH221,'Fuel economy adjusted factor'!$A$2:$L$52,5,FALSE)*m2k))/'TCO Inputs'!$AZ$84</f>
        <v>385.28868028121218</v>
      </c>
      <c r="HE221" s="125">
        <f>HE109/293.07*(1/(VLOOKUP($GH221,'Fuel economy adjusted factor'!$A$2:$L$52,5,FALSE)*m2k))/'TCO Inputs'!$AZ$84</f>
        <v>385.28868028121218</v>
      </c>
      <c r="HF221" s="125">
        <f>HF109/293.07*(1/(VLOOKUP($GH221,'Fuel economy adjusted factor'!$A$2:$L$52,5,FALSE)*m2k))/'TCO Inputs'!$AZ$84</f>
        <v>385.28868028121218</v>
      </c>
      <c r="HG221" s="125">
        <f>HG109/293.07*(1/(VLOOKUP($GH221,'Fuel economy adjusted factor'!$A$2:$L$52,5,FALSE)*m2k))/'TCO Inputs'!$AZ$84</f>
        <v>385.28868028121218</v>
      </c>
      <c r="HH221" s="125">
        <f>HH109/293.07*(1/(VLOOKUP($GH221,'Fuel economy adjusted factor'!$A$2:$L$52,5,FALSE)*m2k))/'TCO Inputs'!$AZ$84</f>
        <v>385.28868028121218</v>
      </c>
      <c r="HI221" s="125">
        <f>HI109/293.07*(1/(VLOOKUP($GH221,'Fuel economy adjusted factor'!$A$2:$L$52,5,FALSE)*m2k))/'TCO Inputs'!$AZ$84</f>
        <v>385.28868028121218</v>
      </c>
      <c r="HJ221" s="125">
        <f>HJ109/293.07*(1/(VLOOKUP($GH221,'Fuel economy adjusted factor'!$A$2:$L$52,5,FALSE)*m2k))/'TCO Inputs'!$AZ$84</f>
        <v>385.28868028121218</v>
      </c>
      <c r="HK221" s="98" cm="1">
        <f t="array" ref="HK221">SUMPRODUCT(INDEX(GI221:HJ221,,'TCO Inputs'!$AZ$12-2023+_xlfn.SEQUENCE('TCO Inputs'!$AZ$13))*INDEX('VKT US'!C111:AA111,,_xlfn.SEQUENCE('TCO Inputs'!$AZ$13)))*m2k*CONVERT(0.9072,"g","ton")</f>
        <v>125.77614942129368</v>
      </c>
    </row>
    <row r="222" spans="26:219" x14ac:dyDescent="0.25">
      <c r="Z222" s="123" t="s">
        <v>160</v>
      </c>
      <c r="AA222" s="125">
        <f>AA110/293.07*(1/(VLOOKUP($Z222,'Fuel economy adjusted factor'!$A$2:$L$52,5,FALSE)*m2k))/'TCO Inputs'!$AZ$84</f>
        <v>216.22161368552423</v>
      </c>
      <c r="AB222" s="125">
        <f>AB110/293.07*(1/(VLOOKUP($Z222,'Fuel economy adjusted factor'!$A$2:$L$52,5,FALSE)*m2k))/'TCO Inputs'!$AZ$84</f>
        <v>216.22161368552423</v>
      </c>
      <c r="AC222" s="125">
        <f>AC110/293.07*(1/(VLOOKUP($Z222,'Fuel economy adjusted factor'!$A$2:$L$52,5,FALSE)*m2k))/'TCO Inputs'!$AZ$84</f>
        <v>189.91729733747135</v>
      </c>
      <c r="AD222" s="125">
        <f>AD110/293.07*(1/(VLOOKUP($Z222,'Fuel economy adjusted factor'!$A$2:$L$52,5,FALSE)*m2k))/'TCO Inputs'!$AZ$84</f>
        <v>189.91729733747135</v>
      </c>
      <c r="AE222" s="125">
        <f>AE110/293.07*(1/(VLOOKUP($Z222,'Fuel economy adjusted factor'!$A$2:$L$52,5,FALSE)*m2k))/'TCO Inputs'!$AZ$84</f>
        <v>189.91729733747135</v>
      </c>
      <c r="AF222" s="125">
        <f>AF110/293.07*(1/(VLOOKUP($Z222,'Fuel economy adjusted factor'!$A$2:$L$52,5,FALSE)*m2k))/'TCO Inputs'!$AZ$84</f>
        <v>189.91729733747135</v>
      </c>
      <c r="AG222" s="125">
        <f>AG110/293.07*(1/(VLOOKUP($Z222,'Fuel economy adjusted factor'!$A$2:$L$52,5,FALSE)*m2k))/'TCO Inputs'!$AZ$84</f>
        <v>189.91729733747135</v>
      </c>
      <c r="AH222" s="125">
        <f>AH110/293.07*(1/(VLOOKUP($Z222,'Fuel economy adjusted factor'!$A$2:$L$52,5,FALSE)*m2k))/'TCO Inputs'!$AZ$84</f>
        <v>71.802818684527125</v>
      </c>
      <c r="AI222" s="125">
        <f>AI110/293.07*(1/(VLOOKUP($Z222,'Fuel economy adjusted factor'!$A$2:$L$52,5,FALSE)*m2k))/'TCO Inputs'!$AZ$84</f>
        <v>71.802818684527125</v>
      </c>
      <c r="AJ222" s="125">
        <f>AJ110/293.07*(1/(VLOOKUP($Z222,'Fuel economy adjusted factor'!$A$2:$L$52,5,FALSE)*m2k))/'TCO Inputs'!$AZ$84</f>
        <v>71.802818684527125</v>
      </c>
      <c r="AK222" s="125">
        <f>AK110/293.07*(1/(VLOOKUP($Z222,'Fuel economy adjusted factor'!$A$2:$L$52,5,FALSE)*m2k))/'TCO Inputs'!$AZ$84</f>
        <v>71.802818684527125</v>
      </c>
      <c r="AL222" s="125">
        <f>AL110/293.07*(1/(VLOOKUP($Z222,'Fuel economy adjusted factor'!$A$2:$L$52,5,FALSE)*m2k))/'TCO Inputs'!$AZ$84</f>
        <v>71.802818684527125</v>
      </c>
      <c r="AM222" s="125">
        <f>AM110/293.07*(1/(VLOOKUP($Z222,'Fuel economy adjusted factor'!$A$2:$L$52,5,FALSE)*m2k))/'TCO Inputs'!$AZ$84</f>
        <v>60.350293265791088</v>
      </c>
      <c r="AN222" s="125">
        <f>AN110/293.07*(1/(VLOOKUP($Z222,'Fuel economy adjusted factor'!$A$2:$L$52,5,FALSE)*m2k))/'TCO Inputs'!$AZ$84</f>
        <v>60.350293265791088</v>
      </c>
      <c r="AO222" s="125">
        <f>AO110/293.07*(1/(VLOOKUP($Z222,'Fuel economy adjusted factor'!$A$2:$L$52,5,FALSE)*m2k))/'TCO Inputs'!$AZ$84</f>
        <v>60.350293265791088</v>
      </c>
      <c r="AP222" s="125">
        <f>AP110/293.07*(1/(VLOOKUP($Z222,'Fuel economy adjusted factor'!$A$2:$L$52,5,FALSE)*m2k))/'TCO Inputs'!$AZ$84</f>
        <v>60.350293265791088</v>
      </c>
      <c r="AQ222" s="125">
        <f>AQ110/293.07*(1/(VLOOKUP($Z222,'Fuel economy adjusted factor'!$A$2:$L$52,5,FALSE)*m2k))/'TCO Inputs'!$AZ$84</f>
        <v>60.350293265791088</v>
      </c>
      <c r="AR222" s="125">
        <f>AR110/293.07*(1/(VLOOKUP($Z222,'Fuel economy adjusted factor'!$A$2:$L$52,5,FALSE)*m2k))/'TCO Inputs'!$AZ$84</f>
        <v>60.350293265791088</v>
      </c>
      <c r="AS222" s="125">
        <f>AS110/293.07*(1/(VLOOKUP($Z222,'Fuel economy adjusted factor'!$A$2:$L$52,5,FALSE)*m2k))/'TCO Inputs'!$AZ$84</f>
        <v>60.350293265791088</v>
      </c>
      <c r="AT222" s="125">
        <f>AT110/293.07*(1/(VLOOKUP($Z222,'Fuel economy adjusted factor'!$A$2:$L$52,5,FALSE)*m2k))/'TCO Inputs'!$AZ$84</f>
        <v>60.350293265791088</v>
      </c>
      <c r="AU222" s="125">
        <f>AU110/293.07*(1/(VLOOKUP($Z222,'Fuel economy adjusted factor'!$A$2:$L$52,5,FALSE)*m2k))/'TCO Inputs'!$AZ$84</f>
        <v>60.350293265791088</v>
      </c>
      <c r="AV222" s="125">
        <f>AV110/293.07*(1/(VLOOKUP($Z222,'Fuel economy adjusted factor'!$A$2:$L$52,5,FALSE)*m2k))/'TCO Inputs'!$AZ$84</f>
        <v>60.350293265791088</v>
      </c>
      <c r="AW222" s="125">
        <f>AW110/293.07*(1/(VLOOKUP($Z222,'Fuel economy adjusted factor'!$A$2:$L$52,5,FALSE)*m2k))/'TCO Inputs'!$AZ$84</f>
        <v>60.635231698295648</v>
      </c>
      <c r="AX222" s="125">
        <f>AX110/293.07*(1/(VLOOKUP($Z222,'Fuel economy adjusted factor'!$A$2:$L$52,5,FALSE)*m2k))/'TCO Inputs'!$AZ$84</f>
        <v>60.635231698295648</v>
      </c>
      <c r="AY222" s="125">
        <f>AY110/293.07*(1/(VLOOKUP($Z222,'Fuel economy adjusted factor'!$A$2:$L$52,5,FALSE)*m2k))/'TCO Inputs'!$AZ$84</f>
        <v>60.635231698295648</v>
      </c>
      <c r="AZ222" s="125">
        <f>AZ110/293.07*(1/(VLOOKUP($Z222,'Fuel economy adjusted factor'!$A$2:$L$52,5,FALSE)*m2k))/'TCO Inputs'!$AZ$84</f>
        <v>60.635231698295648</v>
      </c>
      <c r="BA222" s="125">
        <f>BA110/293.07*(1/(VLOOKUP($Z222,'Fuel economy adjusted factor'!$A$2:$L$52,5,FALSE)*m2k))/'TCO Inputs'!$AZ$84</f>
        <v>60.635231698295648</v>
      </c>
      <c r="BB222" s="125">
        <f>BB110/293.07*(1/(VLOOKUP($Z222,'Fuel economy adjusted factor'!$A$2:$L$52,5,FALSE)*m2k))/'TCO Inputs'!$AZ$84</f>
        <v>60.993487622204896</v>
      </c>
      <c r="BC222" s="98" cm="1">
        <f t="array" ref="BC222">SUMPRODUCT(INDEX(AA222:BB222,,'TCO Inputs'!$AZ$12-2023+_xlfn.SEQUENCE('TCO Inputs'!$AZ$13))*INDEX('VKT US'!C112:AA112,,_xlfn.SEQUENCE('TCO Inputs'!$AZ$13)))*m2k*CONVERT(0.9072,"g","ton")</f>
        <v>71.167216374481384</v>
      </c>
      <c r="BM222" s="123" t="s">
        <v>160</v>
      </c>
      <c r="BN222" s="125">
        <f>BN110/293.07*(1/(VLOOKUP($BM222,'Fuel economy adjusted factor'!$A$2:$L$52,5,FALSE)*m2k))</f>
        <v>183.7883716326956</v>
      </c>
      <c r="BO222" s="125">
        <f>BO110/293.07*(1/(VLOOKUP($BM222,'Fuel economy adjusted factor'!$A$2:$L$52,5,FALSE)*m2k))</f>
        <v>183.7883716326956</v>
      </c>
      <c r="BP222" s="125">
        <f>BP110/293.07*(1/(VLOOKUP($BM222,'Fuel economy adjusted factor'!$A$2:$L$52,5,FALSE)*m2k))</f>
        <v>144.87527970032238</v>
      </c>
      <c r="BQ222" s="125">
        <f>BQ110/293.07*(1/(VLOOKUP($BM222,'Fuel economy adjusted factor'!$A$2:$L$52,5,FALSE)*m2k))</f>
        <v>144.87527970032238</v>
      </c>
      <c r="BR222" s="125">
        <f>BR110/293.07*(1/(VLOOKUP($BM222,'Fuel economy adjusted factor'!$A$2:$L$52,5,FALSE)*m2k))</f>
        <v>144.87527970032238</v>
      </c>
      <c r="BS222" s="125">
        <f>BS110/293.07*(1/(VLOOKUP($BM222,'Fuel economy adjusted factor'!$A$2:$L$52,5,FALSE)*m2k))</f>
        <v>144.87527970032238</v>
      </c>
      <c r="BT222" s="125">
        <f>BT110/293.07*(1/(VLOOKUP($BM222,'Fuel economy adjusted factor'!$A$2:$L$52,5,FALSE)*m2k))</f>
        <v>144.87527970032238</v>
      </c>
      <c r="BU222" s="125">
        <f>BU110/293.07*(1/(VLOOKUP($BM222,'Fuel economy adjusted factor'!$A$2:$L$52,5,FALSE)*m2k))</f>
        <v>8.1837317167231713</v>
      </c>
      <c r="BV222" s="125">
        <f>BV110/293.07*(1/(VLOOKUP($BM222,'Fuel economy adjusted factor'!$A$2:$L$52,5,FALSE)*m2k))</f>
        <v>8.1837317167231713</v>
      </c>
      <c r="BW222" s="125">
        <f>BW110/293.07*(1/(VLOOKUP($BM222,'Fuel economy adjusted factor'!$A$2:$L$52,5,FALSE)*m2k))</f>
        <v>8.1837317167231713</v>
      </c>
      <c r="BX222" s="125">
        <f>BX110/293.07*(1/(VLOOKUP($BM222,'Fuel economy adjusted factor'!$A$2:$L$52,5,FALSE)*m2k))</f>
        <v>8.1837317167231713</v>
      </c>
      <c r="BY222" s="125">
        <f>BY110/293.07*(1/(VLOOKUP($BM222,'Fuel economy adjusted factor'!$A$2:$L$52,5,FALSE)*m2k))</f>
        <v>8.1837317167231713</v>
      </c>
      <c r="BZ222" s="125">
        <f>BZ110/293.07*(1/(VLOOKUP($BM222,'Fuel economy adjusted factor'!$A$2:$L$52,5,FALSE)*m2k))</f>
        <v>8.5349891528165145</v>
      </c>
      <c r="CA222" s="125">
        <f>CA110/293.07*(1/(VLOOKUP($BM222,'Fuel economy adjusted factor'!$A$2:$L$52,5,FALSE)*m2k))</f>
        <v>8.5349891528165145</v>
      </c>
      <c r="CB222" s="125">
        <f>CB110/293.07*(1/(VLOOKUP($BM222,'Fuel economy adjusted factor'!$A$2:$L$52,5,FALSE)*m2k))</f>
        <v>8.5349891528165145</v>
      </c>
      <c r="CC222" s="125">
        <f>CC110/293.07*(1/(VLOOKUP($BM222,'Fuel economy adjusted factor'!$A$2:$L$52,5,FALSE)*m2k))</f>
        <v>8.5349891528165145</v>
      </c>
      <c r="CD222" s="125">
        <f>CD110/293.07*(1/(VLOOKUP($BM222,'Fuel economy adjusted factor'!$A$2:$L$52,5,FALSE)*m2k))</f>
        <v>8.5349891528165145</v>
      </c>
      <c r="CE222" s="125">
        <f>CE110/293.07*(1/(VLOOKUP($BM222,'Fuel economy adjusted factor'!$A$2:$L$52,5,FALSE)*m2k))</f>
        <v>8.6539634456868413</v>
      </c>
      <c r="CF222" s="125">
        <f>CF110/293.07*(1/(VLOOKUP($BM222,'Fuel economy adjusted factor'!$A$2:$L$52,5,FALSE)*m2k))</f>
        <v>8.6539634456868413</v>
      </c>
      <c r="CG222" s="125">
        <f>CG110/293.07*(1/(VLOOKUP($BM222,'Fuel economy adjusted factor'!$A$2:$L$52,5,FALSE)*m2k))</f>
        <v>8.6539634456868413</v>
      </c>
      <c r="CH222" s="125">
        <f>CH110/293.07*(1/(VLOOKUP($BM222,'Fuel economy adjusted factor'!$A$2:$L$52,5,FALSE)*m2k))</f>
        <v>8.6539634456868413</v>
      </c>
      <c r="CI222" s="125">
        <f>CI110/293.07*(1/(VLOOKUP($BM222,'Fuel economy adjusted factor'!$A$2:$L$52,5,FALSE)*m2k))</f>
        <v>8.6539634456868413</v>
      </c>
      <c r="CJ222" s="125">
        <f>CJ110/293.07*(1/(VLOOKUP($BM222,'Fuel economy adjusted factor'!$A$2:$L$52,5,FALSE)*m2k))</f>
        <v>8.9584809810096999</v>
      </c>
      <c r="CK222" s="125">
        <f>CK110/293.07*(1/(VLOOKUP($BM222,'Fuel economy adjusted factor'!$A$2:$L$52,5,FALSE)*m2k))</f>
        <v>8.9584809810096999</v>
      </c>
      <c r="CL222" s="125">
        <f>CL110/293.07*(1/(VLOOKUP($BM222,'Fuel economy adjusted factor'!$A$2:$L$52,5,FALSE)*m2k))</f>
        <v>8.9584809810096999</v>
      </c>
      <c r="CM222" s="125">
        <f>CM110/293.07*(1/(VLOOKUP($BM222,'Fuel economy adjusted factor'!$A$2:$L$52,5,FALSE)*m2k))</f>
        <v>8.9584809810096999</v>
      </c>
      <c r="CN222" s="125">
        <f>CN110/293.07*(1/(VLOOKUP($BM222,'Fuel economy adjusted factor'!$A$2:$L$52,5,FALSE)*m2k))</f>
        <v>8.9584809810096999</v>
      </c>
      <c r="CO222" s="125">
        <f>CO110/293.07*(1/(VLOOKUP($BM222,'Fuel economy adjusted factor'!$A$2:$L$52,5,FALSE)*m2k))</f>
        <v>9.3437310722088505</v>
      </c>
      <c r="CP222" s="98" cm="1">
        <f t="array" ref="CP222">SUMPRODUCT(INDEX(BN222:CO222,,'TCO Inputs'!$AZ$12-2023+_xlfn.SEQUENCE('TCO Inputs'!$AZ$13))*INDEX('VKT US'!C112:AA112,,_xlfn.SEQUENCE('TCO Inputs'!$AZ$13)))*m2k*CONVERT(0.9072,"g","ton")</f>
        <v>45.802792537557444</v>
      </c>
      <c r="CQ222" s="194"/>
      <c r="CR222" s="123" t="s">
        <v>160</v>
      </c>
      <c r="CS222" s="125">
        <f>CS110/293.07*(1/(VLOOKUP($BM222,'Fuel economy adjusted factor'!$A$2:$L$52,5,FALSE)*m2k))/'TCO Inputs'!$AZ$84</f>
        <v>216.22161368552423</v>
      </c>
      <c r="CT222" s="125">
        <f>CT110/293.07*(1/(VLOOKUP($BM222,'Fuel economy adjusted factor'!$A$2:$L$52,5,FALSE)*m2k))</f>
        <v>8.605807184286947</v>
      </c>
      <c r="CU222" s="125">
        <f>CU110/293.07*(1/(VLOOKUP($BM222,'Fuel economy adjusted factor'!$A$2:$L$52,5,FALSE)*m2k))</f>
        <v>8.605807184286947</v>
      </c>
      <c r="CV222" s="125">
        <f>CV110/293.07*(1/(VLOOKUP($BM222,'Fuel economy adjusted factor'!$A$2:$L$52,5,FALSE)*m2k))</f>
        <v>8.605807184286947</v>
      </c>
      <c r="CW222" s="125">
        <f>CW110/293.07*(1/(VLOOKUP($BM222,'Fuel economy adjusted factor'!$A$2:$L$52,5,FALSE)*m2k))</f>
        <v>8.605807184286947</v>
      </c>
      <c r="CX222" s="125">
        <f>CX110/293.07*(1/(VLOOKUP($BM222,'Fuel economy adjusted factor'!$A$2:$L$52,5,FALSE)*m2k))</f>
        <v>8.605807184286947</v>
      </c>
      <c r="CY222" s="125">
        <f>CY110/293.07*(1/(VLOOKUP($BM222,'Fuel economy adjusted factor'!$A$2:$L$52,5,FALSE)*m2k))</f>
        <v>8.605807184286947</v>
      </c>
      <c r="CZ222" s="125">
        <f>CZ110/293.07*(1/(VLOOKUP($BM222,'Fuel economy adjusted factor'!$A$2:$L$52,5,FALSE)*m2k))</f>
        <v>8.605807184286947</v>
      </c>
      <c r="DA222" s="125">
        <f>DA110/293.07*(1/(VLOOKUP($BM222,'Fuel economy adjusted factor'!$A$2:$L$52,5,FALSE)*m2k))</f>
        <v>8.605807184286947</v>
      </c>
      <c r="DB222" s="125">
        <f>DB110/293.07*(1/(VLOOKUP($BM222,'Fuel economy adjusted factor'!$A$2:$L$52,5,FALSE)*m2k))</f>
        <v>8.605807184286947</v>
      </c>
      <c r="DC222" s="125">
        <f>DC110/293.07*(1/(VLOOKUP($BM222,'Fuel economy adjusted factor'!$A$2:$L$52,5,FALSE)*m2k))</f>
        <v>8.605807184286947</v>
      </c>
      <c r="DD222" s="125">
        <f>DD110/293.07*(1/(VLOOKUP($BM222,'Fuel economy adjusted factor'!$A$2:$L$52,5,FALSE)*m2k))</f>
        <v>8.605807184286947</v>
      </c>
      <c r="DE222" s="125">
        <f>DE110/293.07*(1/(VLOOKUP($BM222,'Fuel economy adjusted factor'!$A$2:$L$52,5,FALSE)*m2k))</f>
        <v>8.852253933804052</v>
      </c>
      <c r="DF222" s="125">
        <f>DF110/293.07*(1/(VLOOKUP($BM222,'Fuel economy adjusted factor'!$A$2:$L$52,5,FALSE)*m2k))</f>
        <v>8.852253933804052</v>
      </c>
      <c r="DG222" s="125">
        <f>DG110/293.07*(1/(VLOOKUP($BM222,'Fuel economy adjusted factor'!$A$2:$L$52,5,FALSE)*m2k))</f>
        <v>8.852253933804052</v>
      </c>
      <c r="DH222" s="125">
        <f>DH110/293.07*(1/(VLOOKUP($BM222,'Fuel economy adjusted factor'!$A$2:$L$52,5,FALSE)*m2k))</f>
        <v>8.852253933804052</v>
      </c>
      <c r="DI222" s="125">
        <f>DI110/293.07*(1/(VLOOKUP($BM222,'Fuel economy adjusted factor'!$A$2:$L$52,5,FALSE)*m2k))</f>
        <v>8.852253933804052</v>
      </c>
      <c r="DJ222" s="125">
        <f>DJ110/293.07*(1/(VLOOKUP($BM222,'Fuel economy adjusted factor'!$A$2:$L$52,5,FALSE)*m2k))</f>
        <v>9.3125711383618626</v>
      </c>
      <c r="DK222" s="125">
        <f>DK110/293.07*(1/(VLOOKUP($BM222,'Fuel economy adjusted factor'!$A$2:$L$52,5,FALSE)*m2k))</f>
        <v>9.3125711383618626</v>
      </c>
      <c r="DL222" s="125">
        <f>DL110/293.07*(1/(VLOOKUP($BM222,'Fuel economy adjusted factor'!$A$2:$L$52,5,FALSE)*m2k))</f>
        <v>9.3125711383618626</v>
      </c>
      <c r="DM222" s="125">
        <f>DM110/293.07*(1/(VLOOKUP($BM222,'Fuel economy adjusted factor'!$A$2:$L$52,5,FALSE)*m2k))</f>
        <v>9.3125711383618626</v>
      </c>
      <c r="DN222" s="125">
        <f>DN110/293.07*(1/(VLOOKUP($BM222,'Fuel economy adjusted factor'!$A$2:$L$52,5,FALSE)*m2k))</f>
        <v>9.3125711383618626</v>
      </c>
      <c r="DO222" s="125">
        <f>DO110/293.07*(1/(VLOOKUP($BM222,'Fuel economy adjusted factor'!$A$2:$L$52,5,FALSE)*m2k))</f>
        <v>9.6170886736847212</v>
      </c>
      <c r="DP222" s="125">
        <f>DP110/293.07*(1/(VLOOKUP($BM222,'Fuel economy adjusted factor'!$A$2:$L$52,5,FALSE)*m2k))</f>
        <v>9.6170886736847212</v>
      </c>
      <c r="DQ222" s="125">
        <f>DQ110/293.07*(1/(VLOOKUP($BM222,'Fuel economy adjusted factor'!$A$2:$L$52,5,FALSE)*m2k))</f>
        <v>9.6170886736847212</v>
      </c>
      <c r="DR222" s="125">
        <f>DR110/293.07*(1/(VLOOKUP($BM222,'Fuel economy adjusted factor'!$A$2:$L$52,5,FALSE)*m2k))</f>
        <v>9.6170886736847212</v>
      </c>
      <c r="DS222" s="125">
        <f>DS110/293.07*(1/(VLOOKUP($BM222,'Fuel economy adjusted factor'!$A$2:$L$52,5,FALSE)*m2k))</f>
        <v>9.6170886736847212</v>
      </c>
      <c r="DT222" s="125">
        <f>DT110/293.07*(1/(VLOOKUP($BM222,'Fuel economy adjusted factor'!$A$2:$L$52,5,FALSE)*m2k))</f>
        <v>10.003755125513283</v>
      </c>
      <c r="DU222" s="98" cm="1">
        <f t="array" ref="DU222">SUMPRODUCT(INDEX(CS222:DT222,,'TCO Inputs'!$AZ$12-2023+_xlfn.SEQUENCE('TCO Inputs'!$AZ$13))*INDEX('VKT US'!C112:AA112,,_xlfn.SEQUENCE('TCO Inputs'!$AZ$13)))*m2k*CONVERT(0.9072,"g","ton")</f>
        <v>13.462597477909606</v>
      </c>
      <c r="DW222" s="123" t="s">
        <v>160</v>
      </c>
      <c r="DX222" s="125">
        <f>DX110/293.07*(1/(VLOOKUP($BM222,'Fuel economy adjusted factor'!$A$2:$L$52,5,FALSE)*m2k))/'TCO Inputs'!$AZ$84</f>
        <v>285.66736396829674</v>
      </c>
      <c r="DY222" s="125">
        <f>DY110/293.07*(1/(VLOOKUP($BM222,'Fuel economy adjusted factor'!$A$2:$L$52,5,FALSE)*m2k))/'TCO Inputs'!$AZ$84</f>
        <v>285.66736396829674</v>
      </c>
      <c r="DZ222" s="125">
        <f>DZ110/293.07*(1/(VLOOKUP($BM222,'Fuel economy adjusted factor'!$A$2:$L$52,5,FALSE)*m2k))/'TCO Inputs'!$AZ$84</f>
        <v>249.9241424014221</v>
      </c>
      <c r="EA222" s="125">
        <f>EA110/293.07*(1/(VLOOKUP($BM222,'Fuel economy adjusted factor'!$A$2:$L$52,5,FALSE)*m2k))/'TCO Inputs'!$AZ$84</f>
        <v>249.9241424014221</v>
      </c>
      <c r="EB222" s="125">
        <f>EB110/293.07*(1/(VLOOKUP($BM222,'Fuel economy adjusted factor'!$A$2:$L$52,5,FALSE)*m2k))/'TCO Inputs'!$AZ$84</f>
        <v>249.9241424014221</v>
      </c>
      <c r="EC222" s="125">
        <f>EC110/293.07*(1/(VLOOKUP($BM222,'Fuel economy adjusted factor'!$A$2:$L$52,5,FALSE)*m2k))/'TCO Inputs'!$AZ$84</f>
        <v>249.9241424014221</v>
      </c>
      <c r="ED222" s="125">
        <f>ED110/293.07*(1/(VLOOKUP($BM222,'Fuel economy adjusted factor'!$A$2:$L$52,5,FALSE)*m2k))/'TCO Inputs'!$AZ$84</f>
        <v>249.9241424014221</v>
      </c>
      <c r="EE222" s="125">
        <f>EE110/293.07*(1/(VLOOKUP($BM222,'Fuel economy adjusted factor'!$A$2:$L$52,5,FALSE)*m2k))/'TCO Inputs'!$AZ$84</f>
        <v>155.49320195548313</v>
      </c>
      <c r="EF222" s="125">
        <f>EF110/293.07*(1/(VLOOKUP($BM222,'Fuel economy adjusted factor'!$A$2:$L$52,5,FALSE)*m2k))/'TCO Inputs'!$AZ$84</f>
        <v>155.49320195548313</v>
      </c>
      <c r="EG222" s="125">
        <f>EG110/293.07*(1/(VLOOKUP($BM222,'Fuel economy adjusted factor'!$A$2:$L$52,5,FALSE)*m2k))/'TCO Inputs'!$AZ$84</f>
        <v>155.49320195548313</v>
      </c>
      <c r="EH222" s="125">
        <f>EH110/293.07*(1/(VLOOKUP($BM222,'Fuel economy adjusted factor'!$A$2:$L$52,5,FALSE)*m2k))/'TCO Inputs'!$AZ$84</f>
        <v>155.49320195548313</v>
      </c>
      <c r="EI222" s="125">
        <f>EI110/293.07*(1/(VLOOKUP($BM222,'Fuel economy adjusted factor'!$A$2:$L$52,5,FALSE)*m2k))/'TCO Inputs'!$AZ$84</f>
        <v>155.49320195548313</v>
      </c>
      <c r="EJ222" s="125">
        <f>EJ110/293.07*(1/(VLOOKUP($BM222,'Fuel economy adjusted factor'!$A$2:$L$52,5,FALSE)*m2k))/'TCO Inputs'!$AZ$84</f>
        <v>138.45177323869194</v>
      </c>
      <c r="EK222" s="125">
        <f>EK110/293.07*(1/(VLOOKUP($BM222,'Fuel economy adjusted factor'!$A$2:$L$52,5,FALSE)*m2k))/'TCO Inputs'!$AZ$84</f>
        <v>138.45177323869194</v>
      </c>
      <c r="EL222" s="125">
        <f>EL110/293.07*(1/(VLOOKUP($BM222,'Fuel economy adjusted factor'!$A$2:$L$52,5,FALSE)*m2k))/'TCO Inputs'!$AZ$84</f>
        <v>138.45177323869194</v>
      </c>
      <c r="EM222" s="125">
        <f>EM110/293.07*(1/(VLOOKUP($BM222,'Fuel economy adjusted factor'!$A$2:$L$52,5,FALSE)*m2k))/'TCO Inputs'!$AZ$84</f>
        <v>138.45177323869194</v>
      </c>
      <c r="EN222" s="125">
        <f>EN110/293.07*(1/(VLOOKUP($BM222,'Fuel economy adjusted factor'!$A$2:$L$52,5,FALSE)*m2k))/'TCO Inputs'!$AZ$84</f>
        <v>138.45177323869194</v>
      </c>
      <c r="EO222" s="125">
        <f>EO110/293.07*(1/(VLOOKUP($BM222,'Fuel economy adjusted factor'!$A$2:$L$52,5,FALSE)*m2k))/'TCO Inputs'!$AZ$84</f>
        <v>134.53186131768737</v>
      </c>
      <c r="EP222" s="125">
        <f>EP110/293.07*(1/(VLOOKUP($BM222,'Fuel economy adjusted factor'!$A$2:$L$52,5,FALSE)*m2k))/'TCO Inputs'!$AZ$84</f>
        <v>134.53186131768737</v>
      </c>
      <c r="EQ222" s="125">
        <f>EQ110/293.07*(1/(VLOOKUP($BM222,'Fuel economy adjusted factor'!$A$2:$L$52,5,FALSE)*m2k))/'TCO Inputs'!$AZ$84</f>
        <v>134.53186131768737</v>
      </c>
      <c r="ER222" s="125">
        <f>ER110/293.07*(1/(VLOOKUP($BM222,'Fuel economy adjusted factor'!$A$2:$L$52,5,FALSE)*m2k))/'TCO Inputs'!$AZ$84</f>
        <v>134.53186131768737</v>
      </c>
      <c r="ES222" s="125">
        <f>ES110/293.07*(1/(VLOOKUP($BM222,'Fuel economy adjusted factor'!$A$2:$L$52,5,FALSE)*m2k))/'TCO Inputs'!$AZ$84</f>
        <v>134.53186131768737</v>
      </c>
      <c r="ET222" s="125">
        <f>ET110/293.07*(1/(VLOOKUP($BM222,'Fuel economy adjusted factor'!$A$2:$L$52,5,FALSE)*m2k))/'TCO Inputs'!$AZ$84</f>
        <v>129.77067133643635</v>
      </c>
      <c r="EU222" s="125">
        <f>EU110/293.07*(1/(VLOOKUP($BM222,'Fuel economy adjusted factor'!$A$2:$L$52,5,FALSE)*m2k))/'TCO Inputs'!$AZ$84</f>
        <v>129.77067133643635</v>
      </c>
      <c r="EV222" s="125">
        <f>EV110/293.07*(1/(VLOOKUP($BM222,'Fuel economy adjusted factor'!$A$2:$L$52,5,FALSE)*m2k))/'TCO Inputs'!$AZ$84</f>
        <v>129.77067133643635</v>
      </c>
      <c r="EW222" s="125">
        <f>EW110/293.07*(1/(VLOOKUP($BM222,'Fuel economy adjusted factor'!$A$2:$L$52,5,FALSE)*m2k))/'TCO Inputs'!$AZ$84</f>
        <v>129.77067133643635</v>
      </c>
      <c r="EX222" s="125">
        <f>EX110/293.07*(1/(VLOOKUP($BM222,'Fuel economy adjusted factor'!$A$2:$L$52,5,FALSE)*m2k))/'TCO Inputs'!$AZ$84</f>
        <v>129.77067133643635</v>
      </c>
      <c r="EY222" s="125">
        <f>EY110/293.07*(1/(VLOOKUP($BM222,'Fuel economy adjusted factor'!$A$2:$L$52,5,FALSE)*m2k))/'TCO Inputs'!$AZ$84</f>
        <v>122.18302916716307</v>
      </c>
      <c r="EZ222" s="98" cm="1">
        <f t="array" ref="EZ222">SUMPRODUCT(INDEX(DX222:EY222,,'TCO Inputs'!$AZ$12-2023+_xlfn.SEQUENCE('TCO Inputs'!$AZ$13))*INDEX('VKT US'!C112:AA112,,_xlfn.SEQUENCE('TCO Inputs'!$AZ$13)))*m2k*CONVERT(0.9072,"g","ton")</f>
        <v>107.59152831073521</v>
      </c>
      <c r="FB222" s="123" t="s">
        <v>160</v>
      </c>
      <c r="FC222" s="125">
        <f>FC110/293.07*(1/(VLOOKUP($BM222,'Fuel economy adjusted factor'!$A$2:$L$52,5,FALSE)*m2k))/'TCO Inputs'!$AZ$84</f>
        <v>308.80957171191125</v>
      </c>
      <c r="FD222" s="125">
        <f>FD110/293.07*(1/(VLOOKUP($BM222,'Fuel economy adjusted factor'!$A$2:$L$52,5,FALSE)*m2k))/'TCO Inputs'!$AZ$84</f>
        <v>308.80957171191125</v>
      </c>
      <c r="FE222" s="125">
        <f>FE110/293.07*(1/(VLOOKUP($BM222,'Fuel economy adjusted factor'!$A$2:$L$52,5,FALSE)*m2k))/'TCO Inputs'!$AZ$84</f>
        <v>269.23117126607133</v>
      </c>
      <c r="FF222" s="125">
        <f>FF110/293.07*(1/(VLOOKUP($BM222,'Fuel economy adjusted factor'!$A$2:$L$52,5,FALSE)*m2k))/'TCO Inputs'!$AZ$84</f>
        <v>269.23117126607133</v>
      </c>
      <c r="FG222" s="125">
        <f>FG110/293.07*(1/(VLOOKUP($BM222,'Fuel economy adjusted factor'!$A$2:$L$52,5,FALSE)*m2k))/'TCO Inputs'!$AZ$84</f>
        <v>269.23117126607133</v>
      </c>
      <c r="FH222" s="125">
        <f>FH110/293.07*(1/(VLOOKUP($BM222,'Fuel economy adjusted factor'!$A$2:$L$52,5,FALSE)*m2k))/'TCO Inputs'!$AZ$84</f>
        <v>269.23117126607133</v>
      </c>
      <c r="FI222" s="125">
        <f>FI110/293.07*(1/(VLOOKUP($BM222,'Fuel economy adjusted factor'!$A$2:$L$52,5,FALSE)*m2k))/'TCO Inputs'!$AZ$84</f>
        <v>269.23117126607133</v>
      </c>
      <c r="FJ222" s="125">
        <f>FJ110/293.07*(1/(VLOOKUP($BM222,'Fuel economy adjusted factor'!$A$2:$L$52,5,FALSE)*m2k))/'TCO Inputs'!$AZ$84</f>
        <v>170.29122251161709</v>
      </c>
      <c r="FK222" s="125">
        <f>FK110/293.07*(1/(VLOOKUP($BM222,'Fuel economy adjusted factor'!$A$2:$L$52,5,FALSE)*m2k))/'TCO Inputs'!$AZ$84</f>
        <v>170.29122251161709</v>
      </c>
      <c r="FL222" s="125">
        <f>FL110/293.07*(1/(VLOOKUP($BM222,'Fuel economy adjusted factor'!$A$2:$L$52,5,FALSE)*m2k))/'TCO Inputs'!$AZ$84</f>
        <v>170.29122251161709</v>
      </c>
      <c r="FM222" s="125">
        <f>FM110/293.07*(1/(VLOOKUP($BM222,'Fuel economy adjusted factor'!$A$2:$L$52,5,FALSE)*m2k))/'TCO Inputs'!$AZ$84</f>
        <v>170.29122251161709</v>
      </c>
      <c r="FN222" s="125">
        <f>FN110/293.07*(1/(VLOOKUP($BM222,'Fuel economy adjusted factor'!$A$2:$L$52,5,FALSE)*m2k))/'TCO Inputs'!$AZ$84</f>
        <v>170.29122251161709</v>
      </c>
      <c r="FO222" s="125">
        <f>FO110/293.07*(1/(VLOOKUP($BM222,'Fuel economy adjusted factor'!$A$2:$L$52,5,FALSE)*m2k))/'TCO Inputs'!$AZ$84</f>
        <v>150.82884973656266</v>
      </c>
      <c r="FP222" s="125">
        <f>FP110/293.07*(1/(VLOOKUP($BM222,'Fuel economy adjusted factor'!$A$2:$L$52,5,FALSE)*m2k))/'TCO Inputs'!$AZ$84</f>
        <v>150.82884973656266</v>
      </c>
      <c r="FQ222" s="125">
        <f>FQ110/293.07*(1/(VLOOKUP($BM222,'Fuel economy adjusted factor'!$A$2:$L$52,5,FALSE)*m2k))/'TCO Inputs'!$AZ$84</f>
        <v>150.82884973656266</v>
      </c>
      <c r="FR222" s="125">
        <f>FR110/293.07*(1/(VLOOKUP($BM222,'Fuel economy adjusted factor'!$A$2:$L$52,5,FALSE)*m2k))/'TCO Inputs'!$AZ$84</f>
        <v>150.82884973656266</v>
      </c>
      <c r="FS222" s="125">
        <f>FS110/293.07*(1/(VLOOKUP($BM222,'Fuel economy adjusted factor'!$A$2:$L$52,5,FALSE)*m2k))/'TCO Inputs'!$AZ$84</f>
        <v>150.82884973656266</v>
      </c>
      <c r="FT222" s="125">
        <f>FT110/293.07*(1/(VLOOKUP($BM222,'Fuel economy adjusted factor'!$A$2:$L$52,5,FALSE)*m2k))/'TCO Inputs'!$AZ$84</f>
        <v>147.38505681368321</v>
      </c>
      <c r="FU222" s="125">
        <f>FU110/293.07*(1/(VLOOKUP($BM222,'Fuel economy adjusted factor'!$A$2:$L$52,5,FALSE)*m2k))/'TCO Inputs'!$AZ$84</f>
        <v>147.38505681368321</v>
      </c>
      <c r="FV222" s="125">
        <f>FV110/293.07*(1/(VLOOKUP($BM222,'Fuel economy adjusted factor'!$A$2:$L$52,5,FALSE)*m2k))/'TCO Inputs'!$AZ$84</f>
        <v>147.38505681368321</v>
      </c>
      <c r="FW222" s="125">
        <f>FW110/293.07*(1/(VLOOKUP($BM222,'Fuel economy adjusted factor'!$A$2:$L$52,5,FALSE)*m2k))/'TCO Inputs'!$AZ$84</f>
        <v>147.38505681368321</v>
      </c>
      <c r="FX222" s="125">
        <f>FX110/293.07*(1/(VLOOKUP($BM222,'Fuel economy adjusted factor'!$A$2:$L$52,5,FALSE)*m2k))/'TCO Inputs'!$AZ$84</f>
        <v>147.38505681368321</v>
      </c>
      <c r="FY222" s="125">
        <f>FY110/293.07*(1/(VLOOKUP($BM222,'Fuel economy adjusted factor'!$A$2:$L$52,5,FALSE)*m2k))/'TCO Inputs'!$AZ$84</f>
        <v>142.61579701890466</v>
      </c>
      <c r="FZ222" s="125">
        <f>FZ110/293.07*(1/(VLOOKUP($BM222,'Fuel economy adjusted factor'!$A$2:$L$52,5,FALSE)*m2k))/'TCO Inputs'!$AZ$84</f>
        <v>142.61579701890466</v>
      </c>
      <c r="GA222" s="125">
        <f>GA110/293.07*(1/(VLOOKUP($BM222,'Fuel economy adjusted factor'!$A$2:$L$52,5,FALSE)*m2k))/'TCO Inputs'!$AZ$84</f>
        <v>142.61579701890466</v>
      </c>
      <c r="GB222" s="125">
        <f>GB110/293.07*(1/(VLOOKUP($BM222,'Fuel economy adjusted factor'!$A$2:$L$52,5,FALSE)*m2k))/'TCO Inputs'!$AZ$84</f>
        <v>142.61579701890466</v>
      </c>
      <c r="GC222" s="125">
        <f>GC110/293.07*(1/(VLOOKUP($BM222,'Fuel economy adjusted factor'!$A$2:$L$52,5,FALSE)*m2k))/'TCO Inputs'!$AZ$84</f>
        <v>142.61579701890466</v>
      </c>
      <c r="GD222" s="125">
        <f>GD110/293.07*(1/(VLOOKUP($BM222,'Fuel economy adjusted factor'!$A$2:$L$52,5,FALSE)*m2k))/'TCO Inputs'!$AZ$84</f>
        <v>134.76992081674993</v>
      </c>
      <c r="GE222" s="98" cm="1">
        <f t="array" ref="GE222">SUMPRODUCT(INDEX(FC222:GD222,,'TCO Inputs'!$AZ$12-2023+_xlfn.SEQUENCE('TCO Inputs'!$AZ$13))*INDEX('VKT US'!C112:AA112,,_xlfn.SEQUENCE('TCO Inputs'!$AZ$13)))*m2k*CONVERT(0.9072,"g","ton")</f>
        <v>116.56574984929419</v>
      </c>
      <c r="GH222" s="123" t="s">
        <v>160</v>
      </c>
      <c r="GI222" s="125">
        <f>GI110/293.07*(1/(VLOOKUP($GH222,'Fuel economy adjusted factor'!$A$2:$L$52,5,FALSE)*m2k))/'TCO Inputs'!$AZ$84</f>
        <v>543.63253569949586</v>
      </c>
      <c r="GJ222" s="125">
        <f>GJ110/293.07*(1/(VLOOKUP($GH222,'Fuel economy adjusted factor'!$A$2:$L$52,5,FALSE)*m2k))/'TCO Inputs'!$AZ$84</f>
        <v>543.63253569949586</v>
      </c>
      <c r="GK222" s="125">
        <f>GK110/293.07*(1/(VLOOKUP($GH222,'Fuel economy adjusted factor'!$A$2:$L$52,5,FALSE)*m2k))/'TCO Inputs'!$AZ$84</f>
        <v>543.63253569949586</v>
      </c>
      <c r="GL222" s="125">
        <f>GL110/293.07*(1/(VLOOKUP($GH222,'Fuel economy adjusted factor'!$A$2:$L$52,5,FALSE)*m2k))/'TCO Inputs'!$AZ$84</f>
        <v>543.63253569949586</v>
      </c>
      <c r="GM222" s="125">
        <f>GM110/293.07*(1/(VLOOKUP($GH222,'Fuel economy adjusted factor'!$A$2:$L$52,5,FALSE)*m2k))/'TCO Inputs'!$AZ$84</f>
        <v>543.63253569949586</v>
      </c>
      <c r="GN222" s="125">
        <f>GN110/293.07*(1/(VLOOKUP($GH222,'Fuel economy adjusted factor'!$A$2:$L$52,5,FALSE)*m2k))/'TCO Inputs'!$AZ$84</f>
        <v>543.63253569949586</v>
      </c>
      <c r="GO222" s="125">
        <f>GO110/293.07*(1/(VLOOKUP($GH222,'Fuel economy adjusted factor'!$A$2:$L$52,5,FALSE)*m2k))/'TCO Inputs'!$AZ$84</f>
        <v>543.63253569949586</v>
      </c>
      <c r="GP222" s="125">
        <f>GP110/293.07*(1/(VLOOKUP($GH222,'Fuel economy adjusted factor'!$A$2:$L$52,5,FALSE)*m2k))/'TCO Inputs'!$AZ$84</f>
        <v>543.63253569949586</v>
      </c>
      <c r="GQ222" s="125">
        <f>GQ110/293.07*(1/(VLOOKUP($GH222,'Fuel economy adjusted factor'!$A$2:$L$52,5,FALSE)*m2k))/'TCO Inputs'!$AZ$84</f>
        <v>543.63253569949586</v>
      </c>
      <c r="GR222" s="125">
        <f>GR110/293.07*(1/(VLOOKUP($GH222,'Fuel economy adjusted factor'!$A$2:$L$52,5,FALSE)*m2k))/'TCO Inputs'!$AZ$84</f>
        <v>543.63253569949586</v>
      </c>
      <c r="GS222" s="125">
        <f>GS110/293.07*(1/(VLOOKUP($GH222,'Fuel economy adjusted factor'!$A$2:$L$52,5,FALSE)*m2k))/'TCO Inputs'!$AZ$84</f>
        <v>543.63253569949586</v>
      </c>
      <c r="GT222" s="125">
        <f>GT110/293.07*(1/(VLOOKUP($GH222,'Fuel economy adjusted factor'!$A$2:$L$52,5,FALSE)*m2k))/'TCO Inputs'!$AZ$84</f>
        <v>543.63253569949586</v>
      </c>
      <c r="GU222" s="125">
        <f>GU110/293.07*(1/(VLOOKUP($GH222,'Fuel economy adjusted factor'!$A$2:$L$52,5,FALSE)*m2k))/'TCO Inputs'!$AZ$84</f>
        <v>543.63253569949586</v>
      </c>
      <c r="GV222" s="125">
        <f>GV110/293.07*(1/(VLOOKUP($GH222,'Fuel economy adjusted factor'!$A$2:$L$52,5,FALSE)*m2k))/'TCO Inputs'!$AZ$84</f>
        <v>543.63253569949586</v>
      </c>
      <c r="GW222" s="125">
        <f>GW110/293.07*(1/(VLOOKUP($GH222,'Fuel economy adjusted factor'!$A$2:$L$52,5,FALSE)*m2k))/'TCO Inputs'!$AZ$84</f>
        <v>543.63253569949586</v>
      </c>
      <c r="GX222" s="125">
        <f>GX110/293.07*(1/(VLOOKUP($GH222,'Fuel economy adjusted factor'!$A$2:$L$52,5,FALSE)*m2k))/'TCO Inputs'!$AZ$84</f>
        <v>543.63253569949586</v>
      </c>
      <c r="GY222" s="125">
        <f>GY110/293.07*(1/(VLOOKUP($GH222,'Fuel economy adjusted factor'!$A$2:$L$52,5,FALSE)*m2k))/'TCO Inputs'!$AZ$84</f>
        <v>543.63253569949586</v>
      </c>
      <c r="GZ222" s="125">
        <f>GZ110/293.07*(1/(VLOOKUP($GH222,'Fuel economy adjusted factor'!$A$2:$L$52,5,FALSE)*m2k))/'TCO Inputs'!$AZ$84</f>
        <v>543.63253569949586</v>
      </c>
      <c r="HA222" s="125">
        <f>HA110/293.07*(1/(VLOOKUP($GH222,'Fuel economy adjusted factor'!$A$2:$L$52,5,FALSE)*m2k))/'TCO Inputs'!$AZ$84</f>
        <v>543.63253569949586</v>
      </c>
      <c r="HB222" s="125">
        <f>HB110/293.07*(1/(VLOOKUP($GH222,'Fuel economy adjusted factor'!$A$2:$L$52,5,FALSE)*m2k))/'TCO Inputs'!$AZ$84</f>
        <v>543.63253569949586</v>
      </c>
      <c r="HC222" s="125">
        <f>HC110/293.07*(1/(VLOOKUP($GH222,'Fuel economy adjusted factor'!$A$2:$L$52,5,FALSE)*m2k))/'TCO Inputs'!$AZ$84</f>
        <v>543.63253569949586</v>
      </c>
      <c r="HD222" s="125">
        <f>HD110/293.07*(1/(VLOOKUP($GH222,'Fuel economy adjusted factor'!$A$2:$L$52,5,FALSE)*m2k))/'TCO Inputs'!$AZ$84</f>
        <v>543.63253569949586</v>
      </c>
      <c r="HE222" s="125">
        <f>HE110/293.07*(1/(VLOOKUP($GH222,'Fuel economy adjusted factor'!$A$2:$L$52,5,FALSE)*m2k))/'TCO Inputs'!$AZ$84</f>
        <v>543.63253569949586</v>
      </c>
      <c r="HF222" s="125">
        <f>HF110/293.07*(1/(VLOOKUP($GH222,'Fuel economy adjusted factor'!$A$2:$L$52,5,FALSE)*m2k))/'TCO Inputs'!$AZ$84</f>
        <v>543.63253569949586</v>
      </c>
      <c r="HG222" s="125">
        <f>HG110/293.07*(1/(VLOOKUP($GH222,'Fuel economy adjusted factor'!$A$2:$L$52,5,FALSE)*m2k))/'TCO Inputs'!$AZ$84</f>
        <v>543.63253569949586</v>
      </c>
      <c r="HH222" s="125">
        <f>HH110/293.07*(1/(VLOOKUP($GH222,'Fuel economy adjusted factor'!$A$2:$L$52,5,FALSE)*m2k))/'TCO Inputs'!$AZ$84</f>
        <v>543.63253569949586</v>
      </c>
      <c r="HI222" s="125">
        <f>HI110/293.07*(1/(VLOOKUP($GH222,'Fuel economy adjusted factor'!$A$2:$L$52,5,FALSE)*m2k))/'TCO Inputs'!$AZ$84</f>
        <v>543.63253569949586</v>
      </c>
      <c r="HJ222" s="125">
        <f>HJ110/293.07*(1/(VLOOKUP($GH222,'Fuel economy adjusted factor'!$A$2:$L$52,5,FALSE)*m2k))/'TCO Inputs'!$AZ$84</f>
        <v>543.63253569949586</v>
      </c>
      <c r="HK222" s="98" cm="1">
        <f t="array" ref="HK222">SUMPRODUCT(INDEX(GI222:HJ222,,'TCO Inputs'!$AZ$12-2023+_xlfn.SEQUENCE('TCO Inputs'!$AZ$13))*INDEX('VKT US'!C112:AA112,,_xlfn.SEQUENCE('TCO Inputs'!$AZ$13)))*m2k*CONVERT(0.9072,"g","ton")</f>
        <v>276.61261654151701</v>
      </c>
    </row>
    <row r="223" spans="26:219" x14ac:dyDescent="0.25">
      <c r="Z223" s="124" t="s">
        <v>134</v>
      </c>
      <c r="AA223" s="125">
        <f>AA111/293.07*(1/(VLOOKUP($Z223,'Fuel economy adjusted factor'!$A$2:$L$52,5,FALSE)*m2k))/'TCO Inputs'!$AZ$84</f>
        <v>105.865870006077</v>
      </c>
      <c r="AB223" s="125">
        <f>AB111/293.07*(1/(VLOOKUP($Z223,'Fuel economy adjusted factor'!$A$2:$L$52,5,FALSE)*m2k))/'TCO Inputs'!$AZ$84</f>
        <v>105.865870006077</v>
      </c>
      <c r="AC223" s="125">
        <f>AC111/293.07*(1/(VLOOKUP($Z223,'Fuel economy adjusted factor'!$A$2:$L$52,5,FALSE)*m2k))/'TCO Inputs'!$AZ$84</f>
        <v>92.986818334804966</v>
      </c>
      <c r="AD223" s="125">
        <f>AD111/293.07*(1/(VLOOKUP($Z223,'Fuel economy adjusted factor'!$A$2:$L$52,5,FALSE)*m2k))/'TCO Inputs'!$AZ$84</f>
        <v>92.986818334804966</v>
      </c>
      <c r="AE223" s="125">
        <f>AE111/293.07*(1/(VLOOKUP($Z223,'Fuel economy adjusted factor'!$A$2:$L$52,5,FALSE)*m2k))/'TCO Inputs'!$AZ$84</f>
        <v>92.986818334804966</v>
      </c>
      <c r="AF223" s="125">
        <f>AF111/293.07*(1/(VLOOKUP($Z223,'Fuel economy adjusted factor'!$A$2:$L$52,5,FALSE)*m2k))/'TCO Inputs'!$AZ$84</f>
        <v>92.986818334804966</v>
      </c>
      <c r="AG223" s="125">
        <f>AG111/293.07*(1/(VLOOKUP($Z223,'Fuel economy adjusted factor'!$A$2:$L$52,5,FALSE)*m2k))/'TCO Inputs'!$AZ$84</f>
        <v>92.986818334804966</v>
      </c>
      <c r="AH223" s="125">
        <f>AH111/293.07*(1/(VLOOKUP($Z223,'Fuel economy adjusted factor'!$A$2:$L$52,5,FALSE)*m2k))/'TCO Inputs'!$AZ$84</f>
        <v>35.1559112863793</v>
      </c>
      <c r="AI223" s="125">
        <f>AI111/293.07*(1/(VLOOKUP($Z223,'Fuel economy adjusted factor'!$A$2:$L$52,5,FALSE)*m2k))/'TCO Inputs'!$AZ$84</f>
        <v>35.1559112863793</v>
      </c>
      <c r="AJ223" s="125">
        <f>AJ111/293.07*(1/(VLOOKUP($Z223,'Fuel economy adjusted factor'!$A$2:$L$52,5,FALSE)*m2k))/'TCO Inputs'!$AZ$84</f>
        <v>35.1559112863793</v>
      </c>
      <c r="AK223" s="125">
        <f>AK111/293.07*(1/(VLOOKUP($Z223,'Fuel economy adjusted factor'!$A$2:$L$52,5,FALSE)*m2k))/'TCO Inputs'!$AZ$84</f>
        <v>35.1559112863793</v>
      </c>
      <c r="AL223" s="125">
        <f>AL111/293.07*(1/(VLOOKUP($Z223,'Fuel economy adjusted factor'!$A$2:$L$52,5,FALSE)*m2k))/'TCO Inputs'!$AZ$84</f>
        <v>35.1559112863793</v>
      </c>
      <c r="AM223" s="125">
        <f>AM111/293.07*(1/(VLOOKUP($Z223,'Fuel economy adjusted factor'!$A$2:$L$52,5,FALSE)*m2k))/'TCO Inputs'!$AZ$84</f>
        <v>29.548555266066824</v>
      </c>
      <c r="AN223" s="125">
        <f>AN111/293.07*(1/(VLOOKUP($Z223,'Fuel economy adjusted factor'!$A$2:$L$52,5,FALSE)*m2k))/'TCO Inputs'!$AZ$84</f>
        <v>29.548555266066824</v>
      </c>
      <c r="AO223" s="125">
        <f>AO111/293.07*(1/(VLOOKUP($Z223,'Fuel economy adjusted factor'!$A$2:$L$52,5,FALSE)*m2k))/'TCO Inputs'!$AZ$84</f>
        <v>29.548555266066824</v>
      </c>
      <c r="AP223" s="125">
        <f>AP111/293.07*(1/(VLOOKUP($Z223,'Fuel economy adjusted factor'!$A$2:$L$52,5,FALSE)*m2k))/'TCO Inputs'!$AZ$84</f>
        <v>29.548555266066824</v>
      </c>
      <c r="AQ223" s="125">
        <f>AQ111/293.07*(1/(VLOOKUP($Z223,'Fuel economy adjusted factor'!$A$2:$L$52,5,FALSE)*m2k))/'TCO Inputs'!$AZ$84</f>
        <v>29.548555266066824</v>
      </c>
      <c r="AR223" s="125">
        <f>AR111/293.07*(1/(VLOOKUP($Z223,'Fuel economy adjusted factor'!$A$2:$L$52,5,FALSE)*m2k))/'TCO Inputs'!$AZ$84</f>
        <v>29.548555266066824</v>
      </c>
      <c r="AS223" s="125">
        <f>AS111/293.07*(1/(VLOOKUP($Z223,'Fuel economy adjusted factor'!$A$2:$L$52,5,FALSE)*m2k))/'TCO Inputs'!$AZ$84</f>
        <v>29.548555266066824</v>
      </c>
      <c r="AT223" s="125">
        <f>AT111/293.07*(1/(VLOOKUP($Z223,'Fuel economy adjusted factor'!$A$2:$L$52,5,FALSE)*m2k))/'TCO Inputs'!$AZ$84</f>
        <v>29.548555266066824</v>
      </c>
      <c r="AU223" s="125">
        <f>AU111/293.07*(1/(VLOOKUP($Z223,'Fuel economy adjusted factor'!$A$2:$L$52,5,FALSE)*m2k))/'TCO Inputs'!$AZ$84</f>
        <v>29.548555266066824</v>
      </c>
      <c r="AV223" s="125">
        <f>AV111/293.07*(1/(VLOOKUP($Z223,'Fuel economy adjusted factor'!$A$2:$L$52,5,FALSE)*m2k))/'TCO Inputs'!$AZ$84</f>
        <v>29.548555266066824</v>
      </c>
      <c r="AW223" s="125">
        <f>AW111/293.07*(1/(VLOOKUP($Z223,'Fuel economy adjusted factor'!$A$2:$L$52,5,FALSE)*m2k))/'TCO Inputs'!$AZ$84</f>
        <v>29.688066088047538</v>
      </c>
      <c r="AX223" s="125">
        <f>AX111/293.07*(1/(VLOOKUP($Z223,'Fuel economy adjusted factor'!$A$2:$L$52,5,FALSE)*m2k))/'TCO Inputs'!$AZ$84</f>
        <v>29.688066088047538</v>
      </c>
      <c r="AY223" s="125">
        <f>AY111/293.07*(1/(VLOOKUP($Z223,'Fuel economy adjusted factor'!$A$2:$L$52,5,FALSE)*m2k))/'TCO Inputs'!$AZ$84</f>
        <v>29.688066088047538</v>
      </c>
      <c r="AZ223" s="125">
        <f>AZ111/293.07*(1/(VLOOKUP($Z223,'Fuel economy adjusted factor'!$A$2:$L$52,5,FALSE)*m2k))/'TCO Inputs'!$AZ$84</f>
        <v>29.688066088047538</v>
      </c>
      <c r="BA223" s="125">
        <f>BA111/293.07*(1/(VLOOKUP($Z223,'Fuel economy adjusted factor'!$A$2:$L$52,5,FALSE)*m2k))/'TCO Inputs'!$AZ$84</f>
        <v>29.688066088047538</v>
      </c>
      <c r="BB223" s="125">
        <f>BB111/293.07*(1/(VLOOKUP($Z223,'Fuel economy adjusted factor'!$A$2:$L$52,5,FALSE)*m2k))/'TCO Inputs'!$AZ$84</f>
        <v>29.86347443147358</v>
      </c>
      <c r="BC223" s="98" cm="1">
        <f t="array" ref="BC223">SUMPRODUCT(INDEX(AA223:BB223,,'TCO Inputs'!$AZ$12-2023+_xlfn.SEQUENCE('TCO Inputs'!$AZ$13))*INDEX('VKT US'!C113:AA113,,_xlfn.SEQUENCE('TCO Inputs'!$AZ$13)))*m2k*CONVERT(0.9072,"g","ton")</f>
        <v>20.645033522025429</v>
      </c>
      <c r="BM223" s="124" t="s">
        <v>134</v>
      </c>
      <c r="BN223" s="125">
        <f>BN111/293.07*(1/(VLOOKUP($BM223,'Fuel economy adjusted factor'!$A$2:$L$52,5,FALSE)*m2k))</f>
        <v>89.985989505165449</v>
      </c>
      <c r="BO223" s="125">
        <f>BO111/293.07*(1/(VLOOKUP($BM223,'Fuel economy adjusted factor'!$A$2:$L$52,5,FALSE)*m2k))</f>
        <v>89.985989505165449</v>
      </c>
      <c r="BP223" s="125">
        <f>BP111/293.07*(1/(VLOOKUP($BM223,'Fuel economy adjusted factor'!$A$2:$L$52,5,FALSE)*m2k))</f>
        <v>70.9334615833329</v>
      </c>
      <c r="BQ223" s="125">
        <f>BQ111/293.07*(1/(VLOOKUP($BM223,'Fuel economy adjusted factor'!$A$2:$L$52,5,FALSE)*m2k))</f>
        <v>70.9334615833329</v>
      </c>
      <c r="BR223" s="125">
        <f>BR111/293.07*(1/(VLOOKUP($BM223,'Fuel economy adjusted factor'!$A$2:$L$52,5,FALSE)*m2k))</f>
        <v>70.9334615833329</v>
      </c>
      <c r="BS223" s="125">
        <f>BS111/293.07*(1/(VLOOKUP($BM223,'Fuel economy adjusted factor'!$A$2:$L$52,5,FALSE)*m2k))</f>
        <v>70.9334615833329</v>
      </c>
      <c r="BT223" s="125">
        <f>BT111/293.07*(1/(VLOOKUP($BM223,'Fuel economy adjusted factor'!$A$2:$L$52,5,FALSE)*m2k))</f>
        <v>70.9334615833329</v>
      </c>
      <c r="BU223" s="125">
        <f>BU111/293.07*(1/(VLOOKUP($BM223,'Fuel economy adjusted factor'!$A$2:$L$52,5,FALSE)*m2k))</f>
        <v>4.0068976607828706</v>
      </c>
      <c r="BV223" s="125">
        <f>BV111/293.07*(1/(VLOOKUP($BM223,'Fuel economy adjusted factor'!$A$2:$L$52,5,FALSE)*m2k))</f>
        <v>4.0068976607828706</v>
      </c>
      <c r="BW223" s="125">
        <f>BW111/293.07*(1/(VLOOKUP($BM223,'Fuel economy adjusted factor'!$A$2:$L$52,5,FALSE)*m2k))</f>
        <v>4.0068976607828706</v>
      </c>
      <c r="BX223" s="125">
        <f>BX111/293.07*(1/(VLOOKUP($BM223,'Fuel economy adjusted factor'!$A$2:$L$52,5,FALSE)*m2k))</f>
        <v>4.0068976607828706</v>
      </c>
      <c r="BY223" s="125">
        <f>BY111/293.07*(1/(VLOOKUP($BM223,'Fuel economy adjusted factor'!$A$2:$L$52,5,FALSE)*m2k))</f>
        <v>4.0068976607828706</v>
      </c>
      <c r="BZ223" s="125">
        <f>BZ111/293.07*(1/(VLOOKUP($BM223,'Fuel economy adjusted factor'!$A$2:$L$52,5,FALSE)*m2k))</f>
        <v>4.1788794226164026</v>
      </c>
      <c r="CA223" s="125">
        <f>CA111/293.07*(1/(VLOOKUP($BM223,'Fuel economy adjusted factor'!$A$2:$L$52,5,FALSE)*m2k))</f>
        <v>4.1788794226164026</v>
      </c>
      <c r="CB223" s="125">
        <f>CB111/293.07*(1/(VLOOKUP($BM223,'Fuel economy adjusted factor'!$A$2:$L$52,5,FALSE)*m2k))</f>
        <v>4.1788794226164026</v>
      </c>
      <c r="CC223" s="125">
        <f>CC111/293.07*(1/(VLOOKUP($BM223,'Fuel economy adjusted factor'!$A$2:$L$52,5,FALSE)*m2k))</f>
        <v>4.1788794226164026</v>
      </c>
      <c r="CD223" s="125">
        <f>CD111/293.07*(1/(VLOOKUP($BM223,'Fuel economy adjusted factor'!$A$2:$L$52,5,FALSE)*m2k))</f>
        <v>4.1788794226164026</v>
      </c>
      <c r="CE223" s="125">
        <f>CE111/293.07*(1/(VLOOKUP($BM223,'Fuel economy adjusted factor'!$A$2:$L$52,5,FALSE)*m2k))</f>
        <v>4.2371313096890511</v>
      </c>
      <c r="CF223" s="125">
        <f>CF111/293.07*(1/(VLOOKUP($BM223,'Fuel economy adjusted factor'!$A$2:$L$52,5,FALSE)*m2k))</f>
        <v>4.2371313096890511</v>
      </c>
      <c r="CG223" s="125">
        <f>CG111/293.07*(1/(VLOOKUP($BM223,'Fuel economy adjusted factor'!$A$2:$L$52,5,FALSE)*m2k))</f>
        <v>4.2371313096890511</v>
      </c>
      <c r="CH223" s="125">
        <f>CH111/293.07*(1/(VLOOKUP($BM223,'Fuel economy adjusted factor'!$A$2:$L$52,5,FALSE)*m2k))</f>
        <v>4.2371313096890511</v>
      </c>
      <c r="CI223" s="125">
        <f>CI111/293.07*(1/(VLOOKUP($BM223,'Fuel economy adjusted factor'!$A$2:$L$52,5,FALSE)*m2k))</f>
        <v>4.2371313096890511</v>
      </c>
      <c r="CJ223" s="125">
        <f>CJ111/293.07*(1/(VLOOKUP($BM223,'Fuel economy adjusted factor'!$A$2:$L$52,5,FALSE)*m2k))</f>
        <v>4.3862284016011861</v>
      </c>
      <c r="CK223" s="125">
        <f>CK111/293.07*(1/(VLOOKUP($BM223,'Fuel economy adjusted factor'!$A$2:$L$52,5,FALSE)*m2k))</f>
        <v>4.3862284016011861</v>
      </c>
      <c r="CL223" s="125">
        <f>CL111/293.07*(1/(VLOOKUP($BM223,'Fuel economy adjusted factor'!$A$2:$L$52,5,FALSE)*m2k))</f>
        <v>4.3862284016011861</v>
      </c>
      <c r="CM223" s="125">
        <f>CM111/293.07*(1/(VLOOKUP($BM223,'Fuel economy adjusted factor'!$A$2:$L$52,5,FALSE)*m2k))</f>
        <v>4.3862284016011861</v>
      </c>
      <c r="CN223" s="125">
        <f>CN111/293.07*(1/(VLOOKUP($BM223,'Fuel economy adjusted factor'!$A$2:$L$52,5,FALSE)*m2k))</f>
        <v>4.3862284016011861</v>
      </c>
      <c r="CO223" s="125">
        <f>CO111/293.07*(1/(VLOOKUP($BM223,'Fuel economy adjusted factor'!$A$2:$L$52,5,FALSE)*m2k))</f>
        <v>4.5748535597411903</v>
      </c>
      <c r="CP223" s="98" cm="1">
        <f t="array" ref="CP223">SUMPRODUCT(INDEX(BN223:CO223,,'TCO Inputs'!$AZ$12-2023+_xlfn.SEQUENCE('TCO Inputs'!$AZ$13))*INDEX('VKT US'!C113:AA113,,_xlfn.SEQUENCE('TCO Inputs'!$AZ$13)))*m2k*CONVERT(0.9072,"g","ton")</f>
        <v>13.287019438339529</v>
      </c>
      <c r="CQ223" s="194"/>
      <c r="CR223" s="124" t="s">
        <v>134</v>
      </c>
      <c r="CS223" s="125">
        <f>CS111/293.07*(1/(VLOOKUP($BM223,'Fuel economy adjusted factor'!$A$2:$L$52,5,FALSE)*m2k))/'TCO Inputs'!$AZ$84</f>
        <v>4.9571213704959414</v>
      </c>
      <c r="CT223" s="125">
        <f>CT111/293.07*(1/(VLOOKUP($BM223,'Fuel economy adjusted factor'!$A$2:$L$52,5,FALSE)*m2k))</f>
        <v>4.2135531649215503</v>
      </c>
      <c r="CU223" s="125">
        <f>CU111/293.07*(1/(VLOOKUP($BM223,'Fuel economy adjusted factor'!$A$2:$L$52,5,FALSE)*m2k))</f>
        <v>4.2135531649215503</v>
      </c>
      <c r="CV223" s="125">
        <f>CV111/293.07*(1/(VLOOKUP($BM223,'Fuel economy adjusted factor'!$A$2:$L$52,5,FALSE)*m2k))</f>
        <v>4.2135531649215503</v>
      </c>
      <c r="CW223" s="125">
        <f>CW111/293.07*(1/(VLOOKUP($BM223,'Fuel economy adjusted factor'!$A$2:$L$52,5,FALSE)*m2k))</f>
        <v>4.2135531649215503</v>
      </c>
      <c r="CX223" s="125">
        <f>CX111/293.07*(1/(VLOOKUP($BM223,'Fuel economy adjusted factor'!$A$2:$L$52,5,FALSE)*m2k))</f>
        <v>4.2135531649215503</v>
      </c>
      <c r="CY223" s="125">
        <f>CY111/293.07*(1/(VLOOKUP($BM223,'Fuel economy adjusted factor'!$A$2:$L$52,5,FALSE)*m2k))</f>
        <v>4.2135531649215503</v>
      </c>
      <c r="CZ223" s="125">
        <f>CZ111/293.07*(1/(VLOOKUP($BM223,'Fuel economy adjusted factor'!$A$2:$L$52,5,FALSE)*m2k))</f>
        <v>4.2135531649215503</v>
      </c>
      <c r="DA223" s="125">
        <f>DA111/293.07*(1/(VLOOKUP($BM223,'Fuel economy adjusted factor'!$A$2:$L$52,5,FALSE)*m2k))</f>
        <v>4.2135531649215503</v>
      </c>
      <c r="DB223" s="125">
        <f>DB111/293.07*(1/(VLOOKUP($BM223,'Fuel economy adjusted factor'!$A$2:$L$52,5,FALSE)*m2k))</f>
        <v>4.2135531649215503</v>
      </c>
      <c r="DC223" s="125">
        <f>DC111/293.07*(1/(VLOOKUP($BM223,'Fuel economy adjusted factor'!$A$2:$L$52,5,FALSE)*m2k))</f>
        <v>4.2135531649215503</v>
      </c>
      <c r="DD223" s="125">
        <f>DD111/293.07*(1/(VLOOKUP($BM223,'Fuel economy adjusted factor'!$A$2:$L$52,5,FALSE)*m2k))</f>
        <v>4.2135531649215503</v>
      </c>
      <c r="DE223" s="125">
        <f>DE111/293.07*(1/(VLOOKUP($BM223,'Fuel economy adjusted factor'!$A$2:$L$52,5,FALSE)*m2k))</f>
        <v>4.3342177881434649</v>
      </c>
      <c r="DF223" s="125">
        <f>DF111/293.07*(1/(VLOOKUP($BM223,'Fuel economy adjusted factor'!$A$2:$L$52,5,FALSE)*m2k))</f>
        <v>4.3342177881434649</v>
      </c>
      <c r="DG223" s="125">
        <f>DG111/293.07*(1/(VLOOKUP($BM223,'Fuel economy adjusted factor'!$A$2:$L$52,5,FALSE)*m2k))</f>
        <v>4.3342177881434649</v>
      </c>
      <c r="DH223" s="125">
        <f>DH111/293.07*(1/(VLOOKUP($BM223,'Fuel economy adjusted factor'!$A$2:$L$52,5,FALSE)*m2k))</f>
        <v>4.3342177881434649</v>
      </c>
      <c r="DI223" s="125">
        <f>DI111/293.07*(1/(VLOOKUP($BM223,'Fuel economy adjusted factor'!$A$2:$L$52,5,FALSE)*m2k))</f>
        <v>4.3342177881434649</v>
      </c>
      <c r="DJ223" s="125">
        <f>DJ111/293.07*(1/(VLOOKUP($BM223,'Fuel economy adjusted factor'!$A$2:$L$52,5,FALSE)*m2k))</f>
        <v>4.5595971131269248</v>
      </c>
      <c r="DK223" s="125">
        <f>DK111/293.07*(1/(VLOOKUP($BM223,'Fuel economy adjusted factor'!$A$2:$L$52,5,FALSE)*m2k))</f>
        <v>4.5595971131269248</v>
      </c>
      <c r="DL223" s="125">
        <f>DL111/293.07*(1/(VLOOKUP($BM223,'Fuel economy adjusted factor'!$A$2:$L$52,5,FALSE)*m2k))</f>
        <v>4.5595971131269248</v>
      </c>
      <c r="DM223" s="125">
        <f>DM111/293.07*(1/(VLOOKUP($BM223,'Fuel economy adjusted factor'!$A$2:$L$52,5,FALSE)*m2k))</f>
        <v>4.5595971131269248</v>
      </c>
      <c r="DN223" s="125">
        <f>DN111/293.07*(1/(VLOOKUP($BM223,'Fuel economy adjusted factor'!$A$2:$L$52,5,FALSE)*m2k))</f>
        <v>4.5595971131269248</v>
      </c>
      <c r="DO223" s="125">
        <f>DO111/293.07*(1/(VLOOKUP($BM223,'Fuel economy adjusted factor'!$A$2:$L$52,5,FALSE)*m2k))</f>
        <v>4.7086942050390599</v>
      </c>
      <c r="DP223" s="125">
        <f>DP111/293.07*(1/(VLOOKUP($BM223,'Fuel economy adjusted factor'!$A$2:$L$52,5,FALSE)*m2k))</f>
        <v>4.7086942050390599</v>
      </c>
      <c r="DQ223" s="125">
        <f>DQ111/293.07*(1/(VLOOKUP($BM223,'Fuel economy adjusted factor'!$A$2:$L$52,5,FALSE)*m2k))</f>
        <v>4.7086942050390599</v>
      </c>
      <c r="DR223" s="125">
        <f>DR111/293.07*(1/(VLOOKUP($BM223,'Fuel economy adjusted factor'!$A$2:$L$52,5,FALSE)*m2k))</f>
        <v>4.7086942050390599</v>
      </c>
      <c r="DS223" s="125">
        <f>DS111/293.07*(1/(VLOOKUP($BM223,'Fuel economy adjusted factor'!$A$2:$L$52,5,FALSE)*m2k))</f>
        <v>4.7086942050390599</v>
      </c>
      <c r="DT223" s="125">
        <f>DT111/293.07*(1/(VLOOKUP($BM223,'Fuel economy adjusted factor'!$A$2:$L$52,5,FALSE)*m2k))</f>
        <v>4.8980128380251662</v>
      </c>
      <c r="DU223" s="98" cm="1">
        <f t="array" ref="DU223">SUMPRODUCT(INDEX(CS223:DT223,,'TCO Inputs'!$AZ$12-2023+_xlfn.SEQUENCE('TCO Inputs'!$AZ$13))*INDEX('VKT US'!C113:AA113,,_xlfn.SEQUENCE('TCO Inputs'!$AZ$13)))*m2k*CONVERT(0.9072,"g","ton")</f>
        <v>1.2938703126775302</v>
      </c>
      <c r="DW223" s="124" t="s">
        <v>134</v>
      </c>
      <c r="DX223" s="125">
        <f>DX111/293.07*(1/(VLOOKUP($BM223,'Fuel economy adjusted factor'!$A$2:$L$52,5,FALSE)*m2k))/'TCO Inputs'!$AZ$84</f>
        <v>115.52311912763075</v>
      </c>
      <c r="DY223" s="125">
        <f>DY111/293.07*(1/(VLOOKUP($BM223,'Fuel economy adjusted factor'!$A$2:$L$52,5,FALSE)*m2k))/'TCO Inputs'!$AZ$84</f>
        <v>115.52311912763075</v>
      </c>
      <c r="DZ223" s="125">
        <f>DZ111/293.07*(1/(VLOOKUP($BM223,'Fuel economy adjusted factor'!$A$2:$L$52,5,FALSE)*m2k))/'TCO Inputs'!$AZ$84</f>
        <v>101.06865577656481</v>
      </c>
      <c r="EA223" s="125">
        <f>EA111/293.07*(1/(VLOOKUP($BM223,'Fuel economy adjusted factor'!$A$2:$L$52,5,FALSE)*m2k))/'TCO Inputs'!$AZ$84</f>
        <v>101.06865577656481</v>
      </c>
      <c r="EB223" s="125">
        <f>EB111/293.07*(1/(VLOOKUP($BM223,'Fuel economy adjusted factor'!$A$2:$L$52,5,FALSE)*m2k))/'TCO Inputs'!$AZ$84</f>
        <v>101.06865577656481</v>
      </c>
      <c r="EC223" s="125">
        <f>EC111/293.07*(1/(VLOOKUP($BM223,'Fuel economy adjusted factor'!$A$2:$L$52,5,FALSE)*m2k))/'TCO Inputs'!$AZ$84</f>
        <v>101.06865577656481</v>
      </c>
      <c r="ED223" s="125">
        <f>ED111/293.07*(1/(VLOOKUP($BM223,'Fuel economy adjusted factor'!$A$2:$L$52,5,FALSE)*m2k))/'TCO Inputs'!$AZ$84</f>
        <v>101.06865577656481</v>
      </c>
      <c r="EE223" s="125">
        <f>EE111/293.07*(1/(VLOOKUP($BM223,'Fuel economy adjusted factor'!$A$2:$L$52,5,FALSE)*m2k))/'TCO Inputs'!$AZ$84</f>
        <v>62.881035633575422</v>
      </c>
      <c r="EF223" s="125">
        <f>EF111/293.07*(1/(VLOOKUP($BM223,'Fuel economy adjusted factor'!$A$2:$L$52,5,FALSE)*m2k))/'TCO Inputs'!$AZ$84</f>
        <v>62.881035633575422</v>
      </c>
      <c r="EG223" s="125">
        <f>EG111/293.07*(1/(VLOOKUP($BM223,'Fuel economy adjusted factor'!$A$2:$L$52,5,FALSE)*m2k))/'TCO Inputs'!$AZ$84</f>
        <v>62.881035633575422</v>
      </c>
      <c r="EH223" s="125">
        <f>EH111/293.07*(1/(VLOOKUP($BM223,'Fuel economy adjusted factor'!$A$2:$L$52,5,FALSE)*m2k))/'TCO Inputs'!$AZ$84</f>
        <v>62.881035633575422</v>
      </c>
      <c r="EI223" s="125">
        <f>EI111/293.07*(1/(VLOOKUP($BM223,'Fuel economy adjusted factor'!$A$2:$L$52,5,FALSE)*m2k))/'TCO Inputs'!$AZ$84</f>
        <v>62.881035633575422</v>
      </c>
      <c r="EJ223" s="125">
        <f>EJ111/293.07*(1/(VLOOKUP($BM223,'Fuel economy adjusted factor'!$A$2:$L$52,5,FALSE)*m2k))/'TCO Inputs'!$AZ$84</f>
        <v>55.989527368832292</v>
      </c>
      <c r="EK223" s="125">
        <f>EK111/293.07*(1/(VLOOKUP($BM223,'Fuel economy adjusted factor'!$A$2:$L$52,5,FALSE)*m2k))/'TCO Inputs'!$AZ$84</f>
        <v>55.989527368832292</v>
      </c>
      <c r="EL223" s="125">
        <f>EL111/293.07*(1/(VLOOKUP($BM223,'Fuel economy adjusted factor'!$A$2:$L$52,5,FALSE)*m2k))/'TCO Inputs'!$AZ$84</f>
        <v>55.989527368832292</v>
      </c>
      <c r="EM223" s="125">
        <f>EM111/293.07*(1/(VLOOKUP($BM223,'Fuel economy adjusted factor'!$A$2:$L$52,5,FALSE)*m2k))/'TCO Inputs'!$AZ$84</f>
        <v>55.989527368832292</v>
      </c>
      <c r="EN223" s="125">
        <f>EN111/293.07*(1/(VLOOKUP($BM223,'Fuel economy adjusted factor'!$A$2:$L$52,5,FALSE)*m2k))/'TCO Inputs'!$AZ$84</f>
        <v>55.989527368832292</v>
      </c>
      <c r="EO223" s="125">
        <f>EO111/293.07*(1/(VLOOKUP($BM223,'Fuel economy adjusted factor'!$A$2:$L$52,5,FALSE)*m2k))/'TCO Inputs'!$AZ$84</f>
        <v>54.404325455916947</v>
      </c>
      <c r="EP223" s="125">
        <f>EP111/293.07*(1/(VLOOKUP($BM223,'Fuel economy adjusted factor'!$A$2:$L$52,5,FALSE)*m2k))/'TCO Inputs'!$AZ$84</f>
        <v>54.404325455916947</v>
      </c>
      <c r="EQ223" s="125">
        <f>EQ111/293.07*(1/(VLOOKUP($BM223,'Fuel economy adjusted factor'!$A$2:$L$52,5,FALSE)*m2k))/'TCO Inputs'!$AZ$84</f>
        <v>54.404325455916947</v>
      </c>
      <c r="ER223" s="125">
        <f>ER111/293.07*(1/(VLOOKUP($BM223,'Fuel economy adjusted factor'!$A$2:$L$52,5,FALSE)*m2k))/'TCO Inputs'!$AZ$84</f>
        <v>54.404325455916947</v>
      </c>
      <c r="ES223" s="125">
        <f>ES111/293.07*(1/(VLOOKUP($BM223,'Fuel economy adjusted factor'!$A$2:$L$52,5,FALSE)*m2k))/'TCO Inputs'!$AZ$84</f>
        <v>54.404325455916947</v>
      </c>
      <c r="ET223" s="125">
        <f>ET111/293.07*(1/(VLOOKUP($BM223,'Fuel economy adjusted factor'!$A$2:$L$52,5,FALSE)*m2k))/'TCO Inputs'!$AZ$84</f>
        <v>52.478912942031101</v>
      </c>
      <c r="EU223" s="125">
        <f>EU111/293.07*(1/(VLOOKUP($BM223,'Fuel economy adjusted factor'!$A$2:$L$52,5,FALSE)*m2k))/'TCO Inputs'!$AZ$84</f>
        <v>52.478912942031101</v>
      </c>
      <c r="EV223" s="125">
        <f>EV111/293.07*(1/(VLOOKUP($BM223,'Fuel economy adjusted factor'!$A$2:$L$52,5,FALSE)*m2k))/'TCO Inputs'!$AZ$84</f>
        <v>52.478912942031101</v>
      </c>
      <c r="EW223" s="125">
        <f>EW111/293.07*(1/(VLOOKUP($BM223,'Fuel economy adjusted factor'!$A$2:$L$52,5,FALSE)*m2k))/'TCO Inputs'!$AZ$84</f>
        <v>52.478912942031101</v>
      </c>
      <c r="EX223" s="125">
        <f>EX111/293.07*(1/(VLOOKUP($BM223,'Fuel economy adjusted factor'!$A$2:$L$52,5,FALSE)*m2k))/'TCO Inputs'!$AZ$84</f>
        <v>52.478912942031101</v>
      </c>
      <c r="EY223" s="125">
        <f>EY111/293.07*(1/(VLOOKUP($BM223,'Fuel economy adjusted factor'!$A$2:$L$52,5,FALSE)*m2k))/'TCO Inputs'!$AZ$84</f>
        <v>49.410490711215566</v>
      </c>
      <c r="EZ223" s="98" cm="1">
        <f t="array" ref="EZ223">SUMPRODUCT(INDEX(DX223:EY223,,'TCO Inputs'!$AZ$12-2023+_xlfn.SEQUENCE('TCO Inputs'!$AZ$13))*INDEX('VKT US'!C113:AA113,,_xlfn.SEQUENCE('TCO Inputs'!$AZ$13)))*m2k*CONVERT(0.9072,"g","ton")</f>
        <v>25.77894275607969</v>
      </c>
      <c r="FB223" s="124" t="s">
        <v>134</v>
      </c>
      <c r="FC223" s="125">
        <f>FC111/293.07*(1/(VLOOKUP($BM223,'Fuel economy adjusted factor'!$A$2:$L$52,5,FALSE)*m2k))/'TCO Inputs'!$AZ$84</f>
        <v>124.88176613898014</v>
      </c>
      <c r="FD223" s="125">
        <f>FD111/293.07*(1/(VLOOKUP($BM223,'Fuel economy adjusted factor'!$A$2:$L$52,5,FALSE)*m2k))/'TCO Inputs'!$AZ$84</f>
        <v>124.88176613898014</v>
      </c>
      <c r="FE223" s="125">
        <f>FE111/293.07*(1/(VLOOKUP($BM223,'Fuel economy adjusted factor'!$A$2:$L$52,5,FALSE)*m2k))/'TCO Inputs'!$AZ$84</f>
        <v>108.87636669092396</v>
      </c>
      <c r="FF223" s="125">
        <f>FF111/293.07*(1/(VLOOKUP($BM223,'Fuel economy adjusted factor'!$A$2:$L$52,5,FALSE)*m2k))/'TCO Inputs'!$AZ$84</f>
        <v>108.87636669092396</v>
      </c>
      <c r="FG223" s="125">
        <f>FG111/293.07*(1/(VLOOKUP($BM223,'Fuel economy adjusted factor'!$A$2:$L$52,5,FALSE)*m2k))/'TCO Inputs'!$AZ$84</f>
        <v>108.87636669092396</v>
      </c>
      <c r="FH223" s="125">
        <f>FH111/293.07*(1/(VLOOKUP($BM223,'Fuel economy adjusted factor'!$A$2:$L$52,5,FALSE)*m2k))/'TCO Inputs'!$AZ$84</f>
        <v>108.87636669092396</v>
      </c>
      <c r="FI223" s="125">
        <f>FI111/293.07*(1/(VLOOKUP($BM223,'Fuel economy adjusted factor'!$A$2:$L$52,5,FALSE)*m2k))/'TCO Inputs'!$AZ$84</f>
        <v>108.87636669092396</v>
      </c>
      <c r="FJ223" s="125">
        <f>FJ111/293.07*(1/(VLOOKUP($BM223,'Fuel economy adjusted factor'!$A$2:$L$52,5,FALSE)*m2k))/'TCO Inputs'!$AZ$84</f>
        <v>68.865315629063858</v>
      </c>
      <c r="FK223" s="125">
        <f>FK111/293.07*(1/(VLOOKUP($BM223,'Fuel economy adjusted factor'!$A$2:$L$52,5,FALSE)*m2k))/'TCO Inputs'!$AZ$84</f>
        <v>68.865315629063858</v>
      </c>
      <c r="FL223" s="125">
        <f>FL111/293.07*(1/(VLOOKUP($BM223,'Fuel economy adjusted factor'!$A$2:$L$52,5,FALSE)*m2k))/'TCO Inputs'!$AZ$84</f>
        <v>68.865315629063858</v>
      </c>
      <c r="FM223" s="125">
        <f>FM111/293.07*(1/(VLOOKUP($BM223,'Fuel economy adjusted factor'!$A$2:$L$52,5,FALSE)*m2k))/'TCO Inputs'!$AZ$84</f>
        <v>68.865315629063858</v>
      </c>
      <c r="FN223" s="125">
        <f>FN111/293.07*(1/(VLOOKUP($BM223,'Fuel economy adjusted factor'!$A$2:$L$52,5,FALSE)*m2k))/'TCO Inputs'!$AZ$84</f>
        <v>68.865315629063858</v>
      </c>
      <c r="FO223" s="125">
        <f>FO111/293.07*(1/(VLOOKUP($BM223,'Fuel economy adjusted factor'!$A$2:$L$52,5,FALSE)*m2k))/'TCO Inputs'!$AZ$84</f>
        <v>60.994784052175383</v>
      </c>
      <c r="FP223" s="125">
        <f>FP111/293.07*(1/(VLOOKUP($BM223,'Fuel economy adjusted factor'!$A$2:$L$52,5,FALSE)*m2k))/'TCO Inputs'!$AZ$84</f>
        <v>60.994784052175383</v>
      </c>
      <c r="FQ223" s="125">
        <f>FQ111/293.07*(1/(VLOOKUP($BM223,'Fuel economy adjusted factor'!$A$2:$L$52,5,FALSE)*m2k))/'TCO Inputs'!$AZ$84</f>
        <v>60.994784052175383</v>
      </c>
      <c r="FR223" s="125">
        <f>FR111/293.07*(1/(VLOOKUP($BM223,'Fuel economy adjusted factor'!$A$2:$L$52,5,FALSE)*m2k))/'TCO Inputs'!$AZ$84</f>
        <v>60.994784052175383</v>
      </c>
      <c r="FS223" s="125">
        <f>FS111/293.07*(1/(VLOOKUP($BM223,'Fuel economy adjusted factor'!$A$2:$L$52,5,FALSE)*m2k))/'TCO Inputs'!$AZ$84</f>
        <v>60.994784052175383</v>
      </c>
      <c r="FT223" s="125">
        <f>FT111/293.07*(1/(VLOOKUP($BM223,'Fuel economy adjusted factor'!$A$2:$L$52,5,FALSE)*m2k))/'TCO Inputs'!$AZ$84</f>
        <v>59.602123390648629</v>
      </c>
      <c r="FU223" s="125">
        <f>FU111/293.07*(1/(VLOOKUP($BM223,'Fuel economy adjusted factor'!$A$2:$L$52,5,FALSE)*m2k))/'TCO Inputs'!$AZ$84</f>
        <v>59.602123390648629</v>
      </c>
      <c r="FV223" s="125">
        <f>FV111/293.07*(1/(VLOOKUP($BM223,'Fuel economy adjusted factor'!$A$2:$L$52,5,FALSE)*m2k))/'TCO Inputs'!$AZ$84</f>
        <v>59.602123390648629</v>
      </c>
      <c r="FW223" s="125">
        <f>FW111/293.07*(1/(VLOOKUP($BM223,'Fuel economy adjusted factor'!$A$2:$L$52,5,FALSE)*m2k))/'TCO Inputs'!$AZ$84</f>
        <v>59.602123390648629</v>
      </c>
      <c r="FX223" s="125">
        <f>FX111/293.07*(1/(VLOOKUP($BM223,'Fuel economy adjusted factor'!$A$2:$L$52,5,FALSE)*m2k))/'TCO Inputs'!$AZ$84</f>
        <v>59.602123390648629</v>
      </c>
      <c r="FY223" s="125">
        <f>FY111/293.07*(1/(VLOOKUP($BM223,'Fuel economy adjusted factor'!$A$2:$L$52,5,FALSE)*m2k))/'TCO Inputs'!$AZ$84</f>
        <v>57.67344746572229</v>
      </c>
      <c r="FZ223" s="125">
        <f>FZ111/293.07*(1/(VLOOKUP($BM223,'Fuel economy adjusted factor'!$A$2:$L$52,5,FALSE)*m2k))/'TCO Inputs'!$AZ$84</f>
        <v>57.67344746572229</v>
      </c>
      <c r="GA223" s="125">
        <f>GA111/293.07*(1/(VLOOKUP($BM223,'Fuel economy adjusted factor'!$A$2:$L$52,5,FALSE)*m2k))/'TCO Inputs'!$AZ$84</f>
        <v>57.67344746572229</v>
      </c>
      <c r="GB223" s="125">
        <f>GB111/293.07*(1/(VLOOKUP($BM223,'Fuel economy adjusted factor'!$A$2:$L$52,5,FALSE)*m2k))/'TCO Inputs'!$AZ$84</f>
        <v>57.67344746572229</v>
      </c>
      <c r="GC223" s="125">
        <f>GC111/293.07*(1/(VLOOKUP($BM223,'Fuel economy adjusted factor'!$A$2:$L$52,5,FALSE)*m2k))/'TCO Inputs'!$AZ$84</f>
        <v>57.67344746572229</v>
      </c>
      <c r="GD223" s="125">
        <f>GD111/293.07*(1/(VLOOKUP($BM223,'Fuel economy adjusted factor'!$A$2:$L$52,5,FALSE)*m2k))/'TCO Inputs'!$AZ$84</f>
        <v>54.500596081611242</v>
      </c>
      <c r="GE223" s="98" cm="1">
        <f t="array" ref="GE223">SUMPRODUCT(INDEX(FC223:GD223,,'TCO Inputs'!$AZ$12-2023+_xlfn.SEQUENCE('TCO Inputs'!$AZ$13))*INDEX('VKT US'!C113:AA113,,_xlfn.SEQUENCE('TCO Inputs'!$AZ$13)))*m2k*CONVERT(0.9072,"g","ton")</f>
        <v>27.929167285419389</v>
      </c>
      <c r="GH223" s="124" t="s">
        <v>134</v>
      </c>
      <c r="GI223" s="125">
        <f>GI111/293.07*(1/(VLOOKUP($GH223,'Fuel economy adjusted factor'!$A$2:$L$52,5,FALSE)*m2k))/'TCO Inputs'!$AZ$84</f>
        <v>266.17196298951632</v>
      </c>
      <c r="GJ223" s="125">
        <f>GJ111/293.07*(1/(VLOOKUP($GH223,'Fuel economy adjusted factor'!$A$2:$L$52,5,FALSE)*m2k))/'TCO Inputs'!$AZ$84</f>
        <v>266.17196298951632</v>
      </c>
      <c r="GK223" s="125">
        <f>GK111/293.07*(1/(VLOOKUP($GH223,'Fuel economy adjusted factor'!$A$2:$L$52,5,FALSE)*m2k))/'TCO Inputs'!$AZ$84</f>
        <v>266.17196298951632</v>
      </c>
      <c r="GL223" s="125">
        <f>GL111/293.07*(1/(VLOOKUP($GH223,'Fuel economy adjusted factor'!$A$2:$L$52,5,FALSE)*m2k))/'TCO Inputs'!$AZ$84</f>
        <v>266.17196298951632</v>
      </c>
      <c r="GM223" s="125">
        <f>GM111/293.07*(1/(VLOOKUP($GH223,'Fuel economy adjusted factor'!$A$2:$L$52,5,FALSE)*m2k))/'TCO Inputs'!$AZ$84</f>
        <v>266.17196298951632</v>
      </c>
      <c r="GN223" s="125">
        <f>GN111/293.07*(1/(VLOOKUP($GH223,'Fuel economy adjusted factor'!$A$2:$L$52,5,FALSE)*m2k))/'TCO Inputs'!$AZ$84</f>
        <v>266.17196298951632</v>
      </c>
      <c r="GO223" s="125">
        <f>GO111/293.07*(1/(VLOOKUP($GH223,'Fuel economy adjusted factor'!$A$2:$L$52,5,FALSE)*m2k))/'TCO Inputs'!$AZ$84</f>
        <v>266.17196298951632</v>
      </c>
      <c r="GP223" s="125">
        <f>GP111/293.07*(1/(VLOOKUP($GH223,'Fuel economy adjusted factor'!$A$2:$L$52,5,FALSE)*m2k))/'TCO Inputs'!$AZ$84</f>
        <v>266.17196298951632</v>
      </c>
      <c r="GQ223" s="125">
        <f>GQ111/293.07*(1/(VLOOKUP($GH223,'Fuel economy adjusted factor'!$A$2:$L$52,5,FALSE)*m2k))/'TCO Inputs'!$AZ$84</f>
        <v>266.17196298951632</v>
      </c>
      <c r="GR223" s="125">
        <f>GR111/293.07*(1/(VLOOKUP($GH223,'Fuel economy adjusted factor'!$A$2:$L$52,5,FALSE)*m2k))/'TCO Inputs'!$AZ$84</f>
        <v>266.17196298951632</v>
      </c>
      <c r="GS223" s="125">
        <f>GS111/293.07*(1/(VLOOKUP($GH223,'Fuel economy adjusted factor'!$A$2:$L$52,5,FALSE)*m2k))/'TCO Inputs'!$AZ$84</f>
        <v>266.17196298951632</v>
      </c>
      <c r="GT223" s="125">
        <f>GT111/293.07*(1/(VLOOKUP($GH223,'Fuel economy adjusted factor'!$A$2:$L$52,5,FALSE)*m2k))/'TCO Inputs'!$AZ$84</f>
        <v>266.17196298951632</v>
      </c>
      <c r="GU223" s="125">
        <f>GU111/293.07*(1/(VLOOKUP($GH223,'Fuel economy adjusted factor'!$A$2:$L$52,5,FALSE)*m2k))/'TCO Inputs'!$AZ$84</f>
        <v>266.17196298951632</v>
      </c>
      <c r="GV223" s="125">
        <f>GV111/293.07*(1/(VLOOKUP($GH223,'Fuel economy adjusted factor'!$A$2:$L$52,5,FALSE)*m2k))/'TCO Inputs'!$AZ$84</f>
        <v>266.17196298951632</v>
      </c>
      <c r="GW223" s="125">
        <f>GW111/293.07*(1/(VLOOKUP($GH223,'Fuel economy adjusted factor'!$A$2:$L$52,5,FALSE)*m2k))/'TCO Inputs'!$AZ$84</f>
        <v>266.17196298951632</v>
      </c>
      <c r="GX223" s="125">
        <f>GX111/293.07*(1/(VLOOKUP($GH223,'Fuel economy adjusted factor'!$A$2:$L$52,5,FALSE)*m2k))/'TCO Inputs'!$AZ$84</f>
        <v>266.17196298951632</v>
      </c>
      <c r="GY223" s="125">
        <f>GY111/293.07*(1/(VLOOKUP($GH223,'Fuel economy adjusted factor'!$A$2:$L$52,5,FALSE)*m2k))/'TCO Inputs'!$AZ$84</f>
        <v>266.17196298951632</v>
      </c>
      <c r="GZ223" s="125">
        <f>GZ111/293.07*(1/(VLOOKUP($GH223,'Fuel economy adjusted factor'!$A$2:$L$52,5,FALSE)*m2k))/'TCO Inputs'!$AZ$84</f>
        <v>266.17196298951632</v>
      </c>
      <c r="HA223" s="125">
        <f>HA111/293.07*(1/(VLOOKUP($GH223,'Fuel economy adjusted factor'!$A$2:$L$52,5,FALSE)*m2k))/'TCO Inputs'!$AZ$84</f>
        <v>266.17196298951632</v>
      </c>
      <c r="HB223" s="125">
        <f>HB111/293.07*(1/(VLOOKUP($GH223,'Fuel economy adjusted factor'!$A$2:$L$52,5,FALSE)*m2k))/'TCO Inputs'!$AZ$84</f>
        <v>266.17196298951632</v>
      </c>
      <c r="HC223" s="125">
        <f>HC111/293.07*(1/(VLOOKUP($GH223,'Fuel economy adjusted factor'!$A$2:$L$52,5,FALSE)*m2k))/'TCO Inputs'!$AZ$84</f>
        <v>266.17196298951632</v>
      </c>
      <c r="HD223" s="125">
        <f>HD111/293.07*(1/(VLOOKUP($GH223,'Fuel economy adjusted factor'!$A$2:$L$52,5,FALSE)*m2k))/'TCO Inputs'!$AZ$84</f>
        <v>266.17196298951632</v>
      </c>
      <c r="HE223" s="125">
        <f>HE111/293.07*(1/(VLOOKUP($GH223,'Fuel economy adjusted factor'!$A$2:$L$52,5,FALSE)*m2k))/'TCO Inputs'!$AZ$84</f>
        <v>266.17196298951632</v>
      </c>
      <c r="HF223" s="125">
        <f>HF111/293.07*(1/(VLOOKUP($GH223,'Fuel economy adjusted factor'!$A$2:$L$52,5,FALSE)*m2k))/'TCO Inputs'!$AZ$84</f>
        <v>266.17196298951632</v>
      </c>
      <c r="HG223" s="125">
        <f>HG111/293.07*(1/(VLOOKUP($GH223,'Fuel economy adjusted factor'!$A$2:$L$52,5,FALSE)*m2k))/'TCO Inputs'!$AZ$84</f>
        <v>266.17196298951632</v>
      </c>
      <c r="HH223" s="125">
        <f>HH111/293.07*(1/(VLOOKUP($GH223,'Fuel economy adjusted factor'!$A$2:$L$52,5,FALSE)*m2k))/'TCO Inputs'!$AZ$84</f>
        <v>266.17196298951632</v>
      </c>
      <c r="HI223" s="125">
        <f>HI111/293.07*(1/(VLOOKUP($GH223,'Fuel economy adjusted factor'!$A$2:$L$52,5,FALSE)*m2k))/'TCO Inputs'!$AZ$84</f>
        <v>266.17196298951632</v>
      </c>
      <c r="HJ223" s="125">
        <f>HJ111/293.07*(1/(VLOOKUP($GH223,'Fuel economy adjusted factor'!$A$2:$L$52,5,FALSE)*m2k))/'TCO Inputs'!$AZ$84</f>
        <v>266.17196298951632</v>
      </c>
      <c r="HK223" s="98" cm="1">
        <f t="array" ref="HK223">SUMPRODUCT(INDEX(GI223:HJ223,,'TCO Inputs'!$AZ$12-2023+_xlfn.SEQUENCE('TCO Inputs'!$AZ$13))*INDEX('VKT US'!C113:AA113,,_xlfn.SEQUENCE('TCO Inputs'!$AZ$13)))*m2k*CONVERT(0.9072,"g","ton")</f>
        <v>80.243081464156788</v>
      </c>
    </row>
  </sheetData>
  <mergeCells count="63">
    <mergeCell ref="GL4:GS4"/>
    <mergeCell ref="DW115:DZ115"/>
    <mergeCell ref="EA115:EH115"/>
    <mergeCell ref="DW171:DZ171"/>
    <mergeCell ref="EA171:EH171"/>
    <mergeCell ref="FB115:FE115"/>
    <mergeCell ref="FF115:FM115"/>
    <mergeCell ref="FB171:FE171"/>
    <mergeCell ref="FF171:FM171"/>
    <mergeCell ref="GH115:GK115"/>
    <mergeCell ref="GL115:GS115"/>
    <mergeCell ref="EA4:EH4"/>
    <mergeCell ref="DW59:DZ59"/>
    <mergeCell ref="EA59:EH59"/>
    <mergeCell ref="FF4:FM4"/>
    <mergeCell ref="FB59:FE59"/>
    <mergeCell ref="I4:J4"/>
    <mergeCell ref="FF59:FM59"/>
    <mergeCell ref="Q37:X37"/>
    <mergeCell ref="Q38:X38"/>
    <mergeCell ref="AD4:AK4"/>
    <mergeCell ref="AD59:AK59"/>
    <mergeCell ref="BQ4:BX4"/>
    <mergeCell ref="BQ59:BX59"/>
    <mergeCell ref="Z4:AC4"/>
    <mergeCell ref="Z59:AC59"/>
    <mergeCell ref="CV4:DC4"/>
    <mergeCell ref="CR59:CU59"/>
    <mergeCell ref="CV59:DC59"/>
    <mergeCell ref="Q48:X48"/>
    <mergeCell ref="Q49:X49"/>
    <mergeCell ref="BM59:BP59"/>
    <mergeCell ref="Q59:X59"/>
    <mergeCell ref="Q60:X60"/>
    <mergeCell ref="Q70:X70"/>
    <mergeCell ref="Q71:X71"/>
    <mergeCell ref="A1:O1"/>
    <mergeCell ref="Q16:X16"/>
    <mergeCell ref="Q27:X27"/>
    <mergeCell ref="Q3:X3"/>
    <mergeCell ref="Q15:X15"/>
    <mergeCell ref="Q26:X26"/>
    <mergeCell ref="A3:B3"/>
    <mergeCell ref="A4:B4"/>
    <mergeCell ref="Q5:X5"/>
    <mergeCell ref="Q4:X4"/>
    <mergeCell ref="D3:G3"/>
    <mergeCell ref="I3:J3"/>
    <mergeCell ref="CR115:CU115"/>
    <mergeCell ref="CR171:CU171"/>
    <mergeCell ref="Z171:AC171"/>
    <mergeCell ref="V171:X171"/>
    <mergeCell ref="V115:X115"/>
    <mergeCell ref="BI171:BK171"/>
    <mergeCell ref="BM171:BP171"/>
    <mergeCell ref="BI115:BK115"/>
    <mergeCell ref="BM115:BP115"/>
    <mergeCell ref="Z115:AC115"/>
    <mergeCell ref="GL59:GS59"/>
    <mergeCell ref="GH171:GK171"/>
    <mergeCell ref="GL171:GS171"/>
    <mergeCell ref="CV115:DC115"/>
    <mergeCell ref="CV171:DC171"/>
  </mergeCells>
  <dataValidations count="2">
    <dataValidation type="list" allowBlank="1" showInputMessage="1" showErrorMessage="1" sqref="A4:B4" xr:uid="{683056DE-DBC0-496E-94B5-FF72EA94E822}">
      <formula1>"Reference,HighNG &amp; LowRNW,LowNG &amp; HighRNW, MaxNG,MaxRNW,100%NG,100%RNW,100%Coal"</formula1>
    </dataValidation>
    <dataValidation type="list" allowBlank="1" showInputMessage="1" showErrorMessage="1" sqref="I4:J4" xr:uid="{C4885AFD-34A5-4630-AD48-541E76108EAF}">
      <formula1>"0.5%,1% (reference),2%, 3%,4%,5%"</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5374" r:id="rId3" name="Scroll Bar 14">
              <controlPr defaultSize="0" autoPict="0">
                <anchor moveWithCells="1">
                  <from>
                    <xdr:col>5</xdr:col>
                    <xdr:colOff>0</xdr:colOff>
                    <xdr:row>2</xdr:row>
                    <xdr:rowOff>190500</xdr:rowOff>
                  </from>
                  <to>
                    <xdr:col>6</xdr:col>
                    <xdr:colOff>38100</xdr:colOff>
                    <xdr:row>4</xdr:row>
                    <xdr:rowOff>28575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D9523-88B5-4DC4-B763-190D989A6EB0}">
  <sheetPr codeName="Sheet8">
    <tabColor rgb="FF7030A0"/>
  </sheetPr>
  <dimension ref="A1:W87"/>
  <sheetViews>
    <sheetView showGridLines="0" workbookViewId="0">
      <selection activeCell="AA77" sqref="AA77"/>
    </sheetView>
  </sheetViews>
  <sheetFormatPr defaultRowHeight="15" x14ac:dyDescent="0.25"/>
  <cols>
    <col min="1" max="1" width="16.42578125" customWidth="1"/>
    <col min="2" max="2" width="15.28515625" customWidth="1"/>
    <col min="3" max="3" width="19.140625" customWidth="1"/>
    <col min="4" max="4" width="14.140625" customWidth="1"/>
    <col min="5" max="5" width="12.5703125" customWidth="1"/>
    <col min="6" max="6" width="17.42578125" customWidth="1"/>
    <col min="7" max="7" width="19.42578125" customWidth="1"/>
    <col min="8" max="9" width="16.28515625" customWidth="1"/>
  </cols>
  <sheetData>
    <row r="1" spans="1:9" x14ac:dyDescent="0.25">
      <c r="A1" s="37" t="s">
        <v>3</v>
      </c>
      <c r="B1" s="37" t="s">
        <v>255</v>
      </c>
      <c r="C1" s="37" t="s">
        <v>254</v>
      </c>
      <c r="D1" s="37" t="s">
        <v>389</v>
      </c>
      <c r="E1" s="37" t="s">
        <v>397</v>
      </c>
      <c r="F1" s="37" t="s">
        <v>488</v>
      </c>
      <c r="G1" s="37" t="s">
        <v>398</v>
      </c>
      <c r="H1" s="173" t="s">
        <v>592</v>
      </c>
      <c r="I1" s="173" t="s">
        <v>593</v>
      </c>
    </row>
    <row r="2" spans="1:9" x14ac:dyDescent="0.25">
      <c r="A2" s="102" t="s">
        <v>187</v>
      </c>
      <c r="B2" s="7">
        <f>VLOOKUP($A2,US_Results!$A$3:$AJ$53,15,FALSE)</f>
        <v>111617.19785251361</v>
      </c>
      <c r="C2" s="7">
        <f>VLOOKUP($A2,US_Results!$A$3:$AJ$53,24,FALSE)</f>
        <v>98656.397608452433</v>
      </c>
      <c r="D2" s="7">
        <f>VLOOKUP($A2,US_Results!$A$3:$AJ$53,33,FALSE)</f>
        <v>110043.68933455604</v>
      </c>
      <c r="E2" s="7">
        <f>VLOOKUP($A2,'VKT US'!$B$63:$AB$113,27,FALSE)</f>
        <v>234038.85566590686</v>
      </c>
      <c r="F2" s="95">
        <f>VLOOKUP($A2,'US Grid mix, emissions&amp;prices'!$AE$2:$AI$52,3,FALSE)</f>
        <v>18.685013881995122</v>
      </c>
      <c r="G2" s="96">
        <f>VLOOKUP($A2,'US Grid mix, emissions&amp;prices'!$AE$2:$AI$52,2,FALSE)</f>
        <v>3.0905000000000005</v>
      </c>
      <c r="H2" s="79">
        <f>VLOOKUP(A2,'US Grid mix, emissions&amp;prices'!H58:P108,9,FALSE)</f>
        <v>394.2334595830348</v>
      </c>
      <c r="I2">
        <f>VLOOKUP(A2,US_Results!$A$3:$Y$53,16,FALSE)</f>
        <v>37.168801967569827</v>
      </c>
    </row>
    <row r="3" spans="1:9" x14ac:dyDescent="0.25">
      <c r="A3" s="102" t="s">
        <v>189</v>
      </c>
      <c r="B3" s="7">
        <f>VLOOKUP($A3,US_Results!$A$3:$AJ$53,15,FALSE)</f>
        <v>102056.69969630733</v>
      </c>
      <c r="C3" s="7">
        <f>VLOOKUP($A3,US_Results!$A$3:$AJ$53,24,FALSE)</f>
        <v>90983.973103437485</v>
      </c>
      <c r="D3" s="7">
        <f>VLOOKUP($A3,US_Results!$A$3:$AJ$53,33,FALSE)</f>
        <v>95977.352689741732</v>
      </c>
      <c r="E3" s="7">
        <f>VLOOKUP($A3,'VKT US'!$B$63:$AB$113,27,FALSE)</f>
        <v>171946.378215565</v>
      </c>
      <c r="F3" s="95">
        <f>VLOOKUP($A3,'US Grid mix, emissions&amp;prices'!$AE$2:$AI$52,3,FALSE)</f>
        <v>18.115013881995122</v>
      </c>
      <c r="G3" s="96">
        <f>VLOOKUP($A3,'US Grid mix, emissions&amp;prices'!$AE$2:$AI$52,2,FALSE)</f>
        <v>4.5133653846153869</v>
      </c>
      <c r="H3" s="79">
        <f>VLOOKUP(A3,'US Grid mix, emissions&amp;prices'!H59:P109,9,FALSE)</f>
        <v>375.41542976080802</v>
      </c>
      <c r="I3">
        <f>VLOOKUP(A3,US_Results!$A$3:$Y$53,16,FALSE)</f>
        <v>27.073708240871571</v>
      </c>
    </row>
    <row r="4" spans="1:9" x14ac:dyDescent="0.25">
      <c r="A4" s="102" t="s">
        <v>188</v>
      </c>
      <c r="B4" s="7">
        <f>VLOOKUP($A4,US_Results!$A$3:$AJ$53,15,FALSE)</f>
        <v>115714.49531364228</v>
      </c>
      <c r="C4" s="7">
        <f>VLOOKUP($A4,US_Results!$A$3:$AJ$53,24,FALSE)</f>
        <v>99702.614031032019</v>
      </c>
      <c r="D4" s="7">
        <f>VLOOKUP($A4,US_Results!$A$3:$AJ$53,33,FALSE)</f>
        <v>111035.63056955268</v>
      </c>
      <c r="E4" s="7">
        <f>VLOOKUP($A4,'VKT US'!$B$63:$AB$113,27,FALSE)</f>
        <v>226249.38261152719</v>
      </c>
      <c r="F4" s="95">
        <f>VLOOKUP($A4,'US Grid mix, emissions&amp;prices'!$AE$2:$AI$52,3,FALSE)</f>
        <v>16.33501388199512</v>
      </c>
      <c r="G4" s="96">
        <f>VLOOKUP($A4,'US Grid mix, emissions&amp;prices'!$AE$2:$AI$52,2,FALSE)</f>
        <v>3.0905000000000005</v>
      </c>
      <c r="H4" s="79">
        <f>VLOOKUP(A4,'US Grid mix, emissions&amp;prices'!H60:P110,9,FALSE)</f>
        <v>526.77858532091307</v>
      </c>
      <c r="I4">
        <f>VLOOKUP(A4,US_Results!$A$3:$Y$53,16,FALSE)</f>
        <v>44.423688691656189</v>
      </c>
    </row>
    <row r="5" spans="1:9" x14ac:dyDescent="0.25">
      <c r="A5" s="102" t="s">
        <v>149</v>
      </c>
      <c r="B5" s="7">
        <f>VLOOKUP($A5,US_Results!$A$3:$AJ$53,15,FALSE)</f>
        <v>113634.96094094487</v>
      </c>
      <c r="C5" s="7">
        <f>VLOOKUP($A5,US_Results!$A$3:$AJ$53,24,FALSE)</f>
        <v>93829.874206925844</v>
      </c>
      <c r="D5" s="7">
        <f>VLOOKUP($A5,US_Results!$A$3:$AJ$53,33,FALSE)</f>
        <v>98807.504054614314</v>
      </c>
      <c r="E5" s="7">
        <f>VLOOKUP($A5,'VKT US'!$B$63:$AB$113,27,FALSE)</f>
        <v>164511.56919570174</v>
      </c>
      <c r="F5" s="95">
        <f>VLOOKUP($A5,'US Grid mix, emissions&amp;prices'!$AE$2:$AI$52,3,FALSE)</f>
        <v>33.025013881995122</v>
      </c>
      <c r="G5" s="96">
        <f>VLOOKUP($A5,'US Grid mix, emissions&amp;prices'!$AE$2:$AI$52,2,FALSE)</f>
        <v>4.5133653846153869</v>
      </c>
      <c r="H5" s="79">
        <f>VLOOKUP(A5,'US Grid mix, emissions&amp;prices'!H61:P111,9,FALSE)</f>
        <v>227.33476643805236</v>
      </c>
      <c r="I5">
        <f>VLOOKUP(A5,US_Results!$A$3:$Y$53,16,FALSE)</f>
        <v>19.252662043639923</v>
      </c>
    </row>
    <row r="6" spans="1:9" x14ac:dyDescent="0.25">
      <c r="A6" s="102" t="s">
        <v>190</v>
      </c>
      <c r="B6" s="7">
        <f>VLOOKUP($A6,US_Results!$A$3:$AJ$53,15,FALSE)</f>
        <v>106389.82051463553</v>
      </c>
      <c r="C6" s="7">
        <f>VLOOKUP($A6,US_Results!$A$3:$AJ$53,24,FALSE)</f>
        <v>89869.416147426266</v>
      </c>
      <c r="D6" s="7">
        <f>VLOOKUP($A6,US_Results!$A$3:$AJ$53,33,FALSE)</f>
        <v>97663.830948421091</v>
      </c>
      <c r="E6" s="7">
        <f>VLOOKUP($A6,'VKT US'!$B$63:$AB$113,27,FALSE)</f>
        <v>169437.45856398568</v>
      </c>
      <c r="F6" s="95">
        <f>VLOOKUP($A6,'US Grid mix, emissions&amp;prices'!$AE$2:$AI$52,3,FALSE)</f>
        <v>18.42501388199512</v>
      </c>
      <c r="G6" s="96">
        <f>VLOOKUP($A6,'US Grid mix, emissions&amp;prices'!$AE$2:$AI$52,2,FALSE)</f>
        <v>3.5969230769230762</v>
      </c>
      <c r="H6" s="79">
        <f>VLOOKUP(A6,'US Grid mix, emissions&amp;prices'!H62:P112,9,FALSE)</f>
        <v>528.58702699013884</v>
      </c>
      <c r="I6">
        <f>VLOOKUP(A6,US_Results!$A$3:$Y$53,16,FALSE)</f>
        <v>36.015301882118379</v>
      </c>
    </row>
    <row r="7" spans="1:9" x14ac:dyDescent="0.25">
      <c r="A7" s="102" t="s">
        <v>191</v>
      </c>
      <c r="B7" s="7">
        <f>VLOOKUP($A7,US_Results!$A$3:$AJ$53,15,FALSE)</f>
        <v>114940.96705239589</v>
      </c>
      <c r="C7" s="7">
        <f>VLOOKUP($A7,US_Results!$A$3:$AJ$53,24,FALSE)</f>
        <v>88121.35619708692</v>
      </c>
      <c r="D7" s="7">
        <f>VLOOKUP($A7,US_Results!$A$3:$AJ$53,33,FALSE)</f>
        <v>96105.449011848366</v>
      </c>
      <c r="E7" s="7">
        <f>VLOOKUP($A7,'VKT US'!$B$63:$AB$113,27,FALSE)</f>
        <v>159165.33726799089</v>
      </c>
      <c r="F7" s="95">
        <f>VLOOKUP($A7,'US Grid mix, emissions&amp;prices'!$AE$2:$AI$52,3,FALSE)</f>
        <v>33.96501388199512</v>
      </c>
      <c r="G7" s="96">
        <f>VLOOKUP($A7,'US Grid mix, emissions&amp;prices'!$AE$2:$AI$52,2,FALSE)</f>
        <v>3.4698076923076924</v>
      </c>
      <c r="H7" s="79">
        <f>VLOOKUP(A7,'US Grid mix, emissions&amp;prices'!H63:P113,9,FALSE)</f>
        <v>323.32207322482685</v>
      </c>
      <c r="I7">
        <f>VLOOKUP(A7,US_Results!$A$3:$Y$53,16,FALSE)</f>
        <v>23.648506319461397</v>
      </c>
    </row>
    <row r="8" spans="1:9" x14ac:dyDescent="0.25">
      <c r="A8" s="102" t="s">
        <v>192</v>
      </c>
      <c r="B8" s="7">
        <f>VLOOKUP($A8,US_Results!$A$3:$AJ$53,15,FALSE)</f>
        <v>105508.04137004827</v>
      </c>
      <c r="C8" s="7">
        <f>VLOOKUP($A8,US_Results!$A$3:$AJ$53,24,FALSE)</f>
        <v>90748.766707307121</v>
      </c>
      <c r="D8" s="7">
        <f>VLOOKUP($A8,US_Results!$A$3:$AJ$53,33,FALSE)</f>
        <v>98351.507507393471</v>
      </c>
      <c r="E8" s="7">
        <f>VLOOKUP($A8,'VKT US'!$B$63:$AB$113,27,FALSE)</f>
        <v>165628.10411917945</v>
      </c>
      <c r="F8" s="95">
        <f>VLOOKUP($A8,'US Grid mix, emissions&amp;prices'!$AE$2:$AI$52,3,FALSE)</f>
        <v>19.85501388199512</v>
      </c>
      <c r="G8" s="96">
        <f>VLOOKUP($A8,'US Grid mix, emissions&amp;prices'!$AE$2:$AI$52,2,FALSE)</f>
        <v>3.561634615384615</v>
      </c>
      <c r="H8" s="79">
        <f>VLOOKUP(A8,'US Grid mix, emissions&amp;prices'!H64:P114,9,FALSE)</f>
        <v>506.20329614085375</v>
      </c>
      <c r="I8">
        <f>VLOOKUP(A8,US_Results!$A$3:$Y$53,16,FALSE)</f>
        <v>32.113003416850937</v>
      </c>
    </row>
    <row r="9" spans="1:9" x14ac:dyDescent="0.25">
      <c r="A9" s="102" t="s">
        <v>193</v>
      </c>
      <c r="B9" s="7">
        <f>VLOOKUP($A9,US_Results!$A$3:$AJ$53,15,FALSE)</f>
        <v>126410.22513504038</v>
      </c>
      <c r="C9" s="7">
        <f>VLOOKUP($A9,US_Results!$A$3:$AJ$53,24,FALSE)</f>
        <v>105588.1399292179</v>
      </c>
      <c r="D9" s="7">
        <f>VLOOKUP($A9,US_Results!$A$3:$AJ$53,33,FALSE)</f>
        <v>115008.97950445519</v>
      </c>
      <c r="E9" s="7">
        <f>VLOOKUP($A9,'VKT US'!$B$63:$AB$113,27,FALSE)</f>
        <v>191216.45742429176</v>
      </c>
      <c r="F9" s="95">
        <f>VLOOKUP($A9,'US Grid mix, emissions&amp;prices'!$AE$2:$AI$52,3,FALSE)</f>
        <v>19.345013881995122</v>
      </c>
      <c r="G9" s="96">
        <f>VLOOKUP($A9,'US Grid mix, emissions&amp;prices'!$AE$2:$AI$52,2,FALSE)</f>
        <v>3.2785000000000006</v>
      </c>
      <c r="H9" s="79">
        <f>VLOOKUP(A9,'US Grid mix, emissions&amp;prices'!H65:P115,9,FALSE)</f>
        <v>470.59405602757022</v>
      </c>
      <c r="I9">
        <f>VLOOKUP(A9,US_Results!$A$3:$Y$53,16,FALSE)</f>
        <v>33.703296877011461</v>
      </c>
    </row>
    <row r="10" spans="1:9" x14ac:dyDescent="0.25">
      <c r="A10" s="102" t="s">
        <v>194</v>
      </c>
      <c r="B10" s="7">
        <f>VLOOKUP($A10,US_Results!$A$3:$AJ$53,15,FALSE)</f>
        <v>111612.77833232978</v>
      </c>
      <c r="C10" s="7">
        <f>VLOOKUP($A10,US_Results!$A$3:$AJ$53,24,FALSE)</f>
        <v>101225.73419943736</v>
      </c>
      <c r="D10" s="7">
        <f>VLOOKUP($A10,US_Results!$A$3:$AJ$53,33,FALSE)</f>
        <v>112209.9743732764</v>
      </c>
      <c r="E10" s="7">
        <f>VLOOKUP($A10,'VKT US'!$B$63:$AB$113,27,FALSE)</f>
        <v>240830.01514164766</v>
      </c>
      <c r="F10" s="95">
        <f>VLOOKUP($A10,'US Grid mix, emissions&amp;prices'!$AE$2:$AI$52,3,FALSE)</f>
        <v>17.83501388199512</v>
      </c>
      <c r="G10" s="96">
        <f>VLOOKUP($A10,'US Grid mix, emissions&amp;prices'!$AE$2:$AI$52,2,FALSE)</f>
        <v>3.2785000000000006</v>
      </c>
      <c r="H10" s="79">
        <f>VLOOKUP(A10,'US Grid mix, emissions&amp;prices'!H66:P116,9,FALSE)</f>
        <v>404.98856928378888</v>
      </c>
      <c r="I10">
        <f>VLOOKUP(A10,US_Results!$A$3:$Y$53,16,FALSE)</f>
        <v>38.797570544861593</v>
      </c>
    </row>
    <row r="11" spans="1:9" x14ac:dyDescent="0.25">
      <c r="A11" s="102" t="s">
        <v>196</v>
      </c>
      <c r="B11" s="7">
        <f>VLOOKUP($A11,US_Results!$A$3:$AJ$53,15,FALSE)</f>
        <v>94395.385344854309</v>
      </c>
      <c r="C11" s="7">
        <f>VLOOKUP($A11,US_Results!$A$3:$AJ$53,24,FALSE)</f>
        <v>84023.726669676544</v>
      </c>
      <c r="D11" s="7">
        <f>VLOOKUP($A11,US_Results!$A$3:$AJ$53,33,FALSE)</f>
        <v>92487.779369125608</v>
      </c>
      <c r="E11" s="7">
        <f>VLOOKUP($A11,'VKT US'!$B$63:$AB$113,27,FALSE)</f>
        <v>189377.45872679906</v>
      </c>
      <c r="F11" s="95">
        <f>VLOOKUP($A11,'US Grid mix, emissions&amp;prices'!$AE$2:$AI$52,3,FALSE)</f>
        <v>15.225013881995121</v>
      </c>
      <c r="G11" s="96">
        <f>VLOOKUP($A11,'US Grid mix, emissions&amp;prices'!$AE$2:$AI$52,2,FALSE)</f>
        <v>3.5969230769230762</v>
      </c>
      <c r="H11" s="79">
        <f>VLOOKUP(A11,'US Grid mix, emissions&amp;prices'!H67:P117,9,FALSE)</f>
        <v>182.33186610707341</v>
      </c>
      <c r="I11">
        <f>VLOOKUP(A11,US_Results!$A$3:$Y$53,16,FALSE)</f>
        <v>21.136598175004703</v>
      </c>
    </row>
    <row r="12" spans="1:9" x14ac:dyDescent="0.25">
      <c r="A12" s="102" t="s">
        <v>197</v>
      </c>
      <c r="B12" s="7">
        <f>VLOOKUP($A12,US_Results!$A$3:$AJ$53,15,FALSE)</f>
        <v>98880.89898408376</v>
      </c>
      <c r="C12" s="7">
        <f>VLOOKUP($A12,US_Results!$A$3:$AJ$53,24,FALSE)</f>
        <v>82943.480228785425</v>
      </c>
      <c r="D12" s="7">
        <f>VLOOKUP($A12,US_Results!$A$3:$AJ$53,33,FALSE)</f>
        <v>91452.952638677321</v>
      </c>
      <c r="E12" s="7">
        <f>VLOOKUP($A12,'VKT US'!$B$63:$AB$113,27,FALSE)</f>
        <v>165260.30437968092</v>
      </c>
      <c r="F12" s="95">
        <f>VLOOKUP($A12,'US Grid mix, emissions&amp;prices'!$AE$2:$AI$52,3,FALSE)</f>
        <v>19.92501388199512</v>
      </c>
      <c r="G12" s="96">
        <f>VLOOKUP($A12,'US Grid mix, emissions&amp;prices'!$AE$2:$AI$52,2,FALSE)</f>
        <v>3.3631923076923078</v>
      </c>
      <c r="H12" s="79">
        <f>VLOOKUP(A12,'US Grid mix, emissions&amp;prices'!H68:P118,9,FALSE)</f>
        <v>251.27443955369026</v>
      </c>
      <c r="I12">
        <f>VLOOKUP(A12,US_Results!$A$3:$Y$53,16,FALSE)</f>
        <v>21.103183692834492</v>
      </c>
    </row>
    <row r="13" spans="1:9" x14ac:dyDescent="0.25">
      <c r="A13" s="102" t="s">
        <v>198</v>
      </c>
      <c r="B13" s="7">
        <f>VLOOKUP($A13,US_Results!$A$3:$AJ$53,15,FALSE)</f>
        <v>107569.54969973495</v>
      </c>
      <c r="C13" s="7">
        <f>VLOOKUP($A13,US_Results!$A$3:$AJ$53,24,FALSE)</f>
        <v>94591.097688596579</v>
      </c>
      <c r="D13" s="7">
        <f>VLOOKUP($A13,US_Results!$A$3:$AJ$53,33,FALSE)</f>
        <v>105232.18229162048</v>
      </c>
      <c r="E13" s="7">
        <f>VLOOKUP($A13,'VKT US'!$B$63:$AB$113,27,FALSE)</f>
        <v>236757.9465971996</v>
      </c>
      <c r="F13" s="95">
        <f>VLOOKUP($A13,'US Grid mix, emissions&amp;prices'!$AE$2:$AI$52,3,FALSE)</f>
        <v>19.045013881995121</v>
      </c>
      <c r="G13" s="96">
        <f>VLOOKUP($A13,'US Grid mix, emissions&amp;prices'!$AE$2:$AI$52,2,FALSE)</f>
        <v>3.3631923076923078</v>
      </c>
      <c r="H13" s="79">
        <f>VLOOKUP(A13,'US Grid mix, emissions&amp;prices'!H69:P119,9,FALSE)</f>
        <v>740.39990445968544</v>
      </c>
      <c r="I13">
        <f>VLOOKUP(A13,US_Results!$A$3:$Y$53,16,FALSE)</f>
        <v>62.686557990553453</v>
      </c>
    </row>
    <row r="14" spans="1:9" x14ac:dyDescent="0.25">
      <c r="A14" s="102" t="s">
        <v>195</v>
      </c>
      <c r="B14" s="7">
        <f>VLOOKUP($A14,US_Results!$A$3:$AJ$53,15,FALSE)</f>
        <v>99510.724943634879</v>
      </c>
      <c r="C14" s="7">
        <f>VLOOKUP($A14,US_Results!$A$3:$AJ$53,24,FALSE)</f>
        <v>85326.534831990284</v>
      </c>
      <c r="D14" s="7">
        <f>VLOOKUP($A14,US_Results!$A$3:$AJ$53,33,FALSE)</f>
        <v>94670.435595496878</v>
      </c>
      <c r="E14" s="7">
        <f>VLOOKUP($A14,'VKT US'!$B$63:$AB$113,27,FALSE)</f>
        <v>193685.96996092476</v>
      </c>
      <c r="F14" s="95">
        <f>VLOOKUP($A14,'US Grid mix, emissions&amp;prices'!$AE$2:$AI$52,3,FALSE)</f>
        <v>17.315013881995121</v>
      </c>
      <c r="G14" s="96">
        <f>VLOOKUP($A14,'US Grid mix, emissions&amp;prices'!$AE$2:$AI$52,2,FALSE)</f>
        <v>3.3631923076923078</v>
      </c>
      <c r="H14" s="79">
        <f>VLOOKUP(A14,'US Grid mix, emissions&amp;prices'!H70:P120,9,FALSE)</f>
        <v>329.64138260483844</v>
      </c>
      <c r="I14">
        <f>VLOOKUP(A14,US_Results!$A$3:$Y$53,16,FALSE)</f>
        <v>29.72163320526073</v>
      </c>
    </row>
    <row r="15" spans="1:9" x14ac:dyDescent="0.25">
      <c r="A15" s="102" t="s">
        <v>199</v>
      </c>
      <c r="B15" s="7">
        <f>VLOOKUP($A15,US_Results!$A$3:$AJ$53,15,FALSE)</f>
        <v>109459.8309361397</v>
      </c>
      <c r="C15" s="7">
        <f>VLOOKUP($A15,US_Results!$A$3:$AJ$53,24,FALSE)</f>
        <v>93481.571531994297</v>
      </c>
      <c r="D15" s="7">
        <f>VLOOKUP($A15,US_Results!$A$3:$AJ$53,33,FALSE)</f>
        <v>102828.32519207141</v>
      </c>
      <c r="E15" s="7">
        <f>VLOOKUP($A15,'VKT US'!$B$63:$AB$113,27,FALSE)</f>
        <v>194158.85534028005</v>
      </c>
      <c r="F15" s="95">
        <f>VLOOKUP($A15,'US Grid mix, emissions&amp;prices'!$AE$2:$AI$52,3,FALSE)</f>
        <v>17.725013881995121</v>
      </c>
      <c r="G15" s="96">
        <f>VLOOKUP($A15,'US Grid mix, emissions&amp;prices'!$AE$2:$AI$52,2,FALSE)</f>
        <v>3.3631923076923078</v>
      </c>
      <c r="H15" s="79">
        <f>VLOOKUP(A15,'US Grid mix, emissions&amp;prices'!H71:P121,9,FALSE)</f>
        <v>362.07390725765174</v>
      </c>
      <c r="I15">
        <f>VLOOKUP(A15,US_Results!$A$3:$Y$53,16,FALSE)</f>
        <v>30.654779079113545</v>
      </c>
    </row>
    <row r="16" spans="1:9" x14ac:dyDescent="0.25">
      <c r="A16" s="102" t="s">
        <v>157</v>
      </c>
      <c r="B16" s="7">
        <f>VLOOKUP($A16,US_Results!$A$3:$AJ$53,15,FALSE)</f>
        <v>118521.07650393428</v>
      </c>
      <c r="C16" s="7">
        <f>VLOOKUP($A16,US_Results!$A$3:$AJ$53,24,FALSE)</f>
        <v>104093.15079301121</v>
      </c>
      <c r="D16" s="7">
        <f>VLOOKUP($A16,US_Results!$A$3:$AJ$53,33,FALSE)</f>
        <v>113961.89622626353</v>
      </c>
      <c r="E16" s="7">
        <f>VLOOKUP($A16,'VKT US'!$B$63:$AB$113,27,FALSE)</f>
        <v>214177.66973298602</v>
      </c>
      <c r="F16" s="95">
        <f>VLOOKUP($A16,'US Grid mix, emissions&amp;prices'!$AE$2:$AI$52,3,FALSE)</f>
        <v>16.595013881995122</v>
      </c>
      <c r="G16" s="96">
        <f>VLOOKUP($A16,'US Grid mix, emissions&amp;prices'!$AE$2:$AI$52,2,FALSE)</f>
        <v>3.3631923076923078</v>
      </c>
      <c r="H16" s="79">
        <f>VLOOKUP(A16,'US Grid mix, emissions&amp;prices'!H72:P122,9,FALSE)</f>
        <v>891.92684341624874</v>
      </c>
      <c r="I16">
        <f>VLOOKUP(A16,US_Results!$A$3:$Y$53,16,FALSE)</f>
        <v>64.084978557539259</v>
      </c>
    </row>
    <row r="17" spans="1:9" x14ac:dyDescent="0.25">
      <c r="A17" s="102" t="s">
        <v>200</v>
      </c>
      <c r="B17" s="7">
        <f>VLOOKUP($A17,US_Results!$A$3:$AJ$53,15,FALSE)</f>
        <v>122050.58830350998</v>
      </c>
      <c r="C17" s="7">
        <f>VLOOKUP($A17,US_Results!$A$3:$AJ$53,24,FALSE)</f>
        <v>105052.83935071736</v>
      </c>
      <c r="D17" s="7">
        <f>VLOOKUP($A17,US_Results!$A$3:$AJ$53,33,FALSE)</f>
        <v>115242.63244263909</v>
      </c>
      <c r="E17" s="7">
        <f>VLOOKUP($A17,'VKT US'!$B$63:$AB$113,27,FALSE)</f>
        <v>196391.92518723547</v>
      </c>
      <c r="F17" s="95">
        <f>VLOOKUP($A17,'US Grid mix, emissions&amp;prices'!$AE$2:$AI$52,3,FALSE)</f>
        <v>15.635013881995121</v>
      </c>
      <c r="G17" s="96">
        <f>VLOOKUP($A17,'US Grid mix, emissions&amp;prices'!$AE$2:$AI$52,2,FALSE)</f>
        <v>3.0905000000000005</v>
      </c>
      <c r="H17" s="79">
        <f>VLOOKUP(A17,'US Grid mix, emissions&amp;prices'!H73:P123,9,FALSE)</f>
        <v>476.26164397584193</v>
      </c>
      <c r="I17">
        <f>VLOOKUP(A17,US_Results!$A$3:$Y$53,16,FALSE)</f>
        <v>35.197090979428992</v>
      </c>
    </row>
    <row r="18" spans="1:9" x14ac:dyDescent="0.25">
      <c r="A18" s="102" t="s">
        <v>203</v>
      </c>
      <c r="B18" s="7">
        <f>VLOOKUP($A18,US_Results!$A$3:$AJ$53,15,FALSE)</f>
        <v>103903.67080670423</v>
      </c>
      <c r="C18" s="7">
        <f>VLOOKUP($A18,US_Results!$A$3:$AJ$53,24,FALSE)</f>
        <v>83675.943931027723</v>
      </c>
      <c r="D18" s="7">
        <f>VLOOKUP($A18,US_Results!$A$3:$AJ$53,33,FALSE)</f>
        <v>92516.767739199786</v>
      </c>
      <c r="E18" s="7">
        <f>VLOOKUP($A18,'VKT US'!$B$63:$AB$113,27,FALSE)</f>
        <v>186724.04632041685</v>
      </c>
      <c r="F18" s="95">
        <f>VLOOKUP($A18,'US Grid mix, emissions&amp;prices'!$AE$2:$AI$52,3,FALSE)</f>
        <v>31.565013881995121</v>
      </c>
      <c r="G18" s="96">
        <f>VLOOKUP($A18,'US Grid mix, emissions&amp;prices'!$AE$2:$AI$52,2,FALSE)</f>
        <v>3.4698076923076924</v>
      </c>
      <c r="H18" s="79">
        <f>VLOOKUP(A18,'US Grid mix, emissions&amp;prices'!H74:P124,9,FALSE)</f>
        <v>185.89074282594603</v>
      </c>
      <c r="I18">
        <f>VLOOKUP(A18,US_Results!$A$3:$Y$53,16,FALSE)</f>
        <v>21.193838510207684</v>
      </c>
    </row>
    <row r="19" spans="1:9" x14ac:dyDescent="0.25">
      <c r="A19" s="102" t="s">
        <v>202</v>
      </c>
      <c r="B19" s="7">
        <f>VLOOKUP($A19,US_Results!$A$3:$AJ$53,15,FALSE)</f>
        <v>108610.6551687061</v>
      </c>
      <c r="C19" s="7">
        <f>VLOOKUP($A19,US_Results!$A$3:$AJ$53,24,FALSE)</f>
        <v>92550.18370273037</v>
      </c>
      <c r="D19" s="7">
        <f>VLOOKUP($A19,US_Results!$A$3:$AJ$53,33,FALSE)</f>
        <v>100684.81995478109</v>
      </c>
      <c r="E19" s="7">
        <f>VLOOKUP($A19,'VKT US'!$B$63:$AB$113,27,FALSE)</f>
        <v>177200.66020840118</v>
      </c>
      <c r="F19" s="95">
        <f>VLOOKUP($A19,'US Grid mix, emissions&amp;prices'!$AE$2:$AI$52,3,FALSE)</f>
        <v>20.69501388199512</v>
      </c>
      <c r="G19" s="96">
        <f>VLOOKUP($A19,'US Grid mix, emissions&amp;prices'!$AE$2:$AI$52,2,FALSE)</f>
        <v>3.561634615384615</v>
      </c>
      <c r="H19" s="79">
        <f>VLOOKUP(A19,'US Grid mix, emissions&amp;prices'!H75:P125,9,FALSE)</f>
        <v>284.38598287098648</v>
      </c>
      <c r="I19">
        <f>VLOOKUP(A19,US_Results!$A$3:$Y$53,16,FALSE)</f>
        <v>23.787373770587489</v>
      </c>
    </row>
    <row r="20" spans="1:9" x14ac:dyDescent="0.25">
      <c r="A20" s="102" t="s">
        <v>201</v>
      </c>
      <c r="B20" s="7">
        <f>VLOOKUP($A20,US_Results!$A$3:$AJ$53,15,FALSE)</f>
        <v>109060.62738789315</v>
      </c>
      <c r="C20" s="7">
        <f>VLOOKUP($A20,US_Results!$A$3:$AJ$53,24,FALSE)</f>
        <v>87218.803571743076</v>
      </c>
      <c r="D20" s="7">
        <f>VLOOKUP($A20,US_Results!$A$3:$AJ$53,33,FALSE)</f>
        <v>95575.961518764379</v>
      </c>
      <c r="E20" s="7">
        <f>VLOOKUP($A20,'VKT US'!$B$63:$AB$113,27,FALSE)</f>
        <v>172195.95661022473</v>
      </c>
      <c r="F20" s="95">
        <f>VLOOKUP($A20,'US Grid mix, emissions&amp;prices'!$AE$2:$AI$52,3,FALSE)</f>
        <v>33.505013881995119</v>
      </c>
      <c r="G20" s="96">
        <f>VLOOKUP($A20,'US Grid mix, emissions&amp;prices'!$AE$2:$AI$52,2,FALSE)</f>
        <v>3.4698076923076924</v>
      </c>
      <c r="H20" s="79">
        <f>VLOOKUP(A20,'US Grid mix, emissions&amp;prices'!H76:P126,9,FALSE)</f>
        <v>428.33111543317295</v>
      </c>
      <c r="I20">
        <f>VLOOKUP(A20,US_Results!$A$3:$Y$53,16,FALSE)</f>
        <v>30.880021055130534</v>
      </c>
    </row>
    <row r="21" spans="1:9" x14ac:dyDescent="0.25">
      <c r="A21" s="102" t="s">
        <v>204</v>
      </c>
      <c r="B21" s="7">
        <f>VLOOKUP($A21,US_Results!$A$3:$AJ$53,15,FALSE)</f>
        <v>121802.48850501473</v>
      </c>
      <c r="C21" s="7">
        <f>VLOOKUP($A21,US_Results!$A$3:$AJ$53,24,FALSE)</f>
        <v>101902.18871696891</v>
      </c>
      <c r="D21" s="7">
        <f>VLOOKUP($A21,US_Results!$A$3:$AJ$53,33,FALSE)</f>
        <v>111135.40795750158</v>
      </c>
      <c r="E21" s="7">
        <f>VLOOKUP($A21,'VKT US'!$B$63:$AB$113,27,FALSE)</f>
        <v>187932.53117876913</v>
      </c>
      <c r="F21" s="95">
        <f>VLOOKUP($A21,'US Grid mix, emissions&amp;prices'!$AE$2:$AI$52,3,FALSE)</f>
        <v>22.805013881995119</v>
      </c>
      <c r="G21" s="96">
        <f>VLOOKUP($A21,'US Grid mix, emissions&amp;prices'!$AE$2:$AI$52,2,FALSE)</f>
        <v>3.3631923076923078</v>
      </c>
      <c r="H21" s="79">
        <f>VLOOKUP(A21,'US Grid mix, emissions&amp;prices'!H77:P127,9,FALSE)</f>
        <v>477.94724809772413</v>
      </c>
      <c r="I21">
        <f>VLOOKUP(A21,US_Results!$A$3:$Y$53,16,FALSE)</f>
        <v>37.429646240370978</v>
      </c>
    </row>
    <row r="22" spans="1:9" x14ac:dyDescent="0.25">
      <c r="A22" s="102" t="s">
        <v>205</v>
      </c>
      <c r="B22" s="7">
        <f>VLOOKUP($A22,US_Results!$A$3:$AJ$53,15,FALSE)</f>
        <v>110815.95194442381</v>
      </c>
      <c r="C22" s="7">
        <f>VLOOKUP($A22,US_Results!$A$3:$AJ$53,24,FALSE)</f>
        <v>96977.18762214249</v>
      </c>
      <c r="D22" s="7">
        <f>VLOOKUP($A22,US_Results!$A$3:$AJ$53,33,FALSE)</f>
        <v>107786.49538452752</v>
      </c>
      <c r="E22" s="7">
        <f>VLOOKUP($A22,'VKT US'!$B$63:$AB$113,27,FALSE)</f>
        <v>235247.34052425917</v>
      </c>
      <c r="F22" s="95">
        <f>VLOOKUP($A22,'US Grid mix, emissions&amp;prices'!$AE$2:$AI$52,3,FALSE)</f>
        <v>18.67501388199512</v>
      </c>
      <c r="G22" s="96">
        <f>VLOOKUP($A22,'US Grid mix, emissions&amp;prices'!$AE$2:$AI$52,2,FALSE)</f>
        <v>3.3631923076923078</v>
      </c>
      <c r="H22" s="79">
        <f>VLOOKUP(A22,'US Grid mix, emissions&amp;prices'!H78:P128,9,FALSE)</f>
        <v>390.67117071006925</v>
      </c>
      <c r="I22">
        <f>VLOOKUP(A22,US_Results!$A$3:$Y$53,16,FALSE)</f>
        <v>41.981127011257463</v>
      </c>
    </row>
    <row r="23" spans="1:9" x14ac:dyDescent="0.25">
      <c r="A23" s="102" t="s">
        <v>207</v>
      </c>
      <c r="B23" s="7">
        <f>VLOOKUP($A23,US_Results!$A$3:$AJ$53,15,FALSE)</f>
        <v>123562.10609862444</v>
      </c>
      <c r="C23" s="7">
        <f>VLOOKUP($A23,US_Results!$A$3:$AJ$53,24,FALSE)</f>
        <v>104303.73644674274</v>
      </c>
      <c r="D23" s="7">
        <f>VLOOKUP($A23,US_Results!$A$3:$AJ$53,33,FALSE)</f>
        <v>116783.25831530656</v>
      </c>
      <c r="E23" s="7">
        <f>VLOOKUP($A23,'VKT US'!$B$63:$AB$113,27,FALSE)</f>
        <v>262267.48567241943</v>
      </c>
      <c r="F23" s="95">
        <f>VLOOKUP($A23,'US Grid mix, emissions&amp;prices'!$AE$2:$AI$52,3,FALSE)</f>
        <v>17.525013881995122</v>
      </c>
      <c r="G23" s="96">
        <f>VLOOKUP($A23,'US Grid mix, emissions&amp;prices'!$AE$2:$AI$52,2,FALSE)</f>
        <v>3.0905000000000005</v>
      </c>
      <c r="H23" s="79">
        <f>VLOOKUP(A23,'US Grid mix, emissions&amp;prices'!H79:P129,9,FALSE)</f>
        <v>480.71109291295596</v>
      </c>
      <c r="I23">
        <f>VLOOKUP(A23,US_Results!$A$3:$Y$53,16,FALSE)</f>
        <v>47.520200918076796</v>
      </c>
    </row>
    <row r="24" spans="1:9" x14ac:dyDescent="0.25">
      <c r="A24" s="102" t="s">
        <v>206</v>
      </c>
      <c r="B24" s="7">
        <f>VLOOKUP($A24,US_Results!$A$3:$AJ$53,15,FALSE)</f>
        <v>114586.58600086154</v>
      </c>
      <c r="C24" s="7">
        <f>VLOOKUP($A24,US_Results!$A$3:$AJ$53,24,FALSE)</f>
        <v>101150.65806406962</v>
      </c>
      <c r="D24" s="7">
        <f>VLOOKUP($A24,US_Results!$A$3:$AJ$53,33,FALSE)</f>
        <v>111863.60841201789</v>
      </c>
      <c r="E24" s="7">
        <f>VLOOKUP($A24,'VKT US'!$B$63:$AB$113,27,FALSE)</f>
        <v>243286.39197329865</v>
      </c>
      <c r="F24" s="95">
        <f>VLOOKUP($A24,'US Grid mix, emissions&amp;prices'!$AE$2:$AI$52,3,FALSE)</f>
        <v>16.87501388199512</v>
      </c>
      <c r="G24" s="96">
        <f>VLOOKUP($A24,'US Grid mix, emissions&amp;prices'!$AE$2:$AI$52,2,FALSE)</f>
        <v>3.3631923076923078</v>
      </c>
      <c r="H24" s="79">
        <f>VLOOKUP(A24,'US Grid mix, emissions&amp;prices'!H80:P130,9,FALSE)</f>
        <v>740.07233766676904</v>
      </c>
      <c r="I24">
        <f>VLOOKUP(A24,US_Results!$A$3:$Y$53,16,FALSE)</f>
        <v>63.639901228254118</v>
      </c>
    </row>
    <row r="25" spans="1:9" x14ac:dyDescent="0.25">
      <c r="A25" s="102" t="s">
        <v>208</v>
      </c>
      <c r="B25" s="7">
        <f>VLOOKUP($A25,US_Results!$A$3:$AJ$53,15,FALSE)</f>
        <v>107901.0777392781</v>
      </c>
      <c r="C25" s="7">
        <f>VLOOKUP($A25,US_Results!$A$3:$AJ$53,24,FALSE)</f>
        <v>94227.518220486643</v>
      </c>
      <c r="D25" s="7">
        <f>VLOOKUP($A25,US_Results!$A$3:$AJ$53,33,FALSE)</f>
        <v>102993.94810684049</v>
      </c>
      <c r="E25" s="7">
        <f>VLOOKUP($A25,'VKT US'!$B$63:$AB$113,27,FALSE)</f>
        <v>208594.99511559756</v>
      </c>
      <c r="F25" s="95">
        <f>VLOOKUP($A25,'US Grid mix, emissions&amp;prices'!$AE$2:$AI$52,3,FALSE)</f>
        <v>16.53501388199512</v>
      </c>
      <c r="G25" s="96">
        <f>VLOOKUP($A25,'US Grid mix, emissions&amp;prices'!$AE$2:$AI$52,2,FALSE)</f>
        <v>3.5969230769230762</v>
      </c>
      <c r="H25" s="79">
        <f>VLOOKUP(A25,'US Grid mix, emissions&amp;prices'!H81:P131,9,FALSE)</f>
        <v>551.85109359538683</v>
      </c>
      <c r="I25">
        <f>VLOOKUP(A25,US_Results!$A$3:$Y$53,16,FALSE)</f>
        <v>46.900896586488216</v>
      </c>
    </row>
    <row r="26" spans="1:9" x14ac:dyDescent="0.25">
      <c r="A26" s="102" t="s">
        <v>211</v>
      </c>
      <c r="B26" s="7">
        <f>VLOOKUP($A26,US_Results!$A$3:$AJ$53,15,FALSE)</f>
        <v>110758.72108266084</v>
      </c>
      <c r="C26" s="7">
        <f>VLOOKUP($A26,US_Results!$A$3:$AJ$53,24,FALSE)</f>
        <v>96032.236642979944</v>
      </c>
      <c r="D26" s="7">
        <f>VLOOKUP($A26,US_Results!$A$3:$AJ$53,33,FALSE)</f>
        <v>105412.59350255555</v>
      </c>
      <c r="E26" s="7">
        <f>VLOOKUP($A26,'VKT US'!$B$63:$AB$113,27,FALSE)</f>
        <v>195012.6761641159</v>
      </c>
      <c r="F26" s="95">
        <f>VLOOKUP($A26,'US Grid mix, emissions&amp;prices'!$AE$2:$AI$52,3,FALSE)</f>
        <v>15.395013881995119</v>
      </c>
      <c r="G26" s="96">
        <f>VLOOKUP($A26,'US Grid mix, emissions&amp;prices'!$AE$2:$AI$52,2,FALSE)</f>
        <v>3.3631923076923078</v>
      </c>
      <c r="H26" s="79">
        <f>VLOOKUP(A26,'US Grid mix, emissions&amp;prices'!H82:P132,9,FALSE)</f>
        <v>527.47466475586043</v>
      </c>
      <c r="I26">
        <f>VLOOKUP(A26,US_Results!$A$3:$Y$53,16,FALSE)</f>
        <v>40.856316160062043</v>
      </c>
    </row>
    <row r="27" spans="1:9" x14ac:dyDescent="0.25">
      <c r="A27" s="102" t="s">
        <v>215</v>
      </c>
      <c r="B27" s="7">
        <f>VLOOKUP($A27,US_Results!$A$3:$AJ$53,15,FALSE)</f>
        <v>115102.78957012983</v>
      </c>
      <c r="C27" s="7">
        <f>VLOOKUP($A27,US_Results!$A$3:$AJ$53,24,FALSE)</f>
        <v>102108.2126052354</v>
      </c>
      <c r="D27" s="7">
        <f>VLOOKUP($A27,US_Results!$A$3:$AJ$53,33,FALSE)</f>
        <v>107322.67341625161</v>
      </c>
      <c r="E27" s="7">
        <f>VLOOKUP($A27,'VKT US'!$B$63:$AB$113,27,FALSE)</f>
        <v>184110.04102898081</v>
      </c>
      <c r="F27" s="95">
        <f>VLOOKUP($A27,'US Grid mix, emissions&amp;prices'!$AE$2:$AI$52,3,FALSE)</f>
        <v>20.775013881995122</v>
      </c>
      <c r="G27" s="96">
        <f>VLOOKUP($A27,'US Grid mix, emissions&amp;prices'!$AE$2:$AI$52,2,FALSE)</f>
        <v>4.5133653846153869</v>
      </c>
      <c r="H27" s="79">
        <f>VLOOKUP(A27,'US Grid mix, emissions&amp;prices'!H83:P133,9,FALSE)</f>
        <v>372.51168662776814</v>
      </c>
      <c r="I27">
        <f>VLOOKUP(A27,US_Results!$A$3:$Y$53,16,FALSE)</f>
        <v>29.823954553593865</v>
      </c>
    </row>
    <row r="28" spans="1:9" x14ac:dyDescent="0.25">
      <c r="A28" s="102" t="s">
        <v>212</v>
      </c>
      <c r="B28" s="7">
        <f>VLOOKUP($A28,US_Results!$A$3:$AJ$53,15,FALSE)</f>
        <v>98734.194032081519</v>
      </c>
      <c r="C28" s="7">
        <f>VLOOKUP($A28,US_Results!$A$3:$AJ$53,24,FALSE)</f>
        <v>76646.359895090689</v>
      </c>
      <c r="D28" s="7">
        <f>VLOOKUP($A28,US_Results!$A$3:$AJ$53,33,FALSE)</f>
        <v>84252.665070989155</v>
      </c>
      <c r="E28" s="7">
        <f>VLOOKUP($A28,'VKT US'!$B$63:$AB$113,27,FALSE)</f>
        <v>151980.1066427874</v>
      </c>
      <c r="F28" s="95">
        <f>VLOOKUP($A28,'US Grid mix, emissions&amp;prices'!$AE$2:$AI$52,3,FALSE)</f>
        <v>32.415013881995122</v>
      </c>
      <c r="G28" s="96">
        <f>VLOOKUP($A28,'US Grid mix, emissions&amp;prices'!$AE$2:$AI$52,2,FALSE)</f>
        <v>3.4698076923076924</v>
      </c>
      <c r="H28" s="79">
        <f>VLOOKUP(A28,'US Grid mix, emissions&amp;prices'!H84:P134,9,FALSE)</f>
        <v>156.22206298836457</v>
      </c>
      <c r="I28">
        <f>VLOOKUP(A28,US_Results!$A$3:$Y$53,16,FALSE)</f>
        <v>15.723291129646082</v>
      </c>
    </row>
    <row r="29" spans="1:9" x14ac:dyDescent="0.25">
      <c r="A29" s="102" t="s">
        <v>213</v>
      </c>
      <c r="B29" s="7">
        <f>VLOOKUP($A29,US_Results!$A$3:$AJ$53,15,FALSE)</f>
        <v>110179.62722430757</v>
      </c>
      <c r="C29" s="7">
        <f>VLOOKUP($A29,US_Results!$A$3:$AJ$53,24,FALSE)</f>
        <v>94111.156391927288</v>
      </c>
      <c r="D29" s="7">
        <f>VLOOKUP($A29,US_Results!$A$3:$AJ$53,33,FALSE)</f>
        <v>101858.4653767579</v>
      </c>
      <c r="E29" s="7">
        <f>VLOOKUP($A29,'VKT US'!$B$63:$AB$113,27,FALSE)</f>
        <v>161083.1501953761</v>
      </c>
      <c r="F29" s="95">
        <f>VLOOKUP($A29,'US Grid mix, emissions&amp;prices'!$AE$2:$AI$52,3,FALSE)</f>
        <v>21.83501388199512</v>
      </c>
      <c r="G29" s="96">
        <f>VLOOKUP($A29,'US Grid mix, emissions&amp;prices'!$AE$2:$AI$52,2,FALSE)</f>
        <v>3.561634615384615</v>
      </c>
      <c r="H29" s="79">
        <f>VLOOKUP(A29,'US Grid mix, emissions&amp;prices'!H85:P135,9,FALSE)</f>
        <v>281.29115910874538</v>
      </c>
      <c r="I29">
        <f>VLOOKUP(A29,US_Results!$A$3:$Y$53,16,FALSE)</f>
        <v>21.655196257233996</v>
      </c>
    </row>
    <row r="30" spans="1:9" x14ac:dyDescent="0.25">
      <c r="A30" s="102" t="s">
        <v>214</v>
      </c>
      <c r="B30" s="7">
        <f>VLOOKUP($A30,US_Results!$A$3:$AJ$53,15,FALSE)</f>
        <v>111557.99923737146</v>
      </c>
      <c r="C30" s="7">
        <f>VLOOKUP($A30,US_Results!$A$3:$AJ$53,24,FALSE)</f>
        <v>98878.337970377979</v>
      </c>
      <c r="D30" s="7">
        <f>VLOOKUP($A30,US_Results!$A$3:$AJ$53,33,FALSE)</f>
        <v>111065.07610356294</v>
      </c>
      <c r="E30" s="7">
        <f>VLOOKUP($A30,'VKT US'!$B$63:$AB$113,27,FALSE)</f>
        <v>251640.7003419082</v>
      </c>
      <c r="F30" s="95">
        <f>VLOOKUP($A30,'US Grid mix, emissions&amp;prices'!$AE$2:$AI$52,3,FALSE)</f>
        <v>18.26501388199512</v>
      </c>
      <c r="G30" s="96">
        <f>VLOOKUP($A30,'US Grid mix, emissions&amp;prices'!$AE$2:$AI$52,2,FALSE)</f>
        <v>3.0905000000000005</v>
      </c>
      <c r="H30" s="79">
        <f>VLOOKUP(A30,'US Grid mix, emissions&amp;prices'!H86:P136,9,FALSE)</f>
        <v>406.26130276043267</v>
      </c>
      <c r="I30">
        <f>VLOOKUP(A30,US_Results!$A$3:$Y$53,16,FALSE)</f>
        <v>42.406857116648368</v>
      </c>
    </row>
    <row r="31" spans="1:9" x14ac:dyDescent="0.25">
      <c r="A31" s="102" t="s">
        <v>216</v>
      </c>
      <c r="B31" s="7">
        <f>VLOOKUP($A31,US_Results!$A$3:$AJ$53,15,FALSE)</f>
        <v>106582.09874756387</v>
      </c>
      <c r="C31" s="7">
        <f>VLOOKUP($A31,US_Results!$A$3:$AJ$53,24,FALSE)</f>
        <v>88933.923183498642</v>
      </c>
      <c r="D31" s="7">
        <f>VLOOKUP($A31,US_Results!$A$3:$AJ$53,33,FALSE)</f>
        <v>95915.998317875274</v>
      </c>
      <c r="E31" s="7">
        <f>VLOOKUP($A31,'VKT US'!$B$63:$AB$113,27,FALSE)</f>
        <v>133550.7125529144</v>
      </c>
      <c r="F31" s="95">
        <f>VLOOKUP($A31,'US Grid mix, emissions&amp;prices'!$AE$2:$AI$52,3,FALSE)</f>
        <v>26.35501388199512</v>
      </c>
      <c r="G31" s="96">
        <f>VLOOKUP($A31,'US Grid mix, emissions&amp;prices'!$AE$2:$AI$52,2,FALSE)</f>
        <v>3.561634615384615</v>
      </c>
      <c r="H31" s="79">
        <f>VLOOKUP(A31,'US Grid mix, emissions&amp;prices'!H87:P137,9,FALSE)</f>
        <v>263.05660763640088</v>
      </c>
      <c r="I31">
        <f>VLOOKUP(A31,US_Results!$A$3:$Y$53,16,FALSE)</f>
        <v>17.895338085375986</v>
      </c>
    </row>
    <row r="32" spans="1:9" x14ac:dyDescent="0.25">
      <c r="A32" s="102" t="s">
        <v>209</v>
      </c>
      <c r="B32" s="7">
        <f>VLOOKUP($A32,US_Results!$A$3:$AJ$53,15,FALSE)</f>
        <v>92944.650453423397</v>
      </c>
      <c r="C32" s="7">
        <f>VLOOKUP($A32,US_Results!$A$3:$AJ$53,24,FALSE)</f>
        <v>83939.172275924953</v>
      </c>
      <c r="D32" s="7">
        <f>VLOOKUP($A32,US_Results!$A$3:$AJ$53,33,FALSE)</f>
        <v>93879.380013843154</v>
      </c>
      <c r="E32" s="7">
        <f>VLOOKUP($A32,'VKT US'!$B$63:$AB$113,27,FALSE)</f>
        <v>211130.186177141</v>
      </c>
      <c r="F32" s="95">
        <f>VLOOKUP($A32,'US Grid mix, emissions&amp;prices'!$AE$2:$AI$52,3,FALSE)</f>
        <v>17.345013881995122</v>
      </c>
      <c r="G32" s="96">
        <f>VLOOKUP($A32,'US Grid mix, emissions&amp;prices'!$AE$2:$AI$52,2,FALSE)</f>
        <v>3.2785000000000006</v>
      </c>
      <c r="H32" s="79">
        <f>VLOOKUP(A32,'US Grid mix, emissions&amp;prices'!H88:P138,9,FALSE)</f>
        <v>351.35974340601223</v>
      </c>
      <c r="I32">
        <f>VLOOKUP(A32,US_Results!$A$3:$Y$53,16,FALSE)</f>
        <v>31.516891364758436</v>
      </c>
    </row>
    <row r="33" spans="1:9" x14ac:dyDescent="0.25">
      <c r="A33" s="102" t="s">
        <v>210</v>
      </c>
      <c r="B33" s="7">
        <f>VLOOKUP($A33,US_Results!$A$3:$AJ$53,15,FALSE)</f>
        <v>108239.48606187769</v>
      </c>
      <c r="C33" s="7">
        <f>VLOOKUP($A33,US_Results!$A$3:$AJ$53,24,FALSE)</f>
        <v>96567.481314347533</v>
      </c>
      <c r="D33" s="7">
        <f>VLOOKUP($A33,US_Results!$A$3:$AJ$53,33,FALSE)</f>
        <v>107216.44027770974</v>
      </c>
      <c r="E33" s="7">
        <f>VLOOKUP($A33,'VKT US'!$B$63:$AB$113,27,FALSE)</f>
        <v>232121.04273852165</v>
      </c>
      <c r="F33" s="95">
        <f>VLOOKUP($A33,'US Grid mix, emissions&amp;prices'!$AE$2:$AI$52,3,FALSE)</f>
        <v>15.075013881995122</v>
      </c>
      <c r="G33" s="96">
        <f>VLOOKUP($A33,'US Grid mix, emissions&amp;prices'!$AE$2:$AI$52,2,FALSE)</f>
        <v>3.3631923076923078</v>
      </c>
      <c r="H33" s="79">
        <f>VLOOKUP(A33,'US Grid mix, emissions&amp;prices'!H89:P139,9,FALSE)</f>
        <v>645.09844064557956</v>
      </c>
      <c r="I33">
        <f>VLOOKUP(A33,US_Results!$A$3:$Y$53,16,FALSE)</f>
        <v>59.849072601494505</v>
      </c>
    </row>
    <row r="34" spans="1:9" x14ac:dyDescent="0.25">
      <c r="A34" s="102" t="s">
        <v>217</v>
      </c>
      <c r="B34" s="7">
        <f>VLOOKUP($A34,US_Results!$A$3:$AJ$53,15,FALSE)</f>
        <v>95039.692352849757</v>
      </c>
      <c r="C34" s="7">
        <f>VLOOKUP($A34,US_Results!$A$3:$AJ$53,24,FALSE)</f>
        <v>81528.789741779707</v>
      </c>
      <c r="D34" s="7">
        <f>VLOOKUP($A34,US_Results!$A$3:$AJ$53,33,FALSE)</f>
        <v>90648.635261462943</v>
      </c>
      <c r="E34" s="7">
        <f>VLOOKUP($A34,'VKT US'!$B$63:$AB$113,27,FALSE)</f>
        <v>187551.59573428857</v>
      </c>
      <c r="F34" s="95">
        <f>VLOOKUP($A34,'US Grid mix, emissions&amp;prices'!$AE$2:$AI$52,3,FALSE)</f>
        <v>19.565013881995121</v>
      </c>
      <c r="G34" s="96">
        <f>VLOOKUP($A34,'US Grid mix, emissions&amp;prices'!$AE$2:$AI$52,2,FALSE)</f>
        <v>3.3631923076923078</v>
      </c>
      <c r="H34" s="79">
        <f>VLOOKUP(A34,'US Grid mix, emissions&amp;prices'!H90:P140,9,FALSE)</f>
        <v>595.85082062305935</v>
      </c>
      <c r="I34">
        <f>VLOOKUP(A34,US_Results!$A$3:$Y$53,16,FALSE)</f>
        <v>42.09849866285272</v>
      </c>
    </row>
    <row r="35" spans="1:9" x14ac:dyDescent="0.25">
      <c r="A35" s="102" t="s">
        <v>218</v>
      </c>
      <c r="B35" s="7">
        <f>VLOOKUP($A35,US_Results!$A$3:$AJ$53,15,FALSE)</f>
        <v>112744.44194782566</v>
      </c>
      <c r="C35" s="7">
        <f>VLOOKUP($A35,US_Results!$A$3:$AJ$53,24,FALSE)</f>
        <v>101782.25609079692</v>
      </c>
      <c r="D35" s="7">
        <f>VLOOKUP($A35,US_Results!$A$3:$AJ$53,33,FALSE)</f>
        <v>112101.12673010735</v>
      </c>
      <c r="E35" s="7">
        <f>VLOOKUP($A35,'VKT US'!$B$63:$AB$113,27,FALSE)</f>
        <v>232488.84247802023</v>
      </c>
      <c r="F35" s="95">
        <f>VLOOKUP($A35,'US Grid mix, emissions&amp;prices'!$AE$2:$AI$52,3,FALSE)</f>
        <v>16.385013881995121</v>
      </c>
      <c r="G35" s="96">
        <f>VLOOKUP($A35,'US Grid mix, emissions&amp;prices'!$AE$2:$AI$52,2,FALSE)</f>
        <v>3.3631923076923078</v>
      </c>
      <c r="H35" s="79">
        <f>VLOOKUP(A35,'US Grid mix, emissions&amp;prices'!H91:P141,9,FALSE)</f>
        <v>341.75452963455831</v>
      </c>
      <c r="I35">
        <f>VLOOKUP(A35,US_Results!$A$3:$Y$53,16,FALSE)</f>
        <v>34.567030174308385</v>
      </c>
    </row>
    <row r="36" spans="1:9" x14ac:dyDescent="0.25">
      <c r="A36" s="102" t="s">
        <v>219</v>
      </c>
      <c r="B36" s="7">
        <f>VLOOKUP($A36,US_Results!$A$3:$AJ$53,15,FALSE)</f>
        <v>92854.786584759684</v>
      </c>
      <c r="C36" s="7">
        <f>VLOOKUP($A36,US_Results!$A$3:$AJ$53,24,FALSE)</f>
        <v>83437.29272584377</v>
      </c>
      <c r="D36" s="7">
        <f>VLOOKUP($A36,US_Results!$A$3:$AJ$53,33,FALSE)</f>
        <v>88139.453050996439</v>
      </c>
      <c r="E36" s="7">
        <f>VLOOKUP($A36,'VKT US'!$B$63:$AB$113,27,FALSE)</f>
        <v>160492.043471182</v>
      </c>
      <c r="F36" s="95">
        <f>VLOOKUP($A36,'US Grid mix, emissions&amp;prices'!$AE$2:$AI$52,3,FALSE)</f>
        <v>16.78501388199512</v>
      </c>
      <c r="G36" s="96">
        <f>VLOOKUP($A36,'US Grid mix, emissions&amp;prices'!$AE$2:$AI$52,2,FALSE)</f>
        <v>4.5133653846153869</v>
      </c>
      <c r="H36" s="79">
        <f>VLOOKUP(A36,'US Grid mix, emissions&amp;prices'!H92:P142,9,FALSE)</f>
        <v>213.6383799092367</v>
      </c>
      <c r="I36">
        <f>VLOOKUP(A36,US_Results!$A$3:$Y$53,16,FALSE)</f>
        <v>18.958958841388053</v>
      </c>
    </row>
    <row r="37" spans="1:9" x14ac:dyDescent="0.25">
      <c r="A37" s="102" t="s">
        <v>220</v>
      </c>
      <c r="B37" s="7">
        <f>VLOOKUP($A37,US_Results!$A$3:$AJ$53,15,FALSE)</f>
        <v>102751.56533828484</v>
      </c>
      <c r="C37" s="7">
        <f>VLOOKUP($A37,US_Results!$A$3:$AJ$53,24,FALSE)</f>
        <v>85629.998422898978</v>
      </c>
      <c r="D37" s="7">
        <f>VLOOKUP($A37,US_Results!$A$3:$AJ$53,33,FALSE)</f>
        <v>93101.514877877882</v>
      </c>
      <c r="E37" s="7">
        <f>VLOOKUP($A37,'VKT US'!$B$63:$AB$113,27,FALSE)</f>
        <v>150338.14352002606</v>
      </c>
      <c r="F37" s="95">
        <f>VLOOKUP($A37,'US Grid mix, emissions&amp;prices'!$AE$2:$AI$52,3,FALSE)</f>
        <v>22.205013881995121</v>
      </c>
      <c r="G37" s="96">
        <f>VLOOKUP($A37,'US Grid mix, emissions&amp;prices'!$AE$2:$AI$52,2,FALSE)</f>
        <v>3.561634615384615</v>
      </c>
      <c r="H37" s="79">
        <f>VLOOKUP(A37,'US Grid mix, emissions&amp;prices'!H93:P143,9,FALSE)</f>
        <v>373.77759579622619</v>
      </c>
      <c r="I37">
        <f>VLOOKUP(A37,US_Results!$A$3:$Y$53,16,FALSE)</f>
        <v>24.545192672323981</v>
      </c>
    </row>
    <row r="38" spans="1:9" x14ac:dyDescent="0.25">
      <c r="A38" s="102" t="s">
        <v>221</v>
      </c>
      <c r="B38" s="7">
        <f>VLOOKUP($A38,US_Results!$A$3:$AJ$53,15,FALSE)</f>
        <v>109075.61094481265</v>
      </c>
      <c r="C38" s="7">
        <f>VLOOKUP($A38,US_Results!$A$3:$AJ$53,24,FALSE)</f>
        <v>84995.522399765614</v>
      </c>
      <c r="D38" s="7">
        <f>VLOOKUP($A38,US_Results!$A$3:$AJ$53,33,FALSE)</f>
        <v>92194.585740223964</v>
      </c>
      <c r="E38" s="7">
        <f>VLOOKUP($A38,'VKT US'!$B$63:$AB$113,27,FALSE)</f>
        <v>130844.75732660374</v>
      </c>
      <c r="F38" s="95">
        <f>VLOOKUP($A38,'US Grid mix, emissions&amp;prices'!$AE$2:$AI$52,3,FALSE)</f>
        <v>32.085013881995124</v>
      </c>
      <c r="G38" s="96">
        <f>VLOOKUP($A38,'US Grid mix, emissions&amp;prices'!$AE$2:$AI$52,2,FALSE)</f>
        <v>3.4698076923076924</v>
      </c>
      <c r="H38" s="79">
        <f>VLOOKUP(A38,'US Grid mix, emissions&amp;prices'!H94:P144,9,FALSE)</f>
        <v>480.50636366738325</v>
      </c>
      <c r="I38">
        <f>VLOOKUP(A38,US_Results!$A$3:$Y$53,16,FALSE)</f>
        <v>25.10796855540346</v>
      </c>
    </row>
    <row r="39" spans="1:9" x14ac:dyDescent="0.25">
      <c r="A39" s="102" t="s">
        <v>222</v>
      </c>
      <c r="B39" s="7">
        <f>VLOOKUP($A39,US_Results!$A$3:$AJ$53,15,FALSE)</f>
        <v>109588.51123512026</v>
      </c>
      <c r="C39" s="7">
        <f>VLOOKUP($A39,US_Results!$A$3:$AJ$53,24,FALSE)</f>
        <v>95648.978320305818</v>
      </c>
      <c r="D39" s="7">
        <f>VLOOKUP($A39,US_Results!$A$3:$AJ$53,33,FALSE)</f>
        <v>105183.17356028568</v>
      </c>
      <c r="E39" s="7">
        <f>VLOOKUP($A39,'VKT US'!$B$63:$AB$113,27,FALSE)</f>
        <v>196260.56813741455</v>
      </c>
      <c r="F39" s="95">
        <f>VLOOKUP($A39,'US Grid mix, emissions&amp;prices'!$AE$2:$AI$52,3,FALSE)</f>
        <v>18.205013881995121</v>
      </c>
      <c r="G39" s="96">
        <f>VLOOKUP($A39,'US Grid mix, emissions&amp;prices'!$AE$2:$AI$52,2,FALSE)</f>
        <v>3.2785000000000006</v>
      </c>
      <c r="H39" s="79">
        <f>VLOOKUP(A39,'US Grid mix, emissions&amp;prices'!H95:P145,9,FALSE)</f>
        <v>298.22909202579586</v>
      </c>
      <c r="I39">
        <f>VLOOKUP(A39,US_Results!$A$3:$Y$53,16,FALSE)</f>
        <v>26.279526812390046</v>
      </c>
    </row>
    <row r="40" spans="1:9" x14ac:dyDescent="0.25">
      <c r="A40" s="102" t="s">
        <v>223</v>
      </c>
      <c r="B40" s="7">
        <f>VLOOKUP($A40,US_Results!$A$3:$AJ$53,15,FALSE)</f>
        <v>106823.37261994867</v>
      </c>
      <c r="C40" s="7">
        <f>VLOOKUP($A40,US_Results!$A$3:$AJ$53,24,FALSE)</f>
        <v>93417.555127984437</v>
      </c>
      <c r="D40" s="7">
        <f>VLOOKUP($A40,US_Results!$A$3:$AJ$53,33,FALSE)</f>
        <v>103083.99051708203</v>
      </c>
      <c r="E40" s="7">
        <f>VLOOKUP($A40,'VKT US'!$B$63:$AB$113,27,FALSE)</f>
        <v>204141.99112666884</v>
      </c>
      <c r="F40" s="95">
        <f>VLOOKUP($A40,'US Grid mix, emissions&amp;prices'!$AE$2:$AI$52,3,FALSE)</f>
        <v>16.35501388199512</v>
      </c>
      <c r="G40" s="96">
        <f>VLOOKUP($A40,'US Grid mix, emissions&amp;prices'!$AE$2:$AI$52,2,FALSE)</f>
        <v>3.3631923076923078</v>
      </c>
      <c r="H40" s="79">
        <f>VLOOKUP(A40,'US Grid mix, emissions&amp;prices'!H96:P146,9,FALSE)</f>
        <v>184.35527348415056</v>
      </c>
      <c r="I40">
        <f>VLOOKUP(A40,US_Results!$A$3:$Y$53,16,FALSE)</f>
        <v>22.871602959817281</v>
      </c>
    </row>
    <row r="41" spans="1:9" x14ac:dyDescent="0.25">
      <c r="A41" s="102" t="s">
        <v>224</v>
      </c>
      <c r="B41" s="7">
        <f>VLOOKUP($A41,US_Results!$A$3:$AJ$53,15,FALSE)</f>
        <v>102754.47880224203</v>
      </c>
      <c r="C41" s="7">
        <f>VLOOKUP($A41,US_Results!$A$3:$AJ$53,24,FALSE)</f>
        <v>88788.243203819555</v>
      </c>
      <c r="D41" s="7">
        <f>VLOOKUP($A41,US_Results!$A$3:$AJ$53,33,FALSE)</f>
        <v>98272.301477133573</v>
      </c>
      <c r="E41" s="7">
        <f>VLOOKUP($A41,'VKT US'!$B$63:$AB$113,27,FALSE)</f>
        <v>200805.52206121784</v>
      </c>
      <c r="F41" s="95">
        <f>VLOOKUP($A41,'US Grid mix, emissions&amp;prices'!$AE$2:$AI$52,3,FALSE)</f>
        <v>16.37501388199512</v>
      </c>
      <c r="G41" s="96">
        <f>VLOOKUP($A41,'US Grid mix, emissions&amp;prices'!$AE$2:$AI$52,2,FALSE)</f>
        <v>3.3631923076923078</v>
      </c>
      <c r="H41" s="79">
        <f>VLOOKUP(A41,'US Grid mix, emissions&amp;prices'!H97:P147,9,FALSE)</f>
        <v>322.67717610127272</v>
      </c>
      <c r="I41">
        <f>VLOOKUP(A41,US_Results!$A$3:$Y$53,16,FALSE)</f>
        <v>28.714900440302152</v>
      </c>
    </row>
    <row r="42" spans="1:9" x14ac:dyDescent="0.25">
      <c r="A42" s="102" t="s">
        <v>225</v>
      </c>
      <c r="B42" s="7">
        <f>VLOOKUP($A42,US_Results!$A$3:$AJ$53,15,FALSE)</f>
        <v>109836.86999937965</v>
      </c>
      <c r="C42" s="7">
        <f>VLOOKUP($A42,US_Results!$A$3:$AJ$53,24,FALSE)</f>
        <v>96862.053111968271</v>
      </c>
      <c r="D42" s="7">
        <f>VLOOKUP($A42,US_Results!$A$3:$AJ$53,33,FALSE)</f>
        <v>107707.39308040847</v>
      </c>
      <c r="E42" s="7">
        <f>VLOOKUP($A42,'VKT US'!$B$63:$AB$113,27,FALSE)</f>
        <v>212430.62097036801</v>
      </c>
      <c r="F42" s="95">
        <f>VLOOKUP($A42,'US Grid mix, emissions&amp;prices'!$AE$2:$AI$52,3,FALSE)</f>
        <v>18.42501388199512</v>
      </c>
      <c r="G42" s="96">
        <f>VLOOKUP($A42,'US Grid mix, emissions&amp;prices'!$AE$2:$AI$52,2,FALSE)</f>
        <v>3.0905000000000005</v>
      </c>
      <c r="H42" s="79">
        <f>VLOOKUP(A42,'US Grid mix, emissions&amp;prices'!H98:P148,9,FALSE)</f>
        <v>413.00030709386834</v>
      </c>
      <c r="I42">
        <f>VLOOKUP(A42,US_Results!$A$3:$Y$53,16,FALSE)</f>
        <v>34.919648521711167</v>
      </c>
    </row>
    <row r="43" spans="1:9" x14ac:dyDescent="0.25">
      <c r="A43" s="102" t="s">
        <v>226</v>
      </c>
      <c r="B43" s="7">
        <f>VLOOKUP($A43,US_Results!$A$3:$AJ$53,15,FALSE)</f>
        <v>104754.06645610256</v>
      </c>
      <c r="C43" s="7">
        <f>VLOOKUP($A43,US_Results!$A$3:$AJ$53,24,FALSE)</f>
        <v>93016.038055559839</v>
      </c>
      <c r="D43" s="7">
        <f>VLOOKUP($A43,US_Results!$A$3:$AJ$53,33,FALSE)</f>
        <v>101825.72944605316</v>
      </c>
      <c r="E43" s="7">
        <f>VLOOKUP($A43,'VKT US'!$B$63:$AB$113,27,FALSE)</f>
        <v>203813.5985021166</v>
      </c>
      <c r="F43" s="95">
        <f>VLOOKUP($A43,'US Grid mix, emissions&amp;prices'!$AE$2:$AI$52,3,FALSE)</f>
        <v>15.305013881995119</v>
      </c>
      <c r="G43" s="96">
        <f>VLOOKUP($A43,'US Grid mix, emissions&amp;prices'!$AE$2:$AI$52,2,FALSE)</f>
        <v>3.5969230769230762</v>
      </c>
      <c r="H43" s="79">
        <f>VLOOKUP(A43,'US Grid mix, emissions&amp;prices'!H99:P149,9,FALSE)</f>
        <v>724.74835363565023</v>
      </c>
      <c r="I43">
        <f>VLOOKUP(A43,US_Results!$A$3:$Y$53,16,FALSE)</f>
        <v>54.194105232111355</v>
      </c>
    </row>
    <row r="44" spans="1:9" x14ac:dyDescent="0.25">
      <c r="A44" s="102" t="s">
        <v>228</v>
      </c>
      <c r="B44" s="7">
        <f>VLOOKUP($A44,US_Results!$A$3:$AJ$53,15,FALSE)</f>
        <v>100439.35168669507</v>
      </c>
      <c r="C44" s="7">
        <f>VLOOKUP($A44,US_Results!$A$3:$AJ$53,24,FALSE)</f>
        <v>81187.243686064161</v>
      </c>
      <c r="D44" s="7">
        <f>VLOOKUP($A44,US_Results!$A$3:$AJ$53,33,FALSE)</f>
        <v>89570.141875757588</v>
      </c>
      <c r="E44" s="7">
        <f>VLOOKUP($A44,'VKT US'!$B$63:$AB$113,27,FALSE)</f>
        <v>170816.70758710516</v>
      </c>
      <c r="F44" s="95">
        <f>VLOOKUP($A44,'US Grid mix, emissions&amp;prices'!$AE$2:$AI$52,3,FALSE)</f>
        <v>24.915013881995119</v>
      </c>
      <c r="G44" s="96">
        <f>VLOOKUP($A44,'US Grid mix, emissions&amp;prices'!$AE$2:$AI$52,2,FALSE)</f>
        <v>3.4698076923076924</v>
      </c>
      <c r="H44" s="79">
        <f>VLOOKUP(A44,'US Grid mix, emissions&amp;prices'!H100:P150,9,FALSE)</f>
        <v>21.568226021087114</v>
      </c>
      <c r="I44">
        <f>VLOOKUP(A44,US_Results!$A$3:$Y$53,16,FALSE)</f>
        <v>10.813366064288488</v>
      </c>
    </row>
    <row r="45" spans="1:9" x14ac:dyDescent="0.25">
      <c r="A45" s="102" t="s">
        <v>227</v>
      </c>
      <c r="B45" s="7">
        <f>VLOOKUP($A45,US_Results!$A$3:$AJ$53,15,FALSE)</f>
        <v>105798.45556530869</v>
      </c>
      <c r="C45" s="7">
        <f>VLOOKUP($A45,US_Results!$A$3:$AJ$53,24,FALSE)</f>
        <v>86443.14328042345</v>
      </c>
      <c r="D45" s="7">
        <f>VLOOKUP($A45,US_Results!$A$3:$AJ$53,33,FALSE)</f>
        <v>95403.632845369866</v>
      </c>
      <c r="E45" s="7">
        <f>VLOOKUP($A45,'VKT US'!$B$63:$AB$113,27,FALSE)</f>
        <v>190585.94358515143</v>
      </c>
      <c r="F45" s="95">
        <f>VLOOKUP($A45,'US Grid mix, emissions&amp;prices'!$AE$2:$AI$52,3,FALSE)</f>
        <v>18.44501388199512</v>
      </c>
      <c r="G45" s="96">
        <f>VLOOKUP($A45,'US Grid mix, emissions&amp;prices'!$AE$2:$AI$52,2,FALSE)</f>
        <v>3.3991923076923074</v>
      </c>
      <c r="H45" s="79">
        <f>VLOOKUP(A45,'US Grid mix, emissions&amp;prices'!H101:P151,9,FALSE)</f>
        <v>320.18630361347118</v>
      </c>
      <c r="I45">
        <f>VLOOKUP(A45,US_Results!$A$3:$Y$53,16,FALSE)</f>
        <v>27.291810198026717</v>
      </c>
    </row>
    <row r="46" spans="1:9" x14ac:dyDescent="0.25">
      <c r="A46" s="102" t="s">
        <v>229</v>
      </c>
      <c r="B46" s="7">
        <f>VLOOKUP($A46,US_Results!$A$3:$AJ$53,15,FALSE)</f>
        <v>97512.692557680886</v>
      </c>
      <c r="C46" s="7">
        <f>VLOOKUP($A46,US_Results!$A$3:$AJ$53,24,FALSE)</f>
        <v>85412.122153095173</v>
      </c>
      <c r="D46" s="7">
        <f>VLOOKUP($A46,US_Results!$A$3:$AJ$53,33,FALSE)</f>
        <v>90209.35034836024</v>
      </c>
      <c r="E46" s="7">
        <f>VLOOKUP($A46,'VKT US'!$B$63:$AB$113,27,FALSE)</f>
        <v>143822.83384890918</v>
      </c>
      <c r="F46" s="95">
        <f>VLOOKUP($A46,'US Grid mix, emissions&amp;prices'!$AE$2:$AI$52,3,FALSE)</f>
        <v>15.08501388199512</v>
      </c>
      <c r="G46" s="96">
        <f>VLOOKUP($A46,'US Grid mix, emissions&amp;prices'!$AE$2:$AI$52,2,FALSE)</f>
        <v>4.5133653846153869</v>
      </c>
      <c r="H46" s="79">
        <f>VLOOKUP(A46,'US Grid mix, emissions&amp;prices'!H102:P152,9,FALSE)</f>
        <v>146.53495751868155</v>
      </c>
      <c r="I46">
        <f>VLOOKUP(A46,US_Results!$A$3:$Y$53,16,FALSE)</f>
        <v>14.24567275305758</v>
      </c>
    </row>
    <row r="47" spans="1:9" x14ac:dyDescent="0.25">
      <c r="A47" s="102" t="s">
        <v>159</v>
      </c>
      <c r="B47" s="7">
        <f>VLOOKUP($A47,US_Results!$A$3:$AJ$53,15,FALSE)</f>
        <v>112468.85106172919</v>
      </c>
      <c r="C47" s="7">
        <f>VLOOKUP($A47,US_Results!$A$3:$AJ$53,24,FALSE)</f>
        <v>97394.935104628865</v>
      </c>
      <c r="D47" s="7">
        <f>VLOOKUP($A47,US_Results!$A$3:$AJ$53,33,FALSE)</f>
        <v>107863.11472520935</v>
      </c>
      <c r="E47" s="7">
        <f>VLOOKUP($A47,'VKT US'!$B$63:$AB$113,27,FALSE)</f>
        <v>221678.15727775972</v>
      </c>
      <c r="F47" s="95">
        <f>VLOOKUP($A47,'US Grid mix, emissions&amp;prices'!$AE$2:$AI$52,3,FALSE)</f>
        <v>18.17501388199512</v>
      </c>
      <c r="G47" s="96">
        <f>VLOOKUP($A47,'US Grid mix, emissions&amp;prices'!$AE$2:$AI$52,2,FALSE)</f>
        <v>3.2785000000000006</v>
      </c>
      <c r="H47" s="79">
        <f>VLOOKUP(A47,'US Grid mix, emissions&amp;prices'!H103:P153,9,FALSE)</f>
        <v>1012.7307469205309</v>
      </c>
      <c r="I47">
        <f>VLOOKUP(A47,US_Results!$A$3:$Y$53,16,FALSE)</f>
        <v>74.76677664111584</v>
      </c>
    </row>
    <row r="48" spans="1:9" x14ac:dyDescent="0.25">
      <c r="A48" s="102" t="s">
        <v>158</v>
      </c>
      <c r="B48" s="7">
        <f>VLOOKUP($A48,US_Results!$A$3:$AJ$53,15,FALSE)</f>
        <v>101116.18471804161</v>
      </c>
      <c r="C48" s="7">
        <f>VLOOKUP($A48,US_Results!$A$3:$AJ$53,24,FALSE)</f>
        <v>86260.748847103067</v>
      </c>
      <c r="D48" s="7">
        <f>VLOOKUP($A48,US_Results!$A$3:$AJ$53,33,FALSE)</f>
        <v>95948.13688374123</v>
      </c>
      <c r="E48" s="7">
        <f>VLOOKUP($A48,'VKT US'!$B$63:$AB$113,27,FALSE)</f>
        <v>202841.5563334419</v>
      </c>
      <c r="F48" s="95">
        <f>VLOOKUP($A48,'US Grid mix, emissions&amp;prices'!$AE$2:$AI$52,3,FALSE)</f>
        <v>20.87501388199512</v>
      </c>
      <c r="G48" s="96">
        <f>VLOOKUP($A48,'US Grid mix, emissions&amp;prices'!$AE$2:$AI$52,2,FALSE)</f>
        <v>3.3631923076923078</v>
      </c>
      <c r="H48" s="79">
        <f>VLOOKUP(A48,'US Grid mix, emissions&amp;prices'!H104:P154,9,FALSE)</f>
        <v>600.34462756338075</v>
      </c>
      <c r="I48">
        <f>VLOOKUP(A48,US_Results!$A$3:$Y$53,16,FALSE)</f>
        <v>48.452607939322121</v>
      </c>
    </row>
    <row r="49" spans="1:23" x14ac:dyDescent="0.25">
      <c r="A49" s="103" t="s">
        <v>160</v>
      </c>
      <c r="B49" s="7">
        <f>VLOOKUP($A49,US_Results!$A$3:$AJ$53,15,FALSE)</f>
        <v>120757.41089122927</v>
      </c>
      <c r="C49" s="7">
        <f>VLOOKUP($A49,US_Results!$A$3:$AJ$53,24,FALSE)</f>
        <v>113809.06287856394</v>
      </c>
      <c r="D49" s="7">
        <f>VLOOKUP($A49,US_Results!$A$3:$AJ$53,33,FALSE)</f>
        <v>125580.68025226519</v>
      </c>
      <c r="E49" s="7">
        <f>VLOOKUP($A49,'VKT US'!$B$63:$AB$113,27,FALSE)</f>
        <v>316163.28321393684</v>
      </c>
      <c r="F49" s="95">
        <f>VLOOKUP($A49,'US Grid mix, emissions&amp;prices'!$AE$2:$AI$52,3,FALSE)</f>
        <v>15.555013881995119</v>
      </c>
      <c r="G49" s="126">
        <f>VLOOKUP($A49,'US Grid mix, emissions&amp;prices'!$AE$2:$AI$52,2,FALSE)</f>
        <v>3.5969230769230762</v>
      </c>
      <c r="H49" s="79">
        <f>VLOOKUP(A49,'US Grid mix, emissions&amp;prices'!H105:P155,9,FALSE)</f>
        <v>837.56099225441028</v>
      </c>
      <c r="I49">
        <f>VLOOKUP(A49,US_Results!$A$3:$Y$53,16,FALSE)</f>
        <v>99.177438824284408</v>
      </c>
    </row>
    <row r="52" spans="1:23" x14ac:dyDescent="0.25">
      <c r="A52" s="213" t="s">
        <v>440</v>
      </c>
      <c r="B52" s="213"/>
      <c r="C52" s="213"/>
      <c r="D52" s="213"/>
      <c r="E52" s="213"/>
      <c r="F52" s="213"/>
      <c r="G52" s="213"/>
      <c r="H52" s="213"/>
      <c r="I52" s="213"/>
      <c r="J52" s="213"/>
      <c r="K52" s="213"/>
      <c r="L52" s="213"/>
      <c r="M52" s="213"/>
      <c r="N52" s="213"/>
      <c r="O52" s="213"/>
      <c r="P52" s="213"/>
      <c r="Q52" s="213"/>
      <c r="R52" s="213"/>
      <c r="S52" s="213"/>
      <c r="T52" s="213"/>
      <c r="U52" s="213"/>
      <c r="V52" s="213"/>
      <c r="W52" s="213"/>
    </row>
    <row r="55" spans="1:23" x14ac:dyDescent="0.25">
      <c r="B55" s="237" t="s">
        <v>438</v>
      </c>
      <c r="C55" s="238"/>
      <c r="D55" s="239"/>
    </row>
    <row r="56" spans="1:23" x14ac:dyDescent="0.25">
      <c r="B56" s="35" t="s">
        <v>437</v>
      </c>
      <c r="C56" s="35" t="s">
        <v>255</v>
      </c>
      <c r="D56" s="35" t="s">
        <v>254</v>
      </c>
    </row>
    <row r="57" spans="1:23" x14ac:dyDescent="0.25">
      <c r="B57" s="35">
        <v>5</v>
      </c>
      <c r="C57" s="89">
        <v>653.2538456073836</v>
      </c>
      <c r="D57" s="89">
        <v>-233.89351993704207</v>
      </c>
    </row>
    <row r="58" spans="1:23" x14ac:dyDescent="0.25">
      <c r="B58" s="35">
        <v>6</v>
      </c>
      <c r="C58" s="89">
        <v>595.34673501388863</v>
      </c>
      <c r="D58" s="89">
        <v>-242.42327657847159</v>
      </c>
    </row>
    <row r="59" spans="1:23" x14ac:dyDescent="0.25">
      <c r="B59" s="35">
        <v>7</v>
      </c>
      <c r="C59" s="89">
        <v>533.57466834898594</v>
      </c>
      <c r="D59" s="89">
        <v>-249.52248483903728</v>
      </c>
    </row>
    <row r="60" spans="1:23" x14ac:dyDescent="0.25">
      <c r="B60" s="35">
        <v>8</v>
      </c>
      <c r="C60" s="89">
        <v>456.72537666570145</v>
      </c>
      <c r="D60" s="89">
        <v>-255.48854450608678</v>
      </c>
    </row>
    <row r="61" spans="1:23" x14ac:dyDescent="0.25">
      <c r="B61" s="35">
        <v>9</v>
      </c>
      <c r="C61" s="89">
        <v>392.38423492834767</v>
      </c>
      <c r="D61" s="89">
        <v>-260.52074691695503</v>
      </c>
    </row>
    <row r="62" spans="1:23" x14ac:dyDescent="0.25">
      <c r="B62" s="35">
        <v>10</v>
      </c>
      <c r="C62" s="89">
        <v>337.93310072455705</v>
      </c>
      <c r="D62" s="89">
        <v>-264.7649632467531</v>
      </c>
    </row>
    <row r="63" spans="1:23" x14ac:dyDescent="0.25">
      <c r="B63" s="35">
        <v>11</v>
      </c>
      <c r="C63" s="191">
        <v>291.70115576107531</v>
      </c>
      <c r="D63" s="191">
        <v>-268.33373238260828</v>
      </c>
    </row>
    <row r="64" spans="1:23" x14ac:dyDescent="0.25">
      <c r="B64" s="35">
        <v>12</v>
      </c>
      <c r="C64" s="89">
        <v>252.19316236469007</v>
      </c>
      <c r="D64" s="89">
        <v>-271.31891064816585</v>
      </c>
    </row>
    <row r="65" spans="2:4" x14ac:dyDescent="0.25">
      <c r="B65" s="35">
        <v>13</v>
      </c>
      <c r="C65" s="89">
        <v>217.51948328414574</v>
      </c>
      <c r="D65" s="89">
        <v>-273.79614209051874</v>
      </c>
    </row>
    <row r="66" spans="2:4" x14ac:dyDescent="0.25">
      <c r="B66" s="35">
        <v>14</v>
      </c>
      <c r="C66" s="89">
        <v>187.81232229338246</v>
      </c>
      <c r="D66" s="89">
        <v>-275.83002729457758</v>
      </c>
    </row>
    <row r="67" spans="2:4" x14ac:dyDescent="0.25">
      <c r="B67" s="35">
        <v>15</v>
      </c>
      <c r="C67" s="89">
        <v>162.27657726993422</v>
      </c>
      <c r="D67" s="89">
        <v>-277.47540344539732</v>
      </c>
    </row>
    <row r="81" spans="2:3" x14ac:dyDescent="0.25">
      <c r="B81" s="237" t="s">
        <v>595</v>
      </c>
      <c r="C81" s="238"/>
    </row>
    <row r="82" spans="2:3" x14ac:dyDescent="0.25">
      <c r="B82" s="35" t="s">
        <v>594</v>
      </c>
      <c r="C82" s="35" t="s">
        <v>255</v>
      </c>
    </row>
    <row r="83" spans="2:3" x14ac:dyDescent="0.25">
      <c r="B83" s="35">
        <v>120</v>
      </c>
      <c r="C83" s="35">
        <v>188</v>
      </c>
    </row>
    <row r="84" spans="2:3" x14ac:dyDescent="0.25">
      <c r="B84" s="35">
        <v>130</v>
      </c>
      <c r="C84" s="35">
        <v>162</v>
      </c>
    </row>
    <row r="85" spans="2:3" x14ac:dyDescent="0.25">
      <c r="B85" s="35">
        <v>140</v>
      </c>
      <c r="C85" s="35">
        <v>144</v>
      </c>
    </row>
    <row r="86" spans="2:3" x14ac:dyDescent="0.25">
      <c r="B86" s="35">
        <v>150</v>
      </c>
      <c r="C86" s="35">
        <v>129</v>
      </c>
    </row>
    <row r="87" spans="2:3" x14ac:dyDescent="0.25">
      <c r="B87" s="35">
        <v>160</v>
      </c>
      <c r="C87" s="35">
        <v>117</v>
      </c>
    </row>
  </sheetData>
  <mergeCells count="3">
    <mergeCell ref="A52:W52"/>
    <mergeCell ref="B81:C81"/>
    <mergeCell ref="B55:D5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65D03-F03A-4A82-BBDC-ED9C6B65BAFE}">
  <sheetPr>
    <tabColor theme="8"/>
  </sheetPr>
  <dimension ref="A2:CO221"/>
  <sheetViews>
    <sheetView topLeftCell="A145" workbookViewId="0">
      <selection activeCell="B171" sqref="B171"/>
    </sheetView>
  </sheetViews>
  <sheetFormatPr defaultRowHeight="15" x14ac:dyDescent="0.25"/>
  <cols>
    <col min="29" max="29" width="12.7109375" customWidth="1"/>
    <col min="30" max="30" width="14" customWidth="1"/>
  </cols>
  <sheetData>
    <row r="2" spans="1:92" x14ac:dyDescent="0.25">
      <c r="A2" s="104" t="s">
        <v>462</v>
      </c>
      <c r="B2" s="104"/>
      <c r="C2" s="104"/>
      <c r="D2" s="104"/>
      <c r="E2" s="248" t="s">
        <v>539</v>
      </c>
      <c r="F2" s="249"/>
      <c r="G2" s="249"/>
      <c r="H2" s="249"/>
      <c r="I2" s="249"/>
      <c r="J2" s="249"/>
      <c r="K2" s="249"/>
      <c r="L2" s="250"/>
      <c r="AF2" s="104" t="s">
        <v>462</v>
      </c>
      <c r="AG2" s="104"/>
      <c r="AH2" s="104"/>
      <c r="AI2" s="104"/>
      <c r="AJ2" s="248" t="s">
        <v>541</v>
      </c>
      <c r="AK2" s="249"/>
      <c r="AL2" s="249"/>
      <c r="AM2" s="249"/>
      <c r="AN2" s="249"/>
      <c r="AO2" s="249"/>
      <c r="AP2" s="249"/>
      <c r="AQ2" s="250"/>
      <c r="BL2" s="104" t="s">
        <v>462</v>
      </c>
      <c r="BM2" s="104"/>
      <c r="BN2" s="104"/>
      <c r="BO2" s="104"/>
      <c r="BP2" s="248" t="s">
        <v>543</v>
      </c>
      <c r="BQ2" s="249"/>
      <c r="BR2" s="249"/>
      <c r="BS2" s="249"/>
      <c r="BT2" s="249"/>
      <c r="BU2" s="249"/>
      <c r="BV2" s="249"/>
      <c r="BW2" s="250"/>
    </row>
    <row r="3" spans="1:92" x14ac:dyDescent="0.25">
      <c r="A3" s="122" t="s">
        <v>3</v>
      </c>
      <c r="B3" s="148">
        <v>2023</v>
      </c>
      <c r="C3" s="148">
        <v>2024</v>
      </c>
      <c r="D3" s="148">
        <v>2025</v>
      </c>
      <c r="E3" s="148">
        <v>2026</v>
      </c>
      <c r="F3" s="148">
        <v>2027</v>
      </c>
      <c r="G3" s="148">
        <v>2028</v>
      </c>
      <c r="H3" s="148">
        <v>2029</v>
      </c>
      <c r="I3" s="148">
        <v>2030</v>
      </c>
      <c r="J3" s="148">
        <v>2031</v>
      </c>
      <c r="K3" s="148">
        <v>2032</v>
      </c>
      <c r="L3" s="148">
        <v>2033</v>
      </c>
      <c r="M3" s="148">
        <v>2034</v>
      </c>
      <c r="N3" s="148">
        <v>2035</v>
      </c>
      <c r="O3" s="148">
        <v>2036</v>
      </c>
      <c r="P3" s="148">
        <v>2037</v>
      </c>
      <c r="Q3" s="148">
        <v>2038</v>
      </c>
      <c r="R3" s="148">
        <v>2039</v>
      </c>
      <c r="S3" s="148">
        <v>2040</v>
      </c>
      <c r="T3" s="148">
        <v>2041</v>
      </c>
      <c r="U3" s="148">
        <v>2042</v>
      </c>
      <c r="V3" s="148">
        <v>2043</v>
      </c>
      <c r="W3" s="148">
        <v>2044</v>
      </c>
      <c r="X3" s="148">
        <v>2045</v>
      </c>
      <c r="Y3" s="148">
        <v>2046</v>
      </c>
      <c r="Z3" s="148">
        <v>2047</v>
      </c>
      <c r="AA3" s="148">
        <v>2048</v>
      </c>
      <c r="AB3" s="148">
        <v>2049</v>
      </c>
      <c r="AC3" s="153">
        <v>2050</v>
      </c>
      <c r="AF3" s="122" t="s">
        <v>3</v>
      </c>
      <c r="AG3" s="148">
        <v>2023</v>
      </c>
      <c r="AH3" s="148">
        <v>2024</v>
      </c>
      <c r="AI3" s="148">
        <v>2025</v>
      </c>
      <c r="AJ3" s="148">
        <v>2026</v>
      </c>
      <c r="AK3" s="148">
        <v>2027</v>
      </c>
      <c r="AL3" s="148">
        <v>2028</v>
      </c>
      <c r="AM3" s="148">
        <v>2029</v>
      </c>
      <c r="AN3" s="148">
        <v>2030</v>
      </c>
      <c r="AO3" s="148">
        <v>2031</v>
      </c>
      <c r="AP3" s="148">
        <v>2032</v>
      </c>
      <c r="AQ3" s="148">
        <v>2033</v>
      </c>
      <c r="AR3" s="148">
        <v>2034</v>
      </c>
      <c r="AS3" s="148">
        <v>2035</v>
      </c>
      <c r="AT3" s="148">
        <v>2036</v>
      </c>
      <c r="AU3" s="148">
        <v>2037</v>
      </c>
      <c r="AV3" s="148">
        <v>2038</v>
      </c>
      <c r="AW3" s="148">
        <v>2039</v>
      </c>
      <c r="AX3" s="148">
        <v>2040</v>
      </c>
      <c r="AY3" s="148">
        <v>2041</v>
      </c>
      <c r="AZ3" s="148">
        <v>2042</v>
      </c>
      <c r="BA3" s="148">
        <v>2043</v>
      </c>
      <c r="BB3" s="148">
        <v>2044</v>
      </c>
      <c r="BC3" s="148">
        <v>2045</v>
      </c>
      <c r="BD3" s="148">
        <v>2046</v>
      </c>
      <c r="BE3" s="148">
        <v>2047</v>
      </c>
      <c r="BF3" s="148">
        <v>2048</v>
      </c>
      <c r="BG3" s="148">
        <v>2049</v>
      </c>
      <c r="BH3" s="153">
        <v>2050</v>
      </c>
      <c r="BL3" s="122" t="s">
        <v>3</v>
      </c>
      <c r="BM3" s="148">
        <v>2023</v>
      </c>
      <c r="BN3" s="148">
        <v>2024</v>
      </c>
      <c r="BO3" s="148">
        <v>2025</v>
      </c>
      <c r="BP3" s="148">
        <v>2026</v>
      </c>
      <c r="BQ3" s="148">
        <v>2027</v>
      </c>
      <c r="BR3" s="148">
        <v>2028</v>
      </c>
      <c r="BS3" s="148">
        <v>2029</v>
      </c>
      <c r="BT3" s="148">
        <v>2030</v>
      </c>
      <c r="BU3" s="148">
        <v>2031</v>
      </c>
      <c r="BV3" s="148">
        <v>2032</v>
      </c>
      <c r="BW3" s="148">
        <v>2033</v>
      </c>
      <c r="BX3" s="148">
        <v>2034</v>
      </c>
      <c r="BY3" s="148">
        <v>2035</v>
      </c>
      <c r="BZ3" s="148">
        <v>2036</v>
      </c>
      <c r="CA3" s="148">
        <v>2037</v>
      </c>
      <c r="CB3" s="148">
        <v>2038</v>
      </c>
      <c r="CC3" s="148">
        <v>2039</v>
      </c>
      <c r="CD3" s="148">
        <v>2040</v>
      </c>
      <c r="CE3" s="148">
        <v>2041</v>
      </c>
      <c r="CF3" s="148">
        <v>2042</v>
      </c>
      <c r="CG3" s="148">
        <v>2043</v>
      </c>
      <c r="CH3" s="148">
        <v>2044</v>
      </c>
      <c r="CI3" s="148">
        <v>2045</v>
      </c>
      <c r="CJ3" s="148">
        <v>2046</v>
      </c>
      <c r="CK3" s="148">
        <v>2047</v>
      </c>
      <c r="CL3" s="148">
        <v>2048</v>
      </c>
      <c r="CM3" s="148">
        <v>2049</v>
      </c>
      <c r="CN3" s="153">
        <v>2050</v>
      </c>
    </row>
    <row r="4" spans="1:92" x14ac:dyDescent="0.25">
      <c r="A4" s="123" t="s">
        <v>187</v>
      </c>
      <c r="B4" s="103">
        <f>VLOOKUP($A4,'US Grid mix, emissions&amp;prices'!$H$113:$I$163,2,FALSE)*B$55</f>
        <v>153930.76070622145</v>
      </c>
      <c r="C4" s="103">
        <f>VLOOKUP($A4,'US Grid mix, emissions&amp;prices'!$H$113:$I$163,2,FALSE)*C$55</f>
        <v>153930.76070622145</v>
      </c>
      <c r="D4" s="103">
        <f>VLOOKUP($A4,'US Grid mix, emissions&amp;prices'!$H$113:$I$163,2,FALSE)*D$55</f>
        <v>153930.76070622145</v>
      </c>
      <c r="E4" s="103">
        <f>VLOOKUP($A4,'US Grid mix, emissions&amp;prices'!$H$113:$I$163,2,FALSE)*E$55</f>
        <v>153930.76070622145</v>
      </c>
      <c r="F4" s="103">
        <f>VLOOKUP($A4,'US Grid mix, emissions&amp;prices'!$H$113:$I$163,2,FALSE)*F$55</f>
        <v>153930.76070622145</v>
      </c>
      <c r="G4" s="103">
        <f>VLOOKUP($A4,'US Grid mix, emissions&amp;prices'!$H$113:$I$163,2,FALSE)*G$55</f>
        <v>153930.76070622145</v>
      </c>
      <c r="H4" s="103">
        <f>VLOOKUP($A4,'US Grid mix, emissions&amp;prices'!$H$113:$I$163,2,FALSE)*H$55</f>
        <v>153930.76070622145</v>
      </c>
      <c r="I4" s="103">
        <f>VLOOKUP($A4,'US Grid mix, emissions&amp;prices'!$H$113:$I$163,2,FALSE)*I$55</f>
        <v>153930.76070622145</v>
      </c>
      <c r="J4" s="103">
        <f>VLOOKUP($A4,'US Grid mix, emissions&amp;prices'!$H$113:$I$163,2,FALSE)*J$55</f>
        <v>153930.76070622145</v>
      </c>
      <c r="K4" s="103">
        <f>VLOOKUP($A4,'US Grid mix, emissions&amp;prices'!$H$113:$I$163,2,FALSE)*K$55</f>
        <v>153930.76070622145</v>
      </c>
      <c r="L4" s="103">
        <f>VLOOKUP($A4,'US Grid mix, emissions&amp;prices'!$H$113:$I$163,2,FALSE)*L$55</f>
        <v>153930.76070622145</v>
      </c>
      <c r="M4" s="103">
        <f>VLOOKUP($A4,'US Grid mix, emissions&amp;prices'!$H$113:$I$163,2,FALSE)*M$55</f>
        <v>153930.76070622145</v>
      </c>
      <c r="N4" s="103">
        <f>VLOOKUP($A4,'US Grid mix, emissions&amp;prices'!$H$113:$I$163,2,FALSE)*N$55</f>
        <v>153930.76070622145</v>
      </c>
      <c r="O4" s="103">
        <f>VLOOKUP($A4,'US Grid mix, emissions&amp;prices'!$H$113:$I$163,2,FALSE)*O$55</f>
        <v>153930.76070622145</v>
      </c>
      <c r="P4" s="103">
        <f>VLOOKUP($A4,'US Grid mix, emissions&amp;prices'!$H$113:$I$163,2,FALSE)*P$55</f>
        <v>153930.76070622145</v>
      </c>
      <c r="Q4" s="103">
        <f>VLOOKUP($A4,'US Grid mix, emissions&amp;prices'!$H$113:$I$163,2,FALSE)*Q$55</f>
        <v>153930.76070622145</v>
      </c>
      <c r="R4" s="103">
        <f>VLOOKUP($A4,'US Grid mix, emissions&amp;prices'!$H$113:$I$163,2,FALSE)*R$55</f>
        <v>153930.76070622145</v>
      </c>
      <c r="S4" s="103">
        <f>VLOOKUP($A4,'US Grid mix, emissions&amp;prices'!$H$113:$I$163,2,FALSE)*S$55</f>
        <v>153930.76070622145</v>
      </c>
      <c r="T4" s="103">
        <f>VLOOKUP($A4,'US Grid mix, emissions&amp;prices'!$H$113:$I$163,2,FALSE)*T$55</f>
        <v>153930.76070622145</v>
      </c>
      <c r="U4" s="103">
        <f>VLOOKUP($A4,'US Grid mix, emissions&amp;prices'!$H$113:$I$163,2,FALSE)*U$55</f>
        <v>153930.76070622145</v>
      </c>
      <c r="V4" s="103">
        <f>VLOOKUP($A4,'US Grid mix, emissions&amp;prices'!$H$113:$I$163,2,FALSE)*V$55</f>
        <v>153930.76070622145</v>
      </c>
      <c r="W4" s="103">
        <f>VLOOKUP($A4,'US Grid mix, emissions&amp;prices'!$H$113:$I$163,2,FALSE)*W$55</f>
        <v>153930.76070622145</v>
      </c>
      <c r="X4" s="103">
        <f>VLOOKUP($A4,'US Grid mix, emissions&amp;prices'!$H$113:$I$163,2,FALSE)*X$55</f>
        <v>153930.76070622145</v>
      </c>
      <c r="Y4" s="103">
        <f>VLOOKUP($A4,'US Grid mix, emissions&amp;prices'!$H$113:$I$163,2,FALSE)*Y$55</f>
        <v>153930.76070622145</v>
      </c>
      <c r="Z4" s="103">
        <f>VLOOKUP($A4,'US Grid mix, emissions&amp;prices'!$H$113:$I$163,2,FALSE)*Z$55</f>
        <v>153930.76070622145</v>
      </c>
      <c r="AA4" s="103">
        <f>VLOOKUP($A4,'US Grid mix, emissions&amp;prices'!$H$113:$I$163,2,FALSE)*AA$55</f>
        <v>153930.76070622145</v>
      </c>
      <c r="AB4" s="103">
        <f>VLOOKUP($A4,'US Grid mix, emissions&amp;prices'!$H$113:$I$163,2,FALSE)*AB$55</f>
        <v>153930.76070622145</v>
      </c>
      <c r="AC4" s="103">
        <f>VLOOKUP($A4,'US Grid mix, emissions&amp;prices'!$H$113:$I$163,2,FALSE)*AC$55</f>
        <v>153930.76070622145</v>
      </c>
      <c r="AF4" s="123" t="s">
        <v>187</v>
      </c>
      <c r="AG4" s="103">
        <f>VLOOKUP($AF4,'US Grid mix, emissions&amp;prices'!$H$113:$I$163,2,FALSE)*AG$55</f>
        <v>180423.44843211753</v>
      </c>
      <c r="AH4" s="103">
        <f>VLOOKUP($AF4,'US Grid mix, emissions&amp;prices'!$H$113:$I$163,2,FALSE)*AH$55</f>
        <v>180423.44843211753</v>
      </c>
      <c r="AI4" s="103">
        <f>VLOOKUP($AF4,'US Grid mix, emissions&amp;prices'!$H$113:$I$163,2,FALSE)*AI$55</f>
        <v>180423.44843211753</v>
      </c>
      <c r="AJ4" s="103">
        <f>VLOOKUP($AF4,'US Grid mix, emissions&amp;prices'!$H$113:$I$163,2,FALSE)*AJ$55</f>
        <v>180423.44843211753</v>
      </c>
      <c r="AK4" s="103">
        <f>VLOOKUP($AF4,'US Grid mix, emissions&amp;prices'!$H$113:$I$163,2,FALSE)*AK$55</f>
        <v>180423.44843211753</v>
      </c>
      <c r="AL4" s="103">
        <f>VLOOKUP($AF4,'US Grid mix, emissions&amp;prices'!$H$113:$I$163,2,FALSE)*AL$55</f>
        <v>180423.44843211753</v>
      </c>
      <c r="AM4" s="103">
        <f>VLOOKUP($AF4,'US Grid mix, emissions&amp;prices'!$H$113:$I$163,2,FALSE)*AM$55</f>
        <v>180423.44843211753</v>
      </c>
      <c r="AN4" s="103">
        <f>VLOOKUP($AF4,'US Grid mix, emissions&amp;prices'!$H$113:$I$163,2,FALSE)*AN$55</f>
        <v>180423.44843211753</v>
      </c>
      <c r="AO4" s="103">
        <f>VLOOKUP($AF4,'US Grid mix, emissions&amp;prices'!$H$113:$I$163,2,FALSE)*AO$55</f>
        <v>180423.44843211753</v>
      </c>
      <c r="AP4" s="103">
        <f>VLOOKUP($AF4,'US Grid mix, emissions&amp;prices'!$H$113:$I$163,2,FALSE)*AP$55</f>
        <v>180423.44843211753</v>
      </c>
      <c r="AQ4" s="103">
        <f>VLOOKUP($AF4,'US Grid mix, emissions&amp;prices'!$H$113:$I$163,2,FALSE)*AQ$55</f>
        <v>180423.44843211753</v>
      </c>
      <c r="AR4" s="103">
        <f>VLOOKUP($AF4,'US Grid mix, emissions&amp;prices'!$H$113:$I$163,2,FALSE)*AR$55</f>
        <v>180423.44843211753</v>
      </c>
      <c r="AS4" s="103">
        <f>VLOOKUP($AF4,'US Grid mix, emissions&amp;prices'!$H$113:$I$163,2,FALSE)*AS$55</f>
        <v>180423.44843211753</v>
      </c>
      <c r="AT4" s="103">
        <f>VLOOKUP($AF4,'US Grid mix, emissions&amp;prices'!$H$113:$I$163,2,FALSE)*AT$55</f>
        <v>180423.44843211753</v>
      </c>
      <c r="AU4" s="103">
        <f>VLOOKUP($AF4,'US Grid mix, emissions&amp;prices'!$H$113:$I$163,2,FALSE)*AU$55</f>
        <v>180423.44843211753</v>
      </c>
      <c r="AV4" s="103">
        <f>VLOOKUP($AF4,'US Grid mix, emissions&amp;prices'!$H$113:$I$163,2,FALSE)*AV$55</f>
        <v>180423.44843211753</v>
      </c>
      <c r="AW4" s="103">
        <f>VLOOKUP($AF4,'US Grid mix, emissions&amp;prices'!$H$113:$I$163,2,FALSE)*AW$55</f>
        <v>180423.44843211753</v>
      </c>
      <c r="AX4" s="103">
        <f>VLOOKUP($AF4,'US Grid mix, emissions&amp;prices'!$H$113:$I$163,2,FALSE)*AX$55</f>
        <v>180423.44843211753</v>
      </c>
      <c r="AY4" s="103">
        <f>VLOOKUP($AF4,'US Grid mix, emissions&amp;prices'!$H$113:$I$163,2,FALSE)*AY$55</f>
        <v>180423.44843211753</v>
      </c>
      <c r="AZ4" s="103">
        <f>VLOOKUP($AF4,'US Grid mix, emissions&amp;prices'!$H$113:$I$163,2,FALSE)*AZ$55</f>
        <v>180423.44843211753</v>
      </c>
      <c r="BA4" s="103">
        <f>VLOOKUP($AF4,'US Grid mix, emissions&amp;prices'!$H$113:$I$163,2,FALSE)*BA$55</f>
        <v>180423.44843211753</v>
      </c>
      <c r="BB4" s="103">
        <f>VLOOKUP($AF4,'US Grid mix, emissions&amp;prices'!$H$113:$I$163,2,FALSE)*BB$55</f>
        <v>180423.44843211753</v>
      </c>
      <c r="BC4" s="103">
        <f>VLOOKUP($AF4,'US Grid mix, emissions&amp;prices'!$H$113:$I$163,2,FALSE)*BC$55</f>
        <v>180423.44843211753</v>
      </c>
      <c r="BD4" s="103">
        <f>VLOOKUP($AF4,'US Grid mix, emissions&amp;prices'!$H$113:$I$163,2,FALSE)*BD$55</f>
        <v>180423.44843211753</v>
      </c>
      <c r="BE4" s="103">
        <f>VLOOKUP($AF4,'US Grid mix, emissions&amp;prices'!$H$113:$I$163,2,FALSE)*BE$55</f>
        <v>180423.44843211753</v>
      </c>
      <c r="BF4" s="103">
        <f>VLOOKUP($AF4,'US Grid mix, emissions&amp;prices'!$H$113:$I$163,2,FALSE)*BF$55</f>
        <v>180423.44843211753</v>
      </c>
      <c r="BG4" s="103">
        <f>VLOOKUP($AF4,'US Grid mix, emissions&amp;prices'!$H$113:$I$163,2,FALSE)*BG$55</f>
        <v>180423.44843211753</v>
      </c>
      <c r="BH4" s="103">
        <f>VLOOKUP($AF4,'US Grid mix, emissions&amp;prices'!$H$113:$I$163,2,FALSE)*BH$55</f>
        <v>180423.44843211753</v>
      </c>
      <c r="BL4" s="123" t="s">
        <v>187</v>
      </c>
      <c r="BM4" s="103">
        <f>VLOOKUP($BL4,'US Grid mix, emissions&amp;prices'!$H$113:$I$163,2,FALSE)*BM$55</f>
        <v>134129.35980764637</v>
      </c>
      <c r="BN4" s="103">
        <f>VLOOKUP($BL4,'US Grid mix, emissions&amp;prices'!$H$113:$I$163,2,FALSE)*BN$55</f>
        <v>134129.35980764637</v>
      </c>
      <c r="BO4" s="103">
        <f>VLOOKUP($BL4,'US Grid mix, emissions&amp;prices'!$H$113:$I$163,2,FALSE)*BO$55</f>
        <v>134129.35980764637</v>
      </c>
      <c r="BP4" s="103">
        <f>VLOOKUP($BL4,'US Grid mix, emissions&amp;prices'!$H$113:$I$163,2,FALSE)*BP$55</f>
        <v>134129.35980764637</v>
      </c>
      <c r="BQ4" s="103">
        <f>VLOOKUP($BL4,'US Grid mix, emissions&amp;prices'!$H$113:$I$163,2,FALSE)*BQ$55</f>
        <v>134129.35980764637</v>
      </c>
      <c r="BR4" s="103">
        <f>VLOOKUP($BL4,'US Grid mix, emissions&amp;prices'!$H$113:$I$163,2,FALSE)*BR$55</f>
        <v>134129.35980764637</v>
      </c>
      <c r="BS4" s="103">
        <f>VLOOKUP($BL4,'US Grid mix, emissions&amp;prices'!$H$113:$I$163,2,FALSE)*BS$55</f>
        <v>134129.35980764637</v>
      </c>
      <c r="BT4" s="103">
        <f>VLOOKUP($BL4,'US Grid mix, emissions&amp;prices'!$H$113:$I$163,2,FALSE)*BT$55</f>
        <v>134129.35980764637</v>
      </c>
      <c r="BU4" s="103">
        <f>VLOOKUP($BL4,'US Grid mix, emissions&amp;prices'!$H$113:$I$163,2,FALSE)*BU$55</f>
        <v>134129.35980764637</v>
      </c>
      <c r="BV4" s="103">
        <f>VLOOKUP($BL4,'US Grid mix, emissions&amp;prices'!$H$113:$I$163,2,FALSE)*BV$55</f>
        <v>134129.35980764637</v>
      </c>
      <c r="BW4" s="103">
        <f>VLOOKUP($BL4,'US Grid mix, emissions&amp;prices'!$H$113:$I$163,2,FALSE)*BW$55</f>
        <v>134129.35980764637</v>
      </c>
      <c r="BX4" s="103">
        <f>VLOOKUP($BL4,'US Grid mix, emissions&amp;prices'!$H$113:$I$163,2,FALSE)*BX$55</f>
        <v>134129.35980764637</v>
      </c>
      <c r="BY4" s="103">
        <f>VLOOKUP($BL4,'US Grid mix, emissions&amp;prices'!$H$113:$I$163,2,FALSE)*BY$55</f>
        <v>134129.35980764637</v>
      </c>
      <c r="BZ4" s="103">
        <f>VLOOKUP($BL4,'US Grid mix, emissions&amp;prices'!$H$113:$I$163,2,FALSE)*BZ$55</f>
        <v>134129.35980764637</v>
      </c>
      <c r="CA4" s="103">
        <f>VLOOKUP($BL4,'US Grid mix, emissions&amp;prices'!$H$113:$I$163,2,FALSE)*CA$55</f>
        <v>134129.35980764637</v>
      </c>
      <c r="CB4" s="103">
        <f>VLOOKUP($BL4,'US Grid mix, emissions&amp;prices'!$H$113:$I$163,2,FALSE)*CB$55</f>
        <v>134129.35980764637</v>
      </c>
      <c r="CC4" s="103">
        <f>VLOOKUP($BL4,'US Grid mix, emissions&amp;prices'!$H$113:$I$163,2,FALSE)*CC$55</f>
        <v>134129.35980764637</v>
      </c>
      <c r="CD4" s="103">
        <f>VLOOKUP($BL4,'US Grid mix, emissions&amp;prices'!$H$113:$I$163,2,FALSE)*CD$55</f>
        <v>134129.35980764637</v>
      </c>
      <c r="CE4" s="103">
        <f>VLOOKUP($BL4,'US Grid mix, emissions&amp;prices'!$H$113:$I$163,2,FALSE)*CE$55</f>
        <v>134129.35980764637</v>
      </c>
      <c r="CF4" s="103">
        <f>VLOOKUP($BL4,'US Grid mix, emissions&amp;prices'!$H$113:$I$163,2,FALSE)*CF$55</f>
        <v>134129.35980764637</v>
      </c>
      <c r="CG4" s="103">
        <f>VLOOKUP($BL4,'US Grid mix, emissions&amp;prices'!$H$113:$I$163,2,FALSE)*CG$55</f>
        <v>134129.35980764637</v>
      </c>
      <c r="CH4" s="103">
        <f>VLOOKUP($BL4,'US Grid mix, emissions&amp;prices'!$H$113:$I$163,2,FALSE)*CH$55</f>
        <v>134129.35980764637</v>
      </c>
      <c r="CI4" s="103">
        <f>VLOOKUP($BL4,'US Grid mix, emissions&amp;prices'!$H$113:$I$163,2,FALSE)*CI$55</f>
        <v>134129.35980764637</v>
      </c>
      <c r="CJ4" s="103">
        <f>VLOOKUP($BL4,'US Grid mix, emissions&amp;prices'!$H$113:$I$163,2,FALSE)*CJ$55</f>
        <v>134129.35980764637</v>
      </c>
      <c r="CK4" s="103">
        <f>VLOOKUP($BL4,'US Grid mix, emissions&amp;prices'!$H$113:$I$163,2,FALSE)*CK$55</f>
        <v>134129.35980764637</v>
      </c>
      <c r="CL4" s="103">
        <f>VLOOKUP($BL4,'US Grid mix, emissions&amp;prices'!$H$113:$I$163,2,FALSE)*CL$55</f>
        <v>134129.35980764637</v>
      </c>
      <c r="CM4" s="103">
        <f>VLOOKUP($BL4,'US Grid mix, emissions&amp;prices'!$H$113:$I$163,2,FALSE)*CM$55</f>
        <v>134129.35980764637</v>
      </c>
      <c r="CN4" s="103">
        <f>VLOOKUP($BL4,'US Grid mix, emissions&amp;prices'!$H$113:$I$163,2,FALSE)*CN$55</f>
        <v>134129.35980764637</v>
      </c>
    </row>
    <row r="5" spans="1:92" x14ac:dyDescent="0.25">
      <c r="A5" s="123" t="s">
        <v>231</v>
      </c>
      <c r="B5" s="103">
        <f>VLOOKUP($A5,'US Grid mix, emissions&amp;prices'!$H$113:$I$163,2,FALSE)*B$55</f>
        <v>214730.0671234038</v>
      </c>
      <c r="C5" s="103">
        <f>VLOOKUP($A5,'US Grid mix, emissions&amp;prices'!$H$113:$I$163,2,FALSE)*C$55</f>
        <v>214730.0671234038</v>
      </c>
      <c r="D5" s="103">
        <f>VLOOKUP($A5,'US Grid mix, emissions&amp;prices'!$H$113:$I$163,2,FALSE)*D$55</f>
        <v>214730.0671234038</v>
      </c>
      <c r="E5" s="103">
        <f>VLOOKUP($A5,'US Grid mix, emissions&amp;prices'!$H$113:$I$163,2,FALSE)*E$55</f>
        <v>214730.0671234038</v>
      </c>
      <c r="F5" s="103">
        <f>VLOOKUP($A5,'US Grid mix, emissions&amp;prices'!$H$113:$I$163,2,FALSE)*F$55</f>
        <v>214730.0671234038</v>
      </c>
      <c r="G5" s="103">
        <f>VLOOKUP($A5,'US Grid mix, emissions&amp;prices'!$H$113:$I$163,2,FALSE)*G$55</f>
        <v>214730.0671234038</v>
      </c>
      <c r="H5" s="103">
        <f>VLOOKUP($A5,'US Grid mix, emissions&amp;prices'!$H$113:$I$163,2,FALSE)*H$55</f>
        <v>214730.0671234038</v>
      </c>
      <c r="I5" s="103">
        <f>VLOOKUP($A5,'US Grid mix, emissions&amp;prices'!$H$113:$I$163,2,FALSE)*I$55</f>
        <v>214730.0671234038</v>
      </c>
      <c r="J5" s="103">
        <f>VLOOKUP($A5,'US Grid mix, emissions&amp;prices'!$H$113:$I$163,2,FALSE)*J$55</f>
        <v>214730.0671234038</v>
      </c>
      <c r="K5" s="103">
        <f>VLOOKUP($A5,'US Grid mix, emissions&amp;prices'!$H$113:$I$163,2,FALSE)*K$55</f>
        <v>214730.0671234038</v>
      </c>
      <c r="L5" s="103">
        <f>VLOOKUP($A5,'US Grid mix, emissions&amp;prices'!$H$113:$I$163,2,FALSE)*L$55</f>
        <v>214730.0671234038</v>
      </c>
      <c r="M5" s="103">
        <f>VLOOKUP($A5,'US Grid mix, emissions&amp;prices'!$H$113:$I$163,2,FALSE)*M$55</f>
        <v>214730.0671234038</v>
      </c>
      <c r="N5" s="103">
        <f>VLOOKUP($A5,'US Grid mix, emissions&amp;prices'!$H$113:$I$163,2,FALSE)*N$55</f>
        <v>214730.0671234038</v>
      </c>
      <c r="O5" s="103">
        <f>VLOOKUP($A5,'US Grid mix, emissions&amp;prices'!$H$113:$I$163,2,FALSE)*O$55</f>
        <v>214730.0671234038</v>
      </c>
      <c r="P5" s="103">
        <f>VLOOKUP($A5,'US Grid mix, emissions&amp;prices'!$H$113:$I$163,2,FALSE)*P$55</f>
        <v>214730.0671234038</v>
      </c>
      <c r="Q5" s="103">
        <f>VLOOKUP($A5,'US Grid mix, emissions&amp;prices'!$H$113:$I$163,2,FALSE)*Q$55</f>
        <v>214730.0671234038</v>
      </c>
      <c r="R5" s="103">
        <f>VLOOKUP($A5,'US Grid mix, emissions&amp;prices'!$H$113:$I$163,2,FALSE)*R$55</f>
        <v>214730.0671234038</v>
      </c>
      <c r="S5" s="103">
        <f>VLOOKUP($A5,'US Grid mix, emissions&amp;prices'!$H$113:$I$163,2,FALSE)*S$55</f>
        <v>214730.0671234038</v>
      </c>
      <c r="T5" s="103">
        <f>VLOOKUP($A5,'US Grid mix, emissions&amp;prices'!$H$113:$I$163,2,FALSE)*T$55</f>
        <v>214730.0671234038</v>
      </c>
      <c r="U5" s="103">
        <f>VLOOKUP($A5,'US Grid mix, emissions&amp;prices'!$H$113:$I$163,2,FALSE)*U$55</f>
        <v>214730.0671234038</v>
      </c>
      <c r="V5" s="103">
        <f>VLOOKUP($A5,'US Grid mix, emissions&amp;prices'!$H$113:$I$163,2,FALSE)*V$55</f>
        <v>214730.0671234038</v>
      </c>
      <c r="W5" s="103">
        <f>VLOOKUP($A5,'US Grid mix, emissions&amp;prices'!$H$113:$I$163,2,FALSE)*W$55</f>
        <v>214730.0671234038</v>
      </c>
      <c r="X5" s="103">
        <f>VLOOKUP($A5,'US Grid mix, emissions&amp;prices'!$H$113:$I$163,2,FALSE)*X$55</f>
        <v>214730.0671234038</v>
      </c>
      <c r="Y5" s="103">
        <f>VLOOKUP($A5,'US Grid mix, emissions&amp;prices'!$H$113:$I$163,2,FALSE)*Y$55</f>
        <v>214730.0671234038</v>
      </c>
      <c r="Z5" s="103">
        <f>VLOOKUP($A5,'US Grid mix, emissions&amp;prices'!$H$113:$I$163,2,FALSE)*Z$55</f>
        <v>214730.0671234038</v>
      </c>
      <c r="AA5" s="103">
        <f>VLOOKUP($A5,'US Grid mix, emissions&amp;prices'!$H$113:$I$163,2,FALSE)*AA$55</f>
        <v>214730.0671234038</v>
      </c>
      <c r="AB5" s="103">
        <f>VLOOKUP($A5,'US Grid mix, emissions&amp;prices'!$H$113:$I$163,2,FALSE)*AB$55</f>
        <v>214730.0671234038</v>
      </c>
      <c r="AC5" s="103">
        <f>VLOOKUP($A5,'US Grid mix, emissions&amp;prices'!$H$113:$I$163,2,FALSE)*AC$55</f>
        <v>214730.0671234038</v>
      </c>
      <c r="AF5" s="123" t="s">
        <v>231</v>
      </c>
      <c r="AG5" s="103">
        <f>VLOOKUP($AF5,'US Grid mix, emissions&amp;prices'!$H$113:$I$163,2,FALSE)*AG$55</f>
        <v>251686.79096184525</v>
      </c>
      <c r="AH5" s="103">
        <f>VLOOKUP($AF5,'US Grid mix, emissions&amp;prices'!$H$113:$I$163,2,FALSE)*AH$55</f>
        <v>251686.79096184525</v>
      </c>
      <c r="AI5" s="103">
        <f>VLOOKUP($AF5,'US Grid mix, emissions&amp;prices'!$H$113:$I$163,2,FALSE)*AI$55</f>
        <v>251686.79096184525</v>
      </c>
      <c r="AJ5" s="103">
        <f>VLOOKUP($AF5,'US Grid mix, emissions&amp;prices'!$H$113:$I$163,2,FALSE)*AJ$55</f>
        <v>251686.79096184525</v>
      </c>
      <c r="AK5" s="103">
        <f>VLOOKUP($AF5,'US Grid mix, emissions&amp;prices'!$H$113:$I$163,2,FALSE)*AK$55</f>
        <v>251686.79096184525</v>
      </c>
      <c r="AL5" s="103">
        <f>VLOOKUP($AF5,'US Grid mix, emissions&amp;prices'!$H$113:$I$163,2,FALSE)*AL$55</f>
        <v>251686.79096184525</v>
      </c>
      <c r="AM5" s="103">
        <f>VLOOKUP($AF5,'US Grid mix, emissions&amp;prices'!$H$113:$I$163,2,FALSE)*AM$55</f>
        <v>251686.79096184525</v>
      </c>
      <c r="AN5" s="103">
        <f>VLOOKUP($AF5,'US Grid mix, emissions&amp;prices'!$H$113:$I$163,2,FALSE)*AN$55</f>
        <v>251686.79096184525</v>
      </c>
      <c r="AO5" s="103">
        <f>VLOOKUP($AF5,'US Grid mix, emissions&amp;prices'!$H$113:$I$163,2,FALSE)*AO$55</f>
        <v>251686.79096184525</v>
      </c>
      <c r="AP5" s="103">
        <f>VLOOKUP($AF5,'US Grid mix, emissions&amp;prices'!$H$113:$I$163,2,FALSE)*AP$55</f>
        <v>251686.79096184525</v>
      </c>
      <c r="AQ5" s="103">
        <f>VLOOKUP($AF5,'US Grid mix, emissions&amp;prices'!$H$113:$I$163,2,FALSE)*AQ$55</f>
        <v>251686.79096184525</v>
      </c>
      <c r="AR5" s="103">
        <f>VLOOKUP($AF5,'US Grid mix, emissions&amp;prices'!$H$113:$I$163,2,FALSE)*AR$55</f>
        <v>251686.79096184525</v>
      </c>
      <c r="AS5" s="103">
        <f>VLOOKUP($AF5,'US Grid mix, emissions&amp;prices'!$H$113:$I$163,2,FALSE)*AS$55</f>
        <v>251686.79096184525</v>
      </c>
      <c r="AT5" s="103">
        <f>VLOOKUP($AF5,'US Grid mix, emissions&amp;prices'!$H$113:$I$163,2,FALSE)*AT$55</f>
        <v>251686.79096184525</v>
      </c>
      <c r="AU5" s="103">
        <f>VLOOKUP($AF5,'US Grid mix, emissions&amp;prices'!$H$113:$I$163,2,FALSE)*AU$55</f>
        <v>251686.79096184525</v>
      </c>
      <c r="AV5" s="103">
        <f>VLOOKUP($AF5,'US Grid mix, emissions&amp;prices'!$H$113:$I$163,2,FALSE)*AV$55</f>
        <v>251686.79096184525</v>
      </c>
      <c r="AW5" s="103">
        <f>VLOOKUP($AF5,'US Grid mix, emissions&amp;prices'!$H$113:$I$163,2,FALSE)*AW$55</f>
        <v>251686.79096184525</v>
      </c>
      <c r="AX5" s="103">
        <f>VLOOKUP($AF5,'US Grid mix, emissions&amp;prices'!$H$113:$I$163,2,FALSE)*AX$55</f>
        <v>251686.79096184525</v>
      </c>
      <c r="AY5" s="103">
        <f>VLOOKUP($AF5,'US Grid mix, emissions&amp;prices'!$H$113:$I$163,2,FALSE)*AY$55</f>
        <v>251686.79096184525</v>
      </c>
      <c r="AZ5" s="103">
        <f>VLOOKUP($AF5,'US Grid mix, emissions&amp;prices'!$H$113:$I$163,2,FALSE)*AZ$55</f>
        <v>251686.79096184525</v>
      </c>
      <c r="BA5" s="103">
        <f>VLOOKUP($AF5,'US Grid mix, emissions&amp;prices'!$H$113:$I$163,2,FALSE)*BA$55</f>
        <v>251686.79096184525</v>
      </c>
      <c r="BB5" s="103">
        <f>VLOOKUP($AF5,'US Grid mix, emissions&amp;prices'!$H$113:$I$163,2,FALSE)*BB$55</f>
        <v>251686.79096184525</v>
      </c>
      <c r="BC5" s="103">
        <f>VLOOKUP($AF5,'US Grid mix, emissions&amp;prices'!$H$113:$I$163,2,FALSE)*BC$55</f>
        <v>251686.79096184525</v>
      </c>
      <c r="BD5" s="103">
        <f>VLOOKUP($AF5,'US Grid mix, emissions&amp;prices'!$H$113:$I$163,2,FALSE)*BD$55</f>
        <v>251686.79096184525</v>
      </c>
      <c r="BE5" s="103">
        <f>VLOOKUP($AF5,'US Grid mix, emissions&amp;prices'!$H$113:$I$163,2,FALSE)*BE$55</f>
        <v>251686.79096184525</v>
      </c>
      <c r="BF5" s="103">
        <f>VLOOKUP($AF5,'US Grid mix, emissions&amp;prices'!$H$113:$I$163,2,FALSE)*BF$55</f>
        <v>251686.79096184525</v>
      </c>
      <c r="BG5" s="103">
        <f>VLOOKUP($AF5,'US Grid mix, emissions&amp;prices'!$H$113:$I$163,2,FALSE)*BG$55</f>
        <v>251686.79096184525</v>
      </c>
      <c r="BH5" s="103">
        <f>VLOOKUP($AF5,'US Grid mix, emissions&amp;prices'!$H$113:$I$163,2,FALSE)*BH$55</f>
        <v>251686.79096184525</v>
      </c>
      <c r="BL5" s="123" t="s">
        <v>231</v>
      </c>
      <c r="BM5" s="103">
        <f>VLOOKUP($BL5,'US Grid mix, emissions&amp;prices'!$H$113:$I$163,2,FALSE)*BM$55</f>
        <v>187107.54304452031</v>
      </c>
      <c r="BN5" s="103">
        <f>VLOOKUP($BL5,'US Grid mix, emissions&amp;prices'!$H$113:$I$163,2,FALSE)*BN$55</f>
        <v>187107.54304452031</v>
      </c>
      <c r="BO5" s="103">
        <f>VLOOKUP($BL5,'US Grid mix, emissions&amp;prices'!$H$113:$I$163,2,FALSE)*BO$55</f>
        <v>187107.54304452031</v>
      </c>
      <c r="BP5" s="103">
        <f>VLOOKUP($BL5,'US Grid mix, emissions&amp;prices'!$H$113:$I$163,2,FALSE)*BP$55</f>
        <v>187107.54304452031</v>
      </c>
      <c r="BQ5" s="103">
        <f>VLOOKUP($BL5,'US Grid mix, emissions&amp;prices'!$H$113:$I$163,2,FALSE)*BQ$55</f>
        <v>187107.54304452031</v>
      </c>
      <c r="BR5" s="103">
        <f>VLOOKUP($BL5,'US Grid mix, emissions&amp;prices'!$H$113:$I$163,2,FALSE)*BR$55</f>
        <v>187107.54304452031</v>
      </c>
      <c r="BS5" s="103">
        <f>VLOOKUP($BL5,'US Grid mix, emissions&amp;prices'!$H$113:$I$163,2,FALSE)*BS$55</f>
        <v>187107.54304452031</v>
      </c>
      <c r="BT5" s="103">
        <f>VLOOKUP($BL5,'US Grid mix, emissions&amp;prices'!$H$113:$I$163,2,FALSE)*BT$55</f>
        <v>187107.54304452031</v>
      </c>
      <c r="BU5" s="103">
        <f>VLOOKUP($BL5,'US Grid mix, emissions&amp;prices'!$H$113:$I$163,2,FALSE)*BU$55</f>
        <v>187107.54304452031</v>
      </c>
      <c r="BV5" s="103">
        <f>VLOOKUP($BL5,'US Grid mix, emissions&amp;prices'!$H$113:$I$163,2,FALSE)*BV$55</f>
        <v>187107.54304452031</v>
      </c>
      <c r="BW5" s="103">
        <f>VLOOKUP($BL5,'US Grid mix, emissions&amp;prices'!$H$113:$I$163,2,FALSE)*BW$55</f>
        <v>187107.54304452031</v>
      </c>
      <c r="BX5" s="103">
        <f>VLOOKUP($BL5,'US Grid mix, emissions&amp;prices'!$H$113:$I$163,2,FALSE)*BX$55</f>
        <v>187107.54304452031</v>
      </c>
      <c r="BY5" s="103">
        <f>VLOOKUP($BL5,'US Grid mix, emissions&amp;prices'!$H$113:$I$163,2,FALSE)*BY$55</f>
        <v>187107.54304452031</v>
      </c>
      <c r="BZ5" s="103">
        <f>VLOOKUP($BL5,'US Grid mix, emissions&amp;prices'!$H$113:$I$163,2,FALSE)*BZ$55</f>
        <v>187107.54304452031</v>
      </c>
      <c r="CA5" s="103">
        <f>VLOOKUP($BL5,'US Grid mix, emissions&amp;prices'!$H$113:$I$163,2,FALSE)*CA$55</f>
        <v>187107.54304452031</v>
      </c>
      <c r="CB5" s="103">
        <f>VLOOKUP($BL5,'US Grid mix, emissions&amp;prices'!$H$113:$I$163,2,FALSE)*CB$55</f>
        <v>187107.54304452031</v>
      </c>
      <c r="CC5" s="103">
        <f>VLOOKUP($BL5,'US Grid mix, emissions&amp;prices'!$H$113:$I$163,2,FALSE)*CC$55</f>
        <v>187107.54304452031</v>
      </c>
      <c r="CD5" s="103">
        <f>VLOOKUP($BL5,'US Grid mix, emissions&amp;prices'!$H$113:$I$163,2,FALSE)*CD$55</f>
        <v>187107.54304452031</v>
      </c>
      <c r="CE5" s="103">
        <f>VLOOKUP($BL5,'US Grid mix, emissions&amp;prices'!$H$113:$I$163,2,FALSE)*CE$55</f>
        <v>187107.54304452031</v>
      </c>
      <c r="CF5" s="103">
        <f>VLOOKUP($BL5,'US Grid mix, emissions&amp;prices'!$H$113:$I$163,2,FALSE)*CF$55</f>
        <v>187107.54304452031</v>
      </c>
      <c r="CG5" s="103">
        <f>VLOOKUP($BL5,'US Grid mix, emissions&amp;prices'!$H$113:$I$163,2,FALSE)*CG$55</f>
        <v>187107.54304452031</v>
      </c>
      <c r="CH5" s="103">
        <f>VLOOKUP($BL5,'US Grid mix, emissions&amp;prices'!$H$113:$I$163,2,FALSE)*CH$55</f>
        <v>187107.54304452031</v>
      </c>
      <c r="CI5" s="103">
        <f>VLOOKUP($BL5,'US Grid mix, emissions&amp;prices'!$H$113:$I$163,2,FALSE)*CI$55</f>
        <v>187107.54304452031</v>
      </c>
      <c r="CJ5" s="103">
        <f>VLOOKUP($BL5,'US Grid mix, emissions&amp;prices'!$H$113:$I$163,2,FALSE)*CJ$55</f>
        <v>187107.54304452031</v>
      </c>
      <c r="CK5" s="103">
        <f>VLOOKUP($BL5,'US Grid mix, emissions&amp;prices'!$H$113:$I$163,2,FALSE)*CK$55</f>
        <v>187107.54304452031</v>
      </c>
      <c r="CL5" s="103">
        <f>VLOOKUP($BL5,'US Grid mix, emissions&amp;prices'!$H$113:$I$163,2,FALSE)*CL$55</f>
        <v>187107.54304452031</v>
      </c>
      <c r="CM5" s="103">
        <f>VLOOKUP($BL5,'US Grid mix, emissions&amp;prices'!$H$113:$I$163,2,FALSE)*CM$55</f>
        <v>187107.54304452031</v>
      </c>
      <c r="CN5" s="103">
        <f>VLOOKUP($BL5,'US Grid mix, emissions&amp;prices'!$H$113:$I$163,2,FALSE)*CN$55</f>
        <v>187107.54304452031</v>
      </c>
    </row>
    <row r="6" spans="1:92" x14ac:dyDescent="0.25">
      <c r="A6" s="123" t="s">
        <v>189</v>
      </c>
      <c r="B6" s="103">
        <f>VLOOKUP($A6,'US Grid mix, emissions&amp;prices'!$H$113:$I$163,2,FALSE)*B$55</f>
        <v>146583.1508696758</v>
      </c>
      <c r="C6" s="103">
        <f>VLOOKUP($A6,'US Grid mix, emissions&amp;prices'!$H$113:$I$163,2,FALSE)*C$55</f>
        <v>146583.1508696758</v>
      </c>
      <c r="D6" s="103">
        <f>VLOOKUP($A6,'US Grid mix, emissions&amp;prices'!$H$113:$I$163,2,FALSE)*D$55</f>
        <v>146583.1508696758</v>
      </c>
      <c r="E6" s="103">
        <f>VLOOKUP($A6,'US Grid mix, emissions&amp;prices'!$H$113:$I$163,2,FALSE)*E$55</f>
        <v>146583.1508696758</v>
      </c>
      <c r="F6" s="103">
        <f>VLOOKUP($A6,'US Grid mix, emissions&amp;prices'!$H$113:$I$163,2,FALSE)*F$55</f>
        <v>146583.1508696758</v>
      </c>
      <c r="G6" s="103">
        <f>VLOOKUP($A6,'US Grid mix, emissions&amp;prices'!$H$113:$I$163,2,FALSE)*G$55</f>
        <v>146583.1508696758</v>
      </c>
      <c r="H6" s="103">
        <f>VLOOKUP($A6,'US Grid mix, emissions&amp;prices'!$H$113:$I$163,2,FALSE)*H$55</f>
        <v>146583.1508696758</v>
      </c>
      <c r="I6" s="103">
        <f>VLOOKUP($A6,'US Grid mix, emissions&amp;prices'!$H$113:$I$163,2,FALSE)*I$55</f>
        <v>146583.1508696758</v>
      </c>
      <c r="J6" s="103">
        <f>VLOOKUP($A6,'US Grid mix, emissions&amp;prices'!$H$113:$I$163,2,FALSE)*J$55</f>
        <v>146583.1508696758</v>
      </c>
      <c r="K6" s="103">
        <f>VLOOKUP($A6,'US Grid mix, emissions&amp;prices'!$H$113:$I$163,2,FALSE)*K$55</f>
        <v>146583.1508696758</v>
      </c>
      <c r="L6" s="103">
        <f>VLOOKUP($A6,'US Grid mix, emissions&amp;prices'!$H$113:$I$163,2,FALSE)*L$55</f>
        <v>146583.1508696758</v>
      </c>
      <c r="M6" s="103">
        <f>VLOOKUP($A6,'US Grid mix, emissions&amp;prices'!$H$113:$I$163,2,FALSE)*M$55</f>
        <v>146583.1508696758</v>
      </c>
      <c r="N6" s="103">
        <f>VLOOKUP($A6,'US Grid mix, emissions&amp;prices'!$H$113:$I$163,2,FALSE)*N$55</f>
        <v>146583.1508696758</v>
      </c>
      <c r="O6" s="103">
        <f>VLOOKUP($A6,'US Grid mix, emissions&amp;prices'!$H$113:$I$163,2,FALSE)*O$55</f>
        <v>146583.1508696758</v>
      </c>
      <c r="P6" s="103">
        <f>VLOOKUP($A6,'US Grid mix, emissions&amp;prices'!$H$113:$I$163,2,FALSE)*P$55</f>
        <v>146583.1508696758</v>
      </c>
      <c r="Q6" s="103">
        <f>VLOOKUP($A6,'US Grid mix, emissions&amp;prices'!$H$113:$I$163,2,FALSE)*Q$55</f>
        <v>146583.1508696758</v>
      </c>
      <c r="R6" s="103">
        <f>VLOOKUP($A6,'US Grid mix, emissions&amp;prices'!$H$113:$I$163,2,FALSE)*R$55</f>
        <v>146583.1508696758</v>
      </c>
      <c r="S6" s="103">
        <f>VLOOKUP($A6,'US Grid mix, emissions&amp;prices'!$H$113:$I$163,2,FALSE)*S$55</f>
        <v>146583.1508696758</v>
      </c>
      <c r="T6" s="103">
        <f>VLOOKUP($A6,'US Grid mix, emissions&amp;prices'!$H$113:$I$163,2,FALSE)*T$55</f>
        <v>146583.1508696758</v>
      </c>
      <c r="U6" s="103">
        <f>VLOOKUP($A6,'US Grid mix, emissions&amp;prices'!$H$113:$I$163,2,FALSE)*U$55</f>
        <v>146583.1508696758</v>
      </c>
      <c r="V6" s="103">
        <f>VLOOKUP($A6,'US Grid mix, emissions&amp;prices'!$H$113:$I$163,2,FALSE)*V$55</f>
        <v>146583.1508696758</v>
      </c>
      <c r="W6" s="103">
        <f>VLOOKUP($A6,'US Grid mix, emissions&amp;prices'!$H$113:$I$163,2,FALSE)*W$55</f>
        <v>146583.1508696758</v>
      </c>
      <c r="X6" s="103">
        <f>VLOOKUP($A6,'US Grid mix, emissions&amp;prices'!$H$113:$I$163,2,FALSE)*X$55</f>
        <v>146583.1508696758</v>
      </c>
      <c r="Y6" s="103">
        <f>VLOOKUP($A6,'US Grid mix, emissions&amp;prices'!$H$113:$I$163,2,FALSE)*Y$55</f>
        <v>146583.1508696758</v>
      </c>
      <c r="Z6" s="103">
        <f>VLOOKUP($A6,'US Grid mix, emissions&amp;prices'!$H$113:$I$163,2,FALSE)*Z$55</f>
        <v>146583.1508696758</v>
      </c>
      <c r="AA6" s="103">
        <f>VLOOKUP($A6,'US Grid mix, emissions&amp;prices'!$H$113:$I$163,2,FALSE)*AA$55</f>
        <v>146583.1508696758</v>
      </c>
      <c r="AB6" s="103">
        <f>VLOOKUP($A6,'US Grid mix, emissions&amp;prices'!$H$113:$I$163,2,FALSE)*AB$55</f>
        <v>146583.1508696758</v>
      </c>
      <c r="AC6" s="103">
        <f>VLOOKUP($A6,'US Grid mix, emissions&amp;prices'!$H$113:$I$163,2,FALSE)*AC$55</f>
        <v>146583.1508696758</v>
      </c>
      <c r="AF6" s="123" t="s">
        <v>189</v>
      </c>
      <c r="AG6" s="103">
        <f>VLOOKUP($AF6,'US Grid mix, emissions&amp;prices'!$H$113:$I$163,2,FALSE)*AG$55</f>
        <v>171811.25748106133</v>
      </c>
      <c r="AH6" s="103">
        <f>VLOOKUP($AF6,'US Grid mix, emissions&amp;prices'!$H$113:$I$163,2,FALSE)*AH$55</f>
        <v>171811.25748106133</v>
      </c>
      <c r="AI6" s="103">
        <f>VLOOKUP($AF6,'US Grid mix, emissions&amp;prices'!$H$113:$I$163,2,FALSE)*AI$55</f>
        <v>171811.25748106133</v>
      </c>
      <c r="AJ6" s="103">
        <f>VLOOKUP($AF6,'US Grid mix, emissions&amp;prices'!$H$113:$I$163,2,FALSE)*AJ$55</f>
        <v>171811.25748106133</v>
      </c>
      <c r="AK6" s="103">
        <f>VLOOKUP($AF6,'US Grid mix, emissions&amp;prices'!$H$113:$I$163,2,FALSE)*AK$55</f>
        <v>171811.25748106133</v>
      </c>
      <c r="AL6" s="103">
        <f>VLOOKUP($AF6,'US Grid mix, emissions&amp;prices'!$H$113:$I$163,2,FALSE)*AL$55</f>
        <v>171811.25748106133</v>
      </c>
      <c r="AM6" s="103">
        <f>VLOOKUP($AF6,'US Grid mix, emissions&amp;prices'!$H$113:$I$163,2,FALSE)*AM$55</f>
        <v>171811.25748106133</v>
      </c>
      <c r="AN6" s="103">
        <f>VLOOKUP($AF6,'US Grid mix, emissions&amp;prices'!$H$113:$I$163,2,FALSE)*AN$55</f>
        <v>171811.25748106133</v>
      </c>
      <c r="AO6" s="103">
        <f>VLOOKUP($AF6,'US Grid mix, emissions&amp;prices'!$H$113:$I$163,2,FALSE)*AO$55</f>
        <v>171811.25748106133</v>
      </c>
      <c r="AP6" s="103">
        <f>VLOOKUP($AF6,'US Grid mix, emissions&amp;prices'!$H$113:$I$163,2,FALSE)*AP$55</f>
        <v>171811.25748106133</v>
      </c>
      <c r="AQ6" s="103">
        <f>VLOOKUP($AF6,'US Grid mix, emissions&amp;prices'!$H$113:$I$163,2,FALSE)*AQ$55</f>
        <v>171811.25748106133</v>
      </c>
      <c r="AR6" s="103">
        <f>VLOOKUP($AF6,'US Grid mix, emissions&amp;prices'!$H$113:$I$163,2,FALSE)*AR$55</f>
        <v>171811.25748106133</v>
      </c>
      <c r="AS6" s="103">
        <f>VLOOKUP($AF6,'US Grid mix, emissions&amp;prices'!$H$113:$I$163,2,FALSE)*AS$55</f>
        <v>171811.25748106133</v>
      </c>
      <c r="AT6" s="103">
        <f>VLOOKUP($AF6,'US Grid mix, emissions&amp;prices'!$H$113:$I$163,2,FALSE)*AT$55</f>
        <v>171811.25748106133</v>
      </c>
      <c r="AU6" s="103">
        <f>VLOOKUP($AF6,'US Grid mix, emissions&amp;prices'!$H$113:$I$163,2,FALSE)*AU$55</f>
        <v>171811.25748106133</v>
      </c>
      <c r="AV6" s="103">
        <f>VLOOKUP($AF6,'US Grid mix, emissions&amp;prices'!$H$113:$I$163,2,FALSE)*AV$55</f>
        <v>171811.25748106133</v>
      </c>
      <c r="AW6" s="103">
        <f>VLOOKUP($AF6,'US Grid mix, emissions&amp;prices'!$H$113:$I$163,2,FALSE)*AW$55</f>
        <v>171811.25748106133</v>
      </c>
      <c r="AX6" s="103">
        <f>VLOOKUP($AF6,'US Grid mix, emissions&amp;prices'!$H$113:$I$163,2,FALSE)*AX$55</f>
        <v>171811.25748106133</v>
      </c>
      <c r="AY6" s="103">
        <f>VLOOKUP($AF6,'US Grid mix, emissions&amp;prices'!$H$113:$I$163,2,FALSE)*AY$55</f>
        <v>171811.25748106133</v>
      </c>
      <c r="AZ6" s="103">
        <f>VLOOKUP($AF6,'US Grid mix, emissions&amp;prices'!$H$113:$I$163,2,FALSE)*AZ$55</f>
        <v>171811.25748106133</v>
      </c>
      <c r="BA6" s="103">
        <f>VLOOKUP($AF6,'US Grid mix, emissions&amp;prices'!$H$113:$I$163,2,FALSE)*BA$55</f>
        <v>171811.25748106133</v>
      </c>
      <c r="BB6" s="103">
        <f>VLOOKUP($AF6,'US Grid mix, emissions&amp;prices'!$H$113:$I$163,2,FALSE)*BB$55</f>
        <v>171811.25748106133</v>
      </c>
      <c r="BC6" s="103">
        <f>VLOOKUP($AF6,'US Grid mix, emissions&amp;prices'!$H$113:$I$163,2,FALSE)*BC$55</f>
        <v>171811.25748106133</v>
      </c>
      <c r="BD6" s="103">
        <f>VLOOKUP($AF6,'US Grid mix, emissions&amp;prices'!$H$113:$I$163,2,FALSE)*BD$55</f>
        <v>171811.25748106133</v>
      </c>
      <c r="BE6" s="103">
        <f>VLOOKUP($AF6,'US Grid mix, emissions&amp;prices'!$H$113:$I$163,2,FALSE)*BE$55</f>
        <v>171811.25748106133</v>
      </c>
      <c r="BF6" s="103">
        <f>VLOOKUP($AF6,'US Grid mix, emissions&amp;prices'!$H$113:$I$163,2,FALSE)*BF$55</f>
        <v>171811.25748106133</v>
      </c>
      <c r="BG6" s="103">
        <f>VLOOKUP($AF6,'US Grid mix, emissions&amp;prices'!$H$113:$I$163,2,FALSE)*BG$55</f>
        <v>171811.25748106133</v>
      </c>
      <c r="BH6" s="103">
        <f>VLOOKUP($AF6,'US Grid mix, emissions&amp;prices'!$H$113:$I$163,2,FALSE)*BH$55</f>
        <v>171811.25748106133</v>
      </c>
      <c r="BL6" s="123" t="s">
        <v>189</v>
      </c>
      <c r="BM6" s="103">
        <f>VLOOKUP($BL6,'US Grid mix, emissions&amp;prices'!$H$113:$I$163,2,FALSE)*BM$55</f>
        <v>127726.9344641302</v>
      </c>
      <c r="BN6" s="103">
        <f>VLOOKUP($BL6,'US Grid mix, emissions&amp;prices'!$H$113:$I$163,2,FALSE)*BN$55</f>
        <v>127726.9344641302</v>
      </c>
      <c r="BO6" s="103">
        <f>VLOOKUP($BL6,'US Grid mix, emissions&amp;prices'!$H$113:$I$163,2,FALSE)*BO$55</f>
        <v>127726.9344641302</v>
      </c>
      <c r="BP6" s="103">
        <f>VLOOKUP($BL6,'US Grid mix, emissions&amp;prices'!$H$113:$I$163,2,FALSE)*BP$55</f>
        <v>127726.9344641302</v>
      </c>
      <c r="BQ6" s="103">
        <f>VLOOKUP($BL6,'US Grid mix, emissions&amp;prices'!$H$113:$I$163,2,FALSE)*BQ$55</f>
        <v>127726.9344641302</v>
      </c>
      <c r="BR6" s="103">
        <f>VLOOKUP($BL6,'US Grid mix, emissions&amp;prices'!$H$113:$I$163,2,FALSE)*BR$55</f>
        <v>127726.9344641302</v>
      </c>
      <c r="BS6" s="103">
        <f>VLOOKUP($BL6,'US Grid mix, emissions&amp;prices'!$H$113:$I$163,2,FALSE)*BS$55</f>
        <v>127726.9344641302</v>
      </c>
      <c r="BT6" s="103">
        <f>VLOOKUP($BL6,'US Grid mix, emissions&amp;prices'!$H$113:$I$163,2,FALSE)*BT$55</f>
        <v>127726.9344641302</v>
      </c>
      <c r="BU6" s="103">
        <f>VLOOKUP($BL6,'US Grid mix, emissions&amp;prices'!$H$113:$I$163,2,FALSE)*BU$55</f>
        <v>127726.9344641302</v>
      </c>
      <c r="BV6" s="103">
        <f>VLOOKUP($BL6,'US Grid mix, emissions&amp;prices'!$H$113:$I$163,2,FALSE)*BV$55</f>
        <v>127726.9344641302</v>
      </c>
      <c r="BW6" s="103">
        <f>VLOOKUP($BL6,'US Grid mix, emissions&amp;prices'!$H$113:$I$163,2,FALSE)*BW$55</f>
        <v>127726.9344641302</v>
      </c>
      <c r="BX6" s="103">
        <f>VLOOKUP($BL6,'US Grid mix, emissions&amp;prices'!$H$113:$I$163,2,FALSE)*BX$55</f>
        <v>127726.9344641302</v>
      </c>
      <c r="BY6" s="103">
        <f>VLOOKUP($BL6,'US Grid mix, emissions&amp;prices'!$H$113:$I$163,2,FALSE)*BY$55</f>
        <v>127726.9344641302</v>
      </c>
      <c r="BZ6" s="103">
        <f>VLOOKUP($BL6,'US Grid mix, emissions&amp;prices'!$H$113:$I$163,2,FALSE)*BZ$55</f>
        <v>127726.9344641302</v>
      </c>
      <c r="CA6" s="103">
        <f>VLOOKUP($BL6,'US Grid mix, emissions&amp;prices'!$H$113:$I$163,2,FALSE)*CA$55</f>
        <v>127726.9344641302</v>
      </c>
      <c r="CB6" s="103">
        <f>VLOOKUP($BL6,'US Grid mix, emissions&amp;prices'!$H$113:$I$163,2,FALSE)*CB$55</f>
        <v>127726.9344641302</v>
      </c>
      <c r="CC6" s="103">
        <f>VLOOKUP($BL6,'US Grid mix, emissions&amp;prices'!$H$113:$I$163,2,FALSE)*CC$55</f>
        <v>127726.9344641302</v>
      </c>
      <c r="CD6" s="103">
        <f>VLOOKUP($BL6,'US Grid mix, emissions&amp;prices'!$H$113:$I$163,2,FALSE)*CD$55</f>
        <v>127726.9344641302</v>
      </c>
      <c r="CE6" s="103">
        <f>VLOOKUP($BL6,'US Grid mix, emissions&amp;prices'!$H$113:$I$163,2,FALSE)*CE$55</f>
        <v>127726.9344641302</v>
      </c>
      <c r="CF6" s="103">
        <f>VLOOKUP($BL6,'US Grid mix, emissions&amp;prices'!$H$113:$I$163,2,FALSE)*CF$55</f>
        <v>127726.9344641302</v>
      </c>
      <c r="CG6" s="103">
        <f>VLOOKUP($BL6,'US Grid mix, emissions&amp;prices'!$H$113:$I$163,2,FALSE)*CG$55</f>
        <v>127726.9344641302</v>
      </c>
      <c r="CH6" s="103">
        <f>VLOOKUP($BL6,'US Grid mix, emissions&amp;prices'!$H$113:$I$163,2,FALSE)*CH$55</f>
        <v>127726.9344641302</v>
      </c>
      <c r="CI6" s="103">
        <f>VLOOKUP($BL6,'US Grid mix, emissions&amp;prices'!$H$113:$I$163,2,FALSE)*CI$55</f>
        <v>127726.9344641302</v>
      </c>
      <c r="CJ6" s="103">
        <f>VLOOKUP($BL6,'US Grid mix, emissions&amp;prices'!$H$113:$I$163,2,FALSE)*CJ$55</f>
        <v>127726.9344641302</v>
      </c>
      <c r="CK6" s="103">
        <f>VLOOKUP($BL6,'US Grid mix, emissions&amp;prices'!$H$113:$I$163,2,FALSE)*CK$55</f>
        <v>127726.9344641302</v>
      </c>
      <c r="CL6" s="103">
        <f>VLOOKUP($BL6,'US Grid mix, emissions&amp;prices'!$H$113:$I$163,2,FALSE)*CL$55</f>
        <v>127726.9344641302</v>
      </c>
      <c r="CM6" s="103">
        <f>VLOOKUP($BL6,'US Grid mix, emissions&amp;prices'!$H$113:$I$163,2,FALSE)*CM$55</f>
        <v>127726.9344641302</v>
      </c>
      <c r="CN6" s="103">
        <f>VLOOKUP($BL6,'US Grid mix, emissions&amp;prices'!$H$113:$I$163,2,FALSE)*CN$55</f>
        <v>127726.9344641302</v>
      </c>
    </row>
    <row r="7" spans="1:92" x14ac:dyDescent="0.25">
      <c r="A7" s="123" t="s">
        <v>188</v>
      </c>
      <c r="B7" s="103">
        <f>VLOOKUP($A7,'US Grid mix, emissions&amp;prices'!$H$113:$I$163,2,FALSE)*B$55</f>
        <v>205683.7804887447</v>
      </c>
      <c r="C7" s="103">
        <f>VLOOKUP($A7,'US Grid mix, emissions&amp;prices'!$H$113:$I$163,2,FALSE)*C$55</f>
        <v>205683.7804887447</v>
      </c>
      <c r="D7" s="103">
        <f>VLOOKUP($A7,'US Grid mix, emissions&amp;prices'!$H$113:$I$163,2,FALSE)*D$55</f>
        <v>205683.7804887447</v>
      </c>
      <c r="E7" s="103">
        <f>VLOOKUP($A7,'US Grid mix, emissions&amp;prices'!$H$113:$I$163,2,FALSE)*E$55</f>
        <v>205683.7804887447</v>
      </c>
      <c r="F7" s="103">
        <f>VLOOKUP($A7,'US Grid mix, emissions&amp;prices'!$H$113:$I$163,2,FALSE)*F$55</f>
        <v>205683.7804887447</v>
      </c>
      <c r="G7" s="103">
        <f>VLOOKUP($A7,'US Grid mix, emissions&amp;prices'!$H$113:$I$163,2,FALSE)*G$55</f>
        <v>205683.7804887447</v>
      </c>
      <c r="H7" s="103">
        <f>VLOOKUP($A7,'US Grid mix, emissions&amp;prices'!$H$113:$I$163,2,FALSE)*H$55</f>
        <v>205683.7804887447</v>
      </c>
      <c r="I7" s="103">
        <f>VLOOKUP($A7,'US Grid mix, emissions&amp;prices'!$H$113:$I$163,2,FALSE)*I$55</f>
        <v>205683.7804887447</v>
      </c>
      <c r="J7" s="103">
        <f>VLOOKUP($A7,'US Grid mix, emissions&amp;prices'!$H$113:$I$163,2,FALSE)*J$55</f>
        <v>205683.7804887447</v>
      </c>
      <c r="K7" s="103">
        <f>VLOOKUP($A7,'US Grid mix, emissions&amp;prices'!$H$113:$I$163,2,FALSE)*K$55</f>
        <v>205683.7804887447</v>
      </c>
      <c r="L7" s="103">
        <f>VLOOKUP($A7,'US Grid mix, emissions&amp;prices'!$H$113:$I$163,2,FALSE)*L$55</f>
        <v>205683.7804887447</v>
      </c>
      <c r="M7" s="103">
        <f>VLOOKUP($A7,'US Grid mix, emissions&amp;prices'!$H$113:$I$163,2,FALSE)*M$55</f>
        <v>205683.7804887447</v>
      </c>
      <c r="N7" s="103">
        <f>VLOOKUP($A7,'US Grid mix, emissions&amp;prices'!$H$113:$I$163,2,FALSE)*N$55</f>
        <v>205683.7804887447</v>
      </c>
      <c r="O7" s="103">
        <f>VLOOKUP($A7,'US Grid mix, emissions&amp;prices'!$H$113:$I$163,2,FALSE)*O$55</f>
        <v>205683.7804887447</v>
      </c>
      <c r="P7" s="103">
        <f>VLOOKUP($A7,'US Grid mix, emissions&amp;prices'!$H$113:$I$163,2,FALSE)*P$55</f>
        <v>205683.7804887447</v>
      </c>
      <c r="Q7" s="103">
        <f>VLOOKUP($A7,'US Grid mix, emissions&amp;prices'!$H$113:$I$163,2,FALSE)*Q$55</f>
        <v>205683.7804887447</v>
      </c>
      <c r="R7" s="103">
        <f>VLOOKUP($A7,'US Grid mix, emissions&amp;prices'!$H$113:$I$163,2,FALSE)*R$55</f>
        <v>205683.7804887447</v>
      </c>
      <c r="S7" s="103">
        <f>VLOOKUP($A7,'US Grid mix, emissions&amp;prices'!$H$113:$I$163,2,FALSE)*S$55</f>
        <v>205683.7804887447</v>
      </c>
      <c r="T7" s="103">
        <f>VLOOKUP($A7,'US Grid mix, emissions&amp;prices'!$H$113:$I$163,2,FALSE)*T$55</f>
        <v>205683.7804887447</v>
      </c>
      <c r="U7" s="103">
        <f>VLOOKUP($A7,'US Grid mix, emissions&amp;prices'!$H$113:$I$163,2,FALSE)*U$55</f>
        <v>205683.7804887447</v>
      </c>
      <c r="V7" s="103">
        <f>VLOOKUP($A7,'US Grid mix, emissions&amp;prices'!$H$113:$I$163,2,FALSE)*V$55</f>
        <v>205683.7804887447</v>
      </c>
      <c r="W7" s="103">
        <f>VLOOKUP($A7,'US Grid mix, emissions&amp;prices'!$H$113:$I$163,2,FALSE)*W$55</f>
        <v>205683.7804887447</v>
      </c>
      <c r="X7" s="103">
        <f>VLOOKUP($A7,'US Grid mix, emissions&amp;prices'!$H$113:$I$163,2,FALSE)*X$55</f>
        <v>205683.7804887447</v>
      </c>
      <c r="Y7" s="103">
        <f>VLOOKUP($A7,'US Grid mix, emissions&amp;prices'!$H$113:$I$163,2,FALSE)*Y$55</f>
        <v>205683.7804887447</v>
      </c>
      <c r="Z7" s="103">
        <f>VLOOKUP($A7,'US Grid mix, emissions&amp;prices'!$H$113:$I$163,2,FALSE)*Z$55</f>
        <v>205683.7804887447</v>
      </c>
      <c r="AA7" s="103">
        <f>VLOOKUP($A7,'US Grid mix, emissions&amp;prices'!$H$113:$I$163,2,FALSE)*AA$55</f>
        <v>205683.7804887447</v>
      </c>
      <c r="AB7" s="103">
        <f>VLOOKUP($A7,'US Grid mix, emissions&amp;prices'!$H$113:$I$163,2,FALSE)*AB$55</f>
        <v>205683.7804887447</v>
      </c>
      <c r="AC7" s="103">
        <f>VLOOKUP($A7,'US Grid mix, emissions&amp;prices'!$H$113:$I$163,2,FALSE)*AC$55</f>
        <v>205683.7804887447</v>
      </c>
      <c r="AF7" s="123" t="s">
        <v>188</v>
      </c>
      <c r="AG7" s="103">
        <f>VLOOKUP($AF7,'US Grid mix, emissions&amp;prices'!$H$113:$I$163,2,FALSE)*AG$55</f>
        <v>241083.5676512974</v>
      </c>
      <c r="AH7" s="103">
        <f>VLOOKUP($AF7,'US Grid mix, emissions&amp;prices'!$H$113:$I$163,2,FALSE)*AH$55</f>
        <v>241083.5676512974</v>
      </c>
      <c r="AI7" s="103">
        <f>VLOOKUP($AF7,'US Grid mix, emissions&amp;prices'!$H$113:$I$163,2,FALSE)*AI$55</f>
        <v>241083.5676512974</v>
      </c>
      <c r="AJ7" s="103">
        <f>VLOOKUP($AF7,'US Grid mix, emissions&amp;prices'!$H$113:$I$163,2,FALSE)*AJ$55</f>
        <v>241083.5676512974</v>
      </c>
      <c r="AK7" s="103">
        <f>VLOOKUP($AF7,'US Grid mix, emissions&amp;prices'!$H$113:$I$163,2,FALSE)*AK$55</f>
        <v>241083.5676512974</v>
      </c>
      <c r="AL7" s="103">
        <f>VLOOKUP($AF7,'US Grid mix, emissions&amp;prices'!$H$113:$I$163,2,FALSE)*AL$55</f>
        <v>241083.5676512974</v>
      </c>
      <c r="AM7" s="103">
        <f>VLOOKUP($AF7,'US Grid mix, emissions&amp;prices'!$H$113:$I$163,2,FALSE)*AM$55</f>
        <v>241083.5676512974</v>
      </c>
      <c r="AN7" s="103">
        <f>VLOOKUP($AF7,'US Grid mix, emissions&amp;prices'!$H$113:$I$163,2,FALSE)*AN$55</f>
        <v>241083.5676512974</v>
      </c>
      <c r="AO7" s="103">
        <f>VLOOKUP($AF7,'US Grid mix, emissions&amp;prices'!$H$113:$I$163,2,FALSE)*AO$55</f>
        <v>241083.5676512974</v>
      </c>
      <c r="AP7" s="103">
        <f>VLOOKUP($AF7,'US Grid mix, emissions&amp;prices'!$H$113:$I$163,2,FALSE)*AP$55</f>
        <v>241083.5676512974</v>
      </c>
      <c r="AQ7" s="103">
        <f>VLOOKUP($AF7,'US Grid mix, emissions&amp;prices'!$H$113:$I$163,2,FALSE)*AQ$55</f>
        <v>241083.5676512974</v>
      </c>
      <c r="AR7" s="103">
        <f>VLOOKUP($AF7,'US Grid mix, emissions&amp;prices'!$H$113:$I$163,2,FALSE)*AR$55</f>
        <v>241083.5676512974</v>
      </c>
      <c r="AS7" s="103">
        <f>VLOOKUP($AF7,'US Grid mix, emissions&amp;prices'!$H$113:$I$163,2,FALSE)*AS$55</f>
        <v>241083.5676512974</v>
      </c>
      <c r="AT7" s="103">
        <f>VLOOKUP($AF7,'US Grid mix, emissions&amp;prices'!$H$113:$I$163,2,FALSE)*AT$55</f>
        <v>241083.5676512974</v>
      </c>
      <c r="AU7" s="103">
        <f>VLOOKUP($AF7,'US Grid mix, emissions&amp;prices'!$H$113:$I$163,2,FALSE)*AU$55</f>
        <v>241083.5676512974</v>
      </c>
      <c r="AV7" s="103">
        <f>VLOOKUP($AF7,'US Grid mix, emissions&amp;prices'!$H$113:$I$163,2,FALSE)*AV$55</f>
        <v>241083.5676512974</v>
      </c>
      <c r="AW7" s="103">
        <f>VLOOKUP($AF7,'US Grid mix, emissions&amp;prices'!$H$113:$I$163,2,FALSE)*AW$55</f>
        <v>241083.5676512974</v>
      </c>
      <c r="AX7" s="103">
        <f>VLOOKUP($AF7,'US Grid mix, emissions&amp;prices'!$H$113:$I$163,2,FALSE)*AX$55</f>
        <v>241083.5676512974</v>
      </c>
      <c r="AY7" s="103">
        <f>VLOOKUP($AF7,'US Grid mix, emissions&amp;prices'!$H$113:$I$163,2,FALSE)*AY$55</f>
        <v>241083.5676512974</v>
      </c>
      <c r="AZ7" s="103">
        <f>VLOOKUP($AF7,'US Grid mix, emissions&amp;prices'!$H$113:$I$163,2,FALSE)*AZ$55</f>
        <v>241083.5676512974</v>
      </c>
      <c r="BA7" s="103">
        <f>VLOOKUP($AF7,'US Grid mix, emissions&amp;prices'!$H$113:$I$163,2,FALSE)*BA$55</f>
        <v>241083.5676512974</v>
      </c>
      <c r="BB7" s="103">
        <f>VLOOKUP($AF7,'US Grid mix, emissions&amp;prices'!$H$113:$I$163,2,FALSE)*BB$55</f>
        <v>241083.5676512974</v>
      </c>
      <c r="BC7" s="103">
        <f>VLOOKUP($AF7,'US Grid mix, emissions&amp;prices'!$H$113:$I$163,2,FALSE)*BC$55</f>
        <v>241083.5676512974</v>
      </c>
      <c r="BD7" s="103">
        <f>VLOOKUP($AF7,'US Grid mix, emissions&amp;prices'!$H$113:$I$163,2,FALSE)*BD$55</f>
        <v>241083.5676512974</v>
      </c>
      <c r="BE7" s="103">
        <f>VLOOKUP($AF7,'US Grid mix, emissions&amp;prices'!$H$113:$I$163,2,FALSE)*BE$55</f>
        <v>241083.5676512974</v>
      </c>
      <c r="BF7" s="103">
        <f>VLOOKUP($AF7,'US Grid mix, emissions&amp;prices'!$H$113:$I$163,2,FALSE)*BF$55</f>
        <v>241083.5676512974</v>
      </c>
      <c r="BG7" s="103">
        <f>VLOOKUP($AF7,'US Grid mix, emissions&amp;prices'!$H$113:$I$163,2,FALSE)*BG$55</f>
        <v>241083.5676512974</v>
      </c>
      <c r="BH7" s="103">
        <f>VLOOKUP($AF7,'US Grid mix, emissions&amp;prices'!$H$113:$I$163,2,FALSE)*BH$55</f>
        <v>241083.5676512974</v>
      </c>
      <c r="BL7" s="123" t="s">
        <v>188</v>
      </c>
      <c r="BM7" s="103">
        <f>VLOOKUP($BL7,'US Grid mix, emissions&amp;prices'!$H$113:$I$163,2,FALSE)*BM$55</f>
        <v>179224.95590354575</v>
      </c>
      <c r="BN7" s="103">
        <f>VLOOKUP($BL7,'US Grid mix, emissions&amp;prices'!$H$113:$I$163,2,FALSE)*BN$55</f>
        <v>179224.95590354575</v>
      </c>
      <c r="BO7" s="103">
        <f>VLOOKUP($BL7,'US Grid mix, emissions&amp;prices'!$H$113:$I$163,2,FALSE)*BO$55</f>
        <v>179224.95590354575</v>
      </c>
      <c r="BP7" s="103">
        <f>VLOOKUP($BL7,'US Grid mix, emissions&amp;prices'!$H$113:$I$163,2,FALSE)*BP$55</f>
        <v>179224.95590354575</v>
      </c>
      <c r="BQ7" s="103">
        <f>VLOOKUP($BL7,'US Grid mix, emissions&amp;prices'!$H$113:$I$163,2,FALSE)*BQ$55</f>
        <v>179224.95590354575</v>
      </c>
      <c r="BR7" s="103">
        <f>VLOOKUP($BL7,'US Grid mix, emissions&amp;prices'!$H$113:$I$163,2,FALSE)*BR$55</f>
        <v>179224.95590354575</v>
      </c>
      <c r="BS7" s="103">
        <f>VLOOKUP($BL7,'US Grid mix, emissions&amp;prices'!$H$113:$I$163,2,FALSE)*BS$55</f>
        <v>179224.95590354575</v>
      </c>
      <c r="BT7" s="103">
        <f>VLOOKUP($BL7,'US Grid mix, emissions&amp;prices'!$H$113:$I$163,2,FALSE)*BT$55</f>
        <v>179224.95590354575</v>
      </c>
      <c r="BU7" s="103">
        <f>VLOOKUP($BL7,'US Grid mix, emissions&amp;prices'!$H$113:$I$163,2,FALSE)*BU$55</f>
        <v>179224.95590354575</v>
      </c>
      <c r="BV7" s="103">
        <f>VLOOKUP($BL7,'US Grid mix, emissions&amp;prices'!$H$113:$I$163,2,FALSE)*BV$55</f>
        <v>179224.95590354575</v>
      </c>
      <c r="BW7" s="103">
        <f>VLOOKUP($BL7,'US Grid mix, emissions&amp;prices'!$H$113:$I$163,2,FALSE)*BW$55</f>
        <v>179224.95590354575</v>
      </c>
      <c r="BX7" s="103">
        <f>VLOOKUP($BL7,'US Grid mix, emissions&amp;prices'!$H$113:$I$163,2,FALSE)*BX$55</f>
        <v>179224.95590354575</v>
      </c>
      <c r="BY7" s="103">
        <f>VLOOKUP($BL7,'US Grid mix, emissions&amp;prices'!$H$113:$I$163,2,FALSE)*BY$55</f>
        <v>179224.95590354575</v>
      </c>
      <c r="BZ7" s="103">
        <f>VLOOKUP($BL7,'US Grid mix, emissions&amp;prices'!$H$113:$I$163,2,FALSE)*BZ$55</f>
        <v>179224.95590354575</v>
      </c>
      <c r="CA7" s="103">
        <f>VLOOKUP($BL7,'US Grid mix, emissions&amp;prices'!$H$113:$I$163,2,FALSE)*CA$55</f>
        <v>179224.95590354575</v>
      </c>
      <c r="CB7" s="103">
        <f>VLOOKUP($BL7,'US Grid mix, emissions&amp;prices'!$H$113:$I$163,2,FALSE)*CB$55</f>
        <v>179224.95590354575</v>
      </c>
      <c r="CC7" s="103">
        <f>VLOOKUP($BL7,'US Grid mix, emissions&amp;prices'!$H$113:$I$163,2,FALSE)*CC$55</f>
        <v>179224.95590354575</v>
      </c>
      <c r="CD7" s="103">
        <f>VLOOKUP($BL7,'US Grid mix, emissions&amp;prices'!$H$113:$I$163,2,FALSE)*CD$55</f>
        <v>179224.95590354575</v>
      </c>
      <c r="CE7" s="103">
        <f>VLOOKUP($BL7,'US Grid mix, emissions&amp;prices'!$H$113:$I$163,2,FALSE)*CE$55</f>
        <v>179224.95590354575</v>
      </c>
      <c r="CF7" s="103">
        <f>VLOOKUP($BL7,'US Grid mix, emissions&amp;prices'!$H$113:$I$163,2,FALSE)*CF$55</f>
        <v>179224.95590354575</v>
      </c>
      <c r="CG7" s="103">
        <f>VLOOKUP($BL7,'US Grid mix, emissions&amp;prices'!$H$113:$I$163,2,FALSE)*CG$55</f>
        <v>179224.95590354575</v>
      </c>
      <c r="CH7" s="103">
        <f>VLOOKUP($BL7,'US Grid mix, emissions&amp;prices'!$H$113:$I$163,2,FALSE)*CH$55</f>
        <v>179224.95590354575</v>
      </c>
      <c r="CI7" s="103">
        <f>VLOOKUP($BL7,'US Grid mix, emissions&amp;prices'!$H$113:$I$163,2,FALSE)*CI$55</f>
        <v>179224.95590354575</v>
      </c>
      <c r="CJ7" s="103">
        <f>VLOOKUP($BL7,'US Grid mix, emissions&amp;prices'!$H$113:$I$163,2,FALSE)*CJ$55</f>
        <v>179224.95590354575</v>
      </c>
      <c r="CK7" s="103">
        <f>VLOOKUP($BL7,'US Grid mix, emissions&amp;prices'!$H$113:$I$163,2,FALSE)*CK$55</f>
        <v>179224.95590354575</v>
      </c>
      <c r="CL7" s="103">
        <f>VLOOKUP($BL7,'US Grid mix, emissions&amp;prices'!$H$113:$I$163,2,FALSE)*CL$55</f>
        <v>179224.95590354575</v>
      </c>
      <c r="CM7" s="103">
        <f>VLOOKUP($BL7,'US Grid mix, emissions&amp;prices'!$H$113:$I$163,2,FALSE)*CM$55</f>
        <v>179224.95590354575</v>
      </c>
      <c r="CN7" s="103">
        <f>VLOOKUP($BL7,'US Grid mix, emissions&amp;prices'!$H$113:$I$163,2,FALSE)*CN$55</f>
        <v>179224.95590354575</v>
      </c>
    </row>
    <row r="8" spans="1:92" x14ac:dyDescent="0.25">
      <c r="A8" s="123" t="s">
        <v>149</v>
      </c>
      <c r="B8" s="103">
        <f>VLOOKUP($A8,'US Grid mix, emissions&amp;prices'!$H$113:$I$163,2,FALSE)*B$55</f>
        <v>88764.189548477589</v>
      </c>
      <c r="C8" s="103">
        <f>VLOOKUP($A8,'US Grid mix, emissions&amp;prices'!$H$113:$I$163,2,FALSE)*C$55</f>
        <v>88764.189548477589</v>
      </c>
      <c r="D8" s="103">
        <f>VLOOKUP($A8,'US Grid mix, emissions&amp;prices'!$H$113:$I$163,2,FALSE)*D$55</f>
        <v>88764.189548477589</v>
      </c>
      <c r="E8" s="103">
        <f>VLOOKUP($A8,'US Grid mix, emissions&amp;prices'!$H$113:$I$163,2,FALSE)*E$55</f>
        <v>88764.189548477589</v>
      </c>
      <c r="F8" s="103">
        <f>VLOOKUP($A8,'US Grid mix, emissions&amp;prices'!$H$113:$I$163,2,FALSE)*F$55</f>
        <v>88764.189548477589</v>
      </c>
      <c r="G8" s="103">
        <f>VLOOKUP($A8,'US Grid mix, emissions&amp;prices'!$H$113:$I$163,2,FALSE)*G$55</f>
        <v>88764.189548477589</v>
      </c>
      <c r="H8" s="103">
        <f>VLOOKUP($A8,'US Grid mix, emissions&amp;prices'!$H$113:$I$163,2,FALSE)*H$55</f>
        <v>88764.189548477589</v>
      </c>
      <c r="I8" s="103">
        <f>VLOOKUP($A8,'US Grid mix, emissions&amp;prices'!$H$113:$I$163,2,FALSE)*I$55</f>
        <v>88764.189548477589</v>
      </c>
      <c r="J8" s="103">
        <f>VLOOKUP($A8,'US Grid mix, emissions&amp;prices'!$H$113:$I$163,2,FALSE)*J$55</f>
        <v>88764.189548477589</v>
      </c>
      <c r="K8" s="103">
        <f>VLOOKUP($A8,'US Grid mix, emissions&amp;prices'!$H$113:$I$163,2,FALSE)*K$55</f>
        <v>88764.189548477589</v>
      </c>
      <c r="L8" s="103">
        <f>VLOOKUP($A8,'US Grid mix, emissions&amp;prices'!$H$113:$I$163,2,FALSE)*L$55</f>
        <v>88764.189548477589</v>
      </c>
      <c r="M8" s="103">
        <f>VLOOKUP($A8,'US Grid mix, emissions&amp;prices'!$H$113:$I$163,2,FALSE)*M$55</f>
        <v>88764.189548477589</v>
      </c>
      <c r="N8" s="103">
        <f>VLOOKUP($A8,'US Grid mix, emissions&amp;prices'!$H$113:$I$163,2,FALSE)*N$55</f>
        <v>88764.189548477589</v>
      </c>
      <c r="O8" s="103">
        <f>VLOOKUP($A8,'US Grid mix, emissions&amp;prices'!$H$113:$I$163,2,FALSE)*O$55</f>
        <v>88764.189548477589</v>
      </c>
      <c r="P8" s="103">
        <f>VLOOKUP($A8,'US Grid mix, emissions&amp;prices'!$H$113:$I$163,2,FALSE)*P$55</f>
        <v>88764.189548477589</v>
      </c>
      <c r="Q8" s="103">
        <f>VLOOKUP($A8,'US Grid mix, emissions&amp;prices'!$H$113:$I$163,2,FALSE)*Q$55</f>
        <v>88764.189548477589</v>
      </c>
      <c r="R8" s="103">
        <f>VLOOKUP($A8,'US Grid mix, emissions&amp;prices'!$H$113:$I$163,2,FALSE)*R$55</f>
        <v>88764.189548477589</v>
      </c>
      <c r="S8" s="103">
        <f>VLOOKUP($A8,'US Grid mix, emissions&amp;prices'!$H$113:$I$163,2,FALSE)*S$55</f>
        <v>88764.189548477589</v>
      </c>
      <c r="T8" s="103">
        <f>VLOOKUP($A8,'US Grid mix, emissions&amp;prices'!$H$113:$I$163,2,FALSE)*T$55</f>
        <v>88764.189548477589</v>
      </c>
      <c r="U8" s="103">
        <f>VLOOKUP($A8,'US Grid mix, emissions&amp;prices'!$H$113:$I$163,2,FALSE)*U$55</f>
        <v>88764.189548477589</v>
      </c>
      <c r="V8" s="103">
        <f>VLOOKUP($A8,'US Grid mix, emissions&amp;prices'!$H$113:$I$163,2,FALSE)*V$55</f>
        <v>88764.189548477589</v>
      </c>
      <c r="W8" s="103">
        <f>VLOOKUP($A8,'US Grid mix, emissions&amp;prices'!$H$113:$I$163,2,FALSE)*W$55</f>
        <v>88764.189548477589</v>
      </c>
      <c r="X8" s="103">
        <f>VLOOKUP($A8,'US Grid mix, emissions&amp;prices'!$H$113:$I$163,2,FALSE)*X$55</f>
        <v>88764.189548477589</v>
      </c>
      <c r="Y8" s="103">
        <f>VLOOKUP($A8,'US Grid mix, emissions&amp;prices'!$H$113:$I$163,2,FALSE)*Y$55</f>
        <v>88764.189548477589</v>
      </c>
      <c r="Z8" s="103">
        <f>VLOOKUP($A8,'US Grid mix, emissions&amp;prices'!$H$113:$I$163,2,FALSE)*Z$55</f>
        <v>88764.189548477589</v>
      </c>
      <c r="AA8" s="103">
        <f>VLOOKUP($A8,'US Grid mix, emissions&amp;prices'!$H$113:$I$163,2,FALSE)*AA$55</f>
        <v>88764.189548477589</v>
      </c>
      <c r="AB8" s="103">
        <f>VLOOKUP($A8,'US Grid mix, emissions&amp;prices'!$H$113:$I$163,2,FALSE)*AB$55</f>
        <v>88764.189548477589</v>
      </c>
      <c r="AC8" s="103">
        <f>VLOOKUP($A8,'US Grid mix, emissions&amp;prices'!$H$113:$I$163,2,FALSE)*AC$55</f>
        <v>88764.189548477589</v>
      </c>
      <c r="AF8" s="123" t="s">
        <v>149</v>
      </c>
      <c r="AG8" s="103">
        <f>VLOOKUP($AF8,'US Grid mix, emissions&amp;prices'!$H$113:$I$163,2,FALSE)*AG$55</f>
        <v>104041.20074598686</v>
      </c>
      <c r="AH8" s="103">
        <f>VLOOKUP($AF8,'US Grid mix, emissions&amp;prices'!$H$113:$I$163,2,FALSE)*AH$55</f>
        <v>104041.20074598686</v>
      </c>
      <c r="AI8" s="103">
        <f>VLOOKUP($AF8,'US Grid mix, emissions&amp;prices'!$H$113:$I$163,2,FALSE)*AI$55</f>
        <v>104041.20074598686</v>
      </c>
      <c r="AJ8" s="103">
        <f>VLOOKUP($AF8,'US Grid mix, emissions&amp;prices'!$H$113:$I$163,2,FALSE)*AJ$55</f>
        <v>104041.20074598686</v>
      </c>
      <c r="AK8" s="103">
        <f>VLOOKUP($AF8,'US Grid mix, emissions&amp;prices'!$H$113:$I$163,2,FALSE)*AK$55</f>
        <v>104041.20074598686</v>
      </c>
      <c r="AL8" s="103">
        <f>VLOOKUP($AF8,'US Grid mix, emissions&amp;prices'!$H$113:$I$163,2,FALSE)*AL$55</f>
        <v>104041.20074598686</v>
      </c>
      <c r="AM8" s="103">
        <f>VLOOKUP($AF8,'US Grid mix, emissions&amp;prices'!$H$113:$I$163,2,FALSE)*AM$55</f>
        <v>104041.20074598686</v>
      </c>
      <c r="AN8" s="103">
        <f>VLOOKUP($AF8,'US Grid mix, emissions&amp;prices'!$H$113:$I$163,2,FALSE)*AN$55</f>
        <v>104041.20074598686</v>
      </c>
      <c r="AO8" s="103">
        <f>VLOOKUP($AF8,'US Grid mix, emissions&amp;prices'!$H$113:$I$163,2,FALSE)*AO$55</f>
        <v>104041.20074598686</v>
      </c>
      <c r="AP8" s="103">
        <f>VLOOKUP($AF8,'US Grid mix, emissions&amp;prices'!$H$113:$I$163,2,FALSE)*AP$55</f>
        <v>104041.20074598686</v>
      </c>
      <c r="AQ8" s="103">
        <f>VLOOKUP($AF8,'US Grid mix, emissions&amp;prices'!$H$113:$I$163,2,FALSE)*AQ$55</f>
        <v>104041.20074598686</v>
      </c>
      <c r="AR8" s="103">
        <f>VLOOKUP($AF8,'US Grid mix, emissions&amp;prices'!$H$113:$I$163,2,FALSE)*AR$55</f>
        <v>104041.20074598686</v>
      </c>
      <c r="AS8" s="103">
        <f>VLOOKUP($AF8,'US Grid mix, emissions&amp;prices'!$H$113:$I$163,2,FALSE)*AS$55</f>
        <v>104041.20074598686</v>
      </c>
      <c r="AT8" s="103">
        <f>VLOOKUP($AF8,'US Grid mix, emissions&amp;prices'!$H$113:$I$163,2,FALSE)*AT$55</f>
        <v>104041.20074598686</v>
      </c>
      <c r="AU8" s="103">
        <f>VLOOKUP($AF8,'US Grid mix, emissions&amp;prices'!$H$113:$I$163,2,FALSE)*AU$55</f>
        <v>104041.20074598686</v>
      </c>
      <c r="AV8" s="103">
        <f>VLOOKUP($AF8,'US Grid mix, emissions&amp;prices'!$H$113:$I$163,2,FALSE)*AV$55</f>
        <v>104041.20074598686</v>
      </c>
      <c r="AW8" s="103">
        <f>VLOOKUP($AF8,'US Grid mix, emissions&amp;prices'!$H$113:$I$163,2,FALSE)*AW$55</f>
        <v>104041.20074598686</v>
      </c>
      <c r="AX8" s="103">
        <f>VLOOKUP($AF8,'US Grid mix, emissions&amp;prices'!$H$113:$I$163,2,FALSE)*AX$55</f>
        <v>104041.20074598686</v>
      </c>
      <c r="AY8" s="103">
        <f>VLOOKUP($AF8,'US Grid mix, emissions&amp;prices'!$H$113:$I$163,2,FALSE)*AY$55</f>
        <v>104041.20074598686</v>
      </c>
      <c r="AZ8" s="103">
        <f>VLOOKUP($AF8,'US Grid mix, emissions&amp;prices'!$H$113:$I$163,2,FALSE)*AZ$55</f>
        <v>104041.20074598686</v>
      </c>
      <c r="BA8" s="103">
        <f>VLOOKUP($AF8,'US Grid mix, emissions&amp;prices'!$H$113:$I$163,2,FALSE)*BA$55</f>
        <v>104041.20074598686</v>
      </c>
      <c r="BB8" s="103">
        <f>VLOOKUP($AF8,'US Grid mix, emissions&amp;prices'!$H$113:$I$163,2,FALSE)*BB$55</f>
        <v>104041.20074598686</v>
      </c>
      <c r="BC8" s="103">
        <f>VLOOKUP($AF8,'US Grid mix, emissions&amp;prices'!$H$113:$I$163,2,FALSE)*BC$55</f>
        <v>104041.20074598686</v>
      </c>
      <c r="BD8" s="103">
        <f>VLOOKUP($AF8,'US Grid mix, emissions&amp;prices'!$H$113:$I$163,2,FALSE)*BD$55</f>
        <v>104041.20074598686</v>
      </c>
      <c r="BE8" s="103">
        <f>VLOOKUP($AF8,'US Grid mix, emissions&amp;prices'!$H$113:$I$163,2,FALSE)*BE$55</f>
        <v>104041.20074598686</v>
      </c>
      <c r="BF8" s="103">
        <f>VLOOKUP($AF8,'US Grid mix, emissions&amp;prices'!$H$113:$I$163,2,FALSE)*BF$55</f>
        <v>104041.20074598686</v>
      </c>
      <c r="BG8" s="103">
        <f>VLOOKUP($AF8,'US Grid mix, emissions&amp;prices'!$H$113:$I$163,2,FALSE)*BG$55</f>
        <v>104041.20074598686</v>
      </c>
      <c r="BH8" s="103">
        <f>VLOOKUP($AF8,'US Grid mix, emissions&amp;prices'!$H$113:$I$163,2,FALSE)*BH$55</f>
        <v>104041.20074598686</v>
      </c>
      <c r="BL8" s="123" t="s">
        <v>149</v>
      </c>
      <c r="BM8" s="103">
        <f>VLOOKUP($BL8,'US Grid mix, emissions&amp;prices'!$H$113:$I$163,2,FALSE)*BM$55</f>
        <v>77345.709612287203</v>
      </c>
      <c r="BN8" s="103">
        <f>VLOOKUP($BL8,'US Grid mix, emissions&amp;prices'!$H$113:$I$163,2,FALSE)*BN$55</f>
        <v>77345.709612287203</v>
      </c>
      <c r="BO8" s="103">
        <f>VLOOKUP($BL8,'US Grid mix, emissions&amp;prices'!$H$113:$I$163,2,FALSE)*BO$55</f>
        <v>77345.709612287203</v>
      </c>
      <c r="BP8" s="103">
        <f>VLOOKUP($BL8,'US Grid mix, emissions&amp;prices'!$H$113:$I$163,2,FALSE)*BP$55</f>
        <v>77345.709612287203</v>
      </c>
      <c r="BQ8" s="103">
        <f>VLOOKUP($BL8,'US Grid mix, emissions&amp;prices'!$H$113:$I$163,2,FALSE)*BQ$55</f>
        <v>77345.709612287203</v>
      </c>
      <c r="BR8" s="103">
        <f>VLOOKUP($BL8,'US Grid mix, emissions&amp;prices'!$H$113:$I$163,2,FALSE)*BR$55</f>
        <v>77345.709612287203</v>
      </c>
      <c r="BS8" s="103">
        <f>VLOOKUP($BL8,'US Grid mix, emissions&amp;prices'!$H$113:$I$163,2,FALSE)*BS$55</f>
        <v>77345.709612287203</v>
      </c>
      <c r="BT8" s="103">
        <f>VLOOKUP($BL8,'US Grid mix, emissions&amp;prices'!$H$113:$I$163,2,FALSE)*BT$55</f>
        <v>77345.709612287203</v>
      </c>
      <c r="BU8" s="103">
        <f>VLOOKUP($BL8,'US Grid mix, emissions&amp;prices'!$H$113:$I$163,2,FALSE)*BU$55</f>
        <v>77345.709612287203</v>
      </c>
      <c r="BV8" s="103">
        <f>VLOOKUP($BL8,'US Grid mix, emissions&amp;prices'!$H$113:$I$163,2,FALSE)*BV$55</f>
        <v>77345.709612287203</v>
      </c>
      <c r="BW8" s="103">
        <f>VLOOKUP($BL8,'US Grid mix, emissions&amp;prices'!$H$113:$I$163,2,FALSE)*BW$55</f>
        <v>77345.709612287203</v>
      </c>
      <c r="BX8" s="103">
        <f>VLOOKUP($BL8,'US Grid mix, emissions&amp;prices'!$H$113:$I$163,2,FALSE)*BX$55</f>
        <v>77345.709612287203</v>
      </c>
      <c r="BY8" s="103">
        <f>VLOOKUP($BL8,'US Grid mix, emissions&amp;prices'!$H$113:$I$163,2,FALSE)*BY$55</f>
        <v>77345.709612287203</v>
      </c>
      <c r="BZ8" s="103">
        <f>VLOOKUP($BL8,'US Grid mix, emissions&amp;prices'!$H$113:$I$163,2,FALSE)*BZ$55</f>
        <v>77345.709612287203</v>
      </c>
      <c r="CA8" s="103">
        <f>VLOOKUP($BL8,'US Grid mix, emissions&amp;prices'!$H$113:$I$163,2,FALSE)*CA$55</f>
        <v>77345.709612287203</v>
      </c>
      <c r="CB8" s="103">
        <f>VLOOKUP($BL8,'US Grid mix, emissions&amp;prices'!$H$113:$I$163,2,FALSE)*CB$55</f>
        <v>77345.709612287203</v>
      </c>
      <c r="CC8" s="103">
        <f>VLOOKUP($BL8,'US Grid mix, emissions&amp;prices'!$H$113:$I$163,2,FALSE)*CC$55</f>
        <v>77345.709612287203</v>
      </c>
      <c r="CD8" s="103">
        <f>VLOOKUP($BL8,'US Grid mix, emissions&amp;prices'!$H$113:$I$163,2,FALSE)*CD$55</f>
        <v>77345.709612287203</v>
      </c>
      <c r="CE8" s="103">
        <f>VLOOKUP($BL8,'US Grid mix, emissions&amp;prices'!$H$113:$I$163,2,FALSE)*CE$55</f>
        <v>77345.709612287203</v>
      </c>
      <c r="CF8" s="103">
        <f>VLOOKUP($BL8,'US Grid mix, emissions&amp;prices'!$H$113:$I$163,2,FALSE)*CF$55</f>
        <v>77345.709612287203</v>
      </c>
      <c r="CG8" s="103">
        <f>VLOOKUP($BL8,'US Grid mix, emissions&amp;prices'!$H$113:$I$163,2,FALSE)*CG$55</f>
        <v>77345.709612287203</v>
      </c>
      <c r="CH8" s="103">
        <f>VLOOKUP($BL8,'US Grid mix, emissions&amp;prices'!$H$113:$I$163,2,FALSE)*CH$55</f>
        <v>77345.709612287203</v>
      </c>
      <c r="CI8" s="103">
        <f>VLOOKUP($BL8,'US Grid mix, emissions&amp;prices'!$H$113:$I$163,2,FALSE)*CI$55</f>
        <v>77345.709612287203</v>
      </c>
      <c r="CJ8" s="103">
        <f>VLOOKUP($BL8,'US Grid mix, emissions&amp;prices'!$H$113:$I$163,2,FALSE)*CJ$55</f>
        <v>77345.709612287203</v>
      </c>
      <c r="CK8" s="103">
        <f>VLOOKUP($BL8,'US Grid mix, emissions&amp;prices'!$H$113:$I$163,2,FALSE)*CK$55</f>
        <v>77345.709612287203</v>
      </c>
      <c r="CL8" s="103">
        <f>VLOOKUP($BL8,'US Grid mix, emissions&amp;prices'!$H$113:$I$163,2,FALSE)*CL$55</f>
        <v>77345.709612287203</v>
      </c>
      <c r="CM8" s="103">
        <f>VLOOKUP($BL8,'US Grid mix, emissions&amp;prices'!$H$113:$I$163,2,FALSE)*CM$55</f>
        <v>77345.709612287203</v>
      </c>
      <c r="CN8" s="103">
        <f>VLOOKUP($BL8,'US Grid mix, emissions&amp;prices'!$H$113:$I$163,2,FALSE)*CN$55</f>
        <v>77345.709612287203</v>
      </c>
    </row>
    <row r="9" spans="1:92" x14ac:dyDescent="0.25">
      <c r="A9" s="123" t="s">
        <v>190</v>
      </c>
      <c r="B9" s="103">
        <f>VLOOKUP($A9,'US Grid mix, emissions&amp;prices'!$H$113:$I$163,2,FALSE)*B$55</f>
        <v>206389.89711854872</v>
      </c>
      <c r="C9" s="103">
        <f>VLOOKUP($A9,'US Grid mix, emissions&amp;prices'!$H$113:$I$163,2,FALSE)*C$55</f>
        <v>206389.89711854872</v>
      </c>
      <c r="D9" s="103">
        <f>VLOOKUP($A9,'US Grid mix, emissions&amp;prices'!$H$113:$I$163,2,FALSE)*D$55</f>
        <v>206389.89711854872</v>
      </c>
      <c r="E9" s="103">
        <f>VLOOKUP($A9,'US Grid mix, emissions&amp;prices'!$H$113:$I$163,2,FALSE)*E$55</f>
        <v>206389.89711854872</v>
      </c>
      <c r="F9" s="103">
        <f>VLOOKUP($A9,'US Grid mix, emissions&amp;prices'!$H$113:$I$163,2,FALSE)*F$55</f>
        <v>206389.89711854872</v>
      </c>
      <c r="G9" s="103">
        <f>VLOOKUP($A9,'US Grid mix, emissions&amp;prices'!$H$113:$I$163,2,FALSE)*G$55</f>
        <v>206389.89711854872</v>
      </c>
      <c r="H9" s="103">
        <f>VLOOKUP($A9,'US Grid mix, emissions&amp;prices'!$H$113:$I$163,2,FALSE)*H$55</f>
        <v>206389.89711854872</v>
      </c>
      <c r="I9" s="103">
        <f>VLOOKUP($A9,'US Grid mix, emissions&amp;prices'!$H$113:$I$163,2,FALSE)*I$55</f>
        <v>206389.89711854872</v>
      </c>
      <c r="J9" s="103">
        <f>VLOOKUP($A9,'US Grid mix, emissions&amp;prices'!$H$113:$I$163,2,FALSE)*J$55</f>
        <v>206389.89711854872</v>
      </c>
      <c r="K9" s="103">
        <f>VLOOKUP($A9,'US Grid mix, emissions&amp;prices'!$H$113:$I$163,2,FALSE)*K$55</f>
        <v>206389.89711854872</v>
      </c>
      <c r="L9" s="103">
        <f>VLOOKUP($A9,'US Grid mix, emissions&amp;prices'!$H$113:$I$163,2,FALSE)*L$55</f>
        <v>206389.89711854872</v>
      </c>
      <c r="M9" s="103">
        <f>VLOOKUP($A9,'US Grid mix, emissions&amp;prices'!$H$113:$I$163,2,FALSE)*M$55</f>
        <v>206389.89711854872</v>
      </c>
      <c r="N9" s="103">
        <f>VLOOKUP($A9,'US Grid mix, emissions&amp;prices'!$H$113:$I$163,2,FALSE)*N$55</f>
        <v>206389.89711854872</v>
      </c>
      <c r="O9" s="103">
        <f>VLOOKUP($A9,'US Grid mix, emissions&amp;prices'!$H$113:$I$163,2,FALSE)*O$55</f>
        <v>206389.89711854872</v>
      </c>
      <c r="P9" s="103">
        <f>VLOOKUP($A9,'US Grid mix, emissions&amp;prices'!$H$113:$I$163,2,FALSE)*P$55</f>
        <v>206389.89711854872</v>
      </c>
      <c r="Q9" s="103">
        <f>VLOOKUP($A9,'US Grid mix, emissions&amp;prices'!$H$113:$I$163,2,FALSE)*Q$55</f>
        <v>206389.89711854872</v>
      </c>
      <c r="R9" s="103">
        <f>VLOOKUP($A9,'US Grid mix, emissions&amp;prices'!$H$113:$I$163,2,FALSE)*R$55</f>
        <v>206389.89711854872</v>
      </c>
      <c r="S9" s="103">
        <f>VLOOKUP($A9,'US Grid mix, emissions&amp;prices'!$H$113:$I$163,2,FALSE)*S$55</f>
        <v>206389.89711854872</v>
      </c>
      <c r="T9" s="103">
        <f>VLOOKUP($A9,'US Grid mix, emissions&amp;prices'!$H$113:$I$163,2,FALSE)*T$55</f>
        <v>206389.89711854872</v>
      </c>
      <c r="U9" s="103">
        <f>VLOOKUP($A9,'US Grid mix, emissions&amp;prices'!$H$113:$I$163,2,FALSE)*U$55</f>
        <v>206389.89711854872</v>
      </c>
      <c r="V9" s="103">
        <f>VLOOKUP($A9,'US Grid mix, emissions&amp;prices'!$H$113:$I$163,2,FALSE)*V$55</f>
        <v>206389.89711854872</v>
      </c>
      <c r="W9" s="103">
        <f>VLOOKUP($A9,'US Grid mix, emissions&amp;prices'!$H$113:$I$163,2,FALSE)*W$55</f>
        <v>206389.89711854872</v>
      </c>
      <c r="X9" s="103">
        <f>VLOOKUP($A9,'US Grid mix, emissions&amp;prices'!$H$113:$I$163,2,FALSE)*X$55</f>
        <v>206389.89711854872</v>
      </c>
      <c r="Y9" s="103">
        <f>VLOOKUP($A9,'US Grid mix, emissions&amp;prices'!$H$113:$I$163,2,FALSE)*Y$55</f>
        <v>206389.89711854872</v>
      </c>
      <c r="Z9" s="103">
        <f>VLOOKUP($A9,'US Grid mix, emissions&amp;prices'!$H$113:$I$163,2,FALSE)*Z$55</f>
        <v>206389.89711854872</v>
      </c>
      <c r="AA9" s="103">
        <f>VLOOKUP($A9,'US Grid mix, emissions&amp;prices'!$H$113:$I$163,2,FALSE)*AA$55</f>
        <v>206389.89711854872</v>
      </c>
      <c r="AB9" s="103">
        <f>VLOOKUP($A9,'US Grid mix, emissions&amp;prices'!$H$113:$I$163,2,FALSE)*AB$55</f>
        <v>206389.89711854872</v>
      </c>
      <c r="AC9" s="103">
        <f>VLOOKUP($A9,'US Grid mix, emissions&amp;prices'!$H$113:$I$163,2,FALSE)*AC$55</f>
        <v>206389.89711854872</v>
      </c>
      <c r="AF9" s="123" t="s">
        <v>190</v>
      </c>
      <c r="AG9" s="103">
        <f>VLOOKUP($AF9,'US Grid mix, emissions&amp;prices'!$H$113:$I$163,2,FALSE)*AG$55</f>
        <v>241911.21247524297</v>
      </c>
      <c r="AH9" s="103">
        <f>VLOOKUP($AF9,'US Grid mix, emissions&amp;prices'!$H$113:$I$163,2,FALSE)*AH$55</f>
        <v>241911.21247524297</v>
      </c>
      <c r="AI9" s="103">
        <f>VLOOKUP($AF9,'US Grid mix, emissions&amp;prices'!$H$113:$I$163,2,FALSE)*AI$55</f>
        <v>241911.21247524297</v>
      </c>
      <c r="AJ9" s="103">
        <f>VLOOKUP($AF9,'US Grid mix, emissions&amp;prices'!$H$113:$I$163,2,FALSE)*AJ$55</f>
        <v>241911.21247524297</v>
      </c>
      <c r="AK9" s="103">
        <f>VLOOKUP($AF9,'US Grid mix, emissions&amp;prices'!$H$113:$I$163,2,FALSE)*AK$55</f>
        <v>241911.21247524297</v>
      </c>
      <c r="AL9" s="103">
        <f>VLOOKUP($AF9,'US Grid mix, emissions&amp;prices'!$H$113:$I$163,2,FALSE)*AL$55</f>
        <v>241911.21247524297</v>
      </c>
      <c r="AM9" s="103">
        <f>VLOOKUP($AF9,'US Grid mix, emissions&amp;prices'!$H$113:$I$163,2,FALSE)*AM$55</f>
        <v>241911.21247524297</v>
      </c>
      <c r="AN9" s="103">
        <f>VLOOKUP($AF9,'US Grid mix, emissions&amp;prices'!$H$113:$I$163,2,FALSE)*AN$55</f>
        <v>241911.21247524297</v>
      </c>
      <c r="AO9" s="103">
        <f>VLOOKUP($AF9,'US Grid mix, emissions&amp;prices'!$H$113:$I$163,2,FALSE)*AO$55</f>
        <v>241911.21247524297</v>
      </c>
      <c r="AP9" s="103">
        <f>VLOOKUP($AF9,'US Grid mix, emissions&amp;prices'!$H$113:$I$163,2,FALSE)*AP$55</f>
        <v>241911.21247524297</v>
      </c>
      <c r="AQ9" s="103">
        <f>VLOOKUP($AF9,'US Grid mix, emissions&amp;prices'!$H$113:$I$163,2,FALSE)*AQ$55</f>
        <v>241911.21247524297</v>
      </c>
      <c r="AR9" s="103">
        <f>VLOOKUP($AF9,'US Grid mix, emissions&amp;prices'!$H$113:$I$163,2,FALSE)*AR$55</f>
        <v>241911.21247524297</v>
      </c>
      <c r="AS9" s="103">
        <f>VLOOKUP($AF9,'US Grid mix, emissions&amp;prices'!$H$113:$I$163,2,FALSE)*AS$55</f>
        <v>241911.21247524297</v>
      </c>
      <c r="AT9" s="103">
        <f>VLOOKUP($AF9,'US Grid mix, emissions&amp;prices'!$H$113:$I$163,2,FALSE)*AT$55</f>
        <v>241911.21247524297</v>
      </c>
      <c r="AU9" s="103">
        <f>VLOOKUP($AF9,'US Grid mix, emissions&amp;prices'!$H$113:$I$163,2,FALSE)*AU$55</f>
        <v>241911.21247524297</v>
      </c>
      <c r="AV9" s="103">
        <f>VLOOKUP($AF9,'US Grid mix, emissions&amp;prices'!$H$113:$I$163,2,FALSE)*AV$55</f>
        <v>241911.21247524297</v>
      </c>
      <c r="AW9" s="103">
        <f>VLOOKUP($AF9,'US Grid mix, emissions&amp;prices'!$H$113:$I$163,2,FALSE)*AW$55</f>
        <v>241911.21247524297</v>
      </c>
      <c r="AX9" s="103">
        <f>VLOOKUP($AF9,'US Grid mix, emissions&amp;prices'!$H$113:$I$163,2,FALSE)*AX$55</f>
        <v>241911.21247524297</v>
      </c>
      <c r="AY9" s="103">
        <f>VLOOKUP($AF9,'US Grid mix, emissions&amp;prices'!$H$113:$I$163,2,FALSE)*AY$55</f>
        <v>241911.21247524297</v>
      </c>
      <c r="AZ9" s="103">
        <f>VLOOKUP($AF9,'US Grid mix, emissions&amp;prices'!$H$113:$I$163,2,FALSE)*AZ$55</f>
        <v>241911.21247524297</v>
      </c>
      <c r="BA9" s="103">
        <f>VLOOKUP($AF9,'US Grid mix, emissions&amp;prices'!$H$113:$I$163,2,FALSE)*BA$55</f>
        <v>241911.21247524297</v>
      </c>
      <c r="BB9" s="103">
        <f>VLOOKUP($AF9,'US Grid mix, emissions&amp;prices'!$H$113:$I$163,2,FALSE)*BB$55</f>
        <v>241911.21247524297</v>
      </c>
      <c r="BC9" s="103">
        <f>VLOOKUP($AF9,'US Grid mix, emissions&amp;prices'!$H$113:$I$163,2,FALSE)*BC$55</f>
        <v>241911.21247524297</v>
      </c>
      <c r="BD9" s="103">
        <f>VLOOKUP($AF9,'US Grid mix, emissions&amp;prices'!$H$113:$I$163,2,FALSE)*BD$55</f>
        <v>241911.21247524297</v>
      </c>
      <c r="BE9" s="103">
        <f>VLOOKUP($AF9,'US Grid mix, emissions&amp;prices'!$H$113:$I$163,2,FALSE)*BE$55</f>
        <v>241911.21247524297</v>
      </c>
      <c r="BF9" s="103">
        <f>VLOOKUP($AF9,'US Grid mix, emissions&amp;prices'!$H$113:$I$163,2,FALSE)*BF$55</f>
        <v>241911.21247524297</v>
      </c>
      <c r="BG9" s="103">
        <f>VLOOKUP($AF9,'US Grid mix, emissions&amp;prices'!$H$113:$I$163,2,FALSE)*BG$55</f>
        <v>241911.21247524297</v>
      </c>
      <c r="BH9" s="103">
        <f>VLOOKUP($AF9,'US Grid mix, emissions&amp;prices'!$H$113:$I$163,2,FALSE)*BH$55</f>
        <v>241911.21247524297</v>
      </c>
      <c r="BL9" s="123" t="s">
        <v>190</v>
      </c>
      <c r="BM9" s="103">
        <f>VLOOKUP($BL9,'US Grid mix, emissions&amp;prices'!$H$113:$I$163,2,FALSE)*BM$55</f>
        <v>179840.23884680297</v>
      </c>
      <c r="BN9" s="103">
        <f>VLOOKUP($BL9,'US Grid mix, emissions&amp;prices'!$H$113:$I$163,2,FALSE)*BN$55</f>
        <v>179840.23884680297</v>
      </c>
      <c r="BO9" s="103">
        <f>VLOOKUP($BL9,'US Grid mix, emissions&amp;prices'!$H$113:$I$163,2,FALSE)*BO$55</f>
        <v>179840.23884680297</v>
      </c>
      <c r="BP9" s="103">
        <f>VLOOKUP($BL9,'US Grid mix, emissions&amp;prices'!$H$113:$I$163,2,FALSE)*BP$55</f>
        <v>179840.23884680297</v>
      </c>
      <c r="BQ9" s="103">
        <f>VLOOKUP($BL9,'US Grid mix, emissions&amp;prices'!$H$113:$I$163,2,FALSE)*BQ$55</f>
        <v>179840.23884680297</v>
      </c>
      <c r="BR9" s="103">
        <f>VLOOKUP($BL9,'US Grid mix, emissions&amp;prices'!$H$113:$I$163,2,FALSE)*BR$55</f>
        <v>179840.23884680297</v>
      </c>
      <c r="BS9" s="103">
        <f>VLOOKUP($BL9,'US Grid mix, emissions&amp;prices'!$H$113:$I$163,2,FALSE)*BS$55</f>
        <v>179840.23884680297</v>
      </c>
      <c r="BT9" s="103">
        <f>VLOOKUP($BL9,'US Grid mix, emissions&amp;prices'!$H$113:$I$163,2,FALSE)*BT$55</f>
        <v>179840.23884680297</v>
      </c>
      <c r="BU9" s="103">
        <f>VLOOKUP($BL9,'US Grid mix, emissions&amp;prices'!$H$113:$I$163,2,FALSE)*BU$55</f>
        <v>179840.23884680297</v>
      </c>
      <c r="BV9" s="103">
        <f>VLOOKUP($BL9,'US Grid mix, emissions&amp;prices'!$H$113:$I$163,2,FALSE)*BV$55</f>
        <v>179840.23884680297</v>
      </c>
      <c r="BW9" s="103">
        <f>VLOOKUP($BL9,'US Grid mix, emissions&amp;prices'!$H$113:$I$163,2,FALSE)*BW$55</f>
        <v>179840.23884680297</v>
      </c>
      <c r="BX9" s="103">
        <f>VLOOKUP($BL9,'US Grid mix, emissions&amp;prices'!$H$113:$I$163,2,FALSE)*BX$55</f>
        <v>179840.23884680297</v>
      </c>
      <c r="BY9" s="103">
        <f>VLOOKUP($BL9,'US Grid mix, emissions&amp;prices'!$H$113:$I$163,2,FALSE)*BY$55</f>
        <v>179840.23884680297</v>
      </c>
      <c r="BZ9" s="103">
        <f>VLOOKUP($BL9,'US Grid mix, emissions&amp;prices'!$H$113:$I$163,2,FALSE)*BZ$55</f>
        <v>179840.23884680297</v>
      </c>
      <c r="CA9" s="103">
        <f>VLOOKUP($BL9,'US Grid mix, emissions&amp;prices'!$H$113:$I$163,2,FALSE)*CA$55</f>
        <v>179840.23884680297</v>
      </c>
      <c r="CB9" s="103">
        <f>VLOOKUP($BL9,'US Grid mix, emissions&amp;prices'!$H$113:$I$163,2,FALSE)*CB$55</f>
        <v>179840.23884680297</v>
      </c>
      <c r="CC9" s="103">
        <f>VLOOKUP($BL9,'US Grid mix, emissions&amp;prices'!$H$113:$I$163,2,FALSE)*CC$55</f>
        <v>179840.23884680297</v>
      </c>
      <c r="CD9" s="103">
        <f>VLOOKUP($BL9,'US Grid mix, emissions&amp;prices'!$H$113:$I$163,2,FALSE)*CD$55</f>
        <v>179840.23884680297</v>
      </c>
      <c r="CE9" s="103">
        <f>VLOOKUP($BL9,'US Grid mix, emissions&amp;prices'!$H$113:$I$163,2,FALSE)*CE$55</f>
        <v>179840.23884680297</v>
      </c>
      <c r="CF9" s="103">
        <f>VLOOKUP($BL9,'US Grid mix, emissions&amp;prices'!$H$113:$I$163,2,FALSE)*CF$55</f>
        <v>179840.23884680297</v>
      </c>
      <c r="CG9" s="103">
        <f>VLOOKUP($BL9,'US Grid mix, emissions&amp;prices'!$H$113:$I$163,2,FALSE)*CG$55</f>
        <v>179840.23884680297</v>
      </c>
      <c r="CH9" s="103">
        <f>VLOOKUP($BL9,'US Grid mix, emissions&amp;prices'!$H$113:$I$163,2,FALSE)*CH$55</f>
        <v>179840.23884680297</v>
      </c>
      <c r="CI9" s="103">
        <f>VLOOKUP($BL9,'US Grid mix, emissions&amp;prices'!$H$113:$I$163,2,FALSE)*CI$55</f>
        <v>179840.23884680297</v>
      </c>
      <c r="CJ9" s="103">
        <f>VLOOKUP($BL9,'US Grid mix, emissions&amp;prices'!$H$113:$I$163,2,FALSE)*CJ$55</f>
        <v>179840.23884680297</v>
      </c>
      <c r="CK9" s="103">
        <f>VLOOKUP($BL9,'US Grid mix, emissions&amp;prices'!$H$113:$I$163,2,FALSE)*CK$55</f>
        <v>179840.23884680297</v>
      </c>
      <c r="CL9" s="103">
        <f>VLOOKUP($BL9,'US Grid mix, emissions&amp;prices'!$H$113:$I$163,2,FALSE)*CL$55</f>
        <v>179840.23884680297</v>
      </c>
      <c r="CM9" s="103">
        <f>VLOOKUP($BL9,'US Grid mix, emissions&amp;prices'!$H$113:$I$163,2,FALSE)*CM$55</f>
        <v>179840.23884680297</v>
      </c>
      <c r="CN9" s="103">
        <f>VLOOKUP($BL9,'US Grid mix, emissions&amp;prices'!$H$113:$I$163,2,FALSE)*CN$55</f>
        <v>179840.23884680297</v>
      </c>
    </row>
    <row r="10" spans="1:92" x14ac:dyDescent="0.25">
      <c r="A10" s="123" t="s">
        <v>191</v>
      </c>
      <c r="B10" s="103">
        <f>VLOOKUP($A10,'US Grid mix, emissions&amp;prices'!$H$113:$I$163,2,FALSE)*B$55</f>
        <v>126242.99504473609</v>
      </c>
      <c r="C10" s="103">
        <f>VLOOKUP($A10,'US Grid mix, emissions&amp;prices'!$H$113:$I$163,2,FALSE)*C$55</f>
        <v>126242.99504473609</v>
      </c>
      <c r="D10" s="103">
        <f>VLOOKUP($A10,'US Grid mix, emissions&amp;prices'!$H$113:$I$163,2,FALSE)*D$55</f>
        <v>126242.99504473609</v>
      </c>
      <c r="E10" s="103">
        <f>VLOOKUP($A10,'US Grid mix, emissions&amp;prices'!$H$113:$I$163,2,FALSE)*E$55</f>
        <v>126242.99504473609</v>
      </c>
      <c r="F10" s="103">
        <f>VLOOKUP($A10,'US Grid mix, emissions&amp;prices'!$H$113:$I$163,2,FALSE)*F$55</f>
        <v>126242.99504473609</v>
      </c>
      <c r="G10" s="103">
        <f>VLOOKUP($A10,'US Grid mix, emissions&amp;prices'!$H$113:$I$163,2,FALSE)*G$55</f>
        <v>126242.99504473609</v>
      </c>
      <c r="H10" s="103">
        <f>VLOOKUP($A10,'US Grid mix, emissions&amp;prices'!$H$113:$I$163,2,FALSE)*H$55</f>
        <v>126242.99504473609</v>
      </c>
      <c r="I10" s="103">
        <f>VLOOKUP($A10,'US Grid mix, emissions&amp;prices'!$H$113:$I$163,2,FALSE)*I$55</f>
        <v>126242.99504473609</v>
      </c>
      <c r="J10" s="103">
        <f>VLOOKUP($A10,'US Grid mix, emissions&amp;prices'!$H$113:$I$163,2,FALSE)*J$55</f>
        <v>126242.99504473609</v>
      </c>
      <c r="K10" s="103">
        <f>VLOOKUP($A10,'US Grid mix, emissions&amp;prices'!$H$113:$I$163,2,FALSE)*K$55</f>
        <v>126242.99504473609</v>
      </c>
      <c r="L10" s="103">
        <f>VLOOKUP($A10,'US Grid mix, emissions&amp;prices'!$H$113:$I$163,2,FALSE)*L$55</f>
        <v>126242.99504473609</v>
      </c>
      <c r="M10" s="103">
        <f>VLOOKUP($A10,'US Grid mix, emissions&amp;prices'!$H$113:$I$163,2,FALSE)*M$55</f>
        <v>126242.99504473609</v>
      </c>
      <c r="N10" s="103">
        <f>VLOOKUP($A10,'US Grid mix, emissions&amp;prices'!$H$113:$I$163,2,FALSE)*N$55</f>
        <v>126242.99504473609</v>
      </c>
      <c r="O10" s="103">
        <f>VLOOKUP($A10,'US Grid mix, emissions&amp;prices'!$H$113:$I$163,2,FALSE)*O$55</f>
        <v>126242.99504473609</v>
      </c>
      <c r="P10" s="103">
        <f>VLOOKUP($A10,'US Grid mix, emissions&amp;prices'!$H$113:$I$163,2,FALSE)*P$55</f>
        <v>126242.99504473609</v>
      </c>
      <c r="Q10" s="103">
        <f>VLOOKUP($A10,'US Grid mix, emissions&amp;prices'!$H$113:$I$163,2,FALSE)*Q$55</f>
        <v>126242.99504473609</v>
      </c>
      <c r="R10" s="103">
        <f>VLOOKUP($A10,'US Grid mix, emissions&amp;prices'!$H$113:$I$163,2,FALSE)*R$55</f>
        <v>126242.99504473609</v>
      </c>
      <c r="S10" s="103">
        <f>VLOOKUP($A10,'US Grid mix, emissions&amp;prices'!$H$113:$I$163,2,FALSE)*S$55</f>
        <v>126242.99504473609</v>
      </c>
      <c r="T10" s="103">
        <f>VLOOKUP($A10,'US Grid mix, emissions&amp;prices'!$H$113:$I$163,2,FALSE)*T$55</f>
        <v>126242.99504473609</v>
      </c>
      <c r="U10" s="103">
        <f>VLOOKUP($A10,'US Grid mix, emissions&amp;prices'!$H$113:$I$163,2,FALSE)*U$55</f>
        <v>126242.99504473609</v>
      </c>
      <c r="V10" s="103">
        <f>VLOOKUP($A10,'US Grid mix, emissions&amp;prices'!$H$113:$I$163,2,FALSE)*V$55</f>
        <v>126242.99504473609</v>
      </c>
      <c r="W10" s="103">
        <f>VLOOKUP($A10,'US Grid mix, emissions&amp;prices'!$H$113:$I$163,2,FALSE)*W$55</f>
        <v>126242.99504473609</v>
      </c>
      <c r="X10" s="103">
        <f>VLOOKUP($A10,'US Grid mix, emissions&amp;prices'!$H$113:$I$163,2,FALSE)*X$55</f>
        <v>126242.99504473609</v>
      </c>
      <c r="Y10" s="103">
        <f>VLOOKUP($A10,'US Grid mix, emissions&amp;prices'!$H$113:$I$163,2,FALSE)*Y$55</f>
        <v>126242.99504473609</v>
      </c>
      <c r="Z10" s="103">
        <f>VLOOKUP($A10,'US Grid mix, emissions&amp;prices'!$H$113:$I$163,2,FALSE)*Z$55</f>
        <v>126242.99504473609</v>
      </c>
      <c r="AA10" s="103">
        <f>VLOOKUP($A10,'US Grid mix, emissions&amp;prices'!$H$113:$I$163,2,FALSE)*AA$55</f>
        <v>126242.99504473609</v>
      </c>
      <c r="AB10" s="103">
        <f>VLOOKUP($A10,'US Grid mix, emissions&amp;prices'!$H$113:$I$163,2,FALSE)*AB$55</f>
        <v>126242.99504473609</v>
      </c>
      <c r="AC10" s="103">
        <f>VLOOKUP($A10,'US Grid mix, emissions&amp;prices'!$H$113:$I$163,2,FALSE)*AC$55</f>
        <v>126242.99504473609</v>
      </c>
      <c r="AF10" s="123" t="s">
        <v>191</v>
      </c>
      <c r="AG10" s="103">
        <f>VLOOKUP($AF10,'US Grid mix, emissions&amp;prices'!$H$113:$I$163,2,FALSE)*AG$55</f>
        <v>147970.40176940683</v>
      </c>
      <c r="AH10" s="103">
        <f>VLOOKUP($AF10,'US Grid mix, emissions&amp;prices'!$H$113:$I$163,2,FALSE)*AH$55</f>
        <v>147970.40176940683</v>
      </c>
      <c r="AI10" s="103">
        <f>VLOOKUP($AF10,'US Grid mix, emissions&amp;prices'!$H$113:$I$163,2,FALSE)*AI$55</f>
        <v>147970.40176940683</v>
      </c>
      <c r="AJ10" s="103">
        <f>VLOOKUP($AF10,'US Grid mix, emissions&amp;prices'!$H$113:$I$163,2,FALSE)*AJ$55</f>
        <v>147970.40176940683</v>
      </c>
      <c r="AK10" s="103">
        <f>VLOOKUP($AF10,'US Grid mix, emissions&amp;prices'!$H$113:$I$163,2,FALSE)*AK$55</f>
        <v>147970.40176940683</v>
      </c>
      <c r="AL10" s="103">
        <f>VLOOKUP($AF10,'US Grid mix, emissions&amp;prices'!$H$113:$I$163,2,FALSE)*AL$55</f>
        <v>147970.40176940683</v>
      </c>
      <c r="AM10" s="103">
        <f>VLOOKUP($AF10,'US Grid mix, emissions&amp;prices'!$H$113:$I$163,2,FALSE)*AM$55</f>
        <v>147970.40176940683</v>
      </c>
      <c r="AN10" s="103">
        <f>VLOOKUP($AF10,'US Grid mix, emissions&amp;prices'!$H$113:$I$163,2,FALSE)*AN$55</f>
        <v>147970.40176940683</v>
      </c>
      <c r="AO10" s="103">
        <f>VLOOKUP($AF10,'US Grid mix, emissions&amp;prices'!$H$113:$I$163,2,FALSE)*AO$55</f>
        <v>147970.40176940683</v>
      </c>
      <c r="AP10" s="103">
        <f>VLOOKUP($AF10,'US Grid mix, emissions&amp;prices'!$H$113:$I$163,2,FALSE)*AP$55</f>
        <v>147970.40176940683</v>
      </c>
      <c r="AQ10" s="103">
        <f>VLOOKUP($AF10,'US Grid mix, emissions&amp;prices'!$H$113:$I$163,2,FALSE)*AQ$55</f>
        <v>147970.40176940683</v>
      </c>
      <c r="AR10" s="103">
        <f>VLOOKUP($AF10,'US Grid mix, emissions&amp;prices'!$H$113:$I$163,2,FALSE)*AR$55</f>
        <v>147970.40176940683</v>
      </c>
      <c r="AS10" s="103">
        <f>VLOOKUP($AF10,'US Grid mix, emissions&amp;prices'!$H$113:$I$163,2,FALSE)*AS$55</f>
        <v>147970.40176940683</v>
      </c>
      <c r="AT10" s="103">
        <f>VLOOKUP($AF10,'US Grid mix, emissions&amp;prices'!$H$113:$I$163,2,FALSE)*AT$55</f>
        <v>147970.40176940683</v>
      </c>
      <c r="AU10" s="103">
        <f>VLOOKUP($AF10,'US Grid mix, emissions&amp;prices'!$H$113:$I$163,2,FALSE)*AU$55</f>
        <v>147970.40176940683</v>
      </c>
      <c r="AV10" s="103">
        <f>VLOOKUP($AF10,'US Grid mix, emissions&amp;prices'!$H$113:$I$163,2,FALSE)*AV$55</f>
        <v>147970.40176940683</v>
      </c>
      <c r="AW10" s="103">
        <f>VLOOKUP($AF10,'US Grid mix, emissions&amp;prices'!$H$113:$I$163,2,FALSE)*AW$55</f>
        <v>147970.40176940683</v>
      </c>
      <c r="AX10" s="103">
        <f>VLOOKUP($AF10,'US Grid mix, emissions&amp;prices'!$H$113:$I$163,2,FALSE)*AX$55</f>
        <v>147970.40176940683</v>
      </c>
      <c r="AY10" s="103">
        <f>VLOOKUP($AF10,'US Grid mix, emissions&amp;prices'!$H$113:$I$163,2,FALSE)*AY$55</f>
        <v>147970.40176940683</v>
      </c>
      <c r="AZ10" s="103">
        <f>VLOOKUP($AF10,'US Grid mix, emissions&amp;prices'!$H$113:$I$163,2,FALSE)*AZ$55</f>
        <v>147970.40176940683</v>
      </c>
      <c r="BA10" s="103">
        <f>VLOOKUP($AF10,'US Grid mix, emissions&amp;prices'!$H$113:$I$163,2,FALSE)*BA$55</f>
        <v>147970.40176940683</v>
      </c>
      <c r="BB10" s="103">
        <f>VLOOKUP($AF10,'US Grid mix, emissions&amp;prices'!$H$113:$I$163,2,FALSE)*BB$55</f>
        <v>147970.40176940683</v>
      </c>
      <c r="BC10" s="103">
        <f>VLOOKUP($AF10,'US Grid mix, emissions&amp;prices'!$H$113:$I$163,2,FALSE)*BC$55</f>
        <v>147970.40176940683</v>
      </c>
      <c r="BD10" s="103">
        <f>VLOOKUP($AF10,'US Grid mix, emissions&amp;prices'!$H$113:$I$163,2,FALSE)*BD$55</f>
        <v>147970.40176940683</v>
      </c>
      <c r="BE10" s="103">
        <f>VLOOKUP($AF10,'US Grid mix, emissions&amp;prices'!$H$113:$I$163,2,FALSE)*BE$55</f>
        <v>147970.40176940683</v>
      </c>
      <c r="BF10" s="103">
        <f>VLOOKUP($AF10,'US Grid mix, emissions&amp;prices'!$H$113:$I$163,2,FALSE)*BF$55</f>
        <v>147970.40176940683</v>
      </c>
      <c r="BG10" s="103">
        <f>VLOOKUP($AF10,'US Grid mix, emissions&amp;prices'!$H$113:$I$163,2,FALSE)*BG$55</f>
        <v>147970.40176940683</v>
      </c>
      <c r="BH10" s="103">
        <f>VLOOKUP($AF10,'US Grid mix, emissions&amp;prices'!$H$113:$I$163,2,FALSE)*BH$55</f>
        <v>147970.40176940683</v>
      </c>
      <c r="BL10" s="123" t="s">
        <v>191</v>
      </c>
      <c r="BM10" s="103">
        <f>VLOOKUP($BL10,'US Grid mix, emissions&amp;prices'!$H$113:$I$163,2,FALSE)*BM$55</f>
        <v>110003.30296468122</v>
      </c>
      <c r="BN10" s="103">
        <f>VLOOKUP($BL10,'US Grid mix, emissions&amp;prices'!$H$113:$I$163,2,FALSE)*BN$55</f>
        <v>110003.30296468122</v>
      </c>
      <c r="BO10" s="103">
        <f>VLOOKUP($BL10,'US Grid mix, emissions&amp;prices'!$H$113:$I$163,2,FALSE)*BO$55</f>
        <v>110003.30296468122</v>
      </c>
      <c r="BP10" s="103">
        <f>VLOOKUP($BL10,'US Grid mix, emissions&amp;prices'!$H$113:$I$163,2,FALSE)*BP$55</f>
        <v>110003.30296468122</v>
      </c>
      <c r="BQ10" s="103">
        <f>VLOOKUP($BL10,'US Grid mix, emissions&amp;prices'!$H$113:$I$163,2,FALSE)*BQ$55</f>
        <v>110003.30296468122</v>
      </c>
      <c r="BR10" s="103">
        <f>VLOOKUP($BL10,'US Grid mix, emissions&amp;prices'!$H$113:$I$163,2,FALSE)*BR$55</f>
        <v>110003.30296468122</v>
      </c>
      <c r="BS10" s="103">
        <f>VLOOKUP($BL10,'US Grid mix, emissions&amp;prices'!$H$113:$I$163,2,FALSE)*BS$55</f>
        <v>110003.30296468122</v>
      </c>
      <c r="BT10" s="103">
        <f>VLOOKUP($BL10,'US Grid mix, emissions&amp;prices'!$H$113:$I$163,2,FALSE)*BT$55</f>
        <v>110003.30296468122</v>
      </c>
      <c r="BU10" s="103">
        <f>VLOOKUP($BL10,'US Grid mix, emissions&amp;prices'!$H$113:$I$163,2,FALSE)*BU$55</f>
        <v>110003.30296468122</v>
      </c>
      <c r="BV10" s="103">
        <f>VLOOKUP($BL10,'US Grid mix, emissions&amp;prices'!$H$113:$I$163,2,FALSE)*BV$55</f>
        <v>110003.30296468122</v>
      </c>
      <c r="BW10" s="103">
        <f>VLOOKUP($BL10,'US Grid mix, emissions&amp;prices'!$H$113:$I$163,2,FALSE)*BW$55</f>
        <v>110003.30296468122</v>
      </c>
      <c r="BX10" s="103">
        <f>VLOOKUP($BL10,'US Grid mix, emissions&amp;prices'!$H$113:$I$163,2,FALSE)*BX$55</f>
        <v>110003.30296468122</v>
      </c>
      <c r="BY10" s="103">
        <f>VLOOKUP($BL10,'US Grid mix, emissions&amp;prices'!$H$113:$I$163,2,FALSE)*BY$55</f>
        <v>110003.30296468122</v>
      </c>
      <c r="BZ10" s="103">
        <f>VLOOKUP($BL10,'US Grid mix, emissions&amp;prices'!$H$113:$I$163,2,FALSE)*BZ$55</f>
        <v>110003.30296468122</v>
      </c>
      <c r="CA10" s="103">
        <f>VLOOKUP($BL10,'US Grid mix, emissions&amp;prices'!$H$113:$I$163,2,FALSE)*CA$55</f>
        <v>110003.30296468122</v>
      </c>
      <c r="CB10" s="103">
        <f>VLOOKUP($BL10,'US Grid mix, emissions&amp;prices'!$H$113:$I$163,2,FALSE)*CB$55</f>
        <v>110003.30296468122</v>
      </c>
      <c r="CC10" s="103">
        <f>VLOOKUP($BL10,'US Grid mix, emissions&amp;prices'!$H$113:$I$163,2,FALSE)*CC$55</f>
        <v>110003.30296468122</v>
      </c>
      <c r="CD10" s="103">
        <f>VLOOKUP($BL10,'US Grid mix, emissions&amp;prices'!$H$113:$I$163,2,FALSE)*CD$55</f>
        <v>110003.30296468122</v>
      </c>
      <c r="CE10" s="103">
        <f>VLOOKUP($BL10,'US Grid mix, emissions&amp;prices'!$H$113:$I$163,2,FALSE)*CE$55</f>
        <v>110003.30296468122</v>
      </c>
      <c r="CF10" s="103">
        <f>VLOOKUP($BL10,'US Grid mix, emissions&amp;prices'!$H$113:$I$163,2,FALSE)*CF$55</f>
        <v>110003.30296468122</v>
      </c>
      <c r="CG10" s="103">
        <f>VLOOKUP($BL10,'US Grid mix, emissions&amp;prices'!$H$113:$I$163,2,FALSE)*CG$55</f>
        <v>110003.30296468122</v>
      </c>
      <c r="CH10" s="103">
        <f>VLOOKUP($BL10,'US Grid mix, emissions&amp;prices'!$H$113:$I$163,2,FALSE)*CH$55</f>
        <v>110003.30296468122</v>
      </c>
      <c r="CI10" s="103">
        <f>VLOOKUP($BL10,'US Grid mix, emissions&amp;prices'!$H$113:$I$163,2,FALSE)*CI$55</f>
        <v>110003.30296468122</v>
      </c>
      <c r="CJ10" s="103">
        <f>VLOOKUP($BL10,'US Grid mix, emissions&amp;prices'!$H$113:$I$163,2,FALSE)*CJ$55</f>
        <v>110003.30296468122</v>
      </c>
      <c r="CK10" s="103">
        <f>VLOOKUP($BL10,'US Grid mix, emissions&amp;prices'!$H$113:$I$163,2,FALSE)*CK$55</f>
        <v>110003.30296468122</v>
      </c>
      <c r="CL10" s="103">
        <f>VLOOKUP($BL10,'US Grid mix, emissions&amp;prices'!$H$113:$I$163,2,FALSE)*CL$55</f>
        <v>110003.30296468122</v>
      </c>
      <c r="CM10" s="103">
        <f>VLOOKUP($BL10,'US Grid mix, emissions&amp;prices'!$H$113:$I$163,2,FALSE)*CM$55</f>
        <v>110003.30296468122</v>
      </c>
      <c r="CN10" s="103">
        <f>VLOOKUP($BL10,'US Grid mix, emissions&amp;prices'!$H$113:$I$163,2,FALSE)*CN$55</f>
        <v>110003.30296468122</v>
      </c>
    </row>
    <row r="11" spans="1:92" x14ac:dyDescent="0.25">
      <c r="A11" s="123" t="s">
        <v>192</v>
      </c>
      <c r="B11" s="103">
        <f>VLOOKUP($A11,'US Grid mix, emissions&amp;prices'!$H$113:$I$163,2,FALSE)*B$55</f>
        <v>197650.038455314</v>
      </c>
      <c r="C11" s="103">
        <f>VLOOKUP($A11,'US Grid mix, emissions&amp;prices'!$H$113:$I$163,2,FALSE)*C$55</f>
        <v>197650.038455314</v>
      </c>
      <c r="D11" s="103">
        <f>VLOOKUP($A11,'US Grid mix, emissions&amp;prices'!$H$113:$I$163,2,FALSE)*D$55</f>
        <v>197650.038455314</v>
      </c>
      <c r="E11" s="103">
        <f>VLOOKUP($A11,'US Grid mix, emissions&amp;prices'!$H$113:$I$163,2,FALSE)*E$55</f>
        <v>197650.038455314</v>
      </c>
      <c r="F11" s="103">
        <f>VLOOKUP($A11,'US Grid mix, emissions&amp;prices'!$H$113:$I$163,2,FALSE)*F$55</f>
        <v>197650.038455314</v>
      </c>
      <c r="G11" s="103">
        <f>VLOOKUP($A11,'US Grid mix, emissions&amp;prices'!$H$113:$I$163,2,FALSE)*G$55</f>
        <v>197650.038455314</v>
      </c>
      <c r="H11" s="103">
        <f>VLOOKUP($A11,'US Grid mix, emissions&amp;prices'!$H$113:$I$163,2,FALSE)*H$55</f>
        <v>197650.038455314</v>
      </c>
      <c r="I11" s="103">
        <f>VLOOKUP($A11,'US Grid mix, emissions&amp;prices'!$H$113:$I$163,2,FALSE)*I$55</f>
        <v>197650.038455314</v>
      </c>
      <c r="J11" s="103">
        <f>VLOOKUP($A11,'US Grid mix, emissions&amp;prices'!$H$113:$I$163,2,FALSE)*J$55</f>
        <v>197650.038455314</v>
      </c>
      <c r="K11" s="103">
        <f>VLOOKUP($A11,'US Grid mix, emissions&amp;prices'!$H$113:$I$163,2,FALSE)*K$55</f>
        <v>197650.038455314</v>
      </c>
      <c r="L11" s="103">
        <f>VLOOKUP($A11,'US Grid mix, emissions&amp;prices'!$H$113:$I$163,2,FALSE)*L$55</f>
        <v>197650.038455314</v>
      </c>
      <c r="M11" s="103">
        <f>VLOOKUP($A11,'US Grid mix, emissions&amp;prices'!$H$113:$I$163,2,FALSE)*M$55</f>
        <v>197650.038455314</v>
      </c>
      <c r="N11" s="103">
        <f>VLOOKUP($A11,'US Grid mix, emissions&amp;prices'!$H$113:$I$163,2,FALSE)*N$55</f>
        <v>197650.038455314</v>
      </c>
      <c r="O11" s="103">
        <f>VLOOKUP($A11,'US Grid mix, emissions&amp;prices'!$H$113:$I$163,2,FALSE)*O$55</f>
        <v>197650.038455314</v>
      </c>
      <c r="P11" s="103">
        <f>VLOOKUP($A11,'US Grid mix, emissions&amp;prices'!$H$113:$I$163,2,FALSE)*P$55</f>
        <v>197650.038455314</v>
      </c>
      <c r="Q11" s="103">
        <f>VLOOKUP($A11,'US Grid mix, emissions&amp;prices'!$H$113:$I$163,2,FALSE)*Q$55</f>
        <v>197650.038455314</v>
      </c>
      <c r="R11" s="103">
        <f>VLOOKUP($A11,'US Grid mix, emissions&amp;prices'!$H$113:$I$163,2,FALSE)*R$55</f>
        <v>197650.038455314</v>
      </c>
      <c r="S11" s="103">
        <f>VLOOKUP($A11,'US Grid mix, emissions&amp;prices'!$H$113:$I$163,2,FALSE)*S$55</f>
        <v>197650.038455314</v>
      </c>
      <c r="T11" s="103">
        <f>VLOOKUP($A11,'US Grid mix, emissions&amp;prices'!$H$113:$I$163,2,FALSE)*T$55</f>
        <v>197650.038455314</v>
      </c>
      <c r="U11" s="103">
        <f>VLOOKUP($A11,'US Grid mix, emissions&amp;prices'!$H$113:$I$163,2,FALSE)*U$55</f>
        <v>197650.038455314</v>
      </c>
      <c r="V11" s="103">
        <f>VLOOKUP($A11,'US Grid mix, emissions&amp;prices'!$H$113:$I$163,2,FALSE)*V$55</f>
        <v>197650.038455314</v>
      </c>
      <c r="W11" s="103">
        <f>VLOOKUP($A11,'US Grid mix, emissions&amp;prices'!$H$113:$I$163,2,FALSE)*W$55</f>
        <v>197650.038455314</v>
      </c>
      <c r="X11" s="103">
        <f>VLOOKUP($A11,'US Grid mix, emissions&amp;prices'!$H$113:$I$163,2,FALSE)*X$55</f>
        <v>197650.038455314</v>
      </c>
      <c r="Y11" s="103">
        <f>VLOOKUP($A11,'US Grid mix, emissions&amp;prices'!$H$113:$I$163,2,FALSE)*Y$55</f>
        <v>197650.038455314</v>
      </c>
      <c r="Z11" s="103">
        <f>VLOOKUP($A11,'US Grid mix, emissions&amp;prices'!$H$113:$I$163,2,FALSE)*Z$55</f>
        <v>197650.038455314</v>
      </c>
      <c r="AA11" s="103">
        <f>VLOOKUP($A11,'US Grid mix, emissions&amp;prices'!$H$113:$I$163,2,FALSE)*AA$55</f>
        <v>197650.038455314</v>
      </c>
      <c r="AB11" s="103">
        <f>VLOOKUP($A11,'US Grid mix, emissions&amp;prices'!$H$113:$I$163,2,FALSE)*AB$55</f>
        <v>197650.038455314</v>
      </c>
      <c r="AC11" s="103">
        <f>VLOOKUP($A11,'US Grid mix, emissions&amp;prices'!$H$113:$I$163,2,FALSE)*AC$55</f>
        <v>197650.038455314</v>
      </c>
      <c r="AF11" s="123" t="s">
        <v>192</v>
      </c>
      <c r="AG11" s="103">
        <f>VLOOKUP($AF11,'US Grid mix, emissions&amp;prices'!$H$113:$I$163,2,FALSE)*AG$55</f>
        <v>231667.15578640733</v>
      </c>
      <c r="AH11" s="103">
        <f>VLOOKUP($AF11,'US Grid mix, emissions&amp;prices'!$H$113:$I$163,2,FALSE)*AH$55</f>
        <v>231667.15578640733</v>
      </c>
      <c r="AI11" s="103">
        <f>VLOOKUP($AF11,'US Grid mix, emissions&amp;prices'!$H$113:$I$163,2,FALSE)*AI$55</f>
        <v>231667.15578640733</v>
      </c>
      <c r="AJ11" s="103">
        <f>VLOOKUP($AF11,'US Grid mix, emissions&amp;prices'!$H$113:$I$163,2,FALSE)*AJ$55</f>
        <v>231667.15578640733</v>
      </c>
      <c r="AK11" s="103">
        <f>VLOOKUP($AF11,'US Grid mix, emissions&amp;prices'!$H$113:$I$163,2,FALSE)*AK$55</f>
        <v>231667.15578640733</v>
      </c>
      <c r="AL11" s="103">
        <f>VLOOKUP($AF11,'US Grid mix, emissions&amp;prices'!$H$113:$I$163,2,FALSE)*AL$55</f>
        <v>231667.15578640733</v>
      </c>
      <c r="AM11" s="103">
        <f>VLOOKUP($AF11,'US Grid mix, emissions&amp;prices'!$H$113:$I$163,2,FALSE)*AM$55</f>
        <v>231667.15578640733</v>
      </c>
      <c r="AN11" s="103">
        <f>VLOOKUP($AF11,'US Grid mix, emissions&amp;prices'!$H$113:$I$163,2,FALSE)*AN$55</f>
        <v>231667.15578640733</v>
      </c>
      <c r="AO11" s="103">
        <f>VLOOKUP($AF11,'US Grid mix, emissions&amp;prices'!$H$113:$I$163,2,FALSE)*AO$55</f>
        <v>231667.15578640733</v>
      </c>
      <c r="AP11" s="103">
        <f>VLOOKUP($AF11,'US Grid mix, emissions&amp;prices'!$H$113:$I$163,2,FALSE)*AP$55</f>
        <v>231667.15578640733</v>
      </c>
      <c r="AQ11" s="103">
        <f>VLOOKUP($AF11,'US Grid mix, emissions&amp;prices'!$H$113:$I$163,2,FALSE)*AQ$55</f>
        <v>231667.15578640733</v>
      </c>
      <c r="AR11" s="103">
        <f>VLOOKUP($AF11,'US Grid mix, emissions&amp;prices'!$H$113:$I$163,2,FALSE)*AR$55</f>
        <v>231667.15578640733</v>
      </c>
      <c r="AS11" s="103">
        <f>VLOOKUP($AF11,'US Grid mix, emissions&amp;prices'!$H$113:$I$163,2,FALSE)*AS$55</f>
        <v>231667.15578640733</v>
      </c>
      <c r="AT11" s="103">
        <f>VLOOKUP($AF11,'US Grid mix, emissions&amp;prices'!$H$113:$I$163,2,FALSE)*AT$55</f>
        <v>231667.15578640733</v>
      </c>
      <c r="AU11" s="103">
        <f>VLOOKUP($AF11,'US Grid mix, emissions&amp;prices'!$H$113:$I$163,2,FALSE)*AU$55</f>
        <v>231667.15578640733</v>
      </c>
      <c r="AV11" s="103">
        <f>VLOOKUP($AF11,'US Grid mix, emissions&amp;prices'!$H$113:$I$163,2,FALSE)*AV$55</f>
        <v>231667.15578640733</v>
      </c>
      <c r="AW11" s="103">
        <f>VLOOKUP($AF11,'US Grid mix, emissions&amp;prices'!$H$113:$I$163,2,FALSE)*AW$55</f>
        <v>231667.15578640733</v>
      </c>
      <c r="AX11" s="103">
        <f>VLOOKUP($AF11,'US Grid mix, emissions&amp;prices'!$H$113:$I$163,2,FALSE)*AX$55</f>
        <v>231667.15578640733</v>
      </c>
      <c r="AY11" s="103">
        <f>VLOOKUP($AF11,'US Grid mix, emissions&amp;prices'!$H$113:$I$163,2,FALSE)*AY$55</f>
        <v>231667.15578640733</v>
      </c>
      <c r="AZ11" s="103">
        <f>VLOOKUP($AF11,'US Grid mix, emissions&amp;prices'!$H$113:$I$163,2,FALSE)*AZ$55</f>
        <v>231667.15578640733</v>
      </c>
      <c r="BA11" s="103">
        <f>VLOOKUP($AF11,'US Grid mix, emissions&amp;prices'!$H$113:$I$163,2,FALSE)*BA$55</f>
        <v>231667.15578640733</v>
      </c>
      <c r="BB11" s="103">
        <f>VLOOKUP($AF11,'US Grid mix, emissions&amp;prices'!$H$113:$I$163,2,FALSE)*BB$55</f>
        <v>231667.15578640733</v>
      </c>
      <c r="BC11" s="103">
        <f>VLOOKUP($AF11,'US Grid mix, emissions&amp;prices'!$H$113:$I$163,2,FALSE)*BC$55</f>
        <v>231667.15578640733</v>
      </c>
      <c r="BD11" s="103">
        <f>VLOOKUP($AF11,'US Grid mix, emissions&amp;prices'!$H$113:$I$163,2,FALSE)*BD$55</f>
        <v>231667.15578640733</v>
      </c>
      <c r="BE11" s="103">
        <f>VLOOKUP($AF11,'US Grid mix, emissions&amp;prices'!$H$113:$I$163,2,FALSE)*BE$55</f>
        <v>231667.15578640733</v>
      </c>
      <c r="BF11" s="103">
        <f>VLOOKUP($AF11,'US Grid mix, emissions&amp;prices'!$H$113:$I$163,2,FALSE)*BF$55</f>
        <v>231667.15578640733</v>
      </c>
      <c r="BG11" s="103">
        <f>VLOOKUP($AF11,'US Grid mix, emissions&amp;prices'!$H$113:$I$163,2,FALSE)*BG$55</f>
        <v>231667.15578640733</v>
      </c>
      <c r="BH11" s="103">
        <f>VLOOKUP($AF11,'US Grid mix, emissions&amp;prices'!$H$113:$I$163,2,FALSE)*BH$55</f>
        <v>231667.15578640733</v>
      </c>
      <c r="BL11" s="123" t="s">
        <v>192</v>
      </c>
      <c r="BM11" s="103">
        <f>VLOOKUP($BL11,'US Grid mix, emissions&amp;prices'!$H$113:$I$163,2,FALSE)*BM$55</f>
        <v>172224.66128497777</v>
      </c>
      <c r="BN11" s="103">
        <f>VLOOKUP($BL11,'US Grid mix, emissions&amp;prices'!$H$113:$I$163,2,FALSE)*BN$55</f>
        <v>172224.66128497777</v>
      </c>
      <c r="BO11" s="103">
        <f>VLOOKUP($BL11,'US Grid mix, emissions&amp;prices'!$H$113:$I$163,2,FALSE)*BO$55</f>
        <v>172224.66128497777</v>
      </c>
      <c r="BP11" s="103">
        <f>VLOOKUP($BL11,'US Grid mix, emissions&amp;prices'!$H$113:$I$163,2,FALSE)*BP$55</f>
        <v>172224.66128497777</v>
      </c>
      <c r="BQ11" s="103">
        <f>VLOOKUP($BL11,'US Grid mix, emissions&amp;prices'!$H$113:$I$163,2,FALSE)*BQ$55</f>
        <v>172224.66128497777</v>
      </c>
      <c r="BR11" s="103">
        <f>VLOOKUP($BL11,'US Grid mix, emissions&amp;prices'!$H$113:$I$163,2,FALSE)*BR$55</f>
        <v>172224.66128497777</v>
      </c>
      <c r="BS11" s="103">
        <f>VLOOKUP($BL11,'US Grid mix, emissions&amp;prices'!$H$113:$I$163,2,FALSE)*BS$55</f>
        <v>172224.66128497777</v>
      </c>
      <c r="BT11" s="103">
        <f>VLOOKUP($BL11,'US Grid mix, emissions&amp;prices'!$H$113:$I$163,2,FALSE)*BT$55</f>
        <v>172224.66128497777</v>
      </c>
      <c r="BU11" s="103">
        <f>VLOOKUP($BL11,'US Grid mix, emissions&amp;prices'!$H$113:$I$163,2,FALSE)*BU$55</f>
        <v>172224.66128497777</v>
      </c>
      <c r="BV11" s="103">
        <f>VLOOKUP($BL11,'US Grid mix, emissions&amp;prices'!$H$113:$I$163,2,FALSE)*BV$55</f>
        <v>172224.66128497777</v>
      </c>
      <c r="BW11" s="103">
        <f>VLOOKUP($BL11,'US Grid mix, emissions&amp;prices'!$H$113:$I$163,2,FALSE)*BW$55</f>
        <v>172224.66128497777</v>
      </c>
      <c r="BX11" s="103">
        <f>VLOOKUP($BL11,'US Grid mix, emissions&amp;prices'!$H$113:$I$163,2,FALSE)*BX$55</f>
        <v>172224.66128497777</v>
      </c>
      <c r="BY11" s="103">
        <f>VLOOKUP($BL11,'US Grid mix, emissions&amp;prices'!$H$113:$I$163,2,FALSE)*BY$55</f>
        <v>172224.66128497777</v>
      </c>
      <c r="BZ11" s="103">
        <f>VLOOKUP($BL11,'US Grid mix, emissions&amp;prices'!$H$113:$I$163,2,FALSE)*BZ$55</f>
        <v>172224.66128497777</v>
      </c>
      <c r="CA11" s="103">
        <f>VLOOKUP($BL11,'US Grid mix, emissions&amp;prices'!$H$113:$I$163,2,FALSE)*CA$55</f>
        <v>172224.66128497777</v>
      </c>
      <c r="CB11" s="103">
        <f>VLOOKUP($BL11,'US Grid mix, emissions&amp;prices'!$H$113:$I$163,2,FALSE)*CB$55</f>
        <v>172224.66128497777</v>
      </c>
      <c r="CC11" s="103">
        <f>VLOOKUP($BL11,'US Grid mix, emissions&amp;prices'!$H$113:$I$163,2,FALSE)*CC$55</f>
        <v>172224.66128497777</v>
      </c>
      <c r="CD11" s="103">
        <f>VLOOKUP($BL11,'US Grid mix, emissions&amp;prices'!$H$113:$I$163,2,FALSE)*CD$55</f>
        <v>172224.66128497777</v>
      </c>
      <c r="CE11" s="103">
        <f>VLOOKUP($BL11,'US Grid mix, emissions&amp;prices'!$H$113:$I$163,2,FALSE)*CE$55</f>
        <v>172224.66128497777</v>
      </c>
      <c r="CF11" s="103">
        <f>VLOOKUP($BL11,'US Grid mix, emissions&amp;prices'!$H$113:$I$163,2,FALSE)*CF$55</f>
        <v>172224.66128497777</v>
      </c>
      <c r="CG11" s="103">
        <f>VLOOKUP($BL11,'US Grid mix, emissions&amp;prices'!$H$113:$I$163,2,FALSE)*CG$55</f>
        <v>172224.66128497777</v>
      </c>
      <c r="CH11" s="103">
        <f>VLOOKUP($BL11,'US Grid mix, emissions&amp;prices'!$H$113:$I$163,2,FALSE)*CH$55</f>
        <v>172224.66128497777</v>
      </c>
      <c r="CI11" s="103">
        <f>VLOOKUP($BL11,'US Grid mix, emissions&amp;prices'!$H$113:$I$163,2,FALSE)*CI$55</f>
        <v>172224.66128497777</v>
      </c>
      <c r="CJ11" s="103">
        <f>VLOOKUP($BL11,'US Grid mix, emissions&amp;prices'!$H$113:$I$163,2,FALSE)*CJ$55</f>
        <v>172224.66128497777</v>
      </c>
      <c r="CK11" s="103">
        <f>VLOOKUP($BL11,'US Grid mix, emissions&amp;prices'!$H$113:$I$163,2,FALSE)*CK$55</f>
        <v>172224.66128497777</v>
      </c>
      <c r="CL11" s="103">
        <f>VLOOKUP($BL11,'US Grid mix, emissions&amp;prices'!$H$113:$I$163,2,FALSE)*CL$55</f>
        <v>172224.66128497777</v>
      </c>
      <c r="CM11" s="103">
        <f>VLOOKUP($BL11,'US Grid mix, emissions&amp;prices'!$H$113:$I$163,2,FALSE)*CM$55</f>
        <v>172224.66128497777</v>
      </c>
      <c r="CN11" s="103">
        <f>VLOOKUP($BL11,'US Grid mix, emissions&amp;prices'!$H$113:$I$163,2,FALSE)*CN$55</f>
        <v>172224.66128497777</v>
      </c>
    </row>
    <row r="12" spans="1:92" x14ac:dyDescent="0.25">
      <c r="A12" s="123" t="s">
        <v>193</v>
      </c>
      <c r="B12" s="103">
        <f>VLOOKUP($A12,'US Grid mix, emissions&amp;prices'!$H$113:$I$163,2,FALSE)*B$55</f>
        <v>183746.20232581437</v>
      </c>
      <c r="C12" s="103">
        <f>VLOOKUP($A12,'US Grid mix, emissions&amp;prices'!$H$113:$I$163,2,FALSE)*C$55</f>
        <v>183746.20232581437</v>
      </c>
      <c r="D12" s="103">
        <f>VLOOKUP($A12,'US Grid mix, emissions&amp;prices'!$H$113:$I$163,2,FALSE)*D$55</f>
        <v>183746.20232581437</v>
      </c>
      <c r="E12" s="103">
        <f>VLOOKUP($A12,'US Grid mix, emissions&amp;prices'!$H$113:$I$163,2,FALSE)*E$55</f>
        <v>183746.20232581437</v>
      </c>
      <c r="F12" s="103">
        <f>VLOOKUP($A12,'US Grid mix, emissions&amp;prices'!$H$113:$I$163,2,FALSE)*F$55</f>
        <v>183746.20232581437</v>
      </c>
      <c r="G12" s="103">
        <f>VLOOKUP($A12,'US Grid mix, emissions&amp;prices'!$H$113:$I$163,2,FALSE)*G$55</f>
        <v>183746.20232581437</v>
      </c>
      <c r="H12" s="103">
        <f>VLOOKUP($A12,'US Grid mix, emissions&amp;prices'!$H$113:$I$163,2,FALSE)*H$55</f>
        <v>183746.20232581437</v>
      </c>
      <c r="I12" s="103">
        <f>VLOOKUP($A12,'US Grid mix, emissions&amp;prices'!$H$113:$I$163,2,FALSE)*I$55</f>
        <v>183746.20232581437</v>
      </c>
      <c r="J12" s="103">
        <f>VLOOKUP($A12,'US Grid mix, emissions&amp;prices'!$H$113:$I$163,2,FALSE)*J$55</f>
        <v>183746.20232581437</v>
      </c>
      <c r="K12" s="103">
        <f>VLOOKUP($A12,'US Grid mix, emissions&amp;prices'!$H$113:$I$163,2,FALSE)*K$55</f>
        <v>183746.20232581437</v>
      </c>
      <c r="L12" s="103">
        <f>VLOOKUP($A12,'US Grid mix, emissions&amp;prices'!$H$113:$I$163,2,FALSE)*L$55</f>
        <v>183746.20232581437</v>
      </c>
      <c r="M12" s="103">
        <f>VLOOKUP($A12,'US Grid mix, emissions&amp;prices'!$H$113:$I$163,2,FALSE)*M$55</f>
        <v>183746.20232581437</v>
      </c>
      <c r="N12" s="103">
        <f>VLOOKUP($A12,'US Grid mix, emissions&amp;prices'!$H$113:$I$163,2,FALSE)*N$55</f>
        <v>183746.20232581437</v>
      </c>
      <c r="O12" s="103">
        <f>VLOOKUP($A12,'US Grid mix, emissions&amp;prices'!$H$113:$I$163,2,FALSE)*O$55</f>
        <v>183746.20232581437</v>
      </c>
      <c r="P12" s="103">
        <f>VLOOKUP($A12,'US Grid mix, emissions&amp;prices'!$H$113:$I$163,2,FALSE)*P$55</f>
        <v>183746.20232581437</v>
      </c>
      <c r="Q12" s="103">
        <f>VLOOKUP($A12,'US Grid mix, emissions&amp;prices'!$H$113:$I$163,2,FALSE)*Q$55</f>
        <v>183746.20232581437</v>
      </c>
      <c r="R12" s="103">
        <f>VLOOKUP($A12,'US Grid mix, emissions&amp;prices'!$H$113:$I$163,2,FALSE)*R$55</f>
        <v>183746.20232581437</v>
      </c>
      <c r="S12" s="103">
        <f>VLOOKUP($A12,'US Grid mix, emissions&amp;prices'!$H$113:$I$163,2,FALSE)*S$55</f>
        <v>183746.20232581437</v>
      </c>
      <c r="T12" s="103">
        <f>VLOOKUP($A12,'US Grid mix, emissions&amp;prices'!$H$113:$I$163,2,FALSE)*T$55</f>
        <v>183746.20232581437</v>
      </c>
      <c r="U12" s="103">
        <f>VLOOKUP($A12,'US Grid mix, emissions&amp;prices'!$H$113:$I$163,2,FALSE)*U$55</f>
        <v>183746.20232581437</v>
      </c>
      <c r="V12" s="103">
        <f>VLOOKUP($A12,'US Grid mix, emissions&amp;prices'!$H$113:$I$163,2,FALSE)*V$55</f>
        <v>183746.20232581437</v>
      </c>
      <c r="W12" s="103">
        <f>VLOOKUP($A12,'US Grid mix, emissions&amp;prices'!$H$113:$I$163,2,FALSE)*W$55</f>
        <v>183746.20232581437</v>
      </c>
      <c r="X12" s="103">
        <f>VLOOKUP($A12,'US Grid mix, emissions&amp;prices'!$H$113:$I$163,2,FALSE)*X$55</f>
        <v>183746.20232581437</v>
      </c>
      <c r="Y12" s="103">
        <f>VLOOKUP($A12,'US Grid mix, emissions&amp;prices'!$H$113:$I$163,2,FALSE)*Y$55</f>
        <v>183746.20232581437</v>
      </c>
      <c r="Z12" s="103">
        <f>VLOOKUP($A12,'US Grid mix, emissions&amp;prices'!$H$113:$I$163,2,FALSE)*Z$55</f>
        <v>183746.20232581437</v>
      </c>
      <c r="AA12" s="103">
        <f>VLOOKUP($A12,'US Grid mix, emissions&amp;prices'!$H$113:$I$163,2,FALSE)*AA$55</f>
        <v>183746.20232581437</v>
      </c>
      <c r="AB12" s="103">
        <f>VLOOKUP($A12,'US Grid mix, emissions&amp;prices'!$H$113:$I$163,2,FALSE)*AB$55</f>
        <v>183746.20232581437</v>
      </c>
      <c r="AC12" s="103">
        <f>VLOOKUP($A12,'US Grid mix, emissions&amp;prices'!$H$113:$I$163,2,FALSE)*AC$55</f>
        <v>183746.20232581437</v>
      </c>
      <c r="AF12" s="123" t="s">
        <v>193</v>
      </c>
      <c r="AG12" s="103">
        <f>VLOOKUP($AF12,'US Grid mix, emissions&amp;prices'!$H$113:$I$163,2,FALSE)*AG$55</f>
        <v>215370.360724717</v>
      </c>
      <c r="AH12" s="103">
        <f>VLOOKUP($AF12,'US Grid mix, emissions&amp;prices'!$H$113:$I$163,2,FALSE)*AH$55</f>
        <v>215370.360724717</v>
      </c>
      <c r="AI12" s="103">
        <f>VLOOKUP($AF12,'US Grid mix, emissions&amp;prices'!$H$113:$I$163,2,FALSE)*AI$55</f>
        <v>215370.360724717</v>
      </c>
      <c r="AJ12" s="103">
        <f>VLOOKUP($AF12,'US Grid mix, emissions&amp;prices'!$H$113:$I$163,2,FALSE)*AJ$55</f>
        <v>215370.360724717</v>
      </c>
      <c r="AK12" s="103">
        <f>VLOOKUP($AF12,'US Grid mix, emissions&amp;prices'!$H$113:$I$163,2,FALSE)*AK$55</f>
        <v>215370.360724717</v>
      </c>
      <c r="AL12" s="103">
        <f>VLOOKUP($AF12,'US Grid mix, emissions&amp;prices'!$H$113:$I$163,2,FALSE)*AL$55</f>
        <v>215370.360724717</v>
      </c>
      <c r="AM12" s="103">
        <f>VLOOKUP($AF12,'US Grid mix, emissions&amp;prices'!$H$113:$I$163,2,FALSE)*AM$55</f>
        <v>215370.360724717</v>
      </c>
      <c r="AN12" s="103">
        <f>VLOOKUP($AF12,'US Grid mix, emissions&amp;prices'!$H$113:$I$163,2,FALSE)*AN$55</f>
        <v>215370.360724717</v>
      </c>
      <c r="AO12" s="103">
        <f>VLOOKUP($AF12,'US Grid mix, emissions&amp;prices'!$H$113:$I$163,2,FALSE)*AO$55</f>
        <v>215370.360724717</v>
      </c>
      <c r="AP12" s="103">
        <f>VLOOKUP($AF12,'US Grid mix, emissions&amp;prices'!$H$113:$I$163,2,FALSE)*AP$55</f>
        <v>215370.360724717</v>
      </c>
      <c r="AQ12" s="103">
        <f>VLOOKUP($AF12,'US Grid mix, emissions&amp;prices'!$H$113:$I$163,2,FALSE)*AQ$55</f>
        <v>215370.360724717</v>
      </c>
      <c r="AR12" s="103">
        <f>VLOOKUP($AF12,'US Grid mix, emissions&amp;prices'!$H$113:$I$163,2,FALSE)*AR$55</f>
        <v>215370.360724717</v>
      </c>
      <c r="AS12" s="103">
        <f>VLOOKUP($AF12,'US Grid mix, emissions&amp;prices'!$H$113:$I$163,2,FALSE)*AS$55</f>
        <v>215370.360724717</v>
      </c>
      <c r="AT12" s="103">
        <f>VLOOKUP($AF12,'US Grid mix, emissions&amp;prices'!$H$113:$I$163,2,FALSE)*AT$55</f>
        <v>215370.360724717</v>
      </c>
      <c r="AU12" s="103">
        <f>VLOOKUP($AF12,'US Grid mix, emissions&amp;prices'!$H$113:$I$163,2,FALSE)*AU$55</f>
        <v>215370.360724717</v>
      </c>
      <c r="AV12" s="103">
        <f>VLOOKUP($AF12,'US Grid mix, emissions&amp;prices'!$H$113:$I$163,2,FALSE)*AV$55</f>
        <v>215370.360724717</v>
      </c>
      <c r="AW12" s="103">
        <f>VLOOKUP($AF12,'US Grid mix, emissions&amp;prices'!$H$113:$I$163,2,FALSE)*AW$55</f>
        <v>215370.360724717</v>
      </c>
      <c r="AX12" s="103">
        <f>VLOOKUP($AF12,'US Grid mix, emissions&amp;prices'!$H$113:$I$163,2,FALSE)*AX$55</f>
        <v>215370.360724717</v>
      </c>
      <c r="AY12" s="103">
        <f>VLOOKUP($AF12,'US Grid mix, emissions&amp;prices'!$H$113:$I$163,2,FALSE)*AY$55</f>
        <v>215370.360724717</v>
      </c>
      <c r="AZ12" s="103">
        <f>VLOOKUP($AF12,'US Grid mix, emissions&amp;prices'!$H$113:$I$163,2,FALSE)*AZ$55</f>
        <v>215370.360724717</v>
      </c>
      <c r="BA12" s="103">
        <f>VLOOKUP($AF12,'US Grid mix, emissions&amp;prices'!$H$113:$I$163,2,FALSE)*BA$55</f>
        <v>215370.360724717</v>
      </c>
      <c r="BB12" s="103">
        <f>VLOOKUP($AF12,'US Grid mix, emissions&amp;prices'!$H$113:$I$163,2,FALSE)*BB$55</f>
        <v>215370.360724717</v>
      </c>
      <c r="BC12" s="103">
        <f>VLOOKUP($AF12,'US Grid mix, emissions&amp;prices'!$H$113:$I$163,2,FALSE)*BC$55</f>
        <v>215370.360724717</v>
      </c>
      <c r="BD12" s="103">
        <f>VLOOKUP($AF12,'US Grid mix, emissions&amp;prices'!$H$113:$I$163,2,FALSE)*BD$55</f>
        <v>215370.360724717</v>
      </c>
      <c r="BE12" s="103">
        <f>VLOOKUP($AF12,'US Grid mix, emissions&amp;prices'!$H$113:$I$163,2,FALSE)*BE$55</f>
        <v>215370.360724717</v>
      </c>
      <c r="BF12" s="103">
        <f>VLOOKUP($AF12,'US Grid mix, emissions&amp;prices'!$H$113:$I$163,2,FALSE)*BF$55</f>
        <v>215370.360724717</v>
      </c>
      <c r="BG12" s="103">
        <f>VLOOKUP($AF12,'US Grid mix, emissions&amp;prices'!$H$113:$I$163,2,FALSE)*BG$55</f>
        <v>215370.360724717</v>
      </c>
      <c r="BH12" s="103">
        <f>VLOOKUP($AF12,'US Grid mix, emissions&amp;prices'!$H$113:$I$163,2,FALSE)*BH$55</f>
        <v>215370.360724717</v>
      </c>
      <c r="BL12" s="123" t="s">
        <v>193</v>
      </c>
      <c r="BM12" s="103">
        <f>VLOOKUP($BL12,'US Grid mix, emissions&amp;prices'!$H$113:$I$163,2,FALSE)*BM$55</f>
        <v>160109.39185887901</v>
      </c>
      <c r="BN12" s="103">
        <f>VLOOKUP($BL12,'US Grid mix, emissions&amp;prices'!$H$113:$I$163,2,FALSE)*BN$55</f>
        <v>160109.39185887901</v>
      </c>
      <c r="BO12" s="103">
        <f>VLOOKUP($BL12,'US Grid mix, emissions&amp;prices'!$H$113:$I$163,2,FALSE)*BO$55</f>
        <v>160109.39185887901</v>
      </c>
      <c r="BP12" s="103">
        <f>VLOOKUP($BL12,'US Grid mix, emissions&amp;prices'!$H$113:$I$163,2,FALSE)*BP$55</f>
        <v>160109.39185887901</v>
      </c>
      <c r="BQ12" s="103">
        <f>VLOOKUP($BL12,'US Grid mix, emissions&amp;prices'!$H$113:$I$163,2,FALSE)*BQ$55</f>
        <v>160109.39185887901</v>
      </c>
      <c r="BR12" s="103">
        <f>VLOOKUP($BL12,'US Grid mix, emissions&amp;prices'!$H$113:$I$163,2,FALSE)*BR$55</f>
        <v>160109.39185887901</v>
      </c>
      <c r="BS12" s="103">
        <f>VLOOKUP($BL12,'US Grid mix, emissions&amp;prices'!$H$113:$I$163,2,FALSE)*BS$55</f>
        <v>160109.39185887901</v>
      </c>
      <c r="BT12" s="103">
        <f>VLOOKUP($BL12,'US Grid mix, emissions&amp;prices'!$H$113:$I$163,2,FALSE)*BT$55</f>
        <v>160109.39185887901</v>
      </c>
      <c r="BU12" s="103">
        <f>VLOOKUP($BL12,'US Grid mix, emissions&amp;prices'!$H$113:$I$163,2,FALSE)*BU$55</f>
        <v>160109.39185887901</v>
      </c>
      <c r="BV12" s="103">
        <f>VLOOKUP($BL12,'US Grid mix, emissions&amp;prices'!$H$113:$I$163,2,FALSE)*BV$55</f>
        <v>160109.39185887901</v>
      </c>
      <c r="BW12" s="103">
        <f>VLOOKUP($BL12,'US Grid mix, emissions&amp;prices'!$H$113:$I$163,2,FALSE)*BW$55</f>
        <v>160109.39185887901</v>
      </c>
      <c r="BX12" s="103">
        <f>VLOOKUP($BL12,'US Grid mix, emissions&amp;prices'!$H$113:$I$163,2,FALSE)*BX$55</f>
        <v>160109.39185887901</v>
      </c>
      <c r="BY12" s="103">
        <f>VLOOKUP($BL12,'US Grid mix, emissions&amp;prices'!$H$113:$I$163,2,FALSE)*BY$55</f>
        <v>160109.39185887901</v>
      </c>
      <c r="BZ12" s="103">
        <f>VLOOKUP($BL12,'US Grid mix, emissions&amp;prices'!$H$113:$I$163,2,FALSE)*BZ$55</f>
        <v>160109.39185887901</v>
      </c>
      <c r="CA12" s="103">
        <f>VLOOKUP($BL12,'US Grid mix, emissions&amp;prices'!$H$113:$I$163,2,FALSE)*CA$55</f>
        <v>160109.39185887901</v>
      </c>
      <c r="CB12" s="103">
        <f>VLOOKUP($BL12,'US Grid mix, emissions&amp;prices'!$H$113:$I$163,2,FALSE)*CB$55</f>
        <v>160109.39185887901</v>
      </c>
      <c r="CC12" s="103">
        <f>VLOOKUP($BL12,'US Grid mix, emissions&amp;prices'!$H$113:$I$163,2,FALSE)*CC$55</f>
        <v>160109.39185887901</v>
      </c>
      <c r="CD12" s="103">
        <f>VLOOKUP($BL12,'US Grid mix, emissions&amp;prices'!$H$113:$I$163,2,FALSE)*CD$55</f>
        <v>160109.39185887901</v>
      </c>
      <c r="CE12" s="103">
        <f>VLOOKUP($BL12,'US Grid mix, emissions&amp;prices'!$H$113:$I$163,2,FALSE)*CE$55</f>
        <v>160109.39185887901</v>
      </c>
      <c r="CF12" s="103">
        <f>VLOOKUP($BL12,'US Grid mix, emissions&amp;prices'!$H$113:$I$163,2,FALSE)*CF$55</f>
        <v>160109.39185887901</v>
      </c>
      <c r="CG12" s="103">
        <f>VLOOKUP($BL12,'US Grid mix, emissions&amp;prices'!$H$113:$I$163,2,FALSE)*CG$55</f>
        <v>160109.39185887901</v>
      </c>
      <c r="CH12" s="103">
        <f>VLOOKUP($BL12,'US Grid mix, emissions&amp;prices'!$H$113:$I$163,2,FALSE)*CH$55</f>
        <v>160109.39185887901</v>
      </c>
      <c r="CI12" s="103">
        <f>VLOOKUP($BL12,'US Grid mix, emissions&amp;prices'!$H$113:$I$163,2,FALSE)*CI$55</f>
        <v>160109.39185887901</v>
      </c>
      <c r="CJ12" s="103">
        <f>VLOOKUP($BL12,'US Grid mix, emissions&amp;prices'!$H$113:$I$163,2,FALSE)*CJ$55</f>
        <v>160109.39185887901</v>
      </c>
      <c r="CK12" s="103">
        <f>VLOOKUP($BL12,'US Grid mix, emissions&amp;prices'!$H$113:$I$163,2,FALSE)*CK$55</f>
        <v>160109.39185887901</v>
      </c>
      <c r="CL12" s="103">
        <f>VLOOKUP($BL12,'US Grid mix, emissions&amp;prices'!$H$113:$I$163,2,FALSE)*CL$55</f>
        <v>160109.39185887901</v>
      </c>
      <c r="CM12" s="103">
        <f>VLOOKUP($BL12,'US Grid mix, emissions&amp;prices'!$H$113:$I$163,2,FALSE)*CM$55</f>
        <v>160109.39185887901</v>
      </c>
      <c r="CN12" s="103">
        <f>VLOOKUP($BL12,'US Grid mix, emissions&amp;prices'!$H$113:$I$163,2,FALSE)*CN$55</f>
        <v>160109.39185887901</v>
      </c>
    </row>
    <row r="13" spans="1:92" x14ac:dyDescent="0.25">
      <c r="A13" s="123" t="s">
        <v>194</v>
      </c>
      <c r="B13" s="103">
        <f>VLOOKUP($A13,'US Grid mix, emissions&amp;prices'!$H$113:$I$163,2,FALSE)*B$55</f>
        <v>158130.15621026349</v>
      </c>
      <c r="C13" s="103">
        <f>VLOOKUP($A13,'US Grid mix, emissions&amp;prices'!$H$113:$I$163,2,FALSE)*C$55</f>
        <v>158130.15621026349</v>
      </c>
      <c r="D13" s="103">
        <f>VLOOKUP($A13,'US Grid mix, emissions&amp;prices'!$H$113:$I$163,2,FALSE)*D$55</f>
        <v>158130.15621026349</v>
      </c>
      <c r="E13" s="103">
        <f>VLOOKUP($A13,'US Grid mix, emissions&amp;prices'!$H$113:$I$163,2,FALSE)*E$55</f>
        <v>158130.15621026349</v>
      </c>
      <c r="F13" s="103">
        <f>VLOOKUP($A13,'US Grid mix, emissions&amp;prices'!$H$113:$I$163,2,FALSE)*F$55</f>
        <v>158130.15621026349</v>
      </c>
      <c r="G13" s="103">
        <f>VLOOKUP($A13,'US Grid mix, emissions&amp;prices'!$H$113:$I$163,2,FALSE)*G$55</f>
        <v>158130.15621026349</v>
      </c>
      <c r="H13" s="103">
        <f>VLOOKUP($A13,'US Grid mix, emissions&amp;prices'!$H$113:$I$163,2,FALSE)*H$55</f>
        <v>158130.15621026349</v>
      </c>
      <c r="I13" s="103">
        <f>VLOOKUP($A13,'US Grid mix, emissions&amp;prices'!$H$113:$I$163,2,FALSE)*I$55</f>
        <v>158130.15621026349</v>
      </c>
      <c r="J13" s="103">
        <f>VLOOKUP($A13,'US Grid mix, emissions&amp;prices'!$H$113:$I$163,2,FALSE)*J$55</f>
        <v>158130.15621026349</v>
      </c>
      <c r="K13" s="103">
        <f>VLOOKUP($A13,'US Grid mix, emissions&amp;prices'!$H$113:$I$163,2,FALSE)*K$55</f>
        <v>158130.15621026349</v>
      </c>
      <c r="L13" s="103">
        <f>VLOOKUP($A13,'US Grid mix, emissions&amp;prices'!$H$113:$I$163,2,FALSE)*L$55</f>
        <v>158130.15621026349</v>
      </c>
      <c r="M13" s="103">
        <f>VLOOKUP($A13,'US Grid mix, emissions&amp;prices'!$H$113:$I$163,2,FALSE)*M$55</f>
        <v>158130.15621026349</v>
      </c>
      <c r="N13" s="103">
        <f>VLOOKUP($A13,'US Grid mix, emissions&amp;prices'!$H$113:$I$163,2,FALSE)*N$55</f>
        <v>158130.15621026349</v>
      </c>
      <c r="O13" s="103">
        <f>VLOOKUP($A13,'US Grid mix, emissions&amp;prices'!$H$113:$I$163,2,FALSE)*O$55</f>
        <v>158130.15621026349</v>
      </c>
      <c r="P13" s="103">
        <f>VLOOKUP($A13,'US Grid mix, emissions&amp;prices'!$H$113:$I$163,2,FALSE)*P$55</f>
        <v>158130.15621026349</v>
      </c>
      <c r="Q13" s="103">
        <f>VLOOKUP($A13,'US Grid mix, emissions&amp;prices'!$H$113:$I$163,2,FALSE)*Q$55</f>
        <v>158130.15621026349</v>
      </c>
      <c r="R13" s="103">
        <f>VLOOKUP($A13,'US Grid mix, emissions&amp;prices'!$H$113:$I$163,2,FALSE)*R$55</f>
        <v>158130.15621026349</v>
      </c>
      <c r="S13" s="103">
        <f>VLOOKUP($A13,'US Grid mix, emissions&amp;prices'!$H$113:$I$163,2,FALSE)*S$55</f>
        <v>158130.15621026349</v>
      </c>
      <c r="T13" s="103">
        <f>VLOOKUP($A13,'US Grid mix, emissions&amp;prices'!$H$113:$I$163,2,FALSE)*T$55</f>
        <v>158130.15621026349</v>
      </c>
      <c r="U13" s="103">
        <f>VLOOKUP($A13,'US Grid mix, emissions&amp;prices'!$H$113:$I$163,2,FALSE)*U$55</f>
        <v>158130.15621026349</v>
      </c>
      <c r="V13" s="103">
        <f>VLOOKUP($A13,'US Grid mix, emissions&amp;prices'!$H$113:$I$163,2,FALSE)*V$55</f>
        <v>158130.15621026349</v>
      </c>
      <c r="W13" s="103">
        <f>VLOOKUP($A13,'US Grid mix, emissions&amp;prices'!$H$113:$I$163,2,FALSE)*W$55</f>
        <v>158130.15621026349</v>
      </c>
      <c r="X13" s="103">
        <f>VLOOKUP($A13,'US Grid mix, emissions&amp;prices'!$H$113:$I$163,2,FALSE)*X$55</f>
        <v>158130.15621026349</v>
      </c>
      <c r="Y13" s="103">
        <f>VLOOKUP($A13,'US Grid mix, emissions&amp;prices'!$H$113:$I$163,2,FALSE)*Y$55</f>
        <v>158130.15621026349</v>
      </c>
      <c r="Z13" s="103">
        <f>VLOOKUP($A13,'US Grid mix, emissions&amp;prices'!$H$113:$I$163,2,FALSE)*Z$55</f>
        <v>158130.15621026349</v>
      </c>
      <c r="AA13" s="103">
        <f>VLOOKUP($A13,'US Grid mix, emissions&amp;prices'!$H$113:$I$163,2,FALSE)*AA$55</f>
        <v>158130.15621026349</v>
      </c>
      <c r="AB13" s="103">
        <f>VLOOKUP($A13,'US Grid mix, emissions&amp;prices'!$H$113:$I$163,2,FALSE)*AB$55</f>
        <v>158130.15621026349</v>
      </c>
      <c r="AC13" s="103">
        <f>VLOOKUP($A13,'US Grid mix, emissions&amp;prices'!$H$113:$I$163,2,FALSE)*AC$55</f>
        <v>158130.15621026349</v>
      </c>
      <c r="AF13" s="123" t="s">
        <v>194</v>
      </c>
      <c r="AG13" s="103">
        <f>VLOOKUP($AF13,'US Grid mix, emissions&amp;prices'!$H$113:$I$163,2,FALSE)*AG$55</f>
        <v>185345.59274358244</v>
      </c>
      <c r="AH13" s="103">
        <f>VLOOKUP($AF13,'US Grid mix, emissions&amp;prices'!$H$113:$I$163,2,FALSE)*AH$55</f>
        <v>185345.59274358244</v>
      </c>
      <c r="AI13" s="103">
        <f>VLOOKUP($AF13,'US Grid mix, emissions&amp;prices'!$H$113:$I$163,2,FALSE)*AI$55</f>
        <v>185345.59274358244</v>
      </c>
      <c r="AJ13" s="103">
        <f>VLOOKUP($AF13,'US Grid mix, emissions&amp;prices'!$H$113:$I$163,2,FALSE)*AJ$55</f>
        <v>185345.59274358244</v>
      </c>
      <c r="AK13" s="103">
        <f>VLOOKUP($AF13,'US Grid mix, emissions&amp;prices'!$H$113:$I$163,2,FALSE)*AK$55</f>
        <v>185345.59274358244</v>
      </c>
      <c r="AL13" s="103">
        <f>VLOOKUP($AF13,'US Grid mix, emissions&amp;prices'!$H$113:$I$163,2,FALSE)*AL$55</f>
        <v>185345.59274358244</v>
      </c>
      <c r="AM13" s="103">
        <f>VLOOKUP($AF13,'US Grid mix, emissions&amp;prices'!$H$113:$I$163,2,FALSE)*AM$55</f>
        <v>185345.59274358244</v>
      </c>
      <c r="AN13" s="103">
        <f>VLOOKUP($AF13,'US Grid mix, emissions&amp;prices'!$H$113:$I$163,2,FALSE)*AN$55</f>
        <v>185345.59274358244</v>
      </c>
      <c r="AO13" s="103">
        <f>VLOOKUP($AF13,'US Grid mix, emissions&amp;prices'!$H$113:$I$163,2,FALSE)*AO$55</f>
        <v>185345.59274358244</v>
      </c>
      <c r="AP13" s="103">
        <f>VLOOKUP($AF13,'US Grid mix, emissions&amp;prices'!$H$113:$I$163,2,FALSE)*AP$55</f>
        <v>185345.59274358244</v>
      </c>
      <c r="AQ13" s="103">
        <f>VLOOKUP($AF13,'US Grid mix, emissions&amp;prices'!$H$113:$I$163,2,FALSE)*AQ$55</f>
        <v>185345.59274358244</v>
      </c>
      <c r="AR13" s="103">
        <f>VLOOKUP($AF13,'US Grid mix, emissions&amp;prices'!$H$113:$I$163,2,FALSE)*AR$55</f>
        <v>185345.59274358244</v>
      </c>
      <c r="AS13" s="103">
        <f>VLOOKUP($AF13,'US Grid mix, emissions&amp;prices'!$H$113:$I$163,2,FALSE)*AS$55</f>
        <v>185345.59274358244</v>
      </c>
      <c r="AT13" s="103">
        <f>VLOOKUP($AF13,'US Grid mix, emissions&amp;prices'!$H$113:$I$163,2,FALSE)*AT$55</f>
        <v>185345.59274358244</v>
      </c>
      <c r="AU13" s="103">
        <f>VLOOKUP($AF13,'US Grid mix, emissions&amp;prices'!$H$113:$I$163,2,FALSE)*AU$55</f>
        <v>185345.59274358244</v>
      </c>
      <c r="AV13" s="103">
        <f>VLOOKUP($AF13,'US Grid mix, emissions&amp;prices'!$H$113:$I$163,2,FALSE)*AV$55</f>
        <v>185345.59274358244</v>
      </c>
      <c r="AW13" s="103">
        <f>VLOOKUP($AF13,'US Grid mix, emissions&amp;prices'!$H$113:$I$163,2,FALSE)*AW$55</f>
        <v>185345.59274358244</v>
      </c>
      <c r="AX13" s="103">
        <f>VLOOKUP($AF13,'US Grid mix, emissions&amp;prices'!$H$113:$I$163,2,FALSE)*AX$55</f>
        <v>185345.59274358244</v>
      </c>
      <c r="AY13" s="103">
        <f>VLOOKUP($AF13,'US Grid mix, emissions&amp;prices'!$H$113:$I$163,2,FALSE)*AY$55</f>
        <v>185345.59274358244</v>
      </c>
      <c r="AZ13" s="103">
        <f>VLOOKUP($AF13,'US Grid mix, emissions&amp;prices'!$H$113:$I$163,2,FALSE)*AZ$55</f>
        <v>185345.59274358244</v>
      </c>
      <c r="BA13" s="103">
        <f>VLOOKUP($AF13,'US Grid mix, emissions&amp;prices'!$H$113:$I$163,2,FALSE)*BA$55</f>
        <v>185345.59274358244</v>
      </c>
      <c r="BB13" s="103">
        <f>VLOOKUP($AF13,'US Grid mix, emissions&amp;prices'!$H$113:$I$163,2,FALSE)*BB$55</f>
        <v>185345.59274358244</v>
      </c>
      <c r="BC13" s="103">
        <f>VLOOKUP($AF13,'US Grid mix, emissions&amp;prices'!$H$113:$I$163,2,FALSE)*BC$55</f>
        <v>185345.59274358244</v>
      </c>
      <c r="BD13" s="103">
        <f>VLOOKUP($AF13,'US Grid mix, emissions&amp;prices'!$H$113:$I$163,2,FALSE)*BD$55</f>
        <v>185345.59274358244</v>
      </c>
      <c r="BE13" s="103">
        <f>VLOOKUP($AF13,'US Grid mix, emissions&amp;prices'!$H$113:$I$163,2,FALSE)*BE$55</f>
        <v>185345.59274358244</v>
      </c>
      <c r="BF13" s="103">
        <f>VLOOKUP($AF13,'US Grid mix, emissions&amp;prices'!$H$113:$I$163,2,FALSE)*BF$55</f>
        <v>185345.59274358244</v>
      </c>
      <c r="BG13" s="103">
        <f>VLOOKUP($AF13,'US Grid mix, emissions&amp;prices'!$H$113:$I$163,2,FALSE)*BG$55</f>
        <v>185345.59274358244</v>
      </c>
      <c r="BH13" s="103">
        <f>VLOOKUP($AF13,'US Grid mix, emissions&amp;prices'!$H$113:$I$163,2,FALSE)*BH$55</f>
        <v>185345.59274358244</v>
      </c>
      <c r="BL13" s="123" t="s">
        <v>194</v>
      </c>
      <c r="BM13" s="103">
        <f>VLOOKUP($BL13,'US Grid mix, emissions&amp;prices'!$H$113:$I$163,2,FALSE)*BM$55</f>
        <v>137788.55195320628</v>
      </c>
      <c r="BN13" s="103">
        <f>VLOOKUP($BL13,'US Grid mix, emissions&amp;prices'!$H$113:$I$163,2,FALSE)*BN$55</f>
        <v>137788.55195320628</v>
      </c>
      <c r="BO13" s="103">
        <f>VLOOKUP($BL13,'US Grid mix, emissions&amp;prices'!$H$113:$I$163,2,FALSE)*BO$55</f>
        <v>137788.55195320628</v>
      </c>
      <c r="BP13" s="103">
        <f>VLOOKUP($BL13,'US Grid mix, emissions&amp;prices'!$H$113:$I$163,2,FALSE)*BP$55</f>
        <v>137788.55195320628</v>
      </c>
      <c r="BQ13" s="103">
        <f>VLOOKUP($BL13,'US Grid mix, emissions&amp;prices'!$H$113:$I$163,2,FALSE)*BQ$55</f>
        <v>137788.55195320628</v>
      </c>
      <c r="BR13" s="103">
        <f>VLOOKUP($BL13,'US Grid mix, emissions&amp;prices'!$H$113:$I$163,2,FALSE)*BR$55</f>
        <v>137788.55195320628</v>
      </c>
      <c r="BS13" s="103">
        <f>VLOOKUP($BL13,'US Grid mix, emissions&amp;prices'!$H$113:$I$163,2,FALSE)*BS$55</f>
        <v>137788.55195320628</v>
      </c>
      <c r="BT13" s="103">
        <f>VLOOKUP($BL13,'US Grid mix, emissions&amp;prices'!$H$113:$I$163,2,FALSE)*BT$55</f>
        <v>137788.55195320628</v>
      </c>
      <c r="BU13" s="103">
        <f>VLOOKUP($BL13,'US Grid mix, emissions&amp;prices'!$H$113:$I$163,2,FALSE)*BU$55</f>
        <v>137788.55195320628</v>
      </c>
      <c r="BV13" s="103">
        <f>VLOOKUP($BL13,'US Grid mix, emissions&amp;prices'!$H$113:$I$163,2,FALSE)*BV$55</f>
        <v>137788.55195320628</v>
      </c>
      <c r="BW13" s="103">
        <f>VLOOKUP($BL13,'US Grid mix, emissions&amp;prices'!$H$113:$I$163,2,FALSE)*BW$55</f>
        <v>137788.55195320628</v>
      </c>
      <c r="BX13" s="103">
        <f>VLOOKUP($BL13,'US Grid mix, emissions&amp;prices'!$H$113:$I$163,2,FALSE)*BX$55</f>
        <v>137788.55195320628</v>
      </c>
      <c r="BY13" s="103">
        <f>VLOOKUP($BL13,'US Grid mix, emissions&amp;prices'!$H$113:$I$163,2,FALSE)*BY$55</f>
        <v>137788.55195320628</v>
      </c>
      <c r="BZ13" s="103">
        <f>VLOOKUP($BL13,'US Grid mix, emissions&amp;prices'!$H$113:$I$163,2,FALSE)*BZ$55</f>
        <v>137788.55195320628</v>
      </c>
      <c r="CA13" s="103">
        <f>VLOOKUP($BL13,'US Grid mix, emissions&amp;prices'!$H$113:$I$163,2,FALSE)*CA$55</f>
        <v>137788.55195320628</v>
      </c>
      <c r="CB13" s="103">
        <f>VLOOKUP($BL13,'US Grid mix, emissions&amp;prices'!$H$113:$I$163,2,FALSE)*CB$55</f>
        <v>137788.55195320628</v>
      </c>
      <c r="CC13" s="103">
        <f>VLOOKUP($BL13,'US Grid mix, emissions&amp;prices'!$H$113:$I$163,2,FALSE)*CC$55</f>
        <v>137788.55195320628</v>
      </c>
      <c r="CD13" s="103">
        <f>VLOOKUP($BL13,'US Grid mix, emissions&amp;prices'!$H$113:$I$163,2,FALSE)*CD$55</f>
        <v>137788.55195320628</v>
      </c>
      <c r="CE13" s="103">
        <f>VLOOKUP($BL13,'US Grid mix, emissions&amp;prices'!$H$113:$I$163,2,FALSE)*CE$55</f>
        <v>137788.55195320628</v>
      </c>
      <c r="CF13" s="103">
        <f>VLOOKUP($BL13,'US Grid mix, emissions&amp;prices'!$H$113:$I$163,2,FALSE)*CF$55</f>
        <v>137788.55195320628</v>
      </c>
      <c r="CG13" s="103">
        <f>VLOOKUP($BL13,'US Grid mix, emissions&amp;prices'!$H$113:$I$163,2,FALSE)*CG$55</f>
        <v>137788.55195320628</v>
      </c>
      <c r="CH13" s="103">
        <f>VLOOKUP($BL13,'US Grid mix, emissions&amp;prices'!$H$113:$I$163,2,FALSE)*CH$55</f>
        <v>137788.55195320628</v>
      </c>
      <c r="CI13" s="103">
        <f>VLOOKUP($BL13,'US Grid mix, emissions&amp;prices'!$H$113:$I$163,2,FALSE)*CI$55</f>
        <v>137788.55195320628</v>
      </c>
      <c r="CJ13" s="103">
        <f>VLOOKUP($BL13,'US Grid mix, emissions&amp;prices'!$H$113:$I$163,2,FALSE)*CJ$55</f>
        <v>137788.55195320628</v>
      </c>
      <c r="CK13" s="103">
        <f>VLOOKUP($BL13,'US Grid mix, emissions&amp;prices'!$H$113:$I$163,2,FALSE)*CK$55</f>
        <v>137788.55195320628</v>
      </c>
      <c r="CL13" s="103">
        <f>VLOOKUP($BL13,'US Grid mix, emissions&amp;prices'!$H$113:$I$163,2,FALSE)*CL$55</f>
        <v>137788.55195320628</v>
      </c>
      <c r="CM13" s="103">
        <f>VLOOKUP($BL13,'US Grid mix, emissions&amp;prices'!$H$113:$I$163,2,FALSE)*CM$55</f>
        <v>137788.55195320628</v>
      </c>
      <c r="CN13" s="103">
        <f>VLOOKUP($BL13,'US Grid mix, emissions&amp;prices'!$H$113:$I$163,2,FALSE)*CN$55</f>
        <v>137788.55195320628</v>
      </c>
    </row>
    <row r="14" spans="1:92" x14ac:dyDescent="0.25">
      <c r="A14" s="123" t="s">
        <v>233</v>
      </c>
      <c r="B14" s="103">
        <f>VLOOKUP($A14,'US Grid mix, emissions&amp;prices'!$H$113:$I$163,2,FALSE)*B$55</f>
        <v>346492.76254036266</v>
      </c>
      <c r="C14" s="103">
        <f>VLOOKUP($A14,'US Grid mix, emissions&amp;prices'!$H$113:$I$163,2,FALSE)*C$55</f>
        <v>346492.76254036266</v>
      </c>
      <c r="D14" s="103">
        <f>VLOOKUP($A14,'US Grid mix, emissions&amp;prices'!$H$113:$I$163,2,FALSE)*D$55</f>
        <v>346492.76254036266</v>
      </c>
      <c r="E14" s="103">
        <f>VLOOKUP($A14,'US Grid mix, emissions&amp;prices'!$H$113:$I$163,2,FALSE)*E$55</f>
        <v>346492.76254036266</v>
      </c>
      <c r="F14" s="103">
        <f>VLOOKUP($A14,'US Grid mix, emissions&amp;prices'!$H$113:$I$163,2,FALSE)*F$55</f>
        <v>346492.76254036266</v>
      </c>
      <c r="G14" s="103">
        <f>VLOOKUP($A14,'US Grid mix, emissions&amp;prices'!$H$113:$I$163,2,FALSE)*G$55</f>
        <v>346492.76254036266</v>
      </c>
      <c r="H14" s="103">
        <f>VLOOKUP($A14,'US Grid mix, emissions&amp;prices'!$H$113:$I$163,2,FALSE)*H$55</f>
        <v>346492.76254036266</v>
      </c>
      <c r="I14" s="103">
        <f>VLOOKUP($A14,'US Grid mix, emissions&amp;prices'!$H$113:$I$163,2,FALSE)*I$55</f>
        <v>346492.76254036266</v>
      </c>
      <c r="J14" s="103">
        <f>VLOOKUP($A14,'US Grid mix, emissions&amp;prices'!$H$113:$I$163,2,FALSE)*J$55</f>
        <v>346492.76254036266</v>
      </c>
      <c r="K14" s="103">
        <f>VLOOKUP($A14,'US Grid mix, emissions&amp;prices'!$H$113:$I$163,2,FALSE)*K$55</f>
        <v>346492.76254036266</v>
      </c>
      <c r="L14" s="103">
        <f>VLOOKUP($A14,'US Grid mix, emissions&amp;prices'!$H$113:$I$163,2,FALSE)*L$55</f>
        <v>346492.76254036266</v>
      </c>
      <c r="M14" s="103">
        <f>VLOOKUP($A14,'US Grid mix, emissions&amp;prices'!$H$113:$I$163,2,FALSE)*M$55</f>
        <v>346492.76254036266</v>
      </c>
      <c r="N14" s="103">
        <f>VLOOKUP($A14,'US Grid mix, emissions&amp;prices'!$H$113:$I$163,2,FALSE)*N$55</f>
        <v>346492.76254036266</v>
      </c>
      <c r="O14" s="103">
        <f>VLOOKUP($A14,'US Grid mix, emissions&amp;prices'!$H$113:$I$163,2,FALSE)*O$55</f>
        <v>346492.76254036266</v>
      </c>
      <c r="P14" s="103">
        <f>VLOOKUP($A14,'US Grid mix, emissions&amp;prices'!$H$113:$I$163,2,FALSE)*P$55</f>
        <v>346492.76254036266</v>
      </c>
      <c r="Q14" s="103">
        <f>VLOOKUP($A14,'US Grid mix, emissions&amp;prices'!$H$113:$I$163,2,FALSE)*Q$55</f>
        <v>346492.76254036266</v>
      </c>
      <c r="R14" s="103">
        <f>VLOOKUP($A14,'US Grid mix, emissions&amp;prices'!$H$113:$I$163,2,FALSE)*R$55</f>
        <v>346492.76254036266</v>
      </c>
      <c r="S14" s="103">
        <f>VLOOKUP($A14,'US Grid mix, emissions&amp;prices'!$H$113:$I$163,2,FALSE)*S$55</f>
        <v>346492.76254036266</v>
      </c>
      <c r="T14" s="103">
        <f>VLOOKUP($A14,'US Grid mix, emissions&amp;prices'!$H$113:$I$163,2,FALSE)*T$55</f>
        <v>346492.76254036266</v>
      </c>
      <c r="U14" s="103">
        <f>VLOOKUP($A14,'US Grid mix, emissions&amp;prices'!$H$113:$I$163,2,FALSE)*U$55</f>
        <v>346492.76254036266</v>
      </c>
      <c r="V14" s="103">
        <f>VLOOKUP($A14,'US Grid mix, emissions&amp;prices'!$H$113:$I$163,2,FALSE)*V$55</f>
        <v>346492.76254036266</v>
      </c>
      <c r="W14" s="103">
        <f>VLOOKUP($A14,'US Grid mix, emissions&amp;prices'!$H$113:$I$163,2,FALSE)*W$55</f>
        <v>346492.76254036266</v>
      </c>
      <c r="X14" s="103">
        <f>VLOOKUP($A14,'US Grid mix, emissions&amp;prices'!$H$113:$I$163,2,FALSE)*X$55</f>
        <v>346492.76254036266</v>
      </c>
      <c r="Y14" s="103">
        <f>VLOOKUP($A14,'US Grid mix, emissions&amp;prices'!$H$113:$I$163,2,FALSE)*Y$55</f>
        <v>346492.76254036266</v>
      </c>
      <c r="Z14" s="103">
        <f>VLOOKUP($A14,'US Grid mix, emissions&amp;prices'!$H$113:$I$163,2,FALSE)*Z$55</f>
        <v>346492.76254036266</v>
      </c>
      <c r="AA14" s="103">
        <f>VLOOKUP($A14,'US Grid mix, emissions&amp;prices'!$H$113:$I$163,2,FALSE)*AA$55</f>
        <v>346492.76254036266</v>
      </c>
      <c r="AB14" s="103">
        <f>VLOOKUP($A14,'US Grid mix, emissions&amp;prices'!$H$113:$I$163,2,FALSE)*AB$55</f>
        <v>346492.76254036266</v>
      </c>
      <c r="AC14" s="103">
        <f>VLOOKUP($A14,'US Grid mix, emissions&amp;prices'!$H$113:$I$163,2,FALSE)*AC$55</f>
        <v>346492.76254036266</v>
      </c>
      <c r="AF14" s="123" t="s">
        <v>233</v>
      </c>
      <c r="AG14" s="103">
        <f>VLOOKUP($AF14,'US Grid mix, emissions&amp;prices'!$H$113:$I$163,2,FALSE)*AG$55</f>
        <v>406126.87670409447</v>
      </c>
      <c r="AH14" s="103">
        <f>VLOOKUP($AF14,'US Grid mix, emissions&amp;prices'!$H$113:$I$163,2,FALSE)*AH$55</f>
        <v>406126.87670409447</v>
      </c>
      <c r="AI14" s="103">
        <f>VLOOKUP($AF14,'US Grid mix, emissions&amp;prices'!$H$113:$I$163,2,FALSE)*AI$55</f>
        <v>406126.87670409447</v>
      </c>
      <c r="AJ14" s="103">
        <f>VLOOKUP($AF14,'US Grid mix, emissions&amp;prices'!$H$113:$I$163,2,FALSE)*AJ$55</f>
        <v>406126.87670409447</v>
      </c>
      <c r="AK14" s="103">
        <f>VLOOKUP($AF14,'US Grid mix, emissions&amp;prices'!$H$113:$I$163,2,FALSE)*AK$55</f>
        <v>406126.87670409447</v>
      </c>
      <c r="AL14" s="103">
        <f>VLOOKUP($AF14,'US Grid mix, emissions&amp;prices'!$H$113:$I$163,2,FALSE)*AL$55</f>
        <v>406126.87670409447</v>
      </c>
      <c r="AM14" s="103">
        <f>VLOOKUP($AF14,'US Grid mix, emissions&amp;prices'!$H$113:$I$163,2,FALSE)*AM$55</f>
        <v>406126.87670409447</v>
      </c>
      <c r="AN14" s="103">
        <f>VLOOKUP($AF14,'US Grid mix, emissions&amp;prices'!$H$113:$I$163,2,FALSE)*AN$55</f>
        <v>406126.87670409447</v>
      </c>
      <c r="AO14" s="103">
        <f>VLOOKUP($AF14,'US Grid mix, emissions&amp;prices'!$H$113:$I$163,2,FALSE)*AO$55</f>
        <v>406126.87670409447</v>
      </c>
      <c r="AP14" s="103">
        <f>VLOOKUP($AF14,'US Grid mix, emissions&amp;prices'!$H$113:$I$163,2,FALSE)*AP$55</f>
        <v>406126.87670409447</v>
      </c>
      <c r="AQ14" s="103">
        <f>VLOOKUP($AF14,'US Grid mix, emissions&amp;prices'!$H$113:$I$163,2,FALSE)*AQ$55</f>
        <v>406126.87670409447</v>
      </c>
      <c r="AR14" s="103">
        <f>VLOOKUP($AF14,'US Grid mix, emissions&amp;prices'!$H$113:$I$163,2,FALSE)*AR$55</f>
        <v>406126.87670409447</v>
      </c>
      <c r="AS14" s="103">
        <f>VLOOKUP($AF14,'US Grid mix, emissions&amp;prices'!$H$113:$I$163,2,FALSE)*AS$55</f>
        <v>406126.87670409447</v>
      </c>
      <c r="AT14" s="103">
        <f>VLOOKUP($AF14,'US Grid mix, emissions&amp;prices'!$H$113:$I$163,2,FALSE)*AT$55</f>
        <v>406126.87670409447</v>
      </c>
      <c r="AU14" s="103">
        <f>VLOOKUP($AF14,'US Grid mix, emissions&amp;prices'!$H$113:$I$163,2,FALSE)*AU$55</f>
        <v>406126.87670409447</v>
      </c>
      <c r="AV14" s="103">
        <f>VLOOKUP($AF14,'US Grid mix, emissions&amp;prices'!$H$113:$I$163,2,FALSE)*AV$55</f>
        <v>406126.87670409447</v>
      </c>
      <c r="AW14" s="103">
        <f>VLOOKUP($AF14,'US Grid mix, emissions&amp;prices'!$H$113:$I$163,2,FALSE)*AW$55</f>
        <v>406126.87670409447</v>
      </c>
      <c r="AX14" s="103">
        <f>VLOOKUP($AF14,'US Grid mix, emissions&amp;prices'!$H$113:$I$163,2,FALSE)*AX$55</f>
        <v>406126.87670409447</v>
      </c>
      <c r="AY14" s="103">
        <f>VLOOKUP($AF14,'US Grid mix, emissions&amp;prices'!$H$113:$I$163,2,FALSE)*AY$55</f>
        <v>406126.87670409447</v>
      </c>
      <c r="AZ14" s="103">
        <f>VLOOKUP($AF14,'US Grid mix, emissions&amp;prices'!$H$113:$I$163,2,FALSE)*AZ$55</f>
        <v>406126.87670409447</v>
      </c>
      <c r="BA14" s="103">
        <f>VLOOKUP($AF14,'US Grid mix, emissions&amp;prices'!$H$113:$I$163,2,FALSE)*BA$55</f>
        <v>406126.87670409447</v>
      </c>
      <c r="BB14" s="103">
        <f>VLOOKUP($AF14,'US Grid mix, emissions&amp;prices'!$H$113:$I$163,2,FALSE)*BB$55</f>
        <v>406126.87670409447</v>
      </c>
      <c r="BC14" s="103">
        <f>VLOOKUP($AF14,'US Grid mix, emissions&amp;prices'!$H$113:$I$163,2,FALSE)*BC$55</f>
        <v>406126.87670409447</v>
      </c>
      <c r="BD14" s="103">
        <f>VLOOKUP($AF14,'US Grid mix, emissions&amp;prices'!$H$113:$I$163,2,FALSE)*BD$55</f>
        <v>406126.87670409447</v>
      </c>
      <c r="BE14" s="103">
        <f>VLOOKUP($AF14,'US Grid mix, emissions&amp;prices'!$H$113:$I$163,2,FALSE)*BE$55</f>
        <v>406126.87670409447</v>
      </c>
      <c r="BF14" s="103">
        <f>VLOOKUP($AF14,'US Grid mix, emissions&amp;prices'!$H$113:$I$163,2,FALSE)*BF$55</f>
        <v>406126.87670409447</v>
      </c>
      <c r="BG14" s="103">
        <f>VLOOKUP($AF14,'US Grid mix, emissions&amp;prices'!$H$113:$I$163,2,FALSE)*BG$55</f>
        <v>406126.87670409447</v>
      </c>
      <c r="BH14" s="103">
        <f>VLOOKUP($AF14,'US Grid mix, emissions&amp;prices'!$H$113:$I$163,2,FALSE)*BH$55</f>
        <v>406126.87670409447</v>
      </c>
      <c r="BL14" s="123" t="s">
        <v>233</v>
      </c>
      <c r="BM14" s="103">
        <f>VLOOKUP($BL14,'US Grid mix, emissions&amp;prices'!$H$113:$I$163,2,FALSE)*BM$55</f>
        <v>301920.50116753107</v>
      </c>
      <c r="BN14" s="103">
        <f>VLOOKUP($BL14,'US Grid mix, emissions&amp;prices'!$H$113:$I$163,2,FALSE)*BN$55</f>
        <v>301920.50116753107</v>
      </c>
      <c r="BO14" s="103">
        <f>VLOOKUP($BL14,'US Grid mix, emissions&amp;prices'!$H$113:$I$163,2,FALSE)*BO$55</f>
        <v>301920.50116753107</v>
      </c>
      <c r="BP14" s="103">
        <f>VLOOKUP($BL14,'US Grid mix, emissions&amp;prices'!$H$113:$I$163,2,FALSE)*BP$55</f>
        <v>301920.50116753107</v>
      </c>
      <c r="BQ14" s="103">
        <f>VLOOKUP($BL14,'US Grid mix, emissions&amp;prices'!$H$113:$I$163,2,FALSE)*BQ$55</f>
        <v>301920.50116753107</v>
      </c>
      <c r="BR14" s="103">
        <f>VLOOKUP($BL14,'US Grid mix, emissions&amp;prices'!$H$113:$I$163,2,FALSE)*BR$55</f>
        <v>301920.50116753107</v>
      </c>
      <c r="BS14" s="103">
        <f>VLOOKUP($BL14,'US Grid mix, emissions&amp;prices'!$H$113:$I$163,2,FALSE)*BS$55</f>
        <v>301920.50116753107</v>
      </c>
      <c r="BT14" s="103">
        <f>VLOOKUP($BL14,'US Grid mix, emissions&amp;prices'!$H$113:$I$163,2,FALSE)*BT$55</f>
        <v>301920.50116753107</v>
      </c>
      <c r="BU14" s="103">
        <f>VLOOKUP($BL14,'US Grid mix, emissions&amp;prices'!$H$113:$I$163,2,FALSE)*BU$55</f>
        <v>301920.50116753107</v>
      </c>
      <c r="BV14" s="103">
        <f>VLOOKUP($BL14,'US Grid mix, emissions&amp;prices'!$H$113:$I$163,2,FALSE)*BV$55</f>
        <v>301920.50116753107</v>
      </c>
      <c r="BW14" s="103">
        <f>VLOOKUP($BL14,'US Grid mix, emissions&amp;prices'!$H$113:$I$163,2,FALSE)*BW$55</f>
        <v>301920.50116753107</v>
      </c>
      <c r="BX14" s="103">
        <f>VLOOKUP($BL14,'US Grid mix, emissions&amp;prices'!$H$113:$I$163,2,FALSE)*BX$55</f>
        <v>301920.50116753107</v>
      </c>
      <c r="BY14" s="103">
        <f>VLOOKUP($BL14,'US Grid mix, emissions&amp;prices'!$H$113:$I$163,2,FALSE)*BY$55</f>
        <v>301920.50116753107</v>
      </c>
      <c r="BZ14" s="103">
        <f>VLOOKUP($BL14,'US Grid mix, emissions&amp;prices'!$H$113:$I$163,2,FALSE)*BZ$55</f>
        <v>301920.50116753107</v>
      </c>
      <c r="CA14" s="103">
        <f>VLOOKUP($BL14,'US Grid mix, emissions&amp;prices'!$H$113:$I$163,2,FALSE)*CA$55</f>
        <v>301920.50116753107</v>
      </c>
      <c r="CB14" s="103">
        <f>VLOOKUP($BL14,'US Grid mix, emissions&amp;prices'!$H$113:$I$163,2,FALSE)*CB$55</f>
        <v>301920.50116753107</v>
      </c>
      <c r="CC14" s="103">
        <f>VLOOKUP($BL14,'US Grid mix, emissions&amp;prices'!$H$113:$I$163,2,FALSE)*CC$55</f>
        <v>301920.50116753107</v>
      </c>
      <c r="CD14" s="103">
        <f>VLOOKUP($BL14,'US Grid mix, emissions&amp;prices'!$H$113:$I$163,2,FALSE)*CD$55</f>
        <v>301920.50116753107</v>
      </c>
      <c r="CE14" s="103">
        <f>VLOOKUP($BL14,'US Grid mix, emissions&amp;prices'!$H$113:$I$163,2,FALSE)*CE$55</f>
        <v>301920.50116753107</v>
      </c>
      <c r="CF14" s="103">
        <f>VLOOKUP($BL14,'US Grid mix, emissions&amp;prices'!$H$113:$I$163,2,FALSE)*CF$55</f>
        <v>301920.50116753107</v>
      </c>
      <c r="CG14" s="103">
        <f>VLOOKUP($BL14,'US Grid mix, emissions&amp;prices'!$H$113:$I$163,2,FALSE)*CG$55</f>
        <v>301920.50116753107</v>
      </c>
      <c r="CH14" s="103">
        <f>VLOOKUP($BL14,'US Grid mix, emissions&amp;prices'!$H$113:$I$163,2,FALSE)*CH$55</f>
        <v>301920.50116753107</v>
      </c>
      <c r="CI14" s="103">
        <f>VLOOKUP($BL14,'US Grid mix, emissions&amp;prices'!$H$113:$I$163,2,FALSE)*CI$55</f>
        <v>301920.50116753107</v>
      </c>
      <c r="CJ14" s="103">
        <f>VLOOKUP($BL14,'US Grid mix, emissions&amp;prices'!$H$113:$I$163,2,FALSE)*CJ$55</f>
        <v>301920.50116753107</v>
      </c>
      <c r="CK14" s="103">
        <f>VLOOKUP($BL14,'US Grid mix, emissions&amp;prices'!$H$113:$I$163,2,FALSE)*CK$55</f>
        <v>301920.50116753107</v>
      </c>
      <c r="CL14" s="103">
        <f>VLOOKUP($BL14,'US Grid mix, emissions&amp;prices'!$H$113:$I$163,2,FALSE)*CL$55</f>
        <v>301920.50116753107</v>
      </c>
      <c r="CM14" s="103">
        <f>VLOOKUP($BL14,'US Grid mix, emissions&amp;prices'!$H$113:$I$163,2,FALSE)*CM$55</f>
        <v>301920.50116753107</v>
      </c>
      <c r="CN14" s="103">
        <f>VLOOKUP($BL14,'US Grid mix, emissions&amp;prices'!$H$113:$I$163,2,FALSE)*CN$55</f>
        <v>301920.50116753107</v>
      </c>
    </row>
    <row r="15" spans="1:92" x14ac:dyDescent="0.25">
      <c r="A15" s="123" t="s">
        <v>196</v>
      </c>
      <c r="B15" s="103">
        <f>VLOOKUP($A15,'US Grid mix, emissions&amp;prices'!$H$113:$I$163,2,FALSE)*B$55</f>
        <v>71192.543830580835</v>
      </c>
      <c r="C15" s="103">
        <f>VLOOKUP($A15,'US Grid mix, emissions&amp;prices'!$H$113:$I$163,2,FALSE)*C$55</f>
        <v>71192.543830580835</v>
      </c>
      <c r="D15" s="103">
        <f>VLOOKUP($A15,'US Grid mix, emissions&amp;prices'!$H$113:$I$163,2,FALSE)*D$55</f>
        <v>71192.543830580835</v>
      </c>
      <c r="E15" s="103">
        <f>VLOOKUP($A15,'US Grid mix, emissions&amp;prices'!$H$113:$I$163,2,FALSE)*E$55</f>
        <v>71192.543830580835</v>
      </c>
      <c r="F15" s="103">
        <f>VLOOKUP($A15,'US Grid mix, emissions&amp;prices'!$H$113:$I$163,2,FALSE)*F$55</f>
        <v>71192.543830580835</v>
      </c>
      <c r="G15" s="103">
        <f>VLOOKUP($A15,'US Grid mix, emissions&amp;prices'!$H$113:$I$163,2,FALSE)*G$55</f>
        <v>71192.543830580835</v>
      </c>
      <c r="H15" s="103">
        <f>VLOOKUP($A15,'US Grid mix, emissions&amp;prices'!$H$113:$I$163,2,FALSE)*H$55</f>
        <v>71192.543830580835</v>
      </c>
      <c r="I15" s="103">
        <f>VLOOKUP($A15,'US Grid mix, emissions&amp;prices'!$H$113:$I$163,2,FALSE)*I$55</f>
        <v>71192.543830580835</v>
      </c>
      <c r="J15" s="103">
        <f>VLOOKUP($A15,'US Grid mix, emissions&amp;prices'!$H$113:$I$163,2,FALSE)*J$55</f>
        <v>71192.543830580835</v>
      </c>
      <c r="K15" s="103">
        <f>VLOOKUP($A15,'US Grid mix, emissions&amp;prices'!$H$113:$I$163,2,FALSE)*K$55</f>
        <v>71192.543830580835</v>
      </c>
      <c r="L15" s="103">
        <f>VLOOKUP($A15,'US Grid mix, emissions&amp;prices'!$H$113:$I$163,2,FALSE)*L$55</f>
        <v>71192.543830580835</v>
      </c>
      <c r="M15" s="103">
        <f>VLOOKUP($A15,'US Grid mix, emissions&amp;prices'!$H$113:$I$163,2,FALSE)*M$55</f>
        <v>71192.543830580835</v>
      </c>
      <c r="N15" s="103">
        <f>VLOOKUP($A15,'US Grid mix, emissions&amp;prices'!$H$113:$I$163,2,FALSE)*N$55</f>
        <v>71192.543830580835</v>
      </c>
      <c r="O15" s="103">
        <f>VLOOKUP($A15,'US Grid mix, emissions&amp;prices'!$H$113:$I$163,2,FALSE)*O$55</f>
        <v>71192.543830580835</v>
      </c>
      <c r="P15" s="103">
        <f>VLOOKUP($A15,'US Grid mix, emissions&amp;prices'!$H$113:$I$163,2,FALSE)*P$55</f>
        <v>71192.543830580835</v>
      </c>
      <c r="Q15" s="103">
        <f>VLOOKUP($A15,'US Grid mix, emissions&amp;prices'!$H$113:$I$163,2,FALSE)*Q$55</f>
        <v>71192.543830580835</v>
      </c>
      <c r="R15" s="103">
        <f>VLOOKUP($A15,'US Grid mix, emissions&amp;prices'!$H$113:$I$163,2,FALSE)*R$55</f>
        <v>71192.543830580835</v>
      </c>
      <c r="S15" s="103">
        <f>VLOOKUP($A15,'US Grid mix, emissions&amp;prices'!$H$113:$I$163,2,FALSE)*S$55</f>
        <v>71192.543830580835</v>
      </c>
      <c r="T15" s="103">
        <f>VLOOKUP($A15,'US Grid mix, emissions&amp;prices'!$H$113:$I$163,2,FALSE)*T$55</f>
        <v>71192.543830580835</v>
      </c>
      <c r="U15" s="103">
        <f>VLOOKUP($A15,'US Grid mix, emissions&amp;prices'!$H$113:$I$163,2,FALSE)*U$55</f>
        <v>71192.543830580835</v>
      </c>
      <c r="V15" s="103">
        <f>VLOOKUP($A15,'US Grid mix, emissions&amp;prices'!$H$113:$I$163,2,FALSE)*V$55</f>
        <v>71192.543830580835</v>
      </c>
      <c r="W15" s="103">
        <f>VLOOKUP($A15,'US Grid mix, emissions&amp;prices'!$H$113:$I$163,2,FALSE)*W$55</f>
        <v>71192.543830580835</v>
      </c>
      <c r="X15" s="103">
        <f>VLOOKUP($A15,'US Grid mix, emissions&amp;prices'!$H$113:$I$163,2,FALSE)*X$55</f>
        <v>71192.543830580835</v>
      </c>
      <c r="Y15" s="103">
        <f>VLOOKUP($A15,'US Grid mix, emissions&amp;prices'!$H$113:$I$163,2,FALSE)*Y$55</f>
        <v>71192.543830580835</v>
      </c>
      <c r="Z15" s="103">
        <f>VLOOKUP($A15,'US Grid mix, emissions&amp;prices'!$H$113:$I$163,2,FALSE)*Z$55</f>
        <v>71192.543830580835</v>
      </c>
      <c r="AA15" s="103">
        <f>VLOOKUP($A15,'US Grid mix, emissions&amp;prices'!$H$113:$I$163,2,FALSE)*AA$55</f>
        <v>71192.543830580835</v>
      </c>
      <c r="AB15" s="103">
        <f>VLOOKUP($A15,'US Grid mix, emissions&amp;prices'!$H$113:$I$163,2,FALSE)*AB$55</f>
        <v>71192.543830580835</v>
      </c>
      <c r="AC15" s="103">
        <f>VLOOKUP($A15,'US Grid mix, emissions&amp;prices'!$H$113:$I$163,2,FALSE)*AC$55</f>
        <v>71192.543830580835</v>
      </c>
      <c r="AF15" s="123" t="s">
        <v>196</v>
      </c>
      <c r="AG15" s="103">
        <f>VLOOKUP($AF15,'US Grid mix, emissions&amp;prices'!$H$113:$I$163,2,FALSE)*AG$55</f>
        <v>83445.337381801932</v>
      </c>
      <c r="AH15" s="103">
        <f>VLOOKUP($AF15,'US Grid mix, emissions&amp;prices'!$H$113:$I$163,2,FALSE)*AH$55</f>
        <v>83445.337381801932</v>
      </c>
      <c r="AI15" s="103">
        <f>VLOOKUP($AF15,'US Grid mix, emissions&amp;prices'!$H$113:$I$163,2,FALSE)*AI$55</f>
        <v>83445.337381801932</v>
      </c>
      <c r="AJ15" s="103">
        <f>VLOOKUP($AF15,'US Grid mix, emissions&amp;prices'!$H$113:$I$163,2,FALSE)*AJ$55</f>
        <v>83445.337381801932</v>
      </c>
      <c r="AK15" s="103">
        <f>VLOOKUP($AF15,'US Grid mix, emissions&amp;prices'!$H$113:$I$163,2,FALSE)*AK$55</f>
        <v>83445.337381801932</v>
      </c>
      <c r="AL15" s="103">
        <f>VLOOKUP($AF15,'US Grid mix, emissions&amp;prices'!$H$113:$I$163,2,FALSE)*AL$55</f>
        <v>83445.337381801932</v>
      </c>
      <c r="AM15" s="103">
        <f>VLOOKUP($AF15,'US Grid mix, emissions&amp;prices'!$H$113:$I$163,2,FALSE)*AM$55</f>
        <v>83445.337381801932</v>
      </c>
      <c r="AN15" s="103">
        <f>VLOOKUP($AF15,'US Grid mix, emissions&amp;prices'!$H$113:$I$163,2,FALSE)*AN$55</f>
        <v>83445.337381801932</v>
      </c>
      <c r="AO15" s="103">
        <f>VLOOKUP($AF15,'US Grid mix, emissions&amp;prices'!$H$113:$I$163,2,FALSE)*AO$55</f>
        <v>83445.337381801932</v>
      </c>
      <c r="AP15" s="103">
        <f>VLOOKUP($AF15,'US Grid mix, emissions&amp;prices'!$H$113:$I$163,2,FALSE)*AP$55</f>
        <v>83445.337381801932</v>
      </c>
      <c r="AQ15" s="103">
        <f>VLOOKUP($AF15,'US Grid mix, emissions&amp;prices'!$H$113:$I$163,2,FALSE)*AQ$55</f>
        <v>83445.337381801932</v>
      </c>
      <c r="AR15" s="103">
        <f>VLOOKUP($AF15,'US Grid mix, emissions&amp;prices'!$H$113:$I$163,2,FALSE)*AR$55</f>
        <v>83445.337381801932</v>
      </c>
      <c r="AS15" s="103">
        <f>VLOOKUP($AF15,'US Grid mix, emissions&amp;prices'!$H$113:$I$163,2,FALSE)*AS$55</f>
        <v>83445.337381801932</v>
      </c>
      <c r="AT15" s="103">
        <f>VLOOKUP($AF15,'US Grid mix, emissions&amp;prices'!$H$113:$I$163,2,FALSE)*AT$55</f>
        <v>83445.337381801932</v>
      </c>
      <c r="AU15" s="103">
        <f>VLOOKUP($AF15,'US Grid mix, emissions&amp;prices'!$H$113:$I$163,2,FALSE)*AU$55</f>
        <v>83445.337381801932</v>
      </c>
      <c r="AV15" s="103">
        <f>VLOOKUP($AF15,'US Grid mix, emissions&amp;prices'!$H$113:$I$163,2,FALSE)*AV$55</f>
        <v>83445.337381801932</v>
      </c>
      <c r="AW15" s="103">
        <f>VLOOKUP($AF15,'US Grid mix, emissions&amp;prices'!$H$113:$I$163,2,FALSE)*AW$55</f>
        <v>83445.337381801932</v>
      </c>
      <c r="AX15" s="103">
        <f>VLOOKUP($AF15,'US Grid mix, emissions&amp;prices'!$H$113:$I$163,2,FALSE)*AX$55</f>
        <v>83445.337381801932</v>
      </c>
      <c r="AY15" s="103">
        <f>VLOOKUP($AF15,'US Grid mix, emissions&amp;prices'!$H$113:$I$163,2,FALSE)*AY$55</f>
        <v>83445.337381801932</v>
      </c>
      <c r="AZ15" s="103">
        <f>VLOOKUP($AF15,'US Grid mix, emissions&amp;prices'!$H$113:$I$163,2,FALSE)*AZ$55</f>
        <v>83445.337381801932</v>
      </c>
      <c r="BA15" s="103">
        <f>VLOOKUP($AF15,'US Grid mix, emissions&amp;prices'!$H$113:$I$163,2,FALSE)*BA$55</f>
        <v>83445.337381801932</v>
      </c>
      <c r="BB15" s="103">
        <f>VLOOKUP($AF15,'US Grid mix, emissions&amp;prices'!$H$113:$I$163,2,FALSE)*BB$55</f>
        <v>83445.337381801932</v>
      </c>
      <c r="BC15" s="103">
        <f>VLOOKUP($AF15,'US Grid mix, emissions&amp;prices'!$H$113:$I$163,2,FALSE)*BC$55</f>
        <v>83445.337381801932</v>
      </c>
      <c r="BD15" s="103">
        <f>VLOOKUP($AF15,'US Grid mix, emissions&amp;prices'!$H$113:$I$163,2,FALSE)*BD$55</f>
        <v>83445.337381801932</v>
      </c>
      <c r="BE15" s="103">
        <f>VLOOKUP($AF15,'US Grid mix, emissions&amp;prices'!$H$113:$I$163,2,FALSE)*BE$55</f>
        <v>83445.337381801932</v>
      </c>
      <c r="BF15" s="103">
        <f>VLOOKUP($AF15,'US Grid mix, emissions&amp;prices'!$H$113:$I$163,2,FALSE)*BF$55</f>
        <v>83445.337381801932</v>
      </c>
      <c r="BG15" s="103">
        <f>VLOOKUP($AF15,'US Grid mix, emissions&amp;prices'!$H$113:$I$163,2,FALSE)*BG$55</f>
        <v>83445.337381801932</v>
      </c>
      <c r="BH15" s="103">
        <f>VLOOKUP($AF15,'US Grid mix, emissions&amp;prices'!$H$113:$I$163,2,FALSE)*BH$55</f>
        <v>83445.337381801932</v>
      </c>
      <c r="BL15" s="123" t="s">
        <v>196</v>
      </c>
      <c r="BM15" s="103">
        <f>VLOOKUP($BL15,'US Grid mix, emissions&amp;prices'!$H$113:$I$163,2,FALSE)*BM$55</f>
        <v>62034.451614891994</v>
      </c>
      <c r="BN15" s="103">
        <f>VLOOKUP($BL15,'US Grid mix, emissions&amp;prices'!$H$113:$I$163,2,FALSE)*BN$55</f>
        <v>62034.451614891994</v>
      </c>
      <c r="BO15" s="103">
        <f>VLOOKUP($BL15,'US Grid mix, emissions&amp;prices'!$H$113:$I$163,2,FALSE)*BO$55</f>
        <v>62034.451614891994</v>
      </c>
      <c r="BP15" s="103">
        <f>VLOOKUP($BL15,'US Grid mix, emissions&amp;prices'!$H$113:$I$163,2,FALSE)*BP$55</f>
        <v>62034.451614891994</v>
      </c>
      <c r="BQ15" s="103">
        <f>VLOOKUP($BL15,'US Grid mix, emissions&amp;prices'!$H$113:$I$163,2,FALSE)*BQ$55</f>
        <v>62034.451614891994</v>
      </c>
      <c r="BR15" s="103">
        <f>VLOOKUP($BL15,'US Grid mix, emissions&amp;prices'!$H$113:$I$163,2,FALSE)*BR$55</f>
        <v>62034.451614891994</v>
      </c>
      <c r="BS15" s="103">
        <f>VLOOKUP($BL15,'US Grid mix, emissions&amp;prices'!$H$113:$I$163,2,FALSE)*BS$55</f>
        <v>62034.451614891994</v>
      </c>
      <c r="BT15" s="103">
        <f>VLOOKUP($BL15,'US Grid mix, emissions&amp;prices'!$H$113:$I$163,2,FALSE)*BT$55</f>
        <v>62034.451614891994</v>
      </c>
      <c r="BU15" s="103">
        <f>VLOOKUP($BL15,'US Grid mix, emissions&amp;prices'!$H$113:$I$163,2,FALSE)*BU$55</f>
        <v>62034.451614891994</v>
      </c>
      <c r="BV15" s="103">
        <f>VLOOKUP($BL15,'US Grid mix, emissions&amp;prices'!$H$113:$I$163,2,FALSE)*BV$55</f>
        <v>62034.451614891994</v>
      </c>
      <c r="BW15" s="103">
        <f>VLOOKUP($BL15,'US Grid mix, emissions&amp;prices'!$H$113:$I$163,2,FALSE)*BW$55</f>
        <v>62034.451614891994</v>
      </c>
      <c r="BX15" s="103">
        <f>VLOOKUP($BL15,'US Grid mix, emissions&amp;prices'!$H$113:$I$163,2,FALSE)*BX$55</f>
        <v>62034.451614891994</v>
      </c>
      <c r="BY15" s="103">
        <f>VLOOKUP($BL15,'US Grid mix, emissions&amp;prices'!$H$113:$I$163,2,FALSE)*BY$55</f>
        <v>62034.451614891994</v>
      </c>
      <c r="BZ15" s="103">
        <f>VLOOKUP($BL15,'US Grid mix, emissions&amp;prices'!$H$113:$I$163,2,FALSE)*BZ$55</f>
        <v>62034.451614891994</v>
      </c>
      <c r="CA15" s="103">
        <f>VLOOKUP($BL15,'US Grid mix, emissions&amp;prices'!$H$113:$I$163,2,FALSE)*CA$55</f>
        <v>62034.451614891994</v>
      </c>
      <c r="CB15" s="103">
        <f>VLOOKUP($BL15,'US Grid mix, emissions&amp;prices'!$H$113:$I$163,2,FALSE)*CB$55</f>
        <v>62034.451614891994</v>
      </c>
      <c r="CC15" s="103">
        <f>VLOOKUP($BL15,'US Grid mix, emissions&amp;prices'!$H$113:$I$163,2,FALSE)*CC$55</f>
        <v>62034.451614891994</v>
      </c>
      <c r="CD15" s="103">
        <f>VLOOKUP($BL15,'US Grid mix, emissions&amp;prices'!$H$113:$I$163,2,FALSE)*CD$55</f>
        <v>62034.451614891994</v>
      </c>
      <c r="CE15" s="103">
        <f>VLOOKUP($BL15,'US Grid mix, emissions&amp;prices'!$H$113:$I$163,2,FALSE)*CE$55</f>
        <v>62034.451614891994</v>
      </c>
      <c r="CF15" s="103">
        <f>VLOOKUP($BL15,'US Grid mix, emissions&amp;prices'!$H$113:$I$163,2,FALSE)*CF$55</f>
        <v>62034.451614891994</v>
      </c>
      <c r="CG15" s="103">
        <f>VLOOKUP($BL15,'US Grid mix, emissions&amp;prices'!$H$113:$I$163,2,FALSE)*CG$55</f>
        <v>62034.451614891994</v>
      </c>
      <c r="CH15" s="103">
        <f>VLOOKUP($BL15,'US Grid mix, emissions&amp;prices'!$H$113:$I$163,2,FALSE)*CH$55</f>
        <v>62034.451614891994</v>
      </c>
      <c r="CI15" s="103">
        <f>VLOOKUP($BL15,'US Grid mix, emissions&amp;prices'!$H$113:$I$163,2,FALSE)*CI$55</f>
        <v>62034.451614891994</v>
      </c>
      <c r="CJ15" s="103">
        <f>VLOOKUP($BL15,'US Grid mix, emissions&amp;prices'!$H$113:$I$163,2,FALSE)*CJ$55</f>
        <v>62034.451614891994</v>
      </c>
      <c r="CK15" s="103">
        <f>VLOOKUP($BL15,'US Grid mix, emissions&amp;prices'!$H$113:$I$163,2,FALSE)*CK$55</f>
        <v>62034.451614891994</v>
      </c>
      <c r="CL15" s="103">
        <f>VLOOKUP($BL15,'US Grid mix, emissions&amp;prices'!$H$113:$I$163,2,FALSE)*CL$55</f>
        <v>62034.451614891994</v>
      </c>
      <c r="CM15" s="103">
        <f>VLOOKUP($BL15,'US Grid mix, emissions&amp;prices'!$H$113:$I$163,2,FALSE)*CM$55</f>
        <v>62034.451614891994</v>
      </c>
      <c r="CN15" s="103">
        <f>VLOOKUP($BL15,'US Grid mix, emissions&amp;prices'!$H$113:$I$163,2,FALSE)*CN$55</f>
        <v>62034.451614891994</v>
      </c>
    </row>
    <row r="16" spans="1:92" x14ac:dyDescent="0.25">
      <c r="A16" s="123" t="s">
        <v>197</v>
      </c>
      <c r="B16" s="103">
        <f>VLOOKUP($A16,'US Grid mix, emissions&amp;prices'!$H$113:$I$163,2,FALSE)*B$55</f>
        <v>98111.574972449351</v>
      </c>
      <c r="C16" s="103">
        <f>VLOOKUP($A16,'US Grid mix, emissions&amp;prices'!$H$113:$I$163,2,FALSE)*C$55</f>
        <v>98111.574972449351</v>
      </c>
      <c r="D16" s="103">
        <f>VLOOKUP($A16,'US Grid mix, emissions&amp;prices'!$H$113:$I$163,2,FALSE)*D$55</f>
        <v>98111.574972449351</v>
      </c>
      <c r="E16" s="103">
        <f>VLOOKUP($A16,'US Grid mix, emissions&amp;prices'!$H$113:$I$163,2,FALSE)*E$55</f>
        <v>98111.574972449351</v>
      </c>
      <c r="F16" s="103">
        <f>VLOOKUP($A16,'US Grid mix, emissions&amp;prices'!$H$113:$I$163,2,FALSE)*F$55</f>
        <v>98111.574972449351</v>
      </c>
      <c r="G16" s="103">
        <f>VLOOKUP($A16,'US Grid mix, emissions&amp;prices'!$H$113:$I$163,2,FALSE)*G$55</f>
        <v>98111.574972449351</v>
      </c>
      <c r="H16" s="103">
        <f>VLOOKUP($A16,'US Grid mix, emissions&amp;prices'!$H$113:$I$163,2,FALSE)*H$55</f>
        <v>98111.574972449351</v>
      </c>
      <c r="I16" s="103">
        <f>VLOOKUP($A16,'US Grid mix, emissions&amp;prices'!$H$113:$I$163,2,FALSE)*I$55</f>
        <v>98111.574972449351</v>
      </c>
      <c r="J16" s="103">
        <f>VLOOKUP($A16,'US Grid mix, emissions&amp;prices'!$H$113:$I$163,2,FALSE)*J$55</f>
        <v>98111.574972449351</v>
      </c>
      <c r="K16" s="103">
        <f>VLOOKUP($A16,'US Grid mix, emissions&amp;prices'!$H$113:$I$163,2,FALSE)*K$55</f>
        <v>98111.574972449351</v>
      </c>
      <c r="L16" s="103">
        <f>VLOOKUP($A16,'US Grid mix, emissions&amp;prices'!$H$113:$I$163,2,FALSE)*L$55</f>
        <v>98111.574972449351</v>
      </c>
      <c r="M16" s="103">
        <f>VLOOKUP($A16,'US Grid mix, emissions&amp;prices'!$H$113:$I$163,2,FALSE)*M$55</f>
        <v>98111.574972449351</v>
      </c>
      <c r="N16" s="103">
        <f>VLOOKUP($A16,'US Grid mix, emissions&amp;prices'!$H$113:$I$163,2,FALSE)*N$55</f>
        <v>98111.574972449351</v>
      </c>
      <c r="O16" s="103">
        <f>VLOOKUP($A16,'US Grid mix, emissions&amp;prices'!$H$113:$I$163,2,FALSE)*O$55</f>
        <v>98111.574972449351</v>
      </c>
      <c r="P16" s="103">
        <f>VLOOKUP($A16,'US Grid mix, emissions&amp;prices'!$H$113:$I$163,2,FALSE)*P$55</f>
        <v>98111.574972449351</v>
      </c>
      <c r="Q16" s="103">
        <f>VLOOKUP($A16,'US Grid mix, emissions&amp;prices'!$H$113:$I$163,2,FALSE)*Q$55</f>
        <v>98111.574972449351</v>
      </c>
      <c r="R16" s="103">
        <f>VLOOKUP($A16,'US Grid mix, emissions&amp;prices'!$H$113:$I$163,2,FALSE)*R$55</f>
        <v>98111.574972449351</v>
      </c>
      <c r="S16" s="103">
        <f>VLOOKUP($A16,'US Grid mix, emissions&amp;prices'!$H$113:$I$163,2,FALSE)*S$55</f>
        <v>98111.574972449351</v>
      </c>
      <c r="T16" s="103">
        <f>VLOOKUP($A16,'US Grid mix, emissions&amp;prices'!$H$113:$I$163,2,FALSE)*T$55</f>
        <v>98111.574972449351</v>
      </c>
      <c r="U16" s="103">
        <f>VLOOKUP($A16,'US Grid mix, emissions&amp;prices'!$H$113:$I$163,2,FALSE)*U$55</f>
        <v>98111.574972449351</v>
      </c>
      <c r="V16" s="103">
        <f>VLOOKUP($A16,'US Grid mix, emissions&amp;prices'!$H$113:$I$163,2,FALSE)*V$55</f>
        <v>98111.574972449351</v>
      </c>
      <c r="W16" s="103">
        <f>VLOOKUP($A16,'US Grid mix, emissions&amp;prices'!$H$113:$I$163,2,FALSE)*W$55</f>
        <v>98111.574972449351</v>
      </c>
      <c r="X16" s="103">
        <f>VLOOKUP($A16,'US Grid mix, emissions&amp;prices'!$H$113:$I$163,2,FALSE)*X$55</f>
        <v>98111.574972449351</v>
      </c>
      <c r="Y16" s="103">
        <f>VLOOKUP($A16,'US Grid mix, emissions&amp;prices'!$H$113:$I$163,2,FALSE)*Y$55</f>
        <v>98111.574972449351</v>
      </c>
      <c r="Z16" s="103">
        <f>VLOOKUP($A16,'US Grid mix, emissions&amp;prices'!$H$113:$I$163,2,FALSE)*Z$55</f>
        <v>98111.574972449351</v>
      </c>
      <c r="AA16" s="103">
        <f>VLOOKUP($A16,'US Grid mix, emissions&amp;prices'!$H$113:$I$163,2,FALSE)*AA$55</f>
        <v>98111.574972449351</v>
      </c>
      <c r="AB16" s="103">
        <f>VLOOKUP($A16,'US Grid mix, emissions&amp;prices'!$H$113:$I$163,2,FALSE)*AB$55</f>
        <v>98111.574972449351</v>
      </c>
      <c r="AC16" s="103">
        <f>VLOOKUP($A16,'US Grid mix, emissions&amp;prices'!$H$113:$I$163,2,FALSE)*AC$55</f>
        <v>98111.574972449351</v>
      </c>
      <c r="AF16" s="123" t="s">
        <v>197</v>
      </c>
      <c r="AG16" s="103">
        <f>VLOOKUP($AF16,'US Grid mix, emissions&amp;prices'!$H$113:$I$163,2,FALSE)*AG$55</f>
        <v>114997.34430221716</v>
      </c>
      <c r="AH16" s="103">
        <f>VLOOKUP($AF16,'US Grid mix, emissions&amp;prices'!$H$113:$I$163,2,FALSE)*AH$55</f>
        <v>114997.34430221716</v>
      </c>
      <c r="AI16" s="103">
        <f>VLOOKUP($AF16,'US Grid mix, emissions&amp;prices'!$H$113:$I$163,2,FALSE)*AI$55</f>
        <v>114997.34430221716</v>
      </c>
      <c r="AJ16" s="103">
        <f>VLOOKUP($AF16,'US Grid mix, emissions&amp;prices'!$H$113:$I$163,2,FALSE)*AJ$55</f>
        <v>114997.34430221716</v>
      </c>
      <c r="AK16" s="103">
        <f>VLOOKUP($AF16,'US Grid mix, emissions&amp;prices'!$H$113:$I$163,2,FALSE)*AK$55</f>
        <v>114997.34430221716</v>
      </c>
      <c r="AL16" s="103">
        <f>VLOOKUP($AF16,'US Grid mix, emissions&amp;prices'!$H$113:$I$163,2,FALSE)*AL$55</f>
        <v>114997.34430221716</v>
      </c>
      <c r="AM16" s="103">
        <f>VLOOKUP($AF16,'US Grid mix, emissions&amp;prices'!$H$113:$I$163,2,FALSE)*AM$55</f>
        <v>114997.34430221716</v>
      </c>
      <c r="AN16" s="103">
        <f>VLOOKUP($AF16,'US Grid mix, emissions&amp;prices'!$H$113:$I$163,2,FALSE)*AN$55</f>
        <v>114997.34430221716</v>
      </c>
      <c r="AO16" s="103">
        <f>VLOOKUP($AF16,'US Grid mix, emissions&amp;prices'!$H$113:$I$163,2,FALSE)*AO$55</f>
        <v>114997.34430221716</v>
      </c>
      <c r="AP16" s="103">
        <f>VLOOKUP($AF16,'US Grid mix, emissions&amp;prices'!$H$113:$I$163,2,FALSE)*AP$55</f>
        <v>114997.34430221716</v>
      </c>
      <c r="AQ16" s="103">
        <f>VLOOKUP($AF16,'US Grid mix, emissions&amp;prices'!$H$113:$I$163,2,FALSE)*AQ$55</f>
        <v>114997.34430221716</v>
      </c>
      <c r="AR16" s="103">
        <f>VLOOKUP($AF16,'US Grid mix, emissions&amp;prices'!$H$113:$I$163,2,FALSE)*AR$55</f>
        <v>114997.34430221716</v>
      </c>
      <c r="AS16" s="103">
        <f>VLOOKUP($AF16,'US Grid mix, emissions&amp;prices'!$H$113:$I$163,2,FALSE)*AS$55</f>
        <v>114997.34430221716</v>
      </c>
      <c r="AT16" s="103">
        <f>VLOOKUP($AF16,'US Grid mix, emissions&amp;prices'!$H$113:$I$163,2,FALSE)*AT$55</f>
        <v>114997.34430221716</v>
      </c>
      <c r="AU16" s="103">
        <f>VLOOKUP($AF16,'US Grid mix, emissions&amp;prices'!$H$113:$I$163,2,FALSE)*AU$55</f>
        <v>114997.34430221716</v>
      </c>
      <c r="AV16" s="103">
        <f>VLOOKUP($AF16,'US Grid mix, emissions&amp;prices'!$H$113:$I$163,2,FALSE)*AV$55</f>
        <v>114997.34430221716</v>
      </c>
      <c r="AW16" s="103">
        <f>VLOOKUP($AF16,'US Grid mix, emissions&amp;prices'!$H$113:$I$163,2,FALSE)*AW$55</f>
        <v>114997.34430221716</v>
      </c>
      <c r="AX16" s="103">
        <f>VLOOKUP($AF16,'US Grid mix, emissions&amp;prices'!$H$113:$I$163,2,FALSE)*AX$55</f>
        <v>114997.34430221716</v>
      </c>
      <c r="AY16" s="103">
        <f>VLOOKUP($AF16,'US Grid mix, emissions&amp;prices'!$H$113:$I$163,2,FALSE)*AY$55</f>
        <v>114997.34430221716</v>
      </c>
      <c r="AZ16" s="103">
        <f>VLOOKUP($AF16,'US Grid mix, emissions&amp;prices'!$H$113:$I$163,2,FALSE)*AZ$55</f>
        <v>114997.34430221716</v>
      </c>
      <c r="BA16" s="103">
        <f>VLOOKUP($AF16,'US Grid mix, emissions&amp;prices'!$H$113:$I$163,2,FALSE)*BA$55</f>
        <v>114997.34430221716</v>
      </c>
      <c r="BB16" s="103">
        <f>VLOOKUP($AF16,'US Grid mix, emissions&amp;prices'!$H$113:$I$163,2,FALSE)*BB$55</f>
        <v>114997.34430221716</v>
      </c>
      <c r="BC16" s="103">
        <f>VLOOKUP($AF16,'US Grid mix, emissions&amp;prices'!$H$113:$I$163,2,FALSE)*BC$55</f>
        <v>114997.34430221716</v>
      </c>
      <c r="BD16" s="103">
        <f>VLOOKUP($AF16,'US Grid mix, emissions&amp;prices'!$H$113:$I$163,2,FALSE)*BD$55</f>
        <v>114997.34430221716</v>
      </c>
      <c r="BE16" s="103">
        <f>VLOOKUP($AF16,'US Grid mix, emissions&amp;prices'!$H$113:$I$163,2,FALSE)*BE$55</f>
        <v>114997.34430221716</v>
      </c>
      <c r="BF16" s="103">
        <f>VLOOKUP($AF16,'US Grid mix, emissions&amp;prices'!$H$113:$I$163,2,FALSE)*BF$55</f>
        <v>114997.34430221716</v>
      </c>
      <c r="BG16" s="103">
        <f>VLOOKUP($AF16,'US Grid mix, emissions&amp;prices'!$H$113:$I$163,2,FALSE)*BG$55</f>
        <v>114997.34430221716</v>
      </c>
      <c r="BH16" s="103">
        <f>VLOOKUP($AF16,'US Grid mix, emissions&amp;prices'!$H$113:$I$163,2,FALSE)*BH$55</f>
        <v>114997.34430221716</v>
      </c>
      <c r="BL16" s="123" t="s">
        <v>197</v>
      </c>
      <c r="BM16" s="103">
        <f>VLOOKUP($BL16,'US Grid mix, emissions&amp;prices'!$H$113:$I$163,2,FALSE)*BM$55</f>
        <v>85490.662687556352</v>
      </c>
      <c r="BN16" s="103">
        <f>VLOOKUP($BL16,'US Grid mix, emissions&amp;prices'!$H$113:$I$163,2,FALSE)*BN$55</f>
        <v>85490.662687556352</v>
      </c>
      <c r="BO16" s="103">
        <f>VLOOKUP($BL16,'US Grid mix, emissions&amp;prices'!$H$113:$I$163,2,FALSE)*BO$55</f>
        <v>85490.662687556352</v>
      </c>
      <c r="BP16" s="103">
        <f>VLOOKUP($BL16,'US Grid mix, emissions&amp;prices'!$H$113:$I$163,2,FALSE)*BP$55</f>
        <v>85490.662687556352</v>
      </c>
      <c r="BQ16" s="103">
        <f>VLOOKUP($BL16,'US Grid mix, emissions&amp;prices'!$H$113:$I$163,2,FALSE)*BQ$55</f>
        <v>85490.662687556352</v>
      </c>
      <c r="BR16" s="103">
        <f>VLOOKUP($BL16,'US Grid mix, emissions&amp;prices'!$H$113:$I$163,2,FALSE)*BR$55</f>
        <v>85490.662687556352</v>
      </c>
      <c r="BS16" s="103">
        <f>VLOOKUP($BL16,'US Grid mix, emissions&amp;prices'!$H$113:$I$163,2,FALSE)*BS$55</f>
        <v>85490.662687556352</v>
      </c>
      <c r="BT16" s="103">
        <f>VLOOKUP($BL16,'US Grid mix, emissions&amp;prices'!$H$113:$I$163,2,FALSE)*BT$55</f>
        <v>85490.662687556352</v>
      </c>
      <c r="BU16" s="103">
        <f>VLOOKUP($BL16,'US Grid mix, emissions&amp;prices'!$H$113:$I$163,2,FALSE)*BU$55</f>
        <v>85490.662687556352</v>
      </c>
      <c r="BV16" s="103">
        <f>VLOOKUP($BL16,'US Grid mix, emissions&amp;prices'!$H$113:$I$163,2,FALSE)*BV$55</f>
        <v>85490.662687556352</v>
      </c>
      <c r="BW16" s="103">
        <f>VLOOKUP($BL16,'US Grid mix, emissions&amp;prices'!$H$113:$I$163,2,FALSE)*BW$55</f>
        <v>85490.662687556352</v>
      </c>
      <c r="BX16" s="103">
        <f>VLOOKUP($BL16,'US Grid mix, emissions&amp;prices'!$H$113:$I$163,2,FALSE)*BX$55</f>
        <v>85490.662687556352</v>
      </c>
      <c r="BY16" s="103">
        <f>VLOOKUP($BL16,'US Grid mix, emissions&amp;prices'!$H$113:$I$163,2,FALSE)*BY$55</f>
        <v>85490.662687556352</v>
      </c>
      <c r="BZ16" s="103">
        <f>VLOOKUP($BL16,'US Grid mix, emissions&amp;prices'!$H$113:$I$163,2,FALSE)*BZ$55</f>
        <v>85490.662687556352</v>
      </c>
      <c r="CA16" s="103">
        <f>VLOOKUP($BL16,'US Grid mix, emissions&amp;prices'!$H$113:$I$163,2,FALSE)*CA$55</f>
        <v>85490.662687556352</v>
      </c>
      <c r="CB16" s="103">
        <f>VLOOKUP($BL16,'US Grid mix, emissions&amp;prices'!$H$113:$I$163,2,FALSE)*CB$55</f>
        <v>85490.662687556352</v>
      </c>
      <c r="CC16" s="103">
        <f>VLOOKUP($BL16,'US Grid mix, emissions&amp;prices'!$H$113:$I$163,2,FALSE)*CC$55</f>
        <v>85490.662687556352</v>
      </c>
      <c r="CD16" s="103">
        <f>VLOOKUP($BL16,'US Grid mix, emissions&amp;prices'!$H$113:$I$163,2,FALSE)*CD$55</f>
        <v>85490.662687556352</v>
      </c>
      <c r="CE16" s="103">
        <f>VLOOKUP($BL16,'US Grid mix, emissions&amp;prices'!$H$113:$I$163,2,FALSE)*CE$55</f>
        <v>85490.662687556352</v>
      </c>
      <c r="CF16" s="103">
        <f>VLOOKUP($BL16,'US Grid mix, emissions&amp;prices'!$H$113:$I$163,2,FALSE)*CF$55</f>
        <v>85490.662687556352</v>
      </c>
      <c r="CG16" s="103">
        <f>VLOOKUP($BL16,'US Grid mix, emissions&amp;prices'!$H$113:$I$163,2,FALSE)*CG$55</f>
        <v>85490.662687556352</v>
      </c>
      <c r="CH16" s="103">
        <f>VLOOKUP($BL16,'US Grid mix, emissions&amp;prices'!$H$113:$I$163,2,FALSE)*CH$55</f>
        <v>85490.662687556352</v>
      </c>
      <c r="CI16" s="103">
        <f>VLOOKUP($BL16,'US Grid mix, emissions&amp;prices'!$H$113:$I$163,2,FALSE)*CI$55</f>
        <v>85490.662687556352</v>
      </c>
      <c r="CJ16" s="103">
        <f>VLOOKUP($BL16,'US Grid mix, emissions&amp;prices'!$H$113:$I$163,2,FALSE)*CJ$55</f>
        <v>85490.662687556352</v>
      </c>
      <c r="CK16" s="103">
        <f>VLOOKUP($BL16,'US Grid mix, emissions&amp;prices'!$H$113:$I$163,2,FALSE)*CK$55</f>
        <v>85490.662687556352</v>
      </c>
      <c r="CL16" s="103">
        <f>VLOOKUP($BL16,'US Grid mix, emissions&amp;prices'!$H$113:$I$163,2,FALSE)*CL$55</f>
        <v>85490.662687556352</v>
      </c>
      <c r="CM16" s="103">
        <f>VLOOKUP($BL16,'US Grid mix, emissions&amp;prices'!$H$113:$I$163,2,FALSE)*CM$55</f>
        <v>85490.662687556352</v>
      </c>
      <c r="CN16" s="103">
        <f>VLOOKUP($BL16,'US Grid mix, emissions&amp;prices'!$H$113:$I$163,2,FALSE)*CN$55</f>
        <v>85490.662687556352</v>
      </c>
    </row>
    <row r="17" spans="1:92" x14ac:dyDescent="0.25">
      <c r="A17" s="123" t="s">
        <v>198</v>
      </c>
      <c r="B17" s="103">
        <f>VLOOKUP($A17,'US Grid mix, emissions&amp;prices'!$H$113:$I$163,2,FALSE)*B$55</f>
        <v>289093.47431046306</v>
      </c>
      <c r="C17" s="103">
        <f>VLOOKUP($A17,'US Grid mix, emissions&amp;prices'!$H$113:$I$163,2,FALSE)*C$55</f>
        <v>289093.47431046306</v>
      </c>
      <c r="D17" s="103">
        <f>VLOOKUP($A17,'US Grid mix, emissions&amp;prices'!$H$113:$I$163,2,FALSE)*D$55</f>
        <v>289093.47431046306</v>
      </c>
      <c r="E17" s="103">
        <f>VLOOKUP($A17,'US Grid mix, emissions&amp;prices'!$H$113:$I$163,2,FALSE)*E$55</f>
        <v>289093.47431046306</v>
      </c>
      <c r="F17" s="103">
        <f>VLOOKUP($A17,'US Grid mix, emissions&amp;prices'!$H$113:$I$163,2,FALSE)*F$55</f>
        <v>289093.47431046306</v>
      </c>
      <c r="G17" s="103">
        <f>VLOOKUP($A17,'US Grid mix, emissions&amp;prices'!$H$113:$I$163,2,FALSE)*G$55</f>
        <v>289093.47431046306</v>
      </c>
      <c r="H17" s="103">
        <f>VLOOKUP($A17,'US Grid mix, emissions&amp;prices'!$H$113:$I$163,2,FALSE)*H$55</f>
        <v>289093.47431046306</v>
      </c>
      <c r="I17" s="103">
        <f>VLOOKUP($A17,'US Grid mix, emissions&amp;prices'!$H$113:$I$163,2,FALSE)*I$55</f>
        <v>289093.47431046306</v>
      </c>
      <c r="J17" s="103">
        <f>VLOOKUP($A17,'US Grid mix, emissions&amp;prices'!$H$113:$I$163,2,FALSE)*J$55</f>
        <v>289093.47431046306</v>
      </c>
      <c r="K17" s="103">
        <f>VLOOKUP($A17,'US Grid mix, emissions&amp;prices'!$H$113:$I$163,2,FALSE)*K$55</f>
        <v>289093.47431046306</v>
      </c>
      <c r="L17" s="103">
        <f>VLOOKUP($A17,'US Grid mix, emissions&amp;prices'!$H$113:$I$163,2,FALSE)*L$55</f>
        <v>289093.47431046306</v>
      </c>
      <c r="M17" s="103">
        <f>VLOOKUP($A17,'US Grid mix, emissions&amp;prices'!$H$113:$I$163,2,FALSE)*M$55</f>
        <v>289093.47431046306</v>
      </c>
      <c r="N17" s="103">
        <f>VLOOKUP($A17,'US Grid mix, emissions&amp;prices'!$H$113:$I$163,2,FALSE)*N$55</f>
        <v>289093.47431046306</v>
      </c>
      <c r="O17" s="103">
        <f>VLOOKUP($A17,'US Grid mix, emissions&amp;prices'!$H$113:$I$163,2,FALSE)*O$55</f>
        <v>289093.47431046306</v>
      </c>
      <c r="P17" s="103">
        <f>VLOOKUP($A17,'US Grid mix, emissions&amp;prices'!$H$113:$I$163,2,FALSE)*P$55</f>
        <v>289093.47431046306</v>
      </c>
      <c r="Q17" s="103">
        <f>VLOOKUP($A17,'US Grid mix, emissions&amp;prices'!$H$113:$I$163,2,FALSE)*Q$55</f>
        <v>289093.47431046306</v>
      </c>
      <c r="R17" s="103">
        <f>VLOOKUP($A17,'US Grid mix, emissions&amp;prices'!$H$113:$I$163,2,FALSE)*R$55</f>
        <v>289093.47431046306</v>
      </c>
      <c r="S17" s="103">
        <f>VLOOKUP($A17,'US Grid mix, emissions&amp;prices'!$H$113:$I$163,2,FALSE)*S$55</f>
        <v>289093.47431046306</v>
      </c>
      <c r="T17" s="103">
        <f>VLOOKUP($A17,'US Grid mix, emissions&amp;prices'!$H$113:$I$163,2,FALSE)*T$55</f>
        <v>289093.47431046306</v>
      </c>
      <c r="U17" s="103">
        <f>VLOOKUP($A17,'US Grid mix, emissions&amp;prices'!$H$113:$I$163,2,FALSE)*U$55</f>
        <v>289093.47431046306</v>
      </c>
      <c r="V17" s="103">
        <f>VLOOKUP($A17,'US Grid mix, emissions&amp;prices'!$H$113:$I$163,2,FALSE)*V$55</f>
        <v>289093.47431046306</v>
      </c>
      <c r="W17" s="103">
        <f>VLOOKUP($A17,'US Grid mix, emissions&amp;prices'!$H$113:$I$163,2,FALSE)*W$55</f>
        <v>289093.47431046306</v>
      </c>
      <c r="X17" s="103">
        <f>VLOOKUP($A17,'US Grid mix, emissions&amp;prices'!$H$113:$I$163,2,FALSE)*X$55</f>
        <v>289093.47431046306</v>
      </c>
      <c r="Y17" s="103">
        <f>VLOOKUP($A17,'US Grid mix, emissions&amp;prices'!$H$113:$I$163,2,FALSE)*Y$55</f>
        <v>289093.47431046306</v>
      </c>
      <c r="Z17" s="103">
        <f>VLOOKUP($A17,'US Grid mix, emissions&amp;prices'!$H$113:$I$163,2,FALSE)*Z$55</f>
        <v>289093.47431046306</v>
      </c>
      <c r="AA17" s="103">
        <f>VLOOKUP($A17,'US Grid mix, emissions&amp;prices'!$H$113:$I$163,2,FALSE)*AA$55</f>
        <v>289093.47431046306</v>
      </c>
      <c r="AB17" s="103">
        <f>VLOOKUP($A17,'US Grid mix, emissions&amp;prices'!$H$113:$I$163,2,FALSE)*AB$55</f>
        <v>289093.47431046306</v>
      </c>
      <c r="AC17" s="103">
        <f>VLOOKUP($A17,'US Grid mix, emissions&amp;prices'!$H$113:$I$163,2,FALSE)*AC$55</f>
        <v>289093.47431046306</v>
      </c>
      <c r="AF17" s="123" t="s">
        <v>198</v>
      </c>
      <c r="AG17" s="103">
        <f>VLOOKUP($AF17,'US Grid mix, emissions&amp;prices'!$H$113:$I$163,2,FALSE)*AG$55</f>
        <v>338848.72208136501</v>
      </c>
      <c r="AH17" s="103">
        <f>VLOOKUP($AF17,'US Grid mix, emissions&amp;prices'!$H$113:$I$163,2,FALSE)*AH$55</f>
        <v>338848.72208136501</v>
      </c>
      <c r="AI17" s="103">
        <f>VLOOKUP($AF17,'US Grid mix, emissions&amp;prices'!$H$113:$I$163,2,FALSE)*AI$55</f>
        <v>338848.72208136501</v>
      </c>
      <c r="AJ17" s="103">
        <f>VLOOKUP($AF17,'US Grid mix, emissions&amp;prices'!$H$113:$I$163,2,FALSE)*AJ$55</f>
        <v>338848.72208136501</v>
      </c>
      <c r="AK17" s="103">
        <f>VLOOKUP($AF17,'US Grid mix, emissions&amp;prices'!$H$113:$I$163,2,FALSE)*AK$55</f>
        <v>338848.72208136501</v>
      </c>
      <c r="AL17" s="103">
        <f>VLOOKUP($AF17,'US Grid mix, emissions&amp;prices'!$H$113:$I$163,2,FALSE)*AL$55</f>
        <v>338848.72208136501</v>
      </c>
      <c r="AM17" s="103">
        <f>VLOOKUP($AF17,'US Grid mix, emissions&amp;prices'!$H$113:$I$163,2,FALSE)*AM$55</f>
        <v>338848.72208136501</v>
      </c>
      <c r="AN17" s="103">
        <f>VLOOKUP($AF17,'US Grid mix, emissions&amp;prices'!$H$113:$I$163,2,FALSE)*AN$55</f>
        <v>338848.72208136501</v>
      </c>
      <c r="AO17" s="103">
        <f>VLOOKUP($AF17,'US Grid mix, emissions&amp;prices'!$H$113:$I$163,2,FALSE)*AO$55</f>
        <v>338848.72208136501</v>
      </c>
      <c r="AP17" s="103">
        <f>VLOOKUP($AF17,'US Grid mix, emissions&amp;prices'!$H$113:$I$163,2,FALSE)*AP$55</f>
        <v>338848.72208136501</v>
      </c>
      <c r="AQ17" s="103">
        <f>VLOOKUP($AF17,'US Grid mix, emissions&amp;prices'!$H$113:$I$163,2,FALSE)*AQ$55</f>
        <v>338848.72208136501</v>
      </c>
      <c r="AR17" s="103">
        <f>VLOOKUP($AF17,'US Grid mix, emissions&amp;prices'!$H$113:$I$163,2,FALSE)*AR$55</f>
        <v>338848.72208136501</v>
      </c>
      <c r="AS17" s="103">
        <f>VLOOKUP($AF17,'US Grid mix, emissions&amp;prices'!$H$113:$I$163,2,FALSE)*AS$55</f>
        <v>338848.72208136501</v>
      </c>
      <c r="AT17" s="103">
        <f>VLOOKUP($AF17,'US Grid mix, emissions&amp;prices'!$H$113:$I$163,2,FALSE)*AT$55</f>
        <v>338848.72208136501</v>
      </c>
      <c r="AU17" s="103">
        <f>VLOOKUP($AF17,'US Grid mix, emissions&amp;prices'!$H$113:$I$163,2,FALSE)*AU$55</f>
        <v>338848.72208136501</v>
      </c>
      <c r="AV17" s="103">
        <f>VLOOKUP($AF17,'US Grid mix, emissions&amp;prices'!$H$113:$I$163,2,FALSE)*AV$55</f>
        <v>338848.72208136501</v>
      </c>
      <c r="AW17" s="103">
        <f>VLOOKUP($AF17,'US Grid mix, emissions&amp;prices'!$H$113:$I$163,2,FALSE)*AW$55</f>
        <v>338848.72208136501</v>
      </c>
      <c r="AX17" s="103">
        <f>VLOOKUP($AF17,'US Grid mix, emissions&amp;prices'!$H$113:$I$163,2,FALSE)*AX$55</f>
        <v>338848.72208136501</v>
      </c>
      <c r="AY17" s="103">
        <f>VLOOKUP($AF17,'US Grid mix, emissions&amp;prices'!$H$113:$I$163,2,FALSE)*AY$55</f>
        <v>338848.72208136501</v>
      </c>
      <c r="AZ17" s="103">
        <f>VLOOKUP($AF17,'US Grid mix, emissions&amp;prices'!$H$113:$I$163,2,FALSE)*AZ$55</f>
        <v>338848.72208136501</v>
      </c>
      <c r="BA17" s="103">
        <f>VLOOKUP($AF17,'US Grid mix, emissions&amp;prices'!$H$113:$I$163,2,FALSE)*BA$55</f>
        <v>338848.72208136501</v>
      </c>
      <c r="BB17" s="103">
        <f>VLOOKUP($AF17,'US Grid mix, emissions&amp;prices'!$H$113:$I$163,2,FALSE)*BB$55</f>
        <v>338848.72208136501</v>
      </c>
      <c r="BC17" s="103">
        <f>VLOOKUP($AF17,'US Grid mix, emissions&amp;prices'!$H$113:$I$163,2,FALSE)*BC$55</f>
        <v>338848.72208136501</v>
      </c>
      <c r="BD17" s="103">
        <f>VLOOKUP($AF17,'US Grid mix, emissions&amp;prices'!$H$113:$I$163,2,FALSE)*BD$55</f>
        <v>338848.72208136501</v>
      </c>
      <c r="BE17" s="103">
        <f>VLOOKUP($AF17,'US Grid mix, emissions&amp;prices'!$H$113:$I$163,2,FALSE)*BE$55</f>
        <v>338848.72208136501</v>
      </c>
      <c r="BF17" s="103">
        <f>VLOOKUP($AF17,'US Grid mix, emissions&amp;prices'!$H$113:$I$163,2,FALSE)*BF$55</f>
        <v>338848.72208136501</v>
      </c>
      <c r="BG17" s="103">
        <f>VLOOKUP($AF17,'US Grid mix, emissions&amp;prices'!$H$113:$I$163,2,FALSE)*BG$55</f>
        <v>338848.72208136501</v>
      </c>
      <c r="BH17" s="103">
        <f>VLOOKUP($AF17,'US Grid mix, emissions&amp;prices'!$H$113:$I$163,2,FALSE)*BH$55</f>
        <v>338848.72208136501</v>
      </c>
      <c r="BL17" s="123" t="s">
        <v>198</v>
      </c>
      <c r="BM17" s="103">
        <f>VLOOKUP($BL17,'US Grid mix, emissions&amp;prices'!$H$113:$I$163,2,FALSE)*BM$55</f>
        <v>251904.96334800133</v>
      </c>
      <c r="BN17" s="103">
        <f>VLOOKUP($BL17,'US Grid mix, emissions&amp;prices'!$H$113:$I$163,2,FALSE)*BN$55</f>
        <v>251904.96334800133</v>
      </c>
      <c r="BO17" s="103">
        <f>VLOOKUP($BL17,'US Grid mix, emissions&amp;prices'!$H$113:$I$163,2,FALSE)*BO$55</f>
        <v>251904.96334800133</v>
      </c>
      <c r="BP17" s="103">
        <f>VLOOKUP($BL17,'US Grid mix, emissions&amp;prices'!$H$113:$I$163,2,FALSE)*BP$55</f>
        <v>251904.96334800133</v>
      </c>
      <c r="BQ17" s="103">
        <f>VLOOKUP($BL17,'US Grid mix, emissions&amp;prices'!$H$113:$I$163,2,FALSE)*BQ$55</f>
        <v>251904.96334800133</v>
      </c>
      <c r="BR17" s="103">
        <f>VLOOKUP($BL17,'US Grid mix, emissions&amp;prices'!$H$113:$I$163,2,FALSE)*BR$55</f>
        <v>251904.96334800133</v>
      </c>
      <c r="BS17" s="103">
        <f>VLOOKUP($BL17,'US Grid mix, emissions&amp;prices'!$H$113:$I$163,2,FALSE)*BS$55</f>
        <v>251904.96334800133</v>
      </c>
      <c r="BT17" s="103">
        <f>VLOOKUP($BL17,'US Grid mix, emissions&amp;prices'!$H$113:$I$163,2,FALSE)*BT$55</f>
        <v>251904.96334800133</v>
      </c>
      <c r="BU17" s="103">
        <f>VLOOKUP($BL17,'US Grid mix, emissions&amp;prices'!$H$113:$I$163,2,FALSE)*BU$55</f>
        <v>251904.96334800133</v>
      </c>
      <c r="BV17" s="103">
        <f>VLOOKUP($BL17,'US Grid mix, emissions&amp;prices'!$H$113:$I$163,2,FALSE)*BV$55</f>
        <v>251904.96334800133</v>
      </c>
      <c r="BW17" s="103">
        <f>VLOOKUP($BL17,'US Grid mix, emissions&amp;prices'!$H$113:$I$163,2,FALSE)*BW$55</f>
        <v>251904.96334800133</v>
      </c>
      <c r="BX17" s="103">
        <f>VLOOKUP($BL17,'US Grid mix, emissions&amp;prices'!$H$113:$I$163,2,FALSE)*BX$55</f>
        <v>251904.96334800133</v>
      </c>
      <c r="BY17" s="103">
        <f>VLOOKUP($BL17,'US Grid mix, emissions&amp;prices'!$H$113:$I$163,2,FALSE)*BY$55</f>
        <v>251904.96334800133</v>
      </c>
      <c r="BZ17" s="103">
        <f>VLOOKUP($BL17,'US Grid mix, emissions&amp;prices'!$H$113:$I$163,2,FALSE)*BZ$55</f>
        <v>251904.96334800133</v>
      </c>
      <c r="CA17" s="103">
        <f>VLOOKUP($BL17,'US Grid mix, emissions&amp;prices'!$H$113:$I$163,2,FALSE)*CA$55</f>
        <v>251904.96334800133</v>
      </c>
      <c r="CB17" s="103">
        <f>VLOOKUP($BL17,'US Grid mix, emissions&amp;prices'!$H$113:$I$163,2,FALSE)*CB$55</f>
        <v>251904.96334800133</v>
      </c>
      <c r="CC17" s="103">
        <f>VLOOKUP($BL17,'US Grid mix, emissions&amp;prices'!$H$113:$I$163,2,FALSE)*CC$55</f>
        <v>251904.96334800133</v>
      </c>
      <c r="CD17" s="103">
        <f>VLOOKUP($BL17,'US Grid mix, emissions&amp;prices'!$H$113:$I$163,2,FALSE)*CD$55</f>
        <v>251904.96334800133</v>
      </c>
      <c r="CE17" s="103">
        <f>VLOOKUP($BL17,'US Grid mix, emissions&amp;prices'!$H$113:$I$163,2,FALSE)*CE$55</f>
        <v>251904.96334800133</v>
      </c>
      <c r="CF17" s="103">
        <f>VLOOKUP($BL17,'US Grid mix, emissions&amp;prices'!$H$113:$I$163,2,FALSE)*CF$55</f>
        <v>251904.96334800133</v>
      </c>
      <c r="CG17" s="103">
        <f>VLOOKUP($BL17,'US Grid mix, emissions&amp;prices'!$H$113:$I$163,2,FALSE)*CG$55</f>
        <v>251904.96334800133</v>
      </c>
      <c r="CH17" s="103">
        <f>VLOOKUP($BL17,'US Grid mix, emissions&amp;prices'!$H$113:$I$163,2,FALSE)*CH$55</f>
        <v>251904.96334800133</v>
      </c>
      <c r="CI17" s="103">
        <f>VLOOKUP($BL17,'US Grid mix, emissions&amp;prices'!$H$113:$I$163,2,FALSE)*CI$55</f>
        <v>251904.96334800133</v>
      </c>
      <c r="CJ17" s="103">
        <f>VLOOKUP($BL17,'US Grid mix, emissions&amp;prices'!$H$113:$I$163,2,FALSE)*CJ$55</f>
        <v>251904.96334800133</v>
      </c>
      <c r="CK17" s="103">
        <f>VLOOKUP($BL17,'US Grid mix, emissions&amp;prices'!$H$113:$I$163,2,FALSE)*CK$55</f>
        <v>251904.96334800133</v>
      </c>
      <c r="CL17" s="103">
        <f>VLOOKUP($BL17,'US Grid mix, emissions&amp;prices'!$H$113:$I$163,2,FALSE)*CL$55</f>
        <v>251904.96334800133</v>
      </c>
      <c r="CM17" s="103">
        <f>VLOOKUP($BL17,'US Grid mix, emissions&amp;prices'!$H$113:$I$163,2,FALSE)*CM$55</f>
        <v>251904.96334800133</v>
      </c>
      <c r="CN17" s="103">
        <f>VLOOKUP($BL17,'US Grid mix, emissions&amp;prices'!$H$113:$I$163,2,FALSE)*CN$55</f>
        <v>251904.96334800133</v>
      </c>
    </row>
    <row r="18" spans="1:92" x14ac:dyDescent="0.25">
      <c r="A18" s="123" t="s">
        <v>195</v>
      </c>
      <c r="B18" s="103">
        <f>VLOOKUP($A18,'US Grid mix, emissions&amp;prices'!$H$113:$I$163,2,FALSE)*B$55</f>
        <v>128710.40636246638</v>
      </c>
      <c r="C18" s="103">
        <f>VLOOKUP($A18,'US Grid mix, emissions&amp;prices'!$H$113:$I$163,2,FALSE)*C$55</f>
        <v>128710.40636246638</v>
      </c>
      <c r="D18" s="103">
        <f>VLOOKUP($A18,'US Grid mix, emissions&amp;prices'!$H$113:$I$163,2,FALSE)*D$55</f>
        <v>128710.40636246638</v>
      </c>
      <c r="E18" s="103">
        <f>VLOOKUP($A18,'US Grid mix, emissions&amp;prices'!$H$113:$I$163,2,FALSE)*E$55</f>
        <v>128710.40636246638</v>
      </c>
      <c r="F18" s="103">
        <f>VLOOKUP($A18,'US Grid mix, emissions&amp;prices'!$H$113:$I$163,2,FALSE)*F$55</f>
        <v>128710.40636246638</v>
      </c>
      <c r="G18" s="103">
        <f>VLOOKUP($A18,'US Grid mix, emissions&amp;prices'!$H$113:$I$163,2,FALSE)*G$55</f>
        <v>128710.40636246638</v>
      </c>
      <c r="H18" s="103">
        <f>VLOOKUP($A18,'US Grid mix, emissions&amp;prices'!$H$113:$I$163,2,FALSE)*H$55</f>
        <v>128710.40636246638</v>
      </c>
      <c r="I18" s="103">
        <f>VLOOKUP($A18,'US Grid mix, emissions&amp;prices'!$H$113:$I$163,2,FALSE)*I$55</f>
        <v>128710.40636246638</v>
      </c>
      <c r="J18" s="103">
        <f>VLOOKUP($A18,'US Grid mix, emissions&amp;prices'!$H$113:$I$163,2,FALSE)*J$55</f>
        <v>128710.40636246638</v>
      </c>
      <c r="K18" s="103">
        <f>VLOOKUP($A18,'US Grid mix, emissions&amp;prices'!$H$113:$I$163,2,FALSE)*K$55</f>
        <v>128710.40636246638</v>
      </c>
      <c r="L18" s="103">
        <f>VLOOKUP($A18,'US Grid mix, emissions&amp;prices'!$H$113:$I$163,2,FALSE)*L$55</f>
        <v>128710.40636246638</v>
      </c>
      <c r="M18" s="103">
        <f>VLOOKUP($A18,'US Grid mix, emissions&amp;prices'!$H$113:$I$163,2,FALSE)*M$55</f>
        <v>128710.40636246638</v>
      </c>
      <c r="N18" s="103">
        <f>VLOOKUP($A18,'US Grid mix, emissions&amp;prices'!$H$113:$I$163,2,FALSE)*N$55</f>
        <v>128710.40636246638</v>
      </c>
      <c r="O18" s="103">
        <f>VLOOKUP($A18,'US Grid mix, emissions&amp;prices'!$H$113:$I$163,2,FALSE)*O$55</f>
        <v>128710.40636246638</v>
      </c>
      <c r="P18" s="103">
        <f>VLOOKUP($A18,'US Grid mix, emissions&amp;prices'!$H$113:$I$163,2,FALSE)*P$55</f>
        <v>128710.40636246638</v>
      </c>
      <c r="Q18" s="103">
        <f>VLOOKUP($A18,'US Grid mix, emissions&amp;prices'!$H$113:$I$163,2,FALSE)*Q$55</f>
        <v>128710.40636246638</v>
      </c>
      <c r="R18" s="103">
        <f>VLOOKUP($A18,'US Grid mix, emissions&amp;prices'!$H$113:$I$163,2,FALSE)*R$55</f>
        <v>128710.40636246638</v>
      </c>
      <c r="S18" s="103">
        <f>VLOOKUP($A18,'US Grid mix, emissions&amp;prices'!$H$113:$I$163,2,FALSE)*S$55</f>
        <v>128710.40636246638</v>
      </c>
      <c r="T18" s="103">
        <f>VLOOKUP($A18,'US Grid mix, emissions&amp;prices'!$H$113:$I$163,2,FALSE)*T$55</f>
        <v>128710.40636246638</v>
      </c>
      <c r="U18" s="103">
        <f>VLOOKUP($A18,'US Grid mix, emissions&amp;prices'!$H$113:$I$163,2,FALSE)*U$55</f>
        <v>128710.40636246638</v>
      </c>
      <c r="V18" s="103">
        <f>VLOOKUP($A18,'US Grid mix, emissions&amp;prices'!$H$113:$I$163,2,FALSE)*V$55</f>
        <v>128710.40636246638</v>
      </c>
      <c r="W18" s="103">
        <f>VLOOKUP($A18,'US Grid mix, emissions&amp;prices'!$H$113:$I$163,2,FALSE)*W$55</f>
        <v>128710.40636246638</v>
      </c>
      <c r="X18" s="103">
        <f>VLOOKUP($A18,'US Grid mix, emissions&amp;prices'!$H$113:$I$163,2,FALSE)*X$55</f>
        <v>128710.40636246638</v>
      </c>
      <c r="Y18" s="103">
        <f>VLOOKUP($A18,'US Grid mix, emissions&amp;prices'!$H$113:$I$163,2,FALSE)*Y$55</f>
        <v>128710.40636246638</v>
      </c>
      <c r="Z18" s="103">
        <f>VLOOKUP($A18,'US Grid mix, emissions&amp;prices'!$H$113:$I$163,2,FALSE)*Z$55</f>
        <v>128710.40636246638</v>
      </c>
      <c r="AA18" s="103">
        <f>VLOOKUP($A18,'US Grid mix, emissions&amp;prices'!$H$113:$I$163,2,FALSE)*AA$55</f>
        <v>128710.40636246638</v>
      </c>
      <c r="AB18" s="103">
        <f>VLOOKUP($A18,'US Grid mix, emissions&amp;prices'!$H$113:$I$163,2,FALSE)*AB$55</f>
        <v>128710.40636246638</v>
      </c>
      <c r="AC18" s="103">
        <f>VLOOKUP($A18,'US Grid mix, emissions&amp;prices'!$H$113:$I$163,2,FALSE)*AC$55</f>
        <v>128710.40636246638</v>
      </c>
      <c r="AF18" s="123" t="s">
        <v>195</v>
      </c>
      <c r="AG18" s="103">
        <f>VLOOKUP($AF18,'US Grid mix, emissions&amp;prices'!$H$113:$I$163,2,FALSE)*AG$55</f>
        <v>150862.47387119397</v>
      </c>
      <c r="AH18" s="103">
        <f>VLOOKUP($AF18,'US Grid mix, emissions&amp;prices'!$H$113:$I$163,2,FALSE)*AH$55</f>
        <v>150862.47387119397</v>
      </c>
      <c r="AI18" s="103">
        <f>VLOOKUP($AF18,'US Grid mix, emissions&amp;prices'!$H$113:$I$163,2,FALSE)*AI$55</f>
        <v>150862.47387119397</v>
      </c>
      <c r="AJ18" s="103">
        <f>VLOOKUP($AF18,'US Grid mix, emissions&amp;prices'!$H$113:$I$163,2,FALSE)*AJ$55</f>
        <v>150862.47387119397</v>
      </c>
      <c r="AK18" s="103">
        <f>VLOOKUP($AF18,'US Grid mix, emissions&amp;prices'!$H$113:$I$163,2,FALSE)*AK$55</f>
        <v>150862.47387119397</v>
      </c>
      <c r="AL18" s="103">
        <f>VLOOKUP($AF18,'US Grid mix, emissions&amp;prices'!$H$113:$I$163,2,FALSE)*AL$55</f>
        <v>150862.47387119397</v>
      </c>
      <c r="AM18" s="103">
        <f>VLOOKUP($AF18,'US Grid mix, emissions&amp;prices'!$H$113:$I$163,2,FALSE)*AM$55</f>
        <v>150862.47387119397</v>
      </c>
      <c r="AN18" s="103">
        <f>VLOOKUP($AF18,'US Grid mix, emissions&amp;prices'!$H$113:$I$163,2,FALSE)*AN$55</f>
        <v>150862.47387119397</v>
      </c>
      <c r="AO18" s="103">
        <f>VLOOKUP($AF18,'US Grid mix, emissions&amp;prices'!$H$113:$I$163,2,FALSE)*AO$55</f>
        <v>150862.47387119397</v>
      </c>
      <c r="AP18" s="103">
        <f>VLOOKUP($AF18,'US Grid mix, emissions&amp;prices'!$H$113:$I$163,2,FALSE)*AP$55</f>
        <v>150862.47387119397</v>
      </c>
      <c r="AQ18" s="103">
        <f>VLOOKUP($AF18,'US Grid mix, emissions&amp;prices'!$H$113:$I$163,2,FALSE)*AQ$55</f>
        <v>150862.47387119397</v>
      </c>
      <c r="AR18" s="103">
        <f>VLOOKUP($AF18,'US Grid mix, emissions&amp;prices'!$H$113:$I$163,2,FALSE)*AR$55</f>
        <v>150862.47387119397</v>
      </c>
      <c r="AS18" s="103">
        <f>VLOOKUP($AF18,'US Grid mix, emissions&amp;prices'!$H$113:$I$163,2,FALSE)*AS$55</f>
        <v>150862.47387119397</v>
      </c>
      <c r="AT18" s="103">
        <f>VLOOKUP($AF18,'US Grid mix, emissions&amp;prices'!$H$113:$I$163,2,FALSE)*AT$55</f>
        <v>150862.47387119397</v>
      </c>
      <c r="AU18" s="103">
        <f>VLOOKUP($AF18,'US Grid mix, emissions&amp;prices'!$H$113:$I$163,2,FALSE)*AU$55</f>
        <v>150862.47387119397</v>
      </c>
      <c r="AV18" s="103">
        <f>VLOOKUP($AF18,'US Grid mix, emissions&amp;prices'!$H$113:$I$163,2,FALSE)*AV$55</f>
        <v>150862.47387119397</v>
      </c>
      <c r="AW18" s="103">
        <f>VLOOKUP($AF18,'US Grid mix, emissions&amp;prices'!$H$113:$I$163,2,FALSE)*AW$55</f>
        <v>150862.47387119397</v>
      </c>
      <c r="AX18" s="103">
        <f>VLOOKUP($AF18,'US Grid mix, emissions&amp;prices'!$H$113:$I$163,2,FALSE)*AX$55</f>
        <v>150862.47387119397</v>
      </c>
      <c r="AY18" s="103">
        <f>VLOOKUP($AF18,'US Grid mix, emissions&amp;prices'!$H$113:$I$163,2,FALSE)*AY$55</f>
        <v>150862.47387119397</v>
      </c>
      <c r="AZ18" s="103">
        <f>VLOOKUP($AF18,'US Grid mix, emissions&amp;prices'!$H$113:$I$163,2,FALSE)*AZ$55</f>
        <v>150862.47387119397</v>
      </c>
      <c r="BA18" s="103">
        <f>VLOOKUP($AF18,'US Grid mix, emissions&amp;prices'!$H$113:$I$163,2,FALSE)*BA$55</f>
        <v>150862.47387119397</v>
      </c>
      <c r="BB18" s="103">
        <f>VLOOKUP($AF18,'US Grid mix, emissions&amp;prices'!$H$113:$I$163,2,FALSE)*BB$55</f>
        <v>150862.47387119397</v>
      </c>
      <c r="BC18" s="103">
        <f>VLOOKUP($AF18,'US Grid mix, emissions&amp;prices'!$H$113:$I$163,2,FALSE)*BC$55</f>
        <v>150862.47387119397</v>
      </c>
      <c r="BD18" s="103">
        <f>VLOOKUP($AF18,'US Grid mix, emissions&amp;prices'!$H$113:$I$163,2,FALSE)*BD$55</f>
        <v>150862.47387119397</v>
      </c>
      <c r="BE18" s="103">
        <f>VLOOKUP($AF18,'US Grid mix, emissions&amp;prices'!$H$113:$I$163,2,FALSE)*BE$55</f>
        <v>150862.47387119397</v>
      </c>
      <c r="BF18" s="103">
        <f>VLOOKUP($AF18,'US Grid mix, emissions&amp;prices'!$H$113:$I$163,2,FALSE)*BF$55</f>
        <v>150862.47387119397</v>
      </c>
      <c r="BG18" s="103">
        <f>VLOOKUP($AF18,'US Grid mix, emissions&amp;prices'!$H$113:$I$163,2,FALSE)*BG$55</f>
        <v>150862.47387119397</v>
      </c>
      <c r="BH18" s="103">
        <f>VLOOKUP($AF18,'US Grid mix, emissions&amp;prices'!$H$113:$I$163,2,FALSE)*BH$55</f>
        <v>150862.47387119397</v>
      </c>
      <c r="BL18" s="123" t="s">
        <v>195</v>
      </c>
      <c r="BM18" s="103">
        <f>VLOOKUP($BL18,'US Grid mix, emissions&amp;prices'!$H$113:$I$163,2,FALSE)*BM$55</f>
        <v>112153.3105324404</v>
      </c>
      <c r="BN18" s="103">
        <f>VLOOKUP($BL18,'US Grid mix, emissions&amp;prices'!$H$113:$I$163,2,FALSE)*BN$55</f>
        <v>112153.3105324404</v>
      </c>
      <c r="BO18" s="103">
        <f>VLOOKUP($BL18,'US Grid mix, emissions&amp;prices'!$H$113:$I$163,2,FALSE)*BO$55</f>
        <v>112153.3105324404</v>
      </c>
      <c r="BP18" s="103">
        <f>VLOOKUP($BL18,'US Grid mix, emissions&amp;prices'!$H$113:$I$163,2,FALSE)*BP$55</f>
        <v>112153.3105324404</v>
      </c>
      <c r="BQ18" s="103">
        <f>VLOOKUP($BL18,'US Grid mix, emissions&amp;prices'!$H$113:$I$163,2,FALSE)*BQ$55</f>
        <v>112153.3105324404</v>
      </c>
      <c r="BR18" s="103">
        <f>VLOOKUP($BL18,'US Grid mix, emissions&amp;prices'!$H$113:$I$163,2,FALSE)*BR$55</f>
        <v>112153.3105324404</v>
      </c>
      <c r="BS18" s="103">
        <f>VLOOKUP($BL18,'US Grid mix, emissions&amp;prices'!$H$113:$I$163,2,FALSE)*BS$55</f>
        <v>112153.3105324404</v>
      </c>
      <c r="BT18" s="103">
        <f>VLOOKUP($BL18,'US Grid mix, emissions&amp;prices'!$H$113:$I$163,2,FALSE)*BT$55</f>
        <v>112153.3105324404</v>
      </c>
      <c r="BU18" s="103">
        <f>VLOOKUP($BL18,'US Grid mix, emissions&amp;prices'!$H$113:$I$163,2,FALSE)*BU$55</f>
        <v>112153.3105324404</v>
      </c>
      <c r="BV18" s="103">
        <f>VLOOKUP($BL18,'US Grid mix, emissions&amp;prices'!$H$113:$I$163,2,FALSE)*BV$55</f>
        <v>112153.3105324404</v>
      </c>
      <c r="BW18" s="103">
        <f>VLOOKUP($BL18,'US Grid mix, emissions&amp;prices'!$H$113:$I$163,2,FALSE)*BW$55</f>
        <v>112153.3105324404</v>
      </c>
      <c r="BX18" s="103">
        <f>VLOOKUP($BL18,'US Grid mix, emissions&amp;prices'!$H$113:$I$163,2,FALSE)*BX$55</f>
        <v>112153.3105324404</v>
      </c>
      <c r="BY18" s="103">
        <f>VLOOKUP($BL18,'US Grid mix, emissions&amp;prices'!$H$113:$I$163,2,FALSE)*BY$55</f>
        <v>112153.3105324404</v>
      </c>
      <c r="BZ18" s="103">
        <f>VLOOKUP($BL18,'US Grid mix, emissions&amp;prices'!$H$113:$I$163,2,FALSE)*BZ$55</f>
        <v>112153.3105324404</v>
      </c>
      <c r="CA18" s="103">
        <f>VLOOKUP($BL18,'US Grid mix, emissions&amp;prices'!$H$113:$I$163,2,FALSE)*CA$55</f>
        <v>112153.3105324404</v>
      </c>
      <c r="CB18" s="103">
        <f>VLOOKUP($BL18,'US Grid mix, emissions&amp;prices'!$H$113:$I$163,2,FALSE)*CB$55</f>
        <v>112153.3105324404</v>
      </c>
      <c r="CC18" s="103">
        <f>VLOOKUP($BL18,'US Grid mix, emissions&amp;prices'!$H$113:$I$163,2,FALSE)*CC$55</f>
        <v>112153.3105324404</v>
      </c>
      <c r="CD18" s="103">
        <f>VLOOKUP($BL18,'US Grid mix, emissions&amp;prices'!$H$113:$I$163,2,FALSE)*CD$55</f>
        <v>112153.3105324404</v>
      </c>
      <c r="CE18" s="103">
        <f>VLOOKUP($BL18,'US Grid mix, emissions&amp;prices'!$H$113:$I$163,2,FALSE)*CE$55</f>
        <v>112153.3105324404</v>
      </c>
      <c r="CF18" s="103">
        <f>VLOOKUP($BL18,'US Grid mix, emissions&amp;prices'!$H$113:$I$163,2,FALSE)*CF$55</f>
        <v>112153.3105324404</v>
      </c>
      <c r="CG18" s="103">
        <f>VLOOKUP($BL18,'US Grid mix, emissions&amp;prices'!$H$113:$I$163,2,FALSE)*CG$55</f>
        <v>112153.3105324404</v>
      </c>
      <c r="CH18" s="103">
        <f>VLOOKUP($BL18,'US Grid mix, emissions&amp;prices'!$H$113:$I$163,2,FALSE)*CH$55</f>
        <v>112153.3105324404</v>
      </c>
      <c r="CI18" s="103">
        <f>VLOOKUP($BL18,'US Grid mix, emissions&amp;prices'!$H$113:$I$163,2,FALSE)*CI$55</f>
        <v>112153.3105324404</v>
      </c>
      <c r="CJ18" s="103">
        <f>VLOOKUP($BL18,'US Grid mix, emissions&amp;prices'!$H$113:$I$163,2,FALSE)*CJ$55</f>
        <v>112153.3105324404</v>
      </c>
      <c r="CK18" s="103">
        <f>VLOOKUP($BL18,'US Grid mix, emissions&amp;prices'!$H$113:$I$163,2,FALSE)*CK$55</f>
        <v>112153.3105324404</v>
      </c>
      <c r="CL18" s="103">
        <f>VLOOKUP($BL18,'US Grid mix, emissions&amp;prices'!$H$113:$I$163,2,FALSE)*CL$55</f>
        <v>112153.3105324404</v>
      </c>
      <c r="CM18" s="103">
        <f>VLOOKUP($BL18,'US Grid mix, emissions&amp;prices'!$H$113:$I$163,2,FALSE)*CM$55</f>
        <v>112153.3105324404</v>
      </c>
      <c r="CN18" s="103">
        <f>VLOOKUP($BL18,'US Grid mix, emissions&amp;prices'!$H$113:$I$163,2,FALSE)*CN$55</f>
        <v>112153.3105324404</v>
      </c>
    </row>
    <row r="19" spans="1:92" x14ac:dyDescent="0.25">
      <c r="A19" s="123" t="s">
        <v>199</v>
      </c>
      <c r="B19" s="103">
        <f>VLOOKUP($A19,'US Grid mix, emissions&amp;prices'!$H$113:$I$163,2,FALSE)*B$55</f>
        <v>141373.8753554612</v>
      </c>
      <c r="C19" s="103">
        <f>VLOOKUP($A19,'US Grid mix, emissions&amp;prices'!$H$113:$I$163,2,FALSE)*C$55</f>
        <v>141373.8753554612</v>
      </c>
      <c r="D19" s="103">
        <f>VLOOKUP($A19,'US Grid mix, emissions&amp;prices'!$H$113:$I$163,2,FALSE)*D$55</f>
        <v>141373.8753554612</v>
      </c>
      <c r="E19" s="103">
        <f>VLOOKUP($A19,'US Grid mix, emissions&amp;prices'!$H$113:$I$163,2,FALSE)*E$55</f>
        <v>141373.8753554612</v>
      </c>
      <c r="F19" s="103">
        <f>VLOOKUP($A19,'US Grid mix, emissions&amp;prices'!$H$113:$I$163,2,FALSE)*F$55</f>
        <v>141373.8753554612</v>
      </c>
      <c r="G19" s="103">
        <f>VLOOKUP($A19,'US Grid mix, emissions&amp;prices'!$H$113:$I$163,2,FALSE)*G$55</f>
        <v>141373.8753554612</v>
      </c>
      <c r="H19" s="103">
        <f>VLOOKUP($A19,'US Grid mix, emissions&amp;prices'!$H$113:$I$163,2,FALSE)*H$55</f>
        <v>141373.8753554612</v>
      </c>
      <c r="I19" s="103">
        <f>VLOOKUP($A19,'US Grid mix, emissions&amp;prices'!$H$113:$I$163,2,FALSE)*I$55</f>
        <v>141373.8753554612</v>
      </c>
      <c r="J19" s="103">
        <f>VLOOKUP($A19,'US Grid mix, emissions&amp;prices'!$H$113:$I$163,2,FALSE)*J$55</f>
        <v>141373.8753554612</v>
      </c>
      <c r="K19" s="103">
        <f>VLOOKUP($A19,'US Grid mix, emissions&amp;prices'!$H$113:$I$163,2,FALSE)*K$55</f>
        <v>141373.8753554612</v>
      </c>
      <c r="L19" s="103">
        <f>VLOOKUP($A19,'US Grid mix, emissions&amp;prices'!$H$113:$I$163,2,FALSE)*L$55</f>
        <v>141373.8753554612</v>
      </c>
      <c r="M19" s="103">
        <f>VLOOKUP($A19,'US Grid mix, emissions&amp;prices'!$H$113:$I$163,2,FALSE)*M$55</f>
        <v>141373.8753554612</v>
      </c>
      <c r="N19" s="103">
        <f>VLOOKUP($A19,'US Grid mix, emissions&amp;prices'!$H$113:$I$163,2,FALSE)*N$55</f>
        <v>141373.8753554612</v>
      </c>
      <c r="O19" s="103">
        <f>VLOOKUP($A19,'US Grid mix, emissions&amp;prices'!$H$113:$I$163,2,FALSE)*O$55</f>
        <v>141373.8753554612</v>
      </c>
      <c r="P19" s="103">
        <f>VLOOKUP($A19,'US Grid mix, emissions&amp;prices'!$H$113:$I$163,2,FALSE)*P$55</f>
        <v>141373.8753554612</v>
      </c>
      <c r="Q19" s="103">
        <f>VLOOKUP($A19,'US Grid mix, emissions&amp;prices'!$H$113:$I$163,2,FALSE)*Q$55</f>
        <v>141373.8753554612</v>
      </c>
      <c r="R19" s="103">
        <f>VLOOKUP($A19,'US Grid mix, emissions&amp;prices'!$H$113:$I$163,2,FALSE)*R$55</f>
        <v>141373.8753554612</v>
      </c>
      <c r="S19" s="103">
        <f>VLOOKUP($A19,'US Grid mix, emissions&amp;prices'!$H$113:$I$163,2,FALSE)*S$55</f>
        <v>141373.8753554612</v>
      </c>
      <c r="T19" s="103">
        <f>VLOOKUP($A19,'US Grid mix, emissions&amp;prices'!$H$113:$I$163,2,FALSE)*T$55</f>
        <v>141373.8753554612</v>
      </c>
      <c r="U19" s="103">
        <f>VLOOKUP($A19,'US Grid mix, emissions&amp;prices'!$H$113:$I$163,2,FALSE)*U$55</f>
        <v>141373.8753554612</v>
      </c>
      <c r="V19" s="103">
        <f>VLOOKUP($A19,'US Grid mix, emissions&amp;prices'!$H$113:$I$163,2,FALSE)*V$55</f>
        <v>141373.8753554612</v>
      </c>
      <c r="W19" s="103">
        <f>VLOOKUP($A19,'US Grid mix, emissions&amp;prices'!$H$113:$I$163,2,FALSE)*W$55</f>
        <v>141373.8753554612</v>
      </c>
      <c r="X19" s="103">
        <f>VLOOKUP($A19,'US Grid mix, emissions&amp;prices'!$H$113:$I$163,2,FALSE)*X$55</f>
        <v>141373.8753554612</v>
      </c>
      <c r="Y19" s="103">
        <f>VLOOKUP($A19,'US Grid mix, emissions&amp;prices'!$H$113:$I$163,2,FALSE)*Y$55</f>
        <v>141373.8753554612</v>
      </c>
      <c r="Z19" s="103">
        <f>VLOOKUP($A19,'US Grid mix, emissions&amp;prices'!$H$113:$I$163,2,FALSE)*Z$55</f>
        <v>141373.8753554612</v>
      </c>
      <c r="AA19" s="103">
        <f>VLOOKUP($A19,'US Grid mix, emissions&amp;prices'!$H$113:$I$163,2,FALSE)*AA$55</f>
        <v>141373.8753554612</v>
      </c>
      <c r="AB19" s="103">
        <f>VLOOKUP($A19,'US Grid mix, emissions&amp;prices'!$H$113:$I$163,2,FALSE)*AB$55</f>
        <v>141373.8753554612</v>
      </c>
      <c r="AC19" s="103">
        <f>VLOOKUP($A19,'US Grid mix, emissions&amp;prices'!$H$113:$I$163,2,FALSE)*AC$55</f>
        <v>141373.8753554612</v>
      </c>
      <c r="AF19" s="123" t="s">
        <v>199</v>
      </c>
      <c r="AG19" s="103">
        <f>VLOOKUP($AF19,'US Grid mix, emissions&amp;prices'!$H$113:$I$163,2,FALSE)*AG$55</f>
        <v>165705.42491195351</v>
      </c>
      <c r="AH19" s="103">
        <f>VLOOKUP($AF19,'US Grid mix, emissions&amp;prices'!$H$113:$I$163,2,FALSE)*AH$55</f>
        <v>165705.42491195351</v>
      </c>
      <c r="AI19" s="103">
        <f>VLOOKUP($AF19,'US Grid mix, emissions&amp;prices'!$H$113:$I$163,2,FALSE)*AI$55</f>
        <v>165705.42491195351</v>
      </c>
      <c r="AJ19" s="103">
        <f>VLOOKUP($AF19,'US Grid mix, emissions&amp;prices'!$H$113:$I$163,2,FALSE)*AJ$55</f>
        <v>165705.42491195351</v>
      </c>
      <c r="AK19" s="103">
        <f>VLOOKUP($AF19,'US Grid mix, emissions&amp;prices'!$H$113:$I$163,2,FALSE)*AK$55</f>
        <v>165705.42491195351</v>
      </c>
      <c r="AL19" s="103">
        <f>VLOOKUP($AF19,'US Grid mix, emissions&amp;prices'!$H$113:$I$163,2,FALSE)*AL$55</f>
        <v>165705.42491195351</v>
      </c>
      <c r="AM19" s="103">
        <f>VLOOKUP($AF19,'US Grid mix, emissions&amp;prices'!$H$113:$I$163,2,FALSE)*AM$55</f>
        <v>165705.42491195351</v>
      </c>
      <c r="AN19" s="103">
        <f>VLOOKUP($AF19,'US Grid mix, emissions&amp;prices'!$H$113:$I$163,2,FALSE)*AN$55</f>
        <v>165705.42491195351</v>
      </c>
      <c r="AO19" s="103">
        <f>VLOOKUP($AF19,'US Grid mix, emissions&amp;prices'!$H$113:$I$163,2,FALSE)*AO$55</f>
        <v>165705.42491195351</v>
      </c>
      <c r="AP19" s="103">
        <f>VLOOKUP($AF19,'US Grid mix, emissions&amp;prices'!$H$113:$I$163,2,FALSE)*AP$55</f>
        <v>165705.42491195351</v>
      </c>
      <c r="AQ19" s="103">
        <f>VLOOKUP($AF19,'US Grid mix, emissions&amp;prices'!$H$113:$I$163,2,FALSE)*AQ$55</f>
        <v>165705.42491195351</v>
      </c>
      <c r="AR19" s="103">
        <f>VLOOKUP($AF19,'US Grid mix, emissions&amp;prices'!$H$113:$I$163,2,FALSE)*AR$55</f>
        <v>165705.42491195351</v>
      </c>
      <c r="AS19" s="103">
        <f>VLOOKUP($AF19,'US Grid mix, emissions&amp;prices'!$H$113:$I$163,2,FALSE)*AS$55</f>
        <v>165705.42491195351</v>
      </c>
      <c r="AT19" s="103">
        <f>VLOOKUP($AF19,'US Grid mix, emissions&amp;prices'!$H$113:$I$163,2,FALSE)*AT$55</f>
        <v>165705.42491195351</v>
      </c>
      <c r="AU19" s="103">
        <f>VLOOKUP($AF19,'US Grid mix, emissions&amp;prices'!$H$113:$I$163,2,FALSE)*AU$55</f>
        <v>165705.42491195351</v>
      </c>
      <c r="AV19" s="103">
        <f>VLOOKUP($AF19,'US Grid mix, emissions&amp;prices'!$H$113:$I$163,2,FALSE)*AV$55</f>
        <v>165705.42491195351</v>
      </c>
      <c r="AW19" s="103">
        <f>VLOOKUP($AF19,'US Grid mix, emissions&amp;prices'!$H$113:$I$163,2,FALSE)*AW$55</f>
        <v>165705.42491195351</v>
      </c>
      <c r="AX19" s="103">
        <f>VLOOKUP($AF19,'US Grid mix, emissions&amp;prices'!$H$113:$I$163,2,FALSE)*AX$55</f>
        <v>165705.42491195351</v>
      </c>
      <c r="AY19" s="103">
        <f>VLOOKUP($AF19,'US Grid mix, emissions&amp;prices'!$H$113:$I$163,2,FALSE)*AY$55</f>
        <v>165705.42491195351</v>
      </c>
      <c r="AZ19" s="103">
        <f>VLOOKUP($AF19,'US Grid mix, emissions&amp;prices'!$H$113:$I$163,2,FALSE)*AZ$55</f>
        <v>165705.42491195351</v>
      </c>
      <c r="BA19" s="103">
        <f>VLOOKUP($AF19,'US Grid mix, emissions&amp;prices'!$H$113:$I$163,2,FALSE)*BA$55</f>
        <v>165705.42491195351</v>
      </c>
      <c r="BB19" s="103">
        <f>VLOOKUP($AF19,'US Grid mix, emissions&amp;prices'!$H$113:$I$163,2,FALSE)*BB$55</f>
        <v>165705.42491195351</v>
      </c>
      <c r="BC19" s="103">
        <f>VLOOKUP($AF19,'US Grid mix, emissions&amp;prices'!$H$113:$I$163,2,FALSE)*BC$55</f>
        <v>165705.42491195351</v>
      </c>
      <c r="BD19" s="103">
        <f>VLOOKUP($AF19,'US Grid mix, emissions&amp;prices'!$H$113:$I$163,2,FALSE)*BD$55</f>
        <v>165705.42491195351</v>
      </c>
      <c r="BE19" s="103">
        <f>VLOOKUP($AF19,'US Grid mix, emissions&amp;prices'!$H$113:$I$163,2,FALSE)*BE$55</f>
        <v>165705.42491195351</v>
      </c>
      <c r="BF19" s="103">
        <f>VLOOKUP($AF19,'US Grid mix, emissions&amp;prices'!$H$113:$I$163,2,FALSE)*BF$55</f>
        <v>165705.42491195351</v>
      </c>
      <c r="BG19" s="103">
        <f>VLOOKUP($AF19,'US Grid mix, emissions&amp;prices'!$H$113:$I$163,2,FALSE)*BG$55</f>
        <v>165705.42491195351</v>
      </c>
      <c r="BH19" s="103">
        <f>VLOOKUP($AF19,'US Grid mix, emissions&amp;prices'!$H$113:$I$163,2,FALSE)*BH$55</f>
        <v>165705.42491195351</v>
      </c>
      <c r="BL19" s="123" t="s">
        <v>199</v>
      </c>
      <c r="BM19" s="103">
        <f>VLOOKUP($BL19,'US Grid mix, emissions&amp;prices'!$H$113:$I$163,2,FALSE)*BM$55</f>
        <v>123187.7716185911</v>
      </c>
      <c r="BN19" s="103">
        <f>VLOOKUP($BL19,'US Grid mix, emissions&amp;prices'!$H$113:$I$163,2,FALSE)*BN$55</f>
        <v>123187.7716185911</v>
      </c>
      <c r="BO19" s="103">
        <f>VLOOKUP($BL19,'US Grid mix, emissions&amp;prices'!$H$113:$I$163,2,FALSE)*BO$55</f>
        <v>123187.7716185911</v>
      </c>
      <c r="BP19" s="103">
        <f>VLOOKUP($BL19,'US Grid mix, emissions&amp;prices'!$H$113:$I$163,2,FALSE)*BP$55</f>
        <v>123187.7716185911</v>
      </c>
      <c r="BQ19" s="103">
        <f>VLOOKUP($BL19,'US Grid mix, emissions&amp;prices'!$H$113:$I$163,2,FALSE)*BQ$55</f>
        <v>123187.7716185911</v>
      </c>
      <c r="BR19" s="103">
        <f>VLOOKUP($BL19,'US Grid mix, emissions&amp;prices'!$H$113:$I$163,2,FALSE)*BR$55</f>
        <v>123187.7716185911</v>
      </c>
      <c r="BS19" s="103">
        <f>VLOOKUP($BL19,'US Grid mix, emissions&amp;prices'!$H$113:$I$163,2,FALSE)*BS$55</f>
        <v>123187.7716185911</v>
      </c>
      <c r="BT19" s="103">
        <f>VLOOKUP($BL19,'US Grid mix, emissions&amp;prices'!$H$113:$I$163,2,FALSE)*BT$55</f>
        <v>123187.7716185911</v>
      </c>
      <c r="BU19" s="103">
        <f>VLOOKUP($BL19,'US Grid mix, emissions&amp;prices'!$H$113:$I$163,2,FALSE)*BU$55</f>
        <v>123187.7716185911</v>
      </c>
      <c r="BV19" s="103">
        <f>VLOOKUP($BL19,'US Grid mix, emissions&amp;prices'!$H$113:$I$163,2,FALSE)*BV$55</f>
        <v>123187.7716185911</v>
      </c>
      <c r="BW19" s="103">
        <f>VLOOKUP($BL19,'US Grid mix, emissions&amp;prices'!$H$113:$I$163,2,FALSE)*BW$55</f>
        <v>123187.7716185911</v>
      </c>
      <c r="BX19" s="103">
        <f>VLOOKUP($BL19,'US Grid mix, emissions&amp;prices'!$H$113:$I$163,2,FALSE)*BX$55</f>
        <v>123187.7716185911</v>
      </c>
      <c r="BY19" s="103">
        <f>VLOOKUP($BL19,'US Grid mix, emissions&amp;prices'!$H$113:$I$163,2,FALSE)*BY$55</f>
        <v>123187.7716185911</v>
      </c>
      <c r="BZ19" s="103">
        <f>VLOOKUP($BL19,'US Grid mix, emissions&amp;prices'!$H$113:$I$163,2,FALSE)*BZ$55</f>
        <v>123187.7716185911</v>
      </c>
      <c r="CA19" s="103">
        <f>VLOOKUP($BL19,'US Grid mix, emissions&amp;prices'!$H$113:$I$163,2,FALSE)*CA$55</f>
        <v>123187.7716185911</v>
      </c>
      <c r="CB19" s="103">
        <f>VLOOKUP($BL19,'US Grid mix, emissions&amp;prices'!$H$113:$I$163,2,FALSE)*CB$55</f>
        <v>123187.7716185911</v>
      </c>
      <c r="CC19" s="103">
        <f>VLOOKUP($BL19,'US Grid mix, emissions&amp;prices'!$H$113:$I$163,2,FALSE)*CC$55</f>
        <v>123187.7716185911</v>
      </c>
      <c r="CD19" s="103">
        <f>VLOOKUP($BL19,'US Grid mix, emissions&amp;prices'!$H$113:$I$163,2,FALSE)*CD$55</f>
        <v>123187.7716185911</v>
      </c>
      <c r="CE19" s="103">
        <f>VLOOKUP($BL19,'US Grid mix, emissions&amp;prices'!$H$113:$I$163,2,FALSE)*CE$55</f>
        <v>123187.7716185911</v>
      </c>
      <c r="CF19" s="103">
        <f>VLOOKUP($BL19,'US Grid mix, emissions&amp;prices'!$H$113:$I$163,2,FALSE)*CF$55</f>
        <v>123187.7716185911</v>
      </c>
      <c r="CG19" s="103">
        <f>VLOOKUP($BL19,'US Grid mix, emissions&amp;prices'!$H$113:$I$163,2,FALSE)*CG$55</f>
        <v>123187.7716185911</v>
      </c>
      <c r="CH19" s="103">
        <f>VLOOKUP($BL19,'US Grid mix, emissions&amp;prices'!$H$113:$I$163,2,FALSE)*CH$55</f>
        <v>123187.7716185911</v>
      </c>
      <c r="CI19" s="103">
        <f>VLOOKUP($BL19,'US Grid mix, emissions&amp;prices'!$H$113:$I$163,2,FALSE)*CI$55</f>
        <v>123187.7716185911</v>
      </c>
      <c r="CJ19" s="103">
        <f>VLOOKUP($BL19,'US Grid mix, emissions&amp;prices'!$H$113:$I$163,2,FALSE)*CJ$55</f>
        <v>123187.7716185911</v>
      </c>
      <c r="CK19" s="103">
        <f>VLOOKUP($BL19,'US Grid mix, emissions&amp;prices'!$H$113:$I$163,2,FALSE)*CK$55</f>
        <v>123187.7716185911</v>
      </c>
      <c r="CL19" s="103">
        <f>VLOOKUP($BL19,'US Grid mix, emissions&amp;prices'!$H$113:$I$163,2,FALSE)*CL$55</f>
        <v>123187.7716185911</v>
      </c>
      <c r="CM19" s="103">
        <f>VLOOKUP($BL19,'US Grid mix, emissions&amp;prices'!$H$113:$I$163,2,FALSE)*CM$55</f>
        <v>123187.7716185911</v>
      </c>
      <c r="CN19" s="103">
        <f>VLOOKUP($BL19,'US Grid mix, emissions&amp;prices'!$H$113:$I$163,2,FALSE)*CN$55</f>
        <v>123187.7716185911</v>
      </c>
    </row>
    <row r="20" spans="1:92" x14ac:dyDescent="0.25">
      <c r="A20" s="123" t="s">
        <v>157</v>
      </c>
      <c r="B20" s="103">
        <f>VLOOKUP($A20,'US Grid mix, emissions&amp;prices'!$H$113:$I$163,2,FALSE)*B$55</f>
        <v>348258.05411487271</v>
      </c>
      <c r="C20" s="103">
        <f>VLOOKUP($A20,'US Grid mix, emissions&amp;prices'!$H$113:$I$163,2,FALSE)*C$55</f>
        <v>348258.05411487271</v>
      </c>
      <c r="D20" s="103">
        <f>VLOOKUP($A20,'US Grid mix, emissions&amp;prices'!$H$113:$I$163,2,FALSE)*D$55</f>
        <v>348258.05411487271</v>
      </c>
      <c r="E20" s="103">
        <f>VLOOKUP($A20,'US Grid mix, emissions&amp;prices'!$H$113:$I$163,2,FALSE)*E$55</f>
        <v>348258.05411487271</v>
      </c>
      <c r="F20" s="103">
        <f>VLOOKUP($A20,'US Grid mix, emissions&amp;prices'!$H$113:$I$163,2,FALSE)*F$55</f>
        <v>348258.05411487271</v>
      </c>
      <c r="G20" s="103">
        <f>VLOOKUP($A20,'US Grid mix, emissions&amp;prices'!$H$113:$I$163,2,FALSE)*G$55</f>
        <v>348258.05411487271</v>
      </c>
      <c r="H20" s="103">
        <f>VLOOKUP($A20,'US Grid mix, emissions&amp;prices'!$H$113:$I$163,2,FALSE)*H$55</f>
        <v>348258.05411487271</v>
      </c>
      <c r="I20" s="103">
        <f>VLOOKUP($A20,'US Grid mix, emissions&amp;prices'!$H$113:$I$163,2,FALSE)*I$55</f>
        <v>348258.05411487271</v>
      </c>
      <c r="J20" s="103">
        <f>VLOOKUP($A20,'US Grid mix, emissions&amp;prices'!$H$113:$I$163,2,FALSE)*J$55</f>
        <v>348258.05411487271</v>
      </c>
      <c r="K20" s="103">
        <f>VLOOKUP($A20,'US Grid mix, emissions&amp;prices'!$H$113:$I$163,2,FALSE)*K$55</f>
        <v>348258.05411487271</v>
      </c>
      <c r="L20" s="103">
        <f>VLOOKUP($A20,'US Grid mix, emissions&amp;prices'!$H$113:$I$163,2,FALSE)*L$55</f>
        <v>348258.05411487271</v>
      </c>
      <c r="M20" s="103">
        <f>VLOOKUP($A20,'US Grid mix, emissions&amp;prices'!$H$113:$I$163,2,FALSE)*M$55</f>
        <v>348258.05411487271</v>
      </c>
      <c r="N20" s="103">
        <f>VLOOKUP($A20,'US Grid mix, emissions&amp;prices'!$H$113:$I$163,2,FALSE)*N$55</f>
        <v>348258.05411487271</v>
      </c>
      <c r="O20" s="103">
        <f>VLOOKUP($A20,'US Grid mix, emissions&amp;prices'!$H$113:$I$163,2,FALSE)*O$55</f>
        <v>348258.05411487271</v>
      </c>
      <c r="P20" s="103">
        <f>VLOOKUP($A20,'US Grid mix, emissions&amp;prices'!$H$113:$I$163,2,FALSE)*P$55</f>
        <v>348258.05411487271</v>
      </c>
      <c r="Q20" s="103">
        <f>VLOOKUP($A20,'US Grid mix, emissions&amp;prices'!$H$113:$I$163,2,FALSE)*Q$55</f>
        <v>348258.05411487271</v>
      </c>
      <c r="R20" s="103">
        <f>VLOOKUP($A20,'US Grid mix, emissions&amp;prices'!$H$113:$I$163,2,FALSE)*R$55</f>
        <v>348258.05411487271</v>
      </c>
      <c r="S20" s="103">
        <f>VLOOKUP($A20,'US Grid mix, emissions&amp;prices'!$H$113:$I$163,2,FALSE)*S$55</f>
        <v>348258.05411487271</v>
      </c>
      <c r="T20" s="103">
        <f>VLOOKUP($A20,'US Grid mix, emissions&amp;prices'!$H$113:$I$163,2,FALSE)*T$55</f>
        <v>348258.05411487271</v>
      </c>
      <c r="U20" s="103">
        <f>VLOOKUP($A20,'US Grid mix, emissions&amp;prices'!$H$113:$I$163,2,FALSE)*U$55</f>
        <v>348258.05411487271</v>
      </c>
      <c r="V20" s="103">
        <f>VLOOKUP($A20,'US Grid mix, emissions&amp;prices'!$H$113:$I$163,2,FALSE)*V$55</f>
        <v>348258.05411487271</v>
      </c>
      <c r="W20" s="103">
        <f>VLOOKUP($A20,'US Grid mix, emissions&amp;prices'!$H$113:$I$163,2,FALSE)*W$55</f>
        <v>348258.05411487271</v>
      </c>
      <c r="X20" s="103">
        <f>VLOOKUP($A20,'US Grid mix, emissions&amp;prices'!$H$113:$I$163,2,FALSE)*X$55</f>
        <v>348258.05411487271</v>
      </c>
      <c r="Y20" s="103">
        <f>VLOOKUP($A20,'US Grid mix, emissions&amp;prices'!$H$113:$I$163,2,FALSE)*Y$55</f>
        <v>348258.05411487271</v>
      </c>
      <c r="Z20" s="103">
        <f>VLOOKUP($A20,'US Grid mix, emissions&amp;prices'!$H$113:$I$163,2,FALSE)*Z$55</f>
        <v>348258.05411487271</v>
      </c>
      <c r="AA20" s="103">
        <f>VLOOKUP($A20,'US Grid mix, emissions&amp;prices'!$H$113:$I$163,2,FALSE)*AA$55</f>
        <v>348258.05411487271</v>
      </c>
      <c r="AB20" s="103">
        <f>VLOOKUP($A20,'US Grid mix, emissions&amp;prices'!$H$113:$I$163,2,FALSE)*AB$55</f>
        <v>348258.05411487271</v>
      </c>
      <c r="AC20" s="103">
        <f>VLOOKUP($A20,'US Grid mix, emissions&amp;prices'!$H$113:$I$163,2,FALSE)*AC$55</f>
        <v>348258.05411487271</v>
      </c>
      <c r="AF20" s="123" t="s">
        <v>157</v>
      </c>
      <c r="AG20" s="103">
        <f>VLOOKUP($AF20,'US Grid mix, emissions&amp;prices'!$H$113:$I$163,2,FALSE)*AG$55</f>
        <v>408195.98876395839</v>
      </c>
      <c r="AH20" s="103">
        <f>VLOOKUP($AF20,'US Grid mix, emissions&amp;prices'!$H$113:$I$163,2,FALSE)*AH$55</f>
        <v>408195.98876395839</v>
      </c>
      <c r="AI20" s="103">
        <f>VLOOKUP($AF20,'US Grid mix, emissions&amp;prices'!$H$113:$I$163,2,FALSE)*AI$55</f>
        <v>408195.98876395839</v>
      </c>
      <c r="AJ20" s="103">
        <f>VLOOKUP($AF20,'US Grid mix, emissions&amp;prices'!$H$113:$I$163,2,FALSE)*AJ$55</f>
        <v>408195.98876395839</v>
      </c>
      <c r="AK20" s="103">
        <f>VLOOKUP($AF20,'US Grid mix, emissions&amp;prices'!$H$113:$I$163,2,FALSE)*AK$55</f>
        <v>408195.98876395839</v>
      </c>
      <c r="AL20" s="103">
        <f>VLOOKUP($AF20,'US Grid mix, emissions&amp;prices'!$H$113:$I$163,2,FALSE)*AL$55</f>
        <v>408195.98876395839</v>
      </c>
      <c r="AM20" s="103">
        <f>VLOOKUP($AF20,'US Grid mix, emissions&amp;prices'!$H$113:$I$163,2,FALSE)*AM$55</f>
        <v>408195.98876395839</v>
      </c>
      <c r="AN20" s="103">
        <f>VLOOKUP($AF20,'US Grid mix, emissions&amp;prices'!$H$113:$I$163,2,FALSE)*AN$55</f>
        <v>408195.98876395839</v>
      </c>
      <c r="AO20" s="103">
        <f>VLOOKUP($AF20,'US Grid mix, emissions&amp;prices'!$H$113:$I$163,2,FALSE)*AO$55</f>
        <v>408195.98876395839</v>
      </c>
      <c r="AP20" s="103">
        <f>VLOOKUP($AF20,'US Grid mix, emissions&amp;prices'!$H$113:$I$163,2,FALSE)*AP$55</f>
        <v>408195.98876395839</v>
      </c>
      <c r="AQ20" s="103">
        <f>VLOOKUP($AF20,'US Grid mix, emissions&amp;prices'!$H$113:$I$163,2,FALSE)*AQ$55</f>
        <v>408195.98876395839</v>
      </c>
      <c r="AR20" s="103">
        <f>VLOOKUP($AF20,'US Grid mix, emissions&amp;prices'!$H$113:$I$163,2,FALSE)*AR$55</f>
        <v>408195.98876395839</v>
      </c>
      <c r="AS20" s="103">
        <f>VLOOKUP($AF20,'US Grid mix, emissions&amp;prices'!$H$113:$I$163,2,FALSE)*AS$55</f>
        <v>408195.98876395839</v>
      </c>
      <c r="AT20" s="103">
        <f>VLOOKUP($AF20,'US Grid mix, emissions&amp;prices'!$H$113:$I$163,2,FALSE)*AT$55</f>
        <v>408195.98876395839</v>
      </c>
      <c r="AU20" s="103">
        <f>VLOOKUP($AF20,'US Grid mix, emissions&amp;prices'!$H$113:$I$163,2,FALSE)*AU$55</f>
        <v>408195.98876395839</v>
      </c>
      <c r="AV20" s="103">
        <f>VLOOKUP($AF20,'US Grid mix, emissions&amp;prices'!$H$113:$I$163,2,FALSE)*AV$55</f>
        <v>408195.98876395839</v>
      </c>
      <c r="AW20" s="103">
        <f>VLOOKUP($AF20,'US Grid mix, emissions&amp;prices'!$H$113:$I$163,2,FALSE)*AW$55</f>
        <v>408195.98876395839</v>
      </c>
      <c r="AX20" s="103">
        <f>VLOOKUP($AF20,'US Grid mix, emissions&amp;prices'!$H$113:$I$163,2,FALSE)*AX$55</f>
        <v>408195.98876395839</v>
      </c>
      <c r="AY20" s="103">
        <f>VLOOKUP($AF20,'US Grid mix, emissions&amp;prices'!$H$113:$I$163,2,FALSE)*AY$55</f>
        <v>408195.98876395839</v>
      </c>
      <c r="AZ20" s="103">
        <f>VLOOKUP($AF20,'US Grid mix, emissions&amp;prices'!$H$113:$I$163,2,FALSE)*AZ$55</f>
        <v>408195.98876395839</v>
      </c>
      <c r="BA20" s="103">
        <f>VLOOKUP($AF20,'US Grid mix, emissions&amp;prices'!$H$113:$I$163,2,FALSE)*BA$55</f>
        <v>408195.98876395839</v>
      </c>
      <c r="BB20" s="103">
        <f>VLOOKUP($AF20,'US Grid mix, emissions&amp;prices'!$H$113:$I$163,2,FALSE)*BB$55</f>
        <v>408195.98876395839</v>
      </c>
      <c r="BC20" s="103">
        <f>VLOOKUP($AF20,'US Grid mix, emissions&amp;prices'!$H$113:$I$163,2,FALSE)*BC$55</f>
        <v>408195.98876395839</v>
      </c>
      <c r="BD20" s="103">
        <f>VLOOKUP($AF20,'US Grid mix, emissions&amp;prices'!$H$113:$I$163,2,FALSE)*BD$55</f>
        <v>408195.98876395839</v>
      </c>
      <c r="BE20" s="103">
        <f>VLOOKUP($AF20,'US Grid mix, emissions&amp;prices'!$H$113:$I$163,2,FALSE)*BE$55</f>
        <v>408195.98876395839</v>
      </c>
      <c r="BF20" s="103">
        <f>VLOOKUP($AF20,'US Grid mix, emissions&amp;prices'!$H$113:$I$163,2,FALSE)*BF$55</f>
        <v>408195.98876395839</v>
      </c>
      <c r="BG20" s="103">
        <f>VLOOKUP($AF20,'US Grid mix, emissions&amp;prices'!$H$113:$I$163,2,FALSE)*BG$55</f>
        <v>408195.98876395839</v>
      </c>
      <c r="BH20" s="103">
        <f>VLOOKUP($AF20,'US Grid mix, emissions&amp;prices'!$H$113:$I$163,2,FALSE)*BH$55</f>
        <v>408195.98876395839</v>
      </c>
      <c r="BL20" s="123" t="s">
        <v>157</v>
      </c>
      <c r="BM20" s="103">
        <f>VLOOKUP($BL20,'US Grid mix, emissions&amp;prices'!$H$113:$I$163,2,FALSE)*BM$55</f>
        <v>303458.70852567413</v>
      </c>
      <c r="BN20" s="103">
        <f>VLOOKUP($BL20,'US Grid mix, emissions&amp;prices'!$H$113:$I$163,2,FALSE)*BN$55</f>
        <v>303458.70852567413</v>
      </c>
      <c r="BO20" s="103">
        <f>VLOOKUP($BL20,'US Grid mix, emissions&amp;prices'!$H$113:$I$163,2,FALSE)*BO$55</f>
        <v>303458.70852567413</v>
      </c>
      <c r="BP20" s="103">
        <f>VLOOKUP($BL20,'US Grid mix, emissions&amp;prices'!$H$113:$I$163,2,FALSE)*BP$55</f>
        <v>303458.70852567413</v>
      </c>
      <c r="BQ20" s="103">
        <f>VLOOKUP($BL20,'US Grid mix, emissions&amp;prices'!$H$113:$I$163,2,FALSE)*BQ$55</f>
        <v>303458.70852567413</v>
      </c>
      <c r="BR20" s="103">
        <f>VLOOKUP($BL20,'US Grid mix, emissions&amp;prices'!$H$113:$I$163,2,FALSE)*BR$55</f>
        <v>303458.70852567413</v>
      </c>
      <c r="BS20" s="103">
        <f>VLOOKUP($BL20,'US Grid mix, emissions&amp;prices'!$H$113:$I$163,2,FALSE)*BS$55</f>
        <v>303458.70852567413</v>
      </c>
      <c r="BT20" s="103">
        <f>VLOOKUP($BL20,'US Grid mix, emissions&amp;prices'!$H$113:$I$163,2,FALSE)*BT$55</f>
        <v>303458.70852567413</v>
      </c>
      <c r="BU20" s="103">
        <f>VLOOKUP($BL20,'US Grid mix, emissions&amp;prices'!$H$113:$I$163,2,FALSE)*BU$55</f>
        <v>303458.70852567413</v>
      </c>
      <c r="BV20" s="103">
        <f>VLOOKUP($BL20,'US Grid mix, emissions&amp;prices'!$H$113:$I$163,2,FALSE)*BV$55</f>
        <v>303458.70852567413</v>
      </c>
      <c r="BW20" s="103">
        <f>VLOOKUP($BL20,'US Grid mix, emissions&amp;prices'!$H$113:$I$163,2,FALSE)*BW$55</f>
        <v>303458.70852567413</v>
      </c>
      <c r="BX20" s="103">
        <f>VLOOKUP($BL20,'US Grid mix, emissions&amp;prices'!$H$113:$I$163,2,FALSE)*BX$55</f>
        <v>303458.70852567413</v>
      </c>
      <c r="BY20" s="103">
        <f>VLOOKUP($BL20,'US Grid mix, emissions&amp;prices'!$H$113:$I$163,2,FALSE)*BY$55</f>
        <v>303458.70852567413</v>
      </c>
      <c r="BZ20" s="103">
        <f>VLOOKUP($BL20,'US Grid mix, emissions&amp;prices'!$H$113:$I$163,2,FALSE)*BZ$55</f>
        <v>303458.70852567413</v>
      </c>
      <c r="CA20" s="103">
        <f>VLOOKUP($BL20,'US Grid mix, emissions&amp;prices'!$H$113:$I$163,2,FALSE)*CA$55</f>
        <v>303458.70852567413</v>
      </c>
      <c r="CB20" s="103">
        <f>VLOOKUP($BL20,'US Grid mix, emissions&amp;prices'!$H$113:$I$163,2,FALSE)*CB$55</f>
        <v>303458.70852567413</v>
      </c>
      <c r="CC20" s="103">
        <f>VLOOKUP($BL20,'US Grid mix, emissions&amp;prices'!$H$113:$I$163,2,FALSE)*CC$55</f>
        <v>303458.70852567413</v>
      </c>
      <c r="CD20" s="103">
        <f>VLOOKUP($BL20,'US Grid mix, emissions&amp;prices'!$H$113:$I$163,2,FALSE)*CD$55</f>
        <v>303458.70852567413</v>
      </c>
      <c r="CE20" s="103">
        <f>VLOOKUP($BL20,'US Grid mix, emissions&amp;prices'!$H$113:$I$163,2,FALSE)*CE$55</f>
        <v>303458.70852567413</v>
      </c>
      <c r="CF20" s="103">
        <f>VLOOKUP($BL20,'US Grid mix, emissions&amp;prices'!$H$113:$I$163,2,FALSE)*CF$55</f>
        <v>303458.70852567413</v>
      </c>
      <c r="CG20" s="103">
        <f>VLOOKUP($BL20,'US Grid mix, emissions&amp;prices'!$H$113:$I$163,2,FALSE)*CG$55</f>
        <v>303458.70852567413</v>
      </c>
      <c r="CH20" s="103">
        <f>VLOOKUP($BL20,'US Grid mix, emissions&amp;prices'!$H$113:$I$163,2,FALSE)*CH$55</f>
        <v>303458.70852567413</v>
      </c>
      <c r="CI20" s="103">
        <f>VLOOKUP($BL20,'US Grid mix, emissions&amp;prices'!$H$113:$I$163,2,FALSE)*CI$55</f>
        <v>303458.70852567413</v>
      </c>
      <c r="CJ20" s="103">
        <f>VLOOKUP($BL20,'US Grid mix, emissions&amp;prices'!$H$113:$I$163,2,FALSE)*CJ$55</f>
        <v>303458.70852567413</v>
      </c>
      <c r="CK20" s="103">
        <f>VLOOKUP($BL20,'US Grid mix, emissions&amp;prices'!$H$113:$I$163,2,FALSE)*CK$55</f>
        <v>303458.70852567413</v>
      </c>
      <c r="CL20" s="103">
        <f>VLOOKUP($BL20,'US Grid mix, emissions&amp;prices'!$H$113:$I$163,2,FALSE)*CL$55</f>
        <v>303458.70852567413</v>
      </c>
      <c r="CM20" s="103">
        <f>VLOOKUP($BL20,'US Grid mix, emissions&amp;prices'!$H$113:$I$163,2,FALSE)*CM$55</f>
        <v>303458.70852567413</v>
      </c>
      <c r="CN20" s="103">
        <f>VLOOKUP($BL20,'US Grid mix, emissions&amp;prices'!$H$113:$I$163,2,FALSE)*CN$55</f>
        <v>303458.70852567413</v>
      </c>
    </row>
    <row r="21" spans="1:92" x14ac:dyDescent="0.25">
      <c r="A21" s="123" t="s">
        <v>200</v>
      </c>
      <c r="B21" s="103">
        <f>VLOOKUP($A21,'US Grid mix, emissions&amp;prices'!$H$113:$I$163,2,FALSE)*B$55</f>
        <v>185959.14519770964</v>
      </c>
      <c r="C21" s="103">
        <f>VLOOKUP($A21,'US Grid mix, emissions&amp;prices'!$H$113:$I$163,2,FALSE)*C$55</f>
        <v>185959.14519770964</v>
      </c>
      <c r="D21" s="103">
        <f>VLOOKUP($A21,'US Grid mix, emissions&amp;prices'!$H$113:$I$163,2,FALSE)*D$55</f>
        <v>185959.14519770964</v>
      </c>
      <c r="E21" s="103">
        <f>VLOOKUP($A21,'US Grid mix, emissions&amp;prices'!$H$113:$I$163,2,FALSE)*E$55</f>
        <v>185959.14519770964</v>
      </c>
      <c r="F21" s="103">
        <f>VLOOKUP($A21,'US Grid mix, emissions&amp;prices'!$H$113:$I$163,2,FALSE)*F$55</f>
        <v>185959.14519770964</v>
      </c>
      <c r="G21" s="103">
        <f>VLOOKUP($A21,'US Grid mix, emissions&amp;prices'!$H$113:$I$163,2,FALSE)*G$55</f>
        <v>185959.14519770964</v>
      </c>
      <c r="H21" s="103">
        <f>VLOOKUP($A21,'US Grid mix, emissions&amp;prices'!$H$113:$I$163,2,FALSE)*H$55</f>
        <v>185959.14519770964</v>
      </c>
      <c r="I21" s="103">
        <f>VLOOKUP($A21,'US Grid mix, emissions&amp;prices'!$H$113:$I$163,2,FALSE)*I$55</f>
        <v>185959.14519770964</v>
      </c>
      <c r="J21" s="103">
        <f>VLOOKUP($A21,'US Grid mix, emissions&amp;prices'!$H$113:$I$163,2,FALSE)*J$55</f>
        <v>185959.14519770964</v>
      </c>
      <c r="K21" s="103">
        <f>VLOOKUP($A21,'US Grid mix, emissions&amp;prices'!$H$113:$I$163,2,FALSE)*K$55</f>
        <v>185959.14519770964</v>
      </c>
      <c r="L21" s="103">
        <f>VLOOKUP($A21,'US Grid mix, emissions&amp;prices'!$H$113:$I$163,2,FALSE)*L$55</f>
        <v>185959.14519770964</v>
      </c>
      <c r="M21" s="103">
        <f>VLOOKUP($A21,'US Grid mix, emissions&amp;prices'!$H$113:$I$163,2,FALSE)*M$55</f>
        <v>185959.14519770964</v>
      </c>
      <c r="N21" s="103">
        <f>VLOOKUP($A21,'US Grid mix, emissions&amp;prices'!$H$113:$I$163,2,FALSE)*N$55</f>
        <v>185959.14519770964</v>
      </c>
      <c r="O21" s="103">
        <f>VLOOKUP($A21,'US Grid mix, emissions&amp;prices'!$H$113:$I$163,2,FALSE)*O$55</f>
        <v>185959.14519770964</v>
      </c>
      <c r="P21" s="103">
        <f>VLOOKUP($A21,'US Grid mix, emissions&amp;prices'!$H$113:$I$163,2,FALSE)*P$55</f>
        <v>185959.14519770964</v>
      </c>
      <c r="Q21" s="103">
        <f>VLOOKUP($A21,'US Grid mix, emissions&amp;prices'!$H$113:$I$163,2,FALSE)*Q$55</f>
        <v>185959.14519770964</v>
      </c>
      <c r="R21" s="103">
        <f>VLOOKUP($A21,'US Grid mix, emissions&amp;prices'!$H$113:$I$163,2,FALSE)*R$55</f>
        <v>185959.14519770964</v>
      </c>
      <c r="S21" s="103">
        <f>VLOOKUP($A21,'US Grid mix, emissions&amp;prices'!$H$113:$I$163,2,FALSE)*S$55</f>
        <v>185959.14519770964</v>
      </c>
      <c r="T21" s="103">
        <f>VLOOKUP($A21,'US Grid mix, emissions&amp;prices'!$H$113:$I$163,2,FALSE)*T$55</f>
        <v>185959.14519770964</v>
      </c>
      <c r="U21" s="103">
        <f>VLOOKUP($A21,'US Grid mix, emissions&amp;prices'!$H$113:$I$163,2,FALSE)*U$55</f>
        <v>185959.14519770964</v>
      </c>
      <c r="V21" s="103">
        <f>VLOOKUP($A21,'US Grid mix, emissions&amp;prices'!$H$113:$I$163,2,FALSE)*V$55</f>
        <v>185959.14519770964</v>
      </c>
      <c r="W21" s="103">
        <f>VLOOKUP($A21,'US Grid mix, emissions&amp;prices'!$H$113:$I$163,2,FALSE)*W$55</f>
        <v>185959.14519770964</v>
      </c>
      <c r="X21" s="103">
        <f>VLOOKUP($A21,'US Grid mix, emissions&amp;prices'!$H$113:$I$163,2,FALSE)*X$55</f>
        <v>185959.14519770964</v>
      </c>
      <c r="Y21" s="103">
        <f>VLOOKUP($A21,'US Grid mix, emissions&amp;prices'!$H$113:$I$163,2,FALSE)*Y$55</f>
        <v>185959.14519770964</v>
      </c>
      <c r="Z21" s="103">
        <f>VLOOKUP($A21,'US Grid mix, emissions&amp;prices'!$H$113:$I$163,2,FALSE)*Z$55</f>
        <v>185959.14519770964</v>
      </c>
      <c r="AA21" s="103">
        <f>VLOOKUP($A21,'US Grid mix, emissions&amp;prices'!$H$113:$I$163,2,FALSE)*AA$55</f>
        <v>185959.14519770964</v>
      </c>
      <c r="AB21" s="103">
        <f>VLOOKUP($A21,'US Grid mix, emissions&amp;prices'!$H$113:$I$163,2,FALSE)*AB$55</f>
        <v>185959.14519770964</v>
      </c>
      <c r="AC21" s="103">
        <f>VLOOKUP($A21,'US Grid mix, emissions&amp;prices'!$H$113:$I$163,2,FALSE)*AC$55</f>
        <v>185959.14519770964</v>
      </c>
      <c r="AF21" s="123" t="s">
        <v>200</v>
      </c>
      <c r="AG21" s="103">
        <f>VLOOKUP($AF21,'US Grid mix, emissions&amp;prices'!$H$113:$I$163,2,FALSE)*AG$55</f>
        <v>217964.16837108223</v>
      </c>
      <c r="AH21" s="103">
        <f>VLOOKUP($AF21,'US Grid mix, emissions&amp;prices'!$H$113:$I$163,2,FALSE)*AH$55</f>
        <v>217964.16837108223</v>
      </c>
      <c r="AI21" s="103">
        <f>VLOOKUP($AF21,'US Grid mix, emissions&amp;prices'!$H$113:$I$163,2,FALSE)*AI$55</f>
        <v>217964.16837108223</v>
      </c>
      <c r="AJ21" s="103">
        <f>VLOOKUP($AF21,'US Grid mix, emissions&amp;prices'!$H$113:$I$163,2,FALSE)*AJ$55</f>
        <v>217964.16837108223</v>
      </c>
      <c r="AK21" s="103">
        <f>VLOOKUP($AF21,'US Grid mix, emissions&amp;prices'!$H$113:$I$163,2,FALSE)*AK$55</f>
        <v>217964.16837108223</v>
      </c>
      <c r="AL21" s="103">
        <f>VLOOKUP($AF21,'US Grid mix, emissions&amp;prices'!$H$113:$I$163,2,FALSE)*AL$55</f>
        <v>217964.16837108223</v>
      </c>
      <c r="AM21" s="103">
        <f>VLOOKUP($AF21,'US Grid mix, emissions&amp;prices'!$H$113:$I$163,2,FALSE)*AM$55</f>
        <v>217964.16837108223</v>
      </c>
      <c r="AN21" s="103">
        <f>VLOOKUP($AF21,'US Grid mix, emissions&amp;prices'!$H$113:$I$163,2,FALSE)*AN$55</f>
        <v>217964.16837108223</v>
      </c>
      <c r="AO21" s="103">
        <f>VLOOKUP($AF21,'US Grid mix, emissions&amp;prices'!$H$113:$I$163,2,FALSE)*AO$55</f>
        <v>217964.16837108223</v>
      </c>
      <c r="AP21" s="103">
        <f>VLOOKUP($AF21,'US Grid mix, emissions&amp;prices'!$H$113:$I$163,2,FALSE)*AP$55</f>
        <v>217964.16837108223</v>
      </c>
      <c r="AQ21" s="103">
        <f>VLOOKUP($AF21,'US Grid mix, emissions&amp;prices'!$H$113:$I$163,2,FALSE)*AQ$55</f>
        <v>217964.16837108223</v>
      </c>
      <c r="AR21" s="103">
        <f>VLOOKUP($AF21,'US Grid mix, emissions&amp;prices'!$H$113:$I$163,2,FALSE)*AR$55</f>
        <v>217964.16837108223</v>
      </c>
      <c r="AS21" s="103">
        <f>VLOOKUP($AF21,'US Grid mix, emissions&amp;prices'!$H$113:$I$163,2,FALSE)*AS$55</f>
        <v>217964.16837108223</v>
      </c>
      <c r="AT21" s="103">
        <f>VLOOKUP($AF21,'US Grid mix, emissions&amp;prices'!$H$113:$I$163,2,FALSE)*AT$55</f>
        <v>217964.16837108223</v>
      </c>
      <c r="AU21" s="103">
        <f>VLOOKUP($AF21,'US Grid mix, emissions&amp;prices'!$H$113:$I$163,2,FALSE)*AU$55</f>
        <v>217964.16837108223</v>
      </c>
      <c r="AV21" s="103">
        <f>VLOOKUP($AF21,'US Grid mix, emissions&amp;prices'!$H$113:$I$163,2,FALSE)*AV$55</f>
        <v>217964.16837108223</v>
      </c>
      <c r="AW21" s="103">
        <f>VLOOKUP($AF21,'US Grid mix, emissions&amp;prices'!$H$113:$I$163,2,FALSE)*AW$55</f>
        <v>217964.16837108223</v>
      </c>
      <c r="AX21" s="103">
        <f>VLOOKUP($AF21,'US Grid mix, emissions&amp;prices'!$H$113:$I$163,2,FALSE)*AX$55</f>
        <v>217964.16837108223</v>
      </c>
      <c r="AY21" s="103">
        <f>VLOOKUP($AF21,'US Grid mix, emissions&amp;prices'!$H$113:$I$163,2,FALSE)*AY$55</f>
        <v>217964.16837108223</v>
      </c>
      <c r="AZ21" s="103">
        <f>VLOOKUP($AF21,'US Grid mix, emissions&amp;prices'!$H$113:$I$163,2,FALSE)*AZ$55</f>
        <v>217964.16837108223</v>
      </c>
      <c r="BA21" s="103">
        <f>VLOOKUP($AF21,'US Grid mix, emissions&amp;prices'!$H$113:$I$163,2,FALSE)*BA$55</f>
        <v>217964.16837108223</v>
      </c>
      <c r="BB21" s="103">
        <f>VLOOKUP($AF21,'US Grid mix, emissions&amp;prices'!$H$113:$I$163,2,FALSE)*BB$55</f>
        <v>217964.16837108223</v>
      </c>
      <c r="BC21" s="103">
        <f>VLOOKUP($AF21,'US Grid mix, emissions&amp;prices'!$H$113:$I$163,2,FALSE)*BC$55</f>
        <v>217964.16837108223</v>
      </c>
      <c r="BD21" s="103">
        <f>VLOOKUP($AF21,'US Grid mix, emissions&amp;prices'!$H$113:$I$163,2,FALSE)*BD$55</f>
        <v>217964.16837108223</v>
      </c>
      <c r="BE21" s="103">
        <f>VLOOKUP($AF21,'US Grid mix, emissions&amp;prices'!$H$113:$I$163,2,FALSE)*BE$55</f>
        <v>217964.16837108223</v>
      </c>
      <c r="BF21" s="103">
        <f>VLOOKUP($AF21,'US Grid mix, emissions&amp;prices'!$H$113:$I$163,2,FALSE)*BF$55</f>
        <v>217964.16837108223</v>
      </c>
      <c r="BG21" s="103">
        <f>VLOOKUP($AF21,'US Grid mix, emissions&amp;prices'!$H$113:$I$163,2,FALSE)*BG$55</f>
        <v>217964.16837108223</v>
      </c>
      <c r="BH21" s="103">
        <f>VLOOKUP($AF21,'US Grid mix, emissions&amp;prices'!$H$113:$I$163,2,FALSE)*BH$55</f>
        <v>217964.16837108223</v>
      </c>
      <c r="BL21" s="123" t="s">
        <v>200</v>
      </c>
      <c r="BM21" s="103">
        <f>VLOOKUP($BL21,'US Grid mix, emissions&amp;prices'!$H$113:$I$163,2,FALSE)*BM$55</f>
        <v>162037.66538482287</v>
      </c>
      <c r="BN21" s="103">
        <f>VLOOKUP($BL21,'US Grid mix, emissions&amp;prices'!$H$113:$I$163,2,FALSE)*BN$55</f>
        <v>162037.66538482287</v>
      </c>
      <c r="BO21" s="103">
        <f>VLOOKUP($BL21,'US Grid mix, emissions&amp;prices'!$H$113:$I$163,2,FALSE)*BO$55</f>
        <v>162037.66538482287</v>
      </c>
      <c r="BP21" s="103">
        <f>VLOOKUP($BL21,'US Grid mix, emissions&amp;prices'!$H$113:$I$163,2,FALSE)*BP$55</f>
        <v>162037.66538482287</v>
      </c>
      <c r="BQ21" s="103">
        <f>VLOOKUP($BL21,'US Grid mix, emissions&amp;prices'!$H$113:$I$163,2,FALSE)*BQ$55</f>
        <v>162037.66538482287</v>
      </c>
      <c r="BR21" s="103">
        <f>VLOOKUP($BL21,'US Grid mix, emissions&amp;prices'!$H$113:$I$163,2,FALSE)*BR$55</f>
        <v>162037.66538482287</v>
      </c>
      <c r="BS21" s="103">
        <f>VLOOKUP($BL21,'US Grid mix, emissions&amp;prices'!$H$113:$I$163,2,FALSE)*BS$55</f>
        <v>162037.66538482287</v>
      </c>
      <c r="BT21" s="103">
        <f>VLOOKUP($BL21,'US Grid mix, emissions&amp;prices'!$H$113:$I$163,2,FALSE)*BT$55</f>
        <v>162037.66538482287</v>
      </c>
      <c r="BU21" s="103">
        <f>VLOOKUP($BL21,'US Grid mix, emissions&amp;prices'!$H$113:$I$163,2,FALSE)*BU$55</f>
        <v>162037.66538482287</v>
      </c>
      <c r="BV21" s="103">
        <f>VLOOKUP($BL21,'US Grid mix, emissions&amp;prices'!$H$113:$I$163,2,FALSE)*BV$55</f>
        <v>162037.66538482287</v>
      </c>
      <c r="BW21" s="103">
        <f>VLOOKUP($BL21,'US Grid mix, emissions&amp;prices'!$H$113:$I$163,2,FALSE)*BW$55</f>
        <v>162037.66538482287</v>
      </c>
      <c r="BX21" s="103">
        <f>VLOOKUP($BL21,'US Grid mix, emissions&amp;prices'!$H$113:$I$163,2,FALSE)*BX$55</f>
        <v>162037.66538482287</v>
      </c>
      <c r="BY21" s="103">
        <f>VLOOKUP($BL21,'US Grid mix, emissions&amp;prices'!$H$113:$I$163,2,FALSE)*BY$55</f>
        <v>162037.66538482287</v>
      </c>
      <c r="BZ21" s="103">
        <f>VLOOKUP($BL21,'US Grid mix, emissions&amp;prices'!$H$113:$I$163,2,FALSE)*BZ$55</f>
        <v>162037.66538482287</v>
      </c>
      <c r="CA21" s="103">
        <f>VLOOKUP($BL21,'US Grid mix, emissions&amp;prices'!$H$113:$I$163,2,FALSE)*CA$55</f>
        <v>162037.66538482287</v>
      </c>
      <c r="CB21" s="103">
        <f>VLOOKUP($BL21,'US Grid mix, emissions&amp;prices'!$H$113:$I$163,2,FALSE)*CB$55</f>
        <v>162037.66538482287</v>
      </c>
      <c r="CC21" s="103">
        <f>VLOOKUP($BL21,'US Grid mix, emissions&amp;prices'!$H$113:$I$163,2,FALSE)*CC$55</f>
        <v>162037.66538482287</v>
      </c>
      <c r="CD21" s="103">
        <f>VLOOKUP($BL21,'US Grid mix, emissions&amp;prices'!$H$113:$I$163,2,FALSE)*CD$55</f>
        <v>162037.66538482287</v>
      </c>
      <c r="CE21" s="103">
        <f>VLOOKUP($BL21,'US Grid mix, emissions&amp;prices'!$H$113:$I$163,2,FALSE)*CE$55</f>
        <v>162037.66538482287</v>
      </c>
      <c r="CF21" s="103">
        <f>VLOOKUP($BL21,'US Grid mix, emissions&amp;prices'!$H$113:$I$163,2,FALSE)*CF$55</f>
        <v>162037.66538482287</v>
      </c>
      <c r="CG21" s="103">
        <f>VLOOKUP($BL21,'US Grid mix, emissions&amp;prices'!$H$113:$I$163,2,FALSE)*CG$55</f>
        <v>162037.66538482287</v>
      </c>
      <c r="CH21" s="103">
        <f>VLOOKUP($BL21,'US Grid mix, emissions&amp;prices'!$H$113:$I$163,2,FALSE)*CH$55</f>
        <v>162037.66538482287</v>
      </c>
      <c r="CI21" s="103">
        <f>VLOOKUP($BL21,'US Grid mix, emissions&amp;prices'!$H$113:$I$163,2,FALSE)*CI$55</f>
        <v>162037.66538482287</v>
      </c>
      <c r="CJ21" s="103">
        <f>VLOOKUP($BL21,'US Grid mix, emissions&amp;prices'!$H$113:$I$163,2,FALSE)*CJ$55</f>
        <v>162037.66538482287</v>
      </c>
      <c r="CK21" s="103">
        <f>VLOOKUP($BL21,'US Grid mix, emissions&amp;prices'!$H$113:$I$163,2,FALSE)*CK$55</f>
        <v>162037.66538482287</v>
      </c>
      <c r="CL21" s="103">
        <f>VLOOKUP($BL21,'US Grid mix, emissions&amp;prices'!$H$113:$I$163,2,FALSE)*CL$55</f>
        <v>162037.66538482287</v>
      </c>
      <c r="CM21" s="103">
        <f>VLOOKUP($BL21,'US Grid mix, emissions&amp;prices'!$H$113:$I$163,2,FALSE)*CM$55</f>
        <v>162037.66538482287</v>
      </c>
      <c r="CN21" s="103">
        <f>VLOOKUP($BL21,'US Grid mix, emissions&amp;prices'!$H$113:$I$163,2,FALSE)*CN$55</f>
        <v>162037.66538482287</v>
      </c>
    </row>
    <row r="22" spans="1:92" x14ac:dyDescent="0.25">
      <c r="A22" s="123" t="s">
        <v>203</v>
      </c>
      <c r="B22" s="103">
        <f>VLOOKUP($A22,'US Grid mix, emissions&amp;prices'!$H$113:$I$163,2,FALSE)*B$55</f>
        <v>72582.128066214034</v>
      </c>
      <c r="C22" s="103">
        <f>VLOOKUP($A22,'US Grid mix, emissions&amp;prices'!$H$113:$I$163,2,FALSE)*C$55</f>
        <v>72582.128066214034</v>
      </c>
      <c r="D22" s="103">
        <f>VLOOKUP($A22,'US Grid mix, emissions&amp;prices'!$H$113:$I$163,2,FALSE)*D$55</f>
        <v>72582.128066214034</v>
      </c>
      <c r="E22" s="103">
        <f>VLOOKUP($A22,'US Grid mix, emissions&amp;prices'!$H$113:$I$163,2,FALSE)*E$55</f>
        <v>72582.128066214034</v>
      </c>
      <c r="F22" s="103">
        <f>VLOOKUP($A22,'US Grid mix, emissions&amp;prices'!$H$113:$I$163,2,FALSE)*F$55</f>
        <v>72582.128066214034</v>
      </c>
      <c r="G22" s="103">
        <f>VLOOKUP($A22,'US Grid mix, emissions&amp;prices'!$H$113:$I$163,2,FALSE)*G$55</f>
        <v>72582.128066214034</v>
      </c>
      <c r="H22" s="103">
        <f>VLOOKUP($A22,'US Grid mix, emissions&amp;prices'!$H$113:$I$163,2,FALSE)*H$55</f>
        <v>72582.128066214034</v>
      </c>
      <c r="I22" s="103">
        <f>VLOOKUP($A22,'US Grid mix, emissions&amp;prices'!$H$113:$I$163,2,FALSE)*I$55</f>
        <v>72582.128066214034</v>
      </c>
      <c r="J22" s="103">
        <f>VLOOKUP($A22,'US Grid mix, emissions&amp;prices'!$H$113:$I$163,2,FALSE)*J$55</f>
        <v>72582.128066214034</v>
      </c>
      <c r="K22" s="103">
        <f>VLOOKUP($A22,'US Grid mix, emissions&amp;prices'!$H$113:$I$163,2,FALSE)*K$55</f>
        <v>72582.128066214034</v>
      </c>
      <c r="L22" s="103">
        <f>VLOOKUP($A22,'US Grid mix, emissions&amp;prices'!$H$113:$I$163,2,FALSE)*L$55</f>
        <v>72582.128066214034</v>
      </c>
      <c r="M22" s="103">
        <f>VLOOKUP($A22,'US Grid mix, emissions&amp;prices'!$H$113:$I$163,2,FALSE)*M$55</f>
        <v>72582.128066214034</v>
      </c>
      <c r="N22" s="103">
        <f>VLOOKUP($A22,'US Grid mix, emissions&amp;prices'!$H$113:$I$163,2,FALSE)*N$55</f>
        <v>72582.128066214034</v>
      </c>
      <c r="O22" s="103">
        <f>VLOOKUP($A22,'US Grid mix, emissions&amp;prices'!$H$113:$I$163,2,FALSE)*O$55</f>
        <v>72582.128066214034</v>
      </c>
      <c r="P22" s="103">
        <f>VLOOKUP($A22,'US Grid mix, emissions&amp;prices'!$H$113:$I$163,2,FALSE)*P$55</f>
        <v>72582.128066214034</v>
      </c>
      <c r="Q22" s="103">
        <f>VLOOKUP($A22,'US Grid mix, emissions&amp;prices'!$H$113:$I$163,2,FALSE)*Q$55</f>
        <v>72582.128066214034</v>
      </c>
      <c r="R22" s="103">
        <f>VLOOKUP($A22,'US Grid mix, emissions&amp;prices'!$H$113:$I$163,2,FALSE)*R$55</f>
        <v>72582.128066214034</v>
      </c>
      <c r="S22" s="103">
        <f>VLOOKUP($A22,'US Grid mix, emissions&amp;prices'!$H$113:$I$163,2,FALSE)*S$55</f>
        <v>72582.128066214034</v>
      </c>
      <c r="T22" s="103">
        <f>VLOOKUP($A22,'US Grid mix, emissions&amp;prices'!$H$113:$I$163,2,FALSE)*T$55</f>
        <v>72582.128066214034</v>
      </c>
      <c r="U22" s="103">
        <f>VLOOKUP($A22,'US Grid mix, emissions&amp;prices'!$H$113:$I$163,2,FALSE)*U$55</f>
        <v>72582.128066214034</v>
      </c>
      <c r="V22" s="103">
        <f>VLOOKUP($A22,'US Grid mix, emissions&amp;prices'!$H$113:$I$163,2,FALSE)*V$55</f>
        <v>72582.128066214034</v>
      </c>
      <c r="W22" s="103">
        <f>VLOOKUP($A22,'US Grid mix, emissions&amp;prices'!$H$113:$I$163,2,FALSE)*W$55</f>
        <v>72582.128066214034</v>
      </c>
      <c r="X22" s="103">
        <f>VLOOKUP($A22,'US Grid mix, emissions&amp;prices'!$H$113:$I$163,2,FALSE)*X$55</f>
        <v>72582.128066214034</v>
      </c>
      <c r="Y22" s="103">
        <f>VLOOKUP($A22,'US Grid mix, emissions&amp;prices'!$H$113:$I$163,2,FALSE)*Y$55</f>
        <v>72582.128066214034</v>
      </c>
      <c r="Z22" s="103">
        <f>VLOOKUP($A22,'US Grid mix, emissions&amp;prices'!$H$113:$I$163,2,FALSE)*Z$55</f>
        <v>72582.128066214034</v>
      </c>
      <c r="AA22" s="103">
        <f>VLOOKUP($A22,'US Grid mix, emissions&amp;prices'!$H$113:$I$163,2,FALSE)*AA$55</f>
        <v>72582.128066214034</v>
      </c>
      <c r="AB22" s="103">
        <f>VLOOKUP($A22,'US Grid mix, emissions&amp;prices'!$H$113:$I$163,2,FALSE)*AB$55</f>
        <v>72582.128066214034</v>
      </c>
      <c r="AC22" s="103">
        <f>VLOOKUP($A22,'US Grid mix, emissions&amp;prices'!$H$113:$I$163,2,FALSE)*AC$55</f>
        <v>72582.128066214034</v>
      </c>
      <c r="AF22" s="123" t="s">
        <v>203</v>
      </c>
      <c r="AG22" s="103">
        <f>VLOOKUP($AF22,'US Grid mix, emissions&amp;prices'!$H$113:$I$163,2,FALSE)*AG$55</f>
        <v>85074.079931566506</v>
      </c>
      <c r="AH22" s="103">
        <f>VLOOKUP($AF22,'US Grid mix, emissions&amp;prices'!$H$113:$I$163,2,FALSE)*AH$55</f>
        <v>85074.079931566506</v>
      </c>
      <c r="AI22" s="103">
        <f>VLOOKUP($AF22,'US Grid mix, emissions&amp;prices'!$H$113:$I$163,2,FALSE)*AI$55</f>
        <v>85074.079931566506</v>
      </c>
      <c r="AJ22" s="103">
        <f>VLOOKUP($AF22,'US Grid mix, emissions&amp;prices'!$H$113:$I$163,2,FALSE)*AJ$55</f>
        <v>85074.079931566506</v>
      </c>
      <c r="AK22" s="103">
        <f>VLOOKUP($AF22,'US Grid mix, emissions&amp;prices'!$H$113:$I$163,2,FALSE)*AK$55</f>
        <v>85074.079931566506</v>
      </c>
      <c r="AL22" s="103">
        <f>VLOOKUP($AF22,'US Grid mix, emissions&amp;prices'!$H$113:$I$163,2,FALSE)*AL$55</f>
        <v>85074.079931566506</v>
      </c>
      <c r="AM22" s="103">
        <f>VLOOKUP($AF22,'US Grid mix, emissions&amp;prices'!$H$113:$I$163,2,FALSE)*AM$55</f>
        <v>85074.079931566506</v>
      </c>
      <c r="AN22" s="103">
        <f>VLOOKUP($AF22,'US Grid mix, emissions&amp;prices'!$H$113:$I$163,2,FALSE)*AN$55</f>
        <v>85074.079931566506</v>
      </c>
      <c r="AO22" s="103">
        <f>VLOOKUP($AF22,'US Grid mix, emissions&amp;prices'!$H$113:$I$163,2,FALSE)*AO$55</f>
        <v>85074.079931566506</v>
      </c>
      <c r="AP22" s="103">
        <f>VLOOKUP($AF22,'US Grid mix, emissions&amp;prices'!$H$113:$I$163,2,FALSE)*AP$55</f>
        <v>85074.079931566506</v>
      </c>
      <c r="AQ22" s="103">
        <f>VLOOKUP($AF22,'US Grid mix, emissions&amp;prices'!$H$113:$I$163,2,FALSE)*AQ$55</f>
        <v>85074.079931566506</v>
      </c>
      <c r="AR22" s="103">
        <f>VLOOKUP($AF22,'US Grid mix, emissions&amp;prices'!$H$113:$I$163,2,FALSE)*AR$55</f>
        <v>85074.079931566506</v>
      </c>
      <c r="AS22" s="103">
        <f>VLOOKUP($AF22,'US Grid mix, emissions&amp;prices'!$H$113:$I$163,2,FALSE)*AS$55</f>
        <v>85074.079931566506</v>
      </c>
      <c r="AT22" s="103">
        <f>VLOOKUP($AF22,'US Grid mix, emissions&amp;prices'!$H$113:$I$163,2,FALSE)*AT$55</f>
        <v>85074.079931566506</v>
      </c>
      <c r="AU22" s="103">
        <f>VLOOKUP($AF22,'US Grid mix, emissions&amp;prices'!$H$113:$I$163,2,FALSE)*AU$55</f>
        <v>85074.079931566506</v>
      </c>
      <c r="AV22" s="103">
        <f>VLOOKUP($AF22,'US Grid mix, emissions&amp;prices'!$H$113:$I$163,2,FALSE)*AV$55</f>
        <v>85074.079931566506</v>
      </c>
      <c r="AW22" s="103">
        <f>VLOOKUP($AF22,'US Grid mix, emissions&amp;prices'!$H$113:$I$163,2,FALSE)*AW$55</f>
        <v>85074.079931566506</v>
      </c>
      <c r="AX22" s="103">
        <f>VLOOKUP($AF22,'US Grid mix, emissions&amp;prices'!$H$113:$I$163,2,FALSE)*AX$55</f>
        <v>85074.079931566506</v>
      </c>
      <c r="AY22" s="103">
        <f>VLOOKUP($AF22,'US Grid mix, emissions&amp;prices'!$H$113:$I$163,2,FALSE)*AY$55</f>
        <v>85074.079931566506</v>
      </c>
      <c r="AZ22" s="103">
        <f>VLOOKUP($AF22,'US Grid mix, emissions&amp;prices'!$H$113:$I$163,2,FALSE)*AZ$55</f>
        <v>85074.079931566506</v>
      </c>
      <c r="BA22" s="103">
        <f>VLOOKUP($AF22,'US Grid mix, emissions&amp;prices'!$H$113:$I$163,2,FALSE)*BA$55</f>
        <v>85074.079931566506</v>
      </c>
      <c r="BB22" s="103">
        <f>VLOOKUP($AF22,'US Grid mix, emissions&amp;prices'!$H$113:$I$163,2,FALSE)*BB$55</f>
        <v>85074.079931566506</v>
      </c>
      <c r="BC22" s="103">
        <f>VLOOKUP($AF22,'US Grid mix, emissions&amp;prices'!$H$113:$I$163,2,FALSE)*BC$55</f>
        <v>85074.079931566506</v>
      </c>
      <c r="BD22" s="103">
        <f>VLOOKUP($AF22,'US Grid mix, emissions&amp;prices'!$H$113:$I$163,2,FALSE)*BD$55</f>
        <v>85074.079931566506</v>
      </c>
      <c r="BE22" s="103">
        <f>VLOOKUP($AF22,'US Grid mix, emissions&amp;prices'!$H$113:$I$163,2,FALSE)*BE$55</f>
        <v>85074.079931566506</v>
      </c>
      <c r="BF22" s="103">
        <f>VLOOKUP($AF22,'US Grid mix, emissions&amp;prices'!$H$113:$I$163,2,FALSE)*BF$55</f>
        <v>85074.079931566506</v>
      </c>
      <c r="BG22" s="103">
        <f>VLOOKUP($AF22,'US Grid mix, emissions&amp;prices'!$H$113:$I$163,2,FALSE)*BG$55</f>
        <v>85074.079931566506</v>
      </c>
      <c r="BH22" s="103">
        <f>VLOOKUP($AF22,'US Grid mix, emissions&amp;prices'!$H$113:$I$163,2,FALSE)*BH$55</f>
        <v>85074.079931566506</v>
      </c>
      <c r="BL22" s="123" t="s">
        <v>203</v>
      </c>
      <c r="BM22" s="103">
        <f>VLOOKUP($BL22,'US Grid mix, emissions&amp;prices'!$H$113:$I$163,2,FALSE)*BM$55</f>
        <v>63245.282010773655</v>
      </c>
      <c r="BN22" s="103">
        <f>VLOOKUP($BL22,'US Grid mix, emissions&amp;prices'!$H$113:$I$163,2,FALSE)*BN$55</f>
        <v>63245.282010773655</v>
      </c>
      <c r="BO22" s="103">
        <f>VLOOKUP($BL22,'US Grid mix, emissions&amp;prices'!$H$113:$I$163,2,FALSE)*BO$55</f>
        <v>63245.282010773655</v>
      </c>
      <c r="BP22" s="103">
        <f>VLOOKUP($BL22,'US Grid mix, emissions&amp;prices'!$H$113:$I$163,2,FALSE)*BP$55</f>
        <v>63245.282010773655</v>
      </c>
      <c r="BQ22" s="103">
        <f>VLOOKUP($BL22,'US Grid mix, emissions&amp;prices'!$H$113:$I$163,2,FALSE)*BQ$55</f>
        <v>63245.282010773655</v>
      </c>
      <c r="BR22" s="103">
        <f>VLOOKUP($BL22,'US Grid mix, emissions&amp;prices'!$H$113:$I$163,2,FALSE)*BR$55</f>
        <v>63245.282010773655</v>
      </c>
      <c r="BS22" s="103">
        <f>VLOOKUP($BL22,'US Grid mix, emissions&amp;prices'!$H$113:$I$163,2,FALSE)*BS$55</f>
        <v>63245.282010773655</v>
      </c>
      <c r="BT22" s="103">
        <f>VLOOKUP($BL22,'US Grid mix, emissions&amp;prices'!$H$113:$I$163,2,FALSE)*BT$55</f>
        <v>63245.282010773655</v>
      </c>
      <c r="BU22" s="103">
        <f>VLOOKUP($BL22,'US Grid mix, emissions&amp;prices'!$H$113:$I$163,2,FALSE)*BU$55</f>
        <v>63245.282010773655</v>
      </c>
      <c r="BV22" s="103">
        <f>VLOOKUP($BL22,'US Grid mix, emissions&amp;prices'!$H$113:$I$163,2,FALSE)*BV$55</f>
        <v>63245.282010773655</v>
      </c>
      <c r="BW22" s="103">
        <f>VLOOKUP($BL22,'US Grid mix, emissions&amp;prices'!$H$113:$I$163,2,FALSE)*BW$55</f>
        <v>63245.282010773655</v>
      </c>
      <c r="BX22" s="103">
        <f>VLOOKUP($BL22,'US Grid mix, emissions&amp;prices'!$H$113:$I$163,2,FALSE)*BX$55</f>
        <v>63245.282010773655</v>
      </c>
      <c r="BY22" s="103">
        <f>VLOOKUP($BL22,'US Grid mix, emissions&amp;prices'!$H$113:$I$163,2,FALSE)*BY$55</f>
        <v>63245.282010773655</v>
      </c>
      <c r="BZ22" s="103">
        <f>VLOOKUP($BL22,'US Grid mix, emissions&amp;prices'!$H$113:$I$163,2,FALSE)*BZ$55</f>
        <v>63245.282010773655</v>
      </c>
      <c r="CA22" s="103">
        <f>VLOOKUP($BL22,'US Grid mix, emissions&amp;prices'!$H$113:$I$163,2,FALSE)*CA$55</f>
        <v>63245.282010773655</v>
      </c>
      <c r="CB22" s="103">
        <f>VLOOKUP($BL22,'US Grid mix, emissions&amp;prices'!$H$113:$I$163,2,FALSE)*CB$55</f>
        <v>63245.282010773655</v>
      </c>
      <c r="CC22" s="103">
        <f>VLOOKUP($BL22,'US Grid mix, emissions&amp;prices'!$H$113:$I$163,2,FALSE)*CC$55</f>
        <v>63245.282010773655</v>
      </c>
      <c r="CD22" s="103">
        <f>VLOOKUP($BL22,'US Grid mix, emissions&amp;prices'!$H$113:$I$163,2,FALSE)*CD$55</f>
        <v>63245.282010773655</v>
      </c>
      <c r="CE22" s="103">
        <f>VLOOKUP($BL22,'US Grid mix, emissions&amp;prices'!$H$113:$I$163,2,FALSE)*CE$55</f>
        <v>63245.282010773655</v>
      </c>
      <c r="CF22" s="103">
        <f>VLOOKUP($BL22,'US Grid mix, emissions&amp;prices'!$H$113:$I$163,2,FALSE)*CF$55</f>
        <v>63245.282010773655</v>
      </c>
      <c r="CG22" s="103">
        <f>VLOOKUP($BL22,'US Grid mix, emissions&amp;prices'!$H$113:$I$163,2,FALSE)*CG$55</f>
        <v>63245.282010773655</v>
      </c>
      <c r="CH22" s="103">
        <f>VLOOKUP($BL22,'US Grid mix, emissions&amp;prices'!$H$113:$I$163,2,FALSE)*CH$55</f>
        <v>63245.282010773655</v>
      </c>
      <c r="CI22" s="103">
        <f>VLOOKUP($BL22,'US Grid mix, emissions&amp;prices'!$H$113:$I$163,2,FALSE)*CI$55</f>
        <v>63245.282010773655</v>
      </c>
      <c r="CJ22" s="103">
        <f>VLOOKUP($BL22,'US Grid mix, emissions&amp;prices'!$H$113:$I$163,2,FALSE)*CJ$55</f>
        <v>63245.282010773655</v>
      </c>
      <c r="CK22" s="103">
        <f>VLOOKUP($BL22,'US Grid mix, emissions&amp;prices'!$H$113:$I$163,2,FALSE)*CK$55</f>
        <v>63245.282010773655</v>
      </c>
      <c r="CL22" s="103">
        <f>VLOOKUP($BL22,'US Grid mix, emissions&amp;prices'!$H$113:$I$163,2,FALSE)*CL$55</f>
        <v>63245.282010773655</v>
      </c>
      <c r="CM22" s="103">
        <f>VLOOKUP($BL22,'US Grid mix, emissions&amp;prices'!$H$113:$I$163,2,FALSE)*CM$55</f>
        <v>63245.282010773655</v>
      </c>
      <c r="CN22" s="103">
        <f>VLOOKUP($BL22,'US Grid mix, emissions&amp;prices'!$H$113:$I$163,2,FALSE)*CN$55</f>
        <v>63245.282010773655</v>
      </c>
    </row>
    <row r="23" spans="1:92" x14ac:dyDescent="0.25">
      <c r="A23" s="123" t="s">
        <v>202</v>
      </c>
      <c r="B23" s="103">
        <f>VLOOKUP($A23,'US Grid mix, emissions&amp;prices'!$H$113:$I$163,2,FALSE)*B$55</f>
        <v>111040.17077550266</v>
      </c>
      <c r="C23" s="103">
        <f>VLOOKUP($A23,'US Grid mix, emissions&amp;prices'!$H$113:$I$163,2,FALSE)*C$55</f>
        <v>111040.17077550266</v>
      </c>
      <c r="D23" s="103">
        <f>VLOOKUP($A23,'US Grid mix, emissions&amp;prices'!$H$113:$I$163,2,FALSE)*D$55</f>
        <v>111040.17077550266</v>
      </c>
      <c r="E23" s="103">
        <f>VLOOKUP($A23,'US Grid mix, emissions&amp;prices'!$H$113:$I$163,2,FALSE)*E$55</f>
        <v>111040.17077550266</v>
      </c>
      <c r="F23" s="103">
        <f>VLOOKUP($A23,'US Grid mix, emissions&amp;prices'!$H$113:$I$163,2,FALSE)*F$55</f>
        <v>111040.17077550266</v>
      </c>
      <c r="G23" s="103">
        <f>VLOOKUP($A23,'US Grid mix, emissions&amp;prices'!$H$113:$I$163,2,FALSE)*G$55</f>
        <v>111040.17077550266</v>
      </c>
      <c r="H23" s="103">
        <f>VLOOKUP($A23,'US Grid mix, emissions&amp;prices'!$H$113:$I$163,2,FALSE)*H$55</f>
        <v>111040.17077550266</v>
      </c>
      <c r="I23" s="103">
        <f>VLOOKUP($A23,'US Grid mix, emissions&amp;prices'!$H$113:$I$163,2,FALSE)*I$55</f>
        <v>111040.17077550266</v>
      </c>
      <c r="J23" s="103">
        <f>VLOOKUP($A23,'US Grid mix, emissions&amp;prices'!$H$113:$I$163,2,FALSE)*J$55</f>
        <v>111040.17077550266</v>
      </c>
      <c r="K23" s="103">
        <f>VLOOKUP($A23,'US Grid mix, emissions&amp;prices'!$H$113:$I$163,2,FALSE)*K$55</f>
        <v>111040.17077550266</v>
      </c>
      <c r="L23" s="103">
        <f>VLOOKUP($A23,'US Grid mix, emissions&amp;prices'!$H$113:$I$163,2,FALSE)*L$55</f>
        <v>111040.17077550266</v>
      </c>
      <c r="M23" s="103">
        <f>VLOOKUP($A23,'US Grid mix, emissions&amp;prices'!$H$113:$I$163,2,FALSE)*M$55</f>
        <v>111040.17077550266</v>
      </c>
      <c r="N23" s="103">
        <f>VLOOKUP($A23,'US Grid mix, emissions&amp;prices'!$H$113:$I$163,2,FALSE)*N$55</f>
        <v>111040.17077550266</v>
      </c>
      <c r="O23" s="103">
        <f>VLOOKUP($A23,'US Grid mix, emissions&amp;prices'!$H$113:$I$163,2,FALSE)*O$55</f>
        <v>111040.17077550266</v>
      </c>
      <c r="P23" s="103">
        <f>VLOOKUP($A23,'US Grid mix, emissions&amp;prices'!$H$113:$I$163,2,FALSE)*P$55</f>
        <v>111040.17077550266</v>
      </c>
      <c r="Q23" s="103">
        <f>VLOOKUP($A23,'US Grid mix, emissions&amp;prices'!$H$113:$I$163,2,FALSE)*Q$55</f>
        <v>111040.17077550266</v>
      </c>
      <c r="R23" s="103">
        <f>VLOOKUP($A23,'US Grid mix, emissions&amp;prices'!$H$113:$I$163,2,FALSE)*R$55</f>
        <v>111040.17077550266</v>
      </c>
      <c r="S23" s="103">
        <f>VLOOKUP($A23,'US Grid mix, emissions&amp;prices'!$H$113:$I$163,2,FALSE)*S$55</f>
        <v>111040.17077550266</v>
      </c>
      <c r="T23" s="103">
        <f>VLOOKUP($A23,'US Grid mix, emissions&amp;prices'!$H$113:$I$163,2,FALSE)*T$55</f>
        <v>111040.17077550266</v>
      </c>
      <c r="U23" s="103">
        <f>VLOOKUP($A23,'US Grid mix, emissions&amp;prices'!$H$113:$I$163,2,FALSE)*U$55</f>
        <v>111040.17077550266</v>
      </c>
      <c r="V23" s="103">
        <f>VLOOKUP($A23,'US Grid mix, emissions&amp;prices'!$H$113:$I$163,2,FALSE)*V$55</f>
        <v>111040.17077550266</v>
      </c>
      <c r="W23" s="103">
        <f>VLOOKUP($A23,'US Grid mix, emissions&amp;prices'!$H$113:$I$163,2,FALSE)*W$55</f>
        <v>111040.17077550266</v>
      </c>
      <c r="X23" s="103">
        <f>VLOOKUP($A23,'US Grid mix, emissions&amp;prices'!$H$113:$I$163,2,FALSE)*X$55</f>
        <v>111040.17077550266</v>
      </c>
      <c r="Y23" s="103">
        <f>VLOOKUP($A23,'US Grid mix, emissions&amp;prices'!$H$113:$I$163,2,FALSE)*Y$55</f>
        <v>111040.17077550266</v>
      </c>
      <c r="Z23" s="103">
        <f>VLOOKUP($A23,'US Grid mix, emissions&amp;prices'!$H$113:$I$163,2,FALSE)*Z$55</f>
        <v>111040.17077550266</v>
      </c>
      <c r="AA23" s="103">
        <f>VLOOKUP($A23,'US Grid mix, emissions&amp;prices'!$H$113:$I$163,2,FALSE)*AA$55</f>
        <v>111040.17077550266</v>
      </c>
      <c r="AB23" s="103">
        <f>VLOOKUP($A23,'US Grid mix, emissions&amp;prices'!$H$113:$I$163,2,FALSE)*AB$55</f>
        <v>111040.17077550266</v>
      </c>
      <c r="AC23" s="103">
        <f>VLOOKUP($A23,'US Grid mix, emissions&amp;prices'!$H$113:$I$163,2,FALSE)*AC$55</f>
        <v>111040.17077550266</v>
      </c>
      <c r="AF23" s="123" t="s">
        <v>202</v>
      </c>
      <c r="AG23" s="103">
        <f>VLOOKUP($AF23,'US Grid mix, emissions&amp;prices'!$H$113:$I$163,2,FALSE)*AG$55</f>
        <v>130151.05255045816</v>
      </c>
      <c r="AH23" s="103">
        <f>VLOOKUP($AF23,'US Grid mix, emissions&amp;prices'!$H$113:$I$163,2,FALSE)*AH$55</f>
        <v>130151.05255045816</v>
      </c>
      <c r="AI23" s="103">
        <f>VLOOKUP($AF23,'US Grid mix, emissions&amp;prices'!$H$113:$I$163,2,FALSE)*AI$55</f>
        <v>130151.05255045816</v>
      </c>
      <c r="AJ23" s="103">
        <f>VLOOKUP($AF23,'US Grid mix, emissions&amp;prices'!$H$113:$I$163,2,FALSE)*AJ$55</f>
        <v>130151.05255045816</v>
      </c>
      <c r="AK23" s="103">
        <f>VLOOKUP($AF23,'US Grid mix, emissions&amp;prices'!$H$113:$I$163,2,FALSE)*AK$55</f>
        <v>130151.05255045816</v>
      </c>
      <c r="AL23" s="103">
        <f>VLOOKUP($AF23,'US Grid mix, emissions&amp;prices'!$H$113:$I$163,2,FALSE)*AL$55</f>
        <v>130151.05255045816</v>
      </c>
      <c r="AM23" s="103">
        <f>VLOOKUP($AF23,'US Grid mix, emissions&amp;prices'!$H$113:$I$163,2,FALSE)*AM$55</f>
        <v>130151.05255045816</v>
      </c>
      <c r="AN23" s="103">
        <f>VLOOKUP($AF23,'US Grid mix, emissions&amp;prices'!$H$113:$I$163,2,FALSE)*AN$55</f>
        <v>130151.05255045816</v>
      </c>
      <c r="AO23" s="103">
        <f>VLOOKUP($AF23,'US Grid mix, emissions&amp;prices'!$H$113:$I$163,2,FALSE)*AO$55</f>
        <v>130151.05255045816</v>
      </c>
      <c r="AP23" s="103">
        <f>VLOOKUP($AF23,'US Grid mix, emissions&amp;prices'!$H$113:$I$163,2,FALSE)*AP$55</f>
        <v>130151.05255045816</v>
      </c>
      <c r="AQ23" s="103">
        <f>VLOOKUP($AF23,'US Grid mix, emissions&amp;prices'!$H$113:$I$163,2,FALSE)*AQ$55</f>
        <v>130151.05255045816</v>
      </c>
      <c r="AR23" s="103">
        <f>VLOOKUP($AF23,'US Grid mix, emissions&amp;prices'!$H$113:$I$163,2,FALSE)*AR$55</f>
        <v>130151.05255045816</v>
      </c>
      <c r="AS23" s="103">
        <f>VLOOKUP($AF23,'US Grid mix, emissions&amp;prices'!$H$113:$I$163,2,FALSE)*AS$55</f>
        <v>130151.05255045816</v>
      </c>
      <c r="AT23" s="103">
        <f>VLOOKUP($AF23,'US Grid mix, emissions&amp;prices'!$H$113:$I$163,2,FALSE)*AT$55</f>
        <v>130151.05255045816</v>
      </c>
      <c r="AU23" s="103">
        <f>VLOOKUP($AF23,'US Grid mix, emissions&amp;prices'!$H$113:$I$163,2,FALSE)*AU$55</f>
        <v>130151.05255045816</v>
      </c>
      <c r="AV23" s="103">
        <f>VLOOKUP($AF23,'US Grid mix, emissions&amp;prices'!$H$113:$I$163,2,FALSE)*AV$55</f>
        <v>130151.05255045816</v>
      </c>
      <c r="AW23" s="103">
        <f>VLOOKUP($AF23,'US Grid mix, emissions&amp;prices'!$H$113:$I$163,2,FALSE)*AW$55</f>
        <v>130151.05255045816</v>
      </c>
      <c r="AX23" s="103">
        <f>VLOOKUP($AF23,'US Grid mix, emissions&amp;prices'!$H$113:$I$163,2,FALSE)*AX$55</f>
        <v>130151.05255045816</v>
      </c>
      <c r="AY23" s="103">
        <f>VLOOKUP($AF23,'US Grid mix, emissions&amp;prices'!$H$113:$I$163,2,FALSE)*AY$55</f>
        <v>130151.05255045816</v>
      </c>
      <c r="AZ23" s="103">
        <f>VLOOKUP($AF23,'US Grid mix, emissions&amp;prices'!$H$113:$I$163,2,FALSE)*AZ$55</f>
        <v>130151.05255045816</v>
      </c>
      <c r="BA23" s="103">
        <f>VLOOKUP($AF23,'US Grid mix, emissions&amp;prices'!$H$113:$I$163,2,FALSE)*BA$55</f>
        <v>130151.05255045816</v>
      </c>
      <c r="BB23" s="103">
        <f>VLOOKUP($AF23,'US Grid mix, emissions&amp;prices'!$H$113:$I$163,2,FALSE)*BB$55</f>
        <v>130151.05255045816</v>
      </c>
      <c r="BC23" s="103">
        <f>VLOOKUP($AF23,'US Grid mix, emissions&amp;prices'!$H$113:$I$163,2,FALSE)*BC$55</f>
        <v>130151.05255045816</v>
      </c>
      <c r="BD23" s="103">
        <f>VLOOKUP($AF23,'US Grid mix, emissions&amp;prices'!$H$113:$I$163,2,FALSE)*BD$55</f>
        <v>130151.05255045816</v>
      </c>
      <c r="BE23" s="103">
        <f>VLOOKUP($AF23,'US Grid mix, emissions&amp;prices'!$H$113:$I$163,2,FALSE)*BE$55</f>
        <v>130151.05255045816</v>
      </c>
      <c r="BF23" s="103">
        <f>VLOOKUP($AF23,'US Grid mix, emissions&amp;prices'!$H$113:$I$163,2,FALSE)*BF$55</f>
        <v>130151.05255045816</v>
      </c>
      <c r="BG23" s="103">
        <f>VLOOKUP($AF23,'US Grid mix, emissions&amp;prices'!$H$113:$I$163,2,FALSE)*BG$55</f>
        <v>130151.05255045816</v>
      </c>
      <c r="BH23" s="103">
        <f>VLOOKUP($AF23,'US Grid mix, emissions&amp;prices'!$H$113:$I$163,2,FALSE)*BH$55</f>
        <v>130151.05255045816</v>
      </c>
      <c r="BL23" s="123" t="s">
        <v>202</v>
      </c>
      <c r="BM23" s="103">
        <f>VLOOKUP($BL23,'US Grid mix, emissions&amp;prices'!$H$113:$I$163,2,FALSE)*BM$55</f>
        <v>96756.145105231932</v>
      </c>
      <c r="BN23" s="103">
        <f>VLOOKUP($BL23,'US Grid mix, emissions&amp;prices'!$H$113:$I$163,2,FALSE)*BN$55</f>
        <v>96756.145105231932</v>
      </c>
      <c r="BO23" s="103">
        <f>VLOOKUP($BL23,'US Grid mix, emissions&amp;prices'!$H$113:$I$163,2,FALSE)*BO$55</f>
        <v>96756.145105231932</v>
      </c>
      <c r="BP23" s="103">
        <f>VLOOKUP($BL23,'US Grid mix, emissions&amp;prices'!$H$113:$I$163,2,FALSE)*BP$55</f>
        <v>96756.145105231932</v>
      </c>
      <c r="BQ23" s="103">
        <f>VLOOKUP($BL23,'US Grid mix, emissions&amp;prices'!$H$113:$I$163,2,FALSE)*BQ$55</f>
        <v>96756.145105231932</v>
      </c>
      <c r="BR23" s="103">
        <f>VLOOKUP($BL23,'US Grid mix, emissions&amp;prices'!$H$113:$I$163,2,FALSE)*BR$55</f>
        <v>96756.145105231932</v>
      </c>
      <c r="BS23" s="103">
        <f>VLOOKUP($BL23,'US Grid mix, emissions&amp;prices'!$H$113:$I$163,2,FALSE)*BS$55</f>
        <v>96756.145105231932</v>
      </c>
      <c r="BT23" s="103">
        <f>VLOOKUP($BL23,'US Grid mix, emissions&amp;prices'!$H$113:$I$163,2,FALSE)*BT$55</f>
        <v>96756.145105231932</v>
      </c>
      <c r="BU23" s="103">
        <f>VLOOKUP($BL23,'US Grid mix, emissions&amp;prices'!$H$113:$I$163,2,FALSE)*BU$55</f>
        <v>96756.145105231932</v>
      </c>
      <c r="BV23" s="103">
        <f>VLOOKUP($BL23,'US Grid mix, emissions&amp;prices'!$H$113:$I$163,2,FALSE)*BV$55</f>
        <v>96756.145105231932</v>
      </c>
      <c r="BW23" s="103">
        <f>VLOOKUP($BL23,'US Grid mix, emissions&amp;prices'!$H$113:$I$163,2,FALSE)*BW$55</f>
        <v>96756.145105231932</v>
      </c>
      <c r="BX23" s="103">
        <f>VLOOKUP($BL23,'US Grid mix, emissions&amp;prices'!$H$113:$I$163,2,FALSE)*BX$55</f>
        <v>96756.145105231932</v>
      </c>
      <c r="BY23" s="103">
        <f>VLOOKUP($BL23,'US Grid mix, emissions&amp;prices'!$H$113:$I$163,2,FALSE)*BY$55</f>
        <v>96756.145105231932</v>
      </c>
      <c r="BZ23" s="103">
        <f>VLOOKUP($BL23,'US Grid mix, emissions&amp;prices'!$H$113:$I$163,2,FALSE)*BZ$55</f>
        <v>96756.145105231932</v>
      </c>
      <c r="CA23" s="103">
        <f>VLOOKUP($BL23,'US Grid mix, emissions&amp;prices'!$H$113:$I$163,2,FALSE)*CA$55</f>
        <v>96756.145105231932</v>
      </c>
      <c r="CB23" s="103">
        <f>VLOOKUP($BL23,'US Grid mix, emissions&amp;prices'!$H$113:$I$163,2,FALSE)*CB$55</f>
        <v>96756.145105231932</v>
      </c>
      <c r="CC23" s="103">
        <f>VLOOKUP($BL23,'US Grid mix, emissions&amp;prices'!$H$113:$I$163,2,FALSE)*CC$55</f>
        <v>96756.145105231932</v>
      </c>
      <c r="CD23" s="103">
        <f>VLOOKUP($BL23,'US Grid mix, emissions&amp;prices'!$H$113:$I$163,2,FALSE)*CD$55</f>
        <v>96756.145105231932</v>
      </c>
      <c r="CE23" s="103">
        <f>VLOOKUP($BL23,'US Grid mix, emissions&amp;prices'!$H$113:$I$163,2,FALSE)*CE$55</f>
        <v>96756.145105231932</v>
      </c>
      <c r="CF23" s="103">
        <f>VLOOKUP($BL23,'US Grid mix, emissions&amp;prices'!$H$113:$I$163,2,FALSE)*CF$55</f>
        <v>96756.145105231932</v>
      </c>
      <c r="CG23" s="103">
        <f>VLOOKUP($BL23,'US Grid mix, emissions&amp;prices'!$H$113:$I$163,2,FALSE)*CG$55</f>
        <v>96756.145105231932</v>
      </c>
      <c r="CH23" s="103">
        <f>VLOOKUP($BL23,'US Grid mix, emissions&amp;prices'!$H$113:$I$163,2,FALSE)*CH$55</f>
        <v>96756.145105231932</v>
      </c>
      <c r="CI23" s="103">
        <f>VLOOKUP($BL23,'US Grid mix, emissions&amp;prices'!$H$113:$I$163,2,FALSE)*CI$55</f>
        <v>96756.145105231932</v>
      </c>
      <c r="CJ23" s="103">
        <f>VLOOKUP($BL23,'US Grid mix, emissions&amp;prices'!$H$113:$I$163,2,FALSE)*CJ$55</f>
        <v>96756.145105231932</v>
      </c>
      <c r="CK23" s="103">
        <f>VLOOKUP($BL23,'US Grid mix, emissions&amp;prices'!$H$113:$I$163,2,FALSE)*CK$55</f>
        <v>96756.145105231932</v>
      </c>
      <c r="CL23" s="103">
        <f>VLOOKUP($BL23,'US Grid mix, emissions&amp;prices'!$H$113:$I$163,2,FALSE)*CL$55</f>
        <v>96756.145105231932</v>
      </c>
      <c r="CM23" s="103">
        <f>VLOOKUP($BL23,'US Grid mix, emissions&amp;prices'!$H$113:$I$163,2,FALSE)*CM$55</f>
        <v>96756.145105231932</v>
      </c>
      <c r="CN23" s="103">
        <f>VLOOKUP($BL23,'US Grid mix, emissions&amp;prices'!$H$113:$I$163,2,FALSE)*CN$55</f>
        <v>96756.145105231932</v>
      </c>
    </row>
    <row r="24" spans="1:92" x14ac:dyDescent="0.25">
      <c r="A24" s="123" t="s">
        <v>201</v>
      </c>
      <c r="B24" s="103">
        <f>VLOOKUP($A24,'US Grid mix, emissions&amp;prices'!$H$113:$I$163,2,FALSE)*B$55</f>
        <v>167244.38991684714</v>
      </c>
      <c r="C24" s="103">
        <f>VLOOKUP($A24,'US Grid mix, emissions&amp;prices'!$H$113:$I$163,2,FALSE)*C$55</f>
        <v>167244.38991684714</v>
      </c>
      <c r="D24" s="103">
        <f>VLOOKUP($A24,'US Grid mix, emissions&amp;prices'!$H$113:$I$163,2,FALSE)*D$55</f>
        <v>167244.38991684714</v>
      </c>
      <c r="E24" s="103">
        <f>VLOOKUP($A24,'US Grid mix, emissions&amp;prices'!$H$113:$I$163,2,FALSE)*E$55</f>
        <v>167244.38991684714</v>
      </c>
      <c r="F24" s="103">
        <f>VLOOKUP($A24,'US Grid mix, emissions&amp;prices'!$H$113:$I$163,2,FALSE)*F$55</f>
        <v>167244.38991684714</v>
      </c>
      <c r="G24" s="103">
        <f>VLOOKUP($A24,'US Grid mix, emissions&amp;prices'!$H$113:$I$163,2,FALSE)*G$55</f>
        <v>167244.38991684714</v>
      </c>
      <c r="H24" s="103">
        <f>VLOOKUP($A24,'US Grid mix, emissions&amp;prices'!$H$113:$I$163,2,FALSE)*H$55</f>
        <v>167244.38991684714</v>
      </c>
      <c r="I24" s="103">
        <f>VLOOKUP($A24,'US Grid mix, emissions&amp;prices'!$H$113:$I$163,2,FALSE)*I$55</f>
        <v>167244.38991684714</v>
      </c>
      <c r="J24" s="103">
        <f>VLOOKUP($A24,'US Grid mix, emissions&amp;prices'!$H$113:$I$163,2,FALSE)*J$55</f>
        <v>167244.38991684714</v>
      </c>
      <c r="K24" s="103">
        <f>VLOOKUP($A24,'US Grid mix, emissions&amp;prices'!$H$113:$I$163,2,FALSE)*K$55</f>
        <v>167244.38991684714</v>
      </c>
      <c r="L24" s="103">
        <f>VLOOKUP($A24,'US Grid mix, emissions&amp;prices'!$H$113:$I$163,2,FALSE)*L$55</f>
        <v>167244.38991684714</v>
      </c>
      <c r="M24" s="103">
        <f>VLOOKUP($A24,'US Grid mix, emissions&amp;prices'!$H$113:$I$163,2,FALSE)*M$55</f>
        <v>167244.38991684714</v>
      </c>
      <c r="N24" s="103">
        <f>VLOOKUP($A24,'US Grid mix, emissions&amp;prices'!$H$113:$I$163,2,FALSE)*N$55</f>
        <v>167244.38991684714</v>
      </c>
      <c r="O24" s="103">
        <f>VLOOKUP($A24,'US Grid mix, emissions&amp;prices'!$H$113:$I$163,2,FALSE)*O$55</f>
        <v>167244.38991684714</v>
      </c>
      <c r="P24" s="103">
        <f>VLOOKUP($A24,'US Grid mix, emissions&amp;prices'!$H$113:$I$163,2,FALSE)*P$55</f>
        <v>167244.38991684714</v>
      </c>
      <c r="Q24" s="103">
        <f>VLOOKUP($A24,'US Grid mix, emissions&amp;prices'!$H$113:$I$163,2,FALSE)*Q$55</f>
        <v>167244.38991684714</v>
      </c>
      <c r="R24" s="103">
        <f>VLOOKUP($A24,'US Grid mix, emissions&amp;prices'!$H$113:$I$163,2,FALSE)*R$55</f>
        <v>167244.38991684714</v>
      </c>
      <c r="S24" s="103">
        <f>VLOOKUP($A24,'US Grid mix, emissions&amp;prices'!$H$113:$I$163,2,FALSE)*S$55</f>
        <v>167244.38991684714</v>
      </c>
      <c r="T24" s="103">
        <f>VLOOKUP($A24,'US Grid mix, emissions&amp;prices'!$H$113:$I$163,2,FALSE)*T$55</f>
        <v>167244.38991684714</v>
      </c>
      <c r="U24" s="103">
        <f>VLOOKUP($A24,'US Grid mix, emissions&amp;prices'!$H$113:$I$163,2,FALSE)*U$55</f>
        <v>167244.38991684714</v>
      </c>
      <c r="V24" s="103">
        <f>VLOOKUP($A24,'US Grid mix, emissions&amp;prices'!$H$113:$I$163,2,FALSE)*V$55</f>
        <v>167244.38991684714</v>
      </c>
      <c r="W24" s="103">
        <f>VLOOKUP($A24,'US Grid mix, emissions&amp;prices'!$H$113:$I$163,2,FALSE)*W$55</f>
        <v>167244.38991684714</v>
      </c>
      <c r="X24" s="103">
        <f>VLOOKUP($A24,'US Grid mix, emissions&amp;prices'!$H$113:$I$163,2,FALSE)*X$55</f>
        <v>167244.38991684714</v>
      </c>
      <c r="Y24" s="103">
        <f>VLOOKUP($A24,'US Grid mix, emissions&amp;prices'!$H$113:$I$163,2,FALSE)*Y$55</f>
        <v>167244.38991684714</v>
      </c>
      <c r="Z24" s="103">
        <f>VLOOKUP($A24,'US Grid mix, emissions&amp;prices'!$H$113:$I$163,2,FALSE)*Z$55</f>
        <v>167244.38991684714</v>
      </c>
      <c r="AA24" s="103">
        <f>VLOOKUP($A24,'US Grid mix, emissions&amp;prices'!$H$113:$I$163,2,FALSE)*AA$55</f>
        <v>167244.38991684714</v>
      </c>
      <c r="AB24" s="103">
        <f>VLOOKUP($A24,'US Grid mix, emissions&amp;prices'!$H$113:$I$163,2,FALSE)*AB$55</f>
        <v>167244.38991684714</v>
      </c>
      <c r="AC24" s="103">
        <f>VLOOKUP($A24,'US Grid mix, emissions&amp;prices'!$H$113:$I$163,2,FALSE)*AC$55</f>
        <v>167244.38991684714</v>
      </c>
      <c r="AF24" s="123" t="s">
        <v>201</v>
      </c>
      <c r="AG24" s="103">
        <f>VLOOKUP($AF24,'US Grid mix, emissions&amp;prices'!$H$113:$I$163,2,FALSE)*AG$55</f>
        <v>196028.45734850995</v>
      </c>
      <c r="AH24" s="103">
        <f>VLOOKUP($AF24,'US Grid mix, emissions&amp;prices'!$H$113:$I$163,2,FALSE)*AH$55</f>
        <v>196028.45734850995</v>
      </c>
      <c r="AI24" s="103">
        <f>VLOOKUP($AF24,'US Grid mix, emissions&amp;prices'!$H$113:$I$163,2,FALSE)*AI$55</f>
        <v>196028.45734850995</v>
      </c>
      <c r="AJ24" s="103">
        <f>VLOOKUP($AF24,'US Grid mix, emissions&amp;prices'!$H$113:$I$163,2,FALSE)*AJ$55</f>
        <v>196028.45734850995</v>
      </c>
      <c r="AK24" s="103">
        <f>VLOOKUP($AF24,'US Grid mix, emissions&amp;prices'!$H$113:$I$163,2,FALSE)*AK$55</f>
        <v>196028.45734850995</v>
      </c>
      <c r="AL24" s="103">
        <f>VLOOKUP($AF24,'US Grid mix, emissions&amp;prices'!$H$113:$I$163,2,FALSE)*AL$55</f>
        <v>196028.45734850995</v>
      </c>
      <c r="AM24" s="103">
        <f>VLOOKUP($AF24,'US Grid mix, emissions&amp;prices'!$H$113:$I$163,2,FALSE)*AM$55</f>
        <v>196028.45734850995</v>
      </c>
      <c r="AN24" s="103">
        <f>VLOOKUP($AF24,'US Grid mix, emissions&amp;prices'!$H$113:$I$163,2,FALSE)*AN$55</f>
        <v>196028.45734850995</v>
      </c>
      <c r="AO24" s="103">
        <f>VLOOKUP($AF24,'US Grid mix, emissions&amp;prices'!$H$113:$I$163,2,FALSE)*AO$55</f>
        <v>196028.45734850995</v>
      </c>
      <c r="AP24" s="103">
        <f>VLOOKUP($AF24,'US Grid mix, emissions&amp;prices'!$H$113:$I$163,2,FALSE)*AP$55</f>
        <v>196028.45734850995</v>
      </c>
      <c r="AQ24" s="103">
        <f>VLOOKUP($AF24,'US Grid mix, emissions&amp;prices'!$H$113:$I$163,2,FALSE)*AQ$55</f>
        <v>196028.45734850995</v>
      </c>
      <c r="AR24" s="103">
        <f>VLOOKUP($AF24,'US Grid mix, emissions&amp;prices'!$H$113:$I$163,2,FALSE)*AR$55</f>
        <v>196028.45734850995</v>
      </c>
      <c r="AS24" s="103">
        <f>VLOOKUP($AF24,'US Grid mix, emissions&amp;prices'!$H$113:$I$163,2,FALSE)*AS$55</f>
        <v>196028.45734850995</v>
      </c>
      <c r="AT24" s="103">
        <f>VLOOKUP($AF24,'US Grid mix, emissions&amp;prices'!$H$113:$I$163,2,FALSE)*AT$55</f>
        <v>196028.45734850995</v>
      </c>
      <c r="AU24" s="103">
        <f>VLOOKUP($AF24,'US Grid mix, emissions&amp;prices'!$H$113:$I$163,2,FALSE)*AU$55</f>
        <v>196028.45734850995</v>
      </c>
      <c r="AV24" s="103">
        <f>VLOOKUP($AF24,'US Grid mix, emissions&amp;prices'!$H$113:$I$163,2,FALSE)*AV$55</f>
        <v>196028.45734850995</v>
      </c>
      <c r="AW24" s="103">
        <f>VLOOKUP($AF24,'US Grid mix, emissions&amp;prices'!$H$113:$I$163,2,FALSE)*AW$55</f>
        <v>196028.45734850995</v>
      </c>
      <c r="AX24" s="103">
        <f>VLOOKUP($AF24,'US Grid mix, emissions&amp;prices'!$H$113:$I$163,2,FALSE)*AX$55</f>
        <v>196028.45734850995</v>
      </c>
      <c r="AY24" s="103">
        <f>VLOOKUP($AF24,'US Grid mix, emissions&amp;prices'!$H$113:$I$163,2,FALSE)*AY$55</f>
        <v>196028.45734850995</v>
      </c>
      <c r="AZ24" s="103">
        <f>VLOOKUP($AF24,'US Grid mix, emissions&amp;prices'!$H$113:$I$163,2,FALSE)*AZ$55</f>
        <v>196028.45734850995</v>
      </c>
      <c r="BA24" s="103">
        <f>VLOOKUP($AF24,'US Grid mix, emissions&amp;prices'!$H$113:$I$163,2,FALSE)*BA$55</f>
        <v>196028.45734850995</v>
      </c>
      <c r="BB24" s="103">
        <f>VLOOKUP($AF24,'US Grid mix, emissions&amp;prices'!$H$113:$I$163,2,FALSE)*BB$55</f>
        <v>196028.45734850995</v>
      </c>
      <c r="BC24" s="103">
        <f>VLOOKUP($AF24,'US Grid mix, emissions&amp;prices'!$H$113:$I$163,2,FALSE)*BC$55</f>
        <v>196028.45734850995</v>
      </c>
      <c r="BD24" s="103">
        <f>VLOOKUP($AF24,'US Grid mix, emissions&amp;prices'!$H$113:$I$163,2,FALSE)*BD$55</f>
        <v>196028.45734850995</v>
      </c>
      <c r="BE24" s="103">
        <f>VLOOKUP($AF24,'US Grid mix, emissions&amp;prices'!$H$113:$I$163,2,FALSE)*BE$55</f>
        <v>196028.45734850995</v>
      </c>
      <c r="BF24" s="103">
        <f>VLOOKUP($AF24,'US Grid mix, emissions&amp;prices'!$H$113:$I$163,2,FALSE)*BF$55</f>
        <v>196028.45734850995</v>
      </c>
      <c r="BG24" s="103">
        <f>VLOOKUP($AF24,'US Grid mix, emissions&amp;prices'!$H$113:$I$163,2,FALSE)*BG$55</f>
        <v>196028.45734850995</v>
      </c>
      <c r="BH24" s="103">
        <f>VLOOKUP($AF24,'US Grid mix, emissions&amp;prices'!$H$113:$I$163,2,FALSE)*BH$55</f>
        <v>196028.45734850995</v>
      </c>
      <c r="BL24" s="123" t="s">
        <v>201</v>
      </c>
      <c r="BM24" s="103">
        <f>VLOOKUP($BL24,'US Grid mix, emissions&amp;prices'!$H$113:$I$163,2,FALSE)*BM$55</f>
        <v>145730.34556607917</v>
      </c>
      <c r="BN24" s="103">
        <f>VLOOKUP($BL24,'US Grid mix, emissions&amp;prices'!$H$113:$I$163,2,FALSE)*BN$55</f>
        <v>145730.34556607917</v>
      </c>
      <c r="BO24" s="103">
        <f>VLOOKUP($BL24,'US Grid mix, emissions&amp;prices'!$H$113:$I$163,2,FALSE)*BO$55</f>
        <v>145730.34556607917</v>
      </c>
      <c r="BP24" s="103">
        <f>VLOOKUP($BL24,'US Grid mix, emissions&amp;prices'!$H$113:$I$163,2,FALSE)*BP$55</f>
        <v>145730.34556607917</v>
      </c>
      <c r="BQ24" s="103">
        <f>VLOOKUP($BL24,'US Grid mix, emissions&amp;prices'!$H$113:$I$163,2,FALSE)*BQ$55</f>
        <v>145730.34556607917</v>
      </c>
      <c r="BR24" s="103">
        <f>VLOOKUP($BL24,'US Grid mix, emissions&amp;prices'!$H$113:$I$163,2,FALSE)*BR$55</f>
        <v>145730.34556607917</v>
      </c>
      <c r="BS24" s="103">
        <f>VLOOKUP($BL24,'US Grid mix, emissions&amp;prices'!$H$113:$I$163,2,FALSE)*BS$55</f>
        <v>145730.34556607917</v>
      </c>
      <c r="BT24" s="103">
        <f>VLOOKUP($BL24,'US Grid mix, emissions&amp;prices'!$H$113:$I$163,2,FALSE)*BT$55</f>
        <v>145730.34556607917</v>
      </c>
      <c r="BU24" s="103">
        <f>VLOOKUP($BL24,'US Grid mix, emissions&amp;prices'!$H$113:$I$163,2,FALSE)*BU$55</f>
        <v>145730.34556607917</v>
      </c>
      <c r="BV24" s="103">
        <f>VLOOKUP($BL24,'US Grid mix, emissions&amp;prices'!$H$113:$I$163,2,FALSE)*BV$55</f>
        <v>145730.34556607917</v>
      </c>
      <c r="BW24" s="103">
        <f>VLOOKUP($BL24,'US Grid mix, emissions&amp;prices'!$H$113:$I$163,2,FALSE)*BW$55</f>
        <v>145730.34556607917</v>
      </c>
      <c r="BX24" s="103">
        <f>VLOOKUP($BL24,'US Grid mix, emissions&amp;prices'!$H$113:$I$163,2,FALSE)*BX$55</f>
        <v>145730.34556607917</v>
      </c>
      <c r="BY24" s="103">
        <f>VLOOKUP($BL24,'US Grid mix, emissions&amp;prices'!$H$113:$I$163,2,FALSE)*BY$55</f>
        <v>145730.34556607917</v>
      </c>
      <c r="BZ24" s="103">
        <f>VLOOKUP($BL24,'US Grid mix, emissions&amp;prices'!$H$113:$I$163,2,FALSE)*BZ$55</f>
        <v>145730.34556607917</v>
      </c>
      <c r="CA24" s="103">
        <f>VLOOKUP($BL24,'US Grid mix, emissions&amp;prices'!$H$113:$I$163,2,FALSE)*CA$55</f>
        <v>145730.34556607917</v>
      </c>
      <c r="CB24" s="103">
        <f>VLOOKUP($BL24,'US Grid mix, emissions&amp;prices'!$H$113:$I$163,2,FALSE)*CB$55</f>
        <v>145730.34556607917</v>
      </c>
      <c r="CC24" s="103">
        <f>VLOOKUP($BL24,'US Grid mix, emissions&amp;prices'!$H$113:$I$163,2,FALSE)*CC$55</f>
        <v>145730.34556607917</v>
      </c>
      <c r="CD24" s="103">
        <f>VLOOKUP($BL24,'US Grid mix, emissions&amp;prices'!$H$113:$I$163,2,FALSE)*CD$55</f>
        <v>145730.34556607917</v>
      </c>
      <c r="CE24" s="103">
        <f>VLOOKUP($BL24,'US Grid mix, emissions&amp;prices'!$H$113:$I$163,2,FALSE)*CE$55</f>
        <v>145730.34556607917</v>
      </c>
      <c r="CF24" s="103">
        <f>VLOOKUP($BL24,'US Grid mix, emissions&amp;prices'!$H$113:$I$163,2,FALSE)*CF$55</f>
        <v>145730.34556607917</v>
      </c>
      <c r="CG24" s="103">
        <f>VLOOKUP($BL24,'US Grid mix, emissions&amp;prices'!$H$113:$I$163,2,FALSE)*CG$55</f>
        <v>145730.34556607917</v>
      </c>
      <c r="CH24" s="103">
        <f>VLOOKUP($BL24,'US Grid mix, emissions&amp;prices'!$H$113:$I$163,2,FALSE)*CH$55</f>
        <v>145730.34556607917</v>
      </c>
      <c r="CI24" s="103">
        <f>VLOOKUP($BL24,'US Grid mix, emissions&amp;prices'!$H$113:$I$163,2,FALSE)*CI$55</f>
        <v>145730.34556607917</v>
      </c>
      <c r="CJ24" s="103">
        <f>VLOOKUP($BL24,'US Grid mix, emissions&amp;prices'!$H$113:$I$163,2,FALSE)*CJ$55</f>
        <v>145730.34556607917</v>
      </c>
      <c r="CK24" s="103">
        <f>VLOOKUP($BL24,'US Grid mix, emissions&amp;prices'!$H$113:$I$163,2,FALSE)*CK$55</f>
        <v>145730.34556607917</v>
      </c>
      <c r="CL24" s="103">
        <f>VLOOKUP($BL24,'US Grid mix, emissions&amp;prices'!$H$113:$I$163,2,FALSE)*CL$55</f>
        <v>145730.34556607917</v>
      </c>
      <c r="CM24" s="103">
        <f>VLOOKUP($BL24,'US Grid mix, emissions&amp;prices'!$H$113:$I$163,2,FALSE)*CM$55</f>
        <v>145730.34556607917</v>
      </c>
      <c r="CN24" s="103">
        <f>VLOOKUP($BL24,'US Grid mix, emissions&amp;prices'!$H$113:$I$163,2,FALSE)*CN$55</f>
        <v>145730.34556607917</v>
      </c>
    </row>
    <row r="25" spans="1:92" x14ac:dyDescent="0.25">
      <c r="A25" s="123" t="s">
        <v>204</v>
      </c>
      <c r="B25" s="103">
        <f>VLOOKUP($A25,'US Grid mix, emissions&amp;prices'!$H$113:$I$163,2,FALSE)*B$55</f>
        <v>186617.2991885081</v>
      </c>
      <c r="C25" s="103">
        <f>VLOOKUP($A25,'US Grid mix, emissions&amp;prices'!$H$113:$I$163,2,FALSE)*C$55</f>
        <v>186617.2991885081</v>
      </c>
      <c r="D25" s="103">
        <f>VLOOKUP($A25,'US Grid mix, emissions&amp;prices'!$H$113:$I$163,2,FALSE)*D$55</f>
        <v>186617.2991885081</v>
      </c>
      <c r="E25" s="103">
        <f>VLOOKUP($A25,'US Grid mix, emissions&amp;prices'!$H$113:$I$163,2,FALSE)*E$55</f>
        <v>186617.2991885081</v>
      </c>
      <c r="F25" s="103">
        <f>VLOOKUP($A25,'US Grid mix, emissions&amp;prices'!$H$113:$I$163,2,FALSE)*F$55</f>
        <v>186617.2991885081</v>
      </c>
      <c r="G25" s="103">
        <f>VLOOKUP($A25,'US Grid mix, emissions&amp;prices'!$H$113:$I$163,2,FALSE)*G$55</f>
        <v>186617.2991885081</v>
      </c>
      <c r="H25" s="103">
        <f>VLOOKUP($A25,'US Grid mix, emissions&amp;prices'!$H$113:$I$163,2,FALSE)*H$55</f>
        <v>186617.2991885081</v>
      </c>
      <c r="I25" s="103">
        <f>VLOOKUP($A25,'US Grid mix, emissions&amp;prices'!$H$113:$I$163,2,FALSE)*I$55</f>
        <v>186617.2991885081</v>
      </c>
      <c r="J25" s="103">
        <f>VLOOKUP($A25,'US Grid mix, emissions&amp;prices'!$H$113:$I$163,2,FALSE)*J$55</f>
        <v>186617.2991885081</v>
      </c>
      <c r="K25" s="103">
        <f>VLOOKUP($A25,'US Grid mix, emissions&amp;prices'!$H$113:$I$163,2,FALSE)*K$55</f>
        <v>186617.2991885081</v>
      </c>
      <c r="L25" s="103">
        <f>VLOOKUP($A25,'US Grid mix, emissions&amp;prices'!$H$113:$I$163,2,FALSE)*L$55</f>
        <v>186617.2991885081</v>
      </c>
      <c r="M25" s="103">
        <f>VLOOKUP($A25,'US Grid mix, emissions&amp;prices'!$H$113:$I$163,2,FALSE)*M$55</f>
        <v>186617.2991885081</v>
      </c>
      <c r="N25" s="103">
        <f>VLOOKUP($A25,'US Grid mix, emissions&amp;prices'!$H$113:$I$163,2,FALSE)*N$55</f>
        <v>186617.2991885081</v>
      </c>
      <c r="O25" s="103">
        <f>VLOOKUP($A25,'US Grid mix, emissions&amp;prices'!$H$113:$I$163,2,FALSE)*O$55</f>
        <v>186617.2991885081</v>
      </c>
      <c r="P25" s="103">
        <f>VLOOKUP($A25,'US Grid mix, emissions&amp;prices'!$H$113:$I$163,2,FALSE)*P$55</f>
        <v>186617.2991885081</v>
      </c>
      <c r="Q25" s="103">
        <f>VLOOKUP($A25,'US Grid mix, emissions&amp;prices'!$H$113:$I$163,2,FALSE)*Q$55</f>
        <v>186617.2991885081</v>
      </c>
      <c r="R25" s="103">
        <f>VLOOKUP($A25,'US Grid mix, emissions&amp;prices'!$H$113:$I$163,2,FALSE)*R$55</f>
        <v>186617.2991885081</v>
      </c>
      <c r="S25" s="103">
        <f>VLOOKUP($A25,'US Grid mix, emissions&amp;prices'!$H$113:$I$163,2,FALSE)*S$55</f>
        <v>186617.2991885081</v>
      </c>
      <c r="T25" s="103">
        <f>VLOOKUP($A25,'US Grid mix, emissions&amp;prices'!$H$113:$I$163,2,FALSE)*T$55</f>
        <v>186617.2991885081</v>
      </c>
      <c r="U25" s="103">
        <f>VLOOKUP($A25,'US Grid mix, emissions&amp;prices'!$H$113:$I$163,2,FALSE)*U$55</f>
        <v>186617.2991885081</v>
      </c>
      <c r="V25" s="103">
        <f>VLOOKUP($A25,'US Grid mix, emissions&amp;prices'!$H$113:$I$163,2,FALSE)*V$55</f>
        <v>186617.2991885081</v>
      </c>
      <c r="W25" s="103">
        <f>VLOOKUP($A25,'US Grid mix, emissions&amp;prices'!$H$113:$I$163,2,FALSE)*W$55</f>
        <v>186617.2991885081</v>
      </c>
      <c r="X25" s="103">
        <f>VLOOKUP($A25,'US Grid mix, emissions&amp;prices'!$H$113:$I$163,2,FALSE)*X$55</f>
        <v>186617.2991885081</v>
      </c>
      <c r="Y25" s="103">
        <f>VLOOKUP($A25,'US Grid mix, emissions&amp;prices'!$H$113:$I$163,2,FALSE)*Y$55</f>
        <v>186617.2991885081</v>
      </c>
      <c r="Z25" s="103">
        <f>VLOOKUP($A25,'US Grid mix, emissions&amp;prices'!$H$113:$I$163,2,FALSE)*Z$55</f>
        <v>186617.2991885081</v>
      </c>
      <c r="AA25" s="103">
        <f>VLOOKUP($A25,'US Grid mix, emissions&amp;prices'!$H$113:$I$163,2,FALSE)*AA$55</f>
        <v>186617.2991885081</v>
      </c>
      <c r="AB25" s="103">
        <f>VLOOKUP($A25,'US Grid mix, emissions&amp;prices'!$H$113:$I$163,2,FALSE)*AB$55</f>
        <v>186617.2991885081</v>
      </c>
      <c r="AC25" s="103">
        <f>VLOOKUP($A25,'US Grid mix, emissions&amp;prices'!$H$113:$I$163,2,FALSE)*AC$55</f>
        <v>186617.2991885081</v>
      </c>
      <c r="AF25" s="123" t="s">
        <v>204</v>
      </c>
      <c r="AG25" s="103">
        <f>VLOOKUP($AF25,'US Grid mix, emissions&amp;prices'!$H$113:$I$163,2,FALSE)*AG$55</f>
        <v>218735.59581075978</v>
      </c>
      <c r="AH25" s="103">
        <f>VLOOKUP($AF25,'US Grid mix, emissions&amp;prices'!$H$113:$I$163,2,FALSE)*AH$55</f>
        <v>218735.59581075978</v>
      </c>
      <c r="AI25" s="103">
        <f>VLOOKUP($AF25,'US Grid mix, emissions&amp;prices'!$H$113:$I$163,2,FALSE)*AI$55</f>
        <v>218735.59581075978</v>
      </c>
      <c r="AJ25" s="103">
        <f>VLOOKUP($AF25,'US Grid mix, emissions&amp;prices'!$H$113:$I$163,2,FALSE)*AJ$55</f>
        <v>218735.59581075978</v>
      </c>
      <c r="AK25" s="103">
        <f>VLOOKUP($AF25,'US Grid mix, emissions&amp;prices'!$H$113:$I$163,2,FALSE)*AK$55</f>
        <v>218735.59581075978</v>
      </c>
      <c r="AL25" s="103">
        <f>VLOOKUP($AF25,'US Grid mix, emissions&amp;prices'!$H$113:$I$163,2,FALSE)*AL$55</f>
        <v>218735.59581075978</v>
      </c>
      <c r="AM25" s="103">
        <f>VLOOKUP($AF25,'US Grid mix, emissions&amp;prices'!$H$113:$I$163,2,FALSE)*AM$55</f>
        <v>218735.59581075978</v>
      </c>
      <c r="AN25" s="103">
        <f>VLOOKUP($AF25,'US Grid mix, emissions&amp;prices'!$H$113:$I$163,2,FALSE)*AN$55</f>
        <v>218735.59581075978</v>
      </c>
      <c r="AO25" s="103">
        <f>VLOOKUP($AF25,'US Grid mix, emissions&amp;prices'!$H$113:$I$163,2,FALSE)*AO$55</f>
        <v>218735.59581075978</v>
      </c>
      <c r="AP25" s="103">
        <f>VLOOKUP($AF25,'US Grid mix, emissions&amp;prices'!$H$113:$I$163,2,FALSE)*AP$55</f>
        <v>218735.59581075978</v>
      </c>
      <c r="AQ25" s="103">
        <f>VLOOKUP($AF25,'US Grid mix, emissions&amp;prices'!$H$113:$I$163,2,FALSE)*AQ$55</f>
        <v>218735.59581075978</v>
      </c>
      <c r="AR25" s="103">
        <f>VLOOKUP($AF25,'US Grid mix, emissions&amp;prices'!$H$113:$I$163,2,FALSE)*AR$55</f>
        <v>218735.59581075978</v>
      </c>
      <c r="AS25" s="103">
        <f>VLOOKUP($AF25,'US Grid mix, emissions&amp;prices'!$H$113:$I$163,2,FALSE)*AS$55</f>
        <v>218735.59581075978</v>
      </c>
      <c r="AT25" s="103">
        <f>VLOOKUP($AF25,'US Grid mix, emissions&amp;prices'!$H$113:$I$163,2,FALSE)*AT$55</f>
        <v>218735.59581075978</v>
      </c>
      <c r="AU25" s="103">
        <f>VLOOKUP($AF25,'US Grid mix, emissions&amp;prices'!$H$113:$I$163,2,FALSE)*AU$55</f>
        <v>218735.59581075978</v>
      </c>
      <c r="AV25" s="103">
        <f>VLOOKUP($AF25,'US Grid mix, emissions&amp;prices'!$H$113:$I$163,2,FALSE)*AV$55</f>
        <v>218735.59581075978</v>
      </c>
      <c r="AW25" s="103">
        <f>VLOOKUP($AF25,'US Grid mix, emissions&amp;prices'!$H$113:$I$163,2,FALSE)*AW$55</f>
        <v>218735.59581075978</v>
      </c>
      <c r="AX25" s="103">
        <f>VLOOKUP($AF25,'US Grid mix, emissions&amp;prices'!$H$113:$I$163,2,FALSE)*AX$55</f>
        <v>218735.59581075978</v>
      </c>
      <c r="AY25" s="103">
        <f>VLOOKUP($AF25,'US Grid mix, emissions&amp;prices'!$H$113:$I$163,2,FALSE)*AY$55</f>
        <v>218735.59581075978</v>
      </c>
      <c r="AZ25" s="103">
        <f>VLOOKUP($AF25,'US Grid mix, emissions&amp;prices'!$H$113:$I$163,2,FALSE)*AZ$55</f>
        <v>218735.59581075978</v>
      </c>
      <c r="BA25" s="103">
        <f>VLOOKUP($AF25,'US Grid mix, emissions&amp;prices'!$H$113:$I$163,2,FALSE)*BA$55</f>
        <v>218735.59581075978</v>
      </c>
      <c r="BB25" s="103">
        <f>VLOOKUP($AF25,'US Grid mix, emissions&amp;prices'!$H$113:$I$163,2,FALSE)*BB$55</f>
        <v>218735.59581075978</v>
      </c>
      <c r="BC25" s="103">
        <f>VLOOKUP($AF25,'US Grid mix, emissions&amp;prices'!$H$113:$I$163,2,FALSE)*BC$55</f>
        <v>218735.59581075978</v>
      </c>
      <c r="BD25" s="103">
        <f>VLOOKUP($AF25,'US Grid mix, emissions&amp;prices'!$H$113:$I$163,2,FALSE)*BD$55</f>
        <v>218735.59581075978</v>
      </c>
      <c r="BE25" s="103">
        <f>VLOOKUP($AF25,'US Grid mix, emissions&amp;prices'!$H$113:$I$163,2,FALSE)*BE$55</f>
        <v>218735.59581075978</v>
      </c>
      <c r="BF25" s="103">
        <f>VLOOKUP($AF25,'US Grid mix, emissions&amp;prices'!$H$113:$I$163,2,FALSE)*BF$55</f>
        <v>218735.59581075978</v>
      </c>
      <c r="BG25" s="103">
        <f>VLOOKUP($AF25,'US Grid mix, emissions&amp;prices'!$H$113:$I$163,2,FALSE)*BG$55</f>
        <v>218735.59581075978</v>
      </c>
      <c r="BH25" s="103">
        <f>VLOOKUP($AF25,'US Grid mix, emissions&amp;prices'!$H$113:$I$163,2,FALSE)*BH$55</f>
        <v>218735.59581075978</v>
      </c>
      <c r="BL25" s="123" t="s">
        <v>204</v>
      </c>
      <c r="BM25" s="103">
        <f>VLOOKUP($BL25,'US Grid mix, emissions&amp;prices'!$H$113:$I$163,2,FALSE)*BM$55</f>
        <v>162611.15552438714</v>
      </c>
      <c r="BN25" s="103">
        <f>VLOOKUP($BL25,'US Grid mix, emissions&amp;prices'!$H$113:$I$163,2,FALSE)*BN$55</f>
        <v>162611.15552438714</v>
      </c>
      <c r="BO25" s="103">
        <f>VLOOKUP($BL25,'US Grid mix, emissions&amp;prices'!$H$113:$I$163,2,FALSE)*BO$55</f>
        <v>162611.15552438714</v>
      </c>
      <c r="BP25" s="103">
        <f>VLOOKUP($BL25,'US Grid mix, emissions&amp;prices'!$H$113:$I$163,2,FALSE)*BP$55</f>
        <v>162611.15552438714</v>
      </c>
      <c r="BQ25" s="103">
        <f>VLOOKUP($BL25,'US Grid mix, emissions&amp;prices'!$H$113:$I$163,2,FALSE)*BQ$55</f>
        <v>162611.15552438714</v>
      </c>
      <c r="BR25" s="103">
        <f>VLOOKUP($BL25,'US Grid mix, emissions&amp;prices'!$H$113:$I$163,2,FALSE)*BR$55</f>
        <v>162611.15552438714</v>
      </c>
      <c r="BS25" s="103">
        <f>VLOOKUP($BL25,'US Grid mix, emissions&amp;prices'!$H$113:$I$163,2,FALSE)*BS$55</f>
        <v>162611.15552438714</v>
      </c>
      <c r="BT25" s="103">
        <f>VLOOKUP($BL25,'US Grid mix, emissions&amp;prices'!$H$113:$I$163,2,FALSE)*BT$55</f>
        <v>162611.15552438714</v>
      </c>
      <c r="BU25" s="103">
        <f>VLOOKUP($BL25,'US Grid mix, emissions&amp;prices'!$H$113:$I$163,2,FALSE)*BU$55</f>
        <v>162611.15552438714</v>
      </c>
      <c r="BV25" s="103">
        <f>VLOOKUP($BL25,'US Grid mix, emissions&amp;prices'!$H$113:$I$163,2,FALSE)*BV$55</f>
        <v>162611.15552438714</v>
      </c>
      <c r="BW25" s="103">
        <f>VLOOKUP($BL25,'US Grid mix, emissions&amp;prices'!$H$113:$I$163,2,FALSE)*BW$55</f>
        <v>162611.15552438714</v>
      </c>
      <c r="BX25" s="103">
        <f>VLOOKUP($BL25,'US Grid mix, emissions&amp;prices'!$H$113:$I$163,2,FALSE)*BX$55</f>
        <v>162611.15552438714</v>
      </c>
      <c r="BY25" s="103">
        <f>VLOOKUP($BL25,'US Grid mix, emissions&amp;prices'!$H$113:$I$163,2,FALSE)*BY$55</f>
        <v>162611.15552438714</v>
      </c>
      <c r="BZ25" s="103">
        <f>VLOOKUP($BL25,'US Grid mix, emissions&amp;prices'!$H$113:$I$163,2,FALSE)*BZ$55</f>
        <v>162611.15552438714</v>
      </c>
      <c r="CA25" s="103">
        <f>VLOOKUP($BL25,'US Grid mix, emissions&amp;prices'!$H$113:$I$163,2,FALSE)*CA$55</f>
        <v>162611.15552438714</v>
      </c>
      <c r="CB25" s="103">
        <f>VLOOKUP($BL25,'US Grid mix, emissions&amp;prices'!$H$113:$I$163,2,FALSE)*CB$55</f>
        <v>162611.15552438714</v>
      </c>
      <c r="CC25" s="103">
        <f>VLOOKUP($BL25,'US Grid mix, emissions&amp;prices'!$H$113:$I$163,2,FALSE)*CC$55</f>
        <v>162611.15552438714</v>
      </c>
      <c r="CD25" s="103">
        <f>VLOOKUP($BL25,'US Grid mix, emissions&amp;prices'!$H$113:$I$163,2,FALSE)*CD$55</f>
        <v>162611.15552438714</v>
      </c>
      <c r="CE25" s="103">
        <f>VLOOKUP($BL25,'US Grid mix, emissions&amp;prices'!$H$113:$I$163,2,FALSE)*CE$55</f>
        <v>162611.15552438714</v>
      </c>
      <c r="CF25" s="103">
        <f>VLOOKUP($BL25,'US Grid mix, emissions&amp;prices'!$H$113:$I$163,2,FALSE)*CF$55</f>
        <v>162611.15552438714</v>
      </c>
      <c r="CG25" s="103">
        <f>VLOOKUP($BL25,'US Grid mix, emissions&amp;prices'!$H$113:$I$163,2,FALSE)*CG$55</f>
        <v>162611.15552438714</v>
      </c>
      <c r="CH25" s="103">
        <f>VLOOKUP($BL25,'US Grid mix, emissions&amp;prices'!$H$113:$I$163,2,FALSE)*CH$55</f>
        <v>162611.15552438714</v>
      </c>
      <c r="CI25" s="103">
        <f>VLOOKUP($BL25,'US Grid mix, emissions&amp;prices'!$H$113:$I$163,2,FALSE)*CI$55</f>
        <v>162611.15552438714</v>
      </c>
      <c r="CJ25" s="103">
        <f>VLOOKUP($BL25,'US Grid mix, emissions&amp;prices'!$H$113:$I$163,2,FALSE)*CJ$55</f>
        <v>162611.15552438714</v>
      </c>
      <c r="CK25" s="103">
        <f>VLOOKUP($BL25,'US Grid mix, emissions&amp;prices'!$H$113:$I$163,2,FALSE)*CK$55</f>
        <v>162611.15552438714</v>
      </c>
      <c r="CL25" s="103">
        <f>VLOOKUP($BL25,'US Grid mix, emissions&amp;prices'!$H$113:$I$163,2,FALSE)*CL$55</f>
        <v>162611.15552438714</v>
      </c>
      <c r="CM25" s="103">
        <f>VLOOKUP($BL25,'US Grid mix, emissions&amp;prices'!$H$113:$I$163,2,FALSE)*CM$55</f>
        <v>162611.15552438714</v>
      </c>
      <c r="CN25" s="103">
        <f>VLOOKUP($BL25,'US Grid mix, emissions&amp;prices'!$H$113:$I$163,2,FALSE)*CN$55</f>
        <v>162611.15552438714</v>
      </c>
    </row>
    <row r="26" spans="1:92" x14ac:dyDescent="0.25">
      <c r="A26" s="123" t="s">
        <v>205</v>
      </c>
      <c r="B26" s="103">
        <f>VLOOKUP($A26,'US Grid mix, emissions&amp;prices'!$H$113:$I$163,2,FALSE)*B$55</f>
        <v>152539.84417506031</v>
      </c>
      <c r="C26" s="103">
        <f>VLOOKUP($A26,'US Grid mix, emissions&amp;prices'!$H$113:$I$163,2,FALSE)*C$55</f>
        <v>152539.84417506031</v>
      </c>
      <c r="D26" s="103">
        <f>VLOOKUP($A26,'US Grid mix, emissions&amp;prices'!$H$113:$I$163,2,FALSE)*D$55</f>
        <v>152539.84417506031</v>
      </c>
      <c r="E26" s="103">
        <f>VLOOKUP($A26,'US Grid mix, emissions&amp;prices'!$H$113:$I$163,2,FALSE)*E$55</f>
        <v>152539.84417506031</v>
      </c>
      <c r="F26" s="103">
        <f>VLOOKUP($A26,'US Grid mix, emissions&amp;prices'!$H$113:$I$163,2,FALSE)*F$55</f>
        <v>152539.84417506031</v>
      </c>
      <c r="G26" s="103">
        <f>VLOOKUP($A26,'US Grid mix, emissions&amp;prices'!$H$113:$I$163,2,FALSE)*G$55</f>
        <v>152539.84417506031</v>
      </c>
      <c r="H26" s="103">
        <f>VLOOKUP($A26,'US Grid mix, emissions&amp;prices'!$H$113:$I$163,2,FALSE)*H$55</f>
        <v>152539.84417506031</v>
      </c>
      <c r="I26" s="103">
        <f>VLOOKUP($A26,'US Grid mix, emissions&amp;prices'!$H$113:$I$163,2,FALSE)*I$55</f>
        <v>152539.84417506031</v>
      </c>
      <c r="J26" s="103">
        <f>VLOOKUP($A26,'US Grid mix, emissions&amp;prices'!$H$113:$I$163,2,FALSE)*J$55</f>
        <v>152539.84417506031</v>
      </c>
      <c r="K26" s="103">
        <f>VLOOKUP($A26,'US Grid mix, emissions&amp;prices'!$H$113:$I$163,2,FALSE)*K$55</f>
        <v>152539.84417506031</v>
      </c>
      <c r="L26" s="103">
        <f>VLOOKUP($A26,'US Grid mix, emissions&amp;prices'!$H$113:$I$163,2,FALSE)*L$55</f>
        <v>152539.84417506031</v>
      </c>
      <c r="M26" s="103">
        <f>VLOOKUP($A26,'US Grid mix, emissions&amp;prices'!$H$113:$I$163,2,FALSE)*M$55</f>
        <v>152539.84417506031</v>
      </c>
      <c r="N26" s="103">
        <f>VLOOKUP($A26,'US Grid mix, emissions&amp;prices'!$H$113:$I$163,2,FALSE)*N$55</f>
        <v>152539.84417506031</v>
      </c>
      <c r="O26" s="103">
        <f>VLOOKUP($A26,'US Grid mix, emissions&amp;prices'!$H$113:$I$163,2,FALSE)*O$55</f>
        <v>152539.84417506031</v>
      </c>
      <c r="P26" s="103">
        <f>VLOOKUP($A26,'US Grid mix, emissions&amp;prices'!$H$113:$I$163,2,FALSE)*P$55</f>
        <v>152539.84417506031</v>
      </c>
      <c r="Q26" s="103">
        <f>VLOOKUP($A26,'US Grid mix, emissions&amp;prices'!$H$113:$I$163,2,FALSE)*Q$55</f>
        <v>152539.84417506031</v>
      </c>
      <c r="R26" s="103">
        <f>VLOOKUP($A26,'US Grid mix, emissions&amp;prices'!$H$113:$I$163,2,FALSE)*R$55</f>
        <v>152539.84417506031</v>
      </c>
      <c r="S26" s="103">
        <f>VLOOKUP($A26,'US Grid mix, emissions&amp;prices'!$H$113:$I$163,2,FALSE)*S$55</f>
        <v>152539.84417506031</v>
      </c>
      <c r="T26" s="103">
        <f>VLOOKUP($A26,'US Grid mix, emissions&amp;prices'!$H$113:$I$163,2,FALSE)*T$55</f>
        <v>152539.84417506031</v>
      </c>
      <c r="U26" s="103">
        <f>VLOOKUP($A26,'US Grid mix, emissions&amp;prices'!$H$113:$I$163,2,FALSE)*U$55</f>
        <v>152539.84417506031</v>
      </c>
      <c r="V26" s="103">
        <f>VLOOKUP($A26,'US Grid mix, emissions&amp;prices'!$H$113:$I$163,2,FALSE)*V$55</f>
        <v>152539.84417506031</v>
      </c>
      <c r="W26" s="103">
        <f>VLOOKUP($A26,'US Grid mix, emissions&amp;prices'!$H$113:$I$163,2,FALSE)*W$55</f>
        <v>152539.84417506031</v>
      </c>
      <c r="X26" s="103">
        <f>VLOOKUP($A26,'US Grid mix, emissions&amp;prices'!$H$113:$I$163,2,FALSE)*X$55</f>
        <v>152539.84417506031</v>
      </c>
      <c r="Y26" s="103">
        <f>VLOOKUP($A26,'US Grid mix, emissions&amp;prices'!$H$113:$I$163,2,FALSE)*Y$55</f>
        <v>152539.84417506031</v>
      </c>
      <c r="Z26" s="103">
        <f>VLOOKUP($A26,'US Grid mix, emissions&amp;prices'!$H$113:$I$163,2,FALSE)*Z$55</f>
        <v>152539.84417506031</v>
      </c>
      <c r="AA26" s="103">
        <f>VLOOKUP($A26,'US Grid mix, emissions&amp;prices'!$H$113:$I$163,2,FALSE)*AA$55</f>
        <v>152539.84417506031</v>
      </c>
      <c r="AB26" s="103">
        <f>VLOOKUP($A26,'US Grid mix, emissions&amp;prices'!$H$113:$I$163,2,FALSE)*AB$55</f>
        <v>152539.84417506031</v>
      </c>
      <c r="AC26" s="103">
        <f>VLOOKUP($A26,'US Grid mix, emissions&amp;prices'!$H$113:$I$163,2,FALSE)*AC$55</f>
        <v>152539.84417506031</v>
      </c>
      <c r="AF26" s="123" t="s">
        <v>205</v>
      </c>
      <c r="AG26" s="103">
        <f>VLOOKUP($AF26,'US Grid mix, emissions&amp;prices'!$H$113:$I$163,2,FALSE)*AG$55</f>
        <v>178793.1442883455</v>
      </c>
      <c r="AH26" s="103">
        <f>VLOOKUP($AF26,'US Grid mix, emissions&amp;prices'!$H$113:$I$163,2,FALSE)*AH$55</f>
        <v>178793.1442883455</v>
      </c>
      <c r="AI26" s="103">
        <f>VLOOKUP($AF26,'US Grid mix, emissions&amp;prices'!$H$113:$I$163,2,FALSE)*AI$55</f>
        <v>178793.1442883455</v>
      </c>
      <c r="AJ26" s="103">
        <f>VLOOKUP($AF26,'US Grid mix, emissions&amp;prices'!$H$113:$I$163,2,FALSE)*AJ$55</f>
        <v>178793.1442883455</v>
      </c>
      <c r="AK26" s="103">
        <f>VLOOKUP($AF26,'US Grid mix, emissions&amp;prices'!$H$113:$I$163,2,FALSE)*AK$55</f>
        <v>178793.1442883455</v>
      </c>
      <c r="AL26" s="103">
        <f>VLOOKUP($AF26,'US Grid mix, emissions&amp;prices'!$H$113:$I$163,2,FALSE)*AL$55</f>
        <v>178793.1442883455</v>
      </c>
      <c r="AM26" s="103">
        <f>VLOOKUP($AF26,'US Grid mix, emissions&amp;prices'!$H$113:$I$163,2,FALSE)*AM$55</f>
        <v>178793.1442883455</v>
      </c>
      <c r="AN26" s="103">
        <f>VLOOKUP($AF26,'US Grid mix, emissions&amp;prices'!$H$113:$I$163,2,FALSE)*AN$55</f>
        <v>178793.1442883455</v>
      </c>
      <c r="AO26" s="103">
        <f>VLOOKUP($AF26,'US Grid mix, emissions&amp;prices'!$H$113:$I$163,2,FALSE)*AO$55</f>
        <v>178793.1442883455</v>
      </c>
      <c r="AP26" s="103">
        <f>VLOOKUP($AF26,'US Grid mix, emissions&amp;prices'!$H$113:$I$163,2,FALSE)*AP$55</f>
        <v>178793.1442883455</v>
      </c>
      <c r="AQ26" s="103">
        <f>VLOOKUP($AF26,'US Grid mix, emissions&amp;prices'!$H$113:$I$163,2,FALSE)*AQ$55</f>
        <v>178793.1442883455</v>
      </c>
      <c r="AR26" s="103">
        <f>VLOOKUP($AF26,'US Grid mix, emissions&amp;prices'!$H$113:$I$163,2,FALSE)*AR$55</f>
        <v>178793.1442883455</v>
      </c>
      <c r="AS26" s="103">
        <f>VLOOKUP($AF26,'US Grid mix, emissions&amp;prices'!$H$113:$I$163,2,FALSE)*AS$55</f>
        <v>178793.1442883455</v>
      </c>
      <c r="AT26" s="103">
        <f>VLOOKUP($AF26,'US Grid mix, emissions&amp;prices'!$H$113:$I$163,2,FALSE)*AT$55</f>
        <v>178793.1442883455</v>
      </c>
      <c r="AU26" s="103">
        <f>VLOOKUP($AF26,'US Grid mix, emissions&amp;prices'!$H$113:$I$163,2,FALSE)*AU$55</f>
        <v>178793.1442883455</v>
      </c>
      <c r="AV26" s="103">
        <f>VLOOKUP($AF26,'US Grid mix, emissions&amp;prices'!$H$113:$I$163,2,FALSE)*AV$55</f>
        <v>178793.1442883455</v>
      </c>
      <c r="AW26" s="103">
        <f>VLOOKUP($AF26,'US Grid mix, emissions&amp;prices'!$H$113:$I$163,2,FALSE)*AW$55</f>
        <v>178793.1442883455</v>
      </c>
      <c r="AX26" s="103">
        <f>VLOOKUP($AF26,'US Grid mix, emissions&amp;prices'!$H$113:$I$163,2,FALSE)*AX$55</f>
        <v>178793.1442883455</v>
      </c>
      <c r="AY26" s="103">
        <f>VLOOKUP($AF26,'US Grid mix, emissions&amp;prices'!$H$113:$I$163,2,FALSE)*AY$55</f>
        <v>178793.1442883455</v>
      </c>
      <c r="AZ26" s="103">
        <f>VLOOKUP($AF26,'US Grid mix, emissions&amp;prices'!$H$113:$I$163,2,FALSE)*AZ$55</f>
        <v>178793.1442883455</v>
      </c>
      <c r="BA26" s="103">
        <f>VLOOKUP($AF26,'US Grid mix, emissions&amp;prices'!$H$113:$I$163,2,FALSE)*BA$55</f>
        <v>178793.1442883455</v>
      </c>
      <c r="BB26" s="103">
        <f>VLOOKUP($AF26,'US Grid mix, emissions&amp;prices'!$H$113:$I$163,2,FALSE)*BB$55</f>
        <v>178793.1442883455</v>
      </c>
      <c r="BC26" s="103">
        <f>VLOOKUP($AF26,'US Grid mix, emissions&amp;prices'!$H$113:$I$163,2,FALSE)*BC$55</f>
        <v>178793.1442883455</v>
      </c>
      <c r="BD26" s="103">
        <f>VLOOKUP($AF26,'US Grid mix, emissions&amp;prices'!$H$113:$I$163,2,FALSE)*BD$55</f>
        <v>178793.1442883455</v>
      </c>
      <c r="BE26" s="103">
        <f>VLOOKUP($AF26,'US Grid mix, emissions&amp;prices'!$H$113:$I$163,2,FALSE)*BE$55</f>
        <v>178793.1442883455</v>
      </c>
      <c r="BF26" s="103">
        <f>VLOOKUP($AF26,'US Grid mix, emissions&amp;prices'!$H$113:$I$163,2,FALSE)*BF$55</f>
        <v>178793.1442883455</v>
      </c>
      <c r="BG26" s="103">
        <f>VLOOKUP($AF26,'US Grid mix, emissions&amp;prices'!$H$113:$I$163,2,FALSE)*BG$55</f>
        <v>178793.1442883455</v>
      </c>
      <c r="BH26" s="103">
        <f>VLOOKUP($AF26,'US Grid mix, emissions&amp;prices'!$H$113:$I$163,2,FALSE)*BH$55</f>
        <v>178793.1442883455</v>
      </c>
      <c r="BL26" s="123" t="s">
        <v>205</v>
      </c>
      <c r="BM26" s="103">
        <f>VLOOKUP($BL26,'US Grid mix, emissions&amp;prices'!$H$113:$I$163,2,FALSE)*BM$55</f>
        <v>132917.36850055101</v>
      </c>
      <c r="BN26" s="103">
        <f>VLOOKUP($BL26,'US Grid mix, emissions&amp;prices'!$H$113:$I$163,2,FALSE)*BN$55</f>
        <v>132917.36850055101</v>
      </c>
      <c r="BO26" s="103">
        <f>VLOOKUP($BL26,'US Grid mix, emissions&amp;prices'!$H$113:$I$163,2,FALSE)*BO$55</f>
        <v>132917.36850055101</v>
      </c>
      <c r="BP26" s="103">
        <f>VLOOKUP($BL26,'US Grid mix, emissions&amp;prices'!$H$113:$I$163,2,FALSE)*BP$55</f>
        <v>132917.36850055101</v>
      </c>
      <c r="BQ26" s="103">
        <f>VLOOKUP($BL26,'US Grid mix, emissions&amp;prices'!$H$113:$I$163,2,FALSE)*BQ$55</f>
        <v>132917.36850055101</v>
      </c>
      <c r="BR26" s="103">
        <f>VLOOKUP($BL26,'US Grid mix, emissions&amp;prices'!$H$113:$I$163,2,FALSE)*BR$55</f>
        <v>132917.36850055101</v>
      </c>
      <c r="BS26" s="103">
        <f>VLOOKUP($BL26,'US Grid mix, emissions&amp;prices'!$H$113:$I$163,2,FALSE)*BS$55</f>
        <v>132917.36850055101</v>
      </c>
      <c r="BT26" s="103">
        <f>VLOOKUP($BL26,'US Grid mix, emissions&amp;prices'!$H$113:$I$163,2,FALSE)*BT$55</f>
        <v>132917.36850055101</v>
      </c>
      <c r="BU26" s="103">
        <f>VLOOKUP($BL26,'US Grid mix, emissions&amp;prices'!$H$113:$I$163,2,FALSE)*BU$55</f>
        <v>132917.36850055101</v>
      </c>
      <c r="BV26" s="103">
        <f>VLOOKUP($BL26,'US Grid mix, emissions&amp;prices'!$H$113:$I$163,2,FALSE)*BV$55</f>
        <v>132917.36850055101</v>
      </c>
      <c r="BW26" s="103">
        <f>VLOOKUP($BL26,'US Grid mix, emissions&amp;prices'!$H$113:$I$163,2,FALSE)*BW$55</f>
        <v>132917.36850055101</v>
      </c>
      <c r="BX26" s="103">
        <f>VLOOKUP($BL26,'US Grid mix, emissions&amp;prices'!$H$113:$I$163,2,FALSE)*BX$55</f>
        <v>132917.36850055101</v>
      </c>
      <c r="BY26" s="103">
        <f>VLOOKUP($BL26,'US Grid mix, emissions&amp;prices'!$H$113:$I$163,2,FALSE)*BY$55</f>
        <v>132917.36850055101</v>
      </c>
      <c r="BZ26" s="103">
        <f>VLOOKUP($BL26,'US Grid mix, emissions&amp;prices'!$H$113:$I$163,2,FALSE)*BZ$55</f>
        <v>132917.36850055101</v>
      </c>
      <c r="CA26" s="103">
        <f>VLOOKUP($BL26,'US Grid mix, emissions&amp;prices'!$H$113:$I$163,2,FALSE)*CA$55</f>
        <v>132917.36850055101</v>
      </c>
      <c r="CB26" s="103">
        <f>VLOOKUP($BL26,'US Grid mix, emissions&amp;prices'!$H$113:$I$163,2,FALSE)*CB$55</f>
        <v>132917.36850055101</v>
      </c>
      <c r="CC26" s="103">
        <f>VLOOKUP($BL26,'US Grid mix, emissions&amp;prices'!$H$113:$I$163,2,FALSE)*CC$55</f>
        <v>132917.36850055101</v>
      </c>
      <c r="CD26" s="103">
        <f>VLOOKUP($BL26,'US Grid mix, emissions&amp;prices'!$H$113:$I$163,2,FALSE)*CD$55</f>
        <v>132917.36850055101</v>
      </c>
      <c r="CE26" s="103">
        <f>VLOOKUP($BL26,'US Grid mix, emissions&amp;prices'!$H$113:$I$163,2,FALSE)*CE$55</f>
        <v>132917.36850055101</v>
      </c>
      <c r="CF26" s="103">
        <f>VLOOKUP($BL26,'US Grid mix, emissions&amp;prices'!$H$113:$I$163,2,FALSE)*CF$55</f>
        <v>132917.36850055101</v>
      </c>
      <c r="CG26" s="103">
        <f>VLOOKUP($BL26,'US Grid mix, emissions&amp;prices'!$H$113:$I$163,2,FALSE)*CG$55</f>
        <v>132917.36850055101</v>
      </c>
      <c r="CH26" s="103">
        <f>VLOOKUP($BL26,'US Grid mix, emissions&amp;prices'!$H$113:$I$163,2,FALSE)*CH$55</f>
        <v>132917.36850055101</v>
      </c>
      <c r="CI26" s="103">
        <f>VLOOKUP($BL26,'US Grid mix, emissions&amp;prices'!$H$113:$I$163,2,FALSE)*CI$55</f>
        <v>132917.36850055101</v>
      </c>
      <c r="CJ26" s="103">
        <f>VLOOKUP($BL26,'US Grid mix, emissions&amp;prices'!$H$113:$I$163,2,FALSE)*CJ$55</f>
        <v>132917.36850055101</v>
      </c>
      <c r="CK26" s="103">
        <f>VLOOKUP($BL26,'US Grid mix, emissions&amp;prices'!$H$113:$I$163,2,FALSE)*CK$55</f>
        <v>132917.36850055101</v>
      </c>
      <c r="CL26" s="103">
        <f>VLOOKUP($BL26,'US Grid mix, emissions&amp;prices'!$H$113:$I$163,2,FALSE)*CL$55</f>
        <v>132917.36850055101</v>
      </c>
      <c r="CM26" s="103">
        <f>VLOOKUP($BL26,'US Grid mix, emissions&amp;prices'!$H$113:$I$163,2,FALSE)*CM$55</f>
        <v>132917.36850055101</v>
      </c>
      <c r="CN26" s="103">
        <f>VLOOKUP($BL26,'US Grid mix, emissions&amp;prices'!$H$113:$I$163,2,FALSE)*CN$55</f>
        <v>132917.36850055101</v>
      </c>
    </row>
    <row r="27" spans="1:92" x14ac:dyDescent="0.25">
      <c r="A27" s="123" t="s">
        <v>207</v>
      </c>
      <c r="B27" s="103">
        <f>VLOOKUP($A27,'US Grid mix, emissions&amp;prices'!$H$113:$I$163,2,FALSE)*B$55</f>
        <v>187696.45856613311</v>
      </c>
      <c r="C27" s="103">
        <f>VLOOKUP($A27,'US Grid mix, emissions&amp;prices'!$H$113:$I$163,2,FALSE)*C$55</f>
        <v>187696.45856613311</v>
      </c>
      <c r="D27" s="103">
        <f>VLOOKUP($A27,'US Grid mix, emissions&amp;prices'!$H$113:$I$163,2,FALSE)*D$55</f>
        <v>187696.45856613311</v>
      </c>
      <c r="E27" s="103">
        <f>VLOOKUP($A27,'US Grid mix, emissions&amp;prices'!$H$113:$I$163,2,FALSE)*E$55</f>
        <v>187696.45856613311</v>
      </c>
      <c r="F27" s="103">
        <f>VLOOKUP($A27,'US Grid mix, emissions&amp;prices'!$H$113:$I$163,2,FALSE)*F$55</f>
        <v>187696.45856613311</v>
      </c>
      <c r="G27" s="103">
        <f>VLOOKUP($A27,'US Grid mix, emissions&amp;prices'!$H$113:$I$163,2,FALSE)*G$55</f>
        <v>187696.45856613311</v>
      </c>
      <c r="H27" s="103">
        <f>VLOOKUP($A27,'US Grid mix, emissions&amp;prices'!$H$113:$I$163,2,FALSE)*H$55</f>
        <v>187696.45856613311</v>
      </c>
      <c r="I27" s="103">
        <f>VLOOKUP($A27,'US Grid mix, emissions&amp;prices'!$H$113:$I$163,2,FALSE)*I$55</f>
        <v>187696.45856613311</v>
      </c>
      <c r="J27" s="103">
        <f>VLOOKUP($A27,'US Grid mix, emissions&amp;prices'!$H$113:$I$163,2,FALSE)*J$55</f>
        <v>187696.45856613311</v>
      </c>
      <c r="K27" s="103">
        <f>VLOOKUP($A27,'US Grid mix, emissions&amp;prices'!$H$113:$I$163,2,FALSE)*K$55</f>
        <v>187696.45856613311</v>
      </c>
      <c r="L27" s="103">
        <f>VLOOKUP($A27,'US Grid mix, emissions&amp;prices'!$H$113:$I$163,2,FALSE)*L$55</f>
        <v>187696.45856613311</v>
      </c>
      <c r="M27" s="103">
        <f>VLOOKUP($A27,'US Grid mix, emissions&amp;prices'!$H$113:$I$163,2,FALSE)*M$55</f>
        <v>187696.45856613311</v>
      </c>
      <c r="N27" s="103">
        <f>VLOOKUP($A27,'US Grid mix, emissions&amp;prices'!$H$113:$I$163,2,FALSE)*N$55</f>
        <v>187696.45856613311</v>
      </c>
      <c r="O27" s="103">
        <f>VLOOKUP($A27,'US Grid mix, emissions&amp;prices'!$H$113:$I$163,2,FALSE)*O$55</f>
        <v>187696.45856613311</v>
      </c>
      <c r="P27" s="103">
        <f>VLOOKUP($A27,'US Grid mix, emissions&amp;prices'!$H$113:$I$163,2,FALSE)*P$55</f>
        <v>187696.45856613311</v>
      </c>
      <c r="Q27" s="103">
        <f>VLOOKUP($A27,'US Grid mix, emissions&amp;prices'!$H$113:$I$163,2,FALSE)*Q$55</f>
        <v>187696.45856613311</v>
      </c>
      <c r="R27" s="103">
        <f>VLOOKUP($A27,'US Grid mix, emissions&amp;prices'!$H$113:$I$163,2,FALSE)*R$55</f>
        <v>187696.45856613311</v>
      </c>
      <c r="S27" s="103">
        <f>VLOOKUP($A27,'US Grid mix, emissions&amp;prices'!$H$113:$I$163,2,FALSE)*S$55</f>
        <v>187696.45856613311</v>
      </c>
      <c r="T27" s="103">
        <f>VLOOKUP($A27,'US Grid mix, emissions&amp;prices'!$H$113:$I$163,2,FALSE)*T$55</f>
        <v>187696.45856613311</v>
      </c>
      <c r="U27" s="103">
        <f>VLOOKUP($A27,'US Grid mix, emissions&amp;prices'!$H$113:$I$163,2,FALSE)*U$55</f>
        <v>187696.45856613311</v>
      </c>
      <c r="V27" s="103">
        <f>VLOOKUP($A27,'US Grid mix, emissions&amp;prices'!$H$113:$I$163,2,FALSE)*V$55</f>
        <v>187696.45856613311</v>
      </c>
      <c r="W27" s="103">
        <f>VLOOKUP($A27,'US Grid mix, emissions&amp;prices'!$H$113:$I$163,2,FALSE)*W$55</f>
        <v>187696.45856613311</v>
      </c>
      <c r="X27" s="103">
        <f>VLOOKUP($A27,'US Grid mix, emissions&amp;prices'!$H$113:$I$163,2,FALSE)*X$55</f>
        <v>187696.45856613311</v>
      </c>
      <c r="Y27" s="103">
        <f>VLOOKUP($A27,'US Grid mix, emissions&amp;prices'!$H$113:$I$163,2,FALSE)*Y$55</f>
        <v>187696.45856613311</v>
      </c>
      <c r="Z27" s="103">
        <f>VLOOKUP($A27,'US Grid mix, emissions&amp;prices'!$H$113:$I$163,2,FALSE)*Z$55</f>
        <v>187696.45856613311</v>
      </c>
      <c r="AA27" s="103">
        <f>VLOOKUP($A27,'US Grid mix, emissions&amp;prices'!$H$113:$I$163,2,FALSE)*AA$55</f>
        <v>187696.45856613311</v>
      </c>
      <c r="AB27" s="103">
        <f>VLOOKUP($A27,'US Grid mix, emissions&amp;prices'!$H$113:$I$163,2,FALSE)*AB$55</f>
        <v>187696.45856613311</v>
      </c>
      <c r="AC27" s="103">
        <f>VLOOKUP($A27,'US Grid mix, emissions&amp;prices'!$H$113:$I$163,2,FALSE)*AC$55</f>
        <v>187696.45856613311</v>
      </c>
      <c r="AF27" s="123" t="s">
        <v>207</v>
      </c>
      <c r="AG27" s="103">
        <f>VLOOKUP($AF27,'US Grid mix, emissions&amp;prices'!$H$113:$I$163,2,FALSE)*AG$55</f>
        <v>220000.4869567898</v>
      </c>
      <c r="AH27" s="103">
        <f>VLOOKUP($AF27,'US Grid mix, emissions&amp;prices'!$H$113:$I$163,2,FALSE)*AH$55</f>
        <v>220000.4869567898</v>
      </c>
      <c r="AI27" s="103">
        <f>VLOOKUP($AF27,'US Grid mix, emissions&amp;prices'!$H$113:$I$163,2,FALSE)*AI$55</f>
        <v>220000.4869567898</v>
      </c>
      <c r="AJ27" s="103">
        <f>VLOOKUP($AF27,'US Grid mix, emissions&amp;prices'!$H$113:$I$163,2,FALSE)*AJ$55</f>
        <v>220000.4869567898</v>
      </c>
      <c r="AK27" s="103">
        <f>VLOOKUP($AF27,'US Grid mix, emissions&amp;prices'!$H$113:$I$163,2,FALSE)*AK$55</f>
        <v>220000.4869567898</v>
      </c>
      <c r="AL27" s="103">
        <f>VLOOKUP($AF27,'US Grid mix, emissions&amp;prices'!$H$113:$I$163,2,FALSE)*AL$55</f>
        <v>220000.4869567898</v>
      </c>
      <c r="AM27" s="103">
        <f>VLOOKUP($AF27,'US Grid mix, emissions&amp;prices'!$H$113:$I$163,2,FALSE)*AM$55</f>
        <v>220000.4869567898</v>
      </c>
      <c r="AN27" s="103">
        <f>VLOOKUP($AF27,'US Grid mix, emissions&amp;prices'!$H$113:$I$163,2,FALSE)*AN$55</f>
        <v>220000.4869567898</v>
      </c>
      <c r="AO27" s="103">
        <f>VLOOKUP($AF27,'US Grid mix, emissions&amp;prices'!$H$113:$I$163,2,FALSE)*AO$55</f>
        <v>220000.4869567898</v>
      </c>
      <c r="AP27" s="103">
        <f>VLOOKUP($AF27,'US Grid mix, emissions&amp;prices'!$H$113:$I$163,2,FALSE)*AP$55</f>
        <v>220000.4869567898</v>
      </c>
      <c r="AQ27" s="103">
        <f>VLOOKUP($AF27,'US Grid mix, emissions&amp;prices'!$H$113:$I$163,2,FALSE)*AQ$55</f>
        <v>220000.4869567898</v>
      </c>
      <c r="AR27" s="103">
        <f>VLOOKUP($AF27,'US Grid mix, emissions&amp;prices'!$H$113:$I$163,2,FALSE)*AR$55</f>
        <v>220000.4869567898</v>
      </c>
      <c r="AS27" s="103">
        <f>VLOOKUP($AF27,'US Grid mix, emissions&amp;prices'!$H$113:$I$163,2,FALSE)*AS$55</f>
        <v>220000.4869567898</v>
      </c>
      <c r="AT27" s="103">
        <f>VLOOKUP($AF27,'US Grid mix, emissions&amp;prices'!$H$113:$I$163,2,FALSE)*AT$55</f>
        <v>220000.4869567898</v>
      </c>
      <c r="AU27" s="103">
        <f>VLOOKUP($AF27,'US Grid mix, emissions&amp;prices'!$H$113:$I$163,2,FALSE)*AU$55</f>
        <v>220000.4869567898</v>
      </c>
      <c r="AV27" s="103">
        <f>VLOOKUP($AF27,'US Grid mix, emissions&amp;prices'!$H$113:$I$163,2,FALSE)*AV$55</f>
        <v>220000.4869567898</v>
      </c>
      <c r="AW27" s="103">
        <f>VLOOKUP($AF27,'US Grid mix, emissions&amp;prices'!$H$113:$I$163,2,FALSE)*AW$55</f>
        <v>220000.4869567898</v>
      </c>
      <c r="AX27" s="103">
        <f>VLOOKUP($AF27,'US Grid mix, emissions&amp;prices'!$H$113:$I$163,2,FALSE)*AX$55</f>
        <v>220000.4869567898</v>
      </c>
      <c r="AY27" s="103">
        <f>VLOOKUP($AF27,'US Grid mix, emissions&amp;prices'!$H$113:$I$163,2,FALSE)*AY$55</f>
        <v>220000.4869567898</v>
      </c>
      <c r="AZ27" s="103">
        <f>VLOOKUP($AF27,'US Grid mix, emissions&amp;prices'!$H$113:$I$163,2,FALSE)*AZ$55</f>
        <v>220000.4869567898</v>
      </c>
      <c r="BA27" s="103">
        <f>VLOOKUP($AF27,'US Grid mix, emissions&amp;prices'!$H$113:$I$163,2,FALSE)*BA$55</f>
        <v>220000.4869567898</v>
      </c>
      <c r="BB27" s="103">
        <f>VLOOKUP($AF27,'US Grid mix, emissions&amp;prices'!$H$113:$I$163,2,FALSE)*BB$55</f>
        <v>220000.4869567898</v>
      </c>
      <c r="BC27" s="103">
        <f>VLOOKUP($AF27,'US Grid mix, emissions&amp;prices'!$H$113:$I$163,2,FALSE)*BC$55</f>
        <v>220000.4869567898</v>
      </c>
      <c r="BD27" s="103">
        <f>VLOOKUP($AF27,'US Grid mix, emissions&amp;prices'!$H$113:$I$163,2,FALSE)*BD$55</f>
        <v>220000.4869567898</v>
      </c>
      <c r="BE27" s="103">
        <f>VLOOKUP($AF27,'US Grid mix, emissions&amp;prices'!$H$113:$I$163,2,FALSE)*BE$55</f>
        <v>220000.4869567898</v>
      </c>
      <c r="BF27" s="103">
        <f>VLOOKUP($AF27,'US Grid mix, emissions&amp;prices'!$H$113:$I$163,2,FALSE)*BF$55</f>
        <v>220000.4869567898</v>
      </c>
      <c r="BG27" s="103">
        <f>VLOOKUP($AF27,'US Grid mix, emissions&amp;prices'!$H$113:$I$163,2,FALSE)*BG$55</f>
        <v>220000.4869567898</v>
      </c>
      <c r="BH27" s="103">
        <f>VLOOKUP($AF27,'US Grid mix, emissions&amp;prices'!$H$113:$I$163,2,FALSE)*BH$55</f>
        <v>220000.4869567898</v>
      </c>
      <c r="BL27" s="123" t="s">
        <v>207</v>
      </c>
      <c r="BM27" s="103">
        <f>VLOOKUP($BL27,'US Grid mix, emissions&amp;prices'!$H$113:$I$163,2,FALSE)*BM$55</f>
        <v>163551.49360747836</v>
      </c>
      <c r="BN27" s="103">
        <f>VLOOKUP($BL27,'US Grid mix, emissions&amp;prices'!$H$113:$I$163,2,FALSE)*BN$55</f>
        <v>163551.49360747836</v>
      </c>
      <c r="BO27" s="103">
        <f>VLOOKUP($BL27,'US Grid mix, emissions&amp;prices'!$H$113:$I$163,2,FALSE)*BO$55</f>
        <v>163551.49360747836</v>
      </c>
      <c r="BP27" s="103">
        <f>VLOOKUP($BL27,'US Grid mix, emissions&amp;prices'!$H$113:$I$163,2,FALSE)*BP$55</f>
        <v>163551.49360747836</v>
      </c>
      <c r="BQ27" s="103">
        <f>VLOOKUP($BL27,'US Grid mix, emissions&amp;prices'!$H$113:$I$163,2,FALSE)*BQ$55</f>
        <v>163551.49360747836</v>
      </c>
      <c r="BR27" s="103">
        <f>VLOOKUP($BL27,'US Grid mix, emissions&amp;prices'!$H$113:$I$163,2,FALSE)*BR$55</f>
        <v>163551.49360747836</v>
      </c>
      <c r="BS27" s="103">
        <f>VLOOKUP($BL27,'US Grid mix, emissions&amp;prices'!$H$113:$I$163,2,FALSE)*BS$55</f>
        <v>163551.49360747836</v>
      </c>
      <c r="BT27" s="103">
        <f>VLOOKUP($BL27,'US Grid mix, emissions&amp;prices'!$H$113:$I$163,2,FALSE)*BT$55</f>
        <v>163551.49360747836</v>
      </c>
      <c r="BU27" s="103">
        <f>VLOOKUP($BL27,'US Grid mix, emissions&amp;prices'!$H$113:$I$163,2,FALSE)*BU$55</f>
        <v>163551.49360747836</v>
      </c>
      <c r="BV27" s="103">
        <f>VLOOKUP($BL27,'US Grid mix, emissions&amp;prices'!$H$113:$I$163,2,FALSE)*BV$55</f>
        <v>163551.49360747836</v>
      </c>
      <c r="BW27" s="103">
        <f>VLOOKUP($BL27,'US Grid mix, emissions&amp;prices'!$H$113:$I$163,2,FALSE)*BW$55</f>
        <v>163551.49360747836</v>
      </c>
      <c r="BX27" s="103">
        <f>VLOOKUP($BL27,'US Grid mix, emissions&amp;prices'!$H$113:$I$163,2,FALSE)*BX$55</f>
        <v>163551.49360747836</v>
      </c>
      <c r="BY27" s="103">
        <f>VLOOKUP($BL27,'US Grid mix, emissions&amp;prices'!$H$113:$I$163,2,FALSE)*BY$55</f>
        <v>163551.49360747836</v>
      </c>
      <c r="BZ27" s="103">
        <f>VLOOKUP($BL27,'US Grid mix, emissions&amp;prices'!$H$113:$I$163,2,FALSE)*BZ$55</f>
        <v>163551.49360747836</v>
      </c>
      <c r="CA27" s="103">
        <f>VLOOKUP($BL27,'US Grid mix, emissions&amp;prices'!$H$113:$I$163,2,FALSE)*CA$55</f>
        <v>163551.49360747836</v>
      </c>
      <c r="CB27" s="103">
        <f>VLOOKUP($BL27,'US Grid mix, emissions&amp;prices'!$H$113:$I$163,2,FALSE)*CB$55</f>
        <v>163551.49360747836</v>
      </c>
      <c r="CC27" s="103">
        <f>VLOOKUP($BL27,'US Grid mix, emissions&amp;prices'!$H$113:$I$163,2,FALSE)*CC$55</f>
        <v>163551.49360747836</v>
      </c>
      <c r="CD27" s="103">
        <f>VLOOKUP($BL27,'US Grid mix, emissions&amp;prices'!$H$113:$I$163,2,FALSE)*CD$55</f>
        <v>163551.49360747836</v>
      </c>
      <c r="CE27" s="103">
        <f>VLOOKUP($BL27,'US Grid mix, emissions&amp;prices'!$H$113:$I$163,2,FALSE)*CE$55</f>
        <v>163551.49360747836</v>
      </c>
      <c r="CF27" s="103">
        <f>VLOOKUP($BL27,'US Grid mix, emissions&amp;prices'!$H$113:$I$163,2,FALSE)*CF$55</f>
        <v>163551.49360747836</v>
      </c>
      <c r="CG27" s="103">
        <f>VLOOKUP($BL27,'US Grid mix, emissions&amp;prices'!$H$113:$I$163,2,FALSE)*CG$55</f>
        <v>163551.49360747836</v>
      </c>
      <c r="CH27" s="103">
        <f>VLOOKUP($BL27,'US Grid mix, emissions&amp;prices'!$H$113:$I$163,2,FALSE)*CH$55</f>
        <v>163551.49360747836</v>
      </c>
      <c r="CI27" s="103">
        <f>VLOOKUP($BL27,'US Grid mix, emissions&amp;prices'!$H$113:$I$163,2,FALSE)*CI$55</f>
        <v>163551.49360747836</v>
      </c>
      <c r="CJ27" s="103">
        <f>VLOOKUP($BL27,'US Grid mix, emissions&amp;prices'!$H$113:$I$163,2,FALSE)*CJ$55</f>
        <v>163551.49360747836</v>
      </c>
      <c r="CK27" s="103">
        <f>VLOOKUP($BL27,'US Grid mix, emissions&amp;prices'!$H$113:$I$163,2,FALSE)*CK$55</f>
        <v>163551.49360747836</v>
      </c>
      <c r="CL27" s="103">
        <f>VLOOKUP($BL27,'US Grid mix, emissions&amp;prices'!$H$113:$I$163,2,FALSE)*CL$55</f>
        <v>163551.49360747836</v>
      </c>
      <c r="CM27" s="103">
        <f>VLOOKUP($BL27,'US Grid mix, emissions&amp;prices'!$H$113:$I$163,2,FALSE)*CM$55</f>
        <v>163551.49360747836</v>
      </c>
      <c r="CN27" s="103">
        <f>VLOOKUP($BL27,'US Grid mix, emissions&amp;prices'!$H$113:$I$163,2,FALSE)*CN$55</f>
        <v>163551.49360747836</v>
      </c>
    </row>
    <row r="28" spans="1:92" x14ac:dyDescent="0.25">
      <c r="A28" s="123" t="s">
        <v>206</v>
      </c>
      <c r="B28" s="103">
        <f>VLOOKUP($A28,'US Grid mix, emissions&amp;prices'!$H$113:$I$163,2,FALSE)*B$55</f>
        <v>288965.57393978158</v>
      </c>
      <c r="C28" s="103">
        <f>VLOOKUP($A28,'US Grid mix, emissions&amp;prices'!$H$113:$I$163,2,FALSE)*C$55</f>
        <v>288965.57393978158</v>
      </c>
      <c r="D28" s="103">
        <f>VLOOKUP($A28,'US Grid mix, emissions&amp;prices'!$H$113:$I$163,2,FALSE)*D$55</f>
        <v>288965.57393978158</v>
      </c>
      <c r="E28" s="103">
        <f>VLOOKUP($A28,'US Grid mix, emissions&amp;prices'!$H$113:$I$163,2,FALSE)*E$55</f>
        <v>288965.57393978158</v>
      </c>
      <c r="F28" s="103">
        <f>VLOOKUP($A28,'US Grid mix, emissions&amp;prices'!$H$113:$I$163,2,FALSE)*F$55</f>
        <v>288965.57393978158</v>
      </c>
      <c r="G28" s="103">
        <f>VLOOKUP($A28,'US Grid mix, emissions&amp;prices'!$H$113:$I$163,2,FALSE)*G$55</f>
        <v>288965.57393978158</v>
      </c>
      <c r="H28" s="103">
        <f>VLOOKUP($A28,'US Grid mix, emissions&amp;prices'!$H$113:$I$163,2,FALSE)*H$55</f>
        <v>288965.57393978158</v>
      </c>
      <c r="I28" s="103">
        <f>VLOOKUP($A28,'US Grid mix, emissions&amp;prices'!$H$113:$I$163,2,FALSE)*I$55</f>
        <v>288965.57393978158</v>
      </c>
      <c r="J28" s="103">
        <f>VLOOKUP($A28,'US Grid mix, emissions&amp;prices'!$H$113:$I$163,2,FALSE)*J$55</f>
        <v>288965.57393978158</v>
      </c>
      <c r="K28" s="103">
        <f>VLOOKUP($A28,'US Grid mix, emissions&amp;prices'!$H$113:$I$163,2,FALSE)*K$55</f>
        <v>288965.57393978158</v>
      </c>
      <c r="L28" s="103">
        <f>VLOOKUP($A28,'US Grid mix, emissions&amp;prices'!$H$113:$I$163,2,FALSE)*L$55</f>
        <v>288965.57393978158</v>
      </c>
      <c r="M28" s="103">
        <f>VLOOKUP($A28,'US Grid mix, emissions&amp;prices'!$H$113:$I$163,2,FALSE)*M$55</f>
        <v>288965.57393978158</v>
      </c>
      <c r="N28" s="103">
        <f>VLOOKUP($A28,'US Grid mix, emissions&amp;prices'!$H$113:$I$163,2,FALSE)*N$55</f>
        <v>288965.57393978158</v>
      </c>
      <c r="O28" s="103">
        <f>VLOOKUP($A28,'US Grid mix, emissions&amp;prices'!$H$113:$I$163,2,FALSE)*O$55</f>
        <v>288965.57393978158</v>
      </c>
      <c r="P28" s="103">
        <f>VLOOKUP($A28,'US Grid mix, emissions&amp;prices'!$H$113:$I$163,2,FALSE)*P$55</f>
        <v>288965.57393978158</v>
      </c>
      <c r="Q28" s="103">
        <f>VLOOKUP($A28,'US Grid mix, emissions&amp;prices'!$H$113:$I$163,2,FALSE)*Q$55</f>
        <v>288965.57393978158</v>
      </c>
      <c r="R28" s="103">
        <f>VLOOKUP($A28,'US Grid mix, emissions&amp;prices'!$H$113:$I$163,2,FALSE)*R$55</f>
        <v>288965.57393978158</v>
      </c>
      <c r="S28" s="103">
        <f>VLOOKUP($A28,'US Grid mix, emissions&amp;prices'!$H$113:$I$163,2,FALSE)*S$55</f>
        <v>288965.57393978158</v>
      </c>
      <c r="T28" s="103">
        <f>VLOOKUP($A28,'US Grid mix, emissions&amp;prices'!$H$113:$I$163,2,FALSE)*T$55</f>
        <v>288965.57393978158</v>
      </c>
      <c r="U28" s="103">
        <f>VLOOKUP($A28,'US Grid mix, emissions&amp;prices'!$H$113:$I$163,2,FALSE)*U$55</f>
        <v>288965.57393978158</v>
      </c>
      <c r="V28" s="103">
        <f>VLOOKUP($A28,'US Grid mix, emissions&amp;prices'!$H$113:$I$163,2,FALSE)*V$55</f>
        <v>288965.57393978158</v>
      </c>
      <c r="W28" s="103">
        <f>VLOOKUP($A28,'US Grid mix, emissions&amp;prices'!$H$113:$I$163,2,FALSE)*W$55</f>
        <v>288965.57393978158</v>
      </c>
      <c r="X28" s="103">
        <f>VLOOKUP($A28,'US Grid mix, emissions&amp;prices'!$H$113:$I$163,2,FALSE)*X$55</f>
        <v>288965.57393978158</v>
      </c>
      <c r="Y28" s="103">
        <f>VLOOKUP($A28,'US Grid mix, emissions&amp;prices'!$H$113:$I$163,2,FALSE)*Y$55</f>
        <v>288965.57393978158</v>
      </c>
      <c r="Z28" s="103">
        <f>VLOOKUP($A28,'US Grid mix, emissions&amp;prices'!$H$113:$I$163,2,FALSE)*Z$55</f>
        <v>288965.57393978158</v>
      </c>
      <c r="AA28" s="103">
        <f>VLOOKUP($A28,'US Grid mix, emissions&amp;prices'!$H$113:$I$163,2,FALSE)*AA$55</f>
        <v>288965.57393978158</v>
      </c>
      <c r="AB28" s="103">
        <f>VLOOKUP($A28,'US Grid mix, emissions&amp;prices'!$H$113:$I$163,2,FALSE)*AB$55</f>
        <v>288965.57393978158</v>
      </c>
      <c r="AC28" s="103">
        <f>VLOOKUP($A28,'US Grid mix, emissions&amp;prices'!$H$113:$I$163,2,FALSE)*AC$55</f>
        <v>288965.57393978158</v>
      </c>
      <c r="AF28" s="123" t="s">
        <v>206</v>
      </c>
      <c r="AG28" s="103">
        <f>VLOOKUP($AF28,'US Grid mix, emissions&amp;prices'!$H$113:$I$163,2,FALSE)*AG$55</f>
        <v>338698.80905665032</v>
      </c>
      <c r="AH28" s="103">
        <f>VLOOKUP($AF28,'US Grid mix, emissions&amp;prices'!$H$113:$I$163,2,FALSE)*AH$55</f>
        <v>338698.80905665032</v>
      </c>
      <c r="AI28" s="103">
        <f>VLOOKUP($AF28,'US Grid mix, emissions&amp;prices'!$H$113:$I$163,2,FALSE)*AI$55</f>
        <v>338698.80905665032</v>
      </c>
      <c r="AJ28" s="103">
        <f>VLOOKUP($AF28,'US Grid mix, emissions&amp;prices'!$H$113:$I$163,2,FALSE)*AJ$55</f>
        <v>338698.80905665032</v>
      </c>
      <c r="AK28" s="103">
        <f>VLOOKUP($AF28,'US Grid mix, emissions&amp;prices'!$H$113:$I$163,2,FALSE)*AK$55</f>
        <v>338698.80905665032</v>
      </c>
      <c r="AL28" s="103">
        <f>VLOOKUP($AF28,'US Grid mix, emissions&amp;prices'!$H$113:$I$163,2,FALSE)*AL$55</f>
        <v>338698.80905665032</v>
      </c>
      <c r="AM28" s="103">
        <f>VLOOKUP($AF28,'US Grid mix, emissions&amp;prices'!$H$113:$I$163,2,FALSE)*AM$55</f>
        <v>338698.80905665032</v>
      </c>
      <c r="AN28" s="103">
        <f>VLOOKUP($AF28,'US Grid mix, emissions&amp;prices'!$H$113:$I$163,2,FALSE)*AN$55</f>
        <v>338698.80905665032</v>
      </c>
      <c r="AO28" s="103">
        <f>VLOOKUP($AF28,'US Grid mix, emissions&amp;prices'!$H$113:$I$163,2,FALSE)*AO$55</f>
        <v>338698.80905665032</v>
      </c>
      <c r="AP28" s="103">
        <f>VLOOKUP($AF28,'US Grid mix, emissions&amp;prices'!$H$113:$I$163,2,FALSE)*AP$55</f>
        <v>338698.80905665032</v>
      </c>
      <c r="AQ28" s="103">
        <f>VLOOKUP($AF28,'US Grid mix, emissions&amp;prices'!$H$113:$I$163,2,FALSE)*AQ$55</f>
        <v>338698.80905665032</v>
      </c>
      <c r="AR28" s="103">
        <f>VLOOKUP($AF28,'US Grid mix, emissions&amp;prices'!$H$113:$I$163,2,FALSE)*AR$55</f>
        <v>338698.80905665032</v>
      </c>
      <c r="AS28" s="103">
        <f>VLOOKUP($AF28,'US Grid mix, emissions&amp;prices'!$H$113:$I$163,2,FALSE)*AS$55</f>
        <v>338698.80905665032</v>
      </c>
      <c r="AT28" s="103">
        <f>VLOOKUP($AF28,'US Grid mix, emissions&amp;prices'!$H$113:$I$163,2,FALSE)*AT$55</f>
        <v>338698.80905665032</v>
      </c>
      <c r="AU28" s="103">
        <f>VLOOKUP($AF28,'US Grid mix, emissions&amp;prices'!$H$113:$I$163,2,FALSE)*AU$55</f>
        <v>338698.80905665032</v>
      </c>
      <c r="AV28" s="103">
        <f>VLOOKUP($AF28,'US Grid mix, emissions&amp;prices'!$H$113:$I$163,2,FALSE)*AV$55</f>
        <v>338698.80905665032</v>
      </c>
      <c r="AW28" s="103">
        <f>VLOOKUP($AF28,'US Grid mix, emissions&amp;prices'!$H$113:$I$163,2,FALSE)*AW$55</f>
        <v>338698.80905665032</v>
      </c>
      <c r="AX28" s="103">
        <f>VLOOKUP($AF28,'US Grid mix, emissions&amp;prices'!$H$113:$I$163,2,FALSE)*AX$55</f>
        <v>338698.80905665032</v>
      </c>
      <c r="AY28" s="103">
        <f>VLOOKUP($AF28,'US Grid mix, emissions&amp;prices'!$H$113:$I$163,2,FALSE)*AY$55</f>
        <v>338698.80905665032</v>
      </c>
      <c r="AZ28" s="103">
        <f>VLOOKUP($AF28,'US Grid mix, emissions&amp;prices'!$H$113:$I$163,2,FALSE)*AZ$55</f>
        <v>338698.80905665032</v>
      </c>
      <c r="BA28" s="103">
        <f>VLOOKUP($AF28,'US Grid mix, emissions&amp;prices'!$H$113:$I$163,2,FALSE)*BA$55</f>
        <v>338698.80905665032</v>
      </c>
      <c r="BB28" s="103">
        <f>VLOOKUP($AF28,'US Grid mix, emissions&amp;prices'!$H$113:$I$163,2,FALSE)*BB$55</f>
        <v>338698.80905665032</v>
      </c>
      <c r="BC28" s="103">
        <f>VLOOKUP($AF28,'US Grid mix, emissions&amp;prices'!$H$113:$I$163,2,FALSE)*BC$55</f>
        <v>338698.80905665032</v>
      </c>
      <c r="BD28" s="103">
        <f>VLOOKUP($AF28,'US Grid mix, emissions&amp;prices'!$H$113:$I$163,2,FALSE)*BD$55</f>
        <v>338698.80905665032</v>
      </c>
      <c r="BE28" s="103">
        <f>VLOOKUP($AF28,'US Grid mix, emissions&amp;prices'!$H$113:$I$163,2,FALSE)*BE$55</f>
        <v>338698.80905665032</v>
      </c>
      <c r="BF28" s="103">
        <f>VLOOKUP($AF28,'US Grid mix, emissions&amp;prices'!$H$113:$I$163,2,FALSE)*BF$55</f>
        <v>338698.80905665032</v>
      </c>
      <c r="BG28" s="103">
        <f>VLOOKUP($AF28,'US Grid mix, emissions&amp;prices'!$H$113:$I$163,2,FALSE)*BG$55</f>
        <v>338698.80905665032</v>
      </c>
      <c r="BH28" s="103">
        <f>VLOOKUP($AF28,'US Grid mix, emissions&amp;prices'!$H$113:$I$163,2,FALSE)*BH$55</f>
        <v>338698.80905665032</v>
      </c>
      <c r="BL28" s="123" t="s">
        <v>206</v>
      </c>
      <c r="BM28" s="103">
        <f>VLOOKUP($BL28,'US Grid mix, emissions&amp;prices'!$H$113:$I$163,2,FALSE)*BM$55</f>
        <v>251793.5158714868</v>
      </c>
      <c r="BN28" s="103">
        <f>VLOOKUP($BL28,'US Grid mix, emissions&amp;prices'!$H$113:$I$163,2,FALSE)*BN$55</f>
        <v>251793.5158714868</v>
      </c>
      <c r="BO28" s="103">
        <f>VLOOKUP($BL28,'US Grid mix, emissions&amp;prices'!$H$113:$I$163,2,FALSE)*BO$55</f>
        <v>251793.5158714868</v>
      </c>
      <c r="BP28" s="103">
        <f>VLOOKUP($BL28,'US Grid mix, emissions&amp;prices'!$H$113:$I$163,2,FALSE)*BP$55</f>
        <v>251793.5158714868</v>
      </c>
      <c r="BQ28" s="103">
        <f>VLOOKUP($BL28,'US Grid mix, emissions&amp;prices'!$H$113:$I$163,2,FALSE)*BQ$55</f>
        <v>251793.5158714868</v>
      </c>
      <c r="BR28" s="103">
        <f>VLOOKUP($BL28,'US Grid mix, emissions&amp;prices'!$H$113:$I$163,2,FALSE)*BR$55</f>
        <v>251793.5158714868</v>
      </c>
      <c r="BS28" s="103">
        <f>VLOOKUP($BL28,'US Grid mix, emissions&amp;prices'!$H$113:$I$163,2,FALSE)*BS$55</f>
        <v>251793.5158714868</v>
      </c>
      <c r="BT28" s="103">
        <f>VLOOKUP($BL28,'US Grid mix, emissions&amp;prices'!$H$113:$I$163,2,FALSE)*BT$55</f>
        <v>251793.5158714868</v>
      </c>
      <c r="BU28" s="103">
        <f>VLOOKUP($BL28,'US Grid mix, emissions&amp;prices'!$H$113:$I$163,2,FALSE)*BU$55</f>
        <v>251793.5158714868</v>
      </c>
      <c r="BV28" s="103">
        <f>VLOOKUP($BL28,'US Grid mix, emissions&amp;prices'!$H$113:$I$163,2,FALSE)*BV$55</f>
        <v>251793.5158714868</v>
      </c>
      <c r="BW28" s="103">
        <f>VLOOKUP($BL28,'US Grid mix, emissions&amp;prices'!$H$113:$I$163,2,FALSE)*BW$55</f>
        <v>251793.5158714868</v>
      </c>
      <c r="BX28" s="103">
        <f>VLOOKUP($BL28,'US Grid mix, emissions&amp;prices'!$H$113:$I$163,2,FALSE)*BX$55</f>
        <v>251793.5158714868</v>
      </c>
      <c r="BY28" s="103">
        <f>VLOOKUP($BL28,'US Grid mix, emissions&amp;prices'!$H$113:$I$163,2,FALSE)*BY$55</f>
        <v>251793.5158714868</v>
      </c>
      <c r="BZ28" s="103">
        <f>VLOOKUP($BL28,'US Grid mix, emissions&amp;prices'!$H$113:$I$163,2,FALSE)*BZ$55</f>
        <v>251793.5158714868</v>
      </c>
      <c r="CA28" s="103">
        <f>VLOOKUP($BL28,'US Grid mix, emissions&amp;prices'!$H$113:$I$163,2,FALSE)*CA$55</f>
        <v>251793.5158714868</v>
      </c>
      <c r="CB28" s="103">
        <f>VLOOKUP($BL28,'US Grid mix, emissions&amp;prices'!$H$113:$I$163,2,FALSE)*CB$55</f>
        <v>251793.5158714868</v>
      </c>
      <c r="CC28" s="103">
        <f>VLOOKUP($BL28,'US Grid mix, emissions&amp;prices'!$H$113:$I$163,2,FALSE)*CC$55</f>
        <v>251793.5158714868</v>
      </c>
      <c r="CD28" s="103">
        <f>VLOOKUP($BL28,'US Grid mix, emissions&amp;prices'!$H$113:$I$163,2,FALSE)*CD$55</f>
        <v>251793.5158714868</v>
      </c>
      <c r="CE28" s="103">
        <f>VLOOKUP($BL28,'US Grid mix, emissions&amp;prices'!$H$113:$I$163,2,FALSE)*CE$55</f>
        <v>251793.5158714868</v>
      </c>
      <c r="CF28" s="103">
        <f>VLOOKUP($BL28,'US Grid mix, emissions&amp;prices'!$H$113:$I$163,2,FALSE)*CF$55</f>
        <v>251793.5158714868</v>
      </c>
      <c r="CG28" s="103">
        <f>VLOOKUP($BL28,'US Grid mix, emissions&amp;prices'!$H$113:$I$163,2,FALSE)*CG$55</f>
        <v>251793.5158714868</v>
      </c>
      <c r="CH28" s="103">
        <f>VLOOKUP($BL28,'US Grid mix, emissions&amp;prices'!$H$113:$I$163,2,FALSE)*CH$55</f>
        <v>251793.5158714868</v>
      </c>
      <c r="CI28" s="103">
        <f>VLOOKUP($BL28,'US Grid mix, emissions&amp;prices'!$H$113:$I$163,2,FALSE)*CI$55</f>
        <v>251793.5158714868</v>
      </c>
      <c r="CJ28" s="103">
        <f>VLOOKUP($BL28,'US Grid mix, emissions&amp;prices'!$H$113:$I$163,2,FALSE)*CJ$55</f>
        <v>251793.5158714868</v>
      </c>
      <c r="CK28" s="103">
        <f>VLOOKUP($BL28,'US Grid mix, emissions&amp;prices'!$H$113:$I$163,2,FALSE)*CK$55</f>
        <v>251793.5158714868</v>
      </c>
      <c r="CL28" s="103">
        <f>VLOOKUP($BL28,'US Grid mix, emissions&amp;prices'!$H$113:$I$163,2,FALSE)*CL$55</f>
        <v>251793.5158714868</v>
      </c>
      <c r="CM28" s="103">
        <f>VLOOKUP($BL28,'US Grid mix, emissions&amp;prices'!$H$113:$I$163,2,FALSE)*CM$55</f>
        <v>251793.5158714868</v>
      </c>
      <c r="CN28" s="103">
        <f>VLOOKUP($BL28,'US Grid mix, emissions&amp;prices'!$H$113:$I$163,2,FALSE)*CN$55</f>
        <v>251793.5158714868</v>
      </c>
    </row>
    <row r="29" spans="1:92" x14ac:dyDescent="0.25">
      <c r="A29" s="123" t="s">
        <v>208</v>
      </c>
      <c r="B29" s="103">
        <f>VLOOKUP($A29,'US Grid mix, emissions&amp;prices'!$H$113:$I$163,2,FALSE)*B$55</f>
        <v>215473.48802798992</v>
      </c>
      <c r="C29" s="103">
        <f>VLOOKUP($A29,'US Grid mix, emissions&amp;prices'!$H$113:$I$163,2,FALSE)*C$55</f>
        <v>215473.48802798992</v>
      </c>
      <c r="D29" s="103">
        <f>VLOOKUP($A29,'US Grid mix, emissions&amp;prices'!$H$113:$I$163,2,FALSE)*D$55</f>
        <v>215473.48802798992</v>
      </c>
      <c r="E29" s="103">
        <f>VLOOKUP($A29,'US Grid mix, emissions&amp;prices'!$H$113:$I$163,2,FALSE)*E$55</f>
        <v>215473.48802798992</v>
      </c>
      <c r="F29" s="103">
        <f>VLOOKUP($A29,'US Grid mix, emissions&amp;prices'!$H$113:$I$163,2,FALSE)*F$55</f>
        <v>215473.48802798992</v>
      </c>
      <c r="G29" s="103">
        <f>VLOOKUP($A29,'US Grid mix, emissions&amp;prices'!$H$113:$I$163,2,FALSE)*G$55</f>
        <v>215473.48802798992</v>
      </c>
      <c r="H29" s="103">
        <f>VLOOKUP($A29,'US Grid mix, emissions&amp;prices'!$H$113:$I$163,2,FALSE)*H$55</f>
        <v>215473.48802798992</v>
      </c>
      <c r="I29" s="103">
        <f>VLOOKUP($A29,'US Grid mix, emissions&amp;prices'!$H$113:$I$163,2,FALSE)*I$55</f>
        <v>215473.48802798992</v>
      </c>
      <c r="J29" s="103">
        <f>VLOOKUP($A29,'US Grid mix, emissions&amp;prices'!$H$113:$I$163,2,FALSE)*J$55</f>
        <v>215473.48802798992</v>
      </c>
      <c r="K29" s="103">
        <f>VLOOKUP($A29,'US Grid mix, emissions&amp;prices'!$H$113:$I$163,2,FALSE)*K$55</f>
        <v>215473.48802798992</v>
      </c>
      <c r="L29" s="103">
        <f>VLOOKUP($A29,'US Grid mix, emissions&amp;prices'!$H$113:$I$163,2,FALSE)*L$55</f>
        <v>215473.48802798992</v>
      </c>
      <c r="M29" s="103">
        <f>VLOOKUP($A29,'US Grid mix, emissions&amp;prices'!$H$113:$I$163,2,FALSE)*M$55</f>
        <v>215473.48802798992</v>
      </c>
      <c r="N29" s="103">
        <f>VLOOKUP($A29,'US Grid mix, emissions&amp;prices'!$H$113:$I$163,2,FALSE)*N$55</f>
        <v>215473.48802798992</v>
      </c>
      <c r="O29" s="103">
        <f>VLOOKUP($A29,'US Grid mix, emissions&amp;prices'!$H$113:$I$163,2,FALSE)*O$55</f>
        <v>215473.48802798992</v>
      </c>
      <c r="P29" s="103">
        <f>VLOOKUP($A29,'US Grid mix, emissions&amp;prices'!$H$113:$I$163,2,FALSE)*P$55</f>
        <v>215473.48802798992</v>
      </c>
      <c r="Q29" s="103">
        <f>VLOOKUP($A29,'US Grid mix, emissions&amp;prices'!$H$113:$I$163,2,FALSE)*Q$55</f>
        <v>215473.48802798992</v>
      </c>
      <c r="R29" s="103">
        <f>VLOOKUP($A29,'US Grid mix, emissions&amp;prices'!$H$113:$I$163,2,FALSE)*R$55</f>
        <v>215473.48802798992</v>
      </c>
      <c r="S29" s="103">
        <f>VLOOKUP($A29,'US Grid mix, emissions&amp;prices'!$H$113:$I$163,2,FALSE)*S$55</f>
        <v>215473.48802798992</v>
      </c>
      <c r="T29" s="103">
        <f>VLOOKUP($A29,'US Grid mix, emissions&amp;prices'!$H$113:$I$163,2,FALSE)*T$55</f>
        <v>215473.48802798992</v>
      </c>
      <c r="U29" s="103">
        <f>VLOOKUP($A29,'US Grid mix, emissions&amp;prices'!$H$113:$I$163,2,FALSE)*U$55</f>
        <v>215473.48802798992</v>
      </c>
      <c r="V29" s="103">
        <f>VLOOKUP($A29,'US Grid mix, emissions&amp;prices'!$H$113:$I$163,2,FALSE)*V$55</f>
        <v>215473.48802798992</v>
      </c>
      <c r="W29" s="103">
        <f>VLOOKUP($A29,'US Grid mix, emissions&amp;prices'!$H$113:$I$163,2,FALSE)*W$55</f>
        <v>215473.48802798992</v>
      </c>
      <c r="X29" s="103">
        <f>VLOOKUP($A29,'US Grid mix, emissions&amp;prices'!$H$113:$I$163,2,FALSE)*X$55</f>
        <v>215473.48802798992</v>
      </c>
      <c r="Y29" s="103">
        <f>VLOOKUP($A29,'US Grid mix, emissions&amp;prices'!$H$113:$I$163,2,FALSE)*Y$55</f>
        <v>215473.48802798992</v>
      </c>
      <c r="Z29" s="103">
        <f>VLOOKUP($A29,'US Grid mix, emissions&amp;prices'!$H$113:$I$163,2,FALSE)*Z$55</f>
        <v>215473.48802798992</v>
      </c>
      <c r="AA29" s="103">
        <f>VLOOKUP($A29,'US Grid mix, emissions&amp;prices'!$H$113:$I$163,2,FALSE)*AA$55</f>
        <v>215473.48802798992</v>
      </c>
      <c r="AB29" s="103">
        <f>VLOOKUP($A29,'US Grid mix, emissions&amp;prices'!$H$113:$I$163,2,FALSE)*AB$55</f>
        <v>215473.48802798992</v>
      </c>
      <c r="AC29" s="103">
        <f>VLOOKUP($A29,'US Grid mix, emissions&amp;prices'!$H$113:$I$163,2,FALSE)*AC$55</f>
        <v>215473.48802798992</v>
      </c>
      <c r="AF29" s="123" t="s">
        <v>208</v>
      </c>
      <c r="AG29" s="103">
        <f>VLOOKUP($AF29,'US Grid mix, emissions&amp;prices'!$H$113:$I$163,2,FALSE)*AG$55</f>
        <v>252558.16041799926</v>
      </c>
      <c r="AH29" s="103">
        <f>VLOOKUP($AF29,'US Grid mix, emissions&amp;prices'!$H$113:$I$163,2,FALSE)*AH$55</f>
        <v>252558.16041799926</v>
      </c>
      <c r="AI29" s="103">
        <f>VLOOKUP($AF29,'US Grid mix, emissions&amp;prices'!$H$113:$I$163,2,FALSE)*AI$55</f>
        <v>252558.16041799926</v>
      </c>
      <c r="AJ29" s="103">
        <f>VLOOKUP($AF29,'US Grid mix, emissions&amp;prices'!$H$113:$I$163,2,FALSE)*AJ$55</f>
        <v>252558.16041799926</v>
      </c>
      <c r="AK29" s="103">
        <f>VLOOKUP($AF29,'US Grid mix, emissions&amp;prices'!$H$113:$I$163,2,FALSE)*AK$55</f>
        <v>252558.16041799926</v>
      </c>
      <c r="AL29" s="103">
        <f>VLOOKUP($AF29,'US Grid mix, emissions&amp;prices'!$H$113:$I$163,2,FALSE)*AL$55</f>
        <v>252558.16041799926</v>
      </c>
      <c r="AM29" s="103">
        <f>VLOOKUP($AF29,'US Grid mix, emissions&amp;prices'!$H$113:$I$163,2,FALSE)*AM$55</f>
        <v>252558.16041799926</v>
      </c>
      <c r="AN29" s="103">
        <f>VLOOKUP($AF29,'US Grid mix, emissions&amp;prices'!$H$113:$I$163,2,FALSE)*AN$55</f>
        <v>252558.16041799926</v>
      </c>
      <c r="AO29" s="103">
        <f>VLOOKUP($AF29,'US Grid mix, emissions&amp;prices'!$H$113:$I$163,2,FALSE)*AO$55</f>
        <v>252558.16041799926</v>
      </c>
      <c r="AP29" s="103">
        <f>VLOOKUP($AF29,'US Grid mix, emissions&amp;prices'!$H$113:$I$163,2,FALSE)*AP$55</f>
        <v>252558.16041799926</v>
      </c>
      <c r="AQ29" s="103">
        <f>VLOOKUP($AF29,'US Grid mix, emissions&amp;prices'!$H$113:$I$163,2,FALSE)*AQ$55</f>
        <v>252558.16041799926</v>
      </c>
      <c r="AR29" s="103">
        <f>VLOOKUP($AF29,'US Grid mix, emissions&amp;prices'!$H$113:$I$163,2,FALSE)*AR$55</f>
        <v>252558.16041799926</v>
      </c>
      <c r="AS29" s="103">
        <f>VLOOKUP($AF29,'US Grid mix, emissions&amp;prices'!$H$113:$I$163,2,FALSE)*AS$55</f>
        <v>252558.16041799926</v>
      </c>
      <c r="AT29" s="103">
        <f>VLOOKUP($AF29,'US Grid mix, emissions&amp;prices'!$H$113:$I$163,2,FALSE)*AT$55</f>
        <v>252558.16041799926</v>
      </c>
      <c r="AU29" s="103">
        <f>VLOOKUP($AF29,'US Grid mix, emissions&amp;prices'!$H$113:$I$163,2,FALSE)*AU$55</f>
        <v>252558.16041799926</v>
      </c>
      <c r="AV29" s="103">
        <f>VLOOKUP($AF29,'US Grid mix, emissions&amp;prices'!$H$113:$I$163,2,FALSE)*AV$55</f>
        <v>252558.16041799926</v>
      </c>
      <c r="AW29" s="103">
        <f>VLOOKUP($AF29,'US Grid mix, emissions&amp;prices'!$H$113:$I$163,2,FALSE)*AW$55</f>
        <v>252558.16041799926</v>
      </c>
      <c r="AX29" s="103">
        <f>VLOOKUP($AF29,'US Grid mix, emissions&amp;prices'!$H$113:$I$163,2,FALSE)*AX$55</f>
        <v>252558.16041799926</v>
      </c>
      <c r="AY29" s="103">
        <f>VLOOKUP($AF29,'US Grid mix, emissions&amp;prices'!$H$113:$I$163,2,FALSE)*AY$55</f>
        <v>252558.16041799926</v>
      </c>
      <c r="AZ29" s="103">
        <f>VLOOKUP($AF29,'US Grid mix, emissions&amp;prices'!$H$113:$I$163,2,FALSE)*AZ$55</f>
        <v>252558.16041799926</v>
      </c>
      <c r="BA29" s="103">
        <f>VLOOKUP($AF29,'US Grid mix, emissions&amp;prices'!$H$113:$I$163,2,FALSE)*BA$55</f>
        <v>252558.16041799926</v>
      </c>
      <c r="BB29" s="103">
        <f>VLOOKUP($AF29,'US Grid mix, emissions&amp;prices'!$H$113:$I$163,2,FALSE)*BB$55</f>
        <v>252558.16041799926</v>
      </c>
      <c r="BC29" s="103">
        <f>VLOOKUP($AF29,'US Grid mix, emissions&amp;prices'!$H$113:$I$163,2,FALSE)*BC$55</f>
        <v>252558.16041799926</v>
      </c>
      <c r="BD29" s="103">
        <f>VLOOKUP($AF29,'US Grid mix, emissions&amp;prices'!$H$113:$I$163,2,FALSE)*BD$55</f>
        <v>252558.16041799926</v>
      </c>
      <c r="BE29" s="103">
        <f>VLOOKUP($AF29,'US Grid mix, emissions&amp;prices'!$H$113:$I$163,2,FALSE)*BE$55</f>
        <v>252558.16041799926</v>
      </c>
      <c r="BF29" s="103">
        <f>VLOOKUP($AF29,'US Grid mix, emissions&amp;prices'!$H$113:$I$163,2,FALSE)*BF$55</f>
        <v>252558.16041799926</v>
      </c>
      <c r="BG29" s="103">
        <f>VLOOKUP($AF29,'US Grid mix, emissions&amp;prices'!$H$113:$I$163,2,FALSE)*BG$55</f>
        <v>252558.16041799926</v>
      </c>
      <c r="BH29" s="103">
        <f>VLOOKUP($AF29,'US Grid mix, emissions&amp;prices'!$H$113:$I$163,2,FALSE)*BH$55</f>
        <v>252558.16041799926</v>
      </c>
      <c r="BL29" s="123" t="s">
        <v>208</v>
      </c>
      <c r="BM29" s="103">
        <f>VLOOKUP($BL29,'US Grid mix, emissions&amp;prices'!$H$113:$I$163,2,FALSE)*BM$55</f>
        <v>187755.33150176093</v>
      </c>
      <c r="BN29" s="103">
        <f>VLOOKUP($BL29,'US Grid mix, emissions&amp;prices'!$H$113:$I$163,2,FALSE)*BN$55</f>
        <v>187755.33150176093</v>
      </c>
      <c r="BO29" s="103">
        <f>VLOOKUP($BL29,'US Grid mix, emissions&amp;prices'!$H$113:$I$163,2,FALSE)*BO$55</f>
        <v>187755.33150176093</v>
      </c>
      <c r="BP29" s="103">
        <f>VLOOKUP($BL29,'US Grid mix, emissions&amp;prices'!$H$113:$I$163,2,FALSE)*BP$55</f>
        <v>187755.33150176093</v>
      </c>
      <c r="BQ29" s="103">
        <f>VLOOKUP($BL29,'US Grid mix, emissions&amp;prices'!$H$113:$I$163,2,FALSE)*BQ$55</f>
        <v>187755.33150176093</v>
      </c>
      <c r="BR29" s="103">
        <f>VLOOKUP($BL29,'US Grid mix, emissions&amp;prices'!$H$113:$I$163,2,FALSE)*BR$55</f>
        <v>187755.33150176093</v>
      </c>
      <c r="BS29" s="103">
        <f>VLOOKUP($BL29,'US Grid mix, emissions&amp;prices'!$H$113:$I$163,2,FALSE)*BS$55</f>
        <v>187755.33150176093</v>
      </c>
      <c r="BT29" s="103">
        <f>VLOOKUP($BL29,'US Grid mix, emissions&amp;prices'!$H$113:$I$163,2,FALSE)*BT$55</f>
        <v>187755.33150176093</v>
      </c>
      <c r="BU29" s="103">
        <f>VLOOKUP($BL29,'US Grid mix, emissions&amp;prices'!$H$113:$I$163,2,FALSE)*BU$55</f>
        <v>187755.33150176093</v>
      </c>
      <c r="BV29" s="103">
        <f>VLOOKUP($BL29,'US Grid mix, emissions&amp;prices'!$H$113:$I$163,2,FALSE)*BV$55</f>
        <v>187755.33150176093</v>
      </c>
      <c r="BW29" s="103">
        <f>VLOOKUP($BL29,'US Grid mix, emissions&amp;prices'!$H$113:$I$163,2,FALSE)*BW$55</f>
        <v>187755.33150176093</v>
      </c>
      <c r="BX29" s="103">
        <f>VLOOKUP($BL29,'US Grid mix, emissions&amp;prices'!$H$113:$I$163,2,FALSE)*BX$55</f>
        <v>187755.33150176093</v>
      </c>
      <c r="BY29" s="103">
        <f>VLOOKUP($BL29,'US Grid mix, emissions&amp;prices'!$H$113:$I$163,2,FALSE)*BY$55</f>
        <v>187755.33150176093</v>
      </c>
      <c r="BZ29" s="103">
        <f>VLOOKUP($BL29,'US Grid mix, emissions&amp;prices'!$H$113:$I$163,2,FALSE)*BZ$55</f>
        <v>187755.33150176093</v>
      </c>
      <c r="CA29" s="103">
        <f>VLOOKUP($BL29,'US Grid mix, emissions&amp;prices'!$H$113:$I$163,2,FALSE)*CA$55</f>
        <v>187755.33150176093</v>
      </c>
      <c r="CB29" s="103">
        <f>VLOOKUP($BL29,'US Grid mix, emissions&amp;prices'!$H$113:$I$163,2,FALSE)*CB$55</f>
        <v>187755.33150176093</v>
      </c>
      <c r="CC29" s="103">
        <f>VLOOKUP($BL29,'US Grid mix, emissions&amp;prices'!$H$113:$I$163,2,FALSE)*CC$55</f>
        <v>187755.33150176093</v>
      </c>
      <c r="CD29" s="103">
        <f>VLOOKUP($BL29,'US Grid mix, emissions&amp;prices'!$H$113:$I$163,2,FALSE)*CD$55</f>
        <v>187755.33150176093</v>
      </c>
      <c r="CE29" s="103">
        <f>VLOOKUP($BL29,'US Grid mix, emissions&amp;prices'!$H$113:$I$163,2,FALSE)*CE$55</f>
        <v>187755.33150176093</v>
      </c>
      <c r="CF29" s="103">
        <f>VLOOKUP($BL29,'US Grid mix, emissions&amp;prices'!$H$113:$I$163,2,FALSE)*CF$55</f>
        <v>187755.33150176093</v>
      </c>
      <c r="CG29" s="103">
        <f>VLOOKUP($BL29,'US Grid mix, emissions&amp;prices'!$H$113:$I$163,2,FALSE)*CG$55</f>
        <v>187755.33150176093</v>
      </c>
      <c r="CH29" s="103">
        <f>VLOOKUP($BL29,'US Grid mix, emissions&amp;prices'!$H$113:$I$163,2,FALSE)*CH$55</f>
        <v>187755.33150176093</v>
      </c>
      <c r="CI29" s="103">
        <f>VLOOKUP($BL29,'US Grid mix, emissions&amp;prices'!$H$113:$I$163,2,FALSE)*CI$55</f>
        <v>187755.33150176093</v>
      </c>
      <c r="CJ29" s="103">
        <f>VLOOKUP($BL29,'US Grid mix, emissions&amp;prices'!$H$113:$I$163,2,FALSE)*CJ$55</f>
        <v>187755.33150176093</v>
      </c>
      <c r="CK29" s="103">
        <f>VLOOKUP($BL29,'US Grid mix, emissions&amp;prices'!$H$113:$I$163,2,FALSE)*CK$55</f>
        <v>187755.33150176093</v>
      </c>
      <c r="CL29" s="103">
        <f>VLOOKUP($BL29,'US Grid mix, emissions&amp;prices'!$H$113:$I$163,2,FALSE)*CL$55</f>
        <v>187755.33150176093</v>
      </c>
      <c r="CM29" s="103">
        <f>VLOOKUP($BL29,'US Grid mix, emissions&amp;prices'!$H$113:$I$163,2,FALSE)*CM$55</f>
        <v>187755.33150176093</v>
      </c>
      <c r="CN29" s="103">
        <f>VLOOKUP($BL29,'US Grid mix, emissions&amp;prices'!$H$113:$I$163,2,FALSE)*CN$55</f>
        <v>187755.33150176093</v>
      </c>
    </row>
    <row r="30" spans="1:92" x14ac:dyDescent="0.25">
      <c r="A30" s="123" t="s">
        <v>211</v>
      </c>
      <c r="B30" s="103">
        <f>VLOOKUP($A30,'US Grid mix, emissions&amp;prices'!$H$113:$I$163,2,FALSE)*B$55</f>
        <v>205955.56877644284</v>
      </c>
      <c r="C30" s="103">
        <f>VLOOKUP($A30,'US Grid mix, emissions&amp;prices'!$H$113:$I$163,2,FALSE)*C$55</f>
        <v>205955.56877644284</v>
      </c>
      <c r="D30" s="103">
        <f>VLOOKUP($A30,'US Grid mix, emissions&amp;prices'!$H$113:$I$163,2,FALSE)*D$55</f>
        <v>205955.56877644284</v>
      </c>
      <c r="E30" s="103">
        <f>VLOOKUP($A30,'US Grid mix, emissions&amp;prices'!$H$113:$I$163,2,FALSE)*E$55</f>
        <v>205955.56877644284</v>
      </c>
      <c r="F30" s="103">
        <f>VLOOKUP($A30,'US Grid mix, emissions&amp;prices'!$H$113:$I$163,2,FALSE)*F$55</f>
        <v>205955.56877644284</v>
      </c>
      <c r="G30" s="103">
        <f>VLOOKUP($A30,'US Grid mix, emissions&amp;prices'!$H$113:$I$163,2,FALSE)*G$55</f>
        <v>205955.56877644284</v>
      </c>
      <c r="H30" s="103">
        <f>VLOOKUP($A30,'US Grid mix, emissions&amp;prices'!$H$113:$I$163,2,FALSE)*H$55</f>
        <v>205955.56877644284</v>
      </c>
      <c r="I30" s="103">
        <f>VLOOKUP($A30,'US Grid mix, emissions&amp;prices'!$H$113:$I$163,2,FALSE)*I$55</f>
        <v>205955.56877644284</v>
      </c>
      <c r="J30" s="103">
        <f>VLOOKUP($A30,'US Grid mix, emissions&amp;prices'!$H$113:$I$163,2,FALSE)*J$55</f>
        <v>205955.56877644284</v>
      </c>
      <c r="K30" s="103">
        <f>VLOOKUP($A30,'US Grid mix, emissions&amp;prices'!$H$113:$I$163,2,FALSE)*K$55</f>
        <v>205955.56877644284</v>
      </c>
      <c r="L30" s="103">
        <f>VLOOKUP($A30,'US Grid mix, emissions&amp;prices'!$H$113:$I$163,2,FALSE)*L$55</f>
        <v>205955.56877644284</v>
      </c>
      <c r="M30" s="103">
        <f>VLOOKUP($A30,'US Grid mix, emissions&amp;prices'!$H$113:$I$163,2,FALSE)*M$55</f>
        <v>205955.56877644284</v>
      </c>
      <c r="N30" s="103">
        <f>VLOOKUP($A30,'US Grid mix, emissions&amp;prices'!$H$113:$I$163,2,FALSE)*N$55</f>
        <v>205955.56877644284</v>
      </c>
      <c r="O30" s="103">
        <f>VLOOKUP($A30,'US Grid mix, emissions&amp;prices'!$H$113:$I$163,2,FALSE)*O$55</f>
        <v>205955.56877644284</v>
      </c>
      <c r="P30" s="103">
        <f>VLOOKUP($A30,'US Grid mix, emissions&amp;prices'!$H$113:$I$163,2,FALSE)*P$55</f>
        <v>205955.56877644284</v>
      </c>
      <c r="Q30" s="103">
        <f>VLOOKUP($A30,'US Grid mix, emissions&amp;prices'!$H$113:$I$163,2,FALSE)*Q$55</f>
        <v>205955.56877644284</v>
      </c>
      <c r="R30" s="103">
        <f>VLOOKUP($A30,'US Grid mix, emissions&amp;prices'!$H$113:$I$163,2,FALSE)*R$55</f>
        <v>205955.56877644284</v>
      </c>
      <c r="S30" s="103">
        <f>VLOOKUP($A30,'US Grid mix, emissions&amp;prices'!$H$113:$I$163,2,FALSE)*S$55</f>
        <v>205955.56877644284</v>
      </c>
      <c r="T30" s="103">
        <f>VLOOKUP($A30,'US Grid mix, emissions&amp;prices'!$H$113:$I$163,2,FALSE)*T$55</f>
        <v>205955.56877644284</v>
      </c>
      <c r="U30" s="103">
        <f>VLOOKUP($A30,'US Grid mix, emissions&amp;prices'!$H$113:$I$163,2,FALSE)*U$55</f>
        <v>205955.56877644284</v>
      </c>
      <c r="V30" s="103">
        <f>VLOOKUP($A30,'US Grid mix, emissions&amp;prices'!$H$113:$I$163,2,FALSE)*V$55</f>
        <v>205955.56877644284</v>
      </c>
      <c r="W30" s="103">
        <f>VLOOKUP($A30,'US Grid mix, emissions&amp;prices'!$H$113:$I$163,2,FALSE)*W$55</f>
        <v>205955.56877644284</v>
      </c>
      <c r="X30" s="103">
        <f>VLOOKUP($A30,'US Grid mix, emissions&amp;prices'!$H$113:$I$163,2,FALSE)*X$55</f>
        <v>205955.56877644284</v>
      </c>
      <c r="Y30" s="103">
        <f>VLOOKUP($A30,'US Grid mix, emissions&amp;prices'!$H$113:$I$163,2,FALSE)*Y$55</f>
        <v>205955.56877644284</v>
      </c>
      <c r="Z30" s="103">
        <f>VLOOKUP($A30,'US Grid mix, emissions&amp;prices'!$H$113:$I$163,2,FALSE)*Z$55</f>
        <v>205955.56877644284</v>
      </c>
      <c r="AA30" s="103">
        <f>VLOOKUP($A30,'US Grid mix, emissions&amp;prices'!$H$113:$I$163,2,FALSE)*AA$55</f>
        <v>205955.56877644284</v>
      </c>
      <c r="AB30" s="103">
        <f>VLOOKUP($A30,'US Grid mix, emissions&amp;prices'!$H$113:$I$163,2,FALSE)*AB$55</f>
        <v>205955.56877644284</v>
      </c>
      <c r="AC30" s="103">
        <f>VLOOKUP($A30,'US Grid mix, emissions&amp;prices'!$H$113:$I$163,2,FALSE)*AC$55</f>
        <v>205955.56877644284</v>
      </c>
      <c r="AF30" s="123" t="s">
        <v>211</v>
      </c>
      <c r="AG30" s="103">
        <f>VLOOKUP($AF30,'US Grid mix, emissions&amp;prices'!$H$113:$I$163,2,FALSE)*AG$55</f>
        <v>241402.13282881607</v>
      </c>
      <c r="AH30" s="103">
        <f>VLOOKUP($AF30,'US Grid mix, emissions&amp;prices'!$H$113:$I$163,2,FALSE)*AH$55</f>
        <v>241402.13282881607</v>
      </c>
      <c r="AI30" s="103">
        <f>VLOOKUP($AF30,'US Grid mix, emissions&amp;prices'!$H$113:$I$163,2,FALSE)*AI$55</f>
        <v>241402.13282881607</v>
      </c>
      <c r="AJ30" s="103">
        <f>VLOOKUP($AF30,'US Grid mix, emissions&amp;prices'!$H$113:$I$163,2,FALSE)*AJ$55</f>
        <v>241402.13282881607</v>
      </c>
      <c r="AK30" s="103">
        <f>VLOOKUP($AF30,'US Grid mix, emissions&amp;prices'!$H$113:$I$163,2,FALSE)*AK$55</f>
        <v>241402.13282881607</v>
      </c>
      <c r="AL30" s="103">
        <f>VLOOKUP($AF30,'US Grid mix, emissions&amp;prices'!$H$113:$I$163,2,FALSE)*AL$55</f>
        <v>241402.13282881607</v>
      </c>
      <c r="AM30" s="103">
        <f>VLOOKUP($AF30,'US Grid mix, emissions&amp;prices'!$H$113:$I$163,2,FALSE)*AM$55</f>
        <v>241402.13282881607</v>
      </c>
      <c r="AN30" s="103">
        <f>VLOOKUP($AF30,'US Grid mix, emissions&amp;prices'!$H$113:$I$163,2,FALSE)*AN$55</f>
        <v>241402.13282881607</v>
      </c>
      <c r="AO30" s="103">
        <f>VLOOKUP($AF30,'US Grid mix, emissions&amp;prices'!$H$113:$I$163,2,FALSE)*AO$55</f>
        <v>241402.13282881607</v>
      </c>
      <c r="AP30" s="103">
        <f>VLOOKUP($AF30,'US Grid mix, emissions&amp;prices'!$H$113:$I$163,2,FALSE)*AP$55</f>
        <v>241402.13282881607</v>
      </c>
      <c r="AQ30" s="103">
        <f>VLOOKUP($AF30,'US Grid mix, emissions&amp;prices'!$H$113:$I$163,2,FALSE)*AQ$55</f>
        <v>241402.13282881607</v>
      </c>
      <c r="AR30" s="103">
        <f>VLOOKUP($AF30,'US Grid mix, emissions&amp;prices'!$H$113:$I$163,2,FALSE)*AR$55</f>
        <v>241402.13282881607</v>
      </c>
      <c r="AS30" s="103">
        <f>VLOOKUP($AF30,'US Grid mix, emissions&amp;prices'!$H$113:$I$163,2,FALSE)*AS$55</f>
        <v>241402.13282881607</v>
      </c>
      <c r="AT30" s="103">
        <f>VLOOKUP($AF30,'US Grid mix, emissions&amp;prices'!$H$113:$I$163,2,FALSE)*AT$55</f>
        <v>241402.13282881607</v>
      </c>
      <c r="AU30" s="103">
        <f>VLOOKUP($AF30,'US Grid mix, emissions&amp;prices'!$H$113:$I$163,2,FALSE)*AU$55</f>
        <v>241402.13282881607</v>
      </c>
      <c r="AV30" s="103">
        <f>VLOOKUP($AF30,'US Grid mix, emissions&amp;prices'!$H$113:$I$163,2,FALSE)*AV$55</f>
        <v>241402.13282881607</v>
      </c>
      <c r="AW30" s="103">
        <f>VLOOKUP($AF30,'US Grid mix, emissions&amp;prices'!$H$113:$I$163,2,FALSE)*AW$55</f>
        <v>241402.13282881607</v>
      </c>
      <c r="AX30" s="103">
        <f>VLOOKUP($AF30,'US Grid mix, emissions&amp;prices'!$H$113:$I$163,2,FALSE)*AX$55</f>
        <v>241402.13282881607</v>
      </c>
      <c r="AY30" s="103">
        <f>VLOOKUP($AF30,'US Grid mix, emissions&amp;prices'!$H$113:$I$163,2,FALSE)*AY$55</f>
        <v>241402.13282881607</v>
      </c>
      <c r="AZ30" s="103">
        <f>VLOOKUP($AF30,'US Grid mix, emissions&amp;prices'!$H$113:$I$163,2,FALSE)*AZ$55</f>
        <v>241402.13282881607</v>
      </c>
      <c r="BA30" s="103">
        <f>VLOOKUP($AF30,'US Grid mix, emissions&amp;prices'!$H$113:$I$163,2,FALSE)*BA$55</f>
        <v>241402.13282881607</v>
      </c>
      <c r="BB30" s="103">
        <f>VLOOKUP($AF30,'US Grid mix, emissions&amp;prices'!$H$113:$I$163,2,FALSE)*BB$55</f>
        <v>241402.13282881607</v>
      </c>
      <c r="BC30" s="103">
        <f>VLOOKUP($AF30,'US Grid mix, emissions&amp;prices'!$H$113:$I$163,2,FALSE)*BC$55</f>
        <v>241402.13282881607</v>
      </c>
      <c r="BD30" s="103">
        <f>VLOOKUP($AF30,'US Grid mix, emissions&amp;prices'!$H$113:$I$163,2,FALSE)*BD$55</f>
        <v>241402.13282881607</v>
      </c>
      <c r="BE30" s="103">
        <f>VLOOKUP($AF30,'US Grid mix, emissions&amp;prices'!$H$113:$I$163,2,FALSE)*BE$55</f>
        <v>241402.13282881607</v>
      </c>
      <c r="BF30" s="103">
        <f>VLOOKUP($AF30,'US Grid mix, emissions&amp;prices'!$H$113:$I$163,2,FALSE)*BF$55</f>
        <v>241402.13282881607</v>
      </c>
      <c r="BG30" s="103">
        <f>VLOOKUP($AF30,'US Grid mix, emissions&amp;prices'!$H$113:$I$163,2,FALSE)*BG$55</f>
        <v>241402.13282881607</v>
      </c>
      <c r="BH30" s="103">
        <f>VLOOKUP($AF30,'US Grid mix, emissions&amp;prices'!$H$113:$I$163,2,FALSE)*BH$55</f>
        <v>241402.13282881607</v>
      </c>
      <c r="BL30" s="123" t="s">
        <v>211</v>
      </c>
      <c r="BM30" s="103">
        <f>VLOOKUP($BL30,'US Grid mix, emissions&amp;prices'!$H$113:$I$163,2,FALSE)*BM$55</f>
        <v>179461.7817911391</v>
      </c>
      <c r="BN30" s="103">
        <f>VLOOKUP($BL30,'US Grid mix, emissions&amp;prices'!$H$113:$I$163,2,FALSE)*BN$55</f>
        <v>179461.7817911391</v>
      </c>
      <c r="BO30" s="103">
        <f>VLOOKUP($BL30,'US Grid mix, emissions&amp;prices'!$H$113:$I$163,2,FALSE)*BO$55</f>
        <v>179461.7817911391</v>
      </c>
      <c r="BP30" s="103">
        <f>VLOOKUP($BL30,'US Grid mix, emissions&amp;prices'!$H$113:$I$163,2,FALSE)*BP$55</f>
        <v>179461.7817911391</v>
      </c>
      <c r="BQ30" s="103">
        <f>VLOOKUP($BL30,'US Grid mix, emissions&amp;prices'!$H$113:$I$163,2,FALSE)*BQ$55</f>
        <v>179461.7817911391</v>
      </c>
      <c r="BR30" s="103">
        <f>VLOOKUP($BL30,'US Grid mix, emissions&amp;prices'!$H$113:$I$163,2,FALSE)*BR$55</f>
        <v>179461.7817911391</v>
      </c>
      <c r="BS30" s="103">
        <f>VLOOKUP($BL30,'US Grid mix, emissions&amp;prices'!$H$113:$I$163,2,FALSE)*BS$55</f>
        <v>179461.7817911391</v>
      </c>
      <c r="BT30" s="103">
        <f>VLOOKUP($BL30,'US Grid mix, emissions&amp;prices'!$H$113:$I$163,2,FALSE)*BT$55</f>
        <v>179461.7817911391</v>
      </c>
      <c r="BU30" s="103">
        <f>VLOOKUP($BL30,'US Grid mix, emissions&amp;prices'!$H$113:$I$163,2,FALSE)*BU$55</f>
        <v>179461.7817911391</v>
      </c>
      <c r="BV30" s="103">
        <f>VLOOKUP($BL30,'US Grid mix, emissions&amp;prices'!$H$113:$I$163,2,FALSE)*BV$55</f>
        <v>179461.7817911391</v>
      </c>
      <c r="BW30" s="103">
        <f>VLOOKUP($BL30,'US Grid mix, emissions&amp;prices'!$H$113:$I$163,2,FALSE)*BW$55</f>
        <v>179461.7817911391</v>
      </c>
      <c r="BX30" s="103">
        <f>VLOOKUP($BL30,'US Grid mix, emissions&amp;prices'!$H$113:$I$163,2,FALSE)*BX$55</f>
        <v>179461.7817911391</v>
      </c>
      <c r="BY30" s="103">
        <f>VLOOKUP($BL30,'US Grid mix, emissions&amp;prices'!$H$113:$I$163,2,FALSE)*BY$55</f>
        <v>179461.7817911391</v>
      </c>
      <c r="BZ30" s="103">
        <f>VLOOKUP($BL30,'US Grid mix, emissions&amp;prices'!$H$113:$I$163,2,FALSE)*BZ$55</f>
        <v>179461.7817911391</v>
      </c>
      <c r="CA30" s="103">
        <f>VLOOKUP($BL30,'US Grid mix, emissions&amp;prices'!$H$113:$I$163,2,FALSE)*CA$55</f>
        <v>179461.7817911391</v>
      </c>
      <c r="CB30" s="103">
        <f>VLOOKUP($BL30,'US Grid mix, emissions&amp;prices'!$H$113:$I$163,2,FALSE)*CB$55</f>
        <v>179461.7817911391</v>
      </c>
      <c r="CC30" s="103">
        <f>VLOOKUP($BL30,'US Grid mix, emissions&amp;prices'!$H$113:$I$163,2,FALSE)*CC$55</f>
        <v>179461.7817911391</v>
      </c>
      <c r="CD30" s="103">
        <f>VLOOKUP($BL30,'US Grid mix, emissions&amp;prices'!$H$113:$I$163,2,FALSE)*CD$55</f>
        <v>179461.7817911391</v>
      </c>
      <c r="CE30" s="103">
        <f>VLOOKUP($BL30,'US Grid mix, emissions&amp;prices'!$H$113:$I$163,2,FALSE)*CE$55</f>
        <v>179461.7817911391</v>
      </c>
      <c r="CF30" s="103">
        <f>VLOOKUP($BL30,'US Grid mix, emissions&amp;prices'!$H$113:$I$163,2,FALSE)*CF$55</f>
        <v>179461.7817911391</v>
      </c>
      <c r="CG30" s="103">
        <f>VLOOKUP($BL30,'US Grid mix, emissions&amp;prices'!$H$113:$I$163,2,FALSE)*CG$55</f>
        <v>179461.7817911391</v>
      </c>
      <c r="CH30" s="103">
        <f>VLOOKUP($BL30,'US Grid mix, emissions&amp;prices'!$H$113:$I$163,2,FALSE)*CH$55</f>
        <v>179461.7817911391</v>
      </c>
      <c r="CI30" s="103">
        <f>VLOOKUP($BL30,'US Grid mix, emissions&amp;prices'!$H$113:$I$163,2,FALSE)*CI$55</f>
        <v>179461.7817911391</v>
      </c>
      <c r="CJ30" s="103">
        <f>VLOOKUP($BL30,'US Grid mix, emissions&amp;prices'!$H$113:$I$163,2,FALSE)*CJ$55</f>
        <v>179461.7817911391</v>
      </c>
      <c r="CK30" s="103">
        <f>VLOOKUP($BL30,'US Grid mix, emissions&amp;prices'!$H$113:$I$163,2,FALSE)*CK$55</f>
        <v>179461.7817911391</v>
      </c>
      <c r="CL30" s="103">
        <f>VLOOKUP($BL30,'US Grid mix, emissions&amp;prices'!$H$113:$I$163,2,FALSE)*CL$55</f>
        <v>179461.7817911391</v>
      </c>
      <c r="CM30" s="103">
        <f>VLOOKUP($BL30,'US Grid mix, emissions&amp;prices'!$H$113:$I$163,2,FALSE)*CM$55</f>
        <v>179461.7817911391</v>
      </c>
      <c r="CN30" s="103">
        <f>VLOOKUP($BL30,'US Grid mix, emissions&amp;prices'!$H$113:$I$163,2,FALSE)*CN$55</f>
        <v>179461.7817911391</v>
      </c>
    </row>
    <row r="31" spans="1:92" x14ac:dyDescent="0.25">
      <c r="A31" s="123" t="s">
        <v>215</v>
      </c>
      <c r="B31" s="103">
        <f>VLOOKUP($A31,'US Grid mix, emissions&amp;prices'!$H$113:$I$163,2,FALSE)*B$55</f>
        <v>145449.36737540556</v>
      </c>
      <c r="C31" s="103">
        <f>VLOOKUP($A31,'US Grid mix, emissions&amp;prices'!$H$113:$I$163,2,FALSE)*C$55</f>
        <v>145449.36737540556</v>
      </c>
      <c r="D31" s="103">
        <f>VLOOKUP($A31,'US Grid mix, emissions&amp;prices'!$H$113:$I$163,2,FALSE)*D$55</f>
        <v>145449.36737540556</v>
      </c>
      <c r="E31" s="103">
        <f>VLOOKUP($A31,'US Grid mix, emissions&amp;prices'!$H$113:$I$163,2,FALSE)*E$55</f>
        <v>145449.36737540556</v>
      </c>
      <c r="F31" s="103">
        <f>VLOOKUP($A31,'US Grid mix, emissions&amp;prices'!$H$113:$I$163,2,FALSE)*F$55</f>
        <v>145449.36737540556</v>
      </c>
      <c r="G31" s="103">
        <f>VLOOKUP($A31,'US Grid mix, emissions&amp;prices'!$H$113:$I$163,2,FALSE)*G$55</f>
        <v>145449.36737540556</v>
      </c>
      <c r="H31" s="103">
        <f>VLOOKUP($A31,'US Grid mix, emissions&amp;prices'!$H$113:$I$163,2,FALSE)*H$55</f>
        <v>145449.36737540556</v>
      </c>
      <c r="I31" s="103">
        <f>VLOOKUP($A31,'US Grid mix, emissions&amp;prices'!$H$113:$I$163,2,FALSE)*I$55</f>
        <v>145449.36737540556</v>
      </c>
      <c r="J31" s="103">
        <f>VLOOKUP($A31,'US Grid mix, emissions&amp;prices'!$H$113:$I$163,2,FALSE)*J$55</f>
        <v>145449.36737540556</v>
      </c>
      <c r="K31" s="103">
        <f>VLOOKUP($A31,'US Grid mix, emissions&amp;prices'!$H$113:$I$163,2,FALSE)*K$55</f>
        <v>145449.36737540556</v>
      </c>
      <c r="L31" s="103">
        <f>VLOOKUP($A31,'US Grid mix, emissions&amp;prices'!$H$113:$I$163,2,FALSE)*L$55</f>
        <v>145449.36737540556</v>
      </c>
      <c r="M31" s="103">
        <f>VLOOKUP($A31,'US Grid mix, emissions&amp;prices'!$H$113:$I$163,2,FALSE)*M$55</f>
        <v>145449.36737540556</v>
      </c>
      <c r="N31" s="103">
        <f>VLOOKUP($A31,'US Grid mix, emissions&amp;prices'!$H$113:$I$163,2,FALSE)*N$55</f>
        <v>145449.36737540556</v>
      </c>
      <c r="O31" s="103">
        <f>VLOOKUP($A31,'US Grid mix, emissions&amp;prices'!$H$113:$I$163,2,FALSE)*O$55</f>
        <v>145449.36737540556</v>
      </c>
      <c r="P31" s="103">
        <f>VLOOKUP($A31,'US Grid mix, emissions&amp;prices'!$H$113:$I$163,2,FALSE)*P$55</f>
        <v>145449.36737540556</v>
      </c>
      <c r="Q31" s="103">
        <f>VLOOKUP($A31,'US Grid mix, emissions&amp;prices'!$H$113:$I$163,2,FALSE)*Q$55</f>
        <v>145449.36737540556</v>
      </c>
      <c r="R31" s="103">
        <f>VLOOKUP($A31,'US Grid mix, emissions&amp;prices'!$H$113:$I$163,2,FALSE)*R$55</f>
        <v>145449.36737540556</v>
      </c>
      <c r="S31" s="103">
        <f>VLOOKUP($A31,'US Grid mix, emissions&amp;prices'!$H$113:$I$163,2,FALSE)*S$55</f>
        <v>145449.36737540556</v>
      </c>
      <c r="T31" s="103">
        <f>VLOOKUP($A31,'US Grid mix, emissions&amp;prices'!$H$113:$I$163,2,FALSE)*T$55</f>
        <v>145449.36737540556</v>
      </c>
      <c r="U31" s="103">
        <f>VLOOKUP($A31,'US Grid mix, emissions&amp;prices'!$H$113:$I$163,2,FALSE)*U$55</f>
        <v>145449.36737540556</v>
      </c>
      <c r="V31" s="103">
        <f>VLOOKUP($A31,'US Grid mix, emissions&amp;prices'!$H$113:$I$163,2,FALSE)*V$55</f>
        <v>145449.36737540556</v>
      </c>
      <c r="W31" s="103">
        <f>VLOOKUP($A31,'US Grid mix, emissions&amp;prices'!$H$113:$I$163,2,FALSE)*W$55</f>
        <v>145449.36737540556</v>
      </c>
      <c r="X31" s="103">
        <f>VLOOKUP($A31,'US Grid mix, emissions&amp;prices'!$H$113:$I$163,2,FALSE)*X$55</f>
        <v>145449.36737540556</v>
      </c>
      <c r="Y31" s="103">
        <f>VLOOKUP($A31,'US Grid mix, emissions&amp;prices'!$H$113:$I$163,2,FALSE)*Y$55</f>
        <v>145449.36737540556</v>
      </c>
      <c r="Z31" s="103">
        <f>VLOOKUP($A31,'US Grid mix, emissions&amp;prices'!$H$113:$I$163,2,FALSE)*Z$55</f>
        <v>145449.36737540556</v>
      </c>
      <c r="AA31" s="103">
        <f>VLOOKUP($A31,'US Grid mix, emissions&amp;prices'!$H$113:$I$163,2,FALSE)*AA$55</f>
        <v>145449.36737540556</v>
      </c>
      <c r="AB31" s="103">
        <f>VLOOKUP($A31,'US Grid mix, emissions&amp;prices'!$H$113:$I$163,2,FALSE)*AB$55</f>
        <v>145449.36737540556</v>
      </c>
      <c r="AC31" s="103">
        <f>VLOOKUP($A31,'US Grid mix, emissions&amp;prices'!$H$113:$I$163,2,FALSE)*AC$55</f>
        <v>145449.36737540556</v>
      </c>
      <c r="AF31" s="123" t="s">
        <v>215</v>
      </c>
      <c r="AG31" s="103">
        <f>VLOOKUP($AF31,'US Grid mix, emissions&amp;prices'!$H$113:$I$163,2,FALSE)*AG$55</f>
        <v>170482.34098072612</v>
      </c>
      <c r="AH31" s="103">
        <f>VLOOKUP($AF31,'US Grid mix, emissions&amp;prices'!$H$113:$I$163,2,FALSE)*AH$55</f>
        <v>170482.34098072612</v>
      </c>
      <c r="AI31" s="103">
        <f>VLOOKUP($AF31,'US Grid mix, emissions&amp;prices'!$H$113:$I$163,2,FALSE)*AI$55</f>
        <v>170482.34098072612</v>
      </c>
      <c r="AJ31" s="103">
        <f>VLOOKUP($AF31,'US Grid mix, emissions&amp;prices'!$H$113:$I$163,2,FALSE)*AJ$55</f>
        <v>170482.34098072612</v>
      </c>
      <c r="AK31" s="103">
        <f>VLOOKUP($AF31,'US Grid mix, emissions&amp;prices'!$H$113:$I$163,2,FALSE)*AK$55</f>
        <v>170482.34098072612</v>
      </c>
      <c r="AL31" s="103">
        <f>VLOOKUP($AF31,'US Grid mix, emissions&amp;prices'!$H$113:$I$163,2,FALSE)*AL$55</f>
        <v>170482.34098072612</v>
      </c>
      <c r="AM31" s="103">
        <f>VLOOKUP($AF31,'US Grid mix, emissions&amp;prices'!$H$113:$I$163,2,FALSE)*AM$55</f>
        <v>170482.34098072612</v>
      </c>
      <c r="AN31" s="103">
        <f>VLOOKUP($AF31,'US Grid mix, emissions&amp;prices'!$H$113:$I$163,2,FALSE)*AN$55</f>
        <v>170482.34098072612</v>
      </c>
      <c r="AO31" s="103">
        <f>VLOOKUP($AF31,'US Grid mix, emissions&amp;prices'!$H$113:$I$163,2,FALSE)*AO$55</f>
        <v>170482.34098072612</v>
      </c>
      <c r="AP31" s="103">
        <f>VLOOKUP($AF31,'US Grid mix, emissions&amp;prices'!$H$113:$I$163,2,FALSE)*AP$55</f>
        <v>170482.34098072612</v>
      </c>
      <c r="AQ31" s="103">
        <f>VLOOKUP($AF31,'US Grid mix, emissions&amp;prices'!$H$113:$I$163,2,FALSE)*AQ$55</f>
        <v>170482.34098072612</v>
      </c>
      <c r="AR31" s="103">
        <f>VLOOKUP($AF31,'US Grid mix, emissions&amp;prices'!$H$113:$I$163,2,FALSE)*AR$55</f>
        <v>170482.34098072612</v>
      </c>
      <c r="AS31" s="103">
        <f>VLOOKUP($AF31,'US Grid mix, emissions&amp;prices'!$H$113:$I$163,2,FALSE)*AS$55</f>
        <v>170482.34098072612</v>
      </c>
      <c r="AT31" s="103">
        <f>VLOOKUP($AF31,'US Grid mix, emissions&amp;prices'!$H$113:$I$163,2,FALSE)*AT$55</f>
        <v>170482.34098072612</v>
      </c>
      <c r="AU31" s="103">
        <f>VLOOKUP($AF31,'US Grid mix, emissions&amp;prices'!$H$113:$I$163,2,FALSE)*AU$55</f>
        <v>170482.34098072612</v>
      </c>
      <c r="AV31" s="103">
        <f>VLOOKUP($AF31,'US Grid mix, emissions&amp;prices'!$H$113:$I$163,2,FALSE)*AV$55</f>
        <v>170482.34098072612</v>
      </c>
      <c r="AW31" s="103">
        <f>VLOOKUP($AF31,'US Grid mix, emissions&amp;prices'!$H$113:$I$163,2,FALSE)*AW$55</f>
        <v>170482.34098072612</v>
      </c>
      <c r="AX31" s="103">
        <f>VLOOKUP($AF31,'US Grid mix, emissions&amp;prices'!$H$113:$I$163,2,FALSE)*AX$55</f>
        <v>170482.34098072612</v>
      </c>
      <c r="AY31" s="103">
        <f>VLOOKUP($AF31,'US Grid mix, emissions&amp;prices'!$H$113:$I$163,2,FALSE)*AY$55</f>
        <v>170482.34098072612</v>
      </c>
      <c r="AZ31" s="103">
        <f>VLOOKUP($AF31,'US Grid mix, emissions&amp;prices'!$H$113:$I$163,2,FALSE)*AZ$55</f>
        <v>170482.34098072612</v>
      </c>
      <c r="BA31" s="103">
        <f>VLOOKUP($AF31,'US Grid mix, emissions&amp;prices'!$H$113:$I$163,2,FALSE)*BA$55</f>
        <v>170482.34098072612</v>
      </c>
      <c r="BB31" s="103">
        <f>VLOOKUP($AF31,'US Grid mix, emissions&amp;prices'!$H$113:$I$163,2,FALSE)*BB$55</f>
        <v>170482.34098072612</v>
      </c>
      <c r="BC31" s="103">
        <f>VLOOKUP($AF31,'US Grid mix, emissions&amp;prices'!$H$113:$I$163,2,FALSE)*BC$55</f>
        <v>170482.34098072612</v>
      </c>
      <c r="BD31" s="103">
        <f>VLOOKUP($AF31,'US Grid mix, emissions&amp;prices'!$H$113:$I$163,2,FALSE)*BD$55</f>
        <v>170482.34098072612</v>
      </c>
      <c r="BE31" s="103">
        <f>VLOOKUP($AF31,'US Grid mix, emissions&amp;prices'!$H$113:$I$163,2,FALSE)*BE$55</f>
        <v>170482.34098072612</v>
      </c>
      <c r="BF31" s="103">
        <f>VLOOKUP($AF31,'US Grid mix, emissions&amp;prices'!$H$113:$I$163,2,FALSE)*BF$55</f>
        <v>170482.34098072612</v>
      </c>
      <c r="BG31" s="103">
        <f>VLOOKUP($AF31,'US Grid mix, emissions&amp;prices'!$H$113:$I$163,2,FALSE)*BG$55</f>
        <v>170482.34098072612</v>
      </c>
      <c r="BH31" s="103">
        <f>VLOOKUP($AF31,'US Grid mix, emissions&amp;prices'!$H$113:$I$163,2,FALSE)*BH$55</f>
        <v>170482.34098072612</v>
      </c>
      <c r="BL31" s="123" t="s">
        <v>215</v>
      </c>
      <c r="BM31" s="103">
        <f>VLOOKUP($BL31,'US Grid mix, emissions&amp;prices'!$H$113:$I$163,2,FALSE)*BM$55</f>
        <v>126738.99902127757</v>
      </c>
      <c r="BN31" s="103">
        <f>VLOOKUP($BL31,'US Grid mix, emissions&amp;prices'!$H$113:$I$163,2,FALSE)*BN$55</f>
        <v>126738.99902127757</v>
      </c>
      <c r="BO31" s="103">
        <f>VLOOKUP($BL31,'US Grid mix, emissions&amp;prices'!$H$113:$I$163,2,FALSE)*BO$55</f>
        <v>126738.99902127757</v>
      </c>
      <c r="BP31" s="103">
        <f>VLOOKUP($BL31,'US Grid mix, emissions&amp;prices'!$H$113:$I$163,2,FALSE)*BP$55</f>
        <v>126738.99902127757</v>
      </c>
      <c r="BQ31" s="103">
        <f>VLOOKUP($BL31,'US Grid mix, emissions&amp;prices'!$H$113:$I$163,2,FALSE)*BQ$55</f>
        <v>126738.99902127757</v>
      </c>
      <c r="BR31" s="103">
        <f>VLOOKUP($BL31,'US Grid mix, emissions&amp;prices'!$H$113:$I$163,2,FALSE)*BR$55</f>
        <v>126738.99902127757</v>
      </c>
      <c r="BS31" s="103">
        <f>VLOOKUP($BL31,'US Grid mix, emissions&amp;prices'!$H$113:$I$163,2,FALSE)*BS$55</f>
        <v>126738.99902127757</v>
      </c>
      <c r="BT31" s="103">
        <f>VLOOKUP($BL31,'US Grid mix, emissions&amp;prices'!$H$113:$I$163,2,FALSE)*BT$55</f>
        <v>126738.99902127757</v>
      </c>
      <c r="BU31" s="103">
        <f>VLOOKUP($BL31,'US Grid mix, emissions&amp;prices'!$H$113:$I$163,2,FALSE)*BU$55</f>
        <v>126738.99902127757</v>
      </c>
      <c r="BV31" s="103">
        <f>VLOOKUP($BL31,'US Grid mix, emissions&amp;prices'!$H$113:$I$163,2,FALSE)*BV$55</f>
        <v>126738.99902127757</v>
      </c>
      <c r="BW31" s="103">
        <f>VLOOKUP($BL31,'US Grid mix, emissions&amp;prices'!$H$113:$I$163,2,FALSE)*BW$55</f>
        <v>126738.99902127757</v>
      </c>
      <c r="BX31" s="103">
        <f>VLOOKUP($BL31,'US Grid mix, emissions&amp;prices'!$H$113:$I$163,2,FALSE)*BX$55</f>
        <v>126738.99902127757</v>
      </c>
      <c r="BY31" s="103">
        <f>VLOOKUP($BL31,'US Grid mix, emissions&amp;prices'!$H$113:$I$163,2,FALSE)*BY$55</f>
        <v>126738.99902127757</v>
      </c>
      <c r="BZ31" s="103">
        <f>VLOOKUP($BL31,'US Grid mix, emissions&amp;prices'!$H$113:$I$163,2,FALSE)*BZ$55</f>
        <v>126738.99902127757</v>
      </c>
      <c r="CA31" s="103">
        <f>VLOOKUP($BL31,'US Grid mix, emissions&amp;prices'!$H$113:$I$163,2,FALSE)*CA$55</f>
        <v>126738.99902127757</v>
      </c>
      <c r="CB31" s="103">
        <f>VLOOKUP($BL31,'US Grid mix, emissions&amp;prices'!$H$113:$I$163,2,FALSE)*CB$55</f>
        <v>126738.99902127757</v>
      </c>
      <c r="CC31" s="103">
        <f>VLOOKUP($BL31,'US Grid mix, emissions&amp;prices'!$H$113:$I$163,2,FALSE)*CC$55</f>
        <v>126738.99902127757</v>
      </c>
      <c r="CD31" s="103">
        <f>VLOOKUP($BL31,'US Grid mix, emissions&amp;prices'!$H$113:$I$163,2,FALSE)*CD$55</f>
        <v>126738.99902127757</v>
      </c>
      <c r="CE31" s="103">
        <f>VLOOKUP($BL31,'US Grid mix, emissions&amp;prices'!$H$113:$I$163,2,FALSE)*CE$55</f>
        <v>126738.99902127757</v>
      </c>
      <c r="CF31" s="103">
        <f>VLOOKUP($BL31,'US Grid mix, emissions&amp;prices'!$H$113:$I$163,2,FALSE)*CF$55</f>
        <v>126738.99902127757</v>
      </c>
      <c r="CG31" s="103">
        <f>VLOOKUP($BL31,'US Grid mix, emissions&amp;prices'!$H$113:$I$163,2,FALSE)*CG$55</f>
        <v>126738.99902127757</v>
      </c>
      <c r="CH31" s="103">
        <f>VLOOKUP($BL31,'US Grid mix, emissions&amp;prices'!$H$113:$I$163,2,FALSE)*CH$55</f>
        <v>126738.99902127757</v>
      </c>
      <c r="CI31" s="103">
        <f>VLOOKUP($BL31,'US Grid mix, emissions&amp;prices'!$H$113:$I$163,2,FALSE)*CI$55</f>
        <v>126738.99902127757</v>
      </c>
      <c r="CJ31" s="103">
        <f>VLOOKUP($BL31,'US Grid mix, emissions&amp;prices'!$H$113:$I$163,2,FALSE)*CJ$55</f>
        <v>126738.99902127757</v>
      </c>
      <c r="CK31" s="103">
        <f>VLOOKUP($BL31,'US Grid mix, emissions&amp;prices'!$H$113:$I$163,2,FALSE)*CK$55</f>
        <v>126738.99902127757</v>
      </c>
      <c r="CL31" s="103">
        <f>VLOOKUP($BL31,'US Grid mix, emissions&amp;prices'!$H$113:$I$163,2,FALSE)*CL$55</f>
        <v>126738.99902127757</v>
      </c>
      <c r="CM31" s="103">
        <f>VLOOKUP($BL31,'US Grid mix, emissions&amp;prices'!$H$113:$I$163,2,FALSE)*CM$55</f>
        <v>126738.99902127757</v>
      </c>
      <c r="CN31" s="103">
        <f>VLOOKUP($BL31,'US Grid mix, emissions&amp;prices'!$H$113:$I$163,2,FALSE)*CN$55</f>
        <v>126738.99902127757</v>
      </c>
    </row>
    <row r="32" spans="1:92" x14ac:dyDescent="0.25">
      <c r="A32" s="123" t="s">
        <v>212</v>
      </c>
      <c r="B32" s="103">
        <f>VLOOKUP($A32,'US Grid mix, emissions&amp;prices'!$H$113:$I$163,2,FALSE)*B$55</f>
        <v>60997.818450844243</v>
      </c>
      <c r="C32" s="103">
        <f>VLOOKUP($A32,'US Grid mix, emissions&amp;prices'!$H$113:$I$163,2,FALSE)*C$55</f>
        <v>60997.818450844243</v>
      </c>
      <c r="D32" s="103">
        <f>VLOOKUP($A32,'US Grid mix, emissions&amp;prices'!$H$113:$I$163,2,FALSE)*D$55</f>
        <v>60997.818450844243</v>
      </c>
      <c r="E32" s="103">
        <f>VLOOKUP($A32,'US Grid mix, emissions&amp;prices'!$H$113:$I$163,2,FALSE)*E$55</f>
        <v>60997.818450844243</v>
      </c>
      <c r="F32" s="103">
        <f>VLOOKUP($A32,'US Grid mix, emissions&amp;prices'!$H$113:$I$163,2,FALSE)*F$55</f>
        <v>60997.818450844243</v>
      </c>
      <c r="G32" s="103">
        <f>VLOOKUP($A32,'US Grid mix, emissions&amp;prices'!$H$113:$I$163,2,FALSE)*G$55</f>
        <v>60997.818450844243</v>
      </c>
      <c r="H32" s="103">
        <f>VLOOKUP($A32,'US Grid mix, emissions&amp;prices'!$H$113:$I$163,2,FALSE)*H$55</f>
        <v>60997.818450844243</v>
      </c>
      <c r="I32" s="103">
        <f>VLOOKUP($A32,'US Grid mix, emissions&amp;prices'!$H$113:$I$163,2,FALSE)*I$55</f>
        <v>60997.818450844243</v>
      </c>
      <c r="J32" s="103">
        <f>VLOOKUP($A32,'US Grid mix, emissions&amp;prices'!$H$113:$I$163,2,FALSE)*J$55</f>
        <v>60997.818450844243</v>
      </c>
      <c r="K32" s="103">
        <f>VLOOKUP($A32,'US Grid mix, emissions&amp;prices'!$H$113:$I$163,2,FALSE)*K$55</f>
        <v>60997.818450844243</v>
      </c>
      <c r="L32" s="103">
        <f>VLOOKUP($A32,'US Grid mix, emissions&amp;prices'!$H$113:$I$163,2,FALSE)*L$55</f>
        <v>60997.818450844243</v>
      </c>
      <c r="M32" s="103">
        <f>VLOOKUP($A32,'US Grid mix, emissions&amp;prices'!$H$113:$I$163,2,FALSE)*M$55</f>
        <v>60997.818450844243</v>
      </c>
      <c r="N32" s="103">
        <f>VLOOKUP($A32,'US Grid mix, emissions&amp;prices'!$H$113:$I$163,2,FALSE)*N$55</f>
        <v>60997.818450844243</v>
      </c>
      <c r="O32" s="103">
        <f>VLOOKUP($A32,'US Grid mix, emissions&amp;prices'!$H$113:$I$163,2,FALSE)*O$55</f>
        <v>60997.818450844243</v>
      </c>
      <c r="P32" s="103">
        <f>VLOOKUP($A32,'US Grid mix, emissions&amp;prices'!$H$113:$I$163,2,FALSE)*P$55</f>
        <v>60997.818450844243</v>
      </c>
      <c r="Q32" s="103">
        <f>VLOOKUP($A32,'US Grid mix, emissions&amp;prices'!$H$113:$I$163,2,FALSE)*Q$55</f>
        <v>60997.818450844243</v>
      </c>
      <c r="R32" s="103">
        <f>VLOOKUP($A32,'US Grid mix, emissions&amp;prices'!$H$113:$I$163,2,FALSE)*R$55</f>
        <v>60997.818450844243</v>
      </c>
      <c r="S32" s="103">
        <f>VLOOKUP($A32,'US Grid mix, emissions&amp;prices'!$H$113:$I$163,2,FALSE)*S$55</f>
        <v>60997.818450844243</v>
      </c>
      <c r="T32" s="103">
        <f>VLOOKUP($A32,'US Grid mix, emissions&amp;prices'!$H$113:$I$163,2,FALSE)*T$55</f>
        <v>60997.818450844243</v>
      </c>
      <c r="U32" s="103">
        <f>VLOOKUP($A32,'US Grid mix, emissions&amp;prices'!$H$113:$I$163,2,FALSE)*U$55</f>
        <v>60997.818450844243</v>
      </c>
      <c r="V32" s="103">
        <f>VLOOKUP($A32,'US Grid mix, emissions&amp;prices'!$H$113:$I$163,2,FALSE)*V$55</f>
        <v>60997.818450844243</v>
      </c>
      <c r="W32" s="103">
        <f>VLOOKUP($A32,'US Grid mix, emissions&amp;prices'!$H$113:$I$163,2,FALSE)*W$55</f>
        <v>60997.818450844243</v>
      </c>
      <c r="X32" s="103">
        <f>VLOOKUP($A32,'US Grid mix, emissions&amp;prices'!$H$113:$I$163,2,FALSE)*X$55</f>
        <v>60997.818450844243</v>
      </c>
      <c r="Y32" s="103">
        <f>VLOOKUP($A32,'US Grid mix, emissions&amp;prices'!$H$113:$I$163,2,FALSE)*Y$55</f>
        <v>60997.818450844243</v>
      </c>
      <c r="Z32" s="103">
        <f>VLOOKUP($A32,'US Grid mix, emissions&amp;prices'!$H$113:$I$163,2,FALSE)*Z$55</f>
        <v>60997.818450844243</v>
      </c>
      <c r="AA32" s="103">
        <f>VLOOKUP($A32,'US Grid mix, emissions&amp;prices'!$H$113:$I$163,2,FALSE)*AA$55</f>
        <v>60997.818450844243</v>
      </c>
      <c r="AB32" s="103">
        <f>VLOOKUP($A32,'US Grid mix, emissions&amp;prices'!$H$113:$I$163,2,FALSE)*AB$55</f>
        <v>60997.818450844243</v>
      </c>
      <c r="AC32" s="103">
        <f>VLOOKUP($A32,'US Grid mix, emissions&amp;prices'!$H$113:$I$163,2,FALSE)*AC$55</f>
        <v>60997.818450844243</v>
      </c>
      <c r="AF32" s="123" t="s">
        <v>212</v>
      </c>
      <c r="AG32" s="103">
        <f>VLOOKUP($AF32,'US Grid mix, emissions&amp;prices'!$H$113:$I$163,2,FALSE)*AG$55</f>
        <v>71496.020036836955</v>
      </c>
      <c r="AH32" s="103">
        <f>VLOOKUP($AF32,'US Grid mix, emissions&amp;prices'!$H$113:$I$163,2,FALSE)*AH$55</f>
        <v>71496.020036836955</v>
      </c>
      <c r="AI32" s="103">
        <f>VLOOKUP($AF32,'US Grid mix, emissions&amp;prices'!$H$113:$I$163,2,FALSE)*AI$55</f>
        <v>71496.020036836955</v>
      </c>
      <c r="AJ32" s="103">
        <f>VLOOKUP($AF32,'US Grid mix, emissions&amp;prices'!$H$113:$I$163,2,FALSE)*AJ$55</f>
        <v>71496.020036836955</v>
      </c>
      <c r="AK32" s="103">
        <f>VLOOKUP($AF32,'US Grid mix, emissions&amp;prices'!$H$113:$I$163,2,FALSE)*AK$55</f>
        <v>71496.020036836955</v>
      </c>
      <c r="AL32" s="103">
        <f>VLOOKUP($AF32,'US Grid mix, emissions&amp;prices'!$H$113:$I$163,2,FALSE)*AL$55</f>
        <v>71496.020036836955</v>
      </c>
      <c r="AM32" s="103">
        <f>VLOOKUP($AF32,'US Grid mix, emissions&amp;prices'!$H$113:$I$163,2,FALSE)*AM$55</f>
        <v>71496.020036836955</v>
      </c>
      <c r="AN32" s="103">
        <f>VLOOKUP($AF32,'US Grid mix, emissions&amp;prices'!$H$113:$I$163,2,FALSE)*AN$55</f>
        <v>71496.020036836955</v>
      </c>
      <c r="AO32" s="103">
        <f>VLOOKUP($AF32,'US Grid mix, emissions&amp;prices'!$H$113:$I$163,2,FALSE)*AO$55</f>
        <v>71496.020036836955</v>
      </c>
      <c r="AP32" s="103">
        <f>VLOOKUP($AF32,'US Grid mix, emissions&amp;prices'!$H$113:$I$163,2,FALSE)*AP$55</f>
        <v>71496.020036836955</v>
      </c>
      <c r="AQ32" s="103">
        <f>VLOOKUP($AF32,'US Grid mix, emissions&amp;prices'!$H$113:$I$163,2,FALSE)*AQ$55</f>
        <v>71496.020036836955</v>
      </c>
      <c r="AR32" s="103">
        <f>VLOOKUP($AF32,'US Grid mix, emissions&amp;prices'!$H$113:$I$163,2,FALSE)*AR$55</f>
        <v>71496.020036836955</v>
      </c>
      <c r="AS32" s="103">
        <f>VLOOKUP($AF32,'US Grid mix, emissions&amp;prices'!$H$113:$I$163,2,FALSE)*AS$55</f>
        <v>71496.020036836955</v>
      </c>
      <c r="AT32" s="103">
        <f>VLOOKUP($AF32,'US Grid mix, emissions&amp;prices'!$H$113:$I$163,2,FALSE)*AT$55</f>
        <v>71496.020036836955</v>
      </c>
      <c r="AU32" s="103">
        <f>VLOOKUP($AF32,'US Grid mix, emissions&amp;prices'!$H$113:$I$163,2,FALSE)*AU$55</f>
        <v>71496.020036836955</v>
      </c>
      <c r="AV32" s="103">
        <f>VLOOKUP($AF32,'US Grid mix, emissions&amp;prices'!$H$113:$I$163,2,FALSE)*AV$55</f>
        <v>71496.020036836955</v>
      </c>
      <c r="AW32" s="103">
        <f>VLOOKUP($AF32,'US Grid mix, emissions&amp;prices'!$H$113:$I$163,2,FALSE)*AW$55</f>
        <v>71496.020036836955</v>
      </c>
      <c r="AX32" s="103">
        <f>VLOOKUP($AF32,'US Grid mix, emissions&amp;prices'!$H$113:$I$163,2,FALSE)*AX$55</f>
        <v>71496.020036836955</v>
      </c>
      <c r="AY32" s="103">
        <f>VLOOKUP($AF32,'US Grid mix, emissions&amp;prices'!$H$113:$I$163,2,FALSE)*AY$55</f>
        <v>71496.020036836955</v>
      </c>
      <c r="AZ32" s="103">
        <f>VLOOKUP($AF32,'US Grid mix, emissions&amp;prices'!$H$113:$I$163,2,FALSE)*AZ$55</f>
        <v>71496.020036836955</v>
      </c>
      <c r="BA32" s="103">
        <f>VLOOKUP($AF32,'US Grid mix, emissions&amp;prices'!$H$113:$I$163,2,FALSE)*BA$55</f>
        <v>71496.020036836955</v>
      </c>
      <c r="BB32" s="103">
        <f>VLOOKUP($AF32,'US Grid mix, emissions&amp;prices'!$H$113:$I$163,2,FALSE)*BB$55</f>
        <v>71496.020036836955</v>
      </c>
      <c r="BC32" s="103">
        <f>VLOOKUP($AF32,'US Grid mix, emissions&amp;prices'!$H$113:$I$163,2,FALSE)*BC$55</f>
        <v>71496.020036836955</v>
      </c>
      <c r="BD32" s="103">
        <f>VLOOKUP($AF32,'US Grid mix, emissions&amp;prices'!$H$113:$I$163,2,FALSE)*BD$55</f>
        <v>71496.020036836955</v>
      </c>
      <c r="BE32" s="103">
        <f>VLOOKUP($AF32,'US Grid mix, emissions&amp;prices'!$H$113:$I$163,2,FALSE)*BE$55</f>
        <v>71496.020036836955</v>
      </c>
      <c r="BF32" s="103">
        <f>VLOOKUP($AF32,'US Grid mix, emissions&amp;prices'!$H$113:$I$163,2,FALSE)*BF$55</f>
        <v>71496.020036836955</v>
      </c>
      <c r="BG32" s="103">
        <f>VLOOKUP($AF32,'US Grid mix, emissions&amp;prices'!$H$113:$I$163,2,FALSE)*BG$55</f>
        <v>71496.020036836955</v>
      </c>
      <c r="BH32" s="103">
        <f>VLOOKUP($AF32,'US Grid mix, emissions&amp;prices'!$H$113:$I$163,2,FALSE)*BH$55</f>
        <v>71496.020036836955</v>
      </c>
      <c r="BL32" s="123" t="s">
        <v>212</v>
      </c>
      <c r="BM32" s="103">
        <f>VLOOKUP($BL32,'US Grid mix, emissions&amp;prices'!$H$113:$I$163,2,FALSE)*BM$55</f>
        <v>53151.159007714181</v>
      </c>
      <c r="BN32" s="103">
        <f>VLOOKUP($BL32,'US Grid mix, emissions&amp;prices'!$H$113:$I$163,2,FALSE)*BN$55</f>
        <v>53151.159007714181</v>
      </c>
      <c r="BO32" s="103">
        <f>VLOOKUP($BL32,'US Grid mix, emissions&amp;prices'!$H$113:$I$163,2,FALSE)*BO$55</f>
        <v>53151.159007714181</v>
      </c>
      <c r="BP32" s="103">
        <f>VLOOKUP($BL32,'US Grid mix, emissions&amp;prices'!$H$113:$I$163,2,FALSE)*BP$55</f>
        <v>53151.159007714181</v>
      </c>
      <c r="BQ32" s="103">
        <f>VLOOKUP($BL32,'US Grid mix, emissions&amp;prices'!$H$113:$I$163,2,FALSE)*BQ$55</f>
        <v>53151.159007714181</v>
      </c>
      <c r="BR32" s="103">
        <f>VLOOKUP($BL32,'US Grid mix, emissions&amp;prices'!$H$113:$I$163,2,FALSE)*BR$55</f>
        <v>53151.159007714181</v>
      </c>
      <c r="BS32" s="103">
        <f>VLOOKUP($BL32,'US Grid mix, emissions&amp;prices'!$H$113:$I$163,2,FALSE)*BS$55</f>
        <v>53151.159007714181</v>
      </c>
      <c r="BT32" s="103">
        <f>VLOOKUP($BL32,'US Grid mix, emissions&amp;prices'!$H$113:$I$163,2,FALSE)*BT$55</f>
        <v>53151.159007714181</v>
      </c>
      <c r="BU32" s="103">
        <f>VLOOKUP($BL32,'US Grid mix, emissions&amp;prices'!$H$113:$I$163,2,FALSE)*BU$55</f>
        <v>53151.159007714181</v>
      </c>
      <c r="BV32" s="103">
        <f>VLOOKUP($BL32,'US Grid mix, emissions&amp;prices'!$H$113:$I$163,2,FALSE)*BV$55</f>
        <v>53151.159007714181</v>
      </c>
      <c r="BW32" s="103">
        <f>VLOOKUP($BL32,'US Grid mix, emissions&amp;prices'!$H$113:$I$163,2,FALSE)*BW$55</f>
        <v>53151.159007714181</v>
      </c>
      <c r="BX32" s="103">
        <f>VLOOKUP($BL32,'US Grid mix, emissions&amp;prices'!$H$113:$I$163,2,FALSE)*BX$55</f>
        <v>53151.159007714181</v>
      </c>
      <c r="BY32" s="103">
        <f>VLOOKUP($BL32,'US Grid mix, emissions&amp;prices'!$H$113:$I$163,2,FALSE)*BY$55</f>
        <v>53151.159007714181</v>
      </c>
      <c r="BZ32" s="103">
        <f>VLOOKUP($BL32,'US Grid mix, emissions&amp;prices'!$H$113:$I$163,2,FALSE)*BZ$55</f>
        <v>53151.159007714181</v>
      </c>
      <c r="CA32" s="103">
        <f>VLOOKUP($BL32,'US Grid mix, emissions&amp;prices'!$H$113:$I$163,2,FALSE)*CA$55</f>
        <v>53151.159007714181</v>
      </c>
      <c r="CB32" s="103">
        <f>VLOOKUP($BL32,'US Grid mix, emissions&amp;prices'!$H$113:$I$163,2,FALSE)*CB$55</f>
        <v>53151.159007714181</v>
      </c>
      <c r="CC32" s="103">
        <f>VLOOKUP($BL32,'US Grid mix, emissions&amp;prices'!$H$113:$I$163,2,FALSE)*CC$55</f>
        <v>53151.159007714181</v>
      </c>
      <c r="CD32" s="103">
        <f>VLOOKUP($BL32,'US Grid mix, emissions&amp;prices'!$H$113:$I$163,2,FALSE)*CD$55</f>
        <v>53151.159007714181</v>
      </c>
      <c r="CE32" s="103">
        <f>VLOOKUP($BL32,'US Grid mix, emissions&amp;prices'!$H$113:$I$163,2,FALSE)*CE$55</f>
        <v>53151.159007714181</v>
      </c>
      <c r="CF32" s="103">
        <f>VLOOKUP($BL32,'US Grid mix, emissions&amp;prices'!$H$113:$I$163,2,FALSE)*CF$55</f>
        <v>53151.159007714181</v>
      </c>
      <c r="CG32" s="103">
        <f>VLOOKUP($BL32,'US Grid mix, emissions&amp;prices'!$H$113:$I$163,2,FALSE)*CG$55</f>
        <v>53151.159007714181</v>
      </c>
      <c r="CH32" s="103">
        <f>VLOOKUP($BL32,'US Grid mix, emissions&amp;prices'!$H$113:$I$163,2,FALSE)*CH$55</f>
        <v>53151.159007714181</v>
      </c>
      <c r="CI32" s="103">
        <f>VLOOKUP($BL32,'US Grid mix, emissions&amp;prices'!$H$113:$I$163,2,FALSE)*CI$55</f>
        <v>53151.159007714181</v>
      </c>
      <c r="CJ32" s="103">
        <f>VLOOKUP($BL32,'US Grid mix, emissions&amp;prices'!$H$113:$I$163,2,FALSE)*CJ$55</f>
        <v>53151.159007714181</v>
      </c>
      <c r="CK32" s="103">
        <f>VLOOKUP($BL32,'US Grid mix, emissions&amp;prices'!$H$113:$I$163,2,FALSE)*CK$55</f>
        <v>53151.159007714181</v>
      </c>
      <c r="CL32" s="103">
        <f>VLOOKUP($BL32,'US Grid mix, emissions&amp;prices'!$H$113:$I$163,2,FALSE)*CL$55</f>
        <v>53151.159007714181</v>
      </c>
      <c r="CM32" s="103">
        <f>VLOOKUP($BL32,'US Grid mix, emissions&amp;prices'!$H$113:$I$163,2,FALSE)*CM$55</f>
        <v>53151.159007714181</v>
      </c>
      <c r="CN32" s="103">
        <f>VLOOKUP($BL32,'US Grid mix, emissions&amp;prices'!$H$113:$I$163,2,FALSE)*CN$55</f>
        <v>53151.159007714181</v>
      </c>
    </row>
    <row r="33" spans="1:92" x14ac:dyDescent="0.25">
      <c r="A33" s="123" t="s">
        <v>213</v>
      </c>
      <c r="B33" s="103">
        <f>VLOOKUP($A33,'US Grid mix, emissions&amp;prices'!$H$113:$I$163,2,FALSE)*B$55</f>
        <v>109831.77873166822</v>
      </c>
      <c r="C33" s="103">
        <f>VLOOKUP($A33,'US Grid mix, emissions&amp;prices'!$H$113:$I$163,2,FALSE)*C$55</f>
        <v>109831.77873166822</v>
      </c>
      <c r="D33" s="103">
        <f>VLOOKUP($A33,'US Grid mix, emissions&amp;prices'!$H$113:$I$163,2,FALSE)*D$55</f>
        <v>109831.77873166822</v>
      </c>
      <c r="E33" s="103">
        <f>VLOOKUP($A33,'US Grid mix, emissions&amp;prices'!$H$113:$I$163,2,FALSE)*E$55</f>
        <v>109831.77873166822</v>
      </c>
      <c r="F33" s="103">
        <f>VLOOKUP($A33,'US Grid mix, emissions&amp;prices'!$H$113:$I$163,2,FALSE)*F$55</f>
        <v>109831.77873166822</v>
      </c>
      <c r="G33" s="103">
        <f>VLOOKUP($A33,'US Grid mix, emissions&amp;prices'!$H$113:$I$163,2,FALSE)*G$55</f>
        <v>109831.77873166822</v>
      </c>
      <c r="H33" s="103">
        <f>VLOOKUP($A33,'US Grid mix, emissions&amp;prices'!$H$113:$I$163,2,FALSE)*H$55</f>
        <v>109831.77873166822</v>
      </c>
      <c r="I33" s="103">
        <f>VLOOKUP($A33,'US Grid mix, emissions&amp;prices'!$H$113:$I$163,2,FALSE)*I$55</f>
        <v>109831.77873166822</v>
      </c>
      <c r="J33" s="103">
        <f>VLOOKUP($A33,'US Grid mix, emissions&amp;prices'!$H$113:$I$163,2,FALSE)*J$55</f>
        <v>109831.77873166822</v>
      </c>
      <c r="K33" s="103">
        <f>VLOOKUP($A33,'US Grid mix, emissions&amp;prices'!$H$113:$I$163,2,FALSE)*K$55</f>
        <v>109831.77873166822</v>
      </c>
      <c r="L33" s="103">
        <f>VLOOKUP($A33,'US Grid mix, emissions&amp;prices'!$H$113:$I$163,2,FALSE)*L$55</f>
        <v>109831.77873166822</v>
      </c>
      <c r="M33" s="103">
        <f>VLOOKUP($A33,'US Grid mix, emissions&amp;prices'!$H$113:$I$163,2,FALSE)*M$55</f>
        <v>109831.77873166822</v>
      </c>
      <c r="N33" s="103">
        <f>VLOOKUP($A33,'US Grid mix, emissions&amp;prices'!$H$113:$I$163,2,FALSE)*N$55</f>
        <v>109831.77873166822</v>
      </c>
      <c r="O33" s="103">
        <f>VLOOKUP($A33,'US Grid mix, emissions&amp;prices'!$H$113:$I$163,2,FALSE)*O$55</f>
        <v>109831.77873166822</v>
      </c>
      <c r="P33" s="103">
        <f>VLOOKUP($A33,'US Grid mix, emissions&amp;prices'!$H$113:$I$163,2,FALSE)*P$55</f>
        <v>109831.77873166822</v>
      </c>
      <c r="Q33" s="103">
        <f>VLOOKUP($A33,'US Grid mix, emissions&amp;prices'!$H$113:$I$163,2,FALSE)*Q$55</f>
        <v>109831.77873166822</v>
      </c>
      <c r="R33" s="103">
        <f>VLOOKUP($A33,'US Grid mix, emissions&amp;prices'!$H$113:$I$163,2,FALSE)*R$55</f>
        <v>109831.77873166822</v>
      </c>
      <c r="S33" s="103">
        <f>VLOOKUP($A33,'US Grid mix, emissions&amp;prices'!$H$113:$I$163,2,FALSE)*S$55</f>
        <v>109831.77873166822</v>
      </c>
      <c r="T33" s="103">
        <f>VLOOKUP($A33,'US Grid mix, emissions&amp;prices'!$H$113:$I$163,2,FALSE)*T$55</f>
        <v>109831.77873166822</v>
      </c>
      <c r="U33" s="103">
        <f>VLOOKUP($A33,'US Grid mix, emissions&amp;prices'!$H$113:$I$163,2,FALSE)*U$55</f>
        <v>109831.77873166822</v>
      </c>
      <c r="V33" s="103">
        <f>VLOOKUP($A33,'US Grid mix, emissions&amp;prices'!$H$113:$I$163,2,FALSE)*V$55</f>
        <v>109831.77873166822</v>
      </c>
      <c r="W33" s="103">
        <f>VLOOKUP($A33,'US Grid mix, emissions&amp;prices'!$H$113:$I$163,2,FALSE)*W$55</f>
        <v>109831.77873166822</v>
      </c>
      <c r="X33" s="103">
        <f>VLOOKUP($A33,'US Grid mix, emissions&amp;prices'!$H$113:$I$163,2,FALSE)*X$55</f>
        <v>109831.77873166822</v>
      </c>
      <c r="Y33" s="103">
        <f>VLOOKUP($A33,'US Grid mix, emissions&amp;prices'!$H$113:$I$163,2,FALSE)*Y$55</f>
        <v>109831.77873166822</v>
      </c>
      <c r="Z33" s="103">
        <f>VLOOKUP($A33,'US Grid mix, emissions&amp;prices'!$H$113:$I$163,2,FALSE)*Z$55</f>
        <v>109831.77873166822</v>
      </c>
      <c r="AA33" s="103">
        <f>VLOOKUP($A33,'US Grid mix, emissions&amp;prices'!$H$113:$I$163,2,FALSE)*AA$55</f>
        <v>109831.77873166822</v>
      </c>
      <c r="AB33" s="103">
        <f>VLOOKUP($A33,'US Grid mix, emissions&amp;prices'!$H$113:$I$163,2,FALSE)*AB$55</f>
        <v>109831.77873166822</v>
      </c>
      <c r="AC33" s="103">
        <f>VLOOKUP($A33,'US Grid mix, emissions&amp;prices'!$H$113:$I$163,2,FALSE)*AC$55</f>
        <v>109831.77873166822</v>
      </c>
      <c r="AF33" s="123" t="s">
        <v>213</v>
      </c>
      <c r="AG33" s="103">
        <f>VLOOKUP($AF33,'US Grid mix, emissions&amp;prices'!$H$113:$I$163,2,FALSE)*AG$55</f>
        <v>128734.68678570603</v>
      </c>
      <c r="AH33" s="103">
        <f>VLOOKUP($AF33,'US Grid mix, emissions&amp;prices'!$H$113:$I$163,2,FALSE)*AH$55</f>
        <v>128734.68678570603</v>
      </c>
      <c r="AI33" s="103">
        <f>VLOOKUP($AF33,'US Grid mix, emissions&amp;prices'!$H$113:$I$163,2,FALSE)*AI$55</f>
        <v>128734.68678570603</v>
      </c>
      <c r="AJ33" s="103">
        <f>VLOOKUP($AF33,'US Grid mix, emissions&amp;prices'!$H$113:$I$163,2,FALSE)*AJ$55</f>
        <v>128734.68678570603</v>
      </c>
      <c r="AK33" s="103">
        <f>VLOOKUP($AF33,'US Grid mix, emissions&amp;prices'!$H$113:$I$163,2,FALSE)*AK$55</f>
        <v>128734.68678570603</v>
      </c>
      <c r="AL33" s="103">
        <f>VLOOKUP($AF33,'US Grid mix, emissions&amp;prices'!$H$113:$I$163,2,FALSE)*AL$55</f>
        <v>128734.68678570603</v>
      </c>
      <c r="AM33" s="103">
        <f>VLOOKUP($AF33,'US Grid mix, emissions&amp;prices'!$H$113:$I$163,2,FALSE)*AM$55</f>
        <v>128734.68678570603</v>
      </c>
      <c r="AN33" s="103">
        <f>VLOOKUP($AF33,'US Grid mix, emissions&amp;prices'!$H$113:$I$163,2,FALSE)*AN$55</f>
        <v>128734.68678570603</v>
      </c>
      <c r="AO33" s="103">
        <f>VLOOKUP($AF33,'US Grid mix, emissions&amp;prices'!$H$113:$I$163,2,FALSE)*AO$55</f>
        <v>128734.68678570603</v>
      </c>
      <c r="AP33" s="103">
        <f>VLOOKUP($AF33,'US Grid mix, emissions&amp;prices'!$H$113:$I$163,2,FALSE)*AP$55</f>
        <v>128734.68678570603</v>
      </c>
      <c r="AQ33" s="103">
        <f>VLOOKUP($AF33,'US Grid mix, emissions&amp;prices'!$H$113:$I$163,2,FALSE)*AQ$55</f>
        <v>128734.68678570603</v>
      </c>
      <c r="AR33" s="103">
        <f>VLOOKUP($AF33,'US Grid mix, emissions&amp;prices'!$H$113:$I$163,2,FALSE)*AR$55</f>
        <v>128734.68678570603</v>
      </c>
      <c r="AS33" s="103">
        <f>VLOOKUP($AF33,'US Grid mix, emissions&amp;prices'!$H$113:$I$163,2,FALSE)*AS$55</f>
        <v>128734.68678570603</v>
      </c>
      <c r="AT33" s="103">
        <f>VLOOKUP($AF33,'US Grid mix, emissions&amp;prices'!$H$113:$I$163,2,FALSE)*AT$55</f>
        <v>128734.68678570603</v>
      </c>
      <c r="AU33" s="103">
        <f>VLOOKUP($AF33,'US Grid mix, emissions&amp;prices'!$H$113:$I$163,2,FALSE)*AU$55</f>
        <v>128734.68678570603</v>
      </c>
      <c r="AV33" s="103">
        <f>VLOOKUP($AF33,'US Grid mix, emissions&amp;prices'!$H$113:$I$163,2,FALSE)*AV$55</f>
        <v>128734.68678570603</v>
      </c>
      <c r="AW33" s="103">
        <f>VLOOKUP($AF33,'US Grid mix, emissions&amp;prices'!$H$113:$I$163,2,FALSE)*AW$55</f>
        <v>128734.68678570603</v>
      </c>
      <c r="AX33" s="103">
        <f>VLOOKUP($AF33,'US Grid mix, emissions&amp;prices'!$H$113:$I$163,2,FALSE)*AX$55</f>
        <v>128734.68678570603</v>
      </c>
      <c r="AY33" s="103">
        <f>VLOOKUP($AF33,'US Grid mix, emissions&amp;prices'!$H$113:$I$163,2,FALSE)*AY$55</f>
        <v>128734.68678570603</v>
      </c>
      <c r="AZ33" s="103">
        <f>VLOOKUP($AF33,'US Grid mix, emissions&amp;prices'!$H$113:$I$163,2,FALSE)*AZ$55</f>
        <v>128734.68678570603</v>
      </c>
      <c r="BA33" s="103">
        <f>VLOOKUP($AF33,'US Grid mix, emissions&amp;prices'!$H$113:$I$163,2,FALSE)*BA$55</f>
        <v>128734.68678570603</v>
      </c>
      <c r="BB33" s="103">
        <f>VLOOKUP($AF33,'US Grid mix, emissions&amp;prices'!$H$113:$I$163,2,FALSE)*BB$55</f>
        <v>128734.68678570603</v>
      </c>
      <c r="BC33" s="103">
        <f>VLOOKUP($AF33,'US Grid mix, emissions&amp;prices'!$H$113:$I$163,2,FALSE)*BC$55</f>
        <v>128734.68678570603</v>
      </c>
      <c r="BD33" s="103">
        <f>VLOOKUP($AF33,'US Grid mix, emissions&amp;prices'!$H$113:$I$163,2,FALSE)*BD$55</f>
        <v>128734.68678570603</v>
      </c>
      <c r="BE33" s="103">
        <f>VLOOKUP($AF33,'US Grid mix, emissions&amp;prices'!$H$113:$I$163,2,FALSE)*BE$55</f>
        <v>128734.68678570603</v>
      </c>
      <c r="BF33" s="103">
        <f>VLOOKUP($AF33,'US Grid mix, emissions&amp;prices'!$H$113:$I$163,2,FALSE)*BF$55</f>
        <v>128734.68678570603</v>
      </c>
      <c r="BG33" s="103">
        <f>VLOOKUP($AF33,'US Grid mix, emissions&amp;prices'!$H$113:$I$163,2,FALSE)*BG$55</f>
        <v>128734.68678570603</v>
      </c>
      <c r="BH33" s="103">
        <f>VLOOKUP($AF33,'US Grid mix, emissions&amp;prices'!$H$113:$I$163,2,FALSE)*BH$55</f>
        <v>128734.68678570603</v>
      </c>
      <c r="BL33" s="123" t="s">
        <v>213</v>
      </c>
      <c r="BM33" s="103">
        <f>VLOOKUP($BL33,'US Grid mix, emissions&amp;prices'!$H$113:$I$163,2,FALSE)*BM$55</f>
        <v>95703.198634412489</v>
      </c>
      <c r="BN33" s="103">
        <f>VLOOKUP($BL33,'US Grid mix, emissions&amp;prices'!$H$113:$I$163,2,FALSE)*BN$55</f>
        <v>95703.198634412489</v>
      </c>
      <c r="BO33" s="103">
        <f>VLOOKUP($BL33,'US Grid mix, emissions&amp;prices'!$H$113:$I$163,2,FALSE)*BO$55</f>
        <v>95703.198634412489</v>
      </c>
      <c r="BP33" s="103">
        <f>VLOOKUP($BL33,'US Grid mix, emissions&amp;prices'!$H$113:$I$163,2,FALSE)*BP$55</f>
        <v>95703.198634412489</v>
      </c>
      <c r="BQ33" s="103">
        <f>VLOOKUP($BL33,'US Grid mix, emissions&amp;prices'!$H$113:$I$163,2,FALSE)*BQ$55</f>
        <v>95703.198634412489</v>
      </c>
      <c r="BR33" s="103">
        <f>VLOOKUP($BL33,'US Grid mix, emissions&amp;prices'!$H$113:$I$163,2,FALSE)*BR$55</f>
        <v>95703.198634412489</v>
      </c>
      <c r="BS33" s="103">
        <f>VLOOKUP($BL33,'US Grid mix, emissions&amp;prices'!$H$113:$I$163,2,FALSE)*BS$55</f>
        <v>95703.198634412489</v>
      </c>
      <c r="BT33" s="103">
        <f>VLOOKUP($BL33,'US Grid mix, emissions&amp;prices'!$H$113:$I$163,2,FALSE)*BT$55</f>
        <v>95703.198634412489</v>
      </c>
      <c r="BU33" s="103">
        <f>VLOOKUP($BL33,'US Grid mix, emissions&amp;prices'!$H$113:$I$163,2,FALSE)*BU$55</f>
        <v>95703.198634412489</v>
      </c>
      <c r="BV33" s="103">
        <f>VLOOKUP($BL33,'US Grid mix, emissions&amp;prices'!$H$113:$I$163,2,FALSE)*BV$55</f>
        <v>95703.198634412489</v>
      </c>
      <c r="BW33" s="103">
        <f>VLOOKUP($BL33,'US Grid mix, emissions&amp;prices'!$H$113:$I$163,2,FALSE)*BW$55</f>
        <v>95703.198634412489</v>
      </c>
      <c r="BX33" s="103">
        <f>VLOOKUP($BL33,'US Grid mix, emissions&amp;prices'!$H$113:$I$163,2,FALSE)*BX$55</f>
        <v>95703.198634412489</v>
      </c>
      <c r="BY33" s="103">
        <f>VLOOKUP($BL33,'US Grid mix, emissions&amp;prices'!$H$113:$I$163,2,FALSE)*BY$55</f>
        <v>95703.198634412489</v>
      </c>
      <c r="BZ33" s="103">
        <f>VLOOKUP($BL33,'US Grid mix, emissions&amp;prices'!$H$113:$I$163,2,FALSE)*BZ$55</f>
        <v>95703.198634412489</v>
      </c>
      <c r="CA33" s="103">
        <f>VLOOKUP($BL33,'US Grid mix, emissions&amp;prices'!$H$113:$I$163,2,FALSE)*CA$55</f>
        <v>95703.198634412489</v>
      </c>
      <c r="CB33" s="103">
        <f>VLOOKUP($BL33,'US Grid mix, emissions&amp;prices'!$H$113:$I$163,2,FALSE)*CB$55</f>
        <v>95703.198634412489</v>
      </c>
      <c r="CC33" s="103">
        <f>VLOOKUP($BL33,'US Grid mix, emissions&amp;prices'!$H$113:$I$163,2,FALSE)*CC$55</f>
        <v>95703.198634412489</v>
      </c>
      <c r="CD33" s="103">
        <f>VLOOKUP($BL33,'US Grid mix, emissions&amp;prices'!$H$113:$I$163,2,FALSE)*CD$55</f>
        <v>95703.198634412489</v>
      </c>
      <c r="CE33" s="103">
        <f>VLOOKUP($BL33,'US Grid mix, emissions&amp;prices'!$H$113:$I$163,2,FALSE)*CE$55</f>
        <v>95703.198634412489</v>
      </c>
      <c r="CF33" s="103">
        <f>VLOOKUP($BL33,'US Grid mix, emissions&amp;prices'!$H$113:$I$163,2,FALSE)*CF$55</f>
        <v>95703.198634412489</v>
      </c>
      <c r="CG33" s="103">
        <f>VLOOKUP($BL33,'US Grid mix, emissions&amp;prices'!$H$113:$I$163,2,FALSE)*CG$55</f>
        <v>95703.198634412489</v>
      </c>
      <c r="CH33" s="103">
        <f>VLOOKUP($BL33,'US Grid mix, emissions&amp;prices'!$H$113:$I$163,2,FALSE)*CH$55</f>
        <v>95703.198634412489</v>
      </c>
      <c r="CI33" s="103">
        <f>VLOOKUP($BL33,'US Grid mix, emissions&amp;prices'!$H$113:$I$163,2,FALSE)*CI$55</f>
        <v>95703.198634412489</v>
      </c>
      <c r="CJ33" s="103">
        <f>VLOOKUP($BL33,'US Grid mix, emissions&amp;prices'!$H$113:$I$163,2,FALSE)*CJ$55</f>
        <v>95703.198634412489</v>
      </c>
      <c r="CK33" s="103">
        <f>VLOOKUP($BL33,'US Grid mix, emissions&amp;prices'!$H$113:$I$163,2,FALSE)*CK$55</f>
        <v>95703.198634412489</v>
      </c>
      <c r="CL33" s="103">
        <f>VLOOKUP($BL33,'US Grid mix, emissions&amp;prices'!$H$113:$I$163,2,FALSE)*CL$55</f>
        <v>95703.198634412489</v>
      </c>
      <c r="CM33" s="103">
        <f>VLOOKUP($BL33,'US Grid mix, emissions&amp;prices'!$H$113:$I$163,2,FALSE)*CM$55</f>
        <v>95703.198634412489</v>
      </c>
      <c r="CN33" s="103">
        <f>VLOOKUP($BL33,'US Grid mix, emissions&amp;prices'!$H$113:$I$163,2,FALSE)*CN$55</f>
        <v>95703.198634412489</v>
      </c>
    </row>
    <row r="34" spans="1:92" x14ac:dyDescent="0.25">
      <c r="A34" s="123" t="s">
        <v>214</v>
      </c>
      <c r="B34" s="103">
        <f>VLOOKUP($A34,'US Grid mix, emissions&amp;prices'!$H$113:$I$163,2,FALSE)*B$55</f>
        <v>158627.10244218216</v>
      </c>
      <c r="C34" s="103">
        <f>VLOOKUP($A34,'US Grid mix, emissions&amp;prices'!$H$113:$I$163,2,FALSE)*C$55</f>
        <v>158627.10244218216</v>
      </c>
      <c r="D34" s="103">
        <f>VLOOKUP($A34,'US Grid mix, emissions&amp;prices'!$H$113:$I$163,2,FALSE)*D$55</f>
        <v>158627.10244218216</v>
      </c>
      <c r="E34" s="103">
        <f>VLOOKUP($A34,'US Grid mix, emissions&amp;prices'!$H$113:$I$163,2,FALSE)*E$55</f>
        <v>158627.10244218216</v>
      </c>
      <c r="F34" s="103">
        <f>VLOOKUP($A34,'US Grid mix, emissions&amp;prices'!$H$113:$I$163,2,FALSE)*F$55</f>
        <v>158627.10244218216</v>
      </c>
      <c r="G34" s="103">
        <f>VLOOKUP($A34,'US Grid mix, emissions&amp;prices'!$H$113:$I$163,2,FALSE)*G$55</f>
        <v>158627.10244218216</v>
      </c>
      <c r="H34" s="103">
        <f>VLOOKUP($A34,'US Grid mix, emissions&amp;prices'!$H$113:$I$163,2,FALSE)*H$55</f>
        <v>158627.10244218216</v>
      </c>
      <c r="I34" s="103">
        <f>VLOOKUP($A34,'US Grid mix, emissions&amp;prices'!$H$113:$I$163,2,FALSE)*I$55</f>
        <v>158627.10244218216</v>
      </c>
      <c r="J34" s="103">
        <f>VLOOKUP($A34,'US Grid mix, emissions&amp;prices'!$H$113:$I$163,2,FALSE)*J$55</f>
        <v>158627.10244218216</v>
      </c>
      <c r="K34" s="103">
        <f>VLOOKUP($A34,'US Grid mix, emissions&amp;prices'!$H$113:$I$163,2,FALSE)*K$55</f>
        <v>158627.10244218216</v>
      </c>
      <c r="L34" s="103">
        <f>VLOOKUP($A34,'US Grid mix, emissions&amp;prices'!$H$113:$I$163,2,FALSE)*L$55</f>
        <v>158627.10244218216</v>
      </c>
      <c r="M34" s="103">
        <f>VLOOKUP($A34,'US Grid mix, emissions&amp;prices'!$H$113:$I$163,2,FALSE)*M$55</f>
        <v>158627.10244218216</v>
      </c>
      <c r="N34" s="103">
        <f>VLOOKUP($A34,'US Grid mix, emissions&amp;prices'!$H$113:$I$163,2,FALSE)*N$55</f>
        <v>158627.10244218216</v>
      </c>
      <c r="O34" s="103">
        <f>VLOOKUP($A34,'US Grid mix, emissions&amp;prices'!$H$113:$I$163,2,FALSE)*O$55</f>
        <v>158627.10244218216</v>
      </c>
      <c r="P34" s="103">
        <f>VLOOKUP($A34,'US Grid mix, emissions&amp;prices'!$H$113:$I$163,2,FALSE)*P$55</f>
        <v>158627.10244218216</v>
      </c>
      <c r="Q34" s="103">
        <f>VLOOKUP($A34,'US Grid mix, emissions&amp;prices'!$H$113:$I$163,2,FALSE)*Q$55</f>
        <v>158627.10244218216</v>
      </c>
      <c r="R34" s="103">
        <f>VLOOKUP($A34,'US Grid mix, emissions&amp;prices'!$H$113:$I$163,2,FALSE)*R$55</f>
        <v>158627.10244218216</v>
      </c>
      <c r="S34" s="103">
        <f>VLOOKUP($A34,'US Grid mix, emissions&amp;prices'!$H$113:$I$163,2,FALSE)*S$55</f>
        <v>158627.10244218216</v>
      </c>
      <c r="T34" s="103">
        <f>VLOOKUP($A34,'US Grid mix, emissions&amp;prices'!$H$113:$I$163,2,FALSE)*T$55</f>
        <v>158627.10244218216</v>
      </c>
      <c r="U34" s="103">
        <f>VLOOKUP($A34,'US Grid mix, emissions&amp;prices'!$H$113:$I$163,2,FALSE)*U$55</f>
        <v>158627.10244218216</v>
      </c>
      <c r="V34" s="103">
        <f>VLOOKUP($A34,'US Grid mix, emissions&amp;prices'!$H$113:$I$163,2,FALSE)*V$55</f>
        <v>158627.10244218216</v>
      </c>
      <c r="W34" s="103">
        <f>VLOOKUP($A34,'US Grid mix, emissions&amp;prices'!$H$113:$I$163,2,FALSE)*W$55</f>
        <v>158627.10244218216</v>
      </c>
      <c r="X34" s="103">
        <f>VLOOKUP($A34,'US Grid mix, emissions&amp;prices'!$H$113:$I$163,2,FALSE)*X$55</f>
        <v>158627.10244218216</v>
      </c>
      <c r="Y34" s="103">
        <f>VLOOKUP($A34,'US Grid mix, emissions&amp;prices'!$H$113:$I$163,2,FALSE)*Y$55</f>
        <v>158627.10244218216</v>
      </c>
      <c r="Z34" s="103">
        <f>VLOOKUP($A34,'US Grid mix, emissions&amp;prices'!$H$113:$I$163,2,FALSE)*Z$55</f>
        <v>158627.10244218216</v>
      </c>
      <c r="AA34" s="103">
        <f>VLOOKUP($A34,'US Grid mix, emissions&amp;prices'!$H$113:$I$163,2,FALSE)*AA$55</f>
        <v>158627.10244218216</v>
      </c>
      <c r="AB34" s="103">
        <f>VLOOKUP($A34,'US Grid mix, emissions&amp;prices'!$H$113:$I$163,2,FALSE)*AB$55</f>
        <v>158627.10244218216</v>
      </c>
      <c r="AC34" s="103">
        <f>VLOOKUP($A34,'US Grid mix, emissions&amp;prices'!$H$113:$I$163,2,FALSE)*AC$55</f>
        <v>158627.10244218216</v>
      </c>
      <c r="AF34" s="123" t="s">
        <v>214</v>
      </c>
      <c r="AG34" s="103">
        <f>VLOOKUP($AF34,'US Grid mix, emissions&amp;prices'!$H$113:$I$163,2,FALSE)*AG$55</f>
        <v>185928.06730835923</v>
      </c>
      <c r="AH34" s="103">
        <f>VLOOKUP($AF34,'US Grid mix, emissions&amp;prices'!$H$113:$I$163,2,FALSE)*AH$55</f>
        <v>185928.06730835923</v>
      </c>
      <c r="AI34" s="103">
        <f>VLOOKUP($AF34,'US Grid mix, emissions&amp;prices'!$H$113:$I$163,2,FALSE)*AI$55</f>
        <v>185928.06730835923</v>
      </c>
      <c r="AJ34" s="103">
        <f>VLOOKUP($AF34,'US Grid mix, emissions&amp;prices'!$H$113:$I$163,2,FALSE)*AJ$55</f>
        <v>185928.06730835923</v>
      </c>
      <c r="AK34" s="103">
        <f>VLOOKUP($AF34,'US Grid mix, emissions&amp;prices'!$H$113:$I$163,2,FALSE)*AK$55</f>
        <v>185928.06730835923</v>
      </c>
      <c r="AL34" s="103">
        <f>VLOOKUP($AF34,'US Grid mix, emissions&amp;prices'!$H$113:$I$163,2,FALSE)*AL$55</f>
        <v>185928.06730835923</v>
      </c>
      <c r="AM34" s="103">
        <f>VLOOKUP($AF34,'US Grid mix, emissions&amp;prices'!$H$113:$I$163,2,FALSE)*AM$55</f>
        <v>185928.06730835923</v>
      </c>
      <c r="AN34" s="103">
        <f>VLOOKUP($AF34,'US Grid mix, emissions&amp;prices'!$H$113:$I$163,2,FALSE)*AN$55</f>
        <v>185928.06730835923</v>
      </c>
      <c r="AO34" s="103">
        <f>VLOOKUP($AF34,'US Grid mix, emissions&amp;prices'!$H$113:$I$163,2,FALSE)*AO$55</f>
        <v>185928.06730835923</v>
      </c>
      <c r="AP34" s="103">
        <f>VLOOKUP($AF34,'US Grid mix, emissions&amp;prices'!$H$113:$I$163,2,FALSE)*AP$55</f>
        <v>185928.06730835923</v>
      </c>
      <c r="AQ34" s="103">
        <f>VLOOKUP($AF34,'US Grid mix, emissions&amp;prices'!$H$113:$I$163,2,FALSE)*AQ$55</f>
        <v>185928.06730835923</v>
      </c>
      <c r="AR34" s="103">
        <f>VLOOKUP($AF34,'US Grid mix, emissions&amp;prices'!$H$113:$I$163,2,FALSE)*AR$55</f>
        <v>185928.06730835923</v>
      </c>
      <c r="AS34" s="103">
        <f>VLOOKUP($AF34,'US Grid mix, emissions&amp;prices'!$H$113:$I$163,2,FALSE)*AS$55</f>
        <v>185928.06730835923</v>
      </c>
      <c r="AT34" s="103">
        <f>VLOOKUP($AF34,'US Grid mix, emissions&amp;prices'!$H$113:$I$163,2,FALSE)*AT$55</f>
        <v>185928.06730835923</v>
      </c>
      <c r="AU34" s="103">
        <f>VLOOKUP($AF34,'US Grid mix, emissions&amp;prices'!$H$113:$I$163,2,FALSE)*AU$55</f>
        <v>185928.06730835923</v>
      </c>
      <c r="AV34" s="103">
        <f>VLOOKUP($AF34,'US Grid mix, emissions&amp;prices'!$H$113:$I$163,2,FALSE)*AV$55</f>
        <v>185928.06730835923</v>
      </c>
      <c r="AW34" s="103">
        <f>VLOOKUP($AF34,'US Grid mix, emissions&amp;prices'!$H$113:$I$163,2,FALSE)*AW$55</f>
        <v>185928.06730835923</v>
      </c>
      <c r="AX34" s="103">
        <f>VLOOKUP($AF34,'US Grid mix, emissions&amp;prices'!$H$113:$I$163,2,FALSE)*AX$55</f>
        <v>185928.06730835923</v>
      </c>
      <c r="AY34" s="103">
        <f>VLOOKUP($AF34,'US Grid mix, emissions&amp;prices'!$H$113:$I$163,2,FALSE)*AY$55</f>
        <v>185928.06730835923</v>
      </c>
      <c r="AZ34" s="103">
        <f>VLOOKUP($AF34,'US Grid mix, emissions&amp;prices'!$H$113:$I$163,2,FALSE)*AZ$55</f>
        <v>185928.06730835923</v>
      </c>
      <c r="BA34" s="103">
        <f>VLOOKUP($AF34,'US Grid mix, emissions&amp;prices'!$H$113:$I$163,2,FALSE)*BA$55</f>
        <v>185928.06730835923</v>
      </c>
      <c r="BB34" s="103">
        <f>VLOOKUP($AF34,'US Grid mix, emissions&amp;prices'!$H$113:$I$163,2,FALSE)*BB$55</f>
        <v>185928.06730835923</v>
      </c>
      <c r="BC34" s="103">
        <f>VLOOKUP($AF34,'US Grid mix, emissions&amp;prices'!$H$113:$I$163,2,FALSE)*BC$55</f>
        <v>185928.06730835923</v>
      </c>
      <c r="BD34" s="103">
        <f>VLOOKUP($AF34,'US Grid mix, emissions&amp;prices'!$H$113:$I$163,2,FALSE)*BD$55</f>
        <v>185928.06730835923</v>
      </c>
      <c r="BE34" s="103">
        <f>VLOOKUP($AF34,'US Grid mix, emissions&amp;prices'!$H$113:$I$163,2,FALSE)*BE$55</f>
        <v>185928.06730835923</v>
      </c>
      <c r="BF34" s="103">
        <f>VLOOKUP($AF34,'US Grid mix, emissions&amp;prices'!$H$113:$I$163,2,FALSE)*BF$55</f>
        <v>185928.06730835923</v>
      </c>
      <c r="BG34" s="103">
        <f>VLOOKUP($AF34,'US Grid mix, emissions&amp;prices'!$H$113:$I$163,2,FALSE)*BG$55</f>
        <v>185928.06730835923</v>
      </c>
      <c r="BH34" s="103">
        <f>VLOOKUP($AF34,'US Grid mix, emissions&amp;prices'!$H$113:$I$163,2,FALSE)*BH$55</f>
        <v>185928.06730835923</v>
      </c>
      <c r="BL34" s="123" t="s">
        <v>214</v>
      </c>
      <c r="BM34" s="103">
        <f>VLOOKUP($BL34,'US Grid mix, emissions&amp;prices'!$H$113:$I$163,2,FALSE)*BM$55</f>
        <v>138221.57183591372</v>
      </c>
      <c r="BN34" s="103">
        <f>VLOOKUP($BL34,'US Grid mix, emissions&amp;prices'!$H$113:$I$163,2,FALSE)*BN$55</f>
        <v>138221.57183591372</v>
      </c>
      <c r="BO34" s="103">
        <f>VLOOKUP($BL34,'US Grid mix, emissions&amp;prices'!$H$113:$I$163,2,FALSE)*BO$55</f>
        <v>138221.57183591372</v>
      </c>
      <c r="BP34" s="103">
        <f>VLOOKUP($BL34,'US Grid mix, emissions&amp;prices'!$H$113:$I$163,2,FALSE)*BP$55</f>
        <v>138221.57183591372</v>
      </c>
      <c r="BQ34" s="103">
        <f>VLOOKUP($BL34,'US Grid mix, emissions&amp;prices'!$H$113:$I$163,2,FALSE)*BQ$55</f>
        <v>138221.57183591372</v>
      </c>
      <c r="BR34" s="103">
        <f>VLOOKUP($BL34,'US Grid mix, emissions&amp;prices'!$H$113:$I$163,2,FALSE)*BR$55</f>
        <v>138221.57183591372</v>
      </c>
      <c r="BS34" s="103">
        <f>VLOOKUP($BL34,'US Grid mix, emissions&amp;prices'!$H$113:$I$163,2,FALSE)*BS$55</f>
        <v>138221.57183591372</v>
      </c>
      <c r="BT34" s="103">
        <f>VLOOKUP($BL34,'US Grid mix, emissions&amp;prices'!$H$113:$I$163,2,FALSE)*BT$55</f>
        <v>138221.57183591372</v>
      </c>
      <c r="BU34" s="103">
        <f>VLOOKUP($BL34,'US Grid mix, emissions&amp;prices'!$H$113:$I$163,2,FALSE)*BU$55</f>
        <v>138221.57183591372</v>
      </c>
      <c r="BV34" s="103">
        <f>VLOOKUP($BL34,'US Grid mix, emissions&amp;prices'!$H$113:$I$163,2,FALSE)*BV$55</f>
        <v>138221.57183591372</v>
      </c>
      <c r="BW34" s="103">
        <f>VLOOKUP($BL34,'US Grid mix, emissions&amp;prices'!$H$113:$I$163,2,FALSE)*BW$55</f>
        <v>138221.57183591372</v>
      </c>
      <c r="BX34" s="103">
        <f>VLOOKUP($BL34,'US Grid mix, emissions&amp;prices'!$H$113:$I$163,2,FALSE)*BX$55</f>
        <v>138221.57183591372</v>
      </c>
      <c r="BY34" s="103">
        <f>VLOOKUP($BL34,'US Grid mix, emissions&amp;prices'!$H$113:$I$163,2,FALSE)*BY$55</f>
        <v>138221.57183591372</v>
      </c>
      <c r="BZ34" s="103">
        <f>VLOOKUP($BL34,'US Grid mix, emissions&amp;prices'!$H$113:$I$163,2,FALSE)*BZ$55</f>
        <v>138221.57183591372</v>
      </c>
      <c r="CA34" s="103">
        <f>VLOOKUP($BL34,'US Grid mix, emissions&amp;prices'!$H$113:$I$163,2,FALSE)*CA$55</f>
        <v>138221.57183591372</v>
      </c>
      <c r="CB34" s="103">
        <f>VLOOKUP($BL34,'US Grid mix, emissions&amp;prices'!$H$113:$I$163,2,FALSE)*CB$55</f>
        <v>138221.57183591372</v>
      </c>
      <c r="CC34" s="103">
        <f>VLOOKUP($BL34,'US Grid mix, emissions&amp;prices'!$H$113:$I$163,2,FALSE)*CC$55</f>
        <v>138221.57183591372</v>
      </c>
      <c r="CD34" s="103">
        <f>VLOOKUP($BL34,'US Grid mix, emissions&amp;prices'!$H$113:$I$163,2,FALSE)*CD$55</f>
        <v>138221.57183591372</v>
      </c>
      <c r="CE34" s="103">
        <f>VLOOKUP($BL34,'US Grid mix, emissions&amp;prices'!$H$113:$I$163,2,FALSE)*CE$55</f>
        <v>138221.57183591372</v>
      </c>
      <c r="CF34" s="103">
        <f>VLOOKUP($BL34,'US Grid mix, emissions&amp;prices'!$H$113:$I$163,2,FALSE)*CF$55</f>
        <v>138221.57183591372</v>
      </c>
      <c r="CG34" s="103">
        <f>VLOOKUP($BL34,'US Grid mix, emissions&amp;prices'!$H$113:$I$163,2,FALSE)*CG$55</f>
        <v>138221.57183591372</v>
      </c>
      <c r="CH34" s="103">
        <f>VLOOKUP($BL34,'US Grid mix, emissions&amp;prices'!$H$113:$I$163,2,FALSE)*CH$55</f>
        <v>138221.57183591372</v>
      </c>
      <c r="CI34" s="103">
        <f>VLOOKUP($BL34,'US Grid mix, emissions&amp;prices'!$H$113:$I$163,2,FALSE)*CI$55</f>
        <v>138221.57183591372</v>
      </c>
      <c r="CJ34" s="103">
        <f>VLOOKUP($BL34,'US Grid mix, emissions&amp;prices'!$H$113:$I$163,2,FALSE)*CJ$55</f>
        <v>138221.57183591372</v>
      </c>
      <c r="CK34" s="103">
        <f>VLOOKUP($BL34,'US Grid mix, emissions&amp;prices'!$H$113:$I$163,2,FALSE)*CK$55</f>
        <v>138221.57183591372</v>
      </c>
      <c r="CL34" s="103">
        <f>VLOOKUP($BL34,'US Grid mix, emissions&amp;prices'!$H$113:$I$163,2,FALSE)*CL$55</f>
        <v>138221.57183591372</v>
      </c>
      <c r="CM34" s="103">
        <f>VLOOKUP($BL34,'US Grid mix, emissions&amp;prices'!$H$113:$I$163,2,FALSE)*CM$55</f>
        <v>138221.57183591372</v>
      </c>
      <c r="CN34" s="103">
        <f>VLOOKUP($BL34,'US Grid mix, emissions&amp;prices'!$H$113:$I$163,2,FALSE)*CN$55</f>
        <v>138221.57183591372</v>
      </c>
    </row>
    <row r="35" spans="1:92" x14ac:dyDescent="0.25">
      <c r="A35" s="123" t="s">
        <v>216</v>
      </c>
      <c r="B35" s="103">
        <f>VLOOKUP($A35,'US Grid mix, emissions&amp;prices'!$H$113:$I$163,2,FALSE)*B$55</f>
        <v>102711.99143039896</v>
      </c>
      <c r="C35" s="103">
        <f>VLOOKUP($A35,'US Grid mix, emissions&amp;prices'!$H$113:$I$163,2,FALSE)*C$55</f>
        <v>102711.99143039896</v>
      </c>
      <c r="D35" s="103">
        <f>VLOOKUP($A35,'US Grid mix, emissions&amp;prices'!$H$113:$I$163,2,FALSE)*D$55</f>
        <v>102711.99143039896</v>
      </c>
      <c r="E35" s="103">
        <f>VLOOKUP($A35,'US Grid mix, emissions&amp;prices'!$H$113:$I$163,2,FALSE)*E$55</f>
        <v>102711.99143039896</v>
      </c>
      <c r="F35" s="103">
        <f>VLOOKUP($A35,'US Grid mix, emissions&amp;prices'!$H$113:$I$163,2,FALSE)*F$55</f>
        <v>102711.99143039896</v>
      </c>
      <c r="G35" s="103">
        <f>VLOOKUP($A35,'US Grid mix, emissions&amp;prices'!$H$113:$I$163,2,FALSE)*G$55</f>
        <v>102711.99143039896</v>
      </c>
      <c r="H35" s="103">
        <f>VLOOKUP($A35,'US Grid mix, emissions&amp;prices'!$H$113:$I$163,2,FALSE)*H$55</f>
        <v>102711.99143039896</v>
      </c>
      <c r="I35" s="103">
        <f>VLOOKUP($A35,'US Grid mix, emissions&amp;prices'!$H$113:$I$163,2,FALSE)*I$55</f>
        <v>102711.99143039896</v>
      </c>
      <c r="J35" s="103">
        <f>VLOOKUP($A35,'US Grid mix, emissions&amp;prices'!$H$113:$I$163,2,FALSE)*J$55</f>
        <v>102711.99143039896</v>
      </c>
      <c r="K35" s="103">
        <f>VLOOKUP($A35,'US Grid mix, emissions&amp;prices'!$H$113:$I$163,2,FALSE)*K$55</f>
        <v>102711.99143039896</v>
      </c>
      <c r="L35" s="103">
        <f>VLOOKUP($A35,'US Grid mix, emissions&amp;prices'!$H$113:$I$163,2,FALSE)*L$55</f>
        <v>102711.99143039896</v>
      </c>
      <c r="M35" s="103">
        <f>VLOOKUP($A35,'US Grid mix, emissions&amp;prices'!$H$113:$I$163,2,FALSE)*M$55</f>
        <v>102711.99143039896</v>
      </c>
      <c r="N35" s="103">
        <f>VLOOKUP($A35,'US Grid mix, emissions&amp;prices'!$H$113:$I$163,2,FALSE)*N$55</f>
        <v>102711.99143039896</v>
      </c>
      <c r="O35" s="103">
        <f>VLOOKUP($A35,'US Grid mix, emissions&amp;prices'!$H$113:$I$163,2,FALSE)*O$55</f>
        <v>102711.99143039896</v>
      </c>
      <c r="P35" s="103">
        <f>VLOOKUP($A35,'US Grid mix, emissions&amp;prices'!$H$113:$I$163,2,FALSE)*P$55</f>
        <v>102711.99143039896</v>
      </c>
      <c r="Q35" s="103">
        <f>VLOOKUP($A35,'US Grid mix, emissions&amp;prices'!$H$113:$I$163,2,FALSE)*Q$55</f>
        <v>102711.99143039896</v>
      </c>
      <c r="R35" s="103">
        <f>VLOOKUP($A35,'US Grid mix, emissions&amp;prices'!$H$113:$I$163,2,FALSE)*R$55</f>
        <v>102711.99143039896</v>
      </c>
      <c r="S35" s="103">
        <f>VLOOKUP($A35,'US Grid mix, emissions&amp;prices'!$H$113:$I$163,2,FALSE)*S$55</f>
        <v>102711.99143039896</v>
      </c>
      <c r="T35" s="103">
        <f>VLOOKUP($A35,'US Grid mix, emissions&amp;prices'!$H$113:$I$163,2,FALSE)*T$55</f>
        <v>102711.99143039896</v>
      </c>
      <c r="U35" s="103">
        <f>VLOOKUP($A35,'US Grid mix, emissions&amp;prices'!$H$113:$I$163,2,FALSE)*U$55</f>
        <v>102711.99143039896</v>
      </c>
      <c r="V35" s="103">
        <f>VLOOKUP($A35,'US Grid mix, emissions&amp;prices'!$H$113:$I$163,2,FALSE)*V$55</f>
        <v>102711.99143039896</v>
      </c>
      <c r="W35" s="103">
        <f>VLOOKUP($A35,'US Grid mix, emissions&amp;prices'!$H$113:$I$163,2,FALSE)*W$55</f>
        <v>102711.99143039896</v>
      </c>
      <c r="X35" s="103">
        <f>VLOOKUP($A35,'US Grid mix, emissions&amp;prices'!$H$113:$I$163,2,FALSE)*X$55</f>
        <v>102711.99143039896</v>
      </c>
      <c r="Y35" s="103">
        <f>VLOOKUP($A35,'US Grid mix, emissions&amp;prices'!$H$113:$I$163,2,FALSE)*Y$55</f>
        <v>102711.99143039896</v>
      </c>
      <c r="Z35" s="103">
        <f>VLOOKUP($A35,'US Grid mix, emissions&amp;prices'!$H$113:$I$163,2,FALSE)*Z$55</f>
        <v>102711.99143039896</v>
      </c>
      <c r="AA35" s="103">
        <f>VLOOKUP($A35,'US Grid mix, emissions&amp;prices'!$H$113:$I$163,2,FALSE)*AA$55</f>
        <v>102711.99143039896</v>
      </c>
      <c r="AB35" s="103">
        <f>VLOOKUP($A35,'US Grid mix, emissions&amp;prices'!$H$113:$I$163,2,FALSE)*AB$55</f>
        <v>102711.99143039896</v>
      </c>
      <c r="AC35" s="103">
        <f>VLOOKUP($A35,'US Grid mix, emissions&amp;prices'!$H$113:$I$163,2,FALSE)*AC$55</f>
        <v>102711.99143039896</v>
      </c>
      <c r="AF35" s="123" t="s">
        <v>216</v>
      </c>
      <c r="AG35" s="103">
        <f>VLOOKUP($AF35,'US Grid mix, emissions&amp;prices'!$H$113:$I$163,2,FALSE)*AG$55</f>
        <v>120389.52840992286</v>
      </c>
      <c r="AH35" s="103">
        <f>VLOOKUP($AF35,'US Grid mix, emissions&amp;prices'!$H$113:$I$163,2,FALSE)*AH$55</f>
        <v>120389.52840992286</v>
      </c>
      <c r="AI35" s="103">
        <f>VLOOKUP($AF35,'US Grid mix, emissions&amp;prices'!$H$113:$I$163,2,FALSE)*AI$55</f>
        <v>120389.52840992286</v>
      </c>
      <c r="AJ35" s="103">
        <f>VLOOKUP($AF35,'US Grid mix, emissions&amp;prices'!$H$113:$I$163,2,FALSE)*AJ$55</f>
        <v>120389.52840992286</v>
      </c>
      <c r="AK35" s="103">
        <f>VLOOKUP($AF35,'US Grid mix, emissions&amp;prices'!$H$113:$I$163,2,FALSE)*AK$55</f>
        <v>120389.52840992286</v>
      </c>
      <c r="AL35" s="103">
        <f>VLOOKUP($AF35,'US Grid mix, emissions&amp;prices'!$H$113:$I$163,2,FALSE)*AL$55</f>
        <v>120389.52840992286</v>
      </c>
      <c r="AM35" s="103">
        <f>VLOOKUP($AF35,'US Grid mix, emissions&amp;prices'!$H$113:$I$163,2,FALSE)*AM$55</f>
        <v>120389.52840992286</v>
      </c>
      <c r="AN35" s="103">
        <f>VLOOKUP($AF35,'US Grid mix, emissions&amp;prices'!$H$113:$I$163,2,FALSE)*AN$55</f>
        <v>120389.52840992286</v>
      </c>
      <c r="AO35" s="103">
        <f>VLOOKUP($AF35,'US Grid mix, emissions&amp;prices'!$H$113:$I$163,2,FALSE)*AO$55</f>
        <v>120389.52840992286</v>
      </c>
      <c r="AP35" s="103">
        <f>VLOOKUP($AF35,'US Grid mix, emissions&amp;prices'!$H$113:$I$163,2,FALSE)*AP$55</f>
        <v>120389.52840992286</v>
      </c>
      <c r="AQ35" s="103">
        <f>VLOOKUP($AF35,'US Grid mix, emissions&amp;prices'!$H$113:$I$163,2,FALSE)*AQ$55</f>
        <v>120389.52840992286</v>
      </c>
      <c r="AR35" s="103">
        <f>VLOOKUP($AF35,'US Grid mix, emissions&amp;prices'!$H$113:$I$163,2,FALSE)*AR$55</f>
        <v>120389.52840992286</v>
      </c>
      <c r="AS35" s="103">
        <f>VLOOKUP($AF35,'US Grid mix, emissions&amp;prices'!$H$113:$I$163,2,FALSE)*AS$55</f>
        <v>120389.52840992286</v>
      </c>
      <c r="AT35" s="103">
        <f>VLOOKUP($AF35,'US Grid mix, emissions&amp;prices'!$H$113:$I$163,2,FALSE)*AT$55</f>
        <v>120389.52840992286</v>
      </c>
      <c r="AU35" s="103">
        <f>VLOOKUP($AF35,'US Grid mix, emissions&amp;prices'!$H$113:$I$163,2,FALSE)*AU$55</f>
        <v>120389.52840992286</v>
      </c>
      <c r="AV35" s="103">
        <f>VLOOKUP($AF35,'US Grid mix, emissions&amp;prices'!$H$113:$I$163,2,FALSE)*AV$55</f>
        <v>120389.52840992286</v>
      </c>
      <c r="AW35" s="103">
        <f>VLOOKUP($AF35,'US Grid mix, emissions&amp;prices'!$H$113:$I$163,2,FALSE)*AW$55</f>
        <v>120389.52840992286</v>
      </c>
      <c r="AX35" s="103">
        <f>VLOOKUP($AF35,'US Grid mix, emissions&amp;prices'!$H$113:$I$163,2,FALSE)*AX$55</f>
        <v>120389.52840992286</v>
      </c>
      <c r="AY35" s="103">
        <f>VLOOKUP($AF35,'US Grid mix, emissions&amp;prices'!$H$113:$I$163,2,FALSE)*AY$55</f>
        <v>120389.52840992286</v>
      </c>
      <c r="AZ35" s="103">
        <f>VLOOKUP($AF35,'US Grid mix, emissions&amp;prices'!$H$113:$I$163,2,FALSE)*AZ$55</f>
        <v>120389.52840992286</v>
      </c>
      <c r="BA35" s="103">
        <f>VLOOKUP($AF35,'US Grid mix, emissions&amp;prices'!$H$113:$I$163,2,FALSE)*BA$55</f>
        <v>120389.52840992286</v>
      </c>
      <c r="BB35" s="103">
        <f>VLOOKUP($AF35,'US Grid mix, emissions&amp;prices'!$H$113:$I$163,2,FALSE)*BB$55</f>
        <v>120389.52840992286</v>
      </c>
      <c r="BC35" s="103">
        <f>VLOOKUP($AF35,'US Grid mix, emissions&amp;prices'!$H$113:$I$163,2,FALSE)*BC$55</f>
        <v>120389.52840992286</v>
      </c>
      <c r="BD35" s="103">
        <f>VLOOKUP($AF35,'US Grid mix, emissions&amp;prices'!$H$113:$I$163,2,FALSE)*BD$55</f>
        <v>120389.52840992286</v>
      </c>
      <c r="BE35" s="103">
        <f>VLOOKUP($AF35,'US Grid mix, emissions&amp;prices'!$H$113:$I$163,2,FALSE)*BE$55</f>
        <v>120389.52840992286</v>
      </c>
      <c r="BF35" s="103">
        <f>VLOOKUP($AF35,'US Grid mix, emissions&amp;prices'!$H$113:$I$163,2,FALSE)*BF$55</f>
        <v>120389.52840992286</v>
      </c>
      <c r="BG35" s="103">
        <f>VLOOKUP($AF35,'US Grid mix, emissions&amp;prices'!$H$113:$I$163,2,FALSE)*BG$55</f>
        <v>120389.52840992286</v>
      </c>
      <c r="BH35" s="103">
        <f>VLOOKUP($AF35,'US Grid mix, emissions&amp;prices'!$H$113:$I$163,2,FALSE)*BH$55</f>
        <v>120389.52840992286</v>
      </c>
      <c r="BL35" s="123" t="s">
        <v>216</v>
      </c>
      <c r="BM35" s="103">
        <f>VLOOKUP($BL35,'US Grid mix, emissions&amp;prices'!$H$113:$I$163,2,FALSE)*BM$55</f>
        <v>89499.289108437821</v>
      </c>
      <c r="BN35" s="103">
        <f>VLOOKUP($BL35,'US Grid mix, emissions&amp;prices'!$H$113:$I$163,2,FALSE)*BN$55</f>
        <v>89499.289108437821</v>
      </c>
      <c r="BO35" s="103">
        <f>VLOOKUP($BL35,'US Grid mix, emissions&amp;prices'!$H$113:$I$163,2,FALSE)*BO$55</f>
        <v>89499.289108437821</v>
      </c>
      <c r="BP35" s="103">
        <f>VLOOKUP($BL35,'US Grid mix, emissions&amp;prices'!$H$113:$I$163,2,FALSE)*BP$55</f>
        <v>89499.289108437821</v>
      </c>
      <c r="BQ35" s="103">
        <f>VLOOKUP($BL35,'US Grid mix, emissions&amp;prices'!$H$113:$I$163,2,FALSE)*BQ$55</f>
        <v>89499.289108437821</v>
      </c>
      <c r="BR35" s="103">
        <f>VLOOKUP($BL35,'US Grid mix, emissions&amp;prices'!$H$113:$I$163,2,FALSE)*BR$55</f>
        <v>89499.289108437821</v>
      </c>
      <c r="BS35" s="103">
        <f>VLOOKUP($BL35,'US Grid mix, emissions&amp;prices'!$H$113:$I$163,2,FALSE)*BS$55</f>
        <v>89499.289108437821</v>
      </c>
      <c r="BT35" s="103">
        <f>VLOOKUP($BL35,'US Grid mix, emissions&amp;prices'!$H$113:$I$163,2,FALSE)*BT$55</f>
        <v>89499.289108437821</v>
      </c>
      <c r="BU35" s="103">
        <f>VLOOKUP($BL35,'US Grid mix, emissions&amp;prices'!$H$113:$I$163,2,FALSE)*BU$55</f>
        <v>89499.289108437821</v>
      </c>
      <c r="BV35" s="103">
        <f>VLOOKUP($BL35,'US Grid mix, emissions&amp;prices'!$H$113:$I$163,2,FALSE)*BV$55</f>
        <v>89499.289108437821</v>
      </c>
      <c r="BW35" s="103">
        <f>VLOOKUP($BL35,'US Grid mix, emissions&amp;prices'!$H$113:$I$163,2,FALSE)*BW$55</f>
        <v>89499.289108437821</v>
      </c>
      <c r="BX35" s="103">
        <f>VLOOKUP($BL35,'US Grid mix, emissions&amp;prices'!$H$113:$I$163,2,FALSE)*BX$55</f>
        <v>89499.289108437821</v>
      </c>
      <c r="BY35" s="103">
        <f>VLOOKUP($BL35,'US Grid mix, emissions&amp;prices'!$H$113:$I$163,2,FALSE)*BY$55</f>
        <v>89499.289108437821</v>
      </c>
      <c r="BZ35" s="103">
        <f>VLOOKUP($BL35,'US Grid mix, emissions&amp;prices'!$H$113:$I$163,2,FALSE)*BZ$55</f>
        <v>89499.289108437821</v>
      </c>
      <c r="CA35" s="103">
        <f>VLOOKUP($BL35,'US Grid mix, emissions&amp;prices'!$H$113:$I$163,2,FALSE)*CA$55</f>
        <v>89499.289108437821</v>
      </c>
      <c r="CB35" s="103">
        <f>VLOOKUP($BL35,'US Grid mix, emissions&amp;prices'!$H$113:$I$163,2,FALSE)*CB$55</f>
        <v>89499.289108437821</v>
      </c>
      <c r="CC35" s="103">
        <f>VLOOKUP($BL35,'US Grid mix, emissions&amp;prices'!$H$113:$I$163,2,FALSE)*CC$55</f>
        <v>89499.289108437821</v>
      </c>
      <c r="CD35" s="103">
        <f>VLOOKUP($BL35,'US Grid mix, emissions&amp;prices'!$H$113:$I$163,2,FALSE)*CD$55</f>
        <v>89499.289108437821</v>
      </c>
      <c r="CE35" s="103">
        <f>VLOOKUP($BL35,'US Grid mix, emissions&amp;prices'!$H$113:$I$163,2,FALSE)*CE$55</f>
        <v>89499.289108437821</v>
      </c>
      <c r="CF35" s="103">
        <f>VLOOKUP($BL35,'US Grid mix, emissions&amp;prices'!$H$113:$I$163,2,FALSE)*CF$55</f>
        <v>89499.289108437821</v>
      </c>
      <c r="CG35" s="103">
        <f>VLOOKUP($BL35,'US Grid mix, emissions&amp;prices'!$H$113:$I$163,2,FALSE)*CG$55</f>
        <v>89499.289108437821</v>
      </c>
      <c r="CH35" s="103">
        <f>VLOOKUP($BL35,'US Grid mix, emissions&amp;prices'!$H$113:$I$163,2,FALSE)*CH$55</f>
        <v>89499.289108437821</v>
      </c>
      <c r="CI35" s="103">
        <f>VLOOKUP($BL35,'US Grid mix, emissions&amp;prices'!$H$113:$I$163,2,FALSE)*CI$55</f>
        <v>89499.289108437821</v>
      </c>
      <c r="CJ35" s="103">
        <f>VLOOKUP($BL35,'US Grid mix, emissions&amp;prices'!$H$113:$I$163,2,FALSE)*CJ$55</f>
        <v>89499.289108437821</v>
      </c>
      <c r="CK35" s="103">
        <f>VLOOKUP($BL35,'US Grid mix, emissions&amp;prices'!$H$113:$I$163,2,FALSE)*CK$55</f>
        <v>89499.289108437821</v>
      </c>
      <c r="CL35" s="103">
        <f>VLOOKUP($BL35,'US Grid mix, emissions&amp;prices'!$H$113:$I$163,2,FALSE)*CL$55</f>
        <v>89499.289108437821</v>
      </c>
      <c r="CM35" s="103">
        <f>VLOOKUP($BL35,'US Grid mix, emissions&amp;prices'!$H$113:$I$163,2,FALSE)*CM$55</f>
        <v>89499.289108437821</v>
      </c>
      <c r="CN35" s="103">
        <f>VLOOKUP($BL35,'US Grid mix, emissions&amp;prices'!$H$113:$I$163,2,FALSE)*CN$55</f>
        <v>89499.289108437821</v>
      </c>
    </row>
    <row r="36" spans="1:92" x14ac:dyDescent="0.25">
      <c r="A36" s="123" t="s">
        <v>209</v>
      </c>
      <c r="B36" s="103">
        <f>VLOOKUP($A36,'US Grid mix, emissions&amp;prices'!$H$113:$I$163,2,FALSE)*B$55</f>
        <v>137190.46739775434</v>
      </c>
      <c r="C36" s="103">
        <f>VLOOKUP($A36,'US Grid mix, emissions&amp;prices'!$H$113:$I$163,2,FALSE)*C$55</f>
        <v>137190.46739775434</v>
      </c>
      <c r="D36" s="103">
        <f>VLOOKUP($A36,'US Grid mix, emissions&amp;prices'!$H$113:$I$163,2,FALSE)*D$55</f>
        <v>137190.46739775434</v>
      </c>
      <c r="E36" s="103">
        <f>VLOOKUP($A36,'US Grid mix, emissions&amp;prices'!$H$113:$I$163,2,FALSE)*E$55</f>
        <v>137190.46739775434</v>
      </c>
      <c r="F36" s="103">
        <f>VLOOKUP($A36,'US Grid mix, emissions&amp;prices'!$H$113:$I$163,2,FALSE)*F$55</f>
        <v>137190.46739775434</v>
      </c>
      <c r="G36" s="103">
        <f>VLOOKUP($A36,'US Grid mix, emissions&amp;prices'!$H$113:$I$163,2,FALSE)*G$55</f>
        <v>137190.46739775434</v>
      </c>
      <c r="H36" s="103">
        <f>VLOOKUP($A36,'US Grid mix, emissions&amp;prices'!$H$113:$I$163,2,FALSE)*H$55</f>
        <v>137190.46739775434</v>
      </c>
      <c r="I36" s="103">
        <f>VLOOKUP($A36,'US Grid mix, emissions&amp;prices'!$H$113:$I$163,2,FALSE)*I$55</f>
        <v>137190.46739775434</v>
      </c>
      <c r="J36" s="103">
        <f>VLOOKUP($A36,'US Grid mix, emissions&amp;prices'!$H$113:$I$163,2,FALSE)*J$55</f>
        <v>137190.46739775434</v>
      </c>
      <c r="K36" s="103">
        <f>VLOOKUP($A36,'US Grid mix, emissions&amp;prices'!$H$113:$I$163,2,FALSE)*K$55</f>
        <v>137190.46739775434</v>
      </c>
      <c r="L36" s="103">
        <f>VLOOKUP($A36,'US Grid mix, emissions&amp;prices'!$H$113:$I$163,2,FALSE)*L$55</f>
        <v>137190.46739775434</v>
      </c>
      <c r="M36" s="103">
        <f>VLOOKUP($A36,'US Grid mix, emissions&amp;prices'!$H$113:$I$163,2,FALSE)*M$55</f>
        <v>137190.46739775434</v>
      </c>
      <c r="N36" s="103">
        <f>VLOOKUP($A36,'US Grid mix, emissions&amp;prices'!$H$113:$I$163,2,FALSE)*N$55</f>
        <v>137190.46739775434</v>
      </c>
      <c r="O36" s="103">
        <f>VLOOKUP($A36,'US Grid mix, emissions&amp;prices'!$H$113:$I$163,2,FALSE)*O$55</f>
        <v>137190.46739775434</v>
      </c>
      <c r="P36" s="103">
        <f>VLOOKUP($A36,'US Grid mix, emissions&amp;prices'!$H$113:$I$163,2,FALSE)*P$55</f>
        <v>137190.46739775434</v>
      </c>
      <c r="Q36" s="103">
        <f>VLOOKUP($A36,'US Grid mix, emissions&amp;prices'!$H$113:$I$163,2,FALSE)*Q$55</f>
        <v>137190.46739775434</v>
      </c>
      <c r="R36" s="103">
        <f>VLOOKUP($A36,'US Grid mix, emissions&amp;prices'!$H$113:$I$163,2,FALSE)*R$55</f>
        <v>137190.46739775434</v>
      </c>
      <c r="S36" s="103">
        <f>VLOOKUP($A36,'US Grid mix, emissions&amp;prices'!$H$113:$I$163,2,FALSE)*S$55</f>
        <v>137190.46739775434</v>
      </c>
      <c r="T36" s="103">
        <f>VLOOKUP($A36,'US Grid mix, emissions&amp;prices'!$H$113:$I$163,2,FALSE)*T$55</f>
        <v>137190.46739775434</v>
      </c>
      <c r="U36" s="103">
        <f>VLOOKUP($A36,'US Grid mix, emissions&amp;prices'!$H$113:$I$163,2,FALSE)*U$55</f>
        <v>137190.46739775434</v>
      </c>
      <c r="V36" s="103">
        <f>VLOOKUP($A36,'US Grid mix, emissions&amp;prices'!$H$113:$I$163,2,FALSE)*V$55</f>
        <v>137190.46739775434</v>
      </c>
      <c r="W36" s="103">
        <f>VLOOKUP($A36,'US Grid mix, emissions&amp;prices'!$H$113:$I$163,2,FALSE)*W$55</f>
        <v>137190.46739775434</v>
      </c>
      <c r="X36" s="103">
        <f>VLOOKUP($A36,'US Grid mix, emissions&amp;prices'!$H$113:$I$163,2,FALSE)*X$55</f>
        <v>137190.46739775434</v>
      </c>
      <c r="Y36" s="103">
        <f>VLOOKUP($A36,'US Grid mix, emissions&amp;prices'!$H$113:$I$163,2,FALSE)*Y$55</f>
        <v>137190.46739775434</v>
      </c>
      <c r="Z36" s="103">
        <f>VLOOKUP($A36,'US Grid mix, emissions&amp;prices'!$H$113:$I$163,2,FALSE)*Z$55</f>
        <v>137190.46739775434</v>
      </c>
      <c r="AA36" s="103">
        <f>VLOOKUP($A36,'US Grid mix, emissions&amp;prices'!$H$113:$I$163,2,FALSE)*AA$55</f>
        <v>137190.46739775434</v>
      </c>
      <c r="AB36" s="103">
        <f>VLOOKUP($A36,'US Grid mix, emissions&amp;prices'!$H$113:$I$163,2,FALSE)*AB$55</f>
        <v>137190.46739775434</v>
      </c>
      <c r="AC36" s="103">
        <f>VLOOKUP($A36,'US Grid mix, emissions&amp;prices'!$H$113:$I$163,2,FALSE)*AC$55</f>
        <v>137190.46739775434</v>
      </c>
      <c r="AF36" s="123" t="s">
        <v>209</v>
      </c>
      <c r="AG36" s="103">
        <f>VLOOKUP($AF36,'US Grid mix, emissions&amp;prices'!$H$113:$I$163,2,FALSE)*AG$55</f>
        <v>160802.01972857793</v>
      </c>
      <c r="AH36" s="103">
        <f>VLOOKUP($AF36,'US Grid mix, emissions&amp;prices'!$H$113:$I$163,2,FALSE)*AH$55</f>
        <v>160802.01972857793</v>
      </c>
      <c r="AI36" s="103">
        <f>VLOOKUP($AF36,'US Grid mix, emissions&amp;prices'!$H$113:$I$163,2,FALSE)*AI$55</f>
        <v>160802.01972857793</v>
      </c>
      <c r="AJ36" s="103">
        <f>VLOOKUP($AF36,'US Grid mix, emissions&amp;prices'!$H$113:$I$163,2,FALSE)*AJ$55</f>
        <v>160802.01972857793</v>
      </c>
      <c r="AK36" s="103">
        <f>VLOOKUP($AF36,'US Grid mix, emissions&amp;prices'!$H$113:$I$163,2,FALSE)*AK$55</f>
        <v>160802.01972857793</v>
      </c>
      <c r="AL36" s="103">
        <f>VLOOKUP($AF36,'US Grid mix, emissions&amp;prices'!$H$113:$I$163,2,FALSE)*AL$55</f>
        <v>160802.01972857793</v>
      </c>
      <c r="AM36" s="103">
        <f>VLOOKUP($AF36,'US Grid mix, emissions&amp;prices'!$H$113:$I$163,2,FALSE)*AM$55</f>
        <v>160802.01972857793</v>
      </c>
      <c r="AN36" s="103">
        <f>VLOOKUP($AF36,'US Grid mix, emissions&amp;prices'!$H$113:$I$163,2,FALSE)*AN$55</f>
        <v>160802.01972857793</v>
      </c>
      <c r="AO36" s="103">
        <f>VLOOKUP($AF36,'US Grid mix, emissions&amp;prices'!$H$113:$I$163,2,FALSE)*AO$55</f>
        <v>160802.01972857793</v>
      </c>
      <c r="AP36" s="103">
        <f>VLOOKUP($AF36,'US Grid mix, emissions&amp;prices'!$H$113:$I$163,2,FALSE)*AP$55</f>
        <v>160802.01972857793</v>
      </c>
      <c r="AQ36" s="103">
        <f>VLOOKUP($AF36,'US Grid mix, emissions&amp;prices'!$H$113:$I$163,2,FALSE)*AQ$55</f>
        <v>160802.01972857793</v>
      </c>
      <c r="AR36" s="103">
        <f>VLOOKUP($AF36,'US Grid mix, emissions&amp;prices'!$H$113:$I$163,2,FALSE)*AR$55</f>
        <v>160802.01972857793</v>
      </c>
      <c r="AS36" s="103">
        <f>VLOOKUP($AF36,'US Grid mix, emissions&amp;prices'!$H$113:$I$163,2,FALSE)*AS$55</f>
        <v>160802.01972857793</v>
      </c>
      <c r="AT36" s="103">
        <f>VLOOKUP($AF36,'US Grid mix, emissions&amp;prices'!$H$113:$I$163,2,FALSE)*AT$55</f>
        <v>160802.01972857793</v>
      </c>
      <c r="AU36" s="103">
        <f>VLOOKUP($AF36,'US Grid mix, emissions&amp;prices'!$H$113:$I$163,2,FALSE)*AU$55</f>
        <v>160802.01972857793</v>
      </c>
      <c r="AV36" s="103">
        <f>VLOOKUP($AF36,'US Grid mix, emissions&amp;prices'!$H$113:$I$163,2,FALSE)*AV$55</f>
        <v>160802.01972857793</v>
      </c>
      <c r="AW36" s="103">
        <f>VLOOKUP($AF36,'US Grid mix, emissions&amp;prices'!$H$113:$I$163,2,FALSE)*AW$55</f>
        <v>160802.01972857793</v>
      </c>
      <c r="AX36" s="103">
        <f>VLOOKUP($AF36,'US Grid mix, emissions&amp;prices'!$H$113:$I$163,2,FALSE)*AX$55</f>
        <v>160802.01972857793</v>
      </c>
      <c r="AY36" s="103">
        <f>VLOOKUP($AF36,'US Grid mix, emissions&amp;prices'!$H$113:$I$163,2,FALSE)*AY$55</f>
        <v>160802.01972857793</v>
      </c>
      <c r="AZ36" s="103">
        <f>VLOOKUP($AF36,'US Grid mix, emissions&amp;prices'!$H$113:$I$163,2,FALSE)*AZ$55</f>
        <v>160802.01972857793</v>
      </c>
      <c r="BA36" s="103">
        <f>VLOOKUP($AF36,'US Grid mix, emissions&amp;prices'!$H$113:$I$163,2,FALSE)*BA$55</f>
        <v>160802.01972857793</v>
      </c>
      <c r="BB36" s="103">
        <f>VLOOKUP($AF36,'US Grid mix, emissions&amp;prices'!$H$113:$I$163,2,FALSE)*BB$55</f>
        <v>160802.01972857793</v>
      </c>
      <c r="BC36" s="103">
        <f>VLOOKUP($AF36,'US Grid mix, emissions&amp;prices'!$H$113:$I$163,2,FALSE)*BC$55</f>
        <v>160802.01972857793</v>
      </c>
      <c r="BD36" s="103">
        <f>VLOOKUP($AF36,'US Grid mix, emissions&amp;prices'!$H$113:$I$163,2,FALSE)*BD$55</f>
        <v>160802.01972857793</v>
      </c>
      <c r="BE36" s="103">
        <f>VLOOKUP($AF36,'US Grid mix, emissions&amp;prices'!$H$113:$I$163,2,FALSE)*BE$55</f>
        <v>160802.01972857793</v>
      </c>
      <c r="BF36" s="103">
        <f>VLOOKUP($AF36,'US Grid mix, emissions&amp;prices'!$H$113:$I$163,2,FALSE)*BF$55</f>
        <v>160802.01972857793</v>
      </c>
      <c r="BG36" s="103">
        <f>VLOOKUP($AF36,'US Grid mix, emissions&amp;prices'!$H$113:$I$163,2,FALSE)*BG$55</f>
        <v>160802.01972857793</v>
      </c>
      <c r="BH36" s="103">
        <f>VLOOKUP($AF36,'US Grid mix, emissions&amp;prices'!$H$113:$I$163,2,FALSE)*BH$55</f>
        <v>160802.01972857793</v>
      </c>
      <c r="BL36" s="123" t="s">
        <v>209</v>
      </c>
      <c r="BM36" s="103">
        <f>VLOOKUP($BL36,'US Grid mix, emissions&amp;prices'!$H$113:$I$163,2,FALSE)*BM$55</f>
        <v>119542.5104075955</v>
      </c>
      <c r="BN36" s="103">
        <f>VLOOKUP($BL36,'US Grid mix, emissions&amp;prices'!$H$113:$I$163,2,FALSE)*BN$55</f>
        <v>119542.5104075955</v>
      </c>
      <c r="BO36" s="103">
        <f>VLOOKUP($BL36,'US Grid mix, emissions&amp;prices'!$H$113:$I$163,2,FALSE)*BO$55</f>
        <v>119542.5104075955</v>
      </c>
      <c r="BP36" s="103">
        <f>VLOOKUP($BL36,'US Grid mix, emissions&amp;prices'!$H$113:$I$163,2,FALSE)*BP$55</f>
        <v>119542.5104075955</v>
      </c>
      <c r="BQ36" s="103">
        <f>VLOOKUP($BL36,'US Grid mix, emissions&amp;prices'!$H$113:$I$163,2,FALSE)*BQ$55</f>
        <v>119542.5104075955</v>
      </c>
      <c r="BR36" s="103">
        <f>VLOOKUP($BL36,'US Grid mix, emissions&amp;prices'!$H$113:$I$163,2,FALSE)*BR$55</f>
        <v>119542.5104075955</v>
      </c>
      <c r="BS36" s="103">
        <f>VLOOKUP($BL36,'US Grid mix, emissions&amp;prices'!$H$113:$I$163,2,FALSE)*BS$55</f>
        <v>119542.5104075955</v>
      </c>
      <c r="BT36" s="103">
        <f>VLOOKUP($BL36,'US Grid mix, emissions&amp;prices'!$H$113:$I$163,2,FALSE)*BT$55</f>
        <v>119542.5104075955</v>
      </c>
      <c r="BU36" s="103">
        <f>VLOOKUP($BL36,'US Grid mix, emissions&amp;prices'!$H$113:$I$163,2,FALSE)*BU$55</f>
        <v>119542.5104075955</v>
      </c>
      <c r="BV36" s="103">
        <f>VLOOKUP($BL36,'US Grid mix, emissions&amp;prices'!$H$113:$I$163,2,FALSE)*BV$55</f>
        <v>119542.5104075955</v>
      </c>
      <c r="BW36" s="103">
        <f>VLOOKUP($BL36,'US Grid mix, emissions&amp;prices'!$H$113:$I$163,2,FALSE)*BW$55</f>
        <v>119542.5104075955</v>
      </c>
      <c r="BX36" s="103">
        <f>VLOOKUP($BL36,'US Grid mix, emissions&amp;prices'!$H$113:$I$163,2,FALSE)*BX$55</f>
        <v>119542.5104075955</v>
      </c>
      <c r="BY36" s="103">
        <f>VLOOKUP($BL36,'US Grid mix, emissions&amp;prices'!$H$113:$I$163,2,FALSE)*BY$55</f>
        <v>119542.5104075955</v>
      </c>
      <c r="BZ36" s="103">
        <f>VLOOKUP($BL36,'US Grid mix, emissions&amp;prices'!$H$113:$I$163,2,FALSE)*BZ$55</f>
        <v>119542.5104075955</v>
      </c>
      <c r="CA36" s="103">
        <f>VLOOKUP($BL36,'US Grid mix, emissions&amp;prices'!$H$113:$I$163,2,FALSE)*CA$55</f>
        <v>119542.5104075955</v>
      </c>
      <c r="CB36" s="103">
        <f>VLOOKUP($BL36,'US Grid mix, emissions&amp;prices'!$H$113:$I$163,2,FALSE)*CB$55</f>
        <v>119542.5104075955</v>
      </c>
      <c r="CC36" s="103">
        <f>VLOOKUP($BL36,'US Grid mix, emissions&amp;prices'!$H$113:$I$163,2,FALSE)*CC$55</f>
        <v>119542.5104075955</v>
      </c>
      <c r="CD36" s="103">
        <f>VLOOKUP($BL36,'US Grid mix, emissions&amp;prices'!$H$113:$I$163,2,FALSE)*CD$55</f>
        <v>119542.5104075955</v>
      </c>
      <c r="CE36" s="103">
        <f>VLOOKUP($BL36,'US Grid mix, emissions&amp;prices'!$H$113:$I$163,2,FALSE)*CE$55</f>
        <v>119542.5104075955</v>
      </c>
      <c r="CF36" s="103">
        <f>VLOOKUP($BL36,'US Grid mix, emissions&amp;prices'!$H$113:$I$163,2,FALSE)*CF$55</f>
        <v>119542.5104075955</v>
      </c>
      <c r="CG36" s="103">
        <f>VLOOKUP($BL36,'US Grid mix, emissions&amp;prices'!$H$113:$I$163,2,FALSE)*CG$55</f>
        <v>119542.5104075955</v>
      </c>
      <c r="CH36" s="103">
        <f>VLOOKUP($BL36,'US Grid mix, emissions&amp;prices'!$H$113:$I$163,2,FALSE)*CH$55</f>
        <v>119542.5104075955</v>
      </c>
      <c r="CI36" s="103">
        <f>VLOOKUP($BL36,'US Grid mix, emissions&amp;prices'!$H$113:$I$163,2,FALSE)*CI$55</f>
        <v>119542.5104075955</v>
      </c>
      <c r="CJ36" s="103">
        <f>VLOOKUP($BL36,'US Grid mix, emissions&amp;prices'!$H$113:$I$163,2,FALSE)*CJ$55</f>
        <v>119542.5104075955</v>
      </c>
      <c r="CK36" s="103">
        <f>VLOOKUP($BL36,'US Grid mix, emissions&amp;prices'!$H$113:$I$163,2,FALSE)*CK$55</f>
        <v>119542.5104075955</v>
      </c>
      <c r="CL36" s="103">
        <f>VLOOKUP($BL36,'US Grid mix, emissions&amp;prices'!$H$113:$I$163,2,FALSE)*CL$55</f>
        <v>119542.5104075955</v>
      </c>
      <c r="CM36" s="103">
        <f>VLOOKUP($BL36,'US Grid mix, emissions&amp;prices'!$H$113:$I$163,2,FALSE)*CM$55</f>
        <v>119542.5104075955</v>
      </c>
      <c r="CN36" s="103">
        <f>VLOOKUP($BL36,'US Grid mix, emissions&amp;prices'!$H$113:$I$163,2,FALSE)*CN$55</f>
        <v>119542.5104075955</v>
      </c>
    </row>
    <row r="37" spans="1:92" x14ac:dyDescent="0.25">
      <c r="A37" s="123" t="s">
        <v>210</v>
      </c>
      <c r="B37" s="103">
        <f>VLOOKUP($A37,'US Grid mix, emissions&amp;prices'!$H$113:$I$163,2,FALSE)*B$55</f>
        <v>251882.46021531892</v>
      </c>
      <c r="C37" s="103">
        <f>VLOOKUP($A37,'US Grid mix, emissions&amp;prices'!$H$113:$I$163,2,FALSE)*C$55</f>
        <v>251882.46021531892</v>
      </c>
      <c r="D37" s="103">
        <f>VLOOKUP($A37,'US Grid mix, emissions&amp;prices'!$H$113:$I$163,2,FALSE)*D$55</f>
        <v>251882.46021531892</v>
      </c>
      <c r="E37" s="103">
        <f>VLOOKUP($A37,'US Grid mix, emissions&amp;prices'!$H$113:$I$163,2,FALSE)*E$55</f>
        <v>251882.46021531892</v>
      </c>
      <c r="F37" s="103">
        <f>VLOOKUP($A37,'US Grid mix, emissions&amp;prices'!$H$113:$I$163,2,FALSE)*F$55</f>
        <v>251882.46021531892</v>
      </c>
      <c r="G37" s="103">
        <f>VLOOKUP($A37,'US Grid mix, emissions&amp;prices'!$H$113:$I$163,2,FALSE)*G$55</f>
        <v>251882.46021531892</v>
      </c>
      <c r="H37" s="103">
        <f>VLOOKUP($A37,'US Grid mix, emissions&amp;prices'!$H$113:$I$163,2,FALSE)*H$55</f>
        <v>251882.46021531892</v>
      </c>
      <c r="I37" s="103">
        <f>VLOOKUP($A37,'US Grid mix, emissions&amp;prices'!$H$113:$I$163,2,FALSE)*I$55</f>
        <v>251882.46021531892</v>
      </c>
      <c r="J37" s="103">
        <f>VLOOKUP($A37,'US Grid mix, emissions&amp;prices'!$H$113:$I$163,2,FALSE)*J$55</f>
        <v>251882.46021531892</v>
      </c>
      <c r="K37" s="103">
        <f>VLOOKUP($A37,'US Grid mix, emissions&amp;prices'!$H$113:$I$163,2,FALSE)*K$55</f>
        <v>251882.46021531892</v>
      </c>
      <c r="L37" s="103">
        <f>VLOOKUP($A37,'US Grid mix, emissions&amp;prices'!$H$113:$I$163,2,FALSE)*L$55</f>
        <v>251882.46021531892</v>
      </c>
      <c r="M37" s="103">
        <f>VLOOKUP($A37,'US Grid mix, emissions&amp;prices'!$H$113:$I$163,2,FALSE)*M$55</f>
        <v>251882.46021531892</v>
      </c>
      <c r="N37" s="103">
        <f>VLOOKUP($A37,'US Grid mix, emissions&amp;prices'!$H$113:$I$163,2,FALSE)*N$55</f>
        <v>251882.46021531892</v>
      </c>
      <c r="O37" s="103">
        <f>VLOOKUP($A37,'US Grid mix, emissions&amp;prices'!$H$113:$I$163,2,FALSE)*O$55</f>
        <v>251882.46021531892</v>
      </c>
      <c r="P37" s="103">
        <f>VLOOKUP($A37,'US Grid mix, emissions&amp;prices'!$H$113:$I$163,2,FALSE)*P$55</f>
        <v>251882.46021531892</v>
      </c>
      <c r="Q37" s="103">
        <f>VLOOKUP($A37,'US Grid mix, emissions&amp;prices'!$H$113:$I$163,2,FALSE)*Q$55</f>
        <v>251882.46021531892</v>
      </c>
      <c r="R37" s="103">
        <f>VLOOKUP($A37,'US Grid mix, emissions&amp;prices'!$H$113:$I$163,2,FALSE)*R$55</f>
        <v>251882.46021531892</v>
      </c>
      <c r="S37" s="103">
        <f>VLOOKUP($A37,'US Grid mix, emissions&amp;prices'!$H$113:$I$163,2,FALSE)*S$55</f>
        <v>251882.46021531892</v>
      </c>
      <c r="T37" s="103">
        <f>VLOOKUP($A37,'US Grid mix, emissions&amp;prices'!$H$113:$I$163,2,FALSE)*T$55</f>
        <v>251882.46021531892</v>
      </c>
      <c r="U37" s="103">
        <f>VLOOKUP($A37,'US Grid mix, emissions&amp;prices'!$H$113:$I$163,2,FALSE)*U$55</f>
        <v>251882.46021531892</v>
      </c>
      <c r="V37" s="103">
        <f>VLOOKUP($A37,'US Grid mix, emissions&amp;prices'!$H$113:$I$163,2,FALSE)*V$55</f>
        <v>251882.46021531892</v>
      </c>
      <c r="W37" s="103">
        <f>VLOOKUP($A37,'US Grid mix, emissions&amp;prices'!$H$113:$I$163,2,FALSE)*W$55</f>
        <v>251882.46021531892</v>
      </c>
      <c r="X37" s="103">
        <f>VLOOKUP($A37,'US Grid mix, emissions&amp;prices'!$H$113:$I$163,2,FALSE)*X$55</f>
        <v>251882.46021531892</v>
      </c>
      <c r="Y37" s="103">
        <f>VLOOKUP($A37,'US Grid mix, emissions&amp;prices'!$H$113:$I$163,2,FALSE)*Y$55</f>
        <v>251882.46021531892</v>
      </c>
      <c r="Z37" s="103">
        <f>VLOOKUP($A37,'US Grid mix, emissions&amp;prices'!$H$113:$I$163,2,FALSE)*Z$55</f>
        <v>251882.46021531892</v>
      </c>
      <c r="AA37" s="103">
        <f>VLOOKUP($A37,'US Grid mix, emissions&amp;prices'!$H$113:$I$163,2,FALSE)*AA$55</f>
        <v>251882.46021531892</v>
      </c>
      <c r="AB37" s="103">
        <f>VLOOKUP($A37,'US Grid mix, emissions&amp;prices'!$H$113:$I$163,2,FALSE)*AB$55</f>
        <v>251882.46021531892</v>
      </c>
      <c r="AC37" s="103">
        <f>VLOOKUP($A37,'US Grid mix, emissions&amp;prices'!$H$113:$I$163,2,FALSE)*AC$55</f>
        <v>251882.46021531892</v>
      </c>
      <c r="AF37" s="123" t="s">
        <v>210</v>
      </c>
      <c r="AG37" s="103">
        <f>VLOOKUP($AF37,'US Grid mix, emissions&amp;prices'!$H$113:$I$163,2,FALSE)*AG$55</f>
        <v>295233.40145344136</v>
      </c>
      <c r="AH37" s="103">
        <f>VLOOKUP($AF37,'US Grid mix, emissions&amp;prices'!$H$113:$I$163,2,FALSE)*AH$55</f>
        <v>295233.40145344136</v>
      </c>
      <c r="AI37" s="103">
        <f>VLOOKUP($AF37,'US Grid mix, emissions&amp;prices'!$H$113:$I$163,2,FALSE)*AI$55</f>
        <v>295233.40145344136</v>
      </c>
      <c r="AJ37" s="103">
        <f>VLOOKUP($AF37,'US Grid mix, emissions&amp;prices'!$H$113:$I$163,2,FALSE)*AJ$55</f>
        <v>295233.40145344136</v>
      </c>
      <c r="AK37" s="103">
        <f>VLOOKUP($AF37,'US Grid mix, emissions&amp;prices'!$H$113:$I$163,2,FALSE)*AK$55</f>
        <v>295233.40145344136</v>
      </c>
      <c r="AL37" s="103">
        <f>VLOOKUP($AF37,'US Grid mix, emissions&amp;prices'!$H$113:$I$163,2,FALSE)*AL$55</f>
        <v>295233.40145344136</v>
      </c>
      <c r="AM37" s="103">
        <f>VLOOKUP($AF37,'US Grid mix, emissions&amp;prices'!$H$113:$I$163,2,FALSE)*AM$55</f>
        <v>295233.40145344136</v>
      </c>
      <c r="AN37" s="103">
        <f>VLOOKUP($AF37,'US Grid mix, emissions&amp;prices'!$H$113:$I$163,2,FALSE)*AN$55</f>
        <v>295233.40145344136</v>
      </c>
      <c r="AO37" s="103">
        <f>VLOOKUP($AF37,'US Grid mix, emissions&amp;prices'!$H$113:$I$163,2,FALSE)*AO$55</f>
        <v>295233.40145344136</v>
      </c>
      <c r="AP37" s="103">
        <f>VLOOKUP($AF37,'US Grid mix, emissions&amp;prices'!$H$113:$I$163,2,FALSE)*AP$55</f>
        <v>295233.40145344136</v>
      </c>
      <c r="AQ37" s="103">
        <f>VLOOKUP($AF37,'US Grid mix, emissions&amp;prices'!$H$113:$I$163,2,FALSE)*AQ$55</f>
        <v>295233.40145344136</v>
      </c>
      <c r="AR37" s="103">
        <f>VLOOKUP($AF37,'US Grid mix, emissions&amp;prices'!$H$113:$I$163,2,FALSE)*AR$55</f>
        <v>295233.40145344136</v>
      </c>
      <c r="AS37" s="103">
        <f>VLOOKUP($AF37,'US Grid mix, emissions&amp;prices'!$H$113:$I$163,2,FALSE)*AS$55</f>
        <v>295233.40145344136</v>
      </c>
      <c r="AT37" s="103">
        <f>VLOOKUP($AF37,'US Grid mix, emissions&amp;prices'!$H$113:$I$163,2,FALSE)*AT$55</f>
        <v>295233.40145344136</v>
      </c>
      <c r="AU37" s="103">
        <f>VLOOKUP($AF37,'US Grid mix, emissions&amp;prices'!$H$113:$I$163,2,FALSE)*AU$55</f>
        <v>295233.40145344136</v>
      </c>
      <c r="AV37" s="103">
        <f>VLOOKUP($AF37,'US Grid mix, emissions&amp;prices'!$H$113:$I$163,2,FALSE)*AV$55</f>
        <v>295233.40145344136</v>
      </c>
      <c r="AW37" s="103">
        <f>VLOOKUP($AF37,'US Grid mix, emissions&amp;prices'!$H$113:$I$163,2,FALSE)*AW$55</f>
        <v>295233.40145344136</v>
      </c>
      <c r="AX37" s="103">
        <f>VLOOKUP($AF37,'US Grid mix, emissions&amp;prices'!$H$113:$I$163,2,FALSE)*AX$55</f>
        <v>295233.40145344136</v>
      </c>
      <c r="AY37" s="103">
        <f>VLOOKUP($AF37,'US Grid mix, emissions&amp;prices'!$H$113:$I$163,2,FALSE)*AY$55</f>
        <v>295233.40145344136</v>
      </c>
      <c r="AZ37" s="103">
        <f>VLOOKUP($AF37,'US Grid mix, emissions&amp;prices'!$H$113:$I$163,2,FALSE)*AZ$55</f>
        <v>295233.40145344136</v>
      </c>
      <c r="BA37" s="103">
        <f>VLOOKUP($AF37,'US Grid mix, emissions&amp;prices'!$H$113:$I$163,2,FALSE)*BA$55</f>
        <v>295233.40145344136</v>
      </c>
      <c r="BB37" s="103">
        <f>VLOOKUP($AF37,'US Grid mix, emissions&amp;prices'!$H$113:$I$163,2,FALSE)*BB$55</f>
        <v>295233.40145344136</v>
      </c>
      <c r="BC37" s="103">
        <f>VLOOKUP($AF37,'US Grid mix, emissions&amp;prices'!$H$113:$I$163,2,FALSE)*BC$55</f>
        <v>295233.40145344136</v>
      </c>
      <c r="BD37" s="103">
        <f>VLOOKUP($AF37,'US Grid mix, emissions&amp;prices'!$H$113:$I$163,2,FALSE)*BD$55</f>
        <v>295233.40145344136</v>
      </c>
      <c r="BE37" s="103">
        <f>VLOOKUP($AF37,'US Grid mix, emissions&amp;prices'!$H$113:$I$163,2,FALSE)*BE$55</f>
        <v>295233.40145344136</v>
      </c>
      <c r="BF37" s="103">
        <f>VLOOKUP($AF37,'US Grid mix, emissions&amp;prices'!$H$113:$I$163,2,FALSE)*BF$55</f>
        <v>295233.40145344136</v>
      </c>
      <c r="BG37" s="103">
        <f>VLOOKUP($AF37,'US Grid mix, emissions&amp;prices'!$H$113:$I$163,2,FALSE)*BG$55</f>
        <v>295233.40145344136</v>
      </c>
      <c r="BH37" s="103">
        <f>VLOOKUP($AF37,'US Grid mix, emissions&amp;prices'!$H$113:$I$163,2,FALSE)*BH$55</f>
        <v>295233.40145344136</v>
      </c>
      <c r="BL37" s="123" t="s">
        <v>210</v>
      </c>
      <c r="BM37" s="103">
        <f>VLOOKUP($BL37,'US Grid mix, emissions&amp;prices'!$H$113:$I$163,2,FALSE)*BM$55</f>
        <v>219480.71314955957</v>
      </c>
      <c r="BN37" s="103">
        <f>VLOOKUP($BL37,'US Grid mix, emissions&amp;prices'!$H$113:$I$163,2,FALSE)*BN$55</f>
        <v>219480.71314955957</v>
      </c>
      <c r="BO37" s="103">
        <f>VLOOKUP($BL37,'US Grid mix, emissions&amp;prices'!$H$113:$I$163,2,FALSE)*BO$55</f>
        <v>219480.71314955957</v>
      </c>
      <c r="BP37" s="103">
        <f>VLOOKUP($BL37,'US Grid mix, emissions&amp;prices'!$H$113:$I$163,2,FALSE)*BP$55</f>
        <v>219480.71314955957</v>
      </c>
      <c r="BQ37" s="103">
        <f>VLOOKUP($BL37,'US Grid mix, emissions&amp;prices'!$H$113:$I$163,2,FALSE)*BQ$55</f>
        <v>219480.71314955957</v>
      </c>
      <c r="BR37" s="103">
        <f>VLOOKUP($BL37,'US Grid mix, emissions&amp;prices'!$H$113:$I$163,2,FALSE)*BR$55</f>
        <v>219480.71314955957</v>
      </c>
      <c r="BS37" s="103">
        <f>VLOOKUP($BL37,'US Grid mix, emissions&amp;prices'!$H$113:$I$163,2,FALSE)*BS$55</f>
        <v>219480.71314955957</v>
      </c>
      <c r="BT37" s="103">
        <f>VLOOKUP($BL37,'US Grid mix, emissions&amp;prices'!$H$113:$I$163,2,FALSE)*BT$55</f>
        <v>219480.71314955957</v>
      </c>
      <c r="BU37" s="103">
        <f>VLOOKUP($BL37,'US Grid mix, emissions&amp;prices'!$H$113:$I$163,2,FALSE)*BU$55</f>
        <v>219480.71314955957</v>
      </c>
      <c r="BV37" s="103">
        <f>VLOOKUP($BL37,'US Grid mix, emissions&amp;prices'!$H$113:$I$163,2,FALSE)*BV$55</f>
        <v>219480.71314955957</v>
      </c>
      <c r="BW37" s="103">
        <f>VLOOKUP($BL37,'US Grid mix, emissions&amp;prices'!$H$113:$I$163,2,FALSE)*BW$55</f>
        <v>219480.71314955957</v>
      </c>
      <c r="BX37" s="103">
        <f>VLOOKUP($BL37,'US Grid mix, emissions&amp;prices'!$H$113:$I$163,2,FALSE)*BX$55</f>
        <v>219480.71314955957</v>
      </c>
      <c r="BY37" s="103">
        <f>VLOOKUP($BL37,'US Grid mix, emissions&amp;prices'!$H$113:$I$163,2,FALSE)*BY$55</f>
        <v>219480.71314955957</v>
      </c>
      <c r="BZ37" s="103">
        <f>VLOOKUP($BL37,'US Grid mix, emissions&amp;prices'!$H$113:$I$163,2,FALSE)*BZ$55</f>
        <v>219480.71314955957</v>
      </c>
      <c r="CA37" s="103">
        <f>VLOOKUP($BL37,'US Grid mix, emissions&amp;prices'!$H$113:$I$163,2,FALSE)*CA$55</f>
        <v>219480.71314955957</v>
      </c>
      <c r="CB37" s="103">
        <f>VLOOKUP($BL37,'US Grid mix, emissions&amp;prices'!$H$113:$I$163,2,FALSE)*CB$55</f>
        <v>219480.71314955957</v>
      </c>
      <c r="CC37" s="103">
        <f>VLOOKUP($BL37,'US Grid mix, emissions&amp;prices'!$H$113:$I$163,2,FALSE)*CC$55</f>
        <v>219480.71314955957</v>
      </c>
      <c r="CD37" s="103">
        <f>VLOOKUP($BL37,'US Grid mix, emissions&amp;prices'!$H$113:$I$163,2,FALSE)*CD$55</f>
        <v>219480.71314955957</v>
      </c>
      <c r="CE37" s="103">
        <f>VLOOKUP($BL37,'US Grid mix, emissions&amp;prices'!$H$113:$I$163,2,FALSE)*CE$55</f>
        <v>219480.71314955957</v>
      </c>
      <c r="CF37" s="103">
        <f>VLOOKUP($BL37,'US Grid mix, emissions&amp;prices'!$H$113:$I$163,2,FALSE)*CF$55</f>
        <v>219480.71314955957</v>
      </c>
      <c r="CG37" s="103">
        <f>VLOOKUP($BL37,'US Grid mix, emissions&amp;prices'!$H$113:$I$163,2,FALSE)*CG$55</f>
        <v>219480.71314955957</v>
      </c>
      <c r="CH37" s="103">
        <f>VLOOKUP($BL37,'US Grid mix, emissions&amp;prices'!$H$113:$I$163,2,FALSE)*CH$55</f>
        <v>219480.71314955957</v>
      </c>
      <c r="CI37" s="103">
        <f>VLOOKUP($BL37,'US Grid mix, emissions&amp;prices'!$H$113:$I$163,2,FALSE)*CI$55</f>
        <v>219480.71314955957</v>
      </c>
      <c r="CJ37" s="103">
        <f>VLOOKUP($BL37,'US Grid mix, emissions&amp;prices'!$H$113:$I$163,2,FALSE)*CJ$55</f>
        <v>219480.71314955957</v>
      </c>
      <c r="CK37" s="103">
        <f>VLOOKUP($BL37,'US Grid mix, emissions&amp;prices'!$H$113:$I$163,2,FALSE)*CK$55</f>
        <v>219480.71314955957</v>
      </c>
      <c r="CL37" s="103">
        <f>VLOOKUP($BL37,'US Grid mix, emissions&amp;prices'!$H$113:$I$163,2,FALSE)*CL$55</f>
        <v>219480.71314955957</v>
      </c>
      <c r="CM37" s="103">
        <f>VLOOKUP($BL37,'US Grid mix, emissions&amp;prices'!$H$113:$I$163,2,FALSE)*CM$55</f>
        <v>219480.71314955957</v>
      </c>
      <c r="CN37" s="103">
        <f>VLOOKUP($BL37,'US Grid mix, emissions&amp;prices'!$H$113:$I$163,2,FALSE)*CN$55</f>
        <v>219480.71314955957</v>
      </c>
    </row>
    <row r="38" spans="1:92" x14ac:dyDescent="0.25">
      <c r="A38" s="123" t="s">
        <v>217</v>
      </c>
      <c r="B38" s="103">
        <f>VLOOKUP($A38,'US Grid mix, emissions&amp;prices'!$H$113:$I$163,2,FALSE)*B$55</f>
        <v>232653.43886067462</v>
      </c>
      <c r="C38" s="103">
        <f>VLOOKUP($A38,'US Grid mix, emissions&amp;prices'!$H$113:$I$163,2,FALSE)*C$55</f>
        <v>232653.43886067462</v>
      </c>
      <c r="D38" s="103">
        <f>VLOOKUP($A38,'US Grid mix, emissions&amp;prices'!$H$113:$I$163,2,FALSE)*D$55</f>
        <v>232653.43886067462</v>
      </c>
      <c r="E38" s="103">
        <f>VLOOKUP($A38,'US Grid mix, emissions&amp;prices'!$H$113:$I$163,2,FALSE)*E$55</f>
        <v>232653.43886067462</v>
      </c>
      <c r="F38" s="103">
        <f>VLOOKUP($A38,'US Grid mix, emissions&amp;prices'!$H$113:$I$163,2,FALSE)*F$55</f>
        <v>232653.43886067462</v>
      </c>
      <c r="G38" s="103">
        <f>VLOOKUP($A38,'US Grid mix, emissions&amp;prices'!$H$113:$I$163,2,FALSE)*G$55</f>
        <v>232653.43886067462</v>
      </c>
      <c r="H38" s="103">
        <f>VLOOKUP($A38,'US Grid mix, emissions&amp;prices'!$H$113:$I$163,2,FALSE)*H$55</f>
        <v>232653.43886067462</v>
      </c>
      <c r="I38" s="103">
        <f>VLOOKUP($A38,'US Grid mix, emissions&amp;prices'!$H$113:$I$163,2,FALSE)*I$55</f>
        <v>232653.43886067462</v>
      </c>
      <c r="J38" s="103">
        <f>VLOOKUP($A38,'US Grid mix, emissions&amp;prices'!$H$113:$I$163,2,FALSE)*J$55</f>
        <v>232653.43886067462</v>
      </c>
      <c r="K38" s="103">
        <f>VLOOKUP($A38,'US Grid mix, emissions&amp;prices'!$H$113:$I$163,2,FALSE)*K$55</f>
        <v>232653.43886067462</v>
      </c>
      <c r="L38" s="103">
        <f>VLOOKUP($A38,'US Grid mix, emissions&amp;prices'!$H$113:$I$163,2,FALSE)*L$55</f>
        <v>232653.43886067462</v>
      </c>
      <c r="M38" s="103">
        <f>VLOOKUP($A38,'US Grid mix, emissions&amp;prices'!$H$113:$I$163,2,FALSE)*M$55</f>
        <v>232653.43886067462</v>
      </c>
      <c r="N38" s="103">
        <f>VLOOKUP($A38,'US Grid mix, emissions&amp;prices'!$H$113:$I$163,2,FALSE)*N$55</f>
        <v>232653.43886067462</v>
      </c>
      <c r="O38" s="103">
        <f>VLOOKUP($A38,'US Grid mix, emissions&amp;prices'!$H$113:$I$163,2,FALSE)*O$55</f>
        <v>232653.43886067462</v>
      </c>
      <c r="P38" s="103">
        <f>VLOOKUP($A38,'US Grid mix, emissions&amp;prices'!$H$113:$I$163,2,FALSE)*P$55</f>
        <v>232653.43886067462</v>
      </c>
      <c r="Q38" s="103">
        <f>VLOOKUP($A38,'US Grid mix, emissions&amp;prices'!$H$113:$I$163,2,FALSE)*Q$55</f>
        <v>232653.43886067462</v>
      </c>
      <c r="R38" s="103">
        <f>VLOOKUP($A38,'US Grid mix, emissions&amp;prices'!$H$113:$I$163,2,FALSE)*R$55</f>
        <v>232653.43886067462</v>
      </c>
      <c r="S38" s="103">
        <f>VLOOKUP($A38,'US Grid mix, emissions&amp;prices'!$H$113:$I$163,2,FALSE)*S$55</f>
        <v>232653.43886067462</v>
      </c>
      <c r="T38" s="103">
        <f>VLOOKUP($A38,'US Grid mix, emissions&amp;prices'!$H$113:$I$163,2,FALSE)*T$55</f>
        <v>232653.43886067462</v>
      </c>
      <c r="U38" s="103">
        <f>VLOOKUP($A38,'US Grid mix, emissions&amp;prices'!$H$113:$I$163,2,FALSE)*U$55</f>
        <v>232653.43886067462</v>
      </c>
      <c r="V38" s="103">
        <f>VLOOKUP($A38,'US Grid mix, emissions&amp;prices'!$H$113:$I$163,2,FALSE)*V$55</f>
        <v>232653.43886067462</v>
      </c>
      <c r="W38" s="103">
        <f>VLOOKUP($A38,'US Grid mix, emissions&amp;prices'!$H$113:$I$163,2,FALSE)*W$55</f>
        <v>232653.43886067462</v>
      </c>
      <c r="X38" s="103">
        <f>VLOOKUP($A38,'US Grid mix, emissions&amp;prices'!$H$113:$I$163,2,FALSE)*X$55</f>
        <v>232653.43886067462</v>
      </c>
      <c r="Y38" s="103">
        <f>VLOOKUP($A38,'US Grid mix, emissions&amp;prices'!$H$113:$I$163,2,FALSE)*Y$55</f>
        <v>232653.43886067462</v>
      </c>
      <c r="Z38" s="103">
        <f>VLOOKUP($A38,'US Grid mix, emissions&amp;prices'!$H$113:$I$163,2,FALSE)*Z$55</f>
        <v>232653.43886067462</v>
      </c>
      <c r="AA38" s="103">
        <f>VLOOKUP($A38,'US Grid mix, emissions&amp;prices'!$H$113:$I$163,2,FALSE)*AA$55</f>
        <v>232653.43886067462</v>
      </c>
      <c r="AB38" s="103">
        <f>VLOOKUP($A38,'US Grid mix, emissions&amp;prices'!$H$113:$I$163,2,FALSE)*AB$55</f>
        <v>232653.43886067462</v>
      </c>
      <c r="AC38" s="103">
        <f>VLOOKUP($A38,'US Grid mix, emissions&amp;prices'!$H$113:$I$163,2,FALSE)*AC$55</f>
        <v>232653.43886067462</v>
      </c>
      <c r="AF38" s="123" t="s">
        <v>217</v>
      </c>
      <c r="AG38" s="103">
        <f>VLOOKUP($AF38,'US Grid mix, emissions&amp;prices'!$H$113:$I$163,2,FALSE)*AG$55</f>
        <v>272694.91514399549</v>
      </c>
      <c r="AH38" s="103">
        <f>VLOOKUP($AF38,'US Grid mix, emissions&amp;prices'!$H$113:$I$163,2,FALSE)*AH$55</f>
        <v>272694.91514399549</v>
      </c>
      <c r="AI38" s="103">
        <f>VLOOKUP($AF38,'US Grid mix, emissions&amp;prices'!$H$113:$I$163,2,FALSE)*AI$55</f>
        <v>272694.91514399549</v>
      </c>
      <c r="AJ38" s="103">
        <f>VLOOKUP($AF38,'US Grid mix, emissions&amp;prices'!$H$113:$I$163,2,FALSE)*AJ$55</f>
        <v>272694.91514399549</v>
      </c>
      <c r="AK38" s="103">
        <f>VLOOKUP($AF38,'US Grid mix, emissions&amp;prices'!$H$113:$I$163,2,FALSE)*AK$55</f>
        <v>272694.91514399549</v>
      </c>
      <c r="AL38" s="103">
        <f>VLOOKUP($AF38,'US Grid mix, emissions&amp;prices'!$H$113:$I$163,2,FALSE)*AL$55</f>
        <v>272694.91514399549</v>
      </c>
      <c r="AM38" s="103">
        <f>VLOOKUP($AF38,'US Grid mix, emissions&amp;prices'!$H$113:$I$163,2,FALSE)*AM$55</f>
        <v>272694.91514399549</v>
      </c>
      <c r="AN38" s="103">
        <f>VLOOKUP($AF38,'US Grid mix, emissions&amp;prices'!$H$113:$I$163,2,FALSE)*AN$55</f>
        <v>272694.91514399549</v>
      </c>
      <c r="AO38" s="103">
        <f>VLOOKUP($AF38,'US Grid mix, emissions&amp;prices'!$H$113:$I$163,2,FALSE)*AO$55</f>
        <v>272694.91514399549</v>
      </c>
      <c r="AP38" s="103">
        <f>VLOOKUP($AF38,'US Grid mix, emissions&amp;prices'!$H$113:$I$163,2,FALSE)*AP$55</f>
        <v>272694.91514399549</v>
      </c>
      <c r="AQ38" s="103">
        <f>VLOOKUP($AF38,'US Grid mix, emissions&amp;prices'!$H$113:$I$163,2,FALSE)*AQ$55</f>
        <v>272694.91514399549</v>
      </c>
      <c r="AR38" s="103">
        <f>VLOOKUP($AF38,'US Grid mix, emissions&amp;prices'!$H$113:$I$163,2,FALSE)*AR$55</f>
        <v>272694.91514399549</v>
      </c>
      <c r="AS38" s="103">
        <f>VLOOKUP($AF38,'US Grid mix, emissions&amp;prices'!$H$113:$I$163,2,FALSE)*AS$55</f>
        <v>272694.91514399549</v>
      </c>
      <c r="AT38" s="103">
        <f>VLOOKUP($AF38,'US Grid mix, emissions&amp;prices'!$H$113:$I$163,2,FALSE)*AT$55</f>
        <v>272694.91514399549</v>
      </c>
      <c r="AU38" s="103">
        <f>VLOOKUP($AF38,'US Grid mix, emissions&amp;prices'!$H$113:$I$163,2,FALSE)*AU$55</f>
        <v>272694.91514399549</v>
      </c>
      <c r="AV38" s="103">
        <f>VLOOKUP($AF38,'US Grid mix, emissions&amp;prices'!$H$113:$I$163,2,FALSE)*AV$55</f>
        <v>272694.91514399549</v>
      </c>
      <c r="AW38" s="103">
        <f>VLOOKUP($AF38,'US Grid mix, emissions&amp;prices'!$H$113:$I$163,2,FALSE)*AW$55</f>
        <v>272694.91514399549</v>
      </c>
      <c r="AX38" s="103">
        <f>VLOOKUP($AF38,'US Grid mix, emissions&amp;prices'!$H$113:$I$163,2,FALSE)*AX$55</f>
        <v>272694.91514399549</v>
      </c>
      <c r="AY38" s="103">
        <f>VLOOKUP($AF38,'US Grid mix, emissions&amp;prices'!$H$113:$I$163,2,FALSE)*AY$55</f>
        <v>272694.91514399549</v>
      </c>
      <c r="AZ38" s="103">
        <f>VLOOKUP($AF38,'US Grid mix, emissions&amp;prices'!$H$113:$I$163,2,FALSE)*AZ$55</f>
        <v>272694.91514399549</v>
      </c>
      <c r="BA38" s="103">
        <f>VLOOKUP($AF38,'US Grid mix, emissions&amp;prices'!$H$113:$I$163,2,FALSE)*BA$55</f>
        <v>272694.91514399549</v>
      </c>
      <c r="BB38" s="103">
        <f>VLOOKUP($AF38,'US Grid mix, emissions&amp;prices'!$H$113:$I$163,2,FALSE)*BB$55</f>
        <v>272694.91514399549</v>
      </c>
      <c r="BC38" s="103">
        <f>VLOOKUP($AF38,'US Grid mix, emissions&amp;prices'!$H$113:$I$163,2,FALSE)*BC$55</f>
        <v>272694.91514399549</v>
      </c>
      <c r="BD38" s="103">
        <f>VLOOKUP($AF38,'US Grid mix, emissions&amp;prices'!$H$113:$I$163,2,FALSE)*BD$55</f>
        <v>272694.91514399549</v>
      </c>
      <c r="BE38" s="103">
        <f>VLOOKUP($AF38,'US Grid mix, emissions&amp;prices'!$H$113:$I$163,2,FALSE)*BE$55</f>
        <v>272694.91514399549</v>
      </c>
      <c r="BF38" s="103">
        <f>VLOOKUP($AF38,'US Grid mix, emissions&amp;prices'!$H$113:$I$163,2,FALSE)*BF$55</f>
        <v>272694.91514399549</v>
      </c>
      <c r="BG38" s="103">
        <f>VLOOKUP($AF38,'US Grid mix, emissions&amp;prices'!$H$113:$I$163,2,FALSE)*BG$55</f>
        <v>272694.91514399549</v>
      </c>
      <c r="BH38" s="103">
        <f>VLOOKUP($AF38,'US Grid mix, emissions&amp;prices'!$H$113:$I$163,2,FALSE)*BH$55</f>
        <v>272694.91514399549</v>
      </c>
      <c r="BL38" s="123" t="s">
        <v>217</v>
      </c>
      <c r="BM38" s="103">
        <f>VLOOKUP($BL38,'US Grid mix, emissions&amp;prices'!$H$113:$I$163,2,FALSE)*BM$55</f>
        <v>202725.28160233045</v>
      </c>
      <c r="BN38" s="103">
        <f>VLOOKUP($BL38,'US Grid mix, emissions&amp;prices'!$H$113:$I$163,2,FALSE)*BN$55</f>
        <v>202725.28160233045</v>
      </c>
      <c r="BO38" s="103">
        <f>VLOOKUP($BL38,'US Grid mix, emissions&amp;prices'!$H$113:$I$163,2,FALSE)*BO$55</f>
        <v>202725.28160233045</v>
      </c>
      <c r="BP38" s="103">
        <f>VLOOKUP($BL38,'US Grid mix, emissions&amp;prices'!$H$113:$I$163,2,FALSE)*BP$55</f>
        <v>202725.28160233045</v>
      </c>
      <c r="BQ38" s="103">
        <f>VLOOKUP($BL38,'US Grid mix, emissions&amp;prices'!$H$113:$I$163,2,FALSE)*BQ$55</f>
        <v>202725.28160233045</v>
      </c>
      <c r="BR38" s="103">
        <f>VLOOKUP($BL38,'US Grid mix, emissions&amp;prices'!$H$113:$I$163,2,FALSE)*BR$55</f>
        <v>202725.28160233045</v>
      </c>
      <c r="BS38" s="103">
        <f>VLOOKUP($BL38,'US Grid mix, emissions&amp;prices'!$H$113:$I$163,2,FALSE)*BS$55</f>
        <v>202725.28160233045</v>
      </c>
      <c r="BT38" s="103">
        <f>VLOOKUP($BL38,'US Grid mix, emissions&amp;prices'!$H$113:$I$163,2,FALSE)*BT$55</f>
        <v>202725.28160233045</v>
      </c>
      <c r="BU38" s="103">
        <f>VLOOKUP($BL38,'US Grid mix, emissions&amp;prices'!$H$113:$I$163,2,FALSE)*BU$55</f>
        <v>202725.28160233045</v>
      </c>
      <c r="BV38" s="103">
        <f>VLOOKUP($BL38,'US Grid mix, emissions&amp;prices'!$H$113:$I$163,2,FALSE)*BV$55</f>
        <v>202725.28160233045</v>
      </c>
      <c r="BW38" s="103">
        <f>VLOOKUP($BL38,'US Grid mix, emissions&amp;prices'!$H$113:$I$163,2,FALSE)*BW$55</f>
        <v>202725.28160233045</v>
      </c>
      <c r="BX38" s="103">
        <f>VLOOKUP($BL38,'US Grid mix, emissions&amp;prices'!$H$113:$I$163,2,FALSE)*BX$55</f>
        <v>202725.28160233045</v>
      </c>
      <c r="BY38" s="103">
        <f>VLOOKUP($BL38,'US Grid mix, emissions&amp;prices'!$H$113:$I$163,2,FALSE)*BY$55</f>
        <v>202725.28160233045</v>
      </c>
      <c r="BZ38" s="103">
        <f>VLOOKUP($BL38,'US Grid mix, emissions&amp;prices'!$H$113:$I$163,2,FALSE)*BZ$55</f>
        <v>202725.28160233045</v>
      </c>
      <c r="CA38" s="103">
        <f>VLOOKUP($BL38,'US Grid mix, emissions&amp;prices'!$H$113:$I$163,2,FALSE)*CA$55</f>
        <v>202725.28160233045</v>
      </c>
      <c r="CB38" s="103">
        <f>VLOOKUP($BL38,'US Grid mix, emissions&amp;prices'!$H$113:$I$163,2,FALSE)*CB$55</f>
        <v>202725.28160233045</v>
      </c>
      <c r="CC38" s="103">
        <f>VLOOKUP($BL38,'US Grid mix, emissions&amp;prices'!$H$113:$I$163,2,FALSE)*CC$55</f>
        <v>202725.28160233045</v>
      </c>
      <c r="CD38" s="103">
        <f>VLOOKUP($BL38,'US Grid mix, emissions&amp;prices'!$H$113:$I$163,2,FALSE)*CD$55</f>
        <v>202725.28160233045</v>
      </c>
      <c r="CE38" s="103">
        <f>VLOOKUP($BL38,'US Grid mix, emissions&amp;prices'!$H$113:$I$163,2,FALSE)*CE$55</f>
        <v>202725.28160233045</v>
      </c>
      <c r="CF38" s="103">
        <f>VLOOKUP($BL38,'US Grid mix, emissions&amp;prices'!$H$113:$I$163,2,FALSE)*CF$55</f>
        <v>202725.28160233045</v>
      </c>
      <c r="CG38" s="103">
        <f>VLOOKUP($BL38,'US Grid mix, emissions&amp;prices'!$H$113:$I$163,2,FALSE)*CG$55</f>
        <v>202725.28160233045</v>
      </c>
      <c r="CH38" s="103">
        <f>VLOOKUP($BL38,'US Grid mix, emissions&amp;prices'!$H$113:$I$163,2,FALSE)*CH$55</f>
        <v>202725.28160233045</v>
      </c>
      <c r="CI38" s="103">
        <f>VLOOKUP($BL38,'US Grid mix, emissions&amp;prices'!$H$113:$I$163,2,FALSE)*CI$55</f>
        <v>202725.28160233045</v>
      </c>
      <c r="CJ38" s="103">
        <f>VLOOKUP($BL38,'US Grid mix, emissions&amp;prices'!$H$113:$I$163,2,FALSE)*CJ$55</f>
        <v>202725.28160233045</v>
      </c>
      <c r="CK38" s="103">
        <f>VLOOKUP($BL38,'US Grid mix, emissions&amp;prices'!$H$113:$I$163,2,FALSE)*CK$55</f>
        <v>202725.28160233045</v>
      </c>
      <c r="CL38" s="103">
        <f>VLOOKUP($BL38,'US Grid mix, emissions&amp;prices'!$H$113:$I$163,2,FALSE)*CL$55</f>
        <v>202725.28160233045</v>
      </c>
      <c r="CM38" s="103">
        <f>VLOOKUP($BL38,'US Grid mix, emissions&amp;prices'!$H$113:$I$163,2,FALSE)*CM$55</f>
        <v>202725.28160233045</v>
      </c>
      <c r="CN38" s="103">
        <f>VLOOKUP($BL38,'US Grid mix, emissions&amp;prices'!$H$113:$I$163,2,FALSE)*CN$55</f>
        <v>202725.28160233045</v>
      </c>
    </row>
    <row r="39" spans="1:92" x14ac:dyDescent="0.25">
      <c r="A39" s="123" t="s">
        <v>218</v>
      </c>
      <c r="B39" s="103">
        <f>VLOOKUP($A39,'US Grid mix, emissions&amp;prices'!$H$113:$I$163,2,FALSE)*B$55</f>
        <v>133440.05548662541</v>
      </c>
      <c r="C39" s="103">
        <f>VLOOKUP($A39,'US Grid mix, emissions&amp;prices'!$H$113:$I$163,2,FALSE)*C$55</f>
        <v>133440.05548662541</v>
      </c>
      <c r="D39" s="103">
        <f>VLOOKUP($A39,'US Grid mix, emissions&amp;prices'!$H$113:$I$163,2,FALSE)*D$55</f>
        <v>133440.05548662541</v>
      </c>
      <c r="E39" s="103">
        <f>VLOOKUP($A39,'US Grid mix, emissions&amp;prices'!$H$113:$I$163,2,FALSE)*E$55</f>
        <v>133440.05548662541</v>
      </c>
      <c r="F39" s="103">
        <f>VLOOKUP($A39,'US Grid mix, emissions&amp;prices'!$H$113:$I$163,2,FALSE)*F$55</f>
        <v>133440.05548662541</v>
      </c>
      <c r="G39" s="103">
        <f>VLOOKUP($A39,'US Grid mix, emissions&amp;prices'!$H$113:$I$163,2,FALSE)*G$55</f>
        <v>133440.05548662541</v>
      </c>
      <c r="H39" s="103">
        <f>VLOOKUP($A39,'US Grid mix, emissions&amp;prices'!$H$113:$I$163,2,FALSE)*H$55</f>
        <v>133440.05548662541</v>
      </c>
      <c r="I39" s="103">
        <f>VLOOKUP($A39,'US Grid mix, emissions&amp;prices'!$H$113:$I$163,2,FALSE)*I$55</f>
        <v>133440.05548662541</v>
      </c>
      <c r="J39" s="103">
        <f>VLOOKUP($A39,'US Grid mix, emissions&amp;prices'!$H$113:$I$163,2,FALSE)*J$55</f>
        <v>133440.05548662541</v>
      </c>
      <c r="K39" s="103">
        <f>VLOOKUP($A39,'US Grid mix, emissions&amp;prices'!$H$113:$I$163,2,FALSE)*K$55</f>
        <v>133440.05548662541</v>
      </c>
      <c r="L39" s="103">
        <f>VLOOKUP($A39,'US Grid mix, emissions&amp;prices'!$H$113:$I$163,2,FALSE)*L$55</f>
        <v>133440.05548662541</v>
      </c>
      <c r="M39" s="103">
        <f>VLOOKUP($A39,'US Grid mix, emissions&amp;prices'!$H$113:$I$163,2,FALSE)*M$55</f>
        <v>133440.05548662541</v>
      </c>
      <c r="N39" s="103">
        <f>VLOOKUP($A39,'US Grid mix, emissions&amp;prices'!$H$113:$I$163,2,FALSE)*N$55</f>
        <v>133440.05548662541</v>
      </c>
      <c r="O39" s="103">
        <f>VLOOKUP($A39,'US Grid mix, emissions&amp;prices'!$H$113:$I$163,2,FALSE)*O$55</f>
        <v>133440.05548662541</v>
      </c>
      <c r="P39" s="103">
        <f>VLOOKUP($A39,'US Grid mix, emissions&amp;prices'!$H$113:$I$163,2,FALSE)*P$55</f>
        <v>133440.05548662541</v>
      </c>
      <c r="Q39" s="103">
        <f>VLOOKUP($A39,'US Grid mix, emissions&amp;prices'!$H$113:$I$163,2,FALSE)*Q$55</f>
        <v>133440.05548662541</v>
      </c>
      <c r="R39" s="103">
        <f>VLOOKUP($A39,'US Grid mix, emissions&amp;prices'!$H$113:$I$163,2,FALSE)*R$55</f>
        <v>133440.05548662541</v>
      </c>
      <c r="S39" s="103">
        <f>VLOOKUP($A39,'US Grid mix, emissions&amp;prices'!$H$113:$I$163,2,FALSE)*S$55</f>
        <v>133440.05548662541</v>
      </c>
      <c r="T39" s="103">
        <f>VLOOKUP($A39,'US Grid mix, emissions&amp;prices'!$H$113:$I$163,2,FALSE)*T$55</f>
        <v>133440.05548662541</v>
      </c>
      <c r="U39" s="103">
        <f>VLOOKUP($A39,'US Grid mix, emissions&amp;prices'!$H$113:$I$163,2,FALSE)*U$55</f>
        <v>133440.05548662541</v>
      </c>
      <c r="V39" s="103">
        <f>VLOOKUP($A39,'US Grid mix, emissions&amp;prices'!$H$113:$I$163,2,FALSE)*V$55</f>
        <v>133440.05548662541</v>
      </c>
      <c r="W39" s="103">
        <f>VLOOKUP($A39,'US Grid mix, emissions&amp;prices'!$H$113:$I$163,2,FALSE)*W$55</f>
        <v>133440.05548662541</v>
      </c>
      <c r="X39" s="103">
        <f>VLOOKUP($A39,'US Grid mix, emissions&amp;prices'!$H$113:$I$163,2,FALSE)*X$55</f>
        <v>133440.05548662541</v>
      </c>
      <c r="Y39" s="103">
        <f>VLOOKUP($A39,'US Grid mix, emissions&amp;prices'!$H$113:$I$163,2,FALSE)*Y$55</f>
        <v>133440.05548662541</v>
      </c>
      <c r="Z39" s="103">
        <f>VLOOKUP($A39,'US Grid mix, emissions&amp;prices'!$H$113:$I$163,2,FALSE)*Z$55</f>
        <v>133440.05548662541</v>
      </c>
      <c r="AA39" s="103">
        <f>VLOOKUP($A39,'US Grid mix, emissions&amp;prices'!$H$113:$I$163,2,FALSE)*AA$55</f>
        <v>133440.05548662541</v>
      </c>
      <c r="AB39" s="103">
        <f>VLOOKUP($A39,'US Grid mix, emissions&amp;prices'!$H$113:$I$163,2,FALSE)*AB$55</f>
        <v>133440.05548662541</v>
      </c>
      <c r="AC39" s="103">
        <f>VLOOKUP($A39,'US Grid mix, emissions&amp;prices'!$H$113:$I$163,2,FALSE)*AC$55</f>
        <v>133440.05548662541</v>
      </c>
      <c r="AF39" s="123" t="s">
        <v>218</v>
      </c>
      <c r="AG39" s="103">
        <f>VLOOKUP($AF39,'US Grid mix, emissions&amp;prices'!$H$113:$I$163,2,FALSE)*AG$55</f>
        <v>156406.13259762179</v>
      </c>
      <c r="AH39" s="103">
        <f>VLOOKUP($AF39,'US Grid mix, emissions&amp;prices'!$H$113:$I$163,2,FALSE)*AH$55</f>
        <v>156406.13259762179</v>
      </c>
      <c r="AI39" s="103">
        <f>VLOOKUP($AF39,'US Grid mix, emissions&amp;prices'!$H$113:$I$163,2,FALSE)*AI$55</f>
        <v>156406.13259762179</v>
      </c>
      <c r="AJ39" s="103">
        <f>VLOOKUP($AF39,'US Grid mix, emissions&amp;prices'!$H$113:$I$163,2,FALSE)*AJ$55</f>
        <v>156406.13259762179</v>
      </c>
      <c r="AK39" s="103">
        <f>VLOOKUP($AF39,'US Grid mix, emissions&amp;prices'!$H$113:$I$163,2,FALSE)*AK$55</f>
        <v>156406.13259762179</v>
      </c>
      <c r="AL39" s="103">
        <f>VLOOKUP($AF39,'US Grid mix, emissions&amp;prices'!$H$113:$I$163,2,FALSE)*AL$55</f>
        <v>156406.13259762179</v>
      </c>
      <c r="AM39" s="103">
        <f>VLOOKUP($AF39,'US Grid mix, emissions&amp;prices'!$H$113:$I$163,2,FALSE)*AM$55</f>
        <v>156406.13259762179</v>
      </c>
      <c r="AN39" s="103">
        <f>VLOOKUP($AF39,'US Grid mix, emissions&amp;prices'!$H$113:$I$163,2,FALSE)*AN$55</f>
        <v>156406.13259762179</v>
      </c>
      <c r="AO39" s="103">
        <f>VLOOKUP($AF39,'US Grid mix, emissions&amp;prices'!$H$113:$I$163,2,FALSE)*AO$55</f>
        <v>156406.13259762179</v>
      </c>
      <c r="AP39" s="103">
        <f>VLOOKUP($AF39,'US Grid mix, emissions&amp;prices'!$H$113:$I$163,2,FALSE)*AP$55</f>
        <v>156406.13259762179</v>
      </c>
      <c r="AQ39" s="103">
        <f>VLOOKUP($AF39,'US Grid mix, emissions&amp;prices'!$H$113:$I$163,2,FALSE)*AQ$55</f>
        <v>156406.13259762179</v>
      </c>
      <c r="AR39" s="103">
        <f>VLOOKUP($AF39,'US Grid mix, emissions&amp;prices'!$H$113:$I$163,2,FALSE)*AR$55</f>
        <v>156406.13259762179</v>
      </c>
      <c r="AS39" s="103">
        <f>VLOOKUP($AF39,'US Grid mix, emissions&amp;prices'!$H$113:$I$163,2,FALSE)*AS$55</f>
        <v>156406.13259762179</v>
      </c>
      <c r="AT39" s="103">
        <f>VLOOKUP($AF39,'US Grid mix, emissions&amp;prices'!$H$113:$I$163,2,FALSE)*AT$55</f>
        <v>156406.13259762179</v>
      </c>
      <c r="AU39" s="103">
        <f>VLOOKUP($AF39,'US Grid mix, emissions&amp;prices'!$H$113:$I$163,2,FALSE)*AU$55</f>
        <v>156406.13259762179</v>
      </c>
      <c r="AV39" s="103">
        <f>VLOOKUP($AF39,'US Grid mix, emissions&amp;prices'!$H$113:$I$163,2,FALSE)*AV$55</f>
        <v>156406.13259762179</v>
      </c>
      <c r="AW39" s="103">
        <f>VLOOKUP($AF39,'US Grid mix, emissions&amp;prices'!$H$113:$I$163,2,FALSE)*AW$55</f>
        <v>156406.13259762179</v>
      </c>
      <c r="AX39" s="103">
        <f>VLOOKUP($AF39,'US Grid mix, emissions&amp;prices'!$H$113:$I$163,2,FALSE)*AX$55</f>
        <v>156406.13259762179</v>
      </c>
      <c r="AY39" s="103">
        <f>VLOOKUP($AF39,'US Grid mix, emissions&amp;prices'!$H$113:$I$163,2,FALSE)*AY$55</f>
        <v>156406.13259762179</v>
      </c>
      <c r="AZ39" s="103">
        <f>VLOOKUP($AF39,'US Grid mix, emissions&amp;prices'!$H$113:$I$163,2,FALSE)*AZ$55</f>
        <v>156406.13259762179</v>
      </c>
      <c r="BA39" s="103">
        <f>VLOOKUP($AF39,'US Grid mix, emissions&amp;prices'!$H$113:$I$163,2,FALSE)*BA$55</f>
        <v>156406.13259762179</v>
      </c>
      <c r="BB39" s="103">
        <f>VLOOKUP($AF39,'US Grid mix, emissions&amp;prices'!$H$113:$I$163,2,FALSE)*BB$55</f>
        <v>156406.13259762179</v>
      </c>
      <c r="BC39" s="103">
        <f>VLOOKUP($AF39,'US Grid mix, emissions&amp;prices'!$H$113:$I$163,2,FALSE)*BC$55</f>
        <v>156406.13259762179</v>
      </c>
      <c r="BD39" s="103">
        <f>VLOOKUP($AF39,'US Grid mix, emissions&amp;prices'!$H$113:$I$163,2,FALSE)*BD$55</f>
        <v>156406.13259762179</v>
      </c>
      <c r="BE39" s="103">
        <f>VLOOKUP($AF39,'US Grid mix, emissions&amp;prices'!$H$113:$I$163,2,FALSE)*BE$55</f>
        <v>156406.13259762179</v>
      </c>
      <c r="BF39" s="103">
        <f>VLOOKUP($AF39,'US Grid mix, emissions&amp;prices'!$H$113:$I$163,2,FALSE)*BF$55</f>
        <v>156406.13259762179</v>
      </c>
      <c r="BG39" s="103">
        <f>VLOOKUP($AF39,'US Grid mix, emissions&amp;prices'!$H$113:$I$163,2,FALSE)*BG$55</f>
        <v>156406.13259762179</v>
      </c>
      <c r="BH39" s="103">
        <f>VLOOKUP($AF39,'US Grid mix, emissions&amp;prices'!$H$113:$I$163,2,FALSE)*BH$55</f>
        <v>156406.13259762179</v>
      </c>
      <c r="BL39" s="123" t="s">
        <v>218</v>
      </c>
      <c r="BM39" s="103">
        <f>VLOOKUP($BL39,'US Grid mix, emissions&amp;prices'!$H$113:$I$163,2,FALSE)*BM$55</f>
        <v>116274.54534105008</v>
      </c>
      <c r="BN39" s="103">
        <f>VLOOKUP($BL39,'US Grid mix, emissions&amp;prices'!$H$113:$I$163,2,FALSE)*BN$55</f>
        <v>116274.54534105008</v>
      </c>
      <c r="BO39" s="103">
        <f>VLOOKUP($BL39,'US Grid mix, emissions&amp;prices'!$H$113:$I$163,2,FALSE)*BO$55</f>
        <v>116274.54534105008</v>
      </c>
      <c r="BP39" s="103">
        <f>VLOOKUP($BL39,'US Grid mix, emissions&amp;prices'!$H$113:$I$163,2,FALSE)*BP$55</f>
        <v>116274.54534105008</v>
      </c>
      <c r="BQ39" s="103">
        <f>VLOOKUP($BL39,'US Grid mix, emissions&amp;prices'!$H$113:$I$163,2,FALSE)*BQ$55</f>
        <v>116274.54534105008</v>
      </c>
      <c r="BR39" s="103">
        <f>VLOOKUP($BL39,'US Grid mix, emissions&amp;prices'!$H$113:$I$163,2,FALSE)*BR$55</f>
        <v>116274.54534105008</v>
      </c>
      <c r="BS39" s="103">
        <f>VLOOKUP($BL39,'US Grid mix, emissions&amp;prices'!$H$113:$I$163,2,FALSE)*BS$55</f>
        <v>116274.54534105008</v>
      </c>
      <c r="BT39" s="103">
        <f>VLOOKUP($BL39,'US Grid mix, emissions&amp;prices'!$H$113:$I$163,2,FALSE)*BT$55</f>
        <v>116274.54534105008</v>
      </c>
      <c r="BU39" s="103">
        <f>VLOOKUP($BL39,'US Grid mix, emissions&amp;prices'!$H$113:$I$163,2,FALSE)*BU$55</f>
        <v>116274.54534105008</v>
      </c>
      <c r="BV39" s="103">
        <f>VLOOKUP($BL39,'US Grid mix, emissions&amp;prices'!$H$113:$I$163,2,FALSE)*BV$55</f>
        <v>116274.54534105008</v>
      </c>
      <c r="BW39" s="103">
        <f>VLOOKUP($BL39,'US Grid mix, emissions&amp;prices'!$H$113:$I$163,2,FALSE)*BW$55</f>
        <v>116274.54534105008</v>
      </c>
      <c r="BX39" s="103">
        <f>VLOOKUP($BL39,'US Grid mix, emissions&amp;prices'!$H$113:$I$163,2,FALSE)*BX$55</f>
        <v>116274.54534105008</v>
      </c>
      <c r="BY39" s="103">
        <f>VLOOKUP($BL39,'US Grid mix, emissions&amp;prices'!$H$113:$I$163,2,FALSE)*BY$55</f>
        <v>116274.54534105008</v>
      </c>
      <c r="BZ39" s="103">
        <f>VLOOKUP($BL39,'US Grid mix, emissions&amp;prices'!$H$113:$I$163,2,FALSE)*BZ$55</f>
        <v>116274.54534105008</v>
      </c>
      <c r="CA39" s="103">
        <f>VLOOKUP($BL39,'US Grid mix, emissions&amp;prices'!$H$113:$I$163,2,FALSE)*CA$55</f>
        <v>116274.54534105008</v>
      </c>
      <c r="CB39" s="103">
        <f>VLOOKUP($BL39,'US Grid mix, emissions&amp;prices'!$H$113:$I$163,2,FALSE)*CB$55</f>
        <v>116274.54534105008</v>
      </c>
      <c r="CC39" s="103">
        <f>VLOOKUP($BL39,'US Grid mix, emissions&amp;prices'!$H$113:$I$163,2,FALSE)*CC$55</f>
        <v>116274.54534105008</v>
      </c>
      <c r="CD39" s="103">
        <f>VLOOKUP($BL39,'US Grid mix, emissions&amp;prices'!$H$113:$I$163,2,FALSE)*CD$55</f>
        <v>116274.54534105008</v>
      </c>
      <c r="CE39" s="103">
        <f>VLOOKUP($BL39,'US Grid mix, emissions&amp;prices'!$H$113:$I$163,2,FALSE)*CE$55</f>
        <v>116274.54534105008</v>
      </c>
      <c r="CF39" s="103">
        <f>VLOOKUP($BL39,'US Grid mix, emissions&amp;prices'!$H$113:$I$163,2,FALSE)*CF$55</f>
        <v>116274.54534105008</v>
      </c>
      <c r="CG39" s="103">
        <f>VLOOKUP($BL39,'US Grid mix, emissions&amp;prices'!$H$113:$I$163,2,FALSE)*CG$55</f>
        <v>116274.54534105008</v>
      </c>
      <c r="CH39" s="103">
        <f>VLOOKUP($BL39,'US Grid mix, emissions&amp;prices'!$H$113:$I$163,2,FALSE)*CH$55</f>
        <v>116274.54534105008</v>
      </c>
      <c r="CI39" s="103">
        <f>VLOOKUP($BL39,'US Grid mix, emissions&amp;prices'!$H$113:$I$163,2,FALSE)*CI$55</f>
        <v>116274.54534105008</v>
      </c>
      <c r="CJ39" s="103">
        <f>VLOOKUP($BL39,'US Grid mix, emissions&amp;prices'!$H$113:$I$163,2,FALSE)*CJ$55</f>
        <v>116274.54534105008</v>
      </c>
      <c r="CK39" s="103">
        <f>VLOOKUP($BL39,'US Grid mix, emissions&amp;prices'!$H$113:$I$163,2,FALSE)*CK$55</f>
        <v>116274.54534105008</v>
      </c>
      <c r="CL39" s="103">
        <f>VLOOKUP($BL39,'US Grid mix, emissions&amp;prices'!$H$113:$I$163,2,FALSE)*CL$55</f>
        <v>116274.54534105008</v>
      </c>
      <c r="CM39" s="103">
        <f>VLOOKUP($BL39,'US Grid mix, emissions&amp;prices'!$H$113:$I$163,2,FALSE)*CM$55</f>
        <v>116274.54534105008</v>
      </c>
      <c r="CN39" s="103">
        <f>VLOOKUP($BL39,'US Grid mix, emissions&amp;prices'!$H$113:$I$163,2,FALSE)*CN$55</f>
        <v>116274.54534105008</v>
      </c>
    </row>
    <row r="40" spans="1:92" x14ac:dyDescent="0.25">
      <c r="A40" s="123" t="s">
        <v>219</v>
      </c>
      <c r="B40" s="103">
        <f>VLOOKUP($A40,'US Grid mix, emissions&amp;prices'!$H$113:$I$163,2,FALSE)*B$55</f>
        <v>83416.355299358052</v>
      </c>
      <c r="C40" s="103">
        <f>VLOOKUP($A40,'US Grid mix, emissions&amp;prices'!$H$113:$I$163,2,FALSE)*C$55</f>
        <v>83416.355299358052</v>
      </c>
      <c r="D40" s="103">
        <f>VLOOKUP($A40,'US Grid mix, emissions&amp;prices'!$H$113:$I$163,2,FALSE)*D$55</f>
        <v>83416.355299358052</v>
      </c>
      <c r="E40" s="103">
        <f>VLOOKUP($A40,'US Grid mix, emissions&amp;prices'!$H$113:$I$163,2,FALSE)*E$55</f>
        <v>83416.355299358052</v>
      </c>
      <c r="F40" s="103">
        <f>VLOOKUP($A40,'US Grid mix, emissions&amp;prices'!$H$113:$I$163,2,FALSE)*F$55</f>
        <v>83416.355299358052</v>
      </c>
      <c r="G40" s="103">
        <f>VLOOKUP($A40,'US Grid mix, emissions&amp;prices'!$H$113:$I$163,2,FALSE)*G$55</f>
        <v>83416.355299358052</v>
      </c>
      <c r="H40" s="103">
        <f>VLOOKUP($A40,'US Grid mix, emissions&amp;prices'!$H$113:$I$163,2,FALSE)*H$55</f>
        <v>83416.355299358052</v>
      </c>
      <c r="I40" s="103">
        <f>VLOOKUP($A40,'US Grid mix, emissions&amp;prices'!$H$113:$I$163,2,FALSE)*I$55</f>
        <v>83416.355299358052</v>
      </c>
      <c r="J40" s="103">
        <f>VLOOKUP($A40,'US Grid mix, emissions&amp;prices'!$H$113:$I$163,2,FALSE)*J$55</f>
        <v>83416.355299358052</v>
      </c>
      <c r="K40" s="103">
        <f>VLOOKUP($A40,'US Grid mix, emissions&amp;prices'!$H$113:$I$163,2,FALSE)*K$55</f>
        <v>83416.355299358052</v>
      </c>
      <c r="L40" s="103">
        <f>VLOOKUP($A40,'US Grid mix, emissions&amp;prices'!$H$113:$I$163,2,FALSE)*L$55</f>
        <v>83416.355299358052</v>
      </c>
      <c r="M40" s="103">
        <f>VLOOKUP($A40,'US Grid mix, emissions&amp;prices'!$H$113:$I$163,2,FALSE)*M$55</f>
        <v>83416.355299358052</v>
      </c>
      <c r="N40" s="103">
        <f>VLOOKUP($A40,'US Grid mix, emissions&amp;prices'!$H$113:$I$163,2,FALSE)*N$55</f>
        <v>83416.355299358052</v>
      </c>
      <c r="O40" s="103">
        <f>VLOOKUP($A40,'US Grid mix, emissions&amp;prices'!$H$113:$I$163,2,FALSE)*O$55</f>
        <v>83416.355299358052</v>
      </c>
      <c r="P40" s="103">
        <f>VLOOKUP($A40,'US Grid mix, emissions&amp;prices'!$H$113:$I$163,2,FALSE)*P$55</f>
        <v>83416.355299358052</v>
      </c>
      <c r="Q40" s="103">
        <f>VLOOKUP($A40,'US Grid mix, emissions&amp;prices'!$H$113:$I$163,2,FALSE)*Q$55</f>
        <v>83416.355299358052</v>
      </c>
      <c r="R40" s="103">
        <f>VLOOKUP($A40,'US Grid mix, emissions&amp;prices'!$H$113:$I$163,2,FALSE)*R$55</f>
        <v>83416.355299358052</v>
      </c>
      <c r="S40" s="103">
        <f>VLOOKUP($A40,'US Grid mix, emissions&amp;prices'!$H$113:$I$163,2,FALSE)*S$55</f>
        <v>83416.355299358052</v>
      </c>
      <c r="T40" s="103">
        <f>VLOOKUP($A40,'US Grid mix, emissions&amp;prices'!$H$113:$I$163,2,FALSE)*T$55</f>
        <v>83416.355299358052</v>
      </c>
      <c r="U40" s="103">
        <f>VLOOKUP($A40,'US Grid mix, emissions&amp;prices'!$H$113:$I$163,2,FALSE)*U$55</f>
        <v>83416.355299358052</v>
      </c>
      <c r="V40" s="103">
        <f>VLOOKUP($A40,'US Grid mix, emissions&amp;prices'!$H$113:$I$163,2,FALSE)*V$55</f>
        <v>83416.355299358052</v>
      </c>
      <c r="W40" s="103">
        <f>VLOOKUP($A40,'US Grid mix, emissions&amp;prices'!$H$113:$I$163,2,FALSE)*W$55</f>
        <v>83416.355299358052</v>
      </c>
      <c r="X40" s="103">
        <f>VLOOKUP($A40,'US Grid mix, emissions&amp;prices'!$H$113:$I$163,2,FALSE)*X$55</f>
        <v>83416.355299358052</v>
      </c>
      <c r="Y40" s="103">
        <f>VLOOKUP($A40,'US Grid mix, emissions&amp;prices'!$H$113:$I$163,2,FALSE)*Y$55</f>
        <v>83416.355299358052</v>
      </c>
      <c r="Z40" s="103">
        <f>VLOOKUP($A40,'US Grid mix, emissions&amp;prices'!$H$113:$I$163,2,FALSE)*Z$55</f>
        <v>83416.355299358052</v>
      </c>
      <c r="AA40" s="103">
        <f>VLOOKUP($A40,'US Grid mix, emissions&amp;prices'!$H$113:$I$163,2,FALSE)*AA$55</f>
        <v>83416.355299358052</v>
      </c>
      <c r="AB40" s="103">
        <f>VLOOKUP($A40,'US Grid mix, emissions&amp;prices'!$H$113:$I$163,2,FALSE)*AB$55</f>
        <v>83416.355299358052</v>
      </c>
      <c r="AC40" s="103">
        <f>VLOOKUP($A40,'US Grid mix, emissions&amp;prices'!$H$113:$I$163,2,FALSE)*AC$55</f>
        <v>83416.355299358052</v>
      </c>
      <c r="AF40" s="123" t="s">
        <v>219</v>
      </c>
      <c r="AG40" s="103">
        <f>VLOOKUP($AF40,'US Grid mix, emissions&amp;prices'!$H$113:$I$163,2,FALSE)*AG$55</f>
        <v>97772.962400104807</v>
      </c>
      <c r="AH40" s="103">
        <f>VLOOKUP($AF40,'US Grid mix, emissions&amp;prices'!$H$113:$I$163,2,FALSE)*AH$55</f>
        <v>97772.962400104807</v>
      </c>
      <c r="AI40" s="103">
        <f>VLOOKUP($AF40,'US Grid mix, emissions&amp;prices'!$H$113:$I$163,2,FALSE)*AI$55</f>
        <v>97772.962400104807</v>
      </c>
      <c r="AJ40" s="103">
        <f>VLOOKUP($AF40,'US Grid mix, emissions&amp;prices'!$H$113:$I$163,2,FALSE)*AJ$55</f>
        <v>97772.962400104807</v>
      </c>
      <c r="AK40" s="103">
        <f>VLOOKUP($AF40,'US Grid mix, emissions&amp;prices'!$H$113:$I$163,2,FALSE)*AK$55</f>
        <v>97772.962400104807</v>
      </c>
      <c r="AL40" s="103">
        <f>VLOOKUP($AF40,'US Grid mix, emissions&amp;prices'!$H$113:$I$163,2,FALSE)*AL$55</f>
        <v>97772.962400104807</v>
      </c>
      <c r="AM40" s="103">
        <f>VLOOKUP($AF40,'US Grid mix, emissions&amp;prices'!$H$113:$I$163,2,FALSE)*AM$55</f>
        <v>97772.962400104807</v>
      </c>
      <c r="AN40" s="103">
        <f>VLOOKUP($AF40,'US Grid mix, emissions&amp;prices'!$H$113:$I$163,2,FALSE)*AN$55</f>
        <v>97772.962400104807</v>
      </c>
      <c r="AO40" s="103">
        <f>VLOOKUP($AF40,'US Grid mix, emissions&amp;prices'!$H$113:$I$163,2,FALSE)*AO$55</f>
        <v>97772.962400104807</v>
      </c>
      <c r="AP40" s="103">
        <f>VLOOKUP($AF40,'US Grid mix, emissions&amp;prices'!$H$113:$I$163,2,FALSE)*AP$55</f>
        <v>97772.962400104807</v>
      </c>
      <c r="AQ40" s="103">
        <f>VLOOKUP($AF40,'US Grid mix, emissions&amp;prices'!$H$113:$I$163,2,FALSE)*AQ$55</f>
        <v>97772.962400104807</v>
      </c>
      <c r="AR40" s="103">
        <f>VLOOKUP($AF40,'US Grid mix, emissions&amp;prices'!$H$113:$I$163,2,FALSE)*AR$55</f>
        <v>97772.962400104807</v>
      </c>
      <c r="AS40" s="103">
        <f>VLOOKUP($AF40,'US Grid mix, emissions&amp;prices'!$H$113:$I$163,2,FALSE)*AS$55</f>
        <v>97772.962400104807</v>
      </c>
      <c r="AT40" s="103">
        <f>VLOOKUP($AF40,'US Grid mix, emissions&amp;prices'!$H$113:$I$163,2,FALSE)*AT$55</f>
        <v>97772.962400104807</v>
      </c>
      <c r="AU40" s="103">
        <f>VLOOKUP($AF40,'US Grid mix, emissions&amp;prices'!$H$113:$I$163,2,FALSE)*AU$55</f>
        <v>97772.962400104807</v>
      </c>
      <c r="AV40" s="103">
        <f>VLOOKUP($AF40,'US Grid mix, emissions&amp;prices'!$H$113:$I$163,2,FALSE)*AV$55</f>
        <v>97772.962400104807</v>
      </c>
      <c r="AW40" s="103">
        <f>VLOOKUP($AF40,'US Grid mix, emissions&amp;prices'!$H$113:$I$163,2,FALSE)*AW$55</f>
        <v>97772.962400104807</v>
      </c>
      <c r="AX40" s="103">
        <f>VLOOKUP($AF40,'US Grid mix, emissions&amp;prices'!$H$113:$I$163,2,FALSE)*AX$55</f>
        <v>97772.962400104807</v>
      </c>
      <c r="AY40" s="103">
        <f>VLOOKUP($AF40,'US Grid mix, emissions&amp;prices'!$H$113:$I$163,2,FALSE)*AY$55</f>
        <v>97772.962400104807</v>
      </c>
      <c r="AZ40" s="103">
        <f>VLOOKUP($AF40,'US Grid mix, emissions&amp;prices'!$H$113:$I$163,2,FALSE)*AZ$55</f>
        <v>97772.962400104807</v>
      </c>
      <c r="BA40" s="103">
        <f>VLOOKUP($AF40,'US Grid mix, emissions&amp;prices'!$H$113:$I$163,2,FALSE)*BA$55</f>
        <v>97772.962400104807</v>
      </c>
      <c r="BB40" s="103">
        <f>VLOOKUP($AF40,'US Grid mix, emissions&amp;prices'!$H$113:$I$163,2,FALSE)*BB$55</f>
        <v>97772.962400104807</v>
      </c>
      <c r="BC40" s="103">
        <f>VLOOKUP($AF40,'US Grid mix, emissions&amp;prices'!$H$113:$I$163,2,FALSE)*BC$55</f>
        <v>97772.962400104807</v>
      </c>
      <c r="BD40" s="103">
        <f>VLOOKUP($AF40,'US Grid mix, emissions&amp;prices'!$H$113:$I$163,2,FALSE)*BD$55</f>
        <v>97772.962400104807</v>
      </c>
      <c r="BE40" s="103">
        <f>VLOOKUP($AF40,'US Grid mix, emissions&amp;prices'!$H$113:$I$163,2,FALSE)*BE$55</f>
        <v>97772.962400104807</v>
      </c>
      <c r="BF40" s="103">
        <f>VLOOKUP($AF40,'US Grid mix, emissions&amp;prices'!$H$113:$I$163,2,FALSE)*BF$55</f>
        <v>97772.962400104807</v>
      </c>
      <c r="BG40" s="103">
        <f>VLOOKUP($AF40,'US Grid mix, emissions&amp;prices'!$H$113:$I$163,2,FALSE)*BG$55</f>
        <v>97772.962400104807</v>
      </c>
      <c r="BH40" s="103">
        <f>VLOOKUP($AF40,'US Grid mix, emissions&amp;prices'!$H$113:$I$163,2,FALSE)*BH$55</f>
        <v>97772.962400104807</v>
      </c>
      <c r="BL40" s="123" t="s">
        <v>219</v>
      </c>
      <c r="BM40" s="103">
        <f>VLOOKUP($BL40,'US Grid mix, emissions&amp;prices'!$H$113:$I$163,2,FALSE)*BM$55</f>
        <v>72685.812000524034</v>
      </c>
      <c r="BN40" s="103">
        <f>VLOOKUP($BL40,'US Grid mix, emissions&amp;prices'!$H$113:$I$163,2,FALSE)*BN$55</f>
        <v>72685.812000524034</v>
      </c>
      <c r="BO40" s="103">
        <f>VLOOKUP($BL40,'US Grid mix, emissions&amp;prices'!$H$113:$I$163,2,FALSE)*BO$55</f>
        <v>72685.812000524034</v>
      </c>
      <c r="BP40" s="103">
        <f>VLOOKUP($BL40,'US Grid mix, emissions&amp;prices'!$H$113:$I$163,2,FALSE)*BP$55</f>
        <v>72685.812000524034</v>
      </c>
      <c r="BQ40" s="103">
        <f>VLOOKUP($BL40,'US Grid mix, emissions&amp;prices'!$H$113:$I$163,2,FALSE)*BQ$55</f>
        <v>72685.812000524034</v>
      </c>
      <c r="BR40" s="103">
        <f>VLOOKUP($BL40,'US Grid mix, emissions&amp;prices'!$H$113:$I$163,2,FALSE)*BR$55</f>
        <v>72685.812000524034</v>
      </c>
      <c r="BS40" s="103">
        <f>VLOOKUP($BL40,'US Grid mix, emissions&amp;prices'!$H$113:$I$163,2,FALSE)*BS$55</f>
        <v>72685.812000524034</v>
      </c>
      <c r="BT40" s="103">
        <f>VLOOKUP($BL40,'US Grid mix, emissions&amp;prices'!$H$113:$I$163,2,FALSE)*BT$55</f>
        <v>72685.812000524034</v>
      </c>
      <c r="BU40" s="103">
        <f>VLOOKUP($BL40,'US Grid mix, emissions&amp;prices'!$H$113:$I$163,2,FALSE)*BU$55</f>
        <v>72685.812000524034</v>
      </c>
      <c r="BV40" s="103">
        <f>VLOOKUP($BL40,'US Grid mix, emissions&amp;prices'!$H$113:$I$163,2,FALSE)*BV$55</f>
        <v>72685.812000524034</v>
      </c>
      <c r="BW40" s="103">
        <f>VLOOKUP($BL40,'US Grid mix, emissions&amp;prices'!$H$113:$I$163,2,FALSE)*BW$55</f>
        <v>72685.812000524034</v>
      </c>
      <c r="BX40" s="103">
        <f>VLOOKUP($BL40,'US Grid mix, emissions&amp;prices'!$H$113:$I$163,2,FALSE)*BX$55</f>
        <v>72685.812000524034</v>
      </c>
      <c r="BY40" s="103">
        <f>VLOOKUP($BL40,'US Grid mix, emissions&amp;prices'!$H$113:$I$163,2,FALSE)*BY$55</f>
        <v>72685.812000524034</v>
      </c>
      <c r="BZ40" s="103">
        <f>VLOOKUP($BL40,'US Grid mix, emissions&amp;prices'!$H$113:$I$163,2,FALSE)*BZ$55</f>
        <v>72685.812000524034</v>
      </c>
      <c r="CA40" s="103">
        <f>VLOOKUP($BL40,'US Grid mix, emissions&amp;prices'!$H$113:$I$163,2,FALSE)*CA$55</f>
        <v>72685.812000524034</v>
      </c>
      <c r="CB40" s="103">
        <f>VLOOKUP($BL40,'US Grid mix, emissions&amp;prices'!$H$113:$I$163,2,FALSE)*CB$55</f>
        <v>72685.812000524034</v>
      </c>
      <c r="CC40" s="103">
        <f>VLOOKUP($BL40,'US Grid mix, emissions&amp;prices'!$H$113:$I$163,2,FALSE)*CC$55</f>
        <v>72685.812000524034</v>
      </c>
      <c r="CD40" s="103">
        <f>VLOOKUP($BL40,'US Grid mix, emissions&amp;prices'!$H$113:$I$163,2,FALSE)*CD$55</f>
        <v>72685.812000524034</v>
      </c>
      <c r="CE40" s="103">
        <f>VLOOKUP($BL40,'US Grid mix, emissions&amp;prices'!$H$113:$I$163,2,FALSE)*CE$55</f>
        <v>72685.812000524034</v>
      </c>
      <c r="CF40" s="103">
        <f>VLOOKUP($BL40,'US Grid mix, emissions&amp;prices'!$H$113:$I$163,2,FALSE)*CF$55</f>
        <v>72685.812000524034</v>
      </c>
      <c r="CG40" s="103">
        <f>VLOOKUP($BL40,'US Grid mix, emissions&amp;prices'!$H$113:$I$163,2,FALSE)*CG$55</f>
        <v>72685.812000524034</v>
      </c>
      <c r="CH40" s="103">
        <f>VLOOKUP($BL40,'US Grid mix, emissions&amp;prices'!$H$113:$I$163,2,FALSE)*CH$55</f>
        <v>72685.812000524034</v>
      </c>
      <c r="CI40" s="103">
        <f>VLOOKUP($BL40,'US Grid mix, emissions&amp;prices'!$H$113:$I$163,2,FALSE)*CI$55</f>
        <v>72685.812000524034</v>
      </c>
      <c r="CJ40" s="103">
        <f>VLOOKUP($BL40,'US Grid mix, emissions&amp;prices'!$H$113:$I$163,2,FALSE)*CJ$55</f>
        <v>72685.812000524034</v>
      </c>
      <c r="CK40" s="103">
        <f>VLOOKUP($BL40,'US Grid mix, emissions&amp;prices'!$H$113:$I$163,2,FALSE)*CK$55</f>
        <v>72685.812000524034</v>
      </c>
      <c r="CL40" s="103">
        <f>VLOOKUP($BL40,'US Grid mix, emissions&amp;prices'!$H$113:$I$163,2,FALSE)*CL$55</f>
        <v>72685.812000524034</v>
      </c>
      <c r="CM40" s="103">
        <f>VLOOKUP($BL40,'US Grid mix, emissions&amp;prices'!$H$113:$I$163,2,FALSE)*CM$55</f>
        <v>72685.812000524034</v>
      </c>
      <c r="CN40" s="103">
        <f>VLOOKUP($BL40,'US Grid mix, emissions&amp;prices'!$H$113:$I$163,2,FALSE)*CN$55</f>
        <v>72685.812000524034</v>
      </c>
    </row>
    <row r="41" spans="1:92" x14ac:dyDescent="0.25">
      <c r="A41" s="123" t="s">
        <v>220</v>
      </c>
      <c r="B41" s="103">
        <f>VLOOKUP($A41,'US Grid mix, emissions&amp;prices'!$H$113:$I$163,2,FALSE)*B$55</f>
        <v>145943.64901626838</v>
      </c>
      <c r="C41" s="103">
        <f>VLOOKUP($A41,'US Grid mix, emissions&amp;prices'!$H$113:$I$163,2,FALSE)*C$55</f>
        <v>145943.64901626838</v>
      </c>
      <c r="D41" s="103">
        <f>VLOOKUP($A41,'US Grid mix, emissions&amp;prices'!$H$113:$I$163,2,FALSE)*D$55</f>
        <v>145943.64901626838</v>
      </c>
      <c r="E41" s="103">
        <f>VLOOKUP($A41,'US Grid mix, emissions&amp;prices'!$H$113:$I$163,2,FALSE)*E$55</f>
        <v>145943.64901626838</v>
      </c>
      <c r="F41" s="103">
        <f>VLOOKUP($A41,'US Grid mix, emissions&amp;prices'!$H$113:$I$163,2,FALSE)*F$55</f>
        <v>145943.64901626838</v>
      </c>
      <c r="G41" s="103">
        <f>VLOOKUP($A41,'US Grid mix, emissions&amp;prices'!$H$113:$I$163,2,FALSE)*G$55</f>
        <v>145943.64901626838</v>
      </c>
      <c r="H41" s="103">
        <f>VLOOKUP($A41,'US Grid mix, emissions&amp;prices'!$H$113:$I$163,2,FALSE)*H$55</f>
        <v>145943.64901626838</v>
      </c>
      <c r="I41" s="103">
        <f>VLOOKUP($A41,'US Grid mix, emissions&amp;prices'!$H$113:$I$163,2,FALSE)*I$55</f>
        <v>145943.64901626838</v>
      </c>
      <c r="J41" s="103">
        <f>VLOOKUP($A41,'US Grid mix, emissions&amp;prices'!$H$113:$I$163,2,FALSE)*J$55</f>
        <v>145943.64901626838</v>
      </c>
      <c r="K41" s="103">
        <f>VLOOKUP($A41,'US Grid mix, emissions&amp;prices'!$H$113:$I$163,2,FALSE)*K$55</f>
        <v>145943.64901626838</v>
      </c>
      <c r="L41" s="103">
        <f>VLOOKUP($A41,'US Grid mix, emissions&amp;prices'!$H$113:$I$163,2,FALSE)*L$55</f>
        <v>145943.64901626838</v>
      </c>
      <c r="M41" s="103">
        <f>VLOOKUP($A41,'US Grid mix, emissions&amp;prices'!$H$113:$I$163,2,FALSE)*M$55</f>
        <v>145943.64901626838</v>
      </c>
      <c r="N41" s="103">
        <f>VLOOKUP($A41,'US Grid mix, emissions&amp;prices'!$H$113:$I$163,2,FALSE)*N$55</f>
        <v>145943.64901626838</v>
      </c>
      <c r="O41" s="103">
        <f>VLOOKUP($A41,'US Grid mix, emissions&amp;prices'!$H$113:$I$163,2,FALSE)*O$55</f>
        <v>145943.64901626838</v>
      </c>
      <c r="P41" s="103">
        <f>VLOOKUP($A41,'US Grid mix, emissions&amp;prices'!$H$113:$I$163,2,FALSE)*P$55</f>
        <v>145943.64901626838</v>
      </c>
      <c r="Q41" s="103">
        <f>VLOOKUP($A41,'US Grid mix, emissions&amp;prices'!$H$113:$I$163,2,FALSE)*Q$55</f>
        <v>145943.64901626838</v>
      </c>
      <c r="R41" s="103">
        <f>VLOOKUP($A41,'US Grid mix, emissions&amp;prices'!$H$113:$I$163,2,FALSE)*R$55</f>
        <v>145943.64901626838</v>
      </c>
      <c r="S41" s="103">
        <f>VLOOKUP($A41,'US Grid mix, emissions&amp;prices'!$H$113:$I$163,2,FALSE)*S$55</f>
        <v>145943.64901626838</v>
      </c>
      <c r="T41" s="103">
        <f>VLOOKUP($A41,'US Grid mix, emissions&amp;prices'!$H$113:$I$163,2,FALSE)*T$55</f>
        <v>145943.64901626838</v>
      </c>
      <c r="U41" s="103">
        <f>VLOOKUP($A41,'US Grid mix, emissions&amp;prices'!$H$113:$I$163,2,FALSE)*U$55</f>
        <v>145943.64901626838</v>
      </c>
      <c r="V41" s="103">
        <f>VLOOKUP($A41,'US Grid mix, emissions&amp;prices'!$H$113:$I$163,2,FALSE)*V$55</f>
        <v>145943.64901626838</v>
      </c>
      <c r="W41" s="103">
        <f>VLOOKUP($A41,'US Grid mix, emissions&amp;prices'!$H$113:$I$163,2,FALSE)*W$55</f>
        <v>145943.64901626838</v>
      </c>
      <c r="X41" s="103">
        <f>VLOOKUP($A41,'US Grid mix, emissions&amp;prices'!$H$113:$I$163,2,FALSE)*X$55</f>
        <v>145943.64901626838</v>
      </c>
      <c r="Y41" s="103">
        <f>VLOOKUP($A41,'US Grid mix, emissions&amp;prices'!$H$113:$I$163,2,FALSE)*Y$55</f>
        <v>145943.64901626838</v>
      </c>
      <c r="Z41" s="103">
        <f>VLOOKUP($A41,'US Grid mix, emissions&amp;prices'!$H$113:$I$163,2,FALSE)*Z$55</f>
        <v>145943.64901626838</v>
      </c>
      <c r="AA41" s="103">
        <f>VLOOKUP($A41,'US Grid mix, emissions&amp;prices'!$H$113:$I$163,2,FALSE)*AA$55</f>
        <v>145943.64901626838</v>
      </c>
      <c r="AB41" s="103">
        <f>VLOOKUP($A41,'US Grid mix, emissions&amp;prices'!$H$113:$I$163,2,FALSE)*AB$55</f>
        <v>145943.64901626838</v>
      </c>
      <c r="AC41" s="103">
        <f>VLOOKUP($A41,'US Grid mix, emissions&amp;prices'!$H$113:$I$163,2,FALSE)*AC$55</f>
        <v>145943.64901626838</v>
      </c>
      <c r="AF41" s="123" t="s">
        <v>220</v>
      </c>
      <c r="AG41" s="103">
        <f>VLOOKUP($AF41,'US Grid mix, emissions&amp;prices'!$H$113:$I$163,2,FALSE)*AG$55</f>
        <v>171061.69235748801</v>
      </c>
      <c r="AH41" s="103">
        <f>VLOOKUP($AF41,'US Grid mix, emissions&amp;prices'!$H$113:$I$163,2,FALSE)*AH$55</f>
        <v>171061.69235748801</v>
      </c>
      <c r="AI41" s="103">
        <f>VLOOKUP($AF41,'US Grid mix, emissions&amp;prices'!$H$113:$I$163,2,FALSE)*AI$55</f>
        <v>171061.69235748801</v>
      </c>
      <c r="AJ41" s="103">
        <f>VLOOKUP($AF41,'US Grid mix, emissions&amp;prices'!$H$113:$I$163,2,FALSE)*AJ$55</f>
        <v>171061.69235748801</v>
      </c>
      <c r="AK41" s="103">
        <f>VLOOKUP($AF41,'US Grid mix, emissions&amp;prices'!$H$113:$I$163,2,FALSE)*AK$55</f>
        <v>171061.69235748801</v>
      </c>
      <c r="AL41" s="103">
        <f>VLOOKUP($AF41,'US Grid mix, emissions&amp;prices'!$H$113:$I$163,2,FALSE)*AL$55</f>
        <v>171061.69235748801</v>
      </c>
      <c r="AM41" s="103">
        <f>VLOOKUP($AF41,'US Grid mix, emissions&amp;prices'!$H$113:$I$163,2,FALSE)*AM$55</f>
        <v>171061.69235748801</v>
      </c>
      <c r="AN41" s="103">
        <f>VLOOKUP($AF41,'US Grid mix, emissions&amp;prices'!$H$113:$I$163,2,FALSE)*AN$55</f>
        <v>171061.69235748801</v>
      </c>
      <c r="AO41" s="103">
        <f>VLOOKUP($AF41,'US Grid mix, emissions&amp;prices'!$H$113:$I$163,2,FALSE)*AO$55</f>
        <v>171061.69235748801</v>
      </c>
      <c r="AP41" s="103">
        <f>VLOOKUP($AF41,'US Grid mix, emissions&amp;prices'!$H$113:$I$163,2,FALSE)*AP$55</f>
        <v>171061.69235748801</v>
      </c>
      <c r="AQ41" s="103">
        <f>VLOOKUP($AF41,'US Grid mix, emissions&amp;prices'!$H$113:$I$163,2,FALSE)*AQ$55</f>
        <v>171061.69235748801</v>
      </c>
      <c r="AR41" s="103">
        <f>VLOOKUP($AF41,'US Grid mix, emissions&amp;prices'!$H$113:$I$163,2,FALSE)*AR$55</f>
        <v>171061.69235748801</v>
      </c>
      <c r="AS41" s="103">
        <f>VLOOKUP($AF41,'US Grid mix, emissions&amp;prices'!$H$113:$I$163,2,FALSE)*AS$55</f>
        <v>171061.69235748801</v>
      </c>
      <c r="AT41" s="103">
        <f>VLOOKUP($AF41,'US Grid mix, emissions&amp;prices'!$H$113:$I$163,2,FALSE)*AT$55</f>
        <v>171061.69235748801</v>
      </c>
      <c r="AU41" s="103">
        <f>VLOOKUP($AF41,'US Grid mix, emissions&amp;prices'!$H$113:$I$163,2,FALSE)*AU$55</f>
        <v>171061.69235748801</v>
      </c>
      <c r="AV41" s="103">
        <f>VLOOKUP($AF41,'US Grid mix, emissions&amp;prices'!$H$113:$I$163,2,FALSE)*AV$55</f>
        <v>171061.69235748801</v>
      </c>
      <c r="AW41" s="103">
        <f>VLOOKUP($AF41,'US Grid mix, emissions&amp;prices'!$H$113:$I$163,2,FALSE)*AW$55</f>
        <v>171061.69235748801</v>
      </c>
      <c r="AX41" s="103">
        <f>VLOOKUP($AF41,'US Grid mix, emissions&amp;prices'!$H$113:$I$163,2,FALSE)*AX$55</f>
        <v>171061.69235748801</v>
      </c>
      <c r="AY41" s="103">
        <f>VLOOKUP($AF41,'US Grid mix, emissions&amp;prices'!$H$113:$I$163,2,FALSE)*AY$55</f>
        <v>171061.69235748801</v>
      </c>
      <c r="AZ41" s="103">
        <f>VLOOKUP($AF41,'US Grid mix, emissions&amp;prices'!$H$113:$I$163,2,FALSE)*AZ$55</f>
        <v>171061.69235748801</v>
      </c>
      <c r="BA41" s="103">
        <f>VLOOKUP($AF41,'US Grid mix, emissions&amp;prices'!$H$113:$I$163,2,FALSE)*BA$55</f>
        <v>171061.69235748801</v>
      </c>
      <c r="BB41" s="103">
        <f>VLOOKUP($AF41,'US Grid mix, emissions&amp;prices'!$H$113:$I$163,2,FALSE)*BB$55</f>
        <v>171061.69235748801</v>
      </c>
      <c r="BC41" s="103">
        <f>VLOOKUP($AF41,'US Grid mix, emissions&amp;prices'!$H$113:$I$163,2,FALSE)*BC$55</f>
        <v>171061.69235748801</v>
      </c>
      <c r="BD41" s="103">
        <f>VLOOKUP($AF41,'US Grid mix, emissions&amp;prices'!$H$113:$I$163,2,FALSE)*BD$55</f>
        <v>171061.69235748801</v>
      </c>
      <c r="BE41" s="103">
        <f>VLOOKUP($AF41,'US Grid mix, emissions&amp;prices'!$H$113:$I$163,2,FALSE)*BE$55</f>
        <v>171061.69235748801</v>
      </c>
      <c r="BF41" s="103">
        <f>VLOOKUP($AF41,'US Grid mix, emissions&amp;prices'!$H$113:$I$163,2,FALSE)*BF$55</f>
        <v>171061.69235748801</v>
      </c>
      <c r="BG41" s="103">
        <f>VLOOKUP($AF41,'US Grid mix, emissions&amp;prices'!$H$113:$I$163,2,FALSE)*BG$55</f>
        <v>171061.69235748801</v>
      </c>
      <c r="BH41" s="103">
        <f>VLOOKUP($AF41,'US Grid mix, emissions&amp;prices'!$H$113:$I$163,2,FALSE)*BH$55</f>
        <v>171061.69235748801</v>
      </c>
      <c r="BL41" s="123" t="s">
        <v>220</v>
      </c>
      <c r="BM41" s="103">
        <f>VLOOKUP($BL41,'US Grid mix, emissions&amp;prices'!$H$113:$I$163,2,FALSE)*BM$55</f>
        <v>127169.69708155764</v>
      </c>
      <c r="BN41" s="103">
        <f>VLOOKUP($BL41,'US Grid mix, emissions&amp;prices'!$H$113:$I$163,2,FALSE)*BN$55</f>
        <v>127169.69708155764</v>
      </c>
      <c r="BO41" s="103">
        <f>VLOOKUP($BL41,'US Grid mix, emissions&amp;prices'!$H$113:$I$163,2,FALSE)*BO$55</f>
        <v>127169.69708155764</v>
      </c>
      <c r="BP41" s="103">
        <f>VLOOKUP($BL41,'US Grid mix, emissions&amp;prices'!$H$113:$I$163,2,FALSE)*BP$55</f>
        <v>127169.69708155764</v>
      </c>
      <c r="BQ41" s="103">
        <f>VLOOKUP($BL41,'US Grid mix, emissions&amp;prices'!$H$113:$I$163,2,FALSE)*BQ$55</f>
        <v>127169.69708155764</v>
      </c>
      <c r="BR41" s="103">
        <f>VLOOKUP($BL41,'US Grid mix, emissions&amp;prices'!$H$113:$I$163,2,FALSE)*BR$55</f>
        <v>127169.69708155764</v>
      </c>
      <c r="BS41" s="103">
        <f>VLOOKUP($BL41,'US Grid mix, emissions&amp;prices'!$H$113:$I$163,2,FALSE)*BS$55</f>
        <v>127169.69708155764</v>
      </c>
      <c r="BT41" s="103">
        <f>VLOOKUP($BL41,'US Grid mix, emissions&amp;prices'!$H$113:$I$163,2,FALSE)*BT$55</f>
        <v>127169.69708155764</v>
      </c>
      <c r="BU41" s="103">
        <f>VLOOKUP($BL41,'US Grid mix, emissions&amp;prices'!$H$113:$I$163,2,FALSE)*BU$55</f>
        <v>127169.69708155764</v>
      </c>
      <c r="BV41" s="103">
        <f>VLOOKUP($BL41,'US Grid mix, emissions&amp;prices'!$H$113:$I$163,2,FALSE)*BV$55</f>
        <v>127169.69708155764</v>
      </c>
      <c r="BW41" s="103">
        <f>VLOOKUP($BL41,'US Grid mix, emissions&amp;prices'!$H$113:$I$163,2,FALSE)*BW$55</f>
        <v>127169.69708155764</v>
      </c>
      <c r="BX41" s="103">
        <f>VLOOKUP($BL41,'US Grid mix, emissions&amp;prices'!$H$113:$I$163,2,FALSE)*BX$55</f>
        <v>127169.69708155764</v>
      </c>
      <c r="BY41" s="103">
        <f>VLOOKUP($BL41,'US Grid mix, emissions&amp;prices'!$H$113:$I$163,2,FALSE)*BY$55</f>
        <v>127169.69708155764</v>
      </c>
      <c r="BZ41" s="103">
        <f>VLOOKUP($BL41,'US Grid mix, emissions&amp;prices'!$H$113:$I$163,2,FALSE)*BZ$55</f>
        <v>127169.69708155764</v>
      </c>
      <c r="CA41" s="103">
        <f>VLOOKUP($BL41,'US Grid mix, emissions&amp;prices'!$H$113:$I$163,2,FALSE)*CA$55</f>
        <v>127169.69708155764</v>
      </c>
      <c r="CB41" s="103">
        <f>VLOOKUP($BL41,'US Grid mix, emissions&amp;prices'!$H$113:$I$163,2,FALSE)*CB$55</f>
        <v>127169.69708155764</v>
      </c>
      <c r="CC41" s="103">
        <f>VLOOKUP($BL41,'US Grid mix, emissions&amp;prices'!$H$113:$I$163,2,FALSE)*CC$55</f>
        <v>127169.69708155764</v>
      </c>
      <c r="CD41" s="103">
        <f>VLOOKUP($BL41,'US Grid mix, emissions&amp;prices'!$H$113:$I$163,2,FALSE)*CD$55</f>
        <v>127169.69708155764</v>
      </c>
      <c r="CE41" s="103">
        <f>VLOOKUP($BL41,'US Grid mix, emissions&amp;prices'!$H$113:$I$163,2,FALSE)*CE$55</f>
        <v>127169.69708155764</v>
      </c>
      <c r="CF41" s="103">
        <f>VLOOKUP($BL41,'US Grid mix, emissions&amp;prices'!$H$113:$I$163,2,FALSE)*CF$55</f>
        <v>127169.69708155764</v>
      </c>
      <c r="CG41" s="103">
        <f>VLOOKUP($BL41,'US Grid mix, emissions&amp;prices'!$H$113:$I$163,2,FALSE)*CG$55</f>
        <v>127169.69708155764</v>
      </c>
      <c r="CH41" s="103">
        <f>VLOOKUP($BL41,'US Grid mix, emissions&amp;prices'!$H$113:$I$163,2,FALSE)*CH$55</f>
        <v>127169.69708155764</v>
      </c>
      <c r="CI41" s="103">
        <f>VLOOKUP($BL41,'US Grid mix, emissions&amp;prices'!$H$113:$I$163,2,FALSE)*CI$55</f>
        <v>127169.69708155764</v>
      </c>
      <c r="CJ41" s="103">
        <f>VLOOKUP($BL41,'US Grid mix, emissions&amp;prices'!$H$113:$I$163,2,FALSE)*CJ$55</f>
        <v>127169.69708155764</v>
      </c>
      <c r="CK41" s="103">
        <f>VLOOKUP($BL41,'US Grid mix, emissions&amp;prices'!$H$113:$I$163,2,FALSE)*CK$55</f>
        <v>127169.69708155764</v>
      </c>
      <c r="CL41" s="103">
        <f>VLOOKUP($BL41,'US Grid mix, emissions&amp;prices'!$H$113:$I$163,2,FALSE)*CL$55</f>
        <v>127169.69708155764</v>
      </c>
      <c r="CM41" s="103">
        <f>VLOOKUP($BL41,'US Grid mix, emissions&amp;prices'!$H$113:$I$163,2,FALSE)*CM$55</f>
        <v>127169.69708155764</v>
      </c>
      <c r="CN41" s="103">
        <f>VLOOKUP($BL41,'US Grid mix, emissions&amp;prices'!$H$113:$I$163,2,FALSE)*CN$55</f>
        <v>127169.69708155764</v>
      </c>
    </row>
    <row r="42" spans="1:92" x14ac:dyDescent="0.25">
      <c r="A42" s="123" t="s">
        <v>221</v>
      </c>
      <c r="B42" s="103">
        <f>VLOOKUP($A42,'US Grid mix, emissions&amp;prices'!$H$113:$I$163,2,FALSE)*B$55</f>
        <v>187616.52083445719</v>
      </c>
      <c r="C42" s="103">
        <f>VLOOKUP($A42,'US Grid mix, emissions&amp;prices'!$H$113:$I$163,2,FALSE)*C$55</f>
        <v>187616.52083445719</v>
      </c>
      <c r="D42" s="103">
        <f>VLOOKUP($A42,'US Grid mix, emissions&amp;prices'!$H$113:$I$163,2,FALSE)*D$55</f>
        <v>187616.52083445719</v>
      </c>
      <c r="E42" s="103">
        <f>VLOOKUP($A42,'US Grid mix, emissions&amp;prices'!$H$113:$I$163,2,FALSE)*E$55</f>
        <v>187616.52083445719</v>
      </c>
      <c r="F42" s="103">
        <f>VLOOKUP($A42,'US Grid mix, emissions&amp;prices'!$H$113:$I$163,2,FALSE)*F$55</f>
        <v>187616.52083445719</v>
      </c>
      <c r="G42" s="103">
        <f>VLOOKUP($A42,'US Grid mix, emissions&amp;prices'!$H$113:$I$163,2,FALSE)*G$55</f>
        <v>187616.52083445719</v>
      </c>
      <c r="H42" s="103">
        <f>VLOOKUP($A42,'US Grid mix, emissions&amp;prices'!$H$113:$I$163,2,FALSE)*H$55</f>
        <v>187616.52083445719</v>
      </c>
      <c r="I42" s="103">
        <f>VLOOKUP($A42,'US Grid mix, emissions&amp;prices'!$H$113:$I$163,2,FALSE)*I$55</f>
        <v>187616.52083445719</v>
      </c>
      <c r="J42" s="103">
        <f>VLOOKUP($A42,'US Grid mix, emissions&amp;prices'!$H$113:$I$163,2,FALSE)*J$55</f>
        <v>187616.52083445719</v>
      </c>
      <c r="K42" s="103">
        <f>VLOOKUP($A42,'US Grid mix, emissions&amp;prices'!$H$113:$I$163,2,FALSE)*K$55</f>
        <v>187616.52083445719</v>
      </c>
      <c r="L42" s="103">
        <f>VLOOKUP($A42,'US Grid mix, emissions&amp;prices'!$H$113:$I$163,2,FALSE)*L$55</f>
        <v>187616.52083445719</v>
      </c>
      <c r="M42" s="103">
        <f>VLOOKUP($A42,'US Grid mix, emissions&amp;prices'!$H$113:$I$163,2,FALSE)*M$55</f>
        <v>187616.52083445719</v>
      </c>
      <c r="N42" s="103">
        <f>VLOOKUP($A42,'US Grid mix, emissions&amp;prices'!$H$113:$I$163,2,FALSE)*N$55</f>
        <v>187616.52083445719</v>
      </c>
      <c r="O42" s="103">
        <f>VLOOKUP($A42,'US Grid mix, emissions&amp;prices'!$H$113:$I$163,2,FALSE)*O$55</f>
        <v>187616.52083445719</v>
      </c>
      <c r="P42" s="103">
        <f>VLOOKUP($A42,'US Grid mix, emissions&amp;prices'!$H$113:$I$163,2,FALSE)*P$55</f>
        <v>187616.52083445719</v>
      </c>
      <c r="Q42" s="103">
        <f>VLOOKUP($A42,'US Grid mix, emissions&amp;prices'!$H$113:$I$163,2,FALSE)*Q$55</f>
        <v>187616.52083445719</v>
      </c>
      <c r="R42" s="103">
        <f>VLOOKUP($A42,'US Grid mix, emissions&amp;prices'!$H$113:$I$163,2,FALSE)*R$55</f>
        <v>187616.52083445719</v>
      </c>
      <c r="S42" s="103">
        <f>VLOOKUP($A42,'US Grid mix, emissions&amp;prices'!$H$113:$I$163,2,FALSE)*S$55</f>
        <v>187616.52083445719</v>
      </c>
      <c r="T42" s="103">
        <f>VLOOKUP($A42,'US Grid mix, emissions&amp;prices'!$H$113:$I$163,2,FALSE)*T$55</f>
        <v>187616.52083445719</v>
      </c>
      <c r="U42" s="103">
        <f>VLOOKUP($A42,'US Grid mix, emissions&amp;prices'!$H$113:$I$163,2,FALSE)*U$55</f>
        <v>187616.52083445719</v>
      </c>
      <c r="V42" s="103">
        <f>VLOOKUP($A42,'US Grid mix, emissions&amp;prices'!$H$113:$I$163,2,FALSE)*V$55</f>
        <v>187616.52083445719</v>
      </c>
      <c r="W42" s="103">
        <f>VLOOKUP($A42,'US Grid mix, emissions&amp;prices'!$H$113:$I$163,2,FALSE)*W$55</f>
        <v>187616.52083445719</v>
      </c>
      <c r="X42" s="103">
        <f>VLOOKUP($A42,'US Grid mix, emissions&amp;prices'!$H$113:$I$163,2,FALSE)*X$55</f>
        <v>187616.52083445719</v>
      </c>
      <c r="Y42" s="103">
        <f>VLOOKUP($A42,'US Grid mix, emissions&amp;prices'!$H$113:$I$163,2,FALSE)*Y$55</f>
        <v>187616.52083445719</v>
      </c>
      <c r="Z42" s="103">
        <f>VLOOKUP($A42,'US Grid mix, emissions&amp;prices'!$H$113:$I$163,2,FALSE)*Z$55</f>
        <v>187616.52083445719</v>
      </c>
      <c r="AA42" s="103">
        <f>VLOOKUP($A42,'US Grid mix, emissions&amp;prices'!$H$113:$I$163,2,FALSE)*AA$55</f>
        <v>187616.52083445719</v>
      </c>
      <c r="AB42" s="103">
        <f>VLOOKUP($A42,'US Grid mix, emissions&amp;prices'!$H$113:$I$163,2,FALSE)*AB$55</f>
        <v>187616.52083445719</v>
      </c>
      <c r="AC42" s="103">
        <f>VLOOKUP($A42,'US Grid mix, emissions&amp;prices'!$H$113:$I$163,2,FALSE)*AC$55</f>
        <v>187616.52083445719</v>
      </c>
      <c r="AF42" s="123" t="s">
        <v>221</v>
      </c>
      <c r="AG42" s="103">
        <f>VLOOKUP($AF42,'US Grid mix, emissions&amp;prices'!$H$113:$I$163,2,FALSE)*AG$55</f>
        <v>219906.79131634312</v>
      </c>
      <c r="AH42" s="103">
        <f>VLOOKUP($AF42,'US Grid mix, emissions&amp;prices'!$H$113:$I$163,2,FALSE)*AH$55</f>
        <v>219906.79131634312</v>
      </c>
      <c r="AI42" s="103">
        <f>VLOOKUP($AF42,'US Grid mix, emissions&amp;prices'!$H$113:$I$163,2,FALSE)*AI$55</f>
        <v>219906.79131634312</v>
      </c>
      <c r="AJ42" s="103">
        <f>VLOOKUP($AF42,'US Grid mix, emissions&amp;prices'!$H$113:$I$163,2,FALSE)*AJ$55</f>
        <v>219906.79131634312</v>
      </c>
      <c r="AK42" s="103">
        <f>VLOOKUP($AF42,'US Grid mix, emissions&amp;prices'!$H$113:$I$163,2,FALSE)*AK$55</f>
        <v>219906.79131634312</v>
      </c>
      <c r="AL42" s="103">
        <f>VLOOKUP($AF42,'US Grid mix, emissions&amp;prices'!$H$113:$I$163,2,FALSE)*AL$55</f>
        <v>219906.79131634312</v>
      </c>
      <c r="AM42" s="103">
        <f>VLOOKUP($AF42,'US Grid mix, emissions&amp;prices'!$H$113:$I$163,2,FALSE)*AM$55</f>
        <v>219906.79131634312</v>
      </c>
      <c r="AN42" s="103">
        <f>VLOOKUP($AF42,'US Grid mix, emissions&amp;prices'!$H$113:$I$163,2,FALSE)*AN$55</f>
        <v>219906.79131634312</v>
      </c>
      <c r="AO42" s="103">
        <f>VLOOKUP($AF42,'US Grid mix, emissions&amp;prices'!$H$113:$I$163,2,FALSE)*AO$55</f>
        <v>219906.79131634312</v>
      </c>
      <c r="AP42" s="103">
        <f>VLOOKUP($AF42,'US Grid mix, emissions&amp;prices'!$H$113:$I$163,2,FALSE)*AP$55</f>
        <v>219906.79131634312</v>
      </c>
      <c r="AQ42" s="103">
        <f>VLOOKUP($AF42,'US Grid mix, emissions&amp;prices'!$H$113:$I$163,2,FALSE)*AQ$55</f>
        <v>219906.79131634312</v>
      </c>
      <c r="AR42" s="103">
        <f>VLOOKUP($AF42,'US Grid mix, emissions&amp;prices'!$H$113:$I$163,2,FALSE)*AR$55</f>
        <v>219906.79131634312</v>
      </c>
      <c r="AS42" s="103">
        <f>VLOOKUP($AF42,'US Grid mix, emissions&amp;prices'!$H$113:$I$163,2,FALSE)*AS$55</f>
        <v>219906.79131634312</v>
      </c>
      <c r="AT42" s="103">
        <f>VLOOKUP($AF42,'US Grid mix, emissions&amp;prices'!$H$113:$I$163,2,FALSE)*AT$55</f>
        <v>219906.79131634312</v>
      </c>
      <c r="AU42" s="103">
        <f>VLOOKUP($AF42,'US Grid mix, emissions&amp;prices'!$H$113:$I$163,2,FALSE)*AU$55</f>
        <v>219906.79131634312</v>
      </c>
      <c r="AV42" s="103">
        <f>VLOOKUP($AF42,'US Grid mix, emissions&amp;prices'!$H$113:$I$163,2,FALSE)*AV$55</f>
        <v>219906.79131634312</v>
      </c>
      <c r="AW42" s="103">
        <f>VLOOKUP($AF42,'US Grid mix, emissions&amp;prices'!$H$113:$I$163,2,FALSE)*AW$55</f>
        <v>219906.79131634312</v>
      </c>
      <c r="AX42" s="103">
        <f>VLOOKUP($AF42,'US Grid mix, emissions&amp;prices'!$H$113:$I$163,2,FALSE)*AX$55</f>
        <v>219906.79131634312</v>
      </c>
      <c r="AY42" s="103">
        <f>VLOOKUP($AF42,'US Grid mix, emissions&amp;prices'!$H$113:$I$163,2,FALSE)*AY$55</f>
        <v>219906.79131634312</v>
      </c>
      <c r="AZ42" s="103">
        <f>VLOOKUP($AF42,'US Grid mix, emissions&amp;prices'!$H$113:$I$163,2,FALSE)*AZ$55</f>
        <v>219906.79131634312</v>
      </c>
      <c r="BA42" s="103">
        <f>VLOOKUP($AF42,'US Grid mix, emissions&amp;prices'!$H$113:$I$163,2,FALSE)*BA$55</f>
        <v>219906.79131634312</v>
      </c>
      <c r="BB42" s="103">
        <f>VLOOKUP($AF42,'US Grid mix, emissions&amp;prices'!$H$113:$I$163,2,FALSE)*BB$55</f>
        <v>219906.79131634312</v>
      </c>
      <c r="BC42" s="103">
        <f>VLOOKUP($AF42,'US Grid mix, emissions&amp;prices'!$H$113:$I$163,2,FALSE)*BC$55</f>
        <v>219906.79131634312</v>
      </c>
      <c r="BD42" s="103">
        <f>VLOOKUP($AF42,'US Grid mix, emissions&amp;prices'!$H$113:$I$163,2,FALSE)*BD$55</f>
        <v>219906.79131634312</v>
      </c>
      <c r="BE42" s="103">
        <f>VLOOKUP($AF42,'US Grid mix, emissions&amp;prices'!$H$113:$I$163,2,FALSE)*BE$55</f>
        <v>219906.79131634312</v>
      </c>
      <c r="BF42" s="103">
        <f>VLOOKUP($AF42,'US Grid mix, emissions&amp;prices'!$H$113:$I$163,2,FALSE)*BF$55</f>
        <v>219906.79131634312</v>
      </c>
      <c r="BG42" s="103">
        <f>VLOOKUP($AF42,'US Grid mix, emissions&amp;prices'!$H$113:$I$163,2,FALSE)*BG$55</f>
        <v>219906.79131634312</v>
      </c>
      <c r="BH42" s="103">
        <f>VLOOKUP($AF42,'US Grid mix, emissions&amp;prices'!$H$113:$I$163,2,FALSE)*BH$55</f>
        <v>219906.79131634312</v>
      </c>
      <c r="BL42" s="123" t="s">
        <v>221</v>
      </c>
      <c r="BM42" s="103">
        <f>VLOOKUP($BL42,'US Grid mix, emissions&amp;prices'!$H$113:$I$163,2,FALSE)*BM$55</f>
        <v>163481.83893465679</v>
      </c>
      <c r="BN42" s="103">
        <f>VLOOKUP($BL42,'US Grid mix, emissions&amp;prices'!$H$113:$I$163,2,FALSE)*BN$55</f>
        <v>163481.83893465679</v>
      </c>
      <c r="BO42" s="103">
        <f>VLOOKUP($BL42,'US Grid mix, emissions&amp;prices'!$H$113:$I$163,2,FALSE)*BO$55</f>
        <v>163481.83893465679</v>
      </c>
      <c r="BP42" s="103">
        <f>VLOOKUP($BL42,'US Grid mix, emissions&amp;prices'!$H$113:$I$163,2,FALSE)*BP$55</f>
        <v>163481.83893465679</v>
      </c>
      <c r="BQ42" s="103">
        <f>VLOOKUP($BL42,'US Grid mix, emissions&amp;prices'!$H$113:$I$163,2,FALSE)*BQ$55</f>
        <v>163481.83893465679</v>
      </c>
      <c r="BR42" s="103">
        <f>VLOOKUP($BL42,'US Grid mix, emissions&amp;prices'!$H$113:$I$163,2,FALSE)*BR$55</f>
        <v>163481.83893465679</v>
      </c>
      <c r="BS42" s="103">
        <f>VLOOKUP($BL42,'US Grid mix, emissions&amp;prices'!$H$113:$I$163,2,FALSE)*BS$55</f>
        <v>163481.83893465679</v>
      </c>
      <c r="BT42" s="103">
        <f>VLOOKUP($BL42,'US Grid mix, emissions&amp;prices'!$H$113:$I$163,2,FALSE)*BT$55</f>
        <v>163481.83893465679</v>
      </c>
      <c r="BU42" s="103">
        <f>VLOOKUP($BL42,'US Grid mix, emissions&amp;prices'!$H$113:$I$163,2,FALSE)*BU$55</f>
        <v>163481.83893465679</v>
      </c>
      <c r="BV42" s="103">
        <f>VLOOKUP($BL42,'US Grid mix, emissions&amp;prices'!$H$113:$I$163,2,FALSE)*BV$55</f>
        <v>163481.83893465679</v>
      </c>
      <c r="BW42" s="103">
        <f>VLOOKUP($BL42,'US Grid mix, emissions&amp;prices'!$H$113:$I$163,2,FALSE)*BW$55</f>
        <v>163481.83893465679</v>
      </c>
      <c r="BX42" s="103">
        <f>VLOOKUP($BL42,'US Grid mix, emissions&amp;prices'!$H$113:$I$163,2,FALSE)*BX$55</f>
        <v>163481.83893465679</v>
      </c>
      <c r="BY42" s="103">
        <f>VLOOKUP($BL42,'US Grid mix, emissions&amp;prices'!$H$113:$I$163,2,FALSE)*BY$55</f>
        <v>163481.83893465679</v>
      </c>
      <c r="BZ42" s="103">
        <f>VLOOKUP($BL42,'US Grid mix, emissions&amp;prices'!$H$113:$I$163,2,FALSE)*BZ$55</f>
        <v>163481.83893465679</v>
      </c>
      <c r="CA42" s="103">
        <f>VLOOKUP($BL42,'US Grid mix, emissions&amp;prices'!$H$113:$I$163,2,FALSE)*CA$55</f>
        <v>163481.83893465679</v>
      </c>
      <c r="CB42" s="103">
        <f>VLOOKUP($BL42,'US Grid mix, emissions&amp;prices'!$H$113:$I$163,2,FALSE)*CB$55</f>
        <v>163481.83893465679</v>
      </c>
      <c r="CC42" s="103">
        <f>VLOOKUP($BL42,'US Grid mix, emissions&amp;prices'!$H$113:$I$163,2,FALSE)*CC$55</f>
        <v>163481.83893465679</v>
      </c>
      <c r="CD42" s="103">
        <f>VLOOKUP($BL42,'US Grid mix, emissions&amp;prices'!$H$113:$I$163,2,FALSE)*CD$55</f>
        <v>163481.83893465679</v>
      </c>
      <c r="CE42" s="103">
        <f>VLOOKUP($BL42,'US Grid mix, emissions&amp;prices'!$H$113:$I$163,2,FALSE)*CE$55</f>
        <v>163481.83893465679</v>
      </c>
      <c r="CF42" s="103">
        <f>VLOOKUP($BL42,'US Grid mix, emissions&amp;prices'!$H$113:$I$163,2,FALSE)*CF$55</f>
        <v>163481.83893465679</v>
      </c>
      <c r="CG42" s="103">
        <f>VLOOKUP($BL42,'US Grid mix, emissions&amp;prices'!$H$113:$I$163,2,FALSE)*CG$55</f>
        <v>163481.83893465679</v>
      </c>
      <c r="CH42" s="103">
        <f>VLOOKUP($BL42,'US Grid mix, emissions&amp;prices'!$H$113:$I$163,2,FALSE)*CH$55</f>
        <v>163481.83893465679</v>
      </c>
      <c r="CI42" s="103">
        <f>VLOOKUP($BL42,'US Grid mix, emissions&amp;prices'!$H$113:$I$163,2,FALSE)*CI$55</f>
        <v>163481.83893465679</v>
      </c>
      <c r="CJ42" s="103">
        <f>VLOOKUP($BL42,'US Grid mix, emissions&amp;prices'!$H$113:$I$163,2,FALSE)*CJ$55</f>
        <v>163481.83893465679</v>
      </c>
      <c r="CK42" s="103">
        <f>VLOOKUP($BL42,'US Grid mix, emissions&amp;prices'!$H$113:$I$163,2,FALSE)*CK$55</f>
        <v>163481.83893465679</v>
      </c>
      <c r="CL42" s="103">
        <f>VLOOKUP($BL42,'US Grid mix, emissions&amp;prices'!$H$113:$I$163,2,FALSE)*CL$55</f>
        <v>163481.83893465679</v>
      </c>
      <c r="CM42" s="103">
        <f>VLOOKUP($BL42,'US Grid mix, emissions&amp;prices'!$H$113:$I$163,2,FALSE)*CM$55</f>
        <v>163481.83893465679</v>
      </c>
      <c r="CN42" s="103">
        <f>VLOOKUP($BL42,'US Grid mix, emissions&amp;prices'!$H$113:$I$163,2,FALSE)*CN$55</f>
        <v>163481.83893465679</v>
      </c>
    </row>
    <row r="43" spans="1:92" x14ac:dyDescent="0.25">
      <c r="A43" s="123" t="s">
        <v>222</v>
      </c>
      <c r="B43" s="103">
        <f>VLOOKUP($A43,'US Grid mix, emissions&amp;prices'!$H$113:$I$163,2,FALSE)*B$55</f>
        <v>116445.29373232328</v>
      </c>
      <c r="C43" s="103">
        <f>VLOOKUP($A43,'US Grid mix, emissions&amp;prices'!$H$113:$I$163,2,FALSE)*C$55</f>
        <v>116445.29373232328</v>
      </c>
      <c r="D43" s="103">
        <f>VLOOKUP($A43,'US Grid mix, emissions&amp;prices'!$H$113:$I$163,2,FALSE)*D$55</f>
        <v>116445.29373232328</v>
      </c>
      <c r="E43" s="103">
        <f>VLOOKUP($A43,'US Grid mix, emissions&amp;prices'!$H$113:$I$163,2,FALSE)*E$55</f>
        <v>116445.29373232328</v>
      </c>
      <c r="F43" s="103">
        <f>VLOOKUP($A43,'US Grid mix, emissions&amp;prices'!$H$113:$I$163,2,FALSE)*F$55</f>
        <v>116445.29373232328</v>
      </c>
      <c r="G43" s="103">
        <f>VLOOKUP($A43,'US Grid mix, emissions&amp;prices'!$H$113:$I$163,2,FALSE)*G$55</f>
        <v>116445.29373232328</v>
      </c>
      <c r="H43" s="103">
        <f>VLOOKUP($A43,'US Grid mix, emissions&amp;prices'!$H$113:$I$163,2,FALSE)*H$55</f>
        <v>116445.29373232328</v>
      </c>
      <c r="I43" s="103">
        <f>VLOOKUP($A43,'US Grid mix, emissions&amp;prices'!$H$113:$I$163,2,FALSE)*I$55</f>
        <v>116445.29373232328</v>
      </c>
      <c r="J43" s="103">
        <f>VLOOKUP($A43,'US Grid mix, emissions&amp;prices'!$H$113:$I$163,2,FALSE)*J$55</f>
        <v>116445.29373232328</v>
      </c>
      <c r="K43" s="103">
        <f>VLOOKUP($A43,'US Grid mix, emissions&amp;prices'!$H$113:$I$163,2,FALSE)*K$55</f>
        <v>116445.29373232328</v>
      </c>
      <c r="L43" s="103">
        <f>VLOOKUP($A43,'US Grid mix, emissions&amp;prices'!$H$113:$I$163,2,FALSE)*L$55</f>
        <v>116445.29373232328</v>
      </c>
      <c r="M43" s="103">
        <f>VLOOKUP($A43,'US Grid mix, emissions&amp;prices'!$H$113:$I$163,2,FALSE)*M$55</f>
        <v>116445.29373232328</v>
      </c>
      <c r="N43" s="103">
        <f>VLOOKUP($A43,'US Grid mix, emissions&amp;prices'!$H$113:$I$163,2,FALSE)*N$55</f>
        <v>116445.29373232328</v>
      </c>
      <c r="O43" s="103">
        <f>VLOOKUP($A43,'US Grid mix, emissions&amp;prices'!$H$113:$I$163,2,FALSE)*O$55</f>
        <v>116445.29373232328</v>
      </c>
      <c r="P43" s="103">
        <f>VLOOKUP($A43,'US Grid mix, emissions&amp;prices'!$H$113:$I$163,2,FALSE)*P$55</f>
        <v>116445.29373232328</v>
      </c>
      <c r="Q43" s="103">
        <f>VLOOKUP($A43,'US Grid mix, emissions&amp;prices'!$H$113:$I$163,2,FALSE)*Q$55</f>
        <v>116445.29373232328</v>
      </c>
      <c r="R43" s="103">
        <f>VLOOKUP($A43,'US Grid mix, emissions&amp;prices'!$H$113:$I$163,2,FALSE)*R$55</f>
        <v>116445.29373232328</v>
      </c>
      <c r="S43" s="103">
        <f>VLOOKUP($A43,'US Grid mix, emissions&amp;prices'!$H$113:$I$163,2,FALSE)*S$55</f>
        <v>116445.29373232328</v>
      </c>
      <c r="T43" s="103">
        <f>VLOOKUP($A43,'US Grid mix, emissions&amp;prices'!$H$113:$I$163,2,FALSE)*T$55</f>
        <v>116445.29373232328</v>
      </c>
      <c r="U43" s="103">
        <f>VLOOKUP($A43,'US Grid mix, emissions&amp;prices'!$H$113:$I$163,2,FALSE)*U$55</f>
        <v>116445.29373232328</v>
      </c>
      <c r="V43" s="103">
        <f>VLOOKUP($A43,'US Grid mix, emissions&amp;prices'!$H$113:$I$163,2,FALSE)*V$55</f>
        <v>116445.29373232328</v>
      </c>
      <c r="W43" s="103">
        <f>VLOOKUP($A43,'US Grid mix, emissions&amp;prices'!$H$113:$I$163,2,FALSE)*W$55</f>
        <v>116445.29373232328</v>
      </c>
      <c r="X43" s="103">
        <f>VLOOKUP($A43,'US Grid mix, emissions&amp;prices'!$H$113:$I$163,2,FALSE)*X$55</f>
        <v>116445.29373232328</v>
      </c>
      <c r="Y43" s="103">
        <f>VLOOKUP($A43,'US Grid mix, emissions&amp;prices'!$H$113:$I$163,2,FALSE)*Y$55</f>
        <v>116445.29373232328</v>
      </c>
      <c r="Z43" s="103">
        <f>VLOOKUP($A43,'US Grid mix, emissions&amp;prices'!$H$113:$I$163,2,FALSE)*Z$55</f>
        <v>116445.29373232328</v>
      </c>
      <c r="AA43" s="103">
        <f>VLOOKUP($A43,'US Grid mix, emissions&amp;prices'!$H$113:$I$163,2,FALSE)*AA$55</f>
        <v>116445.29373232328</v>
      </c>
      <c r="AB43" s="103">
        <f>VLOOKUP($A43,'US Grid mix, emissions&amp;prices'!$H$113:$I$163,2,FALSE)*AB$55</f>
        <v>116445.29373232328</v>
      </c>
      <c r="AC43" s="103">
        <f>VLOOKUP($A43,'US Grid mix, emissions&amp;prices'!$H$113:$I$163,2,FALSE)*AC$55</f>
        <v>116445.29373232328</v>
      </c>
      <c r="AF43" s="123" t="s">
        <v>222</v>
      </c>
      <c r="AG43" s="103">
        <f>VLOOKUP($AF43,'US Grid mix, emissions&amp;prices'!$H$113:$I$163,2,FALSE)*AG$55</f>
        <v>136486.43943866031</v>
      </c>
      <c r="AH43" s="103">
        <f>VLOOKUP($AF43,'US Grid mix, emissions&amp;prices'!$H$113:$I$163,2,FALSE)*AH$55</f>
        <v>136486.43943866031</v>
      </c>
      <c r="AI43" s="103">
        <f>VLOOKUP($AF43,'US Grid mix, emissions&amp;prices'!$H$113:$I$163,2,FALSE)*AI$55</f>
        <v>136486.43943866031</v>
      </c>
      <c r="AJ43" s="103">
        <f>VLOOKUP($AF43,'US Grid mix, emissions&amp;prices'!$H$113:$I$163,2,FALSE)*AJ$55</f>
        <v>136486.43943866031</v>
      </c>
      <c r="AK43" s="103">
        <f>VLOOKUP($AF43,'US Grid mix, emissions&amp;prices'!$H$113:$I$163,2,FALSE)*AK$55</f>
        <v>136486.43943866031</v>
      </c>
      <c r="AL43" s="103">
        <f>VLOOKUP($AF43,'US Grid mix, emissions&amp;prices'!$H$113:$I$163,2,FALSE)*AL$55</f>
        <v>136486.43943866031</v>
      </c>
      <c r="AM43" s="103">
        <f>VLOOKUP($AF43,'US Grid mix, emissions&amp;prices'!$H$113:$I$163,2,FALSE)*AM$55</f>
        <v>136486.43943866031</v>
      </c>
      <c r="AN43" s="103">
        <f>VLOOKUP($AF43,'US Grid mix, emissions&amp;prices'!$H$113:$I$163,2,FALSE)*AN$55</f>
        <v>136486.43943866031</v>
      </c>
      <c r="AO43" s="103">
        <f>VLOOKUP($AF43,'US Grid mix, emissions&amp;prices'!$H$113:$I$163,2,FALSE)*AO$55</f>
        <v>136486.43943866031</v>
      </c>
      <c r="AP43" s="103">
        <f>VLOOKUP($AF43,'US Grid mix, emissions&amp;prices'!$H$113:$I$163,2,FALSE)*AP$55</f>
        <v>136486.43943866031</v>
      </c>
      <c r="AQ43" s="103">
        <f>VLOOKUP($AF43,'US Grid mix, emissions&amp;prices'!$H$113:$I$163,2,FALSE)*AQ$55</f>
        <v>136486.43943866031</v>
      </c>
      <c r="AR43" s="103">
        <f>VLOOKUP($AF43,'US Grid mix, emissions&amp;prices'!$H$113:$I$163,2,FALSE)*AR$55</f>
        <v>136486.43943866031</v>
      </c>
      <c r="AS43" s="103">
        <f>VLOOKUP($AF43,'US Grid mix, emissions&amp;prices'!$H$113:$I$163,2,FALSE)*AS$55</f>
        <v>136486.43943866031</v>
      </c>
      <c r="AT43" s="103">
        <f>VLOOKUP($AF43,'US Grid mix, emissions&amp;prices'!$H$113:$I$163,2,FALSE)*AT$55</f>
        <v>136486.43943866031</v>
      </c>
      <c r="AU43" s="103">
        <f>VLOOKUP($AF43,'US Grid mix, emissions&amp;prices'!$H$113:$I$163,2,FALSE)*AU$55</f>
        <v>136486.43943866031</v>
      </c>
      <c r="AV43" s="103">
        <f>VLOOKUP($AF43,'US Grid mix, emissions&amp;prices'!$H$113:$I$163,2,FALSE)*AV$55</f>
        <v>136486.43943866031</v>
      </c>
      <c r="AW43" s="103">
        <f>VLOOKUP($AF43,'US Grid mix, emissions&amp;prices'!$H$113:$I$163,2,FALSE)*AW$55</f>
        <v>136486.43943866031</v>
      </c>
      <c r="AX43" s="103">
        <f>VLOOKUP($AF43,'US Grid mix, emissions&amp;prices'!$H$113:$I$163,2,FALSE)*AX$55</f>
        <v>136486.43943866031</v>
      </c>
      <c r="AY43" s="103">
        <f>VLOOKUP($AF43,'US Grid mix, emissions&amp;prices'!$H$113:$I$163,2,FALSE)*AY$55</f>
        <v>136486.43943866031</v>
      </c>
      <c r="AZ43" s="103">
        <f>VLOOKUP($AF43,'US Grid mix, emissions&amp;prices'!$H$113:$I$163,2,FALSE)*AZ$55</f>
        <v>136486.43943866031</v>
      </c>
      <c r="BA43" s="103">
        <f>VLOOKUP($AF43,'US Grid mix, emissions&amp;prices'!$H$113:$I$163,2,FALSE)*BA$55</f>
        <v>136486.43943866031</v>
      </c>
      <c r="BB43" s="103">
        <f>VLOOKUP($AF43,'US Grid mix, emissions&amp;prices'!$H$113:$I$163,2,FALSE)*BB$55</f>
        <v>136486.43943866031</v>
      </c>
      <c r="BC43" s="103">
        <f>VLOOKUP($AF43,'US Grid mix, emissions&amp;prices'!$H$113:$I$163,2,FALSE)*BC$55</f>
        <v>136486.43943866031</v>
      </c>
      <c r="BD43" s="103">
        <f>VLOOKUP($AF43,'US Grid mix, emissions&amp;prices'!$H$113:$I$163,2,FALSE)*BD$55</f>
        <v>136486.43943866031</v>
      </c>
      <c r="BE43" s="103">
        <f>VLOOKUP($AF43,'US Grid mix, emissions&amp;prices'!$H$113:$I$163,2,FALSE)*BE$55</f>
        <v>136486.43943866031</v>
      </c>
      <c r="BF43" s="103">
        <f>VLOOKUP($AF43,'US Grid mix, emissions&amp;prices'!$H$113:$I$163,2,FALSE)*BF$55</f>
        <v>136486.43943866031</v>
      </c>
      <c r="BG43" s="103">
        <f>VLOOKUP($AF43,'US Grid mix, emissions&amp;prices'!$H$113:$I$163,2,FALSE)*BG$55</f>
        <v>136486.43943866031</v>
      </c>
      <c r="BH43" s="103">
        <f>VLOOKUP($AF43,'US Grid mix, emissions&amp;prices'!$H$113:$I$163,2,FALSE)*BH$55</f>
        <v>136486.43943866031</v>
      </c>
      <c r="BL43" s="123" t="s">
        <v>222</v>
      </c>
      <c r="BM43" s="103">
        <f>VLOOKUP($BL43,'US Grid mix, emissions&amp;prices'!$H$113:$I$163,2,FALSE)*BM$55</f>
        <v>101465.96189918388</v>
      </c>
      <c r="BN43" s="103">
        <f>VLOOKUP($BL43,'US Grid mix, emissions&amp;prices'!$H$113:$I$163,2,FALSE)*BN$55</f>
        <v>101465.96189918388</v>
      </c>
      <c r="BO43" s="103">
        <f>VLOOKUP($BL43,'US Grid mix, emissions&amp;prices'!$H$113:$I$163,2,FALSE)*BO$55</f>
        <v>101465.96189918388</v>
      </c>
      <c r="BP43" s="103">
        <f>VLOOKUP($BL43,'US Grid mix, emissions&amp;prices'!$H$113:$I$163,2,FALSE)*BP$55</f>
        <v>101465.96189918388</v>
      </c>
      <c r="BQ43" s="103">
        <f>VLOOKUP($BL43,'US Grid mix, emissions&amp;prices'!$H$113:$I$163,2,FALSE)*BQ$55</f>
        <v>101465.96189918388</v>
      </c>
      <c r="BR43" s="103">
        <f>VLOOKUP($BL43,'US Grid mix, emissions&amp;prices'!$H$113:$I$163,2,FALSE)*BR$55</f>
        <v>101465.96189918388</v>
      </c>
      <c r="BS43" s="103">
        <f>VLOOKUP($BL43,'US Grid mix, emissions&amp;prices'!$H$113:$I$163,2,FALSE)*BS$55</f>
        <v>101465.96189918388</v>
      </c>
      <c r="BT43" s="103">
        <f>VLOOKUP($BL43,'US Grid mix, emissions&amp;prices'!$H$113:$I$163,2,FALSE)*BT$55</f>
        <v>101465.96189918388</v>
      </c>
      <c r="BU43" s="103">
        <f>VLOOKUP($BL43,'US Grid mix, emissions&amp;prices'!$H$113:$I$163,2,FALSE)*BU$55</f>
        <v>101465.96189918388</v>
      </c>
      <c r="BV43" s="103">
        <f>VLOOKUP($BL43,'US Grid mix, emissions&amp;prices'!$H$113:$I$163,2,FALSE)*BV$55</f>
        <v>101465.96189918388</v>
      </c>
      <c r="BW43" s="103">
        <f>VLOOKUP($BL43,'US Grid mix, emissions&amp;prices'!$H$113:$I$163,2,FALSE)*BW$55</f>
        <v>101465.96189918388</v>
      </c>
      <c r="BX43" s="103">
        <f>VLOOKUP($BL43,'US Grid mix, emissions&amp;prices'!$H$113:$I$163,2,FALSE)*BX$55</f>
        <v>101465.96189918388</v>
      </c>
      <c r="BY43" s="103">
        <f>VLOOKUP($BL43,'US Grid mix, emissions&amp;prices'!$H$113:$I$163,2,FALSE)*BY$55</f>
        <v>101465.96189918388</v>
      </c>
      <c r="BZ43" s="103">
        <f>VLOOKUP($BL43,'US Grid mix, emissions&amp;prices'!$H$113:$I$163,2,FALSE)*BZ$55</f>
        <v>101465.96189918388</v>
      </c>
      <c r="CA43" s="103">
        <f>VLOOKUP($BL43,'US Grid mix, emissions&amp;prices'!$H$113:$I$163,2,FALSE)*CA$55</f>
        <v>101465.96189918388</v>
      </c>
      <c r="CB43" s="103">
        <f>VLOOKUP($BL43,'US Grid mix, emissions&amp;prices'!$H$113:$I$163,2,FALSE)*CB$55</f>
        <v>101465.96189918388</v>
      </c>
      <c r="CC43" s="103">
        <f>VLOOKUP($BL43,'US Grid mix, emissions&amp;prices'!$H$113:$I$163,2,FALSE)*CC$55</f>
        <v>101465.96189918388</v>
      </c>
      <c r="CD43" s="103">
        <f>VLOOKUP($BL43,'US Grid mix, emissions&amp;prices'!$H$113:$I$163,2,FALSE)*CD$55</f>
        <v>101465.96189918388</v>
      </c>
      <c r="CE43" s="103">
        <f>VLOOKUP($BL43,'US Grid mix, emissions&amp;prices'!$H$113:$I$163,2,FALSE)*CE$55</f>
        <v>101465.96189918388</v>
      </c>
      <c r="CF43" s="103">
        <f>VLOOKUP($BL43,'US Grid mix, emissions&amp;prices'!$H$113:$I$163,2,FALSE)*CF$55</f>
        <v>101465.96189918388</v>
      </c>
      <c r="CG43" s="103">
        <f>VLOOKUP($BL43,'US Grid mix, emissions&amp;prices'!$H$113:$I$163,2,FALSE)*CG$55</f>
        <v>101465.96189918388</v>
      </c>
      <c r="CH43" s="103">
        <f>VLOOKUP($BL43,'US Grid mix, emissions&amp;prices'!$H$113:$I$163,2,FALSE)*CH$55</f>
        <v>101465.96189918388</v>
      </c>
      <c r="CI43" s="103">
        <f>VLOOKUP($BL43,'US Grid mix, emissions&amp;prices'!$H$113:$I$163,2,FALSE)*CI$55</f>
        <v>101465.96189918388</v>
      </c>
      <c r="CJ43" s="103">
        <f>VLOOKUP($BL43,'US Grid mix, emissions&amp;prices'!$H$113:$I$163,2,FALSE)*CJ$55</f>
        <v>101465.96189918388</v>
      </c>
      <c r="CK43" s="103">
        <f>VLOOKUP($BL43,'US Grid mix, emissions&amp;prices'!$H$113:$I$163,2,FALSE)*CK$55</f>
        <v>101465.96189918388</v>
      </c>
      <c r="CL43" s="103">
        <f>VLOOKUP($BL43,'US Grid mix, emissions&amp;prices'!$H$113:$I$163,2,FALSE)*CL$55</f>
        <v>101465.96189918388</v>
      </c>
      <c r="CM43" s="103">
        <f>VLOOKUP($BL43,'US Grid mix, emissions&amp;prices'!$H$113:$I$163,2,FALSE)*CM$55</f>
        <v>101465.96189918388</v>
      </c>
      <c r="CN43" s="103">
        <f>VLOOKUP($BL43,'US Grid mix, emissions&amp;prices'!$H$113:$I$163,2,FALSE)*CN$55</f>
        <v>101465.96189918388</v>
      </c>
    </row>
    <row r="44" spans="1:92" x14ac:dyDescent="0.25">
      <c r="A44" s="123" t="s">
        <v>223</v>
      </c>
      <c r="B44" s="103">
        <f>VLOOKUP($A44,'US Grid mix, emissions&amp;prices'!$H$113:$I$163,2,FALSE)*B$55</f>
        <v>71982.59507864459</v>
      </c>
      <c r="C44" s="103">
        <f>VLOOKUP($A44,'US Grid mix, emissions&amp;prices'!$H$113:$I$163,2,FALSE)*C$55</f>
        <v>71982.59507864459</v>
      </c>
      <c r="D44" s="103">
        <f>VLOOKUP($A44,'US Grid mix, emissions&amp;prices'!$H$113:$I$163,2,FALSE)*D$55</f>
        <v>71982.59507864459</v>
      </c>
      <c r="E44" s="103">
        <f>VLOOKUP($A44,'US Grid mix, emissions&amp;prices'!$H$113:$I$163,2,FALSE)*E$55</f>
        <v>71982.59507864459</v>
      </c>
      <c r="F44" s="103">
        <f>VLOOKUP($A44,'US Grid mix, emissions&amp;prices'!$H$113:$I$163,2,FALSE)*F$55</f>
        <v>71982.59507864459</v>
      </c>
      <c r="G44" s="103">
        <f>VLOOKUP($A44,'US Grid mix, emissions&amp;prices'!$H$113:$I$163,2,FALSE)*G$55</f>
        <v>71982.59507864459</v>
      </c>
      <c r="H44" s="103">
        <f>VLOOKUP($A44,'US Grid mix, emissions&amp;prices'!$H$113:$I$163,2,FALSE)*H$55</f>
        <v>71982.59507864459</v>
      </c>
      <c r="I44" s="103">
        <f>VLOOKUP($A44,'US Grid mix, emissions&amp;prices'!$H$113:$I$163,2,FALSE)*I$55</f>
        <v>71982.59507864459</v>
      </c>
      <c r="J44" s="103">
        <f>VLOOKUP($A44,'US Grid mix, emissions&amp;prices'!$H$113:$I$163,2,FALSE)*J$55</f>
        <v>71982.59507864459</v>
      </c>
      <c r="K44" s="103">
        <f>VLOOKUP($A44,'US Grid mix, emissions&amp;prices'!$H$113:$I$163,2,FALSE)*K$55</f>
        <v>71982.59507864459</v>
      </c>
      <c r="L44" s="103">
        <f>VLOOKUP($A44,'US Grid mix, emissions&amp;prices'!$H$113:$I$163,2,FALSE)*L$55</f>
        <v>71982.59507864459</v>
      </c>
      <c r="M44" s="103">
        <f>VLOOKUP($A44,'US Grid mix, emissions&amp;prices'!$H$113:$I$163,2,FALSE)*M$55</f>
        <v>71982.59507864459</v>
      </c>
      <c r="N44" s="103">
        <f>VLOOKUP($A44,'US Grid mix, emissions&amp;prices'!$H$113:$I$163,2,FALSE)*N$55</f>
        <v>71982.59507864459</v>
      </c>
      <c r="O44" s="103">
        <f>VLOOKUP($A44,'US Grid mix, emissions&amp;prices'!$H$113:$I$163,2,FALSE)*O$55</f>
        <v>71982.59507864459</v>
      </c>
      <c r="P44" s="103">
        <f>VLOOKUP($A44,'US Grid mix, emissions&amp;prices'!$H$113:$I$163,2,FALSE)*P$55</f>
        <v>71982.59507864459</v>
      </c>
      <c r="Q44" s="103">
        <f>VLOOKUP($A44,'US Grid mix, emissions&amp;prices'!$H$113:$I$163,2,FALSE)*Q$55</f>
        <v>71982.59507864459</v>
      </c>
      <c r="R44" s="103">
        <f>VLOOKUP($A44,'US Grid mix, emissions&amp;prices'!$H$113:$I$163,2,FALSE)*R$55</f>
        <v>71982.59507864459</v>
      </c>
      <c r="S44" s="103">
        <f>VLOOKUP($A44,'US Grid mix, emissions&amp;prices'!$H$113:$I$163,2,FALSE)*S$55</f>
        <v>71982.59507864459</v>
      </c>
      <c r="T44" s="103">
        <f>VLOOKUP($A44,'US Grid mix, emissions&amp;prices'!$H$113:$I$163,2,FALSE)*T$55</f>
        <v>71982.59507864459</v>
      </c>
      <c r="U44" s="103">
        <f>VLOOKUP($A44,'US Grid mix, emissions&amp;prices'!$H$113:$I$163,2,FALSE)*U$55</f>
        <v>71982.59507864459</v>
      </c>
      <c r="V44" s="103">
        <f>VLOOKUP($A44,'US Grid mix, emissions&amp;prices'!$H$113:$I$163,2,FALSE)*V$55</f>
        <v>71982.59507864459</v>
      </c>
      <c r="W44" s="103">
        <f>VLOOKUP($A44,'US Grid mix, emissions&amp;prices'!$H$113:$I$163,2,FALSE)*W$55</f>
        <v>71982.59507864459</v>
      </c>
      <c r="X44" s="103">
        <f>VLOOKUP($A44,'US Grid mix, emissions&amp;prices'!$H$113:$I$163,2,FALSE)*X$55</f>
        <v>71982.59507864459</v>
      </c>
      <c r="Y44" s="103">
        <f>VLOOKUP($A44,'US Grid mix, emissions&amp;prices'!$H$113:$I$163,2,FALSE)*Y$55</f>
        <v>71982.59507864459</v>
      </c>
      <c r="Z44" s="103">
        <f>VLOOKUP($A44,'US Grid mix, emissions&amp;prices'!$H$113:$I$163,2,FALSE)*Z$55</f>
        <v>71982.59507864459</v>
      </c>
      <c r="AA44" s="103">
        <f>VLOOKUP($A44,'US Grid mix, emissions&amp;prices'!$H$113:$I$163,2,FALSE)*AA$55</f>
        <v>71982.59507864459</v>
      </c>
      <c r="AB44" s="103">
        <f>VLOOKUP($A44,'US Grid mix, emissions&amp;prices'!$H$113:$I$163,2,FALSE)*AB$55</f>
        <v>71982.59507864459</v>
      </c>
      <c r="AC44" s="103">
        <f>VLOOKUP($A44,'US Grid mix, emissions&amp;prices'!$H$113:$I$163,2,FALSE)*AC$55</f>
        <v>71982.59507864459</v>
      </c>
      <c r="AF44" s="123" t="s">
        <v>223</v>
      </c>
      <c r="AG44" s="103">
        <f>VLOOKUP($AF44,'US Grid mix, emissions&amp;prices'!$H$113:$I$163,2,FALSE)*AG$55</f>
        <v>84371.362628216491</v>
      </c>
      <c r="AH44" s="103">
        <f>VLOOKUP($AF44,'US Grid mix, emissions&amp;prices'!$H$113:$I$163,2,FALSE)*AH$55</f>
        <v>84371.362628216491</v>
      </c>
      <c r="AI44" s="103">
        <f>VLOOKUP($AF44,'US Grid mix, emissions&amp;prices'!$H$113:$I$163,2,FALSE)*AI$55</f>
        <v>84371.362628216491</v>
      </c>
      <c r="AJ44" s="103">
        <f>VLOOKUP($AF44,'US Grid mix, emissions&amp;prices'!$H$113:$I$163,2,FALSE)*AJ$55</f>
        <v>84371.362628216491</v>
      </c>
      <c r="AK44" s="103">
        <f>VLOOKUP($AF44,'US Grid mix, emissions&amp;prices'!$H$113:$I$163,2,FALSE)*AK$55</f>
        <v>84371.362628216491</v>
      </c>
      <c r="AL44" s="103">
        <f>VLOOKUP($AF44,'US Grid mix, emissions&amp;prices'!$H$113:$I$163,2,FALSE)*AL$55</f>
        <v>84371.362628216491</v>
      </c>
      <c r="AM44" s="103">
        <f>VLOOKUP($AF44,'US Grid mix, emissions&amp;prices'!$H$113:$I$163,2,FALSE)*AM$55</f>
        <v>84371.362628216491</v>
      </c>
      <c r="AN44" s="103">
        <f>VLOOKUP($AF44,'US Grid mix, emissions&amp;prices'!$H$113:$I$163,2,FALSE)*AN$55</f>
        <v>84371.362628216491</v>
      </c>
      <c r="AO44" s="103">
        <f>VLOOKUP($AF44,'US Grid mix, emissions&amp;prices'!$H$113:$I$163,2,FALSE)*AO$55</f>
        <v>84371.362628216491</v>
      </c>
      <c r="AP44" s="103">
        <f>VLOOKUP($AF44,'US Grid mix, emissions&amp;prices'!$H$113:$I$163,2,FALSE)*AP$55</f>
        <v>84371.362628216491</v>
      </c>
      <c r="AQ44" s="103">
        <f>VLOOKUP($AF44,'US Grid mix, emissions&amp;prices'!$H$113:$I$163,2,FALSE)*AQ$55</f>
        <v>84371.362628216491</v>
      </c>
      <c r="AR44" s="103">
        <f>VLOOKUP($AF44,'US Grid mix, emissions&amp;prices'!$H$113:$I$163,2,FALSE)*AR$55</f>
        <v>84371.362628216491</v>
      </c>
      <c r="AS44" s="103">
        <f>VLOOKUP($AF44,'US Grid mix, emissions&amp;prices'!$H$113:$I$163,2,FALSE)*AS$55</f>
        <v>84371.362628216491</v>
      </c>
      <c r="AT44" s="103">
        <f>VLOOKUP($AF44,'US Grid mix, emissions&amp;prices'!$H$113:$I$163,2,FALSE)*AT$55</f>
        <v>84371.362628216491</v>
      </c>
      <c r="AU44" s="103">
        <f>VLOOKUP($AF44,'US Grid mix, emissions&amp;prices'!$H$113:$I$163,2,FALSE)*AU$55</f>
        <v>84371.362628216491</v>
      </c>
      <c r="AV44" s="103">
        <f>VLOOKUP($AF44,'US Grid mix, emissions&amp;prices'!$H$113:$I$163,2,FALSE)*AV$55</f>
        <v>84371.362628216491</v>
      </c>
      <c r="AW44" s="103">
        <f>VLOOKUP($AF44,'US Grid mix, emissions&amp;prices'!$H$113:$I$163,2,FALSE)*AW$55</f>
        <v>84371.362628216491</v>
      </c>
      <c r="AX44" s="103">
        <f>VLOOKUP($AF44,'US Grid mix, emissions&amp;prices'!$H$113:$I$163,2,FALSE)*AX$55</f>
        <v>84371.362628216491</v>
      </c>
      <c r="AY44" s="103">
        <f>VLOOKUP($AF44,'US Grid mix, emissions&amp;prices'!$H$113:$I$163,2,FALSE)*AY$55</f>
        <v>84371.362628216491</v>
      </c>
      <c r="AZ44" s="103">
        <f>VLOOKUP($AF44,'US Grid mix, emissions&amp;prices'!$H$113:$I$163,2,FALSE)*AZ$55</f>
        <v>84371.362628216491</v>
      </c>
      <c r="BA44" s="103">
        <f>VLOOKUP($AF44,'US Grid mix, emissions&amp;prices'!$H$113:$I$163,2,FALSE)*BA$55</f>
        <v>84371.362628216491</v>
      </c>
      <c r="BB44" s="103">
        <f>VLOOKUP($AF44,'US Grid mix, emissions&amp;prices'!$H$113:$I$163,2,FALSE)*BB$55</f>
        <v>84371.362628216491</v>
      </c>
      <c r="BC44" s="103">
        <f>VLOOKUP($AF44,'US Grid mix, emissions&amp;prices'!$H$113:$I$163,2,FALSE)*BC$55</f>
        <v>84371.362628216491</v>
      </c>
      <c r="BD44" s="103">
        <f>VLOOKUP($AF44,'US Grid mix, emissions&amp;prices'!$H$113:$I$163,2,FALSE)*BD$55</f>
        <v>84371.362628216491</v>
      </c>
      <c r="BE44" s="103">
        <f>VLOOKUP($AF44,'US Grid mix, emissions&amp;prices'!$H$113:$I$163,2,FALSE)*BE$55</f>
        <v>84371.362628216491</v>
      </c>
      <c r="BF44" s="103">
        <f>VLOOKUP($AF44,'US Grid mix, emissions&amp;prices'!$H$113:$I$163,2,FALSE)*BF$55</f>
        <v>84371.362628216491</v>
      </c>
      <c r="BG44" s="103">
        <f>VLOOKUP($AF44,'US Grid mix, emissions&amp;prices'!$H$113:$I$163,2,FALSE)*BG$55</f>
        <v>84371.362628216491</v>
      </c>
      <c r="BH44" s="103">
        <f>VLOOKUP($AF44,'US Grid mix, emissions&amp;prices'!$H$113:$I$163,2,FALSE)*BH$55</f>
        <v>84371.362628216491</v>
      </c>
      <c r="BL44" s="123" t="s">
        <v>223</v>
      </c>
      <c r="BM44" s="103">
        <f>VLOOKUP($BL44,'US Grid mix, emissions&amp;prices'!$H$113:$I$163,2,FALSE)*BM$55</f>
        <v>62722.871964611862</v>
      </c>
      <c r="BN44" s="103">
        <f>VLOOKUP($BL44,'US Grid mix, emissions&amp;prices'!$H$113:$I$163,2,FALSE)*BN$55</f>
        <v>62722.871964611862</v>
      </c>
      <c r="BO44" s="103">
        <f>VLOOKUP($BL44,'US Grid mix, emissions&amp;prices'!$H$113:$I$163,2,FALSE)*BO$55</f>
        <v>62722.871964611862</v>
      </c>
      <c r="BP44" s="103">
        <f>VLOOKUP($BL44,'US Grid mix, emissions&amp;prices'!$H$113:$I$163,2,FALSE)*BP$55</f>
        <v>62722.871964611862</v>
      </c>
      <c r="BQ44" s="103">
        <f>VLOOKUP($BL44,'US Grid mix, emissions&amp;prices'!$H$113:$I$163,2,FALSE)*BQ$55</f>
        <v>62722.871964611862</v>
      </c>
      <c r="BR44" s="103">
        <f>VLOOKUP($BL44,'US Grid mix, emissions&amp;prices'!$H$113:$I$163,2,FALSE)*BR$55</f>
        <v>62722.871964611862</v>
      </c>
      <c r="BS44" s="103">
        <f>VLOOKUP($BL44,'US Grid mix, emissions&amp;prices'!$H$113:$I$163,2,FALSE)*BS$55</f>
        <v>62722.871964611862</v>
      </c>
      <c r="BT44" s="103">
        <f>VLOOKUP($BL44,'US Grid mix, emissions&amp;prices'!$H$113:$I$163,2,FALSE)*BT$55</f>
        <v>62722.871964611862</v>
      </c>
      <c r="BU44" s="103">
        <f>VLOOKUP($BL44,'US Grid mix, emissions&amp;prices'!$H$113:$I$163,2,FALSE)*BU$55</f>
        <v>62722.871964611862</v>
      </c>
      <c r="BV44" s="103">
        <f>VLOOKUP($BL44,'US Grid mix, emissions&amp;prices'!$H$113:$I$163,2,FALSE)*BV$55</f>
        <v>62722.871964611862</v>
      </c>
      <c r="BW44" s="103">
        <f>VLOOKUP($BL44,'US Grid mix, emissions&amp;prices'!$H$113:$I$163,2,FALSE)*BW$55</f>
        <v>62722.871964611862</v>
      </c>
      <c r="BX44" s="103">
        <f>VLOOKUP($BL44,'US Grid mix, emissions&amp;prices'!$H$113:$I$163,2,FALSE)*BX$55</f>
        <v>62722.871964611862</v>
      </c>
      <c r="BY44" s="103">
        <f>VLOOKUP($BL44,'US Grid mix, emissions&amp;prices'!$H$113:$I$163,2,FALSE)*BY$55</f>
        <v>62722.871964611862</v>
      </c>
      <c r="BZ44" s="103">
        <f>VLOOKUP($BL44,'US Grid mix, emissions&amp;prices'!$H$113:$I$163,2,FALSE)*BZ$55</f>
        <v>62722.871964611862</v>
      </c>
      <c r="CA44" s="103">
        <f>VLOOKUP($BL44,'US Grid mix, emissions&amp;prices'!$H$113:$I$163,2,FALSE)*CA$55</f>
        <v>62722.871964611862</v>
      </c>
      <c r="CB44" s="103">
        <f>VLOOKUP($BL44,'US Grid mix, emissions&amp;prices'!$H$113:$I$163,2,FALSE)*CB$55</f>
        <v>62722.871964611862</v>
      </c>
      <c r="CC44" s="103">
        <f>VLOOKUP($BL44,'US Grid mix, emissions&amp;prices'!$H$113:$I$163,2,FALSE)*CC$55</f>
        <v>62722.871964611862</v>
      </c>
      <c r="CD44" s="103">
        <f>VLOOKUP($BL44,'US Grid mix, emissions&amp;prices'!$H$113:$I$163,2,FALSE)*CD$55</f>
        <v>62722.871964611862</v>
      </c>
      <c r="CE44" s="103">
        <f>VLOOKUP($BL44,'US Grid mix, emissions&amp;prices'!$H$113:$I$163,2,FALSE)*CE$55</f>
        <v>62722.871964611862</v>
      </c>
      <c r="CF44" s="103">
        <f>VLOOKUP($BL44,'US Grid mix, emissions&amp;prices'!$H$113:$I$163,2,FALSE)*CF$55</f>
        <v>62722.871964611862</v>
      </c>
      <c r="CG44" s="103">
        <f>VLOOKUP($BL44,'US Grid mix, emissions&amp;prices'!$H$113:$I$163,2,FALSE)*CG$55</f>
        <v>62722.871964611862</v>
      </c>
      <c r="CH44" s="103">
        <f>VLOOKUP($BL44,'US Grid mix, emissions&amp;prices'!$H$113:$I$163,2,FALSE)*CH$55</f>
        <v>62722.871964611862</v>
      </c>
      <c r="CI44" s="103">
        <f>VLOOKUP($BL44,'US Grid mix, emissions&amp;prices'!$H$113:$I$163,2,FALSE)*CI$55</f>
        <v>62722.871964611862</v>
      </c>
      <c r="CJ44" s="103">
        <f>VLOOKUP($BL44,'US Grid mix, emissions&amp;prices'!$H$113:$I$163,2,FALSE)*CJ$55</f>
        <v>62722.871964611862</v>
      </c>
      <c r="CK44" s="103">
        <f>VLOOKUP($BL44,'US Grid mix, emissions&amp;prices'!$H$113:$I$163,2,FALSE)*CK$55</f>
        <v>62722.871964611862</v>
      </c>
      <c r="CL44" s="103">
        <f>VLOOKUP($BL44,'US Grid mix, emissions&amp;prices'!$H$113:$I$163,2,FALSE)*CL$55</f>
        <v>62722.871964611862</v>
      </c>
      <c r="CM44" s="103">
        <f>VLOOKUP($BL44,'US Grid mix, emissions&amp;prices'!$H$113:$I$163,2,FALSE)*CM$55</f>
        <v>62722.871964611862</v>
      </c>
      <c r="CN44" s="103">
        <f>VLOOKUP($BL44,'US Grid mix, emissions&amp;prices'!$H$113:$I$163,2,FALSE)*CN$55</f>
        <v>62722.871964611862</v>
      </c>
    </row>
    <row r="45" spans="1:92" x14ac:dyDescent="0.25">
      <c r="A45" s="123" t="s">
        <v>224</v>
      </c>
      <c r="B45" s="103">
        <f>VLOOKUP($A45,'US Grid mix, emissions&amp;prices'!$H$113:$I$163,2,FALSE)*B$55</f>
        <v>125991.19118995692</v>
      </c>
      <c r="C45" s="103">
        <f>VLOOKUP($A45,'US Grid mix, emissions&amp;prices'!$H$113:$I$163,2,FALSE)*C$55</f>
        <v>125991.19118995692</v>
      </c>
      <c r="D45" s="103">
        <f>VLOOKUP($A45,'US Grid mix, emissions&amp;prices'!$H$113:$I$163,2,FALSE)*D$55</f>
        <v>125991.19118995692</v>
      </c>
      <c r="E45" s="103">
        <f>VLOOKUP($A45,'US Grid mix, emissions&amp;prices'!$H$113:$I$163,2,FALSE)*E$55</f>
        <v>125991.19118995692</v>
      </c>
      <c r="F45" s="103">
        <f>VLOOKUP($A45,'US Grid mix, emissions&amp;prices'!$H$113:$I$163,2,FALSE)*F$55</f>
        <v>125991.19118995692</v>
      </c>
      <c r="G45" s="103">
        <f>VLOOKUP($A45,'US Grid mix, emissions&amp;prices'!$H$113:$I$163,2,FALSE)*G$55</f>
        <v>125991.19118995692</v>
      </c>
      <c r="H45" s="103">
        <f>VLOOKUP($A45,'US Grid mix, emissions&amp;prices'!$H$113:$I$163,2,FALSE)*H$55</f>
        <v>125991.19118995692</v>
      </c>
      <c r="I45" s="103">
        <f>VLOOKUP($A45,'US Grid mix, emissions&amp;prices'!$H$113:$I$163,2,FALSE)*I$55</f>
        <v>125991.19118995692</v>
      </c>
      <c r="J45" s="103">
        <f>VLOOKUP($A45,'US Grid mix, emissions&amp;prices'!$H$113:$I$163,2,FALSE)*J$55</f>
        <v>125991.19118995692</v>
      </c>
      <c r="K45" s="103">
        <f>VLOOKUP($A45,'US Grid mix, emissions&amp;prices'!$H$113:$I$163,2,FALSE)*K$55</f>
        <v>125991.19118995692</v>
      </c>
      <c r="L45" s="103">
        <f>VLOOKUP($A45,'US Grid mix, emissions&amp;prices'!$H$113:$I$163,2,FALSE)*L$55</f>
        <v>125991.19118995692</v>
      </c>
      <c r="M45" s="103">
        <f>VLOOKUP($A45,'US Grid mix, emissions&amp;prices'!$H$113:$I$163,2,FALSE)*M$55</f>
        <v>125991.19118995692</v>
      </c>
      <c r="N45" s="103">
        <f>VLOOKUP($A45,'US Grid mix, emissions&amp;prices'!$H$113:$I$163,2,FALSE)*N$55</f>
        <v>125991.19118995692</v>
      </c>
      <c r="O45" s="103">
        <f>VLOOKUP($A45,'US Grid mix, emissions&amp;prices'!$H$113:$I$163,2,FALSE)*O$55</f>
        <v>125991.19118995692</v>
      </c>
      <c r="P45" s="103">
        <f>VLOOKUP($A45,'US Grid mix, emissions&amp;prices'!$H$113:$I$163,2,FALSE)*P$55</f>
        <v>125991.19118995692</v>
      </c>
      <c r="Q45" s="103">
        <f>VLOOKUP($A45,'US Grid mix, emissions&amp;prices'!$H$113:$I$163,2,FALSE)*Q$55</f>
        <v>125991.19118995692</v>
      </c>
      <c r="R45" s="103">
        <f>VLOOKUP($A45,'US Grid mix, emissions&amp;prices'!$H$113:$I$163,2,FALSE)*R$55</f>
        <v>125991.19118995692</v>
      </c>
      <c r="S45" s="103">
        <f>VLOOKUP($A45,'US Grid mix, emissions&amp;prices'!$H$113:$I$163,2,FALSE)*S$55</f>
        <v>125991.19118995692</v>
      </c>
      <c r="T45" s="103">
        <f>VLOOKUP($A45,'US Grid mix, emissions&amp;prices'!$H$113:$I$163,2,FALSE)*T$55</f>
        <v>125991.19118995692</v>
      </c>
      <c r="U45" s="103">
        <f>VLOOKUP($A45,'US Grid mix, emissions&amp;prices'!$H$113:$I$163,2,FALSE)*U$55</f>
        <v>125991.19118995692</v>
      </c>
      <c r="V45" s="103">
        <f>VLOOKUP($A45,'US Grid mix, emissions&amp;prices'!$H$113:$I$163,2,FALSE)*V$55</f>
        <v>125991.19118995692</v>
      </c>
      <c r="W45" s="103">
        <f>VLOOKUP($A45,'US Grid mix, emissions&amp;prices'!$H$113:$I$163,2,FALSE)*W$55</f>
        <v>125991.19118995692</v>
      </c>
      <c r="X45" s="103">
        <f>VLOOKUP($A45,'US Grid mix, emissions&amp;prices'!$H$113:$I$163,2,FALSE)*X$55</f>
        <v>125991.19118995692</v>
      </c>
      <c r="Y45" s="103">
        <f>VLOOKUP($A45,'US Grid mix, emissions&amp;prices'!$H$113:$I$163,2,FALSE)*Y$55</f>
        <v>125991.19118995692</v>
      </c>
      <c r="Z45" s="103">
        <f>VLOOKUP($A45,'US Grid mix, emissions&amp;prices'!$H$113:$I$163,2,FALSE)*Z$55</f>
        <v>125991.19118995692</v>
      </c>
      <c r="AA45" s="103">
        <f>VLOOKUP($A45,'US Grid mix, emissions&amp;prices'!$H$113:$I$163,2,FALSE)*AA$55</f>
        <v>125991.19118995692</v>
      </c>
      <c r="AB45" s="103">
        <f>VLOOKUP($A45,'US Grid mix, emissions&amp;prices'!$H$113:$I$163,2,FALSE)*AB$55</f>
        <v>125991.19118995692</v>
      </c>
      <c r="AC45" s="103">
        <f>VLOOKUP($A45,'US Grid mix, emissions&amp;prices'!$H$113:$I$163,2,FALSE)*AC$55</f>
        <v>125991.19118995692</v>
      </c>
      <c r="AF45" s="123" t="s">
        <v>224</v>
      </c>
      <c r="AG45" s="103">
        <f>VLOOKUP($AF45,'US Grid mix, emissions&amp;prices'!$H$113:$I$163,2,FALSE)*AG$55</f>
        <v>147675.26050199984</v>
      </c>
      <c r="AH45" s="103">
        <f>VLOOKUP($AF45,'US Grid mix, emissions&amp;prices'!$H$113:$I$163,2,FALSE)*AH$55</f>
        <v>147675.26050199984</v>
      </c>
      <c r="AI45" s="103">
        <f>VLOOKUP($AF45,'US Grid mix, emissions&amp;prices'!$H$113:$I$163,2,FALSE)*AI$55</f>
        <v>147675.26050199984</v>
      </c>
      <c r="AJ45" s="103">
        <f>VLOOKUP($AF45,'US Grid mix, emissions&amp;prices'!$H$113:$I$163,2,FALSE)*AJ$55</f>
        <v>147675.26050199984</v>
      </c>
      <c r="AK45" s="103">
        <f>VLOOKUP($AF45,'US Grid mix, emissions&amp;prices'!$H$113:$I$163,2,FALSE)*AK$55</f>
        <v>147675.26050199984</v>
      </c>
      <c r="AL45" s="103">
        <f>VLOOKUP($AF45,'US Grid mix, emissions&amp;prices'!$H$113:$I$163,2,FALSE)*AL$55</f>
        <v>147675.26050199984</v>
      </c>
      <c r="AM45" s="103">
        <f>VLOOKUP($AF45,'US Grid mix, emissions&amp;prices'!$H$113:$I$163,2,FALSE)*AM$55</f>
        <v>147675.26050199984</v>
      </c>
      <c r="AN45" s="103">
        <f>VLOOKUP($AF45,'US Grid mix, emissions&amp;prices'!$H$113:$I$163,2,FALSE)*AN$55</f>
        <v>147675.26050199984</v>
      </c>
      <c r="AO45" s="103">
        <f>VLOOKUP($AF45,'US Grid mix, emissions&amp;prices'!$H$113:$I$163,2,FALSE)*AO$55</f>
        <v>147675.26050199984</v>
      </c>
      <c r="AP45" s="103">
        <f>VLOOKUP($AF45,'US Grid mix, emissions&amp;prices'!$H$113:$I$163,2,FALSE)*AP$55</f>
        <v>147675.26050199984</v>
      </c>
      <c r="AQ45" s="103">
        <f>VLOOKUP($AF45,'US Grid mix, emissions&amp;prices'!$H$113:$I$163,2,FALSE)*AQ$55</f>
        <v>147675.26050199984</v>
      </c>
      <c r="AR45" s="103">
        <f>VLOOKUP($AF45,'US Grid mix, emissions&amp;prices'!$H$113:$I$163,2,FALSE)*AR$55</f>
        <v>147675.26050199984</v>
      </c>
      <c r="AS45" s="103">
        <f>VLOOKUP($AF45,'US Grid mix, emissions&amp;prices'!$H$113:$I$163,2,FALSE)*AS$55</f>
        <v>147675.26050199984</v>
      </c>
      <c r="AT45" s="103">
        <f>VLOOKUP($AF45,'US Grid mix, emissions&amp;prices'!$H$113:$I$163,2,FALSE)*AT$55</f>
        <v>147675.26050199984</v>
      </c>
      <c r="AU45" s="103">
        <f>VLOOKUP($AF45,'US Grid mix, emissions&amp;prices'!$H$113:$I$163,2,FALSE)*AU$55</f>
        <v>147675.26050199984</v>
      </c>
      <c r="AV45" s="103">
        <f>VLOOKUP($AF45,'US Grid mix, emissions&amp;prices'!$H$113:$I$163,2,FALSE)*AV$55</f>
        <v>147675.26050199984</v>
      </c>
      <c r="AW45" s="103">
        <f>VLOOKUP($AF45,'US Grid mix, emissions&amp;prices'!$H$113:$I$163,2,FALSE)*AW$55</f>
        <v>147675.26050199984</v>
      </c>
      <c r="AX45" s="103">
        <f>VLOOKUP($AF45,'US Grid mix, emissions&amp;prices'!$H$113:$I$163,2,FALSE)*AX$55</f>
        <v>147675.26050199984</v>
      </c>
      <c r="AY45" s="103">
        <f>VLOOKUP($AF45,'US Grid mix, emissions&amp;prices'!$H$113:$I$163,2,FALSE)*AY$55</f>
        <v>147675.26050199984</v>
      </c>
      <c r="AZ45" s="103">
        <f>VLOOKUP($AF45,'US Grid mix, emissions&amp;prices'!$H$113:$I$163,2,FALSE)*AZ$55</f>
        <v>147675.26050199984</v>
      </c>
      <c r="BA45" s="103">
        <f>VLOOKUP($AF45,'US Grid mix, emissions&amp;prices'!$H$113:$I$163,2,FALSE)*BA$55</f>
        <v>147675.26050199984</v>
      </c>
      <c r="BB45" s="103">
        <f>VLOOKUP($AF45,'US Grid mix, emissions&amp;prices'!$H$113:$I$163,2,FALSE)*BB$55</f>
        <v>147675.26050199984</v>
      </c>
      <c r="BC45" s="103">
        <f>VLOOKUP($AF45,'US Grid mix, emissions&amp;prices'!$H$113:$I$163,2,FALSE)*BC$55</f>
        <v>147675.26050199984</v>
      </c>
      <c r="BD45" s="103">
        <f>VLOOKUP($AF45,'US Grid mix, emissions&amp;prices'!$H$113:$I$163,2,FALSE)*BD$55</f>
        <v>147675.26050199984</v>
      </c>
      <c r="BE45" s="103">
        <f>VLOOKUP($AF45,'US Grid mix, emissions&amp;prices'!$H$113:$I$163,2,FALSE)*BE$55</f>
        <v>147675.26050199984</v>
      </c>
      <c r="BF45" s="103">
        <f>VLOOKUP($AF45,'US Grid mix, emissions&amp;prices'!$H$113:$I$163,2,FALSE)*BF$55</f>
        <v>147675.26050199984</v>
      </c>
      <c r="BG45" s="103">
        <f>VLOOKUP($AF45,'US Grid mix, emissions&amp;prices'!$H$113:$I$163,2,FALSE)*BG$55</f>
        <v>147675.26050199984</v>
      </c>
      <c r="BH45" s="103">
        <f>VLOOKUP($AF45,'US Grid mix, emissions&amp;prices'!$H$113:$I$163,2,FALSE)*BH$55</f>
        <v>147675.26050199984</v>
      </c>
      <c r="BL45" s="123" t="s">
        <v>224</v>
      </c>
      <c r="BM45" s="103">
        <f>VLOOKUP($BL45,'US Grid mix, emissions&amp;prices'!$H$113:$I$163,2,FALSE)*BM$55</f>
        <v>109783.89074529326</v>
      </c>
      <c r="BN45" s="103">
        <f>VLOOKUP($BL45,'US Grid mix, emissions&amp;prices'!$H$113:$I$163,2,FALSE)*BN$55</f>
        <v>109783.89074529326</v>
      </c>
      <c r="BO45" s="103">
        <f>VLOOKUP($BL45,'US Grid mix, emissions&amp;prices'!$H$113:$I$163,2,FALSE)*BO$55</f>
        <v>109783.89074529326</v>
      </c>
      <c r="BP45" s="103">
        <f>VLOOKUP($BL45,'US Grid mix, emissions&amp;prices'!$H$113:$I$163,2,FALSE)*BP$55</f>
        <v>109783.89074529326</v>
      </c>
      <c r="BQ45" s="103">
        <f>VLOOKUP($BL45,'US Grid mix, emissions&amp;prices'!$H$113:$I$163,2,FALSE)*BQ$55</f>
        <v>109783.89074529326</v>
      </c>
      <c r="BR45" s="103">
        <f>VLOOKUP($BL45,'US Grid mix, emissions&amp;prices'!$H$113:$I$163,2,FALSE)*BR$55</f>
        <v>109783.89074529326</v>
      </c>
      <c r="BS45" s="103">
        <f>VLOOKUP($BL45,'US Grid mix, emissions&amp;prices'!$H$113:$I$163,2,FALSE)*BS$55</f>
        <v>109783.89074529326</v>
      </c>
      <c r="BT45" s="103">
        <f>VLOOKUP($BL45,'US Grid mix, emissions&amp;prices'!$H$113:$I$163,2,FALSE)*BT$55</f>
        <v>109783.89074529326</v>
      </c>
      <c r="BU45" s="103">
        <f>VLOOKUP($BL45,'US Grid mix, emissions&amp;prices'!$H$113:$I$163,2,FALSE)*BU$55</f>
        <v>109783.89074529326</v>
      </c>
      <c r="BV45" s="103">
        <f>VLOOKUP($BL45,'US Grid mix, emissions&amp;prices'!$H$113:$I$163,2,FALSE)*BV$55</f>
        <v>109783.89074529326</v>
      </c>
      <c r="BW45" s="103">
        <f>VLOOKUP($BL45,'US Grid mix, emissions&amp;prices'!$H$113:$I$163,2,FALSE)*BW$55</f>
        <v>109783.89074529326</v>
      </c>
      <c r="BX45" s="103">
        <f>VLOOKUP($BL45,'US Grid mix, emissions&amp;prices'!$H$113:$I$163,2,FALSE)*BX$55</f>
        <v>109783.89074529326</v>
      </c>
      <c r="BY45" s="103">
        <f>VLOOKUP($BL45,'US Grid mix, emissions&amp;prices'!$H$113:$I$163,2,FALSE)*BY$55</f>
        <v>109783.89074529326</v>
      </c>
      <c r="BZ45" s="103">
        <f>VLOOKUP($BL45,'US Grid mix, emissions&amp;prices'!$H$113:$I$163,2,FALSE)*BZ$55</f>
        <v>109783.89074529326</v>
      </c>
      <c r="CA45" s="103">
        <f>VLOOKUP($BL45,'US Grid mix, emissions&amp;prices'!$H$113:$I$163,2,FALSE)*CA$55</f>
        <v>109783.89074529326</v>
      </c>
      <c r="CB45" s="103">
        <f>VLOOKUP($BL45,'US Grid mix, emissions&amp;prices'!$H$113:$I$163,2,FALSE)*CB$55</f>
        <v>109783.89074529326</v>
      </c>
      <c r="CC45" s="103">
        <f>VLOOKUP($BL45,'US Grid mix, emissions&amp;prices'!$H$113:$I$163,2,FALSE)*CC$55</f>
        <v>109783.89074529326</v>
      </c>
      <c r="CD45" s="103">
        <f>VLOOKUP($BL45,'US Grid mix, emissions&amp;prices'!$H$113:$I$163,2,FALSE)*CD$55</f>
        <v>109783.89074529326</v>
      </c>
      <c r="CE45" s="103">
        <f>VLOOKUP($BL45,'US Grid mix, emissions&amp;prices'!$H$113:$I$163,2,FALSE)*CE$55</f>
        <v>109783.89074529326</v>
      </c>
      <c r="CF45" s="103">
        <f>VLOOKUP($BL45,'US Grid mix, emissions&amp;prices'!$H$113:$I$163,2,FALSE)*CF$55</f>
        <v>109783.89074529326</v>
      </c>
      <c r="CG45" s="103">
        <f>VLOOKUP($BL45,'US Grid mix, emissions&amp;prices'!$H$113:$I$163,2,FALSE)*CG$55</f>
        <v>109783.89074529326</v>
      </c>
      <c r="CH45" s="103">
        <f>VLOOKUP($BL45,'US Grid mix, emissions&amp;prices'!$H$113:$I$163,2,FALSE)*CH$55</f>
        <v>109783.89074529326</v>
      </c>
      <c r="CI45" s="103">
        <f>VLOOKUP($BL45,'US Grid mix, emissions&amp;prices'!$H$113:$I$163,2,FALSE)*CI$55</f>
        <v>109783.89074529326</v>
      </c>
      <c r="CJ45" s="103">
        <f>VLOOKUP($BL45,'US Grid mix, emissions&amp;prices'!$H$113:$I$163,2,FALSE)*CJ$55</f>
        <v>109783.89074529326</v>
      </c>
      <c r="CK45" s="103">
        <f>VLOOKUP($BL45,'US Grid mix, emissions&amp;prices'!$H$113:$I$163,2,FALSE)*CK$55</f>
        <v>109783.89074529326</v>
      </c>
      <c r="CL45" s="103">
        <f>VLOOKUP($BL45,'US Grid mix, emissions&amp;prices'!$H$113:$I$163,2,FALSE)*CL$55</f>
        <v>109783.89074529326</v>
      </c>
      <c r="CM45" s="103">
        <f>VLOOKUP($BL45,'US Grid mix, emissions&amp;prices'!$H$113:$I$163,2,FALSE)*CM$55</f>
        <v>109783.89074529326</v>
      </c>
      <c r="CN45" s="103">
        <f>VLOOKUP($BL45,'US Grid mix, emissions&amp;prices'!$H$113:$I$163,2,FALSE)*CN$55</f>
        <v>109783.89074529326</v>
      </c>
    </row>
    <row r="46" spans="1:92" x14ac:dyDescent="0.25">
      <c r="A46" s="123" t="s">
        <v>225</v>
      </c>
      <c r="B46" s="103">
        <f>VLOOKUP($A46,'US Grid mix, emissions&amp;prices'!$H$113:$I$163,2,FALSE)*B$55</f>
        <v>161258.3861098481</v>
      </c>
      <c r="C46" s="103">
        <f>VLOOKUP($A46,'US Grid mix, emissions&amp;prices'!$H$113:$I$163,2,FALSE)*C$55</f>
        <v>161258.3861098481</v>
      </c>
      <c r="D46" s="103">
        <f>VLOOKUP($A46,'US Grid mix, emissions&amp;prices'!$H$113:$I$163,2,FALSE)*D$55</f>
        <v>161258.3861098481</v>
      </c>
      <c r="E46" s="103">
        <f>VLOOKUP($A46,'US Grid mix, emissions&amp;prices'!$H$113:$I$163,2,FALSE)*E$55</f>
        <v>161258.3861098481</v>
      </c>
      <c r="F46" s="103">
        <f>VLOOKUP($A46,'US Grid mix, emissions&amp;prices'!$H$113:$I$163,2,FALSE)*F$55</f>
        <v>161258.3861098481</v>
      </c>
      <c r="G46" s="103">
        <f>VLOOKUP($A46,'US Grid mix, emissions&amp;prices'!$H$113:$I$163,2,FALSE)*G$55</f>
        <v>161258.3861098481</v>
      </c>
      <c r="H46" s="103">
        <f>VLOOKUP($A46,'US Grid mix, emissions&amp;prices'!$H$113:$I$163,2,FALSE)*H$55</f>
        <v>161258.3861098481</v>
      </c>
      <c r="I46" s="103">
        <f>VLOOKUP($A46,'US Grid mix, emissions&amp;prices'!$H$113:$I$163,2,FALSE)*I$55</f>
        <v>161258.3861098481</v>
      </c>
      <c r="J46" s="103">
        <f>VLOOKUP($A46,'US Grid mix, emissions&amp;prices'!$H$113:$I$163,2,FALSE)*J$55</f>
        <v>161258.3861098481</v>
      </c>
      <c r="K46" s="103">
        <f>VLOOKUP($A46,'US Grid mix, emissions&amp;prices'!$H$113:$I$163,2,FALSE)*K$55</f>
        <v>161258.3861098481</v>
      </c>
      <c r="L46" s="103">
        <f>VLOOKUP($A46,'US Grid mix, emissions&amp;prices'!$H$113:$I$163,2,FALSE)*L$55</f>
        <v>161258.3861098481</v>
      </c>
      <c r="M46" s="103">
        <f>VLOOKUP($A46,'US Grid mix, emissions&amp;prices'!$H$113:$I$163,2,FALSE)*M$55</f>
        <v>161258.3861098481</v>
      </c>
      <c r="N46" s="103">
        <f>VLOOKUP($A46,'US Grid mix, emissions&amp;prices'!$H$113:$I$163,2,FALSE)*N$55</f>
        <v>161258.3861098481</v>
      </c>
      <c r="O46" s="103">
        <f>VLOOKUP($A46,'US Grid mix, emissions&amp;prices'!$H$113:$I$163,2,FALSE)*O$55</f>
        <v>161258.3861098481</v>
      </c>
      <c r="P46" s="103">
        <f>VLOOKUP($A46,'US Grid mix, emissions&amp;prices'!$H$113:$I$163,2,FALSE)*P$55</f>
        <v>161258.3861098481</v>
      </c>
      <c r="Q46" s="103">
        <f>VLOOKUP($A46,'US Grid mix, emissions&amp;prices'!$H$113:$I$163,2,FALSE)*Q$55</f>
        <v>161258.3861098481</v>
      </c>
      <c r="R46" s="103">
        <f>VLOOKUP($A46,'US Grid mix, emissions&amp;prices'!$H$113:$I$163,2,FALSE)*R$55</f>
        <v>161258.3861098481</v>
      </c>
      <c r="S46" s="103">
        <f>VLOOKUP($A46,'US Grid mix, emissions&amp;prices'!$H$113:$I$163,2,FALSE)*S$55</f>
        <v>161258.3861098481</v>
      </c>
      <c r="T46" s="103">
        <f>VLOOKUP($A46,'US Grid mix, emissions&amp;prices'!$H$113:$I$163,2,FALSE)*T$55</f>
        <v>161258.3861098481</v>
      </c>
      <c r="U46" s="103">
        <f>VLOOKUP($A46,'US Grid mix, emissions&amp;prices'!$H$113:$I$163,2,FALSE)*U$55</f>
        <v>161258.3861098481</v>
      </c>
      <c r="V46" s="103">
        <f>VLOOKUP($A46,'US Grid mix, emissions&amp;prices'!$H$113:$I$163,2,FALSE)*V$55</f>
        <v>161258.3861098481</v>
      </c>
      <c r="W46" s="103">
        <f>VLOOKUP($A46,'US Grid mix, emissions&amp;prices'!$H$113:$I$163,2,FALSE)*W$55</f>
        <v>161258.3861098481</v>
      </c>
      <c r="X46" s="103">
        <f>VLOOKUP($A46,'US Grid mix, emissions&amp;prices'!$H$113:$I$163,2,FALSE)*X$55</f>
        <v>161258.3861098481</v>
      </c>
      <c r="Y46" s="103">
        <f>VLOOKUP($A46,'US Grid mix, emissions&amp;prices'!$H$113:$I$163,2,FALSE)*Y$55</f>
        <v>161258.3861098481</v>
      </c>
      <c r="Z46" s="103">
        <f>VLOOKUP($A46,'US Grid mix, emissions&amp;prices'!$H$113:$I$163,2,FALSE)*Z$55</f>
        <v>161258.3861098481</v>
      </c>
      <c r="AA46" s="103">
        <f>VLOOKUP($A46,'US Grid mix, emissions&amp;prices'!$H$113:$I$163,2,FALSE)*AA$55</f>
        <v>161258.3861098481</v>
      </c>
      <c r="AB46" s="103">
        <f>VLOOKUP($A46,'US Grid mix, emissions&amp;prices'!$H$113:$I$163,2,FALSE)*AB$55</f>
        <v>161258.3861098481</v>
      </c>
      <c r="AC46" s="103">
        <f>VLOOKUP($A46,'US Grid mix, emissions&amp;prices'!$H$113:$I$163,2,FALSE)*AC$55</f>
        <v>161258.3861098481</v>
      </c>
      <c r="AF46" s="123" t="s">
        <v>225</v>
      </c>
      <c r="AG46" s="103">
        <f>VLOOKUP($AF46,'US Grid mix, emissions&amp;prices'!$H$113:$I$163,2,FALSE)*AG$55</f>
        <v>189012.21547306201</v>
      </c>
      <c r="AH46" s="103">
        <f>VLOOKUP($AF46,'US Grid mix, emissions&amp;prices'!$H$113:$I$163,2,FALSE)*AH$55</f>
        <v>189012.21547306201</v>
      </c>
      <c r="AI46" s="103">
        <f>VLOOKUP($AF46,'US Grid mix, emissions&amp;prices'!$H$113:$I$163,2,FALSE)*AI$55</f>
        <v>189012.21547306201</v>
      </c>
      <c r="AJ46" s="103">
        <f>VLOOKUP($AF46,'US Grid mix, emissions&amp;prices'!$H$113:$I$163,2,FALSE)*AJ$55</f>
        <v>189012.21547306201</v>
      </c>
      <c r="AK46" s="103">
        <f>VLOOKUP($AF46,'US Grid mix, emissions&amp;prices'!$H$113:$I$163,2,FALSE)*AK$55</f>
        <v>189012.21547306201</v>
      </c>
      <c r="AL46" s="103">
        <f>VLOOKUP($AF46,'US Grid mix, emissions&amp;prices'!$H$113:$I$163,2,FALSE)*AL$55</f>
        <v>189012.21547306201</v>
      </c>
      <c r="AM46" s="103">
        <f>VLOOKUP($AF46,'US Grid mix, emissions&amp;prices'!$H$113:$I$163,2,FALSE)*AM$55</f>
        <v>189012.21547306201</v>
      </c>
      <c r="AN46" s="103">
        <f>VLOOKUP($AF46,'US Grid mix, emissions&amp;prices'!$H$113:$I$163,2,FALSE)*AN$55</f>
        <v>189012.21547306201</v>
      </c>
      <c r="AO46" s="103">
        <f>VLOOKUP($AF46,'US Grid mix, emissions&amp;prices'!$H$113:$I$163,2,FALSE)*AO$55</f>
        <v>189012.21547306201</v>
      </c>
      <c r="AP46" s="103">
        <f>VLOOKUP($AF46,'US Grid mix, emissions&amp;prices'!$H$113:$I$163,2,FALSE)*AP$55</f>
        <v>189012.21547306201</v>
      </c>
      <c r="AQ46" s="103">
        <f>VLOOKUP($AF46,'US Grid mix, emissions&amp;prices'!$H$113:$I$163,2,FALSE)*AQ$55</f>
        <v>189012.21547306201</v>
      </c>
      <c r="AR46" s="103">
        <f>VLOOKUP($AF46,'US Grid mix, emissions&amp;prices'!$H$113:$I$163,2,FALSE)*AR$55</f>
        <v>189012.21547306201</v>
      </c>
      <c r="AS46" s="103">
        <f>VLOOKUP($AF46,'US Grid mix, emissions&amp;prices'!$H$113:$I$163,2,FALSE)*AS$55</f>
        <v>189012.21547306201</v>
      </c>
      <c r="AT46" s="103">
        <f>VLOOKUP($AF46,'US Grid mix, emissions&amp;prices'!$H$113:$I$163,2,FALSE)*AT$55</f>
        <v>189012.21547306201</v>
      </c>
      <c r="AU46" s="103">
        <f>VLOOKUP($AF46,'US Grid mix, emissions&amp;prices'!$H$113:$I$163,2,FALSE)*AU$55</f>
        <v>189012.21547306201</v>
      </c>
      <c r="AV46" s="103">
        <f>VLOOKUP($AF46,'US Grid mix, emissions&amp;prices'!$H$113:$I$163,2,FALSE)*AV$55</f>
        <v>189012.21547306201</v>
      </c>
      <c r="AW46" s="103">
        <f>VLOOKUP($AF46,'US Grid mix, emissions&amp;prices'!$H$113:$I$163,2,FALSE)*AW$55</f>
        <v>189012.21547306201</v>
      </c>
      <c r="AX46" s="103">
        <f>VLOOKUP($AF46,'US Grid mix, emissions&amp;prices'!$H$113:$I$163,2,FALSE)*AX$55</f>
        <v>189012.21547306201</v>
      </c>
      <c r="AY46" s="103">
        <f>VLOOKUP($AF46,'US Grid mix, emissions&amp;prices'!$H$113:$I$163,2,FALSE)*AY$55</f>
        <v>189012.21547306201</v>
      </c>
      <c r="AZ46" s="103">
        <f>VLOOKUP($AF46,'US Grid mix, emissions&amp;prices'!$H$113:$I$163,2,FALSE)*AZ$55</f>
        <v>189012.21547306201</v>
      </c>
      <c r="BA46" s="103">
        <f>VLOOKUP($AF46,'US Grid mix, emissions&amp;prices'!$H$113:$I$163,2,FALSE)*BA$55</f>
        <v>189012.21547306201</v>
      </c>
      <c r="BB46" s="103">
        <f>VLOOKUP($AF46,'US Grid mix, emissions&amp;prices'!$H$113:$I$163,2,FALSE)*BB$55</f>
        <v>189012.21547306201</v>
      </c>
      <c r="BC46" s="103">
        <f>VLOOKUP($AF46,'US Grid mix, emissions&amp;prices'!$H$113:$I$163,2,FALSE)*BC$55</f>
        <v>189012.21547306201</v>
      </c>
      <c r="BD46" s="103">
        <f>VLOOKUP($AF46,'US Grid mix, emissions&amp;prices'!$H$113:$I$163,2,FALSE)*BD$55</f>
        <v>189012.21547306201</v>
      </c>
      <c r="BE46" s="103">
        <f>VLOOKUP($AF46,'US Grid mix, emissions&amp;prices'!$H$113:$I$163,2,FALSE)*BE$55</f>
        <v>189012.21547306201</v>
      </c>
      <c r="BF46" s="103">
        <f>VLOOKUP($AF46,'US Grid mix, emissions&amp;prices'!$H$113:$I$163,2,FALSE)*BF$55</f>
        <v>189012.21547306201</v>
      </c>
      <c r="BG46" s="103">
        <f>VLOOKUP($AF46,'US Grid mix, emissions&amp;prices'!$H$113:$I$163,2,FALSE)*BG$55</f>
        <v>189012.21547306201</v>
      </c>
      <c r="BH46" s="103">
        <f>VLOOKUP($AF46,'US Grid mix, emissions&amp;prices'!$H$113:$I$163,2,FALSE)*BH$55</f>
        <v>189012.21547306201</v>
      </c>
      <c r="BL46" s="123" t="s">
        <v>225</v>
      </c>
      <c r="BM46" s="103">
        <f>VLOOKUP($BL46,'US Grid mix, emissions&amp;prices'!$H$113:$I$163,2,FALSE)*BM$55</f>
        <v>140514.37148295713</v>
      </c>
      <c r="BN46" s="103">
        <f>VLOOKUP($BL46,'US Grid mix, emissions&amp;prices'!$H$113:$I$163,2,FALSE)*BN$55</f>
        <v>140514.37148295713</v>
      </c>
      <c r="BO46" s="103">
        <f>VLOOKUP($BL46,'US Grid mix, emissions&amp;prices'!$H$113:$I$163,2,FALSE)*BO$55</f>
        <v>140514.37148295713</v>
      </c>
      <c r="BP46" s="103">
        <f>VLOOKUP($BL46,'US Grid mix, emissions&amp;prices'!$H$113:$I$163,2,FALSE)*BP$55</f>
        <v>140514.37148295713</v>
      </c>
      <c r="BQ46" s="103">
        <f>VLOOKUP($BL46,'US Grid mix, emissions&amp;prices'!$H$113:$I$163,2,FALSE)*BQ$55</f>
        <v>140514.37148295713</v>
      </c>
      <c r="BR46" s="103">
        <f>VLOOKUP($BL46,'US Grid mix, emissions&amp;prices'!$H$113:$I$163,2,FALSE)*BR$55</f>
        <v>140514.37148295713</v>
      </c>
      <c r="BS46" s="103">
        <f>VLOOKUP($BL46,'US Grid mix, emissions&amp;prices'!$H$113:$I$163,2,FALSE)*BS$55</f>
        <v>140514.37148295713</v>
      </c>
      <c r="BT46" s="103">
        <f>VLOOKUP($BL46,'US Grid mix, emissions&amp;prices'!$H$113:$I$163,2,FALSE)*BT$55</f>
        <v>140514.37148295713</v>
      </c>
      <c r="BU46" s="103">
        <f>VLOOKUP($BL46,'US Grid mix, emissions&amp;prices'!$H$113:$I$163,2,FALSE)*BU$55</f>
        <v>140514.37148295713</v>
      </c>
      <c r="BV46" s="103">
        <f>VLOOKUP($BL46,'US Grid mix, emissions&amp;prices'!$H$113:$I$163,2,FALSE)*BV$55</f>
        <v>140514.37148295713</v>
      </c>
      <c r="BW46" s="103">
        <f>VLOOKUP($BL46,'US Grid mix, emissions&amp;prices'!$H$113:$I$163,2,FALSE)*BW$55</f>
        <v>140514.37148295713</v>
      </c>
      <c r="BX46" s="103">
        <f>VLOOKUP($BL46,'US Grid mix, emissions&amp;prices'!$H$113:$I$163,2,FALSE)*BX$55</f>
        <v>140514.37148295713</v>
      </c>
      <c r="BY46" s="103">
        <f>VLOOKUP($BL46,'US Grid mix, emissions&amp;prices'!$H$113:$I$163,2,FALSE)*BY$55</f>
        <v>140514.37148295713</v>
      </c>
      <c r="BZ46" s="103">
        <f>VLOOKUP($BL46,'US Grid mix, emissions&amp;prices'!$H$113:$I$163,2,FALSE)*BZ$55</f>
        <v>140514.37148295713</v>
      </c>
      <c r="CA46" s="103">
        <f>VLOOKUP($BL46,'US Grid mix, emissions&amp;prices'!$H$113:$I$163,2,FALSE)*CA$55</f>
        <v>140514.37148295713</v>
      </c>
      <c r="CB46" s="103">
        <f>VLOOKUP($BL46,'US Grid mix, emissions&amp;prices'!$H$113:$I$163,2,FALSE)*CB$55</f>
        <v>140514.37148295713</v>
      </c>
      <c r="CC46" s="103">
        <f>VLOOKUP($BL46,'US Grid mix, emissions&amp;prices'!$H$113:$I$163,2,FALSE)*CC$55</f>
        <v>140514.37148295713</v>
      </c>
      <c r="CD46" s="103">
        <f>VLOOKUP($BL46,'US Grid mix, emissions&amp;prices'!$H$113:$I$163,2,FALSE)*CD$55</f>
        <v>140514.37148295713</v>
      </c>
      <c r="CE46" s="103">
        <f>VLOOKUP($BL46,'US Grid mix, emissions&amp;prices'!$H$113:$I$163,2,FALSE)*CE$55</f>
        <v>140514.37148295713</v>
      </c>
      <c r="CF46" s="103">
        <f>VLOOKUP($BL46,'US Grid mix, emissions&amp;prices'!$H$113:$I$163,2,FALSE)*CF$55</f>
        <v>140514.37148295713</v>
      </c>
      <c r="CG46" s="103">
        <f>VLOOKUP($BL46,'US Grid mix, emissions&amp;prices'!$H$113:$I$163,2,FALSE)*CG$55</f>
        <v>140514.37148295713</v>
      </c>
      <c r="CH46" s="103">
        <f>VLOOKUP($BL46,'US Grid mix, emissions&amp;prices'!$H$113:$I$163,2,FALSE)*CH$55</f>
        <v>140514.37148295713</v>
      </c>
      <c r="CI46" s="103">
        <f>VLOOKUP($BL46,'US Grid mix, emissions&amp;prices'!$H$113:$I$163,2,FALSE)*CI$55</f>
        <v>140514.37148295713</v>
      </c>
      <c r="CJ46" s="103">
        <f>VLOOKUP($BL46,'US Grid mix, emissions&amp;prices'!$H$113:$I$163,2,FALSE)*CJ$55</f>
        <v>140514.37148295713</v>
      </c>
      <c r="CK46" s="103">
        <f>VLOOKUP($BL46,'US Grid mix, emissions&amp;prices'!$H$113:$I$163,2,FALSE)*CK$55</f>
        <v>140514.37148295713</v>
      </c>
      <c r="CL46" s="103">
        <f>VLOOKUP($BL46,'US Grid mix, emissions&amp;prices'!$H$113:$I$163,2,FALSE)*CL$55</f>
        <v>140514.37148295713</v>
      </c>
      <c r="CM46" s="103">
        <f>VLOOKUP($BL46,'US Grid mix, emissions&amp;prices'!$H$113:$I$163,2,FALSE)*CM$55</f>
        <v>140514.37148295713</v>
      </c>
      <c r="CN46" s="103">
        <f>VLOOKUP($BL46,'US Grid mix, emissions&amp;prices'!$H$113:$I$163,2,FALSE)*CN$55</f>
        <v>140514.37148295713</v>
      </c>
    </row>
    <row r="47" spans="1:92" x14ac:dyDescent="0.25">
      <c r="A47" s="123" t="s">
        <v>226</v>
      </c>
      <c r="B47" s="103">
        <f>VLOOKUP($A47,'US Grid mix, emissions&amp;prices'!$H$113:$I$163,2,FALSE)*B$55</f>
        <v>282982.23472383845</v>
      </c>
      <c r="C47" s="103">
        <f>VLOOKUP($A47,'US Grid mix, emissions&amp;prices'!$H$113:$I$163,2,FALSE)*C$55</f>
        <v>282982.23472383845</v>
      </c>
      <c r="D47" s="103">
        <f>VLOOKUP($A47,'US Grid mix, emissions&amp;prices'!$H$113:$I$163,2,FALSE)*D$55</f>
        <v>282982.23472383845</v>
      </c>
      <c r="E47" s="103">
        <f>VLOOKUP($A47,'US Grid mix, emissions&amp;prices'!$H$113:$I$163,2,FALSE)*E$55</f>
        <v>282982.23472383845</v>
      </c>
      <c r="F47" s="103">
        <f>VLOOKUP($A47,'US Grid mix, emissions&amp;prices'!$H$113:$I$163,2,FALSE)*F$55</f>
        <v>282982.23472383845</v>
      </c>
      <c r="G47" s="103">
        <f>VLOOKUP($A47,'US Grid mix, emissions&amp;prices'!$H$113:$I$163,2,FALSE)*G$55</f>
        <v>282982.23472383845</v>
      </c>
      <c r="H47" s="103">
        <f>VLOOKUP($A47,'US Grid mix, emissions&amp;prices'!$H$113:$I$163,2,FALSE)*H$55</f>
        <v>282982.23472383845</v>
      </c>
      <c r="I47" s="103">
        <f>VLOOKUP($A47,'US Grid mix, emissions&amp;prices'!$H$113:$I$163,2,FALSE)*I$55</f>
        <v>282982.23472383845</v>
      </c>
      <c r="J47" s="103">
        <f>VLOOKUP($A47,'US Grid mix, emissions&amp;prices'!$H$113:$I$163,2,FALSE)*J$55</f>
        <v>282982.23472383845</v>
      </c>
      <c r="K47" s="103">
        <f>VLOOKUP($A47,'US Grid mix, emissions&amp;prices'!$H$113:$I$163,2,FALSE)*K$55</f>
        <v>282982.23472383845</v>
      </c>
      <c r="L47" s="103">
        <f>VLOOKUP($A47,'US Grid mix, emissions&amp;prices'!$H$113:$I$163,2,FALSE)*L$55</f>
        <v>282982.23472383845</v>
      </c>
      <c r="M47" s="103">
        <f>VLOOKUP($A47,'US Grid mix, emissions&amp;prices'!$H$113:$I$163,2,FALSE)*M$55</f>
        <v>282982.23472383845</v>
      </c>
      <c r="N47" s="103">
        <f>VLOOKUP($A47,'US Grid mix, emissions&amp;prices'!$H$113:$I$163,2,FALSE)*N$55</f>
        <v>282982.23472383845</v>
      </c>
      <c r="O47" s="103">
        <f>VLOOKUP($A47,'US Grid mix, emissions&amp;prices'!$H$113:$I$163,2,FALSE)*O$55</f>
        <v>282982.23472383845</v>
      </c>
      <c r="P47" s="103">
        <f>VLOOKUP($A47,'US Grid mix, emissions&amp;prices'!$H$113:$I$163,2,FALSE)*P$55</f>
        <v>282982.23472383845</v>
      </c>
      <c r="Q47" s="103">
        <f>VLOOKUP($A47,'US Grid mix, emissions&amp;prices'!$H$113:$I$163,2,FALSE)*Q$55</f>
        <v>282982.23472383845</v>
      </c>
      <c r="R47" s="103">
        <f>VLOOKUP($A47,'US Grid mix, emissions&amp;prices'!$H$113:$I$163,2,FALSE)*R$55</f>
        <v>282982.23472383845</v>
      </c>
      <c r="S47" s="103">
        <f>VLOOKUP($A47,'US Grid mix, emissions&amp;prices'!$H$113:$I$163,2,FALSE)*S$55</f>
        <v>282982.23472383845</v>
      </c>
      <c r="T47" s="103">
        <f>VLOOKUP($A47,'US Grid mix, emissions&amp;prices'!$H$113:$I$163,2,FALSE)*T$55</f>
        <v>282982.23472383845</v>
      </c>
      <c r="U47" s="103">
        <f>VLOOKUP($A47,'US Grid mix, emissions&amp;prices'!$H$113:$I$163,2,FALSE)*U$55</f>
        <v>282982.23472383845</v>
      </c>
      <c r="V47" s="103">
        <f>VLOOKUP($A47,'US Grid mix, emissions&amp;prices'!$H$113:$I$163,2,FALSE)*V$55</f>
        <v>282982.23472383845</v>
      </c>
      <c r="W47" s="103">
        <f>VLOOKUP($A47,'US Grid mix, emissions&amp;prices'!$H$113:$I$163,2,FALSE)*W$55</f>
        <v>282982.23472383845</v>
      </c>
      <c r="X47" s="103">
        <f>VLOOKUP($A47,'US Grid mix, emissions&amp;prices'!$H$113:$I$163,2,FALSE)*X$55</f>
        <v>282982.23472383845</v>
      </c>
      <c r="Y47" s="103">
        <f>VLOOKUP($A47,'US Grid mix, emissions&amp;prices'!$H$113:$I$163,2,FALSE)*Y$55</f>
        <v>282982.23472383845</v>
      </c>
      <c r="Z47" s="103">
        <f>VLOOKUP($A47,'US Grid mix, emissions&amp;prices'!$H$113:$I$163,2,FALSE)*Z$55</f>
        <v>282982.23472383845</v>
      </c>
      <c r="AA47" s="103">
        <f>VLOOKUP($A47,'US Grid mix, emissions&amp;prices'!$H$113:$I$163,2,FALSE)*AA$55</f>
        <v>282982.23472383845</v>
      </c>
      <c r="AB47" s="103">
        <f>VLOOKUP($A47,'US Grid mix, emissions&amp;prices'!$H$113:$I$163,2,FALSE)*AB$55</f>
        <v>282982.23472383845</v>
      </c>
      <c r="AC47" s="103">
        <f>VLOOKUP($A47,'US Grid mix, emissions&amp;prices'!$H$113:$I$163,2,FALSE)*AC$55</f>
        <v>282982.23472383845</v>
      </c>
      <c r="AF47" s="123" t="s">
        <v>226</v>
      </c>
      <c r="AG47" s="103">
        <f>VLOOKUP($AF47,'US Grid mix, emissions&amp;prices'!$H$113:$I$163,2,FALSE)*AG$55</f>
        <v>331685.69036921725</v>
      </c>
      <c r="AH47" s="103">
        <f>VLOOKUP($AF47,'US Grid mix, emissions&amp;prices'!$H$113:$I$163,2,FALSE)*AH$55</f>
        <v>331685.69036921725</v>
      </c>
      <c r="AI47" s="103">
        <f>VLOOKUP($AF47,'US Grid mix, emissions&amp;prices'!$H$113:$I$163,2,FALSE)*AI$55</f>
        <v>331685.69036921725</v>
      </c>
      <c r="AJ47" s="103">
        <f>VLOOKUP($AF47,'US Grid mix, emissions&amp;prices'!$H$113:$I$163,2,FALSE)*AJ$55</f>
        <v>331685.69036921725</v>
      </c>
      <c r="AK47" s="103">
        <f>VLOOKUP($AF47,'US Grid mix, emissions&amp;prices'!$H$113:$I$163,2,FALSE)*AK$55</f>
        <v>331685.69036921725</v>
      </c>
      <c r="AL47" s="103">
        <f>VLOOKUP($AF47,'US Grid mix, emissions&amp;prices'!$H$113:$I$163,2,FALSE)*AL$55</f>
        <v>331685.69036921725</v>
      </c>
      <c r="AM47" s="103">
        <f>VLOOKUP($AF47,'US Grid mix, emissions&amp;prices'!$H$113:$I$163,2,FALSE)*AM$55</f>
        <v>331685.69036921725</v>
      </c>
      <c r="AN47" s="103">
        <f>VLOOKUP($AF47,'US Grid mix, emissions&amp;prices'!$H$113:$I$163,2,FALSE)*AN$55</f>
        <v>331685.69036921725</v>
      </c>
      <c r="AO47" s="103">
        <f>VLOOKUP($AF47,'US Grid mix, emissions&amp;prices'!$H$113:$I$163,2,FALSE)*AO$55</f>
        <v>331685.69036921725</v>
      </c>
      <c r="AP47" s="103">
        <f>VLOOKUP($AF47,'US Grid mix, emissions&amp;prices'!$H$113:$I$163,2,FALSE)*AP$55</f>
        <v>331685.69036921725</v>
      </c>
      <c r="AQ47" s="103">
        <f>VLOOKUP($AF47,'US Grid mix, emissions&amp;prices'!$H$113:$I$163,2,FALSE)*AQ$55</f>
        <v>331685.69036921725</v>
      </c>
      <c r="AR47" s="103">
        <f>VLOOKUP($AF47,'US Grid mix, emissions&amp;prices'!$H$113:$I$163,2,FALSE)*AR$55</f>
        <v>331685.69036921725</v>
      </c>
      <c r="AS47" s="103">
        <f>VLOOKUP($AF47,'US Grid mix, emissions&amp;prices'!$H$113:$I$163,2,FALSE)*AS$55</f>
        <v>331685.69036921725</v>
      </c>
      <c r="AT47" s="103">
        <f>VLOOKUP($AF47,'US Grid mix, emissions&amp;prices'!$H$113:$I$163,2,FALSE)*AT$55</f>
        <v>331685.69036921725</v>
      </c>
      <c r="AU47" s="103">
        <f>VLOOKUP($AF47,'US Grid mix, emissions&amp;prices'!$H$113:$I$163,2,FALSE)*AU$55</f>
        <v>331685.69036921725</v>
      </c>
      <c r="AV47" s="103">
        <f>VLOOKUP($AF47,'US Grid mix, emissions&amp;prices'!$H$113:$I$163,2,FALSE)*AV$55</f>
        <v>331685.69036921725</v>
      </c>
      <c r="AW47" s="103">
        <f>VLOOKUP($AF47,'US Grid mix, emissions&amp;prices'!$H$113:$I$163,2,FALSE)*AW$55</f>
        <v>331685.69036921725</v>
      </c>
      <c r="AX47" s="103">
        <f>VLOOKUP($AF47,'US Grid mix, emissions&amp;prices'!$H$113:$I$163,2,FALSE)*AX$55</f>
        <v>331685.69036921725</v>
      </c>
      <c r="AY47" s="103">
        <f>VLOOKUP($AF47,'US Grid mix, emissions&amp;prices'!$H$113:$I$163,2,FALSE)*AY$55</f>
        <v>331685.69036921725</v>
      </c>
      <c r="AZ47" s="103">
        <f>VLOOKUP($AF47,'US Grid mix, emissions&amp;prices'!$H$113:$I$163,2,FALSE)*AZ$55</f>
        <v>331685.69036921725</v>
      </c>
      <c r="BA47" s="103">
        <f>VLOOKUP($AF47,'US Grid mix, emissions&amp;prices'!$H$113:$I$163,2,FALSE)*BA$55</f>
        <v>331685.69036921725</v>
      </c>
      <c r="BB47" s="103">
        <f>VLOOKUP($AF47,'US Grid mix, emissions&amp;prices'!$H$113:$I$163,2,FALSE)*BB$55</f>
        <v>331685.69036921725</v>
      </c>
      <c r="BC47" s="103">
        <f>VLOOKUP($AF47,'US Grid mix, emissions&amp;prices'!$H$113:$I$163,2,FALSE)*BC$55</f>
        <v>331685.69036921725</v>
      </c>
      <c r="BD47" s="103">
        <f>VLOOKUP($AF47,'US Grid mix, emissions&amp;prices'!$H$113:$I$163,2,FALSE)*BD$55</f>
        <v>331685.69036921725</v>
      </c>
      <c r="BE47" s="103">
        <f>VLOOKUP($AF47,'US Grid mix, emissions&amp;prices'!$H$113:$I$163,2,FALSE)*BE$55</f>
        <v>331685.69036921725</v>
      </c>
      <c r="BF47" s="103">
        <f>VLOOKUP($AF47,'US Grid mix, emissions&amp;prices'!$H$113:$I$163,2,FALSE)*BF$55</f>
        <v>331685.69036921725</v>
      </c>
      <c r="BG47" s="103">
        <f>VLOOKUP($AF47,'US Grid mix, emissions&amp;prices'!$H$113:$I$163,2,FALSE)*BG$55</f>
        <v>331685.69036921725</v>
      </c>
      <c r="BH47" s="103">
        <f>VLOOKUP($AF47,'US Grid mix, emissions&amp;prices'!$H$113:$I$163,2,FALSE)*BH$55</f>
        <v>331685.69036921725</v>
      </c>
      <c r="BL47" s="123" t="s">
        <v>226</v>
      </c>
      <c r="BM47" s="103">
        <f>VLOOKUP($BL47,'US Grid mix, emissions&amp;prices'!$H$113:$I$163,2,FALSE)*BM$55</f>
        <v>246579.86361079215</v>
      </c>
      <c r="BN47" s="103">
        <f>VLOOKUP($BL47,'US Grid mix, emissions&amp;prices'!$H$113:$I$163,2,FALSE)*BN$55</f>
        <v>246579.86361079215</v>
      </c>
      <c r="BO47" s="103">
        <f>VLOOKUP($BL47,'US Grid mix, emissions&amp;prices'!$H$113:$I$163,2,FALSE)*BO$55</f>
        <v>246579.86361079215</v>
      </c>
      <c r="BP47" s="103">
        <f>VLOOKUP($BL47,'US Grid mix, emissions&amp;prices'!$H$113:$I$163,2,FALSE)*BP$55</f>
        <v>246579.86361079215</v>
      </c>
      <c r="BQ47" s="103">
        <f>VLOOKUP($BL47,'US Grid mix, emissions&amp;prices'!$H$113:$I$163,2,FALSE)*BQ$55</f>
        <v>246579.86361079215</v>
      </c>
      <c r="BR47" s="103">
        <f>VLOOKUP($BL47,'US Grid mix, emissions&amp;prices'!$H$113:$I$163,2,FALSE)*BR$55</f>
        <v>246579.86361079215</v>
      </c>
      <c r="BS47" s="103">
        <f>VLOOKUP($BL47,'US Grid mix, emissions&amp;prices'!$H$113:$I$163,2,FALSE)*BS$55</f>
        <v>246579.86361079215</v>
      </c>
      <c r="BT47" s="103">
        <f>VLOOKUP($BL47,'US Grid mix, emissions&amp;prices'!$H$113:$I$163,2,FALSE)*BT$55</f>
        <v>246579.86361079215</v>
      </c>
      <c r="BU47" s="103">
        <f>VLOOKUP($BL47,'US Grid mix, emissions&amp;prices'!$H$113:$I$163,2,FALSE)*BU$55</f>
        <v>246579.86361079215</v>
      </c>
      <c r="BV47" s="103">
        <f>VLOOKUP($BL47,'US Grid mix, emissions&amp;prices'!$H$113:$I$163,2,FALSE)*BV$55</f>
        <v>246579.86361079215</v>
      </c>
      <c r="BW47" s="103">
        <f>VLOOKUP($BL47,'US Grid mix, emissions&amp;prices'!$H$113:$I$163,2,FALSE)*BW$55</f>
        <v>246579.86361079215</v>
      </c>
      <c r="BX47" s="103">
        <f>VLOOKUP($BL47,'US Grid mix, emissions&amp;prices'!$H$113:$I$163,2,FALSE)*BX$55</f>
        <v>246579.86361079215</v>
      </c>
      <c r="BY47" s="103">
        <f>VLOOKUP($BL47,'US Grid mix, emissions&amp;prices'!$H$113:$I$163,2,FALSE)*BY$55</f>
        <v>246579.86361079215</v>
      </c>
      <c r="BZ47" s="103">
        <f>VLOOKUP($BL47,'US Grid mix, emissions&amp;prices'!$H$113:$I$163,2,FALSE)*BZ$55</f>
        <v>246579.86361079215</v>
      </c>
      <c r="CA47" s="103">
        <f>VLOOKUP($BL47,'US Grid mix, emissions&amp;prices'!$H$113:$I$163,2,FALSE)*CA$55</f>
        <v>246579.86361079215</v>
      </c>
      <c r="CB47" s="103">
        <f>VLOOKUP($BL47,'US Grid mix, emissions&amp;prices'!$H$113:$I$163,2,FALSE)*CB$55</f>
        <v>246579.86361079215</v>
      </c>
      <c r="CC47" s="103">
        <f>VLOOKUP($BL47,'US Grid mix, emissions&amp;prices'!$H$113:$I$163,2,FALSE)*CC$55</f>
        <v>246579.86361079215</v>
      </c>
      <c r="CD47" s="103">
        <f>VLOOKUP($BL47,'US Grid mix, emissions&amp;prices'!$H$113:$I$163,2,FALSE)*CD$55</f>
        <v>246579.86361079215</v>
      </c>
      <c r="CE47" s="103">
        <f>VLOOKUP($BL47,'US Grid mix, emissions&amp;prices'!$H$113:$I$163,2,FALSE)*CE$55</f>
        <v>246579.86361079215</v>
      </c>
      <c r="CF47" s="103">
        <f>VLOOKUP($BL47,'US Grid mix, emissions&amp;prices'!$H$113:$I$163,2,FALSE)*CF$55</f>
        <v>246579.86361079215</v>
      </c>
      <c r="CG47" s="103">
        <f>VLOOKUP($BL47,'US Grid mix, emissions&amp;prices'!$H$113:$I$163,2,FALSE)*CG$55</f>
        <v>246579.86361079215</v>
      </c>
      <c r="CH47" s="103">
        <f>VLOOKUP($BL47,'US Grid mix, emissions&amp;prices'!$H$113:$I$163,2,FALSE)*CH$55</f>
        <v>246579.86361079215</v>
      </c>
      <c r="CI47" s="103">
        <f>VLOOKUP($BL47,'US Grid mix, emissions&amp;prices'!$H$113:$I$163,2,FALSE)*CI$55</f>
        <v>246579.86361079215</v>
      </c>
      <c r="CJ47" s="103">
        <f>VLOOKUP($BL47,'US Grid mix, emissions&amp;prices'!$H$113:$I$163,2,FALSE)*CJ$55</f>
        <v>246579.86361079215</v>
      </c>
      <c r="CK47" s="103">
        <f>VLOOKUP($BL47,'US Grid mix, emissions&amp;prices'!$H$113:$I$163,2,FALSE)*CK$55</f>
        <v>246579.86361079215</v>
      </c>
      <c r="CL47" s="103">
        <f>VLOOKUP($BL47,'US Grid mix, emissions&amp;prices'!$H$113:$I$163,2,FALSE)*CL$55</f>
        <v>246579.86361079215</v>
      </c>
      <c r="CM47" s="103">
        <f>VLOOKUP($BL47,'US Grid mix, emissions&amp;prices'!$H$113:$I$163,2,FALSE)*CM$55</f>
        <v>246579.86361079215</v>
      </c>
      <c r="CN47" s="103">
        <f>VLOOKUP($BL47,'US Grid mix, emissions&amp;prices'!$H$113:$I$163,2,FALSE)*CN$55</f>
        <v>246579.86361079215</v>
      </c>
    </row>
    <row r="48" spans="1:92" x14ac:dyDescent="0.25">
      <c r="A48" s="123" t="s">
        <v>228</v>
      </c>
      <c r="B48" s="103">
        <f>VLOOKUP($A48,'US Grid mix, emissions&amp;prices'!$H$113:$I$163,2,FALSE)*B$55</f>
        <v>8421.4400320589393</v>
      </c>
      <c r="C48" s="103">
        <f>VLOOKUP($A48,'US Grid mix, emissions&amp;prices'!$H$113:$I$163,2,FALSE)*C$55</f>
        <v>8421.4400320589393</v>
      </c>
      <c r="D48" s="103">
        <f>VLOOKUP($A48,'US Grid mix, emissions&amp;prices'!$H$113:$I$163,2,FALSE)*D$55</f>
        <v>8421.4400320589393</v>
      </c>
      <c r="E48" s="103">
        <f>VLOOKUP($A48,'US Grid mix, emissions&amp;prices'!$H$113:$I$163,2,FALSE)*E$55</f>
        <v>8421.4400320589393</v>
      </c>
      <c r="F48" s="103">
        <f>VLOOKUP($A48,'US Grid mix, emissions&amp;prices'!$H$113:$I$163,2,FALSE)*F$55</f>
        <v>8421.4400320589393</v>
      </c>
      <c r="G48" s="103">
        <f>VLOOKUP($A48,'US Grid mix, emissions&amp;prices'!$H$113:$I$163,2,FALSE)*G$55</f>
        <v>8421.4400320589393</v>
      </c>
      <c r="H48" s="103">
        <f>VLOOKUP($A48,'US Grid mix, emissions&amp;prices'!$H$113:$I$163,2,FALSE)*H$55</f>
        <v>8421.4400320589393</v>
      </c>
      <c r="I48" s="103">
        <f>VLOOKUP($A48,'US Grid mix, emissions&amp;prices'!$H$113:$I$163,2,FALSE)*I$55</f>
        <v>8421.4400320589393</v>
      </c>
      <c r="J48" s="103">
        <f>VLOOKUP($A48,'US Grid mix, emissions&amp;prices'!$H$113:$I$163,2,FALSE)*J$55</f>
        <v>8421.4400320589393</v>
      </c>
      <c r="K48" s="103">
        <f>VLOOKUP($A48,'US Grid mix, emissions&amp;prices'!$H$113:$I$163,2,FALSE)*K$55</f>
        <v>8421.4400320589393</v>
      </c>
      <c r="L48" s="103">
        <f>VLOOKUP($A48,'US Grid mix, emissions&amp;prices'!$H$113:$I$163,2,FALSE)*L$55</f>
        <v>8421.4400320589393</v>
      </c>
      <c r="M48" s="103">
        <f>VLOOKUP($A48,'US Grid mix, emissions&amp;prices'!$H$113:$I$163,2,FALSE)*M$55</f>
        <v>8421.4400320589393</v>
      </c>
      <c r="N48" s="103">
        <f>VLOOKUP($A48,'US Grid mix, emissions&amp;prices'!$H$113:$I$163,2,FALSE)*N$55</f>
        <v>8421.4400320589393</v>
      </c>
      <c r="O48" s="103">
        <f>VLOOKUP($A48,'US Grid mix, emissions&amp;prices'!$H$113:$I$163,2,FALSE)*O$55</f>
        <v>8421.4400320589393</v>
      </c>
      <c r="P48" s="103">
        <f>VLOOKUP($A48,'US Grid mix, emissions&amp;prices'!$H$113:$I$163,2,FALSE)*P$55</f>
        <v>8421.4400320589393</v>
      </c>
      <c r="Q48" s="103">
        <f>VLOOKUP($A48,'US Grid mix, emissions&amp;prices'!$H$113:$I$163,2,FALSE)*Q$55</f>
        <v>8421.4400320589393</v>
      </c>
      <c r="R48" s="103">
        <f>VLOOKUP($A48,'US Grid mix, emissions&amp;prices'!$H$113:$I$163,2,FALSE)*R$55</f>
        <v>8421.4400320589393</v>
      </c>
      <c r="S48" s="103">
        <f>VLOOKUP($A48,'US Grid mix, emissions&amp;prices'!$H$113:$I$163,2,FALSE)*S$55</f>
        <v>8421.4400320589393</v>
      </c>
      <c r="T48" s="103">
        <f>VLOOKUP($A48,'US Grid mix, emissions&amp;prices'!$H$113:$I$163,2,FALSE)*T$55</f>
        <v>8421.4400320589393</v>
      </c>
      <c r="U48" s="103">
        <f>VLOOKUP($A48,'US Grid mix, emissions&amp;prices'!$H$113:$I$163,2,FALSE)*U$55</f>
        <v>8421.4400320589393</v>
      </c>
      <c r="V48" s="103">
        <f>VLOOKUP($A48,'US Grid mix, emissions&amp;prices'!$H$113:$I$163,2,FALSE)*V$55</f>
        <v>8421.4400320589393</v>
      </c>
      <c r="W48" s="103">
        <f>VLOOKUP($A48,'US Grid mix, emissions&amp;prices'!$H$113:$I$163,2,FALSE)*W$55</f>
        <v>8421.4400320589393</v>
      </c>
      <c r="X48" s="103">
        <f>VLOOKUP($A48,'US Grid mix, emissions&amp;prices'!$H$113:$I$163,2,FALSE)*X$55</f>
        <v>8421.4400320589393</v>
      </c>
      <c r="Y48" s="103">
        <f>VLOOKUP($A48,'US Grid mix, emissions&amp;prices'!$H$113:$I$163,2,FALSE)*Y$55</f>
        <v>8421.4400320589393</v>
      </c>
      <c r="Z48" s="103">
        <f>VLOOKUP($A48,'US Grid mix, emissions&amp;prices'!$H$113:$I$163,2,FALSE)*Z$55</f>
        <v>8421.4400320589393</v>
      </c>
      <c r="AA48" s="103">
        <f>VLOOKUP($A48,'US Grid mix, emissions&amp;prices'!$H$113:$I$163,2,FALSE)*AA$55</f>
        <v>8421.4400320589393</v>
      </c>
      <c r="AB48" s="103">
        <f>VLOOKUP($A48,'US Grid mix, emissions&amp;prices'!$H$113:$I$163,2,FALSE)*AB$55</f>
        <v>8421.4400320589393</v>
      </c>
      <c r="AC48" s="103">
        <f>VLOOKUP($A48,'US Grid mix, emissions&amp;prices'!$H$113:$I$163,2,FALSE)*AC$55</f>
        <v>8421.4400320589393</v>
      </c>
      <c r="AF48" s="123" t="s">
        <v>228</v>
      </c>
      <c r="AG48" s="103">
        <f>VLOOKUP($AF48,'US Grid mix, emissions&amp;prices'!$H$113:$I$163,2,FALSE)*AG$55</f>
        <v>9870.8357210564045</v>
      </c>
      <c r="AH48" s="103">
        <f>VLOOKUP($AF48,'US Grid mix, emissions&amp;prices'!$H$113:$I$163,2,FALSE)*AH$55</f>
        <v>9870.8357210564045</v>
      </c>
      <c r="AI48" s="103">
        <f>VLOOKUP($AF48,'US Grid mix, emissions&amp;prices'!$H$113:$I$163,2,FALSE)*AI$55</f>
        <v>9870.8357210564045</v>
      </c>
      <c r="AJ48" s="103">
        <f>VLOOKUP($AF48,'US Grid mix, emissions&amp;prices'!$H$113:$I$163,2,FALSE)*AJ$55</f>
        <v>9870.8357210564045</v>
      </c>
      <c r="AK48" s="103">
        <f>VLOOKUP($AF48,'US Grid mix, emissions&amp;prices'!$H$113:$I$163,2,FALSE)*AK$55</f>
        <v>9870.8357210564045</v>
      </c>
      <c r="AL48" s="103">
        <f>VLOOKUP($AF48,'US Grid mix, emissions&amp;prices'!$H$113:$I$163,2,FALSE)*AL$55</f>
        <v>9870.8357210564045</v>
      </c>
      <c r="AM48" s="103">
        <f>VLOOKUP($AF48,'US Grid mix, emissions&amp;prices'!$H$113:$I$163,2,FALSE)*AM$55</f>
        <v>9870.8357210564045</v>
      </c>
      <c r="AN48" s="103">
        <f>VLOOKUP($AF48,'US Grid mix, emissions&amp;prices'!$H$113:$I$163,2,FALSE)*AN$55</f>
        <v>9870.8357210564045</v>
      </c>
      <c r="AO48" s="103">
        <f>VLOOKUP($AF48,'US Grid mix, emissions&amp;prices'!$H$113:$I$163,2,FALSE)*AO$55</f>
        <v>9870.8357210564045</v>
      </c>
      <c r="AP48" s="103">
        <f>VLOOKUP($AF48,'US Grid mix, emissions&amp;prices'!$H$113:$I$163,2,FALSE)*AP$55</f>
        <v>9870.8357210564045</v>
      </c>
      <c r="AQ48" s="103">
        <f>VLOOKUP($AF48,'US Grid mix, emissions&amp;prices'!$H$113:$I$163,2,FALSE)*AQ$55</f>
        <v>9870.8357210564045</v>
      </c>
      <c r="AR48" s="103">
        <f>VLOOKUP($AF48,'US Grid mix, emissions&amp;prices'!$H$113:$I$163,2,FALSE)*AR$55</f>
        <v>9870.8357210564045</v>
      </c>
      <c r="AS48" s="103">
        <f>VLOOKUP($AF48,'US Grid mix, emissions&amp;prices'!$H$113:$I$163,2,FALSE)*AS$55</f>
        <v>9870.8357210564045</v>
      </c>
      <c r="AT48" s="103">
        <f>VLOOKUP($AF48,'US Grid mix, emissions&amp;prices'!$H$113:$I$163,2,FALSE)*AT$55</f>
        <v>9870.8357210564045</v>
      </c>
      <c r="AU48" s="103">
        <f>VLOOKUP($AF48,'US Grid mix, emissions&amp;prices'!$H$113:$I$163,2,FALSE)*AU$55</f>
        <v>9870.8357210564045</v>
      </c>
      <c r="AV48" s="103">
        <f>VLOOKUP($AF48,'US Grid mix, emissions&amp;prices'!$H$113:$I$163,2,FALSE)*AV$55</f>
        <v>9870.8357210564045</v>
      </c>
      <c r="AW48" s="103">
        <f>VLOOKUP($AF48,'US Grid mix, emissions&amp;prices'!$H$113:$I$163,2,FALSE)*AW$55</f>
        <v>9870.8357210564045</v>
      </c>
      <c r="AX48" s="103">
        <f>VLOOKUP($AF48,'US Grid mix, emissions&amp;prices'!$H$113:$I$163,2,FALSE)*AX$55</f>
        <v>9870.8357210564045</v>
      </c>
      <c r="AY48" s="103">
        <f>VLOOKUP($AF48,'US Grid mix, emissions&amp;prices'!$H$113:$I$163,2,FALSE)*AY$55</f>
        <v>9870.8357210564045</v>
      </c>
      <c r="AZ48" s="103">
        <f>VLOOKUP($AF48,'US Grid mix, emissions&amp;prices'!$H$113:$I$163,2,FALSE)*AZ$55</f>
        <v>9870.8357210564045</v>
      </c>
      <c r="BA48" s="103">
        <f>VLOOKUP($AF48,'US Grid mix, emissions&amp;prices'!$H$113:$I$163,2,FALSE)*BA$55</f>
        <v>9870.8357210564045</v>
      </c>
      <c r="BB48" s="103">
        <f>VLOOKUP($AF48,'US Grid mix, emissions&amp;prices'!$H$113:$I$163,2,FALSE)*BB$55</f>
        <v>9870.8357210564045</v>
      </c>
      <c r="BC48" s="103">
        <f>VLOOKUP($AF48,'US Grid mix, emissions&amp;prices'!$H$113:$I$163,2,FALSE)*BC$55</f>
        <v>9870.8357210564045</v>
      </c>
      <c r="BD48" s="103">
        <f>VLOOKUP($AF48,'US Grid mix, emissions&amp;prices'!$H$113:$I$163,2,FALSE)*BD$55</f>
        <v>9870.8357210564045</v>
      </c>
      <c r="BE48" s="103">
        <f>VLOOKUP($AF48,'US Grid mix, emissions&amp;prices'!$H$113:$I$163,2,FALSE)*BE$55</f>
        <v>9870.8357210564045</v>
      </c>
      <c r="BF48" s="103">
        <f>VLOOKUP($AF48,'US Grid mix, emissions&amp;prices'!$H$113:$I$163,2,FALSE)*BF$55</f>
        <v>9870.8357210564045</v>
      </c>
      <c r="BG48" s="103">
        <f>VLOOKUP($AF48,'US Grid mix, emissions&amp;prices'!$H$113:$I$163,2,FALSE)*BG$55</f>
        <v>9870.8357210564045</v>
      </c>
      <c r="BH48" s="103">
        <f>VLOOKUP($AF48,'US Grid mix, emissions&amp;prices'!$H$113:$I$163,2,FALSE)*BH$55</f>
        <v>9870.8357210564045</v>
      </c>
      <c r="BL48" s="123" t="s">
        <v>228</v>
      </c>
      <c r="BM48" s="103">
        <f>VLOOKUP($BL48,'US Grid mix, emissions&amp;prices'!$H$113:$I$163,2,FALSE)*BM$55</f>
        <v>7338.1197817526063</v>
      </c>
      <c r="BN48" s="103">
        <f>VLOOKUP($BL48,'US Grid mix, emissions&amp;prices'!$H$113:$I$163,2,FALSE)*BN$55</f>
        <v>7338.1197817526063</v>
      </c>
      <c r="BO48" s="103">
        <f>VLOOKUP($BL48,'US Grid mix, emissions&amp;prices'!$H$113:$I$163,2,FALSE)*BO$55</f>
        <v>7338.1197817526063</v>
      </c>
      <c r="BP48" s="103">
        <f>VLOOKUP($BL48,'US Grid mix, emissions&amp;prices'!$H$113:$I$163,2,FALSE)*BP$55</f>
        <v>7338.1197817526063</v>
      </c>
      <c r="BQ48" s="103">
        <f>VLOOKUP($BL48,'US Grid mix, emissions&amp;prices'!$H$113:$I$163,2,FALSE)*BQ$55</f>
        <v>7338.1197817526063</v>
      </c>
      <c r="BR48" s="103">
        <f>VLOOKUP($BL48,'US Grid mix, emissions&amp;prices'!$H$113:$I$163,2,FALSE)*BR$55</f>
        <v>7338.1197817526063</v>
      </c>
      <c r="BS48" s="103">
        <f>VLOOKUP($BL48,'US Grid mix, emissions&amp;prices'!$H$113:$I$163,2,FALSE)*BS$55</f>
        <v>7338.1197817526063</v>
      </c>
      <c r="BT48" s="103">
        <f>VLOOKUP($BL48,'US Grid mix, emissions&amp;prices'!$H$113:$I$163,2,FALSE)*BT$55</f>
        <v>7338.1197817526063</v>
      </c>
      <c r="BU48" s="103">
        <f>VLOOKUP($BL48,'US Grid mix, emissions&amp;prices'!$H$113:$I$163,2,FALSE)*BU$55</f>
        <v>7338.1197817526063</v>
      </c>
      <c r="BV48" s="103">
        <f>VLOOKUP($BL48,'US Grid mix, emissions&amp;prices'!$H$113:$I$163,2,FALSE)*BV$55</f>
        <v>7338.1197817526063</v>
      </c>
      <c r="BW48" s="103">
        <f>VLOOKUP($BL48,'US Grid mix, emissions&amp;prices'!$H$113:$I$163,2,FALSE)*BW$55</f>
        <v>7338.1197817526063</v>
      </c>
      <c r="BX48" s="103">
        <f>VLOOKUP($BL48,'US Grid mix, emissions&amp;prices'!$H$113:$I$163,2,FALSE)*BX$55</f>
        <v>7338.1197817526063</v>
      </c>
      <c r="BY48" s="103">
        <f>VLOOKUP($BL48,'US Grid mix, emissions&amp;prices'!$H$113:$I$163,2,FALSE)*BY$55</f>
        <v>7338.1197817526063</v>
      </c>
      <c r="BZ48" s="103">
        <f>VLOOKUP($BL48,'US Grid mix, emissions&amp;prices'!$H$113:$I$163,2,FALSE)*BZ$55</f>
        <v>7338.1197817526063</v>
      </c>
      <c r="CA48" s="103">
        <f>VLOOKUP($BL48,'US Grid mix, emissions&amp;prices'!$H$113:$I$163,2,FALSE)*CA$55</f>
        <v>7338.1197817526063</v>
      </c>
      <c r="CB48" s="103">
        <f>VLOOKUP($BL48,'US Grid mix, emissions&amp;prices'!$H$113:$I$163,2,FALSE)*CB$55</f>
        <v>7338.1197817526063</v>
      </c>
      <c r="CC48" s="103">
        <f>VLOOKUP($BL48,'US Grid mix, emissions&amp;prices'!$H$113:$I$163,2,FALSE)*CC$55</f>
        <v>7338.1197817526063</v>
      </c>
      <c r="CD48" s="103">
        <f>VLOOKUP($BL48,'US Grid mix, emissions&amp;prices'!$H$113:$I$163,2,FALSE)*CD$55</f>
        <v>7338.1197817526063</v>
      </c>
      <c r="CE48" s="103">
        <f>VLOOKUP($BL48,'US Grid mix, emissions&amp;prices'!$H$113:$I$163,2,FALSE)*CE$55</f>
        <v>7338.1197817526063</v>
      </c>
      <c r="CF48" s="103">
        <f>VLOOKUP($BL48,'US Grid mix, emissions&amp;prices'!$H$113:$I$163,2,FALSE)*CF$55</f>
        <v>7338.1197817526063</v>
      </c>
      <c r="CG48" s="103">
        <f>VLOOKUP($BL48,'US Grid mix, emissions&amp;prices'!$H$113:$I$163,2,FALSE)*CG$55</f>
        <v>7338.1197817526063</v>
      </c>
      <c r="CH48" s="103">
        <f>VLOOKUP($BL48,'US Grid mix, emissions&amp;prices'!$H$113:$I$163,2,FALSE)*CH$55</f>
        <v>7338.1197817526063</v>
      </c>
      <c r="CI48" s="103">
        <f>VLOOKUP($BL48,'US Grid mix, emissions&amp;prices'!$H$113:$I$163,2,FALSE)*CI$55</f>
        <v>7338.1197817526063</v>
      </c>
      <c r="CJ48" s="103">
        <f>VLOOKUP($BL48,'US Grid mix, emissions&amp;prices'!$H$113:$I$163,2,FALSE)*CJ$55</f>
        <v>7338.1197817526063</v>
      </c>
      <c r="CK48" s="103">
        <f>VLOOKUP($BL48,'US Grid mix, emissions&amp;prices'!$H$113:$I$163,2,FALSE)*CK$55</f>
        <v>7338.1197817526063</v>
      </c>
      <c r="CL48" s="103">
        <f>VLOOKUP($BL48,'US Grid mix, emissions&amp;prices'!$H$113:$I$163,2,FALSE)*CL$55</f>
        <v>7338.1197817526063</v>
      </c>
      <c r="CM48" s="103">
        <f>VLOOKUP($BL48,'US Grid mix, emissions&amp;prices'!$H$113:$I$163,2,FALSE)*CM$55</f>
        <v>7338.1197817526063</v>
      </c>
      <c r="CN48" s="103">
        <f>VLOOKUP($BL48,'US Grid mix, emissions&amp;prices'!$H$113:$I$163,2,FALSE)*CN$55</f>
        <v>7338.1197817526063</v>
      </c>
    </row>
    <row r="49" spans="1:92" x14ac:dyDescent="0.25">
      <c r="A49" s="123" t="s">
        <v>227</v>
      </c>
      <c r="B49" s="103">
        <f>VLOOKUP($A49,'US Grid mix, emissions&amp;prices'!$H$113:$I$163,2,FALSE)*B$55</f>
        <v>125018.61545456648</v>
      </c>
      <c r="C49" s="103">
        <f>VLOOKUP($A49,'US Grid mix, emissions&amp;prices'!$H$113:$I$163,2,FALSE)*C$55</f>
        <v>125018.61545456648</v>
      </c>
      <c r="D49" s="103">
        <f>VLOOKUP($A49,'US Grid mix, emissions&amp;prices'!$H$113:$I$163,2,FALSE)*D$55</f>
        <v>125018.61545456648</v>
      </c>
      <c r="E49" s="103">
        <f>VLOOKUP($A49,'US Grid mix, emissions&amp;prices'!$H$113:$I$163,2,FALSE)*E$55</f>
        <v>125018.61545456648</v>
      </c>
      <c r="F49" s="103">
        <f>VLOOKUP($A49,'US Grid mix, emissions&amp;prices'!$H$113:$I$163,2,FALSE)*F$55</f>
        <v>125018.61545456648</v>
      </c>
      <c r="G49" s="103">
        <f>VLOOKUP($A49,'US Grid mix, emissions&amp;prices'!$H$113:$I$163,2,FALSE)*G$55</f>
        <v>125018.61545456648</v>
      </c>
      <c r="H49" s="103">
        <f>VLOOKUP($A49,'US Grid mix, emissions&amp;prices'!$H$113:$I$163,2,FALSE)*H$55</f>
        <v>125018.61545456648</v>
      </c>
      <c r="I49" s="103">
        <f>VLOOKUP($A49,'US Grid mix, emissions&amp;prices'!$H$113:$I$163,2,FALSE)*I$55</f>
        <v>125018.61545456648</v>
      </c>
      <c r="J49" s="103">
        <f>VLOOKUP($A49,'US Grid mix, emissions&amp;prices'!$H$113:$I$163,2,FALSE)*J$55</f>
        <v>125018.61545456648</v>
      </c>
      <c r="K49" s="103">
        <f>VLOOKUP($A49,'US Grid mix, emissions&amp;prices'!$H$113:$I$163,2,FALSE)*K$55</f>
        <v>125018.61545456648</v>
      </c>
      <c r="L49" s="103">
        <f>VLOOKUP($A49,'US Grid mix, emissions&amp;prices'!$H$113:$I$163,2,FALSE)*L$55</f>
        <v>125018.61545456648</v>
      </c>
      <c r="M49" s="103">
        <f>VLOOKUP($A49,'US Grid mix, emissions&amp;prices'!$H$113:$I$163,2,FALSE)*M$55</f>
        <v>125018.61545456648</v>
      </c>
      <c r="N49" s="103">
        <f>VLOOKUP($A49,'US Grid mix, emissions&amp;prices'!$H$113:$I$163,2,FALSE)*N$55</f>
        <v>125018.61545456648</v>
      </c>
      <c r="O49" s="103">
        <f>VLOOKUP($A49,'US Grid mix, emissions&amp;prices'!$H$113:$I$163,2,FALSE)*O$55</f>
        <v>125018.61545456648</v>
      </c>
      <c r="P49" s="103">
        <f>VLOOKUP($A49,'US Grid mix, emissions&amp;prices'!$H$113:$I$163,2,FALSE)*P$55</f>
        <v>125018.61545456648</v>
      </c>
      <c r="Q49" s="103">
        <f>VLOOKUP($A49,'US Grid mix, emissions&amp;prices'!$H$113:$I$163,2,FALSE)*Q$55</f>
        <v>125018.61545456648</v>
      </c>
      <c r="R49" s="103">
        <f>VLOOKUP($A49,'US Grid mix, emissions&amp;prices'!$H$113:$I$163,2,FALSE)*R$55</f>
        <v>125018.61545456648</v>
      </c>
      <c r="S49" s="103">
        <f>VLOOKUP($A49,'US Grid mix, emissions&amp;prices'!$H$113:$I$163,2,FALSE)*S$55</f>
        <v>125018.61545456648</v>
      </c>
      <c r="T49" s="103">
        <f>VLOOKUP($A49,'US Grid mix, emissions&amp;prices'!$H$113:$I$163,2,FALSE)*T$55</f>
        <v>125018.61545456648</v>
      </c>
      <c r="U49" s="103">
        <f>VLOOKUP($A49,'US Grid mix, emissions&amp;prices'!$H$113:$I$163,2,FALSE)*U$55</f>
        <v>125018.61545456648</v>
      </c>
      <c r="V49" s="103">
        <f>VLOOKUP($A49,'US Grid mix, emissions&amp;prices'!$H$113:$I$163,2,FALSE)*V$55</f>
        <v>125018.61545456648</v>
      </c>
      <c r="W49" s="103">
        <f>VLOOKUP($A49,'US Grid mix, emissions&amp;prices'!$H$113:$I$163,2,FALSE)*W$55</f>
        <v>125018.61545456648</v>
      </c>
      <c r="X49" s="103">
        <f>VLOOKUP($A49,'US Grid mix, emissions&amp;prices'!$H$113:$I$163,2,FALSE)*X$55</f>
        <v>125018.61545456648</v>
      </c>
      <c r="Y49" s="103">
        <f>VLOOKUP($A49,'US Grid mix, emissions&amp;prices'!$H$113:$I$163,2,FALSE)*Y$55</f>
        <v>125018.61545456648</v>
      </c>
      <c r="Z49" s="103">
        <f>VLOOKUP($A49,'US Grid mix, emissions&amp;prices'!$H$113:$I$163,2,FALSE)*Z$55</f>
        <v>125018.61545456648</v>
      </c>
      <c r="AA49" s="103">
        <f>VLOOKUP($A49,'US Grid mix, emissions&amp;prices'!$H$113:$I$163,2,FALSE)*AA$55</f>
        <v>125018.61545456648</v>
      </c>
      <c r="AB49" s="103">
        <f>VLOOKUP($A49,'US Grid mix, emissions&amp;prices'!$H$113:$I$163,2,FALSE)*AB$55</f>
        <v>125018.61545456648</v>
      </c>
      <c r="AC49" s="103">
        <f>VLOOKUP($A49,'US Grid mix, emissions&amp;prices'!$H$113:$I$163,2,FALSE)*AC$55</f>
        <v>125018.61545456648</v>
      </c>
      <c r="AF49" s="123" t="s">
        <v>227</v>
      </c>
      <c r="AG49" s="103">
        <f>VLOOKUP($AF49,'US Grid mix, emissions&amp;prices'!$H$113:$I$163,2,FALSE)*AG$55</f>
        <v>146535.29687656538</v>
      </c>
      <c r="AH49" s="103">
        <f>VLOOKUP($AF49,'US Grid mix, emissions&amp;prices'!$H$113:$I$163,2,FALSE)*AH$55</f>
        <v>146535.29687656538</v>
      </c>
      <c r="AI49" s="103">
        <f>VLOOKUP($AF49,'US Grid mix, emissions&amp;prices'!$H$113:$I$163,2,FALSE)*AI$55</f>
        <v>146535.29687656538</v>
      </c>
      <c r="AJ49" s="103">
        <f>VLOOKUP($AF49,'US Grid mix, emissions&amp;prices'!$H$113:$I$163,2,FALSE)*AJ$55</f>
        <v>146535.29687656538</v>
      </c>
      <c r="AK49" s="103">
        <f>VLOOKUP($AF49,'US Grid mix, emissions&amp;prices'!$H$113:$I$163,2,FALSE)*AK$55</f>
        <v>146535.29687656538</v>
      </c>
      <c r="AL49" s="103">
        <f>VLOOKUP($AF49,'US Grid mix, emissions&amp;prices'!$H$113:$I$163,2,FALSE)*AL$55</f>
        <v>146535.29687656538</v>
      </c>
      <c r="AM49" s="103">
        <f>VLOOKUP($AF49,'US Grid mix, emissions&amp;prices'!$H$113:$I$163,2,FALSE)*AM$55</f>
        <v>146535.29687656538</v>
      </c>
      <c r="AN49" s="103">
        <f>VLOOKUP($AF49,'US Grid mix, emissions&amp;prices'!$H$113:$I$163,2,FALSE)*AN$55</f>
        <v>146535.29687656538</v>
      </c>
      <c r="AO49" s="103">
        <f>VLOOKUP($AF49,'US Grid mix, emissions&amp;prices'!$H$113:$I$163,2,FALSE)*AO$55</f>
        <v>146535.29687656538</v>
      </c>
      <c r="AP49" s="103">
        <f>VLOOKUP($AF49,'US Grid mix, emissions&amp;prices'!$H$113:$I$163,2,FALSE)*AP$55</f>
        <v>146535.29687656538</v>
      </c>
      <c r="AQ49" s="103">
        <f>VLOOKUP($AF49,'US Grid mix, emissions&amp;prices'!$H$113:$I$163,2,FALSE)*AQ$55</f>
        <v>146535.29687656538</v>
      </c>
      <c r="AR49" s="103">
        <f>VLOOKUP($AF49,'US Grid mix, emissions&amp;prices'!$H$113:$I$163,2,FALSE)*AR$55</f>
        <v>146535.29687656538</v>
      </c>
      <c r="AS49" s="103">
        <f>VLOOKUP($AF49,'US Grid mix, emissions&amp;prices'!$H$113:$I$163,2,FALSE)*AS$55</f>
        <v>146535.29687656538</v>
      </c>
      <c r="AT49" s="103">
        <f>VLOOKUP($AF49,'US Grid mix, emissions&amp;prices'!$H$113:$I$163,2,FALSE)*AT$55</f>
        <v>146535.29687656538</v>
      </c>
      <c r="AU49" s="103">
        <f>VLOOKUP($AF49,'US Grid mix, emissions&amp;prices'!$H$113:$I$163,2,FALSE)*AU$55</f>
        <v>146535.29687656538</v>
      </c>
      <c r="AV49" s="103">
        <f>VLOOKUP($AF49,'US Grid mix, emissions&amp;prices'!$H$113:$I$163,2,FALSE)*AV$55</f>
        <v>146535.29687656538</v>
      </c>
      <c r="AW49" s="103">
        <f>VLOOKUP($AF49,'US Grid mix, emissions&amp;prices'!$H$113:$I$163,2,FALSE)*AW$55</f>
        <v>146535.29687656538</v>
      </c>
      <c r="AX49" s="103">
        <f>VLOOKUP($AF49,'US Grid mix, emissions&amp;prices'!$H$113:$I$163,2,FALSE)*AX$55</f>
        <v>146535.29687656538</v>
      </c>
      <c r="AY49" s="103">
        <f>VLOOKUP($AF49,'US Grid mix, emissions&amp;prices'!$H$113:$I$163,2,FALSE)*AY$55</f>
        <v>146535.29687656538</v>
      </c>
      <c r="AZ49" s="103">
        <f>VLOOKUP($AF49,'US Grid mix, emissions&amp;prices'!$H$113:$I$163,2,FALSE)*AZ$55</f>
        <v>146535.29687656538</v>
      </c>
      <c r="BA49" s="103">
        <f>VLOOKUP($AF49,'US Grid mix, emissions&amp;prices'!$H$113:$I$163,2,FALSE)*BA$55</f>
        <v>146535.29687656538</v>
      </c>
      <c r="BB49" s="103">
        <f>VLOOKUP($AF49,'US Grid mix, emissions&amp;prices'!$H$113:$I$163,2,FALSE)*BB$55</f>
        <v>146535.29687656538</v>
      </c>
      <c r="BC49" s="103">
        <f>VLOOKUP($AF49,'US Grid mix, emissions&amp;prices'!$H$113:$I$163,2,FALSE)*BC$55</f>
        <v>146535.29687656538</v>
      </c>
      <c r="BD49" s="103">
        <f>VLOOKUP($AF49,'US Grid mix, emissions&amp;prices'!$H$113:$I$163,2,FALSE)*BD$55</f>
        <v>146535.29687656538</v>
      </c>
      <c r="BE49" s="103">
        <f>VLOOKUP($AF49,'US Grid mix, emissions&amp;prices'!$H$113:$I$163,2,FALSE)*BE$55</f>
        <v>146535.29687656538</v>
      </c>
      <c r="BF49" s="103">
        <f>VLOOKUP($AF49,'US Grid mix, emissions&amp;prices'!$H$113:$I$163,2,FALSE)*BF$55</f>
        <v>146535.29687656538</v>
      </c>
      <c r="BG49" s="103">
        <f>VLOOKUP($AF49,'US Grid mix, emissions&amp;prices'!$H$113:$I$163,2,FALSE)*BG$55</f>
        <v>146535.29687656538</v>
      </c>
      <c r="BH49" s="103">
        <f>VLOOKUP($AF49,'US Grid mix, emissions&amp;prices'!$H$113:$I$163,2,FALSE)*BH$55</f>
        <v>146535.29687656538</v>
      </c>
      <c r="BL49" s="123" t="s">
        <v>227</v>
      </c>
      <c r="BM49" s="103">
        <f>VLOOKUP($BL49,'US Grid mix, emissions&amp;prices'!$H$113:$I$163,2,FALSE)*BM$55</f>
        <v>108936.42555929748</v>
      </c>
      <c r="BN49" s="103">
        <f>VLOOKUP($BL49,'US Grid mix, emissions&amp;prices'!$H$113:$I$163,2,FALSE)*BN$55</f>
        <v>108936.42555929748</v>
      </c>
      <c r="BO49" s="103">
        <f>VLOOKUP($BL49,'US Grid mix, emissions&amp;prices'!$H$113:$I$163,2,FALSE)*BO$55</f>
        <v>108936.42555929748</v>
      </c>
      <c r="BP49" s="103">
        <f>VLOOKUP($BL49,'US Grid mix, emissions&amp;prices'!$H$113:$I$163,2,FALSE)*BP$55</f>
        <v>108936.42555929748</v>
      </c>
      <c r="BQ49" s="103">
        <f>VLOOKUP($BL49,'US Grid mix, emissions&amp;prices'!$H$113:$I$163,2,FALSE)*BQ$55</f>
        <v>108936.42555929748</v>
      </c>
      <c r="BR49" s="103">
        <f>VLOOKUP($BL49,'US Grid mix, emissions&amp;prices'!$H$113:$I$163,2,FALSE)*BR$55</f>
        <v>108936.42555929748</v>
      </c>
      <c r="BS49" s="103">
        <f>VLOOKUP($BL49,'US Grid mix, emissions&amp;prices'!$H$113:$I$163,2,FALSE)*BS$55</f>
        <v>108936.42555929748</v>
      </c>
      <c r="BT49" s="103">
        <f>VLOOKUP($BL49,'US Grid mix, emissions&amp;prices'!$H$113:$I$163,2,FALSE)*BT$55</f>
        <v>108936.42555929748</v>
      </c>
      <c r="BU49" s="103">
        <f>VLOOKUP($BL49,'US Grid mix, emissions&amp;prices'!$H$113:$I$163,2,FALSE)*BU$55</f>
        <v>108936.42555929748</v>
      </c>
      <c r="BV49" s="103">
        <f>VLOOKUP($BL49,'US Grid mix, emissions&amp;prices'!$H$113:$I$163,2,FALSE)*BV$55</f>
        <v>108936.42555929748</v>
      </c>
      <c r="BW49" s="103">
        <f>VLOOKUP($BL49,'US Grid mix, emissions&amp;prices'!$H$113:$I$163,2,FALSE)*BW$55</f>
        <v>108936.42555929748</v>
      </c>
      <c r="BX49" s="103">
        <f>VLOOKUP($BL49,'US Grid mix, emissions&amp;prices'!$H$113:$I$163,2,FALSE)*BX$55</f>
        <v>108936.42555929748</v>
      </c>
      <c r="BY49" s="103">
        <f>VLOOKUP($BL49,'US Grid mix, emissions&amp;prices'!$H$113:$I$163,2,FALSE)*BY$55</f>
        <v>108936.42555929748</v>
      </c>
      <c r="BZ49" s="103">
        <f>VLOOKUP($BL49,'US Grid mix, emissions&amp;prices'!$H$113:$I$163,2,FALSE)*BZ$55</f>
        <v>108936.42555929748</v>
      </c>
      <c r="CA49" s="103">
        <f>VLOOKUP($BL49,'US Grid mix, emissions&amp;prices'!$H$113:$I$163,2,FALSE)*CA$55</f>
        <v>108936.42555929748</v>
      </c>
      <c r="CB49" s="103">
        <f>VLOOKUP($BL49,'US Grid mix, emissions&amp;prices'!$H$113:$I$163,2,FALSE)*CB$55</f>
        <v>108936.42555929748</v>
      </c>
      <c r="CC49" s="103">
        <f>VLOOKUP($BL49,'US Grid mix, emissions&amp;prices'!$H$113:$I$163,2,FALSE)*CC$55</f>
        <v>108936.42555929748</v>
      </c>
      <c r="CD49" s="103">
        <f>VLOOKUP($BL49,'US Grid mix, emissions&amp;prices'!$H$113:$I$163,2,FALSE)*CD$55</f>
        <v>108936.42555929748</v>
      </c>
      <c r="CE49" s="103">
        <f>VLOOKUP($BL49,'US Grid mix, emissions&amp;prices'!$H$113:$I$163,2,FALSE)*CE$55</f>
        <v>108936.42555929748</v>
      </c>
      <c r="CF49" s="103">
        <f>VLOOKUP($BL49,'US Grid mix, emissions&amp;prices'!$H$113:$I$163,2,FALSE)*CF$55</f>
        <v>108936.42555929748</v>
      </c>
      <c r="CG49" s="103">
        <f>VLOOKUP($BL49,'US Grid mix, emissions&amp;prices'!$H$113:$I$163,2,FALSE)*CG$55</f>
        <v>108936.42555929748</v>
      </c>
      <c r="CH49" s="103">
        <f>VLOOKUP($BL49,'US Grid mix, emissions&amp;prices'!$H$113:$I$163,2,FALSE)*CH$55</f>
        <v>108936.42555929748</v>
      </c>
      <c r="CI49" s="103">
        <f>VLOOKUP($BL49,'US Grid mix, emissions&amp;prices'!$H$113:$I$163,2,FALSE)*CI$55</f>
        <v>108936.42555929748</v>
      </c>
      <c r="CJ49" s="103">
        <f>VLOOKUP($BL49,'US Grid mix, emissions&amp;prices'!$H$113:$I$163,2,FALSE)*CJ$55</f>
        <v>108936.42555929748</v>
      </c>
      <c r="CK49" s="103">
        <f>VLOOKUP($BL49,'US Grid mix, emissions&amp;prices'!$H$113:$I$163,2,FALSE)*CK$55</f>
        <v>108936.42555929748</v>
      </c>
      <c r="CL49" s="103">
        <f>VLOOKUP($BL49,'US Grid mix, emissions&amp;prices'!$H$113:$I$163,2,FALSE)*CL$55</f>
        <v>108936.42555929748</v>
      </c>
      <c r="CM49" s="103">
        <f>VLOOKUP($BL49,'US Grid mix, emissions&amp;prices'!$H$113:$I$163,2,FALSE)*CM$55</f>
        <v>108936.42555929748</v>
      </c>
      <c r="CN49" s="103">
        <f>VLOOKUP($BL49,'US Grid mix, emissions&amp;prices'!$H$113:$I$163,2,FALSE)*CN$55</f>
        <v>108936.42555929748</v>
      </c>
    </row>
    <row r="50" spans="1:92" x14ac:dyDescent="0.25">
      <c r="A50" s="123" t="s">
        <v>229</v>
      </c>
      <c r="B50" s="103">
        <f>VLOOKUP($A50,'US Grid mix, emissions&amp;prices'!$H$113:$I$163,2,FALSE)*B$55</f>
        <v>57215.431447044954</v>
      </c>
      <c r="C50" s="103">
        <f>VLOOKUP($A50,'US Grid mix, emissions&amp;prices'!$H$113:$I$163,2,FALSE)*C$55</f>
        <v>57215.431447044954</v>
      </c>
      <c r="D50" s="103">
        <f>VLOOKUP($A50,'US Grid mix, emissions&amp;prices'!$H$113:$I$163,2,FALSE)*D$55</f>
        <v>57215.431447044954</v>
      </c>
      <c r="E50" s="103">
        <f>VLOOKUP($A50,'US Grid mix, emissions&amp;prices'!$H$113:$I$163,2,FALSE)*E$55</f>
        <v>57215.431447044954</v>
      </c>
      <c r="F50" s="103">
        <f>VLOOKUP($A50,'US Grid mix, emissions&amp;prices'!$H$113:$I$163,2,FALSE)*F$55</f>
        <v>57215.431447044954</v>
      </c>
      <c r="G50" s="103">
        <f>VLOOKUP($A50,'US Grid mix, emissions&amp;prices'!$H$113:$I$163,2,FALSE)*G$55</f>
        <v>57215.431447044954</v>
      </c>
      <c r="H50" s="103">
        <f>VLOOKUP($A50,'US Grid mix, emissions&amp;prices'!$H$113:$I$163,2,FALSE)*H$55</f>
        <v>57215.431447044954</v>
      </c>
      <c r="I50" s="103">
        <f>VLOOKUP($A50,'US Grid mix, emissions&amp;prices'!$H$113:$I$163,2,FALSE)*I$55</f>
        <v>57215.431447044954</v>
      </c>
      <c r="J50" s="103">
        <f>VLOOKUP($A50,'US Grid mix, emissions&amp;prices'!$H$113:$I$163,2,FALSE)*J$55</f>
        <v>57215.431447044954</v>
      </c>
      <c r="K50" s="103">
        <f>VLOOKUP($A50,'US Grid mix, emissions&amp;prices'!$H$113:$I$163,2,FALSE)*K$55</f>
        <v>57215.431447044954</v>
      </c>
      <c r="L50" s="103">
        <f>VLOOKUP($A50,'US Grid mix, emissions&amp;prices'!$H$113:$I$163,2,FALSE)*L$55</f>
        <v>57215.431447044954</v>
      </c>
      <c r="M50" s="103">
        <f>VLOOKUP($A50,'US Grid mix, emissions&amp;prices'!$H$113:$I$163,2,FALSE)*M$55</f>
        <v>57215.431447044954</v>
      </c>
      <c r="N50" s="103">
        <f>VLOOKUP($A50,'US Grid mix, emissions&amp;prices'!$H$113:$I$163,2,FALSE)*N$55</f>
        <v>57215.431447044954</v>
      </c>
      <c r="O50" s="103">
        <f>VLOOKUP($A50,'US Grid mix, emissions&amp;prices'!$H$113:$I$163,2,FALSE)*O$55</f>
        <v>57215.431447044954</v>
      </c>
      <c r="P50" s="103">
        <f>VLOOKUP($A50,'US Grid mix, emissions&amp;prices'!$H$113:$I$163,2,FALSE)*P$55</f>
        <v>57215.431447044954</v>
      </c>
      <c r="Q50" s="103">
        <f>VLOOKUP($A50,'US Grid mix, emissions&amp;prices'!$H$113:$I$163,2,FALSE)*Q$55</f>
        <v>57215.431447044954</v>
      </c>
      <c r="R50" s="103">
        <f>VLOOKUP($A50,'US Grid mix, emissions&amp;prices'!$H$113:$I$163,2,FALSE)*R$55</f>
        <v>57215.431447044954</v>
      </c>
      <c r="S50" s="103">
        <f>VLOOKUP($A50,'US Grid mix, emissions&amp;prices'!$H$113:$I$163,2,FALSE)*S$55</f>
        <v>57215.431447044954</v>
      </c>
      <c r="T50" s="103">
        <f>VLOOKUP($A50,'US Grid mix, emissions&amp;prices'!$H$113:$I$163,2,FALSE)*T$55</f>
        <v>57215.431447044954</v>
      </c>
      <c r="U50" s="103">
        <f>VLOOKUP($A50,'US Grid mix, emissions&amp;prices'!$H$113:$I$163,2,FALSE)*U$55</f>
        <v>57215.431447044954</v>
      </c>
      <c r="V50" s="103">
        <f>VLOOKUP($A50,'US Grid mix, emissions&amp;prices'!$H$113:$I$163,2,FALSE)*V$55</f>
        <v>57215.431447044954</v>
      </c>
      <c r="W50" s="103">
        <f>VLOOKUP($A50,'US Grid mix, emissions&amp;prices'!$H$113:$I$163,2,FALSE)*W$55</f>
        <v>57215.431447044954</v>
      </c>
      <c r="X50" s="103">
        <f>VLOOKUP($A50,'US Grid mix, emissions&amp;prices'!$H$113:$I$163,2,FALSE)*X$55</f>
        <v>57215.431447044954</v>
      </c>
      <c r="Y50" s="103">
        <f>VLOOKUP($A50,'US Grid mix, emissions&amp;prices'!$H$113:$I$163,2,FALSE)*Y$55</f>
        <v>57215.431447044954</v>
      </c>
      <c r="Z50" s="103">
        <f>VLOOKUP($A50,'US Grid mix, emissions&amp;prices'!$H$113:$I$163,2,FALSE)*Z$55</f>
        <v>57215.431447044954</v>
      </c>
      <c r="AA50" s="103">
        <f>VLOOKUP($A50,'US Grid mix, emissions&amp;prices'!$H$113:$I$163,2,FALSE)*AA$55</f>
        <v>57215.431447044954</v>
      </c>
      <c r="AB50" s="103">
        <f>VLOOKUP($A50,'US Grid mix, emissions&amp;prices'!$H$113:$I$163,2,FALSE)*AB$55</f>
        <v>57215.431447044954</v>
      </c>
      <c r="AC50" s="103">
        <f>VLOOKUP($A50,'US Grid mix, emissions&amp;prices'!$H$113:$I$163,2,FALSE)*AC$55</f>
        <v>57215.431447044954</v>
      </c>
      <c r="AF50" s="123" t="s">
        <v>229</v>
      </c>
      <c r="AG50" s="103">
        <f>VLOOKUP($AF50,'US Grid mix, emissions&amp;prices'!$H$113:$I$163,2,FALSE)*AG$55</f>
        <v>67062.654649702148</v>
      </c>
      <c r="AH50" s="103">
        <f>VLOOKUP($AF50,'US Grid mix, emissions&amp;prices'!$H$113:$I$163,2,FALSE)*AH$55</f>
        <v>67062.654649702148</v>
      </c>
      <c r="AI50" s="103">
        <f>VLOOKUP($AF50,'US Grid mix, emissions&amp;prices'!$H$113:$I$163,2,FALSE)*AI$55</f>
        <v>67062.654649702148</v>
      </c>
      <c r="AJ50" s="103">
        <f>VLOOKUP($AF50,'US Grid mix, emissions&amp;prices'!$H$113:$I$163,2,FALSE)*AJ$55</f>
        <v>67062.654649702148</v>
      </c>
      <c r="AK50" s="103">
        <f>VLOOKUP($AF50,'US Grid mix, emissions&amp;prices'!$H$113:$I$163,2,FALSE)*AK$55</f>
        <v>67062.654649702148</v>
      </c>
      <c r="AL50" s="103">
        <f>VLOOKUP($AF50,'US Grid mix, emissions&amp;prices'!$H$113:$I$163,2,FALSE)*AL$55</f>
        <v>67062.654649702148</v>
      </c>
      <c r="AM50" s="103">
        <f>VLOOKUP($AF50,'US Grid mix, emissions&amp;prices'!$H$113:$I$163,2,FALSE)*AM$55</f>
        <v>67062.654649702148</v>
      </c>
      <c r="AN50" s="103">
        <f>VLOOKUP($AF50,'US Grid mix, emissions&amp;prices'!$H$113:$I$163,2,FALSE)*AN$55</f>
        <v>67062.654649702148</v>
      </c>
      <c r="AO50" s="103">
        <f>VLOOKUP($AF50,'US Grid mix, emissions&amp;prices'!$H$113:$I$163,2,FALSE)*AO$55</f>
        <v>67062.654649702148</v>
      </c>
      <c r="AP50" s="103">
        <f>VLOOKUP($AF50,'US Grid mix, emissions&amp;prices'!$H$113:$I$163,2,FALSE)*AP$55</f>
        <v>67062.654649702148</v>
      </c>
      <c r="AQ50" s="103">
        <f>VLOOKUP($AF50,'US Grid mix, emissions&amp;prices'!$H$113:$I$163,2,FALSE)*AQ$55</f>
        <v>67062.654649702148</v>
      </c>
      <c r="AR50" s="103">
        <f>VLOOKUP($AF50,'US Grid mix, emissions&amp;prices'!$H$113:$I$163,2,FALSE)*AR$55</f>
        <v>67062.654649702148</v>
      </c>
      <c r="AS50" s="103">
        <f>VLOOKUP($AF50,'US Grid mix, emissions&amp;prices'!$H$113:$I$163,2,FALSE)*AS$55</f>
        <v>67062.654649702148</v>
      </c>
      <c r="AT50" s="103">
        <f>VLOOKUP($AF50,'US Grid mix, emissions&amp;prices'!$H$113:$I$163,2,FALSE)*AT$55</f>
        <v>67062.654649702148</v>
      </c>
      <c r="AU50" s="103">
        <f>VLOOKUP($AF50,'US Grid mix, emissions&amp;prices'!$H$113:$I$163,2,FALSE)*AU$55</f>
        <v>67062.654649702148</v>
      </c>
      <c r="AV50" s="103">
        <f>VLOOKUP($AF50,'US Grid mix, emissions&amp;prices'!$H$113:$I$163,2,FALSE)*AV$55</f>
        <v>67062.654649702148</v>
      </c>
      <c r="AW50" s="103">
        <f>VLOOKUP($AF50,'US Grid mix, emissions&amp;prices'!$H$113:$I$163,2,FALSE)*AW$55</f>
        <v>67062.654649702148</v>
      </c>
      <c r="AX50" s="103">
        <f>VLOOKUP($AF50,'US Grid mix, emissions&amp;prices'!$H$113:$I$163,2,FALSE)*AX$55</f>
        <v>67062.654649702148</v>
      </c>
      <c r="AY50" s="103">
        <f>VLOOKUP($AF50,'US Grid mix, emissions&amp;prices'!$H$113:$I$163,2,FALSE)*AY$55</f>
        <v>67062.654649702148</v>
      </c>
      <c r="AZ50" s="103">
        <f>VLOOKUP($AF50,'US Grid mix, emissions&amp;prices'!$H$113:$I$163,2,FALSE)*AZ$55</f>
        <v>67062.654649702148</v>
      </c>
      <c r="BA50" s="103">
        <f>VLOOKUP($AF50,'US Grid mix, emissions&amp;prices'!$H$113:$I$163,2,FALSE)*BA$55</f>
        <v>67062.654649702148</v>
      </c>
      <c r="BB50" s="103">
        <f>VLOOKUP($AF50,'US Grid mix, emissions&amp;prices'!$H$113:$I$163,2,FALSE)*BB$55</f>
        <v>67062.654649702148</v>
      </c>
      <c r="BC50" s="103">
        <f>VLOOKUP($AF50,'US Grid mix, emissions&amp;prices'!$H$113:$I$163,2,FALSE)*BC$55</f>
        <v>67062.654649702148</v>
      </c>
      <c r="BD50" s="103">
        <f>VLOOKUP($AF50,'US Grid mix, emissions&amp;prices'!$H$113:$I$163,2,FALSE)*BD$55</f>
        <v>67062.654649702148</v>
      </c>
      <c r="BE50" s="103">
        <f>VLOOKUP($AF50,'US Grid mix, emissions&amp;prices'!$H$113:$I$163,2,FALSE)*BE$55</f>
        <v>67062.654649702148</v>
      </c>
      <c r="BF50" s="103">
        <f>VLOOKUP($AF50,'US Grid mix, emissions&amp;prices'!$H$113:$I$163,2,FALSE)*BF$55</f>
        <v>67062.654649702148</v>
      </c>
      <c r="BG50" s="103">
        <f>VLOOKUP($AF50,'US Grid mix, emissions&amp;prices'!$H$113:$I$163,2,FALSE)*BG$55</f>
        <v>67062.654649702148</v>
      </c>
      <c r="BH50" s="103">
        <f>VLOOKUP($AF50,'US Grid mix, emissions&amp;prices'!$H$113:$I$163,2,FALSE)*BH$55</f>
        <v>67062.654649702148</v>
      </c>
      <c r="BL50" s="123" t="s">
        <v>229</v>
      </c>
      <c r="BM50" s="103">
        <f>VLOOKUP($BL50,'US Grid mix, emissions&amp;prices'!$H$113:$I$163,2,FALSE)*BM$55</f>
        <v>49855.332072040132</v>
      </c>
      <c r="BN50" s="103">
        <f>VLOOKUP($BL50,'US Grid mix, emissions&amp;prices'!$H$113:$I$163,2,FALSE)*BN$55</f>
        <v>49855.332072040132</v>
      </c>
      <c r="BO50" s="103">
        <f>VLOOKUP($BL50,'US Grid mix, emissions&amp;prices'!$H$113:$I$163,2,FALSE)*BO$55</f>
        <v>49855.332072040132</v>
      </c>
      <c r="BP50" s="103">
        <f>VLOOKUP($BL50,'US Grid mix, emissions&amp;prices'!$H$113:$I$163,2,FALSE)*BP$55</f>
        <v>49855.332072040132</v>
      </c>
      <c r="BQ50" s="103">
        <f>VLOOKUP($BL50,'US Grid mix, emissions&amp;prices'!$H$113:$I$163,2,FALSE)*BQ$55</f>
        <v>49855.332072040132</v>
      </c>
      <c r="BR50" s="103">
        <f>VLOOKUP($BL50,'US Grid mix, emissions&amp;prices'!$H$113:$I$163,2,FALSE)*BR$55</f>
        <v>49855.332072040132</v>
      </c>
      <c r="BS50" s="103">
        <f>VLOOKUP($BL50,'US Grid mix, emissions&amp;prices'!$H$113:$I$163,2,FALSE)*BS$55</f>
        <v>49855.332072040132</v>
      </c>
      <c r="BT50" s="103">
        <f>VLOOKUP($BL50,'US Grid mix, emissions&amp;prices'!$H$113:$I$163,2,FALSE)*BT$55</f>
        <v>49855.332072040132</v>
      </c>
      <c r="BU50" s="103">
        <f>VLOOKUP($BL50,'US Grid mix, emissions&amp;prices'!$H$113:$I$163,2,FALSE)*BU$55</f>
        <v>49855.332072040132</v>
      </c>
      <c r="BV50" s="103">
        <f>VLOOKUP($BL50,'US Grid mix, emissions&amp;prices'!$H$113:$I$163,2,FALSE)*BV$55</f>
        <v>49855.332072040132</v>
      </c>
      <c r="BW50" s="103">
        <f>VLOOKUP($BL50,'US Grid mix, emissions&amp;prices'!$H$113:$I$163,2,FALSE)*BW$55</f>
        <v>49855.332072040132</v>
      </c>
      <c r="BX50" s="103">
        <f>VLOOKUP($BL50,'US Grid mix, emissions&amp;prices'!$H$113:$I$163,2,FALSE)*BX$55</f>
        <v>49855.332072040132</v>
      </c>
      <c r="BY50" s="103">
        <f>VLOOKUP($BL50,'US Grid mix, emissions&amp;prices'!$H$113:$I$163,2,FALSE)*BY$55</f>
        <v>49855.332072040132</v>
      </c>
      <c r="BZ50" s="103">
        <f>VLOOKUP($BL50,'US Grid mix, emissions&amp;prices'!$H$113:$I$163,2,FALSE)*BZ$55</f>
        <v>49855.332072040132</v>
      </c>
      <c r="CA50" s="103">
        <f>VLOOKUP($BL50,'US Grid mix, emissions&amp;prices'!$H$113:$I$163,2,FALSE)*CA$55</f>
        <v>49855.332072040132</v>
      </c>
      <c r="CB50" s="103">
        <f>VLOOKUP($BL50,'US Grid mix, emissions&amp;prices'!$H$113:$I$163,2,FALSE)*CB$55</f>
        <v>49855.332072040132</v>
      </c>
      <c r="CC50" s="103">
        <f>VLOOKUP($BL50,'US Grid mix, emissions&amp;prices'!$H$113:$I$163,2,FALSE)*CC$55</f>
        <v>49855.332072040132</v>
      </c>
      <c r="CD50" s="103">
        <f>VLOOKUP($BL50,'US Grid mix, emissions&amp;prices'!$H$113:$I$163,2,FALSE)*CD$55</f>
        <v>49855.332072040132</v>
      </c>
      <c r="CE50" s="103">
        <f>VLOOKUP($BL50,'US Grid mix, emissions&amp;prices'!$H$113:$I$163,2,FALSE)*CE$55</f>
        <v>49855.332072040132</v>
      </c>
      <c r="CF50" s="103">
        <f>VLOOKUP($BL50,'US Grid mix, emissions&amp;prices'!$H$113:$I$163,2,FALSE)*CF$55</f>
        <v>49855.332072040132</v>
      </c>
      <c r="CG50" s="103">
        <f>VLOOKUP($BL50,'US Grid mix, emissions&amp;prices'!$H$113:$I$163,2,FALSE)*CG$55</f>
        <v>49855.332072040132</v>
      </c>
      <c r="CH50" s="103">
        <f>VLOOKUP($BL50,'US Grid mix, emissions&amp;prices'!$H$113:$I$163,2,FALSE)*CH$55</f>
        <v>49855.332072040132</v>
      </c>
      <c r="CI50" s="103">
        <f>VLOOKUP($BL50,'US Grid mix, emissions&amp;prices'!$H$113:$I$163,2,FALSE)*CI$55</f>
        <v>49855.332072040132</v>
      </c>
      <c r="CJ50" s="103">
        <f>VLOOKUP($BL50,'US Grid mix, emissions&amp;prices'!$H$113:$I$163,2,FALSE)*CJ$55</f>
        <v>49855.332072040132</v>
      </c>
      <c r="CK50" s="103">
        <f>VLOOKUP($BL50,'US Grid mix, emissions&amp;prices'!$H$113:$I$163,2,FALSE)*CK$55</f>
        <v>49855.332072040132</v>
      </c>
      <c r="CL50" s="103">
        <f>VLOOKUP($BL50,'US Grid mix, emissions&amp;prices'!$H$113:$I$163,2,FALSE)*CL$55</f>
        <v>49855.332072040132</v>
      </c>
      <c r="CM50" s="103">
        <f>VLOOKUP($BL50,'US Grid mix, emissions&amp;prices'!$H$113:$I$163,2,FALSE)*CM$55</f>
        <v>49855.332072040132</v>
      </c>
      <c r="CN50" s="103">
        <f>VLOOKUP($BL50,'US Grid mix, emissions&amp;prices'!$H$113:$I$163,2,FALSE)*CN$55</f>
        <v>49855.332072040132</v>
      </c>
    </row>
    <row r="51" spans="1:92" x14ac:dyDescent="0.25">
      <c r="A51" s="123" t="s">
        <v>159</v>
      </c>
      <c r="B51" s="103">
        <f>VLOOKUP($A51,'US Grid mix, emissions&amp;prices'!$H$113:$I$163,2,FALSE)*B$55</f>
        <v>395426.64498578158</v>
      </c>
      <c r="C51" s="103">
        <f>VLOOKUP($A51,'US Grid mix, emissions&amp;prices'!$H$113:$I$163,2,FALSE)*C$55</f>
        <v>395426.64498578158</v>
      </c>
      <c r="D51" s="103">
        <f>VLOOKUP($A51,'US Grid mix, emissions&amp;prices'!$H$113:$I$163,2,FALSE)*D$55</f>
        <v>395426.64498578158</v>
      </c>
      <c r="E51" s="103">
        <f>VLOOKUP($A51,'US Grid mix, emissions&amp;prices'!$H$113:$I$163,2,FALSE)*E$55</f>
        <v>395426.64498578158</v>
      </c>
      <c r="F51" s="103">
        <f>VLOOKUP($A51,'US Grid mix, emissions&amp;prices'!$H$113:$I$163,2,FALSE)*F$55</f>
        <v>395426.64498578158</v>
      </c>
      <c r="G51" s="103">
        <f>VLOOKUP($A51,'US Grid mix, emissions&amp;prices'!$H$113:$I$163,2,FALSE)*G$55</f>
        <v>395426.64498578158</v>
      </c>
      <c r="H51" s="103">
        <f>VLOOKUP($A51,'US Grid mix, emissions&amp;prices'!$H$113:$I$163,2,FALSE)*H$55</f>
        <v>395426.64498578158</v>
      </c>
      <c r="I51" s="103">
        <f>VLOOKUP($A51,'US Grid mix, emissions&amp;prices'!$H$113:$I$163,2,FALSE)*I$55</f>
        <v>395426.64498578158</v>
      </c>
      <c r="J51" s="103">
        <f>VLOOKUP($A51,'US Grid mix, emissions&amp;prices'!$H$113:$I$163,2,FALSE)*J$55</f>
        <v>395426.64498578158</v>
      </c>
      <c r="K51" s="103">
        <f>VLOOKUP($A51,'US Grid mix, emissions&amp;prices'!$H$113:$I$163,2,FALSE)*K$55</f>
        <v>395426.64498578158</v>
      </c>
      <c r="L51" s="103">
        <f>VLOOKUP($A51,'US Grid mix, emissions&amp;prices'!$H$113:$I$163,2,FALSE)*L$55</f>
        <v>395426.64498578158</v>
      </c>
      <c r="M51" s="103">
        <f>VLOOKUP($A51,'US Grid mix, emissions&amp;prices'!$H$113:$I$163,2,FALSE)*M$55</f>
        <v>395426.64498578158</v>
      </c>
      <c r="N51" s="103">
        <f>VLOOKUP($A51,'US Grid mix, emissions&amp;prices'!$H$113:$I$163,2,FALSE)*N$55</f>
        <v>395426.64498578158</v>
      </c>
      <c r="O51" s="103">
        <f>VLOOKUP($A51,'US Grid mix, emissions&amp;prices'!$H$113:$I$163,2,FALSE)*O$55</f>
        <v>395426.64498578158</v>
      </c>
      <c r="P51" s="103">
        <f>VLOOKUP($A51,'US Grid mix, emissions&amp;prices'!$H$113:$I$163,2,FALSE)*P$55</f>
        <v>395426.64498578158</v>
      </c>
      <c r="Q51" s="103">
        <f>VLOOKUP($A51,'US Grid mix, emissions&amp;prices'!$H$113:$I$163,2,FALSE)*Q$55</f>
        <v>395426.64498578158</v>
      </c>
      <c r="R51" s="103">
        <f>VLOOKUP($A51,'US Grid mix, emissions&amp;prices'!$H$113:$I$163,2,FALSE)*R$55</f>
        <v>395426.64498578158</v>
      </c>
      <c r="S51" s="103">
        <f>VLOOKUP($A51,'US Grid mix, emissions&amp;prices'!$H$113:$I$163,2,FALSE)*S$55</f>
        <v>395426.64498578158</v>
      </c>
      <c r="T51" s="103">
        <f>VLOOKUP($A51,'US Grid mix, emissions&amp;prices'!$H$113:$I$163,2,FALSE)*T$55</f>
        <v>395426.64498578158</v>
      </c>
      <c r="U51" s="103">
        <f>VLOOKUP($A51,'US Grid mix, emissions&amp;prices'!$H$113:$I$163,2,FALSE)*U$55</f>
        <v>395426.64498578158</v>
      </c>
      <c r="V51" s="103">
        <f>VLOOKUP($A51,'US Grid mix, emissions&amp;prices'!$H$113:$I$163,2,FALSE)*V$55</f>
        <v>395426.64498578158</v>
      </c>
      <c r="W51" s="103">
        <f>VLOOKUP($A51,'US Grid mix, emissions&amp;prices'!$H$113:$I$163,2,FALSE)*W$55</f>
        <v>395426.64498578158</v>
      </c>
      <c r="X51" s="103">
        <f>VLOOKUP($A51,'US Grid mix, emissions&amp;prices'!$H$113:$I$163,2,FALSE)*X$55</f>
        <v>395426.64498578158</v>
      </c>
      <c r="Y51" s="103">
        <f>VLOOKUP($A51,'US Grid mix, emissions&amp;prices'!$H$113:$I$163,2,FALSE)*Y$55</f>
        <v>395426.64498578158</v>
      </c>
      <c r="Z51" s="103">
        <f>VLOOKUP($A51,'US Grid mix, emissions&amp;prices'!$H$113:$I$163,2,FALSE)*Z$55</f>
        <v>395426.64498578158</v>
      </c>
      <c r="AA51" s="103">
        <f>VLOOKUP($A51,'US Grid mix, emissions&amp;prices'!$H$113:$I$163,2,FALSE)*AA$55</f>
        <v>395426.64498578158</v>
      </c>
      <c r="AB51" s="103">
        <f>VLOOKUP($A51,'US Grid mix, emissions&amp;prices'!$H$113:$I$163,2,FALSE)*AB$55</f>
        <v>395426.64498578158</v>
      </c>
      <c r="AC51" s="103">
        <f>VLOOKUP($A51,'US Grid mix, emissions&amp;prices'!$H$113:$I$163,2,FALSE)*AC$55</f>
        <v>395426.64498578158</v>
      </c>
      <c r="AF51" s="123" t="s">
        <v>159</v>
      </c>
      <c r="AG51" s="103">
        <f>VLOOKUP($AF51,'US Grid mix, emissions&amp;prices'!$H$113:$I$163,2,FALSE)*AG$55</f>
        <v>463482.66300352185</v>
      </c>
      <c r="AH51" s="103">
        <f>VLOOKUP($AF51,'US Grid mix, emissions&amp;prices'!$H$113:$I$163,2,FALSE)*AH$55</f>
        <v>463482.66300352185</v>
      </c>
      <c r="AI51" s="103">
        <f>VLOOKUP($AF51,'US Grid mix, emissions&amp;prices'!$H$113:$I$163,2,FALSE)*AI$55</f>
        <v>463482.66300352185</v>
      </c>
      <c r="AJ51" s="103">
        <f>VLOOKUP($AF51,'US Grid mix, emissions&amp;prices'!$H$113:$I$163,2,FALSE)*AJ$55</f>
        <v>463482.66300352185</v>
      </c>
      <c r="AK51" s="103">
        <f>VLOOKUP($AF51,'US Grid mix, emissions&amp;prices'!$H$113:$I$163,2,FALSE)*AK$55</f>
        <v>463482.66300352185</v>
      </c>
      <c r="AL51" s="103">
        <f>VLOOKUP($AF51,'US Grid mix, emissions&amp;prices'!$H$113:$I$163,2,FALSE)*AL$55</f>
        <v>463482.66300352185</v>
      </c>
      <c r="AM51" s="103">
        <f>VLOOKUP($AF51,'US Grid mix, emissions&amp;prices'!$H$113:$I$163,2,FALSE)*AM$55</f>
        <v>463482.66300352185</v>
      </c>
      <c r="AN51" s="103">
        <f>VLOOKUP($AF51,'US Grid mix, emissions&amp;prices'!$H$113:$I$163,2,FALSE)*AN$55</f>
        <v>463482.66300352185</v>
      </c>
      <c r="AO51" s="103">
        <f>VLOOKUP($AF51,'US Grid mix, emissions&amp;prices'!$H$113:$I$163,2,FALSE)*AO$55</f>
        <v>463482.66300352185</v>
      </c>
      <c r="AP51" s="103">
        <f>VLOOKUP($AF51,'US Grid mix, emissions&amp;prices'!$H$113:$I$163,2,FALSE)*AP$55</f>
        <v>463482.66300352185</v>
      </c>
      <c r="AQ51" s="103">
        <f>VLOOKUP($AF51,'US Grid mix, emissions&amp;prices'!$H$113:$I$163,2,FALSE)*AQ$55</f>
        <v>463482.66300352185</v>
      </c>
      <c r="AR51" s="103">
        <f>VLOOKUP($AF51,'US Grid mix, emissions&amp;prices'!$H$113:$I$163,2,FALSE)*AR$55</f>
        <v>463482.66300352185</v>
      </c>
      <c r="AS51" s="103">
        <f>VLOOKUP($AF51,'US Grid mix, emissions&amp;prices'!$H$113:$I$163,2,FALSE)*AS$55</f>
        <v>463482.66300352185</v>
      </c>
      <c r="AT51" s="103">
        <f>VLOOKUP($AF51,'US Grid mix, emissions&amp;prices'!$H$113:$I$163,2,FALSE)*AT$55</f>
        <v>463482.66300352185</v>
      </c>
      <c r="AU51" s="103">
        <f>VLOOKUP($AF51,'US Grid mix, emissions&amp;prices'!$H$113:$I$163,2,FALSE)*AU$55</f>
        <v>463482.66300352185</v>
      </c>
      <c r="AV51" s="103">
        <f>VLOOKUP($AF51,'US Grid mix, emissions&amp;prices'!$H$113:$I$163,2,FALSE)*AV$55</f>
        <v>463482.66300352185</v>
      </c>
      <c r="AW51" s="103">
        <f>VLOOKUP($AF51,'US Grid mix, emissions&amp;prices'!$H$113:$I$163,2,FALSE)*AW$55</f>
        <v>463482.66300352185</v>
      </c>
      <c r="AX51" s="103">
        <f>VLOOKUP($AF51,'US Grid mix, emissions&amp;prices'!$H$113:$I$163,2,FALSE)*AX$55</f>
        <v>463482.66300352185</v>
      </c>
      <c r="AY51" s="103">
        <f>VLOOKUP($AF51,'US Grid mix, emissions&amp;prices'!$H$113:$I$163,2,FALSE)*AY$55</f>
        <v>463482.66300352185</v>
      </c>
      <c r="AZ51" s="103">
        <f>VLOOKUP($AF51,'US Grid mix, emissions&amp;prices'!$H$113:$I$163,2,FALSE)*AZ$55</f>
        <v>463482.66300352185</v>
      </c>
      <c r="BA51" s="103">
        <f>VLOOKUP($AF51,'US Grid mix, emissions&amp;prices'!$H$113:$I$163,2,FALSE)*BA$55</f>
        <v>463482.66300352185</v>
      </c>
      <c r="BB51" s="103">
        <f>VLOOKUP($AF51,'US Grid mix, emissions&amp;prices'!$H$113:$I$163,2,FALSE)*BB$55</f>
        <v>463482.66300352185</v>
      </c>
      <c r="BC51" s="103">
        <f>VLOOKUP($AF51,'US Grid mix, emissions&amp;prices'!$H$113:$I$163,2,FALSE)*BC$55</f>
        <v>463482.66300352185</v>
      </c>
      <c r="BD51" s="103">
        <f>VLOOKUP($AF51,'US Grid mix, emissions&amp;prices'!$H$113:$I$163,2,FALSE)*BD$55</f>
        <v>463482.66300352185</v>
      </c>
      <c r="BE51" s="103">
        <f>VLOOKUP($AF51,'US Grid mix, emissions&amp;prices'!$H$113:$I$163,2,FALSE)*BE$55</f>
        <v>463482.66300352185</v>
      </c>
      <c r="BF51" s="103">
        <f>VLOOKUP($AF51,'US Grid mix, emissions&amp;prices'!$H$113:$I$163,2,FALSE)*BF$55</f>
        <v>463482.66300352185</v>
      </c>
      <c r="BG51" s="103">
        <f>VLOOKUP($AF51,'US Grid mix, emissions&amp;prices'!$H$113:$I$163,2,FALSE)*BG$55</f>
        <v>463482.66300352185</v>
      </c>
      <c r="BH51" s="103">
        <f>VLOOKUP($AF51,'US Grid mix, emissions&amp;prices'!$H$113:$I$163,2,FALSE)*BH$55</f>
        <v>463482.66300352185</v>
      </c>
      <c r="BL51" s="123" t="s">
        <v>159</v>
      </c>
      <c r="BM51" s="103">
        <f>VLOOKUP($BL51,'US Grid mix, emissions&amp;prices'!$H$113:$I$163,2,FALSE)*BM$55</f>
        <v>344559.60913525632</v>
      </c>
      <c r="BN51" s="103">
        <f>VLOOKUP($BL51,'US Grid mix, emissions&amp;prices'!$H$113:$I$163,2,FALSE)*BN$55</f>
        <v>344559.60913525632</v>
      </c>
      <c r="BO51" s="103">
        <f>VLOOKUP($BL51,'US Grid mix, emissions&amp;prices'!$H$113:$I$163,2,FALSE)*BO$55</f>
        <v>344559.60913525632</v>
      </c>
      <c r="BP51" s="103">
        <f>VLOOKUP($BL51,'US Grid mix, emissions&amp;prices'!$H$113:$I$163,2,FALSE)*BP$55</f>
        <v>344559.60913525632</v>
      </c>
      <c r="BQ51" s="103">
        <f>VLOOKUP($BL51,'US Grid mix, emissions&amp;prices'!$H$113:$I$163,2,FALSE)*BQ$55</f>
        <v>344559.60913525632</v>
      </c>
      <c r="BR51" s="103">
        <f>VLOOKUP($BL51,'US Grid mix, emissions&amp;prices'!$H$113:$I$163,2,FALSE)*BR$55</f>
        <v>344559.60913525632</v>
      </c>
      <c r="BS51" s="103">
        <f>VLOOKUP($BL51,'US Grid mix, emissions&amp;prices'!$H$113:$I$163,2,FALSE)*BS$55</f>
        <v>344559.60913525632</v>
      </c>
      <c r="BT51" s="103">
        <f>VLOOKUP($BL51,'US Grid mix, emissions&amp;prices'!$H$113:$I$163,2,FALSE)*BT$55</f>
        <v>344559.60913525632</v>
      </c>
      <c r="BU51" s="103">
        <f>VLOOKUP($BL51,'US Grid mix, emissions&amp;prices'!$H$113:$I$163,2,FALSE)*BU$55</f>
        <v>344559.60913525632</v>
      </c>
      <c r="BV51" s="103">
        <f>VLOOKUP($BL51,'US Grid mix, emissions&amp;prices'!$H$113:$I$163,2,FALSE)*BV$55</f>
        <v>344559.60913525632</v>
      </c>
      <c r="BW51" s="103">
        <f>VLOOKUP($BL51,'US Grid mix, emissions&amp;prices'!$H$113:$I$163,2,FALSE)*BW$55</f>
        <v>344559.60913525632</v>
      </c>
      <c r="BX51" s="103">
        <f>VLOOKUP($BL51,'US Grid mix, emissions&amp;prices'!$H$113:$I$163,2,FALSE)*BX$55</f>
        <v>344559.60913525632</v>
      </c>
      <c r="BY51" s="103">
        <f>VLOOKUP($BL51,'US Grid mix, emissions&amp;prices'!$H$113:$I$163,2,FALSE)*BY$55</f>
        <v>344559.60913525632</v>
      </c>
      <c r="BZ51" s="103">
        <f>VLOOKUP($BL51,'US Grid mix, emissions&amp;prices'!$H$113:$I$163,2,FALSE)*BZ$55</f>
        <v>344559.60913525632</v>
      </c>
      <c r="CA51" s="103">
        <f>VLOOKUP($BL51,'US Grid mix, emissions&amp;prices'!$H$113:$I$163,2,FALSE)*CA$55</f>
        <v>344559.60913525632</v>
      </c>
      <c r="CB51" s="103">
        <f>VLOOKUP($BL51,'US Grid mix, emissions&amp;prices'!$H$113:$I$163,2,FALSE)*CB$55</f>
        <v>344559.60913525632</v>
      </c>
      <c r="CC51" s="103">
        <f>VLOOKUP($BL51,'US Grid mix, emissions&amp;prices'!$H$113:$I$163,2,FALSE)*CC$55</f>
        <v>344559.60913525632</v>
      </c>
      <c r="CD51" s="103">
        <f>VLOOKUP($BL51,'US Grid mix, emissions&amp;prices'!$H$113:$I$163,2,FALSE)*CD$55</f>
        <v>344559.60913525632</v>
      </c>
      <c r="CE51" s="103">
        <f>VLOOKUP($BL51,'US Grid mix, emissions&amp;prices'!$H$113:$I$163,2,FALSE)*CE$55</f>
        <v>344559.60913525632</v>
      </c>
      <c r="CF51" s="103">
        <f>VLOOKUP($BL51,'US Grid mix, emissions&amp;prices'!$H$113:$I$163,2,FALSE)*CF$55</f>
        <v>344559.60913525632</v>
      </c>
      <c r="CG51" s="103">
        <f>VLOOKUP($BL51,'US Grid mix, emissions&amp;prices'!$H$113:$I$163,2,FALSE)*CG$55</f>
        <v>344559.60913525632</v>
      </c>
      <c r="CH51" s="103">
        <f>VLOOKUP($BL51,'US Grid mix, emissions&amp;prices'!$H$113:$I$163,2,FALSE)*CH$55</f>
        <v>344559.60913525632</v>
      </c>
      <c r="CI51" s="103">
        <f>VLOOKUP($BL51,'US Grid mix, emissions&amp;prices'!$H$113:$I$163,2,FALSE)*CI$55</f>
        <v>344559.60913525632</v>
      </c>
      <c r="CJ51" s="103">
        <f>VLOOKUP($BL51,'US Grid mix, emissions&amp;prices'!$H$113:$I$163,2,FALSE)*CJ$55</f>
        <v>344559.60913525632</v>
      </c>
      <c r="CK51" s="103">
        <f>VLOOKUP($BL51,'US Grid mix, emissions&amp;prices'!$H$113:$I$163,2,FALSE)*CK$55</f>
        <v>344559.60913525632</v>
      </c>
      <c r="CL51" s="103">
        <f>VLOOKUP($BL51,'US Grid mix, emissions&amp;prices'!$H$113:$I$163,2,FALSE)*CL$55</f>
        <v>344559.60913525632</v>
      </c>
      <c r="CM51" s="103">
        <f>VLOOKUP($BL51,'US Grid mix, emissions&amp;prices'!$H$113:$I$163,2,FALSE)*CM$55</f>
        <v>344559.60913525632</v>
      </c>
      <c r="CN51" s="103">
        <f>VLOOKUP($BL51,'US Grid mix, emissions&amp;prices'!$H$113:$I$163,2,FALSE)*CN$55</f>
        <v>344559.60913525632</v>
      </c>
    </row>
    <row r="52" spans="1:92" x14ac:dyDescent="0.25">
      <c r="A52" s="123" t="s">
        <v>158</v>
      </c>
      <c r="B52" s="103">
        <f>VLOOKUP($A52,'US Grid mix, emissions&amp;prices'!$H$113:$I$163,2,FALSE)*B$55</f>
        <v>234408.07207096124</v>
      </c>
      <c r="C52" s="103">
        <f>VLOOKUP($A52,'US Grid mix, emissions&amp;prices'!$H$113:$I$163,2,FALSE)*C$55</f>
        <v>234408.07207096124</v>
      </c>
      <c r="D52" s="103">
        <f>VLOOKUP($A52,'US Grid mix, emissions&amp;prices'!$H$113:$I$163,2,FALSE)*D$55</f>
        <v>234408.07207096124</v>
      </c>
      <c r="E52" s="103">
        <f>VLOOKUP($A52,'US Grid mix, emissions&amp;prices'!$H$113:$I$163,2,FALSE)*E$55</f>
        <v>234408.07207096124</v>
      </c>
      <c r="F52" s="103">
        <f>VLOOKUP($A52,'US Grid mix, emissions&amp;prices'!$H$113:$I$163,2,FALSE)*F$55</f>
        <v>234408.07207096124</v>
      </c>
      <c r="G52" s="103">
        <f>VLOOKUP($A52,'US Grid mix, emissions&amp;prices'!$H$113:$I$163,2,FALSE)*G$55</f>
        <v>234408.07207096124</v>
      </c>
      <c r="H52" s="103">
        <f>VLOOKUP($A52,'US Grid mix, emissions&amp;prices'!$H$113:$I$163,2,FALSE)*H$55</f>
        <v>234408.07207096124</v>
      </c>
      <c r="I52" s="103">
        <f>VLOOKUP($A52,'US Grid mix, emissions&amp;prices'!$H$113:$I$163,2,FALSE)*I$55</f>
        <v>234408.07207096124</v>
      </c>
      <c r="J52" s="103">
        <f>VLOOKUP($A52,'US Grid mix, emissions&amp;prices'!$H$113:$I$163,2,FALSE)*J$55</f>
        <v>234408.07207096124</v>
      </c>
      <c r="K52" s="103">
        <f>VLOOKUP($A52,'US Grid mix, emissions&amp;prices'!$H$113:$I$163,2,FALSE)*K$55</f>
        <v>234408.07207096124</v>
      </c>
      <c r="L52" s="103">
        <f>VLOOKUP($A52,'US Grid mix, emissions&amp;prices'!$H$113:$I$163,2,FALSE)*L$55</f>
        <v>234408.07207096124</v>
      </c>
      <c r="M52" s="103">
        <f>VLOOKUP($A52,'US Grid mix, emissions&amp;prices'!$H$113:$I$163,2,FALSE)*M$55</f>
        <v>234408.07207096124</v>
      </c>
      <c r="N52" s="103">
        <f>VLOOKUP($A52,'US Grid mix, emissions&amp;prices'!$H$113:$I$163,2,FALSE)*N$55</f>
        <v>234408.07207096124</v>
      </c>
      <c r="O52" s="103">
        <f>VLOOKUP($A52,'US Grid mix, emissions&amp;prices'!$H$113:$I$163,2,FALSE)*O$55</f>
        <v>234408.07207096124</v>
      </c>
      <c r="P52" s="103">
        <f>VLOOKUP($A52,'US Grid mix, emissions&amp;prices'!$H$113:$I$163,2,FALSE)*P$55</f>
        <v>234408.07207096124</v>
      </c>
      <c r="Q52" s="103">
        <f>VLOOKUP($A52,'US Grid mix, emissions&amp;prices'!$H$113:$I$163,2,FALSE)*Q$55</f>
        <v>234408.07207096124</v>
      </c>
      <c r="R52" s="103">
        <f>VLOOKUP($A52,'US Grid mix, emissions&amp;prices'!$H$113:$I$163,2,FALSE)*R$55</f>
        <v>234408.07207096124</v>
      </c>
      <c r="S52" s="103">
        <f>VLOOKUP($A52,'US Grid mix, emissions&amp;prices'!$H$113:$I$163,2,FALSE)*S$55</f>
        <v>234408.07207096124</v>
      </c>
      <c r="T52" s="103">
        <f>VLOOKUP($A52,'US Grid mix, emissions&amp;prices'!$H$113:$I$163,2,FALSE)*T$55</f>
        <v>234408.07207096124</v>
      </c>
      <c r="U52" s="103">
        <f>VLOOKUP($A52,'US Grid mix, emissions&amp;prices'!$H$113:$I$163,2,FALSE)*U$55</f>
        <v>234408.07207096124</v>
      </c>
      <c r="V52" s="103">
        <f>VLOOKUP($A52,'US Grid mix, emissions&amp;prices'!$H$113:$I$163,2,FALSE)*V$55</f>
        <v>234408.07207096124</v>
      </c>
      <c r="W52" s="103">
        <f>VLOOKUP($A52,'US Grid mix, emissions&amp;prices'!$H$113:$I$163,2,FALSE)*W$55</f>
        <v>234408.07207096124</v>
      </c>
      <c r="X52" s="103">
        <f>VLOOKUP($A52,'US Grid mix, emissions&amp;prices'!$H$113:$I$163,2,FALSE)*X$55</f>
        <v>234408.07207096124</v>
      </c>
      <c r="Y52" s="103">
        <f>VLOOKUP($A52,'US Grid mix, emissions&amp;prices'!$H$113:$I$163,2,FALSE)*Y$55</f>
        <v>234408.07207096124</v>
      </c>
      <c r="Z52" s="103">
        <f>VLOOKUP($A52,'US Grid mix, emissions&amp;prices'!$H$113:$I$163,2,FALSE)*Z$55</f>
        <v>234408.07207096124</v>
      </c>
      <c r="AA52" s="103">
        <f>VLOOKUP($A52,'US Grid mix, emissions&amp;prices'!$H$113:$I$163,2,FALSE)*AA$55</f>
        <v>234408.07207096124</v>
      </c>
      <c r="AB52" s="103">
        <f>VLOOKUP($A52,'US Grid mix, emissions&amp;prices'!$H$113:$I$163,2,FALSE)*AB$55</f>
        <v>234408.07207096124</v>
      </c>
      <c r="AC52" s="103">
        <f>VLOOKUP($A52,'US Grid mix, emissions&amp;prices'!$H$113:$I$163,2,FALSE)*AC$55</f>
        <v>234408.07207096124</v>
      </c>
      <c r="AF52" s="123" t="s">
        <v>158</v>
      </c>
      <c r="AG52" s="103">
        <f>VLOOKUP($AF52,'US Grid mix, emissions&amp;prices'!$H$113:$I$163,2,FALSE)*AG$55</f>
        <v>274751.53445179987</v>
      </c>
      <c r="AH52" s="103">
        <f>VLOOKUP($AF52,'US Grid mix, emissions&amp;prices'!$H$113:$I$163,2,FALSE)*AH$55</f>
        <v>274751.53445179987</v>
      </c>
      <c r="AI52" s="103">
        <f>VLOOKUP($AF52,'US Grid mix, emissions&amp;prices'!$H$113:$I$163,2,FALSE)*AI$55</f>
        <v>274751.53445179987</v>
      </c>
      <c r="AJ52" s="103">
        <f>VLOOKUP($AF52,'US Grid mix, emissions&amp;prices'!$H$113:$I$163,2,FALSE)*AJ$55</f>
        <v>274751.53445179987</v>
      </c>
      <c r="AK52" s="103">
        <f>VLOOKUP($AF52,'US Grid mix, emissions&amp;prices'!$H$113:$I$163,2,FALSE)*AK$55</f>
        <v>274751.53445179987</v>
      </c>
      <c r="AL52" s="103">
        <f>VLOOKUP($AF52,'US Grid mix, emissions&amp;prices'!$H$113:$I$163,2,FALSE)*AL$55</f>
        <v>274751.53445179987</v>
      </c>
      <c r="AM52" s="103">
        <f>VLOOKUP($AF52,'US Grid mix, emissions&amp;prices'!$H$113:$I$163,2,FALSE)*AM$55</f>
        <v>274751.53445179987</v>
      </c>
      <c r="AN52" s="103">
        <f>VLOOKUP($AF52,'US Grid mix, emissions&amp;prices'!$H$113:$I$163,2,FALSE)*AN$55</f>
        <v>274751.53445179987</v>
      </c>
      <c r="AO52" s="103">
        <f>VLOOKUP($AF52,'US Grid mix, emissions&amp;prices'!$H$113:$I$163,2,FALSE)*AO$55</f>
        <v>274751.53445179987</v>
      </c>
      <c r="AP52" s="103">
        <f>VLOOKUP($AF52,'US Grid mix, emissions&amp;prices'!$H$113:$I$163,2,FALSE)*AP$55</f>
        <v>274751.53445179987</v>
      </c>
      <c r="AQ52" s="103">
        <f>VLOOKUP($AF52,'US Grid mix, emissions&amp;prices'!$H$113:$I$163,2,FALSE)*AQ$55</f>
        <v>274751.53445179987</v>
      </c>
      <c r="AR52" s="103">
        <f>VLOOKUP($AF52,'US Grid mix, emissions&amp;prices'!$H$113:$I$163,2,FALSE)*AR$55</f>
        <v>274751.53445179987</v>
      </c>
      <c r="AS52" s="103">
        <f>VLOOKUP($AF52,'US Grid mix, emissions&amp;prices'!$H$113:$I$163,2,FALSE)*AS$55</f>
        <v>274751.53445179987</v>
      </c>
      <c r="AT52" s="103">
        <f>VLOOKUP($AF52,'US Grid mix, emissions&amp;prices'!$H$113:$I$163,2,FALSE)*AT$55</f>
        <v>274751.53445179987</v>
      </c>
      <c r="AU52" s="103">
        <f>VLOOKUP($AF52,'US Grid mix, emissions&amp;prices'!$H$113:$I$163,2,FALSE)*AU$55</f>
        <v>274751.53445179987</v>
      </c>
      <c r="AV52" s="103">
        <f>VLOOKUP($AF52,'US Grid mix, emissions&amp;prices'!$H$113:$I$163,2,FALSE)*AV$55</f>
        <v>274751.53445179987</v>
      </c>
      <c r="AW52" s="103">
        <f>VLOOKUP($AF52,'US Grid mix, emissions&amp;prices'!$H$113:$I$163,2,FALSE)*AW$55</f>
        <v>274751.53445179987</v>
      </c>
      <c r="AX52" s="103">
        <f>VLOOKUP($AF52,'US Grid mix, emissions&amp;prices'!$H$113:$I$163,2,FALSE)*AX$55</f>
        <v>274751.53445179987</v>
      </c>
      <c r="AY52" s="103">
        <f>VLOOKUP($AF52,'US Grid mix, emissions&amp;prices'!$H$113:$I$163,2,FALSE)*AY$55</f>
        <v>274751.53445179987</v>
      </c>
      <c r="AZ52" s="103">
        <f>VLOOKUP($AF52,'US Grid mix, emissions&amp;prices'!$H$113:$I$163,2,FALSE)*AZ$55</f>
        <v>274751.53445179987</v>
      </c>
      <c r="BA52" s="103">
        <f>VLOOKUP($AF52,'US Grid mix, emissions&amp;prices'!$H$113:$I$163,2,FALSE)*BA$55</f>
        <v>274751.53445179987</v>
      </c>
      <c r="BB52" s="103">
        <f>VLOOKUP($AF52,'US Grid mix, emissions&amp;prices'!$H$113:$I$163,2,FALSE)*BB$55</f>
        <v>274751.53445179987</v>
      </c>
      <c r="BC52" s="103">
        <f>VLOOKUP($AF52,'US Grid mix, emissions&amp;prices'!$H$113:$I$163,2,FALSE)*BC$55</f>
        <v>274751.53445179987</v>
      </c>
      <c r="BD52" s="103">
        <f>VLOOKUP($AF52,'US Grid mix, emissions&amp;prices'!$H$113:$I$163,2,FALSE)*BD$55</f>
        <v>274751.53445179987</v>
      </c>
      <c r="BE52" s="103">
        <f>VLOOKUP($AF52,'US Grid mix, emissions&amp;prices'!$H$113:$I$163,2,FALSE)*BE$55</f>
        <v>274751.53445179987</v>
      </c>
      <c r="BF52" s="103">
        <f>VLOOKUP($AF52,'US Grid mix, emissions&amp;prices'!$H$113:$I$163,2,FALSE)*BF$55</f>
        <v>274751.53445179987</v>
      </c>
      <c r="BG52" s="103">
        <f>VLOOKUP($AF52,'US Grid mix, emissions&amp;prices'!$H$113:$I$163,2,FALSE)*BG$55</f>
        <v>274751.53445179987</v>
      </c>
      <c r="BH52" s="103">
        <f>VLOOKUP($AF52,'US Grid mix, emissions&amp;prices'!$H$113:$I$163,2,FALSE)*BH$55</f>
        <v>274751.53445179987</v>
      </c>
      <c r="BL52" s="123" t="s">
        <v>158</v>
      </c>
      <c r="BM52" s="103">
        <f>VLOOKUP($BL52,'US Grid mix, emissions&amp;prices'!$H$113:$I$163,2,FALSE)*BM$55</f>
        <v>204254.20167076393</v>
      </c>
      <c r="BN52" s="103">
        <f>VLOOKUP($BL52,'US Grid mix, emissions&amp;prices'!$H$113:$I$163,2,FALSE)*BN$55</f>
        <v>204254.20167076393</v>
      </c>
      <c r="BO52" s="103">
        <f>VLOOKUP($BL52,'US Grid mix, emissions&amp;prices'!$H$113:$I$163,2,FALSE)*BO$55</f>
        <v>204254.20167076393</v>
      </c>
      <c r="BP52" s="103">
        <f>VLOOKUP($BL52,'US Grid mix, emissions&amp;prices'!$H$113:$I$163,2,FALSE)*BP$55</f>
        <v>204254.20167076393</v>
      </c>
      <c r="BQ52" s="103">
        <f>VLOOKUP($BL52,'US Grid mix, emissions&amp;prices'!$H$113:$I$163,2,FALSE)*BQ$55</f>
        <v>204254.20167076393</v>
      </c>
      <c r="BR52" s="103">
        <f>VLOOKUP($BL52,'US Grid mix, emissions&amp;prices'!$H$113:$I$163,2,FALSE)*BR$55</f>
        <v>204254.20167076393</v>
      </c>
      <c r="BS52" s="103">
        <f>VLOOKUP($BL52,'US Grid mix, emissions&amp;prices'!$H$113:$I$163,2,FALSE)*BS$55</f>
        <v>204254.20167076393</v>
      </c>
      <c r="BT52" s="103">
        <f>VLOOKUP($BL52,'US Grid mix, emissions&amp;prices'!$H$113:$I$163,2,FALSE)*BT$55</f>
        <v>204254.20167076393</v>
      </c>
      <c r="BU52" s="103">
        <f>VLOOKUP($BL52,'US Grid mix, emissions&amp;prices'!$H$113:$I$163,2,FALSE)*BU$55</f>
        <v>204254.20167076393</v>
      </c>
      <c r="BV52" s="103">
        <f>VLOOKUP($BL52,'US Grid mix, emissions&amp;prices'!$H$113:$I$163,2,FALSE)*BV$55</f>
        <v>204254.20167076393</v>
      </c>
      <c r="BW52" s="103">
        <f>VLOOKUP($BL52,'US Grid mix, emissions&amp;prices'!$H$113:$I$163,2,FALSE)*BW$55</f>
        <v>204254.20167076393</v>
      </c>
      <c r="BX52" s="103">
        <f>VLOOKUP($BL52,'US Grid mix, emissions&amp;prices'!$H$113:$I$163,2,FALSE)*BX$55</f>
        <v>204254.20167076393</v>
      </c>
      <c r="BY52" s="103">
        <f>VLOOKUP($BL52,'US Grid mix, emissions&amp;prices'!$H$113:$I$163,2,FALSE)*BY$55</f>
        <v>204254.20167076393</v>
      </c>
      <c r="BZ52" s="103">
        <f>VLOOKUP($BL52,'US Grid mix, emissions&amp;prices'!$H$113:$I$163,2,FALSE)*BZ$55</f>
        <v>204254.20167076393</v>
      </c>
      <c r="CA52" s="103">
        <f>VLOOKUP($BL52,'US Grid mix, emissions&amp;prices'!$H$113:$I$163,2,FALSE)*CA$55</f>
        <v>204254.20167076393</v>
      </c>
      <c r="CB52" s="103">
        <f>VLOOKUP($BL52,'US Grid mix, emissions&amp;prices'!$H$113:$I$163,2,FALSE)*CB$55</f>
        <v>204254.20167076393</v>
      </c>
      <c r="CC52" s="103">
        <f>VLOOKUP($BL52,'US Grid mix, emissions&amp;prices'!$H$113:$I$163,2,FALSE)*CC$55</f>
        <v>204254.20167076393</v>
      </c>
      <c r="CD52" s="103">
        <f>VLOOKUP($BL52,'US Grid mix, emissions&amp;prices'!$H$113:$I$163,2,FALSE)*CD$55</f>
        <v>204254.20167076393</v>
      </c>
      <c r="CE52" s="103">
        <f>VLOOKUP($BL52,'US Grid mix, emissions&amp;prices'!$H$113:$I$163,2,FALSE)*CE$55</f>
        <v>204254.20167076393</v>
      </c>
      <c r="CF52" s="103">
        <f>VLOOKUP($BL52,'US Grid mix, emissions&amp;prices'!$H$113:$I$163,2,FALSE)*CF$55</f>
        <v>204254.20167076393</v>
      </c>
      <c r="CG52" s="103">
        <f>VLOOKUP($BL52,'US Grid mix, emissions&amp;prices'!$H$113:$I$163,2,FALSE)*CG$55</f>
        <v>204254.20167076393</v>
      </c>
      <c r="CH52" s="103">
        <f>VLOOKUP($BL52,'US Grid mix, emissions&amp;prices'!$H$113:$I$163,2,FALSE)*CH$55</f>
        <v>204254.20167076393</v>
      </c>
      <c r="CI52" s="103">
        <f>VLOOKUP($BL52,'US Grid mix, emissions&amp;prices'!$H$113:$I$163,2,FALSE)*CI$55</f>
        <v>204254.20167076393</v>
      </c>
      <c r="CJ52" s="103">
        <f>VLOOKUP($BL52,'US Grid mix, emissions&amp;prices'!$H$113:$I$163,2,FALSE)*CJ$55</f>
        <v>204254.20167076393</v>
      </c>
      <c r="CK52" s="103">
        <f>VLOOKUP($BL52,'US Grid mix, emissions&amp;prices'!$H$113:$I$163,2,FALSE)*CK$55</f>
        <v>204254.20167076393</v>
      </c>
      <c r="CL52" s="103">
        <f>VLOOKUP($BL52,'US Grid mix, emissions&amp;prices'!$H$113:$I$163,2,FALSE)*CL$55</f>
        <v>204254.20167076393</v>
      </c>
      <c r="CM52" s="103">
        <f>VLOOKUP($BL52,'US Grid mix, emissions&amp;prices'!$H$113:$I$163,2,FALSE)*CM$55</f>
        <v>204254.20167076393</v>
      </c>
      <c r="CN52" s="103">
        <f>VLOOKUP($BL52,'US Grid mix, emissions&amp;prices'!$H$113:$I$163,2,FALSE)*CN$55</f>
        <v>204254.20167076393</v>
      </c>
    </row>
    <row r="53" spans="1:92" x14ac:dyDescent="0.25">
      <c r="A53" s="123" t="s">
        <v>160</v>
      </c>
      <c r="B53" s="103">
        <f>VLOOKUP($A53,'US Grid mix, emissions&amp;prices'!$H$113:$I$163,2,FALSE)*B$55</f>
        <v>327030.58946833026</v>
      </c>
      <c r="C53" s="103">
        <f>VLOOKUP($A53,'US Grid mix, emissions&amp;prices'!$H$113:$I$163,2,FALSE)*C$55</f>
        <v>327030.58946833026</v>
      </c>
      <c r="D53" s="103">
        <f>VLOOKUP($A53,'US Grid mix, emissions&amp;prices'!$H$113:$I$163,2,FALSE)*D$55</f>
        <v>327030.58946833026</v>
      </c>
      <c r="E53" s="103">
        <f>VLOOKUP($A53,'US Grid mix, emissions&amp;prices'!$H$113:$I$163,2,FALSE)*E$55</f>
        <v>327030.58946833026</v>
      </c>
      <c r="F53" s="103">
        <f>VLOOKUP($A53,'US Grid mix, emissions&amp;prices'!$H$113:$I$163,2,FALSE)*F$55</f>
        <v>327030.58946833026</v>
      </c>
      <c r="G53" s="103">
        <f>VLOOKUP($A53,'US Grid mix, emissions&amp;prices'!$H$113:$I$163,2,FALSE)*G$55</f>
        <v>327030.58946833026</v>
      </c>
      <c r="H53" s="103">
        <f>VLOOKUP($A53,'US Grid mix, emissions&amp;prices'!$H$113:$I$163,2,FALSE)*H$55</f>
        <v>327030.58946833026</v>
      </c>
      <c r="I53" s="103">
        <f>VLOOKUP($A53,'US Grid mix, emissions&amp;prices'!$H$113:$I$163,2,FALSE)*I$55</f>
        <v>327030.58946833026</v>
      </c>
      <c r="J53" s="103">
        <f>VLOOKUP($A53,'US Grid mix, emissions&amp;prices'!$H$113:$I$163,2,FALSE)*J$55</f>
        <v>327030.58946833026</v>
      </c>
      <c r="K53" s="103">
        <f>VLOOKUP($A53,'US Grid mix, emissions&amp;prices'!$H$113:$I$163,2,FALSE)*K$55</f>
        <v>327030.58946833026</v>
      </c>
      <c r="L53" s="103">
        <f>VLOOKUP($A53,'US Grid mix, emissions&amp;prices'!$H$113:$I$163,2,FALSE)*L$55</f>
        <v>327030.58946833026</v>
      </c>
      <c r="M53" s="103">
        <f>VLOOKUP($A53,'US Grid mix, emissions&amp;prices'!$H$113:$I$163,2,FALSE)*M$55</f>
        <v>327030.58946833026</v>
      </c>
      <c r="N53" s="103">
        <f>VLOOKUP($A53,'US Grid mix, emissions&amp;prices'!$H$113:$I$163,2,FALSE)*N$55</f>
        <v>327030.58946833026</v>
      </c>
      <c r="O53" s="103">
        <f>VLOOKUP($A53,'US Grid mix, emissions&amp;prices'!$H$113:$I$163,2,FALSE)*O$55</f>
        <v>327030.58946833026</v>
      </c>
      <c r="P53" s="103">
        <f>VLOOKUP($A53,'US Grid mix, emissions&amp;prices'!$H$113:$I$163,2,FALSE)*P$55</f>
        <v>327030.58946833026</v>
      </c>
      <c r="Q53" s="103">
        <f>VLOOKUP($A53,'US Grid mix, emissions&amp;prices'!$H$113:$I$163,2,FALSE)*Q$55</f>
        <v>327030.58946833026</v>
      </c>
      <c r="R53" s="103">
        <f>VLOOKUP($A53,'US Grid mix, emissions&amp;prices'!$H$113:$I$163,2,FALSE)*R$55</f>
        <v>327030.58946833026</v>
      </c>
      <c r="S53" s="103">
        <f>VLOOKUP($A53,'US Grid mix, emissions&amp;prices'!$H$113:$I$163,2,FALSE)*S$55</f>
        <v>327030.58946833026</v>
      </c>
      <c r="T53" s="103">
        <f>VLOOKUP($A53,'US Grid mix, emissions&amp;prices'!$H$113:$I$163,2,FALSE)*T$55</f>
        <v>327030.58946833026</v>
      </c>
      <c r="U53" s="103">
        <f>VLOOKUP($A53,'US Grid mix, emissions&amp;prices'!$H$113:$I$163,2,FALSE)*U$55</f>
        <v>327030.58946833026</v>
      </c>
      <c r="V53" s="103">
        <f>VLOOKUP($A53,'US Grid mix, emissions&amp;prices'!$H$113:$I$163,2,FALSE)*V$55</f>
        <v>327030.58946833026</v>
      </c>
      <c r="W53" s="103">
        <f>VLOOKUP($A53,'US Grid mix, emissions&amp;prices'!$H$113:$I$163,2,FALSE)*W$55</f>
        <v>327030.58946833026</v>
      </c>
      <c r="X53" s="103">
        <f>VLOOKUP($A53,'US Grid mix, emissions&amp;prices'!$H$113:$I$163,2,FALSE)*X$55</f>
        <v>327030.58946833026</v>
      </c>
      <c r="Y53" s="103">
        <f>VLOOKUP($A53,'US Grid mix, emissions&amp;prices'!$H$113:$I$163,2,FALSE)*Y$55</f>
        <v>327030.58946833026</v>
      </c>
      <c r="Z53" s="103">
        <f>VLOOKUP($A53,'US Grid mix, emissions&amp;prices'!$H$113:$I$163,2,FALSE)*Z$55</f>
        <v>327030.58946833026</v>
      </c>
      <c r="AA53" s="103">
        <f>VLOOKUP($A53,'US Grid mix, emissions&amp;prices'!$H$113:$I$163,2,FALSE)*AA$55</f>
        <v>327030.58946833026</v>
      </c>
      <c r="AB53" s="103">
        <f>VLOOKUP($A53,'US Grid mix, emissions&amp;prices'!$H$113:$I$163,2,FALSE)*AB$55</f>
        <v>327030.58946833026</v>
      </c>
      <c r="AC53" s="103">
        <f>VLOOKUP($A53,'US Grid mix, emissions&amp;prices'!$H$113:$I$163,2,FALSE)*AC$55</f>
        <v>327030.58946833026</v>
      </c>
      <c r="AF53" s="123" t="s">
        <v>160</v>
      </c>
      <c r="AG53" s="103">
        <f>VLOOKUP($AF53,'US Grid mix, emissions&amp;prices'!$H$113:$I$163,2,FALSE)*AG$55</f>
        <v>383315.11144334584</v>
      </c>
      <c r="AH53" s="103">
        <f>VLOOKUP($AF53,'US Grid mix, emissions&amp;prices'!$H$113:$I$163,2,FALSE)*AH$55</f>
        <v>383315.11144334584</v>
      </c>
      <c r="AI53" s="103">
        <f>VLOOKUP($AF53,'US Grid mix, emissions&amp;prices'!$H$113:$I$163,2,FALSE)*AI$55</f>
        <v>383315.11144334584</v>
      </c>
      <c r="AJ53" s="103">
        <f>VLOOKUP($AF53,'US Grid mix, emissions&amp;prices'!$H$113:$I$163,2,FALSE)*AJ$55</f>
        <v>383315.11144334584</v>
      </c>
      <c r="AK53" s="103">
        <f>VLOOKUP($AF53,'US Grid mix, emissions&amp;prices'!$H$113:$I$163,2,FALSE)*AK$55</f>
        <v>383315.11144334584</v>
      </c>
      <c r="AL53" s="103">
        <f>VLOOKUP($AF53,'US Grid mix, emissions&amp;prices'!$H$113:$I$163,2,FALSE)*AL$55</f>
        <v>383315.11144334584</v>
      </c>
      <c r="AM53" s="103">
        <f>VLOOKUP($AF53,'US Grid mix, emissions&amp;prices'!$H$113:$I$163,2,FALSE)*AM$55</f>
        <v>383315.11144334584</v>
      </c>
      <c r="AN53" s="103">
        <f>VLOOKUP($AF53,'US Grid mix, emissions&amp;prices'!$H$113:$I$163,2,FALSE)*AN$55</f>
        <v>383315.11144334584</v>
      </c>
      <c r="AO53" s="103">
        <f>VLOOKUP($AF53,'US Grid mix, emissions&amp;prices'!$H$113:$I$163,2,FALSE)*AO$55</f>
        <v>383315.11144334584</v>
      </c>
      <c r="AP53" s="103">
        <f>VLOOKUP($AF53,'US Grid mix, emissions&amp;prices'!$H$113:$I$163,2,FALSE)*AP$55</f>
        <v>383315.11144334584</v>
      </c>
      <c r="AQ53" s="103">
        <f>VLOOKUP($AF53,'US Grid mix, emissions&amp;prices'!$H$113:$I$163,2,FALSE)*AQ$55</f>
        <v>383315.11144334584</v>
      </c>
      <c r="AR53" s="103">
        <f>VLOOKUP($AF53,'US Grid mix, emissions&amp;prices'!$H$113:$I$163,2,FALSE)*AR$55</f>
        <v>383315.11144334584</v>
      </c>
      <c r="AS53" s="103">
        <f>VLOOKUP($AF53,'US Grid mix, emissions&amp;prices'!$H$113:$I$163,2,FALSE)*AS$55</f>
        <v>383315.11144334584</v>
      </c>
      <c r="AT53" s="103">
        <f>VLOOKUP($AF53,'US Grid mix, emissions&amp;prices'!$H$113:$I$163,2,FALSE)*AT$55</f>
        <v>383315.11144334584</v>
      </c>
      <c r="AU53" s="103">
        <f>VLOOKUP($AF53,'US Grid mix, emissions&amp;prices'!$H$113:$I$163,2,FALSE)*AU$55</f>
        <v>383315.11144334584</v>
      </c>
      <c r="AV53" s="103">
        <f>VLOOKUP($AF53,'US Grid mix, emissions&amp;prices'!$H$113:$I$163,2,FALSE)*AV$55</f>
        <v>383315.11144334584</v>
      </c>
      <c r="AW53" s="103">
        <f>VLOOKUP($AF53,'US Grid mix, emissions&amp;prices'!$H$113:$I$163,2,FALSE)*AW$55</f>
        <v>383315.11144334584</v>
      </c>
      <c r="AX53" s="103">
        <f>VLOOKUP($AF53,'US Grid mix, emissions&amp;prices'!$H$113:$I$163,2,FALSE)*AX$55</f>
        <v>383315.11144334584</v>
      </c>
      <c r="AY53" s="103">
        <f>VLOOKUP($AF53,'US Grid mix, emissions&amp;prices'!$H$113:$I$163,2,FALSE)*AY$55</f>
        <v>383315.11144334584</v>
      </c>
      <c r="AZ53" s="103">
        <f>VLOOKUP($AF53,'US Grid mix, emissions&amp;prices'!$H$113:$I$163,2,FALSE)*AZ$55</f>
        <v>383315.11144334584</v>
      </c>
      <c r="BA53" s="103">
        <f>VLOOKUP($AF53,'US Grid mix, emissions&amp;prices'!$H$113:$I$163,2,FALSE)*BA$55</f>
        <v>383315.11144334584</v>
      </c>
      <c r="BB53" s="103">
        <f>VLOOKUP($AF53,'US Grid mix, emissions&amp;prices'!$H$113:$I$163,2,FALSE)*BB$55</f>
        <v>383315.11144334584</v>
      </c>
      <c r="BC53" s="103">
        <f>VLOOKUP($AF53,'US Grid mix, emissions&amp;prices'!$H$113:$I$163,2,FALSE)*BC$55</f>
        <v>383315.11144334584</v>
      </c>
      <c r="BD53" s="103">
        <f>VLOOKUP($AF53,'US Grid mix, emissions&amp;prices'!$H$113:$I$163,2,FALSE)*BD$55</f>
        <v>383315.11144334584</v>
      </c>
      <c r="BE53" s="103">
        <f>VLOOKUP($AF53,'US Grid mix, emissions&amp;prices'!$H$113:$I$163,2,FALSE)*BE$55</f>
        <v>383315.11144334584</v>
      </c>
      <c r="BF53" s="103">
        <f>VLOOKUP($AF53,'US Grid mix, emissions&amp;prices'!$H$113:$I$163,2,FALSE)*BF$55</f>
        <v>383315.11144334584</v>
      </c>
      <c r="BG53" s="103">
        <f>VLOOKUP($AF53,'US Grid mix, emissions&amp;prices'!$H$113:$I$163,2,FALSE)*BG$55</f>
        <v>383315.11144334584</v>
      </c>
      <c r="BH53" s="103">
        <f>VLOOKUP($AF53,'US Grid mix, emissions&amp;prices'!$H$113:$I$163,2,FALSE)*BH$55</f>
        <v>383315.11144334584</v>
      </c>
      <c r="BL53" s="123" t="s">
        <v>160</v>
      </c>
      <c r="BM53" s="103">
        <f>VLOOKUP($BL53,'US Grid mix, emissions&amp;prices'!$H$113:$I$163,2,FALSE)*BM$55</f>
        <v>284961.91015790566</v>
      </c>
      <c r="BN53" s="103">
        <f>VLOOKUP($BL53,'US Grid mix, emissions&amp;prices'!$H$113:$I$163,2,FALSE)*BN$55</f>
        <v>284961.91015790566</v>
      </c>
      <c r="BO53" s="103">
        <f>VLOOKUP($BL53,'US Grid mix, emissions&amp;prices'!$H$113:$I$163,2,FALSE)*BO$55</f>
        <v>284961.91015790566</v>
      </c>
      <c r="BP53" s="103">
        <f>VLOOKUP($BL53,'US Grid mix, emissions&amp;prices'!$H$113:$I$163,2,FALSE)*BP$55</f>
        <v>284961.91015790566</v>
      </c>
      <c r="BQ53" s="103">
        <f>VLOOKUP($BL53,'US Grid mix, emissions&amp;prices'!$H$113:$I$163,2,FALSE)*BQ$55</f>
        <v>284961.91015790566</v>
      </c>
      <c r="BR53" s="103">
        <f>VLOOKUP($BL53,'US Grid mix, emissions&amp;prices'!$H$113:$I$163,2,FALSE)*BR$55</f>
        <v>284961.91015790566</v>
      </c>
      <c r="BS53" s="103">
        <f>VLOOKUP($BL53,'US Grid mix, emissions&amp;prices'!$H$113:$I$163,2,FALSE)*BS$55</f>
        <v>284961.91015790566</v>
      </c>
      <c r="BT53" s="103">
        <f>VLOOKUP($BL53,'US Grid mix, emissions&amp;prices'!$H$113:$I$163,2,FALSE)*BT$55</f>
        <v>284961.91015790566</v>
      </c>
      <c r="BU53" s="103">
        <f>VLOOKUP($BL53,'US Grid mix, emissions&amp;prices'!$H$113:$I$163,2,FALSE)*BU$55</f>
        <v>284961.91015790566</v>
      </c>
      <c r="BV53" s="103">
        <f>VLOOKUP($BL53,'US Grid mix, emissions&amp;prices'!$H$113:$I$163,2,FALSE)*BV$55</f>
        <v>284961.91015790566</v>
      </c>
      <c r="BW53" s="103">
        <f>VLOOKUP($BL53,'US Grid mix, emissions&amp;prices'!$H$113:$I$163,2,FALSE)*BW$55</f>
        <v>284961.91015790566</v>
      </c>
      <c r="BX53" s="103">
        <f>VLOOKUP($BL53,'US Grid mix, emissions&amp;prices'!$H$113:$I$163,2,FALSE)*BX$55</f>
        <v>284961.91015790566</v>
      </c>
      <c r="BY53" s="103">
        <f>VLOOKUP($BL53,'US Grid mix, emissions&amp;prices'!$H$113:$I$163,2,FALSE)*BY$55</f>
        <v>284961.91015790566</v>
      </c>
      <c r="BZ53" s="103">
        <f>VLOOKUP($BL53,'US Grid mix, emissions&amp;prices'!$H$113:$I$163,2,FALSE)*BZ$55</f>
        <v>284961.91015790566</v>
      </c>
      <c r="CA53" s="103">
        <f>VLOOKUP($BL53,'US Grid mix, emissions&amp;prices'!$H$113:$I$163,2,FALSE)*CA$55</f>
        <v>284961.91015790566</v>
      </c>
      <c r="CB53" s="103">
        <f>VLOOKUP($BL53,'US Grid mix, emissions&amp;prices'!$H$113:$I$163,2,FALSE)*CB$55</f>
        <v>284961.91015790566</v>
      </c>
      <c r="CC53" s="103">
        <f>VLOOKUP($BL53,'US Grid mix, emissions&amp;prices'!$H$113:$I$163,2,FALSE)*CC$55</f>
        <v>284961.91015790566</v>
      </c>
      <c r="CD53" s="103">
        <f>VLOOKUP($BL53,'US Grid mix, emissions&amp;prices'!$H$113:$I$163,2,FALSE)*CD$55</f>
        <v>284961.91015790566</v>
      </c>
      <c r="CE53" s="103">
        <f>VLOOKUP($BL53,'US Grid mix, emissions&amp;prices'!$H$113:$I$163,2,FALSE)*CE$55</f>
        <v>284961.91015790566</v>
      </c>
      <c r="CF53" s="103">
        <f>VLOOKUP($BL53,'US Grid mix, emissions&amp;prices'!$H$113:$I$163,2,FALSE)*CF$55</f>
        <v>284961.91015790566</v>
      </c>
      <c r="CG53" s="103">
        <f>VLOOKUP($BL53,'US Grid mix, emissions&amp;prices'!$H$113:$I$163,2,FALSE)*CG$55</f>
        <v>284961.91015790566</v>
      </c>
      <c r="CH53" s="103">
        <f>VLOOKUP($BL53,'US Grid mix, emissions&amp;prices'!$H$113:$I$163,2,FALSE)*CH$55</f>
        <v>284961.91015790566</v>
      </c>
      <c r="CI53" s="103">
        <f>VLOOKUP($BL53,'US Grid mix, emissions&amp;prices'!$H$113:$I$163,2,FALSE)*CI$55</f>
        <v>284961.91015790566</v>
      </c>
      <c r="CJ53" s="103">
        <f>VLOOKUP($BL53,'US Grid mix, emissions&amp;prices'!$H$113:$I$163,2,FALSE)*CJ$55</f>
        <v>284961.91015790566</v>
      </c>
      <c r="CK53" s="103">
        <f>VLOOKUP($BL53,'US Grid mix, emissions&amp;prices'!$H$113:$I$163,2,FALSE)*CK$55</f>
        <v>284961.91015790566</v>
      </c>
      <c r="CL53" s="103">
        <f>VLOOKUP($BL53,'US Grid mix, emissions&amp;prices'!$H$113:$I$163,2,FALSE)*CL$55</f>
        <v>284961.91015790566</v>
      </c>
      <c r="CM53" s="103">
        <f>VLOOKUP($BL53,'US Grid mix, emissions&amp;prices'!$H$113:$I$163,2,FALSE)*CM$55</f>
        <v>284961.91015790566</v>
      </c>
      <c r="CN53" s="103">
        <f>VLOOKUP($BL53,'US Grid mix, emissions&amp;prices'!$H$113:$I$163,2,FALSE)*CN$55</f>
        <v>284961.91015790566</v>
      </c>
    </row>
    <row r="54" spans="1:92" x14ac:dyDescent="0.25">
      <c r="A54" s="124" t="s">
        <v>134</v>
      </c>
      <c r="B54" s="103">
        <v>172880</v>
      </c>
      <c r="C54" s="103">
        <v>172880</v>
      </c>
      <c r="D54" s="103">
        <v>172880</v>
      </c>
      <c r="E54" s="103">
        <v>172880</v>
      </c>
      <c r="F54" s="103">
        <v>172880</v>
      </c>
      <c r="G54" s="103">
        <v>172880</v>
      </c>
      <c r="H54" s="103">
        <v>172880</v>
      </c>
      <c r="I54" s="103">
        <v>172880</v>
      </c>
      <c r="J54" s="103">
        <v>172880</v>
      </c>
      <c r="K54" s="103">
        <v>172880</v>
      </c>
      <c r="L54" s="103">
        <v>172880</v>
      </c>
      <c r="M54" s="103">
        <v>172880</v>
      </c>
      <c r="N54" s="103">
        <v>172880</v>
      </c>
      <c r="O54" s="103">
        <v>172880</v>
      </c>
      <c r="P54" s="103">
        <v>172880</v>
      </c>
      <c r="Q54" s="103">
        <v>172880</v>
      </c>
      <c r="R54" s="103">
        <v>172880</v>
      </c>
      <c r="S54" s="103">
        <v>172880</v>
      </c>
      <c r="T54" s="103">
        <v>172880</v>
      </c>
      <c r="U54" s="103">
        <v>172880</v>
      </c>
      <c r="V54" s="103">
        <v>172880</v>
      </c>
      <c r="W54" s="103">
        <v>172880</v>
      </c>
      <c r="X54" s="103">
        <v>172880</v>
      </c>
      <c r="Y54" s="103">
        <v>172880</v>
      </c>
      <c r="Z54" s="103">
        <v>172880</v>
      </c>
      <c r="AA54" s="103">
        <v>172880</v>
      </c>
      <c r="AB54" s="103">
        <v>172880</v>
      </c>
      <c r="AC54" s="103">
        <v>172880</v>
      </c>
      <c r="AF54" s="124" t="s">
        <v>134</v>
      </c>
      <c r="AG54" s="103">
        <v>202634</v>
      </c>
      <c r="AH54" s="103">
        <v>202634</v>
      </c>
      <c r="AI54" s="103">
        <v>202634</v>
      </c>
      <c r="AJ54" s="103">
        <v>202634</v>
      </c>
      <c r="AK54" s="103">
        <v>202634</v>
      </c>
      <c r="AL54" s="103">
        <v>202634</v>
      </c>
      <c r="AM54" s="103">
        <v>202634</v>
      </c>
      <c r="AN54" s="103">
        <v>202634</v>
      </c>
      <c r="AO54" s="103">
        <v>202634</v>
      </c>
      <c r="AP54" s="103">
        <v>202634</v>
      </c>
      <c r="AQ54" s="103">
        <v>202634</v>
      </c>
      <c r="AR54" s="103">
        <v>202634</v>
      </c>
      <c r="AS54" s="103">
        <v>202634</v>
      </c>
      <c r="AT54" s="103">
        <v>202634</v>
      </c>
      <c r="AU54" s="103">
        <v>202634</v>
      </c>
      <c r="AV54" s="103">
        <v>202634</v>
      </c>
      <c r="AW54" s="103">
        <v>202634</v>
      </c>
      <c r="AX54" s="103">
        <v>202634</v>
      </c>
      <c r="AY54" s="103">
        <v>202634</v>
      </c>
      <c r="AZ54" s="103">
        <v>202634</v>
      </c>
      <c r="BA54" s="103">
        <v>202634</v>
      </c>
      <c r="BB54" s="103">
        <v>202634</v>
      </c>
      <c r="BC54" s="103">
        <v>202634</v>
      </c>
      <c r="BD54" s="103">
        <v>202634</v>
      </c>
      <c r="BE54" s="103">
        <v>202634</v>
      </c>
      <c r="BF54" s="103">
        <v>202634</v>
      </c>
      <c r="BG54" s="103">
        <v>202634</v>
      </c>
      <c r="BH54" s="103">
        <v>202634</v>
      </c>
      <c r="BL54" s="124" t="s">
        <v>134</v>
      </c>
      <c r="BM54" s="103">
        <v>150641</v>
      </c>
      <c r="BN54" s="103">
        <v>150641</v>
      </c>
      <c r="BO54" s="103">
        <v>150641</v>
      </c>
      <c r="BP54" s="103">
        <v>150641</v>
      </c>
      <c r="BQ54" s="103">
        <v>150641</v>
      </c>
      <c r="BR54" s="103">
        <v>150641</v>
      </c>
      <c r="BS54" s="103">
        <v>150641</v>
      </c>
      <c r="BT54" s="103">
        <v>150641</v>
      </c>
      <c r="BU54" s="103">
        <v>150641</v>
      </c>
      <c r="BV54" s="103">
        <v>150641</v>
      </c>
      <c r="BW54" s="103">
        <v>150641</v>
      </c>
      <c r="BX54" s="103">
        <v>150641</v>
      </c>
      <c r="BY54" s="103">
        <v>150641</v>
      </c>
      <c r="BZ54" s="103">
        <v>150641</v>
      </c>
      <c r="CA54" s="103">
        <v>150641</v>
      </c>
      <c r="CB54" s="103">
        <v>150641</v>
      </c>
      <c r="CC54" s="103">
        <v>150641</v>
      </c>
      <c r="CD54" s="103">
        <v>150641</v>
      </c>
      <c r="CE54" s="103">
        <v>150641</v>
      </c>
      <c r="CF54" s="103">
        <v>150641</v>
      </c>
      <c r="CG54" s="103">
        <v>150641</v>
      </c>
      <c r="CH54" s="103">
        <v>150641</v>
      </c>
      <c r="CI54" s="103">
        <v>150641</v>
      </c>
      <c r="CJ54" s="103">
        <v>150641</v>
      </c>
      <c r="CK54" s="103">
        <v>150641</v>
      </c>
      <c r="CL54" s="103">
        <v>150641</v>
      </c>
      <c r="CM54" s="103">
        <v>150641</v>
      </c>
      <c r="CN54" s="103">
        <v>150641</v>
      </c>
    </row>
    <row r="55" spans="1:92" x14ac:dyDescent="0.25">
      <c r="A55" s="103"/>
      <c r="B55" s="103">
        <f>B54/'US Grid mix, emissions&amp;prices'!$I$163</f>
        <v>1.3322955279321214</v>
      </c>
      <c r="C55" s="103">
        <f>C54/'US Grid mix, emissions&amp;prices'!$I$163</f>
        <v>1.3322955279321214</v>
      </c>
      <c r="D55" s="103">
        <f>D54/'US Grid mix, emissions&amp;prices'!$I$163</f>
        <v>1.3322955279321214</v>
      </c>
      <c r="E55" s="103">
        <f>E54/'US Grid mix, emissions&amp;prices'!$I$163</f>
        <v>1.3322955279321214</v>
      </c>
      <c r="F55" s="103">
        <f>F54/'US Grid mix, emissions&amp;prices'!$I$163</f>
        <v>1.3322955279321214</v>
      </c>
      <c r="G55" s="103">
        <f>G54/'US Grid mix, emissions&amp;prices'!$I$163</f>
        <v>1.3322955279321214</v>
      </c>
      <c r="H55" s="103">
        <f>H54/'US Grid mix, emissions&amp;prices'!$I$163</f>
        <v>1.3322955279321214</v>
      </c>
      <c r="I55" s="103">
        <f>I54/'US Grid mix, emissions&amp;prices'!$I$163</f>
        <v>1.3322955279321214</v>
      </c>
      <c r="J55" s="103">
        <f>J54/'US Grid mix, emissions&amp;prices'!$I$163</f>
        <v>1.3322955279321214</v>
      </c>
      <c r="K55" s="103">
        <f>K54/'US Grid mix, emissions&amp;prices'!$I$163</f>
        <v>1.3322955279321214</v>
      </c>
      <c r="L55" s="103">
        <f>L54/'US Grid mix, emissions&amp;prices'!$I$163</f>
        <v>1.3322955279321214</v>
      </c>
      <c r="M55" s="103">
        <f>M54/'US Grid mix, emissions&amp;prices'!$I$163</f>
        <v>1.3322955279321214</v>
      </c>
      <c r="N55" s="103">
        <f>N54/'US Grid mix, emissions&amp;prices'!$I$163</f>
        <v>1.3322955279321214</v>
      </c>
      <c r="O55" s="103">
        <f>O54/'US Grid mix, emissions&amp;prices'!$I$163</f>
        <v>1.3322955279321214</v>
      </c>
      <c r="P55" s="103">
        <f>P54/'US Grid mix, emissions&amp;prices'!$I$163</f>
        <v>1.3322955279321214</v>
      </c>
      <c r="Q55" s="103">
        <f>Q54/'US Grid mix, emissions&amp;prices'!$I$163</f>
        <v>1.3322955279321214</v>
      </c>
      <c r="R55" s="103">
        <f>R54/'US Grid mix, emissions&amp;prices'!$I$163</f>
        <v>1.3322955279321214</v>
      </c>
      <c r="S55" s="103">
        <f>S54/'US Grid mix, emissions&amp;prices'!$I$163</f>
        <v>1.3322955279321214</v>
      </c>
      <c r="T55" s="103">
        <f>T54/'US Grid mix, emissions&amp;prices'!$I$163</f>
        <v>1.3322955279321214</v>
      </c>
      <c r="U55" s="103">
        <f>U54/'US Grid mix, emissions&amp;prices'!$I$163</f>
        <v>1.3322955279321214</v>
      </c>
      <c r="V55" s="103">
        <f>V54/'US Grid mix, emissions&amp;prices'!$I$163</f>
        <v>1.3322955279321214</v>
      </c>
      <c r="W55" s="103">
        <f>W54/'US Grid mix, emissions&amp;prices'!$I$163</f>
        <v>1.3322955279321214</v>
      </c>
      <c r="X55" s="103">
        <f>X54/'US Grid mix, emissions&amp;prices'!$I$163</f>
        <v>1.3322955279321214</v>
      </c>
      <c r="Y55" s="103">
        <f>Y54/'US Grid mix, emissions&amp;prices'!$I$163</f>
        <v>1.3322955279321214</v>
      </c>
      <c r="Z55" s="103">
        <f>Z54/'US Grid mix, emissions&amp;prices'!$I$163</f>
        <v>1.3322955279321214</v>
      </c>
      <c r="AA55" s="103">
        <f>AA54/'US Grid mix, emissions&amp;prices'!$I$163</f>
        <v>1.3322955279321214</v>
      </c>
      <c r="AB55" s="103">
        <f>AB54/'US Grid mix, emissions&amp;prices'!$I$163</f>
        <v>1.3322955279321214</v>
      </c>
      <c r="AC55" s="103">
        <f>AC54/'US Grid mix, emissions&amp;prices'!$I$163</f>
        <v>1.3322955279321214</v>
      </c>
      <c r="AF55" s="103"/>
      <c r="AG55" s="103">
        <f>AG54/'US Grid mix, emissions&amp;prices'!$I$163</f>
        <v>1.5615940074444556</v>
      </c>
      <c r="AH55" s="103">
        <f>AH54/'US Grid mix, emissions&amp;prices'!$I$163</f>
        <v>1.5615940074444556</v>
      </c>
      <c r="AI55" s="103">
        <f>AI54/'US Grid mix, emissions&amp;prices'!$I$163</f>
        <v>1.5615940074444556</v>
      </c>
      <c r="AJ55" s="103">
        <f>AJ54/'US Grid mix, emissions&amp;prices'!$I$163</f>
        <v>1.5615940074444556</v>
      </c>
      <c r="AK55" s="103">
        <f>AK54/'US Grid mix, emissions&amp;prices'!$I$163</f>
        <v>1.5615940074444556</v>
      </c>
      <c r="AL55" s="103">
        <f>AL54/'US Grid mix, emissions&amp;prices'!$I$163</f>
        <v>1.5615940074444556</v>
      </c>
      <c r="AM55" s="103">
        <f>AM54/'US Grid mix, emissions&amp;prices'!$I$163</f>
        <v>1.5615940074444556</v>
      </c>
      <c r="AN55" s="103">
        <f>AN54/'US Grid mix, emissions&amp;prices'!$I$163</f>
        <v>1.5615940074444556</v>
      </c>
      <c r="AO55" s="103">
        <f>AO54/'US Grid mix, emissions&amp;prices'!$I$163</f>
        <v>1.5615940074444556</v>
      </c>
      <c r="AP55" s="103">
        <f>AP54/'US Grid mix, emissions&amp;prices'!$I$163</f>
        <v>1.5615940074444556</v>
      </c>
      <c r="AQ55" s="103">
        <f>AQ54/'US Grid mix, emissions&amp;prices'!$I$163</f>
        <v>1.5615940074444556</v>
      </c>
      <c r="AR55" s="103">
        <f>AR54/'US Grid mix, emissions&amp;prices'!$I$163</f>
        <v>1.5615940074444556</v>
      </c>
      <c r="AS55" s="103">
        <f>AS54/'US Grid mix, emissions&amp;prices'!$I$163</f>
        <v>1.5615940074444556</v>
      </c>
      <c r="AT55" s="103">
        <f>AT54/'US Grid mix, emissions&amp;prices'!$I$163</f>
        <v>1.5615940074444556</v>
      </c>
      <c r="AU55" s="103">
        <f>AU54/'US Grid mix, emissions&amp;prices'!$I$163</f>
        <v>1.5615940074444556</v>
      </c>
      <c r="AV55" s="103">
        <f>AV54/'US Grid mix, emissions&amp;prices'!$I$163</f>
        <v>1.5615940074444556</v>
      </c>
      <c r="AW55" s="103">
        <f>AW54/'US Grid mix, emissions&amp;prices'!$I$163</f>
        <v>1.5615940074444556</v>
      </c>
      <c r="AX55" s="103">
        <f>AX54/'US Grid mix, emissions&amp;prices'!$I$163</f>
        <v>1.5615940074444556</v>
      </c>
      <c r="AY55" s="103">
        <f>AY54/'US Grid mix, emissions&amp;prices'!$I$163</f>
        <v>1.5615940074444556</v>
      </c>
      <c r="AZ55" s="103">
        <f>AZ54/'US Grid mix, emissions&amp;prices'!$I$163</f>
        <v>1.5615940074444556</v>
      </c>
      <c r="BA55" s="103">
        <f>BA54/'US Grid mix, emissions&amp;prices'!$I$163</f>
        <v>1.5615940074444556</v>
      </c>
      <c r="BB55" s="103">
        <f>BB54/'US Grid mix, emissions&amp;prices'!$I$163</f>
        <v>1.5615940074444556</v>
      </c>
      <c r="BC55" s="103">
        <f>BC54/'US Grid mix, emissions&amp;prices'!$I$163</f>
        <v>1.5615940074444556</v>
      </c>
      <c r="BD55" s="103">
        <f>BD54/'US Grid mix, emissions&amp;prices'!$I$163</f>
        <v>1.5615940074444556</v>
      </c>
      <c r="BE55" s="103">
        <f>BE54/'US Grid mix, emissions&amp;prices'!$I$163</f>
        <v>1.5615940074444556</v>
      </c>
      <c r="BF55" s="103">
        <f>BF54/'US Grid mix, emissions&amp;prices'!$I$163</f>
        <v>1.5615940074444556</v>
      </c>
      <c r="BG55" s="103">
        <f>BG54/'US Grid mix, emissions&amp;prices'!$I$163</f>
        <v>1.5615940074444556</v>
      </c>
      <c r="BH55" s="103">
        <f>BH54/'US Grid mix, emissions&amp;prices'!$I$163</f>
        <v>1.5615940074444556</v>
      </c>
      <c r="BL55" s="103"/>
      <c r="BM55" s="103">
        <f>BM54/'US Grid mix, emissions&amp;prices'!$I$163</f>
        <v>1.1609112136928661</v>
      </c>
      <c r="BN55" s="103">
        <f>BN54/'US Grid mix, emissions&amp;prices'!$I$163</f>
        <v>1.1609112136928661</v>
      </c>
      <c r="BO55" s="103">
        <f>BO54/'US Grid mix, emissions&amp;prices'!$I$163</f>
        <v>1.1609112136928661</v>
      </c>
      <c r="BP55" s="103">
        <f>BP54/'US Grid mix, emissions&amp;prices'!$I$163</f>
        <v>1.1609112136928661</v>
      </c>
      <c r="BQ55" s="103">
        <f>BQ54/'US Grid mix, emissions&amp;prices'!$I$163</f>
        <v>1.1609112136928661</v>
      </c>
      <c r="BR55" s="103">
        <f>BR54/'US Grid mix, emissions&amp;prices'!$I$163</f>
        <v>1.1609112136928661</v>
      </c>
      <c r="BS55" s="103">
        <f>BS54/'US Grid mix, emissions&amp;prices'!$I$163</f>
        <v>1.1609112136928661</v>
      </c>
      <c r="BT55" s="103">
        <f>BT54/'US Grid mix, emissions&amp;prices'!$I$163</f>
        <v>1.1609112136928661</v>
      </c>
      <c r="BU55" s="103">
        <f>BU54/'US Grid mix, emissions&amp;prices'!$I$163</f>
        <v>1.1609112136928661</v>
      </c>
      <c r="BV55" s="103">
        <f>BV54/'US Grid mix, emissions&amp;prices'!$I$163</f>
        <v>1.1609112136928661</v>
      </c>
      <c r="BW55" s="103">
        <f>BW54/'US Grid mix, emissions&amp;prices'!$I$163</f>
        <v>1.1609112136928661</v>
      </c>
      <c r="BX55" s="103">
        <f>BX54/'US Grid mix, emissions&amp;prices'!$I$163</f>
        <v>1.1609112136928661</v>
      </c>
      <c r="BY55" s="103">
        <f>BY54/'US Grid mix, emissions&amp;prices'!$I$163</f>
        <v>1.1609112136928661</v>
      </c>
      <c r="BZ55" s="103">
        <f>BZ54/'US Grid mix, emissions&amp;prices'!$I$163</f>
        <v>1.1609112136928661</v>
      </c>
      <c r="CA55" s="103">
        <f>CA54/'US Grid mix, emissions&amp;prices'!$I$163</f>
        <v>1.1609112136928661</v>
      </c>
      <c r="CB55" s="103">
        <f>CB54/'US Grid mix, emissions&amp;prices'!$I$163</f>
        <v>1.1609112136928661</v>
      </c>
      <c r="CC55" s="103">
        <f>CC54/'US Grid mix, emissions&amp;prices'!$I$163</f>
        <v>1.1609112136928661</v>
      </c>
      <c r="CD55" s="103">
        <f>CD54/'US Grid mix, emissions&amp;prices'!$I$163</f>
        <v>1.1609112136928661</v>
      </c>
      <c r="CE55" s="103">
        <f>CE54/'US Grid mix, emissions&amp;prices'!$I$163</f>
        <v>1.1609112136928661</v>
      </c>
      <c r="CF55" s="103">
        <f>CF54/'US Grid mix, emissions&amp;prices'!$I$163</f>
        <v>1.1609112136928661</v>
      </c>
      <c r="CG55" s="103">
        <f>CG54/'US Grid mix, emissions&amp;prices'!$I$163</f>
        <v>1.1609112136928661</v>
      </c>
      <c r="CH55" s="103">
        <f>CH54/'US Grid mix, emissions&amp;prices'!$I$163</f>
        <v>1.1609112136928661</v>
      </c>
      <c r="CI55" s="103">
        <f>CI54/'US Grid mix, emissions&amp;prices'!$I$163</f>
        <v>1.1609112136928661</v>
      </c>
      <c r="CJ55" s="103">
        <f>CJ54/'US Grid mix, emissions&amp;prices'!$I$163</f>
        <v>1.1609112136928661</v>
      </c>
      <c r="CK55" s="103">
        <f>CK54/'US Grid mix, emissions&amp;prices'!$I$163</f>
        <v>1.1609112136928661</v>
      </c>
      <c r="CL55" s="103">
        <f>CL54/'US Grid mix, emissions&amp;prices'!$I$163</f>
        <v>1.1609112136928661</v>
      </c>
      <c r="CM55" s="103">
        <f>CM54/'US Grid mix, emissions&amp;prices'!$I$163</f>
        <v>1.1609112136928661</v>
      </c>
      <c r="CN55" s="103">
        <f>CN54/'US Grid mix, emissions&amp;prices'!$I$163</f>
        <v>1.1609112136928661</v>
      </c>
    </row>
    <row r="56" spans="1:92" x14ac:dyDescent="0.25">
      <c r="B56">
        <f>B54/293</f>
        <v>590.03412969283272</v>
      </c>
      <c r="C56">
        <f t="shared" ref="C56:AC56" si="0">C54/293</f>
        <v>590.03412969283272</v>
      </c>
      <c r="D56">
        <f t="shared" si="0"/>
        <v>590.03412969283272</v>
      </c>
      <c r="E56">
        <f t="shared" si="0"/>
        <v>590.03412969283272</v>
      </c>
      <c r="F56">
        <f t="shared" si="0"/>
        <v>590.03412969283272</v>
      </c>
      <c r="G56">
        <f t="shared" si="0"/>
        <v>590.03412969283272</v>
      </c>
      <c r="H56">
        <f t="shared" si="0"/>
        <v>590.03412969283272</v>
      </c>
      <c r="I56">
        <f t="shared" si="0"/>
        <v>590.03412969283272</v>
      </c>
      <c r="J56">
        <f t="shared" si="0"/>
        <v>590.03412969283272</v>
      </c>
      <c r="K56">
        <f t="shared" si="0"/>
        <v>590.03412969283272</v>
      </c>
      <c r="L56">
        <f t="shared" si="0"/>
        <v>590.03412969283272</v>
      </c>
      <c r="M56">
        <f t="shared" si="0"/>
        <v>590.03412969283272</v>
      </c>
      <c r="N56">
        <f t="shared" si="0"/>
        <v>590.03412969283272</v>
      </c>
      <c r="O56">
        <f t="shared" si="0"/>
        <v>590.03412969283272</v>
      </c>
      <c r="P56">
        <f t="shared" si="0"/>
        <v>590.03412969283272</v>
      </c>
      <c r="Q56">
        <f t="shared" si="0"/>
        <v>590.03412969283272</v>
      </c>
      <c r="R56">
        <f t="shared" si="0"/>
        <v>590.03412969283272</v>
      </c>
      <c r="S56">
        <f t="shared" si="0"/>
        <v>590.03412969283272</v>
      </c>
      <c r="T56">
        <f t="shared" si="0"/>
        <v>590.03412969283272</v>
      </c>
      <c r="U56">
        <f t="shared" si="0"/>
        <v>590.03412969283272</v>
      </c>
      <c r="V56">
        <f t="shared" si="0"/>
        <v>590.03412969283272</v>
      </c>
      <c r="W56">
        <f t="shared" si="0"/>
        <v>590.03412969283272</v>
      </c>
      <c r="X56">
        <f t="shared" si="0"/>
        <v>590.03412969283272</v>
      </c>
      <c r="Y56">
        <f t="shared" si="0"/>
        <v>590.03412969283272</v>
      </c>
      <c r="Z56">
        <f t="shared" si="0"/>
        <v>590.03412969283272</v>
      </c>
      <c r="AA56">
        <f t="shared" si="0"/>
        <v>590.03412969283272</v>
      </c>
      <c r="AB56">
        <f t="shared" si="0"/>
        <v>590.03412969283272</v>
      </c>
      <c r="AC56">
        <f t="shared" si="0"/>
        <v>590.03412969283272</v>
      </c>
    </row>
    <row r="57" spans="1:92" x14ac:dyDescent="0.25">
      <c r="A57" s="248" t="s">
        <v>462</v>
      </c>
      <c r="B57" s="249"/>
      <c r="C57" s="249"/>
      <c r="D57" s="250"/>
      <c r="E57" s="248" t="s">
        <v>540</v>
      </c>
      <c r="F57" s="249"/>
      <c r="G57" s="249"/>
      <c r="H57" s="249"/>
      <c r="I57" s="249"/>
      <c r="J57" s="249"/>
      <c r="K57" s="249"/>
      <c r="L57" s="250"/>
      <c r="AF57" s="248" t="s">
        <v>462</v>
      </c>
      <c r="AG57" s="249"/>
      <c r="AH57" s="249"/>
      <c r="AI57" s="250"/>
      <c r="AJ57" s="248" t="s">
        <v>542</v>
      </c>
      <c r="AK57" s="249"/>
      <c r="AL57" s="249"/>
      <c r="AM57" s="249"/>
      <c r="AN57" s="249"/>
      <c r="AO57" s="249"/>
      <c r="AP57" s="249"/>
      <c r="AQ57" s="250"/>
    </row>
    <row r="58" spans="1:92" x14ac:dyDescent="0.25">
      <c r="A58" s="37" t="s">
        <v>3</v>
      </c>
      <c r="B58" s="37">
        <v>2023</v>
      </c>
      <c r="C58" s="37">
        <v>2024</v>
      </c>
      <c r="D58" s="37">
        <v>2025</v>
      </c>
      <c r="E58" s="37">
        <v>2026</v>
      </c>
      <c r="F58" s="37">
        <v>2027</v>
      </c>
      <c r="G58" s="37">
        <v>2028</v>
      </c>
      <c r="H58" s="37">
        <v>2029</v>
      </c>
      <c r="I58" s="37">
        <v>2030</v>
      </c>
      <c r="J58" s="37">
        <v>2031</v>
      </c>
      <c r="K58" s="37">
        <v>2032</v>
      </c>
      <c r="L58" s="37">
        <v>2033</v>
      </c>
      <c r="M58" s="37">
        <v>2034</v>
      </c>
      <c r="N58" s="37">
        <v>2035</v>
      </c>
      <c r="O58" s="37">
        <v>2036</v>
      </c>
      <c r="P58" s="37">
        <v>2037</v>
      </c>
      <c r="Q58" s="37">
        <v>2038</v>
      </c>
      <c r="R58" s="37">
        <v>2039</v>
      </c>
      <c r="S58" s="37">
        <v>2040</v>
      </c>
      <c r="T58" s="37">
        <v>2041</v>
      </c>
      <c r="U58" s="37">
        <v>2042</v>
      </c>
      <c r="V58" s="37">
        <v>2043</v>
      </c>
      <c r="W58" s="37">
        <v>2044</v>
      </c>
      <c r="X58" s="37">
        <v>2045</v>
      </c>
      <c r="Y58" s="37">
        <v>2046</v>
      </c>
      <c r="Z58" s="37">
        <v>2047</v>
      </c>
      <c r="AA58" s="37">
        <v>2048</v>
      </c>
      <c r="AB58" s="37">
        <v>2049</v>
      </c>
      <c r="AC58" s="37">
        <v>2050</v>
      </c>
      <c r="AF58" s="37" t="s">
        <v>3</v>
      </c>
      <c r="AG58" s="37">
        <v>2023</v>
      </c>
      <c r="AH58" s="37">
        <v>2024</v>
      </c>
      <c r="AI58" s="37">
        <v>2025</v>
      </c>
      <c r="AJ58" s="37">
        <v>2026</v>
      </c>
      <c r="AK58" s="37">
        <v>2027</v>
      </c>
      <c r="AL58" s="37">
        <v>2028</v>
      </c>
      <c r="AM58" s="37">
        <v>2029</v>
      </c>
      <c r="AN58" s="37">
        <v>2030</v>
      </c>
      <c r="AO58" s="37">
        <v>2031</v>
      </c>
      <c r="AP58" s="37">
        <v>2032</v>
      </c>
      <c r="AQ58" s="37">
        <v>2033</v>
      </c>
      <c r="AR58" s="37">
        <v>2034</v>
      </c>
      <c r="AS58" s="37">
        <v>2035</v>
      </c>
      <c r="AT58" s="37">
        <v>2036</v>
      </c>
      <c r="AU58" s="37">
        <v>2037</v>
      </c>
      <c r="AV58" s="37">
        <v>2038</v>
      </c>
      <c r="AW58" s="37">
        <v>2039</v>
      </c>
      <c r="AX58" s="37">
        <v>2040</v>
      </c>
      <c r="AY58" s="37">
        <v>2041</v>
      </c>
      <c r="AZ58" s="37">
        <v>2042</v>
      </c>
      <c r="BA58" s="37">
        <v>2043</v>
      </c>
      <c r="BB58" s="37">
        <v>2044</v>
      </c>
      <c r="BC58" s="37">
        <v>2045</v>
      </c>
      <c r="BD58" s="37">
        <v>2046</v>
      </c>
      <c r="BE58" s="37">
        <v>2047</v>
      </c>
      <c r="BF58" s="37">
        <v>2048</v>
      </c>
      <c r="BG58" s="37">
        <v>2049</v>
      </c>
      <c r="BH58" s="37">
        <v>2050</v>
      </c>
    </row>
    <row r="59" spans="1:92" x14ac:dyDescent="0.25">
      <c r="A59" s="83" t="s">
        <v>187</v>
      </c>
      <c r="B59" s="103">
        <f>VLOOKUP($A59,'US Grid mix, emissions&amp;prices'!$H$113:$I$163,2,FALSE)*B$110</f>
        <v>167209.15863780334</v>
      </c>
      <c r="C59" s="103">
        <f>VLOOKUP($A59,'US Grid mix, emissions&amp;prices'!$H$113:$I$163,2,FALSE)*C$110</f>
        <v>167209.15863780334</v>
      </c>
      <c r="D59" s="103">
        <f>VLOOKUP($A59,'US Grid mix, emissions&amp;prices'!$H$113:$I$163,2,FALSE)*D$110</f>
        <v>167209.15863780334</v>
      </c>
      <c r="E59" s="103">
        <f>VLOOKUP($A59,'US Grid mix, emissions&amp;prices'!$H$113:$I$163,2,FALSE)*E$110</f>
        <v>167209.15863780334</v>
      </c>
      <c r="F59" s="103">
        <f>VLOOKUP($A59,'US Grid mix, emissions&amp;prices'!$H$113:$I$163,2,FALSE)*F$110</f>
        <v>167209.15863780334</v>
      </c>
      <c r="G59" s="103">
        <f>VLOOKUP($A59,'US Grid mix, emissions&amp;prices'!$H$113:$I$163,2,FALSE)*G$110</f>
        <v>167209.15863780334</v>
      </c>
      <c r="H59" s="103">
        <f>VLOOKUP($A59,'US Grid mix, emissions&amp;prices'!$H$113:$I$163,2,FALSE)*H$110</f>
        <v>167209.15863780334</v>
      </c>
      <c r="I59" s="103">
        <f>VLOOKUP($A59,'US Grid mix, emissions&amp;prices'!$H$113:$I$163,2,FALSE)*I$110</f>
        <v>167209.15863780334</v>
      </c>
      <c r="J59" s="103">
        <f>VLOOKUP($A59,'US Grid mix, emissions&amp;prices'!$H$113:$I$163,2,FALSE)*J$110</f>
        <v>167209.15863780334</v>
      </c>
      <c r="K59" s="103">
        <f>VLOOKUP($A59,'US Grid mix, emissions&amp;prices'!$H$113:$I$163,2,FALSE)*K$110</f>
        <v>167209.15863780334</v>
      </c>
      <c r="L59" s="103">
        <f>VLOOKUP($A59,'US Grid mix, emissions&amp;prices'!$H$113:$I$163,2,FALSE)*L$110</f>
        <v>167209.15863780334</v>
      </c>
      <c r="M59" s="103">
        <f>VLOOKUP($A59,'US Grid mix, emissions&amp;prices'!$H$113:$I$163,2,FALSE)*M$110</f>
        <v>167209.15863780334</v>
      </c>
      <c r="N59" s="103">
        <f>VLOOKUP($A59,'US Grid mix, emissions&amp;prices'!$H$113:$I$163,2,FALSE)*N$110</f>
        <v>167209.15863780334</v>
      </c>
      <c r="O59" s="103">
        <f>VLOOKUP($A59,'US Grid mix, emissions&amp;prices'!$H$113:$I$163,2,FALSE)*O$110</f>
        <v>167209.15863780334</v>
      </c>
      <c r="P59" s="103">
        <f>VLOOKUP($A59,'US Grid mix, emissions&amp;prices'!$H$113:$I$163,2,FALSE)*P$110</f>
        <v>167209.15863780334</v>
      </c>
      <c r="Q59" s="103">
        <f>VLOOKUP($A59,'US Grid mix, emissions&amp;prices'!$H$113:$I$163,2,FALSE)*Q$110</f>
        <v>167209.15863780334</v>
      </c>
      <c r="R59" s="103">
        <f>VLOOKUP($A59,'US Grid mix, emissions&amp;prices'!$H$113:$I$163,2,FALSE)*R$110</f>
        <v>167209.15863780334</v>
      </c>
      <c r="S59" s="103">
        <f>VLOOKUP($A59,'US Grid mix, emissions&amp;prices'!$H$113:$I$163,2,FALSE)*S$110</f>
        <v>167209.15863780334</v>
      </c>
      <c r="T59" s="103">
        <f>VLOOKUP($A59,'US Grid mix, emissions&amp;prices'!$H$113:$I$163,2,FALSE)*T$110</f>
        <v>167209.15863780334</v>
      </c>
      <c r="U59" s="103">
        <f>VLOOKUP($A59,'US Grid mix, emissions&amp;prices'!$H$113:$I$163,2,FALSE)*U$110</f>
        <v>167209.15863780334</v>
      </c>
      <c r="V59" s="103">
        <f>VLOOKUP($A59,'US Grid mix, emissions&amp;prices'!$H$113:$I$163,2,FALSE)*V$110</f>
        <v>167209.15863780334</v>
      </c>
      <c r="W59" s="103">
        <f>VLOOKUP($A59,'US Grid mix, emissions&amp;prices'!$H$113:$I$163,2,FALSE)*W$110</f>
        <v>167209.15863780334</v>
      </c>
      <c r="X59" s="103">
        <f>VLOOKUP($A59,'US Grid mix, emissions&amp;prices'!$H$113:$I$163,2,FALSE)*X$110</f>
        <v>167209.15863780334</v>
      </c>
      <c r="Y59" s="103">
        <f>VLOOKUP($A59,'US Grid mix, emissions&amp;prices'!$H$113:$I$163,2,FALSE)*Y$110</f>
        <v>167209.15863780334</v>
      </c>
      <c r="Z59" s="103">
        <f>VLOOKUP($A59,'US Grid mix, emissions&amp;prices'!$H$113:$I$163,2,FALSE)*Z$110</f>
        <v>167209.15863780334</v>
      </c>
      <c r="AA59" s="103">
        <f>VLOOKUP($A59,'US Grid mix, emissions&amp;prices'!$H$113:$I$163,2,FALSE)*AA$110</f>
        <v>167209.15863780334</v>
      </c>
      <c r="AB59" s="103">
        <f>VLOOKUP($A59,'US Grid mix, emissions&amp;prices'!$H$113:$I$163,2,FALSE)*AB$110</f>
        <v>167209.15863780334</v>
      </c>
      <c r="AC59" s="103">
        <f>VLOOKUP($A59,'US Grid mix, emissions&amp;prices'!$H$113:$I$163,2,FALSE)*AC$110</f>
        <v>167209.15863780334</v>
      </c>
      <c r="AF59" s="83" t="s">
        <v>187</v>
      </c>
      <c r="AG59" s="103">
        <f>VLOOKUP($AF59,'US Grid mix, emissions&amp;prices'!$H$113:$I$163,2,FALSE)*AG$110</f>
        <v>193701.84636369941</v>
      </c>
      <c r="AH59" s="103">
        <f>VLOOKUP($AF59,'US Grid mix, emissions&amp;prices'!$H$113:$I$163,2,FALSE)*AH$110</f>
        <v>193701.84636369941</v>
      </c>
      <c r="AI59" s="103">
        <f>VLOOKUP($AF59,'US Grid mix, emissions&amp;prices'!$H$113:$I$163,2,FALSE)*AI$110</f>
        <v>193701.84636369941</v>
      </c>
      <c r="AJ59" s="103">
        <f>VLOOKUP($AF59,'US Grid mix, emissions&amp;prices'!$H$113:$I$163,2,FALSE)*AJ$110</f>
        <v>193701.84636369941</v>
      </c>
      <c r="AK59" s="103">
        <f>VLOOKUP($AF59,'US Grid mix, emissions&amp;prices'!$H$113:$I$163,2,FALSE)*AK$110</f>
        <v>193701.84636369941</v>
      </c>
      <c r="AL59" s="103">
        <f>VLOOKUP($AF59,'US Grid mix, emissions&amp;prices'!$H$113:$I$163,2,FALSE)*AL$110</f>
        <v>193701.84636369941</v>
      </c>
      <c r="AM59" s="103">
        <f>VLOOKUP($AF59,'US Grid mix, emissions&amp;prices'!$H$113:$I$163,2,FALSE)*AM$110</f>
        <v>193701.84636369941</v>
      </c>
      <c r="AN59" s="103">
        <f>VLOOKUP($AF59,'US Grid mix, emissions&amp;prices'!$H$113:$I$163,2,FALSE)*AN$110</f>
        <v>193701.84636369941</v>
      </c>
      <c r="AO59" s="103">
        <f>VLOOKUP($AF59,'US Grid mix, emissions&amp;prices'!$H$113:$I$163,2,FALSE)*AO$110</f>
        <v>193701.84636369941</v>
      </c>
      <c r="AP59" s="103">
        <f>VLOOKUP($AF59,'US Grid mix, emissions&amp;prices'!$H$113:$I$163,2,FALSE)*AP$110</f>
        <v>193701.84636369941</v>
      </c>
      <c r="AQ59" s="103">
        <f>VLOOKUP($AF59,'US Grid mix, emissions&amp;prices'!$H$113:$I$163,2,FALSE)*AQ$110</f>
        <v>193701.84636369941</v>
      </c>
      <c r="AR59" s="103">
        <f>VLOOKUP($AF59,'US Grid mix, emissions&amp;prices'!$H$113:$I$163,2,FALSE)*AR$110</f>
        <v>193701.84636369941</v>
      </c>
      <c r="AS59" s="103">
        <f>VLOOKUP($AF59,'US Grid mix, emissions&amp;prices'!$H$113:$I$163,2,FALSE)*AS$110</f>
        <v>193701.84636369941</v>
      </c>
      <c r="AT59" s="103">
        <f>VLOOKUP($AF59,'US Grid mix, emissions&amp;prices'!$H$113:$I$163,2,FALSE)*AT$110</f>
        <v>193701.84636369941</v>
      </c>
      <c r="AU59" s="103">
        <f>VLOOKUP($AF59,'US Grid mix, emissions&amp;prices'!$H$113:$I$163,2,FALSE)*AU$110</f>
        <v>193701.84636369941</v>
      </c>
      <c r="AV59" s="103">
        <f>VLOOKUP($AF59,'US Grid mix, emissions&amp;prices'!$H$113:$I$163,2,FALSE)*AV$110</f>
        <v>193701.84636369941</v>
      </c>
      <c r="AW59" s="103">
        <f>VLOOKUP($AF59,'US Grid mix, emissions&amp;prices'!$H$113:$I$163,2,FALSE)*AW$110</f>
        <v>193701.84636369941</v>
      </c>
      <c r="AX59" s="103">
        <f>VLOOKUP($AF59,'US Grid mix, emissions&amp;prices'!$H$113:$I$163,2,FALSE)*AX$110</f>
        <v>193701.84636369941</v>
      </c>
      <c r="AY59" s="103">
        <f>VLOOKUP($AF59,'US Grid mix, emissions&amp;prices'!$H$113:$I$163,2,FALSE)*AY$110</f>
        <v>193701.84636369941</v>
      </c>
      <c r="AZ59" s="103">
        <f>VLOOKUP($AF59,'US Grid mix, emissions&amp;prices'!$H$113:$I$163,2,FALSE)*AZ$110</f>
        <v>193701.84636369941</v>
      </c>
      <c r="BA59" s="103">
        <f>VLOOKUP($AF59,'US Grid mix, emissions&amp;prices'!$H$113:$I$163,2,FALSE)*BA$110</f>
        <v>193701.84636369941</v>
      </c>
      <c r="BB59" s="103">
        <f>VLOOKUP($AF59,'US Grid mix, emissions&amp;prices'!$H$113:$I$163,2,FALSE)*BB$110</f>
        <v>193701.84636369941</v>
      </c>
      <c r="BC59" s="103">
        <f>VLOOKUP($AF59,'US Grid mix, emissions&amp;prices'!$H$113:$I$163,2,FALSE)*BC$110</f>
        <v>193701.84636369941</v>
      </c>
      <c r="BD59" s="103">
        <f>VLOOKUP($AF59,'US Grid mix, emissions&amp;prices'!$H$113:$I$163,2,FALSE)*BD$110</f>
        <v>193701.84636369941</v>
      </c>
      <c r="BE59" s="103">
        <f>VLOOKUP($AF59,'US Grid mix, emissions&amp;prices'!$H$113:$I$163,2,FALSE)*BE$110</f>
        <v>193701.84636369941</v>
      </c>
      <c r="BF59" s="103">
        <f>VLOOKUP($AF59,'US Grid mix, emissions&amp;prices'!$H$113:$I$163,2,FALSE)*BF$110</f>
        <v>193701.84636369941</v>
      </c>
      <c r="BG59" s="103">
        <f>VLOOKUP($AF59,'US Grid mix, emissions&amp;prices'!$H$113:$I$163,2,FALSE)*BG$110</f>
        <v>193701.84636369941</v>
      </c>
      <c r="BH59" s="103">
        <f>VLOOKUP($AF59,'US Grid mix, emissions&amp;prices'!$H$113:$I$163,2,FALSE)*BH$110</f>
        <v>193701.84636369941</v>
      </c>
    </row>
    <row r="60" spans="1:92" x14ac:dyDescent="0.25">
      <c r="A60" s="83" t="s">
        <v>231</v>
      </c>
      <c r="B60" s="103">
        <f>VLOOKUP($A60,'US Grid mix, emissions&amp;prices'!$H$113:$I$163,2,FALSE)*B$110</f>
        <v>233253.14377201159</v>
      </c>
      <c r="C60" s="103">
        <f>VLOOKUP($A60,'US Grid mix, emissions&amp;prices'!$H$113:$I$163,2,FALSE)*C$110</f>
        <v>233253.14377201159</v>
      </c>
      <c r="D60" s="103">
        <f>VLOOKUP($A60,'US Grid mix, emissions&amp;prices'!$H$113:$I$163,2,FALSE)*D$110</f>
        <v>233253.14377201159</v>
      </c>
      <c r="E60" s="103">
        <f>VLOOKUP($A60,'US Grid mix, emissions&amp;prices'!$H$113:$I$163,2,FALSE)*E$110</f>
        <v>233253.14377201159</v>
      </c>
      <c r="F60" s="103">
        <f>VLOOKUP($A60,'US Grid mix, emissions&amp;prices'!$H$113:$I$163,2,FALSE)*F$110</f>
        <v>233253.14377201159</v>
      </c>
      <c r="G60" s="103">
        <f>VLOOKUP($A60,'US Grid mix, emissions&amp;prices'!$H$113:$I$163,2,FALSE)*G$110</f>
        <v>233253.14377201159</v>
      </c>
      <c r="H60" s="103">
        <f>VLOOKUP($A60,'US Grid mix, emissions&amp;prices'!$H$113:$I$163,2,FALSE)*H$110</f>
        <v>233253.14377201159</v>
      </c>
      <c r="I60" s="103">
        <f>VLOOKUP($A60,'US Grid mix, emissions&amp;prices'!$H$113:$I$163,2,FALSE)*I$110</f>
        <v>233253.14377201159</v>
      </c>
      <c r="J60" s="103">
        <f>VLOOKUP($A60,'US Grid mix, emissions&amp;prices'!$H$113:$I$163,2,FALSE)*J$110</f>
        <v>233253.14377201159</v>
      </c>
      <c r="K60" s="103">
        <f>VLOOKUP($A60,'US Grid mix, emissions&amp;prices'!$H$113:$I$163,2,FALSE)*K$110</f>
        <v>233253.14377201159</v>
      </c>
      <c r="L60" s="103">
        <f>VLOOKUP($A60,'US Grid mix, emissions&amp;prices'!$H$113:$I$163,2,FALSE)*L$110</f>
        <v>233253.14377201159</v>
      </c>
      <c r="M60" s="103">
        <f>VLOOKUP($A60,'US Grid mix, emissions&amp;prices'!$H$113:$I$163,2,FALSE)*M$110</f>
        <v>233253.14377201159</v>
      </c>
      <c r="N60" s="103">
        <f>VLOOKUP($A60,'US Grid mix, emissions&amp;prices'!$H$113:$I$163,2,FALSE)*N$110</f>
        <v>233253.14377201159</v>
      </c>
      <c r="O60" s="103">
        <f>VLOOKUP($A60,'US Grid mix, emissions&amp;prices'!$H$113:$I$163,2,FALSE)*O$110</f>
        <v>233253.14377201159</v>
      </c>
      <c r="P60" s="103">
        <f>VLOOKUP($A60,'US Grid mix, emissions&amp;prices'!$H$113:$I$163,2,FALSE)*P$110</f>
        <v>233253.14377201159</v>
      </c>
      <c r="Q60" s="103">
        <f>VLOOKUP($A60,'US Grid mix, emissions&amp;prices'!$H$113:$I$163,2,FALSE)*Q$110</f>
        <v>233253.14377201159</v>
      </c>
      <c r="R60" s="103">
        <f>VLOOKUP($A60,'US Grid mix, emissions&amp;prices'!$H$113:$I$163,2,FALSE)*R$110</f>
        <v>233253.14377201159</v>
      </c>
      <c r="S60" s="103">
        <f>VLOOKUP($A60,'US Grid mix, emissions&amp;prices'!$H$113:$I$163,2,FALSE)*S$110</f>
        <v>233253.14377201159</v>
      </c>
      <c r="T60" s="103">
        <f>VLOOKUP($A60,'US Grid mix, emissions&amp;prices'!$H$113:$I$163,2,FALSE)*T$110</f>
        <v>233253.14377201159</v>
      </c>
      <c r="U60" s="103">
        <f>VLOOKUP($A60,'US Grid mix, emissions&amp;prices'!$H$113:$I$163,2,FALSE)*U$110</f>
        <v>233253.14377201159</v>
      </c>
      <c r="V60" s="103">
        <f>VLOOKUP($A60,'US Grid mix, emissions&amp;prices'!$H$113:$I$163,2,FALSE)*V$110</f>
        <v>233253.14377201159</v>
      </c>
      <c r="W60" s="103">
        <f>VLOOKUP($A60,'US Grid mix, emissions&amp;prices'!$H$113:$I$163,2,FALSE)*W$110</f>
        <v>233253.14377201159</v>
      </c>
      <c r="X60" s="103">
        <f>VLOOKUP($A60,'US Grid mix, emissions&amp;prices'!$H$113:$I$163,2,FALSE)*X$110</f>
        <v>233253.14377201159</v>
      </c>
      <c r="Y60" s="103">
        <f>VLOOKUP($A60,'US Grid mix, emissions&amp;prices'!$H$113:$I$163,2,FALSE)*Y$110</f>
        <v>233253.14377201159</v>
      </c>
      <c r="Z60" s="103">
        <f>VLOOKUP($A60,'US Grid mix, emissions&amp;prices'!$H$113:$I$163,2,FALSE)*Z$110</f>
        <v>233253.14377201159</v>
      </c>
      <c r="AA60" s="103">
        <f>VLOOKUP($A60,'US Grid mix, emissions&amp;prices'!$H$113:$I$163,2,FALSE)*AA$110</f>
        <v>233253.14377201159</v>
      </c>
      <c r="AB60" s="103">
        <f>VLOOKUP($A60,'US Grid mix, emissions&amp;prices'!$H$113:$I$163,2,FALSE)*AB$110</f>
        <v>233253.14377201159</v>
      </c>
      <c r="AC60" s="103">
        <f>VLOOKUP($A60,'US Grid mix, emissions&amp;prices'!$H$113:$I$163,2,FALSE)*AC$110</f>
        <v>233253.14377201159</v>
      </c>
      <c r="AF60" s="83" t="s">
        <v>231</v>
      </c>
      <c r="AG60" s="103">
        <f>VLOOKUP($AF60,'US Grid mix, emissions&amp;prices'!$H$113:$I$163,2,FALSE)*AG$110</f>
        <v>270209.86761045305</v>
      </c>
      <c r="AH60" s="103">
        <f>VLOOKUP($AF60,'US Grid mix, emissions&amp;prices'!$H$113:$I$163,2,FALSE)*AH$110</f>
        <v>270209.86761045305</v>
      </c>
      <c r="AI60" s="103">
        <f>VLOOKUP($AF60,'US Grid mix, emissions&amp;prices'!$H$113:$I$163,2,FALSE)*AI$110</f>
        <v>270209.86761045305</v>
      </c>
      <c r="AJ60" s="103">
        <f>VLOOKUP($AF60,'US Grid mix, emissions&amp;prices'!$H$113:$I$163,2,FALSE)*AJ$110</f>
        <v>270209.86761045305</v>
      </c>
      <c r="AK60" s="103">
        <f>VLOOKUP($AF60,'US Grid mix, emissions&amp;prices'!$H$113:$I$163,2,FALSE)*AK$110</f>
        <v>270209.86761045305</v>
      </c>
      <c r="AL60" s="103">
        <f>VLOOKUP($AF60,'US Grid mix, emissions&amp;prices'!$H$113:$I$163,2,FALSE)*AL$110</f>
        <v>270209.86761045305</v>
      </c>
      <c r="AM60" s="103">
        <f>VLOOKUP($AF60,'US Grid mix, emissions&amp;prices'!$H$113:$I$163,2,FALSE)*AM$110</f>
        <v>270209.86761045305</v>
      </c>
      <c r="AN60" s="103">
        <f>VLOOKUP($AF60,'US Grid mix, emissions&amp;prices'!$H$113:$I$163,2,FALSE)*AN$110</f>
        <v>270209.86761045305</v>
      </c>
      <c r="AO60" s="103">
        <f>VLOOKUP($AF60,'US Grid mix, emissions&amp;prices'!$H$113:$I$163,2,FALSE)*AO$110</f>
        <v>270209.86761045305</v>
      </c>
      <c r="AP60" s="103">
        <f>VLOOKUP($AF60,'US Grid mix, emissions&amp;prices'!$H$113:$I$163,2,FALSE)*AP$110</f>
        <v>270209.86761045305</v>
      </c>
      <c r="AQ60" s="103">
        <f>VLOOKUP($AF60,'US Grid mix, emissions&amp;prices'!$H$113:$I$163,2,FALSE)*AQ$110</f>
        <v>270209.86761045305</v>
      </c>
      <c r="AR60" s="103">
        <f>VLOOKUP($AF60,'US Grid mix, emissions&amp;prices'!$H$113:$I$163,2,FALSE)*AR$110</f>
        <v>270209.86761045305</v>
      </c>
      <c r="AS60" s="103">
        <f>VLOOKUP($AF60,'US Grid mix, emissions&amp;prices'!$H$113:$I$163,2,FALSE)*AS$110</f>
        <v>270209.86761045305</v>
      </c>
      <c r="AT60" s="103">
        <f>VLOOKUP($AF60,'US Grid mix, emissions&amp;prices'!$H$113:$I$163,2,FALSE)*AT$110</f>
        <v>270209.86761045305</v>
      </c>
      <c r="AU60" s="103">
        <f>VLOOKUP($AF60,'US Grid mix, emissions&amp;prices'!$H$113:$I$163,2,FALSE)*AU$110</f>
        <v>270209.86761045305</v>
      </c>
      <c r="AV60" s="103">
        <f>VLOOKUP($AF60,'US Grid mix, emissions&amp;prices'!$H$113:$I$163,2,FALSE)*AV$110</f>
        <v>270209.86761045305</v>
      </c>
      <c r="AW60" s="103">
        <f>VLOOKUP($AF60,'US Grid mix, emissions&amp;prices'!$H$113:$I$163,2,FALSE)*AW$110</f>
        <v>270209.86761045305</v>
      </c>
      <c r="AX60" s="103">
        <f>VLOOKUP($AF60,'US Grid mix, emissions&amp;prices'!$H$113:$I$163,2,FALSE)*AX$110</f>
        <v>270209.86761045305</v>
      </c>
      <c r="AY60" s="103">
        <f>VLOOKUP($AF60,'US Grid mix, emissions&amp;prices'!$H$113:$I$163,2,FALSE)*AY$110</f>
        <v>270209.86761045305</v>
      </c>
      <c r="AZ60" s="103">
        <f>VLOOKUP($AF60,'US Grid mix, emissions&amp;prices'!$H$113:$I$163,2,FALSE)*AZ$110</f>
        <v>270209.86761045305</v>
      </c>
      <c r="BA60" s="103">
        <f>VLOOKUP($AF60,'US Grid mix, emissions&amp;prices'!$H$113:$I$163,2,FALSE)*BA$110</f>
        <v>270209.86761045305</v>
      </c>
      <c r="BB60" s="103">
        <f>VLOOKUP($AF60,'US Grid mix, emissions&amp;prices'!$H$113:$I$163,2,FALSE)*BB$110</f>
        <v>270209.86761045305</v>
      </c>
      <c r="BC60" s="103">
        <f>VLOOKUP($AF60,'US Grid mix, emissions&amp;prices'!$H$113:$I$163,2,FALSE)*BC$110</f>
        <v>270209.86761045305</v>
      </c>
      <c r="BD60" s="103">
        <f>VLOOKUP($AF60,'US Grid mix, emissions&amp;prices'!$H$113:$I$163,2,FALSE)*BD$110</f>
        <v>270209.86761045305</v>
      </c>
      <c r="BE60" s="103">
        <f>VLOOKUP($AF60,'US Grid mix, emissions&amp;prices'!$H$113:$I$163,2,FALSE)*BE$110</f>
        <v>270209.86761045305</v>
      </c>
      <c r="BF60" s="103">
        <f>VLOOKUP($AF60,'US Grid mix, emissions&amp;prices'!$H$113:$I$163,2,FALSE)*BF$110</f>
        <v>270209.86761045305</v>
      </c>
      <c r="BG60" s="103">
        <f>VLOOKUP($AF60,'US Grid mix, emissions&amp;prices'!$H$113:$I$163,2,FALSE)*BG$110</f>
        <v>270209.86761045305</v>
      </c>
      <c r="BH60" s="103">
        <f>VLOOKUP($AF60,'US Grid mix, emissions&amp;prices'!$H$113:$I$163,2,FALSE)*BH$110</f>
        <v>270209.86761045305</v>
      </c>
    </row>
    <row r="61" spans="1:92" x14ac:dyDescent="0.25">
      <c r="A61" s="83" t="s">
        <v>189</v>
      </c>
      <c r="B61" s="103">
        <f>VLOOKUP($A61,'US Grid mix, emissions&amp;prices'!$H$113:$I$163,2,FALSE)*B$110</f>
        <v>159227.72820030671</v>
      </c>
      <c r="C61" s="103">
        <f>VLOOKUP($A61,'US Grid mix, emissions&amp;prices'!$H$113:$I$163,2,FALSE)*C$110</f>
        <v>159227.72820030671</v>
      </c>
      <c r="D61" s="103">
        <f>VLOOKUP($A61,'US Grid mix, emissions&amp;prices'!$H$113:$I$163,2,FALSE)*D$110</f>
        <v>159227.72820030671</v>
      </c>
      <c r="E61" s="103">
        <f>VLOOKUP($A61,'US Grid mix, emissions&amp;prices'!$H$113:$I$163,2,FALSE)*E$110</f>
        <v>159227.72820030671</v>
      </c>
      <c r="F61" s="103">
        <f>VLOOKUP($A61,'US Grid mix, emissions&amp;prices'!$H$113:$I$163,2,FALSE)*F$110</f>
        <v>159227.72820030671</v>
      </c>
      <c r="G61" s="103">
        <f>VLOOKUP($A61,'US Grid mix, emissions&amp;prices'!$H$113:$I$163,2,FALSE)*G$110</f>
        <v>159227.72820030671</v>
      </c>
      <c r="H61" s="103">
        <f>VLOOKUP($A61,'US Grid mix, emissions&amp;prices'!$H$113:$I$163,2,FALSE)*H$110</f>
        <v>159227.72820030671</v>
      </c>
      <c r="I61" s="103">
        <f>VLOOKUP($A61,'US Grid mix, emissions&amp;prices'!$H$113:$I$163,2,FALSE)*I$110</f>
        <v>159227.72820030671</v>
      </c>
      <c r="J61" s="103">
        <f>VLOOKUP($A61,'US Grid mix, emissions&amp;prices'!$H$113:$I$163,2,FALSE)*J$110</f>
        <v>159227.72820030671</v>
      </c>
      <c r="K61" s="103">
        <f>VLOOKUP($A61,'US Grid mix, emissions&amp;prices'!$H$113:$I$163,2,FALSE)*K$110</f>
        <v>159227.72820030671</v>
      </c>
      <c r="L61" s="103">
        <f>VLOOKUP($A61,'US Grid mix, emissions&amp;prices'!$H$113:$I$163,2,FALSE)*L$110</f>
        <v>159227.72820030671</v>
      </c>
      <c r="M61" s="103">
        <f>VLOOKUP($A61,'US Grid mix, emissions&amp;prices'!$H$113:$I$163,2,FALSE)*M$110</f>
        <v>159227.72820030671</v>
      </c>
      <c r="N61" s="103">
        <f>VLOOKUP($A61,'US Grid mix, emissions&amp;prices'!$H$113:$I$163,2,FALSE)*N$110</f>
        <v>159227.72820030671</v>
      </c>
      <c r="O61" s="103">
        <f>VLOOKUP($A61,'US Grid mix, emissions&amp;prices'!$H$113:$I$163,2,FALSE)*O$110</f>
        <v>159227.72820030671</v>
      </c>
      <c r="P61" s="103">
        <f>VLOOKUP($A61,'US Grid mix, emissions&amp;prices'!$H$113:$I$163,2,FALSE)*P$110</f>
        <v>159227.72820030671</v>
      </c>
      <c r="Q61" s="103">
        <f>VLOOKUP($A61,'US Grid mix, emissions&amp;prices'!$H$113:$I$163,2,FALSE)*Q$110</f>
        <v>159227.72820030671</v>
      </c>
      <c r="R61" s="103">
        <f>VLOOKUP($A61,'US Grid mix, emissions&amp;prices'!$H$113:$I$163,2,FALSE)*R$110</f>
        <v>159227.72820030671</v>
      </c>
      <c r="S61" s="103">
        <f>VLOOKUP($A61,'US Grid mix, emissions&amp;prices'!$H$113:$I$163,2,FALSE)*S$110</f>
        <v>159227.72820030671</v>
      </c>
      <c r="T61" s="103">
        <f>VLOOKUP($A61,'US Grid mix, emissions&amp;prices'!$H$113:$I$163,2,FALSE)*T$110</f>
        <v>159227.72820030671</v>
      </c>
      <c r="U61" s="103">
        <f>VLOOKUP($A61,'US Grid mix, emissions&amp;prices'!$H$113:$I$163,2,FALSE)*U$110</f>
        <v>159227.72820030671</v>
      </c>
      <c r="V61" s="103">
        <f>VLOOKUP($A61,'US Grid mix, emissions&amp;prices'!$H$113:$I$163,2,FALSE)*V$110</f>
        <v>159227.72820030671</v>
      </c>
      <c r="W61" s="103">
        <f>VLOOKUP($A61,'US Grid mix, emissions&amp;prices'!$H$113:$I$163,2,FALSE)*W$110</f>
        <v>159227.72820030671</v>
      </c>
      <c r="X61" s="103">
        <f>VLOOKUP($A61,'US Grid mix, emissions&amp;prices'!$H$113:$I$163,2,FALSE)*X$110</f>
        <v>159227.72820030671</v>
      </c>
      <c r="Y61" s="103">
        <f>VLOOKUP($A61,'US Grid mix, emissions&amp;prices'!$H$113:$I$163,2,FALSE)*Y$110</f>
        <v>159227.72820030671</v>
      </c>
      <c r="Z61" s="103">
        <f>VLOOKUP($A61,'US Grid mix, emissions&amp;prices'!$H$113:$I$163,2,FALSE)*Z$110</f>
        <v>159227.72820030671</v>
      </c>
      <c r="AA61" s="103">
        <f>VLOOKUP($A61,'US Grid mix, emissions&amp;prices'!$H$113:$I$163,2,FALSE)*AA$110</f>
        <v>159227.72820030671</v>
      </c>
      <c r="AB61" s="103">
        <f>VLOOKUP($A61,'US Grid mix, emissions&amp;prices'!$H$113:$I$163,2,FALSE)*AB$110</f>
        <v>159227.72820030671</v>
      </c>
      <c r="AC61" s="103">
        <f>VLOOKUP($A61,'US Grid mix, emissions&amp;prices'!$H$113:$I$163,2,FALSE)*AC$110</f>
        <v>159227.72820030671</v>
      </c>
      <c r="AF61" s="83" t="s">
        <v>189</v>
      </c>
      <c r="AG61" s="103">
        <f>VLOOKUP($AF61,'US Grid mix, emissions&amp;prices'!$H$113:$I$163,2,FALSE)*AG$110</f>
        <v>184455.83481169227</v>
      </c>
      <c r="AH61" s="103">
        <f>VLOOKUP($AF61,'US Grid mix, emissions&amp;prices'!$H$113:$I$163,2,FALSE)*AH$110</f>
        <v>184455.83481169227</v>
      </c>
      <c r="AI61" s="103">
        <f>VLOOKUP($AF61,'US Grid mix, emissions&amp;prices'!$H$113:$I$163,2,FALSE)*AI$110</f>
        <v>184455.83481169227</v>
      </c>
      <c r="AJ61" s="103">
        <f>VLOOKUP($AF61,'US Grid mix, emissions&amp;prices'!$H$113:$I$163,2,FALSE)*AJ$110</f>
        <v>184455.83481169227</v>
      </c>
      <c r="AK61" s="103">
        <f>VLOOKUP($AF61,'US Grid mix, emissions&amp;prices'!$H$113:$I$163,2,FALSE)*AK$110</f>
        <v>184455.83481169227</v>
      </c>
      <c r="AL61" s="103">
        <f>VLOOKUP($AF61,'US Grid mix, emissions&amp;prices'!$H$113:$I$163,2,FALSE)*AL$110</f>
        <v>184455.83481169227</v>
      </c>
      <c r="AM61" s="103">
        <f>VLOOKUP($AF61,'US Grid mix, emissions&amp;prices'!$H$113:$I$163,2,FALSE)*AM$110</f>
        <v>184455.83481169227</v>
      </c>
      <c r="AN61" s="103">
        <f>VLOOKUP($AF61,'US Grid mix, emissions&amp;prices'!$H$113:$I$163,2,FALSE)*AN$110</f>
        <v>184455.83481169227</v>
      </c>
      <c r="AO61" s="103">
        <f>VLOOKUP($AF61,'US Grid mix, emissions&amp;prices'!$H$113:$I$163,2,FALSE)*AO$110</f>
        <v>184455.83481169227</v>
      </c>
      <c r="AP61" s="103">
        <f>VLOOKUP($AF61,'US Grid mix, emissions&amp;prices'!$H$113:$I$163,2,FALSE)*AP$110</f>
        <v>184455.83481169227</v>
      </c>
      <c r="AQ61" s="103">
        <f>VLOOKUP($AF61,'US Grid mix, emissions&amp;prices'!$H$113:$I$163,2,FALSE)*AQ$110</f>
        <v>184455.83481169227</v>
      </c>
      <c r="AR61" s="103">
        <f>VLOOKUP($AF61,'US Grid mix, emissions&amp;prices'!$H$113:$I$163,2,FALSE)*AR$110</f>
        <v>184455.83481169227</v>
      </c>
      <c r="AS61" s="103">
        <f>VLOOKUP($AF61,'US Grid mix, emissions&amp;prices'!$H$113:$I$163,2,FALSE)*AS$110</f>
        <v>184455.83481169227</v>
      </c>
      <c r="AT61" s="103">
        <f>VLOOKUP($AF61,'US Grid mix, emissions&amp;prices'!$H$113:$I$163,2,FALSE)*AT$110</f>
        <v>184455.83481169227</v>
      </c>
      <c r="AU61" s="103">
        <f>VLOOKUP($AF61,'US Grid mix, emissions&amp;prices'!$H$113:$I$163,2,FALSE)*AU$110</f>
        <v>184455.83481169227</v>
      </c>
      <c r="AV61" s="103">
        <f>VLOOKUP($AF61,'US Grid mix, emissions&amp;prices'!$H$113:$I$163,2,FALSE)*AV$110</f>
        <v>184455.83481169227</v>
      </c>
      <c r="AW61" s="103">
        <f>VLOOKUP($AF61,'US Grid mix, emissions&amp;prices'!$H$113:$I$163,2,FALSE)*AW$110</f>
        <v>184455.83481169227</v>
      </c>
      <c r="AX61" s="103">
        <f>VLOOKUP($AF61,'US Grid mix, emissions&amp;prices'!$H$113:$I$163,2,FALSE)*AX$110</f>
        <v>184455.83481169227</v>
      </c>
      <c r="AY61" s="103">
        <f>VLOOKUP($AF61,'US Grid mix, emissions&amp;prices'!$H$113:$I$163,2,FALSE)*AY$110</f>
        <v>184455.83481169227</v>
      </c>
      <c r="AZ61" s="103">
        <f>VLOOKUP($AF61,'US Grid mix, emissions&amp;prices'!$H$113:$I$163,2,FALSE)*AZ$110</f>
        <v>184455.83481169227</v>
      </c>
      <c r="BA61" s="103">
        <f>VLOOKUP($AF61,'US Grid mix, emissions&amp;prices'!$H$113:$I$163,2,FALSE)*BA$110</f>
        <v>184455.83481169227</v>
      </c>
      <c r="BB61" s="103">
        <f>VLOOKUP($AF61,'US Grid mix, emissions&amp;prices'!$H$113:$I$163,2,FALSE)*BB$110</f>
        <v>184455.83481169227</v>
      </c>
      <c r="BC61" s="103">
        <f>VLOOKUP($AF61,'US Grid mix, emissions&amp;prices'!$H$113:$I$163,2,FALSE)*BC$110</f>
        <v>184455.83481169227</v>
      </c>
      <c r="BD61" s="103">
        <f>VLOOKUP($AF61,'US Grid mix, emissions&amp;prices'!$H$113:$I$163,2,FALSE)*BD$110</f>
        <v>184455.83481169227</v>
      </c>
      <c r="BE61" s="103">
        <f>VLOOKUP($AF61,'US Grid mix, emissions&amp;prices'!$H$113:$I$163,2,FALSE)*BE$110</f>
        <v>184455.83481169227</v>
      </c>
      <c r="BF61" s="103">
        <f>VLOOKUP($AF61,'US Grid mix, emissions&amp;prices'!$H$113:$I$163,2,FALSE)*BF$110</f>
        <v>184455.83481169227</v>
      </c>
      <c r="BG61" s="103">
        <f>VLOOKUP($AF61,'US Grid mix, emissions&amp;prices'!$H$113:$I$163,2,FALSE)*BG$110</f>
        <v>184455.83481169227</v>
      </c>
      <c r="BH61" s="103">
        <f>VLOOKUP($AF61,'US Grid mix, emissions&amp;prices'!$H$113:$I$163,2,FALSE)*BH$110</f>
        <v>184455.83481169227</v>
      </c>
    </row>
    <row r="62" spans="1:92" x14ac:dyDescent="0.25">
      <c r="A62" s="83" t="s">
        <v>188</v>
      </c>
      <c r="B62" s="103">
        <f>VLOOKUP($A62,'US Grid mix, emissions&amp;prices'!$H$113:$I$163,2,FALSE)*B$110</f>
        <v>223426.50502847543</v>
      </c>
      <c r="C62" s="103">
        <f>VLOOKUP($A62,'US Grid mix, emissions&amp;prices'!$H$113:$I$163,2,FALSE)*C$110</f>
        <v>223426.50502847543</v>
      </c>
      <c r="D62" s="103">
        <f>VLOOKUP($A62,'US Grid mix, emissions&amp;prices'!$H$113:$I$163,2,FALSE)*D$110</f>
        <v>223426.50502847543</v>
      </c>
      <c r="E62" s="103">
        <f>VLOOKUP($A62,'US Grid mix, emissions&amp;prices'!$H$113:$I$163,2,FALSE)*E$110</f>
        <v>223426.50502847543</v>
      </c>
      <c r="F62" s="103">
        <f>VLOOKUP($A62,'US Grid mix, emissions&amp;prices'!$H$113:$I$163,2,FALSE)*F$110</f>
        <v>223426.50502847543</v>
      </c>
      <c r="G62" s="103">
        <f>VLOOKUP($A62,'US Grid mix, emissions&amp;prices'!$H$113:$I$163,2,FALSE)*G$110</f>
        <v>223426.50502847543</v>
      </c>
      <c r="H62" s="103">
        <f>VLOOKUP($A62,'US Grid mix, emissions&amp;prices'!$H$113:$I$163,2,FALSE)*H$110</f>
        <v>223426.50502847543</v>
      </c>
      <c r="I62" s="103">
        <f>VLOOKUP($A62,'US Grid mix, emissions&amp;prices'!$H$113:$I$163,2,FALSE)*I$110</f>
        <v>223426.50502847543</v>
      </c>
      <c r="J62" s="103">
        <f>VLOOKUP($A62,'US Grid mix, emissions&amp;prices'!$H$113:$I$163,2,FALSE)*J$110</f>
        <v>223426.50502847543</v>
      </c>
      <c r="K62" s="103">
        <f>VLOOKUP($A62,'US Grid mix, emissions&amp;prices'!$H$113:$I$163,2,FALSE)*K$110</f>
        <v>223426.50502847543</v>
      </c>
      <c r="L62" s="103">
        <f>VLOOKUP($A62,'US Grid mix, emissions&amp;prices'!$H$113:$I$163,2,FALSE)*L$110</f>
        <v>223426.50502847543</v>
      </c>
      <c r="M62" s="103">
        <f>VLOOKUP($A62,'US Grid mix, emissions&amp;prices'!$H$113:$I$163,2,FALSE)*M$110</f>
        <v>223426.50502847543</v>
      </c>
      <c r="N62" s="103">
        <f>VLOOKUP($A62,'US Grid mix, emissions&amp;prices'!$H$113:$I$163,2,FALSE)*N$110</f>
        <v>223426.50502847543</v>
      </c>
      <c r="O62" s="103">
        <f>VLOOKUP($A62,'US Grid mix, emissions&amp;prices'!$H$113:$I$163,2,FALSE)*O$110</f>
        <v>223426.50502847543</v>
      </c>
      <c r="P62" s="103">
        <f>VLOOKUP($A62,'US Grid mix, emissions&amp;prices'!$H$113:$I$163,2,FALSE)*P$110</f>
        <v>223426.50502847543</v>
      </c>
      <c r="Q62" s="103">
        <f>VLOOKUP($A62,'US Grid mix, emissions&amp;prices'!$H$113:$I$163,2,FALSE)*Q$110</f>
        <v>223426.50502847543</v>
      </c>
      <c r="R62" s="103">
        <f>VLOOKUP($A62,'US Grid mix, emissions&amp;prices'!$H$113:$I$163,2,FALSE)*R$110</f>
        <v>223426.50502847543</v>
      </c>
      <c r="S62" s="103">
        <f>VLOOKUP($A62,'US Grid mix, emissions&amp;prices'!$H$113:$I$163,2,FALSE)*S$110</f>
        <v>223426.50502847543</v>
      </c>
      <c r="T62" s="103">
        <f>VLOOKUP($A62,'US Grid mix, emissions&amp;prices'!$H$113:$I$163,2,FALSE)*T$110</f>
        <v>223426.50502847543</v>
      </c>
      <c r="U62" s="103">
        <f>VLOOKUP($A62,'US Grid mix, emissions&amp;prices'!$H$113:$I$163,2,FALSE)*U$110</f>
        <v>223426.50502847543</v>
      </c>
      <c r="V62" s="103">
        <f>VLOOKUP($A62,'US Grid mix, emissions&amp;prices'!$H$113:$I$163,2,FALSE)*V$110</f>
        <v>223426.50502847543</v>
      </c>
      <c r="W62" s="103">
        <f>VLOOKUP($A62,'US Grid mix, emissions&amp;prices'!$H$113:$I$163,2,FALSE)*W$110</f>
        <v>223426.50502847543</v>
      </c>
      <c r="X62" s="103">
        <f>VLOOKUP($A62,'US Grid mix, emissions&amp;prices'!$H$113:$I$163,2,FALSE)*X$110</f>
        <v>223426.50502847543</v>
      </c>
      <c r="Y62" s="103">
        <f>VLOOKUP($A62,'US Grid mix, emissions&amp;prices'!$H$113:$I$163,2,FALSE)*Y$110</f>
        <v>223426.50502847543</v>
      </c>
      <c r="Z62" s="103">
        <f>VLOOKUP($A62,'US Grid mix, emissions&amp;prices'!$H$113:$I$163,2,FALSE)*Z$110</f>
        <v>223426.50502847543</v>
      </c>
      <c r="AA62" s="103">
        <f>VLOOKUP($A62,'US Grid mix, emissions&amp;prices'!$H$113:$I$163,2,FALSE)*AA$110</f>
        <v>223426.50502847543</v>
      </c>
      <c r="AB62" s="103">
        <f>VLOOKUP($A62,'US Grid mix, emissions&amp;prices'!$H$113:$I$163,2,FALSE)*AB$110</f>
        <v>223426.50502847543</v>
      </c>
      <c r="AC62" s="103">
        <f>VLOOKUP($A62,'US Grid mix, emissions&amp;prices'!$H$113:$I$163,2,FALSE)*AC$110</f>
        <v>223426.50502847543</v>
      </c>
      <c r="AF62" s="83" t="s">
        <v>188</v>
      </c>
      <c r="AG62" s="103">
        <f>VLOOKUP($AF62,'US Grid mix, emissions&amp;prices'!$H$113:$I$163,2,FALSE)*AG$110</f>
        <v>258826.29219102813</v>
      </c>
      <c r="AH62" s="103">
        <f>VLOOKUP($AF62,'US Grid mix, emissions&amp;prices'!$H$113:$I$163,2,FALSE)*AH$110</f>
        <v>258826.29219102813</v>
      </c>
      <c r="AI62" s="103">
        <f>VLOOKUP($AF62,'US Grid mix, emissions&amp;prices'!$H$113:$I$163,2,FALSE)*AI$110</f>
        <v>258826.29219102813</v>
      </c>
      <c r="AJ62" s="103">
        <f>VLOOKUP($AF62,'US Grid mix, emissions&amp;prices'!$H$113:$I$163,2,FALSE)*AJ$110</f>
        <v>258826.29219102813</v>
      </c>
      <c r="AK62" s="103">
        <f>VLOOKUP($AF62,'US Grid mix, emissions&amp;prices'!$H$113:$I$163,2,FALSE)*AK$110</f>
        <v>258826.29219102813</v>
      </c>
      <c r="AL62" s="103">
        <f>VLOOKUP($AF62,'US Grid mix, emissions&amp;prices'!$H$113:$I$163,2,FALSE)*AL$110</f>
        <v>258826.29219102813</v>
      </c>
      <c r="AM62" s="103">
        <f>VLOOKUP($AF62,'US Grid mix, emissions&amp;prices'!$H$113:$I$163,2,FALSE)*AM$110</f>
        <v>258826.29219102813</v>
      </c>
      <c r="AN62" s="103">
        <f>VLOOKUP($AF62,'US Grid mix, emissions&amp;prices'!$H$113:$I$163,2,FALSE)*AN$110</f>
        <v>258826.29219102813</v>
      </c>
      <c r="AO62" s="103">
        <f>VLOOKUP($AF62,'US Grid mix, emissions&amp;prices'!$H$113:$I$163,2,FALSE)*AO$110</f>
        <v>258826.29219102813</v>
      </c>
      <c r="AP62" s="103">
        <f>VLOOKUP($AF62,'US Grid mix, emissions&amp;prices'!$H$113:$I$163,2,FALSE)*AP$110</f>
        <v>258826.29219102813</v>
      </c>
      <c r="AQ62" s="103">
        <f>VLOOKUP($AF62,'US Grid mix, emissions&amp;prices'!$H$113:$I$163,2,FALSE)*AQ$110</f>
        <v>258826.29219102813</v>
      </c>
      <c r="AR62" s="103">
        <f>VLOOKUP($AF62,'US Grid mix, emissions&amp;prices'!$H$113:$I$163,2,FALSE)*AR$110</f>
        <v>258826.29219102813</v>
      </c>
      <c r="AS62" s="103">
        <f>VLOOKUP($AF62,'US Grid mix, emissions&amp;prices'!$H$113:$I$163,2,FALSE)*AS$110</f>
        <v>258826.29219102813</v>
      </c>
      <c r="AT62" s="103">
        <f>VLOOKUP($AF62,'US Grid mix, emissions&amp;prices'!$H$113:$I$163,2,FALSE)*AT$110</f>
        <v>258826.29219102813</v>
      </c>
      <c r="AU62" s="103">
        <f>VLOOKUP($AF62,'US Grid mix, emissions&amp;prices'!$H$113:$I$163,2,FALSE)*AU$110</f>
        <v>258826.29219102813</v>
      </c>
      <c r="AV62" s="103">
        <f>VLOOKUP($AF62,'US Grid mix, emissions&amp;prices'!$H$113:$I$163,2,FALSE)*AV$110</f>
        <v>258826.29219102813</v>
      </c>
      <c r="AW62" s="103">
        <f>VLOOKUP($AF62,'US Grid mix, emissions&amp;prices'!$H$113:$I$163,2,FALSE)*AW$110</f>
        <v>258826.29219102813</v>
      </c>
      <c r="AX62" s="103">
        <f>VLOOKUP($AF62,'US Grid mix, emissions&amp;prices'!$H$113:$I$163,2,FALSE)*AX$110</f>
        <v>258826.29219102813</v>
      </c>
      <c r="AY62" s="103">
        <f>VLOOKUP($AF62,'US Grid mix, emissions&amp;prices'!$H$113:$I$163,2,FALSE)*AY$110</f>
        <v>258826.29219102813</v>
      </c>
      <c r="AZ62" s="103">
        <f>VLOOKUP($AF62,'US Grid mix, emissions&amp;prices'!$H$113:$I$163,2,FALSE)*AZ$110</f>
        <v>258826.29219102813</v>
      </c>
      <c r="BA62" s="103">
        <f>VLOOKUP($AF62,'US Grid mix, emissions&amp;prices'!$H$113:$I$163,2,FALSE)*BA$110</f>
        <v>258826.29219102813</v>
      </c>
      <c r="BB62" s="103">
        <f>VLOOKUP($AF62,'US Grid mix, emissions&amp;prices'!$H$113:$I$163,2,FALSE)*BB$110</f>
        <v>258826.29219102813</v>
      </c>
      <c r="BC62" s="103">
        <f>VLOOKUP($AF62,'US Grid mix, emissions&amp;prices'!$H$113:$I$163,2,FALSE)*BC$110</f>
        <v>258826.29219102813</v>
      </c>
      <c r="BD62" s="103">
        <f>VLOOKUP($AF62,'US Grid mix, emissions&amp;prices'!$H$113:$I$163,2,FALSE)*BD$110</f>
        <v>258826.29219102813</v>
      </c>
      <c r="BE62" s="103">
        <f>VLOOKUP($AF62,'US Grid mix, emissions&amp;prices'!$H$113:$I$163,2,FALSE)*BE$110</f>
        <v>258826.29219102813</v>
      </c>
      <c r="BF62" s="103">
        <f>VLOOKUP($AF62,'US Grid mix, emissions&amp;prices'!$H$113:$I$163,2,FALSE)*BF$110</f>
        <v>258826.29219102813</v>
      </c>
      <c r="BG62" s="103">
        <f>VLOOKUP($AF62,'US Grid mix, emissions&amp;prices'!$H$113:$I$163,2,FALSE)*BG$110</f>
        <v>258826.29219102813</v>
      </c>
      <c r="BH62" s="103">
        <f>VLOOKUP($AF62,'US Grid mix, emissions&amp;prices'!$H$113:$I$163,2,FALSE)*BH$110</f>
        <v>258826.29219102813</v>
      </c>
    </row>
    <row r="63" spans="1:92" x14ac:dyDescent="0.25">
      <c r="A63" s="83" t="s">
        <v>149</v>
      </c>
      <c r="B63" s="103">
        <f>VLOOKUP($A63,'US Grid mix, emissions&amp;prices'!$H$113:$I$163,2,FALSE)*B$110</f>
        <v>96421.179129322365</v>
      </c>
      <c r="C63" s="103">
        <f>VLOOKUP($A63,'US Grid mix, emissions&amp;prices'!$H$113:$I$163,2,FALSE)*C$110</f>
        <v>96421.179129322365</v>
      </c>
      <c r="D63" s="103">
        <f>VLOOKUP($A63,'US Grid mix, emissions&amp;prices'!$H$113:$I$163,2,FALSE)*D$110</f>
        <v>96421.179129322365</v>
      </c>
      <c r="E63" s="103">
        <f>VLOOKUP($A63,'US Grid mix, emissions&amp;prices'!$H$113:$I$163,2,FALSE)*E$110</f>
        <v>96421.179129322365</v>
      </c>
      <c r="F63" s="103">
        <f>VLOOKUP($A63,'US Grid mix, emissions&amp;prices'!$H$113:$I$163,2,FALSE)*F$110</f>
        <v>96421.179129322365</v>
      </c>
      <c r="G63" s="103">
        <f>VLOOKUP($A63,'US Grid mix, emissions&amp;prices'!$H$113:$I$163,2,FALSE)*G$110</f>
        <v>96421.179129322365</v>
      </c>
      <c r="H63" s="103">
        <f>VLOOKUP($A63,'US Grid mix, emissions&amp;prices'!$H$113:$I$163,2,FALSE)*H$110</f>
        <v>96421.179129322365</v>
      </c>
      <c r="I63" s="103">
        <f>VLOOKUP($A63,'US Grid mix, emissions&amp;prices'!$H$113:$I$163,2,FALSE)*I$110</f>
        <v>96421.179129322365</v>
      </c>
      <c r="J63" s="103">
        <f>VLOOKUP($A63,'US Grid mix, emissions&amp;prices'!$H$113:$I$163,2,FALSE)*J$110</f>
        <v>96421.179129322365</v>
      </c>
      <c r="K63" s="103">
        <f>VLOOKUP($A63,'US Grid mix, emissions&amp;prices'!$H$113:$I$163,2,FALSE)*K$110</f>
        <v>96421.179129322365</v>
      </c>
      <c r="L63" s="103">
        <f>VLOOKUP($A63,'US Grid mix, emissions&amp;prices'!$H$113:$I$163,2,FALSE)*L$110</f>
        <v>96421.179129322365</v>
      </c>
      <c r="M63" s="103">
        <f>VLOOKUP($A63,'US Grid mix, emissions&amp;prices'!$H$113:$I$163,2,FALSE)*M$110</f>
        <v>96421.179129322365</v>
      </c>
      <c r="N63" s="103">
        <f>VLOOKUP($A63,'US Grid mix, emissions&amp;prices'!$H$113:$I$163,2,FALSE)*N$110</f>
        <v>96421.179129322365</v>
      </c>
      <c r="O63" s="103">
        <f>VLOOKUP($A63,'US Grid mix, emissions&amp;prices'!$H$113:$I$163,2,FALSE)*O$110</f>
        <v>96421.179129322365</v>
      </c>
      <c r="P63" s="103">
        <f>VLOOKUP($A63,'US Grid mix, emissions&amp;prices'!$H$113:$I$163,2,FALSE)*P$110</f>
        <v>96421.179129322365</v>
      </c>
      <c r="Q63" s="103">
        <f>VLOOKUP($A63,'US Grid mix, emissions&amp;prices'!$H$113:$I$163,2,FALSE)*Q$110</f>
        <v>96421.179129322365</v>
      </c>
      <c r="R63" s="103">
        <f>VLOOKUP($A63,'US Grid mix, emissions&amp;prices'!$H$113:$I$163,2,FALSE)*R$110</f>
        <v>96421.179129322365</v>
      </c>
      <c r="S63" s="103">
        <f>VLOOKUP($A63,'US Grid mix, emissions&amp;prices'!$H$113:$I$163,2,FALSE)*S$110</f>
        <v>96421.179129322365</v>
      </c>
      <c r="T63" s="103">
        <f>VLOOKUP($A63,'US Grid mix, emissions&amp;prices'!$H$113:$I$163,2,FALSE)*T$110</f>
        <v>96421.179129322365</v>
      </c>
      <c r="U63" s="103">
        <f>VLOOKUP($A63,'US Grid mix, emissions&amp;prices'!$H$113:$I$163,2,FALSE)*U$110</f>
        <v>96421.179129322365</v>
      </c>
      <c r="V63" s="103">
        <f>VLOOKUP($A63,'US Grid mix, emissions&amp;prices'!$H$113:$I$163,2,FALSE)*V$110</f>
        <v>96421.179129322365</v>
      </c>
      <c r="W63" s="103">
        <f>VLOOKUP($A63,'US Grid mix, emissions&amp;prices'!$H$113:$I$163,2,FALSE)*W$110</f>
        <v>96421.179129322365</v>
      </c>
      <c r="X63" s="103">
        <f>VLOOKUP($A63,'US Grid mix, emissions&amp;prices'!$H$113:$I$163,2,FALSE)*X$110</f>
        <v>96421.179129322365</v>
      </c>
      <c r="Y63" s="103">
        <f>VLOOKUP($A63,'US Grid mix, emissions&amp;prices'!$H$113:$I$163,2,FALSE)*Y$110</f>
        <v>96421.179129322365</v>
      </c>
      <c r="Z63" s="103">
        <f>VLOOKUP($A63,'US Grid mix, emissions&amp;prices'!$H$113:$I$163,2,FALSE)*Z$110</f>
        <v>96421.179129322365</v>
      </c>
      <c r="AA63" s="103">
        <f>VLOOKUP($A63,'US Grid mix, emissions&amp;prices'!$H$113:$I$163,2,FALSE)*AA$110</f>
        <v>96421.179129322365</v>
      </c>
      <c r="AB63" s="103">
        <f>VLOOKUP($A63,'US Grid mix, emissions&amp;prices'!$H$113:$I$163,2,FALSE)*AB$110</f>
        <v>96421.179129322365</v>
      </c>
      <c r="AC63" s="103">
        <f>VLOOKUP($A63,'US Grid mix, emissions&amp;prices'!$H$113:$I$163,2,FALSE)*AC$110</f>
        <v>96421.179129322365</v>
      </c>
      <c r="AF63" s="83" t="s">
        <v>149</v>
      </c>
      <c r="AG63" s="103">
        <f>VLOOKUP($AF63,'US Grid mix, emissions&amp;prices'!$H$113:$I$163,2,FALSE)*AG$110</f>
        <v>111698.19032683164</v>
      </c>
      <c r="AH63" s="103">
        <f>VLOOKUP($AF63,'US Grid mix, emissions&amp;prices'!$H$113:$I$163,2,FALSE)*AH$110</f>
        <v>111698.19032683164</v>
      </c>
      <c r="AI63" s="103">
        <f>VLOOKUP($AF63,'US Grid mix, emissions&amp;prices'!$H$113:$I$163,2,FALSE)*AI$110</f>
        <v>111698.19032683164</v>
      </c>
      <c r="AJ63" s="103">
        <f>VLOOKUP($AF63,'US Grid mix, emissions&amp;prices'!$H$113:$I$163,2,FALSE)*AJ$110</f>
        <v>111698.19032683164</v>
      </c>
      <c r="AK63" s="103">
        <f>VLOOKUP($AF63,'US Grid mix, emissions&amp;prices'!$H$113:$I$163,2,FALSE)*AK$110</f>
        <v>111698.19032683164</v>
      </c>
      <c r="AL63" s="103">
        <f>VLOOKUP($AF63,'US Grid mix, emissions&amp;prices'!$H$113:$I$163,2,FALSE)*AL$110</f>
        <v>111698.19032683164</v>
      </c>
      <c r="AM63" s="103">
        <f>VLOOKUP($AF63,'US Grid mix, emissions&amp;prices'!$H$113:$I$163,2,FALSE)*AM$110</f>
        <v>111698.19032683164</v>
      </c>
      <c r="AN63" s="103">
        <f>VLOOKUP($AF63,'US Grid mix, emissions&amp;prices'!$H$113:$I$163,2,FALSE)*AN$110</f>
        <v>111698.19032683164</v>
      </c>
      <c r="AO63" s="103">
        <f>VLOOKUP($AF63,'US Grid mix, emissions&amp;prices'!$H$113:$I$163,2,FALSE)*AO$110</f>
        <v>111698.19032683164</v>
      </c>
      <c r="AP63" s="103">
        <f>VLOOKUP($AF63,'US Grid mix, emissions&amp;prices'!$H$113:$I$163,2,FALSE)*AP$110</f>
        <v>111698.19032683164</v>
      </c>
      <c r="AQ63" s="103">
        <f>VLOOKUP($AF63,'US Grid mix, emissions&amp;prices'!$H$113:$I$163,2,FALSE)*AQ$110</f>
        <v>111698.19032683164</v>
      </c>
      <c r="AR63" s="103">
        <f>VLOOKUP($AF63,'US Grid mix, emissions&amp;prices'!$H$113:$I$163,2,FALSE)*AR$110</f>
        <v>111698.19032683164</v>
      </c>
      <c r="AS63" s="103">
        <f>VLOOKUP($AF63,'US Grid mix, emissions&amp;prices'!$H$113:$I$163,2,FALSE)*AS$110</f>
        <v>111698.19032683164</v>
      </c>
      <c r="AT63" s="103">
        <f>VLOOKUP($AF63,'US Grid mix, emissions&amp;prices'!$H$113:$I$163,2,FALSE)*AT$110</f>
        <v>111698.19032683164</v>
      </c>
      <c r="AU63" s="103">
        <f>VLOOKUP($AF63,'US Grid mix, emissions&amp;prices'!$H$113:$I$163,2,FALSE)*AU$110</f>
        <v>111698.19032683164</v>
      </c>
      <c r="AV63" s="103">
        <f>VLOOKUP($AF63,'US Grid mix, emissions&amp;prices'!$H$113:$I$163,2,FALSE)*AV$110</f>
        <v>111698.19032683164</v>
      </c>
      <c r="AW63" s="103">
        <f>VLOOKUP($AF63,'US Grid mix, emissions&amp;prices'!$H$113:$I$163,2,FALSE)*AW$110</f>
        <v>111698.19032683164</v>
      </c>
      <c r="AX63" s="103">
        <f>VLOOKUP($AF63,'US Grid mix, emissions&amp;prices'!$H$113:$I$163,2,FALSE)*AX$110</f>
        <v>111698.19032683164</v>
      </c>
      <c r="AY63" s="103">
        <f>VLOOKUP($AF63,'US Grid mix, emissions&amp;prices'!$H$113:$I$163,2,FALSE)*AY$110</f>
        <v>111698.19032683164</v>
      </c>
      <c r="AZ63" s="103">
        <f>VLOOKUP($AF63,'US Grid mix, emissions&amp;prices'!$H$113:$I$163,2,FALSE)*AZ$110</f>
        <v>111698.19032683164</v>
      </c>
      <c r="BA63" s="103">
        <f>VLOOKUP($AF63,'US Grid mix, emissions&amp;prices'!$H$113:$I$163,2,FALSE)*BA$110</f>
        <v>111698.19032683164</v>
      </c>
      <c r="BB63" s="103">
        <f>VLOOKUP($AF63,'US Grid mix, emissions&amp;prices'!$H$113:$I$163,2,FALSE)*BB$110</f>
        <v>111698.19032683164</v>
      </c>
      <c r="BC63" s="103">
        <f>VLOOKUP($AF63,'US Grid mix, emissions&amp;prices'!$H$113:$I$163,2,FALSE)*BC$110</f>
        <v>111698.19032683164</v>
      </c>
      <c r="BD63" s="103">
        <f>VLOOKUP($AF63,'US Grid mix, emissions&amp;prices'!$H$113:$I$163,2,FALSE)*BD$110</f>
        <v>111698.19032683164</v>
      </c>
      <c r="BE63" s="103">
        <f>VLOOKUP($AF63,'US Grid mix, emissions&amp;prices'!$H$113:$I$163,2,FALSE)*BE$110</f>
        <v>111698.19032683164</v>
      </c>
      <c r="BF63" s="103">
        <f>VLOOKUP($AF63,'US Grid mix, emissions&amp;prices'!$H$113:$I$163,2,FALSE)*BF$110</f>
        <v>111698.19032683164</v>
      </c>
      <c r="BG63" s="103">
        <f>VLOOKUP($AF63,'US Grid mix, emissions&amp;prices'!$H$113:$I$163,2,FALSE)*BG$110</f>
        <v>111698.19032683164</v>
      </c>
      <c r="BH63" s="103">
        <f>VLOOKUP($AF63,'US Grid mix, emissions&amp;prices'!$H$113:$I$163,2,FALSE)*BH$110</f>
        <v>111698.19032683164</v>
      </c>
    </row>
    <row r="64" spans="1:92" x14ac:dyDescent="0.25">
      <c r="A64" s="83" t="s">
        <v>190</v>
      </c>
      <c r="B64" s="103">
        <f>VLOOKUP($A64,'US Grid mix, emissions&amp;prices'!$H$113:$I$163,2,FALSE)*B$110</f>
        <v>224193.53279490754</v>
      </c>
      <c r="C64" s="103">
        <f>VLOOKUP($A64,'US Grid mix, emissions&amp;prices'!$H$113:$I$163,2,FALSE)*C$110</f>
        <v>224193.53279490754</v>
      </c>
      <c r="D64" s="103">
        <f>VLOOKUP($A64,'US Grid mix, emissions&amp;prices'!$H$113:$I$163,2,FALSE)*D$110</f>
        <v>224193.53279490754</v>
      </c>
      <c r="E64" s="103">
        <f>VLOOKUP($A64,'US Grid mix, emissions&amp;prices'!$H$113:$I$163,2,FALSE)*E$110</f>
        <v>224193.53279490754</v>
      </c>
      <c r="F64" s="103">
        <f>VLOOKUP($A64,'US Grid mix, emissions&amp;prices'!$H$113:$I$163,2,FALSE)*F$110</f>
        <v>224193.53279490754</v>
      </c>
      <c r="G64" s="103">
        <f>VLOOKUP($A64,'US Grid mix, emissions&amp;prices'!$H$113:$I$163,2,FALSE)*G$110</f>
        <v>224193.53279490754</v>
      </c>
      <c r="H64" s="103">
        <f>VLOOKUP($A64,'US Grid mix, emissions&amp;prices'!$H$113:$I$163,2,FALSE)*H$110</f>
        <v>224193.53279490754</v>
      </c>
      <c r="I64" s="103">
        <f>VLOOKUP($A64,'US Grid mix, emissions&amp;prices'!$H$113:$I$163,2,FALSE)*I$110</f>
        <v>224193.53279490754</v>
      </c>
      <c r="J64" s="103">
        <f>VLOOKUP($A64,'US Grid mix, emissions&amp;prices'!$H$113:$I$163,2,FALSE)*J$110</f>
        <v>224193.53279490754</v>
      </c>
      <c r="K64" s="103">
        <f>VLOOKUP($A64,'US Grid mix, emissions&amp;prices'!$H$113:$I$163,2,FALSE)*K$110</f>
        <v>224193.53279490754</v>
      </c>
      <c r="L64" s="103">
        <f>VLOOKUP($A64,'US Grid mix, emissions&amp;prices'!$H$113:$I$163,2,FALSE)*L$110</f>
        <v>224193.53279490754</v>
      </c>
      <c r="M64" s="103">
        <f>VLOOKUP($A64,'US Grid mix, emissions&amp;prices'!$H$113:$I$163,2,FALSE)*M$110</f>
        <v>224193.53279490754</v>
      </c>
      <c r="N64" s="103">
        <f>VLOOKUP($A64,'US Grid mix, emissions&amp;prices'!$H$113:$I$163,2,FALSE)*N$110</f>
        <v>224193.53279490754</v>
      </c>
      <c r="O64" s="103">
        <f>VLOOKUP($A64,'US Grid mix, emissions&amp;prices'!$H$113:$I$163,2,FALSE)*O$110</f>
        <v>224193.53279490754</v>
      </c>
      <c r="P64" s="103">
        <f>VLOOKUP($A64,'US Grid mix, emissions&amp;prices'!$H$113:$I$163,2,FALSE)*P$110</f>
        <v>224193.53279490754</v>
      </c>
      <c r="Q64" s="103">
        <f>VLOOKUP($A64,'US Grid mix, emissions&amp;prices'!$H$113:$I$163,2,FALSE)*Q$110</f>
        <v>224193.53279490754</v>
      </c>
      <c r="R64" s="103">
        <f>VLOOKUP($A64,'US Grid mix, emissions&amp;prices'!$H$113:$I$163,2,FALSE)*R$110</f>
        <v>224193.53279490754</v>
      </c>
      <c r="S64" s="103">
        <f>VLOOKUP($A64,'US Grid mix, emissions&amp;prices'!$H$113:$I$163,2,FALSE)*S$110</f>
        <v>224193.53279490754</v>
      </c>
      <c r="T64" s="103">
        <f>VLOOKUP($A64,'US Grid mix, emissions&amp;prices'!$H$113:$I$163,2,FALSE)*T$110</f>
        <v>224193.53279490754</v>
      </c>
      <c r="U64" s="103">
        <f>VLOOKUP($A64,'US Grid mix, emissions&amp;prices'!$H$113:$I$163,2,FALSE)*U$110</f>
        <v>224193.53279490754</v>
      </c>
      <c r="V64" s="103">
        <f>VLOOKUP($A64,'US Grid mix, emissions&amp;prices'!$H$113:$I$163,2,FALSE)*V$110</f>
        <v>224193.53279490754</v>
      </c>
      <c r="W64" s="103">
        <f>VLOOKUP($A64,'US Grid mix, emissions&amp;prices'!$H$113:$I$163,2,FALSE)*W$110</f>
        <v>224193.53279490754</v>
      </c>
      <c r="X64" s="103">
        <f>VLOOKUP($A64,'US Grid mix, emissions&amp;prices'!$H$113:$I$163,2,FALSE)*X$110</f>
        <v>224193.53279490754</v>
      </c>
      <c r="Y64" s="103">
        <f>VLOOKUP($A64,'US Grid mix, emissions&amp;prices'!$H$113:$I$163,2,FALSE)*Y$110</f>
        <v>224193.53279490754</v>
      </c>
      <c r="Z64" s="103">
        <f>VLOOKUP($A64,'US Grid mix, emissions&amp;prices'!$H$113:$I$163,2,FALSE)*Z$110</f>
        <v>224193.53279490754</v>
      </c>
      <c r="AA64" s="103">
        <f>VLOOKUP($A64,'US Grid mix, emissions&amp;prices'!$H$113:$I$163,2,FALSE)*AA$110</f>
        <v>224193.53279490754</v>
      </c>
      <c r="AB64" s="103">
        <f>VLOOKUP($A64,'US Grid mix, emissions&amp;prices'!$H$113:$I$163,2,FALSE)*AB$110</f>
        <v>224193.53279490754</v>
      </c>
      <c r="AC64" s="103">
        <f>VLOOKUP($A64,'US Grid mix, emissions&amp;prices'!$H$113:$I$163,2,FALSE)*AC$110</f>
        <v>224193.53279490754</v>
      </c>
      <c r="AF64" s="83" t="s">
        <v>190</v>
      </c>
      <c r="AG64" s="103">
        <f>VLOOKUP($AF64,'US Grid mix, emissions&amp;prices'!$H$113:$I$163,2,FALSE)*AG$110</f>
        <v>259714.84815160179</v>
      </c>
      <c r="AH64" s="103">
        <f>VLOOKUP($AF64,'US Grid mix, emissions&amp;prices'!$H$113:$I$163,2,FALSE)*AH$110</f>
        <v>259714.84815160179</v>
      </c>
      <c r="AI64" s="103">
        <f>VLOOKUP($AF64,'US Grid mix, emissions&amp;prices'!$H$113:$I$163,2,FALSE)*AI$110</f>
        <v>259714.84815160179</v>
      </c>
      <c r="AJ64" s="103">
        <f>VLOOKUP($AF64,'US Grid mix, emissions&amp;prices'!$H$113:$I$163,2,FALSE)*AJ$110</f>
        <v>259714.84815160179</v>
      </c>
      <c r="AK64" s="103">
        <f>VLOOKUP($AF64,'US Grid mix, emissions&amp;prices'!$H$113:$I$163,2,FALSE)*AK$110</f>
        <v>259714.84815160179</v>
      </c>
      <c r="AL64" s="103">
        <f>VLOOKUP($AF64,'US Grid mix, emissions&amp;prices'!$H$113:$I$163,2,FALSE)*AL$110</f>
        <v>259714.84815160179</v>
      </c>
      <c r="AM64" s="103">
        <f>VLOOKUP($AF64,'US Grid mix, emissions&amp;prices'!$H$113:$I$163,2,FALSE)*AM$110</f>
        <v>259714.84815160179</v>
      </c>
      <c r="AN64" s="103">
        <f>VLOOKUP($AF64,'US Grid mix, emissions&amp;prices'!$H$113:$I$163,2,FALSE)*AN$110</f>
        <v>259714.84815160179</v>
      </c>
      <c r="AO64" s="103">
        <f>VLOOKUP($AF64,'US Grid mix, emissions&amp;prices'!$H$113:$I$163,2,FALSE)*AO$110</f>
        <v>259714.84815160179</v>
      </c>
      <c r="AP64" s="103">
        <f>VLOOKUP($AF64,'US Grid mix, emissions&amp;prices'!$H$113:$I$163,2,FALSE)*AP$110</f>
        <v>259714.84815160179</v>
      </c>
      <c r="AQ64" s="103">
        <f>VLOOKUP($AF64,'US Grid mix, emissions&amp;prices'!$H$113:$I$163,2,FALSE)*AQ$110</f>
        <v>259714.84815160179</v>
      </c>
      <c r="AR64" s="103">
        <f>VLOOKUP($AF64,'US Grid mix, emissions&amp;prices'!$H$113:$I$163,2,FALSE)*AR$110</f>
        <v>259714.84815160179</v>
      </c>
      <c r="AS64" s="103">
        <f>VLOOKUP($AF64,'US Grid mix, emissions&amp;prices'!$H$113:$I$163,2,FALSE)*AS$110</f>
        <v>259714.84815160179</v>
      </c>
      <c r="AT64" s="103">
        <f>VLOOKUP($AF64,'US Grid mix, emissions&amp;prices'!$H$113:$I$163,2,FALSE)*AT$110</f>
        <v>259714.84815160179</v>
      </c>
      <c r="AU64" s="103">
        <f>VLOOKUP($AF64,'US Grid mix, emissions&amp;prices'!$H$113:$I$163,2,FALSE)*AU$110</f>
        <v>259714.84815160179</v>
      </c>
      <c r="AV64" s="103">
        <f>VLOOKUP($AF64,'US Grid mix, emissions&amp;prices'!$H$113:$I$163,2,FALSE)*AV$110</f>
        <v>259714.84815160179</v>
      </c>
      <c r="AW64" s="103">
        <f>VLOOKUP($AF64,'US Grid mix, emissions&amp;prices'!$H$113:$I$163,2,FALSE)*AW$110</f>
        <v>259714.84815160179</v>
      </c>
      <c r="AX64" s="103">
        <f>VLOOKUP($AF64,'US Grid mix, emissions&amp;prices'!$H$113:$I$163,2,FALSE)*AX$110</f>
        <v>259714.84815160179</v>
      </c>
      <c r="AY64" s="103">
        <f>VLOOKUP($AF64,'US Grid mix, emissions&amp;prices'!$H$113:$I$163,2,FALSE)*AY$110</f>
        <v>259714.84815160179</v>
      </c>
      <c r="AZ64" s="103">
        <f>VLOOKUP($AF64,'US Grid mix, emissions&amp;prices'!$H$113:$I$163,2,FALSE)*AZ$110</f>
        <v>259714.84815160179</v>
      </c>
      <c r="BA64" s="103">
        <f>VLOOKUP($AF64,'US Grid mix, emissions&amp;prices'!$H$113:$I$163,2,FALSE)*BA$110</f>
        <v>259714.84815160179</v>
      </c>
      <c r="BB64" s="103">
        <f>VLOOKUP($AF64,'US Grid mix, emissions&amp;prices'!$H$113:$I$163,2,FALSE)*BB$110</f>
        <v>259714.84815160179</v>
      </c>
      <c r="BC64" s="103">
        <f>VLOOKUP($AF64,'US Grid mix, emissions&amp;prices'!$H$113:$I$163,2,FALSE)*BC$110</f>
        <v>259714.84815160179</v>
      </c>
      <c r="BD64" s="103">
        <f>VLOOKUP($AF64,'US Grid mix, emissions&amp;prices'!$H$113:$I$163,2,FALSE)*BD$110</f>
        <v>259714.84815160179</v>
      </c>
      <c r="BE64" s="103">
        <f>VLOOKUP($AF64,'US Grid mix, emissions&amp;prices'!$H$113:$I$163,2,FALSE)*BE$110</f>
        <v>259714.84815160179</v>
      </c>
      <c r="BF64" s="103">
        <f>VLOOKUP($AF64,'US Grid mix, emissions&amp;prices'!$H$113:$I$163,2,FALSE)*BF$110</f>
        <v>259714.84815160179</v>
      </c>
      <c r="BG64" s="103">
        <f>VLOOKUP($AF64,'US Grid mix, emissions&amp;prices'!$H$113:$I$163,2,FALSE)*BG$110</f>
        <v>259714.84815160179</v>
      </c>
      <c r="BH64" s="103">
        <f>VLOOKUP($AF64,'US Grid mix, emissions&amp;prices'!$H$113:$I$163,2,FALSE)*BH$110</f>
        <v>259714.84815160179</v>
      </c>
    </row>
    <row r="65" spans="1:60" x14ac:dyDescent="0.25">
      <c r="A65" s="83" t="s">
        <v>191</v>
      </c>
      <c r="B65" s="103">
        <f>VLOOKUP($A65,'US Grid mix, emissions&amp;prices'!$H$113:$I$163,2,FALSE)*B$110</f>
        <v>137132.98686045883</v>
      </c>
      <c r="C65" s="103">
        <f>VLOOKUP($A65,'US Grid mix, emissions&amp;prices'!$H$113:$I$163,2,FALSE)*C$110</f>
        <v>137132.98686045883</v>
      </c>
      <c r="D65" s="103">
        <f>VLOOKUP($A65,'US Grid mix, emissions&amp;prices'!$H$113:$I$163,2,FALSE)*D$110</f>
        <v>137132.98686045883</v>
      </c>
      <c r="E65" s="103">
        <f>VLOOKUP($A65,'US Grid mix, emissions&amp;prices'!$H$113:$I$163,2,FALSE)*E$110</f>
        <v>137132.98686045883</v>
      </c>
      <c r="F65" s="103">
        <f>VLOOKUP($A65,'US Grid mix, emissions&amp;prices'!$H$113:$I$163,2,FALSE)*F$110</f>
        <v>137132.98686045883</v>
      </c>
      <c r="G65" s="103">
        <f>VLOOKUP($A65,'US Grid mix, emissions&amp;prices'!$H$113:$I$163,2,FALSE)*G$110</f>
        <v>137132.98686045883</v>
      </c>
      <c r="H65" s="103">
        <f>VLOOKUP($A65,'US Grid mix, emissions&amp;prices'!$H$113:$I$163,2,FALSE)*H$110</f>
        <v>137132.98686045883</v>
      </c>
      <c r="I65" s="103">
        <f>VLOOKUP($A65,'US Grid mix, emissions&amp;prices'!$H$113:$I$163,2,FALSE)*I$110</f>
        <v>137132.98686045883</v>
      </c>
      <c r="J65" s="103">
        <f>VLOOKUP($A65,'US Grid mix, emissions&amp;prices'!$H$113:$I$163,2,FALSE)*J$110</f>
        <v>137132.98686045883</v>
      </c>
      <c r="K65" s="103">
        <f>VLOOKUP($A65,'US Grid mix, emissions&amp;prices'!$H$113:$I$163,2,FALSE)*K$110</f>
        <v>137132.98686045883</v>
      </c>
      <c r="L65" s="103">
        <f>VLOOKUP($A65,'US Grid mix, emissions&amp;prices'!$H$113:$I$163,2,FALSE)*L$110</f>
        <v>137132.98686045883</v>
      </c>
      <c r="M65" s="103">
        <f>VLOOKUP($A65,'US Grid mix, emissions&amp;prices'!$H$113:$I$163,2,FALSE)*M$110</f>
        <v>137132.98686045883</v>
      </c>
      <c r="N65" s="103">
        <f>VLOOKUP($A65,'US Grid mix, emissions&amp;prices'!$H$113:$I$163,2,FALSE)*N$110</f>
        <v>137132.98686045883</v>
      </c>
      <c r="O65" s="103">
        <f>VLOOKUP($A65,'US Grid mix, emissions&amp;prices'!$H$113:$I$163,2,FALSE)*O$110</f>
        <v>137132.98686045883</v>
      </c>
      <c r="P65" s="103">
        <f>VLOOKUP($A65,'US Grid mix, emissions&amp;prices'!$H$113:$I$163,2,FALSE)*P$110</f>
        <v>137132.98686045883</v>
      </c>
      <c r="Q65" s="103">
        <f>VLOOKUP($A65,'US Grid mix, emissions&amp;prices'!$H$113:$I$163,2,FALSE)*Q$110</f>
        <v>137132.98686045883</v>
      </c>
      <c r="R65" s="103">
        <f>VLOOKUP($A65,'US Grid mix, emissions&amp;prices'!$H$113:$I$163,2,FALSE)*R$110</f>
        <v>137132.98686045883</v>
      </c>
      <c r="S65" s="103">
        <f>VLOOKUP($A65,'US Grid mix, emissions&amp;prices'!$H$113:$I$163,2,FALSE)*S$110</f>
        <v>137132.98686045883</v>
      </c>
      <c r="T65" s="103">
        <f>VLOOKUP($A65,'US Grid mix, emissions&amp;prices'!$H$113:$I$163,2,FALSE)*T$110</f>
        <v>137132.98686045883</v>
      </c>
      <c r="U65" s="103">
        <f>VLOOKUP($A65,'US Grid mix, emissions&amp;prices'!$H$113:$I$163,2,FALSE)*U$110</f>
        <v>137132.98686045883</v>
      </c>
      <c r="V65" s="103">
        <f>VLOOKUP($A65,'US Grid mix, emissions&amp;prices'!$H$113:$I$163,2,FALSE)*V$110</f>
        <v>137132.98686045883</v>
      </c>
      <c r="W65" s="103">
        <f>VLOOKUP($A65,'US Grid mix, emissions&amp;prices'!$H$113:$I$163,2,FALSE)*W$110</f>
        <v>137132.98686045883</v>
      </c>
      <c r="X65" s="103">
        <f>VLOOKUP($A65,'US Grid mix, emissions&amp;prices'!$H$113:$I$163,2,FALSE)*X$110</f>
        <v>137132.98686045883</v>
      </c>
      <c r="Y65" s="103">
        <f>VLOOKUP($A65,'US Grid mix, emissions&amp;prices'!$H$113:$I$163,2,FALSE)*Y$110</f>
        <v>137132.98686045883</v>
      </c>
      <c r="Z65" s="103">
        <f>VLOOKUP($A65,'US Grid mix, emissions&amp;prices'!$H$113:$I$163,2,FALSE)*Z$110</f>
        <v>137132.98686045883</v>
      </c>
      <c r="AA65" s="103">
        <f>VLOOKUP($A65,'US Grid mix, emissions&amp;prices'!$H$113:$I$163,2,FALSE)*AA$110</f>
        <v>137132.98686045883</v>
      </c>
      <c r="AB65" s="103">
        <f>VLOOKUP($A65,'US Grid mix, emissions&amp;prices'!$H$113:$I$163,2,FALSE)*AB$110</f>
        <v>137132.98686045883</v>
      </c>
      <c r="AC65" s="103">
        <f>VLOOKUP($A65,'US Grid mix, emissions&amp;prices'!$H$113:$I$163,2,FALSE)*AC$110</f>
        <v>137132.98686045883</v>
      </c>
      <c r="AF65" s="83" t="s">
        <v>191</v>
      </c>
      <c r="AG65" s="103">
        <f>VLOOKUP($AF65,'US Grid mix, emissions&amp;prices'!$H$113:$I$163,2,FALSE)*AG$110</f>
        <v>158860.39358512958</v>
      </c>
      <c r="AH65" s="103">
        <f>VLOOKUP($AF65,'US Grid mix, emissions&amp;prices'!$H$113:$I$163,2,FALSE)*AH$110</f>
        <v>158860.39358512958</v>
      </c>
      <c r="AI65" s="103">
        <f>VLOOKUP($AF65,'US Grid mix, emissions&amp;prices'!$H$113:$I$163,2,FALSE)*AI$110</f>
        <v>158860.39358512958</v>
      </c>
      <c r="AJ65" s="103">
        <f>VLOOKUP($AF65,'US Grid mix, emissions&amp;prices'!$H$113:$I$163,2,FALSE)*AJ$110</f>
        <v>158860.39358512958</v>
      </c>
      <c r="AK65" s="103">
        <f>VLOOKUP($AF65,'US Grid mix, emissions&amp;prices'!$H$113:$I$163,2,FALSE)*AK$110</f>
        <v>158860.39358512958</v>
      </c>
      <c r="AL65" s="103">
        <f>VLOOKUP($AF65,'US Grid mix, emissions&amp;prices'!$H$113:$I$163,2,FALSE)*AL$110</f>
        <v>158860.39358512958</v>
      </c>
      <c r="AM65" s="103">
        <f>VLOOKUP($AF65,'US Grid mix, emissions&amp;prices'!$H$113:$I$163,2,FALSE)*AM$110</f>
        <v>158860.39358512958</v>
      </c>
      <c r="AN65" s="103">
        <f>VLOOKUP($AF65,'US Grid mix, emissions&amp;prices'!$H$113:$I$163,2,FALSE)*AN$110</f>
        <v>158860.39358512958</v>
      </c>
      <c r="AO65" s="103">
        <f>VLOOKUP($AF65,'US Grid mix, emissions&amp;prices'!$H$113:$I$163,2,FALSE)*AO$110</f>
        <v>158860.39358512958</v>
      </c>
      <c r="AP65" s="103">
        <f>VLOOKUP($AF65,'US Grid mix, emissions&amp;prices'!$H$113:$I$163,2,FALSE)*AP$110</f>
        <v>158860.39358512958</v>
      </c>
      <c r="AQ65" s="103">
        <f>VLOOKUP($AF65,'US Grid mix, emissions&amp;prices'!$H$113:$I$163,2,FALSE)*AQ$110</f>
        <v>158860.39358512958</v>
      </c>
      <c r="AR65" s="103">
        <f>VLOOKUP($AF65,'US Grid mix, emissions&amp;prices'!$H$113:$I$163,2,FALSE)*AR$110</f>
        <v>158860.39358512958</v>
      </c>
      <c r="AS65" s="103">
        <f>VLOOKUP($AF65,'US Grid mix, emissions&amp;prices'!$H$113:$I$163,2,FALSE)*AS$110</f>
        <v>158860.39358512958</v>
      </c>
      <c r="AT65" s="103">
        <f>VLOOKUP($AF65,'US Grid mix, emissions&amp;prices'!$H$113:$I$163,2,FALSE)*AT$110</f>
        <v>158860.39358512958</v>
      </c>
      <c r="AU65" s="103">
        <f>VLOOKUP($AF65,'US Grid mix, emissions&amp;prices'!$H$113:$I$163,2,FALSE)*AU$110</f>
        <v>158860.39358512958</v>
      </c>
      <c r="AV65" s="103">
        <f>VLOOKUP($AF65,'US Grid mix, emissions&amp;prices'!$H$113:$I$163,2,FALSE)*AV$110</f>
        <v>158860.39358512958</v>
      </c>
      <c r="AW65" s="103">
        <f>VLOOKUP($AF65,'US Grid mix, emissions&amp;prices'!$H$113:$I$163,2,FALSE)*AW$110</f>
        <v>158860.39358512958</v>
      </c>
      <c r="AX65" s="103">
        <f>VLOOKUP($AF65,'US Grid mix, emissions&amp;prices'!$H$113:$I$163,2,FALSE)*AX$110</f>
        <v>158860.39358512958</v>
      </c>
      <c r="AY65" s="103">
        <f>VLOOKUP($AF65,'US Grid mix, emissions&amp;prices'!$H$113:$I$163,2,FALSE)*AY$110</f>
        <v>158860.39358512958</v>
      </c>
      <c r="AZ65" s="103">
        <f>VLOOKUP($AF65,'US Grid mix, emissions&amp;prices'!$H$113:$I$163,2,FALSE)*AZ$110</f>
        <v>158860.39358512958</v>
      </c>
      <c r="BA65" s="103">
        <f>VLOOKUP($AF65,'US Grid mix, emissions&amp;prices'!$H$113:$I$163,2,FALSE)*BA$110</f>
        <v>158860.39358512958</v>
      </c>
      <c r="BB65" s="103">
        <f>VLOOKUP($AF65,'US Grid mix, emissions&amp;prices'!$H$113:$I$163,2,FALSE)*BB$110</f>
        <v>158860.39358512958</v>
      </c>
      <c r="BC65" s="103">
        <f>VLOOKUP($AF65,'US Grid mix, emissions&amp;prices'!$H$113:$I$163,2,FALSE)*BC$110</f>
        <v>158860.39358512958</v>
      </c>
      <c r="BD65" s="103">
        <f>VLOOKUP($AF65,'US Grid mix, emissions&amp;prices'!$H$113:$I$163,2,FALSE)*BD$110</f>
        <v>158860.39358512958</v>
      </c>
      <c r="BE65" s="103">
        <f>VLOOKUP($AF65,'US Grid mix, emissions&amp;prices'!$H$113:$I$163,2,FALSE)*BE$110</f>
        <v>158860.39358512958</v>
      </c>
      <c r="BF65" s="103">
        <f>VLOOKUP($AF65,'US Grid mix, emissions&amp;prices'!$H$113:$I$163,2,FALSE)*BF$110</f>
        <v>158860.39358512958</v>
      </c>
      <c r="BG65" s="103">
        <f>VLOOKUP($AF65,'US Grid mix, emissions&amp;prices'!$H$113:$I$163,2,FALSE)*BG$110</f>
        <v>158860.39358512958</v>
      </c>
      <c r="BH65" s="103">
        <f>VLOOKUP($AF65,'US Grid mix, emissions&amp;prices'!$H$113:$I$163,2,FALSE)*BH$110</f>
        <v>158860.39358512958</v>
      </c>
    </row>
    <row r="66" spans="1:60" x14ac:dyDescent="0.25">
      <c r="A66" s="83" t="s">
        <v>192</v>
      </c>
      <c r="B66" s="103">
        <f>VLOOKUP($A66,'US Grid mix, emissions&amp;prices'!$H$113:$I$163,2,FALSE)*B$110</f>
        <v>214699.75515755889</v>
      </c>
      <c r="C66" s="103">
        <f>VLOOKUP($A66,'US Grid mix, emissions&amp;prices'!$H$113:$I$163,2,FALSE)*C$110</f>
        <v>214699.75515755889</v>
      </c>
      <c r="D66" s="103">
        <f>VLOOKUP($A66,'US Grid mix, emissions&amp;prices'!$H$113:$I$163,2,FALSE)*D$110</f>
        <v>214699.75515755889</v>
      </c>
      <c r="E66" s="103">
        <f>VLOOKUP($A66,'US Grid mix, emissions&amp;prices'!$H$113:$I$163,2,FALSE)*E$110</f>
        <v>214699.75515755889</v>
      </c>
      <c r="F66" s="103">
        <f>VLOOKUP($A66,'US Grid mix, emissions&amp;prices'!$H$113:$I$163,2,FALSE)*F$110</f>
        <v>214699.75515755889</v>
      </c>
      <c r="G66" s="103">
        <f>VLOOKUP($A66,'US Grid mix, emissions&amp;prices'!$H$113:$I$163,2,FALSE)*G$110</f>
        <v>214699.75515755889</v>
      </c>
      <c r="H66" s="103">
        <f>VLOOKUP($A66,'US Grid mix, emissions&amp;prices'!$H$113:$I$163,2,FALSE)*H$110</f>
        <v>214699.75515755889</v>
      </c>
      <c r="I66" s="103">
        <f>VLOOKUP($A66,'US Grid mix, emissions&amp;prices'!$H$113:$I$163,2,FALSE)*I$110</f>
        <v>214699.75515755889</v>
      </c>
      <c r="J66" s="103">
        <f>VLOOKUP($A66,'US Grid mix, emissions&amp;prices'!$H$113:$I$163,2,FALSE)*J$110</f>
        <v>214699.75515755889</v>
      </c>
      <c r="K66" s="103">
        <f>VLOOKUP($A66,'US Grid mix, emissions&amp;prices'!$H$113:$I$163,2,FALSE)*K$110</f>
        <v>214699.75515755889</v>
      </c>
      <c r="L66" s="103">
        <f>VLOOKUP($A66,'US Grid mix, emissions&amp;prices'!$H$113:$I$163,2,FALSE)*L$110</f>
        <v>214699.75515755889</v>
      </c>
      <c r="M66" s="103">
        <f>VLOOKUP($A66,'US Grid mix, emissions&amp;prices'!$H$113:$I$163,2,FALSE)*M$110</f>
        <v>214699.75515755889</v>
      </c>
      <c r="N66" s="103">
        <f>VLOOKUP($A66,'US Grid mix, emissions&amp;prices'!$H$113:$I$163,2,FALSE)*N$110</f>
        <v>214699.75515755889</v>
      </c>
      <c r="O66" s="103">
        <f>VLOOKUP($A66,'US Grid mix, emissions&amp;prices'!$H$113:$I$163,2,FALSE)*O$110</f>
        <v>214699.75515755889</v>
      </c>
      <c r="P66" s="103">
        <f>VLOOKUP($A66,'US Grid mix, emissions&amp;prices'!$H$113:$I$163,2,FALSE)*P$110</f>
        <v>214699.75515755889</v>
      </c>
      <c r="Q66" s="103">
        <f>VLOOKUP($A66,'US Grid mix, emissions&amp;prices'!$H$113:$I$163,2,FALSE)*Q$110</f>
        <v>214699.75515755889</v>
      </c>
      <c r="R66" s="103">
        <f>VLOOKUP($A66,'US Grid mix, emissions&amp;prices'!$H$113:$I$163,2,FALSE)*R$110</f>
        <v>214699.75515755889</v>
      </c>
      <c r="S66" s="103">
        <f>VLOOKUP($A66,'US Grid mix, emissions&amp;prices'!$H$113:$I$163,2,FALSE)*S$110</f>
        <v>214699.75515755889</v>
      </c>
      <c r="T66" s="103">
        <f>VLOOKUP($A66,'US Grid mix, emissions&amp;prices'!$H$113:$I$163,2,FALSE)*T$110</f>
        <v>214699.75515755889</v>
      </c>
      <c r="U66" s="103">
        <f>VLOOKUP($A66,'US Grid mix, emissions&amp;prices'!$H$113:$I$163,2,FALSE)*U$110</f>
        <v>214699.75515755889</v>
      </c>
      <c r="V66" s="103">
        <f>VLOOKUP($A66,'US Grid mix, emissions&amp;prices'!$H$113:$I$163,2,FALSE)*V$110</f>
        <v>214699.75515755889</v>
      </c>
      <c r="W66" s="103">
        <f>VLOOKUP($A66,'US Grid mix, emissions&amp;prices'!$H$113:$I$163,2,FALSE)*W$110</f>
        <v>214699.75515755889</v>
      </c>
      <c r="X66" s="103">
        <f>VLOOKUP($A66,'US Grid mix, emissions&amp;prices'!$H$113:$I$163,2,FALSE)*X$110</f>
        <v>214699.75515755889</v>
      </c>
      <c r="Y66" s="103">
        <f>VLOOKUP($A66,'US Grid mix, emissions&amp;prices'!$H$113:$I$163,2,FALSE)*Y$110</f>
        <v>214699.75515755889</v>
      </c>
      <c r="Z66" s="103">
        <f>VLOOKUP($A66,'US Grid mix, emissions&amp;prices'!$H$113:$I$163,2,FALSE)*Z$110</f>
        <v>214699.75515755889</v>
      </c>
      <c r="AA66" s="103">
        <f>VLOOKUP($A66,'US Grid mix, emissions&amp;prices'!$H$113:$I$163,2,FALSE)*AA$110</f>
        <v>214699.75515755889</v>
      </c>
      <c r="AB66" s="103">
        <f>VLOOKUP($A66,'US Grid mix, emissions&amp;prices'!$H$113:$I$163,2,FALSE)*AB$110</f>
        <v>214699.75515755889</v>
      </c>
      <c r="AC66" s="103">
        <f>VLOOKUP($A66,'US Grid mix, emissions&amp;prices'!$H$113:$I$163,2,FALSE)*AC$110</f>
        <v>214699.75515755889</v>
      </c>
      <c r="AF66" s="83" t="s">
        <v>192</v>
      </c>
      <c r="AG66" s="103">
        <f>VLOOKUP($AF66,'US Grid mix, emissions&amp;prices'!$H$113:$I$163,2,FALSE)*AG$110</f>
        <v>248716.87248865221</v>
      </c>
      <c r="AH66" s="103">
        <f>VLOOKUP($AF66,'US Grid mix, emissions&amp;prices'!$H$113:$I$163,2,FALSE)*AH$110</f>
        <v>248716.87248865221</v>
      </c>
      <c r="AI66" s="103">
        <f>VLOOKUP($AF66,'US Grid mix, emissions&amp;prices'!$H$113:$I$163,2,FALSE)*AI$110</f>
        <v>248716.87248865221</v>
      </c>
      <c r="AJ66" s="103">
        <f>VLOOKUP($AF66,'US Grid mix, emissions&amp;prices'!$H$113:$I$163,2,FALSE)*AJ$110</f>
        <v>248716.87248865221</v>
      </c>
      <c r="AK66" s="103">
        <f>VLOOKUP($AF66,'US Grid mix, emissions&amp;prices'!$H$113:$I$163,2,FALSE)*AK$110</f>
        <v>248716.87248865221</v>
      </c>
      <c r="AL66" s="103">
        <f>VLOOKUP($AF66,'US Grid mix, emissions&amp;prices'!$H$113:$I$163,2,FALSE)*AL$110</f>
        <v>248716.87248865221</v>
      </c>
      <c r="AM66" s="103">
        <f>VLOOKUP($AF66,'US Grid mix, emissions&amp;prices'!$H$113:$I$163,2,FALSE)*AM$110</f>
        <v>248716.87248865221</v>
      </c>
      <c r="AN66" s="103">
        <f>VLOOKUP($AF66,'US Grid mix, emissions&amp;prices'!$H$113:$I$163,2,FALSE)*AN$110</f>
        <v>248716.87248865221</v>
      </c>
      <c r="AO66" s="103">
        <f>VLOOKUP($AF66,'US Grid mix, emissions&amp;prices'!$H$113:$I$163,2,FALSE)*AO$110</f>
        <v>248716.87248865221</v>
      </c>
      <c r="AP66" s="103">
        <f>VLOOKUP($AF66,'US Grid mix, emissions&amp;prices'!$H$113:$I$163,2,FALSE)*AP$110</f>
        <v>248716.87248865221</v>
      </c>
      <c r="AQ66" s="103">
        <f>VLOOKUP($AF66,'US Grid mix, emissions&amp;prices'!$H$113:$I$163,2,FALSE)*AQ$110</f>
        <v>248716.87248865221</v>
      </c>
      <c r="AR66" s="103">
        <f>VLOOKUP($AF66,'US Grid mix, emissions&amp;prices'!$H$113:$I$163,2,FALSE)*AR$110</f>
        <v>248716.87248865221</v>
      </c>
      <c r="AS66" s="103">
        <f>VLOOKUP($AF66,'US Grid mix, emissions&amp;prices'!$H$113:$I$163,2,FALSE)*AS$110</f>
        <v>248716.87248865221</v>
      </c>
      <c r="AT66" s="103">
        <f>VLOOKUP($AF66,'US Grid mix, emissions&amp;prices'!$H$113:$I$163,2,FALSE)*AT$110</f>
        <v>248716.87248865221</v>
      </c>
      <c r="AU66" s="103">
        <f>VLOOKUP($AF66,'US Grid mix, emissions&amp;prices'!$H$113:$I$163,2,FALSE)*AU$110</f>
        <v>248716.87248865221</v>
      </c>
      <c r="AV66" s="103">
        <f>VLOOKUP($AF66,'US Grid mix, emissions&amp;prices'!$H$113:$I$163,2,FALSE)*AV$110</f>
        <v>248716.87248865221</v>
      </c>
      <c r="AW66" s="103">
        <f>VLOOKUP($AF66,'US Grid mix, emissions&amp;prices'!$H$113:$I$163,2,FALSE)*AW$110</f>
        <v>248716.87248865221</v>
      </c>
      <c r="AX66" s="103">
        <f>VLOOKUP($AF66,'US Grid mix, emissions&amp;prices'!$H$113:$I$163,2,FALSE)*AX$110</f>
        <v>248716.87248865221</v>
      </c>
      <c r="AY66" s="103">
        <f>VLOOKUP($AF66,'US Grid mix, emissions&amp;prices'!$H$113:$I$163,2,FALSE)*AY$110</f>
        <v>248716.87248865221</v>
      </c>
      <c r="AZ66" s="103">
        <f>VLOOKUP($AF66,'US Grid mix, emissions&amp;prices'!$H$113:$I$163,2,FALSE)*AZ$110</f>
        <v>248716.87248865221</v>
      </c>
      <c r="BA66" s="103">
        <f>VLOOKUP($AF66,'US Grid mix, emissions&amp;prices'!$H$113:$I$163,2,FALSE)*BA$110</f>
        <v>248716.87248865221</v>
      </c>
      <c r="BB66" s="103">
        <f>VLOOKUP($AF66,'US Grid mix, emissions&amp;prices'!$H$113:$I$163,2,FALSE)*BB$110</f>
        <v>248716.87248865221</v>
      </c>
      <c r="BC66" s="103">
        <f>VLOOKUP($AF66,'US Grid mix, emissions&amp;prices'!$H$113:$I$163,2,FALSE)*BC$110</f>
        <v>248716.87248865221</v>
      </c>
      <c r="BD66" s="103">
        <f>VLOOKUP($AF66,'US Grid mix, emissions&amp;prices'!$H$113:$I$163,2,FALSE)*BD$110</f>
        <v>248716.87248865221</v>
      </c>
      <c r="BE66" s="103">
        <f>VLOOKUP($AF66,'US Grid mix, emissions&amp;prices'!$H$113:$I$163,2,FALSE)*BE$110</f>
        <v>248716.87248865221</v>
      </c>
      <c r="BF66" s="103">
        <f>VLOOKUP($AF66,'US Grid mix, emissions&amp;prices'!$H$113:$I$163,2,FALSE)*BF$110</f>
        <v>248716.87248865221</v>
      </c>
      <c r="BG66" s="103">
        <f>VLOOKUP($AF66,'US Grid mix, emissions&amp;prices'!$H$113:$I$163,2,FALSE)*BG$110</f>
        <v>248716.87248865221</v>
      </c>
      <c r="BH66" s="103">
        <f>VLOOKUP($AF66,'US Grid mix, emissions&amp;prices'!$H$113:$I$163,2,FALSE)*BH$110</f>
        <v>248716.87248865221</v>
      </c>
    </row>
    <row r="67" spans="1:60" x14ac:dyDescent="0.25">
      <c r="A67" s="83" t="s">
        <v>193</v>
      </c>
      <c r="B67" s="103">
        <f>VLOOKUP($A67,'US Grid mix, emissions&amp;prices'!$H$113:$I$163,2,FALSE)*B$110</f>
        <v>199596.54426984995</v>
      </c>
      <c r="C67" s="103">
        <f>VLOOKUP($A67,'US Grid mix, emissions&amp;prices'!$H$113:$I$163,2,FALSE)*C$110</f>
        <v>199596.54426984995</v>
      </c>
      <c r="D67" s="103">
        <f>VLOOKUP($A67,'US Grid mix, emissions&amp;prices'!$H$113:$I$163,2,FALSE)*D$110</f>
        <v>199596.54426984995</v>
      </c>
      <c r="E67" s="103">
        <f>VLOOKUP($A67,'US Grid mix, emissions&amp;prices'!$H$113:$I$163,2,FALSE)*E$110</f>
        <v>199596.54426984995</v>
      </c>
      <c r="F67" s="103">
        <f>VLOOKUP($A67,'US Grid mix, emissions&amp;prices'!$H$113:$I$163,2,FALSE)*F$110</f>
        <v>199596.54426984995</v>
      </c>
      <c r="G67" s="103">
        <f>VLOOKUP($A67,'US Grid mix, emissions&amp;prices'!$H$113:$I$163,2,FALSE)*G$110</f>
        <v>199596.54426984995</v>
      </c>
      <c r="H67" s="103">
        <f>VLOOKUP($A67,'US Grid mix, emissions&amp;prices'!$H$113:$I$163,2,FALSE)*H$110</f>
        <v>199596.54426984995</v>
      </c>
      <c r="I67" s="103">
        <f>VLOOKUP($A67,'US Grid mix, emissions&amp;prices'!$H$113:$I$163,2,FALSE)*I$110</f>
        <v>199596.54426984995</v>
      </c>
      <c r="J67" s="103">
        <f>VLOOKUP($A67,'US Grid mix, emissions&amp;prices'!$H$113:$I$163,2,FALSE)*J$110</f>
        <v>199596.54426984995</v>
      </c>
      <c r="K67" s="103">
        <f>VLOOKUP($A67,'US Grid mix, emissions&amp;prices'!$H$113:$I$163,2,FALSE)*K$110</f>
        <v>199596.54426984995</v>
      </c>
      <c r="L67" s="103">
        <f>VLOOKUP($A67,'US Grid mix, emissions&amp;prices'!$H$113:$I$163,2,FALSE)*L$110</f>
        <v>199596.54426984995</v>
      </c>
      <c r="M67" s="103">
        <f>VLOOKUP($A67,'US Grid mix, emissions&amp;prices'!$H$113:$I$163,2,FALSE)*M$110</f>
        <v>199596.54426984995</v>
      </c>
      <c r="N67" s="103">
        <f>VLOOKUP($A67,'US Grid mix, emissions&amp;prices'!$H$113:$I$163,2,FALSE)*N$110</f>
        <v>199596.54426984995</v>
      </c>
      <c r="O67" s="103">
        <f>VLOOKUP($A67,'US Grid mix, emissions&amp;prices'!$H$113:$I$163,2,FALSE)*O$110</f>
        <v>199596.54426984995</v>
      </c>
      <c r="P67" s="103">
        <f>VLOOKUP($A67,'US Grid mix, emissions&amp;prices'!$H$113:$I$163,2,FALSE)*P$110</f>
        <v>199596.54426984995</v>
      </c>
      <c r="Q67" s="103">
        <f>VLOOKUP($A67,'US Grid mix, emissions&amp;prices'!$H$113:$I$163,2,FALSE)*Q$110</f>
        <v>199596.54426984995</v>
      </c>
      <c r="R67" s="103">
        <f>VLOOKUP($A67,'US Grid mix, emissions&amp;prices'!$H$113:$I$163,2,FALSE)*R$110</f>
        <v>199596.54426984995</v>
      </c>
      <c r="S67" s="103">
        <f>VLOOKUP($A67,'US Grid mix, emissions&amp;prices'!$H$113:$I$163,2,FALSE)*S$110</f>
        <v>199596.54426984995</v>
      </c>
      <c r="T67" s="103">
        <f>VLOOKUP($A67,'US Grid mix, emissions&amp;prices'!$H$113:$I$163,2,FALSE)*T$110</f>
        <v>199596.54426984995</v>
      </c>
      <c r="U67" s="103">
        <f>VLOOKUP($A67,'US Grid mix, emissions&amp;prices'!$H$113:$I$163,2,FALSE)*U$110</f>
        <v>199596.54426984995</v>
      </c>
      <c r="V67" s="103">
        <f>VLOOKUP($A67,'US Grid mix, emissions&amp;prices'!$H$113:$I$163,2,FALSE)*V$110</f>
        <v>199596.54426984995</v>
      </c>
      <c r="W67" s="103">
        <f>VLOOKUP($A67,'US Grid mix, emissions&amp;prices'!$H$113:$I$163,2,FALSE)*W$110</f>
        <v>199596.54426984995</v>
      </c>
      <c r="X67" s="103">
        <f>VLOOKUP($A67,'US Grid mix, emissions&amp;prices'!$H$113:$I$163,2,FALSE)*X$110</f>
        <v>199596.54426984995</v>
      </c>
      <c r="Y67" s="103">
        <f>VLOOKUP($A67,'US Grid mix, emissions&amp;prices'!$H$113:$I$163,2,FALSE)*Y$110</f>
        <v>199596.54426984995</v>
      </c>
      <c r="Z67" s="103">
        <f>VLOOKUP($A67,'US Grid mix, emissions&amp;prices'!$H$113:$I$163,2,FALSE)*Z$110</f>
        <v>199596.54426984995</v>
      </c>
      <c r="AA67" s="103">
        <f>VLOOKUP($A67,'US Grid mix, emissions&amp;prices'!$H$113:$I$163,2,FALSE)*AA$110</f>
        <v>199596.54426984995</v>
      </c>
      <c r="AB67" s="103">
        <f>VLOOKUP($A67,'US Grid mix, emissions&amp;prices'!$H$113:$I$163,2,FALSE)*AB$110</f>
        <v>199596.54426984995</v>
      </c>
      <c r="AC67" s="103">
        <f>VLOOKUP($A67,'US Grid mix, emissions&amp;prices'!$H$113:$I$163,2,FALSE)*AC$110</f>
        <v>199596.54426984995</v>
      </c>
      <c r="AF67" s="83" t="s">
        <v>193</v>
      </c>
      <c r="AG67" s="103">
        <f>VLOOKUP($AF67,'US Grid mix, emissions&amp;prices'!$H$113:$I$163,2,FALSE)*AG$110</f>
        <v>231220.70266875255</v>
      </c>
      <c r="AH67" s="103">
        <f>VLOOKUP($AF67,'US Grid mix, emissions&amp;prices'!$H$113:$I$163,2,FALSE)*AH$110</f>
        <v>231220.70266875255</v>
      </c>
      <c r="AI67" s="103">
        <f>VLOOKUP($AF67,'US Grid mix, emissions&amp;prices'!$H$113:$I$163,2,FALSE)*AI$110</f>
        <v>231220.70266875255</v>
      </c>
      <c r="AJ67" s="103">
        <f>VLOOKUP($AF67,'US Grid mix, emissions&amp;prices'!$H$113:$I$163,2,FALSE)*AJ$110</f>
        <v>231220.70266875255</v>
      </c>
      <c r="AK67" s="103">
        <f>VLOOKUP($AF67,'US Grid mix, emissions&amp;prices'!$H$113:$I$163,2,FALSE)*AK$110</f>
        <v>231220.70266875255</v>
      </c>
      <c r="AL67" s="103">
        <f>VLOOKUP($AF67,'US Grid mix, emissions&amp;prices'!$H$113:$I$163,2,FALSE)*AL$110</f>
        <v>231220.70266875255</v>
      </c>
      <c r="AM67" s="103">
        <f>VLOOKUP($AF67,'US Grid mix, emissions&amp;prices'!$H$113:$I$163,2,FALSE)*AM$110</f>
        <v>231220.70266875255</v>
      </c>
      <c r="AN67" s="103">
        <f>VLOOKUP($AF67,'US Grid mix, emissions&amp;prices'!$H$113:$I$163,2,FALSE)*AN$110</f>
        <v>231220.70266875255</v>
      </c>
      <c r="AO67" s="103">
        <f>VLOOKUP($AF67,'US Grid mix, emissions&amp;prices'!$H$113:$I$163,2,FALSE)*AO$110</f>
        <v>231220.70266875255</v>
      </c>
      <c r="AP67" s="103">
        <f>VLOOKUP($AF67,'US Grid mix, emissions&amp;prices'!$H$113:$I$163,2,FALSE)*AP$110</f>
        <v>231220.70266875255</v>
      </c>
      <c r="AQ67" s="103">
        <f>VLOOKUP($AF67,'US Grid mix, emissions&amp;prices'!$H$113:$I$163,2,FALSE)*AQ$110</f>
        <v>231220.70266875255</v>
      </c>
      <c r="AR67" s="103">
        <f>VLOOKUP($AF67,'US Grid mix, emissions&amp;prices'!$H$113:$I$163,2,FALSE)*AR$110</f>
        <v>231220.70266875255</v>
      </c>
      <c r="AS67" s="103">
        <f>VLOOKUP($AF67,'US Grid mix, emissions&amp;prices'!$H$113:$I$163,2,FALSE)*AS$110</f>
        <v>231220.70266875255</v>
      </c>
      <c r="AT67" s="103">
        <f>VLOOKUP($AF67,'US Grid mix, emissions&amp;prices'!$H$113:$I$163,2,FALSE)*AT$110</f>
        <v>231220.70266875255</v>
      </c>
      <c r="AU67" s="103">
        <f>VLOOKUP($AF67,'US Grid mix, emissions&amp;prices'!$H$113:$I$163,2,FALSE)*AU$110</f>
        <v>231220.70266875255</v>
      </c>
      <c r="AV67" s="103">
        <f>VLOOKUP($AF67,'US Grid mix, emissions&amp;prices'!$H$113:$I$163,2,FALSE)*AV$110</f>
        <v>231220.70266875255</v>
      </c>
      <c r="AW67" s="103">
        <f>VLOOKUP($AF67,'US Grid mix, emissions&amp;prices'!$H$113:$I$163,2,FALSE)*AW$110</f>
        <v>231220.70266875255</v>
      </c>
      <c r="AX67" s="103">
        <f>VLOOKUP($AF67,'US Grid mix, emissions&amp;prices'!$H$113:$I$163,2,FALSE)*AX$110</f>
        <v>231220.70266875255</v>
      </c>
      <c r="AY67" s="103">
        <f>VLOOKUP($AF67,'US Grid mix, emissions&amp;prices'!$H$113:$I$163,2,FALSE)*AY$110</f>
        <v>231220.70266875255</v>
      </c>
      <c r="AZ67" s="103">
        <f>VLOOKUP($AF67,'US Grid mix, emissions&amp;prices'!$H$113:$I$163,2,FALSE)*AZ$110</f>
        <v>231220.70266875255</v>
      </c>
      <c r="BA67" s="103">
        <f>VLOOKUP($AF67,'US Grid mix, emissions&amp;prices'!$H$113:$I$163,2,FALSE)*BA$110</f>
        <v>231220.70266875255</v>
      </c>
      <c r="BB67" s="103">
        <f>VLOOKUP($AF67,'US Grid mix, emissions&amp;prices'!$H$113:$I$163,2,FALSE)*BB$110</f>
        <v>231220.70266875255</v>
      </c>
      <c r="BC67" s="103">
        <f>VLOOKUP($AF67,'US Grid mix, emissions&amp;prices'!$H$113:$I$163,2,FALSE)*BC$110</f>
        <v>231220.70266875255</v>
      </c>
      <c r="BD67" s="103">
        <f>VLOOKUP($AF67,'US Grid mix, emissions&amp;prices'!$H$113:$I$163,2,FALSE)*BD$110</f>
        <v>231220.70266875255</v>
      </c>
      <c r="BE67" s="103">
        <f>VLOOKUP($AF67,'US Grid mix, emissions&amp;prices'!$H$113:$I$163,2,FALSE)*BE$110</f>
        <v>231220.70266875255</v>
      </c>
      <c r="BF67" s="103">
        <f>VLOOKUP($AF67,'US Grid mix, emissions&amp;prices'!$H$113:$I$163,2,FALSE)*BF$110</f>
        <v>231220.70266875255</v>
      </c>
      <c r="BG67" s="103">
        <f>VLOOKUP($AF67,'US Grid mix, emissions&amp;prices'!$H$113:$I$163,2,FALSE)*BG$110</f>
        <v>231220.70266875255</v>
      </c>
      <c r="BH67" s="103">
        <f>VLOOKUP($AF67,'US Grid mix, emissions&amp;prices'!$H$113:$I$163,2,FALSE)*BH$110</f>
        <v>231220.70266875255</v>
      </c>
    </row>
    <row r="68" spans="1:60" x14ac:dyDescent="0.25">
      <c r="A68" s="83" t="s">
        <v>194</v>
      </c>
      <c r="B68" s="103">
        <f>VLOOKUP($A68,'US Grid mix, emissions&amp;prices'!$H$113:$I$163,2,FALSE)*B$110</f>
        <v>171770.80301477329</v>
      </c>
      <c r="C68" s="103">
        <f>VLOOKUP($A68,'US Grid mix, emissions&amp;prices'!$H$113:$I$163,2,FALSE)*C$110</f>
        <v>171770.80301477329</v>
      </c>
      <c r="D68" s="103">
        <f>VLOOKUP($A68,'US Grid mix, emissions&amp;prices'!$H$113:$I$163,2,FALSE)*D$110</f>
        <v>171770.80301477329</v>
      </c>
      <c r="E68" s="103">
        <f>VLOOKUP($A68,'US Grid mix, emissions&amp;prices'!$H$113:$I$163,2,FALSE)*E$110</f>
        <v>171770.80301477329</v>
      </c>
      <c r="F68" s="103">
        <f>VLOOKUP($A68,'US Grid mix, emissions&amp;prices'!$H$113:$I$163,2,FALSE)*F$110</f>
        <v>171770.80301477329</v>
      </c>
      <c r="G68" s="103">
        <f>VLOOKUP($A68,'US Grid mix, emissions&amp;prices'!$H$113:$I$163,2,FALSE)*G$110</f>
        <v>171770.80301477329</v>
      </c>
      <c r="H68" s="103">
        <f>VLOOKUP($A68,'US Grid mix, emissions&amp;prices'!$H$113:$I$163,2,FALSE)*H$110</f>
        <v>171770.80301477329</v>
      </c>
      <c r="I68" s="103">
        <f>VLOOKUP($A68,'US Grid mix, emissions&amp;prices'!$H$113:$I$163,2,FALSE)*I$110</f>
        <v>171770.80301477329</v>
      </c>
      <c r="J68" s="103">
        <f>VLOOKUP($A68,'US Grid mix, emissions&amp;prices'!$H$113:$I$163,2,FALSE)*J$110</f>
        <v>171770.80301477329</v>
      </c>
      <c r="K68" s="103">
        <f>VLOOKUP($A68,'US Grid mix, emissions&amp;prices'!$H$113:$I$163,2,FALSE)*K$110</f>
        <v>171770.80301477329</v>
      </c>
      <c r="L68" s="103">
        <f>VLOOKUP($A68,'US Grid mix, emissions&amp;prices'!$H$113:$I$163,2,FALSE)*L$110</f>
        <v>171770.80301477329</v>
      </c>
      <c r="M68" s="103">
        <f>VLOOKUP($A68,'US Grid mix, emissions&amp;prices'!$H$113:$I$163,2,FALSE)*M$110</f>
        <v>171770.80301477329</v>
      </c>
      <c r="N68" s="103">
        <f>VLOOKUP($A68,'US Grid mix, emissions&amp;prices'!$H$113:$I$163,2,FALSE)*N$110</f>
        <v>171770.80301477329</v>
      </c>
      <c r="O68" s="103">
        <f>VLOOKUP($A68,'US Grid mix, emissions&amp;prices'!$H$113:$I$163,2,FALSE)*O$110</f>
        <v>171770.80301477329</v>
      </c>
      <c r="P68" s="103">
        <f>VLOOKUP($A68,'US Grid mix, emissions&amp;prices'!$H$113:$I$163,2,FALSE)*P$110</f>
        <v>171770.80301477329</v>
      </c>
      <c r="Q68" s="103">
        <f>VLOOKUP($A68,'US Grid mix, emissions&amp;prices'!$H$113:$I$163,2,FALSE)*Q$110</f>
        <v>171770.80301477329</v>
      </c>
      <c r="R68" s="103">
        <f>VLOOKUP($A68,'US Grid mix, emissions&amp;prices'!$H$113:$I$163,2,FALSE)*R$110</f>
        <v>171770.80301477329</v>
      </c>
      <c r="S68" s="103">
        <f>VLOOKUP($A68,'US Grid mix, emissions&amp;prices'!$H$113:$I$163,2,FALSE)*S$110</f>
        <v>171770.80301477329</v>
      </c>
      <c r="T68" s="103">
        <f>VLOOKUP($A68,'US Grid mix, emissions&amp;prices'!$H$113:$I$163,2,FALSE)*T$110</f>
        <v>171770.80301477329</v>
      </c>
      <c r="U68" s="103">
        <f>VLOOKUP($A68,'US Grid mix, emissions&amp;prices'!$H$113:$I$163,2,FALSE)*U$110</f>
        <v>171770.80301477329</v>
      </c>
      <c r="V68" s="103">
        <f>VLOOKUP($A68,'US Grid mix, emissions&amp;prices'!$H$113:$I$163,2,FALSE)*V$110</f>
        <v>171770.80301477329</v>
      </c>
      <c r="W68" s="103">
        <f>VLOOKUP($A68,'US Grid mix, emissions&amp;prices'!$H$113:$I$163,2,FALSE)*W$110</f>
        <v>171770.80301477329</v>
      </c>
      <c r="X68" s="103">
        <f>VLOOKUP($A68,'US Grid mix, emissions&amp;prices'!$H$113:$I$163,2,FALSE)*X$110</f>
        <v>171770.80301477329</v>
      </c>
      <c r="Y68" s="103">
        <f>VLOOKUP($A68,'US Grid mix, emissions&amp;prices'!$H$113:$I$163,2,FALSE)*Y$110</f>
        <v>171770.80301477329</v>
      </c>
      <c r="Z68" s="103">
        <f>VLOOKUP($A68,'US Grid mix, emissions&amp;prices'!$H$113:$I$163,2,FALSE)*Z$110</f>
        <v>171770.80301477329</v>
      </c>
      <c r="AA68" s="103">
        <f>VLOOKUP($A68,'US Grid mix, emissions&amp;prices'!$H$113:$I$163,2,FALSE)*AA$110</f>
        <v>171770.80301477329</v>
      </c>
      <c r="AB68" s="103">
        <f>VLOOKUP($A68,'US Grid mix, emissions&amp;prices'!$H$113:$I$163,2,FALSE)*AB$110</f>
        <v>171770.80301477329</v>
      </c>
      <c r="AC68" s="103">
        <f>VLOOKUP($A68,'US Grid mix, emissions&amp;prices'!$H$113:$I$163,2,FALSE)*AC$110</f>
        <v>171770.80301477329</v>
      </c>
      <c r="AF68" s="83" t="s">
        <v>194</v>
      </c>
      <c r="AG68" s="103">
        <f>VLOOKUP($AF68,'US Grid mix, emissions&amp;prices'!$H$113:$I$163,2,FALSE)*AG$110</f>
        <v>198986.23954809227</v>
      </c>
      <c r="AH68" s="103">
        <f>VLOOKUP($AF68,'US Grid mix, emissions&amp;prices'!$H$113:$I$163,2,FALSE)*AH$110</f>
        <v>198986.23954809227</v>
      </c>
      <c r="AI68" s="103">
        <f>VLOOKUP($AF68,'US Grid mix, emissions&amp;prices'!$H$113:$I$163,2,FALSE)*AI$110</f>
        <v>198986.23954809227</v>
      </c>
      <c r="AJ68" s="103">
        <f>VLOOKUP($AF68,'US Grid mix, emissions&amp;prices'!$H$113:$I$163,2,FALSE)*AJ$110</f>
        <v>198986.23954809227</v>
      </c>
      <c r="AK68" s="103">
        <f>VLOOKUP($AF68,'US Grid mix, emissions&amp;prices'!$H$113:$I$163,2,FALSE)*AK$110</f>
        <v>198986.23954809227</v>
      </c>
      <c r="AL68" s="103">
        <f>VLOOKUP($AF68,'US Grid mix, emissions&amp;prices'!$H$113:$I$163,2,FALSE)*AL$110</f>
        <v>198986.23954809227</v>
      </c>
      <c r="AM68" s="103">
        <f>VLOOKUP($AF68,'US Grid mix, emissions&amp;prices'!$H$113:$I$163,2,FALSE)*AM$110</f>
        <v>198986.23954809227</v>
      </c>
      <c r="AN68" s="103">
        <f>VLOOKUP($AF68,'US Grid mix, emissions&amp;prices'!$H$113:$I$163,2,FALSE)*AN$110</f>
        <v>198986.23954809227</v>
      </c>
      <c r="AO68" s="103">
        <f>VLOOKUP($AF68,'US Grid mix, emissions&amp;prices'!$H$113:$I$163,2,FALSE)*AO$110</f>
        <v>198986.23954809227</v>
      </c>
      <c r="AP68" s="103">
        <f>VLOOKUP($AF68,'US Grid mix, emissions&amp;prices'!$H$113:$I$163,2,FALSE)*AP$110</f>
        <v>198986.23954809227</v>
      </c>
      <c r="AQ68" s="103">
        <f>VLOOKUP($AF68,'US Grid mix, emissions&amp;prices'!$H$113:$I$163,2,FALSE)*AQ$110</f>
        <v>198986.23954809227</v>
      </c>
      <c r="AR68" s="103">
        <f>VLOOKUP($AF68,'US Grid mix, emissions&amp;prices'!$H$113:$I$163,2,FALSE)*AR$110</f>
        <v>198986.23954809227</v>
      </c>
      <c r="AS68" s="103">
        <f>VLOOKUP($AF68,'US Grid mix, emissions&amp;prices'!$H$113:$I$163,2,FALSE)*AS$110</f>
        <v>198986.23954809227</v>
      </c>
      <c r="AT68" s="103">
        <f>VLOOKUP($AF68,'US Grid mix, emissions&amp;prices'!$H$113:$I$163,2,FALSE)*AT$110</f>
        <v>198986.23954809227</v>
      </c>
      <c r="AU68" s="103">
        <f>VLOOKUP($AF68,'US Grid mix, emissions&amp;prices'!$H$113:$I$163,2,FALSE)*AU$110</f>
        <v>198986.23954809227</v>
      </c>
      <c r="AV68" s="103">
        <f>VLOOKUP($AF68,'US Grid mix, emissions&amp;prices'!$H$113:$I$163,2,FALSE)*AV$110</f>
        <v>198986.23954809227</v>
      </c>
      <c r="AW68" s="103">
        <f>VLOOKUP($AF68,'US Grid mix, emissions&amp;prices'!$H$113:$I$163,2,FALSE)*AW$110</f>
        <v>198986.23954809227</v>
      </c>
      <c r="AX68" s="103">
        <f>VLOOKUP($AF68,'US Grid mix, emissions&amp;prices'!$H$113:$I$163,2,FALSE)*AX$110</f>
        <v>198986.23954809227</v>
      </c>
      <c r="AY68" s="103">
        <f>VLOOKUP($AF68,'US Grid mix, emissions&amp;prices'!$H$113:$I$163,2,FALSE)*AY$110</f>
        <v>198986.23954809227</v>
      </c>
      <c r="AZ68" s="103">
        <f>VLOOKUP($AF68,'US Grid mix, emissions&amp;prices'!$H$113:$I$163,2,FALSE)*AZ$110</f>
        <v>198986.23954809227</v>
      </c>
      <c r="BA68" s="103">
        <f>VLOOKUP($AF68,'US Grid mix, emissions&amp;prices'!$H$113:$I$163,2,FALSE)*BA$110</f>
        <v>198986.23954809227</v>
      </c>
      <c r="BB68" s="103">
        <f>VLOOKUP($AF68,'US Grid mix, emissions&amp;prices'!$H$113:$I$163,2,FALSE)*BB$110</f>
        <v>198986.23954809227</v>
      </c>
      <c r="BC68" s="103">
        <f>VLOOKUP($AF68,'US Grid mix, emissions&amp;prices'!$H$113:$I$163,2,FALSE)*BC$110</f>
        <v>198986.23954809227</v>
      </c>
      <c r="BD68" s="103">
        <f>VLOOKUP($AF68,'US Grid mix, emissions&amp;prices'!$H$113:$I$163,2,FALSE)*BD$110</f>
        <v>198986.23954809227</v>
      </c>
      <c r="BE68" s="103">
        <f>VLOOKUP($AF68,'US Grid mix, emissions&amp;prices'!$H$113:$I$163,2,FALSE)*BE$110</f>
        <v>198986.23954809227</v>
      </c>
      <c r="BF68" s="103">
        <f>VLOOKUP($AF68,'US Grid mix, emissions&amp;prices'!$H$113:$I$163,2,FALSE)*BF$110</f>
        <v>198986.23954809227</v>
      </c>
      <c r="BG68" s="103">
        <f>VLOOKUP($AF68,'US Grid mix, emissions&amp;prices'!$H$113:$I$163,2,FALSE)*BG$110</f>
        <v>198986.23954809227</v>
      </c>
      <c r="BH68" s="103">
        <f>VLOOKUP($AF68,'US Grid mix, emissions&amp;prices'!$H$113:$I$163,2,FALSE)*BH$110</f>
        <v>198986.23954809227</v>
      </c>
    </row>
    <row r="69" spans="1:60" x14ac:dyDescent="0.25">
      <c r="A69" s="83" t="s">
        <v>233</v>
      </c>
      <c r="B69" s="103">
        <f>VLOOKUP($A69,'US Grid mix, emissions&amp;prices'!$H$113:$I$163,2,FALSE)*B$110</f>
        <v>376381.97221044841</v>
      </c>
      <c r="C69" s="103">
        <f>VLOOKUP($A69,'US Grid mix, emissions&amp;prices'!$H$113:$I$163,2,FALSE)*C$110</f>
        <v>376381.97221044841</v>
      </c>
      <c r="D69" s="103">
        <f>VLOOKUP($A69,'US Grid mix, emissions&amp;prices'!$H$113:$I$163,2,FALSE)*D$110</f>
        <v>376381.97221044841</v>
      </c>
      <c r="E69" s="103">
        <f>VLOOKUP($A69,'US Grid mix, emissions&amp;prices'!$H$113:$I$163,2,FALSE)*E$110</f>
        <v>376381.97221044841</v>
      </c>
      <c r="F69" s="103">
        <f>VLOOKUP($A69,'US Grid mix, emissions&amp;prices'!$H$113:$I$163,2,FALSE)*F$110</f>
        <v>376381.97221044841</v>
      </c>
      <c r="G69" s="103">
        <f>VLOOKUP($A69,'US Grid mix, emissions&amp;prices'!$H$113:$I$163,2,FALSE)*G$110</f>
        <v>376381.97221044841</v>
      </c>
      <c r="H69" s="103">
        <f>VLOOKUP($A69,'US Grid mix, emissions&amp;prices'!$H$113:$I$163,2,FALSE)*H$110</f>
        <v>376381.97221044841</v>
      </c>
      <c r="I69" s="103">
        <f>VLOOKUP($A69,'US Grid mix, emissions&amp;prices'!$H$113:$I$163,2,FALSE)*I$110</f>
        <v>376381.97221044841</v>
      </c>
      <c r="J69" s="103">
        <f>VLOOKUP($A69,'US Grid mix, emissions&amp;prices'!$H$113:$I$163,2,FALSE)*J$110</f>
        <v>376381.97221044841</v>
      </c>
      <c r="K69" s="103">
        <f>VLOOKUP($A69,'US Grid mix, emissions&amp;prices'!$H$113:$I$163,2,FALSE)*K$110</f>
        <v>376381.97221044841</v>
      </c>
      <c r="L69" s="103">
        <f>VLOOKUP($A69,'US Grid mix, emissions&amp;prices'!$H$113:$I$163,2,FALSE)*L$110</f>
        <v>376381.97221044841</v>
      </c>
      <c r="M69" s="103">
        <f>VLOOKUP($A69,'US Grid mix, emissions&amp;prices'!$H$113:$I$163,2,FALSE)*M$110</f>
        <v>376381.97221044841</v>
      </c>
      <c r="N69" s="103">
        <f>VLOOKUP($A69,'US Grid mix, emissions&amp;prices'!$H$113:$I$163,2,FALSE)*N$110</f>
        <v>376381.97221044841</v>
      </c>
      <c r="O69" s="103">
        <f>VLOOKUP($A69,'US Grid mix, emissions&amp;prices'!$H$113:$I$163,2,FALSE)*O$110</f>
        <v>376381.97221044841</v>
      </c>
      <c r="P69" s="103">
        <f>VLOOKUP($A69,'US Grid mix, emissions&amp;prices'!$H$113:$I$163,2,FALSE)*P$110</f>
        <v>376381.97221044841</v>
      </c>
      <c r="Q69" s="103">
        <f>VLOOKUP($A69,'US Grid mix, emissions&amp;prices'!$H$113:$I$163,2,FALSE)*Q$110</f>
        <v>376381.97221044841</v>
      </c>
      <c r="R69" s="103">
        <f>VLOOKUP($A69,'US Grid mix, emissions&amp;prices'!$H$113:$I$163,2,FALSE)*R$110</f>
        <v>376381.97221044841</v>
      </c>
      <c r="S69" s="103">
        <f>VLOOKUP($A69,'US Grid mix, emissions&amp;prices'!$H$113:$I$163,2,FALSE)*S$110</f>
        <v>376381.97221044841</v>
      </c>
      <c r="T69" s="103">
        <f>VLOOKUP($A69,'US Grid mix, emissions&amp;prices'!$H$113:$I$163,2,FALSE)*T$110</f>
        <v>376381.97221044841</v>
      </c>
      <c r="U69" s="103">
        <f>VLOOKUP($A69,'US Grid mix, emissions&amp;prices'!$H$113:$I$163,2,FALSE)*U$110</f>
        <v>376381.97221044841</v>
      </c>
      <c r="V69" s="103">
        <f>VLOOKUP($A69,'US Grid mix, emissions&amp;prices'!$H$113:$I$163,2,FALSE)*V$110</f>
        <v>376381.97221044841</v>
      </c>
      <c r="W69" s="103">
        <f>VLOOKUP($A69,'US Grid mix, emissions&amp;prices'!$H$113:$I$163,2,FALSE)*W$110</f>
        <v>376381.97221044841</v>
      </c>
      <c r="X69" s="103">
        <f>VLOOKUP($A69,'US Grid mix, emissions&amp;prices'!$H$113:$I$163,2,FALSE)*X$110</f>
        <v>376381.97221044841</v>
      </c>
      <c r="Y69" s="103">
        <f>VLOOKUP($A69,'US Grid mix, emissions&amp;prices'!$H$113:$I$163,2,FALSE)*Y$110</f>
        <v>376381.97221044841</v>
      </c>
      <c r="Z69" s="103">
        <f>VLOOKUP($A69,'US Grid mix, emissions&amp;prices'!$H$113:$I$163,2,FALSE)*Z$110</f>
        <v>376381.97221044841</v>
      </c>
      <c r="AA69" s="103">
        <f>VLOOKUP($A69,'US Grid mix, emissions&amp;prices'!$H$113:$I$163,2,FALSE)*AA$110</f>
        <v>376381.97221044841</v>
      </c>
      <c r="AB69" s="103">
        <f>VLOOKUP($A69,'US Grid mix, emissions&amp;prices'!$H$113:$I$163,2,FALSE)*AB$110</f>
        <v>376381.97221044841</v>
      </c>
      <c r="AC69" s="103">
        <f>VLOOKUP($A69,'US Grid mix, emissions&amp;prices'!$H$113:$I$163,2,FALSE)*AC$110</f>
        <v>376381.97221044841</v>
      </c>
      <c r="AF69" s="83" t="s">
        <v>233</v>
      </c>
      <c r="AG69" s="103">
        <f>VLOOKUP($AF69,'US Grid mix, emissions&amp;prices'!$H$113:$I$163,2,FALSE)*AG$110</f>
        <v>436016.08637418022</v>
      </c>
      <c r="AH69" s="103">
        <f>VLOOKUP($AF69,'US Grid mix, emissions&amp;prices'!$H$113:$I$163,2,FALSE)*AH$110</f>
        <v>436016.08637418022</v>
      </c>
      <c r="AI69" s="103">
        <f>VLOOKUP($AF69,'US Grid mix, emissions&amp;prices'!$H$113:$I$163,2,FALSE)*AI$110</f>
        <v>436016.08637418022</v>
      </c>
      <c r="AJ69" s="103">
        <f>VLOOKUP($AF69,'US Grid mix, emissions&amp;prices'!$H$113:$I$163,2,FALSE)*AJ$110</f>
        <v>436016.08637418022</v>
      </c>
      <c r="AK69" s="103">
        <f>VLOOKUP($AF69,'US Grid mix, emissions&amp;prices'!$H$113:$I$163,2,FALSE)*AK$110</f>
        <v>436016.08637418022</v>
      </c>
      <c r="AL69" s="103">
        <f>VLOOKUP($AF69,'US Grid mix, emissions&amp;prices'!$H$113:$I$163,2,FALSE)*AL$110</f>
        <v>436016.08637418022</v>
      </c>
      <c r="AM69" s="103">
        <f>VLOOKUP($AF69,'US Grid mix, emissions&amp;prices'!$H$113:$I$163,2,FALSE)*AM$110</f>
        <v>436016.08637418022</v>
      </c>
      <c r="AN69" s="103">
        <f>VLOOKUP($AF69,'US Grid mix, emissions&amp;prices'!$H$113:$I$163,2,FALSE)*AN$110</f>
        <v>436016.08637418022</v>
      </c>
      <c r="AO69" s="103">
        <f>VLOOKUP($AF69,'US Grid mix, emissions&amp;prices'!$H$113:$I$163,2,FALSE)*AO$110</f>
        <v>436016.08637418022</v>
      </c>
      <c r="AP69" s="103">
        <f>VLOOKUP($AF69,'US Grid mix, emissions&amp;prices'!$H$113:$I$163,2,FALSE)*AP$110</f>
        <v>436016.08637418022</v>
      </c>
      <c r="AQ69" s="103">
        <f>VLOOKUP($AF69,'US Grid mix, emissions&amp;prices'!$H$113:$I$163,2,FALSE)*AQ$110</f>
        <v>436016.08637418022</v>
      </c>
      <c r="AR69" s="103">
        <f>VLOOKUP($AF69,'US Grid mix, emissions&amp;prices'!$H$113:$I$163,2,FALSE)*AR$110</f>
        <v>436016.08637418022</v>
      </c>
      <c r="AS69" s="103">
        <f>VLOOKUP($AF69,'US Grid mix, emissions&amp;prices'!$H$113:$I$163,2,FALSE)*AS$110</f>
        <v>436016.08637418022</v>
      </c>
      <c r="AT69" s="103">
        <f>VLOOKUP($AF69,'US Grid mix, emissions&amp;prices'!$H$113:$I$163,2,FALSE)*AT$110</f>
        <v>436016.08637418022</v>
      </c>
      <c r="AU69" s="103">
        <f>VLOOKUP($AF69,'US Grid mix, emissions&amp;prices'!$H$113:$I$163,2,FALSE)*AU$110</f>
        <v>436016.08637418022</v>
      </c>
      <c r="AV69" s="103">
        <f>VLOOKUP($AF69,'US Grid mix, emissions&amp;prices'!$H$113:$I$163,2,FALSE)*AV$110</f>
        <v>436016.08637418022</v>
      </c>
      <c r="AW69" s="103">
        <f>VLOOKUP($AF69,'US Grid mix, emissions&amp;prices'!$H$113:$I$163,2,FALSE)*AW$110</f>
        <v>436016.08637418022</v>
      </c>
      <c r="AX69" s="103">
        <f>VLOOKUP($AF69,'US Grid mix, emissions&amp;prices'!$H$113:$I$163,2,FALSE)*AX$110</f>
        <v>436016.08637418022</v>
      </c>
      <c r="AY69" s="103">
        <f>VLOOKUP($AF69,'US Grid mix, emissions&amp;prices'!$H$113:$I$163,2,FALSE)*AY$110</f>
        <v>436016.08637418022</v>
      </c>
      <c r="AZ69" s="103">
        <f>VLOOKUP($AF69,'US Grid mix, emissions&amp;prices'!$H$113:$I$163,2,FALSE)*AZ$110</f>
        <v>436016.08637418022</v>
      </c>
      <c r="BA69" s="103">
        <f>VLOOKUP($AF69,'US Grid mix, emissions&amp;prices'!$H$113:$I$163,2,FALSE)*BA$110</f>
        <v>436016.08637418022</v>
      </c>
      <c r="BB69" s="103">
        <f>VLOOKUP($AF69,'US Grid mix, emissions&amp;prices'!$H$113:$I$163,2,FALSE)*BB$110</f>
        <v>436016.08637418022</v>
      </c>
      <c r="BC69" s="103">
        <f>VLOOKUP($AF69,'US Grid mix, emissions&amp;prices'!$H$113:$I$163,2,FALSE)*BC$110</f>
        <v>436016.08637418022</v>
      </c>
      <c r="BD69" s="103">
        <f>VLOOKUP($AF69,'US Grid mix, emissions&amp;prices'!$H$113:$I$163,2,FALSE)*BD$110</f>
        <v>436016.08637418022</v>
      </c>
      <c r="BE69" s="103">
        <f>VLOOKUP($AF69,'US Grid mix, emissions&amp;prices'!$H$113:$I$163,2,FALSE)*BE$110</f>
        <v>436016.08637418022</v>
      </c>
      <c r="BF69" s="103">
        <f>VLOOKUP($AF69,'US Grid mix, emissions&amp;prices'!$H$113:$I$163,2,FALSE)*BF$110</f>
        <v>436016.08637418022</v>
      </c>
      <c r="BG69" s="103">
        <f>VLOOKUP($AF69,'US Grid mix, emissions&amp;prices'!$H$113:$I$163,2,FALSE)*BG$110</f>
        <v>436016.08637418022</v>
      </c>
      <c r="BH69" s="103">
        <f>VLOOKUP($AF69,'US Grid mix, emissions&amp;prices'!$H$113:$I$163,2,FALSE)*BH$110</f>
        <v>436016.08637418022</v>
      </c>
    </row>
    <row r="70" spans="1:60" x14ac:dyDescent="0.25">
      <c r="A70" s="83" t="s">
        <v>196</v>
      </c>
      <c r="B70" s="103">
        <f>VLOOKUP($A70,'US Grid mix, emissions&amp;prices'!$H$113:$I$163,2,FALSE)*B$110</f>
        <v>77333.765522768779</v>
      </c>
      <c r="C70" s="103">
        <f>VLOOKUP($A70,'US Grid mix, emissions&amp;prices'!$H$113:$I$163,2,FALSE)*C$110</f>
        <v>77333.765522768779</v>
      </c>
      <c r="D70" s="103">
        <f>VLOOKUP($A70,'US Grid mix, emissions&amp;prices'!$H$113:$I$163,2,FALSE)*D$110</f>
        <v>77333.765522768779</v>
      </c>
      <c r="E70" s="103">
        <f>VLOOKUP($A70,'US Grid mix, emissions&amp;prices'!$H$113:$I$163,2,FALSE)*E$110</f>
        <v>77333.765522768779</v>
      </c>
      <c r="F70" s="103">
        <f>VLOOKUP($A70,'US Grid mix, emissions&amp;prices'!$H$113:$I$163,2,FALSE)*F$110</f>
        <v>77333.765522768779</v>
      </c>
      <c r="G70" s="103">
        <f>VLOOKUP($A70,'US Grid mix, emissions&amp;prices'!$H$113:$I$163,2,FALSE)*G$110</f>
        <v>77333.765522768779</v>
      </c>
      <c r="H70" s="103">
        <f>VLOOKUP($A70,'US Grid mix, emissions&amp;prices'!$H$113:$I$163,2,FALSE)*H$110</f>
        <v>77333.765522768779</v>
      </c>
      <c r="I70" s="103">
        <f>VLOOKUP($A70,'US Grid mix, emissions&amp;prices'!$H$113:$I$163,2,FALSE)*I$110</f>
        <v>77333.765522768779</v>
      </c>
      <c r="J70" s="103">
        <f>VLOOKUP($A70,'US Grid mix, emissions&amp;prices'!$H$113:$I$163,2,FALSE)*J$110</f>
        <v>77333.765522768779</v>
      </c>
      <c r="K70" s="103">
        <f>VLOOKUP($A70,'US Grid mix, emissions&amp;prices'!$H$113:$I$163,2,FALSE)*K$110</f>
        <v>77333.765522768779</v>
      </c>
      <c r="L70" s="103">
        <f>VLOOKUP($A70,'US Grid mix, emissions&amp;prices'!$H$113:$I$163,2,FALSE)*L$110</f>
        <v>77333.765522768779</v>
      </c>
      <c r="M70" s="103">
        <f>VLOOKUP($A70,'US Grid mix, emissions&amp;prices'!$H$113:$I$163,2,FALSE)*M$110</f>
        <v>77333.765522768779</v>
      </c>
      <c r="N70" s="103">
        <f>VLOOKUP($A70,'US Grid mix, emissions&amp;prices'!$H$113:$I$163,2,FALSE)*N$110</f>
        <v>77333.765522768779</v>
      </c>
      <c r="O70" s="103">
        <f>VLOOKUP($A70,'US Grid mix, emissions&amp;prices'!$H$113:$I$163,2,FALSE)*O$110</f>
        <v>77333.765522768779</v>
      </c>
      <c r="P70" s="103">
        <f>VLOOKUP($A70,'US Grid mix, emissions&amp;prices'!$H$113:$I$163,2,FALSE)*P$110</f>
        <v>77333.765522768779</v>
      </c>
      <c r="Q70" s="103">
        <f>VLOOKUP($A70,'US Grid mix, emissions&amp;prices'!$H$113:$I$163,2,FALSE)*Q$110</f>
        <v>77333.765522768779</v>
      </c>
      <c r="R70" s="103">
        <f>VLOOKUP($A70,'US Grid mix, emissions&amp;prices'!$H$113:$I$163,2,FALSE)*R$110</f>
        <v>77333.765522768779</v>
      </c>
      <c r="S70" s="103">
        <f>VLOOKUP($A70,'US Grid mix, emissions&amp;prices'!$H$113:$I$163,2,FALSE)*S$110</f>
        <v>77333.765522768779</v>
      </c>
      <c r="T70" s="103">
        <f>VLOOKUP($A70,'US Grid mix, emissions&amp;prices'!$H$113:$I$163,2,FALSE)*T$110</f>
        <v>77333.765522768779</v>
      </c>
      <c r="U70" s="103">
        <f>VLOOKUP($A70,'US Grid mix, emissions&amp;prices'!$H$113:$I$163,2,FALSE)*U$110</f>
        <v>77333.765522768779</v>
      </c>
      <c r="V70" s="103">
        <f>VLOOKUP($A70,'US Grid mix, emissions&amp;prices'!$H$113:$I$163,2,FALSE)*V$110</f>
        <v>77333.765522768779</v>
      </c>
      <c r="W70" s="103">
        <f>VLOOKUP($A70,'US Grid mix, emissions&amp;prices'!$H$113:$I$163,2,FALSE)*W$110</f>
        <v>77333.765522768779</v>
      </c>
      <c r="X70" s="103">
        <f>VLOOKUP($A70,'US Grid mix, emissions&amp;prices'!$H$113:$I$163,2,FALSE)*X$110</f>
        <v>77333.765522768779</v>
      </c>
      <c r="Y70" s="103">
        <f>VLOOKUP($A70,'US Grid mix, emissions&amp;prices'!$H$113:$I$163,2,FALSE)*Y$110</f>
        <v>77333.765522768779</v>
      </c>
      <c r="Z70" s="103">
        <f>VLOOKUP($A70,'US Grid mix, emissions&amp;prices'!$H$113:$I$163,2,FALSE)*Z$110</f>
        <v>77333.765522768779</v>
      </c>
      <c r="AA70" s="103">
        <f>VLOOKUP($A70,'US Grid mix, emissions&amp;prices'!$H$113:$I$163,2,FALSE)*AA$110</f>
        <v>77333.765522768779</v>
      </c>
      <c r="AB70" s="103">
        <f>VLOOKUP($A70,'US Grid mix, emissions&amp;prices'!$H$113:$I$163,2,FALSE)*AB$110</f>
        <v>77333.765522768779</v>
      </c>
      <c r="AC70" s="103">
        <f>VLOOKUP($A70,'US Grid mix, emissions&amp;prices'!$H$113:$I$163,2,FALSE)*AC$110</f>
        <v>77333.765522768779</v>
      </c>
      <c r="AF70" s="83" t="s">
        <v>196</v>
      </c>
      <c r="AG70" s="103">
        <f>VLOOKUP($AF70,'US Grid mix, emissions&amp;prices'!$H$113:$I$163,2,FALSE)*AG$110</f>
        <v>89586.559073989876</v>
      </c>
      <c r="AH70" s="103">
        <f>VLOOKUP($AF70,'US Grid mix, emissions&amp;prices'!$H$113:$I$163,2,FALSE)*AH$110</f>
        <v>89586.559073989876</v>
      </c>
      <c r="AI70" s="103">
        <f>VLOOKUP($AF70,'US Grid mix, emissions&amp;prices'!$H$113:$I$163,2,FALSE)*AI$110</f>
        <v>89586.559073989876</v>
      </c>
      <c r="AJ70" s="103">
        <f>VLOOKUP($AF70,'US Grid mix, emissions&amp;prices'!$H$113:$I$163,2,FALSE)*AJ$110</f>
        <v>89586.559073989876</v>
      </c>
      <c r="AK70" s="103">
        <f>VLOOKUP($AF70,'US Grid mix, emissions&amp;prices'!$H$113:$I$163,2,FALSE)*AK$110</f>
        <v>89586.559073989876</v>
      </c>
      <c r="AL70" s="103">
        <f>VLOOKUP($AF70,'US Grid mix, emissions&amp;prices'!$H$113:$I$163,2,FALSE)*AL$110</f>
        <v>89586.559073989876</v>
      </c>
      <c r="AM70" s="103">
        <f>VLOOKUP($AF70,'US Grid mix, emissions&amp;prices'!$H$113:$I$163,2,FALSE)*AM$110</f>
        <v>89586.559073989876</v>
      </c>
      <c r="AN70" s="103">
        <f>VLOOKUP($AF70,'US Grid mix, emissions&amp;prices'!$H$113:$I$163,2,FALSE)*AN$110</f>
        <v>89586.559073989876</v>
      </c>
      <c r="AO70" s="103">
        <f>VLOOKUP($AF70,'US Grid mix, emissions&amp;prices'!$H$113:$I$163,2,FALSE)*AO$110</f>
        <v>89586.559073989876</v>
      </c>
      <c r="AP70" s="103">
        <f>VLOOKUP($AF70,'US Grid mix, emissions&amp;prices'!$H$113:$I$163,2,FALSE)*AP$110</f>
        <v>89586.559073989876</v>
      </c>
      <c r="AQ70" s="103">
        <f>VLOOKUP($AF70,'US Grid mix, emissions&amp;prices'!$H$113:$I$163,2,FALSE)*AQ$110</f>
        <v>89586.559073989876</v>
      </c>
      <c r="AR70" s="103">
        <f>VLOOKUP($AF70,'US Grid mix, emissions&amp;prices'!$H$113:$I$163,2,FALSE)*AR$110</f>
        <v>89586.559073989876</v>
      </c>
      <c r="AS70" s="103">
        <f>VLOOKUP($AF70,'US Grid mix, emissions&amp;prices'!$H$113:$I$163,2,FALSE)*AS$110</f>
        <v>89586.559073989876</v>
      </c>
      <c r="AT70" s="103">
        <f>VLOOKUP($AF70,'US Grid mix, emissions&amp;prices'!$H$113:$I$163,2,FALSE)*AT$110</f>
        <v>89586.559073989876</v>
      </c>
      <c r="AU70" s="103">
        <f>VLOOKUP($AF70,'US Grid mix, emissions&amp;prices'!$H$113:$I$163,2,FALSE)*AU$110</f>
        <v>89586.559073989876</v>
      </c>
      <c r="AV70" s="103">
        <f>VLOOKUP($AF70,'US Grid mix, emissions&amp;prices'!$H$113:$I$163,2,FALSE)*AV$110</f>
        <v>89586.559073989876</v>
      </c>
      <c r="AW70" s="103">
        <f>VLOOKUP($AF70,'US Grid mix, emissions&amp;prices'!$H$113:$I$163,2,FALSE)*AW$110</f>
        <v>89586.559073989876</v>
      </c>
      <c r="AX70" s="103">
        <f>VLOOKUP($AF70,'US Grid mix, emissions&amp;prices'!$H$113:$I$163,2,FALSE)*AX$110</f>
        <v>89586.559073989876</v>
      </c>
      <c r="AY70" s="103">
        <f>VLOOKUP($AF70,'US Grid mix, emissions&amp;prices'!$H$113:$I$163,2,FALSE)*AY$110</f>
        <v>89586.559073989876</v>
      </c>
      <c r="AZ70" s="103">
        <f>VLOOKUP($AF70,'US Grid mix, emissions&amp;prices'!$H$113:$I$163,2,FALSE)*AZ$110</f>
        <v>89586.559073989876</v>
      </c>
      <c r="BA70" s="103">
        <f>VLOOKUP($AF70,'US Grid mix, emissions&amp;prices'!$H$113:$I$163,2,FALSE)*BA$110</f>
        <v>89586.559073989876</v>
      </c>
      <c r="BB70" s="103">
        <f>VLOOKUP($AF70,'US Grid mix, emissions&amp;prices'!$H$113:$I$163,2,FALSE)*BB$110</f>
        <v>89586.559073989876</v>
      </c>
      <c r="BC70" s="103">
        <f>VLOOKUP($AF70,'US Grid mix, emissions&amp;prices'!$H$113:$I$163,2,FALSE)*BC$110</f>
        <v>89586.559073989876</v>
      </c>
      <c r="BD70" s="103">
        <f>VLOOKUP($AF70,'US Grid mix, emissions&amp;prices'!$H$113:$I$163,2,FALSE)*BD$110</f>
        <v>89586.559073989876</v>
      </c>
      <c r="BE70" s="103">
        <f>VLOOKUP($AF70,'US Grid mix, emissions&amp;prices'!$H$113:$I$163,2,FALSE)*BE$110</f>
        <v>89586.559073989876</v>
      </c>
      <c r="BF70" s="103">
        <f>VLOOKUP($AF70,'US Grid mix, emissions&amp;prices'!$H$113:$I$163,2,FALSE)*BF$110</f>
        <v>89586.559073989876</v>
      </c>
      <c r="BG70" s="103">
        <f>VLOOKUP($AF70,'US Grid mix, emissions&amp;prices'!$H$113:$I$163,2,FALSE)*BG$110</f>
        <v>89586.559073989876</v>
      </c>
      <c r="BH70" s="103">
        <f>VLOOKUP($AF70,'US Grid mix, emissions&amp;prices'!$H$113:$I$163,2,FALSE)*BH$110</f>
        <v>89586.559073989876</v>
      </c>
    </row>
    <row r="71" spans="1:60" x14ac:dyDescent="0.25">
      <c r="A71" s="83" t="s">
        <v>197</v>
      </c>
      <c r="B71" s="103">
        <f>VLOOKUP($A71,'US Grid mix, emissions&amp;prices'!$H$113:$I$163,2,FALSE)*B$110</f>
        <v>106574.89009024283</v>
      </c>
      <c r="C71" s="103">
        <f>VLOOKUP($A71,'US Grid mix, emissions&amp;prices'!$H$113:$I$163,2,FALSE)*C$110</f>
        <v>106574.89009024283</v>
      </c>
      <c r="D71" s="103">
        <f>VLOOKUP($A71,'US Grid mix, emissions&amp;prices'!$H$113:$I$163,2,FALSE)*D$110</f>
        <v>106574.89009024283</v>
      </c>
      <c r="E71" s="103">
        <f>VLOOKUP($A71,'US Grid mix, emissions&amp;prices'!$H$113:$I$163,2,FALSE)*E$110</f>
        <v>106574.89009024283</v>
      </c>
      <c r="F71" s="103">
        <f>VLOOKUP($A71,'US Grid mix, emissions&amp;prices'!$H$113:$I$163,2,FALSE)*F$110</f>
        <v>106574.89009024283</v>
      </c>
      <c r="G71" s="103">
        <f>VLOOKUP($A71,'US Grid mix, emissions&amp;prices'!$H$113:$I$163,2,FALSE)*G$110</f>
        <v>106574.89009024283</v>
      </c>
      <c r="H71" s="103">
        <f>VLOOKUP($A71,'US Grid mix, emissions&amp;prices'!$H$113:$I$163,2,FALSE)*H$110</f>
        <v>106574.89009024283</v>
      </c>
      <c r="I71" s="103">
        <f>VLOOKUP($A71,'US Grid mix, emissions&amp;prices'!$H$113:$I$163,2,FALSE)*I$110</f>
        <v>106574.89009024283</v>
      </c>
      <c r="J71" s="103">
        <f>VLOOKUP($A71,'US Grid mix, emissions&amp;prices'!$H$113:$I$163,2,FALSE)*J$110</f>
        <v>106574.89009024283</v>
      </c>
      <c r="K71" s="103">
        <f>VLOOKUP($A71,'US Grid mix, emissions&amp;prices'!$H$113:$I$163,2,FALSE)*K$110</f>
        <v>106574.89009024283</v>
      </c>
      <c r="L71" s="103">
        <f>VLOOKUP($A71,'US Grid mix, emissions&amp;prices'!$H$113:$I$163,2,FALSE)*L$110</f>
        <v>106574.89009024283</v>
      </c>
      <c r="M71" s="103">
        <f>VLOOKUP($A71,'US Grid mix, emissions&amp;prices'!$H$113:$I$163,2,FALSE)*M$110</f>
        <v>106574.89009024283</v>
      </c>
      <c r="N71" s="103">
        <f>VLOOKUP($A71,'US Grid mix, emissions&amp;prices'!$H$113:$I$163,2,FALSE)*N$110</f>
        <v>106574.89009024283</v>
      </c>
      <c r="O71" s="103">
        <f>VLOOKUP($A71,'US Grid mix, emissions&amp;prices'!$H$113:$I$163,2,FALSE)*O$110</f>
        <v>106574.89009024283</v>
      </c>
      <c r="P71" s="103">
        <f>VLOOKUP($A71,'US Grid mix, emissions&amp;prices'!$H$113:$I$163,2,FALSE)*P$110</f>
        <v>106574.89009024283</v>
      </c>
      <c r="Q71" s="103">
        <f>VLOOKUP($A71,'US Grid mix, emissions&amp;prices'!$H$113:$I$163,2,FALSE)*Q$110</f>
        <v>106574.89009024283</v>
      </c>
      <c r="R71" s="103">
        <f>VLOOKUP($A71,'US Grid mix, emissions&amp;prices'!$H$113:$I$163,2,FALSE)*R$110</f>
        <v>106574.89009024283</v>
      </c>
      <c r="S71" s="103">
        <f>VLOOKUP($A71,'US Grid mix, emissions&amp;prices'!$H$113:$I$163,2,FALSE)*S$110</f>
        <v>106574.89009024283</v>
      </c>
      <c r="T71" s="103">
        <f>VLOOKUP($A71,'US Grid mix, emissions&amp;prices'!$H$113:$I$163,2,FALSE)*T$110</f>
        <v>106574.89009024283</v>
      </c>
      <c r="U71" s="103">
        <f>VLOOKUP($A71,'US Grid mix, emissions&amp;prices'!$H$113:$I$163,2,FALSE)*U$110</f>
        <v>106574.89009024283</v>
      </c>
      <c r="V71" s="103">
        <f>VLOOKUP($A71,'US Grid mix, emissions&amp;prices'!$H$113:$I$163,2,FALSE)*V$110</f>
        <v>106574.89009024283</v>
      </c>
      <c r="W71" s="103">
        <f>VLOOKUP($A71,'US Grid mix, emissions&amp;prices'!$H$113:$I$163,2,FALSE)*W$110</f>
        <v>106574.89009024283</v>
      </c>
      <c r="X71" s="103">
        <f>VLOOKUP($A71,'US Grid mix, emissions&amp;prices'!$H$113:$I$163,2,FALSE)*X$110</f>
        <v>106574.89009024283</v>
      </c>
      <c r="Y71" s="103">
        <f>VLOOKUP($A71,'US Grid mix, emissions&amp;prices'!$H$113:$I$163,2,FALSE)*Y$110</f>
        <v>106574.89009024283</v>
      </c>
      <c r="Z71" s="103">
        <f>VLOOKUP($A71,'US Grid mix, emissions&amp;prices'!$H$113:$I$163,2,FALSE)*Z$110</f>
        <v>106574.89009024283</v>
      </c>
      <c r="AA71" s="103">
        <f>VLOOKUP($A71,'US Grid mix, emissions&amp;prices'!$H$113:$I$163,2,FALSE)*AA$110</f>
        <v>106574.89009024283</v>
      </c>
      <c r="AB71" s="103">
        <f>VLOOKUP($A71,'US Grid mix, emissions&amp;prices'!$H$113:$I$163,2,FALSE)*AB$110</f>
        <v>106574.89009024283</v>
      </c>
      <c r="AC71" s="103">
        <f>VLOOKUP($A71,'US Grid mix, emissions&amp;prices'!$H$113:$I$163,2,FALSE)*AC$110</f>
        <v>106574.89009024283</v>
      </c>
      <c r="AF71" s="83" t="s">
        <v>197</v>
      </c>
      <c r="AG71" s="103">
        <f>VLOOKUP($AF71,'US Grid mix, emissions&amp;prices'!$H$113:$I$163,2,FALSE)*AG$110</f>
        <v>123460.65942001063</v>
      </c>
      <c r="AH71" s="103">
        <f>VLOOKUP($AF71,'US Grid mix, emissions&amp;prices'!$H$113:$I$163,2,FALSE)*AH$110</f>
        <v>123460.65942001063</v>
      </c>
      <c r="AI71" s="103">
        <f>VLOOKUP($AF71,'US Grid mix, emissions&amp;prices'!$H$113:$I$163,2,FALSE)*AI$110</f>
        <v>123460.65942001063</v>
      </c>
      <c r="AJ71" s="103">
        <f>VLOOKUP($AF71,'US Grid mix, emissions&amp;prices'!$H$113:$I$163,2,FALSE)*AJ$110</f>
        <v>123460.65942001063</v>
      </c>
      <c r="AK71" s="103">
        <f>VLOOKUP($AF71,'US Grid mix, emissions&amp;prices'!$H$113:$I$163,2,FALSE)*AK$110</f>
        <v>123460.65942001063</v>
      </c>
      <c r="AL71" s="103">
        <f>VLOOKUP($AF71,'US Grid mix, emissions&amp;prices'!$H$113:$I$163,2,FALSE)*AL$110</f>
        <v>123460.65942001063</v>
      </c>
      <c r="AM71" s="103">
        <f>VLOOKUP($AF71,'US Grid mix, emissions&amp;prices'!$H$113:$I$163,2,FALSE)*AM$110</f>
        <v>123460.65942001063</v>
      </c>
      <c r="AN71" s="103">
        <f>VLOOKUP($AF71,'US Grid mix, emissions&amp;prices'!$H$113:$I$163,2,FALSE)*AN$110</f>
        <v>123460.65942001063</v>
      </c>
      <c r="AO71" s="103">
        <f>VLOOKUP($AF71,'US Grid mix, emissions&amp;prices'!$H$113:$I$163,2,FALSE)*AO$110</f>
        <v>123460.65942001063</v>
      </c>
      <c r="AP71" s="103">
        <f>VLOOKUP($AF71,'US Grid mix, emissions&amp;prices'!$H$113:$I$163,2,FALSE)*AP$110</f>
        <v>123460.65942001063</v>
      </c>
      <c r="AQ71" s="103">
        <f>VLOOKUP($AF71,'US Grid mix, emissions&amp;prices'!$H$113:$I$163,2,FALSE)*AQ$110</f>
        <v>123460.65942001063</v>
      </c>
      <c r="AR71" s="103">
        <f>VLOOKUP($AF71,'US Grid mix, emissions&amp;prices'!$H$113:$I$163,2,FALSE)*AR$110</f>
        <v>123460.65942001063</v>
      </c>
      <c r="AS71" s="103">
        <f>VLOOKUP($AF71,'US Grid mix, emissions&amp;prices'!$H$113:$I$163,2,FALSE)*AS$110</f>
        <v>123460.65942001063</v>
      </c>
      <c r="AT71" s="103">
        <f>VLOOKUP($AF71,'US Grid mix, emissions&amp;prices'!$H$113:$I$163,2,FALSE)*AT$110</f>
        <v>123460.65942001063</v>
      </c>
      <c r="AU71" s="103">
        <f>VLOOKUP($AF71,'US Grid mix, emissions&amp;prices'!$H$113:$I$163,2,FALSE)*AU$110</f>
        <v>123460.65942001063</v>
      </c>
      <c r="AV71" s="103">
        <f>VLOOKUP($AF71,'US Grid mix, emissions&amp;prices'!$H$113:$I$163,2,FALSE)*AV$110</f>
        <v>123460.65942001063</v>
      </c>
      <c r="AW71" s="103">
        <f>VLOOKUP($AF71,'US Grid mix, emissions&amp;prices'!$H$113:$I$163,2,FALSE)*AW$110</f>
        <v>123460.65942001063</v>
      </c>
      <c r="AX71" s="103">
        <f>VLOOKUP($AF71,'US Grid mix, emissions&amp;prices'!$H$113:$I$163,2,FALSE)*AX$110</f>
        <v>123460.65942001063</v>
      </c>
      <c r="AY71" s="103">
        <f>VLOOKUP($AF71,'US Grid mix, emissions&amp;prices'!$H$113:$I$163,2,FALSE)*AY$110</f>
        <v>123460.65942001063</v>
      </c>
      <c r="AZ71" s="103">
        <f>VLOOKUP($AF71,'US Grid mix, emissions&amp;prices'!$H$113:$I$163,2,FALSE)*AZ$110</f>
        <v>123460.65942001063</v>
      </c>
      <c r="BA71" s="103">
        <f>VLOOKUP($AF71,'US Grid mix, emissions&amp;prices'!$H$113:$I$163,2,FALSE)*BA$110</f>
        <v>123460.65942001063</v>
      </c>
      <c r="BB71" s="103">
        <f>VLOOKUP($AF71,'US Grid mix, emissions&amp;prices'!$H$113:$I$163,2,FALSE)*BB$110</f>
        <v>123460.65942001063</v>
      </c>
      <c r="BC71" s="103">
        <f>VLOOKUP($AF71,'US Grid mix, emissions&amp;prices'!$H$113:$I$163,2,FALSE)*BC$110</f>
        <v>123460.65942001063</v>
      </c>
      <c r="BD71" s="103">
        <f>VLOOKUP($AF71,'US Grid mix, emissions&amp;prices'!$H$113:$I$163,2,FALSE)*BD$110</f>
        <v>123460.65942001063</v>
      </c>
      <c r="BE71" s="103">
        <f>VLOOKUP($AF71,'US Grid mix, emissions&amp;prices'!$H$113:$I$163,2,FALSE)*BE$110</f>
        <v>123460.65942001063</v>
      </c>
      <c r="BF71" s="103">
        <f>VLOOKUP($AF71,'US Grid mix, emissions&amp;prices'!$H$113:$I$163,2,FALSE)*BF$110</f>
        <v>123460.65942001063</v>
      </c>
      <c r="BG71" s="103">
        <f>VLOOKUP($AF71,'US Grid mix, emissions&amp;prices'!$H$113:$I$163,2,FALSE)*BG$110</f>
        <v>123460.65942001063</v>
      </c>
      <c r="BH71" s="103">
        <f>VLOOKUP($AF71,'US Grid mix, emissions&amp;prices'!$H$113:$I$163,2,FALSE)*BH$110</f>
        <v>123460.65942001063</v>
      </c>
    </row>
    <row r="72" spans="1:60" x14ac:dyDescent="0.25">
      <c r="A72" s="83" t="s">
        <v>198</v>
      </c>
      <c r="B72" s="103">
        <f>VLOOKUP($A72,'US Grid mix, emissions&amp;prices'!$H$113:$I$163,2,FALSE)*B$110</f>
        <v>314031.29813272093</v>
      </c>
      <c r="C72" s="103">
        <f>VLOOKUP($A72,'US Grid mix, emissions&amp;prices'!$H$113:$I$163,2,FALSE)*C$110</f>
        <v>314031.29813272093</v>
      </c>
      <c r="D72" s="103">
        <f>VLOOKUP($A72,'US Grid mix, emissions&amp;prices'!$H$113:$I$163,2,FALSE)*D$110</f>
        <v>314031.29813272093</v>
      </c>
      <c r="E72" s="103">
        <f>VLOOKUP($A72,'US Grid mix, emissions&amp;prices'!$H$113:$I$163,2,FALSE)*E$110</f>
        <v>314031.29813272093</v>
      </c>
      <c r="F72" s="103">
        <f>VLOOKUP($A72,'US Grid mix, emissions&amp;prices'!$H$113:$I$163,2,FALSE)*F$110</f>
        <v>314031.29813272093</v>
      </c>
      <c r="G72" s="103">
        <f>VLOOKUP($A72,'US Grid mix, emissions&amp;prices'!$H$113:$I$163,2,FALSE)*G$110</f>
        <v>314031.29813272093</v>
      </c>
      <c r="H72" s="103">
        <f>VLOOKUP($A72,'US Grid mix, emissions&amp;prices'!$H$113:$I$163,2,FALSE)*H$110</f>
        <v>314031.29813272093</v>
      </c>
      <c r="I72" s="103">
        <f>VLOOKUP($A72,'US Grid mix, emissions&amp;prices'!$H$113:$I$163,2,FALSE)*I$110</f>
        <v>314031.29813272093</v>
      </c>
      <c r="J72" s="103">
        <f>VLOOKUP($A72,'US Grid mix, emissions&amp;prices'!$H$113:$I$163,2,FALSE)*J$110</f>
        <v>314031.29813272093</v>
      </c>
      <c r="K72" s="103">
        <f>VLOOKUP($A72,'US Grid mix, emissions&amp;prices'!$H$113:$I$163,2,FALSE)*K$110</f>
        <v>314031.29813272093</v>
      </c>
      <c r="L72" s="103">
        <f>VLOOKUP($A72,'US Grid mix, emissions&amp;prices'!$H$113:$I$163,2,FALSE)*L$110</f>
        <v>314031.29813272093</v>
      </c>
      <c r="M72" s="103">
        <f>VLOOKUP($A72,'US Grid mix, emissions&amp;prices'!$H$113:$I$163,2,FALSE)*M$110</f>
        <v>314031.29813272093</v>
      </c>
      <c r="N72" s="103">
        <f>VLOOKUP($A72,'US Grid mix, emissions&amp;prices'!$H$113:$I$163,2,FALSE)*N$110</f>
        <v>314031.29813272093</v>
      </c>
      <c r="O72" s="103">
        <f>VLOOKUP($A72,'US Grid mix, emissions&amp;prices'!$H$113:$I$163,2,FALSE)*O$110</f>
        <v>314031.29813272093</v>
      </c>
      <c r="P72" s="103">
        <f>VLOOKUP($A72,'US Grid mix, emissions&amp;prices'!$H$113:$I$163,2,FALSE)*P$110</f>
        <v>314031.29813272093</v>
      </c>
      <c r="Q72" s="103">
        <f>VLOOKUP($A72,'US Grid mix, emissions&amp;prices'!$H$113:$I$163,2,FALSE)*Q$110</f>
        <v>314031.29813272093</v>
      </c>
      <c r="R72" s="103">
        <f>VLOOKUP($A72,'US Grid mix, emissions&amp;prices'!$H$113:$I$163,2,FALSE)*R$110</f>
        <v>314031.29813272093</v>
      </c>
      <c r="S72" s="103">
        <f>VLOOKUP($A72,'US Grid mix, emissions&amp;prices'!$H$113:$I$163,2,FALSE)*S$110</f>
        <v>314031.29813272093</v>
      </c>
      <c r="T72" s="103">
        <f>VLOOKUP($A72,'US Grid mix, emissions&amp;prices'!$H$113:$I$163,2,FALSE)*T$110</f>
        <v>314031.29813272093</v>
      </c>
      <c r="U72" s="103">
        <f>VLOOKUP($A72,'US Grid mix, emissions&amp;prices'!$H$113:$I$163,2,FALSE)*U$110</f>
        <v>314031.29813272093</v>
      </c>
      <c r="V72" s="103">
        <f>VLOOKUP($A72,'US Grid mix, emissions&amp;prices'!$H$113:$I$163,2,FALSE)*V$110</f>
        <v>314031.29813272093</v>
      </c>
      <c r="W72" s="103">
        <f>VLOOKUP($A72,'US Grid mix, emissions&amp;prices'!$H$113:$I$163,2,FALSE)*W$110</f>
        <v>314031.29813272093</v>
      </c>
      <c r="X72" s="103">
        <f>VLOOKUP($A72,'US Grid mix, emissions&amp;prices'!$H$113:$I$163,2,FALSE)*X$110</f>
        <v>314031.29813272093</v>
      </c>
      <c r="Y72" s="103">
        <f>VLOOKUP($A72,'US Grid mix, emissions&amp;prices'!$H$113:$I$163,2,FALSE)*Y$110</f>
        <v>314031.29813272093</v>
      </c>
      <c r="Z72" s="103">
        <f>VLOOKUP($A72,'US Grid mix, emissions&amp;prices'!$H$113:$I$163,2,FALSE)*Z$110</f>
        <v>314031.29813272093</v>
      </c>
      <c r="AA72" s="103">
        <f>VLOOKUP($A72,'US Grid mix, emissions&amp;prices'!$H$113:$I$163,2,FALSE)*AA$110</f>
        <v>314031.29813272093</v>
      </c>
      <c r="AB72" s="103">
        <f>VLOOKUP($A72,'US Grid mix, emissions&amp;prices'!$H$113:$I$163,2,FALSE)*AB$110</f>
        <v>314031.29813272093</v>
      </c>
      <c r="AC72" s="103">
        <f>VLOOKUP($A72,'US Grid mix, emissions&amp;prices'!$H$113:$I$163,2,FALSE)*AC$110</f>
        <v>314031.29813272093</v>
      </c>
      <c r="AF72" s="83" t="s">
        <v>198</v>
      </c>
      <c r="AG72" s="103">
        <f>VLOOKUP($AF72,'US Grid mix, emissions&amp;prices'!$H$113:$I$163,2,FALSE)*AG$110</f>
        <v>363786.54590362281</v>
      </c>
      <c r="AH72" s="103">
        <f>VLOOKUP($AF72,'US Grid mix, emissions&amp;prices'!$H$113:$I$163,2,FALSE)*AH$110</f>
        <v>363786.54590362281</v>
      </c>
      <c r="AI72" s="103">
        <f>VLOOKUP($AF72,'US Grid mix, emissions&amp;prices'!$H$113:$I$163,2,FALSE)*AI$110</f>
        <v>363786.54590362281</v>
      </c>
      <c r="AJ72" s="103">
        <f>VLOOKUP($AF72,'US Grid mix, emissions&amp;prices'!$H$113:$I$163,2,FALSE)*AJ$110</f>
        <v>363786.54590362281</v>
      </c>
      <c r="AK72" s="103">
        <f>VLOOKUP($AF72,'US Grid mix, emissions&amp;prices'!$H$113:$I$163,2,FALSE)*AK$110</f>
        <v>363786.54590362281</v>
      </c>
      <c r="AL72" s="103">
        <f>VLOOKUP($AF72,'US Grid mix, emissions&amp;prices'!$H$113:$I$163,2,FALSE)*AL$110</f>
        <v>363786.54590362281</v>
      </c>
      <c r="AM72" s="103">
        <f>VLOOKUP($AF72,'US Grid mix, emissions&amp;prices'!$H$113:$I$163,2,FALSE)*AM$110</f>
        <v>363786.54590362281</v>
      </c>
      <c r="AN72" s="103">
        <f>VLOOKUP($AF72,'US Grid mix, emissions&amp;prices'!$H$113:$I$163,2,FALSE)*AN$110</f>
        <v>363786.54590362281</v>
      </c>
      <c r="AO72" s="103">
        <f>VLOOKUP($AF72,'US Grid mix, emissions&amp;prices'!$H$113:$I$163,2,FALSE)*AO$110</f>
        <v>363786.54590362281</v>
      </c>
      <c r="AP72" s="103">
        <f>VLOOKUP($AF72,'US Grid mix, emissions&amp;prices'!$H$113:$I$163,2,FALSE)*AP$110</f>
        <v>363786.54590362281</v>
      </c>
      <c r="AQ72" s="103">
        <f>VLOOKUP($AF72,'US Grid mix, emissions&amp;prices'!$H$113:$I$163,2,FALSE)*AQ$110</f>
        <v>363786.54590362281</v>
      </c>
      <c r="AR72" s="103">
        <f>VLOOKUP($AF72,'US Grid mix, emissions&amp;prices'!$H$113:$I$163,2,FALSE)*AR$110</f>
        <v>363786.54590362281</v>
      </c>
      <c r="AS72" s="103">
        <f>VLOOKUP($AF72,'US Grid mix, emissions&amp;prices'!$H$113:$I$163,2,FALSE)*AS$110</f>
        <v>363786.54590362281</v>
      </c>
      <c r="AT72" s="103">
        <f>VLOOKUP($AF72,'US Grid mix, emissions&amp;prices'!$H$113:$I$163,2,FALSE)*AT$110</f>
        <v>363786.54590362281</v>
      </c>
      <c r="AU72" s="103">
        <f>VLOOKUP($AF72,'US Grid mix, emissions&amp;prices'!$H$113:$I$163,2,FALSE)*AU$110</f>
        <v>363786.54590362281</v>
      </c>
      <c r="AV72" s="103">
        <f>VLOOKUP($AF72,'US Grid mix, emissions&amp;prices'!$H$113:$I$163,2,FALSE)*AV$110</f>
        <v>363786.54590362281</v>
      </c>
      <c r="AW72" s="103">
        <f>VLOOKUP($AF72,'US Grid mix, emissions&amp;prices'!$H$113:$I$163,2,FALSE)*AW$110</f>
        <v>363786.54590362281</v>
      </c>
      <c r="AX72" s="103">
        <f>VLOOKUP($AF72,'US Grid mix, emissions&amp;prices'!$H$113:$I$163,2,FALSE)*AX$110</f>
        <v>363786.54590362281</v>
      </c>
      <c r="AY72" s="103">
        <f>VLOOKUP($AF72,'US Grid mix, emissions&amp;prices'!$H$113:$I$163,2,FALSE)*AY$110</f>
        <v>363786.54590362281</v>
      </c>
      <c r="AZ72" s="103">
        <f>VLOOKUP($AF72,'US Grid mix, emissions&amp;prices'!$H$113:$I$163,2,FALSE)*AZ$110</f>
        <v>363786.54590362281</v>
      </c>
      <c r="BA72" s="103">
        <f>VLOOKUP($AF72,'US Grid mix, emissions&amp;prices'!$H$113:$I$163,2,FALSE)*BA$110</f>
        <v>363786.54590362281</v>
      </c>
      <c r="BB72" s="103">
        <f>VLOOKUP($AF72,'US Grid mix, emissions&amp;prices'!$H$113:$I$163,2,FALSE)*BB$110</f>
        <v>363786.54590362281</v>
      </c>
      <c r="BC72" s="103">
        <f>VLOOKUP($AF72,'US Grid mix, emissions&amp;prices'!$H$113:$I$163,2,FALSE)*BC$110</f>
        <v>363786.54590362281</v>
      </c>
      <c r="BD72" s="103">
        <f>VLOOKUP($AF72,'US Grid mix, emissions&amp;prices'!$H$113:$I$163,2,FALSE)*BD$110</f>
        <v>363786.54590362281</v>
      </c>
      <c r="BE72" s="103">
        <f>VLOOKUP($AF72,'US Grid mix, emissions&amp;prices'!$H$113:$I$163,2,FALSE)*BE$110</f>
        <v>363786.54590362281</v>
      </c>
      <c r="BF72" s="103">
        <f>VLOOKUP($AF72,'US Grid mix, emissions&amp;prices'!$H$113:$I$163,2,FALSE)*BF$110</f>
        <v>363786.54590362281</v>
      </c>
      <c r="BG72" s="103">
        <f>VLOOKUP($AF72,'US Grid mix, emissions&amp;prices'!$H$113:$I$163,2,FALSE)*BG$110</f>
        <v>363786.54590362281</v>
      </c>
      <c r="BH72" s="103">
        <f>VLOOKUP($AF72,'US Grid mix, emissions&amp;prices'!$H$113:$I$163,2,FALSE)*BH$110</f>
        <v>363786.54590362281</v>
      </c>
    </row>
    <row r="73" spans="1:60" x14ac:dyDescent="0.25">
      <c r="A73" s="83" t="s">
        <v>195</v>
      </c>
      <c r="B73" s="103">
        <f>VLOOKUP($A73,'US Grid mix, emissions&amp;prices'!$H$113:$I$163,2,FALSE)*B$110</f>
        <v>139813.24237636884</v>
      </c>
      <c r="C73" s="103">
        <f>VLOOKUP($A73,'US Grid mix, emissions&amp;prices'!$H$113:$I$163,2,FALSE)*C$110</f>
        <v>139813.24237636884</v>
      </c>
      <c r="D73" s="103">
        <f>VLOOKUP($A73,'US Grid mix, emissions&amp;prices'!$H$113:$I$163,2,FALSE)*D$110</f>
        <v>139813.24237636884</v>
      </c>
      <c r="E73" s="103">
        <f>VLOOKUP($A73,'US Grid mix, emissions&amp;prices'!$H$113:$I$163,2,FALSE)*E$110</f>
        <v>139813.24237636884</v>
      </c>
      <c r="F73" s="103">
        <f>VLOOKUP($A73,'US Grid mix, emissions&amp;prices'!$H$113:$I$163,2,FALSE)*F$110</f>
        <v>139813.24237636884</v>
      </c>
      <c r="G73" s="103">
        <f>VLOOKUP($A73,'US Grid mix, emissions&amp;prices'!$H$113:$I$163,2,FALSE)*G$110</f>
        <v>139813.24237636884</v>
      </c>
      <c r="H73" s="103">
        <f>VLOOKUP($A73,'US Grid mix, emissions&amp;prices'!$H$113:$I$163,2,FALSE)*H$110</f>
        <v>139813.24237636884</v>
      </c>
      <c r="I73" s="103">
        <f>VLOOKUP($A73,'US Grid mix, emissions&amp;prices'!$H$113:$I$163,2,FALSE)*I$110</f>
        <v>139813.24237636884</v>
      </c>
      <c r="J73" s="103">
        <f>VLOOKUP($A73,'US Grid mix, emissions&amp;prices'!$H$113:$I$163,2,FALSE)*J$110</f>
        <v>139813.24237636884</v>
      </c>
      <c r="K73" s="103">
        <f>VLOOKUP($A73,'US Grid mix, emissions&amp;prices'!$H$113:$I$163,2,FALSE)*K$110</f>
        <v>139813.24237636884</v>
      </c>
      <c r="L73" s="103">
        <f>VLOOKUP($A73,'US Grid mix, emissions&amp;prices'!$H$113:$I$163,2,FALSE)*L$110</f>
        <v>139813.24237636884</v>
      </c>
      <c r="M73" s="103">
        <f>VLOOKUP($A73,'US Grid mix, emissions&amp;prices'!$H$113:$I$163,2,FALSE)*M$110</f>
        <v>139813.24237636884</v>
      </c>
      <c r="N73" s="103">
        <f>VLOOKUP($A73,'US Grid mix, emissions&amp;prices'!$H$113:$I$163,2,FALSE)*N$110</f>
        <v>139813.24237636884</v>
      </c>
      <c r="O73" s="103">
        <f>VLOOKUP($A73,'US Grid mix, emissions&amp;prices'!$H$113:$I$163,2,FALSE)*O$110</f>
        <v>139813.24237636884</v>
      </c>
      <c r="P73" s="103">
        <f>VLOOKUP($A73,'US Grid mix, emissions&amp;prices'!$H$113:$I$163,2,FALSE)*P$110</f>
        <v>139813.24237636884</v>
      </c>
      <c r="Q73" s="103">
        <f>VLOOKUP($A73,'US Grid mix, emissions&amp;prices'!$H$113:$I$163,2,FALSE)*Q$110</f>
        <v>139813.24237636884</v>
      </c>
      <c r="R73" s="103">
        <f>VLOOKUP($A73,'US Grid mix, emissions&amp;prices'!$H$113:$I$163,2,FALSE)*R$110</f>
        <v>139813.24237636884</v>
      </c>
      <c r="S73" s="103">
        <f>VLOOKUP($A73,'US Grid mix, emissions&amp;prices'!$H$113:$I$163,2,FALSE)*S$110</f>
        <v>139813.24237636884</v>
      </c>
      <c r="T73" s="103">
        <f>VLOOKUP($A73,'US Grid mix, emissions&amp;prices'!$H$113:$I$163,2,FALSE)*T$110</f>
        <v>139813.24237636884</v>
      </c>
      <c r="U73" s="103">
        <f>VLOOKUP($A73,'US Grid mix, emissions&amp;prices'!$H$113:$I$163,2,FALSE)*U$110</f>
        <v>139813.24237636884</v>
      </c>
      <c r="V73" s="103">
        <f>VLOOKUP($A73,'US Grid mix, emissions&amp;prices'!$H$113:$I$163,2,FALSE)*V$110</f>
        <v>139813.24237636884</v>
      </c>
      <c r="W73" s="103">
        <f>VLOOKUP($A73,'US Grid mix, emissions&amp;prices'!$H$113:$I$163,2,FALSE)*W$110</f>
        <v>139813.24237636884</v>
      </c>
      <c r="X73" s="103">
        <f>VLOOKUP($A73,'US Grid mix, emissions&amp;prices'!$H$113:$I$163,2,FALSE)*X$110</f>
        <v>139813.24237636884</v>
      </c>
      <c r="Y73" s="103">
        <f>VLOOKUP($A73,'US Grid mix, emissions&amp;prices'!$H$113:$I$163,2,FALSE)*Y$110</f>
        <v>139813.24237636884</v>
      </c>
      <c r="Z73" s="103">
        <f>VLOOKUP($A73,'US Grid mix, emissions&amp;prices'!$H$113:$I$163,2,FALSE)*Z$110</f>
        <v>139813.24237636884</v>
      </c>
      <c r="AA73" s="103">
        <f>VLOOKUP($A73,'US Grid mix, emissions&amp;prices'!$H$113:$I$163,2,FALSE)*AA$110</f>
        <v>139813.24237636884</v>
      </c>
      <c r="AB73" s="103">
        <f>VLOOKUP($A73,'US Grid mix, emissions&amp;prices'!$H$113:$I$163,2,FALSE)*AB$110</f>
        <v>139813.24237636884</v>
      </c>
      <c r="AC73" s="103">
        <f>VLOOKUP($A73,'US Grid mix, emissions&amp;prices'!$H$113:$I$163,2,FALSE)*AC$110</f>
        <v>139813.24237636884</v>
      </c>
      <c r="AF73" s="83" t="s">
        <v>195</v>
      </c>
      <c r="AG73" s="103">
        <f>VLOOKUP($AF73,'US Grid mix, emissions&amp;prices'!$H$113:$I$163,2,FALSE)*AG$110</f>
        <v>161965.30988509645</v>
      </c>
      <c r="AH73" s="103">
        <f>VLOOKUP($AF73,'US Grid mix, emissions&amp;prices'!$H$113:$I$163,2,FALSE)*AH$110</f>
        <v>161965.30988509645</v>
      </c>
      <c r="AI73" s="103">
        <f>VLOOKUP($AF73,'US Grid mix, emissions&amp;prices'!$H$113:$I$163,2,FALSE)*AI$110</f>
        <v>161965.30988509645</v>
      </c>
      <c r="AJ73" s="103">
        <f>VLOOKUP($AF73,'US Grid mix, emissions&amp;prices'!$H$113:$I$163,2,FALSE)*AJ$110</f>
        <v>161965.30988509645</v>
      </c>
      <c r="AK73" s="103">
        <f>VLOOKUP($AF73,'US Grid mix, emissions&amp;prices'!$H$113:$I$163,2,FALSE)*AK$110</f>
        <v>161965.30988509645</v>
      </c>
      <c r="AL73" s="103">
        <f>VLOOKUP($AF73,'US Grid mix, emissions&amp;prices'!$H$113:$I$163,2,FALSE)*AL$110</f>
        <v>161965.30988509645</v>
      </c>
      <c r="AM73" s="103">
        <f>VLOOKUP($AF73,'US Grid mix, emissions&amp;prices'!$H$113:$I$163,2,FALSE)*AM$110</f>
        <v>161965.30988509645</v>
      </c>
      <c r="AN73" s="103">
        <f>VLOOKUP($AF73,'US Grid mix, emissions&amp;prices'!$H$113:$I$163,2,FALSE)*AN$110</f>
        <v>161965.30988509645</v>
      </c>
      <c r="AO73" s="103">
        <f>VLOOKUP($AF73,'US Grid mix, emissions&amp;prices'!$H$113:$I$163,2,FALSE)*AO$110</f>
        <v>161965.30988509645</v>
      </c>
      <c r="AP73" s="103">
        <f>VLOOKUP($AF73,'US Grid mix, emissions&amp;prices'!$H$113:$I$163,2,FALSE)*AP$110</f>
        <v>161965.30988509645</v>
      </c>
      <c r="AQ73" s="103">
        <f>VLOOKUP($AF73,'US Grid mix, emissions&amp;prices'!$H$113:$I$163,2,FALSE)*AQ$110</f>
        <v>161965.30988509645</v>
      </c>
      <c r="AR73" s="103">
        <f>VLOOKUP($AF73,'US Grid mix, emissions&amp;prices'!$H$113:$I$163,2,FALSE)*AR$110</f>
        <v>161965.30988509645</v>
      </c>
      <c r="AS73" s="103">
        <f>VLOOKUP($AF73,'US Grid mix, emissions&amp;prices'!$H$113:$I$163,2,FALSE)*AS$110</f>
        <v>161965.30988509645</v>
      </c>
      <c r="AT73" s="103">
        <f>VLOOKUP($AF73,'US Grid mix, emissions&amp;prices'!$H$113:$I$163,2,FALSE)*AT$110</f>
        <v>161965.30988509645</v>
      </c>
      <c r="AU73" s="103">
        <f>VLOOKUP($AF73,'US Grid mix, emissions&amp;prices'!$H$113:$I$163,2,FALSE)*AU$110</f>
        <v>161965.30988509645</v>
      </c>
      <c r="AV73" s="103">
        <f>VLOOKUP($AF73,'US Grid mix, emissions&amp;prices'!$H$113:$I$163,2,FALSE)*AV$110</f>
        <v>161965.30988509645</v>
      </c>
      <c r="AW73" s="103">
        <f>VLOOKUP($AF73,'US Grid mix, emissions&amp;prices'!$H$113:$I$163,2,FALSE)*AW$110</f>
        <v>161965.30988509645</v>
      </c>
      <c r="AX73" s="103">
        <f>VLOOKUP($AF73,'US Grid mix, emissions&amp;prices'!$H$113:$I$163,2,FALSE)*AX$110</f>
        <v>161965.30988509645</v>
      </c>
      <c r="AY73" s="103">
        <f>VLOOKUP($AF73,'US Grid mix, emissions&amp;prices'!$H$113:$I$163,2,FALSE)*AY$110</f>
        <v>161965.30988509645</v>
      </c>
      <c r="AZ73" s="103">
        <f>VLOOKUP($AF73,'US Grid mix, emissions&amp;prices'!$H$113:$I$163,2,FALSE)*AZ$110</f>
        <v>161965.30988509645</v>
      </c>
      <c r="BA73" s="103">
        <f>VLOOKUP($AF73,'US Grid mix, emissions&amp;prices'!$H$113:$I$163,2,FALSE)*BA$110</f>
        <v>161965.30988509645</v>
      </c>
      <c r="BB73" s="103">
        <f>VLOOKUP($AF73,'US Grid mix, emissions&amp;prices'!$H$113:$I$163,2,FALSE)*BB$110</f>
        <v>161965.30988509645</v>
      </c>
      <c r="BC73" s="103">
        <f>VLOOKUP($AF73,'US Grid mix, emissions&amp;prices'!$H$113:$I$163,2,FALSE)*BC$110</f>
        <v>161965.30988509645</v>
      </c>
      <c r="BD73" s="103">
        <f>VLOOKUP($AF73,'US Grid mix, emissions&amp;prices'!$H$113:$I$163,2,FALSE)*BD$110</f>
        <v>161965.30988509645</v>
      </c>
      <c r="BE73" s="103">
        <f>VLOOKUP($AF73,'US Grid mix, emissions&amp;prices'!$H$113:$I$163,2,FALSE)*BE$110</f>
        <v>161965.30988509645</v>
      </c>
      <c r="BF73" s="103">
        <f>VLOOKUP($AF73,'US Grid mix, emissions&amp;prices'!$H$113:$I$163,2,FALSE)*BF$110</f>
        <v>161965.30988509645</v>
      </c>
      <c r="BG73" s="103">
        <f>VLOOKUP($AF73,'US Grid mix, emissions&amp;prices'!$H$113:$I$163,2,FALSE)*BG$110</f>
        <v>161965.30988509645</v>
      </c>
      <c r="BH73" s="103">
        <f>VLOOKUP($AF73,'US Grid mix, emissions&amp;prices'!$H$113:$I$163,2,FALSE)*BH$110</f>
        <v>161965.30988509645</v>
      </c>
    </row>
    <row r="74" spans="1:60" x14ac:dyDescent="0.25">
      <c r="A74" s="83" t="s">
        <v>199</v>
      </c>
      <c r="B74" s="103">
        <f>VLOOKUP($A74,'US Grid mix, emissions&amp;prices'!$H$113:$I$163,2,FALSE)*B$110</f>
        <v>153569.0893951187</v>
      </c>
      <c r="C74" s="103">
        <f>VLOOKUP($A74,'US Grid mix, emissions&amp;prices'!$H$113:$I$163,2,FALSE)*C$110</f>
        <v>153569.0893951187</v>
      </c>
      <c r="D74" s="103">
        <f>VLOOKUP($A74,'US Grid mix, emissions&amp;prices'!$H$113:$I$163,2,FALSE)*D$110</f>
        <v>153569.0893951187</v>
      </c>
      <c r="E74" s="103">
        <f>VLOOKUP($A74,'US Grid mix, emissions&amp;prices'!$H$113:$I$163,2,FALSE)*E$110</f>
        <v>153569.0893951187</v>
      </c>
      <c r="F74" s="103">
        <f>VLOOKUP($A74,'US Grid mix, emissions&amp;prices'!$H$113:$I$163,2,FALSE)*F$110</f>
        <v>153569.0893951187</v>
      </c>
      <c r="G74" s="103">
        <f>VLOOKUP($A74,'US Grid mix, emissions&amp;prices'!$H$113:$I$163,2,FALSE)*G$110</f>
        <v>153569.0893951187</v>
      </c>
      <c r="H74" s="103">
        <f>VLOOKUP($A74,'US Grid mix, emissions&amp;prices'!$H$113:$I$163,2,FALSE)*H$110</f>
        <v>153569.0893951187</v>
      </c>
      <c r="I74" s="103">
        <f>VLOOKUP($A74,'US Grid mix, emissions&amp;prices'!$H$113:$I$163,2,FALSE)*I$110</f>
        <v>153569.0893951187</v>
      </c>
      <c r="J74" s="103">
        <f>VLOOKUP($A74,'US Grid mix, emissions&amp;prices'!$H$113:$I$163,2,FALSE)*J$110</f>
        <v>153569.0893951187</v>
      </c>
      <c r="K74" s="103">
        <f>VLOOKUP($A74,'US Grid mix, emissions&amp;prices'!$H$113:$I$163,2,FALSE)*K$110</f>
        <v>153569.0893951187</v>
      </c>
      <c r="L74" s="103">
        <f>VLOOKUP($A74,'US Grid mix, emissions&amp;prices'!$H$113:$I$163,2,FALSE)*L$110</f>
        <v>153569.0893951187</v>
      </c>
      <c r="M74" s="103">
        <f>VLOOKUP($A74,'US Grid mix, emissions&amp;prices'!$H$113:$I$163,2,FALSE)*M$110</f>
        <v>153569.0893951187</v>
      </c>
      <c r="N74" s="103">
        <f>VLOOKUP($A74,'US Grid mix, emissions&amp;prices'!$H$113:$I$163,2,FALSE)*N$110</f>
        <v>153569.0893951187</v>
      </c>
      <c r="O74" s="103">
        <f>VLOOKUP($A74,'US Grid mix, emissions&amp;prices'!$H$113:$I$163,2,FALSE)*O$110</f>
        <v>153569.0893951187</v>
      </c>
      <c r="P74" s="103">
        <f>VLOOKUP($A74,'US Grid mix, emissions&amp;prices'!$H$113:$I$163,2,FALSE)*P$110</f>
        <v>153569.0893951187</v>
      </c>
      <c r="Q74" s="103">
        <f>VLOOKUP($A74,'US Grid mix, emissions&amp;prices'!$H$113:$I$163,2,FALSE)*Q$110</f>
        <v>153569.0893951187</v>
      </c>
      <c r="R74" s="103">
        <f>VLOOKUP($A74,'US Grid mix, emissions&amp;prices'!$H$113:$I$163,2,FALSE)*R$110</f>
        <v>153569.0893951187</v>
      </c>
      <c r="S74" s="103">
        <f>VLOOKUP($A74,'US Grid mix, emissions&amp;prices'!$H$113:$I$163,2,FALSE)*S$110</f>
        <v>153569.0893951187</v>
      </c>
      <c r="T74" s="103">
        <f>VLOOKUP($A74,'US Grid mix, emissions&amp;prices'!$H$113:$I$163,2,FALSE)*T$110</f>
        <v>153569.0893951187</v>
      </c>
      <c r="U74" s="103">
        <f>VLOOKUP($A74,'US Grid mix, emissions&amp;prices'!$H$113:$I$163,2,FALSE)*U$110</f>
        <v>153569.0893951187</v>
      </c>
      <c r="V74" s="103">
        <f>VLOOKUP($A74,'US Grid mix, emissions&amp;prices'!$H$113:$I$163,2,FALSE)*V$110</f>
        <v>153569.0893951187</v>
      </c>
      <c r="W74" s="103">
        <f>VLOOKUP($A74,'US Grid mix, emissions&amp;prices'!$H$113:$I$163,2,FALSE)*W$110</f>
        <v>153569.0893951187</v>
      </c>
      <c r="X74" s="103">
        <f>VLOOKUP($A74,'US Grid mix, emissions&amp;prices'!$H$113:$I$163,2,FALSE)*X$110</f>
        <v>153569.0893951187</v>
      </c>
      <c r="Y74" s="103">
        <f>VLOOKUP($A74,'US Grid mix, emissions&amp;prices'!$H$113:$I$163,2,FALSE)*Y$110</f>
        <v>153569.0893951187</v>
      </c>
      <c r="Z74" s="103">
        <f>VLOOKUP($A74,'US Grid mix, emissions&amp;prices'!$H$113:$I$163,2,FALSE)*Z$110</f>
        <v>153569.0893951187</v>
      </c>
      <c r="AA74" s="103">
        <f>VLOOKUP($A74,'US Grid mix, emissions&amp;prices'!$H$113:$I$163,2,FALSE)*AA$110</f>
        <v>153569.0893951187</v>
      </c>
      <c r="AB74" s="103">
        <f>VLOOKUP($A74,'US Grid mix, emissions&amp;prices'!$H$113:$I$163,2,FALSE)*AB$110</f>
        <v>153569.0893951187</v>
      </c>
      <c r="AC74" s="103">
        <f>VLOOKUP($A74,'US Grid mix, emissions&amp;prices'!$H$113:$I$163,2,FALSE)*AC$110</f>
        <v>153569.0893951187</v>
      </c>
      <c r="AF74" s="83" t="s">
        <v>199</v>
      </c>
      <c r="AG74" s="103">
        <f>VLOOKUP($AF74,'US Grid mix, emissions&amp;prices'!$H$113:$I$163,2,FALSE)*AG$110</f>
        <v>177900.63895161104</v>
      </c>
      <c r="AH74" s="103">
        <f>VLOOKUP($AF74,'US Grid mix, emissions&amp;prices'!$H$113:$I$163,2,FALSE)*AH$110</f>
        <v>177900.63895161104</v>
      </c>
      <c r="AI74" s="103">
        <f>VLOOKUP($AF74,'US Grid mix, emissions&amp;prices'!$H$113:$I$163,2,FALSE)*AI$110</f>
        <v>177900.63895161104</v>
      </c>
      <c r="AJ74" s="103">
        <f>VLOOKUP($AF74,'US Grid mix, emissions&amp;prices'!$H$113:$I$163,2,FALSE)*AJ$110</f>
        <v>177900.63895161104</v>
      </c>
      <c r="AK74" s="103">
        <f>VLOOKUP($AF74,'US Grid mix, emissions&amp;prices'!$H$113:$I$163,2,FALSE)*AK$110</f>
        <v>177900.63895161104</v>
      </c>
      <c r="AL74" s="103">
        <f>VLOOKUP($AF74,'US Grid mix, emissions&amp;prices'!$H$113:$I$163,2,FALSE)*AL$110</f>
        <v>177900.63895161104</v>
      </c>
      <c r="AM74" s="103">
        <f>VLOOKUP($AF74,'US Grid mix, emissions&amp;prices'!$H$113:$I$163,2,FALSE)*AM$110</f>
        <v>177900.63895161104</v>
      </c>
      <c r="AN74" s="103">
        <f>VLOOKUP($AF74,'US Grid mix, emissions&amp;prices'!$H$113:$I$163,2,FALSE)*AN$110</f>
        <v>177900.63895161104</v>
      </c>
      <c r="AO74" s="103">
        <f>VLOOKUP($AF74,'US Grid mix, emissions&amp;prices'!$H$113:$I$163,2,FALSE)*AO$110</f>
        <v>177900.63895161104</v>
      </c>
      <c r="AP74" s="103">
        <f>VLOOKUP($AF74,'US Grid mix, emissions&amp;prices'!$H$113:$I$163,2,FALSE)*AP$110</f>
        <v>177900.63895161104</v>
      </c>
      <c r="AQ74" s="103">
        <f>VLOOKUP($AF74,'US Grid mix, emissions&amp;prices'!$H$113:$I$163,2,FALSE)*AQ$110</f>
        <v>177900.63895161104</v>
      </c>
      <c r="AR74" s="103">
        <f>VLOOKUP($AF74,'US Grid mix, emissions&amp;prices'!$H$113:$I$163,2,FALSE)*AR$110</f>
        <v>177900.63895161104</v>
      </c>
      <c r="AS74" s="103">
        <f>VLOOKUP($AF74,'US Grid mix, emissions&amp;prices'!$H$113:$I$163,2,FALSE)*AS$110</f>
        <v>177900.63895161104</v>
      </c>
      <c r="AT74" s="103">
        <f>VLOOKUP($AF74,'US Grid mix, emissions&amp;prices'!$H$113:$I$163,2,FALSE)*AT$110</f>
        <v>177900.63895161104</v>
      </c>
      <c r="AU74" s="103">
        <f>VLOOKUP($AF74,'US Grid mix, emissions&amp;prices'!$H$113:$I$163,2,FALSE)*AU$110</f>
        <v>177900.63895161104</v>
      </c>
      <c r="AV74" s="103">
        <f>VLOOKUP($AF74,'US Grid mix, emissions&amp;prices'!$H$113:$I$163,2,FALSE)*AV$110</f>
        <v>177900.63895161104</v>
      </c>
      <c r="AW74" s="103">
        <f>VLOOKUP($AF74,'US Grid mix, emissions&amp;prices'!$H$113:$I$163,2,FALSE)*AW$110</f>
        <v>177900.63895161104</v>
      </c>
      <c r="AX74" s="103">
        <f>VLOOKUP($AF74,'US Grid mix, emissions&amp;prices'!$H$113:$I$163,2,FALSE)*AX$110</f>
        <v>177900.63895161104</v>
      </c>
      <c r="AY74" s="103">
        <f>VLOOKUP($AF74,'US Grid mix, emissions&amp;prices'!$H$113:$I$163,2,FALSE)*AY$110</f>
        <v>177900.63895161104</v>
      </c>
      <c r="AZ74" s="103">
        <f>VLOOKUP($AF74,'US Grid mix, emissions&amp;prices'!$H$113:$I$163,2,FALSE)*AZ$110</f>
        <v>177900.63895161104</v>
      </c>
      <c r="BA74" s="103">
        <f>VLOOKUP($AF74,'US Grid mix, emissions&amp;prices'!$H$113:$I$163,2,FALSE)*BA$110</f>
        <v>177900.63895161104</v>
      </c>
      <c r="BB74" s="103">
        <f>VLOOKUP($AF74,'US Grid mix, emissions&amp;prices'!$H$113:$I$163,2,FALSE)*BB$110</f>
        <v>177900.63895161104</v>
      </c>
      <c r="BC74" s="103">
        <f>VLOOKUP($AF74,'US Grid mix, emissions&amp;prices'!$H$113:$I$163,2,FALSE)*BC$110</f>
        <v>177900.63895161104</v>
      </c>
      <c r="BD74" s="103">
        <f>VLOOKUP($AF74,'US Grid mix, emissions&amp;prices'!$H$113:$I$163,2,FALSE)*BD$110</f>
        <v>177900.63895161104</v>
      </c>
      <c r="BE74" s="103">
        <f>VLOOKUP($AF74,'US Grid mix, emissions&amp;prices'!$H$113:$I$163,2,FALSE)*BE$110</f>
        <v>177900.63895161104</v>
      </c>
      <c r="BF74" s="103">
        <f>VLOOKUP($AF74,'US Grid mix, emissions&amp;prices'!$H$113:$I$163,2,FALSE)*BF$110</f>
        <v>177900.63895161104</v>
      </c>
      <c r="BG74" s="103">
        <f>VLOOKUP($AF74,'US Grid mix, emissions&amp;prices'!$H$113:$I$163,2,FALSE)*BG$110</f>
        <v>177900.63895161104</v>
      </c>
      <c r="BH74" s="103">
        <f>VLOOKUP($AF74,'US Grid mix, emissions&amp;prices'!$H$113:$I$163,2,FALSE)*BH$110</f>
        <v>177900.63895161104</v>
      </c>
    </row>
    <row r="75" spans="1:60" x14ac:dyDescent="0.25">
      <c r="A75" s="83" t="s">
        <v>157</v>
      </c>
      <c r="B75" s="103">
        <f>VLOOKUP($A75,'US Grid mix, emissions&amp;prices'!$H$113:$I$163,2,FALSE)*B$110</f>
        <v>378299.54162652872</v>
      </c>
      <c r="C75" s="103">
        <f>VLOOKUP($A75,'US Grid mix, emissions&amp;prices'!$H$113:$I$163,2,FALSE)*C$110</f>
        <v>378299.54162652872</v>
      </c>
      <c r="D75" s="103">
        <f>VLOOKUP($A75,'US Grid mix, emissions&amp;prices'!$H$113:$I$163,2,FALSE)*D$110</f>
        <v>378299.54162652872</v>
      </c>
      <c r="E75" s="103">
        <f>VLOOKUP($A75,'US Grid mix, emissions&amp;prices'!$H$113:$I$163,2,FALSE)*E$110</f>
        <v>378299.54162652872</v>
      </c>
      <c r="F75" s="103">
        <f>VLOOKUP($A75,'US Grid mix, emissions&amp;prices'!$H$113:$I$163,2,FALSE)*F$110</f>
        <v>378299.54162652872</v>
      </c>
      <c r="G75" s="103">
        <f>VLOOKUP($A75,'US Grid mix, emissions&amp;prices'!$H$113:$I$163,2,FALSE)*G$110</f>
        <v>378299.54162652872</v>
      </c>
      <c r="H75" s="103">
        <f>VLOOKUP($A75,'US Grid mix, emissions&amp;prices'!$H$113:$I$163,2,FALSE)*H$110</f>
        <v>378299.54162652872</v>
      </c>
      <c r="I75" s="103">
        <f>VLOOKUP($A75,'US Grid mix, emissions&amp;prices'!$H$113:$I$163,2,FALSE)*I$110</f>
        <v>378299.54162652872</v>
      </c>
      <c r="J75" s="103">
        <f>VLOOKUP($A75,'US Grid mix, emissions&amp;prices'!$H$113:$I$163,2,FALSE)*J$110</f>
        <v>378299.54162652872</v>
      </c>
      <c r="K75" s="103">
        <f>VLOOKUP($A75,'US Grid mix, emissions&amp;prices'!$H$113:$I$163,2,FALSE)*K$110</f>
        <v>378299.54162652872</v>
      </c>
      <c r="L75" s="103">
        <f>VLOOKUP($A75,'US Grid mix, emissions&amp;prices'!$H$113:$I$163,2,FALSE)*L$110</f>
        <v>378299.54162652872</v>
      </c>
      <c r="M75" s="103">
        <f>VLOOKUP($A75,'US Grid mix, emissions&amp;prices'!$H$113:$I$163,2,FALSE)*M$110</f>
        <v>378299.54162652872</v>
      </c>
      <c r="N75" s="103">
        <f>VLOOKUP($A75,'US Grid mix, emissions&amp;prices'!$H$113:$I$163,2,FALSE)*N$110</f>
        <v>378299.54162652872</v>
      </c>
      <c r="O75" s="103">
        <f>VLOOKUP($A75,'US Grid mix, emissions&amp;prices'!$H$113:$I$163,2,FALSE)*O$110</f>
        <v>378299.54162652872</v>
      </c>
      <c r="P75" s="103">
        <f>VLOOKUP($A75,'US Grid mix, emissions&amp;prices'!$H$113:$I$163,2,FALSE)*P$110</f>
        <v>378299.54162652872</v>
      </c>
      <c r="Q75" s="103">
        <f>VLOOKUP($A75,'US Grid mix, emissions&amp;prices'!$H$113:$I$163,2,FALSE)*Q$110</f>
        <v>378299.54162652872</v>
      </c>
      <c r="R75" s="103">
        <f>VLOOKUP($A75,'US Grid mix, emissions&amp;prices'!$H$113:$I$163,2,FALSE)*R$110</f>
        <v>378299.54162652872</v>
      </c>
      <c r="S75" s="103">
        <f>VLOOKUP($A75,'US Grid mix, emissions&amp;prices'!$H$113:$I$163,2,FALSE)*S$110</f>
        <v>378299.54162652872</v>
      </c>
      <c r="T75" s="103">
        <f>VLOOKUP($A75,'US Grid mix, emissions&amp;prices'!$H$113:$I$163,2,FALSE)*T$110</f>
        <v>378299.54162652872</v>
      </c>
      <c r="U75" s="103">
        <f>VLOOKUP($A75,'US Grid mix, emissions&amp;prices'!$H$113:$I$163,2,FALSE)*U$110</f>
        <v>378299.54162652872</v>
      </c>
      <c r="V75" s="103">
        <f>VLOOKUP($A75,'US Grid mix, emissions&amp;prices'!$H$113:$I$163,2,FALSE)*V$110</f>
        <v>378299.54162652872</v>
      </c>
      <c r="W75" s="103">
        <f>VLOOKUP($A75,'US Grid mix, emissions&amp;prices'!$H$113:$I$163,2,FALSE)*W$110</f>
        <v>378299.54162652872</v>
      </c>
      <c r="X75" s="103">
        <f>VLOOKUP($A75,'US Grid mix, emissions&amp;prices'!$H$113:$I$163,2,FALSE)*X$110</f>
        <v>378299.54162652872</v>
      </c>
      <c r="Y75" s="103">
        <f>VLOOKUP($A75,'US Grid mix, emissions&amp;prices'!$H$113:$I$163,2,FALSE)*Y$110</f>
        <v>378299.54162652872</v>
      </c>
      <c r="Z75" s="103">
        <f>VLOOKUP($A75,'US Grid mix, emissions&amp;prices'!$H$113:$I$163,2,FALSE)*Z$110</f>
        <v>378299.54162652872</v>
      </c>
      <c r="AA75" s="103">
        <f>VLOOKUP($A75,'US Grid mix, emissions&amp;prices'!$H$113:$I$163,2,FALSE)*AA$110</f>
        <v>378299.54162652872</v>
      </c>
      <c r="AB75" s="103">
        <f>VLOOKUP($A75,'US Grid mix, emissions&amp;prices'!$H$113:$I$163,2,FALSE)*AB$110</f>
        <v>378299.54162652872</v>
      </c>
      <c r="AC75" s="103">
        <f>VLOOKUP($A75,'US Grid mix, emissions&amp;prices'!$H$113:$I$163,2,FALSE)*AC$110</f>
        <v>378299.54162652872</v>
      </c>
      <c r="AF75" s="83" t="s">
        <v>157</v>
      </c>
      <c r="AG75" s="103">
        <f>VLOOKUP($AF75,'US Grid mix, emissions&amp;prices'!$H$113:$I$163,2,FALSE)*AG$110</f>
        <v>438237.4762756144</v>
      </c>
      <c r="AH75" s="103">
        <f>VLOOKUP($AF75,'US Grid mix, emissions&amp;prices'!$H$113:$I$163,2,FALSE)*AH$110</f>
        <v>438237.4762756144</v>
      </c>
      <c r="AI75" s="103">
        <f>VLOOKUP($AF75,'US Grid mix, emissions&amp;prices'!$H$113:$I$163,2,FALSE)*AI$110</f>
        <v>438237.4762756144</v>
      </c>
      <c r="AJ75" s="103">
        <f>VLOOKUP($AF75,'US Grid mix, emissions&amp;prices'!$H$113:$I$163,2,FALSE)*AJ$110</f>
        <v>438237.4762756144</v>
      </c>
      <c r="AK75" s="103">
        <f>VLOOKUP($AF75,'US Grid mix, emissions&amp;prices'!$H$113:$I$163,2,FALSE)*AK$110</f>
        <v>438237.4762756144</v>
      </c>
      <c r="AL75" s="103">
        <f>VLOOKUP($AF75,'US Grid mix, emissions&amp;prices'!$H$113:$I$163,2,FALSE)*AL$110</f>
        <v>438237.4762756144</v>
      </c>
      <c r="AM75" s="103">
        <f>VLOOKUP($AF75,'US Grid mix, emissions&amp;prices'!$H$113:$I$163,2,FALSE)*AM$110</f>
        <v>438237.4762756144</v>
      </c>
      <c r="AN75" s="103">
        <f>VLOOKUP($AF75,'US Grid mix, emissions&amp;prices'!$H$113:$I$163,2,FALSE)*AN$110</f>
        <v>438237.4762756144</v>
      </c>
      <c r="AO75" s="103">
        <f>VLOOKUP($AF75,'US Grid mix, emissions&amp;prices'!$H$113:$I$163,2,FALSE)*AO$110</f>
        <v>438237.4762756144</v>
      </c>
      <c r="AP75" s="103">
        <f>VLOOKUP($AF75,'US Grid mix, emissions&amp;prices'!$H$113:$I$163,2,FALSE)*AP$110</f>
        <v>438237.4762756144</v>
      </c>
      <c r="AQ75" s="103">
        <f>VLOOKUP($AF75,'US Grid mix, emissions&amp;prices'!$H$113:$I$163,2,FALSE)*AQ$110</f>
        <v>438237.4762756144</v>
      </c>
      <c r="AR75" s="103">
        <f>VLOOKUP($AF75,'US Grid mix, emissions&amp;prices'!$H$113:$I$163,2,FALSE)*AR$110</f>
        <v>438237.4762756144</v>
      </c>
      <c r="AS75" s="103">
        <f>VLOOKUP($AF75,'US Grid mix, emissions&amp;prices'!$H$113:$I$163,2,FALSE)*AS$110</f>
        <v>438237.4762756144</v>
      </c>
      <c r="AT75" s="103">
        <f>VLOOKUP($AF75,'US Grid mix, emissions&amp;prices'!$H$113:$I$163,2,FALSE)*AT$110</f>
        <v>438237.4762756144</v>
      </c>
      <c r="AU75" s="103">
        <f>VLOOKUP($AF75,'US Grid mix, emissions&amp;prices'!$H$113:$I$163,2,FALSE)*AU$110</f>
        <v>438237.4762756144</v>
      </c>
      <c r="AV75" s="103">
        <f>VLOOKUP($AF75,'US Grid mix, emissions&amp;prices'!$H$113:$I$163,2,FALSE)*AV$110</f>
        <v>438237.4762756144</v>
      </c>
      <c r="AW75" s="103">
        <f>VLOOKUP($AF75,'US Grid mix, emissions&amp;prices'!$H$113:$I$163,2,FALSE)*AW$110</f>
        <v>438237.4762756144</v>
      </c>
      <c r="AX75" s="103">
        <f>VLOOKUP($AF75,'US Grid mix, emissions&amp;prices'!$H$113:$I$163,2,FALSE)*AX$110</f>
        <v>438237.4762756144</v>
      </c>
      <c r="AY75" s="103">
        <f>VLOOKUP($AF75,'US Grid mix, emissions&amp;prices'!$H$113:$I$163,2,FALSE)*AY$110</f>
        <v>438237.4762756144</v>
      </c>
      <c r="AZ75" s="103">
        <f>VLOOKUP($AF75,'US Grid mix, emissions&amp;prices'!$H$113:$I$163,2,FALSE)*AZ$110</f>
        <v>438237.4762756144</v>
      </c>
      <c r="BA75" s="103">
        <f>VLOOKUP($AF75,'US Grid mix, emissions&amp;prices'!$H$113:$I$163,2,FALSE)*BA$110</f>
        <v>438237.4762756144</v>
      </c>
      <c r="BB75" s="103">
        <f>VLOOKUP($AF75,'US Grid mix, emissions&amp;prices'!$H$113:$I$163,2,FALSE)*BB$110</f>
        <v>438237.4762756144</v>
      </c>
      <c r="BC75" s="103">
        <f>VLOOKUP($AF75,'US Grid mix, emissions&amp;prices'!$H$113:$I$163,2,FALSE)*BC$110</f>
        <v>438237.4762756144</v>
      </c>
      <c r="BD75" s="103">
        <f>VLOOKUP($AF75,'US Grid mix, emissions&amp;prices'!$H$113:$I$163,2,FALSE)*BD$110</f>
        <v>438237.4762756144</v>
      </c>
      <c r="BE75" s="103">
        <f>VLOOKUP($AF75,'US Grid mix, emissions&amp;prices'!$H$113:$I$163,2,FALSE)*BE$110</f>
        <v>438237.4762756144</v>
      </c>
      <c r="BF75" s="103">
        <f>VLOOKUP($AF75,'US Grid mix, emissions&amp;prices'!$H$113:$I$163,2,FALSE)*BF$110</f>
        <v>438237.4762756144</v>
      </c>
      <c r="BG75" s="103">
        <f>VLOOKUP($AF75,'US Grid mix, emissions&amp;prices'!$H$113:$I$163,2,FALSE)*BG$110</f>
        <v>438237.4762756144</v>
      </c>
      <c r="BH75" s="103">
        <f>VLOOKUP($AF75,'US Grid mix, emissions&amp;prices'!$H$113:$I$163,2,FALSE)*BH$110</f>
        <v>438237.4762756144</v>
      </c>
    </row>
    <row r="76" spans="1:60" x14ac:dyDescent="0.25">
      <c r="A76" s="83" t="s">
        <v>200</v>
      </c>
      <c r="B76" s="103">
        <f>VLOOKUP($A76,'US Grid mix, emissions&amp;prices'!$H$113:$I$163,2,FALSE)*B$110</f>
        <v>202000.38034540424</v>
      </c>
      <c r="C76" s="103">
        <f>VLOOKUP($A76,'US Grid mix, emissions&amp;prices'!$H$113:$I$163,2,FALSE)*C$110</f>
        <v>202000.38034540424</v>
      </c>
      <c r="D76" s="103">
        <f>VLOOKUP($A76,'US Grid mix, emissions&amp;prices'!$H$113:$I$163,2,FALSE)*D$110</f>
        <v>202000.38034540424</v>
      </c>
      <c r="E76" s="103">
        <f>VLOOKUP($A76,'US Grid mix, emissions&amp;prices'!$H$113:$I$163,2,FALSE)*E$110</f>
        <v>202000.38034540424</v>
      </c>
      <c r="F76" s="103">
        <f>VLOOKUP($A76,'US Grid mix, emissions&amp;prices'!$H$113:$I$163,2,FALSE)*F$110</f>
        <v>202000.38034540424</v>
      </c>
      <c r="G76" s="103">
        <f>VLOOKUP($A76,'US Grid mix, emissions&amp;prices'!$H$113:$I$163,2,FALSE)*G$110</f>
        <v>202000.38034540424</v>
      </c>
      <c r="H76" s="103">
        <f>VLOOKUP($A76,'US Grid mix, emissions&amp;prices'!$H$113:$I$163,2,FALSE)*H$110</f>
        <v>202000.38034540424</v>
      </c>
      <c r="I76" s="103">
        <f>VLOOKUP($A76,'US Grid mix, emissions&amp;prices'!$H$113:$I$163,2,FALSE)*I$110</f>
        <v>202000.38034540424</v>
      </c>
      <c r="J76" s="103">
        <f>VLOOKUP($A76,'US Grid mix, emissions&amp;prices'!$H$113:$I$163,2,FALSE)*J$110</f>
        <v>202000.38034540424</v>
      </c>
      <c r="K76" s="103">
        <f>VLOOKUP($A76,'US Grid mix, emissions&amp;prices'!$H$113:$I$163,2,FALSE)*K$110</f>
        <v>202000.38034540424</v>
      </c>
      <c r="L76" s="103">
        <f>VLOOKUP($A76,'US Grid mix, emissions&amp;prices'!$H$113:$I$163,2,FALSE)*L$110</f>
        <v>202000.38034540424</v>
      </c>
      <c r="M76" s="103">
        <f>VLOOKUP($A76,'US Grid mix, emissions&amp;prices'!$H$113:$I$163,2,FALSE)*M$110</f>
        <v>202000.38034540424</v>
      </c>
      <c r="N76" s="103">
        <f>VLOOKUP($A76,'US Grid mix, emissions&amp;prices'!$H$113:$I$163,2,FALSE)*N$110</f>
        <v>202000.38034540424</v>
      </c>
      <c r="O76" s="103">
        <f>VLOOKUP($A76,'US Grid mix, emissions&amp;prices'!$H$113:$I$163,2,FALSE)*O$110</f>
        <v>202000.38034540424</v>
      </c>
      <c r="P76" s="103">
        <f>VLOOKUP($A76,'US Grid mix, emissions&amp;prices'!$H$113:$I$163,2,FALSE)*P$110</f>
        <v>202000.38034540424</v>
      </c>
      <c r="Q76" s="103">
        <f>VLOOKUP($A76,'US Grid mix, emissions&amp;prices'!$H$113:$I$163,2,FALSE)*Q$110</f>
        <v>202000.38034540424</v>
      </c>
      <c r="R76" s="103">
        <f>VLOOKUP($A76,'US Grid mix, emissions&amp;prices'!$H$113:$I$163,2,FALSE)*R$110</f>
        <v>202000.38034540424</v>
      </c>
      <c r="S76" s="103">
        <f>VLOOKUP($A76,'US Grid mix, emissions&amp;prices'!$H$113:$I$163,2,FALSE)*S$110</f>
        <v>202000.38034540424</v>
      </c>
      <c r="T76" s="103">
        <f>VLOOKUP($A76,'US Grid mix, emissions&amp;prices'!$H$113:$I$163,2,FALSE)*T$110</f>
        <v>202000.38034540424</v>
      </c>
      <c r="U76" s="103">
        <f>VLOOKUP($A76,'US Grid mix, emissions&amp;prices'!$H$113:$I$163,2,FALSE)*U$110</f>
        <v>202000.38034540424</v>
      </c>
      <c r="V76" s="103">
        <f>VLOOKUP($A76,'US Grid mix, emissions&amp;prices'!$H$113:$I$163,2,FALSE)*V$110</f>
        <v>202000.38034540424</v>
      </c>
      <c r="W76" s="103">
        <f>VLOOKUP($A76,'US Grid mix, emissions&amp;prices'!$H$113:$I$163,2,FALSE)*W$110</f>
        <v>202000.38034540424</v>
      </c>
      <c r="X76" s="103">
        <f>VLOOKUP($A76,'US Grid mix, emissions&amp;prices'!$H$113:$I$163,2,FALSE)*X$110</f>
        <v>202000.38034540424</v>
      </c>
      <c r="Y76" s="103">
        <f>VLOOKUP($A76,'US Grid mix, emissions&amp;prices'!$H$113:$I$163,2,FALSE)*Y$110</f>
        <v>202000.38034540424</v>
      </c>
      <c r="Z76" s="103">
        <f>VLOOKUP($A76,'US Grid mix, emissions&amp;prices'!$H$113:$I$163,2,FALSE)*Z$110</f>
        <v>202000.38034540424</v>
      </c>
      <c r="AA76" s="103">
        <f>VLOOKUP($A76,'US Grid mix, emissions&amp;prices'!$H$113:$I$163,2,FALSE)*AA$110</f>
        <v>202000.38034540424</v>
      </c>
      <c r="AB76" s="103">
        <f>VLOOKUP($A76,'US Grid mix, emissions&amp;prices'!$H$113:$I$163,2,FALSE)*AB$110</f>
        <v>202000.38034540424</v>
      </c>
      <c r="AC76" s="103">
        <f>VLOOKUP($A76,'US Grid mix, emissions&amp;prices'!$H$113:$I$163,2,FALSE)*AC$110</f>
        <v>202000.38034540424</v>
      </c>
      <c r="AF76" s="83" t="s">
        <v>200</v>
      </c>
      <c r="AG76" s="103">
        <f>VLOOKUP($AF76,'US Grid mix, emissions&amp;prices'!$H$113:$I$163,2,FALSE)*AG$110</f>
        <v>234005.40351877682</v>
      </c>
      <c r="AH76" s="103">
        <f>VLOOKUP($AF76,'US Grid mix, emissions&amp;prices'!$H$113:$I$163,2,FALSE)*AH$110</f>
        <v>234005.40351877682</v>
      </c>
      <c r="AI76" s="103">
        <f>VLOOKUP($AF76,'US Grid mix, emissions&amp;prices'!$H$113:$I$163,2,FALSE)*AI$110</f>
        <v>234005.40351877682</v>
      </c>
      <c r="AJ76" s="103">
        <f>VLOOKUP($AF76,'US Grid mix, emissions&amp;prices'!$H$113:$I$163,2,FALSE)*AJ$110</f>
        <v>234005.40351877682</v>
      </c>
      <c r="AK76" s="103">
        <f>VLOOKUP($AF76,'US Grid mix, emissions&amp;prices'!$H$113:$I$163,2,FALSE)*AK$110</f>
        <v>234005.40351877682</v>
      </c>
      <c r="AL76" s="103">
        <f>VLOOKUP($AF76,'US Grid mix, emissions&amp;prices'!$H$113:$I$163,2,FALSE)*AL$110</f>
        <v>234005.40351877682</v>
      </c>
      <c r="AM76" s="103">
        <f>VLOOKUP($AF76,'US Grid mix, emissions&amp;prices'!$H$113:$I$163,2,FALSE)*AM$110</f>
        <v>234005.40351877682</v>
      </c>
      <c r="AN76" s="103">
        <f>VLOOKUP($AF76,'US Grid mix, emissions&amp;prices'!$H$113:$I$163,2,FALSE)*AN$110</f>
        <v>234005.40351877682</v>
      </c>
      <c r="AO76" s="103">
        <f>VLOOKUP($AF76,'US Grid mix, emissions&amp;prices'!$H$113:$I$163,2,FALSE)*AO$110</f>
        <v>234005.40351877682</v>
      </c>
      <c r="AP76" s="103">
        <f>VLOOKUP($AF76,'US Grid mix, emissions&amp;prices'!$H$113:$I$163,2,FALSE)*AP$110</f>
        <v>234005.40351877682</v>
      </c>
      <c r="AQ76" s="103">
        <f>VLOOKUP($AF76,'US Grid mix, emissions&amp;prices'!$H$113:$I$163,2,FALSE)*AQ$110</f>
        <v>234005.40351877682</v>
      </c>
      <c r="AR76" s="103">
        <f>VLOOKUP($AF76,'US Grid mix, emissions&amp;prices'!$H$113:$I$163,2,FALSE)*AR$110</f>
        <v>234005.40351877682</v>
      </c>
      <c r="AS76" s="103">
        <f>VLOOKUP($AF76,'US Grid mix, emissions&amp;prices'!$H$113:$I$163,2,FALSE)*AS$110</f>
        <v>234005.40351877682</v>
      </c>
      <c r="AT76" s="103">
        <f>VLOOKUP($AF76,'US Grid mix, emissions&amp;prices'!$H$113:$I$163,2,FALSE)*AT$110</f>
        <v>234005.40351877682</v>
      </c>
      <c r="AU76" s="103">
        <f>VLOOKUP($AF76,'US Grid mix, emissions&amp;prices'!$H$113:$I$163,2,FALSE)*AU$110</f>
        <v>234005.40351877682</v>
      </c>
      <c r="AV76" s="103">
        <f>VLOOKUP($AF76,'US Grid mix, emissions&amp;prices'!$H$113:$I$163,2,FALSE)*AV$110</f>
        <v>234005.40351877682</v>
      </c>
      <c r="AW76" s="103">
        <f>VLOOKUP($AF76,'US Grid mix, emissions&amp;prices'!$H$113:$I$163,2,FALSE)*AW$110</f>
        <v>234005.40351877682</v>
      </c>
      <c r="AX76" s="103">
        <f>VLOOKUP($AF76,'US Grid mix, emissions&amp;prices'!$H$113:$I$163,2,FALSE)*AX$110</f>
        <v>234005.40351877682</v>
      </c>
      <c r="AY76" s="103">
        <f>VLOOKUP($AF76,'US Grid mix, emissions&amp;prices'!$H$113:$I$163,2,FALSE)*AY$110</f>
        <v>234005.40351877682</v>
      </c>
      <c r="AZ76" s="103">
        <f>VLOOKUP($AF76,'US Grid mix, emissions&amp;prices'!$H$113:$I$163,2,FALSE)*AZ$110</f>
        <v>234005.40351877682</v>
      </c>
      <c r="BA76" s="103">
        <f>VLOOKUP($AF76,'US Grid mix, emissions&amp;prices'!$H$113:$I$163,2,FALSE)*BA$110</f>
        <v>234005.40351877682</v>
      </c>
      <c r="BB76" s="103">
        <f>VLOOKUP($AF76,'US Grid mix, emissions&amp;prices'!$H$113:$I$163,2,FALSE)*BB$110</f>
        <v>234005.40351877682</v>
      </c>
      <c r="BC76" s="103">
        <f>VLOOKUP($AF76,'US Grid mix, emissions&amp;prices'!$H$113:$I$163,2,FALSE)*BC$110</f>
        <v>234005.40351877682</v>
      </c>
      <c r="BD76" s="103">
        <f>VLOOKUP($AF76,'US Grid mix, emissions&amp;prices'!$H$113:$I$163,2,FALSE)*BD$110</f>
        <v>234005.40351877682</v>
      </c>
      <c r="BE76" s="103">
        <f>VLOOKUP($AF76,'US Grid mix, emissions&amp;prices'!$H$113:$I$163,2,FALSE)*BE$110</f>
        <v>234005.40351877682</v>
      </c>
      <c r="BF76" s="103">
        <f>VLOOKUP($AF76,'US Grid mix, emissions&amp;prices'!$H$113:$I$163,2,FALSE)*BF$110</f>
        <v>234005.40351877682</v>
      </c>
      <c r="BG76" s="103">
        <f>VLOOKUP($AF76,'US Grid mix, emissions&amp;prices'!$H$113:$I$163,2,FALSE)*BG$110</f>
        <v>234005.40351877682</v>
      </c>
      <c r="BH76" s="103">
        <f>VLOOKUP($AF76,'US Grid mix, emissions&amp;prices'!$H$113:$I$163,2,FALSE)*BH$110</f>
        <v>234005.40351877682</v>
      </c>
    </row>
    <row r="77" spans="1:60" x14ac:dyDescent="0.25">
      <c r="A77" s="83" t="s">
        <v>203</v>
      </c>
      <c r="B77" s="103">
        <f>VLOOKUP($A77,'US Grid mix, emissions&amp;prices'!$H$113:$I$163,2,FALSE)*B$110</f>
        <v>78843.218278219181</v>
      </c>
      <c r="C77" s="103">
        <f>VLOOKUP($A77,'US Grid mix, emissions&amp;prices'!$H$113:$I$163,2,FALSE)*C$110</f>
        <v>78843.218278219181</v>
      </c>
      <c r="D77" s="103">
        <f>VLOOKUP($A77,'US Grid mix, emissions&amp;prices'!$H$113:$I$163,2,FALSE)*D$110</f>
        <v>78843.218278219181</v>
      </c>
      <c r="E77" s="103">
        <f>VLOOKUP($A77,'US Grid mix, emissions&amp;prices'!$H$113:$I$163,2,FALSE)*E$110</f>
        <v>78843.218278219181</v>
      </c>
      <c r="F77" s="103">
        <f>VLOOKUP($A77,'US Grid mix, emissions&amp;prices'!$H$113:$I$163,2,FALSE)*F$110</f>
        <v>78843.218278219181</v>
      </c>
      <c r="G77" s="103">
        <f>VLOOKUP($A77,'US Grid mix, emissions&amp;prices'!$H$113:$I$163,2,FALSE)*G$110</f>
        <v>78843.218278219181</v>
      </c>
      <c r="H77" s="103">
        <f>VLOOKUP($A77,'US Grid mix, emissions&amp;prices'!$H$113:$I$163,2,FALSE)*H$110</f>
        <v>78843.218278219181</v>
      </c>
      <c r="I77" s="103">
        <f>VLOOKUP($A77,'US Grid mix, emissions&amp;prices'!$H$113:$I$163,2,FALSE)*I$110</f>
        <v>78843.218278219181</v>
      </c>
      <c r="J77" s="103">
        <f>VLOOKUP($A77,'US Grid mix, emissions&amp;prices'!$H$113:$I$163,2,FALSE)*J$110</f>
        <v>78843.218278219181</v>
      </c>
      <c r="K77" s="103">
        <f>VLOOKUP($A77,'US Grid mix, emissions&amp;prices'!$H$113:$I$163,2,FALSE)*K$110</f>
        <v>78843.218278219181</v>
      </c>
      <c r="L77" s="103">
        <f>VLOOKUP($A77,'US Grid mix, emissions&amp;prices'!$H$113:$I$163,2,FALSE)*L$110</f>
        <v>78843.218278219181</v>
      </c>
      <c r="M77" s="103">
        <f>VLOOKUP($A77,'US Grid mix, emissions&amp;prices'!$H$113:$I$163,2,FALSE)*M$110</f>
        <v>78843.218278219181</v>
      </c>
      <c r="N77" s="103">
        <f>VLOOKUP($A77,'US Grid mix, emissions&amp;prices'!$H$113:$I$163,2,FALSE)*N$110</f>
        <v>78843.218278219181</v>
      </c>
      <c r="O77" s="103">
        <f>VLOOKUP($A77,'US Grid mix, emissions&amp;prices'!$H$113:$I$163,2,FALSE)*O$110</f>
        <v>78843.218278219181</v>
      </c>
      <c r="P77" s="103">
        <f>VLOOKUP($A77,'US Grid mix, emissions&amp;prices'!$H$113:$I$163,2,FALSE)*P$110</f>
        <v>78843.218278219181</v>
      </c>
      <c r="Q77" s="103">
        <f>VLOOKUP($A77,'US Grid mix, emissions&amp;prices'!$H$113:$I$163,2,FALSE)*Q$110</f>
        <v>78843.218278219181</v>
      </c>
      <c r="R77" s="103">
        <f>VLOOKUP($A77,'US Grid mix, emissions&amp;prices'!$H$113:$I$163,2,FALSE)*R$110</f>
        <v>78843.218278219181</v>
      </c>
      <c r="S77" s="103">
        <f>VLOOKUP($A77,'US Grid mix, emissions&amp;prices'!$H$113:$I$163,2,FALSE)*S$110</f>
        <v>78843.218278219181</v>
      </c>
      <c r="T77" s="103">
        <f>VLOOKUP($A77,'US Grid mix, emissions&amp;prices'!$H$113:$I$163,2,FALSE)*T$110</f>
        <v>78843.218278219181</v>
      </c>
      <c r="U77" s="103">
        <f>VLOOKUP($A77,'US Grid mix, emissions&amp;prices'!$H$113:$I$163,2,FALSE)*U$110</f>
        <v>78843.218278219181</v>
      </c>
      <c r="V77" s="103">
        <f>VLOOKUP($A77,'US Grid mix, emissions&amp;prices'!$H$113:$I$163,2,FALSE)*V$110</f>
        <v>78843.218278219181</v>
      </c>
      <c r="W77" s="103">
        <f>VLOOKUP($A77,'US Grid mix, emissions&amp;prices'!$H$113:$I$163,2,FALSE)*W$110</f>
        <v>78843.218278219181</v>
      </c>
      <c r="X77" s="103">
        <f>VLOOKUP($A77,'US Grid mix, emissions&amp;prices'!$H$113:$I$163,2,FALSE)*X$110</f>
        <v>78843.218278219181</v>
      </c>
      <c r="Y77" s="103">
        <f>VLOOKUP($A77,'US Grid mix, emissions&amp;prices'!$H$113:$I$163,2,FALSE)*Y$110</f>
        <v>78843.218278219181</v>
      </c>
      <c r="Z77" s="103">
        <f>VLOOKUP($A77,'US Grid mix, emissions&amp;prices'!$H$113:$I$163,2,FALSE)*Z$110</f>
        <v>78843.218278219181</v>
      </c>
      <c r="AA77" s="103">
        <f>VLOOKUP($A77,'US Grid mix, emissions&amp;prices'!$H$113:$I$163,2,FALSE)*AA$110</f>
        <v>78843.218278219181</v>
      </c>
      <c r="AB77" s="103">
        <f>VLOOKUP($A77,'US Grid mix, emissions&amp;prices'!$H$113:$I$163,2,FALSE)*AB$110</f>
        <v>78843.218278219181</v>
      </c>
      <c r="AC77" s="103">
        <f>VLOOKUP($A77,'US Grid mix, emissions&amp;prices'!$H$113:$I$163,2,FALSE)*AC$110</f>
        <v>78843.218278219181</v>
      </c>
      <c r="AF77" s="83" t="s">
        <v>203</v>
      </c>
      <c r="AG77" s="103">
        <f>VLOOKUP($AF77,'US Grid mix, emissions&amp;prices'!$H$113:$I$163,2,FALSE)*AG$110</f>
        <v>91335.170143571639</v>
      </c>
      <c r="AH77" s="103">
        <f>VLOOKUP($AF77,'US Grid mix, emissions&amp;prices'!$H$113:$I$163,2,FALSE)*AH$110</f>
        <v>91335.170143571639</v>
      </c>
      <c r="AI77" s="103">
        <f>VLOOKUP($AF77,'US Grid mix, emissions&amp;prices'!$H$113:$I$163,2,FALSE)*AI$110</f>
        <v>91335.170143571639</v>
      </c>
      <c r="AJ77" s="103">
        <f>VLOOKUP($AF77,'US Grid mix, emissions&amp;prices'!$H$113:$I$163,2,FALSE)*AJ$110</f>
        <v>91335.170143571639</v>
      </c>
      <c r="AK77" s="103">
        <f>VLOOKUP($AF77,'US Grid mix, emissions&amp;prices'!$H$113:$I$163,2,FALSE)*AK$110</f>
        <v>91335.170143571639</v>
      </c>
      <c r="AL77" s="103">
        <f>VLOOKUP($AF77,'US Grid mix, emissions&amp;prices'!$H$113:$I$163,2,FALSE)*AL$110</f>
        <v>91335.170143571639</v>
      </c>
      <c r="AM77" s="103">
        <f>VLOOKUP($AF77,'US Grid mix, emissions&amp;prices'!$H$113:$I$163,2,FALSE)*AM$110</f>
        <v>91335.170143571639</v>
      </c>
      <c r="AN77" s="103">
        <f>VLOOKUP($AF77,'US Grid mix, emissions&amp;prices'!$H$113:$I$163,2,FALSE)*AN$110</f>
        <v>91335.170143571639</v>
      </c>
      <c r="AO77" s="103">
        <f>VLOOKUP($AF77,'US Grid mix, emissions&amp;prices'!$H$113:$I$163,2,FALSE)*AO$110</f>
        <v>91335.170143571639</v>
      </c>
      <c r="AP77" s="103">
        <f>VLOOKUP($AF77,'US Grid mix, emissions&amp;prices'!$H$113:$I$163,2,FALSE)*AP$110</f>
        <v>91335.170143571639</v>
      </c>
      <c r="AQ77" s="103">
        <f>VLOOKUP($AF77,'US Grid mix, emissions&amp;prices'!$H$113:$I$163,2,FALSE)*AQ$110</f>
        <v>91335.170143571639</v>
      </c>
      <c r="AR77" s="103">
        <f>VLOOKUP($AF77,'US Grid mix, emissions&amp;prices'!$H$113:$I$163,2,FALSE)*AR$110</f>
        <v>91335.170143571639</v>
      </c>
      <c r="AS77" s="103">
        <f>VLOOKUP($AF77,'US Grid mix, emissions&amp;prices'!$H$113:$I$163,2,FALSE)*AS$110</f>
        <v>91335.170143571639</v>
      </c>
      <c r="AT77" s="103">
        <f>VLOOKUP($AF77,'US Grid mix, emissions&amp;prices'!$H$113:$I$163,2,FALSE)*AT$110</f>
        <v>91335.170143571639</v>
      </c>
      <c r="AU77" s="103">
        <f>VLOOKUP($AF77,'US Grid mix, emissions&amp;prices'!$H$113:$I$163,2,FALSE)*AU$110</f>
        <v>91335.170143571639</v>
      </c>
      <c r="AV77" s="103">
        <f>VLOOKUP($AF77,'US Grid mix, emissions&amp;prices'!$H$113:$I$163,2,FALSE)*AV$110</f>
        <v>91335.170143571639</v>
      </c>
      <c r="AW77" s="103">
        <f>VLOOKUP($AF77,'US Grid mix, emissions&amp;prices'!$H$113:$I$163,2,FALSE)*AW$110</f>
        <v>91335.170143571639</v>
      </c>
      <c r="AX77" s="103">
        <f>VLOOKUP($AF77,'US Grid mix, emissions&amp;prices'!$H$113:$I$163,2,FALSE)*AX$110</f>
        <v>91335.170143571639</v>
      </c>
      <c r="AY77" s="103">
        <f>VLOOKUP($AF77,'US Grid mix, emissions&amp;prices'!$H$113:$I$163,2,FALSE)*AY$110</f>
        <v>91335.170143571639</v>
      </c>
      <c r="AZ77" s="103">
        <f>VLOOKUP($AF77,'US Grid mix, emissions&amp;prices'!$H$113:$I$163,2,FALSE)*AZ$110</f>
        <v>91335.170143571639</v>
      </c>
      <c r="BA77" s="103">
        <f>VLOOKUP($AF77,'US Grid mix, emissions&amp;prices'!$H$113:$I$163,2,FALSE)*BA$110</f>
        <v>91335.170143571639</v>
      </c>
      <c r="BB77" s="103">
        <f>VLOOKUP($AF77,'US Grid mix, emissions&amp;prices'!$H$113:$I$163,2,FALSE)*BB$110</f>
        <v>91335.170143571639</v>
      </c>
      <c r="BC77" s="103">
        <f>VLOOKUP($AF77,'US Grid mix, emissions&amp;prices'!$H$113:$I$163,2,FALSE)*BC$110</f>
        <v>91335.170143571639</v>
      </c>
      <c r="BD77" s="103">
        <f>VLOOKUP($AF77,'US Grid mix, emissions&amp;prices'!$H$113:$I$163,2,FALSE)*BD$110</f>
        <v>91335.170143571639</v>
      </c>
      <c r="BE77" s="103">
        <f>VLOOKUP($AF77,'US Grid mix, emissions&amp;prices'!$H$113:$I$163,2,FALSE)*BE$110</f>
        <v>91335.170143571639</v>
      </c>
      <c r="BF77" s="103">
        <f>VLOOKUP($AF77,'US Grid mix, emissions&amp;prices'!$H$113:$I$163,2,FALSE)*BF$110</f>
        <v>91335.170143571639</v>
      </c>
      <c r="BG77" s="103">
        <f>VLOOKUP($AF77,'US Grid mix, emissions&amp;prices'!$H$113:$I$163,2,FALSE)*BG$110</f>
        <v>91335.170143571639</v>
      </c>
      <c r="BH77" s="103">
        <f>VLOOKUP($AF77,'US Grid mix, emissions&amp;prices'!$H$113:$I$163,2,FALSE)*BH$110</f>
        <v>91335.170143571639</v>
      </c>
    </row>
    <row r="78" spans="1:60" x14ac:dyDescent="0.25">
      <c r="A78" s="83" t="s">
        <v>202</v>
      </c>
      <c r="B78" s="103">
        <f>VLOOKUP($A78,'US Grid mix, emissions&amp;prices'!$H$113:$I$163,2,FALSE)*B$110</f>
        <v>120618.73432695493</v>
      </c>
      <c r="C78" s="103">
        <f>VLOOKUP($A78,'US Grid mix, emissions&amp;prices'!$H$113:$I$163,2,FALSE)*C$110</f>
        <v>120618.73432695493</v>
      </c>
      <c r="D78" s="103">
        <f>VLOOKUP($A78,'US Grid mix, emissions&amp;prices'!$H$113:$I$163,2,FALSE)*D$110</f>
        <v>120618.73432695493</v>
      </c>
      <c r="E78" s="103">
        <f>VLOOKUP($A78,'US Grid mix, emissions&amp;prices'!$H$113:$I$163,2,FALSE)*E$110</f>
        <v>120618.73432695493</v>
      </c>
      <c r="F78" s="103">
        <f>VLOOKUP($A78,'US Grid mix, emissions&amp;prices'!$H$113:$I$163,2,FALSE)*F$110</f>
        <v>120618.73432695493</v>
      </c>
      <c r="G78" s="103">
        <f>VLOOKUP($A78,'US Grid mix, emissions&amp;prices'!$H$113:$I$163,2,FALSE)*G$110</f>
        <v>120618.73432695493</v>
      </c>
      <c r="H78" s="103">
        <f>VLOOKUP($A78,'US Grid mix, emissions&amp;prices'!$H$113:$I$163,2,FALSE)*H$110</f>
        <v>120618.73432695493</v>
      </c>
      <c r="I78" s="103">
        <f>VLOOKUP($A78,'US Grid mix, emissions&amp;prices'!$H$113:$I$163,2,FALSE)*I$110</f>
        <v>120618.73432695493</v>
      </c>
      <c r="J78" s="103">
        <f>VLOOKUP($A78,'US Grid mix, emissions&amp;prices'!$H$113:$I$163,2,FALSE)*J$110</f>
        <v>120618.73432695493</v>
      </c>
      <c r="K78" s="103">
        <f>VLOOKUP($A78,'US Grid mix, emissions&amp;prices'!$H$113:$I$163,2,FALSE)*K$110</f>
        <v>120618.73432695493</v>
      </c>
      <c r="L78" s="103">
        <f>VLOOKUP($A78,'US Grid mix, emissions&amp;prices'!$H$113:$I$163,2,FALSE)*L$110</f>
        <v>120618.73432695493</v>
      </c>
      <c r="M78" s="103">
        <f>VLOOKUP($A78,'US Grid mix, emissions&amp;prices'!$H$113:$I$163,2,FALSE)*M$110</f>
        <v>120618.73432695493</v>
      </c>
      <c r="N78" s="103">
        <f>VLOOKUP($A78,'US Grid mix, emissions&amp;prices'!$H$113:$I$163,2,FALSE)*N$110</f>
        <v>120618.73432695493</v>
      </c>
      <c r="O78" s="103">
        <f>VLOOKUP($A78,'US Grid mix, emissions&amp;prices'!$H$113:$I$163,2,FALSE)*O$110</f>
        <v>120618.73432695493</v>
      </c>
      <c r="P78" s="103">
        <f>VLOOKUP($A78,'US Grid mix, emissions&amp;prices'!$H$113:$I$163,2,FALSE)*P$110</f>
        <v>120618.73432695493</v>
      </c>
      <c r="Q78" s="103">
        <f>VLOOKUP($A78,'US Grid mix, emissions&amp;prices'!$H$113:$I$163,2,FALSE)*Q$110</f>
        <v>120618.73432695493</v>
      </c>
      <c r="R78" s="103">
        <f>VLOOKUP($A78,'US Grid mix, emissions&amp;prices'!$H$113:$I$163,2,FALSE)*R$110</f>
        <v>120618.73432695493</v>
      </c>
      <c r="S78" s="103">
        <f>VLOOKUP($A78,'US Grid mix, emissions&amp;prices'!$H$113:$I$163,2,FALSE)*S$110</f>
        <v>120618.73432695493</v>
      </c>
      <c r="T78" s="103">
        <f>VLOOKUP($A78,'US Grid mix, emissions&amp;prices'!$H$113:$I$163,2,FALSE)*T$110</f>
        <v>120618.73432695493</v>
      </c>
      <c r="U78" s="103">
        <f>VLOOKUP($A78,'US Grid mix, emissions&amp;prices'!$H$113:$I$163,2,FALSE)*U$110</f>
        <v>120618.73432695493</v>
      </c>
      <c r="V78" s="103">
        <f>VLOOKUP($A78,'US Grid mix, emissions&amp;prices'!$H$113:$I$163,2,FALSE)*V$110</f>
        <v>120618.73432695493</v>
      </c>
      <c r="W78" s="103">
        <f>VLOOKUP($A78,'US Grid mix, emissions&amp;prices'!$H$113:$I$163,2,FALSE)*W$110</f>
        <v>120618.73432695493</v>
      </c>
      <c r="X78" s="103">
        <f>VLOOKUP($A78,'US Grid mix, emissions&amp;prices'!$H$113:$I$163,2,FALSE)*X$110</f>
        <v>120618.73432695493</v>
      </c>
      <c r="Y78" s="103">
        <f>VLOOKUP($A78,'US Grid mix, emissions&amp;prices'!$H$113:$I$163,2,FALSE)*Y$110</f>
        <v>120618.73432695493</v>
      </c>
      <c r="Z78" s="103">
        <f>VLOOKUP($A78,'US Grid mix, emissions&amp;prices'!$H$113:$I$163,2,FALSE)*Z$110</f>
        <v>120618.73432695493</v>
      </c>
      <c r="AA78" s="103">
        <f>VLOOKUP($A78,'US Grid mix, emissions&amp;prices'!$H$113:$I$163,2,FALSE)*AA$110</f>
        <v>120618.73432695493</v>
      </c>
      <c r="AB78" s="103">
        <f>VLOOKUP($A78,'US Grid mix, emissions&amp;prices'!$H$113:$I$163,2,FALSE)*AB$110</f>
        <v>120618.73432695493</v>
      </c>
      <c r="AC78" s="103">
        <f>VLOOKUP($A78,'US Grid mix, emissions&amp;prices'!$H$113:$I$163,2,FALSE)*AC$110</f>
        <v>120618.73432695493</v>
      </c>
      <c r="AF78" s="83" t="s">
        <v>202</v>
      </c>
      <c r="AG78" s="103">
        <f>VLOOKUP($AF78,'US Grid mix, emissions&amp;prices'!$H$113:$I$163,2,FALSE)*AG$110</f>
        <v>139729.61610191042</v>
      </c>
      <c r="AH78" s="103">
        <f>VLOOKUP($AF78,'US Grid mix, emissions&amp;prices'!$H$113:$I$163,2,FALSE)*AH$110</f>
        <v>139729.61610191042</v>
      </c>
      <c r="AI78" s="103">
        <f>VLOOKUP($AF78,'US Grid mix, emissions&amp;prices'!$H$113:$I$163,2,FALSE)*AI$110</f>
        <v>139729.61610191042</v>
      </c>
      <c r="AJ78" s="103">
        <f>VLOOKUP($AF78,'US Grid mix, emissions&amp;prices'!$H$113:$I$163,2,FALSE)*AJ$110</f>
        <v>139729.61610191042</v>
      </c>
      <c r="AK78" s="103">
        <f>VLOOKUP($AF78,'US Grid mix, emissions&amp;prices'!$H$113:$I$163,2,FALSE)*AK$110</f>
        <v>139729.61610191042</v>
      </c>
      <c r="AL78" s="103">
        <f>VLOOKUP($AF78,'US Grid mix, emissions&amp;prices'!$H$113:$I$163,2,FALSE)*AL$110</f>
        <v>139729.61610191042</v>
      </c>
      <c r="AM78" s="103">
        <f>VLOOKUP($AF78,'US Grid mix, emissions&amp;prices'!$H$113:$I$163,2,FALSE)*AM$110</f>
        <v>139729.61610191042</v>
      </c>
      <c r="AN78" s="103">
        <f>VLOOKUP($AF78,'US Grid mix, emissions&amp;prices'!$H$113:$I$163,2,FALSE)*AN$110</f>
        <v>139729.61610191042</v>
      </c>
      <c r="AO78" s="103">
        <f>VLOOKUP($AF78,'US Grid mix, emissions&amp;prices'!$H$113:$I$163,2,FALSE)*AO$110</f>
        <v>139729.61610191042</v>
      </c>
      <c r="AP78" s="103">
        <f>VLOOKUP($AF78,'US Grid mix, emissions&amp;prices'!$H$113:$I$163,2,FALSE)*AP$110</f>
        <v>139729.61610191042</v>
      </c>
      <c r="AQ78" s="103">
        <f>VLOOKUP($AF78,'US Grid mix, emissions&amp;prices'!$H$113:$I$163,2,FALSE)*AQ$110</f>
        <v>139729.61610191042</v>
      </c>
      <c r="AR78" s="103">
        <f>VLOOKUP($AF78,'US Grid mix, emissions&amp;prices'!$H$113:$I$163,2,FALSE)*AR$110</f>
        <v>139729.61610191042</v>
      </c>
      <c r="AS78" s="103">
        <f>VLOOKUP($AF78,'US Grid mix, emissions&amp;prices'!$H$113:$I$163,2,FALSE)*AS$110</f>
        <v>139729.61610191042</v>
      </c>
      <c r="AT78" s="103">
        <f>VLOOKUP($AF78,'US Grid mix, emissions&amp;prices'!$H$113:$I$163,2,FALSE)*AT$110</f>
        <v>139729.61610191042</v>
      </c>
      <c r="AU78" s="103">
        <f>VLOOKUP($AF78,'US Grid mix, emissions&amp;prices'!$H$113:$I$163,2,FALSE)*AU$110</f>
        <v>139729.61610191042</v>
      </c>
      <c r="AV78" s="103">
        <f>VLOOKUP($AF78,'US Grid mix, emissions&amp;prices'!$H$113:$I$163,2,FALSE)*AV$110</f>
        <v>139729.61610191042</v>
      </c>
      <c r="AW78" s="103">
        <f>VLOOKUP($AF78,'US Grid mix, emissions&amp;prices'!$H$113:$I$163,2,FALSE)*AW$110</f>
        <v>139729.61610191042</v>
      </c>
      <c r="AX78" s="103">
        <f>VLOOKUP($AF78,'US Grid mix, emissions&amp;prices'!$H$113:$I$163,2,FALSE)*AX$110</f>
        <v>139729.61610191042</v>
      </c>
      <c r="AY78" s="103">
        <f>VLOOKUP($AF78,'US Grid mix, emissions&amp;prices'!$H$113:$I$163,2,FALSE)*AY$110</f>
        <v>139729.61610191042</v>
      </c>
      <c r="AZ78" s="103">
        <f>VLOOKUP($AF78,'US Grid mix, emissions&amp;prices'!$H$113:$I$163,2,FALSE)*AZ$110</f>
        <v>139729.61610191042</v>
      </c>
      <c r="BA78" s="103">
        <f>VLOOKUP($AF78,'US Grid mix, emissions&amp;prices'!$H$113:$I$163,2,FALSE)*BA$110</f>
        <v>139729.61610191042</v>
      </c>
      <c r="BB78" s="103">
        <f>VLOOKUP($AF78,'US Grid mix, emissions&amp;prices'!$H$113:$I$163,2,FALSE)*BB$110</f>
        <v>139729.61610191042</v>
      </c>
      <c r="BC78" s="103">
        <f>VLOOKUP($AF78,'US Grid mix, emissions&amp;prices'!$H$113:$I$163,2,FALSE)*BC$110</f>
        <v>139729.61610191042</v>
      </c>
      <c r="BD78" s="103">
        <f>VLOOKUP($AF78,'US Grid mix, emissions&amp;prices'!$H$113:$I$163,2,FALSE)*BD$110</f>
        <v>139729.61610191042</v>
      </c>
      <c r="BE78" s="103">
        <f>VLOOKUP($AF78,'US Grid mix, emissions&amp;prices'!$H$113:$I$163,2,FALSE)*BE$110</f>
        <v>139729.61610191042</v>
      </c>
      <c r="BF78" s="103">
        <f>VLOOKUP($AF78,'US Grid mix, emissions&amp;prices'!$H$113:$I$163,2,FALSE)*BF$110</f>
        <v>139729.61610191042</v>
      </c>
      <c r="BG78" s="103">
        <f>VLOOKUP($AF78,'US Grid mix, emissions&amp;prices'!$H$113:$I$163,2,FALSE)*BG$110</f>
        <v>139729.61610191042</v>
      </c>
      <c r="BH78" s="103">
        <f>VLOOKUP($AF78,'US Grid mix, emissions&amp;prices'!$H$113:$I$163,2,FALSE)*BH$110</f>
        <v>139729.61610191042</v>
      </c>
    </row>
    <row r="79" spans="1:60" x14ac:dyDescent="0.25">
      <c r="A79" s="83" t="s">
        <v>201</v>
      </c>
      <c r="B79" s="103">
        <f>VLOOKUP($A79,'US Grid mix, emissions&amp;prices'!$H$113:$I$163,2,FALSE)*B$110</f>
        <v>181671.25009055107</v>
      </c>
      <c r="C79" s="103">
        <f>VLOOKUP($A79,'US Grid mix, emissions&amp;prices'!$H$113:$I$163,2,FALSE)*C$110</f>
        <v>181671.25009055107</v>
      </c>
      <c r="D79" s="103">
        <f>VLOOKUP($A79,'US Grid mix, emissions&amp;prices'!$H$113:$I$163,2,FALSE)*D$110</f>
        <v>181671.25009055107</v>
      </c>
      <c r="E79" s="103">
        <f>VLOOKUP($A79,'US Grid mix, emissions&amp;prices'!$H$113:$I$163,2,FALSE)*E$110</f>
        <v>181671.25009055107</v>
      </c>
      <c r="F79" s="103">
        <f>VLOOKUP($A79,'US Grid mix, emissions&amp;prices'!$H$113:$I$163,2,FALSE)*F$110</f>
        <v>181671.25009055107</v>
      </c>
      <c r="G79" s="103">
        <f>VLOOKUP($A79,'US Grid mix, emissions&amp;prices'!$H$113:$I$163,2,FALSE)*G$110</f>
        <v>181671.25009055107</v>
      </c>
      <c r="H79" s="103">
        <f>VLOOKUP($A79,'US Grid mix, emissions&amp;prices'!$H$113:$I$163,2,FALSE)*H$110</f>
        <v>181671.25009055107</v>
      </c>
      <c r="I79" s="103">
        <f>VLOOKUP($A79,'US Grid mix, emissions&amp;prices'!$H$113:$I$163,2,FALSE)*I$110</f>
        <v>181671.25009055107</v>
      </c>
      <c r="J79" s="103">
        <f>VLOOKUP($A79,'US Grid mix, emissions&amp;prices'!$H$113:$I$163,2,FALSE)*J$110</f>
        <v>181671.25009055107</v>
      </c>
      <c r="K79" s="103">
        <f>VLOOKUP($A79,'US Grid mix, emissions&amp;prices'!$H$113:$I$163,2,FALSE)*K$110</f>
        <v>181671.25009055107</v>
      </c>
      <c r="L79" s="103">
        <f>VLOOKUP($A79,'US Grid mix, emissions&amp;prices'!$H$113:$I$163,2,FALSE)*L$110</f>
        <v>181671.25009055107</v>
      </c>
      <c r="M79" s="103">
        <f>VLOOKUP($A79,'US Grid mix, emissions&amp;prices'!$H$113:$I$163,2,FALSE)*M$110</f>
        <v>181671.25009055107</v>
      </c>
      <c r="N79" s="103">
        <f>VLOOKUP($A79,'US Grid mix, emissions&amp;prices'!$H$113:$I$163,2,FALSE)*N$110</f>
        <v>181671.25009055107</v>
      </c>
      <c r="O79" s="103">
        <f>VLOOKUP($A79,'US Grid mix, emissions&amp;prices'!$H$113:$I$163,2,FALSE)*O$110</f>
        <v>181671.25009055107</v>
      </c>
      <c r="P79" s="103">
        <f>VLOOKUP($A79,'US Grid mix, emissions&amp;prices'!$H$113:$I$163,2,FALSE)*P$110</f>
        <v>181671.25009055107</v>
      </c>
      <c r="Q79" s="103">
        <f>VLOOKUP($A79,'US Grid mix, emissions&amp;prices'!$H$113:$I$163,2,FALSE)*Q$110</f>
        <v>181671.25009055107</v>
      </c>
      <c r="R79" s="103">
        <f>VLOOKUP($A79,'US Grid mix, emissions&amp;prices'!$H$113:$I$163,2,FALSE)*R$110</f>
        <v>181671.25009055107</v>
      </c>
      <c r="S79" s="103">
        <f>VLOOKUP($A79,'US Grid mix, emissions&amp;prices'!$H$113:$I$163,2,FALSE)*S$110</f>
        <v>181671.25009055107</v>
      </c>
      <c r="T79" s="103">
        <f>VLOOKUP($A79,'US Grid mix, emissions&amp;prices'!$H$113:$I$163,2,FALSE)*T$110</f>
        <v>181671.25009055107</v>
      </c>
      <c r="U79" s="103">
        <f>VLOOKUP($A79,'US Grid mix, emissions&amp;prices'!$H$113:$I$163,2,FALSE)*U$110</f>
        <v>181671.25009055107</v>
      </c>
      <c r="V79" s="103">
        <f>VLOOKUP($A79,'US Grid mix, emissions&amp;prices'!$H$113:$I$163,2,FALSE)*V$110</f>
        <v>181671.25009055107</v>
      </c>
      <c r="W79" s="103">
        <f>VLOOKUP($A79,'US Grid mix, emissions&amp;prices'!$H$113:$I$163,2,FALSE)*W$110</f>
        <v>181671.25009055107</v>
      </c>
      <c r="X79" s="103">
        <f>VLOOKUP($A79,'US Grid mix, emissions&amp;prices'!$H$113:$I$163,2,FALSE)*X$110</f>
        <v>181671.25009055107</v>
      </c>
      <c r="Y79" s="103">
        <f>VLOOKUP($A79,'US Grid mix, emissions&amp;prices'!$H$113:$I$163,2,FALSE)*Y$110</f>
        <v>181671.25009055107</v>
      </c>
      <c r="Z79" s="103">
        <f>VLOOKUP($A79,'US Grid mix, emissions&amp;prices'!$H$113:$I$163,2,FALSE)*Z$110</f>
        <v>181671.25009055107</v>
      </c>
      <c r="AA79" s="103">
        <f>VLOOKUP($A79,'US Grid mix, emissions&amp;prices'!$H$113:$I$163,2,FALSE)*AA$110</f>
        <v>181671.25009055107</v>
      </c>
      <c r="AB79" s="103">
        <f>VLOOKUP($A79,'US Grid mix, emissions&amp;prices'!$H$113:$I$163,2,FALSE)*AB$110</f>
        <v>181671.25009055107</v>
      </c>
      <c r="AC79" s="103">
        <f>VLOOKUP($A79,'US Grid mix, emissions&amp;prices'!$H$113:$I$163,2,FALSE)*AC$110</f>
        <v>181671.25009055107</v>
      </c>
      <c r="AF79" s="83" t="s">
        <v>201</v>
      </c>
      <c r="AG79" s="103">
        <f>VLOOKUP($AF79,'US Grid mix, emissions&amp;prices'!$H$113:$I$163,2,FALSE)*AG$110</f>
        <v>210455.31752221391</v>
      </c>
      <c r="AH79" s="103">
        <f>VLOOKUP($AF79,'US Grid mix, emissions&amp;prices'!$H$113:$I$163,2,FALSE)*AH$110</f>
        <v>210455.31752221391</v>
      </c>
      <c r="AI79" s="103">
        <f>VLOOKUP($AF79,'US Grid mix, emissions&amp;prices'!$H$113:$I$163,2,FALSE)*AI$110</f>
        <v>210455.31752221391</v>
      </c>
      <c r="AJ79" s="103">
        <f>VLOOKUP($AF79,'US Grid mix, emissions&amp;prices'!$H$113:$I$163,2,FALSE)*AJ$110</f>
        <v>210455.31752221391</v>
      </c>
      <c r="AK79" s="103">
        <f>VLOOKUP($AF79,'US Grid mix, emissions&amp;prices'!$H$113:$I$163,2,FALSE)*AK$110</f>
        <v>210455.31752221391</v>
      </c>
      <c r="AL79" s="103">
        <f>VLOOKUP($AF79,'US Grid mix, emissions&amp;prices'!$H$113:$I$163,2,FALSE)*AL$110</f>
        <v>210455.31752221391</v>
      </c>
      <c r="AM79" s="103">
        <f>VLOOKUP($AF79,'US Grid mix, emissions&amp;prices'!$H$113:$I$163,2,FALSE)*AM$110</f>
        <v>210455.31752221391</v>
      </c>
      <c r="AN79" s="103">
        <f>VLOOKUP($AF79,'US Grid mix, emissions&amp;prices'!$H$113:$I$163,2,FALSE)*AN$110</f>
        <v>210455.31752221391</v>
      </c>
      <c r="AO79" s="103">
        <f>VLOOKUP($AF79,'US Grid mix, emissions&amp;prices'!$H$113:$I$163,2,FALSE)*AO$110</f>
        <v>210455.31752221391</v>
      </c>
      <c r="AP79" s="103">
        <f>VLOOKUP($AF79,'US Grid mix, emissions&amp;prices'!$H$113:$I$163,2,FALSE)*AP$110</f>
        <v>210455.31752221391</v>
      </c>
      <c r="AQ79" s="103">
        <f>VLOOKUP($AF79,'US Grid mix, emissions&amp;prices'!$H$113:$I$163,2,FALSE)*AQ$110</f>
        <v>210455.31752221391</v>
      </c>
      <c r="AR79" s="103">
        <f>VLOOKUP($AF79,'US Grid mix, emissions&amp;prices'!$H$113:$I$163,2,FALSE)*AR$110</f>
        <v>210455.31752221391</v>
      </c>
      <c r="AS79" s="103">
        <f>VLOOKUP($AF79,'US Grid mix, emissions&amp;prices'!$H$113:$I$163,2,FALSE)*AS$110</f>
        <v>210455.31752221391</v>
      </c>
      <c r="AT79" s="103">
        <f>VLOOKUP($AF79,'US Grid mix, emissions&amp;prices'!$H$113:$I$163,2,FALSE)*AT$110</f>
        <v>210455.31752221391</v>
      </c>
      <c r="AU79" s="103">
        <f>VLOOKUP($AF79,'US Grid mix, emissions&amp;prices'!$H$113:$I$163,2,FALSE)*AU$110</f>
        <v>210455.31752221391</v>
      </c>
      <c r="AV79" s="103">
        <f>VLOOKUP($AF79,'US Grid mix, emissions&amp;prices'!$H$113:$I$163,2,FALSE)*AV$110</f>
        <v>210455.31752221391</v>
      </c>
      <c r="AW79" s="103">
        <f>VLOOKUP($AF79,'US Grid mix, emissions&amp;prices'!$H$113:$I$163,2,FALSE)*AW$110</f>
        <v>210455.31752221391</v>
      </c>
      <c r="AX79" s="103">
        <f>VLOOKUP($AF79,'US Grid mix, emissions&amp;prices'!$H$113:$I$163,2,FALSE)*AX$110</f>
        <v>210455.31752221391</v>
      </c>
      <c r="AY79" s="103">
        <f>VLOOKUP($AF79,'US Grid mix, emissions&amp;prices'!$H$113:$I$163,2,FALSE)*AY$110</f>
        <v>210455.31752221391</v>
      </c>
      <c r="AZ79" s="103">
        <f>VLOOKUP($AF79,'US Grid mix, emissions&amp;prices'!$H$113:$I$163,2,FALSE)*AZ$110</f>
        <v>210455.31752221391</v>
      </c>
      <c r="BA79" s="103">
        <f>VLOOKUP($AF79,'US Grid mix, emissions&amp;prices'!$H$113:$I$163,2,FALSE)*BA$110</f>
        <v>210455.31752221391</v>
      </c>
      <c r="BB79" s="103">
        <f>VLOOKUP($AF79,'US Grid mix, emissions&amp;prices'!$H$113:$I$163,2,FALSE)*BB$110</f>
        <v>210455.31752221391</v>
      </c>
      <c r="BC79" s="103">
        <f>VLOOKUP($AF79,'US Grid mix, emissions&amp;prices'!$H$113:$I$163,2,FALSE)*BC$110</f>
        <v>210455.31752221391</v>
      </c>
      <c r="BD79" s="103">
        <f>VLOOKUP($AF79,'US Grid mix, emissions&amp;prices'!$H$113:$I$163,2,FALSE)*BD$110</f>
        <v>210455.31752221391</v>
      </c>
      <c r="BE79" s="103">
        <f>VLOOKUP($AF79,'US Grid mix, emissions&amp;prices'!$H$113:$I$163,2,FALSE)*BE$110</f>
        <v>210455.31752221391</v>
      </c>
      <c r="BF79" s="103">
        <f>VLOOKUP($AF79,'US Grid mix, emissions&amp;prices'!$H$113:$I$163,2,FALSE)*BF$110</f>
        <v>210455.31752221391</v>
      </c>
      <c r="BG79" s="103">
        <f>VLOOKUP($AF79,'US Grid mix, emissions&amp;prices'!$H$113:$I$163,2,FALSE)*BG$110</f>
        <v>210455.31752221391</v>
      </c>
      <c r="BH79" s="103">
        <f>VLOOKUP($AF79,'US Grid mix, emissions&amp;prices'!$H$113:$I$163,2,FALSE)*BH$110</f>
        <v>210455.31752221391</v>
      </c>
    </row>
    <row r="80" spans="1:60" x14ac:dyDescent="0.25">
      <c r="A80" s="83" t="s">
        <v>204</v>
      </c>
      <c r="B80" s="103">
        <f>VLOOKUP($A80,'US Grid mix, emissions&amp;prices'!$H$113:$I$163,2,FALSE)*B$110</f>
        <v>202715.30811260702</v>
      </c>
      <c r="C80" s="103">
        <f>VLOOKUP($A80,'US Grid mix, emissions&amp;prices'!$H$113:$I$163,2,FALSE)*C$110</f>
        <v>202715.30811260702</v>
      </c>
      <c r="D80" s="103">
        <f>VLOOKUP($A80,'US Grid mix, emissions&amp;prices'!$H$113:$I$163,2,FALSE)*D$110</f>
        <v>202715.30811260702</v>
      </c>
      <c r="E80" s="103">
        <f>VLOOKUP($A80,'US Grid mix, emissions&amp;prices'!$H$113:$I$163,2,FALSE)*E$110</f>
        <v>202715.30811260702</v>
      </c>
      <c r="F80" s="103">
        <f>VLOOKUP($A80,'US Grid mix, emissions&amp;prices'!$H$113:$I$163,2,FALSE)*F$110</f>
        <v>202715.30811260702</v>
      </c>
      <c r="G80" s="103">
        <f>VLOOKUP($A80,'US Grid mix, emissions&amp;prices'!$H$113:$I$163,2,FALSE)*G$110</f>
        <v>202715.30811260702</v>
      </c>
      <c r="H80" s="103">
        <f>VLOOKUP($A80,'US Grid mix, emissions&amp;prices'!$H$113:$I$163,2,FALSE)*H$110</f>
        <v>202715.30811260702</v>
      </c>
      <c r="I80" s="103">
        <f>VLOOKUP($A80,'US Grid mix, emissions&amp;prices'!$H$113:$I$163,2,FALSE)*I$110</f>
        <v>202715.30811260702</v>
      </c>
      <c r="J80" s="103">
        <f>VLOOKUP($A80,'US Grid mix, emissions&amp;prices'!$H$113:$I$163,2,FALSE)*J$110</f>
        <v>202715.30811260702</v>
      </c>
      <c r="K80" s="103">
        <f>VLOOKUP($A80,'US Grid mix, emissions&amp;prices'!$H$113:$I$163,2,FALSE)*K$110</f>
        <v>202715.30811260702</v>
      </c>
      <c r="L80" s="103">
        <f>VLOOKUP($A80,'US Grid mix, emissions&amp;prices'!$H$113:$I$163,2,FALSE)*L$110</f>
        <v>202715.30811260702</v>
      </c>
      <c r="M80" s="103">
        <f>VLOOKUP($A80,'US Grid mix, emissions&amp;prices'!$H$113:$I$163,2,FALSE)*M$110</f>
        <v>202715.30811260702</v>
      </c>
      <c r="N80" s="103">
        <f>VLOOKUP($A80,'US Grid mix, emissions&amp;prices'!$H$113:$I$163,2,FALSE)*N$110</f>
        <v>202715.30811260702</v>
      </c>
      <c r="O80" s="103">
        <f>VLOOKUP($A80,'US Grid mix, emissions&amp;prices'!$H$113:$I$163,2,FALSE)*O$110</f>
        <v>202715.30811260702</v>
      </c>
      <c r="P80" s="103">
        <f>VLOOKUP($A80,'US Grid mix, emissions&amp;prices'!$H$113:$I$163,2,FALSE)*P$110</f>
        <v>202715.30811260702</v>
      </c>
      <c r="Q80" s="103">
        <f>VLOOKUP($A80,'US Grid mix, emissions&amp;prices'!$H$113:$I$163,2,FALSE)*Q$110</f>
        <v>202715.30811260702</v>
      </c>
      <c r="R80" s="103">
        <f>VLOOKUP($A80,'US Grid mix, emissions&amp;prices'!$H$113:$I$163,2,FALSE)*R$110</f>
        <v>202715.30811260702</v>
      </c>
      <c r="S80" s="103">
        <f>VLOOKUP($A80,'US Grid mix, emissions&amp;prices'!$H$113:$I$163,2,FALSE)*S$110</f>
        <v>202715.30811260702</v>
      </c>
      <c r="T80" s="103">
        <f>VLOOKUP($A80,'US Grid mix, emissions&amp;prices'!$H$113:$I$163,2,FALSE)*T$110</f>
        <v>202715.30811260702</v>
      </c>
      <c r="U80" s="103">
        <f>VLOOKUP($A80,'US Grid mix, emissions&amp;prices'!$H$113:$I$163,2,FALSE)*U$110</f>
        <v>202715.30811260702</v>
      </c>
      <c r="V80" s="103">
        <f>VLOOKUP($A80,'US Grid mix, emissions&amp;prices'!$H$113:$I$163,2,FALSE)*V$110</f>
        <v>202715.30811260702</v>
      </c>
      <c r="W80" s="103">
        <f>VLOOKUP($A80,'US Grid mix, emissions&amp;prices'!$H$113:$I$163,2,FALSE)*W$110</f>
        <v>202715.30811260702</v>
      </c>
      <c r="X80" s="103">
        <f>VLOOKUP($A80,'US Grid mix, emissions&amp;prices'!$H$113:$I$163,2,FALSE)*X$110</f>
        <v>202715.30811260702</v>
      </c>
      <c r="Y80" s="103">
        <f>VLOOKUP($A80,'US Grid mix, emissions&amp;prices'!$H$113:$I$163,2,FALSE)*Y$110</f>
        <v>202715.30811260702</v>
      </c>
      <c r="Z80" s="103">
        <f>VLOOKUP($A80,'US Grid mix, emissions&amp;prices'!$H$113:$I$163,2,FALSE)*Z$110</f>
        <v>202715.30811260702</v>
      </c>
      <c r="AA80" s="103">
        <f>VLOOKUP($A80,'US Grid mix, emissions&amp;prices'!$H$113:$I$163,2,FALSE)*AA$110</f>
        <v>202715.30811260702</v>
      </c>
      <c r="AB80" s="103">
        <f>VLOOKUP($A80,'US Grid mix, emissions&amp;prices'!$H$113:$I$163,2,FALSE)*AB$110</f>
        <v>202715.30811260702</v>
      </c>
      <c r="AC80" s="103">
        <f>VLOOKUP($A80,'US Grid mix, emissions&amp;prices'!$H$113:$I$163,2,FALSE)*AC$110</f>
        <v>202715.30811260702</v>
      </c>
      <c r="AF80" s="83" t="s">
        <v>204</v>
      </c>
      <c r="AG80" s="103">
        <f>VLOOKUP($AF80,'US Grid mix, emissions&amp;prices'!$H$113:$I$163,2,FALSE)*AG$110</f>
        <v>234833.6047348587</v>
      </c>
      <c r="AH80" s="103">
        <f>VLOOKUP($AF80,'US Grid mix, emissions&amp;prices'!$H$113:$I$163,2,FALSE)*AH$110</f>
        <v>234833.6047348587</v>
      </c>
      <c r="AI80" s="103">
        <f>VLOOKUP($AF80,'US Grid mix, emissions&amp;prices'!$H$113:$I$163,2,FALSE)*AI$110</f>
        <v>234833.6047348587</v>
      </c>
      <c r="AJ80" s="103">
        <f>VLOOKUP($AF80,'US Grid mix, emissions&amp;prices'!$H$113:$I$163,2,FALSE)*AJ$110</f>
        <v>234833.6047348587</v>
      </c>
      <c r="AK80" s="103">
        <f>VLOOKUP($AF80,'US Grid mix, emissions&amp;prices'!$H$113:$I$163,2,FALSE)*AK$110</f>
        <v>234833.6047348587</v>
      </c>
      <c r="AL80" s="103">
        <f>VLOOKUP($AF80,'US Grid mix, emissions&amp;prices'!$H$113:$I$163,2,FALSE)*AL$110</f>
        <v>234833.6047348587</v>
      </c>
      <c r="AM80" s="103">
        <f>VLOOKUP($AF80,'US Grid mix, emissions&amp;prices'!$H$113:$I$163,2,FALSE)*AM$110</f>
        <v>234833.6047348587</v>
      </c>
      <c r="AN80" s="103">
        <f>VLOOKUP($AF80,'US Grid mix, emissions&amp;prices'!$H$113:$I$163,2,FALSE)*AN$110</f>
        <v>234833.6047348587</v>
      </c>
      <c r="AO80" s="103">
        <f>VLOOKUP($AF80,'US Grid mix, emissions&amp;prices'!$H$113:$I$163,2,FALSE)*AO$110</f>
        <v>234833.6047348587</v>
      </c>
      <c r="AP80" s="103">
        <f>VLOOKUP($AF80,'US Grid mix, emissions&amp;prices'!$H$113:$I$163,2,FALSE)*AP$110</f>
        <v>234833.6047348587</v>
      </c>
      <c r="AQ80" s="103">
        <f>VLOOKUP($AF80,'US Grid mix, emissions&amp;prices'!$H$113:$I$163,2,FALSE)*AQ$110</f>
        <v>234833.6047348587</v>
      </c>
      <c r="AR80" s="103">
        <f>VLOOKUP($AF80,'US Grid mix, emissions&amp;prices'!$H$113:$I$163,2,FALSE)*AR$110</f>
        <v>234833.6047348587</v>
      </c>
      <c r="AS80" s="103">
        <f>VLOOKUP($AF80,'US Grid mix, emissions&amp;prices'!$H$113:$I$163,2,FALSE)*AS$110</f>
        <v>234833.6047348587</v>
      </c>
      <c r="AT80" s="103">
        <f>VLOOKUP($AF80,'US Grid mix, emissions&amp;prices'!$H$113:$I$163,2,FALSE)*AT$110</f>
        <v>234833.6047348587</v>
      </c>
      <c r="AU80" s="103">
        <f>VLOOKUP($AF80,'US Grid mix, emissions&amp;prices'!$H$113:$I$163,2,FALSE)*AU$110</f>
        <v>234833.6047348587</v>
      </c>
      <c r="AV80" s="103">
        <f>VLOOKUP($AF80,'US Grid mix, emissions&amp;prices'!$H$113:$I$163,2,FALSE)*AV$110</f>
        <v>234833.6047348587</v>
      </c>
      <c r="AW80" s="103">
        <f>VLOOKUP($AF80,'US Grid mix, emissions&amp;prices'!$H$113:$I$163,2,FALSE)*AW$110</f>
        <v>234833.6047348587</v>
      </c>
      <c r="AX80" s="103">
        <f>VLOOKUP($AF80,'US Grid mix, emissions&amp;prices'!$H$113:$I$163,2,FALSE)*AX$110</f>
        <v>234833.6047348587</v>
      </c>
      <c r="AY80" s="103">
        <f>VLOOKUP($AF80,'US Grid mix, emissions&amp;prices'!$H$113:$I$163,2,FALSE)*AY$110</f>
        <v>234833.6047348587</v>
      </c>
      <c r="AZ80" s="103">
        <f>VLOOKUP($AF80,'US Grid mix, emissions&amp;prices'!$H$113:$I$163,2,FALSE)*AZ$110</f>
        <v>234833.6047348587</v>
      </c>
      <c r="BA80" s="103">
        <f>VLOOKUP($AF80,'US Grid mix, emissions&amp;prices'!$H$113:$I$163,2,FALSE)*BA$110</f>
        <v>234833.6047348587</v>
      </c>
      <c r="BB80" s="103">
        <f>VLOOKUP($AF80,'US Grid mix, emissions&amp;prices'!$H$113:$I$163,2,FALSE)*BB$110</f>
        <v>234833.6047348587</v>
      </c>
      <c r="BC80" s="103">
        <f>VLOOKUP($AF80,'US Grid mix, emissions&amp;prices'!$H$113:$I$163,2,FALSE)*BC$110</f>
        <v>234833.6047348587</v>
      </c>
      <c r="BD80" s="103">
        <f>VLOOKUP($AF80,'US Grid mix, emissions&amp;prices'!$H$113:$I$163,2,FALSE)*BD$110</f>
        <v>234833.6047348587</v>
      </c>
      <c r="BE80" s="103">
        <f>VLOOKUP($AF80,'US Grid mix, emissions&amp;prices'!$H$113:$I$163,2,FALSE)*BE$110</f>
        <v>234833.6047348587</v>
      </c>
      <c r="BF80" s="103">
        <f>VLOOKUP($AF80,'US Grid mix, emissions&amp;prices'!$H$113:$I$163,2,FALSE)*BF$110</f>
        <v>234833.6047348587</v>
      </c>
      <c r="BG80" s="103">
        <f>VLOOKUP($AF80,'US Grid mix, emissions&amp;prices'!$H$113:$I$163,2,FALSE)*BG$110</f>
        <v>234833.6047348587</v>
      </c>
      <c r="BH80" s="103">
        <f>VLOOKUP($AF80,'US Grid mix, emissions&amp;prices'!$H$113:$I$163,2,FALSE)*BH$110</f>
        <v>234833.6047348587</v>
      </c>
    </row>
    <row r="81" spans="1:60" x14ac:dyDescent="0.25">
      <c r="A81" s="83" t="s">
        <v>205</v>
      </c>
      <c r="B81" s="103">
        <f>VLOOKUP($A81,'US Grid mix, emissions&amp;prices'!$H$113:$I$163,2,FALSE)*B$110</f>
        <v>165698.25866015212</v>
      </c>
      <c r="C81" s="103">
        <f>VLOOKUP($A81,'US Grid mix, emissions&amp;prices'!$H$113:$I$163,2,FALSE)*C$110</f>
        <v>165698.25866015212</v>
      </c>
      <c r="D81" s="103">
        <f>VLOOKUP($A81,'US Grid mix, emissions&amp;prices'!$H$113:$I$163,2,FALSE)*D$110</f>
        <v>165698.25866015212</v>
      </c>
      <c r="E81" s="103">
        <f>VLOOKUP($A81,'US Grid mix, emissions&amp;prices'!$H$113:$I$163,2,FALSE)*E$110</f>
        <v>165698.25866015212</v>
      </c>
      <c r="F81" s="103">
        <f>VLOOKUP($A81,'US Grid mix, emissions&amp;prices'!$H$113:$I$163,2,FALSE)*F$110</f>
        <v>165698.25866015212</v>
      </c>
      <c r="G81" s="103">
        <f>VLOOKUP($A81,'US Grid mix, emissions&amp;prices'!$H$113:$I$163,2,FALSE)*G$110</f>
        <v>165698.25866015212</v>
      </c>
      <c r="H81" s="103">
        <f>VLOOKUP($A81,'US Grid mix, emissions&amp;prices'!$H$113:$I$163,2,FALSE)*H$110</f>
        <v>165698.25866015212</v>
      </c>
      <c r="I81" s="103">
        <f>VLOOKUP($A81,'US Grid mix, emissions&amp;prices'!$H$113:$I$163,2,FALSE)*I$110</f>
        <v>165698.25866015212</v>
      </c>
      <c r="J81" s="103">
        <f>VLOOKUP($A81,'US Grid mix, emissions&amp;prices'!$H$113:$I$163,2,FALSE)*J$110</f>
        <v>165698.25866015212</v>
      </c>
      <c r="K81" s="103">
        <f>VLOOKUP($A81,'US Grid mix, emissions&amp;prices'!$H$113:$I$163,2,FALSE)*K$110</f>
        <v>165698.25866015212</v>
      </c>
      <c r="L81" s="103">
        <f>VLOOKUP($A81,'US Grid mix, emissions&amp;prices'!$H$113:$I$163,2,FALSE)*L$110</f>
        <v>165698.25866015212</v>
      </c>
      <c r="M81" s="103">
        <f>VLOOKUP($A81,'US Grid mix, emissions&amp;prices'!$H$113:$I$163,2,FALSE)*M$110</f>
        <v>165698.25866015212</v>
      </c>
      <c r="N81" s="103">
        <f>VLOOKUP($A81,'US Grid mix, emissions&amp;prices'!$H$113:$I$163,2,FALSE)*N$110</f>
        <v>165698.25866015212</v>
      </c>
      <c r="O81" s="103">
        <f>VLOOKUP($A81,'US Grid mix, emissions&amp;prices'!$H$113:$I$163,2,FALSE)*O$110</f>
        <v>165698.25866015212</v>
      </c>
      <c r="P81" s="103">
        <f>VLOOKUP($A81,'US Grid mix, emissions&amp;prices'!$H$113:$I$163,2,FALSE)*P$110</f>
        <v>165698.25866015212</v>
      </c>
      <c r="Q81" s="103">
        <f>VLOOKUP($A81,'US Grid mix, emissions&amp;prices'!$H$113:$I$163,2,FALSE)*Q$110</f>
        <v>165698.25866015212</v>
      </c>
      <c r="R81" s="103">
        <f>VLOOKUP($A81,'US Grid mix, emissions&amp;prices'!$H$113:$I$163,2,FALSE)*R$110</f>
        <v>165698.25866015212</v>
      </c>
      <c r="S81" s="103">
        <f>VLOOKUP($A81,'US Grid mix, emissions&amp;prices'!$H$113:$I$163,2,FALSE)*S$110</f>
        <v>165698.25866015212</v>
      </c>
      <c r="T81" s="103">
        <f>VLOOKUP($A81,'US Grid mix, emissions&amp;prices'!$H$113:$I$163,2,FALSE)*T$110</f>
        <v>165698.25866015212</v>
      </c>
      <c r="U81" s="103">
        <f>VLOOKUP($A81,'US Grid mix, emissions&amp;prices'!$H$113:$I$163,2,FALSE)*U$110</f>
        <v>165698.25866015212</v>
      </c>
      <c r="V81" s="103">
        <f>VLOOKUP($A81,'US Grid mix, emissions&amp;prices'!$H$113:$I$163,2,FALSE)*V$110</f>
        <v>165698.25866015212</v>
      </c>
      <c r="W81" s="103">
        <f>VLOOKUP($A81,'US Grid mix, emissions&amp;prices'!$H$113:$I$163,2,FALSE)*W$110</f>
        <v>165698.25866015212</v>
      </c>
      <c r="X81" s="103">
        <f>VLOOKUP($A81,'US Grid mix, emissions&amp;prices'!$H$113:$I$163,2,FALSE)*X$110</f>
        <v>165698.25866015212</v>
      </c>
      <c r="Y81" s="103">
        <f>VLOOKUP($A81,'US Grid mix, emissions&amp;prices'!$H$113:$I$163,2,FALSE)*Y$110</f>
        <v>165698.25866015212</v>
      </c>
      <c r="Z81" s="103">
        <f>VLOOKUP($A81,'US Grid mix, emissions&amp;prices'!$H$113:$I$163,2,FALSE)*Z$110</f>
        <v>165698.25866015212</v>
      </c>
      <c r="AA81" s="103">
        <f>VLOOKUP($A81,'US Grid mix, emissions&amp;prices'!$H$113:$I$163,2,FALSE)*AA$110</f>
        <v>165698.25866015212</v>
      </c>
      <c r="AB81" s="103">
        <f>VLOOKUP($A81,'US Grid mix, emissions&amp;prices'!$H$113:$I$163,2,FALSE)*AB$110</f>
        <v>165698.25866015212</v>
      </c>
      <c r="AC81" s="103">
        <f>VLOOKUP($A81,'US Grid mix, emissions&amp;prices'!$H$113:$I$163,2,FALSE)*AC$110</f>
        <v>165698.25866015212</v>
      </c>
      <c r="AF81" s="83" t="s">
        <v>205</v>
      </c>
      <c r="AG81" s="103">
        <f>VLOOKUP($AF81,'US Grid mix, emissions&amp;prices'!$H$113:$I$163,2,FALSE)*AG$110</f>
        <v>191951.55877343731</v>
      </c>
      <c r="AH81" s="103">
        <f>VLOOKUP($AF81,'US Grid mix, emissions&amp;prices'!$H$113:$I$163,2,FALSE)*AH$110</f>
        <v>191951.55877343731</v>
      </c>
      <c r="AI81" s="103">
        <f>VLOOKUP($AF81,'US Grid mix, emissions&amp;prices'!$H$113:$I$163,2,FALSE)*AI$110</f>
        <v>191951.55877343731</v>
      </c>
      <c r="AJ81" s="103">
        <f>VLOOKUP($AF81,'US Grid mix, emissions&amp;prices'!$H$113:$I$163,2,FALSE)*AJ$110</f>
        <v>191951.55877343731</v>
      </c>
      <c r="AK81" s="103">
        <f>VLOOKUP($AF81,'US Grid mix, emissions&amp;prices'!$H$113:$I$163,2,FALSE)*AK$110</f>
        <v>191951.55877343731</v>
      </c>
      <c r="AL81" s="103">
        <f>VLOOKUP($AF81,'US Grid mix, emissions&amp;prices'!$H$113:$I$163,2,FALSE)*AL$110</f>
        <v>191951.55877343731</v>
      </c>
      <c r="AM81" s="103">
        <f>VLOOKUP($AF81,'US Grid mix, emissions&amp;prices'!$H$113:$I$163,2,FALSE)*AM$110</f>
        <v>191951.55877343731</v>
      </c>
      <c r="AN81" s="103">
        <f>VLOOKUP($AF81,'US Grid mix, emissions&amp;prices'!$H$113:$I$163,2,FALSE)*AN$110</f>
        <v>191951.55877343731</v>
      </c>
      <c r="AO81" s="103">
        <f>VLOOKUP($AF81,'US Grid mix, emissions&amp;prices'!$H$113:$I$163,2,FALSE)*AO$110</f>
        <v>191951.55877343731</v>
      </c>
      <c r="AP81" s="103">
        <f>VLOOKUP($AF81,'US Grid mix, emissions&amp;prices'!$H$113:$I$163,2,FALSE)*AP$110</f>
        <v>191951.55877343731</v>
      </c>
      <c r="AQ81" s="103">
        <f>VLOOKUP($AF81,'US Grid mix, emissions&amp;prices'!$H$113:$I$163,2,FALSE)*AQ$110</f>
        <v>191951.55877343731</v>
      </c>
      <c r="AR81" s="103">
        <f>VLOOKUP($AF81,'US Grid mix, emissions&amp;prices'!$H$113:$I$163,2,FALSE)*AR$110</f>
        <v>191951.55877343731</v>
      </c>
      <c r="AS81" s="103">
        <f>VLOOKUP($AF81,'US Grid mix, emissions&amp;prices'!$H$113:$I$163,2,FALSE)*AS$110</f>
        <v>191951.55877343731</v>
      </c>
      <c r="AT81" s="103">
        <f>VLOOKUP($AF81,'US Grid mix, emissions&amp;prices'!$H$113:$I$163,2,FALSE)*AT$110</f>
        <v>191951.55877343731</v>
      </c>
      <c r="AU81" s="103">
        <f>VLOOKUP($AF81,'US Grid mix, emissions&amp;prices'!$H$113:$I$163,2,FALSE)*AU$110</f>
        <v>191951.55877343731</v>
      </c>
      <c r="AV81" s="103">
        <f>VLOOKUP($AF81,'US Grid mix, emissions&amp;prices'!$H$113:$I$163,2,FALSE)*AV$110</f>
        <v>191951.55877343731</v>
      </c>
      <c r="AW81" s="103">
        <f>VLOOKUP($AF81,'US Grid mix, emissions&amp;prices'!$H$113:$I$163,2,FALSE)*AW$110</f>
        <v>191951.55877343731</v>
      </c>
      <c r="AX81" s="103">
        <f>VLOOKUP($AF81,'US Grid mix, emissions&amp;prices'!$H$113:$I$163,2,FALSE)*AX$110</f>
        <v>191951.55877343731</v>
      </c>
      <c r="AY81" s="103">
        <f>VLOOKUP($AF81,'US Grid mix, emissions&amp;prices'!$H$113:$I$163,2,FALSE)*AY$110</f>
        <v>191951.55877343731</v>
      </c>
      <c r="AZ81" s="103">
        <f>VLOOKUP($AF81,'US Grid mix, emissions&amp;prices'!$H$113:$I$163,2,FALSE)*AZ$110</f>
        <v>191951.55877343731</v>
      </c>
      <c r="BA81" s="103">
        <f>VLOOKUP($AF81,'US Grid mix, emissions&amp;prices'!$H$113:$I$163,2,FALSE)*BA$110</f>
        <v>191951.55877343731</v>
      </c>
      <c r="BB81" s="103">
        <f>VLOOKUP($AF81,'US Grid mix, emissions&amp;prices'!$H$113:$I$163,2,FALSE)*BB$110</f>
        <v>191951.55877343731</v>
      </c>
      <c r="BC81" s="103">
        <f>VLOOKUP($AF81,'US Grid mix, emissions&amp;prices'!$H$113:$I$163,2,FALSE)*BC$110</f>
        <v>191951.55877343731</v>
      </c>
      <c r="BD81" s="103">
        <f>VLOOKUP($AF81,'US Grid mix, emissions&amp;prices'!$H$113:$I$163,2,FALSE)*BD$110</f>
        <v>191951.55877343731</v>
      </c>
      <c r="BE81" s="103">
        <f>VLOOKUP($AF81,'US Grid mix, emissions&amp;prices'!$H$113:$I$163,2,FALSE)*BE$110</f>
        <v>191951.55877343731</v>
      </c>
      <c r="BF81" s="103">
        <f>VLOOKUP($AF81,'US Grid mix, emissions&amp;prices'!$H$113:$I$163,2,FALSE)*BF$110</f>
        <v>191951.55877343731</v>
      </c>
      <c r="BG81" s="103">
        <f>VLOOKUP($AF81,'US Grid mix, emissions&amp;prices'!$H$113:$I$163,2,FALSE)*BG$110</f>
        <v>191951.55877343731</v>
      </c>
      <c r="BH81" s="103">
        <f>VLOOKUP($AF81,'US Grid mix, emissions&amp;prices'!$H$113:$I$163,2,FALSE)*BH$110</f>
        <v>191951.55877343731</v>
      </c>
    </row>
    <row r="82" spans="1:60" x14ac:dyDescent="0.25">
      <c r="A82" s="83" t="s">
        <v>207</v>
      </c>
      <c r="B82" s="103">
        <f>VLOOKUP($A82,'US Grid mix, emissions&amp;prices'!$H$113:$I$163,2,FALSE)*B$110</f>
        <v>203887.55809526745</v>
      </c>
      <c r="C82" s="103">
        <f>VLOOKUP($A82,'US Grid mix, emissions&amp;prices'!$H$113:$I$163,2,FALSE)*C$110</f>
        <v>203887.55809526745</v>
      </c>
      <c r="D82" s="103">
        <f>VLOOKUP($A82,'US Grid mix, emissions&amp;prices'!$H$113:$I$163,2,FALSE)*D$110</f>
        <v>203887.55809526745</v>
      </c>
      <c r="E82" s="103">
        <f>VLOOKUP($A82,'US Grid mix, emissions&amp;prices'!$H$113:$I$163,2,FALSE)*E$110</f>
        <v>203887.55809526745</v>
      </c>
      <c r="F82" s="103">
        <f>VLOOKUP($A82,'US Grid mix, emissions&amp;prices'!$H$113:$I$163,2,FALSE)*F$110</f>
        <v>203887.55809526745</v>
      </c>
      <c r="G82" s="103">
        <f>VLOOKUP($A82,'US Grid mix, emissions&amp;prices'!$H$113:$I$163,2,FALSE)*G$110</f>
        <v>203887.55809526745</v>
      </c>
      <c r="H82" s="103">
        <f>VLOOKUP($A82,'US Grid mix, emissions&amp;prices'!$H$113:$I$163,2,FALSE)*H$110</f>
        <v>203887.55809526745</v>
      </c>
      <c r="I82" s="103">
        <f>VLOOKUP($A82,'US Grid mix, emissions&amp;prices'!$H$113:$I$163,2,FALSE)*I$110</f>
        <v>203887.55809526745</v>
      </c>
      <c r="J82" s="103">
        <f>VLOOKUP($A82,'US Grid mix, emissions&amp;prices'!$H$113:$I$163,2,FALSE)*J$110</f>
        <v>203887.55809526745</v>
      </c>
      <c r="K82" s="103">
        <f>VLOOKUP($A82,'US Grid mix, emissions&amp;prices'!$H$113:$I$163,2,FALSE)*K$110</f>
        <v>203887.55809526745</v>
      </c>
      <c r="L82" s="103">
        <f>VLOOKUP($A82,'US Grid mix, emissions&amp;prices'!$H$113:$I$163,2,FALSE)*L$110</f>
        <v>203887.55809526745</v>
      </c>
      <c r="M82" s="103">
        <f>VLOOKUP($A82,'US Grid mix, emissions&amp;prices'!$H$113:$I$163,2,FALSE)*M$110</f>
        <v>203887.55809526745</v>
      </c>
      <c r="N82" s="103">
        <f>VLOOKUP($A82,'US Grid mix, emissions&amp;prices'!$H$113:$I$163,2,FALSE)*N$110</f>
        <v>203887.55809526745</v>
      </c>
      <c r="O82" s="103">
        <f>VLOOKUP($A82,'US Grid mix, emissions&amp;prices'!$H$113:$I$163,2,FALSE)*O$110</f>
        <v>203887.55809526745</v>
      </c>
      <c r="P82" s="103">
        <f>VLOOKUP($A82,'US Grid mix, emissions&amp;prices'!$H$113:$I$163,2,FALSE)*P$110</f>
        <v>203887.55809526745</v>
      </c>
      <c r="Q82" s="103">
        <f>VLOOKUP($A82,'US Grid mix, emissions&amp;prices'!$H$113:$I$163,2,FALSE)*Q$110</f>
        <v>203887.55809526745</v>
      </c>
      <c r="R82" s="103">
        <f>VLOOKUP($A82,'US Grid mix, emissions&amp;prices'!$H$113:$I$163,2,FALSE)*R$110</f>
        <v>203887.55809526745</v>
      </c>
      <c r="S82" s="103">
        <f>VLOOKUP($A82,'US Grid mix, emissions&amp;prices'!$H$113:$I$163,2,FALSE)*S$110</f>
        <v>203887.55809526745</v>
      </c>
      <c r="T82" s="103">
        <f>VLOOKUP($A82,'US Grid mix, emissions&amp;prices'!$H$113:$I$163,2,FALSE)*T$110</f>
        <v>203887.55809526745</v>
      </c>
      <c r="U82" s="103">
        <f>VLOOKUP($A82,'US Grid mix, emissions&amp;prices'!$H$113:$I$163,2,FALSE)*U$110</f>
        <v>203887.55809526745</v>
      </c>
      <c r="V82" s="103">
        <f>VLOOKUP($A82,'US Grid mix, emissions&amp;prices'!$H$113:$I$163,2,FALSE)*V$110</f>
        <v>203887.55809526745</v>
      </c>
      <c r="W82" s="103">
        <f>VLOOKUP($A82,'US Grid mix, emissions&amp;prices'!$H$113:$I$163,2,FALSE)*W$110</f>
        <v>203887.55809526745</v>
      </c>
      <c r="X82" s="103">
        <f>VLOOKUP($A82,'US Grid mix, emissions&amp;prices'!$H$113:$I$163,2,FALSE)*X$110</f>
        <v>203887.55809526745</v>
      </c>
      <c r="Y82" s="103">
        <f>VLOOKUP($A82,'US Grid mix, emissions&amp;prices'!$H$113:$I$163,2,FALSE)*Y$110</f>
        <v>203887.55809526745</v>
      </c>
      <c r="Z82" s="103">
        <f>VLOOKUP($A82,'US Grid mix, emissions&amp;prices'!$H$113:$I$163,2,FALSE)*Z$110</f>
        <v>203887.55809526745</v>
      </c>
      <c r="AA82" s="103">
        <f>VLOOKUP($A82,'US Grid mix, emissions&amp;prices'!$H$113:$I$163,2,FALSE)*AA$110</f>
        <v>203887.55809526745</v>
      </c>
      <c r="AB82" s="103">
        <f>VLOOKUP($A82,'US Grid mix, emissions&amp;prices'!$H$113:$I$163,2,FALSE)*AB$110</f>
        <v>203887.55809526745</v>
      </c>
      <c r="AC82" s="103">
        <f>VLOOKUP($A82,'US Grid mix, emissions&amp;prices'!$H$113:$I$163,2,FALSE)*AC$110</f>
        <v>203887.55809526745</v>
      </c>
      <c r="AF82" s="83" t="s">
        <v>207</v>
      </c>
      <c r="AG82" s="103">
        <f>VLOOKUP($AF82,'US Grid mix, emissions&amp;prices'!$H$113:$I$163,2,FALSE)*AG$110</f>
        <v>236191.58648592411</v>
      </c>
      <c r="AH82" s="103">
        <f>VLOOKUP($AF82,'US Grid mix, emissions&amp;prices'!$H$113:$I$163,2,FALSE)*AH$110</f>
        <v>236191.58648592411</v>
      </c>
      <c r="AI82" s="103">
        <f>VLOOKUP($AF82,'US Grid mix, emissions&amp;prices'!$H$113:$I$163,2,FALSE)*AI$110</f>
        <v>236191.58648592411</v>
      </c>
      <c r="AJ82" s="103">
        <f>VLOOKUP($AF82,'US Grid mix, emissions&amp;prices'!$H$113:$I$163,2,FALSE)*AJ$110</f>
        <v>236191.58648592411</v>
      </c>
      <c r="AK82" s="103">
        <f>VLOOKUP($AF82,'US Grid mix, emissions&amp;prices'!$H$113:$I$163,2,FALSE)*AK$110</f>
        <v>236191.58648592411</v>
      </c>
      <c r="AL82" s="103">
        <f>VLOOKUP($AF82,'US Grid mix, emissions&amp;prices'!$H$113:$I$163,2,FALSE)*AL$110</f>
        <v>236191.58648592411</v>
      </c>
      <c r="AM82" s="103">
        <f>VLOOKUP($AF82,'US Grid mix, emissions&amp;prices'!$H$113:$I$163,2,FALSE)*AM$110</f>
        <v>236191.58648592411</v>
      </c>
      <c r="AN82" s="103">
        <f>VLOOKUP($AF82,'US Grid mix, emissions&amp;prices'!$H$113:$I$163,2,FALSE)*AN$110</f>
        <v>236191.58648592411</v>
      </c>
      <c r="AO82" s="103">
        <f>VLOOKUP($AF82,'US Grid mix, emissions&amp;prices'!$H$113:$I$163,2,FALSE)*AO$110</f>
        <v>236191.58648592411</v>
      </c>
      <c r="AP82" s="103">
        <f>VLOOKUP($AF82,'US Grid mix, emissions&amp;prices'!$H$113:$I$163,2,FALSE)*AP$110</f>
        <v>236191.58648592411</v>
      </c>
      <c r="AQ82" s="103">
        <f>VLOOKUP($AF82,'US Grid mix, emissions&amp;prices'!$H$113:$I$163,2,FALSE)*AQ$110</f>
        <v>236191.58648592411</v>
      </c>
      <c r="AR82" s="103">
        <f>VLOOKUP($AF82,'US Grid mix, emissions&amp;prices'!$H$113:$I$163,2,FALSE)*AR$110</f>
        <v>236191.58648592411</v>
      </c>
      <c r="AS82" s="103">
        <f>VLOOKUP($AF82,'US Grid mix, emissions&amp;prices'!$H$113:$I$163,2,FALSE)*AS$110</f>
        <v>236191.58648592411</v>
      </c>
      <c r="AT82" s="103">
        <f>VLOOKUP($AF82,'US Grid mix, emissions&amp;prices'!$H$113:$I$163,2,FALSE)*AT$110</f>
        <v>236191.58648592411</v>
      </c>
      <c r="AU82" s="103">
        <f>VLOOKUP($AF82,'US Grid mix, emissions&amp;prices'!$H$113:$I$163,2,FALSE)*AU$110</f>
        <v>236191.58648592411</v>
      </c>
      <c r="AV82" s="103">
        <f>VLOOKUP($AF82,'US Grid mix, emissions&amp;prices'!$H$113:$I$163,2,FALSE)*AV$110</f>
        <v>236191.58648592411</v>
      </c>
      <c r="AW82" s="103">
        <f>VLOOKUP($AF82,'US Grid mix, emissions&amp;prices'!$H$113:$I$163,2,FALSE)*AW$110</f>
        <v>236191.58648592411</v>
      </c>
      <c r="AX82" s="103">
        <f>VLOOKUP($AF82,'US Grid mix, emissions&amp;prices'!$H$113:$I$163,2,FALSE)*AX$110</f>
        <v>236191.58648592411</v>
      </c>
      <c r="AY82" s="103">
        <f>VLOOKUP($AF82,'US Grid mix, emissions&amp;prices'!$H$113:$I$163,2,FALSE)*AY$110</f>
        <v>236191.58648592411</v>
      </c>
      <c r="AZ82" s="103">
        <f>VLOOKUP($AF82,'US Grid mix, emissions&amp;prices'!$H$113:$I$163,2,FALSE)*AZ$110</f>
        <v>236191.58648592411</v>
      </c>
      <c r="BA82" s="103">
        <f>VLOOKUP($AF82,'US Grid mix, emissions&amp;prices'!$H$113:$I$163,2,FALSE)*BA$110</f>
        <v>236191.58648592411</v>
      </c>
      <c r="BB82" s="103">
        <f>VLOOKUP($AF82,'US Grid mix, emissions&amp;prices'!$H$113:$I$163,2,FALSE)*BB$110</f>
        <v>236191.58648592411</v>
      </c>
      <c r="BC82" s="103">
        <f>VLOOKUP($AF82,'US Grid mix, emissions&amp;prices'!$H$113:$I$163,2,FALSE)*BC$110</f>
        <v>236191.58648592411</v>
      </c>
      <c r="BD82" s="103">
        <f>VLOOKUP($AF82,'US Grid mix, emissions&amp;prices'!$H$113:$I$163,2,FALSE)*BD$110</f>
        <v>236191.58648592411</v>
      </c>
      <c r="BE82" s="103">
        <f>VLOOKUP($AF82,'US Grid mix, emissions&amp;prices'!$H$113:$I$163,2,FALSE)*BE$110</f>
        <v>236191.58648592411</v>
      </c>
      <c r="BF82" s="103">
        <f>VLOOKUP($AF82,'US Grid mix, emissions&amp;prices'!$H$113:$I$163,2,FALSE)*BF$110</f>
        <v>236191.58648592411</v>
      </c>
      <c r="BG82" s="103">
        <f>VLOOKUP($AF82,'US Grid mix, emissions&amp;prices'!$H$113:$I$163,2,FALSE)*BG$110</f>
        <v>236191.58648592411</v>
      </c>
      <c r="BH82" s="103">
        <f>VLOOKUP($AF82,'US Grid mix, emissions&amp;prices'!$H$113:$I$163,2,FALSE)*BH$110</f>
        <v>236191.58648592411</v>
      </c>
    </row>
    <row r="83" spans="1:60" x14ac:dyDescent="0.25">
      <c r="A83" s="83" t="s">
        <v>206</v>
      </c>
      <c r="B83" s="103">
        <f>VLOOKUP($A83,'US Grid mix, emissions&amp;prices'!$H$113:$I$163,2,FALSE)*B$110</f>
        <v>313892.36480144266</v>
      </c>
      <c r="C83" s="103">
        <f>VLOOKUP($A83,'US Grid mix, emissions&amp;prices'!$H$113:$I$163,2,FALSE)*C$110</f>
        <v>313892.36480144266</v>
      </c>
      <c r="D83" s="103">
        <f>VLOOKUP($A83,'US Grid mix, emissions&amp;prices'!$H$113:$I$163,2,FALSE)*D$110</f>
        <v>313892.36480144266</v>
      </c>
      <c r="E83" s="103">
        <f>VLOOKUP($A83,'US Grid mix, emissions&amp;prices'!$H$113:$I$163,2,FALSE)*E$110</f>
        <v>313892.36480144266</v>
      </c>
      <c r="F83" s="103">
        <f>VLOOKUP($A83,'US Grid mix, emissions&amp;prices'!$H$113:$I$163,2,FALSE)*F$110</f>
        <v>313892.36480144266</v>
      </c>
      <c r="G83" s="103">
        <f>VLOOKUP($A83,'US Grid mix, emissions&amp;prices'!$H$113:$I$163,2,FALSE)*G$110</f>
        <v>313892.36480144266</v>
      </c>
      <c r="H83" s="103">
        <f>VLOOKUP($A83,'US Grid mix, emissions&amp;prices'!$H$113:$I$163,2,FALSE)*H$110</f>
        <v>313892.36480144266</v>
      </c>
      <c r="I83" s="103">
        <f>VLOOKUP($A83,'US Grid mix, emissions&amp;prices'!$H$113:$I$163,2,FALSE)*I$110</f>
        <v>313892.36480144266</v>
      </c>
      <c r="J83" s="103">
        <f>VLOOKUP($A83,'US Grid mix, emissions&amp;prices'!$H$113:$I$163,2,FALSE)*J$110</f>
        <v>313892.36480144266</v>
      </c>
      <c r="K83" s="103">
        <f>VLOOKUP($A83,'US Grid mix, emissions&amp;prices'!$H$113:$I$163,2,FALSE)*K$110</f>
        <v>313892.36480144266</v>
      </c>
      <c r="L83" s="103">
        <f>VLOOKUP($A83,'US Grid mix, emissions&amp;prices'!$H$113:$I$163,2,FALSE)*L$110</f>
        <v>313892.36480144266</v>
      </c>
      <c r="M83" s="103">
        <f>VLOOKUP($A83,'US Grid mix, emissions&amp;prices'!$H$113:$I$163,2,FALSE)*M$110</f>
        <v>313892.36480144266</v>
      </c>
      <c r="N83" s="103">
        <f>VLOOKUP($A83,'US Grid mix, emissions&amp;prices'!$H$113:$I$163,2,FALSE)*N$110</f>
        <v>313892.36480144266</v>
      </c>
      <c r="O83" s="103">
        <f>VLOOKUP($A83,'US Grid mix, emissions&amp;prices'!$H$113:$I$163,2,FALSE)*O$110</f>
        <v>313892.36480144266</v>
      </c>
      <c r="P83" s="103">
        <f>VLOOKUP($A83,'US Grid mix, emissions&amp;prices'!$H$113:$I$163,2,FALSE)*P$110</f>
        <v>313892.36480144266</v>
      </c>
      <c r="Q83" s="103">
        <f>VLOOKUP($A83,'US Grid mix, emissions&amp;prices'!$H$113:$I$163,2,FALSE)*Q$110</f>
        <v>313892.36480144266</v>
      </c>
      <c r="R83" s="103">
        <f>VLOOKUP($A83,'US Grid mix, emissions&amp;prices'!$H$113:$I$163,2,FALSE)*R$110</f>
        <v>313892.36480144266</v>
      </c>
      <c r="S83" s="103">
        <f>VLOOKUP($A83,'US Grid mix, emissions&amp;prices'!$H$113:$I$163,2,FALSE)*S$110</f>
        <v>313892.36480144266</v>
      </c>
      <c r="T83" s="103">
        <f>VLOOKUP($A83,'US Grid mix, emissions&amp;prices'!$H$113:$I$163,2,FALSE)*T$110</f>
        <v>313892.36480144266</v>
      </c>
      <c r="U83" s="103">
        <f>VLOOKUP($A83,'US Grid mix, emissions&amp;prices'!$H$113:$I$163,2,FALSE)*U$110</f>
        <v>313892.36480144266</v>
      </c>
      <c r="V83" s="103">
        <f>VLOOKUP($A83,'US Grid mix, emissions&amp;prices'!$H$113:$I$163,2,FALSE)*V$110</f>
        <v>313892.36480144266</v>
      </c>
      <c r="W83" s="103">
        <f>VLOOKUP($A83,'US Grid mix, emissions&amp;prices'!$H$113:$I$163,2,FALSE)*W$110</f>
        <v>313892.36480144266</v>
      </c>
      <c r="X83" s="103">
        <f>VLOOKUP($A83,'US Grid mix, emissions&amp;prices'!$H$113:$I$163,2,FALSE)*X$110</f>
        <v>313892.36480144266</v>
      </c>
      <c r="Y83" s="103">
        <f>VLOOKUP($A83,'US Grid mix, emissions&amp;prices'!$H$113:$I$163,2,FALSE)*Y$110</f>
        <v>313892.36480144266</v>
      </c>
      <c r="Z83" s="103">
        <f>VLOOKUP($A83,'US Grid mix, emissions&amp;prices'!$H$113:$I$163,2,FALSE)*Z$110</f>
        <v>313892.36480144266</v>
      </c>
      <c r="AA83" s="103">
        <f>VLOOKUP($A83,'US Grid mix, emissions&amp;prices'!$H$113:$I$163,2,FALSE)*AA$110</f>
        <v>313892.36480144266</v>
      </c>
      <c r="AB83" s="103">
        <f>VLOOKUP($A83,'US Grid mix, emissions&amp;prices'!$H$113:$I$163,2,FALSE)*AB$110</f>
        <v>313892.36480144266</v>
      </c>
      <c r="AC83" s="103">
        <f>VLOOKUP($A83,'US Grid mix, emissions&amp;prices'!$H$113:$I$163,2,FALSE)*AC$110</f>
        <v>313892.36480144266</v>
      </c>
      <c r="AF83" s="83" t="s">
        <v>206</v>
      </c>
      <c r="AG83" s="103">
        <f>VLOOKUP($AF83,'US Grid mix, emissions&amp;prices'!$H$113:$I$163,2,FALSE)*AG$110</f>
        <v>363625.59991831135</v>
      </c>
      <c r="AH83" s="103">
        <f>VLOOKUP($AF83,'US Grid mix, emissions&amp;prices'!$H$113:$I$163,2,FALSE)*AH$110</f>
        <v>363625.59991831135</v>
      </c>
      <c r="AI83" s="103">
        <f>VLOOKUP($AF83,'US Grid mix, emissions&amp;prices'!$H$113:$I$163,2,FALSE)*AI$110</f>
        <v>363625.59991831135</v>
      </c>
      <c r="AJ83" s="103">
        <f>VLOOKUP($AF83,'US Grid mix, emissions&amp;prices'!$H$113:$I$163,2,FALSE)*AJ$110</f>
        <v>363625.59991831135</v>
      </c>
      <c r="AK83" s="103">
        <f>VLOOKUP($AF83,'US Grid mix, emissions&amp;prices'!$H$113:$I$163,2,FALSE)*AK$110</f>
        <v>363625.59991831135</v>
      </c>
      <c r="AL83" s="103">
        <f>VLOOKUP($AF83,'US Grid mix, emissions&amp;prices'!$H$113:$I$163,2,FALSE)*AL$110</f>
        <v>363625.59991831135</v>
      </c>
      <c r="AM83" s="103">
        <f>VLOOKUP($AF83,'US Grid mix, emissions&amp;prices'!$H$113:$I$163,2,FALSE)*AM$110</f>
        <v>363625.59991831135</v>
      </c>
      <c r="AN83" s="103">
        <f>VLOOKUP($AF83,'US Grid mix, emissions&amp;prices'!$H$113:$I$163,2,FALSE)*AN$110</f>
        <v>363625.59991831135</v>
      </c>
      <c r="AO83" s="103">
        <f>VLOOKUP($AF83,'US Grid mix, emissions&amp;prices'!$H$113:$I$163,2,FALSE)*AO$110</f>
        <v>363625.59991831135</v>
      </c>
      <c r="AP83" s="103">
        <f>VLOOKUP($AF83,'US Grid mix, emissions&amp;prices'!$H$113:$I$163,2,FALSE)*AP$110</f>
        <v>363625.59991831135</v>
      </c>
      <c r="AQ83" s="103">
        <f>VLOOKUP($AF83,'US Grid mix, emissions&amp;prices'!$H$113:$I$163,2,FALSE)*AQ$110</f>
        <v>363625.59991831135</v>
      </c>
      <c r="AR83" s="103">
        <f>VLOOKUP($AF83,'US Grid mix, emissions&amp;prices'!$H$113:$I$163,2,FALSE)*AR$110</f>
        <v>363625.59991831135</v>
      </c>
      <c r="AS83" s="103">
        <f>VLOOKUP($AF83,'US Grid mix, emissions&amp;prices'!$H$113:$I$163,2,FALSE)*AS$110</f>
        <v>363625.59991831135</v>
      </c>
      <c r="AT83" s="103">
        <f>VLOOKUP($AF83,'US Grid mix, emissions&amp;prices'!$H$113:$I$163,2,FALSE)*AT$110</f>
        <v>363625.59991831135</v>
      </c>
      <c r="AU83" s="103">
        <f>VLOOKUP($AF83,'US Grid mix, emissions&amp;prices'!$H$113:$I$163,2,FALSE)*AU$110</f>
        <v>363625.59991831135</v>
      </c>
      <c r="AV83" s="103">
        <f>VLOOKUP($AF83,'US Grid mix, emissions&amp;prices'!$H$113:$I$163,2,FALSE)*AV$110</f>
        <v>363625.59991831135</v>
      </c>
      <c r="AW83" s="103">
        <f>VLOOKUP($AF83,'US Grid mix, emissions&amp;prices'!$H$113:$I$163,2,FALSE)*AW$110</f>
        <v>363625.59991831135</v>
      </c>
      <c r="AX83" s="103">
        <f>VLOOKUP($AF83,'US Grid mix, emissions&amp;prices'!$H$113:$I$163,2,FALSE)*AX$110</f>
        <v>363625.59991831135</v>
      </c>
      <c r="AY83" s="103">
        <f>VLOOKUP($AF83,'US Grid mix, emissions&amp;prices'!$H$113:$I$163,2,FALSE)*AY$110</f>
        <v>363625.59991831135</v>
      </c>
      <c r="AZ83" s="103">
        <f>VLOOKUP($AF83,'US Grid mix, emissions&amp;prices'!$H$113:$I$163,2,FALSE)*AZ$110</f>
        <v>363625.59991831135</v>
      </c>
      <c r="BA83" s="103">
        <f>VLOOKUP($AF83,'US Grid mix, emissions&amp;prices'!$H$113:$I$163,2,FALSE)*BA$110</f>
        <v>363625.59991831135</v>
      </c>
      <c r="BB83" s="103">
        <f>VLOOKUP($AF83,'US Grid mix, emissions&amp;prices'!$H$113:$I$163,2,FALSE)*BB$110</f>
        <v>363625.59991831135</v>
      </c>
      <c r="BC83" s="103">
        <f>VLOOKUP($AF83,'US Grid mix, emissions&amp;prices'!$H$113:$I$163,2,FALSE)*BC$110</f>
        <v>363625.59991831135</v>
      </c>
      <c r="BD83" s="103">
        <f>VLOOKUP($AF83,'US Grid mix, emissions&amp;prices'!$H$113:$I$163,2,FALSE)*BD$110</f>
        <v>363625.59991831135</v>
      </c>
      <c r="BE83" s="103">
        <f>VLOOKUP($AF83,'US Grid mix, emissions&amp;prices'!$H$113:$I$163,2,FALSE)*BE$110</f>
        <v>363625.59991831135</v>
      </c>
      <c r="BF83" s="103">
        <f>VLOOKUP($AF83,'US Grid mix, emissions&amp;prices'!$H$113:$I$163,2,FALSE)*BF$110</f>
        <v>363625.59991831135</v>
      </c>
      <c r="BG83" s="103">
        <f>VLOOKUP($AF83,'US Grid mix, emissions&amp;prices'!$H$113:$I$163,2,FALSE)*BG$110</f>
        <v>363625.59991831135</v>
      </c>
      <c r="BH83" s="103">
        <f>VLOOKUP($AF83,'US Grid mix, emissions&amp;prices'!$H$113:$I$163,2,FALSE)*BH$110</f>
        <v>363625.59991831135</v>
      </c>
    </row>
    <row r="84" spans="1:60" x14ac:dyDescent="0.25">
      <c r="A84" s="83" t="s">
        <v>208</v>
      </c>
      <c r="B84" s="103">
        <f>VLOOKUP($A84,'US Grid mix, emissions&amp;prices'!$H$113:$I$163,2,FALSE)*B$110</f>
        <v>234060.69376006656</v>
      </c>
      <c r="C84" s="103">
        <f>VLOOKUP($A84,'US Grid mix, emissions&amp;prices'!$H$113:$I$163,2,FALSE)*C$110</f>
        <v>234060.69376006656</v>
      </c>
      <c r="D84" s="103">
        <f>VLOOKUP($A84,'US Grid mix, emissions&amp;prices'!$H$113:$I$163,2,FALSE)*D$110</f>
        <v>234060.69376006656</v>
      </c>
      <c r="E84" s="103">
        <f>VLOOKUP($A84,'US Grid mix, emissions&amp;prices'!$H$113:$I$163,2,FALSE)*E$110</f>
        <v>234060.69376006656</v>
      </c>
      <c r="F84" s="103">
        <f>VLOOKUP($A84,'US Grid mix, emissions&amp;prices'!$H$113:$I$163,2,FALSE)*F$110</f>
        <v>234060.69376006656</v>
      </c>
      <c r="G84" s="103">
        <f>VLOOKUP($A84,'US Grid mix, emissions&amp;prices'!$H$113:$I$163,2,FALSE)*G$110</f>
        <v>234060.69376006656</v>
      </c>
      <c r="H84" s="103">
        <f>VLOOKUP($A84,'US Grid mix, emissions&amp;prices'!$H$113:$I$163,2,FALSE)*H$110</f>
        <v>234060.69376006656</v>
      </c>
      <c r="I84" s="103">
        <f>VLOOKUP($A84,'US Grid mix, emissions&amp;prices'!$H$113:$I$163,2,FALSE)*I$110</f>
        <v>234060.69376006656</v>
      </c>
      <c r="J84" s="103">
        <f>VLOOKUP($A84,'US Grid mix, emissions&amp;prices'!$H$113:$I$163,2,FALSE)*J$110</f>
        <v>234060.69376006656</v>
      </c>
      <c r="K84" s="103">
        <f>VLOOKUP($A84,'US Grid mix, emissions&amp;prices'!$H$113:$I$163,2,FALSE)*K$110</f>
        <v>234060.69376006656</v>
      </c>
      <c r="L84" s="103">
        <f>VLOOKUP($A84,'US Grid mix, emissions&amp;prices'!$H$113:$I$163,2,FALSE)*L$110</f>
        <v>234060.69376006656</v>
      </c>
      <c r="M84" s="103">
        <f>VLOOKUP($A84,'US Grid mix, emissions&amp;prices'!$H$113:$I$163,2,FALSE)*M$110</f>
        <v>234060.69376006656</v>
      </c>
      <c r="N84" s="103">
        <f>VLOOKUP($A84,'US Grid mix, emissions&amp;prices'!$H$113:$I$163,2,FALSE)*N$110</f>
        <v>234060.69376006656</v>
      </c>
      <c r="O84" s="103">
        <f>VLOOKUP($A84,'US Grid mix, emissions&amp;prices'!$H$113:$I$163,2,FALSE)*O$110</f>
        <v>234060.69376006656</v>
      </c>
      <c r="P84" s="103">
        <f>VLOOKUP($A84,'US Grid mix, emissions&amp;prices'!$H$113:$I$163,2,FALSE)*P$110</f>
        <v>234060.69376006656</v>
      </c>
      <c r="Q84" s="103">
        <f>VLOOKUP($A84,'US Grid mix, emissions&amp;prices'!$H$113:$I$163,2,FALSE)*Q$110</f>
        <v>234060.69376006656</v>
      </c>
      <c r="R84" s="103">
        <f>VLOOKUP($A84,'US Grid mix, emissions&amp;prices'!$H$113:$I$163,2,FALSE)*R$110</f>
        <v>234060.69376006656</v>
      </c>
      <c r="S84" s="103">
        <f>VLOOKUP($A84,'US Grid mix, emissions&amp;prices'!$H$113:$I$163,2,FALSE)*S$110</f>
        <v>234060.69376006656</v>
      </c>
      <c r="T84" s="103">
        <f>VLOOKUP($A84,'US Grid mix, emissions&amp;prices'!$H$113:$I$163,2,FALSE)*T$110</f>
        <v>234060.69376006656</v>
      </c>
      <c r="U84" s="103">
        <f>VLOOKUP($A84,'US Grid mix, emissions&amp;prices'!$H$113:$I$163,2,FALSE)*U$110</f>
        <v>234060.69376006656</v>
      </c>
      <c r="V84" s="103">
        <f>VLOOKUP($A84,'US Grid mix, emissions&amp;prices'!$H$113:$I$163,2,FALSE)*V$110</f>
        <v>234060.69376006656</v>
      </c>
      <c r="W84" s="103">
        <f>VLOOKUP($A84,'US Grid mix, emissions&amp;prices'!$H$113:$I$163,2,FALSE)*W$110</f>
        <v>234060.69376006656</v>
      </c>
      <c r="X84" s="103">
        <f>VLOOKUP($A84,'US Grid mix, emissions&amp;prices'!$H$113:$I$163,2,FALSE)*X$110</f>
        <v>234060.69376006656</v>
      </c>
      <c r="Y84" s="103">
        <f>VLOOKUP($A84,'US Grid mix, emissions&amp;prices'!$H$113:$I$163,2,FALSE)*Y$110</f>
        <v>234060.69376006656</v>
      </c>
      <c r="Z84" s="103">
        <f>VLOOKUP($A84,'US Grid mix, emissions&amp;prices'!$H$113:$I$163,2,FALSE)*Z$110</f>
        <v>234060.69376006656</v>
      </c>
      <c r="AA84" s="103">
        <f>VLOOKUP($A84,'US Grid mix, emissions&amp;prices'!$H$113:$I$163,2,FALSE)*AA$110</f>
        <v>234060.69376006656</v>
      </c>
      <c r="AB84" s="103">
        <f>VLOOKUP($A84,'US Grid mix, emissions&amp;prices'!$H$113:$I$163,2,FALSE)*AB$110</f>
        <v>234060.69376006656</v>
      </c>
      <c r="AC84" s="103">
        <f>VLOOKUP($A84,'US Grid mix, emissions&amp;prices'!$H$113:$I$163,2,FALSE)*AC$110</f>
        <v>234060.69376006656</v>
      </c>
      <c r="AF84" s="83" t="s">
        <v>208</v>
      </c>
      <c r="AG84" s="103">
        <f>VLOOKUP($AF84,'US Grid mix, emissions&amp;prices'!$H$113:$I$163,2,FALSE)*AG$110</f>
        <v>271145.36615007592</v>
      </c>
      <c r="AH84" s="103">
        <f>VLOOKUP($AF84,'US Grid mix, emissions&amp;prices'!$H$113:$I$163,2,FALSE)*AH$110</f>
        <v>271145.36615007592</v>
      </c>
      <c r="AI84" s="103">
        <f>VLOOKUP($AF84,'US Grid mix, emissions&amp;prices'!$H$113:$I$163,2,FALSE)*AI$110</f>
        <v>271145.36615007592</v>
      </c>
      <c r="AJ84" s="103">
        <f>VLOOKUP($AF84,'US Grid mix, emissions&amp;prices'!$H$113:$I$163,2,FALSE)*AJ$110</f>
        <v>271145.36615007592</v>
      </c>
      <c r="AK84" s="103">
        <f>VLOOKUP($AF84,'US Grid mix, emissions&amp;prices'!$H$113:$I$163,2,FALSE)*AK$110</f>
        <v>271145.36615007592</v>
      </c>
      <c r="AL84" s="103">
        <f>VLOOKUP($AF84,'US Grid mix, emissions&amp;prices'!$H$113:$I$163,2,FALSE)*AL$110</f>
        <v>271145.36615007592</v>
      </c>
      <c r="AM84" s="103">
        <f>VLOOKUP($AF84,'US Grid mix, emissions&amp;prices'!$H$113:$I$163,2,FALSE)*AM$110</f>
        <v>271145.36615007592</v>
      </c>
      <c r="AN84" s="103">
        <f>VLOOKUP($AF84,'US Grid mix, emissions&amp;prices'!$H$113:$I$163,2,FALSE)*AN$110</f>
        <v>271145.36615007592</v>
      </c>
      <c r="AO84" s="103">
        <f>VLOOKUP($AF84,'US Grid mix, emissions&amp;prices'!$H$113:$I$163,2,FALSE)*AO$110</f>
        <v>271145.36615007592</v>
      </c>
      <c r="AP84" s="103">
        <f>VLOOKUP($AF84,'US Grid mix, emissions&amp;prices'!$H$113:$I$163,2,FALSE)*AP$110</f>
        <v>271145.36615007592</v>
      </c>
      <c r="AQ84" s="103">
        <f>VLOOKUP($AF84,'US Grid mix, emissions&amp;prices'!$H$113:$I$163,2,FALSE)*AQ$110</f>
        <v>271145.36615007592</v>
      </c>
      <c r="AR84" s="103">
        <f>VLOOKUP($AF84,'US Grid mix, emissions&amp;prices'!$H$113:$I$163,2,FALSE)*AR$110</f>
        <v>271145.36615007592</v>
      </c>
      <c r="AS84" s="103">
        <f>VLOOKUP($AF84,'US Grid mix, emissions&amp;prices'!$H$113:$I$163,2,FALSE)*AS$110</f>
        <v>271145.36615007592</v>
      </c>
      <c r="AT84" s="103">
        <f>VLOOKUP($AF84,'US Grid mix, emissions&amp;prices'!$H$113:$I$163,2,FALSE)*AT$110</f>
        <v>271145.36615007592</v>
      </c>
      <c r="AU84" s="103">
        <f>VLOOKUP($AF84,'US Grid mix, emissions&amp;prices'!$H$113:$I$163,2,FALSE)*AU$110</f>
        <v>271145.36615007592</v>
      </c>
      <c r="AV84" s="103">
        <f>VLOOKUP($AF84,'US Grid mix, emissions&amp;prices'!$H$113:$I$163,2,FALSE)*AV$110</f>
        <v>271145.36615007592</v>
      </c>
      <c r="AW84" s="103">
        <f>VLOOKUP($AF84,'US Grid mix, emissions&amp;prices'!$H$113:$I$163,2,FALSE)*AW$110</f>
        <v>271145.36615007592</v>
      </c>
      <c r="AX84" s="103">
        <f>VLOOKUP($AF84,'US Grid mix, emissions&amp;prices'!$H$113:$I$163,2,FALSE)*AX$110</f>
        <v>271145.36615007592</v>
      </c>
      <c r="AY84" s="103">
        <f>VLOOKUP($AF84,'US Grid mix, emissions&amp;prices'!$H$113:$I$163,2,FALSE)*AY$110</f>
        <v>271145.36615007592</v>
      </c>
      <c r="AZ84" s="103">
        <f>VLOOKUP($AF84,'US Grid mix, emissions&amp;prices'!$H$113:$I$163,2,FALSE)*AZ$110</f>
        <v>271145.36615007592</v>
      </c>
      <c r="BA84" s="103">
        <f>VLOOKUP($AF84,'US Grid mix, emissions&amp;prices'!$H$113:$I$163,2,FALSE)*BA$110</f>
        <v>271145.36615007592</v>
      </c>
      <c r="BB84" s="103">
        <f>VLOOKUP($AF84,'US Grid mix, emissions&amp;prices'!$H$113:$I$163,2,FALSE)*BB$110</f>
        <v>271145.36615007592</v>
      </c>
      <c r="BC84" s="103">
        <f>VLOOKUP($AF84,'US Grid mix, emissions&amp;prices'!$H$113:$I$163,2,FALSE)*BC$110</f>
        <v>271145.36615007592</v>
      </c>
      <c r="BD84" s="103">
        <f>VLOOKUP($AF84,'US Grid mix, emissions&amp;prices'!$H$113:$I$163,2,FALSE)*BD$110</f>
        <v>271145.36615007592</v>
      </c>
      <c r="BE84" s="103">
        <f>VLOOKUP($AF84,'US Grid mix, emissions&amp;prices'!$H$113:$I$163,2,FALSE)*BE$110</f>
        <v>271145.36615007592</v>
      </c>
      <c r="BF84" s="103">
        <f>VLOOKUP($AF84,'US Grid mix, emissions&amp;prices'!$H$113:$I$163,2,FALSE)*BF$110</f>
        <v>271145.36615007592</v>
      </c>
      <c r="BG84" s="103">
        <f>VLOOKUP($AF84,'US Grid mix, emissions&amp;prices'!$H$113:$I$163,2,FALSE)*BG$110</f>
        <v>271145.36615007592</v>
      </c>
      <c r="BH84" s="103">
        <f>VLOOKUP($AF84,'US Grid mix, emissions&amp;prices'!$H$113:$I$163,2,FALSE)*BH$110</f>
        <v>271145.36615007592</v>
      </c>
    </row>
    <row r="85" spans="1:60" x14ac:dyDescent="0.25">
      <c r="A85" s="83" t="s">
        <v>211</v>
      </c>
      <c r="B85" s="103">
        <f>VLOOKUP($A85,'US Grid mix, emissions&amp;prices'!$H$113:$I$163,2,FALSE)*B$110</f>
        <v>223721.73835744173</v>
      </c>
      <c r="C85" s="103">
        <f>VLOOKUP($A85,'US Grid mix, emissions&amp;prices'!$H$113:$I$163,2,FALSE)*C$110</f>
        <v>223721.73835744173</v>
      </c>
      <c r="D85" s="103">
        <f>VLOOKUP($A85,'US Grid mix, emissions&amp;prices'!$H$113:$I$163,2,FALSE)*D$110</f>
        <v>223721.73835744173</v>
      </c>
      <c r="E85" s="103">
        <f>VLOOKUP($A85,'US Grid mix, emissions&amp;prices'!$H$113:$I$163,2,FALSE)*E$110</f>
        <v>223721.73835744173</v>
      </c>
      <c r="F85" s="103">
        <f>VLOOKUP($A85,'US Grid mix, emissions&amp;prices'!$H$113:$I$163,2,FALSE)*F$110</f>
        <v>223721.73835744173</v>
      </c>
      <c r="G85" s="103">
        <f>VLOOKUP($A85,'US Grid mix, emissions&amp;prices'!$H$113:$I$163,2,FALSE)*G$110</f>
        <v>223721.73835744173</v>
      </c>
      <c r="H85" s="103">
        <f>VLOOKUP($A85,'US Grid mix, emissions&amp;prices'!$H$113:$I$163,2,FALSE)*H$110</f>
        <v>223721.73835744173</v>
      </c>
      <c r="I85" s="103">
        <f>VLOOKUP($A85,'US Grid mix, emissions&amp;prices'!$H$113:$I$163,2,FALSE)*I$110</f>
        <v>223721.73835744173</v>
      </c>
      <c r="J85" s="103">
        <f>VLOOKUP($A85,'US Grid mix, emissions&amp;prices'!$H$113:$I$163,2,FALSE)*J$110</f>
        <v>223721.73835744173</v>
      </c>
      <c r="K85" s="103">
        <f>VLOOKUP($A85,'US Grid mix, emissions&amp;prices'!$H$113:$I$163,2,FALSE)*K$110</f>
        <v>223721.73835744173</v>
      </c>
      <c r="L85" s="103">
        <f>VLOOKUP($A85,'US Grid mix, emissions&amp;prices'!$H$113:$I$163,2,FALSE)*L$110</f>
        <v>223721.73835744173</v>
      </c>
      <c r="M85" s="103">
        <f>VLOOKUP($A85,'US Grid mix, emissions&amp;prices'!$H$113:$I$163,2,FALSE)*M$110</f>
        <v>223721.73835744173</v>
      </c>
      <c r="N85" s="103">
        <f>VLOOKUP($A85,'US Grid mix, emissions&amp;prices'!$H$113:$I$163,2,FALSE)*N$110</f>
        <v>223721.73835744173</v>
      </c>
      <c r="O85" s="103">
        <f>VLOOKUP($A85,'US Grid mix, emissions&amp;prices'!$H$113:$I$163,2,FALSE)*O$110</f>
        <v>223721.73835744173</v>
      </c>
      <c r="P85" s="103">
        <f>VLOOKUP($A85,'US Grid mix, emissions&amp;prices'!$H$113:$I$163,2,FALSE)*P$110</f>
        <v>223721.73835744173</v>
      </c>
      <c r="Q85" s="103">
        <f>VLOOKUP($A85,'US Grid mix, emissions&amp;prices'!$H$113:$I$163,2,FALSE)*Q$110</f>
        <v>223721.73835744173</v>
      </c>
      <c r="R85" s="103">
        <f>VLOOKUP($A85,'US Grid mix, emissions&amp;prices'!$H$113:$I$163,2,FALSE)*R$110</f>
        <v>223721.73835744173</v>
      </c>
      <c r="S85" s="103">
        <f>VLOOKUP($A85,'US Grid mix, emissions&amp;prices'!$H$113:$I$163,2,FALSE)*S$110</f>
        <v>223721.73835744173</v>
      </c>
      <c r="T85" s="103">
        <f>VLOOKUP($A85,'US Grid mix, emissions&amp;prices'!$H$113:$I$163,2,FALSE)*T$110</f>
        <v>223721.73835744173</v>
      </c>
      <c r="U85" s="103">
        <f>VLOOKUP($A85,'US Grid mix, emissions&amp;prices'!$H$113:$I$163,2,FALSE)*U$110</f>
        <v>223721.73835744173</v>
      </c>
      <c r="V85" s="103">
        <f>VLOOKUP($A85,'US Grid mix, emissions&amp;prices'!$H$113:$I$163,2,FALSE)*V$110</f>
        <v>223721.73835744173</v>
      </c>
      <c r="W85" s="103">
        <f>VLOOKUP($A85,'US Grid mix, emissions&amp;prices'!$H$113:$I$163,2,FALSE)*W$110</f>
        <v>223721.73835744173</v>
      </c>
      <c r="X85" s="103">
        <f>VLOOKUP($A85,'US Grid mix, emissions&amp;prices'!$H$113:$I$163,2,FALSE)*X$110</f>
        <v>223721.73835744173</v>
      </c>
      <c r="Y85" s="103">
        <f>VLOOKUP($A85,'US Grid mix, emissions&amp;prices'!$H$113:$I$163,2,FALSE)*Y$110</f>
        <v>223721.73835744173</v>
      </c>
      <c r="Z85" s="103">
        <f>VLOOKUP($A85,'US Grid mix, emissions&amp;prices'!$H$113:$I$163,2,FALSE)*Z$110</f>
        <v>223721.73835744173</v>
      </c>
      <c r="AA85" s="103">
        <f>VLOOKUP($A85,'US Grid mix, emissions&amp;prices'!$H$113:$I$163,2,FALSE)*AA$110</f>
        <v>223721.73835744173</v>
      </c>
      <c r="AB85" s="103">
        <f>VLOOKUP($A85,'US Grid mix, emissions&amp;prices'!$H$113:$I$163,2,FALSE)*AB$110</f>
        <v>223721.73835744173</v>
      </c>
      <c r="AC85" s="103">
        <f>VLOOKUP($A85,'US Grid mix, emissions&amp;prices'!$H$113:$I$163,2,FALSE)*AC$110</f>
        <v>223721.73835744173</v>
      </c>
      <c r="AF85" s="83" t="s">
        <v>211</v>
      </c>
      <c r="AG85" s="103">
        <f>VLOOKUP($AF85,'US Grid mix, emissions&amp;prices'!$H$113:$I$163,2,FALSE)*AG$110</f>
        <v>259168.30240981496</v>
      </c>
      <c r="AH85" s="103">
        <f>VLOOKUP($AF85,'US Grid mix, emissions&amp;prices'!$H$113:$I$163,2,FALSE)*AH$110</f>
        <v>259168.30240981496</v>
      </c>
      <c r="AI85" s="103">
        <f>VLOOKUP($AF85,'US Grid mix, emissions&amp;prices'!$H$113:$I$163,2,FALSE)*AI$110</f>
        <v>259168.30240981496</v>
      </c>
      <c r="AJ85" s="103">
        <f>VLOOKUP($AF85,'US Grid mix, emissions&amp;prices'!$H$113:$I$163,2,FALSE)*AJ$110</f>
        <v>259168.30240981496</v>
      </c>
      <c r="AK85" s="103">
        <f>VLOOKUP($AF85,'US Grid mix, emissions&amp;prices'!$H$113:$I$163,2,FALSE)*AK$110</f>
        <v>259168.30240981496</v>
      </c>
      <c r="AL85" s="103">
        <f>VLOOKUP($AF85,'US Grid mix, emissions&amp;prices'!$H$113:$I$163,2,FALSE)*AL$110</f>
        <v>259168.30240981496</v>
      </c>
      <c r="AM85" s="103">
        <f>VLOOKUP($AF85,'US Grid mix, emissions&amp;prices'!$H$113:$I$163,2,FALSE)*AM$110</f>
        <v>259168.30240981496</v>
      </c>
      <c r="AN85" s="103">
        <f>VLOOKUP($AF85,'US Grid mix, emissions&amp;prices'!$H$113:$I$163,2,FALSE)*AN$110</f>
        <v>259168.30240981496</v>
      </c>
      <c r="AO85" s="103">
        <f>VLOOKUP($AF85,'US Grid mix, emissions&amp;prices'!$H$113:$I$163,2,FALSE)*AO$110</f>
        <v>259168.30240981496</v>
      </c>
      <c r="AP85" s="103">
        <f>VLOOKUP($AF85,'US Grid mix, emissions&amp;prices'!$H$113:$I$163,2,FALSE)*AP$110</f>
        <v>259168.30240981496</v>
      </c>
      <c r="AQ85" s="103">
        <f>VLOOKUP($AF85,'US Grid mix, emissions&amp;prices'!$H$113:$I$163,2,FALSE)*AQ$110</f>
        <v>259168.30240981496</v>
      </c>
      <c r="AR85" s="103">
        <f>VLOOKUP($AF85,'US Grid mix, emissions&amp;prices'!$H$113:$I$163,2,FALSE)*AR$110</f>
        <v>259168.30240981496</v>
      </c>
      <c r="AS85" s="103">
        <f>VLOOKUP($AF85,'US Grid mix, emissions&amp;prices'!$H$113:$I$163,2,FALSE)*AS$110</f>
        <v>259168.30240981496</v>
      </c>
      <c r="AT85" s="103">
        <f>VLOOKUP($AF85,'US Grid mix, emissions&amp;prices'!$H$113:$I$163,2,FALSE)*AT$110</f>
        <v>259168.30240981496</v>
      </c>
      <c r="AU85" s="103">
        <f>VLOOKUP($AF85,'US Grid mix, emissions&amp;prices'!$H$113:$I$163,2,FALSE)*AU$110</f>
        <v>259168.30240981496</v>
      </c>
      <c r="AV85" s="103">
        <f>VLOOKUP($AF85,'US Grid mix, emissions&amp;prices'!$H$113:$I$163,2,FALSE)*AV$110</f>
        <v>259168.30240981496</v>
      </c>
      <c r="AW85" s="103">
        <f>VLOOKUP($AF85,'US Grid mix, emissions&amp;prices'!$H$113:$I$163,2,FALSE)*AW$110</f>
        <v>259168.30240981496</v>
      </c>
      <c r="AX85" s="103">
        <f>VLOOKUP($AF85,'US Grid mix, emissions&amp;prices'!$H$113:$I$163,2,FALSE)*AX$110</f>
        <v>259168.30240981496</v>
      </c>
      <c r="AY85" s="103">
        <f>VLOOKUP($AF85,'US Grid mix, emissions&amp;prices'!$H$113:$I$163,2,FALSE)*AY$110</f>
        <v>259168.30240981496</v>
      </c>
      <c r="AZ85" s="103">
        <f>VLOOKUP($AF85,'US Grid mix, emissions&amp;prices'!$H$113:$I$163,2,FALSE)*AZ$110</f>
        <v>259168.30240981496</v>
      </c>
      <c r="BA85" s="103">
        <f>VLOOKUP($AF85,'US Grid mix, emissions&amp;prices'!$H$113:$I$163,2,FALSE)*BA$110</f>
        <v>259168.30240981496</v>
      </c>
      <c r="BB85" s="103">
        <f>VLOOKUP($AF85,'US Grid mix, emissions&amp;prices'!$H$113:$I$163,2,FALSE)*BB$110</f>
        <v>259168.30240981496</v>
      </c>
      <c r="BC85" s="103">
        <f>VLOOKUP($AF85,'US Grid mix, emissions&amp;prices'!$H$113:$I$163,2,FALSE)*BC$110</f>
        <v>259168.30240981496</v>
      </c>
      <c r="BD85" s="103">
        <f>VLOOKUP($AF85,'US Grid mix, emissions&amp;prices'!$H$113:$I$163,2,FALSE)*BD$110</f>
        <v>259168.30240981496</v>
      </c>
      <c r="BE85" s="103">
        <f>VLOOKUP($AF85,'US Grid mix, emissions&amp;prices'!$H$113:$I$163,2,FALSE)*BE$110</f>
        <v>259168.30240981496</v>
      </c>
      <c r="BF85" s="103">
        <f>VLOOKUP($AF85,'US Grid mix, emissions&amp;prices'!$H$113:$I$163,2,FALSE)*BF$110</f>
        <v>259168.30240981496</v>
      </c>
      <c r="BG85" s="103">
        <f>VLOOKUP($AF85,'US Grid mix, emissions&amp;prices'!$H$113:$I$163,2,FALSE)*BG$110</f>
        <v>259168.30240981496</v>
      </c>
      <c r="BH85" s="103">
        <f>VLOOKUP($AF85,'US Grid mix, emissions&amp;prices'!$H$113:$I$163,2,FALSE)*BH$110</f>
        <v>259168.30240981496</v>
      </c>
    </row>
    <row r="86" spans="1:60" x14ac:dyDescent="0.25">
      <c r="A86" s="83" t="s">
        <v>215</v>
      </c>
      <c r="B86" s="103">
        <f>VLOOKUP($A86,'US Grid mix, emissions&amp;prices'!$H$113:$I$163,2,FALSE)*B$110</f>
        <v>157996.14210741286</v>
      </c>
      <c r="C86" s="103">
        <f>VLOOKUP($A86,'US Grid mix, emissions&amp;prices'!$H$113:$I$163,2,FALSE)*C$110</f>
        <v>157996.14210741286</v>
      </c>
      <c r="D86" s="103">
        <f>VLOOKUP($A86,'US Grid mix, emissions&amp;prices'!$H$113:$I$163,2,FALSE)*D$110</f>
        <v>157996.14210741286</v>
      </c>
      <c r="E86" s="103">
        <f>VLOOKUP($A86,'US Grid mix, emissions&amp;prices'!$H$113:$I$163,2,FALSE)*E$110</f>
        <v>157996.14210741286</v>
      </c>
      <c r="F86" s="103">
        <f>VLOOKUP($A86,'US Grid mix, emissions&amp;prices'!$H$113:$I$163,2,FALSE)*F$110</f>
        <v>157996.14210741286</v>
      </c>
      <c r="G86" s="103">
        <f>VLOOKUP($A86,'US Grid mix, emissions&amp;prices'!$H$113:$I$163,2,FALSE)*G$110</f>
        <v>157996.14210741286</v>
      </c>
      <c r="H86" s="103">
        <f>VLOOKUP($A86,'US Grid mix, emissions&amp;prices'!$H$113:$I$163,2,FALSE)*H$110</f>
        <v>157996.14210741286</v>
      </c>
      <c r="I86" s="103">
        <f>VLOOKUP($A86,'US Grid mix, emissions&amp;prices'!$H$113:$I$163,2,FALSE)*I$110</f>
        <v>157996.14210741286</v>
      </c>
      <c r="J86" s="103">
        <f>VLOOKUP($A86,'US Grid mix, emissions&amp;prices'!$H$113:$I$163,2,FALSE)*J$110</f>
        <v>157996.14210741286</v>
      </c>
      <c r="K86" s="103">
        <f>VLOOKUP($A86,'US Grid mix, emissions&amp;prices'!$H$113:$I$163,2,FALSE)*K$110</f>
        <v>157996.14210741286</v>
      </c>
      <c r="L86" s="103">
        <f>VLOOKUP($A86,'US Grid mix, emissions&amp;prices'!$H$113:$I$163,2,FALSE)*L$110</f>
        <v>157996.14210741286</v>
      </c>
      <c r="M86" s="103">
        <f>VLOOKUP($A86,'US Grid mix, emissions&amp;prices'!$H$113:$I$163,2,FALSE)*M$110</f>
        <v>157996.14210741286</v>
      </c>
      <c r="N86" s="103">
        <f>VLOOKUP($A86,'US Grid mix, emissions&amp;prices'!$H$113:$I$163,2,FALSE)*N$110</f>
        <v>157996.14210741286</v>
      </c>
      <c r="O86" s="103">
        <f>VLOOKUP($A86,'US Grid mix, emissions&amp;prices'!$H$113:$I$163,2,FALSE)*O$110</f>
        <v>157996.14210741286</v>
      </c>
      <c r="P86" s="103">
        <f>VLOOKUP($A86,'US Grid mix, emissions&amp;prices'!$H$113:$I$163,2,FALSE)*P$110</f>
        <v>157996.14210741286</v>
      </c>
      <c r="Q86" s="103">
        <f>VLOOKUP($A86,'US Grid mix, emissions&amp;prices'!$H$113:$I$163,2,FALSE)*Q$110</f>
        <v>157996.14210741286</v>
      </c>
      <c r="R86" s="103">
        <f>VLOOKUP($A86,'US Grid mix, emissions&amp;prices'!$H$113:$I$163,2,FALSE)*R$110</f>
        <v>157996.14210741286</v>
      </c>
      <c r="S86" s="103">
        <f>VLOOKUP($A86,'US Grid mix, emissions&amp;prices'!$H$113:$I$163,2,FALSE)*S$110</f>
        <v>157996.14210741286</v>
      </c>
      <c r="T86" s="103">
        <f>VLOOKUP($A86,'US Grid mix, emissions&amp;prices'!$H$113:$I$163,2,FALSE)*T$110</f>
        <v>157996.14210741286</v>
      </c>
      <c r="U86" s="103">
        <f>VLOOKUP($A86,'US Grid mix, emissions&amp;prices'!$H$113:$I$163,2,FALSE)*U$110</f>
        <v>157996.14210741286</v>
      </c>
      <c r="V86" s="103">
        <f>VLOOKUP($A86,'US Grid mix, emissions&amp;prices'!$H$113:$I$163,2,FALSE)*V$110</f>
        <v>157996.14210741286</v>
      </c>
      <c r="W86" s="103">
        <f>VLOOKUP($A86,'US Grid mix, emissions&amp;prices'!$H$113:$I$163,2,FALSE)*W$110</f>
        <v>157996.14210741286</v>
      </c>
      <c r="X86" s="103">
        <f>VLOOKUP($A86,'US Grid mix, emissions&amp;prices'!$H$113:$I$163,2,FALSE)*X$110</f>
        <v>157996.14210741286</v>
      </c>
      <c r="Y86" s="103">
        <f>VLOOKUP($A86,'US Grid mix, emissions&amp;prices'!$H$113:$I$163,2,FALSE)*Y$110</f>
        <v>157996.14210741286</v>
      </c>
      <c r="Z86" s="103">
        <f>VLOOKUP($A86,'US Grid mix, emissions&amp;prices'!$H$113:$I$163,2,FALSE)*Z$110</f>
        <v>157996.14210741286</v>
      </c>
      <c r="AA86" s="103">
        <f>VLOOKUP($A86,'US Grid mix, emissions&amp;prices'!$H$113:$I$163,2,FALSE)*AA$110</f>
        <v>157996.14210741286</v>
      </c>
      <c r="AB86" s="103">
        <f>VLOOKUP($A86,'US Grid mix, emissions&amp;prices'!$H$113:$I$163,2,FALSE)*AB$110</f>
        <v>157996.14210741286</v>
      </c>
      <c r="AC86" s="103">
        <f>VLOOKUP($A86,'US Grid mix, emissions&amp;prices'!$H$113:$I$163,2,FALSE)*AC$110</f>
        <v>157996.14210741286</v>
      </c>
      <c r="AF86" s="83" t="s">
        <v>215</v>
      </c>
      <c r="AG86" s="103">
        <f>VLOOKUP($AF86,'US Grid mix, emissions&amp;prices'!$H$113:$I$163,2,FALSE)*AG$110</f>
        <v>183029.11571273342</v>
      </c>
      <c r="AH86" s="103">
        <f>VLOOKUP($AF86,'US Grid mix, emissions&amp;prices'!$H$113:$I$163,2,FALSE)*AH$110</f>
        <v>183029.11571273342</v>
      </c>
      <c r="AI86" s="103">
        <f>VLOOKUP($AF86,'US Grid mix, emissions&amp;prices'!$H$113:$I$163,2,FALSE)*AI$110</f>
        <v>183029.11571273342</v>
      </c>
      <c r="AJ86" s="103">
        <f>VLOOKUP($AF86,'US Grid mix, emissions&amp;prices'!$H$113:$I$163,2,FALSE)*AJ$110</f>
        <v>183029.11571273342</v>
      </c>
      <c r="AK86" s="103">
        <f>VLOOKUP($AF86,'US Grid mix, emissions&amp;prices'!$H$113:$I$163,2,FALSE)*AK$110</f>
        <v>183029.11571273342</v>
      </c>
      <c r="AL86" s="103">
        <f>VLOOKUP($AF86,'US Grid mix, emissions&amp;prices'!$H$113:$I$163,2,FALSE)*AL$110</f>
        <v>183029.11571273342</v>
      </c>
      <c r="AM86" s="103">
        <f>VLOOKUP($AF86,'US Grid mix, emissions&amp;prices'!$H$113:$I$163,2,FALSE)*AM$110</f>
        <v>183029.11571273342</v>
      </c>
      <c r="AN86" s="103">
        <f>VLOOKUP($AF86,'US Grid mix, emissions&amp;prices'!$H$113:$I$163,2,FALSE)*AN$110</f>
        <v>183029.11571273342</v>
      </c>
      <c r="AO86" s="103">
        <f>VLOOKUP($AF86,'US Grid mix, emissions&amp;prices'!$H$113:$I$163,2,FALSE)*AO$110</f>
        <v>183029.11571273342</v>
      </c>
      <c r="AP86" s="103">
        <f>VLOOKUP($AF86,'US Grid mix, emissions&amp;prices'!$H$113:$I$163,2,FALSE)*AP$110</f>
        <v>183029.11571273342</v>
      </c>
      <c r="AQ86" s="103">
        <f>VLOOKUP($AF86,'US Grid mix, emissions&amp;prices'!$H$113:$I$163,2,FALSE)*AQ$110</f>
        <v>183029.11571273342</v>
      </c>
      <c r="AR86" s="103">
        <f>VLOOKUP($AF86,'US Grid mix, emissions&amp;prices'!$H$113:$I$163,2,FALSE)*AR$110</f>
        <v>183029.11571273342</v>
      </c>
      <c r="AS86" s="103">
        <f>VLOOKUP($AF86,'US Grid mix, emissions&amp;prices'!$H$113:$I$163,2,FALSE)*AS$110</f>
        <v>183029.11571273342</v>
      </c>
      <c r="AT86" s="103">
        <f>VLOOKUP($AF86,'US Grid mix, emissions&amp;prices'!$H$113:$I$163,2,FALSE)*AT$110</f>
        <v>183029.11571273342</v>
      </c>
      <c r="AU86" s="103">
        <f>VLOOKUP($AF86,'US Grid mix, emissions&amp;prices'!$H$113:$I$163,2,FALSE)*AU$110</f>
        <v>183029.11571273342</v>
      </c>
      <c r="AV86" s="103">
        <f>VLOOKUP($AF86,'US Grid mix, emissions&amp;prices'!$H$113:$I$163,2,FALSE)*AV$110</f>
        <v>183029.11571273342</v>
      </c>
      <c r="AW86" s="103">
        <f>VLOOKUP($AF86,'US Grid mix, emissions&amp;prices'!$H$113:$I$163,2,FALSE)*AW$110</f>
        <v>183029.11571273342</v>
      </c>
      <c r="AX86" s="103">
        <f>VLOOKUP($AF86,'US Grid mix, emissions&amp;prices'!$H$113:$I$163,2,FALSE)*AX$110</f>
        <v>183029.11571273342</v>
      </c>
      <c r="AY86" s="103">
        <f>VLOOKUP($AF86,'US Grid mix, emissions&amp;prices'!$H$113:$I$163,2,FALSE)*AY$110</f>
        <v>183029.11571273342</v>
      </c>
      <c r="AZ86" s="103">
        <f>VLOOKUP($AF86,'US Grid mix, emissions&amp;prices'!$H$113:$I$163,2,FALSE)*AZ$110</f>
        <v>183029.11571273342</v>
      </c>
      <c r="BA86" s="103">
        <f>VLOOKUP($AF86,'US Grid mix, emissions&amp;prices'!$H$113:$I$163,2,FALSE)*BA$110</f>
        <v>183029.11571273342</v>
      </c>
      <c r="BB86" s="103">
        <f>VLOOKUP($AF86,'US Grid mix, emissions&amp;prices'!$H$113:$I$163,2,FALSE)*BB$110</f>
        <v>183029.11571273342</v>
      </c>
      <c r="BC86" s="103">
        <f>VLOOKUP($AF86,'US Grid mix, emissions&amp;prices'!$H$113:$I$163,2,FALSE)*BC$110</f>
        <v>183029.11571273342</v>
      </c>
      <c r="BD86" s="103">
        <f>VLOOKUP($AF86,'US Grid mix, emissions&amp;prices'!$H$113:$I$163,2,FALSE)*BD$110</f>
        <v>183029.11571273342</v>
      </c>
      <c r="BE86" s="103">
        <f>VLOOKUP($AF86,'US Grid mix, emissions&amp;prices'!$H$113:$I$163,2,FALSE)*BE$110</f>
        <v>183029.11571273342</v>
      </c>
      <c r="BF86" s="103">
        <f>VLOOKUP($AF86,'US Grid mix, emissions&amp;prices'!$H$113:$I$163,2,FALSE)*BF$110</f>
        <v>183029.11571273342</v>
      </c>
      <c r="BG86" s="103">
        <f>VLOOKUP($AF86,'US Grid mix, emissions&amp;prices'!$H$113:$I$163,2,FALSE)*BG$110</f>
        <v>183029.11571273342</v>
      </c>
      <c r="BH86" s="103">
        <f>VLOOKUP($AF86,'US Grid mix, emissions&amp;prices'!$H$113:$I$163,2,FALSE)*BH$110</f>
        <v>183029.11571273342</v>
      </c>
    </row>
    <row r="87" spans="1:60" x14ac:dyDescent="0.25">
      <c r="A87" s="83" t="s">
        <v>212</v>
      </c>
      <c r="B87" s="103">
        <f>VLOOKUP($A87,'US Grid mix, emissions&amp;prices'!$H$113:$I$163,2,FALSE)*B$110</f>
        <v>66259.621242129753</v>
      </c>
      <c r="C87" s="103">
        <f>VLOOKUP($A87,'US Grid mix, emissions&amp;prices'!$H$113:$I$163,2,FALSE)*C$110</f>
        <v>66259.621242129753</v>
      </c>
      <c r="D87" s="103">
        <f>VLOOKUP($A87,'US Grid mix, emissions&amp;prices'!$H$113:$I$163,2,FALSE)*D$110</f>
        <v>66259.621242129753</v>
      </c>
      <c r="E87" s="103">
        <f>VLOOKUP($A87,'US Grid mix, emissions&amp;prices'!$H$113:$I$163,2,FALSE)*E$110</f>
        <v>66259.621242129753</v>
      </c>
      <c r="F87" s="103">
        <f>VLOOKUP($A87,'US Grid mix, emissions&amp;prices'!$H$113:$I$163,2,FALSE)*F$110</f>
        <v>66259.621242129753</v>
      </c>
      <c r="G87" s="103">
        <f>VLOOKUP($A87,'US Grid mix, emissions&amp;prices'!$H$113:$I$163,2,FALSE)*G$110</f>
        <v>66259.621242129753</v>
      </c>
      <c r="H87" s="103">
        <f>VLOOKUP($A87,'US Grid mix, emissions&amp;prices'!$H$113:$I$163,2,FALSE)*H$110</f>
        <v>66259.621242129753</v>
      </c>
      <c r="I87" s="103">
        <f>VLOOKUP($A87,'US Grid mix, emissions&amp;prices'!$H$113:$I$163,2,FALSE)*I$110</f>
        <v>66259.621242129753</v>
      </c>
      <c r="J87" s="103">
        <f>VLOOKUP($A87,'US Grid mix, emissions&amp;prices'!$H$113:$I$163,2,FALSE)*J$110</f>
        <v>66259.621242129753</v>
      </c>
      <c r="K87" s="103">
        <f>VLOOKUP($A87,'US Grid mix, emissions&amp;prices'!$H$113:$I$163,2,FALSE)*K$110</f>
        <v>66259.621242129753</v>
      </c>
      <c r="L87" s="103">
        <f>VLOOKUP($A87,'US Grid mix, emissions&amp;prices'!$H$113:$I$163,2,FALSE)*L$110</f>
        <v>66259.621242129753</v>
      </c>
      <c r="M87" s="103">
        <f>VLOOKUP($A87,'US Grid mix, emissions&amp;prices'!$H$113:$I$163,2,FALSE)*M$110</f>
        <v>66259.621242129753</v>
      </c>
      <c r="N87" s="103">
        <f>VLOOKUP($A87,'US Grid mix, emissions&amp;prices'!$H$113:$I$163,2,FALSE)*N$110</f>
        <v>66259.621242129753</v>
      </c>
      <c r="O87" s="103">
        <f>VLOOKUP($A87,'US Grid mix, emissions&amp;prices'!$H$113:$I$163,2,FALSE)*O$110</f>
        <v>66259.621242129753</v>
      </c>
      <c r="P87" s="103">
        <f>VLOOKUP($A87,'US Grid mix, emissions&amp;prices'!$H$113:$I$163,2,FALSE)*P$110</f>
        <v>66259.621242129753</v>
      </c>
      <c r="Q87" s="103">
        <f>VLOOKUP($A87,'US Grid mix, emissions&amp;prices'!$H$113:$I$163,2,FALSE)*Q$110</f>
        <v>66259.621242129753</v>
      </c>
      <c r="R87" s="103">
        <f>VLOOKUP($A87,'US Grid mix, emissions&amp;prices'!$H$113:$I$163,2,FALSE)*R$110</f>
        <v>66259.621242129753</v>
      </c>
      <c r="S87" s="103">
        <f>VLOOKUP($A87,'US Grid mix, emissions&amp;prices'!$H$113:$I$163,2,FALSE)*S$110</f>
        <v>66259.621242129753</v>
      </c>
      <c r="T87" s="103">
        <f>VLOOKUP($A87,'US Grid mix, emissions&amp;prices'!$H$113:$I$163,2,FALSE)*T$110</f>
        <v>66259.621242129753</v>
      </c>
      <c r="U87" s="103">
        <f>VLOOKUP($A87,'US Grid mix, emissions&amp;prices'!$H$113:$I$163,2,FALSE)*U$110</f>
        <v>66259.621242129753</v>
      </c>
      <c r="V87" s="103">
        <f>VLOOKUP($A87,'US Grid mix, emissions&amp;prices'!$H$113:$I$163,2,FALSE)*V$110</f>
        <v>66259.621242129753</v>
      </c>
      <c r="W87" s="103">
        <f>VLOOKUP($A87,'US Grid mix, emissions&amp;prices'!$H$113:$I$163,2,FALSE)*W$110</f>
        <v>66259.621242129753</v>
      </c>
      <c r="X87" s="103">
        <f>VLOOKUP($A87,'US Grid mix, emissions&amp;prices'!$H$113:$I$163,2,FALSE)*X$110</f>
        <v>66259.621242129753</v>
      </c>
      <c r="Y87" s="103">
        <f>VLOOKUP($A87,'US Grid mix, emissions&amp;prices'!$H$113:$I$163,2,FALSE)*Y$110</f>
        <v>66259.621242129753</v>
      </c>
      <c r="Z87" s="103">
        <f>VLOOKUP($A87,'US Grid mix, emissions&amp;prices'!$H$113:$I$163,2,FALSE)*Z$110</f>
        <v>66259.621242129753</v>
      </c>
      <c r="AA87" s="103">
        <f>VLOOKUP($A87,'US Grid mix, emissions&amp;prices'!$H$113:$I$163,2,FALSE)*AA$110</f>
        <v>66259.621242129753</v>
      </c>
      <c r="AB87" s="103">
        <f>VLOOKUP($A87,'US Grid mix, emissions&amp;prices'!$H$113:$I$163,2,FALSE)*AB$110</f>
        <v>66259.621242129753</v>
      </c>
      <c r="AC87" s="103">
        <f>VLOOKUP($A87,'US Grid mix, emissions&amp;prices'!$H$113:$I$163,2,FALSE)*AC$110</f>
        <v>66259.621242129753</v>
      </c>
      <c r="AF87" s="83" t="s">
        <v>212</v>
      </c>
      <c r="AG87" s="103">
        <f>VLOOKUP($AF87,'US Grid mix, emissions&amp;prices'!$H$113:$I$163,2,FALSE)*AG$110</f>
        <v>76757.822828122473</v>
      </c>
      <c r="AH87" s="103">
        <f>VLOOKUP($AF87,'US Grid mix, emissions&amp;prices'!$H$113:$I$163,2,FALSE)*AH$110</f>
        <v>76757.822828122473</v>
      </c>
      <c r="AI87" s="103">
        <f>VLOOKUP($AF87,'US Grid mix, emissions&amp;prices'!$H$113:$I$163,2,FALSE)*AI$110</f>
        <v>76757.822828122473</v>
      </c>
      <c r="AJ87" s="103">
        <f>VLOOKUP($AF87,'US Grid mix, emissions&amp;prices'!$H$113:$I$163,2,FALSE)*AJ$110</f>
        <v>76757.822828122473</v>
      </c>
      <c r="AK87" s="103">
        <f>VLOOKUP($AF87,'US Grid mix, emissions&amp;prices'!$H$113:$I$163,2,FALSE)*AK$110</f>
        <v>76757.822828122473</v>
      </c>
      <c r="AL87" s="103">
        <f>VLOOKUP($AF87,'US Grid mix, emissions&amp;prices'!$H$113:$I$163,2,FALSE)*AL$110</f>
        <v>76757.822828122473</v>
      </c>
      <c r="AM87" s="103">
        <f>VLOOKUP($AF87,'US Grid mix, emissions&amp;prices'!$H$113:$I$163,2,FALSE)*AM$110</f>
        <v>76757.822828122473</v>
      </c>
      <c r="AN87" s="103">
        <f>VLOOKUP($AF87,'US Grid mix, emissions&amp;prices'!$H$113:$I$163,2,FALSE)*AN$110</f>
        <v>76757.822828122473</v>
      </c>
      <c r="AO87" s="103">
        <f>VLOOKUP($AF87,'US Grid mix, emissions&amp;prices'!$H$113:$I$163,2,FALSE)*AO$110</f>
        <v>76757.822828122473</v>
      </c>
      <c r="AP87" s="103">
        <f>VLOOKUP($AF87,'US Grid mix, emissions&amp;prices'!$H$113:$I$163,2,FALSE)*AP$110</f>
        <v>76757.822828122473</v>
      </c>
      <c r="AQ87" s="103">
        <f>VLOOKUP($AF87,'US Grid mix, emissions&amp;prices'!$H$113:$I$163,2,FALSE)*AQ$110</f>
        <v>76757.822828122473</v>
      </c>
      <c r="AR87" s="103">
        <f>VLOOKUP($AF87,'US Grid mix, emissions&amp;prices'!$H$113:$I$163,2,FALSE)*AR$110</f>
        <v>76757.822828122473</v>
      </c>
      <c r="AS87" s="103">
        <f>VLOOKUP($AF87,'US Grid mix, emissions&amp;prices'!$H$113:$I$163,2,FALSE)*AS$110</f>
        <v>76757.822828122473</v>
      </c>
      <c r="AT87" s="103">
        <f>VLOOKUP($AF87,'US Grid mix, emissions&amp;prices'!$H$113:$I$163,2,FALSE)*AT$110</f>
        <v>76757.822828122473</v>
      </c>
      <c r="AU87" s="103">
        <f>VLOOKUP($AF87,'US Grid mix, emissions&amp;prices'!$H$113:$I$163,2,FALSE)*AU$110</f>
        <v>76757.822828122473</v>
      </c>
      <c r="AV87" s="103">
        <f>VLOOKUP($AF87,'US Grid mix, emissions&amp;prices'!$H$113:$I$163,2,FALSE)*AV$110</f>
        <v>76757.822828122473</v>
      </c>
      <c r="AW87" s="103">
        <f>VLOOKUP($AF87,'US Grid mix, emissions&amp;prices'!$H$113:$I$163,2,FALSE)*AW$110</f>
        <v>76757.822828122473</v>
      </c>
      <c r="AX87" s="103">
        <f>VLOOKUP($AF87,'US Grid mix, emissions&amp;prices'!$H$113:$I$163,2,FALSE)*AX$110</f>
        <v>76757.822828122473</v>
      </c>
      <c r="AY87" s="103">
        <f>VLOOKUP($AF87,'US Grid mix, emissions&amp;prices'!$H$113:$I$163,2,FALSE)*AY$110</f>
        <v>76757.822828122473</v>
      </c>
      <c r="AZ87" s="103">
        <f>VLOOKUP($AF87,'US Grid mix, emissions&amp;prices'!$H$113:$I$163,2,FALSE)*AZ$110</f>
        <v>76757.822828122473</v>
      </c>
      <c r="BA87" s="103">
        <f>VLOOKUP($AF87,'US Grid mix, emissions&amp;prices'!$H$113:$I$163,2,FALSE)*BA$110</f>
        <v>76757.822828122473</v>
      </c>
      <c r="BB87" s="103">
        <f>VLOOKUP($AF87,'US Grid mix, emissions&amp;prices'!$H$113:$I$163,2,FALSE)*BB$110</f>
        <v>76757.822828122473</v>
      </c>
      <c r="BC87" s="103">
        <f>VLOOKUP($AF87,'US Grid mix, emissions&amp;prices'!$H$113:$I$163,2,FALSE)*BC$110</f>
        <v>76757.822828122473</v>
      </c>
      <c r="BD87" s="103">
        <f>VLOOKUP($AF87,'US Grid mix, emissions&amp;prices'!$H$113:$I$163,2,FALSE)*BD$110</f>
        <v>76757.822828122473</v>
      </c>
      <c r="BE87" s="103">
        <f>VLOOKUP($AF87,'US Grid mix, emissions&amp;prices'!$H$113:$I$163,2,FALSE)*BE$110</f>
        <v>76757.822828122473</v>
      </c>
      <c r="BF87" s="103">
        <f>VLOOKUP($AF87,'US Grid mix, emissions&amp;prices'!$H$113:$I$163,2,FALSE)*BF$110</f>
        <v>76757.822828122473</v>
      </c>
      <c r="BG87" s="103">
        <f>VLOOKUP($AF87,'US Grid mix, emissions&amp;prices'!$H$113:$I$163,2,FALSE)*BG$110</f>
        <v>76757.822828122473</v>
      </c>
      <c r="BH87" s="103">
        <f>VLOOKUP($AF87,'US Grid mix, emissions&amp;prices'!$H$113:$I$163,2,FALSE)*BH$110</f>
        <v>76757.822828122473</v>
      </c>
    </row>
    <row r="88" spans="1:60" x14ac:dyDescent="0.25">
      <c r="A88" s="83" t="s">
        <v>213</v>
      </c>
      <c r="B88" s="103">
        <f>VLOOKUP($A88,'US Grid mix, emissions&amp;prices'!$H$113:$I$163,2,FALSE)*B$110</f>
        <v>119306.10379081541</v>
      </c>
      <c r="C88" s="103">
        <f>VLOOKUP($A88,'US Grid mix, emissions&amp;prices'!$H$113:$I$163,2,FALSE)*C$110</f>
        <v>119306.10379081541</v>
      </c>
      <c r="D88" s="103">
        <f>VLOOKUP($A88,'US Grid mix, emissions&amp;prices'!$H$113:$I$163,2,FALSE)*D$110</f>
        <v>119306.10379081541</v>
      </c>
      <c r="E88" s="103">
        <f>VLOOKUP($A88,'US Grid mix, emissions&amp;prices'!$H$113:$I$163,2,FALSE)*E$110</f>
        <v>119306.10379081541</v>
      </c>
      <c r="F88" s="103">
        <f>VLOOKUP($A88,'US Grid mix, emissions&amp;prices'!$H$113:$I$163,2,FALSE)*F$110</f>
        <v>119306.10379081541</v>
      </c>
      <c r="G88" s="103">
        <f>VLOOKUP($A88,'US Grid mix, emissions&amp;prices'!$H$113:$I$163,2,FALSE)*G$110</f>
        <v>119306.10379081541</v>
      </c>
      <c r="H88" s="103">
        <f>VLOOKUP($A88,'US Grid mix, emissions&amp;prices'!$H$113:$I$163,2,FALSE)*H$110</f>
        <v>119306.10379081541</v>
      </c>
      <c r="I88" s="103">
        <f>VLOOKUP($A88,'US Grid mix, emissions&amp;prices'!$H$113:$I$163,2,FALSE)*I$110</f>
        <v>119306.10379081541</v>
      </c>
      <c r="J88" s="103">
        <f>VLOOKUP($A88,'US Grid mix, emissions&amp;prices'!$H$113:$I$163,2,FALSE)*J$110</f>
        <v>119306.10379081541</v>
      </c>
      <c r="K88" s="103">
        <f>VLOOKUP($A88,'US Grid mix, emissions&amp;prices'!$H$113:$I$163,2,FALSE)*K$110</f>
        <v>119306.10379081541</v>
      </c>
      <c r="L88" s="103">
        <f>VLOOKUP($A88,'US Grid mix, emissions&amp;prices'!$H$113:$I$163,2,FALSE)*L$110</f>
        <v>119306.10379081541</v>
      </c>
      <c r="M88" s="103">
        <f>VLOOKUP($A88,'US Grid mix, emissions&amp;prices'!$H$113:$I$163,2,FALSE)*M$110</f>
        <v>119306.10379081541</v>
      </c>
      <c r="N88" s="103">
        <f>VLOOKUP($A88,'US Grid mix, emissions&amp;prices'!$H$113:$I$163,2,FALSE)*N$110</f>
        <v>119306.10379081541</v>
      </c>
      <c r="O88" s="103">
        <f>VLOOKUP($A88,'US Grid mix, emissions&amp;prices'!$H$113:$I$163,2,FALSE)*O$110</f>
        <v>119306.10379081541</v>
      </c>
      <c r="P88" s="103">
        <f>VLOOKUP($A88,'US Grid mix, emissions&amp;prices'!$H$113:$I$163,2,FALSE)*P$110</f>
        <v>119306.10379081541</v>
      </c>
      <c r="Q88" s="103">
        <f>VLOOKUP($A88,'US Grid mix, emissions&amp;prices'!$H$113:$I$163,2,FALSE)*Q$110</f>
        <v>119306.10379081541</v>
      </c>
      <c r="R88" s="103">
        <f>VLOOKUP($A88,'US Grid mix, emissions&amp;prices'!$H$113:$I$163,2,FALSE)*R$110</f>
        <v>119306.10379081541</v>
      </c>
      <c r="S88" s="103">
        <f>VLOOKUP($A88,'US Grid mix, emissions&amp;prices'!$H$113:$I$163,2,FALSE)*S$110</f>
        <v>119306.10379081541</v>
      </c>
      <c r="T88" s="103">
        <f>VLOOKUP($A88,'US Grid mix, emissions&amp;prices'!$H$113:$I$163,2,FALSE)*T$110</f>
        <v>119306.10379081541</v>
      </c>
      <c r="U88" s="103">
        <f>VLOOKUP($A88,'US Grid mix, emissions&amp;prices'!$H$113:$I$163,2,FALSE)*U$110</f>
        <v>119306.10379081541</v>
      </c>
      <c r="V88" s="103">
        <f>VLOOKUP($A88,'US Grid mix, emissions&amp;prices'!$H$113:$I$163,2,FALSE)*V$110</f>
        <v>119306.10379081541</v>
      </c>
      <c r="W88" s="103">
        <f>VLOOKUP($A88,'US Grid mix, emissions&amp;prices'!$H$113:$I$163,2,FALSE)*W$110</f>
        <v>119306.10379081541</v>
      </c>
      <c r="X88" s="103">
        <f>VLOOKUP($A88,'US Grid mix, emissions&amp;prices'!$H$113:$I$163,2,FALSE)*X$110</f>
        <v>119306.10379081541</v>
      </c>
      <c r="Y88" s="103">
        <f>VLOOKUP($A88,'US Grid mix, emissions&amp;prices'!$H$113:$I$163,2,FALSE)*Y$110</f>
        <v>119306.10379081541</v>
      </c>
      <c r="Z88" s="103">
        <f>VLOOKUP($A88,'US Grid mix, emissions&amp;prices'!$H$113:$I$163,2,FALSE)*Z$110</f>
        <v>119306.10379081541</v>
      </c>
      <c r="AA88" s="103">
        <f>VLOOKUP($A88,'US Grid mix, emissions&amp;prices'!$H$113:$I$163,2,FALSE)*AA$110</f>
        <v>119306.10379081541</v>
      </c>
      <c r="AB88" s="103">
        <f>VLOOKUP($A88,'US Grid mix, emissions&amp;prices'!$H$113:$I$163,2,FALSE)*AB$110</f>
        <v>119306.10379081541</v>
      </c>
      <c r="AC88" s="103">
        <f>VLOOKUP($A88,'US Grid mix, emissions&amp;prices'!$H$113:$I$163,2,FALSE)*AC$110</f>
        <v>119306.10379081541</v>
      </c>
      <c r="AF88" s="83" t="s">
        <v>213</v>
      </c>
      <c r="AG88" s="103">
        <f>VLOOKUP($AF88,'US Grid mix, emissions&amp;prices'!$H$113:$I$163,2,FALSE)*AG$110</f>
        <v>138209.01184485323</v>
      </c>
      <c r="AH88" s="103">
        <f>VLOOKUP($AF88,'US Grid mix, emissions&amp;prices'!$H$113:$I$163,2,FALSE)*AH$110</f>
        <v>138209.01184485323</v>
      </c>
      <c r="AI88" s="103">
        <f>VLOOKUP($AF88,'US Grid mix, emissions&amp;prices'!$H$113:$I$163,2,FALSE)*AI$110</f>
        <v>138209.01184485323</v>
      </c>
      <c r="AJ88" s="103">
        <f>VLOOKUP($AF88,'US Grid mix, emissions&amp;prices'!$H$113:$I$163,2,FALSE)*AJ$110</f>
        <v>138209.01184485323</v>
      </c>
      <c r="AK88" s="103">
        <f>VLOOKUP($AF88,'US Grid mix, emissions&amp;prices'!$H$113:$I$163,2,FALSE)*AK$110</f>
        <v>138209.01184485323</v>
      </c>
      <c r="AL88" s="103">
        <f>VLOOKUP($AF88,'US Grid mix, emissions&amp;prices'!$H$113:$I$163,2,FALSE)*AL$110</f>
        <v>138209.01184485323</v>
      </c>
      <c r="AM88" s="103">
        <f>VLOOKUP($AF88,'US Grid mix, emissions&amp;prices'!$H$113:$I$163,2,FALSE)*AM$110</f>
        <v>138209.01184485323</v>
      </c>
      <c r="AN88" s="103">
        <f>VLOOKUP($AF88,'US Grid mix, emissions&amp;prices'!$H$113:$I$163,2,FALSE)*AN$110</f>
        <v>138209.01184485323</v>
      </c>
      <c r="AO88" s="103">
        <f>VLOOKUP($AF88,'US Grid mix, emissions&amp;prices'!$H$113:$I$163,2,FALSE)*AO$110</f>
        <v>138209.01184485323</v>
      </c>
      <c r="AP88" s="103">
        <f>VLOOKUP($AF88,'US Grid mix, emissions&amp;prices'!$H$113:$I$163,2,FALSE)*AP$110</f>
        <v>138209.01184485323</v>
      </c>
      <c r="AQ88" s="103">
        <f>VLOOKUP($AF88,'US Grid mix, emissions&amp;prices'!$H$113:$I$163,2,FALSE)*AQ$110</f>
        <v>138209.01184485323</v>
      </c>
      <c r="AR88" s="103">
        <f>VLOOKUP($AF88,'US Grid mix, emissions&amp;prices'!$H$113:$I$163,2,FALSE)*AR$110</f>
        <v>138209.01184485323</v>
      </c>
      <c r="AS88" s="103">
        <f>VLOOKUP($AF88,'US Grid mix, emissions&amp;prices'!$H$113:$I$163,2,FALSE)*AS$110</f>
        <v>138209.01184485323</v>
      </c>
      <c r="AT88" s="103">
        <f>VLOOKUP($AF88,'US Grid mix, emissions&amp;prices'!$H$113:$I$163,2,FALSE)*AT$110</f>
        <v>138209.01184485323</v>
      </c>
      <c r="AU88" s="103">
        <f>VLOOKUP($AF88,'US Grid mix, emissions&amp;prices'!$H$113:$I$163,2,FALSE)*AU$110</f>
        <v>138209.01184485323</v>
      </c>
      <c r="AV88" s="103">
        <f>VLOOKUP($AF88,'US Grid mix, emissions&amp;prices'!$H$113:$I$163,2,FALSE)*AV$110</f>
        <v>138209.01184485323</v>
      </c>
      <c r="AW88" s="103">
        <f>VLOOKUP($AF88,'US Grid mix, emissions&amp;prices'!$H$113:$I$163,2,FALSE)*AW$110</f>
        <v>138209.01184485323</v>
      </c>
      <c r="AX88" s="103">
        <f>VLOOKUP($AF88,'US Grid mix, emissions&amp;prices'!$H$113:$I$163,2,FALSE)*AX$110</f>
        <v>138209.01184485323</v>
      </c>
      <c r="AY88" s="103">
        <f>VLOOKUP($AF88,'US Grid mix, emissions&amp;prices'!$H$113:$I$163,2,FALSE)*AY$110</f>
        <v>138209.01184485323</v>
      </c>
      <c r="AZ88" s="103">
        <f>VLOOKUP($AF88,'US Grid mix, emissions&amp;prices'!$H$113:$I$163,2,FALSE)*AZ$110</f>
        <v>138209.01184485323</v>
      </c>
      <c r="BA88" s="103">
        <f>VLOOKUP($AF88,'US Grid mix, emissions&amp;prices'!$H$113:$I$163,2,FALSE)*BA$110</f>
        <v>138209.01184485323</v>
      </c>
      <c r="BB88" s="103">
        <f>VLOOKUP($AF88,'US Grid mix, emissions&amp;prices'!$H$113:$I$163,2,FALSE)*BB$110</f>
        <v>138209.01184485323</v>
      </c>
      <c r="BC88" s="103">
        <f>VLOOKUP($AF88,'US Grid mix, emissions&amp;prices'!$H$113:$I$163,2,FALSE)*BC$110</f>
        <v>138209.01184485323</v>
      </c>
      <c r="BD88" s="103">
        <f>VLOOKUP($AF88,'US Grid mix, emissions&amp;prices'!$H$113:$I$163,2,FALSE)*BD$110</f>
        <v>138209.01184485323</v>
      </c>
      <c r="BE88" s="103">
        <f>VLOOKUP($AF88,'US Grid mix, emissions&amp;prices'!$H$113:$I$163,2,FALSE)*BE$110</f>
        <v>138209.01184485323</v>
      </c>
      <c r="BF88" s="103">
        <f>VLOOKUP($AF88,'US Grid mix, emissions&amp;prices'!$H$113:$I$163,2,FALSE)*BF$110</f>
        <v>138209.01184485323</v>
      </c>
      <c r="BG88" s="103">
        <f>VLOOKUP($AF88,'US Grid mix, emissions&amp;prices'!$H$113:$I$163,2,FALSE)*BG$110</f>
        <v>138209.01184485323</v>
      </c>
      <c r="BH88" s="103">
        <f>VLOOKUP($AF88,'US Grid mix, emissions&amp;prices'!$H$113:$I$163,2,FALSE)*BH$110</f>
        <v>138209.01184485323</v>
      </c>
    </row>
    <row r="89" spans="1:60" x14ac:dyDescent="0.25">
      <c r="A89" s="83" t="s">
        <v>214</v>
      </c>
      <c r="B89" s="103">
        <f>VLOOKUP($A89,'US Grid mix, emissions&amp;prices'!$H$113:$I$163,2,FALSE)*B$110</f>
        <v>172310.61689567743</v>
      </c>
      <c r="C89" s="103">
        <f>VLOOKUP($A89,'US Grid mix, emissions&amp;prices'!$H$113:$I$163,2,FALSE)*C$110</f>
        <v>172310.61689567743</v>
      </c>
      <c r="D89" s="103">
        <f>VLOOKUP($A89,'US Grid mix, emissions&amp;prices'!$H$113:$I$163,2,FALSE)*D$110</f>
        <v>172310.61689567743</v>
      </c>
      <c r="E89" s="103">
        <f>VLOOKUP($A89,'US Grid mix, emissions&amp;prices'!$H$113:$I$163,2,FALSE)*E$110</f>
        <v>172310.61689567743</v>
      </c>
      <c r="F89" s="103">
        <f>VLOOKUP($A89,'US Grid mix, emissions&amp;prices'!$H$113:$I$163,2,FALSE)*F$110</f>
        <v>172310.61689567743</v>
      </c>
      <c r="G89" s="103">
        <f>VLOOKUP($A89,'US Grid mix, emissions&amp;prices'!$H$113:$I$163,2,FALSE)*G$110</f>
        <v>172310.61689567743</v>
      </c>
      <c r="H89" s="103">
        <f>VLOOKUP($A89,'US Grid mix, emissions&amp;prices'!$H$113:$I$163,2,FALSE)*H$110</f>
        <v>172310.61689567743</v>
      </c>
      <c r="I89" s="103">
        <f>VLOOKUP($A89,'US Grid mix, emissions&amp;prices'!$H$113:$I$163,2,FALSE)*I$110</f>
        <v>172310.61689567743</v>
      </c>
      <c r="J89" s="103">
        <f>VLOOKUP($A89,'US Grid mix, emissions&amp;prices'!$H$113:$I$163,2,FALSE)*J$110</f>
        <v>172310.61689567743</v>
      </c>
      <c r="K89" s="103">
        <f>VLOOKUP($A89,'US Grid mix, emissions&amp;prices'!$H$113:$I$163,2,FALSE)*K$110</f>
        <v>172310.61689567743</v>
      </c>
      <c r="L89" s="103">
        <f>VLOOKUP($A89,'US Grid mix, emissions&amp;prices'!$H$113:$I$163,2,FALSE)*L$110</f>
        <v>172310.61689567743</v>
      </c>
      <c r="M89" s="103">
        <f>VLOOKUP($A89,'US Grid mix, emissions&amp;prices'!$H$113:$I$163,2,FALSE)*M$110</f>
        <v>172310.61689567743</v>
      </c>
      <c r="N89" s="103">
        <f>VLOOKUP($A89,'US Grid mix, emissions&amp;prices'!$H$113:$I$163,2,FALSE)*N$110</f>
        <v>172310.61689567743</v>
      </c>
      <c r="O89" s="103">
        <f>VLOOKUP($A89,'US Grid mix, emissions&amp;prices'!$H$113:$I$163,2,FALSE)*O$110</f>
        <v>172310.61689567743</v>
      </c>
      <c r="P89" s="103">
        <f>VLOOKUP($A89,'US Grid mix, emissions&amp;prices'!$H$113:$I$163,2,FALSE)*P$110</f>
        <v>172310.61689567743</v>
      </c>
      <c r="Q89" s="103">
        <f>VLOOKUP($A89,'US Grid mix, emissions&amp;prices'!$H$113:$I$163,2,FALSE)*Q$110</f>
        <v>172310.61689567743</v>
      </c>
      <c r="R89" s="103">
        <f>VLOOKUP($A89,'US Grid mix, emissions&amp;prices'!$H$113:$I$163,2,FALSE)*R$110</f>
        <v>172310.61689567743</v>
      </c>
      <c r="S89" s="103">
        <f>VLOOKUP($A89,'US Grid mix, emissions&amp;prices'!$H$113:$I$163,2,FALSE)*S$110</f>
        <v>172310.61689567743</v>
      </c>
      <c r="T89" s="103">
        <f>VLOOKUP($A89,'US Grid mix, emissions&amp;prices'!$H$113:$I$163,2,FALSE)*T$110</f>
        <v>172310.61689567743</v>
      </c>
      <c r="U89" s="103">
        <f>VLOOKUP($A89,'US Grid mix, emissions&amp;prices'!$H$113:$I$163,2,FALSE)*U$110</f>
        <v>172310.61689567743</v>
      </c>
      <c r="V89" s="103">
        <f>VLOOKUP($A89,'US Grid mix, emissions&amp;prices'!$H$113:$I$163,2,FALSE)*V$110</f>
        <v>172310.61689567743</v>
      </c>
      <c r="W89" s="103">
        <f>VLOOKUP($A89,'US Grid mix, emissions&amp;prices'!$H$113:$I$163,2,FALSE)*W$110</f>
        <v>172310.61689567743</v>
      </c>
      <c r="X89" s="103">
        <f>VLOOKUP($A89,'US Grid mix, emissions&amp;prices'!$H$113:$I$163,2,FALSE)*X$110</f>
        <v>172310.61689567743</v>
      </c>
      <c r="Y89" s="103">
        <f>VLOOKUP($A89,'US Grid mix, emissions&amp;prices'!$H$113:$I$163,2,FALSE)*Y$110</f>
        <v>172310.61689567743</v>
      </c>
      <c r="Z89" s="103">
        <f>VLOOKUP($A89,'US Grid mix, emissions&amp;prices'!$H$113:$I$163,2,FALSE)*Z$110</f>
        <v>172310.61689567743</v>
      </c>
      <c r="AA89" s="103">
        <f>VLOOKUP($A89,'US Grid mix, emissions&amp;prices'!$H$113:$I$163,2,FALSE)*AA$110</f>
        <v>172310.61689567743</v>
      </c>
      <c r="AB89" s="103">
        <f>VLOOKUP($A89,'US Grid mix, emissions&amp;prices'!$H$113:$I$163,2,FALSE)*AB$110</f>
        <v>172310.61689567743</v>
      </c>
      <c r="AC89" s="103">
        <f>VLOOKUP($A89,'US Grid mix, emissions&amp;prices'!$H$113:$I$163,2,FALSE)*AC$110</f>
        <v>172310.61689567743</v>
      </c>
      <c r="AF89" s="83" t="s">
        <v>214</v>
      </c>
      <c r="AG89" s="103">
        <f>VLOOKUP($AF89,'US Grid mix, emissions&amp;prices'!$H$113:$I$163,2,FALSE)*AG$110</f>
        <v>199611.58176185447</v>
      </c>
      <c r="AH89" s="103">
        <f>VLOOKUP($AF89,'US Grid mix, emissions&amp;prices'!$H$113:$I$163,2,FALSE)*AH$110</f>
        <v>199611.58176185447</v>
      </c>
      <c r="AI89" s="103">
        <f>VLOOKUP($AF89,'US Grid mix, emissions&amp;prices'!$H$113:$I$163,2,FALSE)*AI$110</f>
        <v>199611.58176185447</v>
      </c>
      <c r="AJ89" s="103">
        <f>VLOOKUP($AF89,'US Grid mix, emissions&amp;prices'!$H$113:$I$163,2,FALSE)*AJ$110</f>
        <v>199611.58176185447</v>
      </c>
      <c r="AK89" s="103">
        <f>VLOOKUP($AF89,'US Grid mix, emissions&amp;prices'!$H$113:$I$163,2,FALSE)*AK$110</f>
        <v>199611.58176185447</v>
      </c>
      <c r="AL89" s="103">
        <f>VLOOKUP($AF89,'US Grid mix, emissions&amp;prices'!$H$113:$I$163,2,FALSE)*AL$110</f>
        <v>199611.58176185447</v>
      </c>
      <c r="AM89" s="103">
        <f>VLOOKUP($AF89,'US Grid mix, emissions&amp;prices'!$H$113:$I$163,2,FALSE)*AM$110</f>
        <v>199611.58176185447</v>
      </c>
      <c r="AN89" s="103">
        <f>VLOOKUP($AF89,'US Grid mix, emissions&amp;prices'!$H$113:$I$163,2,FALSE)*AN$110</f>
        <v>199611.58176185447</v>
      </c>
      <c r="AO89" s="103">
        <f>VLOOKUP($AF89,'US Grid mix, emissions&amp;prices'!$H$113:$I$163,2,FALSE)*AO$110</f>
        <v>199611.58176185447</v>
      </c>
      <c r="AP89" s="103">
        <f>VLOOKUP($AF89,'US Grid mix, emissions&amp;prices'!$H$113:$I$163,2,FALSE)*AP$110</f>
        <v>199611.58176185447</v>
      </c>
      <c r="AQ89" s="103">
        <f>VLOOKUP($AF89,'US Grid mix, emissions&amp;prices'!$H$113:$I$163,2,FALSE)*AQ$110</f>
        <v>199611.58176185447</v>
      </c>
      <c r="AR89" s="103">
        <f>VLOOKUP($AF89,'US Grid mix, emissions&amp;prices'!$H$113:$I$163,2,FALSE)*AR$110</f>
        <v>199611.58176185447</v>
      </c>
      <c r="AS89" s="103">
        <f>VLOOKUP($AF89,'US Grid mix, emissions&amp;prices'!$H$113:$I$163,2,FALSE)*AS$110</f>
        <v>199611.58176185447</v>
      </c>
      <c r="AT89" s="103">
        <f>VLOOKUP($AF89,'US Grid mix, emissions&amp;prices'!$H$113:$I$163,2,FALSE)*AT$110</f>
        <v>199611.58176185447</v>
      </c>
      <c r="AU89" s="103">
        <f>VLOOKUP($AF89,'US Grid mix, emissions&amp;prices'!$H$113:$I$163,2,FALSE)*AU$110</f>
        <v>199611.58176185447</v>
      </c>
      <c r="AV89" s="103">
        <f>VLOOKUP($AF89,'US Grid mix, emissions&amp;prices'!$H$113:$I$163,2,FALSE)*AV$110</f>
        <v>199611.58176185447</v>
      </c>
      <c r="AW89" s="103">
        <f>VLOOKUP($AF89,'US Grid mix, emissions&amp;prices'!$H$113:$I$163,2,FALSE)*AW$110</f>
        <v>199611.58176185447</v>
      </c>
      <c r="AX89" s="103">
        <f>VLOOKUP($AF89,'US Grid mix, emissions&amp;prices'!$H$113:$I$163,2,FALSE)*AX$110</f>
        <v>199611.58176185447</v>
      </c>
      <c r="AY89" s="103">
        <f>VLOOKUP($AF89,'US Grid mix, emissions&amp;prices'!$H$113:$I$163,2,FALSE)*AY$110</f>
        <v>199611.58176185447</v>
      </c>
      <c r="AZ89" s="103">
        <f>VLOOKUP($AF89,'US Grid mix, emissions&amp;prices'!$H$113:$I$163,2,FALSE)*AZ$110</f>
        <v>199611.58176185447</v>
      </c>
      <c r="BA89" s="103">
        <f>VLOOKUP($AF89,'US Grid mix, emissions&amp;prices'!$H$113:$I$163,2,FALSE)*BA$110</f>
        <v>199611.58176185447</v>
      </c>
      <c r="BB89" s="103">
        <f>VLOOKUP($AF89,'US Grid mix, emissions&amp;prices'!$H$113:$I$163,2,FALSE)*BB$110</f>
        <v>199611.58176185447</v>
      </c>
      <c r="BC89" s="103">
        <f>VLOOKUP($AF89,'US Grid mix, emissions&amp;prices'!$H$113:$I$163,2,FALSE)*BC$110</f>
        <v>199611.58176185447</v>
      </c>
      <c r="BD89" s="103">
        <f>VLOOKUP($AF89,'US Grid mix, emissions&amp;prices'!$H$113:$I$163,2,FALSE)*BD$110</f>
        <v>199611.58176185447</v>
      </c>
      <c r="BE89" s="103">
        <f>VLOOKUP($AF89,'US Grid mix, emissions&amp;prices'!$H$113:$I$163,2,FALSE)*BE$110</f>
        <v>199611.58176185447</v>
      </c>
      <c r="BF89" s="103">
        <f>VLOOKUP($AF89,'US Grid mix, emissions&amp;prices'!$H$113:$I$163,2,FALSE)*BF$110</f>
        <v>199611.58176185447</v>
      </c>
      <c r="BG89" s="103">
        <f>VLOOKUP($AF89,'US Grid mix, emissions&amp;prices'!$H$113:$I$163,2,FALSE)*BG$110</f>
        <v>199611.58176185447</v>
      </c>
      <c r="BH89" s="103">
        <f>VLOOKUP($AF89,'US Grid mix, emissions&amp;prices'!$H$113:$I$163,2,FALSE)*BH$110</f>
        <v>199611.58176185447</v>
      </c>
    </row>
    <row r="90" spans="1:60" x14ac:dyDescent="0.25">
      <c r="A90" s="83" t="s">
        <v>216</v>
      </c>
      <c r="B90" s="103">
        <f>VLOOKUP($A90,'US Grid mix, emissions&amp;prices'!$H$113:$I$163,2,FALSE)*B$110</f>
        <v>111572.14834965821</v>
      </c>
      <c r="C90" s="103">
        <f>VLOOKUP($A90,'US Grid mix, emissions&amp;prices'!$H$113:$I$163,2,FALSE)*C$110</f>
        <v>111572.14834965821</v>
      </c>
      <c r="D90" s="103">
        <f>VLOOKUP($A90,'US Grid mix, emissions&amp;prices'!$H$113:$I$163,2,FALSE)*D$110</f>
        <v>111572.14834965821</v>
      </c>
      <c r="E90" s="103">
        <f>VLOOKUP($A90,'US Grid mix, emissions&amp;prices'!$H$113:$I$163,2,FALSE)*E$110</f>
        <v>111572.14834965821</v>
      </c>
      <c r="F90" s="103">
        <f>VLOOKUP($A90,'US Grid mix, emissions&amp;prices'!$H$113:$I$163,2,FALSE)*F$110</f>
        <v>111572.14834965821</v>
      </c>
      <c r="G90" s="103">
        <f>VLOOKUP($A90,'US Grid mix, emissions&amp;prices'!$H$113:$I$163,2,FALSE)*G$110</f>
        <v>111572.14834965821</v>
      </c>
      <c r="H90" s="103">
        <f>VLOOKUP($A90,'US Grid mix, emissions&amp;prices'!$H$113:$I$163,2,FALSE)*H$110</f>
        <v>111572.14834965821</v>
      </c>
      <c r="I90" s="103">
        <f>VLOOKUP($A90,'US Grid mix, emissions&amp;prices'!$H$113:$I$163,2,FALSE)*I$110</f>
        <v>111572.14834965821</v>
      </c>
      <c r="J90" s="103">
        <f>VLOOKUP($A90,'US Grid mix, emissions&amp;prices'!$H$113:$I$163,2,FALSE)*J$110</f>
        <v>111572.14834965821</v>
      </c>
      <c r="K90" s="103">
        <f>VLOOKUP($A90,'US Grid mix, emissions&amp;prices'!$H$113:$I$163,2,FALSE)*K$110</f>
        <v>111572.14834965821</v>
      </c>
      <c r="L90" s="103">
        <f>VLOOKUP($A90,'US Grid mix, emissions&amp;prices'!$H$113:$I$163,2,FALSE)*L$110</f>
        <v>111572.14834965821</v>
      </c>
      <c r="M90" s="103">
        <f>VLOOKUP($A90,'US Grid mix, emissions&amp;prices'!$H$113:$I$163,2,FALSE)*M$110</f>
        <v>111572.14834965821</v>
      </c>
      <c r="N90" s="103">
        <f>VLOOKUP($A90,'US Grid mix, emissions&amp;prices'!$H$113:$I$163,2,FALSE)*N$110</f>
        <v>111572.14834965821</v>
      </c>
      <c r="O90" s="103">
        <f>VLOOKUP($A90,'US Grid mix, emissions&amp;prices'!$H$113:$I$163,2,FALSE)*O$110</f>
        <v>111572.14834965821</v>
      </c>
      <c r="P90" s="103">
        <f>VLOOKUP($A90,'US Grid mix, emissions&amp;prices'!$H$113:$I$163,2,FALSE)*P$110</f>
        <v>111572.14834965821</v>
      </c>
      <c r="Q90" s="103">
        <f>VLOOKUP($A90,'US Grid mix, emissions&amp;prices'!$H$113:$I$163,2,FALSE)*Q$110</f>
        <v>111572.14834965821</v>
      </c>
      <c r="R90" s="103">
        <f>VLOOKUP($A90,'US Grid mix, emissions&amp;prices'!$H$113:$I$163,2,FALSE)*R$110</f>
        <v>111572.14834965821</v>
      </c>
      <c r="S90" s="103">
        <f>VLOOKUP($A90,'US Grid mix, emissions&amp;prices'!$H$113:$I$163,2,FALSE)*S$110</f>
        <v>111572.14834965821</v>
      </c>
      <c r="T90" s="103">
        <f>VLOOKUP($A90,'US Grid mix, emissions&amp;prices'!$H$113:$I$163,2,FALSE)*T$110</f>
        <v>111572.14834965821</v>
      </c>
      <c r="U90" s="103">
        <f>VLOOKUP($A90,'US Grid mix, emissions&amp;prices'!$H$113:$I$163,2,FALSE)*U$110</f>
        <v>111572.14834965821</v>
      </c>
      <c r="V90" s="103">
        <f>VLOOKUP($A90,'US Grid mix, emissions&amp;prices'!$H$113:$I$163,2,FALSE)*V$110</f>
        <v>111572.14834965821</v>
      </c>
      <c r="W90" s="103">
        <f>VLOOKUP($A90,'US Grid mix, emissions&amp;prices'!$H$113:$I$163,2,FALSE)*W$110</f>
        <v>111572.14834965821</v>
      </c>
      <c r="X90" s="103">
        <f>VLOOKUP($A90,'US Grid mix, emissions&amp;prices'!$H$113:$I$163,2,FALSE)*X$110</f>
        <v>111572.14834965821</v>
      </c>
      <c r="Y90" s="103">
        <f>VLOOKUP($A90,'US Grid mix, emissions&amp;prices'!$H$113:$I$163,2,FALSE)*Y$110</f>
        <v>111572.14834965821</v>
      </c>
      <c r="Z90" s="103">
        <f>VLOOKUP($A90,'US Grid mix, emissions&amp;prices'!$H$113:$I$163,2,FALSE)*Z$110</f>
        <v>111572.14834965821</v>
      </c>
      <c r="AA90" s="103">
        <f>VLOOKUP($A90,'US Grid mix, emissions&amp;prices'!$H$113:$I$163,2,FALSE)*AA$110</f>
        <v>111572.14834965821</v>
      </c>
      <c r="AB90" s="103">
        <f>VLOOKUP($A90,'US Grid mix, emissions&amp;prices'!$H$113:$I$163,2,FALSE)*AB$110</f>
        <v>111572.14834965821</v>
      </c>
      <c r="AC90" s="103">
        <f>VLOOKUP($A90,'US Grid mix, emissions&amp;prices'!$H$113:$I$163,2,FALSE)*AC$110</f>
        <v>111572.14834965821</v>
      </c>
      <c r="AF90" s="83" t="s">
        <v>216</v>
      </c>
      <c r="AG90" s="103">
        <f>VLOOKUP($AF90,'US Grid mix, emissions&amp;prices'!$H$113:$I$163,2,FALSE)*AG$110</f>
        <v>129249.6853291821</v>
      </c>
      <c r="AH90" s="103">
        <f>VLOOKUP($AF90,'US Grid mix, emissions&amp;prices'!$H$113:$I$163,2,FALSE)*AH$110</f>
        <v>129249.6853291821</v>
      </c>
      <c r="AI90" s="103">
        <f>VLOOKUP($AF90,'US Grid mix, emissions&amp;prices'!$H$113:$I$163,2,FALSE)*AI$110</f>
        <v>129249.6853291821</v>
      </c>
      <c r="AJ90" s="103">
        <f>VLOOKUP($AF90,'US Grid mix, emissions&amp;prices'!$H$113:$I$163,2,FALSE)*AJ$110</f>
        <v>129249.6853291821</v>
      </c>
      <c r="AK90" s="103">
        <f>VLOOKUP($AF90,'US Grid mix, emissions&amp;prices'!$H$113:$I$163,2,FALSE)*AK$110</f>
        <v>129249.6853291821</v>
      </c>
      <c r="AL90" s="103">
        <f>VLOOKUP($AF90,'US Grid mix, emissions&amp;prices'!$H$113:$I$163,2,FALSE)*AL$110</f>
        <v>129249.6853291821</v>
      </c>
      <c r="AM90" s="103">
        <f>VLOOKUP($AF90,'US Grid mix, emissions&amp;prices'!$H$113:$I$163,2,FALSE)*AM$110</f>
        <v>129249.6853291821</v>
      </c>
      <c r="AN90" s="103">
        <f>VLOOKUP($AF90,'US Grid mix, emissions&amp;prices'!$H$113:$I$163,2,FALSE)*AN$110</f>
        <v>129249.6853291821</v>
      </c>
      <c r="AO90" s="103">
        <f>VLOOKUP($AF90,'US Grid mix, emissions&amp;prices'!$H$113:$I$163,2,FALSE)*AO$110</f>
        <v>129249.6853291821</v>
      </c>
      <c r="AP90" s="103">
        <f>VLOOKUP($AF90,'US Grid mix, emissions&amp;prices'!$H$113:$I$163,2,FALSE)*AP$110</f>
        <v>129249.6853291821</v>
      </c>
      <c r="AQ90" s="103">
        <f>VLOOKUP($AF90,'US Grid mix, emissions&amp;prices'!$H$113:$I$163,2,FALSE)*AQ$110</f>
        <v>129249.6853291821</v>
      </c>
      <c r="AR90" s="103">
        <f>VLOOKUP($AF90,'US Grid mix, emissions&amp;prices'!$H$113:$I$163,2,FALSE)*AR$110</f>
        <v>129249.6853291821</v>
      </c>
      <c r="AS90" s="103">
        <f>VLOOKUP($AF90,'US Grid mix, emissions&amp;prices'!$H$113:$I$163,2,FALSE)*AS$110</f>
        <v>129249.6853291821</v>
      </c>
      <c r="AT90" s="103">
        <f>VLOOKUP($AF90,'US Grid mix, emissions&amp;prices'!$H$113:$I$163,2,FALSE)*AT$110</f>
        <v>129249.6853291821</v>
      </c>
      <c r="AU90" s="103">
        <f>VLOOKUP($AF90,'US Grid mix, emissions&amp;prices'!$H$113:$I$163,2,FALSE)*AU$110</f>
        <v>129249.6853291821</v>
      </c>
      <c r="AV90" s="103">
        <f>VLOOKUP($AF90,'US Grid mix, emissions&amp;prices'!$H$113:$I$163,2,FALSE)*AV$110</f>
        <v>129249.6853291821</v>
      </c>
      <c r="AW90" s="103">
        <f>VLOOKUP($AF90,'US Grid mix, emissions&amp;prices'!$H$113:$I$163,2,FALSE)*AW$110</f>
        <v>129249.6853291821</v>
      </c>
      <c r="AX90" s="103">
        <f>VLOOKUP($AF90,'US Grid mix, emissions&amp;prices'!$H$113:$I$163,2,FALSE)*AX$110</f>
        <v>129249.6853291821</v>
      </c>
      <c r="AY90" s="103">
        <f>VLOOKUP($AF90,'US Grid mix, emissions&amp;prices'!$H$113:$I$163,2,FALSE)*AY$110</f>
        <v>129249.6853291821</v>
      </c>
      <c r="AZ90" s="103">
        <f>VLOOKUP($AF90,'US Grid mix, emissions&amp;prices'!$H$113:$I$163,2,FALSE)*AZ$110</f>
        <v>129249.6853291821</v>
      </c>
      <c r="BA90" s="103">
        <f>VLOOKUP($AF90,'US Grid mix, emissions&amp;prices'!$H$113:$I$163,2,FALSE)*BA$110</f>
        <v>129249.6853291821</v>
      </c>
      <c r="BB90" s="103">
        <f>VLOOKUP($AF90,'US Grid mix, emissions&amp;prices'!$H$113:$I$163,2,FALSE)*BB$110</f>
        <v>129249.6853291821</v>
      </c>
      <c r="BC90" s="103">
        <f>VLOOKUP($AF90,'US Grid mix, emissions&amp;prices'!$H$113:$I$163,2,FALSE)*BC$110</f>
        <v>129249.6853291821</v>
      </c>
      <c r="BD90" s="103">
        <f>VLOOKUP($AF90,'US Grid mix, emissions&amp;prices'!$H$113:$I$163,2,FALSE)*BD$110</f>
        <v>129249.6853291821</v>
      </c>
      <c r="BE90" s="103">
        <f>VLOOKUP($AF90,'US Grid mix, emissions&amp;prices'!$H$113:$I$163,2,FALSE)*BE$110</f>
        <v>129249.6853291821</v>
      </c>
      <c r="BF90" s="103">
        <f>VLOOKUP($AF90,'US Grid mix, emissions&amp;prices'!$H$113:$I$163,2,FALSE)*BF$110</f>
        <v>129249.6853291821</v>
      </c>
      <c r="BG90" s="103">
        <f>VLOOKUP($AF90,'US Grid mix, emissions&amp;prices'!$H$113:$I$163,2,FALSE)*BG$110</f>
        <v>129249.6853291821</v>
      </c>
      <c r="BH90" s="103">
        <f>VLOOKUP($AF90,'US Grid mix, emissions&amp;prices'!$H$113:$I$163,2,FALSE)*BH$110</f>
        <v>129249.6853291821</v>
      </c>
    </row>
    <row r="91" spans="1:60" x14ac:dyDescent="0.25">
      <c r="A91" s="83" t="s">
        <v>209</v>
      </c>
      <c r="B91" s="103">
        <f>VLOOKUP($A91,'US Grid mix, emissions&amp;prices'!$H$113:$I$163,2,FALSE)*B$110</f>
        <v>149024.81168455852</v>
      </c>
      <c r="C91" s="103">
        <f>VLOOKUP($A91,'US Grid mix, emissions&amp;prices'!$H$113:$I$163,2,FALSE)*C$110</f>
        <v>149024.81168455852</v>
      </c>
      <c r="D91" s="103">
        <f>VLOOKUP($A91,'US Grid mix, emissions&amp;prices'!$H$113:$I$163,2,FALSE)*D$110</f>
        <v>149024.81168455852</v>
      </c>
      <c r="E91" s="103">
        <f>VLOOKUP($A91,'US Grid mix, emissions&amp;prices'!$H$113:$I$163,2,FALSE)*E$110</f>
        <v>149024.81168455852</v>
      </c>
      <c r="F91" s="103">
        <f>VLOOKUP($A91,'US Grid mix, emissions&amp;prices'!$H$113:$I$163,2,FALSE)*F$110</f>
        <v>149024.81168455852</v>
      </c>
      <c r="G91" s="103">
        <f>VLOOKUP($A91,'US Grid mix, emissions&amp;prices'!$H$113:$I$163,2,FALSE)*G$110</f>
        <v>149024.81168455852</v>
      </c>
      <c r="H91" s="103">
        <f>VLOOKUP($A91,'US Grid mix, emissions&amp;prices'!$H$113:$I$163,2,FALSE)*H$110</f>
        <v>149024.81168455852</v>
      </c>
      <c r="I91" s="103">
        <f>VLOOKUP($A91,'US Grid mix, emissions&amp;prices'!$H$113:$I$163,2,FALSE)*I$110</f>
        <v>149024.81168455852</v>
      </c>
      <c r="J91" s="103">
        <f>VLOOKUP($A91,'US Grid mix, emissions&amp;prices'!$H$113:$I$163,2,FALSE)*J$110</f>
        <v>149024.81168455852</v>
      </c>
      <c r="K91" s="103">
        <f>VLOOKUP($A91,'US Grid mix, emissions&amp;prices'!$H$113:$I$163,2,FALSE)*K$110</f>
        <v>149024.81168455852</v>
      </c>
      <c r="L91" s="103">
        <f>VLOOKUP($A91,'US Grid mix, emissions&amp;prices'!$H$113:$I$163,2,FALSE)*L$110</f>
        <v>149024.81168455852</v>
      </c>
      <c r="M91" s="103">
        <f>VLOOKUP($A91,'US Grid mix, emissions&amp;prices'!$H$113:$I$163,2,FALSE)*M$110</f>
        <v>149024.81168455852</v>
      </c>
      <c r="N91" s="103">
        <f>VLOOKUP($A91,'US Grid mix, emissions&amp;prices'!$H$113:$I$163,2,FALSE)*N$110</f>
        <v>149024.81168455852</v>
      </c>
      <c r="O91" s="103">
        <f>VLOOKUP($A91,'US Grid mix, emissions&amp;prices'!$H$113:$I$163,2,FALSE)*O$110</f>
        <v>149024.81168455852</v>
      </c>
      <c r="P91" s="103">
        <f>VLOOKUP($A91,'US Grid mix, emissions&amp;prices'!$H$113:$I$163,2,FALSE)*P$110</f>
        <v>149024.81168455852</v>
      </c>
      <c r="Q91" s="103">
        <f>VLOOKUP($A91,'US Grid mix, emissions&amp;prices'!$H$113:$I$163,2,FALSE)*Q$110</f>
        <v>149024.81168455852</v>
      </c>
      <c r="R91" s="103">
        <f>VLOOKUP($A91,'US Grid mix, emissions&amp;prices'!$H$113:$I$163,2,FALSE)*R$110</f>
        <v>149024.81168455852</v>
      </c>
      <c r="S91" s="103">
        <f>VLOOKUP($A91,'US Grid mix, emissions&amp;prices'!$H$113:$I$163,2,FALSE)*S$110</f>
        <v>149024.81168455852</v>
      </c>
      <c r="T91" s="103">
        <f>VLOOKUP($A91,'US Grid mix, emissions&amp;prices'!$H$113:$I$163,2,FALSE)*T$110</f>
        <v>149024.81168455852</v>
      </c>
      <c r="U91" s="103">
        <f>VLOOKUP($A91,'US Grid mix, emissions&amp;prices'!$H$113:$I$163,2,FALSE)*U$110</f>
        <v>149024.81168455852</v>
      </c>
      <c r="V91" s="103">
        <f>VLOOKUP($A91,'US Grid mix, emissions&amp;prices'!$H$113:$I$163,2,FALSE)*V$110</f>
        <v>149024.81168455852</v>
      </c>
      <c r="W91" s="103">
        <f>VLOOKUP($A91,'US Grid mix, emissions&amp;prices'!$H$113:$I$163,2,FALSE)*W$110</f>
        <v>149024.81168455852</v>
      </c>
      <c r="X91" s="103">
        <f>VLOOKUP($A91,'US Grid mix, emissions&amp;prices'!$H$113:$I$163,2,FALSE)*X$110</f>
        <v>149024.81168455852</v>
      </c>
      <c r="Y91" s="103">
        <f>VLOOKUP($A91,'US Grid mix, emissions&amp;prices'!$H$113:$I$163,2,FALSE)*Y$110</f>
        <v>149024.81168455852</v>
      </c>
      <c r="Z91" s="103">
        <f>VLOOKUP($A91,'US Grid mix, emissions&amp;prices'!$H$113:$I$163,2,FALSE)*Z$110</f>
        <v>149024.81168455852</v>
      </c>
      <c r="AA91" s="103">
        <f>VLOOKUP($A91,'US Grid mix, emissions&amp;prices'!$H$113:$I$163,2,FALSE)*AA$110</f>
        <v>149024.81168455852</v>
      </c>
      <c r="AB91" s="103">
        <f>VLOOKUP($A91,'US Grid mix, emissions&amp;prices'!$H$113:$I$163,2,FALSE)*AB$110</f>
        <v>149024.81168455852</v>
      </c>
      <c r="AC91" s="103">
        <f>VLOOKUP($A91,'US Grid mix, emissions&amp;prices'!$H$113:$I$163,2,FALSE)*AC$110</f>
        <v>149024.81168455852</v>
      </c>
      <c r="AF91" s="83" t="s">
        <v>209</v>
      </c>
      <c r="AG91" s="103">
        <f>VLOOKUP($AF91,'US Grid mix, emissions&amp;prices'!$H$113:$I$163,2,FALSE)*AG$110</f>
        <v>172636.36401538213</v>
      </c>
      <c r="AH91" s="103">
        <f>VLOOKUP($AF91,'US Grid mix, emissions&amp;prices'!$H$113:$I$163,2,FALSE)*AH$110</f>
        <v>172636.36401538213</v>
      </c>
      <c r="AI91" s="103">
        <f>VLOOKUP($AF91,'US Grid mix, emissions&amp;prices'!$H$113:$I$163,2,FALSE)*AI$110</f>
        <v>172636.36401538213</v>
      </c>
      <c r="AJ91" s="103">
        <f>VLOOKUP($AF91,'US Grid mix, emissions&amp;prices'!$H$113:$I$163,2,FALSE)*AJ$110</f>
        <v>172636.36401538213</v>
      </c>
      <c r="AK91" s="103">
        <f>VLOOKUP($AF91,'US Grid mix, emissions&amp;prices'!$H$113:$I$163,2,FALSE)*AK$110</f>
        <v>172636.36401538213</v>
      </c>
      <c r="AL91" s="103">
        <f>VLOOKUP($AF91,'US Grid mix, emissions&amp;prices'!$H$113:$I$163,2,FALSE)*AL$110</f>
        <v>172636.36401538213</v>
      </c>
      <c r="AM91" s="103">
        <f>VLOOKUP($AF91,'US Grid mix, emissions&amp;prices'!$H$113:$I$163,2,FALSE)*AM$110</f>
        <v>172636.36401538213</v>
      </c>
      <c r="AN91" s="103">
        <f>VLOOKUP($AF91,'US Grid mix, emissions&amp;prices'!$H$113:$I$163,2,FALSE)*AN$110</f>
        <v>172636.36401538213</v>
      </c>
      <c r="AO91" s="103">
        <f>VLOOKUP($AF91,'US Grid mix, emissions&amp;prices'!$H$113:$I$163,2,FALSE)*AO$110</f>
        <v>172636.36401538213</v>
      </c>
      <c r="AP91" s="103">
        <f>VLOOKUP($AF91,'US Grid mix, emissions&amp;prices'!$H$113:$I$163,2,FALSE)*AP$110</f>
        <v>172636.36401538213</v>
      </c>
      <c r="AQ91" s="103">
        <f>VLOOKUP($AF91,'US Grid mix, emissions&amp;prices'!$H$113:$I$163,2,FALSE)*AQ$110</f>
        <v>172636.36401538213</v>
      </c>
      <c r="AR91" s="103">
        <f>VLOOKUP($AF91,'US Grid mix, emissions&amp;prices'!$H$113:$I$163,2,FALSE)*AR$110</f>
        <v>172636.36401538213</v>
      </c>
      <c r="AS91" s="103">
        <f>VLOOKUP($AF91,'US Grid mix, emissions&amp;prices'!$H$113:$I$163,2,FALSE)*AS$110</f>
        <v>172636.36401538213</v>
      </c>
      <c r="AT91" s="103">
        <f>VLOOKUP($AF91,'US Grid mix, emissions&amp;prices'!$H$113:$I$163,2,FALSE)*AT$110</f>
        <v>172636.36401538213</v>
      </c>
      <c r="AU91" s="103">
        <f>VLOOKUP($AF91,'US Grid mix, emissions&amp;prices'!$H$113:$I$163,2,FALSE)*AU$110</f>
        <v>172636.36401538213</v>
      </c>
      <c r="AV91" s="103">
        <f>VLOOKUP($AF91,'US Grid mix, emissions&amp;prices'!$H$113:$I$163,2,FALSE)*AV$110</f>
        <v>172636.36401538213</v>
      </c>
      <c r="AW91" s="103">
        <f>VLOOKUP($AF91,'US Grid mix, emissions&amp;prices'!$H$113:$I$163,2,FALSE)*AW$110</f>
        <v>172636.36401538213</v>
      </c>
      <c r="AX91" s="103">
        <f>VLOOKUP($AF91,'US Grid mix, emissions&amp;prices'!$H$113:$I$163,2,FALSE)*AX$110</f>
        <v>172636.36401538213</v>
      </c>
      <c r="AY91" s="103">
        <f>VLOOKUP($AF91,'US Grid mix, emissions&amp;prices'!$H$113:$I$163,2,FALSE)*AY$110</f>
        <v>172636.36401538213</v>
      </c>
      <c r="AZ91" s="103">
        <f>VLOOKUP($AF91,'US Grid mix, emissions&amp;prices'!$H$113:$I$163,2,FALSE)*AZ$110</f>
        <v>172636.36401538213</v>
      </c>
      <c r="BA91" s="103">
        <f>VLOOKUP($AF91,'US Grid mix, emissions&amp;prices'!$H$113:$I$163,2,FALSE)*BA$110</f>
        <v>172636.36401538213</v>
      </c>
      <c r="BB91" s="103">
        <f>VLOOKUP($AF91,'US Grid mix, emissions&amp;prices'!$H$113:$I$163,2,FALSE)*BB$110</f>
        <v>172636.36401538213</v>
      </c>
      <c r="BC91" s="103">
        <f>VLOOKUP($AF91,'US Grid mix, emissions&amp;prices'!$H$113:$I$163,2,FALSE)*BC$110</f>
        <v>172636.36401538213</v>
      </c>
      <c r="BD91" s="103">
        <f>VLOOKUP($AF91,'US Grid mix, emissions&amp;prices'!$H$113:$I$163,2,FALSE)*BD$110</f>
        <v>172636.36401538213</v>
      </c>
      <c r="BE91" s="103">
        <f>VLOOKUP($AF91,'US Grid mix, emissions&amp;prices'!$H$113:$I$163,2,FALSE)*BE$110</f>
        <v>172636.36401538213</v>
      </c>
      <c r="BF91" s="103">
        <f>VLOOKUP($AF91,'US Grid mix, emissions&amp;prices'!$H$113:$I$163,2,FALSE)*BF$110</f>
        <v>172636.36401538213</v>
      </c>
      <c r="BG91" s="103">
        <f>VLOOKUP($AF91,'US Grid mix, emissions&amp;prices'!$H$113:$I$163,2,FALSE)*BG$110</f>
        <v>172636.36401538213</v>
      </c>
      <c r="BH91" s="103">
        <f>VLOOKUP($AF91,'US Grid mix, emissions&amp;prices'!$H$113:$I$163,2,FALSE)*BH$110</f>
        <v>172636.36401538213</v>
      </c>
    </row>
    <row r="92" spans="1:60" x14ac:dyDescent="0.25">
      <c r="A92" s="83" t="s">
        <v>210</v>
      </c>
      <c r="B92" s="103">
        <f>VLOOKUP($A92,'US Grid mix, emissions&amp;prices'!$H$113:$I$163,2,FALSE)*B$110</f>
        <v>273610.38206394832</v>
      </c>
      <c r="C92" s="103">
        <f>VLOOKUP($A92,'US Grid mix, emissions&amp;prices'!$H$113:$I$163,2,FALSE)*C$110</f>
        <v>273610.38206394832</v>
      </c>
      <c r="D92" s="103">
        <f>VLOOKUP($A92,'US Grid mix, emissions&amp;prices'!$H$113:$I$163,2,FALSE)*D$110</f>
        <v>273610.38206394832</v>
      </c>
      <c r="E92" s="103">
        <f>VLOOKUP($A92,'US Grid mix, emissions&amp;prices'!$H$113:$I$163,2,FALSE)*E$110</f>
        <v>273610.38206394832</v>
      </c>
      <c r="F92" s="103">
        <f>VLOOKUP($A92,'US Grid mix, emissions&amp;prices'!$H$113:$I$163,2,FALSE)*F$110</f>
        <v>273610.38206394832</v>
      </c>
      <c r="G92" s="103">
        <f>VLOOKUP($A92,'US Grid mix, emissions&amp;prices'!$H$113:$I$163,2,FALSE)*G$110</f>
        <v>273610.38206394832</v>
      </c>
      <c r="H92" s="103">
        <f>VLOOKUP($A92,'US Grid mix, emissions&amp;prices'!$H$113:$I$163,2,FALSE)*H$110</f>
        <v>273610.38206394832</v>
      </c>
      <c r="I92" s="103">
        <f>VLOOKUP($A92,'US Grid mix, emissions&amp;prices'!$H$113:$I$163,2,FALSE)*I$110</f>
        <v>273610.38206394832</v>
      </c>
      <c r="J92" s="103">
        <f>VLOOKUP($A92,'US Grid mix, emissions&amp;prices'!$H$113:$I$163,2,FALSE)*J$110</f>
        <v>273610.38206394832</v>
      </c>
      <c r="K92" s="103">
        <f>VLOOKUP($A92,'US Grid mix, emissions&amp;prices'!$H$113:$I$163,2,FALSE)*K$110</f>
        <v>273610.38206394832</v>
      </c>
      <c r="L92" s="103">
        <f>VLOOKUP($A92,'US Grid mix, emissions&amp;prices'!$H$113:$I$163,2,FALSE)*L$110</f>
        <v>273610.38206394832</v>
      </c>
      <c r="M92" s="103">
        <f>VLOOKUP($A92,'US Grid mix, emissions&amp;prices'!$H$113:$I$163,2,FALSE)*M$110</f>
        <v>273610.38206394832</v>
      </c>
      <c r="N92" s="103">
        <f>VLOOKUP($A92,'US Grid mix, emissions&amp;prices'!$H$113:$I$163,2,FALSE)*N$110</f>
        <v>273610.38206394832</v>
      </c>
      <c r="O92" s="103">
        <f>VLOOKUP($A92,'US Grid mix, emissions&amp;prices'!$H$113:$I$163,2,FALSE)*O$110</f>
        <v>273610.38206394832</v>
      </c>
      <c r="P92" s="103">
        <f>VLOOKUP($A92,'US Grid mix, emissions&amp;prices'!$H$113:$I$163,2,FALSE)*P$110</f>
        <v>273610.38206394832</v>
      </c>
      <c r="Q92" s="103">
        <f>VLOOKUP($A92,'US Grid mix, emissions&amp;prices'!$H$113:$I$163,2,FALSE)*Q$110</f>
        <v>273610.38206394832</v>
      </c>
      <c r="R92" s="103">
        <f>VLOOKUP($A92,'US Grid mix, emissions&amp;prices'!$H$113:$I$163,2,FALSE)*R$110</f>
        <v>273610.38206394832</v>
      </c>
      <c r="S92" s="103">
        <f>VLOOKUP($A92,'US Grid mix, emissions&amp;prices'!$H$113:$I$163,2,FALSE)*S$110</f>
        <v>273610.38206394832</v>
      </c>
      <c r="T92" s="103">
        <f>VLOOKUP($A92,'US Grid mix, emissions&amp;prices'!$H$113:$I$163,2,FALSE)*T$110</f>
        <v>273610.38206394832</v>
      </c>
      <c r="U92" s="103">
        <f>VLOOKUP($A92,'US Grid mix, emissions&amp;prices'!$H$113:$I$163,2,FALSE)*U$110</f>
        <v>273610.38206394832</v>
      </c>
      <c r="V92" s="103">
        <f>VLOOKUP($A92,'US Grid mix, emissions&amp;prices'!$H$113:$I$163,2,FALSE)*V$110</f>
        <v>273610.38206394832</v>
      </c>
      <c r="W92" s="103">
        <f>VLOOKUP($A92,'US Grid mix, emissions&amp;prices'!$H$113:$I$163,2,FALSE)*W$110</f>
        <v>273610.38206394832</v>
      </c>
      <c r="X92" s="103">
        <f>VLOOKUP($A92,'US Grid mix, emissions&amp;prices'!$H$113:$I$163,2,FALSE)*X$110</f>
        <v>273610.38206394832</v>
      </c>
      <c r="Y92" s="103">
        <f>VLOOKUP($A92,'US Grid mix, emissions&amp;prices'!$H$113:$I$163,2,FALSE)*Y$110</f>
        <v>273610.38206394832</v>
      </c>
      <c r="Z92" s="103">
        <f>VLOOKUP($A92,'US Grid mix, emissions&amp;prices'!$H$113:$I$163,2,FALSE)*Z$110</f>
        <v>273610.38206394832</v>
      </c>
      <c r="AA92" s="103">
        <f>VLOOKUP($A92,'US Grid mix, emissions&amp;prices'!$H$113:$I$163,2,FALSE)*AA$110</f>
        <v>273610.38206394832</v>
      </c>
      <c r="AB92" s="103">
        <f>VLOOKUP($A92,'US Grid mix, emissions&amp;prices'!$H$113:$I$163,2,FALSE)*AB$110</f>
        <v>273610.38206394832</v>
      </c>
      <c r="AC92" s="103">
        <f>VLOOKUP($A92,'US Grid mix, emissions&amp;prices'!$H$113:$I$163,2,FALSE)*AC$110</f>
        <v>273610.38206394832</v>
      </c>
      <c r="AF92" s="83" t="s">
        <v>210</v>
      </c>
      <c r="AG92" s="103">
        <f>VLOOKUP($AF92,'US Grid mix, emissions&amp;prices'!$H$113:$I$163,2,FALSE)*AG$110</f>
        <v>316961.32330207073</v>
      </c>
      <c r="AH92" s="103">
        <f>VLOOKUP($AF92,'US Grid mix, emissions&amp;prices'!$H$113:$I$163,2,FALSE)*AH$110</f>
        <v>316961.32330207073</v>
      </c>
      <c r="AI92" s="103">
        <f>VLOOKUP($AF92,'US Grid mix, emissions&amp;prices'!$H$113:$I$163,2,FALSE)*AI$110</f>
        <v>316961.32330207073</v>
      </c>
      <c r="AJ92" s="103">
        <f>VLOOKUP($AF92,'US Grid mix, emissions&amp;prices'!$H$113:$I$163,2,FALSE)*AJ$110</f>
        <v>316961.32330207073</v>
      </c>
      <c r="AK92" s="103">
        <f>VLOOKUP($AF92,'US Grid mix, emissions&amp;prices'!$H$113:$I$163,2,FALSE)*AK$110</f>
        <v>316961.32330207073</v>
      </c>
      <c r="AL92" s="103">
        <f>VLOOKUP($AF92,'US Grid mix, emissions&amp;prices'!$H$113:$I$163,2,FALSE)*AL$110</f>
        <v>316961.32330207073</v>
      </c>
      <c r="AM92" s="103">
        <f>VLOOKUP($AF92,'US Grid mix, emissions&amp;prices'!$H$113:$I$163,2,FALSE)*AM$110</f>
        <v>316961.32330207073</v>
      </c>
      <c r="AN92" s="103">
        <f>VLOOKUP($AF92,'US Grid mix, emissions&amp;prices'!$H$113:$I$163,2,FALSE)*AN$110</f>
        <v>316961.32330207073</v>
      </c>
      <c r="AO92" s="103">
        <f>VLOOKUP($AF92,'US Grid mix, emissions&amp;prices'!$H$113:$I$163,2,FALSE)*AO$110</f>
        <v>316961.32330207073</v>
      </c>
      <c r="AP92" s="103">
        <f>VLOOKUP($AF92,'US Grid mix, emissions&amp;prices'!$H$113:$I$163,2,FALSE)*AP$110</f>
        <v>316961.32330207073</v>
      </c>
      <c r="AQ92" s="103">
        <f>VLOOKUP($AF92,'US Grid mix, emissions&amp;prices'!$H$113:$I$163,2,FALSE)*AQ$110</f>
        <v>316961.32330207073</v>
      </c>
      <c r="AR92" s="103">
        <f>VLOOKUP($AF92,'US Grid mix, emissions&amp;prices'!$H$113:$I$163,2,FALSE)*AR$110</f>
        <v>316961.32330207073</v>
      </c>
      <c r="AS92" s="103">
        <f>VLOOKUP($AF92,'US Grid mix, emissions&amp;prices'!$H$113:$I$163,2,FALSE)*AS$110</f>
        <v>316961.32330207073</v>
      </c>
      <c r="AT92" s="103">
        <f>VLOOKUP($AF92,'US Grid mix, emissions&amp;prices'!$H$113:$I$163,2,FALSE)*AT$110</f>
        <v>316961.32330207073</v>
      </c>
      <c r="AU92" s="103">
        <f>VLOOKUP($AF92,'US Grid mix, emissions&amp;prices'!$H$113:$I$163,2,FALSE)*AU$110</f>
        <v>316961.32330207073</v>
      </c>
      <c r="AV92" s="103">
        <f>VLOOKUP($AF92,'US Grid mix, emissions&amp;prices'!$H$113:$I$163,2,FALSE)*AV$110</f>
        <v>316961.32330207073</v>
      </c>
      <c r="AW92" s="103">
        <f>VLOOKUP($AF92,'US Grid mix, emissions&amp;prices'!$H$113:$I$163,2,FALSE)*AW$110</f>
        <v>316961.32330207073</v>
      </c>
      <c r="AX92" s="103">
        <f>VLOOKUP($AF92,'US Grid mix, emissions&amp;prices'!$H$113:$I$163,2,FALSE)*AX$110</f>
        <v>316961.32330207073</v>
      </c>
      <c r="AY92" s="103">
        <f>VLOOKUP($AF92,'US Grid mix, emissions&amp;prices'!$H$113:$I$163,2,FALSE)*AY$110</f>
        <v>316961.32330207073</v>
      </c>
      <c r="AZ92" s="103">
        <f>VLOOKUP($AF92,'US Grid mix, emissions&amp;prices'!$H$113:$I$163,2,FALSE)*AZ$110</f>
        <v>316961.32330207073</v>
      </c>
      <c r="BA92" s="103">
        <f>VLOOKUP($AF92,'US Grid mix, emissions&amp;prices'!$H$113:$I$163,2,FALSE)*BA$110</f>
        <v>316961.32330207073</v>
      </c>
      <c r="BB92" s="103">
        <f>VLOOKUP($AF92,'US Grid mix, emissions&amp;prices'!$H$113:$I$163,2,FALSE)*BB$110</f>
        <v>316961.32330207073</v>
      </c>
      <c r="BC92" s="103">
        <f>VLOOKUP($AF92,'US Grid mix, emissions&amp;prices'!$H$113:$I$163,2,FALSE)*BC$110</f>
        <v>316961.32330207073</v>
      </c>
      <c r="BD92" s="103">
        <f>VLOOKUP($AF92,'US Grid mix, emissions&amp;prices'!$H$113:$I$163,2,FALSE)*BD$110</f>
        <v>316961.32330207073</v>
      </c>
      <c r="BE92" s="103">
        <f>VLOOKUP($AF92,'US Grid mix, emissions&amp;prices'!$H$113:$I$163,2,FALSE)*BE$110</f>
        <v>316961.32330207073</v>
      </c>
      <c r="BF92" s="103">
        <f>VLOOKUP($AF92,'US Grid mix, emissions&amp;prices'!$H$113:$I$163,2,FALSE)*BF$110</f>
        <v>316961.32330207073</v>
      </c>
      <c r="BG92" s="103">
        <f>VLOOKUP($AF92,'US Grid mix, emissions&amp;prices'!$H$113:$I$163,2,FALSE)*BG$110</f>
        <v>316961.32330207073</v>
      </c>
      <c r="BH92" s="103">
        <f>VLOOKUP($AF92,'US Grid mix, emissions&amp;prices'!$H$113:$I$163,2,FALSE)*BH$110</f>
        <v>316961.32330207073</v>
      </c>
    </row>
    <row r="93" spans="1:60" x14ac:dyDescent="0.25">
      <c r="A93" s="83" t="s">
        <v>217</v>
      </c>
      <c r="B93" s="103">
        <f>VLOOKUP($A93,'US Grid mix, emissions&amp;prices'!$H$113:$I$163,2,FALSE)*B$110</f>
        <v>252722.62403958043</v>
      </c>
      <c r="C93" s="103">
        <f>VLOOKUP($A93,'US Grid mix, emissions&amp;prices'!$H$113:$I$163,2,FALSE)*C$110</f>
        <v>252722.62403958043</v>
      </c>
      <c r="D93" s="103">
        <f>VLOOKUP($A93,'US Grid mix, emissions&amp;prices'!$H$113:$I$163,2,FALSE)*D$110</f>
        <v>252722.62403958043</v>
      </c>
      <c r="E93" s="103">
        <f>VLOOKUP($A93,'US Grid mix, emissions&amp;prices'!$H$113:$I$163,2,FALSE)*E$110</f>
        <v>252722.62403958043</v>
      </c>
      <c r="F93" s="103">
        <f>VLOOKUP($A93,'US Grid mix, emissions&amp;prices'!$H$113:$I$163,2,FALSE)*F$110</f>
        <v>252722.62403958043</v>
      </c>
      <c r="G93" s="103">
        <f>VLOOKUP($A93,'US Grid mix, emissions&amp;prices'!$H$113:$I$163,2,FALSE)*G$110</f>
        <v>252722.62403958043</v>
      </c>
      <c r="H93" s="103">
        <f>VLOOKUP($A93,'US Grid mix, emissions&amp;prices'!$H$113:$I$163,2,FALSE)*H$110</f>
        <v>252722.62403958043</v>
      </c>
      <c r="I93" s="103">
        <f>VLOOKUP($A93,'US Grid mix, emissions&amp;prices'!$H$113:$I$163,2,FALSE)*I$110</f>
        <v>252722.62403958043</v>
      </c>
      <c r="J93" s="103">
        <f>VLOOKUP($A93,'US Grid mix, emissions&amp;prices'!$H$113:$I$163,2,FALSE)*J$110</f>
        <v>252722.62403958043</v>
      </c>
      <c r="K93" s="103">
        <f>VLOOKUP($A93,'US Grid mix, emissions&amp;prices'!$H$113:$I$163,2,FALSE)*K$110</f>
        <v>252722.62403958043</v>
      </c>
      <c r="L93" s="103">
        <f>VLOOKUP($A93,'US Grid mix, emissions&amp;prices'!$H$113:$I$163,2,FALSE)*L$110</f>
        <v>252722.62403958043</v>
      </c>
      <c r="M93" s="103">
        <f>VLOOKUP($A93,'US Grid mix, emissions&amp;prices'!$H$113:$I$163,2,FALSE)*M$110</f>
        <v>252722.62403958043</v>
      </c>
      <c r="N93" s="103">
        <f>VLOOKUP($A93,'US Grid mix, emissions&amp;prices'!$H$113:$I$163,2,FALSE)*N$110</f>
        <v>252722.62403958043</v>
      </c>
      <c r="O93" s="103">
        <f>VLOOKUP($A93,'US Grid mix, emissions&amp;prices'!$H$113:$I$163,2,FALSE)*O$110</f>
        <v>252722.62403958043</v>
      </c>
      <c r="P93" s="103">
        <f>VLOOKUP($A93,'US Grid mix, emissions&amp;prices'!$H$113:$I$163,2,FALSE)*P$110</f>
        <v>252722.62403958043</v>
      </c>
      <c r="Q93" s="103">
        <f>VLOOKUP($A93,'US Grid mix, emissions&amp;prices'!$H$113:$I$163,2,FALSE)*Q$110</f>
        <v>252722.62403958043</v>
      </c>
      <c r="R93" s="103">
        <f>VLOOKUP($A93,'US Grid mix, emissions&amp;prices'!$H$113:$I$163,2,FALSE)*R$110</f>
        <v>252722.62403958043</v>
      </c>
      <c r="S93" s="103">
        <f>VLOOKUP($A93,'US Grid mix, emissions&amp;prices'!$H$113:$I$163,2,FALSE)*S$110</f>
        <v>252722.62403958043</v>
      </c>
      <c r="T93" s="103">
        <f>VLOOKUP($A93,'US Grid mix, emissions&amp;prices'!$H$113:$I$163,2,FALSE)*T$110</f>
        <v>252722.62403958043</v>
      </c>
      <c r="U93" s="103">
        <f>VLOOKUP($A93,'US Grid mix, emissions&amp;prices'!$H$113:$I$163,2,FALSE)*U$110</f>
        <v>252722.62403958043</v>
      </c>
      <c r="V93" s="103">
        <f>VLOOKUP($A93,'US Grid mix, emissions&amp;prices'!$H$113:$I$163,2,FALSE)*V$110</f>
        <v>252722.62403958043</v>
      </c>
      <c r="W93" s="103">
        <f>VLOOKUP($A93,'US Grid mix, emissions&amp;prices'!$H$113:$I$163,2,FALSE)*W$110</f>
        <v>252722.62403958043</v>
      </c>
      <c r="X93" s="103">
        <f>VLOOKUP($A93,'US Grid mix, emissions&amp;prices'!$H$113:$I$163,2,FALSE)*X$110</f>
        <v>252722.62403958043</v>
      </c>
      <c r="Y93" s="103">
        <f>VLOOKUP($A93,'US Grid mix, emissions&amp;prices'!$H$113:$I$163,2,FALSE)*Y$110</f>
        <v>252722.62403958043</v>
      </c>
      <c r="Z93" s="103">
        <f>VLOOKUP($A93,'US Grid mix, emissions&amp;prices'!$H$113:$I$163,2,FALSE)*Z$110</f>
        <v>252722.62403958043</v>
      </c>
      <c r="AA93" s="103">
        <f>VLOOKUP($A93,'US Grid mix, emissions&amp;prices'!$H$113:$I$163,2,FALSE)*AA$110</f>
        <v>252722.62403958043</v>
      </c>
      <c r="AB93" s="103">
        <f>VLOOKUP($A93,'US Grid mix, emissions&amp;prices'!$H$113:$I$163,2,FALSE)*AB$110</f>
        <v>252722.62403958043</v>
      </c>
      <c r="AC93" s="103">
        <f>VLOOKUP($A93,'US Grid mix, emissions&amp;prices'!$H$113:$I$163,2,FALSE)*AC$110</f>
        <v>252722.62403958043</v>
      </c>
      <c r="AF93" s="83" t="s">
        <v>217</v>
      </c>
      <c r="AG93" s="103">
        <f>VLOOKUP($AF93,'US Grid mix, emissions&amp;prices'!$H$113:$I$163,2,FALSE)*AG$110</f>
        <v>292764.10032290133</v>
      </c>
      <c r="AH93" s="103">
        <f>VLOOKUP($AF93,'US Grid mix, emissions&amp;prices'!$H$113:$I$163,2,FALSE)*AH$110</f>
        <v>292764.10032290133</v>
      </c>
      <c r="AI93" s="103">
        <f>VLOOKUP($AF93,'US Grid mix, emissions&amp;prices'!$H$113:$I$163,2,FALSE)*AI$110</f>
        <v>292764.10032290133</v>
      </c>
      <c r="AJ93" s="103">
        <f>VLOOKUP($AF93,'US Grid mix, emissions&amp;prices'!$H$113:$I$163,2,FALSE)*AJ$110</f>
        <v>292764.10032290133</v>
      </c>
      <c r="AK93" s="103">
        <f>VLOOKUP($AF93,'US Grid mix, emissions&amp;prices'!$H$113:$I$163,2,FALSE)*AK$110</f>
        <v>292764.10032290133</v>
      </c>
      <c r="AL93" s="103">
        <f>VLOOKUP($AF93,'US Grid mix, emissions&amp;prices'!$H$113:$I$163,2,FALSE)*AL$110</f>
        <v>292764.10032290133</v>
      </c>
      <c r="AM93" s="103">
        <f>VLOOKUP($AF93,'US Grid mix, emissions&amp;prices'!$H$113:$I$163,2,FALSE)*AM$110</f>
        <v>292764.10032290133</v>
      </c>
      <c r="AN93" s="103">
        <f>VLOOKUP($AF93,'US Grid mix, emissions&amp;prices'!$H$113:$I$163,2,FALSE)*AN$110</f>
        <v>292764.10032290133</v>
      </c>
      <c r="AO93" s="103">
        <f>VLOOKUP($AF93,'US Grid mix, emissions&amp;prices'!$H$113:$I$163,2,FALSE)*AO$110</f>
        <v>292764.10032290133</v>
      </c>
      <c r="AP93" s="103">
        <f>VLOOKUP($AF93,'US Grid mix, emissions&amp;prices'!$H$113:$I$163,2,FALSE)*AP$110</f>
        <v>292764.10032290133</v>
      </c>
      <c r="AQ93" s="103">
        <f>VLOOKUP($AF93,'US Grid mix, emissions&amp;prices'!$H$113:$I$163,2,FALSE)*AQ$110</f>
        <v>292764.10032290133</v>
      </c>
      <c r="AR93" s="103">
        <f>VLOOKUP($AF93,'US Grid mix, emissions&amp;prices'!$H$113:$I$163,2,FALSE)*AR$110</f>
        <v>292764.10032290133</v>
      </c>
      <c r="AS93" s="103">
        <f>VLOOKUP($AF93,'US Grid mix, emissions&amp;prices'!$H$113:$I$163,2,FALSE)*AS$110</f>
        <v>292764.10032290133</v>
      </c>
      <c r="AT93" s="103">
        <f>VLOOKUP($AF93,'US Grid mix, emissions&amp;prices'!$H$113:$I$163,2,FALSE)*AT$110</f>
        <v>292764.10032290133</v>
      </c>
      <c r="AU93" s="103">
        <f>VLOOKUP($AF93,'US Grid mix, emissions&amp;prices'!$H$113:$I$163,2,FALSE)*AU$110</f>
        <v>292764.10032290133</v>
      </c>
      <c r="AV93" s="103">
        <f>VLOOKUP($AF93,'US Grid mix, emissions&amp;prices'!$H$113:$I$163,2,FALSE)*AV$110</f>
        <v>292764.10032290133</v>
      </c>
      <c r="AW93" s="103">
        <f>VLOOKUP($AF93,'US Grid mix, emissions&amp;prices'!$H$113:$I$163,2,FALSE)*AW$110</f>
        <v>292764.10032290133</v>
      </c>
      <c r="AX93" s="103">
        <f>VLOOKUP($AF93,'US Grid mix, emissions&amp;prices'!$H$113:$I$163,2,FALSE)*AX$110</f>
        <v>292764.10032290133</v>
      </c>
      <c r="AY93" s="103">
        <f>VLOOKUP($AF93,'US Grid mix, emissions&amp;prices'!$H$113:$I$163,2,FALSE)*AY$110</f>
        <v>292764.10032290133</v>
      </c>
      <c r="AZ93" s="103">
        <f>VLOOKUP($AF93,'US Grid mix, emissions&amp;prices'!$H$113:$I$163,2,FALSE)*AZ$110</f>
        <v>292764.10032290133</v>
      </c>
      <c r="BA93" s="103">
        <f>VLOOKUP($AF93,'US Grid mix, emissions&amp;prices'!$H$113:$I$163,2,FALSE)*BA$110</f>
        <v>292764.10032290133</v>
      </c>
      <c r="BB93" s="103">
        <f>VLOOKUP($AF93,'US Grid mix, emissions&amp;prices'!$H$113:$I$163,2,FALSE)*BB$110</f>
        <v>292764.10032290133</v>
      </c>
      <c r="BC93" s="103">
        <f>VLOOKUP($AF93,'US Grid mix, emissions&amp;prices'!$H$113:$I$163,2,FALSE)*BC$110</f>
        <v>292764.10032290133</v>
      </c>
      <c r="BD93" s="103">
        <f>VLOOKUP($AF93,'US Grid mix, emissions&amp;prices'!$H$113:$I$163,2,FALSE)*BD$110</f>
        <v>292764.10032290133</v>
      </c>
      <c r="BE93" s="103">
        <f>VLOOKUP($AF93,'US Grid mix, emissions&amp;prices'!$H$113:$I$163,2,FALSE)*BE$110</f>
        <v>292764.10032290133</v>
      </c>
      <c r="BF93" s="103">
        <f>VLOOKUP($AF93,'US Grid mix, emissions&amp;prices'!$H$113:$I$163,2,FALSE)*BF$110</f>
        <v>292764.10032290133</v>
      </c>
      <c r="BG93" s="103">
        <f>VLOOKUP($AF93,'US Grid mix, emissions&amp;prices'!$H$113:$I$163,2,FALSE)*BG$110</f>
        <v>292764.10032290133</v>
      </c>
      <c r="BH93" s="103">
        <f>VLOOKUP($AF93,'US Grid mix, emissions&amp;prices'!$H$113:$I$163,2,FALSE)*BH$110</f>
        <v>292764.10032290133</v>
      </c>
    </row>
    <row r="94" spans="1:60" x14ac:dyDescent="0.25">
      <c r="A94" s="83" t="s">
        <v>218</v>
      </c>
      <c r="B94" s="103">
        <f>VLOOKUP($A94,'US Grid mix, emissions&amp;prices'!$H$113:$I$163,2,FALSE)*B$110</f>
        <v>144950.88118926334</v>
      </c>
      <c r="C94" s="103">
        <f>VLOOKUP($A94,'US Grid mix, emissions&amp;prices'!$H$113:$I$163,2,FALSE)*C$110</f>
        <v>144950.88118926334</v>
      </c>
      <c r="D94" s="103">
        <f>VLOOKUP($A94,'US Grid mix, emissions&amp;prices'!$H$113:$I$163,2,FALSE)*D$110</f>
        <v>144950.88118926334</v>
      </c>
      <c r="E94" s="103">
        <f>VLOOKUP($A94,'US Grid mix, emissions&amp;prices'!$H$113:$I$163,2,FALSE)*E$110</f>
        <v>144950.88118926334</v>
      </c>
      <c r="F94" s="103">
        <f>VLOOKUP($A94,'US Grid mix, emissions&amp;prices'!$H$113:$I$163,2,FALSE)*F$110</f>
        <v>144950.88118926334</v>
      </c>
      <c r="G94" s="103">
        <f>VLOOKUP($A94,'US Grid mix, emissions&amp;prices'!$H$113:$I$163,2,FALSE)*G$110</f>
        <v>144950.88118926334</v>
      </c>
      <c r="H94" s="103">
        <f>VLOOKUP($A94,'US Grid mix, emissions&amp;prices'!$H$113:$I$163,2,FALSE)*H$110</f>
        <v>144950.88118926334</v>
      </c>
      <c r="I94" s="103">
        <f>VLOOKUP($A94,'US Grid mix, emissions&amp;prices'!$H$113:$I$163,2,FALSE)*I$110</f>
        <v>144950.88118926334</v>
      </c>
      <c r="J94" s="103">
        <f>VLOOKUP($A94,'US Grid mix, emissions&amp;prices'!$H$113:$I$163,2,FALSE)*J$110</f>
        <v>144950.88118926334</v>
      </c>
      <c r="K94" s="103">
        <f>VLOOKUP($A94,'US Grid mix, emissions&amp;prices'!$H$113:$I$163,2,FALSE)*K$110</f>
        <v>144950.88118926334</v>
      </c>
      <c r="L94" s="103">
        <f>VLOOKUP($A94,'US Grid mix, emissions&amp;prices'!$H$113:$I$163,2,FALSE)*L$110</f>
        <v>144950.88118926334</v>
      </c>
      <c r="M94" s="103">
        <f>VLOOKUP($A94,'US Grid mix, emissions&amp;prices'!$H$113:$I$163,2,FALSE)*M$110</f>
        <v>144950.88118926334</v>
      </c>
      <c r="N94" s="103">
        <f>VLOOKUP($A94,'US Grid mix, emissions&amp;prices'!$H$113:$I$163,2,FALSE)*N$110</f>
        <v>144950.88118926334</v>
      </c>
      <c r="O94" s="103">
        <f>VLOOKUP($A94,'US Grid mix, emissions&amp;prices'!$H$113:$I$163,2,FALSE)*O$110</f>
        <v>144950.88118926334</v>
      </c>
      <c r="P94" s="103">
        <f>VLOOKUP($A94,'US Grid mix, emissions&amp;prices'!$H$113:$I$163,2,FALSE)*P$110</f>
        <v>144950.88118926334</v>
      </c>
      <c r="Q94" s="103">
        <f>VLOOKUP($A94,'US Grid mix, emissions&amp;prices'!$H$113:$I$163,2,FALSE)*Q$110</f>
        <v>144950.88118926334</v>
      </c>
      <c r="R94" s="103">
        <f>VLOOKUP($A94,'US Grid mix, emissions&amp;prices'!$H$113:$I$163,2,FALSE)*R$110</f>
        <v>144950.88118926334</v>
      </c>
      <c r="S94" s="103">
        <f>VLOOKUP($A94,'US Grid mix, emissions&amp;prices'!$H$113:$I$163,2,FALSE)*S$110</f>
        <v>144950.88118926334</v>
      </c>
      <c r="T94" s="103">
        <f>VLOOKUP($A94,'US Grid mix, emissions&amp;prices'!$H$113:$I$163,2,FALSE)*T$110</f>
        <v>144950.88118926334</v>
      </c>
      <c r="U94" s="103">
        <f>VLOOKUP($A94,'US Grid mix, emissions&amp;prices'!$H$113:$I$163,2,FALSE)*U$110</f>
        <v>144950.88118926334</v>
      </c>
      <c r="V94" s="103">
        <f>VLOOKUP($A94,'US Grid mix, emissions&amp;prices'!$H$113:$I$163,2,FALSE)*V$110</f>
        <v>144950.88118926334</v>
      </c>
      <c r="W94" s="103">
        <f>VLOOKUP($A94,'US Grid mix, emissions&amp;prices'!$H$113:$I$163,2,FALSE)*W$110</f>
        <v>144950.88118926334</v>
      </c>
      <c r="X94" s="103">
        <f>VLOOKUP($A94,'US Grid mix, emissions&amp;prices'!$H$113:$I$163,2,FALSE)*X$110</f>
        <v>144950.88118926334</v>
      </c>
      <c r="Y94" s="103">
        <f>VLOOKUP($A94,'US Grid mix, emissions&amp;prices'!$H$113:$I$163,2,FALSE)*Y$110</f>
        <v>144950.88118926334</v>
      </c>
      <c r="Z94" s="103">
        <f>VLOOKUP($A94,'US Grid mix, emissions&amp;prices'!$H$113:$I$163,2,FALSE)*Z$110</f>
        <v>144950.88118926334</v>
      </c>
      <c r="AA94" s="103">
        <f>VLOOKUP($A94,'US Grid mix, emissions&amp;prices'!$H$113:$I$163,2,FALSE)*AA$110</f>
        <v>144950.88118926334</v>
      </c>
      <c r="AB94" s="103">
        <f>VLOOKUP($A94,'US Grid mix, emissions&amp;prices'!$H$113:$I$163,2,FALSE)*AB$110</f>
        <v>144950.88118926334</v>
      </c>
      <c r="AC94" s="103">
        <f>VLOOKUP($A94,'US Grid mix, emissions&amp;prices'!$H$113:$I$163,2,FALSE)*AC$110</f>
        <v>144950.88118926334</v>
      </c>
      <c r="AF94" s="83" t="s">
        <v>218</v>
      </c>
      <c r="AG94" s="103">
        <f>VLOOKUP($AF94,'US Grid mix, emissions&amp;prices'!$H$113:$I$163,2,FALSE)*AG$110</f>
        <v>167916.95830025969</v>
      </c>
      <c r="AH94" s="103">
        <f>VLOOKUP($AF94,'US Grid mix, emissions&amp;prices'!$H$113:$I$163,2,FALSE)*AH$110</f>
        <v>167916.95830025969</v>
      </c>
      <c r="AI94" s="103">
        <f>VLOOKUP($AF94,'US Grid mix, emissions&amp;prices'!$H$113:$I$163,2,FALSE)*AI$110</f>
        <v>167916.95830025969</v>
      </c>
      <c r="AJ94" s="103">
        <f>VLOOKUP($AF94,'US Grid mix, emissions&amp;prices'!$H$113:$I$163,2,FALSE)*AJ$110</f>
        <v>167916.95830025969</v>
      </c>
      <c r="AK94" s="103">
        <f>VLOOKUP($AF94,'US Grid mix, emissions&amp;prices'!$H$113:$I$163,2,FALSE)*AK$110</f>
        <v>167916.95830025969</v>
      </c>
      <c r="AL94" s="103">
        <f>VLOOKUP($AF94,'US Grid mix, emissions&amp;prices'!$H$113:$I$163,2,FALSE)*AL$110</f>
        <v>167916.95830025969</v>
      </c>
      <c r="AM94" s="103">
        <f>VLOOKUP($AF94,'US Grid mix, emissions&amp;prices'!$H$113:$I$163,2,FALSE)*AM$110</f>
        <v>167916.95830025969</v>
      </c>
      <c r="AN94" s="103">
        <f>VLOOKUP($AF94,'US Grid mix, emissions&amp;prices'!$H$113:$I$163,2,FALSE)*AN$110</f>
        <v>167916.95830025969</v>
      </c>
      <c r="AO94" s="103">
        <f>VLOOKUP($AF94,'US Grid mix, emissions&amp;prices'!$H$113:$I$163,2,FALSE)*AO$110</f>
        <v>167916.95830025969</v>
      </c>
      <c r="AP94" s="103">
        <f>VLOOKUP($AF94,'US Grid mix, emissions&amp;prices'!$H$113:$I$163,2,FALSE)*AP$110</f>
        <v>167916.95830025969</v>
      </c>
      <c r="AQ94" s="103">
        <f>VLOOKUP($AF94,'US Grid mix, emissions&amp;prices'!$H$113:$I$163,2,FALSE)*AQ$110</f>
        <v>167916.95830025969</v>
      </c>
      <c r="AR94" s="103">
        <f>VLOOKUP($AF94,'US Grid mix, emissions&amp;prices'!$H$113:$I$163,2,FALSE)*AR$110</f>
        <v>167916.95830025969</v>
      </c>
      <c r="AS94" s="103">
        <f>VLOOKUP($AF94,'US Grid mix, emissions&amp;prices'!$H$113:$I$163,2,FALSE)*AS$110</f>
        <v>167916.95830025969</v>
      </c>
      <c r="AT94" s="103">
        <f>VLOOKUP($AF94,'US Grid mix, emissions&amp;prices'!$H$113:$I$163,2,FALSE)*AT$110</f>
        <v>167916.95830025969</v>
      </c>
      <c r="AU94" s="103">
        <f>VLOOKUP($AF94,'US Grid mix, emissions&amp;prices'!$H$113:$I$163,2,FALSE)*AU$110</f>
        <v>167916.95830025969</v>
      </c>
      <c r="AV94" s="103">
        <f>VLOOKUP($AF94,'US Grid mix, emissions&amp;prices'!$H$113:$I$163,2,FALSE)*AV$110</f>
        <v>167916.95830025969</v>
      </c>
      <c r="AW94" s="103">
        <f>VLOOKUP($AF94,'US Grid mix, emissions&amp;prices'!$H$113:$I$163,2,FALSE)*AW$110</f>
        <v>167916.95830025969</v>
      </c>
      <c r="AX94" s="103">
        <f>VLOOKUP($AF94,'US Grid mix, emissions&amp;prices'!$H$113:$I$163,2,FALSE)*AX$110</f>
        <v>167916.95830025969</v>
      </c>
      <c r="AY94" s="103">
        <f>VLOOKUP($AF94,'US Grid mix, emissions&amp;prices'!$H$113:$I$163,2,FALSE)*AY$110</f>
        <v>167916.95830025969</v>
      </c>
      <c r="AZ94" s="103">
        <f>VLOOKUP($AF94,'US Grid mix, emissions&amp;prices'!$H$113:$I$163,2,FALSE)*AZ$110</f>
        <v>167916.95830025969</v>
      </c>
      <c r="BA94" s="103">
        <f>VLOOKUP($AF94,'US Grid mix, emissions&amp;prices'!$H$113:$I$163,2,FALSE)*BA$110</f>
        <v>167916.95830025969</v>
      </c>
      <c r="BB94" s="103">
        <f>VLOOKUP($AF94,'US Grid mix, emissions&amp;prices'!$H$113:$I$163,2,FALSE)*BB$110</f>
        <v>167916.95830025969</v>
      </c>
      <c r="BC94" s="103">
        <f>VLOOKUP($AF94,'US Grid mix, emissions&amp;prices'!$H$113:$I$163,2,FALSE)*BC$110</f>
        <v>167916.95830025969</v>
      </c>
      <c r="BD94" s="103">
        <f>VLOOKUP($AF94,'US Grid mix, emissions&amp;prices'!$H$113:$I$163,2,FALSE)*BD$110</f>
        <v>167916.95830025969</v>
      </c>
      <c r="BE94" s="103">
        <f>VLOOKUP($AF94,'US Grid mix, emissions&amp;prices'!$H$113:$I$163,2,FALSE)*BE$110</f>
        <v>167916.95830025969</v>
      </c>
      <c r="BF94" s="103">
        <f>VLOOKUP($AF94,'US Grid mix, emissions&amp;prices'!$H$113:$I$163,2,FALSE)*BF$110</f>
        <v>167916.95830025969</v>
      </c>
      <c r="BG94" s="103">
        <f>VLOOKUP($AF94,'US Grid mix, emissions&amp;prices'!$H$113:$I$163,2,FALSE)*BG$110</f>
        <v>167916.95830025969</v>
      </c>
      <c r="BH94" s="103">
        <f>VLOOKUP($AF94,'US Grid mix, emissions&amp;prices'!$H$113:$I$163,2,FALSE)*BH$110</f>
        <v>167916.95830025969</v>
      </c>
    </row>
    <row r="95" spans="1:60" x14ac:dyDescent="0.25">
      <c r="A95" s="83" t="s">
        <v>219</v>
      </c>
      <c r="B95" s="103">
        <f>VLOOKUP($A95,'US Grid mix, emissions&amp;prices'!$H$113:$I$163,2,FALSE)*B$110</f>
        <v>90612.029215249568</v>
      </c>
      <c r="C95" s="103">
        <f>VLOOKUP($A95,'US Grid mix, emissions&amp;prices'!$H$113:$I$163,2,FALSE)*C$110</f>
        <v>90612.029215249568</v>
      </c>
      <c r="D95" s="103">
        <f>VLOOKUP($A95,'US Grid mix, emissions&amp;prices'!$H$113:$I$163,2,FALSE)*D$110</f>
        <v>90612.029215249568</v>
      </c>
      <c r="E95" s="103">
        <f>VLOOKUP($A95,'US Grid mix, emissions&amp;prices'!$H$113:$I$163,2,FALSE)*E$110</f>
        <v>90612.029215249568</v>
      </c>
      <c r="F95" s="103">
        <f>VLOOKUP($A95,'US Grid mix, emissions&amp;prices'!$H$113:$I$163,2,FALSE)*F$110</f>
        <v>90612.029215249568</v>
      </c>
      <c r="G95" s="103">
        <f>VLOOKUP($A95,'US Grid mix, emissions&amp;prices'!$H$113:$I$163,2,FALSE)*G$110</f>
        <v>90612.029215249568</v>
      </c>
      <c r="H95" s="103">
        <f>VLOOKUP($A95,'US Grid mix, emissions&amp;prices'!$H$113:$I$163,2,FALSE)*H$110</f>
        <v>90612.029215249568</v>
      </c>
      <c r="I95" s="103">
        <f>VLOOKUP($A95,'US Grid mix, emissions&amp;prices'!$H$113:$I$163,2,FALSE)*I$110</f>
        <v>90612.029215249568</v>
      </c>
      <c r="J95" s="103">
        <f>VLOOKUP($A95,'US Grid mix, emissions&amp;prices'!$H$113:$I$163,2,FALSE)*J$110</f>
        <v>90612.029215249568</v>
      </c>
      <c r="K95" s="103">
        <f>VLOOKUP($A95,'US Grid mix, emissions&amp;prices'!$H$113:$I$163,2,FALSE)*K$110</f>
        <v>90612.029215249568</v>
      </c>
      <c r="L95" s="103">
        <f>VLOOKUP($A95,'US Grid mix, emissions&amp;prices'!$H$113:$I$163,2,FALSE)*L$110</f>
        <v>90612.029215249568</v>
      </c>
      <c r="M95" s="103">
        <f>VLOOKUP($A95,'US Grid mix, emissions&amp;prices'!$H$113:$I$163,2,FALSE)*M$110</f>
        <v>90612.029215249568</v>
      </c>
      <c r="N95" s="103">
        <f>VLOOKUP($A95,'US Grid mix, emissions&amp;prices'!$H$113:$I$163,2,FALSE)*N$110</f>
        <v>90612.029215249568</v>
      </c>
      <c r="O95" s="103">
        <f>VLOOKUP($A95,'US Grid mix, emissions&amp;prices'!$H$113:$I$163,2,FALSE)*O$110</f>
        <v>90612.029215249568</v>
      </c>
      <c r="P95" s="103">
        <f>VLOOKUP($A95,'US Grid mix, emissions&amp;prices'!$H$113:$I$163,2,FALSE)*P$110</f>
        <v>90612.029215249568</v>
      </c>
      <c r="Q95" s="103">
        <f>VLOOKUP($A95,'US Grid mix, emissions&amp;prices'!$H$113:$I$163,2,FALSE)*Q$110</f>
        <v>90612.029215249568</v>
      </c>
      <c r="R95" s="103">
        <f>VLOOKUP($A95,'US Grid mix, emissions&amp;prices'!$H$113:$I$163,2,FALSE)*R$110</f>
        <v>90612.029215249568</v>
      </c>
      <c r="S95" s="103">
        <f>VLOOKUP($A95,'US Grid mix, emissions&amp;prices'!$H$113:$I$163,2,FALSE)*S$110</f>
        <v>90612.029215249568</v>
      </c>
      <c r="T95" s="103">
        <f>VLOOKUP($A95,'US Grid mix, emissions&amp;prices'!$H$113:$I$163,2,FALSE)*T$110</f>
        <v>90612.029215249568</v>
      </c>
      <c r="U95" s="103">
        <f>VLOOKUP($A95,'US Grid mix, emissions&amp;prices'!$H$113:$I$163,2,FALSE)*U$110</f>
        <v>90612.029215249568</v>
      </c>
      <c r="V95" s="103">
        <f>VLOOKUP($A95,'US Grid mix, emissions&amp;prices'!$H$113:$I$163,2,FALSE)*V$110</f>
        <v>90612.029215249568</v>
      </c>
      <c r="W95" s="103">
        <f>VLOOKUP($A95,'US Grid mix, emissions&amp;prices'!$H$113:$I$163,2,FALSE)*W$110</f>
        <v>90612.029215249568</v>
      </c>
      <c r="X95" s="103">
        <f>VLOOKUP($A95,'US Grid mix, emissions&amp;prices'!$H$113:$I$163,2,FALSE)*X$110</f>
        <v>90612.029215249568</v>
      </c>
      <c r="Y95" s="103">
        <f>VLOOKUP($A95,'US Grid mix, emissions&amp;prices'!$H$113:$I$163,2,FALSE)*Y$110</f>
        <v>90612.029215249568</v>
      </c>
      <c r="Z95" s="103">
        <f>VLOOKUP($A95,'US Grid mix, emissions&amp;prices'!$H$113:$I$163,2,FALSE)*Z$110</f>
        <v>90612.029215249568</v>
      </c>
      <c r="AA95" s="103">
        <f>VLOOKUP($A95,'US Grid mix, emissions&amp;prices'!$H$113:$I$163,2,FALSE)*AA$110</f>
        <v>90612.029215249568</v>
      </c>
      <c r="AB95" s="103">
        <f>VLOOKUP($A95,'US Grid mix, emissions&amp;prices'!$H$113:$I$163,2,FALSE)*AB$110</f>
        <v>90612.029215249568</v>
      </c>
      <c r="AC95" s="103">
        <f>VLOOKUP($A95,'US Grid mix, emissions&amp;prices'!$H$113:$I$163,2,FALSE)*AC$110</f>
        <v>90612.029215249568</v>
      </c>
      <c r="AF95" s="83" t="s">
        <v>219</v>
      </c>
      <c r="AG95" s="103">
        <f>VLOOKUP($AF95,'US Grid mix, emissions&amp;prices'!$H$113:$I$163,2,FALSE)*AG$110</f>
        <v>104968.63631599634</v>
      </c>
      <c r="AH95" s="103">
        <f>VLOOKUP($AF95,'US Grid mix, emissions&amp;prices'!$H$113:$I$163,2,FALSE)*AH$110</f>
        <v>104968.63631599634</v>
      </c>
      <c r="AI95" s="103">
        <f>VLOOKUP($AF95,'US Grid mix, emissions&amp;prices'!$H$113:$I$163,2,FALSE)*AI$110</f>
        <v>104968.63631599634</v>
      </c>
      <c r="AJ95" s="103">
        <f>VLOOKUP($AF95,'US Grid mix, emissions&amp;prices'!$H$113:$I$163,2,FALSE)*AJ$110</f>
        <v>104968.63631599634</v>
      </c>
      <c r="AK95" s="103">
        <f>VLOOKUP($AF95,'US Grid mix, emissions&amp;prices'!$H$113:$I$163,2,FALSE)*AK$110</f>
        <v>104968.63631599634</v>
      </c>
      <c r="AL95" s="103">
        <f>VLOOKUP($AF95,'US Grid mix, emissions&amp;prices'!$H$113:$I$163,2,FALSE)*AL$110</f>
        <v>104968.63631599634</v>
      </c>
      <c r="AM95" s="103">
        <f>VLOOKUP($AF95,'US Grid mix, emissions&amp;prices'!$H$113:$I$163,2,FALSE)*AM$110</f>
        <v>104968.63631599634</v>
      </c>
      <c r="AN95" s="103">
        <f>VLOOKUP($AF95,'US Grid mix, emissions&amp;prices'!$H$113:$I$163,2,FALSE)*AN$110</f>
        <v>104968.63631599634</v>
      </c>
      <c r="AO95" s="103">
        <f>VLOOKUP($AF95,'US Grid mix, emissions&amp;prices'!$H$113:$I$163,2,FALSE)*AO$110</f>
        <v>104968.63631599634</v>
      </c>
      <c r="AP95" s="103">
        <f>VLOOKUP($AF95,'US Grid mix, emissions&amp;prices'!$H$113:$I$163,2,FALSE)*AP$110</f>
        <v>104968.63631599634</v>
      </c>
      <c r="AQ95" s="103">
        <f>VLOOKUP($AF95,'US Grid mix, emissions&amp;prices'!$H$113:$I$163,2,FALSE)*AQ$110</f>
        <v>104968.63631599634</v>
      </c>
      <c r="AR95" s="103">
        <f>VLOOKUP($AF95,'US Grid mix, emissions&amp;prices'!$H$113:$I$163,2,FALSE)*AR$110</f>
        <v>104968.63631599634</v>
      </c>
      <c r="AS95" s="103">
        <f>VLOOKUP($AF95,'US Grid mix, emissions&amp;prices'!$H$113:$I$163,2,FALSE)*AS$110</f>
        <v>104968.63631599634</v>
      </c>
      <c r="AT95" s="103">
        <f>VLOOKUP($AF95,'US Grid mix, emissions&amp;prices'!$H$113:$I$163,2,FALSE)*AT$110</f>
        <v>104968.63631599634</v>
      </c>
      <c r="AU95" s="103">
        <f>VLOOKUP($AF95,'US Grid mix, emissions&amp;prices'!$H$113:$I$163,2,FALSE)*AU$110</f>
        <v>104968.63631599634</v>
      </c>
      <c r="AV95" s="103">
        <f>VLOOKUP($AF95,'US Grid mix, emissions&amp;prices'!$H$113:$I$163,2,FALSE)*AV$110</f>
        <v>104968.63631599634</v>
      </c>
      <c r="AW95" s="103">
        <f>VLOOKUP($AF95,'US Grid mix, emissions&amp;prices'!$H$113:$I$163,2,FALSE)*AW$110</f>
        <v>104968.63631599634</v>
      </c>
      <c r="AX95" s="103">
        <f>VLOOKUP($AF95,'US Grid mix, emissions&amp;prices'!$H$113:$I$163,2,FALSE)*AX$110</f>
        <v>104968.63631599634</v>
      </c>
      <c r="AY95" s="103">
        <f>VLOOKUP($AF95,'US Grid mix, emissions&amp;prices'!$H$113:$I$163,2,FALSE)*AY$110</f>
        <v>104968.63631599634</v>
      </c>
      <c r="AZ95" s="103">
        <f>VLOOKUP($AF95,'US Grid mix, emissions&amp;prices'!$H$113:$I$163,2,FALSE)*AZ$110</f>
        <v>104968.63631599634</v>
      </c>
      <c r="BA95" s="103">
        <f>VLOOKUP($AF95,'US Grid mix, emissions&amp;prices'!$H$113:$I$163,2,FALSE)*BA$110</f>
        <v>104968.63631599634</v>
      </c>
      <c r="BB95" s="103">
        <f>VLOOKUP($AF95,'US Grid mix, emissions&amp;prices'!$H$113:$I$163,2,FALSE)*BB$110</f>
        <v>104968.63631599634</v>
      </c>
      <c r="BC95" s="103">
        <f>VLOOKUP($AF95,'US Grid mix, emissions&amp;prices'!$H$113:$I$163,2,FALSE)*BC$110</f>
        <v>104968.63631599634</v>
      </c>
      <c r="BD95" s="103">
        <f>VLOOKUP($AF95,'US Grid mix, emissions&amp;prices'!$H$113:$I$163,2,FALSE)*BD$110</f>
        <v>104968.63631599634</v>
      </c>
      <c r="BE95" s="103">
        <f>VLOOKUP($AF95,'US Grid mix, emissions&amp;prices'!$H$113:$I$163,2,FALSE)*BE$110</f>
        <v>104968.63631599634</v>
      </c>
      <c r="BF95" s="103">
        <f>VLOOKUP($AF95,'US Grid mix, emissions&amp;prices'!$H$113:$I$163,2,FALSE)*BF$110</f>
        <v>104968.63631599634</v>
      </c>
      <c r="BG95" s="103">
        <f>VLOOKUP($AF95,'US Grid mix, emissions&amp;prices'!$H$113:$I$163,2,FALSE)*BG$110</f>
        <v>104968.63631599634</v>
      </c>
      <c r="BH95" s="103">
        <f>VLOOKUP($AF95,'US Grid mix, emissions&amp;prices'!$H$113:$I$163,2,FALSE)*BH$110</f>
        <v>104968.63631599634</v>
      </c>
    </row>
    <row r="96" spans="1:60" x14ac:dyDescent="0.25">
      <c r="A96" s="83" t="s">
        <v>220</v>
      </c>
      <c r="B96" s="103">
        <f>VLOOKUP($A96,'US Grid mix, emissions&amp;prices'!$H$113:$I$163,2,FALSE)*B$110</f>
        <v>158533.06154391533</v>
      </c>
      <c r="C96" s="103">
        <f>VLOOKUP($A96,'US Grid mix, emissions&amp;prices'!$H$113:$I$163,2,FALSE)*C$110</f>
        <v>158533.06154391533</v>
      </c>
      <c r="D96" s="103">
        <f>VLOOKUP($A96,'US Grid mix, emissions&amp;prices'!$H$113:$I$163,2,FALSE)*D$110</f>
        <v>158533.06154391533</v>
      </c>
      <c r="E96" s="103">
        <f>VLOOKUP($A96,'US Grid mix, emissions&amp;prices'!$H$113:$I$163,2,FALSE)*E$110</f>
        <v>158533.06154391533</v>
      </c>
      <c r="F96" s="103">
        <f>VLOOKUP($A96,'US Grid mix, emissions&amp;prices'!$H$113:$I$163,2,FALSE)*F$110</f>
        <v>158533.06154391533</v>
      </c>
      <c r="G96" s="103">
        <f>VLOOKUP($A96,'US Grid mix, emissions&amp;prices'!$H$113:$I$163,2,FALSE)*G$110</f>
        <v>158533.06154391533</v>
      </c>
      <c r="H96" s="103">
        <f>VLOOKUP($A96,'US Grid mix, emissions&amp;prices'!$H$113:$I$163,2,FALSE)*H$110</f>
        <v>158533.06154391533</v>
      </c>
      <c r="I96" s="103">
        <f>VLOOKUP($A96,'US Grid mix, emissions&amp;prices'!$H$113:$I$163,2,FALSE)*I$110</f>
        <v>158533.06154391533</v>
      </c>
      <c r="J96" s="103">
        <f>VLOOKUP($A96,'US Grid mix, emissions&amp;prices'!$H$113:$I$163,2,FALSE)*J$110</f>
        <v>158533.06154391533</v>
      </c>
      <c r="K96" s="103">
        <f>VLOOKUP($A96,'US Grid mix, emissions&amp;prices'!$H$113:$I$163,2,FALSE)*K$110</f>
        <v>158533.06154391533</v>
      </c>
      <c r="L96" s="103">
        <f>VLOOKUP($A96,'US Grid mix, emissions&amp;prices'!$H$113:$I$163,2,FALSE)*L$110</f>
        <v>158533.06154391533</v>
      </c>
      <c r="M96" s="103">
        <f>VLOOKUP($A96,'US Grid mix, emissions&amp;prices'!$H$113:$I$163,2,FALSE)*M$110</f>
        <v>158533.06154391533</v>
      </c>
      <c r="N96" s="103">
        <f>VLOOKUP($A96,'US Grid mix, emissions&amp;prices'!$H$113:$I$163,2,FALSE)*N$110</f>
        <v>158533.06154391533</v>
      </c>
      <c r="O96" s="103">
        <f>VLOOKUP($A96,'US Grid mix, emissions&amp;prices'!$H$113:$I$163,2,FALSE)*O$110</f>
        <v>158533.06154391533</v>
      </c>
      <c r="P96" s="103">
        <f>VLOOKUP($A96,'US Grid mix, emissions&amp;prices'!$H$113:$I$163,2,FALSE)*P$110</f>
        <v>158533.06154391533</v>
      </c>
      <c r="Q96" s="103">
        <f>VLOOKUP($A96,'US Grid mix, emissions&amp;prices'!$H$113:$I$163,2,FALSE)*Q$110</f>
        <v>158533.06154391533</v>
      </c>
      <c r="R96" s="103">
        <f>VLOOKUP($A96,'US Grid mix, emissions&amp;prices'!$H$113:$I$163,2,FALSE)*R$110</f>
        <v>158533.06154391533</v>
      </c>
      <c r="S96" s="103">
        <f>VLOOKUP($A96,'US Grid mix, emissions&amp;prices'!$H$113:$I$163,2,FALSE)*S$110</f>
        <v>158533.06154391533</v>
      </c>
      <c r="T96" s="103">
        <f>VLOOKUP($A96,'US Grid mix, emissions&amp;prices'!$H$113:$I$163,2,FALSE)*T$110</f>
        <v>158533.06154391533</v>
      </c>
      <c r="U96" s="103">
        <f>VLOOKUP($A96,'US Grid mix, emissions&amp;prices'!$H$113:$I$163,2,FALSE)*U$110</f>
        <v>158533.06154391533</v>
      </c>
      <c r="V96" s="103">
        <f>VLOOKUP($A96,'US Grid mix, emissions&amp;prices'!$H$113:$I$163,2,FALSE)*V$110</f>
        <v>158533.06154391533</v>
      </c>
      <c r="W96" s="103">
        <f>VLOOKUP($A96,'US Grid mix, emissions&amp;prices'!$H$113:$I$163,2,FALSE)*W$110</f>
        <v>158533.06154391533</v>
      </c>
      <c r="X96" s="103">
        <f>VLOOKUP($A96,'US Grid mix, emissions&amp;prices'!$H$113:$I$163,2,FALSE)*X$110</f>
        <v>158533.06154391533</v>
      </c>
      <c r="Y96" s="103">
        <f>VLOOKUP($A96,'US Grid mix, emissions&amp;prices'!$H$113:$I$163,2,FALSE)*Y$110</f>
        <v>158533.06154391533</v>
      </c>
      <c r="Z96" s="103">
        <f>VLOOKUP($A96,'US Grid mix, emissions&amp;prices'!$H$113:$I$163,2,FALSE)*Z$110</f>
        <v>158533.06154391533</v>
      </c>
      <c r="AA96" s="103">
        <f>VLOOKUP($A96,'US Grid mix, emissions&amp;prices'!$H$113:$I$163,2,FALSE)*AA$110</f>
        <v>158533.06154391533</v>
      </c>
      <c r="AB96" s="103">
        <f>VLOOKUP($A96,'US Grid mix, emissions&amp;prices'!$H$113:$I$163,2,FALSE)*AB$110</f>
        <v>158533.06154391533</v>
      </c>
      <c r="AC96" s="103">
        <f>VLOOKUP($A96,'US Grid mix, emissions&amp;prices'!$H$113:$I$163,2,FALSE)*AC$110</f>
        <v>158533.06154391533</v>
      </c>
      <c r="AF96" s="83" t="s">
        <v>220</v>
      </c>
      <c r="AG96" s="103">
        <f>VLOOKUP($AF96,'US Grid mix, emissions&amp;prices'!$H$113:$I$163,2,FALSE)*AG$110</f>
        <v>183651.10488513496</v>
      </c>
      <c r="AH96" s="103">
        <f>VLOOKUP($AF96,'US Grid mix, emissions&amp;prices'!$H$113:$I$163,2,FALSE)*AH$110</f>
        <v>183651.10488513496</v>
      </c>
      <c r="AI96" s="103">
        <f>VLOOKUP($AF96,'US Grid mix, emissions&amp;prices'!$H$113:$I$163,2,FALSE)*AI$110</f>
        <v>183651.10488513496</v>
      </c>
      <c r="AJ96" s="103">
        <f>VLOOKUP($AF96,'US Grid mix, emissions&amp;prices'!$H$113:$I$163,2,FALSE)*AJ$110</f>
        <v>183651.10488513496</v>
      </c>
      <c r="AK96" s="103">
        <f>VLOOKUP($AF96,'US Grid mix, emissions&amp;prices'!$H$113:$I$163,2,FALSE)*AK$110</f>
        <v>183651.10488513496</v>
      </c>
      <c r="AL96" s="103">
        <f>VLOOKUP($AF96,'US Grid mix, emissions&amp;prices'!$H$113:$I$163,2,FALSE)*AL$110</f>
        <v>183651.10488513496</v>
      </c>
      <c r="AM96" s="103">
        <f>VLOOKUP($AF96,'US Grid mix, emissions&amp;prices'!$H$113:$I$163,2,FALSE)*AM$110</f>
        <v>183651.10488513496</v>
      </c>
      <c r="AN96" s="103">
        <f>VLOOKUP($AF96,'US Grid mix, emissions&amp;prices'!$H$113:$I$163,2,FALSE)*AN$110</f>
        <v>183651.10488513496</v>
      </c>
      <c r="AO96" s="103">
        <f>VLOOKUP($AF96,'US Grid mix, emissions&amp;prices'!$H$113:$I$163,2,FALSE)*AO$110</f>
        <v>183651.10488513496</v>
      </c>
      <c r="AP96" s="103">
        <f>VLOOKUP($AF96,'US Grid mix, emissions&amp;prices'!$H$113:$I$163,2,FALSE)*AP$110</f>
        <v>183651.10488513496</v>
      </c>
      <c r="AQ96" s="103">
        <f>VLOOKUP($AF96,'US Grid mix, emissions&amp;prices'!$H$113:$I$163,2,FALSE)*AQ$110</f>
        <v>183651.10488513496</v>
      </c>
      <c r="AR96" s="103">
        <f>VLOOKUP($AF96,'US Grid mix, emissions&amp;prices'!$H$113:$I$163,2,FALSE)*AR$110</f>
        <v>183651.10488513496</v>
      </c>
      <c r="AS96" s="103">
        <f>VLOOKUP($AF96,'US Grid mix, emissions&amp;prices'!$H$113:$I$163,2,FALSE)*AS$110</f>
        <v>183651.10488513496</v>
      </c>
      <c r="AT96" s="103">
        <f>VLOOKUP($AF96,'US Grid mix, emissions&amp;prices'!$H$113:$I$163,2,FALSE)*AT$110</f>
        <v>183651.10488513496</v>
      </c>
      <c r="AU96" s="103">
        <f>VLOOKUP($AF96,'US Grid mix, emissions&amp;prices'!$H$113:$I$163,2,FALSE)*AU$110</f>
        <v>183651.10488513496</v>
      </c>
      <c r="AV96" s="103">
        <f>VLOOKUP($AF96,'US Grid mix, emissions&amp;prices'!$H$113:$I$163,2,FALSE)*AV$110</f>
        <v>183651.10488513496</v>
      </c>
      <c r="AW96" s="103">
        <f>VLOOKUP($AF96,'US Grid mix, emissions&amp;prices'!$H$113:$I$163,2,FALSE)*AW$110</f>
        <v>183651.10488513496</v>
      </c>
      <c r="AX96" s="103">
        <f>VLOOKUP($AF96,'US Grid mix, emissions&amp;prices'!$H$113:$I$163,2,FALSE)*AX$110</f>
        <v>183651.10488513496</v>
      </c>
      <c r="AY96" s="103">
        <f>VLOOKUP($AF96,'US Grid mix, emissions&amp;prices'!$H$113:$I$163,2,FALSE)*AY$110</f>
        <v>183651.10488513496</v>
      </c>
      <c r="AZ96" s="103">
        <f>VLOOKUP($AF96,'US Grid mix, emissions&amp;prices'!$H$113:$I$163,2,FALSE)*AZ$110</f>
        <v>183651.10488513496</v>
      </c>
      <c r="BA96" s="103">
        <f>VLOOKUP($AF96,'US Grid mix, emissions&amp;prices'!$H$113:$I$163,2,FALSE)*BA$110</f>
        <v>183651.10488513496</v>
      </c>
      <c r="BB96" s="103">
        <f>VLOOKUP($AF96,'US Grid mix, emissions&amp;prices'!$H$113:$I$163,2,FALSE)*BB$110</f>
        <v>183651.10488513496</v>
      </c>
      <c r="BC96" s="103">
        <f>VLOOKUP($AF96,'US Grid mix, emissions&amp;prices'!$H$113:$I$163,2,FALSE)*BC$110</f>
        <v>183651.10488513496</v>
      </c>
      <c r="BD96" s="103">
        <f>VLOOKUP($AF96,'US Grid mix, emissions&amp;prices'!$H$113:$I$163,2,FALSE)*BD$110</f>
        <v>183651.10488513496</v>
      </c>
      <c r="BE96" s="103">
        <f>VLOOKUP($AF96,'US Grid mix, emissions&amp;prices'!$H$113:$I$163,2,FALSE)*BE$110</f>
        <v>183651.10488513496</v>
      </c>
      <c r="BF96" s="103">
        <f>VLOOKUP($AF96,'US Grid mix, emissions&amp;prices'!$H$113:$I$163,2,FALSE)*BF$110</f>
        <v>183651.10488513496</v>
      </c>
      <c r="BG96" s="103">
        <f>VLOOKUP($AF96,'US Grid mix, emissions&amp;prices'!$H$113:$I$163,2,FALSE)*BG$110</f>
        <v>183651.10488513496</v>
      </c>
      <c r="BH96" s="103">
        <f>VLOOKUP($AF96,'US Grid mix, emissions&amp;prices'!$H$113:$I$163,2,FALSE)*BH$110</f>
        <v>183651.10488513496</v>
      </c>
    </row>
    <row r="97" spans="1:60" x14ac:dyDescent="0.25">
      <c r="A97" s="83" t="s">
        <v>221</v>
      </c>
      <c r="B97" s="103">
        <f>VLOOKUP($A97,'US Grid mix, emissions&amp;prices'!$H$113:$I$163,2,FALSE)*B$110</f>
        <v>203800.72476321852</v>
      </c>
      <c r="C97" s="103">
        <f>VLOOKUP($A97,'US Grid mix, emissions&amp;prices'!$H$113:$I$163,2,FALSE)*C$110</f>
        <v>203800.72476321852</v>
      </c>
      <c r="D97" s="103">
        <f>VLOOKUP($A97,'US Grid mix, emissions&amp;prices'!$H$113:$I$163,2,FALSE)*D$110</f>
        <v>203800.72476321852</v>
      </c>
      <c r="E97" s="103">
        <f>VLOOKUP($A97,'US Grid mix, emissions&amp;prices'!$H$113:$I$163,2,FALSE)*E$110</f>
        <v>203800.72476321852</v>
      </c>
      <c r="F97" s="103">
        <f>VLOOKUP($A97,'US Grid mix, emissions&amp;prices'!$H$113:$I$163,2,FALSE)*F$110</f>
        <v>203800.72476321852</v>
      </c>
      <c r="G97" s="103">
        <f>VLOOKUP($A97,'US Grid mix, emissions&amp;prices'!$H$113:$I$163,2,FALSE)*G$110</f>
        <v>203800.72476321852</v>
      </c>
      <c r="H97" s="103">
        <f>VLOOKUP($A97,'US Grid mix, emissions&amp;prices'!$H$113:$I$163,2,FALSE)*H$110</f>
        <v>203800.72476321852</v>
      </c>
      <c r="I97" s="103">
        <f>VLOOKUP($A97,'US Grid mix, emissions&amp;prices'!$H$113:$I$163,2,FALSE)*I$110</f>
        <v>203800.72476321852</v>
      </c>
      <c r="J97" s="103">
        <f>VLOOKUP($A97,'US Grid mix, emissions&amp;prices'!$H$113:$I$163,2,FALSE)*J$110</f>
        <v>203800.72476321852</v>
      </c>
      <c r="K97" s="103">
        <f>VLOOKUP($A97,'US Grid mix, emissions&amp;prices'!$H$113:$I$163,2,FALSE)*K$110</f>
        <v>203800.72476321852</v>
      </c>
      <c r="L97" s="103">
        <f>VLOOKUP($A97,'US Grid mix, emissions&amp;prices'!$H$113:$I$163,2,FALSE)*L$110</f>
        <v>203800.72476321852</v>
      </c>
      <c r="M97" s="103">
        <f>VLOOKUP($A97,'US Grid mix, emissions&amp;prices'!$H$113:$I$163,2,FALSE)*M$110</f>
        <v>203800.72476321852</v>
      </c>
      <c r="N97" s="103">
        <f>VLOOKUP($A97,'US Grid mix, emissions&amp;prices'!$H$113:$I$163,2,FALSE)*N$110</f>
        <v>203800.72476321852</v>
      </c>
      <c r="O97" s="103">
        <f>VLOOKUP($A97,'US Grid mix, emissions&amp;prices'!$H$113:$I$163,2,FALSE)*O$110</f>
        <v>203800.72476321852</v>
      </c>
      <c r="P97" s="103">
        <f>VLOOKUP($A97,'US Grid mix, emissions&amp;prices'!$H$113:$I$163,2,FALSE)*P$110</f>
        <v>203800.72476321852</v>
      </c>
      <c r="Q97" s="103">
        <f>VLOOKUP($A97,'US Grid mix, emissions&amp;prices'!$H$113:$I$163,2,FALSE)*Q$110</f>
        <v>203800.72476321852</v>
      </c>
      <c r="R97" s="103">
        <f>VLOOKUP($A97,'US Grid mix, emissions&amp;prices'!$H$113:$I$163,2,FALSE)*R$110</f>
        <v>203800.72476321852</v>
      </c>
      <c r="S97" s="103">
        <f>VLOOKUP($A97,'US Grid mix, emissions&amp;prices'!$H$113:$I$163,2,FALSE)*S$110</f>
        <v>203800.72476321852</v>
      </c>
      <c r="T97" s="103">
        <f>VLOOKUP($A97,'US Grid mix, emissions&amp;prices'!$H$113:$I$163,2,FALSE)*T$110</f>
        <v>203800.72476321852</v>
      </c>
      <c r="U97" s="103">
        <f>VLOOKUP($A97,'US Grid mix, emissions&amp;prices'!$H$113:$I$163,2,FALSE)*U$110</f>
        <v>203800.72476321852</v>
      </c>
      <c r="V97" s="103">
        <f>VLOOKUP($A97,'US Grid mix, emissions&amp;prices'!$H$113:$I$163,2,FALSE)*V$110</f>
        <v>203800.72476321852</v>
      </c>
      <c r="W97" s="103">
        <f>VLOOKUP($A97,'US Grid mix, emissions&amp;prices'!$H$113:$I$163,2,FALSE)*W$110</f>
        <v>203800.72476321852</v>
      </c>
      <c r="X97" s="103">
        <f>VLOOKUP($A97,'US Grid mix, emissions&amp;prices'!$H$113:$I$163,2,FALSE)*X$110</f>
        <v>203800.72476321852</v>
      </c>
      <c r="Y97" s="103">
        <f>VLOOKUP($A97,'US Grid mix, emissions&amp;prices'!$H$113:$I$163,2,FALSE)*Y$110</f>
        <v>203800.72476321852</v>
      </c>
      <c r="Z97" s="103">
        <f>VLOOKUP($A97,'US Grid mix, emissions&amp;prices'!$H$113:$I$163,2,FALSE)*Z$110</f>
        <v>203800.72476321852</v>
      </c>
      <c r="AA97" s="103">
        <f>VLOOKUP($A97,'US Grid mix, emissions&amp;prices'!$H$113:$I$163,2,FALSE)*AA$110</f>
        <v>203800.72476321852</v>
      </c>
      <c r="AB97" s="103">
        <f>VLOOKUP($A97,'US Grid mix, emissions&amp;prices'!$H$113:$I$163,2,FALSE)*AB$110</f>
        <v>203800.72476321852</v>
      </c>
      <c r="AC97" s="103">
        <f>VLOOKUP($A97,'US Grid mix, emissions&amp;prices'!$H$113:$I$163,2,FALSE)*AC$110</f>
        <v>203800.72476321852</v>
      </c>
      <c r="AF97" s="83" t="s">
        <v>221</v>
      </c>
      <c r="AG97" s="103">
        <f>VLOOKUP($AF97,'US Grid mix, emissions&amp;prices'!$H$113:$I$163,2,FALSE)*AG$110</f>
        <v>236090.99524510445</v>
      </c>
      <c r="AH97" s="103">
        <f>VLOOKUP($AF97,'US Grid mix, emissions&amp;prices'!$H$113:$I$163,2,FALSE)*AH$110</f>
        <v>236090.99524510445</v>
      </c>
      <c r="AI97" s="103">
        <f>VLOOKUP($AF97,'US Grid mix, emissions&amp;prices'!$H$113:$I$163,2,FALSE)*AI$110</f>
        <v>236090.99524510445</v>
      </c>
      <c r="AJ97" s="103">
        <f>VLOOKUP($AF97,'US Grid mix, emissions&amp;prices'!$H$113:$I$163,2,FALSE)*AJ$110</f>
        <v>236090.99524510445</v>
      </c>
      <c r="AK97" s="103">
        <f>VLOOKUP($AF97,'US Grid mix, emissions&amp;prices'!$H$113:$I$163,2,FALSE)*AK$110</f>
        <v>236090.99524510445</v>
      </c>
      <c r="AL97" s="103">
        <f>VLOOKUP($AF97,'US Grid mix, emissions&amp;prices'!$H$113:$I$163,2,FALSE)*AL$110</f>
        <v>236090.99524510445</v>
      </c>
      <c r="AM97" s="103">
        <f>VLOOKUP($AF97,'US Grid mix, emissions&amp;prices'!$H$113:$I$163,2,FALSE)*AM$110</f>
        <v>236090.99524510445</v>
      </c>
      <c r="AN97" s="103">
        <f>VLOOKUP($AF97,'US Grid mix, emissions&amp;prices'!$H$113:$I$163,2,FALSE)*AN$110</f>
        <v>236090.99524510445</v>
      </c>
      <c r="AO97" s="103">
        <f>VLOOKUP($AF97,'US Grid mix, emissions&amp;prices'!$H$113:$I$163,2,FALSE)*AO$110</f>
        <v>236090.99524510445</v>
      </c>
      <c r="AP97" s="103">
        <f>VLOOKUP($AF97,'US Grid mix, emissions&amp;prices'!$H$113:$I$163,2,FALSE)*AP$110</f>
        <v>236090.99524510445</v>
      </c>
      <c r="AQ97" s="103">
        <f>VLOOKUP($AF97,'US Grid mix, emissions&amp;prices'!$H$113:$I$163,2,FALSE)*AQ$110</f>
        <v>236090.99524510445</v>
      </c>
      <c r="AR97" s="103">
        <f>VLOOKUP($AF97,'US Grid mix, emissions&amp;prices'!$H$113:$I$163,2,FALSE)*AR$110</f>
        <v>236090.99524510445</v>
      </c>
      <c r="AS97" s="103">
        <f>VLOOKUP($AF97,'US Grid mix, emissions&amp;prices'!$H$113:$I$163,2,FALSE)*AS$110</f>
        <v>236090.99524510445</v>
      </c>
      <c r="AT97" s="103">
        <f>VLOOKUP($AF97,'US Grid mix, emissions&amp;prices'!$H$113:$I$163,2,FALSE)*AT$110</f>
        <v>236090.99524510445</v>
      </c>
      <c r="AU97" s="103">
        <f>VLOOKUP($AF97,'US Grid mix, emissions&amp;prices'!$H$113:$I$163,2,FALSE)*AU$110</f>
        <v>236090.99524510445</v>
      </c>
      <c r="AV97" s="103">
        <f>VLOOKUP($AF97,'US Grid mix, emissions&amp;prices'!$H$113:$I$163,2,FALSE)*AV$110</f>
        <v>236090.99524510445</v>
      </c>
      <c r="AW97" s="103">
        <f>VLOOKUP($AF97,'US Grid mix, emissions&amp;prices'!$H$113:$I$163,2,FALSE)*AW$110</f>
        <v>236090.99524510445</v>
      </c>
      <c r="AX97" s="103">
        <f>VLOOKUP($AF97,'US Grid mix, emissions&amp;prices'!$H$113:$I$163,2,FALSE)*AX$110</f>
        <v>236090.99524510445</v>
      </c>
      <c r="AY97" s="103">
        <f>VLOOKUP($AF97,'US Grid mix, emissions&amp;prices'!$H$113:$I$163,2,FALSE)*AY$110</f>
        <v>236090.99524510445</v>
      </c>
      <c r="AZ97" s="103">
        <f>VLOOKUP($AF97,'US Grid mix, emissions&amp;prices'!$H$113:$I$163,2,FALSE)*AZ$110</f>
        <v>236090.99524510445</v>
      </c>
      <c r="BA97" s="103">
        <f>VLOOKUP($AF97,'US Grid mix, emissions&amp;prices'!$H$113:$I$163,2,FALSE)*BA$110</f>
        <v>236090.99524510445</v>
      </c>
      <c r="BB97" s="103">
        <f>VLOOKUP($AF97,'US Grid mix, emissions&amp;prices'!$H$113:$I$163,2,FALSE)*BB$110</f>
        <v>236090.99524510445</v>
      </c>
      <c r="BC97" s="103">
        <f>VLOOKUP($AF97,'US Grid mix, emissions&amp;prices'!$H$113:$I$163,2,FALSE)*BC$110</f>
        <v>236090.99524510445</v>
      </c>
      <c r="BD97" s="103">
        <f>VLOOKUP($AF97,'US Grid mix, emissions&amp;prices'!$H$113:$I$163,2,FALSE)*BD$110</f>
        <v>236090.99524510445</v>
      </c>
      <c r="BE97" s="103">
        <f>VLOOKUP($AF97,'US Grid mix, emissions&amp;prices'!$H$113:$I$163,2,FALSE)*BE$110</f>
        <v>236090.99524510445</v>
      </c>
      <c r="BF97" s="103">
        <f>VLOOKUP($AF97,'US Grid mix, emissions&amp;prices'!$H$113:$I$163,2,FALSE)*BF$110</f>
        <v>236090.99524510445</v>
      </c>
      <c r="BG97" s="103">
        <f>VLOOKUP($AF97,'US Grid mix, emissions&amp;prices'!$H$113:$I$163,2,FALSE)*BG$110</f>
        <v>236090.99524510445</v>
      </c>
      <c r="BH97" s="103">
        <f>VLOOKUP($AF97,'US Grid mix, emissions&amp;prices'!$H$113:$I$163,2,FALSE)*BH$110</f>
        <v>236090.99524510445</v>
      </c>
    </row>
    <row r="98" spans="1:60" x14ac:dyDescent="0.25">
      <c r="A98" s="83" t="s">
        <v>222</v>
      </c>
      <c r="B98" s="103">
        <f>VLOOKUP($A98,'US Grid mix, emissions&amp;prices'!$H$113:$I$163,2,FALSE)*B$110</f>
        <v>126490.11479566278</v>
      </c>
      <c r="C98" s="103">
        <f>VLOOKUP($A98,'US Grid mix, emissions&amp;prices'!$H$113:$I$163,2,FALSE)*C$110</f>
        <v>126490.11479566278</v>
      </c>
      <c r="D98" s="103">
        <f>VLOOKUP($A98,'US Grid mix, emissions&amp;prices'!$H$113:$I$163,2,FALSE)*D$110</f>
        <v>126490.11479566278</v>
      </c>
      <c r="E98" s="103">
        <f>VLOOKUP($A98,'US Grid mix, emissions&amp;prices'!$H$113:$I$163,2,FALSE)*E$110</f>
        <v>126490.11479566278</v>
      </c>
      <c r="F98" s="103">
        <f>VLOOKUP($A98,'US Grid mix, emissions&amp;prices'!$H$113:$I$163,2,FALSE)*F$110</f>
        <v>126490.11479566278</v>
      </c>
      <c r="G98" s="103">
        <f>VLOOKUP($A98,'US Grid mix, emissions&amp;prices'!$H$113:$I$163,2,FALSE)*G$110</f>
        <v>126490.11479566278</v>
      </c>
      <c r="H98" s="103">
        <f>VLOOKUP($A98,'US Grid mix, emissions&amp;prices'!$H$113:$I$163,2,FALSE)*H$110</f>
        <v>126490.11479566278</v>
      </c>
      <c r="I98" s="103">
        <f>VLOOKUP($A98,'US Grid mix, emissions&amp;prices'!$H$113:$I$163,2,FALSE)*I$110</f>
        <v>126490.11479566278</v>
      </c>
      <c r="J98" s="103">
        <f>VLOOKUP($A98,'US Grid mix, emissions&amp;prices'!$H$113:$I$163,2,FALSE)*J$110</f>
        <v>126490.11479566278</v>
      </c>
      <c r="K98" s="103">
        <f>VLOOKUP($A98,'US Grid mix, emissions&amp;prices'!$H$113:$I$163,2,FALSE)*K$110</f>
        <v>126490.11479566278</v>
      </c>
      <c r="L98" s="103">
        <f>VLOOKUP($A98,'US Grid mix, emissions&amp;prices'!$H$113:$I$163,2,FALSE)*L$110</f>
        <v>126490.11479566278</v>
      </c>
      <c r="M98" s="103">
        <f>VLOOKUP($A98,'US Grid mix, emissions&amp;prices'!$H$113:$I$163,2,FALSE)*M$110</f>
        <v>126490.11479566278</v>
      </c>
      <c r="N98" s="103">
        <f>VLOOKUP($A98,'US Grid mix, emissions&amp;prices'!$H$113:$I$163,2,FALSE)*N$110</f>
        <v>126490.11479566278</v>
      </c>
      <c r="O98" s="103">
        <f>VLOOKUP($A98,'US Grid mix, emissions&amp;prices'!$H$113:$I$163,2,FALSE)*O$110</f>
        <v>126490.11479566278</v>
      </c>
      <c r="P98" s="103">
        <f>VLOOKUP($A98,'US Grid mix, emissions&amp;prices'!$H$113:$I$163,2,FALSE)*P$110</f>
        <v>126490.11479566278</v>
      </c>
      <c r="Q98" s="103">
        <f>VLOOKUP($A98,'US Grid mix, emissions&amp;prices'!$H$113:$I$163,2,FALSE)*Q$110</f>
        <v>126490.11479566278</v>
      </c>
      <c r="R98" s="103">
        <f>VLOOKUP($A98,'US Grid mix, emissions&amp;prices'!$H$113:$I$163,2,FALSE)*R$110</f>
        <v>126490.11479566278</v>
      </c>
      <c r="S98" s="103">
        <f>VLOOKUP($A98,'US Grid mix, emissions&amp;prices'!$H$113:$I$163,2,FALSE)*S$110</f>
        <v>126490.11479566278</v>
      </c>
      <c r="T98" s="103">
        <f>VLOOKUP($A98,'US Grid mix, emissions&amp;prices'!$H$113:$I$163,2,FALSE)*T$110</f>
        <v>126490.11479566278</v>
      </c>
      <c r="U98" s="103">
        <f>VLOOKUP($A98,'US Grid mix, emissions&amp;prices'!$H$113:$I$163,2,FALSE)*U$110</f>
        <v>126490.11479566278</v>
      </c>
      <c r="V98" s="103">
        <f>VLOOKUP($A98,'US Grid mix, emissions&amp;prices'!$H$113:$I$163,2,FALSE)*V$110</f>
        <v>126490.11479566278</v>
      </c>
      <c r="W98" s="103">
        <f>VLOOKUP($A98,'US Grid mix, emissions&amp;prices'!$H$113:$I$163,2,FALSE)*W$110</f>
        <v>126490.11479566278</v>
      </c>
      <c r="X98" s="103">
        <f>VLOOKUP($A98,'US Grid mix, emissions&amp;prices'!$H$113:$I$163,2,FALSE)*X$110</f>
        <v>126490.11479566278</v>
      </c>
      <c r="Y98" s="103">
        <f>VLOOKUP($A98,'US Grid mix, emissions&amp;prices'!$H$113:$I$163,2,FALSE)*Y$110</f>
        <v>126490.11479566278</v>
      </c>
      <c r="Z98" s="103">
        <f>VLOOKUP($A98,'US Grid mix, emissions&amp;prices'!$H$113:$I$163,2,FALSE)*Z$110</f>
        <v>126490.11479566278</v>
      </c>
      <c r="AA98" s="103">
        <f>VLOOKUP($A98,'US Grid mix, emissions&amp;prices'!$H$113:$I$163,2,FALSE)*AA$110</f>
        <v>126490.11479566278</v>
      </c>
      <c r="AB98" s="103">
        <f>VLOOKUP($A98,'US Grid mix, emissions&amp;prices'!$H$113:$I$163,2,FALSE)*AB$110</f>
        <v>126490.11479566278</v>
      </c>
      <c r="AC98" s="103">
        <f>VLOOKUP($A98,'US Grid mix, emissions&amp;prices'!$H$113:$I$163,2,FALSE)*AC$110</f>
        <v>126490.11479566278</v>
      </c>
      <c r="AF98" s="83" t="s">
        <v>222</v>
      </c>
      <c r="AG98" s="103">
        <f>VLOOKUP($AF98,'US Grid mix, emissions&amp;prices'!$H$113:$I$163,2,FALSE)*AG$110</f>
        <v>146531.26050199982</v>
      </c>
      <c r="AH98" s="103">
        <f>VLOOKUP($AF98,'US Grid mix, emissions&amp;prices'!$H$113:$I$163,2,FALSE)*AH$110</f>
        <v>146531.26050199982</v>
      </c>
      <c r="AI98" s="103">
        <f>VLOOKUP($AF98,'US Grid mix, emissions&amp;prices'!$H$113:$I$163,2,FALSE)*AI$110</f>
        <v>146531.26050199982</v>
      </c>
      <c r="AJ98" s="103">
        <f>VLOOKUP($AF98,'US Grid mix, emissions&amp;prices'!$H$113:$I$163,2,FALSE)*AJ$110</f>
        <v>146531.26050199982</v>
      </c>
      <c r="AK98" s="103">
        <f>VLOOKUP($AF98,'US Grid mix, emissions&amp;prices'!$H$113:$I$163,2,FALSE)*AK$110</f>
        <v>146531.26050199982</v>
      </c>
      <c r="AL98" s="103">
        <f>VLOOKUP($AF98,'US Grid mix, emissions&amp;prices'!$H$113:$I$163,2,FALSE)*AL$110</f>
        <v>146531.26050199982</v>
      </c>
      <c r="AM98" s="103">
        <f>VLOOKUP($AF98,'US Grid mix, emissions&amp;prices'!$H$113:$I$163,2,FALSE)*AM$110</f>
        <v>146531.26050199982</v>
      </c>
      <c r="AN98" s="103">
        <f>VLOOKUP($AF98,'US Grid mix, emissions&amp;prices'!$H$113:$I$163,2,FALSE)*AN$110</f>
        <v>146531.26050199982</v>
      </c>
      <c r="AO98" s="103">
        <f>VLOOKUP($AF98,'US Grid mix, emissions&amp;prices'!$H$113:$I$163,2,FALSE)*AO$110</f>
        <v>146531.26050199982</v>
      </c>
      <c r="AP98" s="103">
        <f>VLOOKUP($AF98,'US Grid mix, emissions&amp;prices'!$H$113:$I$163,2,FALSE)*AP$110</f>
        <v>146531.26050199982</v>
      </c>
      <c r="AQ98" s="103">
        <f>VLOOKUP($AF98,'US Grid mix, emissions&amp;prices'!$H$113:$I$163,2,FALSE)*AQ$110</f>
        <v>146531.26050199982</v>
      </c>
      <c r="AR98" s="103">
        <f>VLOOKUP($AF98,'US Grid mix, emissions&amp;prices'!$H$113:$I$163,2,FALSE)*AR$110</f>
        <v>146531.26050199982</v>
      </c>
      <c r="AS98" s="103">
        <f>VLOOKUP($AF98,'US Grid mix, emissions&amp;prices'!$H$113:$I$163,2,FALSE)*AS$110</f>
        <v>146531.26050199982</v>
      </c>
      <c r="AT98" s="103">
        <f>VLOOKUP($AF98,'US Grid mix, emissions&amp;prices'!$H$113:$I$163,2,FALSE)*AT$110</f>
        <v>146531.26050199982</v>
      </c>
      <c r="AU98" s="103">
        <f>VLOOKUP($AF98,'US Grid mix, emissions&amp;prices'!$H$113:$I$163,2,FALSE)*AU$110</f>
        <v>146531.26050199982</v>
      </c>
      <c r="AV98" s="103">
        <f>VLOOKUP($AF98,'US Grid mix, emissions&amp;prices'!$H$113:$I$163,2,FALSE)*AV$110</f>
        <v>146531.26050199982</v>
      </c>
      <c r="AW98" s="103">
        <f>VLOOKUP($AF98,'US Grid mix, emissions&amp;prices'!$H$113:$I$163,2,FALSE)*AW$110</f>
        <v>146531.26050199982</v>
      </c>
      <c r="AX98" s="103">
        <f>VLOOKUP($AF98,'US Grid mix, emissions&amp;prices'!$H$113:$I$163,2,FALSE)*AX$110</f>
        <v>146531.26050199982</v>
      </c>
      <c r="AY98" s="103">
        <f>VLOOKUP($AF98,'US Grid mix, emissions&amp;prices'!$H$113:$I$163,2,FALSE)*AY$110</f>
        <v>146531.26050199982</v>
      </c>
      <c r="AZ98" s="103">
        <f>VLOOKUP($AF98,'US Grid mix, emissions&amp;prices'!$H$113:$I$163,2,FALSE)*AZ$110</f>
        <v>146531.26050199982</v>
      </c>
      <c r="BA98" s="103">
        <f>VLOOKUP($AF98,'US Grid mix, emissions&amp;prices'!$H$113:$I$163,2,FALSE)*BA$110</f>
        <v>146531.26050199982</v>
      </c>
      <c r="BB98" s="103">
        <f>VLOOKUP($AF98,'US Grid mix, emissions&amp;prices'!$H$113:$I$163,2,FALSE)*BB$110</f>
        <v>146531.26050199982</v>
      </c>
      <c r="BC98" s="103">
        <f>VLOOKUP($AF98,'US Grid mix, emissions&amp;prices'!$H$113:$I$163,2,FALSE)*BC$110</f>
        <v>146531.26050199982</v>
      </c>
      <c r="BD98" s="103">
        <f>VLOOKUP($AF98,'US Grid mix, emissions&amp;prices'!$H$113:$I$163,2,FALSE)*BD$110</f>
        <v>146531.26050199982</v>
      </c>
      <c r="BE98" s="103">
        <f>VLOOKUP($AF98,'US Grid mix, emissions&amp;prices'!$H$113:$I$163,2,FALSE)*BE$110</f>
        <v>146531.26050199982</v>
      </c>
      <c r="BF98" s="103">
        <f>VLOOKUP($AF98,'US Grid mix, emissions&amp;prices'!$H$113:$I$163,2,FALSE)*BF$110</f>
        <v>146531.26050199982</v>
      </c>
      <c r="BG98" s="103">
        <f>VLOOKUP($AF98,'US Grid mix, emissions&amp;prices'!$H$113:$I$163,2,FALSE)*BG$110</f>
        <v>146531.26050199982</v>
      </c>
      <c r="BH98" s="103">
        <f>VLOOKUP($AF98,'US Grid mix, emissions&amp;prices'!$H$113:$I$163,2,FALSE)*BH$110</f>
        <v>146531.26050199982</v>
      </c>
    </row>
    <row r="99" spans="1:60" x14ac:dyDescent="0.25">
      <c r="A99" s="83" t="s">
        <v>223</v>
      </c>
      <c r="B99" s="103">
        <f>VLOOKUP($A99,'US Grid mix, emissions&amp;prices'!$H$113:$I$163,2,FALSE)*B$110</f>
        <v>78191.968287852273</v>
      </c>
      <c r="C99" s="103">
        <f>VLOOKUP($A99,'US Grid mix, emissions&amp;prices'!$H$113:$I$163,2,FALSE)*C$110</f>
        <v>78191.968287852273</v>
      </c>
      <c r="D99" s="103">
        <f>VLOOKUP($A99,'US Grid mix, emissions&amp;prices'!$H$113:$I$163,2,FALSE)*D$110</f>
        <v>78191.968287852273</v>
      </c>
      <c r="E99" s="103">
        <f>VLOOKUP($A99,'US Grid mix, emissions&amp;prices'!$H$113:$I$163,2,FALSE)*E$110</f>
        <v>78191.968287852273</v>
      </c>
      <c r="F99" s="103">
        <f>VLOOKUP($A99,'US Grid mix, emissions&amp;prices'!$H$113:$I$163,2,FALSE)*F$110</f>
        <v>78191.968287852273</v>
      </c>
      <c r="G99" s="103">
        <f>VLOOKUP($A99,'US Grid mix, emissions&amp;prices'!$H$113:$I$163,2,FALSE)*G$110</f>
        <v>78191.968287852273</v>
      </c>
      <c r="H99" s="103">
        <f>VLOOKUP($A99,'US Grid mix, emissions&amp;prices'!$H$113:$I$163,2,FALSE)*H$110</f>
        <v>78191.968287852273</v>
      </c>
      <c r="I99" s="103">
        <f>VLOOKUP($A99,'US Grid mix, emissions&amp;prices'!$H$113:$I$163,2,FALSE)*I$110</f>
        <v>78191.968287852273</v>
      </c>
      <c r="J99" s="103">
        <f>VLOOKUP($A99,'US Grid mix, emissions&amp;prices'!$H$113:$I$163,2,FALSE)*J$110</f>
        <v>78191.968287852273</v>
      </c>
      <c r="K99" s="103">
        <f>VLOOKUP($A99,'US Grid mix, emissions&amp;prices'!$H$113:$I$163,2,FALSE)*K$110</f>
        <v>78191.968287852273</v>
      </c>
      <c r="L99" s="103">
        <f>VLOOKUP($A99,'US Grid mix, emissions&amp;prices'!$H$113:$I$163,2,FALSE)*L$110</f>
        <v>78191.968287852273</v>
      </c>
      <c r="M99" s="103">
        <f>VLOOKUP($A99,'US Grid mix, emissions&amp;prices'!$H$113:$I$163,2,FALSE)*M$110</f>
        <v>78191.968287852273</v>
      </c>
      <c r="N99" s="103">
        <f>VLOOKUP($A99,'US Grid mix, emissions&amp;prices'!$H$113:$I$163,2,FALSE)*N$110</f>
        <v>78191.968287852273</v>
      </c>
      <c r="O99" s="103">
        <f>VLOOKUP($A99,'US Grid mix, emissions&amp;prices'!$H$113:$I$163,2,FALSE)*O$110</f>
        <v>78191.968287852273</v>
      </c>
      <c r="P99" s="103">
        <f>VLOOKUP($A99,'US Grid mix, emissions&amp;prices'!$H$113:$I$163,2,FALSE)*P$110</f>
        <v>78191.968287852273</v>
      </c>
      <c r="Q99" s="103">
        <f>VLOOKUP($A99,'US Grid mix, emissions&amp;prices'!$H$113:$I$163,2,FALSE)*Q$110</f>
        <v>78191.968287852273</v>
      </c>
      <c r="R99" s="103">
        <f>VLOOKUP($A99,'US Grid mix, emissions&amp;prices'!$H$113:$I$163,2,FALSE)*R$110</f>
        <v>78191.968287852273</v>
      </c>
      <c r="S99" s="103">
        <f>VLOOKUP($A99,'US Grid mix, emissions&amp;prices'!$H$113:$I$163,2,FALSE)*S$110</f>
        <v>78191.968287852273</v>
      </c>
      <c r="T99" s="103">
        <f>VLOOKUP($A99,'US Grid mix, emissions&amp;prices'!$H$113:$I$163,2,FALSE)*T$110</f>
        <v>78191.968287852273</v>
      </c>
      <c r="U99" s="103">
        <f>VLOOKUP($A99,'US Grid mix, emissions&amp;prices'!$H$113:$I$163,2,FALSE)*U$110</f>
        <v>78191.968287852273</v>
      </c>
      <c r="V99" s="103">
        <f>VLOOKUP($A99,'US Grid mix, emissions&amp;prices'!$H$113:$I$163,2,FALSE)*V$110</f>
        <v>78191.968287852273</v>
      </c>
      <c r="W99" s="103">
        <f>VLOOKUP($A99,'US Grid mix, emissions&amp;prices'!$H$113:$I$163,2,FALSE)*W$110</f>
        <v>78191.968287852273</v>
      </c>
      <c r="X99" s="103">
        <f>VLOOKUP($A99,'US Grid mix, emissions&amp;prices'!$H$113:$I$163,2,FALSE)*X$110</f>
        <v>78191.968287852273</v>
      </c>
      <c r="Y99" s="103">
        <f>VLOOKUP($A99,'US Grid mix, emissions&amp;prices'!$H$113:$I$163,2,FALSE)*Y$110</f>
        <v>78191.968287852273</v>
      </c>
      <c r="Z99" s="103">
        <f>VLOOKUP($A99,'US Grid mix, emissions&amp;prices'!$H$113:$I$163,2,FALSE)*Z$110</f>
        <v>78191.968287852273</v>
      </c>
      <c r="AA99" s="103">
        <f>VLOOKUP($A99,'US Grid mix, emissions&amp;prices'!$H$113:$I$163,2,FALSE)*AA$110</f>
        <v>78191.968287852273</v>
      </c>
      <c r="AB99" s="103">
        <f>VLOOKUP($A99,'US Grid mix, emissions&amp;prices'!$H$113:$I$163,2,FALSE)*AB$110</f>
        <v>78191.968287852273</v>
      </c>
      <c r="AC99" s="103">
        <f>VLOOKUP($A99,'US Grid mix, emissions&amp;prices'!$H$113:$I$163,2,FALSE)*AC$110</f>
        <v>78191.968287852273</v>
      </c>
      <c r="AF99" s="83" t="s">
        <v>223</v>
      </c>
      <c r="AG99" s="103">
        <f>VLOOKUP($AF99,'US Grid mix, emissions&amp;prices'!$H$113:$I$163,2,FALSE)*AG$110</f>
        <v>90580.735837424189</v>
      </c>
      <c r="AH99" s="103">
        <f>VLOOKUP($AF99,'US Grid mix, emissions&amp;prices'!$H$113:$I$163,2,FALSE)*AH$110</f>
        <v>90580.735837424189</v>
      </c>
      <c r="AI99" s="103">
        <f>VLOOKUP($AF99,'US Grid mix, emissions&amp;prices'!$H$113:$I$163,2,FALSE)*AI$110</f>
        <v>90580.735837424189</v>
      </c>
      <c r="AJ99" s="103">
        <f>VLOOKUP($AF99,'US Grid mix, emissions&amp;prices'!$H$113:$I$163,2,FALSE)*AJ$110</f>
        <v>90580.735837424189</v>
      </c>
      <c r="AK99" s="103">
        <f>VLOOKUP($AF99,'US Grid mix, emissions&amp;prices'!$H$113:$I$163,2,FALSE)*AK$110</f>
        <v>90580.735837424189</v>
      </c>
      <c r="AL99" s="103">
        <f>VLOOKUP($AF99,'US Grid mix, emissions&amp;prices'!$H$113:$I$163,2,FALSE)*AL$110</f>
        <v>90580.735837424189</v>
      </c>
      <c r="AM99" s="103">
        <f>VLOOKUP($AF99,'US Grid mix, emissions&amp;prices'!$H$113:$I$163,2,FALSE)*AM$110</f>
        <v>90580.735837424189</v>
      </c>
      <c r="AN99" s="103">
        <f>VLOOKUP($AF99,'US Grid mix, emissions&amp;prices'!$H$113:$I$163,2,FALSE)*AN$110</f>
        <v>90580.735837424189</v>
      </c>
      <c r="AO99" s="103">
        <f>VLOOKUP($AF99,'US Grid mix, emissions&amp;prices'!$H$113:$I$163,2,FALSE)*AO$110</f>
        <v>90580.735837424189</v>
      </c>
      <c r="AP99" s="103">
        <f>VLOOKUP($AF99,'US Grid mix, emissions&amp;prices'!$H$113:$I$163,2,FALSE)*AP$110</f>
        <v>90580.735837424189</v>
      </c>
      <c r="AQ99" s="103">
        <f>VLOOKUP($AF99,'US Grid mix, emissions&amp;prices'!$H$113:$I$163,2,FALSE)*AQ$110</f>
        <v>90580.735837424189</v>
      </c>
      <c r="AR99" s="103">
        <f>VLOOKUP($AF99,'US Grid mix, emissions&amp;prices'!$H$113:$I$163,2,FALSE)*AR$110</f>
        <v>90580.735837424189</v>
      </c>
      <c r="AS99" s="103">
        <f>VLOOKUP($AF99,'US Grid mix, emissions&amp;prices'!$H$113:$I$163,2,FALSE)*AS$110</f>
        <v>90580.735837424189</v>
      </c>
      <c r="AT99" s="103">
        <f>VLOOKUP($AF99,'US Grid mix, emissions&amp;prices'!$H$113:$I$163,2,FALSE)*AT$110</f>
        <v>90580.735837424189</v>
      </c>
      <c r="AU99" s="103">
        <f>VLOOKUP($AF99,'US Grid mix, emissions&amp;prices'!$H$113:$I$163,2,FALSE)*AU$110</f>
        <v>90580.735837424189</v>
      </c>
      <c r="AV99" s="103">
        <f>VLOOKUP($AF99,'US Grid mix, emissions&amp;prices'!$H$113:$I$163,2,FALSE)*AV$110</f>
        <v>90580.735837424189</v>
      </c>
      <c r="AW99" s="103">
        <f>VLOOKUP($AF99,'US Grid mix, emissions&amp;prices'!$H$113:$I$163,2,FALSE)*AW$110</f>
        <v>90580.735837424189</v>
      </c>
      <c r="AX99" s="103">
        <f>VLOOKUP($AF99,'US Grid mix, emissions&amp;prices'!$H$113:$I$163,2,FALSE)*AX$110</f>
        <v>90580.735837424189</v>
      </c>
      <c r="AY99" s="103">
        <f>VLOOKUP($AF99,'US Grid mix, emissions&amp;prices'!$H$113:$I$163,2,FALSE)*AY$110</f>
        <v>90580.735837424189</v>
      </c>
      <c r="AZ99" s="103">
        <f>VLOOKUP($AF99,'US Grid mix, emissions&amp;prices'!$H$113:$I$163,2,FALSE)*AZ$110</f>
        <v>90580.735837424189</v>
      </c>
      <c r="BA99" s="103">
        <f>VLOOKUP($AF99,'US Grid mix, emissions&amp;prices'!$H$113:$I$163,2,FALSE)*BA$110</f>
        <v>90580.735837424189</v>
      </c>
      <c r="BB99" s="103">
        <f>VLOOKUP($AF99,'US Grid mix, emissions&amp;prices'!$H$113:$I$163,2,FALSE)*BB$110</f>
        <v>90580.735837424189</v>
      </c>
      <c r="BC99" s="103">
        <f>VLOOKUP($AF99,'US Grid mix, emissions&amp;prices'!$H$113:$I$163,2,FALSE)*BC$110</f>
        <v>90580.735837424189</v>
      </c>
      <c r="BD99" s="103">
        <f>VLOOKUP($AF99,'US Grid mix, emissions&amp;prices'!$H$113:$I$163,2,FALSE)*BD$110</f>
        <v>90580.735837424189</v>
      </c>
      <c r="BE99" s="103">
        <f>VLOOKUP($AF99,'US Grid mix, emissions&amp;prices'!$H$113:$I$163,2,FALSE)*BE$110</f>
        <v>90580.735837424189</v>
      </c>
      <c r="BF99" s="103">
        <f>VLOOKUP($AF99,'US Grid mix, emissions&amp;prices'!$H$113:$I$163,2,FALSE)*BF$110</f>
        <v>90580.735837424189</v>
      </c>
      <c r="BG99" s="103">
        <f>VLOOKUP($AF99,'US Grid mix, emissions&amp;prices'!$H$113:$I$163,2,FALSE)*BG$110</f>
        <v>90580.735837424189</v>
      </c>
      <c r="BH99" s="103">
        <f>VLOOKUP($AF99,'US Grid mix, emissions&amp;prices'!$H$113:$I$163,2,FALSE)*BH$110</f>
        <v>90580.735837424189</v>
      </c>
    </row>
    <row r="100" spans="1:60" x14ac:dyDescent="0.25">
      <c r="A100" s="83" t="s">
        <v>224</v>
      </c>
      <c r="B100" s="103">
        <f>VLOOKUP($A100,'US Grid mix, emissions&amp;prices'!$H$113:$I$163,2,FALSE)*B$110</f>
        <v>136859.46186450473</v>
      </c>
      <c r="C100" s="103">
        <f>VLOOKUP($A100,'US Grid mix, emissions&amp;prices'!$H$113:$I$163,2,FALSE)*C$110</f>
        <v>136859.46186450473</v>
      </c>
      <c r="D100" s="103">
        <f>VLOOKUP($A100,'US Grid mix, emissions&amp;prices'!$H$113:$I$163,2,FALSE)*D$110</f>
        <v>136859.46186450473</v>
      </c>
      <c r="E100" s="103">
        <f>VLOOKUP($A100,'US Grid mix, emissions&amp;prices'!$H$113:$I$163,2,FALSE)*E$110</f>
        <v>136859.46186450473</v>
      </c>
      <c r="F100" s="103">
        <f>VLOOKUP($A100,'US Grid mix, emissions&amp;prices'!$H$113:$I$163,2,FALSE)*F$110</f>
        <v>136859.46186450473</v>
      </c>
      <c r="G100" s="103">
        <f>VLOOKUP($A100,'US Grid mix, emissions&amp;prices'!$H$113:$I$163,2,FALSE)*G$110</f>
        <v>136859.46186450473</v>
      </c>
      <c r="H100" s="103">
        <f>VLOOKUP($A100,'US Grid mix, emissions&amp;prices'!$H$113:$I$163,2,FALSE)*H$110</f>
        <v>136859.46186450473</v>
      </c>
      <c r="I100" s="103">
        <f>VLOOKUP($A100,'US Grid mix, emissions&amp;prices'!$H$113:$I$163,2,FALSE)*I$110</f>
        <v>136859.46186450473</v>
      </c>
      <c r="J100" s="103">
        <f>VLOOKUP($A100,'US Grid mix, emissions&amp;prices'!$H$113:$I$163,2,FALSE)*J$110</f>
        <v>136859.46186450473</v>
      </c>
      <c r="K100" s="103">
        <f>VLOOKUP($A100,'US Grid mix, emissions&amp;prices'!$H$113:$I$163,2,FALSE)*K$110</f>
        <v>136859.46186450473</v>
      </c>
      <c r="L100" s="103">
        <f>VLOOKUP($A100,'US Grid mix, emissions&amp;prices'!$H$113:$I$163,2,FALSE)*L$110</f>
        <v>136859.46186450473</v>
      </c>
      <c r="M100" s="103">
        <f>VLOOKUP($A100,'US Grid mix, emissions&amp;prices'!$H$113:$I$163,2,FALSE)*M$110</f>
        <v>136859.46186450473</v>
      </c>
      <c r="N100" s="103">
        <f>VLOOKUP($A100,'US Grid mix, emissions&amp;prices'!$H$113:$I$163,2,FALSE)*N$110</f>
        <v>136859.46186450473</v>
      </c>
      <c r="O100" s="103">
        <f>VLOOKUP($A100,'US Grid mix, emissions&amp;prices'!$H$113:$I$163,2,FALSE)*O$110</f>
        <v>136859.46186450473</v>
      </c>
      <c r="P100" s="103">
        <f>VLOOKUP($A100,'US Grid mix, emissions&amp;prices'!$H$113:$I$163,2,FALSE)*P$110</f>
        <v>136859.46186450473</v>
      </c>
      <c r="Q100" s="103">
        <f>VLOOKUP($A100,'US Grid mix, emissions&amp;prices'!$H$113:$I$163,2,FALSE)*Q$110</f>
        <v>136859.46186450473</v>
      </c>
      <c r="R100" s="103">
        <f>VLOOKUP($A100,'US Grid mix, emissions&amp;prices'!$H$113:$I$163,2,FALSE)*R$110</f>
        <v>136859.46186450473</v>
      </c>
      <c r="S100" s="103">
        <f>VLOOKUP($A100,'US Grid mix, emissions&amp;prices'!$H$113:$I$163,2,FALSE)*S$110</f>
        <v>136859.46186450473</v>
      </c>
      <c r="T100" s="103">
        <f>VLOOKUP($A100,'US Grid mix, emissions&amp;prices'!$H$113:$I$163,2,FALSE)*T$110</f>
        <v>136859.46186450473</v>
      </c>
      <c r="U100" s="103">
        <f>VLOOKUP($A100,'US Grid mix, emissions&amp;prices'!$H$113:$I$163,2,FALSE)*U$110</f>
        <v>136859.46186450473</v>
      </c>
      <c r="V100" s="103">
        <f>VLOOKUP($A100,'US Grid mix, emissions&amp;prices'!$H$113:$I$163,2,FALSE)*V$110</f>
        <v>136859.46186450473</v>
      </c>
      <c r="W100" s="103">
        <f>VLOOKUP($A100,'US Grid mix, emissions&amp;prices'!$H$113:$I$163,2,FALSE)*W$110</f>
        <v>136859.46186450473</v>
      </c>
      <c r="X100" s="103">
        <f>VLOOKUP($A100,'US Grid mix, emissions&amp;prices'!$H$113:$I$163,2,FALSE)*X$110</f>
        <v>136859.46186450473</v>
      </c>
      <c r="Y100" s="103">
        <f>VLOOKUP($A100,'US Grid mix, emissions&amp;prices'!$H$113:$I$163,2,FALSE)*Y$110</f>
        <v>136859.46186450473</v>
      </c>
      <c r="Z100" s="103">
        <f>VLOOKUP($A100,'US Grid mix, emissions&amp;prices'!$H$113:$I$163,2,FALSE)*Z$110</f>
        <v>136859.46186450473</v>
      </c>
      <c r="AA100" s="103">
        <f>VLOOKUP($A100,'US Grid mix, emissions&amp;prices'!$H$113:$I$163,2,FALSE)*AA$110</f>
        <v>136859.46186450473</v>
      </c>
      <c r="AB100" s="103">
        <f>VLOOKUP($A100,'US Grid mix, emissions&amp;prices'!$H$113:$I$163,2,FALSE)*AB$110</f>
        <v>136859.46186450473</v>
      </c>
      <c r="AC100" s="103">
        <f>VLOOKUP($A100,'US Grid mix, emissions&amp;prices'!$H$113:$I$163,2,FALSE)*AC$110</f>
        <v>136859.46186450473</v>
      </c>
      <c r="AF100" s="83" t="s">
        <v>224</v>
      </c>
      <c r="AG100" s="103">
        <f>VLOOKUP($AF100,'US Grid mix, emissions&amp;prices'!$H$113:$I$163,2,FALSE)*AG$110</f>
        <v>158543.53117654764</v>
      </c>
      <c r="AH100" s="103">
        <f>VLOOKUP($AF100,'US Grid mix, emissions&amp;prices'!$H$113:$I$163,2,FALSE)*AH$110</f>
        <v>158543.53117654764</v>
      </c>
      <c r="AI100" s="103">
        <f>VLOOKUP($AF100,'US Grid mix, emissions&amp;prices'!$H$113:$I$163,2,FALSE)*AI$110</f>
        <v>158543.53117654764</v>
      </c>
      <c r="AJ100" s="103">
        <f>VLOOKUP($AF100,'US Grid mix, emissions&amp;prices'!$H$113:$I$163,2,FALSE)*AJ$110</f>
        <v>158543.53117654764</v>
      </c>
      <c r="AK100" s="103">
        <f>VLOOKUP($AF100,'US Grid mix, emissions&amp;prices'!$H$113:$I$163,2,FALSE)*AK$110</f>
        <v>158543.53117654764</v>
      </c>
      <c r="AL100" s="103">
        <f>VLOOKUP($AF100,'US Grid mix, emissions&amp;prices'!$H$113:$I$163,2,FALSE)*AL$110</f>
        <v>158543.53117654764</v>
      </c>
      <c r="AM100" s="103">
        <f>VLOOKUP($AF100,'US Grid mix, emissions&amp;prices'!$H$113:$I$163,2,FALSE)*AM$110</f>
        <v>158543.53117654764</v>
      </c>
      <c r="AN100" s="103">
        <f>VLOOKUP($AF100,'US Grid mix, emissions&amp;prices'!$H$113:$I$163,2,FALSE)*AN$110</f>
        <v>158543.53117654764</v>
      </c>
      <c r="AO100" s="103">
        <f>VLOOKUP($AF100,'US Grid mix, emissions&amp;prices'!$H$113:$I$163,2,FALSE)*AO$110</f>
        <v>158543.53117654764</v>
      </c>
      <c r="AP100" s="103">
        <f>VLOOKUP($AF100,'US Grid mix, emissions&amp;prices'!$H$113:$I$163,2,FALSE)*AP$110</f>
        <v>158543.53117654764</v>
      </c>
      <c r="AQ100" s="103">
        <f>VLOOKUP($AF100,'US Grid mix, emissions&amp;prices'!$H$113:$I$163,2,FALSE)*AQ$110</f>
        <v>158543.53117654764</v>
      </c>
      <c r="AR100" s="103">
        <f>VLOOKUP($AF100,'US Grid mix, emissions&amp;prices'!$H$113:$I$163,2,FALSE)*AR$110</f>
        <v>158543.53117654764</v>
      </c>
      <c r="AS100" s="103">
        <f>VLOOKUP($AF100,'US Grid mix, emissions&amp;prices'!$H$113:$I$163,2,FALSE)*AS$110</f>
        <v>158543.53117654764</v>
      </c>
      <c r="AT100" s="103">
        <f>VLOOKUP($AF100,'US Grid mix, emissions&amp;prices'!$H$113:$I$163,2,FALSE)*AT$110</f>
        <v>158543.53117654764</v>
      </c>
      <c r="AU100" s="103">
        <f>VLOOKUP($AF100,'US Grid mix, emissions&amp;prices'!$H$113:$I$163,2,FALSE)*AU$110</f>
        <v>158543.53117654764</v>
      </c>
      <c r="AV100" s="103">
        <f>VLOOKUP($AF100,'US Grid mix, emissions&amp;prices'!$H$113:$I$163,2,FALSE)*AV$110</f>
        <v>158543.53117654764</v>
      </c>
      <c r="AW100" s="103">
        <f>VLOOKUP($AF100,'US Grid mix, emissions&amp;prices'!$H$113:$I$163,2,FALSE)*AW$110</f>
        <v>158543.53117654764</v>
      </c>
      <c r="AX100" s="103">
        <f>VLOOKUP($AF100,'US Grid mix, emissions&amp;prices'!$H$113:$I$163,2,FALSE)*AX$110</f>
        <v>158543.53117654764</v>
      </c>
      <c r="AY100" s="103">
        <f>VLOOKUP($AF100,'US Grid mix, emissions&amp;prices'!$H$113:$I$163,2,FALSE)*AY$110</f>
        <v>158543.53117654764</v>
      </c>
      <c r="AZ100" s="103">
        <f>VLOOKUP($AF100,'US Grid mix, emissions&amp;prices'!$H$113:$I$163,2,FALSE)*AZ$110</f>
        <v>158543.53117654764</v>
      </c>
      <c r="BA100" s="103">
        <f>VLOOKUP($AF100,'US Grid mix, emissions&amp;prices'!$H$113:$I$163,2,FALSE)*BA$110</f>
        <v>158543.53117654764</v>
      </c>
      <c r="BB100" s="103">
        <f>VLOOKUP($AF100,'US Grid mix, emissions&amp;prices'!$H$113:$I$163,2,FALSE)*BB$110</f>
        <v>158543.53117654764</v>
      </c>
      <c r="BC100" s="103">
        <f>VLOOKUP($AF100,'US Grid mix, emissions&amp;prices'!$H$113:$I$163,2,FALSE)*BC$110</f>
        <v>158543.53117654764</v>
      </c>
      <c r="BD100" s="103">
        <f>VLOOKUP($AF100,'US Grid mix, emissions&amp;prices'!$H$113:$I$163,2,FALSE)*BD$110</f>
        <v>158543.53117654764</v>
      </c>
      <c r="BE100" s="103">
        <f>VLOOKUP($AF100,'US Grid mix, emissions&amp;prices'!$H$113:$I$163,2,FALSE)*BE$110</f>
        <v>158543.53117654764</v>
      </c>
      <c r="BF100" s="103">
        <f>VLOOKUP($AF100,'US Grid mix, emissions&amp;prices'!$H$113:$I$163,2,FALSE)*BF$110</f>
        <v>158543.53117654764</v>
      </c>
      <c r="BG100" s="103">
        <f>VLOOKUP($AF100,'US Grid mix, emissions&amp;prices'!$H$113:$I$163,2,FALSE)*BG$110</f>
        <v>158543.53117654764</v>
      </c>
      <c r="BH100" s="103">
        <f>VLOOKUP($AF100,'US Grid mix, emissions&amp;prices'!$H$113:$I$163,2,FALSE)*BH$110</f>
        <v>158543.53117654764</v>
      </c>
    </row>
    <row r="101" spans="1:60" x14ac:dyDescent="0.25">
      <c r="A101" s="83" t="s">
        <v>225</v>
      </c>
      <c r="B101" s="103">
        <f>VLOOKUP($A101,'US Grid mix, emissions&amp;prices'!$H$113:$I$163,2,FALSE)*B$110</f>
        <v>175168.88074228773</v>
      </c>
      <c r="C101" s="103">
        <f>VLOOKUP($A101,'US Grid mix, emissions&amp;prices'!$H$113:$I$163,2,FALSE)*C$110</f>
        <v>175168.88074228773</v>
      </c>
      <c r="D101" s="103">
        <f>VLOOKUP($A101,'US Grid mix, emissions&amp;prices'!$H$113:$I$163,2,FALSE)*D$110</f>
        <v>175168.88074228773</v>
      </c>
      <c r="E101" s="103">
        <f>VLOOKUP($A101,'US Grid mix, emissions&amp;prices'!$H$113:$I$163,2,FALSE)*E$110</f>
        <v>175168.88074228773</v>
      </c>
      <c r="F101" s="103">
        <f>VLOOKUP($A101,'US Grid mix, emissions&amp;prices'!$H$113:$I$163,2,FALSE)*F$110</f>
        <v>175168.88074228773</v>
      </c>
      <c r="G101" s="103">
        <f>VLOOKUP($A101,'US Grid mix, emissions&amp;prices'!$H$113:$I$163,2,FALSE)*G$110</f>
        <v>175168.88074228773</v>
      </c>
      <c r="H101" s="103">
        <f>VLOOKUP($A101,'US Grid mix, emissions&amp;prices'!$H$113:$I$163,2,FALSE)*H$110</f>
        <v>175168.88074228773</v>
      </c>
      <c r="I101" s="103">
        <f>VLOOKUP($A101,'US Grid mix, emissions&amp;prices'!$H$113:$I$163,2,FALSE)*I$110</f>
        <v>175168.88074228773</v>
      </c>
      <c r="J101" s="103">
        <f>VLOOKUP($A101,'US Grid mix, emissions&amp;prices'!$H$113:$I$163,2,FALSE)*J$110</f>
        <v>175168.88074228773</v>
      </c>
      <c r="K101" s="103">
        <f>VLOOKUP($A101,'US Grid mix, emissions&amp;prices'!$H$113:$I$163,2,FALSE)*K$110</f>
        <v>175168.88074228773</v>
      </c>
      <c r="L101" s="103">
        <f>VLOOKUP($A101,'US Grid mix, emissions&amp;prices'!$H$113:$I$163,2,FALSE)*L$110</f>
        <v>175168.88074228773</v>
      </c>
      <c r="M101" s="103">
        <f>VLOOKUP($A101,'US Grid mix, emissions&amp;prices'!$H$113:$I$163,2,FALSE)*M$110</f>
        <v>175168.88074228773</v>
      </c>
      <c r="N101" s="103">
        <f>VLOOKUP($A101,'US Grid mix, emissions&amp;prices'!$H$113:$I$163,2,FALSE)*N$110</f>
        <v>175168.88074228773</v>
      </c>
      <c r="O101" s="103">
        <f>VLOOKUP($A101,'US Grid mix, emissions&amp;prices'!$H$113:$I$163,2,FALSE)*O$110</f>
        <v>175168.88074228773</v>
      </c>
      <c r="P101" s="103">
        <f>VLOOKUP($A101,'US Grid mix, emissions&amp;prices'!$H$113:$I$163,2,FALSE)*P$110</f>
        <v>175168.88074228773</v>
      </c>
      <c r="Q101" s="103">
        <f>VLOOKUP($A101,'US Grid mix, emissions&amp;prices'!$H$113:$I$163,2,FALSE)*Q$110</f>
        <v>175168.88074228773</v>
      </c>
      <c r="R101" s="103">
        <f>VLOOKUP($A101,'US Grid mix, emissions&amp;prices'!$H$113:$I$163,2,FALSE)*R$110</f>
        <v>175168.88074228773</v>
      </c>
      <c r="S101" s="103">
        <f>VLOOKUP($A101,'US Grid mix, emissions&amp;prices'!$H$113:$I$163,2,FALSE)*S$110</f>
        <v>175168.88074228773</v>
      </c>
      <c r="T101" s="103">
        <f>VLOOKUP($A101,'US Grid mix, emissions&amp;prices'!$H$113:$I$163,2,FALSE)*T$110</f>
        <v>175168.88074228773</v>
      </c>
      <c r="U101" s="103">
        <f>VLOOKUP($A101,'US Grid mix, emissions&amp;prices'!$H$113:$I$163,2,FALSE)*U$110</f>
        <v>175168.88074228773</v>
      </c>
      <c r="V101" s="103">
        <f>VLOOKUP($A101,'US Grid mix, emissions&amp;prices'!$H$113:$I$163,2,FALSE)*V$110</f>
        <v>175168.88074228773</v>
      </c>
      <c r="W101" s="103">
        <f>VLOOKUP($A101,'US Grid mix, emissions&amp;prices'!$H$113:$I$163,2,FALSE)*W$110</f>
        <v>175168.88074228773</v>
      </c>
      <c r="X101" s="103">
        <f>VLOOKUP($A101,'US Grid mix, emissions&amp;prices'!$H$113:$I$163,2,FALSE)*X$110</f>
        <v>175168.88074228773</v>
      </c>
      <c r="Y101" s="103">
        <f>VLOOKUP($A101,'US Grid mix, emissions&amp;prices'!$H$113:$I$163,2,FALSE)*Y$110</f>
        <v>175168.88074228773</v>
      </c>
      <c r="Z101" s="103">
        <f>VLOOKUP($A101,'US Grid mix, emissions&amp;prices'!$H$113:$I$163,2,FALSE)*Z$110</f>
        <v>175168.88074228773</v>
      </c>
      <c r="AA101" s="103">
        <f>VLOOKUP($A101,'US Grid mix, emissions&amp;prices'!$H$113:$I$163,2,FALSE)*AA$110</f>
        <v>175168.88074228773</v>
      </c>
      <c r="AB101" s="103">
        <f>VLOOKUP($A101,'US Grid mix, emissions&amp;prices'!$H$113:$I$163,2,FALSE)*AB$110</f>
        <v>175168.88074228773</v>
      </c>
      <c r="AC101" s="103">
        <f>VLOOKUP($A101,'US Grid mix, emissions&amp;prices'!$H$113:$I$163,2,FALSE)*AC$110</f>
        <v>175168.88074228773</v>
      </c>
      <c r="AF101" s="83" t="s">
        <v>225</v>
      </c>
      <c r="AG101" s="103">
        <f>VLOOKUP($AF101,'US Grid mix, emissions&amp;prices'!$H$113:$I$163,2,FALSE)*AG$110</f>
        <v>202922.71010550164</v>
      </c>
      <c r="AH101" s="103">
        <f>VLOOKUP($AF101,'US Grid mix, emissions&amp;prices'!$H$113:$I$163,2,FALSE)*AH$110</f>
        <v>202922.71010550164</v>
      </c>
      <c r="AI101" s="103">
        <f>VLOOKUP($AF101,'US Grid mix, emissions&amp;prices'!$H$113:$I$163,2,FALSE)*AI$110</f>
        <v>202922.71010550164</v>
      </c>
      <c r="AJ101" s="103">
        <f>VLOOKUP($AF101,'US Grid mix, emissions&amp;prices'!$H$113:$I$163,2,FALSE)*AJ$110</f>
        <v>202922.71010550164</v>
      </c>
      <c r="AK101" s="103">
        <f>VLOOKUP($AF101,'US Grid mix, emissions&amp;prices'!$H$113:$I$163,2,FALSE)*AK$110</f>
        <v>202922.71010550164</v>
      </c>
      <c r="AL101" s="103">
        <f>VLOOKUP($AF101,'US Grid mix, emissions&amp;prices'!$H$113:$I$163,2,FALSE)*AL$110</f>
        <v>202922.71010550164</v>
      </c>
      <c r="AM101" s="103">
        <f>VLOOKUP($AF101,'US Grid mix, emissions&amp;prices'!$H$113:$I$163,2,FALSE)*AM$110</f>
        <v>202922.71010550164</v>
      </c>
      <c r="AN101" s="103">
        <f>VLOOKUP($AF101,'US Grid mix, emissions&amp;prices'!$H$113:$I$163,2,FALSE)*AN$110</f>
        <v>202922.71010550164</v>
      </c>
      <c r="AO101" s="103">
        <f>VLOOKUP($AF101,'US Grid mix, emissions&amp;prices'!$H$113:$I$163,2,FALSE)*AO$110</f>
        <v>202922.71010550164</v>
      </c>
      <c r="AP101" s="103">
        <f>VLOOKUP($AF101,'US Grid mix, emissions&amp;prices'!$H$113:$I$163,2,FALSE)*AP$110</f>
        <v>202922.71010550164</v>
      </c>
      <c r="AQ101" s="103">
        <f>VLOOKUP($AF101,'US Grid mix, emissions&amp;prices'!$H$113:$I$163,2,FALSE)*AQ$110</f>
        <v>202922.71010550164</v>
      </c>
      <c r="AR101" s="103">
        <f>VLOOKUP($AF101,'US Grid mix, emissions&amp;prices'!$H$113:$I$163,2,FALSE)*AR$110</f>
        <v>202922.71010550164</v>
      </c>
      <c r="AS101" s="103">
        <f>VLOOKUP($AF101,'US Grid mix, emissions&amp;prices'!$H$113:$I$163,2,FALSE)*AS$110</f>
        <v>202922.71010550164</v>
      </c>
      <c r="AT101" s="103">
        <f>VLOOKUP($AF101,'US Grid mix, emissions&amp;prices'!$H$113:$I$163,2,FALSE)*AT$110</f>
        <v>202922.71010550164</v>
      </c>
      <c r="AU101" s="103">
        <f>VLOOKUP($AF101,'US Grid mix, emissions&amp;prices'!$H$113:$I$163,2,FALSE)*AU$110</f>
        <v>202922.71010550164</v>
      </c>
      <c r="AV101" s="103">
        <f>VLOOKUP($AF101,'US Grid mix, emissions&amp;prices'!$H$113:$I$163,2,FALSE)*AV$110</f>
        <v>202922.71010550164</v>
      </c>
      <c r="AW101" s="103">
        <f>VLOOKUP($AF101,'US Grid mix, emissions&amp;prices'!$H$113:$I$163,2,FALSE)*AW$110</f>
        <v>202922.71010550164</v>
      </c>
      <c r="AX101" s="103">
        <f>VLOOKUP($AF101,'US Grid mix, emissions&amp;prices'!$H$113:$I$163,2,FALSE)*AX$110</f>
        <v>202922.71010550164</v>
      </c>
      <c r="AY101" s="103">
        <f>VLOOKUP($AF101,'US Grid mix, emissions&amp;prices'!$H$113:$I$163,2,FALSE)*AY$110</f>
        <v>202922.71010550164</v>
      </c>
      <c r="AZ101" s="103">
        <f>VLOOKUP($AF101,'US Grid mix, emissions&amp;prices'!$H$113:$I$163,2,FALSE)*AZ$110</f>
        <v>202922.71010550164</v>
      </c>
      <c r="BA101" s="103">
        <f>VLOOKUP($AF101,'US Grid mix, emissions&amp;prices'!$H$113:$I$163,2,FALSE)*BA$110</f>
        <v>202922.71010550164</v>
      </c>
      <c r="BB101" s="103">
        <f>VLOOKUP($AF101,'US Grid mix, emissions&amp;prices'!$H$113:$I$163,2,FALSE)*BB$110</f>
        <v>202922.71010550164</v>
      </c>
      <c r="BC101" s="103">
        <f>VLOOKUP($AF101,'US Grid mix, emissions&amp;prices'!$H$113:$I$163,2,FALSE)*BC$110</f>
        <v>202922.71010550164</v>
      </c>
      <c r="BD101" s="103">
        <f>VLOOKUP($AF101,'US Grid mix, emissions&amp;prices'!$H$113:$I$163,2,FALSE)*BD$110</f>
        <v>202922.71010550164</v>
      </c>
      <c r="BE101" s="103">
        <f>VLOOKUP($AF101,'US Grid mix, emissions&amp;prices'!$H$113:$I$163,2,FALSE)*BE$110</f>
        <v>202922.71010550164</v>
      </c>
      <c r="BF101" s="103">
        <f>VLOOKUP($AF101,'US Grid mix, emissions&amp;prices'!$H$113:$I$163,2,FALSE)*BF$110</f>
        <v>202922.71010550164</v>
      </c>
      <c r="BG101" s="103">
        <f>VLOOKUP($AF101,'US Grid mix, emissions&amp;prices'!$H$113:$I$163,2,FALSE)*BG$110</f>
        <v>202922.71010550164</v>
      </c>
      <c r="BH101" s="103">
        <f>VLOOKUP($AF101,'US Grid mix, emissions&amp;prices'!$H$113:$I$163,2,FALSE)*BH$110</f>
        <v>202922.71010550164</v>
      </c>
    </row>
    <row r="102" spans="1:60" x14ac:dyDescent="0.25">
      <c r="A102" s="83" t="s">
        <v>226</v>
      </c>
      <c r="B102" s="103">
        <f>VLOOKUP($A102,'US Grid mix, emissions&amp;prices'!$H$113:$I$163,2,FALSE)*B$110</f>
        <v>307392.8898975809</v>
      </c>
      <c r="C102" s="103">
        <f>VLOOKUP($A102,'US Grid mix, emissions&amp;prices'!$H$113:$I$163,2,FALSE)*C$110</f>
        <v>307392.8898975809</v>
      </c>
      <c r="D102" s="103">
        <f>VLOOKUP($A102,'US Grid mix, emissions&amp;prices'!$H$113:$I$163,2,FALSE)*D$110</f>
        <v>307392.8898975809</v>
      </c>
      <c r="E102" s="103">
        <f>VLOOKUP($A102,'US Grid mix, emissions&amp;prices'!$H$113:$I$163,2,FALSE)*E$110</f>
        <v>307392.8898975809</v>
      </c>
      <c r="F102" s="103">
        <f>VLOOKUP($A102,'US Grid mix, emissions&amp;prices'!$H$113:$I$163,2,FALSE)*F$110</f>
        <v>307392.8898975809</v>
      </c>
      <c r="G102" s="103">
        <f>VLOOKUP($A102,'US Grid mix, emissions&amp;prices'!$H$113:$I$163,2,FALSE)*G$110</f>
        <v>307392.8898975809</v>
      </c>
      <c r="H102" s="103">
        <f>VLOOKUP($A102,'US Grid mix, emissions&amp;prices'!$H$113:$I$163,2,FALSE)*H$110</f>
        <v>307392.8898975809</v>
      </c>
      <c r="I102" s="103">
        <f>VLOOKUP($A102,'US Grid mix, emissions&amp;prices'!$H$113:$I$163,2,FALSE)*I$110</f>
        <v>307392.8898975809</v>
      </c>
      <c r="J102" s="103">
        <f>VLOOKUP($A102,'US Grid mix, emissions&amp;prices'!$H$113:$I$163,2,FALSE)*J$110</f>
        <v>307392.8898975809</v>
      </c>
      <c r="K102" s="103">
        <f>VLOOKUP($A102,'US Grid mix, emissions&amp;prices'!$H$113:$I$163,2,FALSE)*K$110</f>
        <v>307392.8898975809</v>
      </c>
      <c r="L102" s="103">
        <f>VLOOKUP($A102,'US Grid mix, emissions&amp;prices'!$H$113:$I$163,2,FALSE)*L$110</f>
        <v>307392.8898975809</v>
      </c>
      <c r="M102" s="103">
        <f>VLOOKUP($A102,'US Grid mix, emissions&amp;prices'!$H$113:$I$163,2,FALSE)*M$110</f>
        <v>307392.8898975809</v>
      </c>
      <c r="N102" s="103">
        <f>VLOOKUP($A102,'US Grid mix, emissions&amp;prices'!$H$113:$I$163,2,FALSE)*N$110</f>
        <v>307392.8898975809</v>
      </c>
      <c r="O102" s="103">
        <f>VLOOKUP($A102,'US Grid mix, emissions&amp;prices'!$H$113:$I$163,2,FALSE)*O$110</f>
        <v>307392.8898975809</v>
      </c>
      <c r="P102" s="103">
        <f>VLOOKUP($A102,'US Grid mix, emissions&amp;prices'!$H$113:$I$163,2,FALSE)*P$110</f>
        <v>307392.8898975809</v>
      </c>
      <c r="Q102" s="103">
        <f>VLOOKUP($A102,'US Grid mix, emissions&amp;prices'!$H$113:$I$163,2,FALSE)*Q$110</f>
        <v>307392.8898975809</v>
      </c>
      <c r="R102" s="103">
        <f>VLOOKUP($A102,'US Grid mix, emissions&amp;prices'!$H$113:$I$163,2,FALSE)*R$110</f>
        <v>307392.8898975809</v>
      </c>
      <c r="S102" s="103">
        <f>VLOOKUP($A102,'US Grid mix, emissions&amp;prices'!$H$113:$I$163,2,FALSE)*S$110</f>
        <v>307392.8898975809</v>
      </c>
      <c r="T102" s="103">
        <f>VLOOKUP($A102,'US Grid mix, emissions&amp;prices'!$H$113:$I$163,2,FALSE)*T$110</f>
        <v>307392.8898975809</v>
      </c>
      <c r="U102" s="103">
        <f>VLOOKUP($A102,'US Grid mix, emissions&amp;prices'!$H$113:$I$163,2,FALSE)*U$110</f>
        <v>307392.8898975809</v>
      </c>
      <c r="V102" s="103">
        <f>VLOOKUP($A102,'US Grid mix, emissions&amp;prices'!$H$113:$I$163,2,FALSE)*V$110</f>
        <v>307392.8898975809</v>
      </c>
      <c r="W102" s="103">
        <f>VLOOKUP($A102,'US Grid mix, emissions&amp;prices'!$H$113:$I$163,2,FALSE)*W$110</f>
        <v>307392.8898975809</v>
      </c>
      <c r="X102" s="103">
        <f>VLOOKUP($A102,'US Grid mix, emissions&amp;prices'!$H$113:$I$163,2,FALSE)*X$110</f>
        <v>307392.8898975809</v>
      </c>
      <c r="Y102" s="103">
        <f>VLOOKUP($A102,'US Grid mix, emissions&amp;prices'!$H$113:$I$163,2,FALSE)*Y$110</f>
        <v>307392.8898975809</v>
      </c>
      <c r="Z102" s="103">
        <f>VLOOKUP($A102,'US Grid mix, emissions&amp;prices'!$H$113:$I$163,2,FALSE)*Z$110</f>
        <v>307392.8898975809</v>
      </c>
      <c r="AA102" s="103">
        <f>VLOOKUP($A102,'US Grid mix, emissions&amp;prices'!$H$113:$I$163,2,FALSE)*AA$110</f>
        <v>307392.8898975809</v>
      </c>
      <c r="AB102" s="103">
        <f>VLOOKUP($A102,'US Grid mix, emissions&amp;prices'!$H$113:$I$163,2,FALSE)*AB$110</f>
        <v>307392.8898975809</v>
      </c>
      <c r="AC102" s="103">
        <f>VLOOKUP($A102,'US Grid mix, emissions&amp;prices'!$H$113:$I$163,2,FALSE)*AC$110</f>
        <v>307392.8898975809</v>
      </c>
      <c r="AF102" s="83" t="s">
        <v>226</v>
      </c>
      <c r="AG102" s="103">
        <f>VLOOKUP($AF102,'US Grid mix, emissions&amp;prices'!$H$113:$I$163,2,FALSE)*AG$110</f>
        <v>356096.34554295975</v>
      </c>
      <c r="AH102" s="103">
        <f>VLOOKUP($AF102,'US Grid mix, emissions&amp;prices'!$H$113:$I$163,2,FALSE)*AH$110</f>
        <v>356096.34554295975</v>
      </c>
      <c r="AI102" s="103">
        <f>VLOOKUP($AF102,'US Grid mix, emissions&amp;prices'!$H$113:$I$163,2,FALSE)*AI$110</f>
        <v>356096.34554295975</v>
      </c>
      <c r="AJ102" s="103">
        <f>VLOOKUP($AF102,'US Grid mix, emissions&amp;prices'!$H$113:$I$163,2,FALSE)*AJ$110</f>
        <v>356096.34554295975</v>
      </c>
      <c r="AK102" s="103">
        <f>VLOOKUP($AF102,'US Grid mix, emissions&amp;prices'!$H$113:$I$163,2,FALSE)*AK$110</f>
        <v>356096.34554295975</v>
      </c>
      <c r="AL102" s="103">
        <f>VLOOKUP($AF102,'US Grid mix, emissions&amp;prices'!$H$113:$I$163,2,FALSE)*AL$110</f>
        <v>356096.34554295975</v>
      </c>
      <c r="AM102" s="103">
        <f>VLOOKUP($AF102,'US Grid mix, emissions&amp;prices'!$H$113:$I$163,2,FALSE)*AM$110</f>
        <v>356096.34554295975</v>
      </c>
      <c r="AN102" s="103">
        <f>VLOOKUP($AF102,'US Grid mix, emissions&amp;prices'!$H$113:$I$163,2,FALSE)*AN$110</f>
        <v>356096.34554295975</v>
      </c>
      <c r="AO102" s="103">
        <f>VLOOKUP($AF102,'US Grid mix, emissions&amp;prices'!$H$113:$I$163,2,FALSE)*AO$110</f>
        <v>356096.34554295975</v>
      </c>
      <c r="AP102" s="103">
        <f>VLOOKUP($AF102,'US Grid mix, emissions&amp;prices'!$H$113:$I$163,2,FALSE)*AP$110</f>
        <v>356096.34554295975</v>
      </c>
      <c r="AQ102" s="103">
        <f>VLOOKUP($AF102,'US Grid mix, emissions&amp;prices'!$H$113:$I$163,2,FALSE)*AQ$110</f>
        <v>356096.34554295975</v>
      </c>
      <c r="AR102" s="103">
        <f>VLOOKUP($AF102,'US Grid mix, emissions&amp;prices'!$H$113:$I$163,2,FALSE)*AR$110</f>
        <v>356096.34554295975</v>
      </c>
      <c r="AS102" s="103">
        <f>VLOOKUP($AF102,'US Grid mix, emissions&amp;prices'!$H$113:$I$163,2,FALSE)*AS$110</f>
        <v>356096.34554295975</v>
      </c>
      <c r="AT102" s="103">
        <f>VLOOKUP($AF102,'US Grid mix, emissions&amp;prices'!$H$113:$I$163,2,FALSE)*AT$110</f>
        <v>356096.34554295975</v>
      </c>
      <c r="AU102" s="103">
        <f>VLOOKUP($AF102,'US Grid mix, emissions&amp;prices'!$H$113:$I$163,2,FALSE)*AU$110</f>
        <v>356096.34554295975</v>
      </c>
      <c r="AV102" s="103">
        <f>VLOOKUP($AF102,'US Grid mix, emissions&amp;prices'!$H$113:$I$163,2,FALSE)*AV$110</f>
        <v>356096.34554295975</v>
      </c>
      <c r="AW102" s="103">
        <f>VLOOKUP($AF102,'US Grid mix, emissions&amp;prices'!$H$113:$I$163,2,FALSE)*AW$110</f>
        <v>356096.34554295975</v>
      </c>
      <c r="AX102" s="103">
        <f>VLOOKUP($AF102,'US Grid mix, emissions&amp;prices'!$H$113:$I$163,2,FALSE)*AX$110</f>
        <v>356096.34554295975</v>
      </c>
      <c r="AY102" s="103">
        <f>VLOOKUP($AF102,'US Grid mix, emissions&amp;prices'!$H$113:$I$163,2,FALSE)*AY$110</f>
        <v>356096.34554295975</v>
      </c>
      <c r="AZ102" s="103">
        <f>VLOOKUP($AF102,'US Grid mix, emissions&amp;prices'!$H$113:$I$163,2,FALSE)*AZ$110</f>
        <v>356096.34554295975</v>
      </c>
      <c r="BA102" s="103">
        <f>VLOOKUP($AF102,'US Grid mix, emissions&amp;prices'!$H$113:$I$163,2,FALSE)*BA$110</f>
        <v>356096.34554295975</v>
      </c>
      <c r="BB102" s="103">
        <f>VLOOKUP($AF102,'US Grid mix, emissions&amp;prices'!$H$113:$I$163,2,FALSE)*BB$110</f>
        <v>356096.34554295975</v>
      </c>
      <c r="BC102" s="103">
        <f>VLOOKUP($AF102,'US Grid mix, emissions&amp;prices'!$H$113:$I$163,2,FALSE)*BC$110</f>
        <v>356096.34554295975</v>
      </c>
      <c r="BD102" s="103">
        <f>VLOOKUP($AF102,'US Grid mix, emissions&amp;prices'!$H$113:$I$163,2,FALSE)*BD$110</f>
        <v>356096.34554295975</v>
      </c>
      <c r="BE102" s="103">
        <f>VLOOKUP($AF102,'US Grid mix, emissions&amp;prices'!$H$113:$I$163,2,FALSE)*BE$110</f>
        <v>356096.34554295975</v>
      </c>
      <c r="BF102" s="103">
        <f>VLOOKUP($AF102,'US Grid mix, emissions&amp;prices'!$H$113:$I$163,2,FALSE)*BF$110</f>
        <v>356096.34554295975</v>
      </c>
      <c r="BG102" s="103">
        <f>VLOOKUP($AF102,'US Grid mix, emissions&amp;prices'!$H$113:$I$163,2,FALSE)*BG$110</f>
        <v>356096.34554295975</v>
      </c>
      <c r="BH102" s="103">
        <f>VLOOKUP($AF102,'US Grid mix, emissions&amp;prices'!$H$113:$I$163,2,FALSE)*BH$110</f>
        <v>356096.34554295975</v>
      </c>
    </row>
    <row r="103" spans="1:60" x14ac:dyDescent="0.25">
      <c r="A103" s="83" t="s">
        <v>228</v>
      </c>
      <c r="B103" s="103">
        <f>VLOOKUP($A103,'US Grid mix, emissions&amp;prices'!$H$113:$I$163,2,FALSE)*B$110</f>
        <v>9147.8915313537964</v>
      </c>
      <c r="C103" s="103">
        <f>VLOOKUP($A103,'US Grid mix, emissions&amp;prices'!$H$113:$I$163,2,FALSE)*C$110</f>
        <v>9147.8915313537964</v>
      </c>
      <c r="D103" s="103">
        <f>VLOOKUP($A103,'US Grid mix, emissions&amp;prices'!$H$113:$I$163,2,FALSE)*D$110</f>
        <v>9147.8915313537964</v>
      </c>
      <c r="E103" s="103">
        <f>VLOOKUP($A103,'US Grid mix, emissions&amp;prices'!$H$113:$I$163,2,FALSE)*E$110</f>
        <v>9147.8915313537964</v>
      </c>
      <c r="F103" s="103">
        <f>VLOOKUP($A103,'US Grid mix, emissions&amp;prices'!$H$113:$I$163,2,FALSE)*F$110</f>
        <v>9147.8915313537964</v>
      </c>
      <c r="G103" s="103">
        <f>VLOOKUP($A103,'US Grid mix, emissions&amp;prices'!$H$113:$I$163,2,FALSE)*G$110</f>
        <v>9147.8915313537964</v>
      </c>
      <c r="H103" s="103">
        <f>VLOOKUP($A103,'US Grid mix, emissions&amp;prices'!$H$113:$I$163,2,FALSE)*H$110</f>
        <v>9147.8915313537964</v>
      </c>
      <c r="I103" s="103">
        <f>VLOOKUP($A103,'US Grid mix, emissions&amp;prices'!$H$113:$I$163,2,FALSE)*I$110</f>
        <v>9147.8915313537964</v>
      </c>
      <c r="J103" s="103">
        <f>VLOOKUP($A103,'US Grid mix, emissions&amp;prices'!$H$113:$I$163,2,FALSE)*J$110</f>
        <v>9147.8915313537964</v>
      </c>
      <c r="K103" s="103">
        <f>VLOOKUP($A103,'US Grid mix, emissions&amp;prices'!$H$113:$I$163,2,FALSE)*K$110</f>
        <v>9147.8915313537964</v>
      </c>
      <c r="L103" s="103">
        <f>VLOOKUP($A103,'US Grid mix, emissions&amp;prices'!$H$113:$I$163,2,FALSE)*L$110</f>
        <v>9147.8915313537964</v>
      </c>
      <c r="M103" s="103">
        <f>VLOOKUP($A103,'US Grid mix, emissions&amp;prices'!$H$113:$I$163,2,FALSE)*M$110</f>
        <v>9147.8915313537964</v>
      </c>
      <c r="N103" s="103">
        <f>VLOOKUP($A103,'US Grid mix, emissions&amp;prices'!$H$113:$I$163,2,FALSE)*N$110</f>
        <v>9147.8915313537964</v>
      </c>
      <c r="O103" s="103">
        <f>VLOOKUP($A103,'US Grid mix, emissions&amp;prices'!$H$113:$I$163,2,FALSE)*O$110</f>
        <v>9147.8915313537964</v>
      </c>
      <c r="P103" s="103">
        <f>VLOOKUP($A103,'US Grid mix, emissions&amp;prices'!$H$113:$I$163,2,FALSE)*P$110</f>
        <v>9147.8915313537964</v>
      </c>
      <c r="Q103" s="103">
        <f>VLOOKUP($A103,'US Grid mix, emissions&amp;prices'!$H$113:$I$163,2,FALSE)*Q$110</f>
        <v>9147.8915313537964</v>
      </c>
      <c r="R103" s="103">
        <f>VLOOKUP($A103,'US Grid mix, emissions&amp;prices'!$H$113:$I$163,2,FALSE)*R$110</f>
        <v>9147.8915313537964</v>
      </c>
      <c r="S103" s="103">
        <f>VLOOKUP($A103,'US Grid mix, emissions&amp;prices'!$H$113:$I$163,2,FALSE)*S$110</f>
        <v>9147.8915313537964</v>
      </c>
      <c r="T103" s="103">
        <f>VLOOKUP($A103,'US Grid mix, emissions&amp;prices'!$H$113:$I$163,2,FALSE)*T$110</f>
        <v>9147.8915313537964</v>
      </c>
      <c r="U103" s="103">
        <f>VLOOKUP($A103,'US Grid mix, emissions&amp;prices'!$H$113:$I$163,2,FALSE)*U$110</f>
        <v>9147.8915313537964</v>
      </c>
      <c r="V103" s="103">
        <f>VLOOKUP($A103,'US Grid mix, emissions&amp;prices'!$H$113:$I$163,2,FALSE)*V$110</f>
        <v>9147.8915313537964</v>
      </c>
      <c r="W103" s="103">
        <f>VLOOKUP($A103,'US Grid mix, emissions&amp;prices'!$H$113:$I$163,2,FALSE)*W$110</f>
        <v>9147.8915313537964</v>
      </c>
      <c r="X103" s="103">
        <f>VLOOKUP($A103,'US Grid mix, emissions&amp;prices'!$H$113:$I$163,2,FALSE)*X$110</f>
        <v>9147.8915313537964</v>
      </c>
      <c r="Y103" s="103">
        <f>VLOOKUP($A103,'US Grid mix, emissions&amp;prices'!$H$113:$I$163,2,FALSE)*Y$110</f>
        <v>9147.8915313537964</v>
      </c>
      <c r="Z103" s="103">
        <f>VLOOKUP($A103,'US Grid mix, emissions&amp;prices'!$H$113:$I$163,2,FALSE)*Z$110</f>
        <v>9147.8915313537964</v>
      </c>
      <c r="AA103" s="103">
        <f>VLOOKUP($A103,'US Grid mix, emissions&amp;prices'!$H$113:$I$163,2,FALSE)*AA$110</f>
        <v>9147.8915313537964</v>
      </c>
      <c r="AB103" s="103">
        <f>VLOOKUP($A103,'US Grid mix, emissions&amp;prices'!$H$113:$I$163,2,FALSE)*AB$110</f>
        <v>9147.8915313537964</v>
      </c>
      <c r="AC103" s="103">
        <f>VLOOKUP($A103,'US Grid mix, emissions&amp;prices'!$H$113:$I$163,2,FALSE)*AC$110</f>
        <v>9147.8915313537964</v>
      </c>
      <c r="AF103" s="83" t="s">
        <v>228</v>
      </c>
      <c r="AG103" s="103">
        <f>VLOOKUP($AF103,'US Grid mix, emissions&amp;prices'!$H$113:$I$163,2,FALSE)*AG$110</f>
        <v>10597.287220351262</v>
      </c>
      <c r="AH103" s="103">
        <f>VLOOKUP($AF103,'US Grid mix, emissions&amp;prices'!$H$113:$I$163,2,FALSE)*AH$110</f>
        <v>10597.287220351262</v>
      </c>
      <c r="AI103" s="103">
        <f>VLOOKUP($AF103,'US Grid mix, emissions&amp;prices'!$H$113:$I$163,2,FALSE)*AI$110</f>
        <v>10597.287220351262</v>
      </c>
      <c r="AJ103" s="103">
        <f>VLOOKUP($AF103,'US Grid mix, emissions&amp;prices'!$H$113:$I$163,2,FALSE)*AJ$110</f>
        <v>10597.287220351262</v>
      </c>
      <c r="AK103" s="103">
        <f>VLOOKUP($AF103,'US Grid mix, emissions&amp;prices'!$H$113:$I$163,2,FALSE)*AK$110</f>
        <v>10597.287220351262</v>
      </c>
      <c r="AL103" s="103">
        <f>VLOOKUP($AF103,'US Grid mix, emissions&amp;prices'!$H$113:$I$163,2,FALSE)*AL$110</f>
        <v>10597.287220351262</v>
      </c>
      <c r="AM103" s="103">
        <f>VLOOKUP($AF103,'US Grid mix, emissions&amp;prices'!$H$113:$I$163,2,FALSE)*AM$110</f>
        <v>10597.287220351262</v>
      </c>
      <c r="AN103" s="103">
        <f>VLOOKUP($AF103,'US Grid mix, emissions&amp;prices'!$H$113:$I$163,2,FALSE)*AN$110</f>
        <v>10597.287220351262</v>
      </c>
      <c r="AO103" s="103">
        <f>VLOOKUP($AF103,'US Grid mix, emissions&amp;prices'!$H$113:$I$163,2,FALSE)*AO$110</f>
        <v>10597.287220351262</v>
      </c>
      <c r="AP103" s="103">
        <f>VLOOKUP($AF103,'US Grid mix, emissions&amp;prices'!$H$113:$I$163,2,FALSE)*AP$110</f>
        <v>10597.287220351262</v>
      </c>
      <c r="AQ103" s="103">
        <f>VLOOKUP($AF103,'US Grid mix, emissions&amp;prices'!$H$113:$I$163,2,FALSE)*AQ$110</f>
        <v>10597.287220351262</v>
      </c>
      <c r="AR103" s="103">
        <f>VLOOKUP($AF103,'US Grid mix, emissions&amp;prices'!$H$113:$I$163,2,FALSE)*AR$110</f>
        <v>10597.287220351262</v>
      </c>
      <c r="AS103" s="103">
        <f>VLOOKUP($AF103,'US Grid mix, emissions&amp;prices'!$H$113:$I$163,2,FALSE)*AS$110</f>
        <v>10597.287220351262</v>
      </c>
      <c r="AT103" s="103">
        <f>VLOOKUP($AF103,'US Grid mix, emissions&amp;prices'!$H$113:$I$163,2,FALSE)*AT$110</f>
        <v>10597.287220351262</v>
      </c>
      <c r="AU103" s="103">
        <f>VLOOKUP($AF103,'US Grid mix, emissions&amp;prices'!$H$113:$I$163,2,FALSE)*AU$110</f>
        <v>10597.287220351262</v>
      </c>
      <c r="AV103" s="103">
        <f>VLOOKUP($AF103,'US Grid mix, emissions&amp;prices'!$H$113:$I$163,2,FALSE)*AV$110</f>
        <v>10597.287220351262</v>
      </c>
      <c r="AW103" s="103">
        <f>VLOOKUP($AF103,'US Grid mix, emissions&amp;prices'!$H$113:$I$163,2,FALSE)*AW$110</f>
        <v>10597.287220351262</v>
      </c>
      <c r="AX103" s="103">
        <f>VLOOKUP($AF103,'US Grid mix, emissions&amp;prices'!$H$113:$I$163,2,FALSE)*AX$110</f>
        <v>10597.287220351262</v>
      </c>
      <c r="AY103" s="103">
        <f>VLOOKUP($AF103,'US Grid mix, emissions&amp;prices'!$H$113:$I$163,2,FALSE)*AY$110</f>
        <v>10597.287220351262</v>
      </c>
      <c r="AZ103" s="103">
        <f>VLOOKUP($AF103,'US Grid mix, emissions&amp;prices'!$H$113:$I$163,2,FALSE)*AZ$110</f>
        <v>10597.287220351262</v>
      </c>
      <c r="BA103" s="103">
        <f>VLOOKUP($AF103,'US Grid mix, emissions&amp;prices'!$H$113:$I$163,2,FALSE)*BA$110</f>
        <v>10597.287220351262</v>
      </c>
      <c r="BB103" s="103">
        <f>VLOOKUP($AF103,'US Grid mix, emissions&amp;prices'!$H$113:$I$163,2,FALSE)*BB$110</f>
        <v>10597.287220351262</v>
      </c>
      <c r="BC103" s="103">
        <f>VLOOKUP($AF103,'US Grid mix, emissions&amp;prices'!$H$113:$I$163,2,FALSE)*BC$110</f>
        <v>10597.287220351262</v>
      </c>
      <c r="BD103" s="103">
        <f>VLOOKUP($AF103,'US Grid mix, emissions&amp;prices'!$H$113:$I$163,2,FALSE)*BD$110</f>
        <v>10597.287220351262</v>
      </c>
      <c r="BE103" s="103">
        <f>VLOOKUP($AF103,'US Grid mix, emissions&amp;prices'!$H$113:$I$163,2,FALSE)*BE$110</f>
        <v>10597.287220351262</v>
      </c>
      <c r="BF103" s="103">
        <f>VLOOKUP($AF103,'US Grid mix, emissions&amp;prices'!$H$113:$I$163,2,FALSE)*BF$110</f>
        <v>10597.287220351262</v>
      </c>
      <c r="BG103" s="103">
        <f>VLOOKUP($AF103,'US Grid mix, emissions&amp;prices'!$H$113:$I$163,2,FALSE)*BG$110</f>
        <v>10597.287220351262</v>
      </c>
      <c r="BH103" s="103">
        <f>VLOOKUP($AF103,'US Grid mix, emissions&amp;prices'!$H$113:$I$163,2,FALSE)*BH$110</f>
        <v>10597.287220351262</v>
      </c>
    </row>
    <row r="104" spans="1:60" x14ac:dyDescent="0.25">
      <c r="A104" s="83" t="s">
        <v>227</v>
      </c>
      <c r="B104" s="103">
        <f>VLOOKUP($A104,'US Grid mix, emissions&amp;prices'!$H$113:$I$163,2,FALSE)*B$110</f>
        <v>135802.98965790952</v>
      </c>
      <c r="C104" s="103">
        <f>VLOOKUP($A104,'US Grid mix, emissions&amp;prices'!$H$113:$I$163,2,FALSE)*C$110</f>
        <v>135802.98965790952</v>
      </c>
      <c r="D104" s="103">
        <f>VLOOKUP($A104,'US Grid mix, emissions&amp;prices'!$H$113:$I$163,2,FALSE)*D$110</f>
        <v>135802.98965790952</v>
      </c>
      <c r="E104" s="103">
        <f>VLOOKUP($A104,'US Grid mix, emissions&amp;prices'!$H$113:$I$163,2,FALSE)*E$110</f>
        <v>135802.98965790952</v>
      </c>
      <c r="F104" s="103">
        <f>VLOOKUP($A104,'US Grid mix, emissions&amp;prices'!$H$113:$I$163,2,FALSE)*F$110</f>
        <v>135802.98965790952</v>
      </c>
      <c r="G104" s="103">
        <f>VLOOKUP($A104,'US Grid mix, emissions&amp;prices'!$H$113:$I$163,2,FALSE)*G$110</f>
        <v>135802.98965790952</v>
      </c>
      <c r="H104" s="103">
        <f>VLOOKUP($A104,'US Grid mix, emissions&amp;prices'!$H$113:$I$163,2,FALSE)*H$110</f>
        <v>135802.98965790952</v>
      </c>
      <c r="I104" s="103">
        <f>VLOOKUP($A104,'US Grid mix, emissions&amp;prices'!$H$113:$I$163,2,FALSE)*I$110</f>
        <v>135802.98965790952</v>
      </c>
      <c r="J104" s="103">
        <f>VLOOKUP($A104,'US Grid mix, emissions&amp;prices'!$H$113:$I$163,2,FALSE)*J$110</f>
        <v>135802.98965790952</v>
      </c>
      <c r="K104" s="103">
        <f>VLOOKUP($A104,'US Grid mix, emissions&amp;prices'!$H$113:$I$163,2,FALSE)*K$110</f>
        <v>135802.98965790952</v>
      </c>
      <c r="L104" s="103">
        <f>VLOOKUP($A104,'US Grid mix, emissions&amp;prices'!$H$113:$I$163,2,FALSE)*L$110</f>
        <v>135802.98965790952</v>
      </c>
      <c r="M104" s="103">
        <f>VLOOKUP($A104,'US Grid mix, emissions&amp;prices'!$H$113:$I$163,2,FALSE)*M$110</f>
        <v>135802.98965790952</v>
      </c>
      <c r="N104" s="103">
        <f>VLOOKUP($A104,'US Grid mix, emissions&amp;prices'!$H$113:$I$163,2,FALSE)*N$110</f>
        <v>135802.98965790952</v>
      </c>
      <c r="O104" s="103">
        <f>VLOOKUP($A104,'US Grid mix, emissions&amp;prices'!$H$113:$I$163,2,FALSE)*O$110</f>
        <v>135802.98965790952</v>
      </c>
      <c r="P104" s="103">
        <f>VLOOKUP($A104,'US Grid mix, emissions&amp;prices'!$H$113:$I$163,2,FALSE)*P$110</f>
        <v>135802.98965790952</v>
      </c>
      <c r="Q104" s="103">
        <f>VLOOKUP($A104,'US Grid mix, emissions&amp;prices'!$H$113:$I$163,2,FALSE)*Q$110</f>
        <v>135802.98965790952</v>
      </c>
      <c r="R104" s="103">
        <f>VLOOKUP($A104,'US Grid mix, emissions&amp;prices'!$H$113:$I$163,2,FALSE)*R$110</f>
        <v>135802.98965790952</v>
      </c>
      <c r="S104" s="103">
        <f>VLOOKUP($A104,'US Grid mix, emissions&amp;prices'!$H$113:$I$163,2,FALSE)*S$110</f>
        <v>135802.98965790952</v>
      </c>
      <c r="T104" s="103">
        <f>VLOOKUP($A104,'US Grid mix, emissions&amp;prices'!$H$113:$I$163,2,FALSE)*T$110</f>
        <v>135802.98965790952</v>
      </c>
      <c r="U104" s="103">
        <f>VLOOKUP($A104,'US Grid mix, emissions&amp;prices'!$H$113:$I$163,2,FALSE)*U$110</f>
        <v>135802.98965790952</v>
      </c>
      <c r="V104" s="103">
        <f>VLOOKUP($A104,'US Grid mix, emissions&amp;prices'!$H$113:$I$163,2,FALSE)*V$110</f>
        <v>135802.98965790952</v>
      </c>
      <c r="W104" s="103">
        <f>VLOOKUP($A104,'US Grid mix, emissions&amp;prices'!$H$113:$I$163,2,FALSE)*W$110</f>
        <v>135802.98965790952</v>
      </c>
      <c r="X104" s="103">
        <f>VLOOKUP($A104,'US Grid mix, emissions&amp;prices'!$H$113:$I$163,2,FALSE)*X$110</f>
        <v>135802.98965790952</v>
      </c>
      <c r="Y104" s="103">
        <f>VLOOKUP($A104,'US Grid mix, emissions&amp;prices'!$H$113:$I$163,2,FALSE)*Y$110</f>
        <v>135802.98965790952</v>
      </c>
      <c r="Z104" s="103">
        <f>VLOOKUP($A104,'US Grid mix, emissions&amp;prices'!$H$113:$I$163,2,FALSE)*Z$110</f>
        <v>135802.98965790952</v>
      </c>
      <c r="AA104" s="103">
        <f>VLOOKUP($A104,'US Grid mix, emissions&amp;prices'!$H$113:$I$163,2,FALSE)*AA$110</f>
        <v>135802.98965790952</v>
      </c>
      <c r="AB104" s="103">
        <f>VLOOKUP($A104,'US Grid mix, emissions&amp;prices'!$H$113:$I$163,2,FALSE)*AB$110</f>
        <v>135802.98965790952</v>
      </c>
      <c r="AC104" s="103">
        <f>VLOOKUP($A104,'US Grid mix, emissions&amp;prices'!$H$113:$I$163,2,FALSE)*AC$110</f>
        <v>135802.98965790952</v>
      </c>
      <c r="AF104" s="83" t="s">
        <v>227</v>
      </c>
      <c r="AG104" s="103">
        <f>VLOOKUP($AF104,'US Grid mix, emissions&amp;prices'!$H$113:$I$163,2,FALSE)*AG$110</f>
        <v>157319.67107990844</v>
      </c>
      <c r="AH104" s="103">
        <f>VLOOKUP($AF104,'US Grid mix, emissions&amp;prices'!$H$113:$I$163,2,FALSE)*AH$110</f>
        <v>157319.67107990844</v>
      </c>
      <c r="AI104" s="103">
        <f>VLOOKUP($AF104,'US Grid mix, emissions&amp;prices'!$H$113:$I$163,2,FALSE)*AI$110</f>
        <v>157319.67107990844</v>
      </c>
      <c r="AJ104" s="103">
        <f>VLOOKUP($AF104,'US Grid mix, emissions&amp;prices'!$H$113:$I$163,2,FALSE)*AJ$110</f>
        <v>157319.67107990844</v>
      </c>
      <c r="AK104" s="103">
        <f>VLOOKUP($AF104,'US Grid mix, emissions&amp;prices'!$H$113:$I$163,2,FALSE)*AK$110</f>
        <v>157319.67107990844</v>
      </c>
      <c r="AL104" s="103">
        <f>VLOOKUP($AF104,'US Grid mix, emissions&amp;prices'!$H$113:$I$163,2,FALSE)*AL$110</f>
        <v>157319.67107990844</v>
      </c>
      <c r="AM104" s="103">
        <f>VLOOKUP($AF104,'US Grid mix, emissions&amp;prices'!$H$113:$I$163,2,FALSE)*AM$110</f>
        <v>157319.67107990844</v>
      </c>
      <c r="AN104" s="103">
        <f>VLOOKUP($AF104,'US Grid mix, emissions&amp;prices'!$H$113:$I$163,2,FALSE)*AN$110</f>
        <v>157319.67107990844</v>
      </c>
      <c r="AO104" s="103">
        <f>VLOOKUP($AF104,'US Grid mix, emissions&amp;prices'!$H$113:$I$163,2,FALSE)*AO$110</f>
        <v>157319.67107990844</v>
      </c>
      <c r="AP104" s="103">
        <f>VLOOKUP($AF104,'US Grid mix, emissions&amp;prices'!$H$113:$I$163,2,FALSE)*AP$110</f>
        <v>157319.67107990844</v>
      </c>
      <c r="AQ104" s="103">
        <f>VLOOKUP($AF104,'US Grid mix, emissions&amp;prices'!$H$113:$I$163,2,FALSE)*AQ$110</f>
        <v>157319.67107990844</v>
      </c>
      <c r="AR104" s="103">
        <f>VLOOKUP($AF104,'US Grid mix, emissions&amp;prices'!$H$113:$I$163,2,FALSE)*AR$110</f>
        <v>157319.67107990844</v>
      </c>
      <c r="AS104" s="103">
        <f>VLOOKUP($AF104,'US Grid mix, emissions&amp;prices'!$H$113:$I$163,2,FALSE)*AS$110</f>
        <v>157319.67107990844</v>
      </c>
      <c r="AT104" s="103">
        <f>VLOOKUP($AF104,'US Grid mix, emissions&amp;prices'!$H$113:$I$163,2,FALSE)*AT$110</f>
        <v>157319.67107990844</v>
      </c>
      <c r="AU104" s="103">
        <f>VLOOKUP($AF104,'US Grid mix, emissions&amp;prices'!$H$113:$I$163,2,FALSE)*AU$110</f>
        <v>157319.67107990844</v>
      </c>
      <c r="AV104" s="103">
        <f>VLOOKUP($AF104,'US Grid mix, emissions&amp;prices'!$H$113:$I$163,2,FALSE)*AV$110</f>
        <v>157319.67107990844</v>
      </c>
      <c r="AW104" s="103">
        <f>VLOOKUP($AF104,'US Grid mix, emissions&amp;prices'!$H$113:$I$163,2,FALSE)*AW$110</f>
        <v>157319.67107990844</v>
      </c>
      <c r="AX104" s="103">
        <f>VLOOKUP($AF104,'US Grid mix, emissions&amp;prices'!$H$113:$I$163,2,FALSE)*AX$110</f>
        <v>157319.67107990844</v>
      </c>
      <c r="AY104" s="103">
        <f>VLOOKUP($AF104,'US Grid mix, emissions&amp;prices'!$H$113:$I$163,2,FALSE)*AY$110</f>
        <v>157319.67107990844</v>
      </c>
      <c r="AZ104" s="103">
        <f>VLOOKUP($AF104,'US Grid mix, emissions&amp;prices'!$H$113:$I$163,2,FALSE)*AZ$110</f>
        <v>157319.67107990844</v>
      </c>
      <c r="BA104" s="103">
        <f>VLOOKUP($AF104,'US Grid mix, emissions&amp;prices'!$H$113:$I$163,2,FALSE)*BA$110</f>
        <v>157319.67107990844</v>
      </c>
      <c r="BB104" s="103">
        <f>VLOOKUP($AF104,'US Grid mix, emissions&amp;prices'!$H$113:$I$163,2,FALSE)*BB$110</f>
        <v>157319.67107990844</v>
      </c>
      <c r="BC104" s="103">
        <f>VLOOKUP($AF104,'US Grid mix, emissions&amp;prices'!$H$113:$I$163,2,FALSE)*BC$110</f>
        <v>157319.67107990844</v>
      </c>
      <c r="BD104" s="103">
        <f>VLOOKUP($AF104,'US Grid mix, emissions&amp;prices'!$H$113:$I$163,2,FALSE)*BD$110</f>
        <v>157319.67107990844</v>
      </c>
      <c r="BE104" s="103">
        <f>VLOOKUP($AF104,'US Grid mix, emissions&amp;prices'!$H$113:$I$163,2,FALSE)*BE$110</f>
        <v>157319.67107990844</v>
      </c>
      <c r="BF104" s="103">
        <f>VLOOKUP($AF104,'US Grid mix, emissions&amp;prices'!$H$113:$I$163,2,FALSE)*BF$110</f>
        <v>157319.67107990844</v>
      </c>
      <c r="BG104" s="103">
        <f>VLOOKUP($AF104,'US Grid mix, emissions&amp;prices'!$H$113:$I$163,2,FALSE)*BG$110</f>
        <v>157319.67107990844</v>
      </c>
      <c r="BH104" s="103">
        <f>VLOOKUP($AF104,'US Grid mix, emissions&amp;prices'!$H$113:$I$163,2,FALSE)*BH$110</f>
        <v>157319.67107990844</v>
      </c>
    </row>
    <row r="105" spans="1:60" x14ac:dyDescent="0.25">
      <c r="A105" s="83" t="s">
        <v>229</v>
      </c>
      <c r="B105" s="103">
        <f>VLOOKUP($A105,'US Grid mix, emissions&amp;prices'!$H$113:$I$163,2,FALSE)*B$110</f>
        <v>62150.957414014993</v>
      </c>
      <c r="C105" s="103">
        <f>VLOOKUP($A105,'US Grid mix, emissions&amp;prices'!$H$113:$I$163,2,FALSE)*C$110</f>
        <v>62150.957414014993</v>
      </c>
      <c r="D105" s="103">
        <f>VLOOKUP($A105,'US Grid mix, emissions&amp;prices'!$H$113:$I$163,2,FALSE)*D$110</f>
        <v>62150.957414014993</v>
      </c>
      <c r="E105" s="103">
        <f>VLOOKUP($A105,'US Grid mix, emissions&amp;prices'!$H$113:$I$163,2,FALSE)*E$110</f>
        <v>62150.957414014993</v>
      </c>
      <c r="F105" s="103">
        <f>VLOOKUP($A105,'US Grid mix, emissions&amp;prices'!$H$113:$I$163,2,FALSE)*F$110</f>
        <v>62150.957414014993</v>
      </c>
      <c r="G105" s="103">
        <f>VLOOKUP($A105,'US Grid mix, emissions&amp;prices'!$H$113:$I$163,2,FALSE)*G$110</f>
        <v>62150.957414014993</v>
      </c>
      <c r="H105" s="103">
        <f>VLOOKUP($A105,'US Grid mix, emissions&amp;prices'!$H$113:$I$163,2,FALSE)*H$110</f>
        <v>62150.957414014993</v>
      </c>
      <c r="I105" s="103">
        <f>VLOOKUP($A105,'US Grid mix, emissions&amp;prices'!$H$113:$I$163,2,FALSE)*I$110</f>
        <v>62150.957414014993</v>
      </c>
      <c r="J105" s="103">
        <f>VLOOKUP($A105,'US Grid mix, emissions&amp;prices'!$H$113:$I$163,2,FALSE)*J$110</f>
        <v>62150.957414014993</v>
      </c>
      <c r="K105" s="103">
        <f>VLOOKUP($A105,'US Grid mix, emissions&amp;prices'!$H$113:$I$163,2,FALSE)*K$110</f>
        <v>62150.957414014993</v>
      </c>
      <c r="L105" s="103">
        <f>VLOOKUP($A105,'US Grid mix, emissions&amp;prices'!$H$113:$I$163,2,FALSE)*L$110</f>
        <v>62150.957414014993</v>
      </c>
      <c r="M105" s="103">
        <f>VLOOKUP($A105,'US Grid mix, emissions&amp;prices'!$H$113:$I$163,2,FALSE)*M$110</f>
        <v>62150.957414014993</v>
      </c>
      <c r="N105" s="103">
        <f>VLOOKUP($A105,'US Grid mix, emissions&amp;prices'!$H$113:$I$163,2,FALSE)*N$110</f>
        <v>62150.957414014993</v>
      </c>
      <c r="O105" s="103">
        <f>VLOOKUP($A105,'US Grid mix, emissions&amp;prices'!$H$113:$I$163,2,FALSE)*O$110</f>
        <v>62150.957414014993</v>
      </c>
      <c r="P105" s="103">
        <f>VLOOKUP($A105,'US Grid mix, emissions&amp;prices'!$H$113:$I$163,2,FALSE)*P$110</f>
        <v>62150.957414014993</v>
      </c>
      <c r="Q105" s="103">
        <f>VLOOKUP($A105,'US Grid mix, emissions&amp;prices'!$H$113:$I$163,2,FALSE)*Q$110</f>
        <v>62150.957414014993</v>
      </c>
      <c r="R105" s="103">
        <f>VLOOKUP($A105,'US Grid mix, emissions&amp;prices'!$H$113:$I$163,2,FALSE)*R$110</f>
        <v>62150.957414014993</v>
      </c>
      <c r="S105" s="103">
        <f>VLOOKUP($A105,'US Grid mix, emissions&amp;prices'!$H$113:$I$163,2,FALSE)*S$110</f>
        <v>62150.957414014993</v>
      </c>
      <c r="T105" s="103">
        <f>VLOOKUP($A105,'US Grid mix, emissions&amp;prices'!$H$113:$I$163,2,FALSE)*T$110</f>
        <v>62150.957414014993</v>
      </c>
      <c r="U105" s="103">
        <f>VLOOKUP($A105,'US Grid mix, emissions&amp;prices'!$H$113:$I$163,2,FALSE)*U$110</f>
        <v>62150.957414014993</v>
      </c>
      <c r="V105" s="103">
        <f>VLOOKUP($A105,'US Grid mix, emissions&amp;prices'!$H$113:$I$163,2,FALSE)*V$110</f>
        <v>62150.957414014993</v>
      </c>
      <c r="W105" s="103">
        <f>VLOOKUP($A105,'US Grid mix, emissions&amp;prices'!$H$113:$I$163,2,FALSE)*W$110</f>
        <v>62150.957414014993</v>
      </c>
      <c r="X105" s="103">
        <f>VLOOKUP($A105,'US Grid mix, emissions&amp;prices'!$H$113:$I$163,2,FALSE)*X$110</f>
        <v>62150.957414014993</v>
      </c>
      <c r="Y105" s="103">
        <f>VLOOKUP($A105,'US Grid mix, emissions&amp;prices'!$H$113:$I$163,2,FALSE)*Y$110</f>
        <v>62150.957414014993</v>
      </c>
      <c r="Z105" s="103">
        <f>VLOOKUP($A105,'US Grid mix, emissions&amp;prices'!$H$113:$I$163,2,FALSE)*Z$110</f>
        <v>62150.957414014993</v>
      </c>
      <c r="AA105" s="103">
        <f>VLOOKUP($A105,'US Grid mix, emissions&amp;prices'!$H$113:$I$163,2,FALSE)*AA$110</f>
        <v>62150.957414014993</v>
      </c>
      <c r="AB105" s="103">
        <f>VLOOKUP($A105,'US Grid mix, emissions&amp;prices'!$H$113:$I$163,2,FALSE)*AB$110</f>
        <v>62150.957414014993</v>
      </c>
      <c r="AC105" s="103">
        <f>VLOOKUP($A105,'US Grid mix, emissions&amp;prices'!$H$113:$I$163,2,FALSE)*AC$110</f>
        <v>62150.957414014993</v>
      </c>
      <c r="AF105" s="83" t="s">
        <v>229</v>
      </c>
      <c r="AG105" s="103">
        <f>VLOOKUP($AF105,'US Grid mix, emissions&amp;prices'!$H$113:$I$163,2,FALSE)*AG$110</f>
        <v>71998.180616672194</v>
      </c>
      <c r="AH105" s="103">
        <f>VLOOKUP($AF105,'US Grid mix, emissions&amp;prices'!$H$113:$I$163,2,FALSE)*AH$110</f>
        <v>71998.180616672194</v>
      </c>
      <c r="AI105" s="103">
        <f>VLOOKUP($AF105,'US Grid mix, emissions&amp;prices'!$H$113:$I$163,2,FALSE)*AI$110</f>
        <v>71998.180616672194</v>
      </c>
      <c r="AJ105" s="103">
        <f>VLOOKUP($AF105,'US Grid mix, emissions&amp;prices'!$H$113:$I$163,2,FALSE)*AJ$110</f>
        <v>71998.180616672194</v>
      </c>
      <c r="AK105" s="103">
        <f>VLOOKUP($AF105,'US Grid mix, emissions&amp;prices'!$H$113:$I$163,2,FALSE)*AK$110</f>
        <v>71998.180616672194</v>
      </c>
      <c r="AL105" s="103">
        <f>VLOOKUP($AF105,'US Grid mix, emissions&amp;prices'!$H$113:$I$163,2,FALSE)*AL$110</f>
        <v>71998.180616672194</v>
      </c>
      <c r="AM105" s="103">
        <f>VLOOKUP($AF105,'US Grid mix, emissions&amp;prices'!$H$113:$I$163,2,FALSE)*AM$110</f>
        <v>71998.180616672194</v>
      </c>
      <c r="AN105" s="103">
        <f>VLOOKUP($AF105,'US Grid mix, emissions&amp;prices'!$H$113:$I$163,2,FALSE)*AN$110</f>
        <v>71998.180616672194</v>
      </c>
      <c r="AO105" s="103">
        <f>VLOOKUP($AF105,'US Grid mix, emissions&amp;prices'!$H$113:$I$163,2,FALSE)*AO$110</f>
        <v>71998.180616672194</v>
      </c>
      <c r="AP105" s="103">
        <f>VLOOKUP($AF105,'US Grid mix, emissions&amp;prices'!$H$113:$I$163,2,FALSE)*AP$110</f>
        <v>71998.180616672194</v>
      </c>
      <c r="AQ105" s="103">
        <f>VLOOKUP($AF105,'US Grid mix, emissions&amp;prices'!$H$113:$I$163,2,FALSE)*AQ$110</f>
        <v>71998.180616672194</v>
      </c>
      <c r="AR105" s="103">
        <f>VLOOKUP($AF105,'US Grid mix, emissions&amp;prices'!$H$113:$I$163,2,FALSE)*AR$110</f>
        <v>71998.180616672194</v>
      </c>
      <c r="AS105" s="103">
        <f>VLOOKUP($AF105,'US Grid mix, emissions&amp;prices'!$H$113:$I$163,2,FALSE)*AS$110</f>
        <v>71998.180616672194</v>
      </c>
      <c r="AT105" s="103">
        <f>VLOOKUP($AF105,'US Grid mix, emissions&amp;prices'!$H$113:$I$163,2,FALSE)*AT$110</f>
        <v>71998.180616672194</v>
      </c>
      <c r="AU105" s="103">
        <f>VLOOKUP($AF105,'US Grid mix, emissions&amp;prices'!$H$113:$I$163,2,FALSE)*AU$110</f>
        <v>71998.180616672194</v>
      </c>
      <c r="AV105" s="103">
        <f>VLOOKUP($AF105,'US Grid mix, emissions&amp;prices'!$H$113:$I$163,2,FALSE)*AV$110</f>
        <v>71998.180616672194</v>
      </c>
      <c r="AW105" s="103">
        <f>VLOOKUP($AF105,'US Grid mix, emissions&amp;prices'!$H$113:$I$163,2,FALSE)*AW$110</f>
        <v>71998.180616672194</v>
      </c>
      <c r="AX105" s="103">
        <f>VLOOKUP($AF105,'US Grid mix, emissions&amp;prices'!$H$113:$I$163,2,FALSE)*AX$110</f>
        <v>71998.180616672194</v>
      </c>
      <c r="AY105" s="103">
        <f>VLOOKUP($AF105,'US Grid mix, emissions&amp;prices'!$H$113:$I$163,2,FALSE)*AY$110</f>
        <v>71998.180616672194</v>
      </c>
      <c r="AZ105" s="103">
        <f>VLOOKUP($AF105,'US Grid mix, emissions&amp;prices'!$H$113:$I$163,2,FALSE)*AZ$110</f>
        <v>71998.180616672194</v>
      </c>
      <c r="BA105" s="103">
        <f>VLOOKUP($AF105,'US Grid mix, emissions&amp;prices'!$H$113:$I$163,2,FALSE)*BA$110</f>
        <v>71998.180616672194</v>
      </c>
      <c r="BB105" s="103">
        <f>VLOOKUP($AF105,'US Grid mix, emissions&amp;prices'!$H$113:$I$163,2,FALSE)*BB$110</f>
        <v>71998.180616672194</v>
      </c>
      <c r="BC105" s="103">
        <f>VLOOKUP($AF105,'US Grid mix, emissions&amp;prices'!$H$113:$I$163,2,FALSE)*BC$110</f>
        <v>71998.180616672194</v>
      </c>
      <c r="BD105" s="103">
        <f>VLOOKUP($AF105,'US Grid mix, emissions&amp;prices'!$H$113:$I$163,2,FALSE)*BD$110</f>
        <v>71998.180616672194</v>
      </c>
      <c r="BE105" s="103">
        <f>VLOOKUP($AF105,'US Grid mix, emissions&amp;prices'!$H$113:$I$163,2,FALSE)*BE$110</f>
        <v>71998.180616672194</v>
      </c>
      <c r="BF105" s="103">
        <f>VLOOKUP($AF105,'US Grid mix, emissions&amp;prices'!$H$113:$I$163,2,FALSE)*BF$110</f>
        <v>71998.180616672194</v>
      </c>
      <c r="BG105" s="103">
        <f>VLOOKUP($AF105,'US Grid mix, emissions&amp;prices'!$H$113:$I$163,2,FALSE)*BG$110</f>
        <v>71998.180616672194</v>
      </c>
      <c r="BH105" s="103">
        <f>VLOOKUP($AF105,'US Grid mix, emissions&amp;prices'!$H$113:$I$163,2,FALSE)*BH$110</f>
        <v>71998.180616672194</v>
      </c>
    </row>
    <row r="106" spans="1:60" x14ac:dyDescent="0.25">
      <c r="A106" s="83" t="s">
        <v>159</v>
      </c>
      <c r="B106" s="103">
        <f>VLOOKUP($A106,'US Grid mix, emissions&amp;prices'!$H$113:$I$163,2,FALSE)*B$110</f>
        <v>429536.99642419524</v>
      </c>
      <c r="C106" s="103">
        <f>VLOOKUP($A106,'US Grid mix, emissions&amp;prices'!$H$113:$I$163,2,FALSE)*C$110</f>
        <v>429536.99642419524</v>
      </c>
      <c r="D106" s="103">
        <f>VLOOKUP($A106,'US Grid mix, emissions&amp;prices'!$H$113:$I$163,2,FALSE)*D$110</f>
        <v>429536.99642419524</v>
      </c>
      <c r="E106" s="103">
        <f>VLOOKUP($A106,'US Grid mix, emissions&amp;prices'!$H$113:$I$163,2,FALSE)*E$110</f>
        <v>429536.99642419524</v>
      </c>
      <c r="F106" s="103">
        <f>VLOOKUP($A106,'US Grid mix, emissions&amp;prices'!$H$113:$I$163,2,FALSE)*F$110</f>
        <v>429536.99642419524</v>
      </c>
      <c r="G106" s="103">
        <f>VLOOKUP($A106,'US Grid mix, emissions&amp;prices'!$H$113:$I$163,2,FALSE)*G$110</f>
        <v>429536.99642419524</v>
      </c>
      <c r="H106" s="103">
        <f>VLOOKUP($A106,'US Grid mix, emissions&amp;prices'!$H$113:$I$163,2,FALSE)*H$110</f>
        <v>429536.99642419524</v>
      </c>
      <c r="I106" s="103">
        <f>VLOOKUP($A106,'US Grid mix, emissions&amp;prices'!$H$113:$I$163,2,FALSE)*I$110</f>
        <v>429536.99642419524</v>
      </c>
      <c r="J106" s="103">
        <f>VLOOKUP($A106,'US Grid mix, emissions&amp;prices'!$H$113:$I$163,2,FALSE)*J$110</f>
        <v>429536.99642419524</v>
      </c>
      <c r="K106" s="103">
        <f>VLOOKUP($A106,'US Grid mix, emissions&amp;prices'!$H$113:$I$163,2,FALSE)*K$110</f>
        <v>429536.99642419524</v>
      </c>
      <c r="L106" s="103">
        <f>VLOOKUP($A106,'US Grid mix, emissions&amp;prices'!$H$113:$I$163,2,FALSE)*L$110</f>
        <v>429536.99642419524</v>
      </c>
      <c r="M106" s="103">
        <f>VLOOKUP($A106,'US Grid mix, emissions&amp;prices'!$H$113:$I$163,2,FALSE)*M$110</f>
        <v>429536.99642419524</v>
      </c>
      <c r="N106" s="103">
        <f>VLOOKUP($A106,'US Grid mix, emissions&amp;prices'!$H$113:$I$163,2,FALSE)*N$110</f>
        <v>429536.99642419524</v>
      </c>
      <c r="O106" s="103">
        <f>VLOOKUP($A106,'US Grid mix, emissions&amp;prices'!$H$113:$I$163,2,FALSE)*O$110</f>
        <v>429536.99642419524</v>
      </c>
      <c r="P106" s="103">
        <f>VLOOKUP($A106,'US Grid mix, emissions&amp;prices'!$H$113:$I$163,2,FALSE)*P$110</f>
        <v>429536.99642419524</v>
      </c>
      <c r="Q106" s="103">
        <f>VLOOKUP($A106,'US Grid mix, emissions&amp;prices'!$H$113:$I$163,2,FALSE)*Q$110</f>
        <v>429536.99642419524</v>
      </c>
      <c r="R106" s="103">
        <f>VLOOKUP($A106,'US Grid mix, emissions&amp;prices'!$H$113:$I$163,2,FALSE)*R$110</f>
        <v>429536.99642419524</v>
      </c>
      <c r="S106" s="103">
        <f>VLOOKUP($A106,'US Grid mix, emissions&amp;prices'!$H$113:$I$163,2,FALSE)*S$110</f>
        <v>429536.99642419524</v>
      </c>
      <c r="T106" s="103">
        <f>VLOOKUP($A106,'US Grid mix, emissions&amp;prices'!$H$113:$I$163,2,FALSE)*T$110</f>
        <v>429536.99642419524</v>
      </c>
      <c r="U106" s="103">
        <f>VLOOKUP($A106,'US Grid mix, emissions&amp;prices'!$H$113:$I$163,2,FALSE)*U$110</f>
        <v>429536.99642419524</v>
      </c>
      <c r="V106" s="103">
        <f>VLOOKUP($A106,'US Grid mix, emissions&amp;prices'!$H$113:$I$163,2,FALSE)*V$110</f>
        <v>429536.99642419524</v>
      </c>
      <c r="W106" s="103">
        <f>VLOOKUP($A106,'US Grid mix, emissions&amp;prices'!$H$113:$I$163,2,FALSE)*W$110</f>
        <v>429536.99642419524</v>
      </c>
      <c r="X106" s="103">
        <f>VLOOKUP($A106,'US Grid mix, emissions&amp;prices'!$H$113:$I$163,2,FALSE)*X$110</f>
        <v>429536.99642419524</v>
      </c>
      <c r="Y106" s="103">
        <f>VLOOKUP($A106,'US Grid mix, emissions&amp;prices'!$H$113:$I$163,2,FALSE)*Y$110</f>
        <v>429536.99642419524</v>
      </c>
      <c r="Z106" s="103">
        <f>VLOOKUP($A106,'US Grid mix, emissions&amp;prices'!$H$113:$I$163,2,FALSE)*Z$110</f>
        <v>429536.99642419524</v>
      </c>
      <c r="AA106" s="103">
        <f>VLOOKUP($A106,'US Grid mix, emissions&amp;prices'!$H$113:$I$163,2,FALSE)*AA$110</f>
        <v>429536.99642419524</v>
      </c>
      <c r="AB106" s="103">
        <f>VLOOKUP($A106,'US Grid mix, emissions&amp;prices'!$H$113:$I$163,2,FALSE)*AB$110</f>
        <v>429536.99642419524</v>
      </c>
      <c r="AC106" s="103">
        <f>VLOOKUP($A106,'US Grid mix, emissions&amp;prices'!$H$113:$I$163,2,FALSE)*AC$110</f>
        <v>429536.99642419524</v>
      </c>
      <c r="AF106" s="83" t="s">
        <v>159</v>
      </c>
      <c r="AG106" s="103">
        <f>VLOOKUP($AF106,'US Grid mix, emissions&amp;prices'!$H$113:$I$163,2,FALSE)*AG$110</f>
        <v>497593.01444193552</v>
      </c>
      <c r="AH106" s="103">
        <f>VLOOKUP($AF106,'US Grid mix, emissions&amp;prices'!$H$113:$I$163,2,FALSE)*AH$110</f>
        <v>497593.01444193552</v>
      </c>
      <c r="AI106" s="103">
        <f>VLOOKUP($AF106,'US Grid mix, emissions&amp;prices'!$H$113:$I$163,2,FALSE)*AI$110</f>
        <v>497593.01444193552</v>
      </c>
      <c r="AJ106" s="103">
        <f>VLOOKUP($AF106,'US Grid mix, emissions&amp;prices'!$H$113:$I$163,2,FALSE)*AJ$110</f>
        <v>497593.01444193552</v>
      </c>
      <c r="AK106" s="103">
        <f>VLOOKUP($AF106,'US Grid mix, emissions&amp;prices'!$H$113:$I$163,2,FALSE)*AK$110</f>
        <v>497593.01444193552</v>
      </c>
      <c r="AL106" s="103">
        <f>VLOOKUP($AF106,'US Grid mix, emissions&amp;prices'!$H$113:$I$163,2,FALSE)*AL$110</f>
        <v>497593.01444193552</v>
      </c>
      <c r="AM106" s="103">
        <f>VLOOKUP($AF106,'US Grid mix, emissions&amp;prices'!$H$113:$I$163,2,FALSE)*AM$110</f>
        <v>497593.01444193552</v>
      </c>
      <c r="AN106" s="103">
        <f>VLOOKUP($AF106,'US Grid mix, emissions&amp;prices'!$H$113:$I$163,2,FALSE)*AN$110</f>
        <v>497593.01444193552</v>
      </c>
      <c r="AO106" s="103">
        <f>VLOOKUP($AF106,'US Grid mix, emissions&amp;prices'!$H$113:$I$163,2,FALSE)*AO$110</f>
        <v>497593.01444193552</v>
      </c>
      <c r="AP106" s="103">
        <f>VLOOKUP($AF106,'US Grid mix, emissions&amp;prices'!$H$113:$I$163,2,FALSE)*AP$110</f>
        <v>497593.01444193552</v>
      </c>
      <c r="AQ106" s="103">
        <f>VLOOKUP($AF106,'US Grid mix, emissions&amp;prices'!$H$113:$I$163,2,FALSE)*AQ$110</f>
        <v>497593.01444193552</v>
      </c>
      <c r="AR106" s="103">
        <f>VLOOKUP($AF106,'US Grid mix, emissions&amp;prices'!$H$113:$I$163,2,FALSE)*AR$110</f>
        <v>497593.01444193552</v>
      </c>
      <c r="AS106" s="103">
        <f>VLOOKUP($AF106,'US Grid mix, emissions&amp;prices'!$H$113:$I$163,2,FALSE)*AS$110</f>
        <v>497593.01444193552</v>
      </c>
      <c r="AT106" s="103">
        <f>VLOOKUP($AF106,'US Grid mix, emissions&amp;prices'!$H$113:$I$163,2,FALSE)*AT$110</f>
        <v>497593.01444193552</v>
      </c>
      <c r="AU106" s="103">
        <f>VLOOKUP($AF106,'US Grid mix, emissions&amp;prices'!$H$113:$I$163,2,FALSE)*AU$110</f>
        <v>497593.01444193552</v>
      </c>
      <c r="AV106" s="103">
        <f>VLOOKUP($AF106,'US Grid mix, emissions&amp;prices'!$H$113:$I$163,2,FALSE)*AV$110</f>
        <v>497593.01444193552</v>
      </c>
      <c r="AW106" s="103">
        <f>VLOOKUP($AF106,'US Grid mix, emissions&amp;prices'!$H$113:$I$163,2,FALSE)*AW$110</f>
        <v>497593.01444193552</v>
      </c>
      <c r="AX106" s="103">
        <f>VLOOKUP($AF106,'US Grid mix, emissions&amp;prices'!$H$113:$I$163,2,FALSE)*AX$110</f>
        <v>497593.01444193552</v>
      </c>
      <c r="AY106" s="103">
        <f>VLOOKUP($AF106,'US Grid mix, emissions&amp;prices'!$H$113:$I$163,2,FALSE)*AY$110</f>
        <v>497593.01444193552</v>
      </c>
      <c r="AZ106" s="103">
        <f>VLOOKUP($AF106,'US Grid mix, emissions&amp;prices'!$H$113:$I$163,2,FALSE)*AZ$110</f>
        <v>497593.01444193552</v>
      </c>
      <c r="BA106" s="103">
        <f>VLOOKUP($AF106,'US Grid mix, emissions&amp;prices'!$H$113:$I$163,2,FALSE)*BA$110</f>
        <v>497593.01444193552</v>
      </c>
      <c r="BB106" s="103">
        <f>VLOOKUP($AF106,'US Grid mix, emissions&amp;prices'!$H$113:$I$163,2,FALSE)*BB$110</f>
        <v>497593.01444193552</v>
      </c>
      <c r="BC106" s="103">
        <f>VLOOKUP($AF106,'US Grid mix, emissions&amp;prices'!$H$113:$I$163,2,FALSE)*BC$110</f>
        <v>497593.01444193552</v>
      </c>
      <c r="BD106" s="103">
        <f>VLOOKUP($AF106,'US Grid mix, emissions&amp;prices'!$H$113:$I$163,2,FALSE)*BD$110</f>
        <v>497593.01444193552</v>
      </c>
      <c r="BE106" s="103">
        <f>VLOOKUP($AF106,'US Grid mix, emissions&amp;prices'!$H$113:$I$163,2,FALSE)*BE$110</f>
        <v>497593.01444193552</v>
      </c>
      <c r="BF106" s="103">
        <f>VLOOKUP($AF106,'US Grid mix, emissions&amp;prices'!$H$113:$I$163,2,FALSE)*BF$110</f>
        <v>497593.01444193552</v>
      </c>
      <c r="BG106" s="103">
        <f>VLOOKUP($AF106,'US Grid mix, emissions&amp;prices'!$H$113:$I$163,2,FALSE)*BG$110</f>
        <v>497593.01444193552</v>
      </c>
      <c r="BH106" s="103">
        <f>VLOOKUP($AF106,'US Grid mix, emissions&amp;prices'!$H$113:$I$163,2,FALSE)*BH$110</f>
        <v>497593.01444193552</v>
      </c>
    </row>
    <row r="107" spans="1:60" x14ac:dyDescent="0.25">
      <c r="A107" s="83" t="s">
        <v>158</v>
      </c>
      <c r="B107" s="103">
        <f>VLOOKUP($A107,'US Grid mix, emissions&amp;prices'!$H$113:$I$163,2,FALSE)*B$110</f>
        <v>254628.61567805425</v>
      </c>
      <c r="C107" s="103">
        <f>VLOOKUP($A107,'US Grid mix, emissions&amp;prices'!$H$113:$I$163,2,FALSE)*C$110</f>
        <v>254628.61567805425</v>
      </c>
      <c r="D107" s="103">
        <f>VLOOKUP($A107,'US Grid mix, emissions&amp;prices'!$H$113:$I$163,2,FALSE)*D$110</f>
        <v>254628.61567805425</v>
      </c>
      <c r="E107" s="103">
        <f>VLOOKUP($A107,'US Grid mix, emissions&amp;prices'!$H$113:$I$163,2,FALSE)*E$110</f>
        <v>254628.61567805425</v>
      </c>
      <c r="F107" s="103">
        <f>VLOOKUP($A107,'US Grid mix, emissions&amp;prices'!$H$113:$I$163,2,FALSE)*F$110</f>
        <v>254628.61567805425</v>
      </c>
      <c r="G107" s="103">
        <f>VLOOKUP($A107,'US Grid mix, emissions&amp;prices'!$H$113:$I$163,2,FALSE)*G$110</f>
        <v>254628.61567805425</v>
      </c>
      <c r="H107" s="103">
        <f>VLOOKUP($A107,'US Grid mix, emissions&amp;prices'!$H$113:$I$163,2,FALSE)*H$110</f>
        <v>254628.61567805425</v>
      </c>
      <c r="I107" s="103">
        <f>VLOOKUP($A107,'US Grid mix, emissions&amp;prices'!$H$113:$I$163,2,FALSE)*I$110</f>
        <v>254628.61567805425</v>
      </c>
      <c r="J107" s="103">
        <f>VLOOKUP($A107,'US Grid mix, emissions&amp;prices'!$H$113:$I$163,2,FALSE)*J$110</f>
        <v>254628.61567805425</v>
      </c>
      <c r="K107" s="103">
        <f>VLOOKUP($A107,'US Grid mix, emissions&amp;prices'!$H$113:$I$163,2,FALSE)*K$110</f>
        <v>254628.61567805425</v>
      </c>
      <c r="L107" s="103">
        <f>VLOOKUP($A107,'US Grid mix, emissions&amp;prices'!$H$113:$I$163,2,FALSE)*L$110</f>
        <v>254628.61567805425</v>
      </c>
      <c r="M107" s="103">
        <f>VLOOKUP($A107,'US Grid mix, emissions&amp;prices'!$H$113:$I$163,2,FALSE)*M$110</f>
        <v>254628.61567805425</v>
      </c>
      <c r="N107" s="103">
        <f>VLOOKUP($A107,'US Grid mix, emissions&amp;prices'!$H$113:$I$163,2,FALSE)*N$110</f>
        <v>254628.61567805425</v>
      </c>
      <c r="O107" s="103">
        <f>VLOOKUP($A107,'US Grid mix, emissions&amp;prices'!$H$113:$I$163,2,FALSE)*O$110</f>
        <v>254628.61567805425</v>
      </c>
      <c r="P107" s="103">
        <f>VLOOKUP($A107,'US Grid mix, emissions&amp;prices'!$H$113:$I$163,2,FALSE)*P$110</f>
        <v>254628.61567805425</v>
      </c>
      <c r="Q107" s="103">
        <f>VLOOKUP($A107,'US Grid mix, emissions&amp;prices'!$H$113:$I$163,2,FALSE)*Q$110</f>
        <v>254628.61567805425</v>
      </c>
      <c r="R107" s="103">
        <f>VLOOKUP($A107,'US Grid mix, emissions&amp;prices'!$H$113:$I$163,2,FALSE)*R$110</f>
        <v>254628.61567805425</v>
      </c>
      <c r="S107" s="103">
        <f>VLOOKUP($A107,'US Grid mix, emissions&amp;prices'!$H$113:$I$163,2,FALSE)*S$110</f>
        <v>254628.61567805425</v>
      </c>
      <c r="T107" s="103">
        <f>VLOOKUP($A107,'US Grid mix, emissions&amp;prices'!$H$113:$I$163,2,FALSE)*T$110</f>
        <v>254628.61567805425</v>
      </c>
      <c r="U107" s="103">
        <f>VLOOKUP($A107,'US Grid mix, emissions&amp;prices'!$H$113:$I$163,2,FALSE)*U$110</f>
        <v>254628.61567805425</v>
      </c>
      <c r="V107" s="103">
        <f>VLOOKUP($A107,'US Grid mix, emissions&amp;prices'!$H$113:$I$163,2,FALSE)*V$110</f>
        <v>254628.61567805425</v>
      </c>
      <c r="W107" s="103">
        <f>VLOOKUP($A107,'US Grid mix, emissions&amp;prices'!$H$113:$I$163,2,FALSE)*W$110</f>
        <v>254628.61567805425</v>
      </c>
      <c r="X107" s="103">
        <f>VLOOKUP($A107,'US Grid mix, emissions&amp;prices'!$H$113:$I$163,2,FALSE)*X$110</f>
        <v>254628.61567805425</v>
      </c>
      <c r="Y107" s="103">
        <f>VLOOKUP($A107,'US Grid mix, emissions&amp;prices'!$H$113:$I$163,2,FALSE)*Y$110</f>
        <v>254628.61567805425</v>
      </c>
      <c r="Z107" s="103">
        <f>VLOOKUP($A107,'US Grid mix, emissions&amp;prices'!$H$113:$I$163,2,FALSE)*Z$110</f>
        <v>254628.61567805425</v>
      </c>
      <c r="AA107" s="103">
        <f>VLOOKUP($A107,'US Grid mix, emissions&amp;prices'!$H$113:$I$163,2,FALSE)*AA$110</f>
        <v>254628.61567805425</v>
      </c>
      <c r="AB107" s="103">
        <f>VLOOKUP($A107,'US Grid mix, emissions&amp;prices'!$H$113:$I$163,2,FALSE)*AB$110</f>
        <v>254628.61567805425</v>
      </c>
      <c r="AC107" s="103">
        <f>VLOOKUP($A107,'US Grid mix, emissions&amp;prices'!$H$113:$I$163,2,FALSE)*AC$110</f>
        <v>254628.61567805425</v>
      </c>
      <c r="AF107" s="83" t="s">
        <v>158</v>
      </c>
      <c r="AG107" s="103">
        <f>VLOOKUP($AF107,'US Grid mix, emissions&amp;prices'!$H$113:$I$163,2,FALSE)*AG$110</f>
        <v>294972.07805889286</v>
      </c>
      <c r="AH107" s="103">
        <f>VLOOKUP($AF107,'US Grid mix, emissions&amp;prices'!$H$113:$I$163,2,FALSE)*AH$110</f>
        <v>294972.07805889286</v>
      </c>
      <c r="AI107" s="103">
        <f>VLOOKUP($AF107,'US Grid mix, emissions&amp;prices'!$H$113:$I$163,2,FALSE)*AI$110</f>
        <v>294972.07805889286</v>
      </c>
      <c r="AJ107" s="103">
        <f>VLOOKUP($AF107,'US Grid mix, emissions&amp;prices'!$H$113:$I$163,2,FALSE)*AJ$110</f>
        <v>294972.07805889286</v>
      </c>
      <c r="AK107" s="103">
        <f>VLOOKUP($AF107,'US Grid mix, emissions&amp;prices'!$H$113:$I$163,2,FALSE)*AK$110</f>
        <v>294972.07805889286</v>
      </c>
      <c r="AL107" s="103">
        <f>VLOOKUP($AF107,'US Grid mix, emissions&amp;prices'!$H$113:$I$163,2,FALSE)*AL$110</f>
        <v>294972.07805889286</v>
      </c>
      <c r="AM107" s="103">
        <f>VLOOKUP($AF107,'US Grid mix, emissions&amp;prices'!$H$113:$I$163,2,FALSE)*AM$110</f>
        <v>294972.07805889286</v>
      </c>
      <c r="AN107" s="103">
        <f>VLOOKUP($AF107,'US Grid mix, emissions&amp;prices'!$H$113:$I$163,2,FALSE)*AN$110</f>
        <v>294972.07805889286</v>
      </c>
      <c r="AO107" s="103">
        <f>VLOOKUP($AF107,'US Grid mix, emissions&amp;prices'!$H$113:$I$163,2,FALSE)*AO$110</f>
        <v>294972.07805889286</v>
      </c>
      <c r="AP107" s="103">
        <f>VLOOKUP($AF107,'US Grid mix, emissions&amp;prices'!$H$113:$I$163,2,FALSE)*AP$110</f>
        <v>294972.07805889286</v>
      </c>
      <c r="AQ107" s="103">
        <f>VLOOKUP($AF107,'US Grid mix, emissions&amp;prices'!$H$113:$I$163,2,FALSE)*AQ$110</f>
        <v>294972.07805889286</v>
      </c>
      <c r="AR107" s="103">
        <f>VLOOKUP($AF107,'US Grid mix, emissions&amp;prices'!$H$113:$I$163,2,FALSE)*AR$110</f>
        <v>294972.07805889286</v>
      </c>
      <c r="AS107" s="103">
        <f>VLOOKUP($AF107,'US Grid mix, emissions&amp;prices'!$H$113:$I$163,2,FALSE)*AS$110</f>
        <v>294972.07805889286</v>
      </c>
      <c r="AT107" s="103">
        <f>VLOOKUP($AF107,'US Grid mix, emissions&amp;prices'!$H$113:$I$163,2,FALSE)*AT$110</f>
        <v>294972.07805889286</v>
      </c>
      <c r="AU107" s="103">
        <f>VLOOKUP($AF107,'US Grid mix, emissions&amp;prices'!$H$113:$I$163,2,FALSE)*AU$110</f>
        <v>294972.07805889286</v>
      </c>
      <c r="AV107" s="103">
        <f>VLOOKUP($AF107,'US Grid mix, emissions&amp;prices'!$H$113:$I$163,2,FALSE)*AV$110</f>
        <v>294972.07805889286</v>
      </c>
      <c r="AW107" s="103">
        <f>VLOOKUP($AF107,'US Grid mix, emissions&amp;prices'!$H$113:$I$163,2,FALSE)*AW$110</f>
        <v>294972.07805889286</v>
      </c>
      <c r="AX107" s="103">
        <f>VLOOKUP($AF107,'US Grid mix, emissions&amp;prices'!$H$113:$I$163,2,FALSE)*AX$110</f>
        <v>294972.07805889286</v>
      </c>
      <c r="AY107" s="103">
        <f>VLOOKUP($AF107,'US Grid mix, emissions&amp;prices'!$H$113:$I$163,2,FALSE)*AY$110</f>
        <v>294972.07805889286</v>
      </c>
      <c r="AZ107" s="103">
        <f>VLOOKUP($AF107,'US Grid mix, emissions&amp;prices'!$H$113:$I$163,2,FALSE)*AZ$110</f>
        <v>294972.07805889286</v>
      </c>
      <c r="BA107" s="103">
        <f>VLOOKUP($AF107,'US Grid mix, emissions&amp;prices'!$H$113:$I$163,2,FALSE)*BA$110</f>
        <v>294972.07805889286</v>
      </c>
      <c r="BB107" s="103">
        <f>VLOOKUP($AF107,'US Grid mix, emissions&amp;prices'!$H$113:$I$163,2,FALSE)*BB$110</f>
        <v>294972.07805889286</v>
      </c>
      <c r="BC107" s="103">
        <f>VLOOKUP($AF107,'US Grid mix, emissions&amp;prices'!$H$113:$I$163,2,FALSE)*BC$110</f>
        <v>294972.07805889286</v>
      </c>
      <c r="BD107" s="103">
        <f>VLOOKUP($AF107,'US Grid mix, emissions&amp;prices'!$H$113:$I$163,2,FALSE)*BD$110</f>
        <v>294972.07805889286</v>
      </c>
      <c r="BE107" s="103">
        <f>VLOOKUP($AF107,'US Grid mix, emissions&amp;prices'!$H$113:$I$163,2,FALSE)*BE$110</f>
        <v>294972.07805889286</v>
      </c>
      <c r="BF107" s="103">
        <f>VLOOKUP($AF107,'US Grid mix, emissions&amp;prices'!$H$113:$I$163,2,FALSE)*BF$110</f>
        <v>294972.07805889286</v>
      </c>
      <c r="BG107" s="103">
        <f>VLOOKUP($AF107,'US Grid mix, emissions&amp;prices'!$H$113:$I$163,2,FALSE)*BG$110</f>
        <v>294972.07805889286</v>
      </c>
      <c r="BH107" s="103">
        <f>VLOOKUP($AF107,'US Grid mix, emissions&amp;prices'!$H$113:$I$163,2,FALSE)*BH$110</f>
        <v>294972.07805889286</v>
      </c>
    </row>
    <row r="108" spans="1:60" x14ac:dyDescent="0.25">
      <c r="A108" s="83" t="s">
        <v>160</v>
      </c>
      <c r="B108" s="103">
        <f>VLOOKUP($A108,'US Grid mix, emissions&amp;prices'!$H$113:$I$163,2,FALSE)*B$110</f>
        <v>355240.95030093787</v>
      </c>
      <c r="C108" s="103">
        <f>VLOOKUP($A108,'US Grid mix, emissions&amp;prices'!$H$113:$I$163,2,FALSE)*C$110</f>
        <v>355240.95030093787</v>
      </c>
      <c r="D108" s="103">
        <f>VLOOKUP($A108,'US Grid mix, emissions&amp;prices'!$H$113:$I$163,2,FALSE)*D$110</f>
        <v>355240.95030093787</v>
      </c>
      <c r="E108" s="103">
        <f>VLOOKUP($A108,'US Grid mix, emissions&amp;prices'!$H$113:$I$163,2,FALSE)*E$110</f>
        <v>355240.95030093787</v>
      </c>
      <c r="F108" s="103">
        <f>VLOOKUP($A108,'US Grid mix, emissions&amp;prices'!$H$113:$I$163,2,FALSE)*F$110</f>
        <v>355240.95030093787</v>
      </c>
      <c r="G108" s="103">
        <f>VLOOKUP($A108,'US Grid mix, emissions&amp;prices'!$H$113:$I$163,2,FALSE)*G$110</f>
        <v>355240.95030093787</v>
      </c>
      <c r="H108" s="103">
        <f>VLOOKUP($A108,'US Grid mix, emissions&amp;prices'!$H$113:$I$163,2,FALSE)*H$110</f>
        <v>355240.95030093787</v>
      </c>
      <c r="I108" s="103">
        <f>VLOOKUP($A108,'US Grid mix, emissions&amp;prices'!$H$113:$I$163,2,FALSE)*I$110</f>
        <v>355240.95030093787</v>
      </c>
      <c r="J108" s="103">
        <f>VLOOKUP($A108,'US Grid mix, emissions&amp;prices'!$H$113:$I$163,2,FALSE)*J$110</f>
        <v>355240.95030093787</v>
      </c>
      <c r="K108" s="103">
        <f>VLOOKUP($A108,'US Grid mix, emissions&amp;prices'!$H$113:$I$163,2,FALSE)*K$110</f>
        <v>355240.95030093787</v>
      </c>
      <c r="L108" s="103">
        <f>VLOOKUP($A108,'US Grid mix, emissions&amp;prices'!$H$113:$I$163,2,FALSE)*L$110</f>
        <v>355240.95030093787</v>
      </c>
      <c r="M108" s="103">
        <f>VLOOKUP($A108,'US Grid mix, emissions&amp;prices'!$H$113:$I$163,2,FALSE)*M$110</f>
        <v>355240.95030093787</v>
      </c>
      <c r="N108" s="103">
        <f>VLOOKUP($A108,'US Grid mix, emissions&amp;prices'!$H$113:$I$163,2,FALSE)*N$110</f>
        <v>355240.95030093787</v>
      </c>
      <c r="O108" s="103">
        <f>VLOOKUP($A108,'US Grid mix, emissions&amp;prices'!$H$113:$I$163,2,FALSE)*O$110</f>
        <v>355240.95030093787</v>
      </c>
      <c r="P108" s="103">
        <f>VLOOKUP($A108,'US Grid mix, emissions&amp;prices'!$H$113:$I$163,2,FALSE)*P$110</f>
        <v>355240.95030093787</v>
      </c>
      <c r="Q108" s="103">
        <f>VLOOKUP($A108,'US Grid mix, emissions&amp;prices'!$H$113:$I$163,2,FALSE)*Q$110</f>
        <v>355240.95030093787</v>
      </c>
      <c r="R108" s="103">
        <f>VLOOKUP($A108,'US Grid mix, emissions&amp;prices'!$H$113:$I$163,2,FALSE)*R$110</f>
        <v>355240.95030093787</v>
      </c>
      <c r="S108" s="103">
        <f>VLOOKUP($A108,'US Grid mix, emissions&amp;prices'!$H$113:$I$163,2,FALSE)*S$110</f>
        <v>355240.95030093787</v>
      </c>
      <c r="T108" s="103">
        <f>VLOOKUP($A108,'US Grid mix, emissions&amp;prices'!$H$113:$I$163,2,FALSE)*T$110</f>
        <v>355240.95030093787</v>
      </c>
      <c r="U108" s="103">
        <f>VLOOKUP($A108,'US Grid mix, emissions&amp;prices'!$H$113:$I$163,2,FALSE)*U$110</f>
        <v>355240.95030093787</v>
      </c>
      <c r="V108" s="103">
        <f>VLOOKUP($A108,'US Grid mix, emissions&amp;prices'!$H$113:$I$163,2,FALSE)*V$110</f>
        <v>355240.95030093787</v>
      </c>
      <c r="W108" s="103">
        <f>VLOOKUP($A108,'US Grid mix, emissions&amp;prices'!$H$113:$I$163,2,FALSE)*W$110</f>
        <v>355240.95030093787</v>
      </c>
      <c r="X108" s="103">
        <f>VLOOKUP($A108,'US Grid mix, emissions&amp;prices'!$H$113:$I$163,2,FALSE)*X$110</f>
        <v>355240.95030093787</v>
      </c>
      <c r="Y108" s="103">
        <f>VLOOKUP($A108,'US Grid mix, emissions&amp;prices'!$H$113:$I$163,2,FALSE)*Y$110</f>
        <v>355240.95030093787</v>
      </c>
      <c r="Z108" s="103">
        <f>VLOOKUP($A108,'US Grid mix, emissions&amp;prices'!$H$113:$I$163,2,FALSE)*Z$110</f>
        <v>355240.95030093787</v>
      </c>
      <c r="AA108" s="103">
        <f>VLOOKUP($A108,'US Grid mix, emissions&amp;prices'!$H$113:$I$163,2,FALSE)*AA$110</f>
        <v>355240.95030093787</v>
      </c>
      <c r="AB108" s="103">
        <f>VLOOKUP($A108,'US Grid mix, emissions&amp;prices'!$H$113:$I$163,2,FALSE)*AB$110</f>
        <v>355240.95030093787</v>
      </c>
      <c r="AC108" s="103">
        <f>VLOOKUP($A108,'US Grid mix, emissions&amp;prices'!$H$113:$I$163,2,FALSE)*AC$110</f>
        <v>355240.95030093787</v>
      </c>
      <c r="AF108" s="83" t="s">
        <v>160</v>
      </c>
      <c r="AG108" s="103">
        <f>VLOOKUP($AF108,'US Grid mix, emissions&amp;prices'!$H$113:$I$163,2,FALSE)*AG$110</f>
        <v>411525.47227595345</v>
      </c>
      <c r="AH108" s="103">
        <f>VLOOKUP($AF108,'US Grid mix, emissions&amp;prices'!$H$113:$I$163,2,FALSE)*AH$110</f>
        <v>411525.47227595345</v>
      </c>
      <c r="AI108" s="103">
        <f>VLOOKUP($AF108,'US Grid mix, emissions&amp;prices'!$H$113:$I$163,2,FALSE)*AI$110</f>
        <v>411525.47227595345</v>
      </c>
      <c r="AJ108" s="103">
        <f>VLOOKUP($AF108,'US Grid mix, emissions&amp;prices'!$H$113:$I$163,2,FALSE)*AJ$110</f>
        <v>411525.47227595345</v>
      </c>
      <c r="AK108" s="103">
        <f>VLOOKUP($AF108,'US Grid mix, emissions&amp;prices'!$H$113:$I$163,2,FALSE)*AK$110</f>
        <v>411525.47227595345</v>
      </c>
      <c r="AL108" s="103">
        <f>VLOOKUP($AF108,'US Grid mix, emissions&amp;prices'!$H$113:$I$163,2,FALSE)*AL$110</f>
        <v>411525.47227595345</v>
      </c>
      <c r="AM108" s="103">
        <f>VLOOKUP($AF108,'US Grid mix, emissions&amp;prices'!$H$113:$I$163,2,FALSE)*AM$110</f>
        <v>411525.47227595345</v>
      </c>
      <c r="AN108" s="103">
        <f>VLOOKUP($AF108,'US Grid mix, emissions&amp;prices'!$H$113:$I$163,2,FALSE)*AN$110</f>
        <v>411525.47227595345</v>
      </c>
      <c r="AO108" s="103">
        <f>VLOOKUP($AF108,'US Grid mix, emissions&amp;prices'!$H$113:$I$163,2,FALSE)*AO$110</f>
        <v>411525.47227595345</v>
      </c>
      <c r="AP108" s="103">
        <f>VLOOKUP($AF108,'US Grid mix, emissions&amp;prices'!$H$113:$I$163,2,FALSE)*AP$110</f>
        <v>411525.47227595345</v>
      </c>
      <c r="AQ108" s="103">
        <f>VLOOKUP($AF108,'US Grid mix, emissions&amp;prices'!$H$113:$I$163,2,FALSE)*AQ$110</f>
        <v>411525.47227595345</v>
      </c>
      <c r="AR108" s="103">
        <f>VLOOKUP($AF108,'US Grid mix, emissions&amp;prices'!$H$113:$I$163,2,FALSE)*AR$110</f>
        <v>411525.47227595345</v>
      </c>
      <c r="AS108" s="103">
        <f>VLOOKUP($AF108,'US Grid mix, emissions&amp;prices'!$H$113:$I$163,2,FALSE)*AS$110</f>
        <v>411525.47227595345</v>
      </c>
      <c r="AT108" s="103">
        <f>VLOOKUP($AF108,'US Grid mix, emissions&amp;prices'!$H$113:$I$163,2,FALSE)*AT$110</f>
        <v>411525.47227595345</v>
      </c>
      <c r="AU108" s="103">
        <f>VLOOKUP($AF108,'US Grid mix, emissions&amp;prices'!$H$113:$I$163,2,FALSE)*AU$110</f>
        <v>411525.47227595345</v>
      </c>
      <c r="AV108" s="103">
        <f>VLOOKUP($AF108,'US Grid mix, emissions&amp;prices'!$H$113:$I$163,2,FALSE)*AV$110</f>
        <v>411525.47227595345</v>
      </c>
      <c r="AW108" s="103">
        <f>VLOOKUP($AF108,'US Grid mix, emissions&amp;prices'!$H$113:$I$163,2,FALSE)*AW$110</f>
        <v>411525.47227595345</v>
      </c>
      <c r="AX108" s="103">
        <f>VLOOKUP($AF108,'US Grid mix, emissions&amp;prices'!$H$113:$I$163,2,FALSE)*AX$110</f>
        <v>411525.47227595345</v>
      </c>
      <c r="AY108" s="103">
        <f>VLOOKUP($AF108,'US Grid mix, emissions&amp;prices'!$H$113:$I$163,2,FALSE)*AY$110</f>
        <v>411525.47227595345</v>
      </c>
      <c r="AZ108" s="103">
        <f>VLOOKUP($AF108,'US Grid mix, emissions&amp;prices'!$H$113:$I$163,2,FALSE)*AZ$110</f>
        <v>411525.47227595345</v>
      </c>
      <c r="BA108" s="103">
        <f>VLOOKUP($AF108,'US Grid mix, emissions&amp;prices'!$H$113:$I$163,2,FALSE)*BA$110</f>
        <v>411525.47227595345</v>
      </c>
      <c r="BB108" s="103">
        <f>VLOOKUP($AF108,'US Grid mix, emissions&amp;prices'!$H$113:$I$163,2,FALSE)*BB$110</f>
        <v>411525.47227595345</v>
      </c>
      <c r="BC108" s="103">
        <f>VLOOKUP($AF108,'US Grid mix, emissions&amp;prices'!$H$113:$I$163,2,FALSE)*BC$110</f>
        <v>411525.47227595345</v>
      </c>
      <c r="BD108" s="103">
        <f>VLOOKUP($AF108,'US Grid mix, emissions&amp;prices'!$H$113:$I$163,2,FALSE)*BD$110</f>
        <v>411525.47227595345</v>
      </c>
      <c r="BE108" s="103">
        <f>VLOOKUP($AF108,'US Grid mix, emissions&amp;prices'!$H$113:$I$163,2,FALSE)*BE$110</f>
        <v>411525.47227595345</v>
      </c>
      <c r="BF108" s="103">
        <f>VLOOKUP($AF108,'US Grid mix, emissions&amp;prices'!$H$113:$I$163,2,FALSE)*BF$110</f>
        <v>411525.47227595345</v>
      </c>
      <c r="BG108" s="103">
        <f>VLOOKUP($AF108,'US Grid mix, emissions&amp;prices'!$H$113:$I$163,2,FALSE)*BG$110</f>
        <v>411525.47227595345</v>
      </c>
      <c r="BH108" s="103">
        <f>VLOOKUP($AF108,'US Grid mix, emissions&amp;prices'!$H$113:$I$163,2,FALSE)*BH$110</f>
        <v>411525.47227595345</v>
      </c>
    </row>
    <row r="109" spans="1:60" x14ac:dyDescent="0.25">
      <c r="A109" s="83" t="s">
        <v>134</v>
      </c>
      <c r="B109" s="114">
        <v>187793</v>
      </c>
      <c r="C109" s="114">
        <v>187793</v>
      </c>
      <c r="D109" s="114">
        <v>187793</v>
      </c>
      <c r="E109" s="114">
        <v>187793</v>
      </c>
      <c r="F109" s="114">
        <v>187793</v>
      </c>
      <c r="G109" s="114">
        <v>187793</v>
      </c>
      <c r="H109" s="114">
        <v>187793</v>
      </c>
      <c r="I109" s="114">
        <v>187793</v>
      </c>
      <c r="J109" s="114">
        <v>187793</v>
      </c>
      <c r="K109" s="114">
        <v>187793</v>
      </c>
      <c r="L109" s="114">
        <v>187793</v>
      </c>
      <c r="M109" s="114">
        <v>187793</v>
      </c>
      <c r="N109" s="114">
        <v>187793</v>
      </c>
      <c r="O109" s="114">
        <v>187793</v>
      </c>
      <c r="P109" s="114">
        <v>187793</v>
      </c>
      <c r="Q109" s="114">
        <v>187793</v>
      </c>
      <c r="R109" s="114">
        <v>187793</v>
      </c>
      <c r="S109" s="114">
        <v>187793</v>
      </c>
      <c r="T109" s="114">
        <v>187793</v>
      </c>
      <c r="U109" s="114">
        <v>187793</v>
      </c>
      <c r="V109" s="114">
        <v>187793</v>
      </c>
      <c r="W109" s="114">
        <v>187793</v>
      </c>
      <c r="X109" s="114">
        <v>187793</v>
      </c>
      <c r="Y109" s="114">
        <v>187793</v>
      </c>
      <c r="Z109" s="114">
        <v>187793</v>
      </c>
      <c r="AA109" s="114">
        <v>187793</v>
      </c>
      <c r="AB109" s="114">
        <v>187793</v>
      </c>
      <c r="AC109" s="114">
        <v>187793</v>
      </c>
      <c r="AF109" s="83" t="s">
        <v>134</v>
      </c>
      <c r="AG109" s="114">
        <v>217547</v>
      </c>
      <c r="AH109" s="114">
        <v>217547</v>
      </c>
      <c r="AI109" s="114">
        <v>217547</v>
      </c>
      <c r="AJ109" s="114">
        <v>217547</v>
      </c>
      <c r="AK109" s="114">
        <v>217547</v>
      </c>
      <c r="AL109" s="114">
        <v>217547</v>
      </c>
      <c r="AM109" s="114">
        <v>217547</v>
      </c>
      <c r="AN109" s="114">
        <v>217547</v>
      </c>
      <c r="AO109" s="114">
        <v>217547</v>
      </c>
      <c r="AP109" s="114">
        <v>217547</v>
      </c>
      <c r="AQ109" s="114">
        <v>217547</v>
      </c>
      <c r="AR109" s="114">
        <v>217547</v>
      </c>
      <c r="AS109" s="114">
        <v>217547</v>
      </c>
      <c r="AT109" s="114">
        <v>217547</v>
      </c>
      <c r="AU109" s="114">
        <v>217547</v>
      </c>
      <c r="AV109" s="114">
        <v>217547</v>
      </c>
      <c r="AW109" s="114">
        <v>217547</v>
      </c>
      <c r="AX109" s="114">
        <v>217547</v>
      </c>
      <c r="AY109" s="114">
        <v>217547</v>
      </c>
      <c r="AZ109" s="114">
        <v>217547</v>
      </c>
      <c r="BA109" s="114">
        <v>217547</v>
      </c>
      <c r="BB109" s="114">
        <v>217547</v>
      </c>
      <c r="BC109" s="114">
        <v>217547</v>
      </c>
      <c r="BD109" s="114">
        <v>217547</v>
      </c>
      <c r="BE109" s="114">
        <v>217547</v>
      </c>
      <c r="BF109" s="114">
        <v>217547</v>
      </c>
      <c r="BG109" s="114">
        <v>217547</v>
      </c>
      <c r="BH109" s="114">
        <v>217547</v>
      </c>
    </row>
    <row r="110" spans="1:60" x14ac:dyDescent="0.25">
      <c r="B110" s="103">
        <f>B109/'US Grid mix, emissions&amp;prices'!$I$163</f>
        <v>1.447222200815345</v>
      </c>
      <c r="C110" s="103">
        <f>C109/'US Grid mix, emissions&amp;prices'!$I$163</f>
        <v>1.447222200815345</v>
      </c>
      <c r="D110" s="103">
        <f>D109/'US Grid mix, emissions&amp;prices'!$I$163</f>
        <v>1.447222200815345</v>
      </c>
      <c r="E110" s="103">
        <f>E109/'US Grid mix, emissions&amp;prices'!$I$163</f>
        <v>1.447222200815345</v>
      </c>
      <c r="F110" s="103">
        <f>F109/'US Grid mix, emissions&amp;prices'!$I$163</f>
        <v>1.447222200815345</v>
      </c>
      <c r="G110" s="103">
        <f>G109/'US Grid mix, emissions&amp;prices'!$I$163</f>
        <v>1.447222200815345</v>
      </c>
      <c r="H110" s="103">
        <f>H109/'US Grid mix, emissions&amp;prices'!$I$163</f>
        <v>1.447222200815345</v>
      </c>
      <c r="I110" s="103">
        <f>I109/'US Grid mix, emissions&amp;prices'!$I$163</f>
        <v>1.447222200815345</v>
      </c>
      <c r="J110" s="103">
        <f>J109/'US Grid mix, emissions&amp;prices'!$I$163</f>
        <v>1.447222200815345</v>
      </c>
      <c r="K110" s="103">
        <f>K109/'US Grid mix, emissions&amp;prices'!$I$163</f>
        <v>1.447222200815345</v>
      </c>
      <c r="L110" s="103">
        <f>L109/'US Grid mix, emissions&amp;prices'!$I$163</f>
        <v>1.447222200815345</v>
      </c>
      <c r="M110" s="103">
        <f>M109/'US Grid mix, emissions&amp;prices'!$I$163</f>
        <v>1.447222200815345</v>
      </c>
      <c r="N110" s="103">
        <f>N109/'US Grid mix, emissions&amp;prices'!$I$163</f>
        <v>1.447222200815345</v>
      </c>
      <c r="O110" s="103">
        <f>O109/'US Grid mix, emissions&amp;prices'!$I$163</f>
        <v>1.447222200815345</v>
      </c>
      <c r="P110" s="103">
        <f>P109/'US Grid mix, emissions&amp;prices'!$I$163</f>
        <v>1.447222200815345</v>
      </c>
      <c r="Q110" s="103">
        <f>Q109/'US Grid mix, emissions&amp;prices'!$I$163</f>
        <v>1.447222200815345</v>
      </c>
      <c r="R110" s="103">
        <f>R109/'US Grid mix, emissions&amp;prices'!$I$163</f>
        <v>1.447222200815345</v>
      </c>
      <c r="S110" s="103">
        <f>S109/'US Grid mix, emissions&amp;prices'!$I$163</f>
        <v>1.447222200815345</v>
      </c>
      <c r="T110" s="103">
        <f>T109/'US Grid mix, emissions&amp;prices'!$I$163</f>
        <v>1.447222200815345</v>
      </c>
      <c r="U110" s="103">
        <f>U109/'US Grid mix, emissions&amp;prices'!$I$163</f>
        <v>1.447222200815345</v>
      </c>
      <c r="V110" s="103">
        <f>V109/'US Grid mix, emissions&amp;prices'!$I$163</f>
        <v>1.447222200815345</v>
      </c>
      <c r="W110" s="103">
        <f>W109/'US Grid mix, emissions&amp;prices'!$I$163</f>
        <v>1.447222200815345</v>
      </c>
      <c r="X110" s="103">
        <f>X109/'US Grid mix, emissions&amp;prices'!$I$163</f>
        <v>1.447222200815345</v>
      </c>
      <c r="Y110" s="103">
        <f>Y109/'US Grid mix, emissions&amp;prices'!$I$163</f>
        <v>1.447222200815345</v>
      </c>
      <c r="Z110" s="103">
        <f>Z109/'US Grid mix, emissions&amp;prices'!$I$163</f>
        <v>1.447222200815345</v>
      </c>
      <c r="AA110" s="103">
        <f>AA109/'US Grid mix, emissions&amp;prices'!$I$163</f>
        <v>1.447222200815345</v>
      </c>
      <c r="AB110" s="103">
        <f>AB109/'US Grid mix, emissions&amp;prices'!$I$163</f>
        <v>1.447222200815345</v>
      </c>
      <c r="AC110" s="103">
        <f>AC109/'US Grid mix, emissions&amp;prices'!$I$163</f>
        <v>1.447222200815345</v>
      </c>
      <c r="AG110" s="103">
        <f>AG109/'US Grid mix, emissions&amp;prices'!$I$163</f>
        <v>1.6765206803276793</v>
      </c>
      <c r="AH110" s="103">
        <f>AH109/'US Grid mix, emissions&amp;prices'!$I$163</f>
        <v>1.6765206803276793</v>
      </c>
      <c r="AI110" s="103">
        <f>AI109/'US Grid mix, emissions&amp;prices'!$I$163</f>
        <v>1.6765206803276793</v>
      </c>
      <c r="AJ110" s="103">
        <f>AJ109/'US Grid mix, emissions&amp;prices'!$I$163</f>
        <v>1.6765206803276793</v>
      </c>
      <c r="AK110" s="103">
        <f>AK109/'US Grid mix, emissions&amp;prices'!$I$163</f>
        <v>1.6765206803276793</v>
      </c>
      <c r="AL110" s="103">
        <f>AL109/'US Grid mix, emissions&amp;prices'!$I$163</f>
        <v>1.6765206803276793</v>
      </c>
      <c r="AM110" s="103">
        <f>AM109/'US Grid mix, emissions&amp;prices'!$I$163</f>
        <v>1.6765206803276793</v>
      </c>
      <c r="AN110" s="103">
        <f>AN109/'US Grid mix, emissions&amp;prices'!$I$163</f>
        <v>1.6765206803276793</v>
      </c>
      <c r="AO110" s="103">
        <f>AO109/'US Grid mix, emissions&amp;prices'!$I$163</f>
        <v>1.6765206803276793</v>
      </c>
      <c r="AP110" s="103">
        <f>AP109/'US Grid mix, emissions&amp;prices'!$I$163</f>
        <v>1.6765206803276793</v>
      </c>
      <c r="AQ110" s="103">
        <f>AQ109/'US Grid mix, emissions&amp;prices'!$I$163</f>
        <v>1.6765206803276793</v>
      </c>
      <c r="AR110" s="103">
        <f>AR109/'US Grid mix, emissions&amp;prices'!$I$163</f>
        <v>1.6765206803276793</v>
      </c>
      <c r="AS110" s="103">
        <f>AS109/'US Grid mix, emissions&amp;prices'!$I$163</f>
        <v>1.6765206803276793</v>
      </c>
      <c r="AT110" s="103">
        <f>AT109/'US Grid mix, emissions&amp;prices'!$I$163</f>
        <v>1.6765206803276793</v>
      </c>
      <c r="AU110" s="103">
        <f>AU109/'US Grid mix, emissions&amp;prices'!$I$163</f>
        <v>1.6765206803276793</v>
      </c>
      <c r="AV110" s="103">
        <f>AV109/'US Grid mix, emissions&amp;prices'!$I$163</f>
        <v>1.6765206803276793</v>
      </c>
      <c r="AW110" s="103">
        <f>AW109/'US Grid mix, emissions&amp;prices'!$I$163</f>
        <v>1.6765206803276793</v>
      </c>
      <c r="AX110" s="103">
        <f>AX109/'US Grid mix, emissions&amp;prices'!$I$163</f>
        <v>1.6765206803276793</v>
      </c>
      <c r="AY110" s="103">
        <f>AY109/'US Grid mix, emissions&amp;prices'!$I$163</f>
        <v>1.6765206803276793</v>
      </c>
      <c r="AZ110" s="103">
        <f>AZ109/'US Grid mix, emissions&amp;prices'!$I$163</f>
        <v>1.6765206803276793</v>
      </c>
      <c r="BA110" s="103">
        <f>BA109/'US Grid mix, emissions&amp;prices'!$I$163</f>
        <v>1.6765206803276793</v>
      </c>
      <c r="BB110" s="103">
        <f>BB109/'US Grid mix, emissions&amp;prices'!$I$163</f>
        <v>1.6765206803276793</v>
      </c>
      <c r="BC110" s="103">
        <f>BC109/'US Grid mix, emissions&amp;prices'!$I$163</f>
        <v>1.6765206803276793</v>
      </c>
      <c r="BD110" s="103">
        <f>BD109/'US Grid mix, emissions&amp;prices'!$I$163</f>
        <v>1.6765206803276793</v>
      </c>
      <c r="BE110" s="103">
        <f>BE109/'US Grid mix, emissions&amp;prices'!$I$163</f>
        <v>1.6765206803276793</v>
      </c>
      <c r="BF110" s="103">
        <f>BF109/'US Grid mix, emissions&amp;prices'!$I$163</f>
        <v>1.6765206803276793</v>
      </c>
      <c r="BG110" s="103">
        <f>BG109/'US Grid mix, emissions&amp;prices'!$I$163</f>
        <v>1.6765206803276793</v>
      </c>
      <c r="BH110" s="103">
        <f>BH109/'US Grid mix, emissions&amp;prices'!$I$163</f>
        <v>1.6765206803276793</v>
      </c>
    </row>
    <row r="111" spans="1:60" x14ac:dyDescent="0.25">
      <c r="AG111">
        <f>AG109/293</f>
        <v>742.48122866894198</v>
      </c>
      <c r="AH111">
        <f t="shared" ref="AH111:BH111" si="1">AH109/293</f>
        <v>742.48122866894198</v>
      </c>
      <c r="AI111">
        <f t="shared" si="1"/>
        <v>742.48122866894198</v>
      </c>
      <c r="AJ111">
        <f t="shared" si="1"/>
        <v>742.48122866894198</v>
      </c>
      <c r="AK111">
        <f t="shared" si="1"/>
        <v>742.48122866894198</v>
      </c>
      <c r="AL111">
        <f t="shared" si="1"/>
        <v>742.48122866894198</v>
      </c>
      <c r="AM111">
        <f t="shared" si="1"/>
        <v>742.48122866894198</v>
      </c>
      <c r="AN111">
        <f t="shared" si="1"/>
        <v>742.48122866894198</v>
      </c>
      <c r="AO111">
        <f t="shared" si="1"/>
        <v>742.48122866894198</v>
      </c>
      <c r="AP111">
        <f t="shared" si="1"/>
        <v>742.48122866894198</v>
      </c>
      <c r="AQ111">
        <f t="shared" si="1"/>
        <v>742.48122866894198</v>
      </c>
      <c r="AR111">
        <f t="shared" si="1"/>
        <v>742.48122866894198</v>
      </c>
      <c r="AS111">
        <f t="shared" si="1"/>
        <v>742.48122866894198</v>
      </c>
      <c r="AT111">
        <f t="shared" si="1"/>
        <v>742.48122866894198</v>
      </c>
      <c r="AU111">
        <f t="shared" si="1"/>
        <v>742.48122866894198</v>
      </c>
      <c r="AV111">
        <f t="shared" si="1"/>
        <v>742.48122866894198</v>
      </c>
      <c r="AW111">
        <f t="shared" si="1"/>
        <v>742.48122866894198</v>
      </c>
      <c r="AX111">
        <f t="shared" si="1"/>
        <v>742.48122866894198</v>
      </c>
      <c r="AY111">
        <f t="shared" si="1"/>
        <v>742.48122866894198</v>
      </c>
      <c r="AZ111">
        <f t="shared" si="1"/>
        <v>742.48122866894198</v>
      </c>
      <c r="BA111">
        <f t="shared" si="1"/>
        <v>742.48122866894198</v>
      </c>
      <c r="BB111">
        <f t="shared" si="1"/>
        <v>742.48122866894198</v>
      </c>
      <c r="BC111">
        <f t="shared" si="1"/>
        <v>742.48122866894198</v>
      </c>
      <c r="BD111">
        <f t="shared" si="1"/>
        <v>742.48122866894198</v>
      </c>
      <c r="BE111">
        <f t="shared" si="1"/>
        <v>742.48122866894198</v>
      </c>
      <c r="BF111">
        <f t="shared" si="1"/>
        <v>742.48122866894198</v>
      </c>
      <c r="BG111">
        <f t="shared" si="1"/>
        <v>742.48122866894198</v>
      </c>
      <c r="BH111">
        <f t="shared" si="1"/>
        <v>742.48122866894198</v>
      </c>
    </row>
    <row r="113" spans="1:93" x14ac:dyDescent="0.25">
      <c r="A113" s="248" t="s">
        <v>463</v>
      </c>
      <c r="B113" s="249"/>
      <c r="C113" s="249"/>
      <c r="D113" s="250"/>
      <c r="E113" s="248" t="s">
        <v>539</v>
      </c>
      <c r="F113" s="249"/>
      <c r="G113" s="249"/>
      <c r="H113" s="249"/>
      <c r="I113" s="249"/>
      <c r="J113" s="249"/>
      <c r="K113" s="249"/>
      <c r="L113" s="250"/>
      <c r="M113" s="13"/>
      <c r="N113" s="13"/>
      <c r="O113" s="13"/>
      <c r="P113" s="13"/>
      <c r="Q113" s="13"/>
      <c r="R113" s="13"/>
      <c r="S113" s="13"/>
      <c r="T113" s="13"/>
      <c r="U113" s="13"/>
      <c r="V113" s="13"/>
      <c r="W113" s="13"/>
      <c r="X113" s="13"/>
      <c r="Y113" s="13"/>
      <c r="Z113" s="13"/>
      <c r="AA113" s="13"/>
      <c r="AB113" s="13"/>
      <c r="AC113" s="13"/>
      <c r="AF113" s="248" t="s">
        <v>463</v>
      </c>
      <c r="AG113" s="249"/>
      <c r="AH113" s="249"/>
      <c r="AI113" s="250"/>
      <c r="AJ113" s="248" t="s">
        <v>541</v>
      </c>
      <c r="AK113" s="249"/>
      <c r="AL113" s="249"/>
      <c r="AM113" s="249"/>
      <c r="AN113" s="249"/>
      <c r="AO113" s="249"/>
      <c r="AP113" s="249"/>
      <c r="AQ113" s="250"/>
      <c r="AR113" s="13"/>
      <c r="AS113" s="13"/>
      <c r="AT113" s="13"/>
      <c r="AU113" s="13"/>
      <c r="AV113" s="13"/>
      <c r="AW113" s="13"/>
      <c r="AX113" s="13"/>
      <c r="AY113" s="13"/>
      <c r="AZ113" s="13"/>
      <c r="BA113" s="13"/>
      <c r="BB113" s="13"/>
      <c r="BC113" s="13"/>
      <c r="BD113" s="13"/>
      <c r="BE113" s="13"/>
      <c r="BF113" s="13"/>
      <c r="BG113" s="13"/>
      <c r="BH113" s="13"/>
      <c r="BL113" s="248" t="s">
        <v>463</v>
      </c>
      <c r="BM113" s="249"/>
      <c r="BN113" s="249"/>
      <c r="BO113" s="250"/>
      <c r="BP113" s="248" t="s">
        <v>543</v>
      </c>
      <c r="BQ113" s="249"/>
      <c r="BR113" s="249"/>
      <c r="BS113" s="249"/>
      <c r="BT113" s="249"/>
      <c r="BU113" s="249"/>
      <c r="BV113" s="249"/>
      <c r="BW113" s="250"/>
      <c r="BX113" s="13"/>
      <c r="BY113" s="13"/>
      <c r="BZ113" s="13"/>
      <c r="CA113" s="13"/>
      <c r="CB113" s="13"/>
      <c r="CC113" s="13"/>
      <c r="CD113" s="13"/>
      <c r="CE113" s="13"/>
      <c r="CF113" s="13"/>
      <c r="CG113" s="13"/>
      <c r="CH113" s="13"/>
      <c r="CI113" s="13"/>
      <c r="CJ113" s="13"/>
      <c r="CK113" s="13"/>
      <c r="CL113" s="13"/>
      <c r="CM113" s="13"/>
      <c r="CN113" s="13"/>
    </row>
    <row r="114" spans="1:93" x14ac:dyDescent="0.25">
      <c r="A114" s="122" t="s">
        <v>3</v>
      </c>
      <c r="B114" s="122">
        <v>2023</v>
      </c>
      <c r="C114" s="122">
        <v>2024</v>
      </c>
      <c r="D114" s="122">
        <v>2025</v>
      </c>
      <c r="E114" s="122">
        <v>2026</v>
      </c>
      <c r="F114" s="122">
        <v>2027</v>
      </c>
      <c r="G114" s="122">
        <v>2028</v>
      </c>
      <c r="H114" s="122">
        <v>2029</v>
      </c>
      <c r="I114" s="122">
        <v>2030</v>
      </c>
      <c r="J114" s="122">
        <v>2031</v>
      </c>
      <c r="K114" s="122">
        <v>2032</v>
      </c>
      <c r="L114" s="122">
        <v>2033</v>
      </c>
      <c r="M114" s="122">
        <v>2034</v>
      </c>
      <c r="N114" s="122">
        <v>2035</v>
      </c>
      <c r="O114" s="122">
        <v>2036</v>
      </c>
      <c r="P114" s="122">
        <v>2037</v>
      </c>
      <c r="Q114" s="122">
        <v>2038</v>
      </c>
      <c r="R114" s="122">
        <v>2039</v>
      </c>
      <c r="S114" s="122">
        <v>2040</v>
      </c>
      <c r="T114" s="122">
        <v>2041</v>
      </c>
      <c r="U114" s="122">
        <v>2042</v>
      </c>
      <c r="V114" s="122">
        <v>2043</v>
      </c>
      <c r="W114" s="122">
        <v>2044</v>
      </c>
      <c r="X114" s="122">
        <v>2045</v>
      </c>
      <c r="Y114" s="122">
        <v>2046</v>
      </c>
      <c r="Z114" s="122">
        <v>2047</v>
      </c>
      <c r="AA114" s="122">
        <v>2048</v>
      </c>
      <c r="AB114" s="122">
        <v>2049</v>
      </c>
      <c r="AC114" s="122">
        <v>2050</v>
      </c>
      <c r="AD114" s="37" t="s">
        <v>464</v>
      </c>
      <c r="AF114" s="122" t="s">
        <v>3</v>
      </c>
      <c r="AG114" s="122">
        <v>2023</v>
      </c>
      <c r="AH114" s="122">
        <v>2024</v>
      </c>
      <c r="AI114" s="122">
        <v>2025</v>
      </c>
      <c r="AJ114" s="122">
        <v>2026</v>
      </c>
      <c r="AK114" s="122">
        <v>2027</v>
      </c>
      <c r="AL114" s="122">
        <v>2028</v>
      </c>
      <c r="AM114" s="122">
        <v>2029</v>
      </c>
      <c r="AN114" s="122">
        <v>2030</v>
      </c>
      <c r="AO114" s="122">
        <v>2031</v>
      </c>
      <c r="AP114" s="122">
        <v>2032</v>
      </c>
      <c r="AQ114" s="122">
        <v>2033</v>
      </c>
      <c r="AR114" s="122">
        <v>2034</v>
      </c>
      <c r="AS114" s="122">
        <v>2035</v>
      </c>
      <c r="AT114" s="122">
        <v>2036</v>
      </c>
      <c r="AU114" s="122">
        <v>2037</v>
      </c>
      <c r="AV114" s="122">
        <v>2038</v>
      </c>
      <c r="AW114" s="122">
        <v>2039</v>
      </c>
      <c r="AX114" s="122">
        <v>2040</v>
      </c>
      <c r="AY114" s="122">
        <v>2041</v>
      </c>
      <c r="AZ114" s="122">
        <v>2042</v>
      </c>
      <c r="BA114" s="122">
        <v>2043</v>
      </c>
      <c r="BB114" s="122">
        <v>2044</v>
      </c>
      <c r="BC114" s="122">
        <v>2045</v>
      </c>
      <c r="BD114" s="122">
        <v>2046</v>
      </c>
      <c r="BE114" s="122">
        <v>2047</v>
      </c>
      <c r="BF114" s="122">
        <v>2048</v>
      </c>
      <c r="BG114" s="122">
        <v>2049</v>
      </c>
      <c r="BH114" s="122">
        <v>2050</v>
      </c>
      <c r="BI114" s="37" t="s">
        <v>464</v>
      </c>
      <c r="BL114" s="122" t="s">
        <v>3</v>
      </c>
      <c r="BM114" s="122">
        <v>2023</v>
      </c>
      <c r="BN114" s="122">
        <v>2024</v>
      </c>
      <c r="BO114" s="122">
        <v>2025</v>
      </c>
      <c r="BP114" s="122">
        <v>2026</v>
      </c>
      <c r="BQ114" s="122">
        <v>2027</v>
      </c>
      <c r="BR114" s="122">
        <v>2028</v>
      </c>
      <c r="BS114" s="122">
        <v>2029</v>
      </c>
      <c r="BT114" s="122">
        <v>2030</v>
      </c>
      <c r="BU114" s="122">
        <v>2031</v>
      </c>
      <c r="BV114" s="122">
        <v>2032</v>
      </c>
      <c r="BW114" s="122">
        <v>2033</v>
      </c>
      <c r="BX114" s="122">
        <v>2034</v>
      </c>
      <c r="BY114" s="122">
        <v>2035</v>
      </c>
      <c r="BZ114" s="122">
        <v>2036</v>
      </c>
      <c r="CA114" s="122">
        <v>2037</v>
      </c>
      <c r="CB114" s="122">
        <v>2038</v>
      </c>
      <c r="CC114" s="122">
        <v>2039</v>
      </c>
      <c r="CD114" s="122">
        <v>2040</v>
      </c>
      <c r="CE114" s="122">
        <v>2041</v>
      </c>
      <c r="CF114" s="122">
        <v>2042</v>
      </c>
      <c r="CG114" s="122">
        <v>2043</v>
      </c>
      <c r="CH114" s="122">
        <v>2044</v>
      </c>
      <c r="CI114" s="122">
        <v>2045</v>
      </c>
      <c r="CJ114" s="122">
        <v>2046</v>
      </c>
      <c r="CK114" s="122">
        <v>2047</v>
      </c>
      <c r="CL114" s="122">
        <v>2048</v>
      </c>
      <c r="CM114" s="122">
        <v>2049</v>
      </c>
      <c r="CN114" s="122">
        <v>2050</v>
      </c>
      <c r="CO114" s="37" t="s">
        <v>464</v>
      </c>
    </row>
    <row r="115" spans="1:93" x14ac:dyDescent="0.25">
      <c r="A115" s="70" t="s">
        <v>187</v>
      </c>
      <c r="B115" s="125">
        <f>B4/293.07*(1/(VLOOKUP($A115,'Fuel economy adjusted factor'!$A$2:$L$52,5,FALSE)*m2k))/'TCO Inputs'!$AZ$84</f>
        <v>114.38945717702784</v>
      </c>
      <c r="C115" s="125">
        <f>C4/293.07*(1/(VLOOKUP($A115,'Fuel economy adjusted factor'!$A$2:$L$52,5,FALSE)*m2k))/'TCO Inputs'!$AZ$84</f>
        <v>114.38945717702784</v>
      </c>
      <c r="D115" s="125">
        <f>D4/293.07*(1/(VLOOKUP($A115,'Fuel economy adjusted factor'!$A$2:$L$52,5,FALSE)*m2k))/'TCO Inputs'!$AZ$84</f>
        <v>114.38945717702784</v>
      </c>
      <c r="E115" s="125">
        <f>E4/293.07*(1/(VLOOKUP($A115,'Fuel economy adjusted factor'!$A$2:$L$52,5,FALSE)*m2k))/'TCO Inputs'!$AZ$84</f>
        <v>114.38945717702784</v>
      </c>
      <c r="F115" s="125">
        <f>F4/293.07*(1/(VLOOKUP($A115,'Fuel economy adjusted factor'!$A$2:$L$52,5,FALSE)*m2k))/'TCO Inputs'!$AZ$84</f>
        <v>114.38945717702784</v>
      </c>
      <c r="G115" s="125">
        <f>G4/293.07*(1/(VLOOKUP($A115,'Fuel economy adjusted factor'!$A$2:$L$52,5,FALSE)*m2k))/'TCO Inputs'!$AZ$84</f>
        <v>114.38945717702784</v>
      </c>
      <c r="H115" s="125">
        <f>H4/293.07*(1/(VLOOKUP($A115,'Fuel economy adjusted factor'!$A$2:$L$52,5,FALSE)*m2k))/'TCO Inputs'!$AZ$84</f>
        <v>114.38945717702784</v>
      </c>
      <c r="I115" s="125">
        <f>I4/293.07*(1/(VLOOKUP($A115,'Fuel economy adjusted factor'!$A$2:$L$52,5,FALSE)*m2k))/'TCO Inputs'!$AZ$84</f>
        <v>114.38945717702784</v>
      </c>
      <c r="J115" s="125">
        <f>J4/293.07*(1/(VLOOKUP($A115,'Fuel economy adjusted factor'!$A$2:$L$52,5,FALSE)*m2k))/'TCO Inputs'!$AZ$84</f>
        <v>114.38945717702784</v>
      </c>
      <c r="K115" s="125">
        <f>K4/293.07*(1/(VLOOKUP($A115,'Fuel economy adjusted factor'!$A$2:$L$52,5,FALSE)*m2k))/'TCO Inputs'!$AZ$84</f>
        <v>114.38945717702784</v>
      </c>
      <c r="L115" s="125">
        <f>L4/293.07*(1/(VLOOKUP($A115,'Fuel economy adjusted factor'!$A$2:$L$52,5,FALSE)*m2k))/'TCO Inputs'!$AZ$84</f>
        <v>114.38945717702784</v>
      </c>
      <c r="M115" s="125">
        <f>M4/293.07*(1/(VLOOKUP($A115,'Fuel economy adjusted factor'!$A$2:$L$52,5,FALSE)*m2k))/'TCO Inputs'!$AZ$84</f>
        <v>114.38945717702784</v>
      </c>
      <c r="N115" s="125">
        <f>N4/293.07*(1/(VLOOKUP($A115,'Fuel economy adjusted factor'!$A$2:$L$52,5,FALSE)*m2k))/'TCO Inputs'!$AZ$84</f>
        <v>114.38945717702784</v>
      </c>
      <c r="O115" s="125">
        <f>O4/293.07*(1/(VLOOKUP($A115,'Fuel economy adjusted factor'!$A$2:$L$52,5,FALSE)*m2k))/'TCO Inputs'!$AZ$84</f>
        <v>114.38945717702784</v>
      </c>
      <c r="P115" s="125">
        <f>P4/293.07*(1/(VLOOKUP($A115,'Fuel economy adjusted factor'!$A$2:$L$52,5,FALSE)*m2k))/'TCO Inputs'!$AZ$84</f>
        <v>114.38945717702784</v>
      </c>
      <c r="Q115" s="125">
        <f>Q4/293.07*(1/(VLOOKUP($A115,'Fuel economy adjusted factor'!$A$2:$L$52,5,FALSE)*m2k))/'TCO Inputs'!$AZ$84</f>
        <v>114.38945717702784</v>
      </c>
      <c r="R115" s="125">
        <f>R4/293.07*(1/(VLOOKUP($A115,'Fuel economy adjusted factor'!$A$2:$L$52,5,FALSE)*m2k))/'TCO Inputs'!$AZ$84</f>
        <v>114.38945717702784</v>
      </c>
      <c r="S115" s="125">
        <f>S4/293.07*(1/(VLOOKUP($A115,'Fuel economy adjusted factor'!$A$2:$L$52,5,FALSE)*m2k))/'TCO Inputs'!$AZ$84</f>
        <v>114.38945717702784</v>
      </c>
      <c r="T115" s="125">
        <f>T4/293.07*(1/(VLOOKUP($A115,'Fuel economy adjusted factor'!$A$2:$L$52,5,FALSE)*m2k))/'TCO Inputs'!$AZ$84</f>
        <v>114.38945717702784</v>
      </c>
      <c r="U115" s="125">
        <f>U4/293.07*(1/(VLOOKUP($A115,'Fuel economy adjusted factor'!$A$2:$L$52,5,FALSE)*m2k))/'TCO Inputs'!$AZ$84</f>
        <v>114.38945717702784</v>
      </c>
      <c r="V115" s="125">
        <f>V4/293.07*(1/(VLOOKUP($A115,'Fuel economy adjusted factor'!$A$2:$L$52,5,FALSE)*m2k))/'TCO Inputs'!$AZ$84</f>
        <v>114.38945717702784</v>
      </c>
      <c r="W115" s="125">
        <f>W4/293.07*(1/(VLOOKUP($A115,'Fuel economy adjusted factor'!$A$2:$L$52,5,FALSE)*m2k))/'TCO Inputs'!$AZ$84</f>
        <v>114.38945717702784</v>
      </c>
      <c r="X115" s="125">
        <f>X4/293.07*(1/(VLOOKUP($A115,'Fuel economy adjusted factor'!$A$2:$L$52,5,FALSE)*m2k))/'TCO Inputs'!$AZ$84</f>
        <v>114.38945717702784</v>
      </c>
      <c r="Y115" s="125">
        <f>Y4/293.07*(1/(VLOOKUP($A115,'Fuel economy adjusted factor'!$A$2:$L$52,5,FALSE)*m2k))/'TCO Inputs'!$AZ$84</f>
        <v>114.38945717702784</v>
      </c>
      <c r="Z115" s="125">
        <f>Z4/293.07*(1/(VLOOKUP($A115,'Fuel economy adjusted factor'!$A$2:$L$52,5,FALSE)*m2k))/'TCO Inputs'!$AZ$84</f>
        <v>114.38945717702784</v>
      </c>
      <c r="AA115" s="125">
        <f>AA4/293.07*(1/(VLOOKUP($A115,'Fuel economy adjusted factor'!$A$2:$L$52,5,FALSE)*m2k))/'TCO Inputs'!$AZ$84</f>
        <v>114.38945717702784</v>
      </c>
      <c r="AB115" s="125">
        <f>AB4/293.07*(1/(VLOOKUP($A115,'Fuel economy adjusted factor'!$A$2:$L$52,5,FALSE)*m2k))/'TCO Inputs'!$AZ$84</f>
        <v>114.38945717702784</v>
      </c>
      <c r="AC115" s="125">
        <f>AC4/293.07*(1/(VLOOKUP($A115,'Fuel economy adjusted factor'!$A$2:$L$52,5,FALSE)*m2k))/'TCO Inputs'!$AZ$84</f>
        <v>114.38945717702784</v>
      </c>
      <c r="AD115" s="98" cm="1">
        <f t="array" ref="AD115">SUMPRODUCT(INDEX(B115:AC115,,'TCO Inputs'!$AZ$12-2023+_xlfn.SEQUENCE('TCO Inputs'!$AZ$13))*INDEX('VKT US'!C63:AA63,,_xlfn.SEQUENCE('TCO Inputs'!$AZ$13)))*m2k*CONVERT(0.9072,"g","ton")</f>
        <v>43.085295525278788</v>
      </c>
      <c r="AF115" s="70" t="s">
        <v>187</v>
      </c>
      <c r="AG115" s="125">
        <f>AG4/293.07*(1/(VLOOKUP($AF115,'Fuel economy adjusted factor'!$A$2:$L$52,5,FALSE)*m2k))/'TCO Inputs'!$AZ$84</f>
        <v>134.07677733462435</v>
      </c>
      <c r="AH115" s="125">
        <f>AH4/293.07*(1/(VLOOKUP($AF115,'Fuel economy adjusted factor'!$A$2:$L$52,5,FALSE)*m2k))/'TCO Inputs'!$AZ$84</f>
        <v>134.07677733462435</v>
      </c>
      <c r="AI115" s="125">
        <f>AI4/293.07*(1/(VLOOKUP($AF115,'Fuel economy adjusted factor'!$A$2:$L$52,5,FALSE)*m2k))/'TCO Inputs'!$AZ$84</f>
        <v>134.07677733462435</v>
      </c>
      <c r="AJ115" s="125">
        <f>AJ4/293.07*(1/(VLOOKUP($AF115,'Fuel economy adjusted factor'!$A$2:$L$52,5,FALSE)*m2k))/'TCO Inputs'!$AZ$84</f>
        <v>134.07677733462435</v>
      </c>
      <c r="AK115" s="125">
        <f>AK4/293.07*(1/(VLOOKUP($AF115,'Fuel economy adjusted factor'!$A$2:$L$52,5,FALSE)*m2k))/'TCO Inputs'!$AZ$84</f>
        <v>134.07677733462435</v>
      </c>
      <c r="AL115" s="125">
        <f>AL4/293.07*(1/(VLOOKUP($AF115,'Fuel economy adjusted factor'!$A$2:$L$52,5,FALSE)*m2k))/'TCO Inputs'!$AZ$84</f>
        <v>134.07677733462435</v>
      </c>
      <c r="AM115" s="125">
        <f>AM4/293.07*(1/(VLOOKUP($AF115,'Fuel economy adjusted factor'!$A$2:$L$52,5,FALSE)*m2k))/'TCO Inputs'!$AZ$84</f>
        <v>134.07677733462435</v>
      </c>
      <c r="AN115" s="125">
        <f>AN4/293.07*(1/(VLOOKUP($AF115,'Fuel economy adjusted factor'!$A$2:$L$52,5,FALSE)*m2k))/'TCO Inputs'!$AZ$84</f>
        <v>134.07677733462435</v>
      </c>
      <c r="AO115" s="125">
        <f>AO4/293.07*(1/(VLOOKUP($AF115,'Fuel economy adjusted factor'!$A$2:$L$52,5,FALSE)*m2k))/'TCO Inputs'!$AZ$84</f>
        <v>134.07677733462435</v>
      </c>
      <c r="AP115" s="125">
        <f>AP4/293.07*(1/(VLOOKUP($AF115,'Fuel economy adjusted factor'!$A$2:$L$52,5,FALSE)*m2k))/'TCO Inputs'!$AZ$84</f>
        <v>134.07677733462435</v>
      </c>
      <c r="AQ115" s="125">
        <f>AQ4/293.07*(1/(VLOOKUP($AF115,'Fuel economy adjusted factor'!$A$2:$L$52,5,FALSE)*m2k))/'TCO Inputs'!$AZ$84</f>
        <v>134.07677733462435</v>
      </c>
      <c r="AR115" s="125">
        <f>AR4/293.07*(1/(VLOOKUP($AF115,'Fuel economy adjusted factor'!$A$2:$L$52,5,FALSE)*m2k))/'TCO Inputs'!$AZ$84</f>
        <v>134.07677733462435</v>
      </c>
      <c r="AS115" s="125">
        <f>AS4/293.07*(1/(VLOOKUP($AF115,'Fuel economy adjusted factor'!$A$2:$L$52,5,FALSE)*m2k))/'TCO Inputs'!$AZ$84</f>
        <v>134.07677733462435</v>
      </c>
      <c r="AT115" s="125">
        <f>AT4/293.07*(1/(VLOOKUP($AF115,'Fuel economy adjusted factor'!$A$2:$L$52,5,FALSE)*m2k))/'TCO Inputs'!$AZ$84</f>
        <v>134.07677733462435</v>
      </c>
      <c r="AU115" s="125">
        <f>AU4/293.07*(1/(VLOOKUP($AF115,'Fuel economy adjusted factor'!$A$2:$L$52,5,FALSE)*m2k))/'TCO Inputs'!$AZ$84</f>
        <v>134.07677733462435</v>
      </c>
      <c r="AV115" s="125">
        <f>AV4/293.07*(1/(VLOOKUP($AF115,'Fuel economy adjusted factor'!$A$2:$L$52,5,FALSE)*m2k))/'TCO Inputs'!$AZ$84</f>
        <v>134.07677733462435</v>
      </c>
      <c r="AW115" s="125">
        <f>AW4/293.07*(1/(VLOOKUP($AF115,'Fuel economy adjusted factor'!$A$2:$L$52,5,FALSE)*m2k))/'TCO Inputs'!$AZ$84</f>
        <v>134.07677733462435</v>
      </c>
      <c r="AX115" s="125">
        <f>AX4/293.07*(1/(VLOOKUP($AF115,'Fuel economy adjusted factor'!$A$2:$L$52,5,FALSE)*m2k))/'TCO Inputs'!$AZ$84</f>
        <v>134.07677733462435</v>
      </c>
      <c r="AY115" s="125">
        <f>AY4/293.07*(1/(VLOOKUP($AF115,'Fuel economy adjusted factor'!$A$2:$L$52,5,FALSE)*m2k))/'TCO Inputs'!$AZ$84</f>
        <v>134.07677733462435</v>
      </c>
      <c r="AZ115" s="125">
        <f>AZ4/293.07*(1/(VLOOKUP($AF115,'Fuel economy adjusted factor'!$A$2:$L$52,5,FALSE)*m2k))/'TCO Inputs'!$AZ$84</f>
        <v>134.07677733462435</v>
      </c>
      <c r="BA115" s="125">
        <f>BA4/293.07*(1/(VLOOKUP($AF115,'Fuel economy adjusted factor'!$A$2:$L$52,5,FALSE)*m2k))/'TCO Inputs'!$AZ$84</f>
        <v>134.07677733462435</v>
      </c>
      <c r="BB115" s="125">
        <f>BB4/293.07*(1/(VLOOKUP($AF115,'Fuel economy adjusted factor'!$A$2:$L$52,5,FALSE)*m2k))/'TCO Inputs'!$AZ$84</f>
        <v>134.07677733462435</v>
      </c>
      <c r="BC115" s="125">
        <f>BC4/293.07*(1/(VLOOKUP($AF115,'Fuel economy adjusted factor'!$A$2:$L$52,5,FALSE)*m2k))/'TCO Inputs'!$AZ$84</f>
        <v>134.07677733462435</v>
      </c>
      <c r="BD115" s="125">
        <f>BD4/293.07*(1/(VLOOKUP($AF115,'Fuel economy adjusted factor'!$A$2:$L$52,5,FALSE)*m2k))/'TCO Inputs'!$AZ$84</f>
        <v>134.07677733462435</v>
      </c>
      <c r="BE115" s="125">
        <f>BE4/293.07*(1/(VLOOKUP($AF115,'Fuel economy adjusted factor'!$A$2:$L$52,5,FALSE)*m2k))/'TCO Inputs'!$AZ$84</f>
        <v>134.07677733462435</v>
      </c>
      <c r="BF115" s="125">
        <f>BF4/293.07*(1/(VLOOKUP($AF115,'Fuel economy adjusted factor'!$A$2:$L$52,5,FALSE)*m2k))/'TCO Inputs'!$AZ$84</f>
        <v>134.07677733462435</v>
      </c>
      <c r="BG115" s="125">
        <f>BG4/293.07*(1/(VLOOKUP($AF115,'Fuel economy adjusted factor'!$A$2:$L$52,5,FALSE)*m2k))/'TCO Inputs'!$AZ$84</f>
        <v>134.07677733462435</v>
      </c>
      <c r="BH115" s="125">
        <f>BH4/293.07*(1/(VLOOKUP($AF115,'Fuel economy adjusted factor'!$A$2:$L$52,5,FALSE)*m2k))/'TCO Inputs'!$AZ$84</f>
        <v>134.07677733462435</v>
      </c>
      <c r="BI115" s="98" cm="1">
        <f t="array" ref="BI115">SUMPRODUCT(INDEX(AG115:BH115,,'TCO Inputs'!$AZ$12-2023+_xlfn.SEQUENCE('TCO Inputs'!$AZ$13))*INDEX('VKT US'!C63:AA63,,_xlfn.SEQUENCE('TCO Inputs'!$AZ$13)))*m2k*CONVERT(0.9072,"g","ton")</f>
        <v>50.500611831729195</v>
      </c>
      <c r="BL115" s="70" t="s">
        <v>187</v>
      </c>
      <c r="BM115" s="125">
        <f>BM4/293.07*(1/(VLOOKUP($BL115,'Fuel economy adjusted factor'!$A$2:$L$52,5,FALSE)*m2k))/'TCO Inputs'!$AZ$84</f>
        <v>99.674584790633077</v>
      </c>
      <c r="BN115" s="125">
        <f>BN4/293.07*(1/(VLOOKUP($BL115,'Fuel economy adjusted factor'!$A$2:$L$52,5,FALSE)*m2k))/'TCO Inputs'!$AZ$84</f>
        <v>99.674584790633077</v>
      </c>
      <c r="BO115" s="125">
        <f>BO4/293.07*(1/(VLOOKUP($BL115,'Fuel economy adjusted factor'!$A$2:$L$52,5,FALSE)*m2k))/'TCO Inputs'!$AZ$84</f>
        <v>99.674584790633077</v>
      </c>
      <c r="BP115" s="125">
        <f>BP4/293.07*(1/(VLOOKUP($BL115,'Fuel economy adjusted factor'!$A$2:$L$52,5,FALSE)*m2k))/'TCO Inputs'!$AZ$84</f>
        <v>99.674584790633077</v>
      </c>
      <c r="BQ115" s="125">
        <f>BQ4/293.07*(1/(VLOOKUP($BL115,'Fuel economy adjusted factor'!$A$2:$L$52,5,FALSE)*m2k))/'TCO Inputs'!$AZ$84</f>
        <v>99.674584790633077</v>
      </c>
      <c r="BR115" s="125">
        <f>BR4/293.07*(1/(VLOOKUP($BL115,'Fuel economy adjusted factor'!$A$2:$L$52,5,FALSE)*m2k))/'TCO Inputs'!$AZ$84</f>
        <v>99.674584790633077</v>
      </c>
      <c r="BS115" s="125">
        <f>BS4/293.07*(1/(VLOOKUP($BL115,'Fuel economy adjusted factor'!$A$2:$L$52,5,FALSE)*m2k))/'TCO Inputs'!$AZ$84</f>
        <v>99.674584790633077</v>
      </c>
      <c r="BT115" s="125">
        <f>BT4/293.07*(1/(VLOOKUP($BL115,'Fuel economy adjusted factor'!$A$2:$L$52,5,FALSE)*m2k))/'TCO Inputs'!$AZ$84</f>
        <v>99.674584790633077</v>
      </c>
      <c r="BU115" s="125">
        <f>BU4/293.07*(1/(VLOOKUP($BL115,'Fuel economy adjusted factor'!$A$2:$L$52,5,FALSE)*m2k))/'TCO Inputs'!$AZ$84</f>
        <v>99.674584790633077</v>
      </c>
      <c r="BV115" s="125">
        <f>BV4/293.07*(1/(VLOOKUP($BL115,'Fuel economy adjusted factor'!$A$2:$L$52,5,FALSE)*m2k))/'TCO Inputs'!$AZ$84</f>
        <v>99.674584790633077</v>
      </c>
      <c r="BW115" s="125">
        <f>BW4/293.07*(1/(VLOOKUP($BL115,'Fuel economy adjusted factor'!$A$2:$L$52,5,FALSE)*m2k))/'TCO Inputs'!$AZ$84</f>
        <v>99.674584790633077</v>
      </c>
      <c r="BX115" s="125">
        <f>BX4/293.07*(1/(VLOOKUP($BL115,'Fuel economy adjusted factor'!$A$2:$L$52,5,FALSE)*m2k))/'TCO Inputs'!$AZ$84</f>
        <v>99.674584790633077</v>
      </c>
      <c r="BY115" s="125">
        <f>BY4/293.07*(1/(VLOOKUP($BL115,'Fuel economy adjusted factor'!$A$2:$L$52,5,FALSE)*m2k))/'TCO Inputs'!$AZ$84</f>
        <v>99.674584790633077</v>
      </c>
      <c r="BZ115" s="125">
        <f>BZ4/293.07*(1/(VLOOKUP($BL115,'Fuel economy adjusted factor'!$A$2:$L$52,5,FALSE)*m2k))/'TCO Inputs'!$AZ$84</f>
        <v>99.674584790633077</v>
      </c>
      <c r="CA115" s="125">
        <f>CA4/293.07*(1/(VLOOKUP($BL115,'Fuel economy adjusted factor'!$A$2:$L$52,5,FALSE)*m2k))/'TCO Inputs'!$AZ$84</f>
        <v>99.674584790633077</v>
      </c>
      <c r="CB115" s="125">
        <f>CB4/293.07*(1/(VLOOKUP($BL115,'Fuel economy adjusted factor'!$A$2:$L$52,5,FALSE)*m2k))/'TCO Inputs'!$AZ$84</f>
        <v>99.674584790633077</v>
      </c>
      <c r="CC115" s="125">
        <f>CC4/293.07*(1/(VLOOKUP($BL115,'Fuel economy adjusted factor'!$A$2:$L$52,5,FALSE)*m2k))/'TCO Inputs'!$AZ$84</f>
        <v>99.674584790633077</v>
      </c>
      <c r="CD115" s="125">
        <f>CD4/293.07*(1/(VLOOKUP($BL115,'Fuel economy adjusted factor'!$A$2:$L$52,5,FALSE)*m2k))/'TCO Inputs'!$AZ$84</f>
        <v>99.674584790633077</v>
      </c>
      <c r="CE115" s="125">
        <f>CE4/293.07*(1/(VLOOKUP($BL115,'Fuel economy adjusted factor'!$A$2:$L$52,5,FALSE)*m2k))/'TCO Inputs'!$AZ$84</f>
        <v>99.674584790633077</v>
      </c>
      <c r="CF115" s="125">
        <f>CF4/293.07*(1/(VLOOKUP($BL115,'Fuel economy adjusted factor'!$A$2:$L$52,5,FALSE)*m2k))/'TCO Inputs'!$AZ$84</f>
        <v>99.674584790633077</v>
      </c>
      <c r="CG115" s="125">
        <f>CG4/293.07*(1/(VLOOKUP($BL115,'Fuel economy adjusted factor'!$A$2:$L$52,5,FALSE)*m2k))/'TCO Inputs'!$AZ$84</f>
        <v>99.674584790633077</v>
      </c>
      <c r="CH115" s="125">
        <f>CH4/293.07*(1/(VLOOKUP($BL115,'Fuel economy adjusted factor'!$A$2:$L$52,5,FALSE)*m2k))/'TCO Inputs'!$AZ$84</f>
        <v>99.674584790633077</v>
      </c>
      <c r="CI115" s="125">
        <f>CI4/293.07*(1/(VLOOKUP($BL115,'Fuel economy adjusted factor'!$A$2:$L$52,5,FALSE)*m2k))/'TCO Inputs'!$AZ$84</f>
        <v>99.674584790633077</v>
      </c>
      <c r="CJ115" s="125">
        <f>CJ4/293.07*(1/(VLOOKUP($BL115,'Fuel economy adjusted factor'!$A$2:$L$52,5,FALSE)*m2k))/'TCO Inputs'!$AZ$84</f>
        <v>99.674584790633077</v>
      </c>
      <c r="CK115" s="125">
        <f>CK4/293.07*(1/(VLOOKUP($BL115,'Fuel economy adjusted factor'!$A$2:$L$52,5,FALSE)*m2k))/'TCO Inputs'!$AZ$84</f>
        <v>99.674584790633077</v>
      </c>
      <c r="CL115" s="125">
        <f>CL4/293.07*(1/(VLOOKUP($BL115,'Fuel economy adjusted factor'!$A$2:$L$52,5,FALSE)*m2k))/'TCO Inputs'!$AZ$84</f>
        <v>99.674584790633077</v>
      </c>
      <c r="CM115" s="125">
        <f>CM4/293.07*(1/(VLOOKUP($BL115,'Fuel economy adjusted factor'!$A$2:$L$52,5,FALSE)*m2k))/'TCO Inputs'!$AZ$84</f>
        <v>99.674584790633077</v>
      </c>
      <c r="CN115" s="125">
        <f>CN4/293.07*(1/(VLOOKUP($BL115,'Fuel economy adjusted factor'!$A$2:$L$52,5,FALSE)*m2k))/'TCO Inputs'!$AZ$84</f>
        <v>99.674584790633077</v>
      </c>
      <c r="CO115" s="98" cm="1">
        <f t="array" ref="CO115">SUMPRODUCT(INDEX(BM115:CN115,,'TCO Inputs'!$AZ$12-2023+_xlfn.SEQUENCE('TCO Inputs'!$AZ$13))*INDEX('VKT US'!C63:AA63,,_xlfn.SEQUENCE('TCO Inputs'!$AZ$13)))*m2k*CONVERT(0.9072,"g","ton")</f>
        <v>37.542873688243404</v>
      </c>
    </row>
    <row r="116" spans="1:93" x14ac:dyDescent="0.25">
      <c r="A116" s="123" t="s">
        <v>231</v>
      </c>
      <c r="B116" s="125">
        <f>B5/293.07*(1/(VLOOKUP($A116,'Fuel economy adjusted factor'!$A$2:$L$52,5,FALSE)*m2k))/'TCO Inputs'!$AZ$84</f>
        <v>273.02989912942559</v>
      </c>
      <c r="C116" s="125">
        <f>C5/293.07*(1/(VLOOKUP($A116,'Fuel economy adjusted factor'!$A$2:$L$52,5,FALSE)*m2k))/'TCO Inputs'!$AZ$84</f>
        <v>273.02989912942559</v>
      </c>
      <c r="D116" s="125">
        <f>D5/293.07*(1/(VLOOKUP($A116,'Fuel economy adjusted factor'!$A$2:$L$52,5,FALSE)*m2k))/'TCO Inputs'!$AZ$84</f>
        <v>273.02989912942559</v>
      </c>
      <c r="E116" s="125">
        <f>E5/293.07*(1/(VLOOKUP($A116,'Fuel economy adjusted factor'!$A$2:$L$52,5,FALSE)*m2k))/'TCO Inputs'!$AZ$84</f>
        <v>273.02989912942559</v>
      </c>
      <c r="F116" s="125">
        <f>F5/293.07*(1/(VLOOKUP($A116,'Fuel economy adjusted factor'!$A$2:$L$52,5,FALSE)*m2k))/'TCO Inputs'!$AZ$84</f>
        <v>273.02989912942559</v>
      </c>
      <c r="G116" s="125">
        <f>G5/293.07*(1/(VLOOKUP($A116,'Fuel economy adjusted factor'!$A$2:$L$52,5,FALSE)*m2k))/'TCO Inputs'!$AZ$84</f>
        <v>273.02989912942559</v>
      </c>
      <c r="H116" s="125">
        <f>H5/293.07*(1/(VLOOKUP($A116,'Fuel economy adjusted factor'!$A$2:$L$52,5,FALSE)*m2k))/'TCO Inputs'!$AZ$84</f>
        <v>273.02989912942559</v>
      </c>
      <c r="I116" s="125">
        <f>I5/293.07*(1/(VLOOKUP($A116,'Fuel economy adjusted factor'!$A$2:$L$52,5,FALSE)*m2k))/'TCO Inputs'!$AZ$84</f>
        <v>273.02989912942559</v>
      </c>
      <c r="J116" s="125">
        <f>J5/293.07*(1/(VLOOKUP($A116,'Fuel economy adjusted factor'!$A$2:$L$52,5,FALSE)*m2k))/'TCO Inputs'!$AZ$84</f>
        <v>273.02989912942559</v>
      </c>
      <c r="K116" s="125">
        <f>K5/293.07*(1/(VLOOKUP($A116,'Fuel economy adjusted factor'!$A$2:$L$52,5,FALSE)*m2k))/'TCO Inputs'!$AZ$84</f>
        <v>273.02989912942559</v>
      </c>
      <c r="L116" s="125">
        <f>L5/293.07*(1/(VLOOKUP($A116,'Fuel economy adjusted factor'!$A$2:$L$52,5,FALSE)*m2k))/'TCO Inputs'!$AZ$84</f>
        <v>273.02989912942559</v>
      </c>
      <c r="M116" s="125">
        <f>M5/293.07*(1/(VLOOKUP($A116,'Fuel economy adjusted factor'!$A$2:$L$52,5,FALSE)*m2k))/'TCO Inputs'!$AZ$84</f>
        <v>273.02989912942559</v>
      </c>
      <c r="N116" s="125">
        <f>N5/293.07*(1/(VLOOKUP($A116,'Fuel economy adjusted factor'!$A$2:$L$52,5,FALSE)*m2k))/'TCO Inputs'!$AZ$84</f>
        <v>273.02989912942559</v>
      </c>
      <c r="O116" s="125">
        <f>O5/293.07*(1/(VLOOKUP($A116,'Fuel economy adjusted factor'!$A$2:$L$52,5,FALSE)*m2k))/'TCO Inputs'!$AZ$84</f>
        <v>273.02989912942559</v>
      </c>
      <c r="P116" s="125">
        <f>P5/293.07*(1/(VLOOKUP($A116,'Fuel economy adjusted factor'!$A$2:$L$52,5,FALSE)*m2k))/'TCO Inputs'!$AZ$84</f>
        <v>273.02989912942559</v>
      </c>
      <c r="Q116" s="125">
        <f>Q5/293.07*(1/(VLOOKUP($A116,'Fuel economy adjusted factor'!$A$2:$L$52,5,FALSE)*m2k))/'TCO Inputs'!$AZ$84</f>
        <v>273.02989912942559</v>
      </c>
      <c r="R116" s="125">
        <f>R5/293.07*(1/(VLOOKUP($A116,'Fuel economy adjusted factor'!$A$2:$L$52,5,FALSE)*m2k))/'TCO Inputs'!$AZ$84</f>
        <v>273.02989912942559</v>
      </c>
      <c r="S116" s="125">
        <f>S5/293.07*(1/(VLOOKUP($A116,'Fuel economy adjusted factor'!$A$2:$L$52,5,FALSE)*m2k))/'TCO Inputs'!$AZ$84</f>
        <v>273.02989912942559</v>
      </c>
      <c r="T116" s="125">
        <f>T5/293.07*(1/(VLOOKUP($A116,'Fuel economy adjusted factor'!$A$2:$L$52,5,FALSE)*m2k))/'TCO Inputs'!$AZ$84</f>
        <v>273.02989912942559</v>
      </c>
      <c r="U116" s="125">
        <f>U5/293.07*(1/(VLOOKUP($A116,'Fuel economy adjusted factor'!$A$2:$L$52,5,FALSE)*m2k))/'TCO Inputs'!$AZ$84</f>
        <v>273.02989912942559</v>
      </c>
      <c r="V116" s="125">
        <f>V5/293.07*(1/(VLOOKUP($A116,'Fuel economy adjusted factor'!$A$2:$L$52,5,FALSE)*m2k))/'TCO Inputs'!$AZ$84</f>
        <v>273.02989912942559</v>
      </c>
      <c r="W116" s="125">
        <f>W5/293.07*(1/(VLOOKUP($A116,'Fuel economy adjusted factor'!$A$2:$L$52,5,FALSE)*m2k))/'TCO Inputs'!$AZ$84</f>
        <v>273.02989912942559</v>
      </c>
      <c r="X116" s="125">
        <f>X5/293.07*(1/(VLOOKUP($A116,'Fuel economy adjusted factor'!$A$2:$L$52,5,FALSE)*m2k))/'TCO Inputs'!$AZ$84</f>
        <v>273.02989912942559</v>
      </c>
      <c r="Y116" s="125">
        <f>Y5/293.07*(1/(VLOOKUP($A116,'Fuel economy adjusted factor'!$A$2:$L$52,5,FALSE)*m2k))/'TCO Inputs'!$AZ$84</f>
        <v>273.02989912942559</v>
      </c>
      <c r="Z116" s="125">
        <f>Z5/293.07*(1/(VLOOKUP($A116,'Fuel economy adjusted factor'!$A$2:$L$52,5,FALSE)*m2k))/'TCO Inputs'!$AZ$84</f>
        <v>273.02989912942559</v>
      </c>
      <c r="AA116" s="125">
        <f>AA5/293.07*(1/(VLOOKUP($A116,'Fuel economy adjusted factor'!$A$2:$L$52,5,FALSE)*m2k))/'TCO Inputs'!$AZ$84</f>
        <v>273.02989912942559</v>
      </c>
      <c r="AB116" s="125">
        <f>AB5/293.07*(1/(VLOOKUP($A116,'Fuel economy adjusted factor'!$A$2:$L$52,5,FALSE)*m2k))/'TCO Inputs'!$AZ$84</f>
        <v>273.02989912942559</v>
      </c>
      <c r="AC116" s="125">
        <f>AC5/293.07*(1/(VLOOKUP($A116,'Fuel economy adjusted factor'!$A$2:$L$52,5,FALSE)*m2k))/'TCO Inputs'!$AZ$84</f>
        <v>273.02989912942559</v>
      </c>
      <c r="AD116" s="98" cm="1">
        <f t="array" ref="AD116">SUMPRODUCT(INDEX(B116:AC116,,'TCO Inputs'!$AZ$12-2023+_xlfn.SEQUENCE('TCO Inputs'!$AZ$13))*INDEX('VKT US'!C64:AA64,,_xlfn.SEQUENCE('TCO Inputs'!$AZ$13)))*m2k*CONVERT(0.9072,"g","ton")</f>
        <v>64.131567239813108</v>
      </c>
      <c r="AF116" s="123" t="s">
        <v>231</v>
      </c>
      <c r="AG116" s="125">
        <f>AG5/293.07*(1/(VLOOKUP($AF116,'Fuel economy adjusted factor'!$A$2:$L$52,5,FALSE)*m2k))/'TCO Inputs'!$AZ$84</f>
        <v>320.02047998722827</v>
      </c>
      <c r="AH116" s="125">
        <f>AH5/293.07*(1/(VLOOKUP($AF116,'Fuel economy adjusted factor'!$A$2:$L$52,5,FALSE)*m2k))/'TCO Inputs'!$AZ$84</f>
        <v>320.02047998722827</v>
      </c>
      <c r="AI116" s="125">
        <f>AI5/293.07*(1/(VLOOKUP($AF116,'Fuel economy adjusted factor'!$A$2:$L$52,5,FALSE)*m2k))/'TCO Inputs'!$AZ$84</f>
        <v>320.02047998722827</v>
      </c>
      <c r="AJ116" s="125">
        <f>AJ5/293.07*(1/(VLOOKUP($AF116,'Fuel economy adjusted factor'!$A$2:$L$52,5,FALSE)*m2k))/'TCO Inputs'!$AZ$84</f>
        <v>320.02047998722827</v>
      </c>
      <c r="AK116" s="125">
        <f>AK5/293.07*(1/(VLOOKUP($AF116,'Fuel economy adjusted factor'!$A$2:$L$52,5,FALSE)*m2k))/'TCO Inputs'!$AZ$84</f>
        <v>320.02047998722827</v>
      </c>
      <c r="AL116" s="125">
        <f>AL5/293.07*(1/(VLOOKUP($AF116,'Fuel economy adjusted factor'!$A$2:$L$52,5,FALSE)*m2k))/'TCO Inputs'!$AZ$84</f>
        <v>320.02047998722827</v>
      </c>
      <c r="AM116" s="125">
        <f>AM5/293.07*(1/(VLOOKUP($AF116,'Fuel economy adjusted factor'!$A$2:$L$52,5,FALSE)*m2k))/'TCO Inputs'!$AZ$84</f>
        <v>320.02047998722827</v>
      </c>
      <c r="AN116" s="125">
        <f>AN5/293.07*(1/(VLOOKUP($AF116,'Fuel economy adjusted factor'!$A$2:$L$52,5,FALSE)*m2k))/'TCO Inputs'!$AZ$84</f>
        <v>320.02047998722827</v>
      </c>
      <c r="AO116" s="125">
        <f>AO5/293.07*(1/(VLOOKUP($AF116,'Fuel economy adjusted factor'!$A$2:$L$52,5,FALSE)*m2k))/'TCO Inputs'!$AZ$84</f>
        <v>320.02047998722827</v>
      </c>
      <c r="AP116" s="125">
        <f>AP5/293.07*(1/(VLOOKUP($AF116,'Fuel economy adjusted factor'!$A$2:$L$52,5,FALSE)*m2k))/'TCO Inputs'!$AZ$84</f>
        <v>320.02047998722827</v>
      </c>
      <c r="AQ116" s="125">
        <f>AQ5/293.07*(1/(VLOOKUP($AF116,'Fuel economy adjusted factor'!$A$2:$L$52,5,FALSE)*m2k))/'TCO Inputs'!$AZ$84</f>
        <v>320.02047998722827</v>
      </c>
      <c r="AR116" s="125">
        <f>AR5/293.07*(1/(VLOOKUP($AF116,'Fuel economy adjusted factor'!$A$2:$L$52,5,FALSE)*m2k))/'TCO Inputs'!$AZ$84</f>
        <v>320.02047998722827</v>
      </c>
      <c r="AS116" s="125">
        <f>AS5/293.07*(1/(VLOOKUP($AF116,'Fuel economy adjusted factor'!$A$2:$L$52,5,FALSE)*m2k))/'TCO Inputs'!$AZ$84</f>
        <v>320.02047998722827</v>
      </c>
      <c r="AT116" s="125">
        <f>AT5/293.07*(1/(VLOOKUP($AF116,'Fuel economy adjusted factor'!$A$2:$L$52,5,FALSE)*m2k))/'TCO Inputs'!$AZ$84</f>
        <v>320.02047998722827</v>
      </c>
      <c r="AU116" s="125">
        <f>AU5/293.07*(1/(VLOOKUP($AF116,'Fuel economy adjusted factor'!$A$2:$L$52,5,FALSE)*m2k))/'TCO Inputs'!$AZ$84</f>
        <v>320.02047998722827</v>
      </c>
      <c r="AV116" s="125">
        <f>AV5/293.07*(1/(VLOOKUP($AF116,'Fuel economy adjusted factor'!$A$2:$L$52,5,FALSE)*m2k))/'TCO Inputs'!$AZ$84</f>
        <v>320.02047998722827</v>
      </c>
      <c r="AW116" s="125">
        <f>AW5/293.07*(1/(VLOOKUP($AF116,'Fuel economy adjusted factor'!$A$2:$L$52,5,FALSE)*m2k))/'TCO Inputs'!$AZ$84</f>
        <v>320.02047998722827</v>
      </c>
      <c r="AX116" s="125">
        <f>AX5/293.07*(1/(VLOOKUP($AF116,'Fuel economy adjusted factor'!$A$2:$L$52,5,FALSE)*m2k))/'TCO Inputs'!$AZ$84</f>
        <v>320.02047998722827</v>
      </c>
      <c r="AY116" s="125">
        <f>AY5/293.07*(1/(VLOOKUP($AF116,'Fuel economy adjusted factor'!$A$2:$L$52,5,FALSE)*m2k))/'TCO Inputs'!$AZ$84</f>
        <v>320.02047998722827</v>
      </c>
      <c r="AZ116" s="125">
        <f>AZ5/293.07*(1/(VLOOKUP($AF116,'Fuel economy adjusted factor'!$A$2:$L$52,5,FALSE)*m2k))/'TCO Inputs'!$AZ$84</f>
        <v>320.02047998722827</v>
      </c>
      <c r="BA116" s="125">
        <f>BA5/293.07*(1/(VLOOKUP($AF116,'Fuel economy adjusted factor'!$A$2:$L$52,5,FALSE)*m2k))/'TCO Inputs'!$AZ$84</f>
        <v>320.02047998722827</v>
      </c>
      <c r="BB116" s="125">
        <f>BB5/293.07*(1/(VLOOKUP($AF116,'Fuel economy adjusted factor'!$A$2:$L$52,5,FALSE)*m2k))/'TCO Inputs'!$AZ$84</f>
        <v>320.02047998722827</v>
      </c>
      <c r="BC116" s="125">
        <f>BC5/293.07*(1/(VLOOKUP($AF116,'Fuel economy adjusted factor'!$A$2:$L$52,5,FALSE)*m2k))/'TCO Inputs'!$AZ$84</f>
        <v>320.02047998722827</v>
      </c>
      <c r="BD116" s="125">
        <f>BD5/293.07*(1/(VLOOKUP($AF116,'Fuel economy adjusted factor'!$A$2:$L$52,5,FALSE)*m2k))/'TCO Inputs'!$AZ$84</f>
        <v>320.02047998722827</v>
      </c>
      <c r="BE116" s="125">
        <f>BE5/293.07*(1/(VLOOKUP($AF116,'Fuel economy adjusted factor'!$A$2:$L$52,5,FALSE)*m2k))/'TCO Inputs'!$AZ$84</f>
        <v>320.02047998722827</v>
      </c>
      <c r="BF116" s="125">
        <f>BF5/293.07*(1/(VLOOKUP($AF116,'Fuel economy adjusted factor'!$A$2:$L$52,5,FALSE)*m2k))/'TCO Inputs'!$AZ$84</f>
        <v>320.02047998722827</v>
      </c>
      <c r="BG116" s="125">
        <f>BG5/293.07*(1/(VLOOKUP($AF116,'Fuel economy adjusted factor'!$A$2:$L$52,5,FALSE)*m2k))/'TCO Inputs'!$AZ$84</f>
        <v>320.02047998722827</v>
      </c>
      <c r="BH116" s="125">
        <f>BH5/293.07*(1/(VLOOKUP($AF116,'Fuel economy adjusted factor'!$A$2:$L$52,5,FALSE)*m2k))/'TCO Inputs'!$AZ$84</f>
        <v>320.02047998722827</v>
      </c>
      <c r="BI116" s="98" cm="1">
        <f t="array" ref="BI116">SUMPRODUCT(INDEX(AG116:BH116,,'TCO Inputs'!$AZ$12-2023+_xlfn.SEQUENCE('TCO Inputs'!$AZ$13))*INDEX('VKT US'!C64:AA64,,_xlfn.SEQUENCE('TCO Inputs'!$AZ$13)))*m2k*CONVERT(0.9072,"g","ton")</f>
        <v>75.169111499724011</v>
      </c>
      <c r="BL116" s="123" t="s">
        <v>231</v>
      </c>
      <c r="BM116" s="125">
        <f>BM5/293.07*(1/(VLOOKUP($BL116,'Fuel economy adjusted factor'!$A$2:$L$52,5,FALSE)*m2k))/'TCO Inputs'!$AZ$84</f>
        <v>237.90778016402015</v>
      </c>
      <c r="BN116" s="125">
        <f>BN5/293.07*(1/(VLOOKUP($BL116,'Fuel economy adjusted factor'!$A$2:$L$52,5,FALSE)*m2k))/'TCO Inputs'!$AZ$84</f>
        <v>237.90778016402015</v>
      </c>
      <c r="BO116" s="125">
        <f>BO5/293.07*(1/(VLOOKUP($BL116,'Fuel economy adjusted factor'!$A$2:$L$52,5,FALSE)*m2k))/'TCO Inputs'!$AZ$84</f>
        <v>237.90778016402015</v>
      </c>
      <c r="BP116" s="125">
        <f>BP5/293.07*(1/(VLOOKUP($BL116,'Fuel economy adjusted factor'!$A$2:$L$52,5,FALSE)*m2k))/'TCO Inputs'!$AZ$84</f>
        <v>237.90778016402015</v>
      </c>
      <c r="BQ116" s="125">
        <f>BQ5/293.07*(1/(VLOOKUP($BL116,'Fuel economy adjusted factor'!$A$2:$L$52,5,FALSE)*m2k))/'TCO Inputs'!$AZ$84</f>
        <v>237.90778016402015</v>
      </c>
      <c r="BR116" s="125">
        <f>BR5/293.07*(1/(VLOOKUP($BL116,'Fuel economy adjusted factor'!$A$2:$L$52,5,FALSE)*m2k))/'TCO Inputs'!$AZ$84</f>
        <v>237.90778016402015</v>
      </c>
      <c r="BS116" s="125">
        <f>BS5/293.07*(1/(VLOOKUP($BL116,'Fuel economy adjusted factor'!$A$2:$L$52,5,FALSE)*m2k))/'TCO Inputs'!$AZ$84</f>
        <v>237.90778016402015</v>
      </c>
      <c r="BT116" s="125">
        <f>BT5/293.07*(1/(VLOOKUP($BL116,'Fuel economy adjusted factor'!$A$2:$L$52,5,FALSE)*m2k))/'TCO Inputs'!$AZ$84</f>
        <v>237.90778016402015</v>
      </c>
      <c r="BU116" s="125">
        <f>BU5/293.07*(1/(VLOOKUP($BL116,'Fuel economy adjusted factor'!$A$2:$L$52,5,FALSE)*m2k))/'TCO Inputs'!$AZ$84</f>
        <v>237.90778016402015</v>
      </c>
      <c r="BV116" s="125">
        <f>BV5/293.07*(1/(VLOOKUP($BL116,'Fuel economy adjusted factor'!$A$2:$L$52,5,FALSE)*m2k))/'TCO Inputs'!$AZ$84</f>
        <v>237.90778016402015</v>
      </c>
      <c r="BW116" s="125">
        <f>BW5/293.07*(1/(VLOOKUP($BL116,'Fuel economy adjusted factor'!$A$2:$L$52,5,FALSE)*m2k))/'TCO Inputs'!$AZ$84</f>
        <v>237.90778016402015</v>
      </c>
      <c r="BX116" s="125">
        <f>BX5/293.07*(1/(VLOOKUP($BL116,'Fuel economy adjusted factor'!$A$2:$L$52,5,FALSE)*m2k))/'TCO Inputs'!$AZ$84</f>
        <v>237.90778016402015</v>
      </c>
      <c r="BY116" s="125">
        <f>BY5/293.07*(1/(VLOOKUP($BL116,'Fuel economy adjusted factor'!$A$2:$L$52,5,FALSE)*m2k))/'TCO Inputs'!$AZ$84</f>
        <v>237.90778016402015</v>
      </c>
      <c r="BZ116" s="125">
        <f>BZ5/293.07*(1/(VLOOKUP($BL116,'Fuel economy adjusted factor'!$A$2:$L$52,5,FALSE)*m2k))/'TCO Inputs'!$AZ$84</f>
        <v>237.90778016402015</v>
      </c>
      <c r="CA116" s="125">
        <f>CA5/293.07*(1/(VLOOKUP($BL116,'Fuel economy adjusted factor'!$A$2:$L$52,5,FALSE)*m2k))/'TCO Inputs'!$AZ$84</f>
        <v>237.90778016402015</v>
      </c>
      <c r="CB116" s="125">
        <f>CB5/293.07*(1/(VLOOKUP($BL116,'Fuel economy adjusted factor'!$A$2:$L$52,5,FALSE)*m2k))/'TCO Inputs'!$AZ$84</f>
        <v>237.90778016402015</v>
      </c>
      <c r="CC116" s="125">
        <f>CC5/293.07*(1/(VLOOKUP($BL116,'Fuel economy adjusted factor'!$A$2:$L$52,5,FALSE)*m2k))/'TCO Inputs'!$AZ$84</f>
        <v>237.90778016402015</v>
      </c>
      <c r="CD116" s="125">
        <f>CD5/293.07*(1/(VLOOKUP($BL116,'Fuel economy adjusted factor'!$A$2:$L$52,5,FALSE)*m2k))/'TCO Inputs'!$AZ$84</f>
        <v>237.90778016402015</v>
      </c>
      <c r="CE116" s="125">
        <f>CE5/293.07*(1/(VLOOKUP($BL116,'Fuel economy adjusted factor'!$A$2:$L$52,5,FALSE)*m2k))/'TCO Inputs'!$AZ$84</f>
        <v>237.90778016402015</v>
      </c>
      <c r="CF116" s="125">
        <f>CF5/293.07*(1/(VLOOKUP($BL116,'Fuel economy adjusted factor'!$A$2:$L$52,5,FALSE)*m2k))/'TCO Inputs'!$AZ$84</f>
        <v>237.90778016402015</v>
      </c>
      <c r="CG116" s="125">
        <f>CG5/293.07*(1/(VLOOKUP($BL116,'Fuel economy adjusted factor'!$A$2:$L$52,5,FALSE)*m2k))/'TCO Inputs'!$AZ$84</f>
        <v>237.90778016402015</v>
      </c>
      <c r="CH116" s="125">
        <f>CH5/293.07*(1/(VLOOKUP($BL116,'Fuel economy adjusted factor'!$A$2:$L$52,5,FALSE)*m2k))/'TCO Inputs'!$AZ$84</f>
        <v>237.90778016402015</v>
      </c>
      <c r="CI116" s="125">
        <f>CI5/293.07*(1/(VLOOKUP($BL116,'Fuel economy adjusted factor'!$A$2:$L$52,5,FALSE)*m2k))/'TCO Inputs'!$AZ$84</f>
        <v>237.90778016402015</v>
      </c>
      <c r="CJ116" s="125">
        <f>CJ5/293.07*(1/(VLOOKUP($BL116,'Fuel economy adjusted factor'!$A$2:$L$52,5,FALSE)*m2k))/'TCO Inputs'!$AZ$84</f>
        <v>237.90778016402015</v>
      </c>
      <c r="CK116" s="125">
        <f>CK5/293.07*(1/(VLOOKUP($BL116,'Fuel economy adjusted factor'!$A$2:$L$52,5,FALSE)*m2k))/'TCO Inputs'!$AZ$84</f>
        <v>237.90778016402015</v>
      </c>
      <c r="CL116" s="125">
        <f>CL5/293.07*(1/(VLOOKUP($BL116,'Fuel economy adjusted factor'!$A$2:$L$52,5,FALSE)*m2k))/'TCO Inputs'!$AZ$84</f>
        <v>237.90778016402015</v>
      </c>
      <c r="CM116" s="125">
        <f>CM5/293.07*(1/(VLOOKUP($BL116,'Fuel economy adjusted factor'!$A$2:$L$52,5,FALSE)*m2k))/'TCO Inputs'!$AZ$84</f>
        <v>237.90778016402015</v>
      </c>
      <c r="CN116" s="125">
        <f>CN5/293.07*(1/(VLOOKUP($BL116,'Fuel economy adjusted factor'!$A$2:$L$52,5,FALSE)*m2k))/'TCO Inputs'!$AZ$84</f>
        <v>237.90778016402015</v>
      </c>
      <c r="CO116" s="98" cm="1">
        <f t="array" ref="CO116">SUMPRODUCT(INDEX(BM116:CN116,,'TCO Inputs'!$AZ$12-2023+_xlfn.SEQUENCE('TCO Inputs'!$AZ$13))*INDEX('VKT US'!C64:AA64,,_xlfn.SEQUENCE('TCO Inputs'!$AZ$13)))*m2k*CONVERT(0.9072,"g","ton")</f>
        <v>55.881787485959549</v>
      </c>
    </row>
    <row r="117" spans="1:93" x14ac:dyDescent="0.25">
      <c r="A117" s="123" t="s">
        <v>189</v>
      </c>
      <c r="B117" s="125">
        <f>B6/293.07*(1/(VLOOKUP($A117,'Fuel economy adjusted factor'!$A$2:$L$52,5,FALSE)*m2k))/'TCO Inputs'!$AZ$84</f>
        <v>112.8639886787948</v>
      </c>
      <c r="C117" s="125">
        <f>C6/293.07*(1/(VLOOKUP($A117,'Fuel economy adjusted factor'!$A$2:$L$52,5,FALSE)*m2k))/'TCO Inputs'!$AZ$84</f>
        <v>112.8639886787948</v>
      </c>
      <c r="D117" s="125">
        <f>D6/293.07*(1/(VLOOKUP($A117,'Fuel economy adjusted factor'!$A$2:$L$52,5,FALSE)*m2k))/'TCO Inputs'!$AZ$84</f>
        <v>112.8639886787948</v>
      </c>
      <c r="E117" s="125">
        <f>E6/293.07*(1/(VLOOKUP($A117,'Fuel economy adjusted factor'!$A$2:$L$52,5,FALSE)*m2k))/'TCO Inputs'!$AZ$84</f>
        <v>112.8639886787948</v>
      </c>
      <c r="F117" s="125">
        <f>F6/293.07*(1/(VLOOKUP($A117,'Fuel economy adjusted factor'!$A$2:$L$52,5,FALSE)*m2k))/'TCO Inputs'!$AZ$84</f>
        <v>112.8639886787948</v>
      </c>
      <c r="G117" s="125">
        <f>G6/293.07*(1/(VLOOKUP($A117,'Fuel economy adjusted factor'!$A$2:$L$52,5,FALSE)*m2k))/'TCO Inputs'!$AZ$84</f>
        <v>112.8639886787948</v>
      </c>
      <c r="H117" s="125">
        <f>H6/293.07*(1/(VLOOKUP($A117,'Fuel economy adjusted factor'!$A$2:$L$52,5,FALSE)*m2k))/'TCO Inputs'!$AZ$84</f>
        <v>112.8639886787948</v>
      </c>
      <c r="I117" s="125">
        <f>I6/293.07*(1/(VLOOKUP($A117,'Fuel economy adjusted factor'!$A$2:$L$52,5,FALSE)*m2k))/'TCO Inputs'!$AZ$84</f>
        <v>112.8639886787948</v>
      </c>
      <c r="J117" s="125">
        <f>J6/293.07*(1/(VLOOKUP($A117,'Fuel economy adjusted factor'!$A$2:$L$52,5,FALSE)*m2k))/'TCO Inputs'!$AZ$84</f>
        <v>112.8639886787948</v>
      </c>
      <c r="K117" s="125">
        <f>K6/293.07*(1/(VLOOKUP($A117,'Fuel economy adjusted factor'!$A$2:$L$52,5,FALSE)*m2k))/'TCO Inputs'!$AZ$84</f>
        <v>112.8639886787948</v>
      </c>
      <c r="L117" s="125">
        <f>L6/293.07*(1/(VLOOKUP($A117,'Fuel economy adjusted factor'!$A$2:$L$52,5,FALSE)*m2k))/'TCO Inputs'!$AZ$84</f>
        <v>112.8639886787948</v>
      </c>
      <c r="M117" s="125">
        <f>M6/293.07*(1/(VLOOKUP($A117,'Fuel economy adjusted factor'!$A$2:$L$52,5,FALSE)*m2k))/'TCO Inputs'!$AZ$84</f>
        <v>112.8639886787948</v>
      </c>
      <c r="N117" s="125">
        <f>N6/293.07*(1/(VLOOKUP($A117,'Fuel economy adjusted factor'!$A$2:$L$52,5,FALSE)*m2k))/'TCO Inputs'!$AZ$84</f>
        <v>112.8639886787948</v>
      </c>
      <c r="O117" s="125">
        <f>O6/293.07*(1/(VLOOKUP($A117,'Fuel economy adjusted factor'!$A$2:$L$52,5,FALSE)*m2k))/'TCO Inputs'!$AZ$84</f>
        <v>112.8639886787948</v>
      </c>
      <c r="P117" s="125">
        <f>P6/293.07*(1/(VLOOKUP($A117,'Fuel economy adjusted factor'!$A$2:$L$52,5,FALSE)*m2k))/'TCO Inputs'!$AZ$84</f>
        <v>112.8639886787948</v>
      </c>
      <c r="Q117" s="125">
        <f>Q6/293.07*(1/(VLOOKUP($A117,'Fuel economy adjusted factor'!$A$2:$L$52,5,FALSE)*m2k))/'TCO Inputs'!$AZ$84</f>
        <v>112.8639886787948</v>
      </c>
      <c r="R117" s="125">
        <f>R6/293.07*(1/(VLOOKUP($A117,'Fuel economy adjusted factor'!$A$2:$L$52,5,FALSE)*m2k))/'TCO Inputs'!$AZ$84</f>
        <v>112.8639886787948</v>
      </c>
      <c r="S117" s="125">
        <f>S6/293.07*(1/(VLOOKUP($A117,'Fuel economy adjusted factor'!$A$2:$L$52,5,FALSE)*m2k))/'TCO Inputs'!$AZ$84</f>
        <v>112.8639886787948</v>
      </c>
      <c r="T117" s="125">
        <f>T6/293.07*(1/(VLOOKUP($A117,'Fuel economy adjusted factor'!$A$2:$L$52,5,FALSE)*m2k))/'TCO Inputs'!$AZ$84</f>
        <v>112.8639886787948</v>
      </c>
      <c r="U117" s="125">
        <f>U6/293.07*(1/(VLOOKUP($A117,'Fuel economy adjusted factor'!$A$2:$L$52,5,FALSE)*m2k))/'TCO Inputs'!$AZ$84</f>
        <v>112.8639886787948</v>
      </c>
      <c r="V117" s="125">
        <f>V6/293.07*(1/(VLOOKUP($A117,'Fuel economy adjusted factor'!$A$2:$L$52,5,FALSE)*m2k))/'TCO Inputs'!$AZ$84</f>
        <v>112.8639886787948</v>
      </c>
      <c r="W117" s="125">
        <f>W6/293.07*(1/(VLOOKUP($A117,'Fuel economy adjusted factor'!$A$2:$L$52,5,FALSE)*m2k))/'TCO Inputs'!$AZ$84</f>
        <v>112.8639886787948</v>
      </c>
      <c r="X117" s="125">
        <f>X6/293.07*(1/(VLOOKUP($A117,'Fuel economy adjusted factor'!$A$2:$L$52,5,FALSE)*m2k))/'TCO Inputs'!$AZ$84</f>
        <v>112.8639886787948</v>
      </c>
      <c r="Y117" s="125">
        <f>Y6/293.07*(1/(VLOOKUP($A117,'Fuel economy adjusted factor'!$A$2:$L$52,5,FALSE)*m2k))/'TCO Inputs'!$AZ$84</f>
        <v>112.8639886787948</v>
      </c>
      <c r="Z117" s="125">
        <f>Z6/293.07*(1/(VLOOKUP($A117,'Fuel economy adjusted factor'!$A$2:$L$52,5,FALSE)*m2k))/'TCO Inputs'!$AZ$84</f>
        <v>112.8639886787948</v>
      </c>
      <c r="AA117" s="125">
        <f>AA6/293.07*(1/(VLOOKUP($A117,'Fuel economy adjusted factor'!$A$2:$L$52,5,FALSE)*m2k))/'TCO Inputs'!$AZ$84</f>
        <v>112.8639886787948</v>
      </c>
      <c r="AB117" s="125">
        <f>AB6/293.07*(1/(VLOOKUP($A117,'Fuel economy adjusted factor'!$A$2:$L$52,5,FALSE)*m2k))/'TCO Inputs'!$AZ$84</f>
        <v>112.8639886787948</v>
      </c>
      <c r="AC117" s="125">
        <f>AC6/293.07*(1/(VLOOKUP($A117,'Fuel economy adjusted factor'!$A$2:$L$52,5,FALSE)*m2k))/'TCO Inputs'!$AZ$84</f>
        <v>112.8639886787948</v>
      </c>
      <c r="AD117" s="98" cm="1">
        <f t="array" ref="AD117">SUMPRODUCT(INDEX(B117:AC117,,'TCO Inputs'!$AZ$12-2023+_xlfn.SEQUENCE('TCO Inputs'!$AZ$13))*INDEX('VKT US'!C65:AA65,,_xlfn.SEQUENCE('TCO Inputs'!$AZ$13)))*m2k*CONVERT(0.9072,"g","ton")</f>
        <v>31.232269107610328</v>
      </c>
      <c r="AF117" s="123" t="s">
        <v>189</v>
      </c>
      <c r="AG117" s="125">
        <f>AG6/293.07*(1/(VLOOKUP($AF117,'Fuel economy adjusted factor'!$A$2:$L$52,5,FALSE)*m2k))/'TCO Inputs'!$AZ$84</f>
        <v>132.28876377798997</v>
      </c>
      <c r="AH117" s="125">
        <f>AH6/293.07*(1/(VLOOKUP($AF117,'Fuel economy adjusted factor'!$A$2:$L$52,5,FALSE)*m2k))/'TCO Inputs'!$AZ$84</f>
        <v>132.28876377798997</v>
      </c>
      <c r="AI117" s="125">
        <f>AI6/293.07*(1/(VLOOKUP($AF117,'Fuel economy adjusted factor'!$A$2:$L$52,5,FALSE)*m2k))/'TCO Inputs'!$AZ$84</f>
        <v>132.28876377798997</v>
      </c>
      <c r="AJ117" s="125">
        <f>AJ6/293.07*(1/(VLOOKUP($AF117,'Fuel economy adjusted factor'!$A$2:$L$52,5,FALSE)*m2k))/'TCO Inputs'!$AZ$84</f>
        <v>132.28876377798997</v>
      </c>
      <c r="AK117" s="125">
        <f>AK6/293.07*(1/(VLOOKUP($AF117,'Fuel economy adjusted factor'!$A$2:$L$52,5,FALSE)*m2k))/'TCO Inputs'!$AZ$84</f>
        <v>132.28876377798997</v>
      </c>
      <c r="AL117" s="125">
        <f>AL6/293.07*(1/(VLOOKUP($AF117,'Fuel economy adjusted factor'!$A$2:$L$52,5,FALSE)*m2k))/'TCO Inputs'!$AZ$84</f>
        <v>132.28876377798997</v>
      </c>
      <c r="AM117" s="125">
        <f>AM6/293.07*(1/(VLOOKUP($AF117,'Fuel economy adjusted factor'!$A$2:$L$52,5,FALSE)*m2k))/'TCO Inputs'!$AZ$84</f>
        <v>132.28876377798997</v>
      </c>
      <c r="AN117" s="125">
        <f>AN6/293.07*(1/(VLOOKUP($AF117,'Fuel economy adjusted factor'!$A$2:$L$52,5,FALSE)*m2k))/'TCO Inputs'!$AZ$84</f>
        <v>132.28876377798997</v>
      </c>
      <c r="AO117" s="125">
        <f>AO6/293.07*(1/(VLOOKUP($AF117,'Fuel economy adjusted factor'!$A$2:$L$52,5,FALSE)*m2k))/'TCO Inputs'!$AZ$84</f>
        <v>132.28876377798997</v>
      </c>
      <c r="AP117" s="125">
        <f>AP6/293.07*(1/(VLOOKUP($AF117,'Fuel economy adjusted factor'!$A$2:$L$52,5,FALSE)*m2k))/'TCO Inputs'!$AZ$84</f>
        <v>132.28876377798997</v>
      </c>
      <c r="AQ117" s="125">
        <f>AQ6/293.07*(1/(VLOOKUP($AF117,'Fuel economy adjusted factor'!$A$2:$L$52,5,FALSE)*m2k))/'TCO Inputs'!$AZ$84</f>
        <v>132.28876377798997</v>
      </c>
      <c r="AR117" s="125">
        <f>AR6/293.07*(1/(VLOOKUP($AF117,'Fuel economy adjusted factor'!$A$2:$L$52,5,FALSE)*m2k))/'TCO Inputs'!$AZ$84</f>
        <v>132.28876377798997</v>
      </c>
      <c r="AS117" s="125">
        <f>AS6/293.07*(1/(VLOOKUP($AF117,'Fuel economy adjusted factor'!$A$2:$L$52,5,FALSE)*m2k))/'TCO Inputs'!$AZ$84</f>
        <v>132.28876377798997</v>
      </c>
      <c r="AT117" s="125">
        <f>AT6/293.07*(1/(VLOOKUP($AF117,'Fuel economy adjusted factor'!$A$2:$L$52,5,FALSE)*m2k))/'TCO Inputs'!$AZ$84</f>
        <v>132.28876377798997</v>
      </c>
      <c r="AU117" s="125">
        <f>AU6/293.07*(1/(VLOOKUP($AF117,'Fuel economy adjusted factor'!$A$2:$L$52,5,FALSE)*m2k))/'TCO Inputs'!$AZ$84</f>
        <v>132.28876377798997</v>
      </c>
      <c r="AV117" s="125">
        <f>AV6/293.07*(1/(VLOOKUP($AF117,'Fuel economy adjusted factor'!$A$2:$L$52,5,FALSE)*m2k))/'TCO Inputs'!$AZ$84</f>
        <v>132.28876377798997</v>
      </c>
      <c r="AW117" s="125">
        <f>AW6/293.07*(1/(VLOOKUP($AF117,'Fuel economy adjusted factor'!$A$2:$L$52,5,FALSE)*m2k))/'TCO Inputs'!$AZ$84</f>
        <v>132.28876377798997</v>
      </c>
      <c r="AX117" s="125">
        <f>AX6/293.07*(1/(VLOOKUP($AF117,'Fuel economy adjusted factor'!$A$2:$L$52,5,FALSE)*m2k))/'TCO Inputs'!$AZ$84</f>
        <v>132.28876377798997</v>
      </c>
      <c r="AY117" s="125">
        <f>AY6/293.07*(1/(VLOOKUP($AF117,'Fuel economy adjusted factor'!$A$2:$L$52,5,FALSE)*m2k))/'TCO Inputs'!$AZ$84</f>
        <v>132.28876377798997</v>
      </c>
      <c r="AZ117" s="125">
        <f>AZ6/293.07*(1/(VLOOKUP($AF117,'Fuel economy adjusted factor'!$A$2:$L$52,5,FALSE)*m2k))/'TCO Inputs'!$AZ$84</f>
        <v>132.28876377798997</v>
      </c>
      <c r="BA117" s="125">
        <f>BA6/293.07*(1/(VLOOKUP($AF117,'Fuel economy adjusted factor'!$A$2:$L$52,5,FALSE)*m2k))/'TCO Inputs'!$AZ$84</f>
        <v>132.28876377798997</v>
      </c>
      <c r="BB117" s="125">
        <f>BB6/293.07*(1/(VLOOKUP($AF117,'Fuel economy adjusted factor'!$A$2:$L$52,5,FALSE)*m2k))/'TCO Inputs'!$AZ$84</f>
        <v>132.28876377798997</v>
      </c>
      <c r="BC117" s="125">
        <f>BC6/293.07*(1/(VLOOKUP($AF117,'Fuel economy adjusted factor'!$A$2:$L$52,5,FALSE)*m2k))/'TCO Inputs'!$AZ$84</f>
        <v>132.28876377798997</v>
      </c>
      <c r="BD117" s="125">
        <f>BD6/293.07*(1/(VLOOKUP($AF117,'Fuel economy adjusted factor'!$A$2:$L$52,5,FALSE)*m2k))/'TCO Inputs'!$AZ$84</f>
        <v>132.28876377798997</v>
      </c>
      <c r="BE117" s="125">
        <f>BE6/293.07*(1/(VLOOKUP($AF117,'Fuel economy adjusted factor'!$A$2:$L$52,5,FALSE)*m2k))/'TCO Inputs'!$AZ$84</f>
        <v>132.28876377798997</v>
      </c>
      <c r="BF117" s="125">
        <f>BF6/293.07*(1/(VLOOKUP($AF117,'Fuel economy adjusted factor'!$A$2:$L$52,5,FALSE)*m2k))/'TCO Inputs'!$AZ$84</f>
        <v>132.28876377798997</v>
      </c>
      <c r="BG117" s="125">
        <f>BG6/293.07*(1/(VLOOKUP($AF117,'Fuel economy adjusted factor'!$A$2:$L$52,5,FALSE)*m2k))/'TCO Inputs'!$AZ$84</f>
        <v>132.28876377798997</v>
      </c>
      <c r="BH117" s="125">
        <f>BH6/293.07*(1/(VLOOKUP($AF117,'Fuel economy adjusted factor'!$A$2:$L$52,5,FALSE)*m2k))/'TCO Inputs'!$AZ$84</f>
        <v>132.28876377798997</v>
      </c>
      <c r="BI117" s="98" cm="1">
        <f t="array" ref="BI117">SUMPRODUCT(INDEX(AG117:BH117,,'TCO Inputs'!$AZ$12-2023+_xlfn.SEQUENCE('TCO Inputs'!$AZ$13))*INDEX('VKT US'!C65:AA65,,_xlfn.SEQUENCE('TCO Inputs'!$AZ$13)))*m2k*CONVERT(0.9072,"g","ton")</f>
        <v>36.607586871538132</v>
      </c>
      <c r="BL117" s="123" t="s">
        <v>189</v>
      </c>
      <c r="BM117" s="125">
        <f>BM6/293.07*(1/(VLOOKUP($BL117,'Fuel economy adjusted factor'!$A$2:$L$52,5,FALSE)*m2k))/'TCO Inputs'!$AZ$84</f>
        <v>98.345350061096283</v>
      </c>
      <c r="BN117" s="125">
        <f>BN6/293.07*(1/(VLOOKUP($BL117,'Fuel economy adjusted factor'!$A$2:$L$52,5,FALSE)*m2k))/'TCO Inputs'!$AZ$84</f>
        <v>98.345350061096283</v>
      </c>
      <c r="BO117" s="125">
        <f>BO6/293.07*(1/(VLOOKUP($BL117,'Fuel economy adjusted factor'!$A$2:$L$52,5,FALSE)*m2k))/'TCO Inputs'!$AZ$84</f>
        <v>98.345350061096283</v>
      </c>
      <c r="BP117" s="125">
        <f>BP6/293.07*(1/(VLOOKUP($BL117,'Fuel economy adjusted factor'!$A$2:$L$52,5,FALSE)*m2k))/'TCO Inputs'!$AZ$84</f>
        <v>98.345350061096283</v>
      </c>
      <c r="BQ117" s="125">
        <f>BQ6/293.07*(1/(VLOOKUP($BL117,'Fuel economy adjusted factor'!$A$2:$L$52,5,FALSE)*m2k))/'TCO Inputs'!$AZ$84</f>
        <v>98.345350061096283</v>
      </c>
      <c r="BR117" s="125">
        <f>BR6/293.07*(1/(VLOOKUP($BL117,'Fuel economy adjusted factor'!$A$2:$L$52,5,FALSE)*m2k))/'TCO Inputs'!$AZ$84</f>
        <v>98.345350061096283</v>
      </c>
      <c r="BS117" s="125">
        <f>BS6/293.07*(1/(VLOOKUP($BL117,'Fuel economy adjusted factor'!$A$2:$L$52,5,FALSE)*m2k))/'TCO Inputs'!$AZ$84</f>
        <v>98.345350061096283</v>
      </c>
      <c r="BT117" s="125">
        <f>BT6/293.07*(1/(VLOOKUP($BL117,'Fuel economy adjusted factor'!$A$2:$L$52,5,FALSE)*m2k))/'TCO Inputs'!$AZ$84</f>
        <v>98.345350061096283</v>
      </c>
      <c r="BU117" s="125">
        <f>BU6/293.07*(1/(VLOOKUP($BL117,'Fuel economy adjusted factor'!$A$2:$L$52,5,FALSE)*m2k))/'TCO Inputs'!$AZ$84</f>
        <v>98.345350061096283</v>
      </c>
      <c r="BV117" s="125">
        <f>BV6/293.07*(1/(VLOOKUP($BL117,'Fuel economy adjusted factor'!$A$2:$L$52,5,FALSE)*m2k))/'TCO Inputs'!$AZ$84</f>
        <v>98.345350061096283</v>
      </c>
      <c r="BW117" s="125">
        <f>BW6/293.07*(1/(VLOOKUP($BL117,'Fuel economy adjusted factor'!$A$2:$L$52,5,FALSE)*m2k))/'TCO Inputs'!$AZ$84</f>
        <v>98.345350061096283</v>
      </c>
      <c r="BX117" s="125">
        <f>BX6/293.07*(1/(VLOOKUP($BL117,'Fuel economy adjusted factor'!$A$2:$L$52,5,FALSE)*m2k))/'TCO Inputs'!$AZ$84</f>
        <v>98.345350061096283</v>
      </c>
      <c r="BY117" s="125">
        <f>BY6/293.07*(1/(VLOOKUP($BL117,'Fuel economy adjusted factor'!$A$2:$L$52,5,FALSE)*m2k))/'TCO Inputs'!$AZ$84</f>
        <v>98.345350061096283</v>
      </c>
      <c r="BZ117" s="125">
        <f>BZ6/293.07*(1/(VLOOKUP($BL117,'Fuel economy adjusted factor'!$A$2:$L$52,5,FALSE)*m2k))/'TCO Inputs'!$AZ$84</f>
        <v>98.345350061096283</v>
      </c>
      <c r="CA117" s="125">
        <f>CA6/293.07*(1/(VLOOKUP($BL117,'Fuel economy adjusted factor'!$A$2:$L$52,5,FALSE)*m2k))/'TCO Inputs'!$AZ$84</f>
        <v>98.345350061096283</v>
      </c>
      <c r="CB117" s="125">
        <f>CB6/293.07*(1/(VLOOKUP($BL117,'Fuel economy adjusted factor'!$A$2:$L$52,5,FALSE)*m2k))/'TCO Inputs'!$AZ$84</f>
        <v>98.345350061096283</v>
      </c>
      <c r="CC117" s="125">
        <f>CC6/293.07*(1/(VLOOKUP($BL117,'Fuel economy adjusted factor'!$A$2:$L$52,5,FALSE)*m2k))/'TCO Inputs'!$AZ$84</f>
        <v>98.345350061096283</v>
      </c>
      <c r="CD117" s="125">
        <f>CD6/293.07*(1/(VLOOKUP($BL117,'Fuel economy adjusted factor'!$A$2:$L$52,5,FALSE)*m2k))/'TCO Inputs'!$AZ$84</f>
        <v>98.345350061096283</v>
      </c>
      <c r="CE117" s="125">
        <f>CE6/293.07*(1/(VLOOKUP($BL117,'Fuel economy adjusted factor'!$A$2:$L$52,5,FALSE)*m2k))/'TCO Inputs'!$AZ$84</f>
        <v>98.345350061096283</v>
      </c>
      <c r="CF117" s="125">
        <f>CF6/293.07*(1/(VLOOKUP($BL117,'Fuel economy adjusted factor'!$A$2:$L$52,5,FALSE)*m2k))/'TCO Inputs'!$AZ$84</f>
        <v>98.345350061096283</v>
      </c>
      <c r="CG117" s="125">
        <f>CG6/293.07*(1/(VLOOKUP($BL117,'Fuel economy adjusted factor'!$A$2:$L$52,5,FALSE)*m2k))/'TCO Inputs'!$AZ$84</f>
        <v>98.345350061096283</v>
      </c>
      <c r="CH117" s="125">
        <f>CH6/293.07*(1/(VLOOKUP($BL117,'Fuel economy adjusted factor'!$A$2:$L$52,5,FALSE)*m2k))/'TCO Inputs'!$AZ$84</f>
        <v>98.345350061096283</v>
      </c>
      <c r="CI117" s="125">
        <f>CI6/293.07*(1/(VLOOKUP($BL117,'Fuel economy adjusted factor'!$A$2:$L$52,5,FALSE)*m2k))/'TCO Inputs'!$AZ$84</f>
        <v>98.345350061096283</v>
      </c>
      <c r="CJ117" s="125">
        <f>CJ6/293.07*(1/(VLOOKUP($BL117,'Fuel economy adjusted factor'!$A$2:$L$52,5,FALSE)*m2k))/'TCO Inputs'!$AZ$84</f>
        <v>98.345350061096283</v>
      </c>
      <c r="CK117" s="125">
        <f>CK6/293.07*(1/(VLOOKUP($BL117,'Fuel economy adjusted factor'!$A$2:$L$52,5,FALSE)*m2k))/'TCO Inputs'!$AZ$84</f>
        <v>98.345350061096283</v>
      </c>
      <c r="CL117" s="125">
        <f>CL6/293.07*(1/(VLOOKUP($BL117,'Fuel economy adjusted factor'!$A$2:$L$52,5,FALSE)*m2k))/'TCO Inputs'!$AZ$84</f>
        <v>98.345350061096283</v>
      </c>
      <c r="CM117" s="125">
        <f>CM6/293.07*(1/(VLOOKUP($BL117,'Fuel economy adjusted factor'!$A$2:$L$52,5,FALSE)*m2k))/'TCO Inputs'!$AZ$84</f>
        <v>98.345350061096283</v>
      </c>
      <c r="CN117" s="125">
        <f>CN6/293.07*(1/(VLOOKUP($BL117,'Fuel economy adjusted factor'!$A$2:$L$52,5,FALSE)*m2k))/'TCO Inputs'!$AZ$84</f>
        <v>98.345350061096283</v>
      </c>
      <c r="CO117" s="98" cm="1">
        <f t="array" ref="CO117">SUMPRODUCT(INDEX(BM117:CN117,,'TCO Inputs'!$AZ$12-2023+_xlfn.SEQUENCE('TCO Inputs'!$AZ$13))*INDEX('VKT US'!C65:AA65,,_xlfn.SEQUENCE('TCO Inputs'!$AZ$13)))*m2k*CONVERT(0.9072,"g","ton")</f>
        <v>27.214601172139794</v>
      </c>
    </row>
    <row r="118" spans="1:93" x14ac:dyDescent="0.25">
      <c r="A118" s="123" t="s">
        <v>188</v>
      </c>
      <c r="B118" s="125">
        <f>B7/293.07*(1/(VLOOKUP($A118,'Fuel economy adjusted factor'!$A$2:$L$52,5,FALSE)*m2k))/'TCO Inputs'!$AZ$84</f>
        <v>156.48063256366373</v>
      </c>
      <c r="C118" s="125">
        <f>C7/293.07*(1/(VLOOKUP($A118,'Fuel economy adjusted factor'!$A$2:$L$52,5,FALSE)*m2k))/'TCO Inputs'!$AZ$84</f>
        <v>156.48063256366373</v>
      </c>
      <c r="D118" s="125">
        <f>D7/293.07*(1/(VLOOKUP($A118,'Fuel economy adjusted factor'!$A$2:$L$52,5,FALSE)*m2k))/'TCO Inputs'!$AZ$84</f>
        <v>156.48063256366373</v>
      </c>
      <c r="E118" s="125">
        <f>E7/293.07*(1/(VLOOKUP($A118,'Fuel economy adjusted factor'!$A$2:$L$52,5,FALSE)*m2k))/'TCO Inputs'!$AZ$84</f>
        <v>156.48063256366373</v>
      </c>
      <c r="F118" s="125">
        <f>F7/293.07*(1/(VLOOKUP($A118,'Fuel economy adjusted factor'!$A$2:$L$52,5,FALSE)*m2k))/'TCO Inputs'!$AZ$84</f>
        <v>156.48063256366373</v>
      </c>
      <c r="G118" s="125">
        <f>G7/293.07*(1/(VLOOKUP($A118,'Fuel economy adjusted factor'!$A$2:$L$52,5,FALSE)*m2k))/'TCO Inputs'!$AZ$84</f>
        <v>156.48063256366373</v>
      </c>
      <c r="H118" s="125">
        <f>H7/293.07*(1/(VLOOKUP($A118,'Fuel economy adjusted factor'!$A$2:$L$52,5,FALSE)*m2k))/'TCO Inputs'!$AZ$84</f>
        <v>156.48063256366373</v>
      </c>
      <c r="I118" s="125">
        <f>I7/293.07*(1/(VLOOKUP($A118,'Fuel economy adjusted factor'!$A$2:$L$52,5,FALSE)*m2k))/'TCO Inputs'!$AZ$84</f>
        <v>156.48063256366373</v>
      </c>
      <c r="J118" s="125">
        <f>J7/293.07*(1/(VLOOKUP($A118,'Fuel economy adjusted factor'!$A$2:$L$52,5,FALSE)*m2k))/'TCO Inputs'!$AZ$84</f>
        <v>156.48063256366373</v>
      </c>
      <c r="K118" s="125">
        <f>K7/293.07*(1/(VLOOKUP($A118,'Fuel economy adjusted factor'!$A$2:$L$52,5,FALSE)*m2k))/'TCO Inputs'!$AZ$84</f>
        <v>156.48063256366373</v>
      </c>
      <c r="L118" s="125">
        <f>L7/293.07*(1/(VLOOKUP($A118,'Fuel economy adjusted factor'!$A$2:$L$52,5,FALSE)*m2k))/'TCO Inputs'!$AZ$84</f>
        <v>156.48063256366373</v>
      </c>
      <c r="M118" s="125">
        <f>M7/293.07*(1/(VLOOKUP($A118,'Fuel economy adjusted factor'!$A$2:$L$52,5,FALSE)*m2k))/'TCO Inputs'!$AZ$84</f>
        <v>156.48063256366373</v>
      </c>
      <c r="N118" s="125">
        <f>N7/293.07*(1/(VLOOKUP($A118,'Fuel economy adjusted factor'!$A$2:$L$52,5,FALSE)*m2k))/'TCO Inputs'!$AZ$84</f>
        <v>156.48063256366373</v>
      </c>
      <c r="O118" s="125">
        <f>O7/293.07*(1/(VLOOKUP($A118,'Fuel economy adjusted factor'!$A$2:$L$52,5,FALSE)*m2k))/'TCO Inputs'!$AZ$84</f>
        <v>156.48063256366373</v>
      </c>
      <c r="P118" s="125">
        <f>P7/293.07*(1/(VLOOKUP($A118,'Fuel economy adjusted factor'!$A$2:$L$52,5,FALSE)*m2k))/'TCO Inputs'!$AZ$84</f>
        <v>156.48063256366373</v>
      </c>
      <c r="Q118" s="125">
        <f>Q7/293.07*(1/(VLOOKUP($A118,'Fuel economy adjusted factor'!$A$2:$L$52,5,FALSE)*m2k))/'TCO Inputs'!$AZ$84</f>
        <v>156.48063256366373</v>
      </c>
      <c r="R118" s="125">
        <f>R7/293.07*(1/(VLOOKUP($A118,'Fuel economy adjusted factor'!$A$2:$L$52,5,FALSE)*m2k))/'TCO Inputs'!$AZ$84</f>
        <v>156.48063256366373</v>
      </c>
      <c r="S118" s="125">
        <f>S7/293.07*(1/(VLOOKUP($A118,'Fuel economy adjusted factor'!$A$2:$L$52,5,FALSE)*m2k))/'TCO Inputs'!$AZ$84</f>
        <v>156.48063256366373</v>
      </c>
      <c r="T118" s="125">
        <f>T7/293.07*(1/(VLOOKUP($A118,'Fuel economy adjusted factor'!$A$2:$L$52,5,FALSE)*m2k))/'TCO Inputs'!$AZ$84</f>
        <v>156.48063256366373</v>
      </c>
      <c r="U118" s="125">
        <f>U7/293.07*(1/(VLOOKUP($A118,'Fuel economy adjusted factor'!$A$2:$L$52,5,FALSE)*m2k))/'TCO Inputs'!$AZ$84</f>
        <v>156.48063256366373</v>
      </c>
      <c r="V118" s="125">
        <f>V7/293.07*(1/(VLOOKUP($A118,'Fuel economy adjusted factor'!$A$2:$L$52,5,FALSE)*m2k))/'TCO Inputs'!$AZ$84</f>
        <v>156.48063256366373</v>
      </c>
      <c r="W118" s="125">
        <f>W7/293.07*(1/(VLOOKUP($A118,'Fuel economy adjusted factor'!$A$2:$L$52,5,FALSE)*m2k))/'TCO Inputs'!$AZ$84</f>
        <v>156.48063256366373</v>
      </c>
      <c r="X118" s="125">
        <f>X7/293.07*(1/(VLOOKUP($A118,'Fuel economy adjusted factor'!$A$2:$L$52,5,FALSE)*m2k))/'TCO Inputs'!$AZ$84</f>
        <v>156.48063256366373</v>
      </c>
      <c r="Y118" s="125">
        <f>Y7/293.07*(1/(VLOOKUP($A118,'Fuel economy adjusted factor'!$A$2:$L$52,5,FALSE)*m2k))/'TCO Inputs'!$AZ$84</f>
        <v>156.48063256366373</v>
      </c>
      <c r="Z118" s="125">
        <f>Z7/293.07*(1/(VLOOKUP($A118,'Fuel economy adjusted factor'!$A$2:$L$52,5,FALSE)*m2k))/'TCO Inputs'!$AZ$84</f>
        <v>156.48063256366373</v>
      </c>
      <c r="AA118" s="125">
        <f>AA7/293.07*(1/(VLOOKUP($A118,'Fuel economy adjusted factor'!$A$2:$L$52,5,FALSE)*m2k))/'TCO Inputs'!$AZ$84</f>
        <v>156.48063256366373</v>
      </c>
      <c r="AB118" s="125">
        <f>AB7/293.07*(1/(VLOOKUP($A118,'Fuel economy adjusted factor'!$A$2:$L$52,5,FALSE)*m2k))/'TCO Inputs'!$AZ$84</f>
        <v>156.48063256366373</v>
      </c>
      <c r="AC118" s="125">
        <f>AC7/293.07*(1/(VLOOKUP($A118,'Fuel economy adjusted factor'!$A$2:$L$52,5,FALSE)*m2k))/'TCO Inputs'!$AZ$84</f>
        <v>156.48063256366373</v>
      </c>
      <c r="AD118" s="98" cm="1">
        <f t="array" ref="AD118">SUMPRODUCT(INDEX(B118:AC118,,'TCO Inputs'!$AZ$12-2023+_xlfn.SEQUENCE('TCO Inputs'!$AZ$13))*INDEX('VKT US'!C66:AA66,,_xlfn.SEQUENCE('TCO Inputs'!$AZ$13)))*m2k*CONVERT(0.9072,"g","ton")</f>
        <v>56.977462888690582</v>
      </c>
      <c r="AF118" s="123" t="s">
        <v>188</v>
      </c>
      <c r="AG118" s="125">
        <f>AG7/293.07*(1/(VLOOKUP($AF118,'Fuel economy adjusted factor'!$A$2:$L$52,5,FALSE)*m2k))/'TCO Inputs'!$AZ$84</f>
        <v>183.41217317737988</v>
      </c>
      <c r="AH118" s="125">
        <f>AH7/293.07*(1/(VLOOKUP($AF118,'Fuel economy adjusted factor'!$A$2:$L$52,5,FALSE)*m2k))/'TCO Inputs'!$AZ$84</f>
        <v>183.41217317737988</v>
      </c>
      <c r="AI118" s="125">
        <f>AI7/293.07*(1/(VLOOKUP($AF118,'Fuel economy adjusted factor'!$A$2:$L$52,5,FALSE)*m2k))/'TCO Inputs'!$AZ$84</f>
        <v>183.41217317737988</v>
      </c>
      <c r="AJ118" s="125">
        <f>AJ7/293.07*(1/(VLOOKUP($AF118,'Fuel economy adjusted factor'!$A$2:$L$52,5,FALSE)*m2k))/'TCO Inputs'!$AZ$84</f>
        <v>183.41217317737988</v>
      </c>
      <c r="AK118" s="125">
        <f>AK7/293.07*(1/(VLOOKUP($AF118,'Fuel economy adjusted factor'!$A$2:$L$52,5,FALSE)*m2k))/'TCO Inputs'!$AZ$84</f>
        <v>183.41217317737988</v>
      </c>
      <c r="AL118" s="125">
        <f>AL7/293.07*(1/(VLOOKUP($AF118,'Fuel economy adjusted factor'!$A$2:$L$52,5,FALSE)*m2k))/'TCO Inputs'!$AZ$84</f>
        <v>183.41217317737988</v>
      </c>
      <c r="AM118" s="125">
        <f>AM7/293.07*(1/(VLOOKUP($AF118,'Fuel economy adjusted factor'!$A$2:$L$52,5,FALSE)*m2k))/'TCO Inputs'!$AZ$84</f>
        <v>183.41217317737988</v>
      </c>
      <c r="AN118" s="125">
        <f>AN7/293.07*(1/(VLOOKUP($AF118,'Fuel economy adjusted factor'!$A$2:$L$52,5,FALSE)*m2k))/'TCO Inputs'!$AZ$84</f>
        <v>183.41217317737988</v>
      </c>
      <c r="AO118" s="125">
        <f>AO7/293.07*(1/(VLOOKUP($AF118,'Fuel economy adjusted factor'!$A$2:$L$52,5,FALSE)*m2k))/'TCO Inputs'!$AZ$84</f>
        <v>183.41217317737988</v>
      </c>
      <c r="AP118" s="125">
        <f>AP7/293.07*(1/(VLOOKUP($AF118,'Fuel economy adjusted factor'!$A$2:$L$52,5,FALSE)*m2k))/'TCO Inputs'!$AZ$84</f>
        <v>183.41217317737988</v>
      </c>
      <c r="AQ118" s="125">
        <f>AQ7/293.07*(1/(VLOOKUP($AF118,'Fuel economy adjusted factor'!$A$2:$L$52,5,FALSE)*m2k))/'TCO Inputs'!$AZ$84</f>
        <v>183.41217317737988</v>
      </c>
      <c r="AR118" s="125">
        <f>AR7/293.07*(1/(VLOOKUP($AF118,'Fuel economy adjusted factor'!$A$2:$L$52,5,FALSE)*m2k))/'TCO Inputs'!$AZ$84</f>
        <v>183.41217317737988</v>
      </c>
      <c r="AS118" s="125">
        <f>AS7/293.07*(1/(VLOOKUP($AF118,'Fuel economy adjusted factor'!$A$2:$L$52,5,FALSE)*m2k))/'TCO Inputs'!$AZ$84</f>
        <v>183.41217317737988</v>
      </c>
      <c r="AT118" s="125">
        <f>AT7/293.07*(1/(VLOOKUP($AF118,'Fuel economy adjusted factor'!$A$2:$L$52,5,FALSE)*m2k))/'TCO Inputs'!$AZ$84</f>
        <v>183.41217317737988</v>
      </c>
      <c r="AU118" s="125">
        <f>AU7/293.07*(1/(VLOOKUP($AF118,'Fuel economy adjusted factor'!$A$2:$L$52,5,FALSE)*m2k))/'TCO Inputs'!$AZ$84</f>
        <v>183.41217317737988</v>
      </c>
      <c r="AV118" s="125">
        <f>AV7/293.07*(1/(VLOOKUP($AF118,'Fuel economy adjusted factor'!$A$2:$L$52,5,FALSE)*m2k))/'TCO Inputs'!$AZ$84</f>
        <v>183.41217317737988</v>
      </c>
      <c r="AW118" s="125">
        <f>AW7/293.07*(1/(VLOOKUP($AF118,'Fuel economy adjusted factor'!$A$2:$L$52,5,FALSE)*m2k))/'TCO Inputs'!$AZ$84</f>
        <v>183.41217317737988</v>
      </c>
      <c r="AX118" s="125">
        <f>AX7/293.07*(1/(VLOOKUP($AF118,'Fuel economy adjusted factor'!$A$2:$L$52,5,FALSE)*m2k))/'TCO Inputs'!$AZ$84</f>
        <v>183.41217317737988</v>
      </c>
      <c r="AY118" s="125">
        <f>AY7/293.07*(1/(VLOOKUP($AF118,'Fuel economy adjusted factor'!$A$2:$L$52,5,FALSE)*m2k))/'TCO Inputs'!$AZ$84</f>
        <v>183.41217317737988</v>
      </c>
      <c r="AZ118" s="125">
        <f>AZ7/293.07*(1/(VLOOKUP($AF118,'Fuel economy adjusted factor'!$A$2:$L$52,5,FALSE)*m2k))/'TCO Inputs'!$AZ$84</f>
        <v>183.41217317737988</v>
      </c>
      <c r="BA118" s="125">
        <f>BA7/293.07*(1/(VLOOKUP($AF118,'Fuel economy adjusted factor'!$A$2:$L$52,5,FALSE)*m2k))/'TCO Inputs'!$AZ$84</f>
        <v>183.41217317737988</v>
      </c>
      <c r="BB118" s="125">
        <f>BB7/293.07*(1/(VLOOKUP($AF118,'Fuel economy adjusted factor'!$A$2:$L$52,5,FALSE)*m2k))/'TCO Inputs'!$AZ$84</f>
        <v>183.41217317737988</v>
      </c>
      <c r="BC118" s="125">
        <f>BC7/293.07*(1/(VLOOKUP($AF118,'Fuel economy adjusted factor'!$A$2:$L$52,5,FALSE)*m2k))/'TCO Inputs'!$AZ$84</f>
        <v>183.41217317737988</v>
      </c>
      <c r="BD118" s="125">
        <f>BD7/293.07*(1/(VLOOKUP($AF118,'Fuel economy adjusted factor'!$A$2:$L$52,5,FALSE)*m2k))/'TCO Inputs'!$AZ$84</f>
        <v>183.41217317737988</v>
      </c>
      <c r="BE118" s="125">
        <f>BE7/293.07*(1/(VLOOKUP($AF118,'Fuel economy adjusted factor'!$A$2:$L$52,5,FALSE)*m2k))/'TCO Inputs'!$AZ$84</f>
        <v>183.41217317737988</v>
      </c>
      <c r="BF118" s="125">
        <f>BF7/293.07*(1/(VLOOKUP($AF118,'Fuel economy adjusted factor'!$A$2:$L$52,5,FALSE)*m2k))/'TCO Inputs'!$AZ$84</f>
        <v>183.41217317737988</v>
      </c>
      <c r="BG118" s="125">
        <f>BG7/293.07*(1/(VLOOKUP($AF118,'Fuel economy adjusted factor'!$A$2:$L$52,5,FALSE)*m2k))/'TCO Inputs'!$AZ$84</f>
        <v>183.41217317737988</v>
      </c>
      <c r="BH118" s="125">
        <f>BH7/293.07*(1/(VLOOKUP($AF118,'Fuel economy adjusted factor'!$A$2:$L$52,5,FALSE)*m2k))/'TCO Inputs'!$AZ$84</f>
        <v>183.41217317737988</v>
      </c>
      <c r="BI118" s="98" cm="1">
        <f t="array" ref="BI118">SUMPRODUCT(INDEX(AG118:BH118,,'TCO Inputs'!$AZ$12-2023+_xlfn.SEQUENCE('TCO Inputs'!$AZ$13))*INDEX('VKT US'!C66:AA66,,_xlfn.SEQUENCE('TCO Inputs'!$AZ$13)))*m2k*CONVERT(0.9072,"g","ton")</f>
        <v>66.783729841432944</v>
      </c>
      <c r="BL118" s="123" t="s">
        <v>188</v>
      </c>
      <c r="BM118" s="125">
        <f>BM7/293.07*(1/(VLOOKUP($BL118,'Fuel economy adjusted factor'!$A$2:$L$52,5,FALSE)*m2k))/'TCO Inputs'!$AZ$84</f>
        <v>136.35122032637014</v>
      </c>
      <c r="BN118" s="125">
        <f>BN7/293.07*(1/(VLOOKUP($BL118,'Fuel economy adjusted factor'!$A$2:$L$52,5,FALSE)*m2k))/'TCO Inputs'!$AZ$84</f>
        <v>136.35122032637014</v>
      </c>
      <c r="BO118" s="125">
        <f>BO7/293.07*(1/(VLOOKUP($BL118,'Fuel economy adjusted factor'!$A$2:$L$52,5,FALSE)*m2k))/'TCO Inputs'!$AZ$84</f>
        <v>136.35122032637014</v>
      </c>
      <c r="BP118" s="125">
        <f>BP7/293.07*(1/(VLOOKUP($BL118,'Fuel economy adjusted factor'!$A$2:$L$52,5,FALSE)*m2k))/'TCO Inputs'!$AZ$84</f>
        <v>136.35122032637014</v>
      </c>
      <c r="BQ118" s="125">
        <f>BQ7/293.07*(1/(VLOOKUP($BL118,'Fuel economy adjusted factor'!$A$2:$L$52,5,FALSE)*m2k))/'TCO Inputs'!$AZ$84</f>
        <v>136.35122032637014</v>
      </c>
      <c r="BR118" s="125">
        <f>BR7/293.07*(1/(VLOOKUP($BL118,'Fuel economy adjusted factor'!$A$2:$L$52,5,FALSE)*m2k))/'TCO Inputs'!$AZ$84</f>
        <v>136.35122032637014</v>
      </c>
      <c r="BS118" s="125">
        <f>BS7/293.07*(1/(VLOOKUP($BL118,'Fuel economy adjusted factor'!$A$2:$L$52,5,FALSE)*m2k))/'TCO Inputs'!$AZ$84</f>
        <v>136.35122032637014</v>
      </c>
      <c r="BT118" s="125">
        <f>BT7/293.07*(1/(VLOOKUP($BL118,'Fuel economy adjusted factor'!$A$2:$L$52,5,FALSE)*m2k))/'TCO Inputs'!$AZ$84</f>
        <v>136.35122032637014</v>
      </c>
      <c r="BU118" s="125">
        <f>BU7/293.07*(1/(VLOOKUP($BL118,'Fuel economy adjusted factor'!$A$2:$L$52,5,FALSE)*m2k))/'TCO Inputs'!$AZ$84</f>
        <v>136.35122032637014</v>
      </c>
      <c r="BV118" s="125">
        <f>BV7/293.07*(1/(VLOOKUP($BL118,'Fuel economy adjusted factor'!$A$2:$L$52,5,FALSE)*m2k))/'TCO Inputs'!$AZ$84</f>
        <v>136.35122032637014</v>
      </c>
      <c r="BW118" s="125">
        <f>BW7/293.07*(1/(VLOOKUP($BL118,'Fuel economy adjusted factor'!$A$2:$L$52,5,FALSE)*m2k))/'TCO Inputs'!$AZ$84</f>
        <v>136.35122032637014</v>
      </c>
      <c r="BX118" s="125">
        <f>BX7/293.07*(1/(VLOOKUP($BL118,'Fuel economy adjusted factor'!$A$2:$L$52,5,FALSE)*m2k))/'TCO Inputs'!$AZ$84</f>
        <v>136.35122032637014</v>
      </c>
      <c r="BY118" s="125">
        <f>BY7/293.07*(1/(VLOOKUP($BL118,'Fuel economy adjusted factor'!$A$2:$L$52,5,FALSE)*m2k))/'TCO Inputs'!$AZ$84</f>
        <v>136.35122032637014</v>
      </c>
      <c r="BZ118" s="125">
        <f>BZ7/293.07*(1/(VLOOKUP($BL118,'Fuel economy adjusted factor'!$A$2:$L$52,5,FALSE)*m2k))/'TCO Inputs'!$AZ$84</f>
        <v>136.35122032637014</v>
      </c>
      <c r="CA118" s="125">
        <f>CA7/293.07*(1/(VLOOKUP($BL118,'Fuel economy adjusted factor'!$A$2:$L$52,5,FALSE)*m2k))/'TCO Inputs'!$AZ$84</f>
        <v>136.35122032637014</v>
      </c>
      <c r="CB118" s="125">
        <f>CB7/293.07*(1/(VLOOKUP($BL118,'Fuel economy adjusted factor'!$A$2:$L$52,5,FALSE)*m2k))/'TCO Inputs'!$AZ$84</f>
        <v>136.35122032637014</v>
      </c>
      <c r="CC118" s="125">
        <f>CC7/293.07*(1/(VLOOKUP($BL118,'Fuel economy adjusted factor'!$A$2:$L$52,5,FALSE)*m2k))/'TCO Inputs'!$AZ$84</f>
        <v>136.35122032637014</v>
      </c>
      <c r="CD118" s="125">
        <f>CD7/293.07*(1/(VLOOKUP($BL118,'Fuel economy adjusted factor'!$A$2:$L$52,5,FALSE)*m2k))/'TCO Inputs'!$AZ$84</f>
        <v>136.35122032637014</v>
      </c>
      <c r="CE118" s="125">
        <f>CE7/293.07*(1/(VLOOKUP($BL118,'Fuel economy adjusted factor'!$A$2:$L$52,5,FALSE)*m2k))/'TCO Inputs'!$AZ$84</f>
        <v>136.35122032637014</v>
      </c>
      <c r="CF118" s="125">
        <f>CF7/293.07*(1/(VLOOKUP($BL118,'Fuel economy adjusted factor'!$A$2:$L$52,5,FALSE)*m2k))/'TCO Inputs'!$AZ$84</f>
        <v>136.35122032637014</v>
      </c>
      <c r="CG118" s="125">
        <f>CG7/293.07*(1/(VLOOKUP($BL118,'Fuel economy adjusted factor'!$A$2:$L$52,5,FALSE)*m2k))/'TCO Inputs'!$AZ$84</f>
        <v>136.35122032637014</v>
      </c>
      <c r="CH118" s="125">
        <f>CH7/293.07*(1/(VLOOKUP($BL118,'Fuel economy adjusted factor'!$A$2:$L$52,5,FALSE)*m2k))/'TCO Inputs'!$AZ$84</f>
        <v>136.35122032637014</v>
      </c>
      <c r="CI118" s="125">
        <f>CI7/293.07*(1/(VLOOKUP($BL118,'Fuel economy adjusted factor'!$A$2:$L$52,5,FALSE)*m2k))/'TCO Inputs'!$AZ$84</f>
        <v>136.35122032637014</v>
      </c>
      <c r="CJ118" s="125">
        <f>CJ7/293.07*(1/(VLOOKUP($BL118,'Fuel economy adjusted factor'!$A$2:$L$52,5,FALSE)*m2k))/'TCO Inputs'!$AZ$84</f>
        <v>136.35122032637014</v>
      </c>
      <c r="CK118" s="125">
        <f>CK7/293.07*(1/(VLOOKUP($BL118,'Fuel economy adjusted factor'!$A$2:$L$52,5,FALSE)*m2k))/'TCO Inputs'!$AZ$84</f>
        <v>136.35122032637014</v>
      </c>
      <c r="CL118" s="125">
        <f>CL7/293.07*(1/(VLOOKUP($BL118,'Fuel economy adjusted factor'!$A$2:$L$52,5,FALSE)*m2k))/'TCO Inputs'!$AZ$84</f>
        <v>136.35122032637014</v>
      </c>
      <c r="CM118" s="125">
        <f>CM7/293.07*(1/(VLOOKUP($BL118,'Fuel economy adjusted factor'!$A$2:$L$52,5,FALSE)*m2k))/'TCO Inputs'!$AZ$84</f>
        <v>136.35122032637014</v>
      </c>
      <c r="CN118" s="125">
        <f>CN7/293.07*(1/(VLOOKUP($BL118,'Fuel economy adjusted factor'!$A$2:$L$52,5,FALSE)*m2k))/'TCO Inputs'!$AZ$84</f>
        <v>136.35122032637014</v>
      </c>
      <c r="CO118" s="98" cm="1">
        <f t="array" ref="CO118">SUMPRODUCT(INDEX(BM118:CN118,,'TCO Inputs'!$AZ$12-2023+_xlfn.SEQUENCE('TCO Inputs'!$AZ$13))*INDEX('VKT US'!C66:AA66,,_xlfn.SEQUENCE('TCO Inputs'!$AZ$13)))*m2k*CONVERT(0.9072,"g","ton")</f>
        <v>49.647975399208924</v>
      </c>
    </row>
    <row r="119" spans="1:93" x14ac:dyDescent="0.25">
      <c r="A119" s="123" t="s">
        <v>149</v>
      </c>
      <c r="B119" s="125">
        <f>B8/293.07*(1/(VLOOKUP($A119,'Fuel economy adjusted factor'!$A$2:$L$52,5,FALSE)*m2k))/'TCO Inputs'!$AZ$84</f>
        <v>67.530247142198917</v>
      </c>
      <c r="C119" s="125">
        <f>C8/293.07*(1/(VLOOKUP($A119,'Fuel economy adjusted factor'!$A$2:$L$52,5,FALSE)*m2k))/'TCO Inputs'!$AZ$84</f>
        <v>67.530247142198917</v>
      </c>
      <c r="D119" s="125">
        <f>D8/293.07*(1/(VLOOKUP($A119,'Fuel economy adjusted factor'!$A$2:$L$52,5,FALSE)*m2k))/'TCO Inputs'!$AZ$84</f>
        <v>67.530247142198917</v>
      </c>
      <c r="E119" s="125">
        <f>E8/293.07*(1/(VLOOKUP($A119,'Fuel economy adjusted factor'!$A$2:$L$52,5,FALSE)*m2k))/'TCO Inputs'!$AZ$84</f>
        <v>67.530247142198917</v>
      </c>
      <c r="F119" s="125">
        <f>F8/293.07*(1/(VLOOKUP($A119,'Fuel economy adjusted factor'!$A$2:$L$52,5,FALSE)*m2k))/'TCO Inputs'!$AZ$84</f>
        <v>67.530247142198917</v>
      </c>
      <c r="G119" s="125">
        <f>G8/293.07*(1/(VLOOKUP($A119,'Fuel economy adjusted factor'!$A$2:$L$52,5,FALSE)*m2k))/'TCO Inputs'!$AZ$84</f>
        <v>67.530247142198917</v>
      </c>
      <c r="H119" s="125">
        <f>H8/293.07*(1/(VLOOKUP($A119,'Fuel economy adjusted factor'!$A$2:$L$52,5,FALSE)*m2k))/'TCO Inputs'!$AZ$84</f>
        <v>67.530247142198917</v>
      </c>
      <c r="I119" s="125">
        <f>I8/293.07*(1/(VLOOKUP($A119,'Fuel economy adjusted factor'!$A$2:$L$52,5,FALSE)*m2k))/'TCO Inputs'!$AZ$84</f>
        <v>67.530247142198917</v>
      </c>
      <c r="J119" s="125">
        <f>J8/293.07*(1/(VLOOKUP($A119,'Fuel economy adjusted factor'!$A$2:$L$52,5,FALSE)*m2k))/'TCO Inputs'!$AZ$84</f>
        <v>67.530247142198917</v>
      </c>
      <c r="K119" s="125">
        <f>K8/293.07*(1/(VLOOKUP($A119,'Fuel economy adjusted factor'!$A$2:$L$52,5,FALSE)*m2k))/'TCO Inputs'!$AZ$84</f>
        <v>67.530247142198917</v>
      </c>
      <c r="L119" s="125">
        <f>L8/293.07*(1/(VLOOKUP($A119,'Fuel economy adjusted factor'!$A$2:$L$52,5,FALSE)*m2k))/'TCO Inputs'!$AZ$84</f>
        <v>67.530247142198917</v>
      </c>
      <c r="M119" s="125">
        <f>M8/293.07*(1/(VLOOKUP($A119,'Fuel economy adjusted factor'!$A$2:$L$52,5,FALSE)*m2k))/'TCO Inputs'!$AZ$84</f>
        <v>67.530247142198917</v>
      </c>
      <c r="N119" s="125">
        <f>N8/293.07*(1/(VLOOKUP($A119,'Fuel economy adjusted factor'!$A$2:$L$52,5,FALSE)*m2k))/'TCO Inputs'!$AZ$84</f>
        <v>67.530247142198917</v>
      </c>
      <c r="O119" s="125">
        <f>O8/293.07*(1/(VLOOKUP($A119,'Fuel economy adjusted factor'!$A$2:$L$52,5,FALSE)*m2k))/'TCO Inputs'!$AZ$84</f>
        <v>67.530247142198917</v>
      </c>
      <c r="P119" s="125">
        <f>P8/293.07*(1/(VLOOKUP($A119,'Fuel economy adjusted factor'!$A$2:$L$52,5,FALSE)*m2k))/'TCO Inputs'!$AZ$84</f>
        <v>67.530247142198917</v>
      </c>
      <c r="Q119" s="125">
        <f>Q8/293.07*(1/(VLOOKUP($A119,'Fuel economy adjusted factor'!$A$2:$L$52,5,FALSE)*m2k))/'TCO Inputs'!$AZ$84</f>
        <v>67.530247142198917</v>
      </c>
      <c r="R119" s="125">
        <f>R8/293.07*(1/(VLOOKUP($A119,'Fuel economy adjusted factor'!$A$2:$L$52,5,FALSE)*m2k))/'TCO Inputs'!$AZ$84</f>
        <v>67.530247142198917</v>
      </c>
      <c r="S119" s="125">
        <f>S8/293.07*(1/(VLOOKUP($A119,'Fuel economy adjusted factor'!$A$2:$L$52,5,FALSE)*m2k))/'TCO Inputs'!$AZ$84</f>
        <v>67.530247142198917</v>
      </c>
      <c r="T119" s="125">
        <f>T8/293.07*(1/(VLOOKUP($A119,'Fuel economy adjusted factor'!$A$2:$L$52,5,FALSE)*m2k))/'TCO Inputs'!$AZ$84</f>
        <v>67.530247142198917</v>
      </c>
      <c r="U119" s="125">
        <f>U8/293.07*(1/(VLOOKUP($A119,'Fuel economy adjusted factor'!$A$2:$L$52,5,FALSE)*m2k))/'TCO Inputs'!$AZ$84</f>
        <v>67.530247142198917</v>
      </c>
      <c r="V119" s="125">
        <f>V8/293.07*(1/(VLOOKUP($A119,'Fuel economy adjusted factor'!$A$2:$L$52,5,FALSE)*m2k))/'TCO Inputs'!$AZ$84</f>
        <v>67.530247142198917</v>
      </c>
      <c r="W119" s="125">
        <f>W8/293.07*(1/(VLOOKUP($A119,'Fuel economy adjusted factor'!$A$2:$L$52,5,FALSE)*m2k))/'TCO Inputs'!$AZ$84</f>
        <v>67.530247142198917</v>
      </c>
      <c r="X119" s="125">
        <f>X8/293.07*(1/(VLOOKUP($A119,'Fuel economy adjusted factor'!$A$2:$L$52,5,FALSE)*m2k))/'TCO Inputs'!$AZ$84</f>
        <v>67.530247142198917</v>
      </c>
      <c r="Y119" s="125">
        <f>Y8/293.07*(1/(VLOOKUP($A119,'Fuel economy adjusted factor'!$A$2:$L$52,5,FALSE)*m2k))/'TCO Inputs'!$AZ$84</f>
        <v>67.530247142198917</v>
      </c>
      <c r="Z119" s="125">
        <f>Z8/293.07*(1/(VLOOKUP($A119,'Fuel economy adjusted factor'!$A$2:$L$52,5,FALSE)*m2k))/'TCO Inputs'!$AZ$84</f>
        <v>67.530247142198917</v>
      </c>
      <c r="AA119" s="125">
        <f>AA8/293.07*(1/(VLOOKUP($A119,'Fuel economy adjusted factor'!$A$2:$L$52,5,FALSE)*m2k))/'TCO Inputs'!$AZ$84</f>
        <v>67.530247142198917</v>
      </c>
      <c r="AB119" s="125">
        <f>AB8/293.07*(1/(VLOOKUP($A119,'Fuel economy adjusted factor'!$A$2:$L$52,5,FALSE)*m2k))/'TCO Inputs'!$AZ$84</f>
        <v>67.530247142198917</v>
      </c>
      <c r="AC119" s="125">
        <f>AC8/293.07*(1/(VLOOKUP($A119,'Fuel economy adjusted factor'!$A$2:$L$52,5,FALSE)*m2k))/'TCO Inputs'!$AZ$84</f>
        <v>67.530247142198917</v>
      </c>
      <c r="AD119" s="98" cm="1">
        <f t="array" ref="AD119">SUMPRODUCT(INDEX(B119:AC119,,'TCO Inputs'!$AZ$12-2023+_xlfn.SEQUENCE('TCO Inputs'!$AZ$13))*INDEX('VKT US'!C67:AA67,,_xlfn.SEQUENCE('TCO Inputs'!$AZ$13)))*m2k*CONVERT(0.9072,"g","ton")</f>
        <v>17.879274622600924</v>
      </c>
      <c r="AF119" s="123" t="s">
        <v>149</v>
      </c>
      <c r="AG119" s="125">
        <f>AG8/293.07*(1/(VLOOKUP($AF119,'Fuel economy adjusted factor'!$A$2:$L$52,5,FALSE)*m2k))/'TCO Inputs'!$AZ$84</f>
        <v>79.152730792528558</v>
      </c>
      <c r="AH119" s="125">
        <f>AH8/293.07*(1/(VLOOKUP($AF119,'Fuel economy adjusted factor'!$A$2:$L$52,5,FALSE)*m2k))/'TCO Inputs'!$AZ$84</f>
        <v>79.152730792528558</v>
      </c>
      <c r="AI119" s="125">
        <f>AI8/293.07*(1/(VLOOKUP($AF119,'Fuel economy adjusted factor'!$A$2:$L$52,5,FALSE)*m2k))/'TCO Inputs'!$AZ$84</f>
        <v>79.152730792528558</v>
      </c>
      <c r="AJ119" s="125">
        <f>AJ8/293.07*(1/(VLOOKUP($AF119,'Fuel economy adjusted factor'!$A$2:$L$52,5,FALSE)*m2k))/'TCO Inputs'!$AZ$84</f>
        <v>79.152730792528558</v>
      </c>
      <c r="AK119" s="125">
        <f>AK8/293.07*(1/(VLOOKUP($AF119,'Fuel economy adjusted factor'!$A$2:$L$52,5,FALSE)*m2k))/'TCO Inputs'!$AZ$84</f>
        <v>79.152730792528558</v>
      </c>
      <c r="AL119" s="125">
        <f>AL8/293.07*(1/(VLOOKUP($AF119,'Fuel economy adjusted factor'!$A$2:$L$52,5,FALSE)*m2k))/'TCO Inputs'!$AZ$84</f>
        <v>79.152730792528558</v>
      </c>
      <c r="AM119" s="125">
        <f>AM8/293.07*(1/(VLOOKUP($AF119,'Fuel economy adjusted factor'!$A$2:$L$52,5,FALSE)*m2k))/'TCO Inputs'!$AZ$84</f>
        <v>79.152730792528558</v>
      </c>
      <c r="AN119" s="125">
        <f>AN8/293.07*(1/(VLOOKUP($AF119,'Fuel economy adjusted factor'!$A$2:$L$52,5,FALSE)*m2k))/'TCO Inputs'!$AZ$84</f>
        <v>79.152730792528558</v>
      </c>
      <c r="AO119" s="125">
        <f>AO8/293.07*(1/(VLOOKUP($AF119,'Fuel economy adjusted factor'!$A$2:$L$52,5,FALSE)*m2k))/'TCO Inputs'!$AZ$84</f>
        <v>79.152730792528558</v>
      </c>
      <c r="AP119" s="125">
        <f>AP8/293.07*(1/(VLOOKUP($AF119,'Fuel economy adjusted factor'!$A$2:$L$52,5,FALSE)*m2k))/'TCO Inputs'!$AZ$84</f>
        <v>79.152730792528558</v>
      </c>
      <c r="AQ119" s="125">
        <f>AQ8/293.07*(1/(VLOOKUP($AF119,'Fuel economy adjusted factor'!$A$2:$L$52,5,FALSE)*m2k))/'TCO Inputs'!$AZ$84</f>
        <v>79.152730792528558</v>
      </c>
      <c r="AR119" s="125">
        <f>AR8/293.07*(1/(VLOOKUP($AF119,'Fuel economy adjusted factor'!$A$2:$L$52,5,FALSE)*m2k))/'TCO Inputs'!$AZ$84</f>
        <v>79.152730792528558</v>
      </c>
      <c r="AS119" s="125">
        <f>AS8/293.07*(1/(VLOOKUP($AF119,'Fuel economy adjusted factor'!$A$2:$L$52,5,FALSE)*m2k))/'TCO Inputs'!$AZ$84</f>
        <v>79.152730792528558</v>
      </c>
      <c r="AT119" s="125">
        <f>AT8/293.07*(1/(VLOOKUP($AF119,'Fuel economy adjusted factor'!$A$2:$L$52,5,FALSE)*m2k))/'TCO Inputs'!$AZ$84</f>
        <v>79.152730792528558</v>
      </c>
      <c r="AU119" s="125">
        <f>AU8/293.07*(1/(VLOOKUP($AF119,'Fuel economy adjusted factor'!$A$2:$L$52,5,FALSE)*m2k))/'TCO Inputs'!$AZ$84</f>
        <v>79.152730792528558</v>
      </c>
      <c r="AV119" s="125">
        <f>AV8/293.07*(1/(VLOOKUP($AF119,'Fuel economy adjusted factor'!$A$2:$L$52,5,FALSE)*m2k))/'TCO Inputs'!$AZ$84</f>
        <v>79.152730792528558</v>
      </c>
      <c r="AW119" s="125">
        <f>AW8/293.07*(1/(VLOOKUP($AF119,'Fuel economy adjusted factor'!$A$2:$L$52,5,FALSE)*m2k))/'TCO Inputs'!$AZ$84</f>
        <v>79.152730792528558</v>
      </c>
      <c r="AX119" s="125">
        <f>AX8/293.07*(1/(VLOOKUP($AF119,'Fuel economy adjusted factor'!$A$2:$L$52,5,FALSE)*m2k))/'TCO Inputs'!$AZ$84</f>
        <v>79.152730792528558</v>
      </c>
      <c r="AY119" s="125">
        <f>AY8/293.07*(1/(VLOOKUP($AF119,'Fuel economy adjusted factor'!$A$2:$L$52,5,FALSE)*m2k))/'TCO Inputs'!$AZ$84</f>
        <v>79.152730792528558</v>
      </c>
      <c r="AZ119" s="125">
        <f>AZ8/293.07*(1/(VLOOKUP($AF119,'Fuel economy adjusted factor'!$A$2:$L$52,5,FALSE)*m2k))/'TCO Inputs'!$AZ$84</f>
        <v>79.152730792528558</v>
      </c>
      <c r="BA119" s="125">
        <f>BA8/293.07*(1/(VLOOKUP($AF119,'Fuel economy adjusted factor'!$A$2:$L$52,5,FALSE)*m2k))/'TCO Inputs'!$AZ$84</f>
        <v>79.152730792528558</v>
      </c>
      <c r="BB119" s="125">
        <f>BB8/293.07*(1/(VLOOKUP($AF119,'Fuel economy adjusted factor'!$A$2:$L$52,5,FALSE)*m2k))/'TCO Inputs'!$AZ$84</f>
        <v>79.152730792528558</v>
      </c>
      <c r="BC119" s="125">
        <f>BC8/293.07*(1/(VLOOKUP($AF119,'Fuel economy adjusted factor'!$A$2:$L$52,5,FALSE)*m2k))/'TCO Inputs'!$AZ$84</f>
        <v>79.152730792528558</v>
      </c>
      <c r="BD119" s="125">
        <f>BD8/293.07*(1/(VLOOKUP($AF119,'Fuel economy adjusted factor'!$A$2:$L$52,5,FALSE)*m2k))/'TCO Inputs'!$AZ$84</f>
        <v>79.152730792528558</v>
      </c>
      <c r="BE119" s="125">
        <f>BE8/293.07*(1/(VLOOKUP($AF119,'Fuel economy adjusted factor'!$A$2:$L$52,5,FALSE)*m2k))/'TCO Inputs'!$AZ$84</f>
        <v>79.152730792528558</v>
      </c>
      <c r="BF119" s="125">
        <f>BF8/293.07*(1/(VLOOKUP($AF119,'Fuel economy adjusted factor'!$A$2:$L$52,5,FALSE)*m2k))/'TCO Inputs'!$AZ$84</f>
        <v>79.152730792528558</v>
      </c>
      <c r="BG119" s="125">
        <f>BG8/293.07*(1/(VLOOKUP($AF119,'Fuel economy adjusted factor'!$A$2:$L$52,5,FALSE)*m2k))/'TCO Inputs'!$AZ$84</f>
        <v>79.152730792528558</v>
      </c>
      <c r="BH119" s="125">
        <f>BH8/293.07*(1/(VLOOKUP($AF119,'Fuel economy adjusted factor'!$A$2:$L$52,5,FALSE)*m2k))/'TCO Inputs'!$AZ$84</f>
        <v>79.152730792528558</v>
      </c>
      <c r="BI119" s="98" cm="1">
        <f t="array" ref="BI119">SUMPRODUCT(INDEX(AG119:BH119,,'TCO Inputs'!$AZ$12-2023+_xlfn.SEQUENCE('TCO Inputs'!$AZ$13))*INDEX('VKT US'!C67:AA67,,_xlfn.SEQUENCE('TCO Inputs'!$AZ$13)))*m2k*CONVERT(0.9072,"g","ton")</f>
        <v>20.956437609186228</v>
      </c>
      <c r="BL119" s="123" t="s">
        <v>149</v>
      </c>
      <c r="BM119" s="125">
        <f>BM8/293.07*(1/(VLOOKUP($BL119,'Fuel economy adjusted factor'!$A$2:$L$52,5,FALSE)*m2k))/'TCO Inputs'!$AZ$84</f>
        <v>58.843266773183636</v>
      </c>
      <c r="BN119" s="125">
        <f>BN8/293.07*(1/(VLOOKUP($BL119,'Fuel economy adjusted factor'!$A$2:$L$52,5,FALSE)*m2k))/'TCO Inputs'!$AZ$84</f>
        <v>58.843266773183636</v>
      </c>
      <c r="BO119" s="125">
        <f>BO8/293.07*(1/(VLOOKUP($BL119,'Fuel economy adjusted factor'!$A$2:$L$52,5,FALSE)*m2k))/'TCO Inputs'!$AZ$84</f>
        <v>58.843266773183636</v>
      </c>
      <c r="BP119" s="125">
        <f>BP8/293.07*(1/(VLOOKUP($BL119,'Fuel economy adjusted factor'!$A$2:$L$52,5,FALSE)*m2k))/'TCO Inputs'!$AZ$84</f>
        <v>58.843266773183636</v>
      </c>
      <c r="BQ119" s="125">
        <f>BQ8/293.07*(1/(VLOOKUP($BL119,'Fuel economy adjusted factor'!$A$2:$L$52,5,FALSE)*m2k))/'TCO Inputs'!$AZ$84</f>
        <v>58.843266773183636</v>
      </c>
      <c r="BR119" s="125">
        <f>BR8/293.07*(1/(VLOOKUP($BL119,'Fuel economy adjusted factor'!$A$2:$L$52,5,FALSE)*m2k))/'TCO Inputs'!$AZ$84</f>
        <v>58.843266773183636</v>
      </c>
      <c r="BS119" s="125">
        <f>BS8/293.07*(1/(VLOOKUP($BL119,'Fuel economy adjusted factor'!$A$2:$L$52,5,FALSE)*m2k))/'TCO Inputs'!$AZ$84</f>
        <v>58.843266773183636</v>
      </c>
      <c r="BT119" s="125">
        <f>BT8/293.07*(1/(VLOOKUP($BL119,'Fuel economy adjusted factor'!$A$2:$L$52,5,FALSE)*m2k))/'TCO Inputs'!$AZ$84</f>
        <v>58.843266773183636</v>
      </c>
      <c r="BU119" s="125">
        <f>BU8/293.07*(1/(VLOOKUP($BL119,'Fuel economy adjusted factor'!$A$2:$L$52,5,FALSE)*m2k))/'TCO Inputs'!$AZ$84</f>
        <v>58.843266773183636</v>
      </c>
      <c r="BV119" s="125">
        <f>BV8/293.07*(1/(VLOOKUP($BL119,'Fuel economy adjusted factor'!$A$2:$L$52,5,FALSE)*m2k))/'TCO Inputs'!$AZ$84</f>
        <v>58.843266773183636</v>
      </c>
      <c r="BW119" s="125">
        <f>BW8/293.07*(1/(VLOOKUP($BL119,'Fuel economy adjusted factor'!$A$2:$L$52,5,FALSE)*m2k))/'TCO Inputs'!$AZ$84</f>
        <v>58.843266773183636</v>
      </c>
      <c r="BX119" s="125">
        <f>BX8/293.07*(1/(VLOOKUP($BL119,'Fuel economy adjusted factor'!$A$2:$L$52,5,FALSE)*m2k))/'TCO Inputs'!$AZ$84</f>
        <v>58.843266773183636</v>
      </c>
      <c r="BY119" s="125">
        <f>BY8/293.07*(1/(VLOOKUP($BL119,'Fuel economy adjusted factor'!$A$2:$L$52,5,FALSE)*m2k))/'TCO Inputs'!$AZ$84</f>
        <v>58.843266773183636</v>
      </c>
      <c r="BZ119" s="125">
        <f>BZ8/293.07*(1/(VLOOKUP($BL119,'Fuel economy adjusted factor'!$A$2:$L$52,5,FALSE)*m2k))/'TCO Inputs'!$AZ$84</f>
        <v>58.843266773183636</v>
      </c>
      <c r="CA119" s="125">
        <f>CA8/293.07*(1/(VLOOKUP($BL119,'Fuel economy adjusted factor'!$A$2:$L$52,5,FALSE)*m2k))/'TCO Inputs'!$AZ$84</f>
        <v>58.843266773183636</v>
      </c>
      <c r="CB119" s="125">
        <f>CB8/293.07*(1/(VLOOKUP($BL119,'Fuel economy adjusted factor'!$A$2:$L$52,5,FALSE)*m2k))/'TCO Inputs'!$AZ$84</f>
        <v>58.843266773183636</v>
      </c>
      <c r="CC119" s="125">
        <f>CC8/293.07*(1/(VLOOKUP($BL119,'Fuel economy adjusted factor'!$A$2:$L$52,5,FALSE)*m2k))/'TCO Inputs'!$AZ$84</f>
        <v>58.843266773183636</v>
      </c>
      <c r="CD119" s="125">
        <f>CD8/293.07*(1/(VLOOKUP($BL119,'Fuel economy adjusted factor'!$A$2:$L$52,5,FALSE)*m2k))/'TCO Inputs'!$AZ$84</f>
        <v>58.843266773183636</v>
      </c>
      <c r="CE119" s="125">
        <f>CE8/293.07*(1/(VLOOKUP($BL119,'Fuel economy adjusted factor'!$A$2:$L$52,5,FALSE)*m2k))/'TCO Inputs'!$AZ$84</f>
        <v>58.843266773183636</v>
      </c>
      <c r="CF119" s="125">
        <f>CF8/293.07*(1/(VLOOKUP($BL119,'Fuel economy adjusted factor'!$A$2:$L$52,5,FALSE)*m2k))/'TCO Inputs'!$AZ$84</f>
        <v>58.843266773183636</v>
      </c>
      <c r="CG119" s="125">
        <f>CG8/293.07*(1/(VLOOKUP($BL119,'Fuel economy adjusted factor'!$A$2:$L$52,5,FALSE)*m2k))/'TCO Inputs'!$AZ$84</f>
        <v>58.843266773183636</v>
      </c>
      <c r="CH119" s="125">
        <f>CH8/293.07*(1/(VLOOKUP($BL119,'Fuel economy adjusted factor'!$A$2:$L$52,5,FALSE)*m2k))/'TCO Inputs'!$AZ$84</f>
        <v>58.843266773183636</v>
      </c>
      <c r="CI119" s="125">
        <f>CI8/293.07*(1/(VLOOKUP($BL119,'Fuel economy adjusted factor'!$A$2:$L$52,5,FALSE)*m2k))/'TCO Inputs'!$AZ$84</f>
        <v>58.843266773183636</v>
      </c>
      <c r="CJ119" s="125">
        <f>CJ8/293.07*(1/(VLOOKUP($BL119,'Fuel economy adjusted factor'!$A$2:$L$52,5,FALSE)*m2k))/'TCO Inputs'!$AZ$84</f>
        <v>58.843266773183636</v>
      </c>
      <c r="CK119" s="125">
        <f>CK8/293.07*(1/(VLOOKUP($BL119,'Fuel economy adjusted factor'!$A$2:$L$52,5,FALSE)*m2k))/'TCO Inputs'!$AZ$84</f>
        <v>58.843266773183636</v>
      </c>
      <c r="CL119" s="125">
        <f>CL8/293.07*(1/(VLOOKUP($BL119,'Fuel economy adjusted factor'!$A$2:$L$52,5,FALSE)*m2k))/'TCO Inputs'!$AZ$84</f>
        <v>58.843266773183636</v>
      </c>
      <c r="CM119" s="125">
        <f>CM8/293.07*(1/(VLOOKUP($BL119,'Fuel economy adjusted factor'!$A$2:$L$52,5,FALSE)*m2k))/'TCO Inputs'!$AZ$84</f>
        <v>58.843266773183636</v>
      </c>
      <c r="CN119" s="125">
        <f>CN8/293.07*(1/(VLOOKUP($BL119,'Fuel economy adjusted factor'!$A$2:$L$52,5,FALSE)*m2k))/'TCO Inputs'!$AZ$84</f>
        <v>58.843266773183636</v>
      </c>
      <c r="CO119" s="98" cm="1">
        <f t="array" ref="CO119">SUMPRODUCT(INDEX(BM119:CN119,,'TCO Inputs'!$AZ$12-2023+_xlfn.SEQUENCE('TCO Inputs'!$AZ$13))*INDEX('VKT US'!C67:AA67,,_xlfn.SEQUENCE('TCO Inputs'!$AZ$13)))*m2k*CONVERT(0.9072,"g","ton")</f>
        <v>15.579314023734529</v>
      </c>
    </row>
    <row r="120" spans="1:93" x14ac:dyDescent="0.25">
      <c r="A120" s="123" t="s">
        <v>190</v>
      </c>
      <c r="B120" s="125">
        <f>B9/293.07*(1/(VLOOKUP($A120,'Fuel economy adjusted factor'!$A$2:$L$52,5,FALSE)*m2k))/'TCO Inputs'!$AZ$84</f>
        <v>174.65864890202997</v>
      </c>
      <c r="C120" s="125">
        <f>C9/293.07*(1/(VLOOKUP($A120,'Fuel economy adjusted factor'!$A$2:$L$52,5,FALSE)*m2k))/'TCO Inputs'!$AZ$84</f>
        <v>174.65864890202997</v>
      </c>
      <c r="D120" s="125">
        <f>D9/293.07*(1/(VLOOKUP($A120,'Fuel economy adjusted factor'!$A$2:$L$52,5,FALSE)*m2k))/'TCO Inputs'!$AZ$84</f>
        <v>174.65864890202997</v>
      </c>
      <c r="E120" s="125">
        <f>E9/293.07*(1/(VLOOKUP($A120,'Fuel economy adjusted factor'!$A$2:$L$52,5,FALSE)*m2k))/'TCO Inputs'!$AZ$84</f>
        <v>174.65864890202997</v>
      </c>
      <c r="F120" s="125">
        <f>F9/293.07*(1/(VLOOKUP($A120,'Fuel economy adjusted factor'!$A$2:$L$52,5,FALSE)*m2k))/'TCO Inputs'!$AZ$84</f>
        <v>174.65864890202997</v>
      </c>
      <c r="G120" s="125">
        <f>G9/293.07*(1/(VLOOKUP($A120,'Fuel economy adjusted factor'!$A$2:$L$52,5,FALSE)*m2k))/'TCO Inputs'!$AZ$84</f>
        <v>174.65864890202997</v>
      </c>
      <c r="H120" s="125">
        <f>H9/293.07*(1/(VLOOKUP($A120,'Fuel economy adjusted factor'!$A$2:$L$52,5,FALSE)*m2k))/'TCO Inputs'!$AZ$84</f>
        <v>174.65864890202997</v>
      </c>
      <c r="I120" s="125">
        <f>I9/293.07*(1/(VLOOKUP($A120,'Fuel economy adjusted factor'!$A$2:$L$52,5,FALSE)*m2k))/'TCO Inputs'!$AZ$84</f>
        <v>174.65864890202997</v>
      </c>
      <c r="J120" s="125">
        <f>J9/293.07*(1/(VLOOKUP($A120,'Fuel economy adjusted factor'!$A$2:$L$52,5,FALSE)*m2k))/'TCO Inputs'!$AZ$84</f>
        <v>174.65864890202997</v>
      </c>
      <c r="K120" s="125">
        <f>K9/293.07*(1/(VLOOKUP($A120,'Fuel economy adjusted factor'!$A$2:$L$52,5,FALSE)*m2k))/'TCO Inputs'!$AZ$84</f>
        <v>174.65864890202997</v>
      </c>
      <c r="L120" s="125">
        <f>L9/293.07*(1/(VLOOKUP($A120,'Fuel economy adjusted factor'!$A$2:$L$52,5,FALSE)*m2k))/'TCO Inputs'!$AZ$84</f>
        <v>174.65864890202997</v>
      </c>
      <c r="M120" s="125">
        <f>M9/293.07*(1/(VLOOKUP($A120,'Fuel economy adjusted factor'!$A$2:$L$52,5,FALSE)*m2k))/'TCO Inputs'!$AZ$84</f>
        <v>174.65864890202997</v>
      </c>
      <c r="N120" s="125">
        <f>N9/293.07*(1/(VLOOKUP($A120,'Fuel economy adjusted factor'!$A$2:$L$52,5,FALSE)*m2k))/'TCO Inputs'!$AZ$84</f>
        <v>174.65864890202997</v>
      </c>
      <c r="O120" s="125">
        <f>O9/293.07*(1/(VLOOKUP($A120,'Fuel economy adjusted factor'!$A$2:$L$52,5,FALSE)*m2k))/'TCO Inputs'!$AZ$84</f>
        <v>174.65864890202997</v>
      </c>
      <c r="P120" s="125">
        <f>P9/293.07*(1/(VLOOKUP($A120,'Fuel economy adjusted factor'!$A$2:$L$52,5,FALSE)*m2k))/'TCO Inputs'!$AZ$84</f>
        <v>174.65864890202997</v>
      </c>
      <c r="Q120" s="125">
        <f>Q9/293.07*(1/(VLOOKUP($A120,'Fuel economy adjusted factor'!$A$2:$L$52,5,FALSE)*m2k))/'TCO Inputs'!$AZ$84</f>
        <v>174.65864890202997</v>
      </c>
      <c r="R120" s="125">
        <f>R9/293.07*(1/(VLOOKUP($A120,'Fuel economy adjusted factor'!$A$2:$L$52,5,FALSE)*m2k))/'TCO Inputs'!$AZ$84</f>
        <v>174.65864890202997</v>
      </c>
      <c r="S120" s="125">
        <f>S9/293.07*(1/(VLOOKUP($A120,'Fuel economy adjusted factor'!$A$2:$L$52,5,FALSE)*m2k))/'TCO Inputs'!$AZ$84</f>
        <v>174.65864890202997</v>
      </c>
      <c r="T120" s="125">
        <f>T9/293.07*(1/(VLOOKUP($A120,'Fuel economy adjusted factor'!$A$2:$L$52,5,FALSE)*m2k))/'TCO Inputs'!$AZ$84</f>
        <v>174.65864890202997</v>
      </c>
      <c r="U120" s="125">
        <f>U9/293.07*(1/(VLOOKUP($A120,'Fuel economy adjusted factor'!$A$2:$L$52,5,FALSE)*m2k))/'TCO Inputs'!$AZ$84</f>
        <v>174.65864890202997</v>
      </c>
      <c r="V120" s="125">
        <f>V9/293.07*(1/(VLOOKUP($A120,'Fuel economy adjusted factor'!$A$2:$L$52,5,FALSE)*m2k))/'TCO Inputs'!$AZ$84</f>
        <v>174.65864890202997</v>
      </c>
      <c r="W120" s="125">
        <f>W9/293.07*(1/(VLOOKUP($A120,'Fuel economy adjusted factor'!$A$2:$L$52,5,FALSE)*m2k))/'TCO Inputs'!$AZ$84</f>
        <v>174.65864890202997</v>
      </c>
      <c r="X120" s="125">
        <f>X9/293.07*(1/(VLOOKUP($A120,'Fuel economy adjusted factor'!$A$2:$L$52,5,FALSE)*m2k))/'TCO Inputs'!$AZ$84</f>
        <v>174.65864890202997</v>
      </c>
      <c r="Y120" s="125">
        <f>Y9/293.07*(1/(VLOOKUP($A120,'Fuel economy adjusted factor'!$A$2:$L$52,5,FALSE)*m2k))/'TCO Inputs'!$AZ$84</f>
        <v>174.65864890202997</v>
      </c>
      <c r="Z120" s="125">
        <f>Z9/293.07*(1/(VLOOKUP($A120,'Fuel economy adjusted factor'!$A$2:$L$52,5,FALSE)*m2k))/'TCO Inputs'!$AZ$84</f>
        <v>174.65864890202997</v>
      </c>
      <c r="AA120" s="125">
        <f>AA9/293.07*(1/(VLOOKUP($A120,'Fuel economy adjusted factor'!$A$2:$L$52,5,FALSE)*m2k))/'TCO Inputs'!$AZ$84</f>
        <v>174.65864890202997</v>
      </c>
      <c r="AB120" s="125">
        <f>AB9/293.07*(1/(VLOOKUP($A120,'Fuel economy adjusted factor'!$A$2:$L$52,5,FALSE)*m2k))/'TCO Inputs'!$AZ$84</f>
        <v>174.65864890202997</v>
      </c>
      <c r="AC120" s="125">
        <f>AC9/293.07*(1/(VLOOKUP($A120,'Fuel economy adjusted factor'!$A$2:$L$52,5,FALSE)*m2k))/'TCO Inputs'!$AZ$84</f>
        <v>174.65864890202997</v>
      </c>
      <c r="AD120" s="98" cm="1">
        <f t="array" ref="AD120">SUMPRODUCT(INDEX(B120:AC120,,'TCO Inputs'!$AZ$12-2023+_xlfn.SEQUENCE('TCO Inputs'!$AZ$13))*INDEX('VKT US'!C68:AA68,,_xlfn.SEQUENCE('TCO Inputs'!$AZ$13)))*m2k*CONVERT(0.9072,"g","ton")</f>
        <v>47.627154595921468</v>
      </c>
      <c r="AF120" s="123" t="s">
        <v>190</v>
      </c>
      <c r="AG120" s="125">
        <f>AG9/293.07*(1/(VLOOKUP($AF120,'Fuel economy adjusted factor'!$A$2:$L$52,5,FALSE)*m2k))/'TCO Inputs'!$AZ$84</f>
        <v>204.71876828791034</v>
      </c>
      <c r="AH120" s="125">
        <f>AH9/293.07*(1/(VLOOKUP($AF120,'Fuel economy adjusted factor'!$A$2:$L$52,5,FALSE)*m2k))/'TCO Inputs'!$AZ$84</f>
        <v>204.71876828791034</v>
      </c>
      <c r="AI120" s="125">
        <f>AI9/293.07*(1/(VLOOKUP($AF120,'Fuel economy adjusted factor'!$A$2:$L$52,5,FALSE)*m2k))/'TCO Inputs'!$AZ$84</f>
        <v>204.71876828791034</v>
      </c>
      <c r="AJ120" s="125">
        <f>AJ9/293.07*(1/(VLOOKUP($AF120,'Fuel economy adjusted factor'!$A$2:$L$52,5,FALSE)*m2k))/'TCO Inputs'!$AZ$84</f>
        <v>204.71876828791034</v>
      </c>
      <c r="AK120" s="125">
        <f>AK9/293.07*(1/(VLOOKUP($AF120,'Fuel economy adjusted factor'!$A$2:$L$52,5,FALSE)*m2k))/'TCO Inputs'!$AZ$84</f>
        <v>204.71876828791034</v>
      </c>
      <c r="AL120" s="125">
        <f>AL9/293.07*(1/(VLOOKUP($AF120,'Fuel economy adjusted factor'!$A$2:$L$52,5,FALSE)*m2k))/'TCO Inputs'!$AZ$84</f>
        <v>204.71876828791034</v>
      </c>
      <c r="AM120" s="125">
        <f>AM9/293.07*(1/(VLOOKUP($AF120,'Fuel economy adjusted factor'!$A$2:$L$52,5,FALSE)*m2k))/'TCO Inputs'!$AZ$84</f>
        <v>204.71876828791034</v>
      </c>
      <c r="AN120" s="125">
        <f>AN9/293.07*(1/(VLOOKUP($AF120,'Fuel economy adjusted factor'!$A$2:$L$52,5,FALSE)*m2k))/'TCO Inputs'!$AZ$84</f>
        <v>204.71876828791034</v>
      </c>
      <c r="AO120" s="125">
        <f>AO9/293.07*(1/(VLOOKUP($AF120,'Fuel economy adjusted factor'!$A$2:$L$52,5,FALSE)*m2k))/'TCO Inputs'!$AZ$84</f>
        <v>204.71876828791034</v>
      </c>
      <c r="AP120" s="125">
        <f>AP9/293.07*(1/(VLOOKUP($AF120,'Fuel economy adjusted factor'!$A$2:$L$52,5,FALSE)*m2k))/'TCO Inputs'!$AZ$84</f>
        <v>204.71876828791034</v>
      </c>
      <c r="AQ120" s="125">
        <f>AQ9/293.07*(1/(VLOOKUP($AF120,'Fuel economy adjusted factor'!$A$2:$L$52,5,FALSE)*m2k))/'TCO Inputs'!$AZ$84</f>
        <v>204.71876828791034</v>
      </c>
      <c r="AR120" s="125">
        <f>AR9/293.07*(1/(VLOOKUP($AF120,'Fuel economy adjusted factor'!$A$2:$L$52,5,FALSE)*m2k))/'TCO Inputs'!$AZ$84</f>
        <v>204.71876828791034</v>
      </c>
      <c r="AS120" s="125">
        <f>AS9/293.07*(1/(VLOOKUP($AF120,'Fuel economy adjusted factor'!$A$2:$L$52,5,FALSE)*m2k))/'TCO Inputs'!$AZ$84</f>
        <v>204.71876828791034</v>
      </c>
      <c r="AT120" s="125">
        <f>AT9/293.07*(1/(VLOOKUP($AF120,'Fuel economy adjusted factor'!$A$2:$L$52,5,FALSE)*m2k))/'TCO Inputs'!$AZ$84</f>
        <v>204.71876828791034</v>
      </c>
      <c r="AU120" s="125">
        <f>AU9/293.07*(1/(VLOOKUP($AF120,'Fuel economy adjusted factor'!$A$2:$L$52,5,FALSE)*m2k))/'TCO Inputs'!$AZ$84</f>
        <v>204.71876828791034</v>
      </c>
      <c r="AV120" s="125">
        <f>AV9/293.07*(1/(VLOOKUP($AF120,'Fuel economy adjusted factor'!$A$2:$L$52,5,FALSE)*m2k))/'TCO Inputs'!$AZ$84</f>
        <v>204.71876828791034</v>
      </c>
      <c r="AW120" s="125">
        <f>AW9/293.07*(1/(VLOOKUP($AF120,'Fuel economy adjusted factor'!$A$2:$L$52,5,FALSE)*m2k))/'TCO Inputs'!$AZ$84</f>
        <v>204.71876828791034</v>
      </c>
      <c r="AX120" s="125">
        <f>AX9/293.07*(1/(VLOOKUP($AF120,'Fuel economy adjusted factor'!$A$2:$L$52,5,FALSE)*m2k))/'TCO Inputs'!$AZ$84</f>
        <v>204.71876828791034</v>
      </c>
      <c r="AY120" s="125">
        <f>AY9/293.07*(1/(VLOOKUP($AF120,'Fuel economy adjusted factor'!$A$2:$L$52,5,FALSE)*m2k))/'TCO Inputs'!$AZ$84</f>
        <v>204.71876828791034</v>
      </c>
      <c r="AZ120" s="125">
        <f>AZ9/293.07*(1/(VLOOKUP($AF120,'Fuel economy adjusted factor'!$A$2:$L$52,5,FALSE)*m2k))/'TCO Inputs'!$AZ$84</f>
        <v>204.71876828791034</v>
      </c>
      <c r="BA120" s="125">
        <f>BA9/293.07*(1/(VLOOKUP($AF120,'Fuel economy adjusted factor'!$A$2:$L$52,5,FALSE)*m2k))/'TCO Inputs'!$AZ$84</f>
        <v>204.71876828791034</v>
      </c>
      <c r="BB120" s="125">
        <f>BB9/293.07*(1/(VLOOKUP($AF120,'Fuel economy adjusted factor'!$A$2:$L$52,5,FALSE)*m2k))/'TCO Inputs'!$AZ$84</f>
        <v>204.71876828791034</v>
      </c>
      <c r="BC120" s="125">
        <f>BC9/293.07*(1/(VLOOKUP($AF120,'Fuel economy adjusted factor'!$A$2:$L$52,5,FALSE)*m2k))/'TCO Inputs'!$AZ$84</f>
        <v>204.71876828791034</v>
      </c>
      <c r="BD120" s="125">
        <f>BD9/293.07*(1/(VLOOKUP($AF120,'Fuel economy adjusted factor'!$A$2:$L$52,5,FALSE)*m2k))/'TCO Inputs'!$AZ$84</f>
        <v>204.71876828791034</v>
      </c>
      <c r="BE120" s="125">
        <f>BE9/293.07*(1/(VLOOKUP($AF120,'Fuel economy adjusted factor'!$A$2:$L$52,5,FALSE)*m2k))/'TCO Inputs'!$AZ$84</f>
        <v>204.71876828791034</v>
      </c>
      <c r="BF120" s="125">
        <f>BF9/293.07*(1/(VLOOKUP($AF120,'Fuel economy adjusted factor'!$A$2:$L$52,5,FALSE)*m2k))/'TCO Inputs'!$AZ$84</f>
        <v>204.71876828791034</v>
      </c>
      <c r="BG120" s="125">
        <f>BG9/293.07*(1/(VLOOKUP($AF120,'Fuel economy adjusted factor'!$A$2:$L$52,5,FALSE)*m2k))/'TCO Inputs'!$AZ$84</f>
        <v>204.71876828791034</v>
      </c>
      <c r="BH120" s="125">
        <f>BH9/293.07*(1/(VLOOKUP($AF120,'Fuel economy adjusted factor'!$A$2:$L$52,5,FALSE)*m2k))/'TCO Inputs'!$AZ$84</f>
        <v>204.71876828791034</v>
      </c>
      <c r="BI120" s="98" cm="1">
        <f t="array" ref="BI120">SUMPRODUCT(INDEX(AG120:BH120,,'TCO Inputs'!$AZ$12-2023+_xlfn.SEQUENCE('TCO Inputs'!$AZ$13))*INDEX('VKT US'!C68:AA68,,_xlfn.SEQUENCE('TCO Inputs'!$AZ$13)))*m2k*CONVERT(0.9072,"g","ton")</f>
        <v>55.824160367827105</v>
      </c>
      <c r="BL120" s="123" t="s">
        <v>190</v>
      </c>
      <c r="BM120" s="125">
        <f>BM9/293.07*(1/(VLOOKUP($BL120,'Fuel economy adjusted factor'!$A$2:$L$52,5,FALSE)*m2k))/'TCO Inputs'!$AZ$84</f>
        <v>152.19084642093185</v>
      </c>
      <c r="BN120" s="125">
        <f>BN9/293.07*(1/(VLOOKUP($BL120,'Fuel economy adjusted factor'!$A$2:$L$52,5,FALSE)*m2k))/'TCO Inputs'!$AZ$84</f>
        <v>152.19084642093185</v>
      </c>
      <c r="BO120" s="125">
        <f>BO9/293.07*(1/(VLOOKUP($BL120,'Fuel economy adjusted factor'!$A$2:$L$52,5,FALSE)*m2k))/'TCO Inputs'!$AZ$84</f>
        <v>152.19084642093185</v>
      </c>
      <c r="BP120" s="125">
        <f>BP9/293.07*(1/(VLOOKUP($BL120,'Fuel economy adjusted factor'!$A$2:$L$52,5,FALSE)*m2k))/'TCO Inputs'!$AZ$84</f>
        <v>152.19084642093185</v>
      </c>
      <c r="BQ120" s="125">
        <f>BQ9/293.07*(1/(VLOOKUP($BL120,'Fuel economy adjusted factor'!$A$2:$L$52,5,FALSE)*m2k))/'TCO Inputs'!$AZ$84</f>
        <v>152.19084642093185</v>
      </c>
      <c r="BR120" s="125">
        <f>BR9/293.07*(1/(VLOOKUP($BL120,'Fuel economy adjusted factor'!$A$2:$L$52,5,FALSE)*m2k))/'TCO Inputs'!$AZ$84</f>
        <v>152.19084642093185</v>
      </c>
      <c r="BS120" s="125">
        <f>BS9/293.07*(1/(VLOOKUP($BL120,'Fuel economy adjusted factor'!$A$2:$L$52,5,FALSE)*m2k))/'TCO Inputs'!$AZ$84</f>
        <v>152.19084642093185</v>
      </c>
      <c r="BT120" s="125">
        <f>BT9/293.07*(1/(VLOOKUP($BL120,'Fuel economy adjusted factor'!$A$2:$L$52,5,FALSE)*m2k))/'TCO Inputs'!$AZ$84</f>
        <v>152.19084642093185</v>
      </c>
      <c r="BU120" s="125">
        <f>BU9/293.07*(1/(VLOOKUP($BL120,'Fuel economy adjusted factor'!$A$2:$L$52,5,FALSE)*m2k))/'TCO Inputs'!$AZ$84</f>
        <v>152.19084642093185</v>
      </c>
      <c r="BV120" s="125">
        <f>BV9/293.07*(1/(VLOOKUP($BL120,'Fuel economy adjusted factor'!$A$2:$L$52,5,FALSE)*m2k))/'TCO Inputs'!$AZ$84</f>
        <v>152.19084642093185</v>
      </c>
      <c r="BW120" s="125">
        <f>BW9/293.07*(1/(VLOOKUP($BL120,'Fuel economy adjusted factor'!$A$2:$L$52,5,FALSE)*m2k))/'TCO Inputs'!$AZ$84</f>
        <v>152.19084642093185</v>
      </c>
      <c r="BX120" s="125">
        <f>BX9/293.07*(1/(VLOOKUP($BL120,'Fuel economy adjusted factor'!$A$2:$L$52,5,FALSE)*m2k))/'TCO Inputs'!$AZ$84</f>
        <v>152.19084642093185</v>
      </c>
      <c r="BY120" s="125">
        <f>BY9/293.07*(1/(VLOOKUP($BL120,'Fuel economy adjusted factor'!$A$2:$L$52,5,FALSE)*m2k))/'TCO Inputs'!$AZ$84</f>
        <v>152.19084642093185</v>
      </c>
      <c r="BZ120" s="125">
        <f>BZ9/293.07*(1/(VLOOKUP($BL120,'Fuel economy adjusted factor'!$A$2:$L$52,5,FALSE)*m2k))/'TCO Inputs'!$AZ$84</f>
        <v>152.19084642093185</v>
      </c>
      <c r="CA120" s="125">
        <f>CA9/293.07*(1/(VLOOKUP($BL120,'Fuel economy adjusted factor'!$A$2:$L$52,5,FALSE)*m2k))/'TCO Inputs'!$AZ$84</f>
        <v>152.19084642093185</v>
      </c>
      <c r="CB120" s="125">
        <f>CB9/293.07*(1/(VLOOKUP($BL120,'Fuel economy adjusted factor'!$A$2:$L$52,5,FALSE)*m2k))/'TCO Inputs'!$AZ$84</f>
        <v>152.19084642093185</v>
      </c>
      <c r="CC120" s="125">
        <f>CC9/293.07*(1/(VLOOKUP($BL120,'Fuel economy adjusted factor'!$A$2:$L$52,5,FALSE)*m2k))/'TCO Inputs'!$AZ$84</f>
        <v>152.19084642093185</v>
      </c>
      <c r="CD120" s="125">
        <f>CD9/293.07*(1/(VLOOKUP($BL120,'Fuel economy adjusted factor'!$A$2:$L$52,5,FALSE)*m2k))/'TCO Inputs'!$AZ$84</f>
        <v>152.19084642093185</v>
      </c>
      <c r="CE120" s="125">
        <f>CE9/293.07*(1/(VLOOKUP($BL120,'Fuel economy adjusted factor'!$A$2:$L$52,5,FALSE)*m2k))/'TCO Inputs'!$AZ$84</f>
        <v>152.19084642093185</v>
      </c>
      <c r="CF120" s="125">
        <f>CF9/293.07*(1/(VLOOKUP($BL120,'Fuel economy adjusted factor'!$A$2:$L$52,5,FALSE)*m2k))/'TCO Inputs'!$AZ$84</f>
        <v>152.19084642093185</v>
      </c>
      <c r="CG120" s="125">
        <f>CG9/293.07*(1/(VLOOKUP($BL120,'Fuel economy adjusted factor'!$A$2:$L$52,5,FALSE)*m2k))/'TCO Inputs'!$AZ$84</f>
        <v>152.19084642093185</v>
      </c>
      <c r="CH120" s="125">
        <f>CH9/293.07*(1/(VLOOKUP($BL120,'Fuel economy adjusted factor'!$A$2:$L$52,5,FALSE)*m2k))/'TCO Inputs'!$AZ$84</f>
        <v>152.19084642093185</v>
      </c>
      <c r="CI120" s="125">
        <f>CI9/293.07*(1/(VLOOKUP($BL120,'Fuel economy adjusted factor'!$A$2:$L$52,5,FALSE)*m2k))/'TCO Inputs'!$AZ$84</f>
        <v>152.19084642093185</v>
      </c>
      <c r="CJ120" s="125">
        <f>CJ9/293.07*(1/(VLOOKUP($BL120,'Fuel economy adjusted factor'!$A$2:$L$52,5,FALSE)*m2k))/'TCO Inputs'!$AZ$84</f>
        <v>152.19084642093185</v>
      </c>
      <c r="CK120" s="125">
        <f>CK9/293.07*(1/(VLOOKUP($BL120,'Fuel economy adjusted factor'!$A$2:$L$52,5,FALSE)*m2k))/'TCO Inputs'!$AZ$84</f>
        <v>152.19084642093185</v>
      </c>
      <c r="CL120" s="125">
        <f>CL9/293.07*(1/(VLOOKUP($BL120,'Fuel economy adjusted factor'!$A$2:$L$52,5,FALSE)*m2k))/'TCO Inputs'!$AZ$84</f>
        <v>152.19084642093185</v>
      </c>
      <c r="CM120" s="125">
        <f>CM9/293.07*(1/(VLOOKUP($BL120,'Fuel economy adjusted factor'!$A$2:$L$52,5,FALSE)*m2k))/'TCO Inputs'!$AZ$84</f>
        <v>152.19084642093185</v>
      </c>
      <c r="CN120" s="125">
        <f>CN9/293.07*(1/(VLOOKUP($BL120,'Fuel economy adjusted factor'!$A$2:$L$52,5,FALSE)*m2k))/'TCO Inputs'!$AZ$84</f>
        <v>152.19084642093185</v>
      </c>
      <c r="CO120" s="98" cm="1">
        <f t="array" ref="CO120">SUMPRODUCT(INDEX(BM120:CN120,,'TCO Inputs'!$AZ$12-2023+_xlfn.SEQUENCE('TCO Inputs'!$AZ$13))*INDEX('VKT US'!C68:AA68,,_xlfn.SEQUENCE('TCO Inputs'!$AZ$13)))*m2k*CONVERT(0.9072,"g","ton")</f>
        <v>41.500475448196468</v>
      </c>
    </row>
    <row r="121" spans="1:93" x14ac:dyDescent="0.25">
      <c r="A121" s="123" t="s">
        <v>191</v>
      </c>
      <c r="B121" s="125">
        <f>B10/293.07*(1/(VLOOKUP($A121,'Fuel economy adjusted factor'!$A$2:$L$52,5,FALSE)*m2k))/'TCO Inputs'!$AZ$84</f>
        <v>102.91008617614358</v>
      </c>
      <c r="C121" s="125">
        <f>C10/293.07*(1/(VLOOKUP($A121,'Fuel economy adjusted factor'!$A$2:$L$52,5,FALSE)*m2k))/'TCO Inputs'!$AZ$84</f>
        <v>102.91008617614358</v>
      </c>
      <c r="D121" s="125">
        <f>D10/293.07*(1/(VLOOKUP($A121,'Fuel economy adjusted factor'!$A$2:$L$52,5,FALSE)*m2k))/'TCO Inputs'!$AZ$84</f>
        <v>102.91008617614358</v>
      </c>
      <c r="E121" s="125">
        <f>E10/293.07*(1/(VLOOKUP($A121,'Fuel economy adjusted factor'!$A$2:$L$52,5,FALSE)*m2k))/'TCO Inputs'!$AZ$84</f>
        <v>102.91008617614358</v>
      </c>
      <c r="F121" s="125">
        <f>F10/293.07*(1/(VLOOKUP($A121,'Fuel economy adjusted factor'!$A$2:$L$52,5,FALSE)*m2k))/'TCO Inputs'!$AZ$84</f>
        <v>102.91008617614358</v>
      </c>
      <c r="G121" s="125">
        <f>G10/293.07*(1/(VLOOKUP($A121,'Fuel economy adjusted factor'!$A$2:$L$52,5,FALSE)*m2k))/'TCO Inputs'!$AZ$84</f>
        <v>102.91008617614358</v>
      </c>
      <c r="H121" s="125">
        <f>H10/293.07*(1/(VLOOKUP($A121,'Fuel economy adjusted factor'!$A$2:$L$52,5,FALSE)*m2k))/'TCO Inputs'!$AZ$84</f>
        <v>102.91008617614358</v>
      </c>
      <c r="I121" s="125">
        <f>I10/293.07*(1/(VLOOKUP($A121,'Fuel economy adjusted factor'!$A$2:$L$52,5,FALSE)*m2k))/'TCO Inputs'!$AZ$84</f>
        <v>102.91008617614358</v>
      </c>
      <c r="J121" s="125">
        <f>J10/293.07*(1/(VLOOKUP($A121,'Fuel economy adjusted factor'!$A$2:$L$52,5,FALSE)*m2k))/'TCO Inputs'!$AZ$84</f>
        <v>102.91008617614358</v>
      </c>
      <c r="K121" s="125">
        <f>K10/293.07*(1/(VLOOKUP($A121,'Fuel economy adjusted factor'!$A$2:$L$52,5,FALSE)*m2k))/'TCO Inputs'!$AZ$84</f>
        <v>102.91008617614358</v>
      </c>
      <c r="L121" s="125">
        <f>L10/293.07*(1/(VLOOKUP($A121,'Fuel economy adjusted factor'!$A$2:$L$52,5,FALSE)*m2k))/'TCO Inputs'!$AZ$84</f>
        <v>102.91008617614358</v>
      </c>
      <c r="M121" s="125">
        <f>M10/293.07*(1/(VLOOKUP($A121,'Fuel economy adjusted factor'!$A$2:$L$52,5,FALSE)*m2k))/'TCO Inputs'!$AZ$84</f>
        <v>102.91008617614358</v>
      </c>
      <c r="N121" s="125">
        <f>N10/293.07*(1/(VLOOKUP($A121,'Fuel economy adjusted factor'!$A$2:$L$52,5,FALSE)*m2k))/'TCO Inputs'!$AZ$84</f>
        <v>102.91008617614358</v>
      </c>
      <c r="O121" s="125">
        <f>O10/293.07*(1/(VLOOKUP($A121,'Fuel economy adjusted factor'!$A$2:$L$52,5,FALSE)*m2k))/'TCO Inputs'!$AZ$84</f>
        <v>102.91008617614358</v>
      </c>
      <c r="P121" s="125">
        <f>P10/293.07*(1/(VLOOKUP($A121,'Fuel economy adjusted factor'!$A$2:$L$52,5,FALSE)*m2k))/'TCO Inputs'!$AZ$84</f>
        <v>102.91008617614358</v>
      </c>
      <c r="Q121" s="125">
        <f>Q10/293.07*(1/(VLOOKUP($A121,'Fuel economy adjusted factor'!$A$2:$L$52,5,FALSE)*m2k))/'TCO Inputs'!$AZ$84</f>
        <v>102.91008617614358</v>
      </c>
      <c r="R121" s="125">
        <f>R10/293.07*(1/(VLOOKUP($A121,'Fuel economy adjusted factor'!$A$2:$L$52,5,FALSE)*m2k))/'TCO Inputs'!$AZ$84</f>
        <v>102.91008617614358</v>
      </c>
      <c r="S121" s="125">
        <f>S10/293.07*(1/(VLOOKUP($A121,'Fuel economy adjusted factor'!$A$2:$L$52,5,FALSE)*m2k))/'TCO Inputs'!$AZ$84</f>
        <v>102.91008617614358</v>
      </c>
      <c r="T121" s="125">
        <f>T10/293.07*(1/(VLOOKUP($A121,'Fuel economy adjusted factor'!$A$2:$L$52,5,FALSE)*m2k))/'TCO Inputs'!$AZ$84</f>
        <v>102.91008617614358</v>
      </c>
      <c r="U121" s="125">
        <f>U10/293.07*(1/(VLOOKUP($A121,'Fuel economy adjusted factor'!$A$2:$L$52,5,FALSE)*m2k))/'TCO Inputs'!$AZ$84</f>
        <v>102.91008617614358</v>
      </c>
      <c r="V121" s="125">
        <f>V10/293.07*(1/(VLOOKUP($A121,'Fuel economy adjusted factor'!$A$2:$L$52,5,FALSE)*m2k))/'TCO Inputs'!$AZ$84</f>
        <v>102.91008617614358</v>
      </c>
      <c r="W121" s="125">
        <f>W10/293.07*(1/(VLOOKUP($A121,'Fuel economy adjusted factor'!$A$2:$L$52,5,FALSE)*m2k))/'TCO Inputs'!$AZ$84</f>
        <v>102.91008617614358</v>
      </c>
      <c r="X121" s="125">
        <f>X10/293.07*(1/(VLOOKUP($A121,'Fuel economy adjusted factor'!$A$2:$L$52,5,FALSE)*m2k))/'TCO Inputs'!$AZ$84</f>
        <v>102.91008617614358</v>
      </c>
      <c r="Y121" s="125">
        <f>Y10/293.07*(1/(VLOOKUP($A121,'Fuel economy adjusted factor'!$A$2:$L$52,5,FALSE)*m2k))/'TCO Inputs'!$AZ$84</f>
        <v>102.91008617614358</v>
      </c>
      <c r="Z121" s="125">
        <f>Z10/293.07*(1/(VLOOKUP($A121,'Fuel economy adjusted factor'!$A$2:$L$52,5,FALSE)*m2k))/'TCO Inputs'!$AZ$84</f>
        <v>102.91008617614358</v>
      </c>
      <c r="AA121" s="125">
        <f>AA10/293.07*(1/(VLOOKUP($A121,'Fuel economy adjusted factor'!$A$2:$L$52,5,FALSE)*m2k))/'TCO Inputs'!$AZ$84</f>
        <v>102.91008617614358</v>
      </c>
      <c r="AB121" s="125">
        <f>AB10/293.07*(1/(VLOOKUP($A121,'Fuel economy adjusted factor'!$A$2:$L$52,5,FALSE)*m2k))/'TCO Inputs'!$AZ$84</f>
        <v>102.91008617614358</v>
      </c>
      <c r="AC121" s="125">
        <f>AC10/293.07*(1/(VLOOKUP($A121,'Fuel economy adjusted factor'!$A$2:$L$52,5,FALSE)*m2k))/'TCO Inputs'!$AZ$84</f>
        <v>102.91008617614358</v>
      </c>
      <c r="AD121" s="98" cm="1">
        <f t="array" ref="AD121">SUMPRODUCT(INDEX(B121:AC121,,'TCO Inputs'!$AZ$12-2023+_xlfn.SEQUENCE('TCO Inputs'!$AZ$13))*INDEX('VKT US'!C69:AA69,,_xlfn.SEQUENCE('TCO Inputs'!$AZ$13)))*m2k*CONVERT(0.9072,"g","ton")</f>
        <v>26.360979708406333</v>
      </c>
      <c r="AF121" s="123" t="s">
        <v>191</v>
      </c>
      <c r="AG121" s="125">
        <f>AG10/293.07*(1/(VLOOKUP($AF121,'Fuel economy adjusted factor'!$A$2:$L$52,5,FALSE)*m2k))/'TCO Inputs'!$AZ$84</f>
        <v>120.62171681060086</v>
      </c>
      <c r="AH121" s="125">
        <f>AH10/293.07*(1/(VLOOKUP($AF121,'Fuel economy adjusted factor'!$A$2:$L$52,5,FALSE)*m2k))/'TCO Inputs'!$AZ$84</f>
        <v>120.62171681060086</v>
      </c>
      <c r="AI121" s="125">
        <f>AI10/293.07*(1/(VLOOKUP($AF121,'Fuel economy adjusted factor'!$A$2:$L$52,5,FALSE)*m2k))/'TCO Inputs'!$AZ$84</f>
        <v>120.62171681060086</v>
      </c>
      <c r="AJ121" s="125">
        <f>AJ10/293.07*(1/(VLOOKUP($AF121,'Fuel economy adjusted factor'!$A$2:$L$52,5,FALSE)*m2k))/'TCO Inputs'!$AZ$84</f>
        <v>120.62171681060086</v>
      </c>
      <c r="AK121" s="125">
        <f>AK10/293.07*(1/(VLOOKUP($AF121,'Fuel economy adjusted factor'!$A$2:$L$52,5,FALSE)*m2k))/'TCO Inputs'!$AZ$84</f>
        <v>120.62171681060086</v>
      </c>
      <c r="AL121" s="125">
        <f>AL10/293.07*(1/(VLOOKUP($AF121,'Fuel economy adjusted factor'!$A$2:$L$52,5,FALSE)*m2k))/'TCO Inputs'!$AZ$84</f>
        <v>120.62171681060086</v>
      </c>
      <c r="AM121" s="125">
        <f>AM10/293.07*(1/(VLOOKUP($AF121,'Fuel economy adjusted factor'!$A$2:$L$52,5,FALSE)*m2k))/'TCO Inputs'!$AZ$84</f>
        <v>120.62171681060086</v>
      </c>
      <c r="AN121" s="125">
        <f>AN10/293.07*(1/(VLOOKUP($AF121,'Fuel economy adjusted factor'!$A$2:$L$52,5,FALSE)*m2k))/'TCO Inputs'!$AZ$84</f>
        <v>120.62171681060086</v>
      </c>
      <c r="AO121" s="125">
        <f>AO10/293.07*(1/(VLOOKUP($AF121,'Fuel economy adjusted factor'!$A$2:$L$52,5,FALSE)*m2k))/'TCO Inputs'!$AZ$84</f>
        <v>120.62171681060086</v>
      </c>
      <c r="AP121" s="125">
        <f>AP10/293.07*(1/(VLOOKUP($AF121,'Fuel economy adjusted factor'!$A$2:$L$52,5,FALSE)*m2k))/'TCO Inputs'!$AZ$84</f>
        <v>120.62171681060086</v>
      </c>
      <c r="AQ121" s="125">
        <f>AQ10/293.07*(1/(VLOOKUP($AF121,'Fuel economy adjusted factor'!$A$2:$L$52,5,FALSE)*m2k))/'TCO Inputs'!$AZ$84</f>
        <v>120.62171681060086</v>
      </c>
      <c r="AR121" s="125">
        <f>AR10/293.07*(1/(VLOOKUP($AF121,'Fuel economy adjusted factor'!$A$2:$L$52,5,FALSE)*m2k))/'TCO Inputs'!$AZ$84</f>
        <v>120.62171681060086</v>
      </c>
      <c r="AS121" s="125">
        <f>AS10/293.07*(1/(VLOOKUP($AF121,'Fuel economy adjusted factor'!$A$2:$L$52,5,FALSE)*m2k))/'TCO Inputs'!$AZ$84</f>
        <v>120.62171681060086</v>
      </c>
      <c r="AT121" s="125">
        <f>AT10/293.07*(1/(VLOOKUP($AF121,'Fuel economy adjusted factor'!$A$2:$L$52,5,FALSE)*m2k))/'TCO Inputs'!$AZ$84</f>
        <v>120.62171681060086</v>
      </c>
      <c r="AU121" s="125">
        <f>AU10/293.07*(1/(VLOOKUP($AF121,'Fuel economy adjusted factor'!$A$2:$L$52,5,FALSE)*m2k))/'TCO Inputs'!$AZ$84</f>
        <v>120.62171681060086</v>
      </c>
      <c r="AV121" s="125">
        <f>AV10/293.07*(1/(VLOOKUP($AF121,'Fuel economy adjusted factor'!$A$2:$L$52,5,FALSE)*m2k))/'TCO Inputs'!$AZ$84</f>
        <v>120.62171681060086</v>
      </c>
      <c r="AW121" s="125">
        <f>AW10/293.07*(1/(VLOOKUP($AF121,'Fuel economy adjusted factor'!$A$2:$L$52,5,FALSE)*m2k))/'TCO Inputs'!$AZ$84</f>
        <v>120.62171681060086</v>
      </c>
      <c r="AX121" s="125">
        <f>AX10/293.07*(1/(VLOOKUP($AF121,'Fuel economy adjusted factor'!$A$2:$L$52,5,FALSE)*m2k))/'TCO Inputs'!$AZ$84</f>
        <v>120.62171681060086</v>
      </c>
      <c r="AY121" s="125">
        <f>AY10/293.07*(1/(VLOOKUP($AF121,'Fuel economy adjusted factor'!$A$2:$L$52,5,FALSE)*m2k))/'TCO Inputs'!$AZ$84</f>
        <v>120.62171681060086</v>
      </c>
      <c r="AZ121" s="125">
        <f>AZ10/293.07*(1/(VLOOKUP($AF121,'Fuel economy adjusted factor'!$A$2:$L$52,5,FALSE)*m2k))/'TCO Inputs'!$AZ$84</f>
        <v>120.62171681060086</v>
      </c>
      <c r="BA121" s="125">
        <f>BA10/293.07*(1/(VLOOKUP($AF121,'Fuel economy adjusted factor'!$A$2:$L$52,5,FALSE)*m2k))/'TCO Inputs'!$AZ$84</f>
        <v>120.62171681060086</v>
      </c>
      <c r="BB121" s="125">
        <f>BB10/293.07*(1/(VLOOKUP($AF121,'Fuel economy adjusted factor'!$A$2:$L$52,5,FALSE)*m2k))/'TCO Inputs'!$AZ$84</f>
        <v>120.62171681060086</v>
      </c>
      <c r="BC121" s="125">
        <f>BC10/293.07*(1/(VLOOKUP($AF121,'Fuel economy adjusted factor'!$A$2:$L$52,5,FALSE)*m2k))/'TCO Inputs'!$AZ$84</f>
        <v>120.62171681060086</v>
      </c>
      <c r="BD121" s="125">
        <f>BD10/293.07*(1/(VLOOKUP($AF121,'Fuel economy adjusted factor'!$A$2:$L$52,5,FALSE)*m2k))/'TCO Inputs'!$AZ$84</f>
        <v>120.62171681060086</v>
      </c>
      <c r="BE121" s="125">
        <f>BE10/293.07*(1/(VLOOKUP($AF121,'Fuel economy adjusted factor'!$A$2:$L$52,5,FALSE)*m2k))/'TCO Inputs'!$AZ$84</f>
        <v>120.62171681060086</v>
      </c>
      <c r="BF121" s="125">
        <f>BF10/293.07*(1/(VLOOKUP($AF121,'Fuel economy adjusted factor'!$A$2:$L$52,5,FALSE)*m2k))/'TCO Inputs'!$AZ$84</f>
        <v>120.62171681060086</v>
      </c>
      <c r="BG121" s="125">
        <f>BG10/293.07*(1/(VLOOKUP($AF121,'Fuel economy adjusted factor'!$A$2:$L$52,5,FALSE)*m2k))/'TCO Inputs'!$AZ$84</f>
        <v>120.62171681060086</v>
      </c>
      <c r="BH121" s="125">
        <f>BH10/293.07*(1/(VLOOKUP($AF121,'Fuel economy adjusted factor'!$A$2:$L$52,5,FALSE)*m2k))/'TCO Inputs'!$AZ$84</f>
        <v>120.62171681060086</v>
      </c>
      <c r="BI121" s="98" cm="1">
        <f t="array" ref="BI121">SUMPRODUCT(INDEX(AG121:BH121,,'TCO Inputs'!$AZ$12-2023+_xlfn.SEQUENCE('TCO Inputs'!$AZ$13))*INDEX('VKT US'!C69:AA69,,_xlfn.SEQUENCE('TCO Inputs'!$AZ$13)))*m2k*CONVERT(0.9072,"g","ton")</f>
        <v>30.897910471038923</v>
      </c>
      <c r="BL121" s="123" t="s">
        <v>191</v>
      </c>
      <c r="BM121" s="125">
        <f>BM10/293.07*(1/(VLOOKUP($BL121,'Fuel economy adjusted factor'!$A$2:$L$52,5,FALSE)*m2k))/'TCO Inputs'!$AZ$84</f>
        <v>89.671901270594887</v>
      </c>
      <c r="BN121" s="125">
        <f>BN10/293.07*(1/(VLOOKUP($BL121,'Fuel economy adjusted factor'!$A$2:$L$52,5,FALSE)*m2k))/'TCO Inputs'!$AZ$84</f>
        <v>89.671901270594887</v>
      </c>
      <c r="BO121" s="125">
        <f>BO10/293.07*(1/(VLOOKUP($BL121,'Fuel economy adjusted factor'!$A$2:$L$52,5,FALSE)*m2k))/'TCO Inputs'!$AZ$84</f>
        <v>89.671901270594887</v>
      </c>
      <c r="BP121" s="125">
        <f>BP10/293.07*(1/(VLOOKUP($BL121,'Fuel economy adjusted factor'!$A$2:$L$52,5,FALSE)*m2k))/'TCO Inputs'!$AZ$84</f>
        <v>89.671901270594887</v>
      </c>
      <c r="BQ121" s="125">
        <f>BQ10/293.07*(1/(VLOOKUP($BL121,'Fuel economy adjusted factor'!$A$2:$L$52,5,FALSE)*m2k))/'TCO Inputs'!$AZ$84</f>
        <v>89.671901270594887</v>
      </c>
      <c r="BR121" s="125">
        <f>BR10/293.07*(1/(VLOOKUP($BL121,'Fuel economy adjusted factor'!$A$2:$L$52,5,FALSE)*m2k))/'TCO Inputs'!$AZ$84</f>
        <v>89.671901270594887</v>
      </c>
      <c r="BS121" s="125">
        <f>BS10/293.07*(1/(VLOOKUP($BL121,'Fuel economy adjusted factor'!$A$2:$L$52,5,FALSE)*m2k))/'TCO Inputs'!$AZ$84</f>
        <v>89.671901270594887</v>
      </c>
      <c r="BT121" s="125">
        <f>BT10/293.07*(1/(VLOOKUP($BL121,'Fuel economy adjusted factor'!$A$2:$L$52,5,FALSE)*m2k))/'TCO Inputs'!$AZ$84</f>
        <v>89.671901270594887</v>
      </c>
      <c r="BU121" s="125">
        <f>BU10/293.07*(1/(VLOOKUP($BL121,'Fuel economy adjusted factor'!$A$2:$L$52,5,FALSE)*m2k))/'TCO Inputs'!$AZ$84</f>
        <v>89.671901270594887</v>
      </c>
      <c r="BV121" s="125">
        <f>BV10/293.07*(1/(VLOOKUP($BL121,'Fuel economy adjusted factor'!$A$2:$L$52,5,FALSE)*m2k))/'TCO Inputs'!$AZ$84</f>
        <v>89.671901270594887</v>
      </c>
      <c r="BW121" s="125">
        <f>BW10/293.07*(1/(VLOOKUP($BL121,'Fuel economy adjusted factor'!$A$2:$L$52,5,FALSE)*m2k))/'TCO Inputs'!$AZ$84</f>
        <v>89.671901270594887</v>
      </c>
      <c r="BX121" s="125">
        <f>BX10/293.07*(1/(VLOOKUP($BL121,'Fuel economy adjusted factor'!$A$2:$L$52,5,FALSE)*m2k))/'TCO Inputs'!$AZ$84</f>
        <v>89.671901270594887</v>
      </c>
      <c r="BY121" s="125">
        <f>BY10/293.07*(1/(VLOOKUP($BL121,'Fuel economy adjusted factor'!$A$2:$L$52,5,FALSE)*m2k))/'TCO Inputs'!$AZ$84</f>
        <v>89.671901270594887</v>
      </c>
      <c r="BZ121" s="125">
        <f>BZ10/293.07*(1/(VLOOKUP($BL121,'Fuel economy adjusted factor'!$A$2:$L$52,5,FALSE)*m2k))/'TCO Inputs'!$AZ$84</f>
        <v>89.671901270594887</v>
      </c>
      <c r="CA121" s="125">
        <f>CA10/293.07*(1/(VLOOKUP($BL121,'Fuel economy adjusted factor'!$A$2:$L$52,5,FALSE)*m2k))/'TCO Inputs'!$AZ$84</f>
        <v>89.671901270594887</v>
      </c>
      <c r="CB121" s="125">
        <f>CB10/293.07*(1/(VLOOKUP($BL121,'Fuel economy adjusted factor'!$A$2:$L$52,5,FALSE)*m2k))/'TCO Inputs'!$AZ$84</f>
        <v>89.671901270594887</v>
      </c>
      <c r="CC121" s="125">
        <f>CC10/293.07*(1/(VLOOKUP($BL121,'Fuel economy adjusted factor'!$A$2:$L$52,5,FALSE)*m2k))/'TCO Inputs'!$AZ$84</f>
        <v>89.671901270594887</v>
      </c>
      <c r="CD121" s="125">
        <f>CD10/293.07*(1/(VLOOKUP($BL121,'Fuel economy adjusted factor'!$A$2:$L$52,5,FALSE)*m2k))/'TCO Inputs'!$AZ$84</f>
        <v>89.671901270594887</v>
      </c>
      <c r="CE121" s="125">
        <f>CE10/293.07*(1/(VLOOKUP($BL121,'Fuel economy adjusted factor'!$A$2:$L$52,5,FALSE)*m2k))/'TCO Inputs'!$AZ$84</f>
        <v>89.671901270594887</v>
      </c>
      <c r="CF121" s="125">
        <f>CF10/293.07*(1/(VLOOKUP($BL121,'Fuel economy adjusted factor'!$A$2:$L$52,5,FALSE)*m2k))/'TCO Inputs'!$AZ$84</f>
        <v>89.671901270594887</v>
      </c>
      <c r="CG121" s="125">
        <f>CG10/293.07*(1/(VLOOKUP($BL121,'Fuel economy adjusted factor'!$A$2:$L$52,5,FALSE)*m2k))/'TCO Inputs'!$AZ$84</f>
        <v>89.671901270594887</v>
      </c>
      <c r="CH121" s="125">
        <f>CH10/293.07*(1/(VLOOKUP($BL121,'Fuel economy adjusted factor'!$A$2:$L$52,5,FALSE)*m2k))/'TCO Inputs'!$AZ$84</f>
        <v>89.671901270594887</v>
      </c>
      <c r="CI121" s="125">
        <f>CI10/293.07*(1/(VLOOKUP($BL121,'Fuel economy adjusted factor'!$A$2:$L$52,5,FALSE)*m2k))/'TCO Inputs'!$AZ$84</f>
        <v>89.671901270594887</v>
      </c>
      <c r="CJ121" s="125">
        <f>CJ10/293.07*(1/(VLOOKUP($BL121,'Fuel economy adjusted factor'!$A$2:$L$52,5,FALSE)*m2k))/'TCO Inputs'!$AZ$84</f>
        <v>89.671901270594887</v>
      </c>
      <c r="CK121" s="125">
        <f>CK10/293.07*(1/(VLOOKUP($BL121,'Fuel economy adjusted factor'!$A$2:$L$52,5,FALSE)*m2k))/'TCO Inputs'!$AZ$84</f>
        <v>89.671901270594887</v>
      </c>
      <c r="CL121" s="125">
        <f>CL10/293.07*(1/(VLOOKUP($BL121,'Fuel economy adjusted factor'!$A$2:$L$52,5,FALSE)*m2k))/'TCO Inputs'!$AZ$84</f>
        <v>89.671901270594887</v>
      </c>
      <c r="CM121" s="125">
        <f>CM10/293.07*(1/(VLOOKUP($BL121,'Fuel economy adjusted factor'!$A$2:$L$52,5,FALSE)*m2k))/'TCO Inputs'!$AZ$84</f>
        <v>89.671901270594887</v>
      </c>
      <c r="CN121" s="125">
        <f>CN10/293.07*(1/(VLOOKUP($BL121,'Fuel economy adjusted factor'!$A$2:$L$52,5,FALSE)*m2k))/'TCO Inputs'!$AZ$84</f>
        <v>89.671901270594887</v>
      </c>
      <c r="CO121" s="98" cm="1">
        <f t="array" ref="CO121">SUMPRODUCT(INDEX(BM121:CN121,,'TCO Inputs'!$AZ$12-2023+_xlfn.SEQUENCE('TCO Inputs'!$AZ$13))*INDEX('VKT US'!C69:AA69,,_xlfn.SEQUENCE('TCO Inputs'!$AZ$13)))*m2k*CONVERT(0.9072,"g","ton")</f>
        <v>22.969946461441687</v>
      </c>
    </row>
    <row r="122" spans="1:93" x14ac:dyDescent="0.25">
      <c r="A122" s="123" t="s">
        <v>192</v>
      </c>
      <c r="B122" s="125">
        <f>B11/293.07*(1/(VLOOKUP($A122,'Fuel economy adjusted factor'!$A$2:$L$52,5,FALSE)*m2k))/'TCO Inputs'!$AZ$84</f>
        <v>153.71953633234679</v>
      </c>
      <c r="C122" s="125">
        <f>C11/293.07*(1/(VLOOKUP($A122,'Fuel economy adjusted factor'!$A$2:$L$52,5,FALSE)*m2k))/'TCO Inputs'!$AZ$84</f>
        <v>153.71953633234679</v>
      </c>
      <c r="D122" s="125">
        <f>D11/293.07*(1/(VLOOKUP($A122,'Fuel economy adjusted factor'!$A$2:$L$52,5,FALSE)*m2k))/'TCO Inputs'!$AZ$84</f>
        <v>153.71953633234679</v>
      </c>
      <c r="E122" s="125">
        <f>E11/293.07*(1/(VLOOKUP($A122,'Fuel economy adjusted factor'!$A$2:$L$52,5,FALSE)*m2k))/'TCO Inputs'!$AZ$84</f>
        <v>153.71953633234679</v>
      </c>
      <c r="F122" s="125">
        <f>F11/293.07*(1/(VLOOKUP($A122,'Fuel economy adjusted factor'!$A$2:$L$52,5,FALSE)*m2k))/'TCO Inputs'!$AZ$84</f>
        <v>153.71953633234679</v>
      </c>
      <c r="G122" s="125">
        <f>G11/293.07*(1/(VLOOKUP($A122,'Fuel economy adjusted factor'!$A$2:$L$52,5,FALSE)*m2k))/'TCO Inputs'!$AZ$84</f>
        <v>153.71953633234679</v>
      </c>
      <c r="H122" s="125">
        <f>H11/293.07*(1/(VLOOKUP($A122,'Fuel economy adjusted factor'!$A$2:$L$52,5,FALSE)*m2k))/'TCO Inputs'!$AZ$84</f>
        <v>153.71953633234679</v>
      </c>
      <c r="I122" s="125">
        <f>I11/293.07*(1/(VLOOKUP($A122,'Fuel economy adjusted factor'!$A$2:$L$52,5,FALSE)*m2k))/'TCO Inputs'!$AZ$84</f>
        <v>153.71953633234679</v>
      </c>
      <c r="J122" s="125">
        <f>J11/293.07*(1/(VLOOKUP($A122,'Fuel economy adjusted factor'!$A$2:$L$52,5,FALSE)*m2k))/'TCO Inputs'!$AZ$84</f>
        <v>153.71953633234679</v>
      </c>
      <c r="K122" s="125">
        <f>K11/293.07*(1/(VLOOKUP($A122,'Fuel economy adjusted factor'!$A$2:$L$52,5,FALSE)*m2k))/'TCO Inputs'!$AZ$84</f>
        <v>153.71953633234679</v>
      </c>
      <c r="L122" s="125">
        <f>L11/293.07*(1/(VLOOKUP($A122,'Fuel economy adjusted factor'!$A$2:$L$52,5,FALSE)*m2k))/'TCO Inputs'!$AZ$84</f>
        <v>153.71953633234679</v>
      </c>
      <c r="M122" s="125">
        <f>M11/293.07*(1/(VLOOKUP($A122,'Fuel economy adjusted factor'!$A$2:$L$52,5,FALSE)*m2k))/'TCO Inputs'!$AZ$84</f>
        <v>153.71953633234679</v>
      </c>
      <c r="N122" s="125">
        <f>N11/293.07*(1/(VLOOKUP($A122,'Fuel economy adjusted factor'!$A$2:$L$52,5,FALSE)*m2k))/'TCO Inputs'!$AZ$84</f>
        <v>153.71953633234679</v>
      </c>
      <c r="O122" s="125">
        <f>O11/293.07*(1/(VLOOKUP($A122,'Fuel economy adjusted factor'!$A$2:$L$52,5,FALSE)*m2k))/'TCO Inputs'!$AZ$84</f>
        <v>153.71953633234679</v>
      </c>
      <c r="P122" s="125">
        <f>P11/293.07*(1/(VLOOKUP($A122,'Fuel economy adjusted factor'!$A$2:$L$52,5,FALSE)*m2k))/'TCO Inputs'!$AZ$84</f>
        <v>153.71953633234679</v>
      </c>
      <c r="Q122" s="125">
        <f>Q11/293.07*(1/(VLOOKUP($A122,'Fuel economy adjusted factor'!$A$2:$L$52,5,FALSE)*m2k))/'TCO Inputs'!$AZ$84</f>
        <v>153.71953633234679</v>
      </c>
      <c r="R122" s="125">
        <f>R11/293.07*(1/(VLOOKUP($A122,'Fuel economy adjusted factor'!$A$2:$L$52,5,FALSE)*m2k))/'TCO Inputs'!$AZ$84</f>
        <v>153.71953633234679</v>
      </c>
      <c r="S122" s="125">
        <f>S11/293.07*(1/(VLOOKUP($A122,'Fuel economy adjusted factor'!$A$2:$L$52,5,FALSE)*m2k))/'TCO Inputs'!$AZ$84</f>
        <v>153.71953633234679</v>
      </c>
      <c r="T122" s="125">
        <f>T11/293.07*(1/(VLOOKUP($A122,'Fuel economy adjusted factor'!$A$2:$L$52,5,FALSE)*m2k))/'TCO Inputs'!$AZ$84</f>
        <v>153.71953633234679</v>
      </c>
      <c r="U122" s="125">
        <f>U11/293.07*(1/(VLOOKUP($A122,'Fuel economy adjusted factor'!$A$2:$L$52,5,FALSE)*m2k))/'TCO Inputs'!$AZ$84</f>
        <v>153.71953633234679</v>
      </c>
      <c r="V122" s="125">
        <f>V11/293.07*(1/(VLOOKUP($A122,'Fuel economy adjusted factor'!$A$2:$L$52,5,FALSE)*m2k))/'TCO Inputs'!$AZ$84</f>
        <v>153.71953633234679</v>
      </c>
      <c r="W122" s="125">
        <f>W11/293.07*(1/(VLOOKUP($A122,'Fuel economy adjusted factor'!$A$2:$L$52,5,FALSE)*m2k))/'TCO Inputs'!$AZ$84</f>
        <v>153.71953633234679</v>
      </c>
      <c r="X122" s="125">
        <f>X11/293.07*(1/(VLOOKUP($A122,'Fuel economy adjusted factor'!$A$2:$L$52,5,FALSE)*m2k))/'TCO Inputs'!$AZ$84</f>
        <v>153.71953633234679</v>
      </c>
      <c r="Y122" s="125">
        <f>Y11/293.07*(1/(VLOOKUP($A122,'Fuel economy adjusted factor'!$A$2:$L$52,5,FALSE)*m2k))/'TCO Inputs'!$AZ$84</f>
        <v>153.71953633234679</v>
      </c>
      <c r="Z122" s="125">
        <f>Z11/293.07*(1/(VLOOKUP($A122,'Fuel economy adjusted factor'!$A$2:$L$52,5,FALSE)*m2k))/'TCO Inputs'!$AZ$84</f>
        <v>153.71953633234679</v>
      </c>
      <c r="AA122" s="125">
        <f>AA11/293.07*(1/(VLOOKUP($A122,'Fuel economy adjusted factor'!$A$2:$L$52,5,FALSE)*m2k))/'TCO Inputs'!$AZ$84</f>
        <v>153.71953633234679</v>
      </c>
      <c r="AB122" s="125">
        <f>AB11/293.07*(1/(VLOOKUP($A122,'Fuel economy adjusted factor'!$A$2:$L$52,5,FALSE)*m2k))/'TCO Inputs'!$AZ$84</f>
        <v>153.71953633234679</v>
      </c>
      <c r="AC122" s="125">
        <f>AC11/293.07*(1/(VLOOKUP($A122,'Fuel economy adjusted factor'!$A$2:$L$52,5,FALSE)*m2k))/'TCO Inputs'!$AZ$84</f>
        <v>153.71953633234679</v>
      </c>
      <c r="AD122" s="98" cm="1">
        <f t="array" ref="AD122">SUMPRODUCT(INDEX(B122:AC122,,'TCO Inputs'!$AZ$12-2023+_xlfn.SEQUENCE('TCO Inputs'!$AZ$13))*INDEX('VKT US'!C70:AA70,,_xlfn.SEQUENCE('TCO Inputs'!$AZ$13)))*m2k*CONVERT(0.9072,"g","ton")</f>
        <v>40.974928800805607</v>
      </c>
      <c r="AF122" s="123" t="s">
        <v>192</v>
      </c>
      <c r="AG122" s="125">
        <f>AG11/293.07*(1/(VLOOKUP($AF122,'Fuel economy adjusted factor'!$A$2:$L$52,5,FALSE)*m2k))/'TCO Inputs'!$AZ$84</f>
        <v>180.1758706916286</v>
      </c>
      <c r="AH122" s="125">
        <f>AH11/293.07*(1/(VLOOKUP($AF122,'Fuel economy adjusted factor'!$A$2:$L$52,5,FALSE)*m2k))/'TCO Inputs'!$AZ$84</f>
        <v>180.1758706916286</v>
      </c>
      <c r="AI122" s="125">
        <f>AI11/293.07*(1/(VLOOKUP($AF122,'Fuel economy adjusted factor'!$A$2:$L$52,5,FALSE)*m2k))/'TCO Inputs'!$AZ$84</f>
        <v>180.1758706916286</v>
      </c>
      <c r="AJ122" s="125">
        <f>AJ11/293.07*(1/(VLOOKUP($AF122,'Fuel economy adjusted factor'!$A$2:$L$52,5,FALSE)*m2k))/'TCO Inputs'!$AZ$84</f>
        <v>180.1758706916286</v>
      </c>
      <c r="AK122" s="125">
        <f>AK11/293.07*(1/(VLOOKUP($AF122,'Fuel economy adjusted factor'!$A$2:$L$52,5,FALSE)*m2k))/'TCO Inputs'!$AZ$84</f>
        <v>180.1758706916286</v>
      </c>
      <c r="AL122" s="125">
        <f>AL11/293.07*(1/(VLOOKUP($AF122,'Fuel economy adjusted factor'!$A$2:$L$52,5,FALSE)*m2k))/'TCO Inputs'!$AZ$84</f>
        <v>180.1758706916286</v>
      </c>
      <c r="AM122" s="125">
        <f>AM11/293.07*(1/(VLOOKUP($AF122,'Fuel economy adjusted factor'!$A$2:$L$52,5,FALSE)*m2k))/'TCO Inputs'!$AZ$84</f>
        <v>180.1758706916286</v>
      </c>
      <c r="AN122" s="125">
        <f>AN11/293.07*(1/(VLOOKUP($AF122,'Fuel economy adjusted factor'!$A$2:$L$52,5,FALSE)*m2k))/'TCO Inputs'!$AZ$84</f>
        <v>180.1758706916286</v>
      </c>
      <c r="AO122" s="125">
        <f>AO11/293.07*(1/(VLOOKUP($AF122,'Fuel economy adjusted factor'!$A$2:$L$52,5,FALSE)*m2k))/'TCO Inputs'!$AZ$84</f>
        <v>180.1758706916286</v>
      </c>
      <c r="AP122" s="125">
        <f>AP11/293.07*(1/(VLOOKUP($AF122,'Fuel economy adjusted factor'!$A$2:$L$52,5,FALSE)*m2k))/'TCO Inputs'!$AZ$84</f>
        <v>180.1758706916286</v>
      </c>
      <c r="AQ122" s="125">
        <f>AQ11/293.07*(1/(VLOOKUP($AF122,'Fuel economy adjusted factor'!$A$2:$L$52,5,FALSE)*m2k))/'TCO Inputs'!$AZ$84</f>
        <v>180.1758706916286</v>
      </c>
      <c r="AR122" s="125">
        <f>AR11/293.07*(1/(VLOOKUP($AF122,'Fuel economy adjusted factor'!$A$2:$L$52,5,FALSE)*m2k))/'TCO Inputs'!$AZ$84</f>
        <v>180.1758706916286</v>
      </c>
      <c r="AS122" s="125">
        <f>AS11/293.07*(1/(VLOOKUP($AF122,'Fuel economy adjusted factor'!$A$2:$L$52,5,FALSE)*m2k))/'TCO Inputs'!$AZ$84</f>
        <v>180.1758706916286</v>
      </c>
      <c r="AT122" s="125">
        <f>AT11/293.07*(1/(VLOOKUP($AF122,'Fuel economy adjusted factor'!$A$2:$L$52,5,FALSE)*m2k))/'TCO Inputs'!$AZ$84</f>
        <v>180.1758706916286</v>
      </c>
      <c r="AU122" s="125">
        <f>AU11/293.07*(1/(VLOOKUP($AF122,'Fuel economy adjusted factor'!$A$2:$L$52,5,FALSE)*m2k))/'TCO Inputs'!$AZ$84</f>
        <v>180.1758706916286</v>
      </c>
      <c r="AV122" s="125">
        <f>AV11/293.07*(1/(VLOOKUP($AF122,'Fuel economy adjusted factor'!$A$2:$L$52,5,FALSE)*m2k))/'TCO Inputs'!$AZ$84</f>
        <v>180.1758706916286</v>
      </c>
      <c r="AW122" s="125">
        <f>AW11/293.07*(1/(VLOOKUP($AF122,'Fuel economy adjusted factor'!$A$2:$L$52,5,FALSE)*m2k))/'TCO Inputs'!$AZ$84</f>
        <v>180.1758706916286</v>
      </c>
      <c r="AX122" s="125">
        <f>AX11/293.07*(1/(VLOOKUP($AF122,'Fuel economy adjusted factor'!$A$2:$L$52,5,FALSE)*m2k))/'TCO Inputs'!$AZ$84</f>
        <v>180.1758706916286</v>
      </c>
      <c r="AY122" s="125">
        <f>AY11/293.07*(1/(VLOOKUP($AF122,'Fuel economy adjusted factor'!$A$2:$L$52,5,FALSE)*m2k))/'TCO Inputs'!$AZ$84</f>
        <v>180.1758706916286</v>
      </c>
      <c r="AZ122" s="125">
        <f>AZ11/293.07*(1/(VLOOKUP($AF122,'Fuel economy adjusted factor'!$A$2:$L$52,5,FALSE)*m2k))/'TCO Inputs'!$AZ$84</f>
        <v>180.1758706916286</v>
      </c>
      <c r="BA122" s="125">
        <f>BA11/293.07*(1/(VLOOKUP($AF122,'Fuel economy adjusted factor'!$A$2:$L$52,5,FALSE)*m2k))/'TCO Inputs'!$AZ$84</f>
        <v>180.1758706916286</v>
      </c>
      <c r="BB122" s="125">
        <f>BB11/293.07*(1/(VLOOKUP($AF122,'Fuel economy adjusted factor'!$A$2:$L$52,5,FALSE)*m2k))/'TCO Inputs'!$AZ$84</f>
        <v>180.1758706916286</v>
      </c>
      <c r="BC122" s="125">
        <f>BC11/293.07*(1/(VLOOKUP($AF122,'Fuel economy adjusted factor'!$A$2:$L$52,5,FALSE)*m2k))/'TCO Inputs'!$AZ$84</f>
        <v>180.1758706916286</v>
      </c>
      <c r="BD122" s="125">
        <f>BD11/293.07*(1/(VLOOKUP($AF122,'Fuel economy adjusted factor'!$A$2:$L$52,5,FALSE)*m2k))/'TCO Inputs'!$AZ$84</f>
        <v>180.1758706916286</v>
      </c>
      <c r="BE122" s="125">
        <f>BE11/293.07*(1/(VLOOKUP($AF122,'Fuel economy adjusted factor'!$A$2:$L$52,5,FALSE)*m2k))/'TCO Inputs'!$AZ$84</f>
        <v>180.1758706916286</v>
      </c>
      <c r="BF122" s="125">
        <f>BF11/293.07*(1/(VLOOKUP($AF122,'Fuel economy adjusted factor'!$A$2:$L$52,5,FALSE)*m2k))/'TCO Inputs'!$AZ$84</f>
        <v>180.1758706916286</v>
      </c>
      <c r="BG122" s="125">
        <f>BG11/293.07*(1/(VLOOKUP($AF122,'Fuel economy adjusted factor'!$A$2:$L$52,5,FALSE)*m2k))/'TCO Inputs'!$AZ$84</f>
        <v>180.1758706916286</v>
      </c>
      <c r="BH122" s="125">
        <f>BH11/293.07*(1/(VLOOKUP($AF122,'Fuel economy adjusted factor'!$A$2:$L$52,5,FALSE)*m2k))/'TCO Inputs'!$AZ$84</f>
        <v>180.1758706916286</v>
      </c>
      <c r="BI122" s="98" cm="1">
        <f t="array" ref="BI122">SUMPRODUCT(INDEX(AG122:BH122,,'TCO Inputs'!$AZ$12-2023+_xlfn.SEQUENCE('TCO Inputs'!$AZ$13))*INDEX('VKT US'!C70:AA70,,_xlfn.SEQUENCE('TCO Inputs'!$AZ$13)))*m2k*CONVERT(0.9072,"g","ton")</f>
        <v>48.027034489949351</v>
      </c>
      <c r="BL122" s="123" t="s">
        <v>192</v>
      </c>
      <c r="BM122" s="125">
        <f>BM11/293.07*(1/(VLOOKUP($BL122,'Fuel economy adjusted factor'!$A$2:$L$52,5,FALSE)*m2k))/'TCO Inputs'!$AZ$84</f>
        <v>133.94530699121384</v>
      </c>
      <c r="BN122" s="125">
        <f>BN11/293.07*(1/(VLOOKUP($BL122,'Fuel economy adjusted factor'!$A$2:$L$52,5,FALSE)*m2k))/'TCO Inputs'!$AZ$84</f>
        <v>133.94530699121384</v>
      </c>
      <c r="BO122" s="125">
        <f>BO11/293.07*(1/(VLOOKUP($BL122,'Fuel economy adjusted factor'!$A$2:$L$52,5,FALSE)*m2k))/'TCO Inputs'!$AZ$84</f>
        <v>133.94530699121384</v>
      </c>
      <c r="BP122" s="125">
        <f>BP11/293.07*(1/(VLOOKUP($BL122,'Fuel economy adjusted factor'!$A$2:$L$52,5,FALSE)*m2k))/'TCO Inputs'!$AZ$84</f>
        <v>133.94530699121384</v>
      </c>
      <c r="BQ122" s="125">
        <f>BQ11/293.07*(1/(VLOOKUP($BL122,'Fuel economy adjusted factor'!$A$2:$L$52,5,FALSE)*m2k))/'TCO Inputs'!$AZ$84</f>
        <v>133.94530699121384</v>
      </c>
      <c r="BR122" s="125">
        <f>BR11/293.07*(1/(VLOOKUP($BL122,'Fuel economy adjusted factor'!$A$2:$L$52,5,FALSE)*m2k))/'TCO Inputs'!$AZ$84</f>
        <v>133.94530699121384</v>
      </c>
      <c r="BS122" s="125">
        <f>BS11/293.07*(1/(VLOOKUP($BL122,'Fuel economy adjusted factor'!$A$2:$L$52,5,FALSE)*m2k))/'TCO Inputs'!$AZ$84</f>
        <v>133.94530699121384</v>
      </c>
      <c r="BT122" s="125">
        <f>BT11/293.07*(1/(VLOOKUP($BL122,'Fuel economy adjusted factor'!$A$2:$L$52,5,FALSE)*m2k))/'TCO Inputs'!$AZ$84</f>
        <v>133.94530699121384</v>
      </c>
      <c r="BU122" s="125">
        <f>BU11/293.07*(1/(VLOOKUP($BL122,'Fuel economy adjusted factor'!$A$2:$L$52,5,FALSE)*m2k))/'TCO Inputs'!$AZ$84</f>
        <v>133.94530699121384</v>
      </c>
      <c r="BV122" s="125">
        <f>BV11/293.07*(1/(VLOOKUP($BL122,'Fuel economy adjusted factor'!$A$2:$L$52,5,FALSE)*m2k))/'TCO Inputs'!$AZ$84</f>
        <v>133.94530699121384</v>
      </c>
      <c r="BW122" s="125">
        <f>BW11/293.07*(1/(VLOOKUP($BL122,'Fuel economy adjusted factor'!$A$2:$L$52,5,FALSE)*m2k))/'TCO Inputs'!$AZ$84</f>
        <v>133.94530699121384</v>
      </c>
      <c r="BX122" s="125">
        <f>BX11/293.07*(1/(VLOOKUP($BL122,'Fuel economy adjusted factor'!$A$2:$L$52,5,FALSE)*m2k))/'TCO Inputs'!$AZ$84</f>
        <v>133.94530699121384</v>
      </c>
      <c r="BY122" s="125">
        <f>BY11/293.07*(1/(VLOOKUP($BL122,'Fuel economy adjusted factor'!$A$2:$L$52,5,FALSE)*m2k))/'TCO Inputs'!$AZ$84</f>
        <v>133.94530699121384</v>
      </c>
      <c r="BZ122" s="125">
        <f>BZ11/293.07*(1/(VLOOKUP($BL122,'Fuel economy adjusted factor'!$A$2:$L$52,5,FALSE)*m2k))/'TCO Inputs'!$AZ$84</f>
        <v>133.94530699121384</v>
      </c>
      <c r="CA122" s="125">
        <f>CA11/293.07*(1/(VLOOKUP($BL122,'Fuel economy adjusted factor'!$A$2:$L$52,5,FALSE)*m2k))/'TCO Inputs'!$AZ$84</f>
        <v>133.94530699121384</v>
      </c>
      <c r="CB122" s="125">
        <f>CB11/293.07*(1/(VLOOKUP($BL122,'Fuel economy adjusted factor'!$A$2:$L$52,5,FALSE)*m2k))/'TCO Inputs'!$AZ$84</f>
        <v>133.94530699121384</v>
      </c>
      <c r="CC122" s="125">
        <f>CC11/293.07*(1/(VLOOKUP($BL122,'Fuel economy adjusted factor'!$A$2:$L$52,5,FALSE)*m2k))/'TCO Inputs'!$AZ$84</f>
        <v>133.94530699121384</v>
      </c>
      <c r="CD122" s="125">
        <f>CD11/293.07*(1/(VLOOKUP($BL122,'Fuel economy adjusted factor'!$A$2:$L$52,5,FALSE)*m2k))/'TCO Inputs'!$AZ$84</f>
        <v>133.94530699121384</v>
      </c>
      <c r="CE122" s="125">
        <f>CE11/293.07*(1/(VLOOKUP($BL122,'Fuel economy adjusted factor'!$A$2:$L$52,5,FALSE)*m2k))/'TCO Inputs'!$AZ$84</f>
        <v>133.94530699121384</v>
      </c>
      <c r="CF122" s="125">
        <f>CF11/293.07*(1/(VLOOKUP($BL122,'Fuel economy adjusted factor'!$A$2:$L$52,5,FALSE)*m2k))/'TCO Inputs'!$AZ$84</f>
        <v>133.94530699121384</v>
      </c>
      <c r="CG122" s="125">
        <f>CG11/293.07*(1/(VLOOKUP($BL122,'Fuel economy adjusted factor'!$A$2:$L$52,5,FALSE)*m2k))/'TCO Inputs'!$AZ$84</f>
        <v>133.94530699121384</v>
      </c>
      <c r="CH122" s="125">
        <f>CH11/293.07*(1/(VLOOKUP($BL122,'Fuel economy adjusted factor'!$A$2:$L$52,5,FALSE)*m2k))/'TCO Inputs'!$AZ$84</f>
        <v>133.94530699121384</v>
      </c>
      <c r="CI122" s="125">
        <f>CI11/293.07*(1/(VLOOKUP($BL122,'Fuel economy adjusted factor'!$A$2:$L$52,5,FALSE)*m2k))/'TCO Inputs'!$AZ$84</f>
        <v>133.94530699121384</v>
      </c>
      <c r="CJ122" s="125">
        <f>CJ11/293.07*(1/(VLOOKUP($BL122,'Fuel economy adjusted factor'!$A$2:$L$52,5,FALSE)*m2k))/'TCO Inputs'!$AZ$84</f>
        <v>133.94530699121384</v>
      </c>
      <c r="CK122" s="125">
        <f>CK11/293.07*(1/(VLOOKUP($BL122,'Fuel economy adjusted factor'!$A$2:$L$52,5,FALSE)*m2k))/'TCO Inputs'!$AZ$84</f>
        <v>133.94530699121384</v>
      </c>
      <c r="CL122" s="125">
        <f>CL11/293.07*(1/(VLOOKUP($BL122,'Fuel economy adjusted factor'!$A$2:$L$52,5,FALSE)*m2k))/'TCO Inputs'!$AZ$84</f>
        <v>133.94530699121384</v>
      </c>
      <c r="CM122" s="125">
        <f>CM11/293.07*(1/(VLOOKUP($BL122,'Fuel economy adjusted factor'!$A$2:$L$52,5,FALSE)*m2k))/'TCO Inputs'!$AZ$84</f>
        <v>133.94530699121384</v>
      </c>
      <c r="CN122" s="125">
        <f>CN11/293.07*(1/(VLOOKUP($BL122,'Fuel economy adjusted factor'!$A$2:$L$52,5,FALSE)*m2k))/'TCO Inputs'!$AZ$84</f>
        <v>133.94530699121384</v>
      </c>
      <c r="CO122" s="98" cm="1">
        <f t="array" ref="CO122">SUMPRODUCT(INDEX(BM122:CN122,,'TCO Inputs'!$AZ$12-2023+_xlfn.SEQUENCE('TCO Inputs'!$AZ$13))*INDEX('VKT US'!C70:AA70,,_xlfn.SEQUENCE('TCO Inputs'!$AZ$13)))*m2k*CONVERT(0.9072,"g","ton")</f>
        <v>35.703981082150371</v>
      </c>
    </row>
    <row r="123" spans="1:93" x14ac:dyDescent="0.25">
      <c r="A123" s="123" t="s">
        <v>193</v>
      </c>
      <c r="B123" s="125">
        <f>B12/293.07*(1/(VLOOKUP($A123,'Fuel economy adjusted factor'!$A$2:$L$52,5,FALSE)*m2k))/'TCO Inputs'!$AZ$84</f>
        <v>133.95006009890147</v>
      </c>
      <c r="C123" s="125">
        <f>C12/293.07*(1/(VLOOKUP($A123,'Fuel economy adjusted factor'!$A$2:$L$52,5,FALSE)*m2k))/'TCO Inputs'!$AZ$84</f>
        <v>133.95006009890147</v>
      </c>
      <c r="D123" s="125">
        <f>D12/293.07*(1/(VLOOKUP($A123,'Fuel economy adjusted factor'!$A$2:$L$52,5,FALSE)*m2k))/'TCO Inputs'!$AZ$84</f>
        <v>133.95006009890147</v>
      </c>
      <c r="E123" s="125">
        <f>E12/293.07*(1/(VLOOKUP($A123,'Fuel economy adjusted factor'!$A$2:$L$52,5,FALSE)*m2k))/'TCO Inputs'!$AZ$84</f>
        <v>133.95006009890147</v>
      </c>
      <c r="F123" s="125">
        <f>F12/293.07*(1/(VLOOKUP($A123,'Fuel economy adjusted factor'!$A$2:$L$52,5,FALSE)*m2k))/'TCO Inputs'!$AZ$84</f>
        <v>133.95006009890147</v>
      </c>
      <c r="G123" s="125">
        <f>G12/293.07*(1/(VLOOKUP($A123,'Fuel economy adjusted factor'!$A$2:$L$52,5,FALSE)*m2k))/'TCO Inputs'!$AZ$84</f>
        <v>133.95006009890147</v>
      </c>
      <c r="H123" s="125">
        <f>H12/293.07*(1/(VLOOKUP($A123,'Fuel economy adjusted factor'!$A$2:$L$52,5,FALSE)*m2k))/'TCO Inputs'!$AZ$84</f>
        <v>133.95006009890147</v>
      </c>
      <c r="I123" s="125">
        <f>I12/293.07*(1/(VLOOKUP($A123,'Fuel economy adjusted factor'!$A$2:$L$52,5,FALSE)*m2k))/'TCO Inputs'!$AZ$84</f>
        <v>133.95006009890147</v>
      </c>
      <c r="J123" s="125">
        <f>J12/293.07*(1/(VLOOKUP($A123,'Fuel economy adjusted factor'!$A$2:$L$52,5,FALSE)*m2k))/'TCO Inputs'!$AZ$84</f>
        <v>133.95006009890147</v>
      </c>
      <c r="K123" s="125">
        <f>K12/293.07*(1/(VLOOKUP($A123,'Fuel economy adjusted factor'!$A$2:$L$52,5,FALSE)*m2k))/'TCO Inputs'!$AZ$84</f>
        <v>133.95006009890147</v>
      </c>
      <c r="L123" s="125">
        <f>L12/293.07*(1/(VLOOKUP($A123,'Fuel economy adjusted factor'!$A$2:$L$52,5,FALSE)*m2k))/'TCO Inputs'!$AZ$84</f>
        <v>133.95006009890147</v>
      </c>
      <c r="M123" s="125">
        <f>M12/293.07*(1/(VLOOKUP($A123,'Fuel economy adjusted factor'!$A$2:$L$52,5,FALSE)*m2k))/'TCO Inputs'!$AZ$84</f>
        <v>133.95006009890147</v>
      </c>
      <c r="N123" s="125">
        <f>N12/293.07*(1/(VLOOKUP($A123,'Fuel economy adjusted factor'!$A$2:$L$52,5,FALSE)*m2k))/'TCO Inputs'!$AZ$84</f>
        <v>133.95006009890147</v>
      </c>
      <c r="O123" s="125">
        <f>O12/293.07*(1/(VLOOKUP($A123,'Fuel economy adjusted factor'!$A$2:$L$52,5,FALSE)*m2k))/'TCO Inputs'!$AZ$84</f>
        <v>133.95006009890147</v>
      </c>
      <c r="P123" s="125">
        <f>P12/293.07*(1/(VLOOKUP($A123,'Fuel economy adjusted factor'!$A$2:$L$52,5,FALSE)*m2k))/'TCO Inputs'!$AZ$84</f>
        <v>133.95006009890147</v>
      </c>
      <c r="Q123" s="125">
        <f>Q12/293.07*(1/(VLOOKUP($A123,'Fuel economy adjusted factor'!$A$2:$L$52,5,FALSE)*m2k))/'TCO Inputs'!$AZ$84</f>
        <v>133.95006009890147</v>
      </c>
      <c r="R123" s="125">
        <f>R12/293.07*(1/(VLOOKUP($A123,'Fuel economy adjusted factor'!$A$2:$L$52,5,FALSE)*m2k))/'TCO Inputs'!$AZ$84</f>
        <v>133.95006009890147</v>
      </c>
      <c r="S123" s="125">
        <f>S12/293.07*(1/(VLOOKUP($A123,'Fuel economy adjusted factor'!$A$2:$L$52,5,FALSE)*m2k))/'TCO Inputs'!$AZ$84</f>
        <v>133.95006009890147</v>
      </c>
      <c r="T123" s="125">
        <f>T12/293.07*(1/(VLOOKUP($A123,'Fuel economy adjusted factor'!$A$2:$L$52,5,FALSE)*m2k))/'TCO Inputs'!$AZ$84</f>
        <v>133.95006009890147</v>
      </c>
      <c r="U123" s="125">
        <f>U12/293.07*(1/(VLOOKUP($A123,'Fuel economy adjusted factor'!$A$2:$L$52,5,FALSE)*m2k))/'TCO Inputs'!$AZ$84</f>
        <v>133.95006009890147</v>
      </c>
      <c r="V123" s="125">
        <f>V12/293.07*(1/(VLOOKUP($A123,'Fuel economy adjusted factor'!$A$2:$L$52,5,FALSE)*m2k))/'TCO Inputs'!$AZ$84</f>
        <v>133.95006009890147</v>
      </c>
      <c r="W123" s="125">
        <f>W12/293.07*(1/(VLOOKUP($A123,'Fuel economy adjusted factor'!$A$2:$L$52,5,FALSE)*m2k))/'TCO Inputs'!$AZ$84</f>
        <v>133.95006009890147</v>
      </c>
      <c r="X123" s="125">
        <f>X12/293.07*(1/(VLOOKUP($A123,'Fuel economy adjusted factor'!$A$2:$L$52,5,FALSE)*m2k))/'TCO Inputs'!$AZ$84</f>
        <v>133.95006009890147</v>
      </c>
      <c r="Y123" s="125">
        <f>Y12/293.07*(1/(VLOOKUP($A123,'Fuel economy adjusted factor'!$A$2:$L$52,5,FALSE)*m2k))/'TCO Inputs'!$AZ$84</f>
        <v>133.95006009890147</v>
      </c>
      <c r="Z123" s="125">
        <f>Z12/293.07*(1/(VLOOKUP($A123,'Fuel economy adjusted factor'!$A$2:$L$52,5,FALSE)*m2k))/'TCO Inputs'!$AZ$84</f>
        <v>133.95006009890147</v>
      </c>
      <c r="AA123" s="125">
        <f>AA12/293.07*(1/(VLOOKUP($A123,'Fuel economy adjusted factor'!$A$2:$L$52,5,FALSE)*m2k))/'TCO Inputs'!$AZ$84</f>
        <v>133.95006009890147</v>
      </c>
      <c r="AB123" s="125">
        <f>AB12/293.07*(1/(VLOOKUP($A123,'Fuel economy adjusted factor'!$A$2:$L$52,5,FALSE)*m2k))/'TCO Inputs'!$AZ$84</f>
        <v>133.95006009890147</v>
      </c>
      <c r="AC123" s="125">
        <f>AC12/293.07*(1/(VLOOKUP($A123,'Fuel economy adjusted factor'!$A$2:$L$52,5,FALSE)*m2k))/'TCO Inputs'!$AZ$84</f>
        <v>133.95006009890147</v>
      </c>
      <c r="AD123" s="98" cm="1">
        <f t="array" ref="AD123">SUMPRODUCT(INDEX(B123:AC123,,'TCO Inputs'!$AZ$12-2023+_xlfn.SEQUENCE('TCO Inputs'!$AZ$13))*INDEX('VKT US'!C71:AA71,,_xlfn.SEQUENCE('TCO Inputs'!$AZ$13)))*m2k*CONVERT(0.9072,"g","ton")</f>
        <v>41.221452606460723</v>
      </c>
      <c r="AF123" s="123" t="s">
        <v>193</v>
      </c>
      <c r="AG123" s="125">
        <f>AG12/293.07*(1/(VLOOKUP($AF123,'Fuel economy adjusted factor'!$A$2:$L$52,5,FALSE)*m2k))/'TCO Inputs'!$AZ$84</f>
        <v>157.00391299213794</v>
      </c>
      <c r="AH123" s="125">
        <f>AH12/293.07*(1/(VLOOKUP($AF123,'Fuel economy adjusted factor'!$A$2:$L$52,5,FALSE)*m2k))/'TCO Inputs'!$AZ$84</f>
        <v>157.00391299213794</v>
      </c>
      <c r="AI123" s="125">
        <f>AI12/293.07*(1/(VLOOKUP($AF123,'Fuel economy adjusted factor'!$A$2:$L$52,5,FALSE)*m2k))/'TCO Inputs'!$AZ$84</f>
        <v>157.00391299213794</v>
      </c>
      <c r="AJ123" s="125">
        <f>AJ12/293.07*(1/(VLOOKUP($AF123,'Fuel economy adjusted factor'!$A$2:$L$52,5,FALSE)*m2k))/'TCO Inputs'!$AZ$84</f>
        <v>157.00391299213794</v>
      </c>
      <c r="AK123" s="125">
        <f>AK12/293.07*(1/(VLOOKUP($AF123,'Fuel economy adjusted factor'!$A$2:$L$52,5,FALSE)*m2k))/'TCO Inputs'!$AZ$84</f>
        <v>157.00391299213794</v>
      </c>
      <c r="AL123" s="125">
        <f>AL12/293.07*(1/(VLOOKUP($AF123,'Fuel economy adjusted factor'!$A$2:$L$52,5,FALSE)*m2k))/'TCO Inputs'!$AZ$84</f>
        <v>157.00391299213794</v>
      </c>
      <c r="AM123" s="125">
        <f>AM12/293.07*(1/(VLOOKUP($AF123,'Fuel economy adjusted factor'!$A$2:$L$52,5,FALSE)*m2k))/'TCO Inputs'!$AZ$84</f>
        <v>157.00391299213794</v>
      </c>
      <c r="AN123" s="125">
        <f>AN12/293.07*(1/(VLOOKUP($AF123,'Fuel economy adjusted factor'!$A$2:$L$52,5,FALSE)*m2k))/'TCO Inputs'!$AZ$84</f>
        <v>157.00391299213794</v>
      </c>
      <c r="AO123" s="125">
        <f>AO12/293.07*(1/(VLOOKUP($AF123,'Fuel economy adjusted factor'!$A$2:$L$52,5,FALSE)*m2k))/'TCO Inputs'!$AZ$84</f>
        <v>157.00391299213794</v>
      </c>
      <c r="AP123" s="125">
        <f>AP12/293.07*(1/(VLOOKUP($AF123,'Fuel economy adjusted factor'!$A$2:$L$52,5,FALSE)*m2k))/'TCO Inputs'!$AZ$84</f>
        <v>157.00391299213794</v>
      </c>
      <c r="AQ123" s="125">
        <f>AQ12/293.07*(1/(VLOOKUP($AF123,'Fuel economy adjusted factor'!$A$2:$L$52,5,FALSE)*m2k))/'TCO Inputs'!$AZ$84</f>
        <v>157.00391299213794</v>
      </c>
      <c r="AR123" s="125">
        <f>AR12/293.07*(1/(VLOOKUP($AF123,'Fuel economy adjusted factor'!$A$2:$L$52,5,FALSE)*m2k))/'TCO Inputs'!$AZ$84</f>
        <v>157.00391299213794</v>
      </c>
      <c r="AS123" s="125">
        <f>AS12/293.07*(1/(VLOOKUP($AF123,'Fuel economy adjusted factor'!$A$2:$L$52,5,FALSE)*m2k))/'TCO Inputs'!$AZ$84</f>
        <v>157.00391299213794</v>
      </c>
      <c r="AT123" s="125">
        <f>AT12/293.07*(1/(VLOOKUP($AF123,'Fuel economy adjusted factor'!$A$2:$L$52,5,FALSE)*m2k))/'TCO Inputs'!$AZ$84</f>
        <v>157.00391299213794</v>
      </c>
      <c r="AU123" s="125">
        <f>AU12/293.07*(1/(VLOOKUP($AF123,'Fuel economy adjusted factor'!$A$2:$L$52,5,FALSE)*m2k))/'TCO Inputs'!$AZ$84</f>
        <v>157.00391299213794</v>
      </c>
      <c r="AV123" s="125">
        <f>AV12/293.07*(1/(VLOOKUP($AF123,'Fuel economy adjusted factor'!$A$2:$L$52,5,FALSE)*m2k))/'TCO Inputs'!$AZ$84</f>
        <v>157.00391299213794</v>
      </c>
      <c r="AW123" s="125">
        <f>AW12/293.07*(1/(VLOOKUP($AF123,'Fuel economy adjusted factor'!$A$2:$L$52,5,FALSE)*m2k))/'TCO Inputs'!$AZ$84</f>
        <v>157.00391299213794</v>
      </c>
      <c r="AX123" s="125">
        <f>AX12/293.07*(1/(VLOOKUP($AF123,'Fuel economy adjusted factor'!$A$2:$L$52,5,FALSE)*m2k))/'TCO Inputs'!$AZ$84</f>
        <v>157.00391299213794</v>
      </c>
      <c r="AY123" s="125">
        <f>AY12/293.07*(1/(VLOOKUP($AF123,'Fuel economy adjusted factor'!$A$2:$L$52,5,FALSE)*m2k))/'TCO Inputs'!$AZ$84</f>
        <v>157.00391299213794</v>
      </c>
      <c r="AZ123" s="125">
        <f>AZ12/293.07*(1/(VLOOKUP($AF123,'Fuel economy adjusted factor'!$A$2:$L$52,5,FALSE)*m2k))/'TCO Inputs'!$AZ$84</f>
        <v>157.00391299213794</v>
      </c>
      <c r="BA123" s="125">
        <f>BA12/293.07*(1/(VLOOKUP($AF123,'Fuel economy adjusted factor'!$A$2:$L$52,5,FALSE)*m2k))/'TCO Inputs'!$AZ$84</f>
        <v>157.00391299213794</v>
      </c>
      <c r="BB123" s="125">
        <f>BB12/293.07*(1/(VLOOKUP($AF123,'Fuel economy adjusted factor'!$A$2:$L$52,5,FALSE)*m2k))/'TCO Inputs'!$AZ$84</f>
        <v>157.00391299213794</v>
      </c>
      <c r="BC123" s="125">
        <f>BC12/293.07*(1/(VLOOKUP($AF123,'Fuel economy adjusted factor'!$A$2:$L$52,5,FALSE)*m2k))/'TCO Inputs'!$AZ$84</f>
        <v>157.00391299213794</v>
      </c>
      <c r="BD123" s="125">
        <f>BD12/293.07*(1/(VLOOKUP($AF123,'Fuel economy adjusted factor'!$A$2:$L$52,5,FALSE)*m2k))/'TCO Inputs'!$AZ$84</f>
        <v>157.00391299213794</v>
      </c>
      <c r="BE123" s="125">
        <f>BE12/293.07*(1/(VLOOKUP($AF123,'Fuel economy adjusted factor'!$A$2:$L$52,5,FALSE)*m2k))/'TCO Inputs'!$AZ$84</f>
        <v>157.00391299213794</v>
      </c>
      <c r="BF123" s="125">
        <f>BF12/293.07*(1/(VLOOKUP($AF123,'Fuel economy adjusted factor'!$A$2:$L$52,5,FALSE)*m2k))/'TCO Inputs'!$AZ$84</f>
        <v>157.00391299213794</v>
      </c>
      <c r="BG123" s="125">
        <f>BG12/293.07*(1/(VLOOKUP($AF123,'Fuel economy adjusted factor'!$A$2:$L$52,5,FALSE)*m2k))/'TCO Inputs'!$AZ$84</f>
        <v>157.00391299213794</v>
      </c>
      <c r="BH123" s="125">
        <f>BH12/293.07*(1/(VLOOKUP($AF123,'Fuel economy adjusted factor'!$A$2:$L$52,5,FALSE)*m2k))/'TCO Inputs'!$AZ$84</f>
        <v>157.00391299213794</v>
      </c>
      <c r="BI123" s="98" cm="1">
        <f t="array" ref="BI123">SUMPRODUCT(INDEX(AG123:BH123,,'TCO Inputs'!$AZ$12-2023+_xlfn.SEQUENCE('TCO Inputs'!$AZ$13))*INDEX('VKT US'!C71:AA71,,_xlfn.SEQUENCE('TCO Inputs'!$AZ$13)))*m2k*CONVERT(0.9072,"g","ton")</f>
        <v>48.315986970485675</v>
      </c>
      <c r="BL123" s="123" t="s">
        <v>193</v>
      </c>
      <c r="BM123" s="125">
        <f>BM12/293.07*(1/(VLOOKUP($BL123,'Fuel economy adjusted factor'!$A$2:$L$52,5,FALSE)*m2k))/'TCO Inputs'!$AZ$84</f>
        <v>116.71894379545706</v>
      </c>
      <c r="BN123" s="125">
        <f>BN12/293.07*(1/(VLOOKUP($BL123,'Fuel economy adjusted factor'!$A$2:$L$52,5,FALSE)*m2k))/'TCO Inputs'!$AZ$84</f>
        <v>116.71894379545706</v>
      </c>
      <c r="BO123" s="125">
        <f>BO12/293.07*(1/(VLOOKUP($BL123,'Fuel economy adjusted factor'!$A$2:$L$52,5,FALSE)*m2k))/'TCO Inputs'!$AZ$84</f>
        <v>116.71894379545706</v>
      </c>
      <c r="BP123" s="125">
        <f>BP12/293.07*(1/(VLOOKUP($BL123,'Fuel economy adjusted factor'!$A$2:$L$52,5,FALSE)*m2k))/'TCO Inputs'!$AZ$84</f>
        <v>116.71894379545706</v>
      </c>
      <c r="BQ123" s="125">
        <f>BQ12/293.07*(1/(VLOOKUP($BL123,'Fuel economy adjusted factor'!$A$2:$L$52,5,FALSE)*m2k))/'TCO Inputs'!$AZ$84</f>
        <v>116.71894379545706</v>
      </c>
      <c r="BR123" s="125">
        <f>BR12/293.07*(1/(VLOOKUP($BL123,'Fuel economy adjusted factor'!$A$2:$L$52,5,FALSE)*m2k))/'TCO Inputs'!$AZ$84</f>
        <v>116.71894379545706</v>
      </c>
      <c r="BS123" s="125">
        <f>BS12/293.07*(1/(VLOOKUP($BL123,'Fuel economy adjusted factor'!$A$2:$L$52,5,FALSE)*m2k))/'TCO Inputs'!$AZ$84</f>
        <v>116.71894379545706</v>
      </c>
      <c r="BT123" s="125">
        <f>BT12/293.07*(1/(VLOOKUP($BL123,'Fuel economy adjusted factor'!$A$2:$L$52,5,FALSE)*m2k))/'TCO Inputs'!$AZ$84</f>
        <v>116.71894379545706</v>
      </c>
      <c r="BU123" s="125">
        <f>BU12/293.07*(1/(VLOOKUP($BL123,'Fuel economy adjusted factor'!$A$2:$L$52,5,FALSE)*m2k))/'TCO Inputs'!$AZ$84</f>
        <v>116.71894379545706</v>
      </c>
      <c r="BV123" s="125">
        <f>BV12/293.07*(1/(VLOOKUP($BL123,'Fuel economy adjusted factor'!$A$2:$L$52,5,FALSE)*m2k))/'TCO Inputs'!$AZ$84</f>
        <v>116.71894379545706</v>
      </c>
      <c r="BW123" s="125">
        <f>BW12/293.07*(1/(VLOOKUP($BL123,'Fuel economy adjusted factor'!$A$2:$L$52,5,FALSE)*m2k))/'TCO Inputs'!$AZ$84</f>
        <v>116.71894379545706</v>
      </c>
      <c r="BX123" s="125">
        <f>BX12/293.07*(1/(VLOOKUP($BL123,'Fuel economy adjusted factor'!$A$2:$L$52,5,FALSE)*m2k))/'TCO Inputs'!$AZ$84</f>
        <v>116.71894379545706</v>
      </c>
      <c r="BY123" s="125">
        <f>BY12/293.07*(1/(VLOOKUP($BL123,'Fuel economy adjusted factor'!$A$2:$L$52,5,FALSE)*m2k))/'TCO Inputs'!$AZ$84</f>
        <v>116.71894379545706</v>
      </c>
      <c r="BZ123" s="125">
        <f>BZ12/293.07*(1/(VLOOKUP($BL123,'Fuel economy adjusted factor'!$A$2:$L$52,5,FALSE)*m2k))/'TCO Inputs'!$AZ$84</f>
        <v>116.71894379545706</v>
      </c>
      <c r="CA123" s="125">
        <f>CA12/293.07*(1/(VLOOKUP($BL123,'Fuel economy adjusted factor'!$A$2:$L$52,5,FALSE)*m2k))/'TCO Inputs'!$AZ$84</f>
        <v>116.71894379545706</v>
      </c>
      <c r="CB123" s="125">
        <f>CB12/293.07*(1/(VLOOKUP($BL123,'Fuel economy adjusted factor'!$A$2:$L$52,5,FALSE)*m2k))/'TCO Inputs'!$AZ$84</f>
        <v>116.71894379545706</v>
      </c>
      <c r="CC123" s="125">
        <f>CC12/293.07*(1/(VLOOKUP($BL123,'Fuel economy adjusted factor'!$A$2:$L$52,5,FALSE)*m2k))/'TCO Inputs'!$AZ$84</f>
        <v>116.71894379545706</v>
      </c>
      <c r="CD123" s="125">
        <f>CD12/293.07*(1/(VLOOKUP($BL123,'Fuel economy adjusted factor'!$A$2:$L$52,5,FALSE)*m2k))/'TCO Inputs'!$AZ$84</f>
        <v>116.71894379545706</v>
      </c>
      <c r="CE123" s="125">
        <f>CE12/293.07*(1/(VLOOKUP($BL123,'Fuel economy adjusted factor'!$A$2:$L$52,5,FALSE)*m2k))/'TCO Inputs'!$AZ$84</f>
        <v>116.71894379545706</v>
      </c>
      <c r="CF123" s="125">
        <f>CF12/293.07*(1/(VLOOKUP($BL123,'Fuel economy adjusted factor'!$A$2:$L$52,5,FALSE)*m2k))/'TCO Inputs'!$AZ$84</f>
        <v>116.71894379545706</v>
      </c>
      <c r="CG123" s="125">
        <f>CG12/293.07*(1/(VLOOKUP($BL123,'Fuel economy adjusted factor'!$A$2:$L$52,5,FALSE)*m2k))/'TCO Inputs'!$AZ$84</f>
        <v>116.71894379545706</v>
      </c>
      <c r="CH123" s="125">
        <f>CH12/293.07*(1/(VLOOKUP($BL123,'Fuel economy adjusted factor'!$A$2:$L$52,5,FALSE)*m2k))/'TCO Inputs'!$AZ$84</f>
        <v>116.71894379545706</v>
      </c>
      <c r="CI123" s="125">
        <f>CI12/293.07*(1/(VLOOKUP($BL123,'Fuel economy adjusted factor'!$A$2:$L$52,5,FALSE)*m2k))/'TCO Inputs'!$AZ$84</f>
        <v>116.71894379545706</v>
      </c>
      <c r="CJ123" s="125">
        <f>CJ12/293.07*(1/(VLOOKUP($BL123,'Fuel economy adjusted factor'!$A$2:$L$52,5,FALSE)*m2k))/'TCO Inputs'!$AZ$84</f>
        <v>116.71894379545706</v>
      </c>
      <c r="CK123" s="125">
        <f>CK12/293.07*(1/(VLOOKUP($BL123,'Fuel economy adjusted factor'!$A$2:$L$52,5,FALSE)*m2k))/'TCO Inputs'!$AZ$84</f>
        <v>116.71894379545706</v>
      </c>
      <c r="CL123" s="125">
        <f>CL12/293.07*(1/(VLOOKUP($BL123,'Fuel economy adjusted factor'!$A$2:$L$52,5,FALSE)*m2k))/'TCO Inputs'!$AZ$84</f>
        <v>116.71894379545706</v>
      </c>
      <c r="CM123" s="125">
        <f>CM12/293.07*(1/(VLOOKUP($BL123,'Fuel economy adjusted factor'!$A$2:$L$52,5,FALSE)*m2k))/'TCO Inputs'!$AZ$84</f>
        <v>116.71894379545706</v>
      </c>
      <c r="CN123" s="125">
        <f>CN12/293.07*(1/(VLOOKUP($BL123,'Fuel economy adjusted factor'!$A$2:$L$52,5,FALSE)*m2k))/'TCO Inputs'!$AZ$84</f>
        <v>116.71894379545706</v>
      </c>
      <c r="CO123" s="98" cm="1">
        <f t="array" ref="CO123">SUMPRODUCT(INDEX(BM123:CN123,,'TCO Inputs'!$AZ$12-2023+_xlfn.SEQUENCE('TCO Inputs'!$AZ$13))*INDEX('VKT US'!C71:AA71,,_xlfn.SEQUENCE('TCO Inputs'!$AZ$13)))*m2k*CONVERT(0.9072,"g","ton")</f>
        <v>35.918792469284185</v>
      </c>
    </row>
    <row r="124" spans="1:93" x14ac:dyDescent="0.25">
      <c r="A124" s="123" t="s">
        <v>194</v>
      </c>
      <c r="B124" s="125">
        <f>B13/293.07*(1/(VLOOKUP($A124,'Fuel economy adjusted factor'!$A$2:$L$52,5,FALSE)*m2k))/'TCO Inputs'!$AZ$84</f>
        <v>116.9516155100147</v>
      </c>
      <c r="C124" s="125">
        <f>C13/293.07*(1/(VLOOKUP($A124,'Fuel economy adjusted factor'!$A$2:$L$52,5,FALSE)*m2k))/'TCO Inputs'!$AZ$84</f>
        <v>116.9516155100147</v>
      </c>
      <c r="D124" s="125">
        <f>D13/293.07*(1/(VLOOKUP($A124,'Fuel economy adjusted factor'!$A$2:$L$52,5,FALSE)*m2k))/'TCO Inputs'!$AZ$84</f>
        <v>116.9516155100147</v>
      </c>
      <c r="E124" s="125">
        <f>E13/293.07*(1/(VLOOKUP($A124,'Fuel economy adjusted factor'!$A$2:$L$52,5,FALSE)*m2k))/'TCO Inputs'!$AZ$84</f>
        <v>116.9516155100147</v>
      </c>
      <c r="F124" s="125">
        <f>F13/293.07*(1/(VLOOKUP($A124,'Fuel economy adjusted factor'!$A$2:$L$52,5,FALSE)*m2k))/'TCO Inputs'!$AZ$84</f>
        <v>116.9516155100147</v>
      </c>
      <c r="G124" s="125">
        <f>G13/293.07*(1/(VLOOKUP($A124,'Fuel economy adjusted factor'!$A$2:$L$52,5,FALSE)*m2k))/'TCO Inputs'!$AZ$84</f>
        <v>116.9516155100147</v>
      </c>
      <c r="H124" s="125">
        <f>H13/293.07*(1/(VLOOKUP($A124,'Fuel economy adjusted factor'!$A$2:$L$52,5,FALSE)*m2k))/'TCO Inputs'!$AZ$84</f>
        <v>116.9516155100147</v>
      </c>
      <c r="I124" s="125">
        <f>I13/293.07*(1/(VLOOKUP($A124,'Fuel economy adjusted factor'!$A$2:$L$52,5,FALSE)*m2k))/'TCO Inputs'!$AZ$84</f>
        <v>116.9516155100147</v>
      </c>
      <c r="J124" s="125">
        <f>J13/293.07*(1/(VLOOKUP($A124,'Fuel economy adjusted factor'!$A$2:$L$52,5,FALSE)*m2k))/'TCO Inputs'!$AZ$84</f>
        <v>116.9516155100147</v>
      </c>
      <c r="K124" s="125">
        <f>K13/293.07*(1/(VLOOKUP($A124,'Fuel economy adjusted factor'!$A$2:$L$52,5,FALSE)*m2k))/'TCO Inputs'!$AZ$84</f>
        <v>116.9516155100147</v>
      </c>
      <c r="L124" s="125">
        <f>L13/293.07*(1/(VLOOKUP($A124,'Fuel economy adjusted factor'!$A$2:$L$52,5,FALSE)*m2k))/'TCO Inputs'!$AZ$84</f>
        <v>116.9516155100147</v>
      </c>
      <c r="M124" s="125">
        <f>M13/293.07*(1/(VLOOKUP($A124,'Fuel economy adjusted factor'!$A$2:$L$52,5,FALSE)*m2k))/'TCO Inputs'!$AZ$84</f>
        <v>116.9516155100147</v>
      </c>
      <c r="N124" s="125">
        <f>N13/293.07*(1/(VLOOKUP($A124,'Fuel economy adjusted factor'!$A$2:$L$52,5,FALSE)*m2k))/'TCO Inputs'!$AZ$84</f>
        <v>116.9516155100147</v>
      </c>
      <c r="O124" s="125">
        <f>O13/293.07*(1/(VLOOKUP($A124,'Fuel economy adjusted factor'!$A$2:$L$52,5,FALSE)*m2k))/'TCO Inputs'!$AZ$84</f>
        <v>116.9516155100147</v>
      </c>
      <c r="P124" s="125">
        <f>P13/293.07*(1/(VLOOKUP($A124,'Fuel economy adjusted factor'!$A$2:$L$52,5,FALSE)*m2k))/'TCO Inputs'!$AZ$84</f>
        <v>116.9516155100147</v>
      </c>
      <c r="Q124" s="125">
        <f>Q13/293.07*(1/(VLOOKUP($A124,'Fuel economy adjusted factor'!$A$2:$L$52,5,FALSE)*m2k))/'TCO Inputs'!$AZ$84</f>
        <v>116.9516155100147</v>
      </c>
      <c r="R124" s="125">
        <f>R13/293.07*(1/(VLOOKUP($A124,'Fuel economy adjusted factor'!$A$2:$L$52,5,FALSE)*m2k))/'TCO Inputs'!$AZ$84</f>
        <v>116.9516155100147</v>
      </c>
      <c r="S124" s="125">
        <f>S13/293.07*(1/(VLOOKUP($A124,'Fuel economy adjusted factor'!$A$2:$L$52,5,FALSE)*m2k))/'TCO Inputs'!$AZ$84</f>
        <v>116.9516155100147</v>
      </c>
      <c r="T124" s="125">
        <f>T13/293.07*(1/(VLOOKUP($A124,'Fuel economy adjusted factor'!$A$2:$L$52,5,FALSE)*m2k))/'TCO Inputs'!$AZ$84</f>
        <v>116.9516155100147</v>
      </c>
      <c r="U124" s="125">
        <f>U13/293.07*(1/(VLOOKUP($A124,'Fuel economy adjusted factor'!$A$2:$L$52,5,FALSE)*m2k))/'TCO Inputs'!$AZ$84</f>
        <v>116.9516155100147</v>
      </c>
      <c r="V124" s="125">
        <f>V13/293.07*(1/(VLOOKUP($A124,'Fuel economy adjusted factor'!$A$2:$L$52,5,FALSE)*m2k))/'TCO Inputs'!$AZ$84</f>
        <v>116.9516155100147</v>
      </c>
      <c r="W124" s="125">
        <f>W13/293.07*(1/(VLOOKUP($A124,'Fuel economy adjusted factor'!$A$2:$L$52,5,FALSE)*m2k))/'TCO Inputs'!$AZ$84</f>
        <v>116.9516155100147</v>
      </c>
      <c r="X124" s="125">
        <f>X13/293.07*(1/(VLOOKUP($A124,'Fuel economy adjusted factor'!$A$2:$L$52,5,FALSE)*m2k))/'TCO Inputs'!$AZ$84</f>
        <v>116.9516155100147</v>
      </c>
      <c r="Y124" s="125">
        <f>Y13/293.07*(1/(VLOOKUP($A124,'Fuel economy adjusted factor'!$A$2:$L$52,5,FALSE)*m2k))/'TCO Inputs'!$AZ$84</f>
        <v>116.9516155100147</v>
      </c>
      <c r="Z124" s="125">
        <f>Z13/293.07*(1/(VLOOKUP($A124,'Fuel economy adjusted factor'!$A$2:$L$52,5,FALSE)*m2k))/'TCO Inputs'!$AZ$84</f>
        <v>116.9516155100147</v>
      </c>
      <c r="AA124" s="125">
        <f>AA13/293.07*(1/(VLOOKUP($A124,'Fuel economy adjusted factor'!$A$2:$L$52,5,FALSE)*m2k))/'TCO Inputs'!$AZ$84</f>
        <v>116.9516155100147</v>
      </c>
      <c r="AB124" s="125">
        <f>AB13/293.07*(1/(VLOOKUP($A124,'Fuel economy adjusted factor'!$A$2:$L$52,5,FALSE)*m2k))/'TCO Inputs'!$AZ$84</f>
        <v>116.9516155100147</v>
      </c>
      <c r="AC124" s="125">
        <f>AC13/293.07*(1/(VLOOKUP($A124,'Fuel economy adjusted factor'!$A$2:$L$52,5,FALSE)*m2k))/'TCO Inputs'!$AZ$84</f>
        <v>116.9516155100147</v>
      </c>
      <c r="AD124" s="98" cm="1">
        <f t="array" ref="AD124">SUMPRODUCT(INDEX(B124:AC124,,'TCO Inputs'!$AZ$12-2023+_xlfn.SEQUENCE('TCO Inputs'!$AZ$13))*INDEX('VKT US'!C72:AA72,,_xlfn.SEQUENCE('TCO Inputs'!$AZ$13)))*m2k*CONVERT(0.9072,"g","ton")</f>
        <v>45.32856279596303</v>
      </c>
      <c r="AF124" s="123" t="s">
        <v>194</v>
      </c>
      <c r="AG124" s="125">
        <f>AG13/293.07*(1/(VLOOKUP($AF124,'Fuel economy adjusted factor'!$A$2:$L$52,5,FALSE)*m2k))/'TCO Inputs'!$AZ$84</f>
        <v>137.07990315395836</v>
      </c>
      <c r="AH124" s="125">
        <f>AH13/293.07*(1/(VLOOKUP($AF124,'Fuel economy adjusted factor'!$A$2:$L$52,5,FALSE)*m2k))/'TCO Inputs'!$AZ$84</f>
        <v>137.07990315395836</v>
      </c>
      <c r="AI124" s="125">
        <f>AI13/293.07*(1/(VLOOKUP($AF124,'Fuel economy adjusted factor'!$A$2:$L$52,5,FALSE)*m2k))/'TCO Inputs'!$AZ$84</f>
        <v>137.07990315395836</v>
      </c>
      <c r="AJ124" s="125">
        <f>AJ13/293.07*(1/(VLOOKUP($AF124,'Fuel economy adjusted factor'!$A$2:$L$52,5,FALSE)*m2k))/'TCO Inputs'!$AZ$84</f>
        <v>137.07990315395836</v>
      </c>
      <c r="AK124" s="125">
        <f>AK13/293.07*(1/(VLOOKUP($AF124,'Fuel economy adjusted factor'!$A$2:$L$52,5,FALSE)*m2k))/'TCO Inputs'!$AZ$84</f>
        <v>137.07990315395836</v>
      </c>
      <c r="AL124" s="125">
        <f>AL13/293.07*(1/(VLOOKUP($AF124,'Fuel economy adjusted factor'!$A$2:$L$52,5,FALSE)*m2k))/'TCO Inputs'!$AZ$84</f>
        <v>137.07990315395836</v>
      </c>
      <c r="AM124" s="125">
        <f>AM13/293.07*(1/(VLOOKUP($AF124,'Fuel economy adjusted factor'!$A$2:$L$52,5,FALSE)*m2k))/'TCO Inputs'!$AZ$84</f>
        <v>137.07990315395836</v>
      </c>
      <c r="AN124" s="125">
        <f>AN13/293.07*(1/(VLOOKUP($AF124,'Fuel economy adjusted factor'!$A$2:$L$52,5,FALSE)*m2k))/'TCO Inputs'!$AZ$84</f>
        <v>137.07990315395836</v>
      </c>
      <c r="AO124" s="125">
        <f>AO13/293.07*(1/(VLOOKUP($AF124,'Fuel economy adjusted factor'!$A$2:$L$52,5,FALSE)*m2k))/'TCO Inputs'!$AZ$84</f>
        <v>137.07990315395836</v>
      </c>
      <c r="AP124" s="125">
        <f>AP13/293.07*(1/(VLOOKUP($AF124,'Fuel economy adjusted factor'!$A$2:$L$52,5,FALSE)*m2k))/'TCO Inputs'!$AZ$84</f>
        <v>137.07990315395836</v>
      </c>
      <c r="AQ124" s="125">
        <f>AQ13/293.07*(1/(VLOOKUP($AF124,'Fuel economy adjusted factor'!$A$2:$L$52,5,FALSE)*m2k))/'TCO Inputs'!$AZ$84</f>
        <v>137.07990315395836</v>
      </c>
      <c r="AR124" s="125">
        <f>AR13/293.07*(1/(VLOOKUP($AF124,'Fuel economy adjusted factor'!$A$2:$L$52,5,FALSE)*m2k))/'TCO Inputs'!$AZ$84</f>
        <v>137.07990315395836</v>
      </c>
      <c r="AS124" s="125">
        <f>AS13/293.07*(1/(VLOOKUP($AF124,'Fuel economy adjusted factor'!$A$2:$L$52,5,FALSE)*m2k))/'TCO Inputs'!$AZ$84</f>
        <v>137.07990315395836</v>
      </c>
      <c r="AT124" s="125">
        <f>AT13/293.07*(1/(VLOOKUP($AF124,'Fuel economy adjusted factor'!$A$2:$L$52,5,FALSE)*m2k))/'TCO Inputs'!$AZ$84</f>
        <v>137.07990315395836</v>
      </c>
      <c r="AU124" s="125">
        <f>AU13/293.07*(1/(VLOOKUP($AF124,'Fuel economy adjusted factor'!$A$2:$L$52,5,FALSE)*m2k))/'TCO Inputs'!$AZ$84</f>
        <v>137.07990315395836</v>
      </c>
      <c r="AV124" s="125">
        <f>AV13/293.07*(1/(VLOOKUP($AF124,'Fuel economy adjusted factor'!$A$2:$L$52,5,FALSE)*m2k))/'TCO Inputs'!$AZ$84</f>
        <v>137.07990315395836</v>
      </c>
      <c r="AW124" s="125">
        <f>AW13/293.07*(1/(VLOOKUP($AF124,'Fuel economy adjusted factor'!$A$2:$L$52,5,FALSE)*m2k))/'TCO Inputs'!$AZ$84</f>
        <v>137.07990315395836</v>
      </c>
      <c r="AX124" s="125">
        <f>AX13/293.07*(1/(VLOOKUP($AF124,'Fuel economy adjusted factor'!$A$2:$L$52,5,FALSE)*m2k))/'TCO Inputs'!$AZ$84</f>
        <v>137.07990315395836</v>
      </c>
      <c r="AY124" s="125">
        <f>AY13/293.07*(1/(VLOOKUP($AF124,'Fuel economy adjusted factor'!$A$2:$L$52,5,FALSE)*m2k))/'TCO Inputs'!$AZ$84</f>
        <v>137.07990315395836</v>
      </c>
      <c r="AZ124" s="125">
        <f>AZ13/293.07*(1/(VLOOKUP($AF124,'Fuel economy adjusted factor'!$A$2:$L$52,5,FALSE)*m2k))/'TCO Inputs'!$AZ$84</f>
        <v>137.07990315395836</v>
      </c>
      <c r="BA124" s="125">
        <f>BA13/293.07*(1/(VLOOKUP($AF124,'Fuel economy adjusted factor'!$A$2:$L$52,5,FALSE)*m2k))/'TCO Inputs'!$AZ$84</f>
        <v>137.07990315395836</v>
      </c>
      <c r="BB124" s="125">
        <f>BB13/293.07*(1/(VLOOKUP($AF124,'Fuel economy adjusted factor'!$A$2:$L$52,5,FALSE)*m2k))/'TCO Inputs'!$AZ$84</f>
        <v>137.07990315395836</v>
      </c>
      <c r="BC124" s="125">
        <f>BC13/293.07*(1/(VLOOKUP($AF124,'Fuel economy adjusted factor'!$A$2:$L$52,5,FALSE)*m2k))/'TCO Inputs'!$AZ$84</f>
        <v>137.07990315395836</v>
      </c>
      <c r="BD124" s="125">
        <f>BD13/293.07*(1/(VLOOKUP($AF124,'Fuel economy adjusted factor'!$A$2:$L$52,5,FALSE)*m2k))/'TCO Inputs'!$AZ$84</f>
        <v>137.07990315395836</v>
      </c>
      <c r="BE124" s="125">
        <f>BE13/293.07*(1/(VLOOKUP($AF124,'Fuel economy adjusted factor'!$A$2:$L$52,5,FALSE)*m2k))/'TCO Inputs'!$AZ$84</f>
        <v>137.07990315395836</v>
      </c>
      <c r="BF124" s="125">
        <f>BF13/293.07*(1/(VLOOKUP($AF124,'Fuel economy adjusted factor'!$A$2:$L$52,5,FALSE)*m2k))/'TCO Inputs'!$AZ$84</f>
        <v>137.07990315395836</v>
      </c>
      <c r="BG124" s="125">
        <f>BG13/293.07*(1/(VLOOKUP($AF124,'Fuel economy adjusted factor'!$A$2:$L$52,5,FALSE)*m2k))/'TCO Inputs'!$AZ$84</f>
        <v>137.07990315395836</v>
      </c>
      <c r="BH124" s="125">
        <f>BH13/293.07*(1/(VLOOKUP($AF124,'Fuel economy adjusted factor'!$A$2:$L$52,5,FALSE)*m2k))/'TCO Inputs'!$AZ$84</f>
        <v>137.07990315395836</v>
      </c>
      <c r="BI124" s="98" cm="1">
        <f t="array" ref="BI124">SUMPRODUCT(INDEX(AG124:BH124,,'TCO Inputs'!$AZ$12-2023+_xlfn.SEQUENCE('TCO Inputs'!$AZ$13))*INDEX('VKT US'!C72:AA72,,_xlfn.SEQUENCE('TCO Inputs'!$AZ$13)))*m2k*CONVERT(0.9072,"g","ton")</f>
        <v>53.129962943065564</v>
      </c>
      <c r="BL124" s="123" t="s">
        <v>194</v>
      </c>
      <c r="BM124" s="125">
        <f>BM13/293.07*(1/(VLOOKUP($BL124,'Fuel economy adjusted factor'!$A$2:$L$52,5,FALSE)*m2k))/'TCO Inputs'!$AZ$84</f>
        <v>101.90715127281423</v>
      </c>
      <c r="BN124" s="125">
        <f>BN13/293.07*(1/(VLOOKUP($BL124,'Fuel economy adjusted factor'!$A$2:$L$52,5,FALSE)*m2k))/'TCO Inputs'!$AZ$84</f>
        <v>101.90715127281423</v>
      </c>
      <c r="BO124" s="125">
        <f>BO13/293.07*(1/(VLOOKUP($BL124,'Fuel economy adjusted factor'!$A$2:$L$52,5,FALSE)*m2k))/'TCO Inputs'!$AZ$84</f>
        <v>101.90715127281423</v>
      </c>
      <c r="BP124" s="125">
        <f>BP13/293.07*(1/(VLOOKUP($BL124,'Fuel economy adjusted factor'!$A$2:$L$52,5,FALSE)*m2k))/'TCO Inputs'!$AZ$84</f>
        <v>101.90715127281423</v>
      </c>
      <c r="BQ124" s="125">
        <f>BQ13/293.07*(1/(VLOOKUP($BL124,'Fuel economy adjusted factor'!$A$2:$L$52,5,FALSE)*m2k))/'TCO Inputs'!$AZ$84</f>
        <v>101.90715127281423</v>
      </c>
      <c r="BR124" s="125">
        <f>BR13/293.07*(1/(VLOOKUP($BL124,'Fuel economy adjusted factor'!$A$2:$L$52,5,FALSE)*m2k))/'TCO Inputs'!$AZ$84</f>
        <v>101.90715127281423</v>
      </c>
      <c r="BS124" s="125">
        <f>BS13/293.07*(1/(VLOOKUP($BL124,'Fuel economy adjusted factor'!$A$2:$L$52,5,FALSE)*m2k))/'TCO Inputs'!$AZ$84</f>
        <v>101.90715127281423</v>
      </c>
      <c r="BT124" s="125">
        <f>BT13/293.07*(1/(VLOOKUP($BL124,'Fuel economy adjusted factor'!$A$2:$L$52,5,FALSE)*m2k))/'TCO Inputs'!$AZ$84</f>
        <v>101.90715127281423</v>
      </c>
      <c r="BU124" s="125">
        <f>BU13/293.07*(1/(VLOOKUP($BL124,'Fuel economy adjusted factor'!$A$2:$L$52,5,FALSE)*m2k))/'TCO Inputs'!$AZ$84</f>
        <v>101.90715127281423</v>
      </c>
      <c r="BV124" s="125">
        <f>BV13/293.07*(1/(VLOOKUP($BL124,'Fuel economy adjusted factor'!$A$2:$L$52,5,FALSE)*m2k))/'TCO Inputs'!$AZ$84</f>
        <v>101.90715127281423</v>
      </c>
      <c r="BW124" s="125">
        <f>BW13/293.07*(1/(VLOOKUP($BL124,'Fuel economy adjusted factor'!$A$2:$L$52,5,FALSE)*m2k))/'TCO Inputs'!$AZ$84</f>
        <v>101.90715127281423</v>
      </c>
      <c r="BX124" s="125">
        <f>BX13/293.07*(1/(VLOOKUP($BL124,'Fuel economy adjusted factor'!$A$2:$L$52,5,FALSE)*m2k))/'TCO Inputs'!$AZ$84</f>
        <v>101.90715127281423</v>
      </c>
      <c r="BY124" s="125">
        <f>BY13/293.07*(1/(VLOOKUP($BL124,'Fuel economy adjusted factor'!$A$2:$L$52,5,FALSE)*m2k))/'TCO Inputs'!$AZ$84</f>
        <v>101.90715127281423</v>
      </c>
      <c r="BZ124" s="125">
        <f>BZ13/293.07*(1/(VLOOKUP($BL124,'Fuel economy adjusted factor'!$A$2:$L$52,5,FALSE)*m2k))/'TCO Inputs'!$AZ$84</f>
        <v>101.90715127281423</v>
      </c>
      <c r="CA124" s="125">
        <f>CA13/293.07*(1/(VLOOKUP($BL124,'Fuel economy adjusted factor'!$A$2:$L$52,5,FALSE)*m2k))/'TCO Inputs'!$AZ$84</f>
        <v>101.90715127281423</v>
      </c>
      <c r="CB124" s="125">
        <f>CB13/293.07*(1/(VLOOKUP($BL124,'Fuel economy adjusted factor'!$A$2:$L$52,5,FALSE)*m2k))/'TCO Inputs'!$AZ$84</f>
        <v>101.90715127281423</v>
      </c>
      <c r="CC124" s="125">
        <f>CC13/293.07*(1/(VLOOKUP($BL124,'Fuel economy adjusted factor'!$A$2:$L$52,5,FALSE)*m2k))/'TCO Inputs'!$AZ$84</f>
        <v>101.90715127281423</v>
      </c>
      <c r="CD124" s="125">
        <f>CD13/293.07*(1/(VLOOKUP($BL124,'Fuel economy adjusted factor'!$A$2:$L$52,5,FALSE)*m2k))/'TCO Inputs'!$AZ$84</f>
        <v>101.90715127281423</v>
      </c>
      <c r="CE124" s="125">
        <f>CE13/293.07*(1/(VLOOKUP($BL124,'Fuel economy adjusted factor'!$A$2:$L$52,5,FALSE)*m2k))/'TCO Inputs'!$AZ$84</f>
        <v>101.90715127281423</v>
      </c>
      <c r="CF124" s="125">
        <f>CF13/293.07*(1/(VLOOKUP($BL124,'Fuel economy adjusted factor'!$A$2:$L$52,5,FALSE)*m2k))/'TCO Inputs'!$AZ$84</f>
        <v>101.90715127281423</v>
      </c>
      <c r="CG124" s="125">
        <f>CG13/293.07*(1/(VLOOKUP($BL124,'Fuel economy adjusted factor'!$A$2:$L$52,5,FALSE)*m2k))/'TCO Inputs'!$AZ$84</f>
        <v>101.90715127281423</v>
      </c>
      <c r="CH124" s="125">
        <f>CH13/293.07*(1/(VLOOKUP($BL124,'Fuel economy adjusted factor'!$A$2:$L$52,5,FALSE)*m2k))/'TCO Inputs'!$AZ$84</f>
        <v>101.90715127281423</v>
      </c>
      <c r="CI124" s="125">
        <f>CI13/293.07*(1/(VLOOKUP($BL124,'Fuel economy adjusted factor'!$A$2:$L$52,5,FALSE)*m2k))/'TCO Inputs'!$AZ$84</f>
        <v>101.90715127281423</v>
      </c>
      <c r="CJ124" s="125">
        <f>CJ13/293.07*(1/(VLOOKUP($BL124,'Fuel economy adjusted factor'!$A$2:$L$52,5,FALSE)*m2k))/'TCO Inputs'!$AZ$84</f>
        <v>101.90715127281423</v>
      </c>
      <c r="CK124" s="125">
        <f>CK13/293.07*(1/(VLOOKUP($BL124,'Fuel economy adjusted factor'!$A$2:$L$52,5,FALSE)*m2k))/'TCO Inputs'!$AZ$84</f>
        <v>101.90715127281423</v>
      </c>
      <c r="CL124" s="125">
        <f>CL13/293.07*(1/(VLOOKUP($BL124,'Fuel economy adjusted factor'!$A$2:$L$52,5,FALSE)*m2k))/'TCO Inputs'!$AZ$84</f>
        <v>101.90715127281423</v>
      </c>
      <c r="CM124" s="125">
        <f>CM13/293.07*(1/(VLOOKUP($BL124,'Fuel economy adjusted factor'!$A$2:$L$52,5,FALSE)*m2k))/'TCO Inputs'!$AZ$84</f>
        <v>101.90715127281423</v>
      </c>
      <c r="CN124" s="125">
        <f>CN13/293.07*(1/(VLOOKUP($BL124,'Fuel economy adjusted factor'!$A$2:$L$52,5,FALSE)*m2k))/'TCO Inputs'!$AZ$84</f>
        <v>101.90715127281423</v>
      </c>
      <c r="CO124" s="98" cm="1">
        <f t="array" ref="CO124">SUMPRODUCT(INDEX(BM124:CN124,,'TCO Inputs'!$AZ$12-2023+_xlfn.SEQUENCE('TCO Inputs'!$AZ$13))*INDEX('VKT US'!C72:AA72,,_xlfn.SEQUENCE('TCO Inputs'!$AZ$13)))*m2k*CONVERT(0.9072,"g","ton")</f>
        <v>39.497570731991367</v>
      </c>
    </row>
    <row r="125" spans="1:93" x14ac:dyDescent="0.25">
      <c r="A125" s="123" t="s">
        <v>233</v>
      </c>
      <c r="B125" s="125">
        <f>B14/293.07*(1/(VLOOKUP($A125,'Fuel economy adjusted factor'!$A$2:$L$52,5,FALSE)*m2k))/'TCO Inputs'!$AZ$84</f>
        <v>252.10196801704316</v>
      </c>
      <c r="C125" s="125">
        <f>C14/293.07*(1/(VLOOKUP($A125,'Fuel economy adjusted factor'!$A$2:$L$52,5,FALSE)*m2k))/'TCO Inputs'!$AZ$84</f>
        <v>252.10196801704316</v>
      </c>
      <c r="D125" s="125">
        <f>D14/293.07*(1/(VLOOKUP($A125,'Fuel economy adjusted factor'!$A$2:$L$52,5,FALSE)*m2k))/'TCO Inputs'!$AZ$84</f>
        <v>252.10196801704316</v>
      </c>
      <c r="E125" s="125">
        <f>E14/293.07*(1/(VLOOKUP($A125,'Fuel economy adjusted factor'!$A$2:$L$52,5,FALSE)*m2k))/'TCO Inputs'!$AZ$84</f>
        <v>252.10196801704316</v>
      </c>
      <c r="F125" s="125">
        <f>F14/293.07*(1/(VLOOKUP($A125,'Fuel economy adjusted factor'!$A$2:$L$52,5,FALSE)*m2k))/'TCO Inputs'!$AZ$84</f>
        <v>252.10196801704316</v>
      </c>
      <c r="G125" s="125">
        <f>G14/293.07*(1/(VLOOKUP($A125,'Fuel economy adjusted factor'!$A$2:$L$52,5,FALSE)*m2k))/'TCO Inputs'!$AZ$84</f>
        <v>252.10196801704316</v>
      </c>
      <c r="H125" s="125">
        <f>H14/293.07*(1/(VLOOKUP($A125,'Fuel economy adjusted factor'!$A$2:$L$52,5,FALSE)*m2k))/'TCO Inputs'!$AZ$84</f>
        <v>252.10196801704316</v>
      </c>
      <c r="I125" s="125">
        <f>I14/293.07*(1/(VLOOKUP($A125,'Fuel economy adjusted factor'!$A$2:$L$52,5,FALSE)*m2k))/'TCO Inputs'!$AZ$84</f>
        <v>252.10196801704316</v>
      </c>
      <c r="J125" s="125">
        <f>J14/293.07*(1/(VLOOKUP($A125,'Fuel economy adjusted factor'!$A$2:$L$52,5,FALSE)*m2k))/'TCO Inputs'!$AZ$84</f>
        <v>252.10196801704316</v>
      </c>
      <c r="K125" s="125">
        <f>K14/293.07*(1/(VLOOKUP($A125,'Fuel economy adjusted factor'!$A$2:$L$52,5,FALSE)*m2k))/'TCO Inputs'!$AZ$84</f>
        <v>252.10196801704316</v>
      </c>
      <c r="L125" s="125">
        <f>L14/293.07*(1/(VLOOKUP($A125,'Fuel economy adjusted factor'!$A$2:$L$52,5,FALSE)*m2k))/'TCO Inputs'!$AZ$84</f>
        <v>252.10196801704316</v>
      </c>
      <c r="M125" s="125">
        <f>M14/293.07*(1/(VLOOKUP($A125,'Fuel economy adjusted factor'!$A$2:$L$52,5,FALSE)*m2k))/'TCO Inputs'!$AZ$84</f>
        <v>252.10196801704316</v>
      </c>
      <c r="N125" s="125">
        <f>N14/293.07*(1/(VLOOKUP($A125,'Fuel economy adjusted factor'!$A$2:$L$52,5,FALSE)*m2k))/'TCO Inputs'!$AZ$84</f>
        <v>252.10196801704316</v>
      </c>
      <c r="O125" s="125">
        <f>O14/293.07*(1/(VLOOKUP($A125,'Fuel economy adjusted factor'!$A$2:$L$52,5,FALSE)*m2k))/'TCO Inputs'!$AZ$84</f>
        <v>252.10196801704316</v>
      </c>
      <c r="P125" s="125">
        <f>P14/293.07*(1/(VLOOKUP($A125,'Fuel economy adjusted factor'!$A$2:$L$52,5,FALSE)*m2k))/'TCO Inputs'!$AZ$84</f>
        <v>252.10196801704316</v>
      </c>
      <c r="Q125" s="125">
        <f>Q14/293.07*(1/(VLOOKUP($A125,'Fuel economy adjusted factor'!$A$2:$L$52,5,FALSE)*m2k))/'TCO Inputs'!$AZ$84</f>
        <v>252.10196801704316</v>
      </c>
      <c r="R125" s="125">
        <f>R14/293.07*(1/(VLOOKUP($A125,'Fuel economy adjusted factor'!$A$2:$L$52,5,FALSE)*m2k))/'TCO Inputs'!$AZ$84</f>
        <v>252.10196801704316</v>
      </c>
      <c r="S125" s="125">
        <f>S14/293.07*(1/(VLOOKUP($A125,'Fuel economy adjusted factor'!$A$2:$L$52,5,FALSE)*m2k))/'TCO Inputs'!$AZ$84</f>
        <v>252.10196801704316</v>
      </c>
      <c r="T125" s="125">
        <f>T14/293.07*(1/(VLOOKUP($A125,'Fuel economy adjusted factor'!$A$2:$L$52,5,FALSE)*m2k))/'TCO Inputs'!$AZ$84</f>
        <v>252.10196801704316</v>
      </c>
      <c r="U125" s="125">
        <f>U14/293.07*(1/(VLOOKUP($A125,'Fuel economy adjusted factor'!$A$2:$L$52,5,FALSE)*m2k))/'TCO Inputs'!$AZ$84</f>
        <v>252.10196801704316</v>
      </c>
      <c r="V125" s="125">
        <f>V14/293.07*(1/(VLOOKUP($A125,'Fuel economy adjusted factor'!$A$2:$L$52,5,FALSE)*m2k))/'TCO Inputs'!$AZ$84</f>
        <v>252.10196801704316</v>
      </c>
      <c r="W125" s="125">
        <f>W14/293.07*(1/(VLOOKUP($A125,'Fuel economy adjusted factor'!$A$2:$L$52,5,FALSE)*m2k))/'TCO Inputs'!$AZ$84</f>
        <v>252.10196801704316</v>
      </c>
      <c r="X125" s="125">
        <f>X14/293.07*(1/(VLOOKUP($A125,'Fuel economy adjusted factor'!$A$2:$L$52,5,FALSE)*m2k))/'TCO Inputs'!$AZ$84</f>
        <v>252.10196801704316</v>
      </c>
      <c r="Y125" s="125">
        <f>Y14/293.07*(1/(VLOOKUP($A125,'Fuel economy adjusted factor'!$A$2:$L$52,5,FALSE)*m2k))/'TCO Inputs'!$AZ$84</f>
        <v>252.10196801704316</v>
      </c>
      <c r="Z125" s="125">
        <f>Z14/293.07*(1/(VLOOKUP($A125,'Fuel economy adjusted factor'!$A$2:$L$52,5,FALSE)*m2k))/'TCO Inputs'!$AZ$84</f>
        <v>252.10196801704316</v>
      </c>
      <c r="AA125" s="125">
        <f>AA14/293.07*(1/(VLOOKUP($A125,'Fuel economy adjusted factor'!$A$2:$L$52,5,FALSE)*m2k))/'TCO Inputs'!$AZ$84</f>
        <v>252.10196801704316</v>
      </c>
      <c r="AB125" s="125">
        <f>AB14/293.07*(1/(VLOOKUP($A125,'Fuel economy adjusted factor'!$A$2:$L$52,5,FALSE)*m2k))/'TCO Inputs'!$AZ$84</f>
        <v>252.10196801704316</v>
      </c>
      <c r="AC125" s="125">
        <f>AC14/293.07*(1/(VLOOKUP($A125,'Fuel economy adjusted factor'!$A$2:$L$52,5,FALSE)*m2k))/'TCO Inputs'!$AZ$84</f>
        <v>252.10196801704316</v>
      </c>
      <c r="AD125" s="98" cm="1">
        <f t="array" ref="AD125">SUMPRODUCT(INDEX(B125:AC125,,'TCO Inputs'!$AZ$12-2023+_xlfn.SEQUENCE('TCO Inputs'!$AZ$13))*INDEX('VKT US'!C73:AA73,,_xlfn.SEQUENCE('TCO Inputs'!$AZ$13)))*m2k*CONVERT(0.9072,"g","ton")</f>
        <v>62.290947361640143</v>
      </c>
      <c r="AF125" s="123" t="s">
        <v>233</v>
      </c>
      <c r="AG125" s="125">
        <f>AG14/293.07*(1/(VLOOKUP($AF125,'Fuel economy adjusted factor'!$A$2:$L$52,5,FALSE)*m2k))/'TCO Inputs'!$AZ$84</f>
        <v>295.49068826449286</v>
      </c>
      <c r="AH125" s="125">
        <f>AH14/293.07*(1/(VLOOKUP($AF125,'Fuel economy adjusted factor'!$A$2:$L$52,5,FALSE)*m2k))/'TCO Inputs'!$AZ$84</f>
        <v>295.49068826449286</v>
      </c>
      <c r="AI125" s="125">
        <f>AI14/293.07*(1/(VLOOKUP($AF125,'Fuel economy adjusted factor'!$A$2:$L$52,5,FALSE)*m2k))/'TCO Inputs'!$AZ$84</f>
        <v>295.49068826449286</v>
      </c>
      <c r="AJ125" s="125">
        <f>AJ14/293.07*(1/(VLOOKUP($AF125,'Fuel economy adjusted factor'!$A$2:$L$52,5,FALSE)*m2k))/'TCO Inputs'!$AZ$84</f>
        <v>295.49068826449286</v>
      </c>
      <c r="AK125" s="125">
        <f>AK14/293.07*(1/(VLOOKUP($AF125,'Fuel economy adjusted factor'!$A$2:$L$52,5,FALSE)*m2k))/'TCO Inputs'!$AZ$84</f>
        <v>295.49068826449286</v>
      </c>
      <c r="AL125" s="125">
        <f>AL14/293.07*(1/(VLOOKUP($AF125,'Fuel economy adjusted factor'!$A$2:$L$52,5,FALSE)*m2k))/'TCO Inputs'!$AZ$84</f>
        <v>295.49068826449286</v>
      </c>
      <c r="AM125" s="125">
        <f>AM14/293.07*(1/(VLOOKUP($AF125,'Fuel economy adjusted factor'!$A$2:$L$52,5,FALSE)*m2k))/'TCO Inputs'!$AZ$84</f>
        <v>295.49068826449286</v>
      </c>
      <c r="AN125" s="125">
        <f>AN14/293.07*(1/(VLOOKUP($AF125,'Fuel economy adjusted factor'!$A$2:$L$52,5,FALSE)*m2k))/'TCO Inputs'!$AZ$84</f>
        <v>295.49068826449286</v>
      </c>
      <c r="AO125" s="125">
        <f>AO14/293.07*(1/(VLOOKUP($AF125,'Fuel economy adjusted factor'!$A$2:$L$52,5,FALSE)*m2k))/'TCO Inputs'!$AZ$84</f>
        <v>295.49068826449286</v>
      </c>
      <c r="AP125" s="125">
        <f>AP14/293.07*(1/(VLOOKUP($AF125,'Fuel economy adjusted factor'!$A$2:$L$52,5,FALSE)*m2k))/'TCO Inputs'!$AZ$84</f>
        <v>295.49068826449286</v>
      </c>
      <c r="AQ125" s="125">
        <f>AQ14/293.07*(1/(VLOOKUP($AF125,'Fuel economy adjusted factor'!$A$2:$L$52,5,FALSE)*m2k))/'TCO Inputs'!$AZ$84</f>
        <v>295.49068826449286</v>
      </c>
      <c r="AR125" s="125">
        <f>AR14/293.07*(1/(VLOOKUP($AF125,'Fuel economy adjusted factor'!$A$2:$L$52,5,FALSE)*m2k))/'TCO Inputs'!$AZ$84</f>
        <v>295.49068826449286</v>
      </c>
      <c r="AS125" s="125">
        <f>AS14/293.07*(1/(VLOOKUP($AF125,'Fuel economy adjusted factor'!$A$2:$L$52,5,FALSE)*m2k))/'TCO Inputs'!$AZ$84</f>
        <v>295.49068826449286</v>
      </c>
      <c r="AT125" s="125">
        <f>AT14/293.07*(1/(VLOOKUP($AF125,'Fuel economy adjusted factor'!$A$2:$L$52,5,FALSE)*m2k))/'TCO Inputs'!$AZ$84</f>
        <v>295.49068826449286</v>
      </c>
      <c r="AU125" s="125">
        <f>AU14/293.07*(1/(VLOOKUP($AF125,'Fuel economy adjusted factor'!$A$2:$L$52,5,FALSE)*m2k))/'TCO Inputs'!$AZ$84</f>
        <v>295.49068826449286</v>
      </c>
      <c r="AV125" s="125">
        <f>AV14/293.07*(1/(VLOOKUP($AF125,'Fuel economy adjusted factor'!$A$2:$L$52,5,FALSE)*m2k))/'TCO Inputs'!$AZ$84</f>
        <v>295.49068826449286</v>
      </c>
      <c r="AW125" s="125">
        <f>AW14/293.07*(1/(VLOOKUP($AF125,'Fuel economy adjusted factor'!$A$2:$L$52,5,FALSE)*m2k))/'TCO Inputs'!$AZ$84</f>
        <v>295.49068826449286</v>
      </c>
      <c r="AX125" s="125">
        <f>AX14/293.07*(1/(VLOOKUP($AF125,'Fuel economy adjusted factor'!$A$2:$L$52,5,FALSE)*m2k))/'TCO Inputs'!$AZ$84</f>
        <v>295.49068826449286</v>
      </c>
      <c r="AY125" s="125">
        <f>AY14/293.07*(1/(VLOOKUP($AF125,'Fuel economy adjusted factor'!$A$2:$L$52,5,FALSE)*m2k))/'TCO Inputs'!$AZ$84</f>
        <v>295.49068826449286</v>
      </c>
      <c r="AZ125" s="125">
        <f>AZ14/293.07*(1/(VLOOKUP($AF125,'Fuel economy adjusted factor'!$A$2:$L$52,5,FALSE)*m2k))/'TCO Inputs'!$AZ$84</f>
        <v>295.49068826449286</v>
      </c>
      <c r="BA125" s="125">
        <f>BA14/293.07*(1/(VLOOKUP($AF125,'Fuel economy adjusted factor'!$A$2:$L$52,5,FALSE)*m2k))/'TCO Inputs'!$AZ$84</f>
        <v>295.49068826449286</v>
      </c>
      <c r="BB125" s="125">
        <f>BB14/293.07*(1/(VLOOKUP($AF125,'Fuel economy adjusted factor'!$A$2:$L$52,5,FALSE)*m2k))/'TCO Inputs'!$AZ$84</f>
        <v>295.49068826449286</v>
      </c>
      <c r="BC125" s="125">
        <f>BC14/293.07*(1/(VLOOKUP($AF125,'Fuel economy adjusted factor'!$A$2:$L$52,5,FALSE)*m2k))/'TCO Inputs'!$AZ$84</f>
        <v>295.49068826449286</v>
      </c>
      <c r="BD125" s="125">
        <f>BD14/293.07*(1/(VLOOKUP($AF125,'Fuel economy adjusted factor'!$A$2:$L$52,5,FALSE)*m2k))/'TCO Inputs'!$AZ$84</f>
        <v>295.49068826449286</v>
      </c>
      <c r="BE125" s="125">
        <f>BE14/293.07*(1/(VLOOKUP($AF125,'Fuel economy adjusted factor'!$A$2:$L$52,5,FALSE)*m2k))/'TCO Inputs'!$AZ$84</f>
        <v>295.49068826449286</v>
      </c>
      <c r="BF125" s="125">
        <f>BF14/293.07*(1/(VLOOKUP($AF125,'Fuel economy adjusted factor'!$A$2:$L$52,5,FALSE)*m2k))/'TCO Inputs'!$AZ$84</f>
        <v>295.49068826449286</v>
      </c>
      <c r="BG125" s="125">
        <f>BG14/293.07*(1/(VLOOKUP($AF125,'Fuel economy adjusted factor'!$A$2:$L$52,5,FALSE)*m2k))/'TCO Inputs'!$AZ$84</f>
        <v>295.49068826449286</v>
      </c>
      <c r="BH125" s="125">
        <f>BH14/293.07*(1/(VLOOKUP($AF125,'Fuel economy adjusted factor'!$A$2:$L$52,5,FALSE)*m2k))/'TCO Inputs'!$AZ$84</f>
        <v>295.49068826449286</v>
      </c>
      <c r="BI125" s="98" cm="1">
        <f t="array" ref="BI125">SUMPRODUCT(INDEX(AG125:BH125,,'TCO Inputs'!$AZ$12-2023+_xlfn.SEQUENCE('TCO Inputs'!$AZ$13))*INDEX('VKT US'!C73:AA73,,_xlfn.SEQUENCE('TCO Inputs'!$AZ$13)))*m2k*CONVERT(0.9072,"g","ton")</f>
        <v>73.011706546035356</v>
      </c>
      <c r="BL125" s="123" t="s">
        <v>233</v>
      </c>
      <c r="BM125" s="125">
        <f>BM14/293.07*(1/(VLOOKUP($BL125,'Fuel economy adjusted factor'!$A$2:$L$52,5,FALSE)*m2k))/'TCO Inputs'!$AZ$84</f>
        <v>219.6719838272524</v>
      </c>
      <c r="BN125" s="125">
        <f>BN14/293.07*(1/(VLOOKUP($BL125,'Fuel economy adjusted factor'!$A$2:$L$52,5,FALSE)*m2k))/'TCO Inputs'!$AZ$84</f>
        <v>219.6719838272524</v>
      </c>
      <c r="BO125" s="125">
        <f>BO14/293.07*(1/(VLOOKUP($BL125,'Fuel economy adjusted factor'!$A$2:$L$52,5,FALSE)*m2k))/'TCO Inputs'!$AZ$84</f>
        <v>219.6719838272524</v>
      </c>
      <c r="BP125" s="125">
        <f>BP14/293.07*(1/(VLOOKUP($BL125,'Fuel economy adjusted factor'!$A$2:$L$52,5,FALSE)*m2k))/'TCO Inputs'!$AZ$84</f>
        <v>219.6719838272524</v>
      </c>
      <c r="BQ125" s="125">
        <f>BQ14/293.07*(1/(VLOOKUP($BL125,'Fuel economy adjusted factor'!$A$2:$L$52,5,FALSE)*m2k))/'TCO Inputs'!$AZ$84</f>
        <v>219.6719838272524</v>
      </c>
      <c r="BR125" s="125">
        <f>BR14/293.07*(1/(VLOOKUP($BL125,'Fuel economy adjusted factor'!$A$2:$L$52,5,FALSE)*m2k))/'TCO Inputs'!$AZ$84</f>
        <v>219.6719838272524</v>
      </c>
      <c r="BS125" s="125">
        <f>BS14/293.07*(1/(VLOOKUP($BL125,'Fuel economy adjusted factor'!$A$2:$L$52,5,FALSE)*m2k))/'TCO Inputs'!$AZ$84</f>
        <v>219.6719838272524</v>
      </c>
      <c r="BT125" s="125">
        <f>BT14/293.07*(1/(VLOOKUP($BL125,'Fuel economy adjusted factor'!$A$2:$L$52,5,FALSE)*m2k))/'TCO Inputs'!$AZ$84</f>
        <v>219.6719838272524</v>
      </c>
      <c r="BU125" s="125">
        <f>BU14/293.07*(1/(VLOOKUP($BL125,'Fuel economy adjusted factor'!$A$2:$L$52,5,FALSE)*m2k))/'TCO Inputs'!$AZ$84</f>
        <v>219.6719838272524</v>
      </c>
      <c r="BV125" s="125">
        <f>BV14/293.07*(1/(VLOOKUP($BL125,'Fuel economy adjusted factor'!$A$2:$L$52,5,FALSE)*m2k))/'TCO Inputs'!$AZ$84</f>
        <v>219.6719838272524</v>
      </c>
      <c r="BW125" s="125">
        <f>BW14/293.07*(1/(VLOOKUP($BL125,'Fuel economy adjusted factor'!$A$2:$L$52,5,FALSE)*m2k))/'TCO Inputs'!$AZ$84</f>
        <v>219.6719838272524</v>
      </c>
      <c r="BX125" s="125">
        <f>BX14/293.07*(1/(VLOOKUP($BL125,'Fuel economy adjusted factor'!$A$2:$L$52,5,FALSE)*m2k))/'TCO Inputs'!$AZ$84</f>
        <v>219.6719838272524</v>
      </c>
      <c r="BY125" s="125">
        <f>BY14/293.07*(1/(VLOOKUP($BL125,'Fuel economy adjusted factor'!$A$2:$L$52,5,FALSE)*m2k))/'TCO Inputs'!$AZ$84</f>
        <v>219.6719838272524</v>
      </c>
      <c r="BZ125" s="125">
        <f>BZ14/293.07*(1/(VLOOKUP($BL125,'Fuel economy adjusted factor'!$A$2:$L$52,5,FALSE)*m2k))/'TCO Inputs'!$AZ$84</f>
        <v>219.6719838272524</v>
      </c>
      <c r="CA125" s="125">
        <f>CA14/293.07*(1/(VLOOKUP($BL125,'Fuel economy adjusted factor'!$A$2:$L$52,5,FALSE)*m2k))/'TCO Inputs'!$AZ$84</f>
        <v>219.6719838272524</v>
      </c>
      <c r="CB125" s="125">
        <f>CB14/293.07*(1/(VLOOKUP($BL125,'Fuel economy adjusted factor'!$A$2:$L$52,5,FALSE)*m2k))/'TCO Inputs'!$AZ$84</f>
        <v>219.6719838272524</v>
      </c>
      <c r="CC125" s="125">
        <f>CC14/293.07*(1/(VLOOKUP($BL125,'Fuel economy adjusted factor'!$A$2:$L$52,5,FALSE)*m2k))/'TCO Inputs'!$AZ$84</f>
        <v>219.6719838272524</v>
      </c>
      <c r="CD125" s="125">
        <f>CD14/293.07*(1/(VLOOKUP($BL125,'Fuel economy adjusted factor'!$A$2:$L$52,5,FALSE)*m2k))/'TCO Inputs'!$AZ$84</f>
        <v>219.6719838272524</v>
      </c>
      <c r="CE125" s="125">
        <f>CE14/293.07*(1/(VLOOKUP($BL125,'Fuel economy adjusted factor'!$A$2:$L$52,5,FALSE)*m2k))/'TCO Inputs'!$AZ$84</f>
        <v>219.6719838272524</v>
      </c>
      <c r="CF125" s="125">
        <f>CF14/293.07*(1/(VLOOKUP($BL125,'Fuel economy adjusted factor'!$A$2:$L$52,5,FALSE)*m2k))/'TCO Inputs'!$AZ$84</f>
        <v>219.6719838272524</v>
      </c>
      <c r="CG125" s="125">
        <f>CG14/293.07*(1/(VLOOKUP($BL125,'Fuel economy adjusted factor'!$A$2:$L$52,5,FALSE)*m2k))/'TCO Inputs'!$AZ$84</f>
        <v>219.6719838272524</v>
      </c>
      <c r="CH125" s="125">
        <f>CH14/293.07*(1/(VLOOKUP($BL125,'Fuel economy adjusted factor'!$A$2:$L$52,5,FALSE)*m2k))/'TCO Inputs'!$AZ$84</f>
        <v>219.6719838272524</v>
      </c>
      <c r="CI125" s="125">
        <f>CI14/293.07*(1/(VLOOKUP($BL125,'Fuel economy adjusted factor'!$A$2:$L$52,5,FALSE)*m2k))/'TCO Inputs'!$AZ$84</f>
        <v>219.6719838272524</v>
      </c>
      <c r="CJ125" s="125">
        <f>CJ14/293.07*(1/(VLOOKUP($BL125,'Fuel economy adjusted factor'!$A$2:$L$52,5,FALSE)*m2k))/'TCO Inputs'!$AZ$84</f>
        <v>219.6719838272524</v>
      </c>
      <c r="CK125" s="125">
        <f>CK14/293.07*(1/(VLOOKUP($BL125,'Fuel economy adjusted factor'!$A$2:$L$52,5,FALSE)*m2k))/'TCO Inputs'!$AZ$84</f>
        <v>219.6719838272524</v>
      </c>
      <c r="CL125" s="125">
        <f>CL14/293.07*(1/(VLOOKUP($BL125,'Fuel economy adjusted factor'!$A$2:$L$52,5,FALSE)*m2k))/'TCO Inputs'!$AZ$84</f>
        <v>219.6719838272524</v>
      </c>
      <c r="CM125" s="125">
        <f>CM14/293.07*(1/(VLOOKUP($BL125,'Fuel economy adjusted factor'!$A$2:$L$52,5,FALSE)*m2k))/'TCO Inputs'!$AZ$84</f>
        <v>219.6719838272524</v>
      </c>
      <c r="CN125" s="125">
        <f>CN14/293.07*(1/(VLOOKUP($BL125,'Fuel economy adjusted factor'!$A$2:$L$52,5,FALSE)*m2k))/'TCO Inputs'!$AZ$84</f>
        <v>219.6719838272524</v>
      </c>
      <c r="CO125" s="98" cm="1">
        <f t="array" ref="CO125">SUMPRODUCT(INDEX(BM125:CN125,,'TCO Inputs'!$AZ$12-2023+_xlfn.SEQUENCE('TCO Inputs'!$AZ$13))*INDEX('VKT US'!C73:AA73,,_xlfn.SEQUENCE('TCO Inputs'!$AZ$13)))*m2k*CONVERT(0.9072,"g","ton")</f>
        <v>54.277941933739207</v>
      </c>
    </row>
    <row r="126" spans="1:93" x14ac:dyDescent="0.25">
      <c r="A126" s="123" t="s">
        <v>196</v>
      </c>
      <c r="B126" s="125">
        <f>B15/293.07*(1/(VLOOKUP($A126,'Fuel economy adjusted factor'!$A$2:$L$52,5,FALSE)*m2k))/'TCO Inputs'!$AZ$84</f>
        <v>61.454057279491053</v>
      </c>
      <c r="C126" s="125">
        <f>C15/293.07*(1/(VLOOKUP($A126,'Fuel economy adjusted factor'!$A$2:$L$52,5,FALSE)*m2k))/'TCO Inputs'!$AZ$84</f>
        <v>61.454057279491053</v>
      </c>
      <c r="D126" s="125">
        <f>D15/293.07*(1/(VLOOKUP($A126,'Fuel economy adjusted factor'!$A$2:$L$52,5,FALSE)*m2k))/'TCO Inputs'!$AZ$84</f>
        <v>61.454057279491053</v>
      </c>
      <c r="E126" s="125">
        <f>E15/293.07*(1/(VLOOKUP($A126,'Fuel economy adjusted factor'!$A$2:$L$52,5,FALSE)*m2k))/'TCO Inputs'!$AZ$84</f>
        <v>61.454057279491053</v>
      </c>
      <c r="F126" s="125">
        <f>F15/293.07*(1/(VLOOKUP($A126,'Fuel economy adjusted factor'!$A$2:$L$52,5,FALSE)*m2k))/'TCO Inputs'!$AZ$84</f>
        <v>61.454057279491053</v>
      </c>
      <c r="G126" s="125">
        <f>G15/293.07*(1/(VLOOKUP($A126,'Fuel economy adjusted factor'!$A$2:$L$52,5,FALSE)*m2k))/'TCO Inputs'!$AZ$84</f>
        <v>61.454057279491053</v>
      </c>
      <c r="H126" s="125">
        <f>H15/293.07*(1/(VLOOKUP($A126,'Fuel economy adjusted factor'!$A$2:$L$52,5,FALSE)*m2k))/'TCO Inputs'!$AZ$84</f>
        <v>61.454057279491053</v>
      </c>
      <c r="I126" s="125">
        <f>I15/293.07*(1/(VLOOKUP($A126,'Fuel economy adjusted factor'!$A$2:$L$52,5,FALSE)*m2k))/'TCO Inputs'!$AZ$84</f>
        <v>61.454057279491053</v>
      </c>
      <c r="J126" s="125">
        <f>J15/293.07*(1/(VLOOKUP($A126,'Fuel economy adjusted factor'!$A$2:$L$52,5,FALSE)*m2k))/'TCO Inputs'!$AZ$84</f>
        <v>61.454057279491053</v>
      </c>
      <c r="K126" s="125">
        <f>K15/293.07*(1/(VLOOKUP($A126,'Fuel economy adjusted factor'!$A$2:$L$52,5,FALSE)*m2k))/'TCO Inputs'!$AZ$84</f>
        <v>61.454057279491053</v>
      </c>
      <c r="L126" s="125">
        <f>L15/293.07*(1/(VLOOKUP($A126,'Fuel economy adjusted factor'!$A$2:$L$52,5,FALSE)*m2k))/'TCO Inputs'!$AZ$84</f>
        <v>61.454057279491053</v>
      </c>
      <c r="M126" s="125">
        <f>M15/293.07*(1/(VLOOKUP($A126,'Fuel economy adjusted factor'!$A$2:$L$52,5,FALSE)*m2k))/'TCO Inputs'!$AZ$84</f>
        <v>61.454057279491053</v>
      </c>
      <c r="N126" s="125">
        <f>N15/293.07*(1/(VLOOKUP($A126,'Fuel economy adjusted factor'!$A$2:$L$52,5,FALSE)*m2k))/'TCO Inputs'!$AZ$84</f>
        <v>61.454057279491053</v>
      </c>
      <c r="O126" s="125">
        <f>O15/293.07*(1/(VLOOKUP($A126,'Fuel economy adjusted factor'!$A$2:$L$52,5,FALSE)*m2k))/'TCO Inputs'!$AZ$84</f>
        <v>61.454057279491053</v>
      </c>
      <c r="P126" s="125">
        <f>P15/293.07*(1/(VLOOKUP($A126,'Fuel economy adjusted factor'!$A$2:$L$52,5,FALSE)*m2k))/'TCO Inputs'!$AZ$84</f>
        <v>61.454057279491053</v>
      </c>
      <c r="Q126" s="125">
        <f>Q15/293.07*(1/(VLOOKUP($A126,'Fuel economy adjusted factor'!$A$2:$L$52,5,FALSE)*m2k))/'TCO Inputs'!$AZ$84</f>
        <v>61.454057279491053</v>
      </c>
      <c r="R126" s="125">
        <f>R15/293.07*(1/(VLOOKUP($A126,'Fuel economy adjusted factor'!$A$2:$L$52,5,FALSE)*m2k))/'TCO Inputs'!$AZ$84</f>
        <v>61.454057279491053</v>
      </c>
      <c r="S126" s="125">
        <f>S15/293.07*(1/(VLOOKUP($A126,'Fuel economy adjusted factor'!$A$2:$L$52,5,FALSE)*m2k))/'TCO Inputs'!$AZ$84</f>
        <v>61.454057279491053</v>
      </c>
      <c r="T126" s="125">
        <f>T15/293.07*(1/(VLOOKUP($A126,'Fuel economy adjusted factor'!$A$2:$L$52,5,FALSE)*m2k))/'TCO Inputs'!$AZ$84</f>
        <v>61.454057279491053</v>
      </c>
      <c r="U126" s="125">
        <f>U15/293.07*(1/(VLOOKUP($A126,'Fuel economy adjusted factor'!$A$2:$L$52,5,FALSE)*m2k))/'TCO Inputs'!$AZ$84</f>
        <v>61.454057279491053</v>
      </c>
      <c r="V126" s="125">
        <f>V15/293.07*(1/(VLOOKUP($A126,'Fuel economy adjusted factor'!$A$2:$L$52,5,FALSE)*m2k))/'TCO Inputs'!$AZ$84</f>
        <v>61.454057279491053</v>
      </c>
      <c r="W126" s="125">
        <f>W15/293.07*(1/(VLOOKUP($A126,'Fuel economy adjusted factor'!$A$2:$L$52,5,FALSE)*m2k))/'TCO Inputs'!$AZ$84</f>
        <v>61.454057279491053</v>
      </c>
      <c r="X126" s="125">
        <f>X15/293.07*(1/(VLOOKUP($A126,'Fuel economy adjusted factor'!$A$2:$L$52,5,FALSE)*m2k))/'TCO Inputs'!$AZ$84</f>
        <v>61.454057279491053</v>
      </c>
      <c r="Y126" s="125">
        <f>Y15/293.07*(1/(VLOOKUP($A126,'Fuel economy adjusted factor'!$A$2:$L$52,5,FALSE)*m2k))/'TCO Inputs'!$AZ$84</f>
        <v>61.454057279491053</v>
      </c>
      <c r="Z126" s="125">
        <f>Z15/293.07*(1/(VLOOKUP($A126,'Fuel economy adjusted factor'!$A$2:$L$52,5,FALSE)*m2k))/'TCO Inputs'!$AZ$84</f>
        <v>61.454057279491053</v>
      </c>
      <c r="AA126" s="125">
        <f>AA15/293.07*(1/(VLOOKUP($A126,'Fuel economy adjusted factor'!$A$2:$L$52,5,FALSE)*m2k))/'TCO Inputs'!$AZ$84</f>
        <v>61.454057279491053</v>
      </c>
      <c r="AB126" s="125">
        <f>AB15/293.07*(1/(VLOOKUP($A126,'Fuel economy adjusted factor'!$A$2:$L$52,5,FALSE)*m2k))/'TCO Inputs'!$AZ$84</f>
        <v>61.454057279491053</v>
      </c>
      <c r="AC126" s="125">
        <f>AC15/293.07*(1/(VLOOKUP($A126,'Fuel economy adjusted factor'!$A$2:$L$52,5,FALSE)*m2k))/'TCO Inputs'!$AZ$84</f>
        <v>61.454057279491053</v>
      </c>
      <c r="AD126" s="98" cm="1">
        <f t="array" ref="AD126">SUMPRODUCT(INDEX(B126:AC126,,'TCO Inputs'!$AZ$12-2023+_xlfn.SEQUENCE('TCO Inputs'!$AZ$13))*INDEX('VKT US'!C74:AA74,,_xlfn.SEQUENCE('TCO Inputs'!$AZ$13)))*m2k*CONVERT(0.9072,"g","ton")</f>
        <v>18.729835211243742</v>
      </c>
      <c r="AF126" s="123" t="s">
        <v>196</v>
      </c>
      <c r="AG126" s="125">
        <f>AG15/293.07*(1/(VLOOKUP($AF126,'Fuel economy adjusted factor'!$A$2:$L$52,5,FALSE)*m2k))/'TCO Inputs'!$AZ$84</f>
        <v>72.030781135888418</v>
      </c>
      <c r="AH126" s="125">
        <f>AH15/293.07*(1/(VLOOKUP($AF126,'Fuel economy adjusted factor'!$A$2:$L$52,5,FALSE)*m2k))/'TCO Inputs'!$AZ$84</f>
        <v>72.030781135888418</v>
      </c>
      <c r="AI126" s="125">
        <f>AI15/293.07*(1/(VLOOKUP($AF126,'Fuel economy adjusted factor'!$A$2:$L$52,5,FALSE)*m2k))/'TCO Inputs'!$AZ$84</f>
        <v>72.030781135888418</v>
      </c>
      <c r="AJ126" s="125">
        <f>AJ15/293.07*(1/(VLOOKUP($AF126,'Fuel economy adjusted factor'!$A$2:$L$52,5,FALSE)*m2k))/'TCO Inputs'!$AZ$84</f>
        <v>72.030781135888418</v>
      </c>
      <c r="AK126" s="125">
        <f>AK15/293.07*(1/(VLOOKUP($AF126,'Fuel economy adjusted factor'!$A$2:$L$52,5,FALSE)*m2k))/'TCO Inputs'!$AZ$84</f>
        <v>72.030781135888418</v>
      </c>
      <c r="AL126" s="125">
        <f>AL15/293.07*(1/(VLOOKUP($AF126,'Fuel economy adjusted factor'!$A$2:$L$52,5,FALSE)*m2k))/'TCO Inputs'!$AZ$84</f>
        <v>72.030781135888418</v>
      </c>
      <c r="AM126" s="125">
        <f>AM15/293.07*(1/(VLOOKUP($AF126,'Fuel economy adjusted factor'!$A$2:$L$52,5,FALSE)*m2k))/'TCO Inputs'!$AZ$84</f>
        <v>72.030781135888418</v>
      </c>
      <c r="AN126" s="125">
        <f>AN15/293.07*(1/(VLOOKUP($AF126,'Fuel economy adjusted factor'!$A$2:$L$52,5,FALSE)*m2k))/'TCO Inputs'!$AZ$84</f>
        <v>72.030781135888418</v>
      </c>
      <c r="AO126" s="125">
        <f>AO15/293.07*(1/(VLOOKUP($AF126,'Fuel economy adjusted factor'!$A$2:$L$52,5,FALSE)*m2k))/'TCO Inputs'!$AZ$84</f>
        <v>72.030781135888418</v>
      </c>
      <c r="AP126" s="125">
        <f>AP15/293.07*(1/(VLOOKUP($AF126,'Fuel economy adjusted factor'!$A$2:$L$52,5,FALSE)*m2k))/'TCO Inputs'!$AZ$84</f>
        <v>72.030781135888418</v>
      </c>
      <c r="AQ126" s="125">
        <f>AQ15/293.07*(1/(VLOOKUP($AF126,'Fuel economy adjusted factor'!$A$2:$L$52,5,FALSE)*m2k))/'TCO Inputs'!$AZ$84</f>
        <v>72.030781135888418</v>
      </c>
      <c r="AR126" s="125">
        <f>AR15/293.07*(1/(VLOOKUP($AF126,'Fuel economy adjusted factor'!$A$2:$L$52,5,FALSE)*m2k))/'TCO Inputs'!$AZ$84</f>
        <v>72.030781135888418</v>
      </c>
      <c r="AS126" s="125">
        <f>AS15/293.07*(1/(VLOOKUP($AF126,'Fuel economy adjusted factor'!$A$2:$L$52,5,FALSE)*m2k))/'TCO Inputs'!$AZ$84</f>
        <v>72.030781135888418</v>
      </c>
      <c r="AT126" s="125">
        <f>AT15/293.07*(1/(VLOOKUP($AF126,'Fuel economy adjusted factor'!$A$2:$L$52,5,FALSE)*m2k))/'TCO Inputs'!$AZ$84</f>
        <v>72.030781135888418</v>
      </c>
      <c r="AU126" s="125">
        <f>AU15/293.07*(1/(VLOOKUP($AF126,'Fuel economy adjusted factor'!$A$2:$L$52,5,FALSE)*m2k))/'TCO Inputs'!$AZ$84</f>
        <v>72.030781135888418</v>
      </c>
      <c r="AV126" s="125">
        <f>AV15/293.07*(1/(VLOOKUP($AF126,'Fuel economy adjusted factor'!$A$2:$L$52,5,FALSE)*m2k))/'TCO Inputs'!$AZ$84</f>
        <v>72.030781135888418</v>
      </c>
      <c r="AW126" s="125">
        <f>AW15/293.07*(1/(VLOOKUP($AF126,'Fuel economy adjusted factor'!$A$2:$L$52,5,FALSE)*m2k))/'TCO Inputs'!$AZ$84</f>
        <v>72.030781135888418</v>
      </c>
      <c r="AX126" s="125">
        <f>AX15/293.07*(1/(VLOOKUP($AF126,'Fuel economy adjusted factor'!$A$2:$L$52,5,FALSE)*m2k))/'TCO Inputs'!$AZ$84</f>
        <v>72.030781135888418</v>
      </c>
      <c r="AY126" s="125">
        <f>AY15/293.07*(1/(VLOOKUP($AF126,'Fuel economy adjusted factor'!$A$2:$L$52,5,FALSE)*m2k))/'TCO Inputs'!$AZ$84</f>
        <v>72.030781135888418</v>
      </c>
      <c r="AZ126" s="125">
        <f>AZ15/293.07*(1/(VLOOKUP($AF126,'Fuel economy adjusted factor'!$A$2:$L$52,5,FALSE)*m2k))/'TCO Inputs'!$AZ$84</f>
        <v>72.030781135888418</v>
      </c>
      <c r="BA126" s="125">
        <f>BA15/293.07*(1/(VLOOKUP($AF126,'Fuel economy adjusted factor'!$A$2:$L$52,5,FALSE)*m2k))/'TCO Inputs'!$AZ$84</f>
        <v>72.030781135888418</v>
      </c>
      <c r="BB126" s="125">
        <f>BB15/293.07*(1/(VLOOKUP($AF126,'Fuel economy adjusted factor'!$A$2:$L$52,5,FALSE)*m2k))/'TCO Inputs'!$AZ$84</f>
        <v>72.030781135888418</v>
      </c>
      <c r="BC126" s="125">
        <f>BC15/293.07*(1/(VLOOKUP($AF126,'Fuel economy adjusted factor'!$A$2:$L$52,5,FALSE)*m2k))/'TCO Inputs'!$AZ$84</f>
        <v>72.030781135888418</v>
      </c>
      <c r="BD126" s="125">
        <f>BD15/293.07*(1/(VLOOKUP($AF126,'Fuel economy adjusted factor'!$A$2:$L$52,5,FALSE)*m2k))/'TCO Inputs'!$AZ$84</f>
        <v>72.030781135888418</v>
      </c>
      <c r="BE126" s="125">
        <f>BE15/293.07*(1/(VLOOKUP($AF126,'Fuel economy adjusted factor'!$A$2:$L$52,5,FALSE)*m2k))/'TCO Inputs'!$AZ$84</f>
        <v>72.030781135888418</v>
      </c>
      <c r="BF126" s="125">
        <f>BF15/293.07*(1/(VLOOKUP($AF126,'Fuel economy adjusted factor'!$A$2:$L$52,5,FALSE)*m2k))/'TCO Inputs'!$AZ$84</f>
        <v>72.030781135888418</v>
      </c>
      <c r="BG126" s="125">
        <f>BG15/293.07*(1/(VLOOKUP($AF126,'Fuel economy adjusted factor'!$A$2:$L$52,5,FALSE)*m2k))/'TCO Inputs'!$AZ$84</f>
        <v>72.030781135888418</v>
      </c>
      <c r="BH126" s="125">
        <f>BH15/293.07*(1/(VLOOKUP($AF126,'Fuel economy adjusted factor'!$A$2:$L$52,5,FALSE)*m2k))/'TCO Inputs'!$AZ$84</f>
        <v>72.030781135888418</v>
      </c>
      <c r="BI126" s="98" cm="1">
        <f t="array" ref="BI126">SUMPRODUCT(INDEX(AG126:BH126,,'TCO Inputs'!$AZ$12-2023+_xlfn.SEQUENCE('TCO Inputs'!$AZ$13))*INDEX('VKT US'!C74:AA74,,_xlfn.SEQUENCE('TCO Inputs'!$AZ$13)))*m2k*CONVERT(0.9072,"g","ton")</f>
        <v>21.953386326904003</v>
      </c>
      <c r="BL126" s="123" t="s">
        <v>196</v>
      </c>
      <c r="BM126" s="125">
        <f>BM15/293.07*(1/(VLOOKUP($BL126,'Fuel economy adjusted factor'!$A$2:$L$52,5,FALSE)*m2k))/'TCO Inputs'!$AZ$84</f>
        <v>53.548708020822609</v>
      </c>
      <c r="BN126" s="125">
        <f>BN15/293.07*(1/(VLOOKUP($BL126,'Fuel economy adjusted factor'!$A$2:$L$52,5,FALSE)*m2k))/'TCO Inputs'!$AZ$84</f>
        <v>53.548708020822609</v>
      </c>
      <c r="BO126" s="125">
        <f>BO15/293.07*(1/(VLOOKUP($BL126,'Fuel economy adjusted factor'!$A$2:$L$52,5,FALSE)*m2k))/'TCO Inputs'!$AZ$84</f>
        <v>53.548708020822609</v>
      </c>
      <c r="BP126" s="125">
        <f>BP15/293.07*(1/(VLOOKUP($BL126,'Fuel economy adjusted factor'!$A$2:$L$52,5,FALSE)*m2k))/'TCO Inputs'!$AZ$84</f>
        <v>53.548708020822609</v>
      </c>
      <c r="BQ126" s="125">
        <f>BQ15/293.07*(1/(VLOOKUP($BL126,'Fuel economy adjusted factor'!$A$2:$L$52,5,FALSE)*m2k))/'TCO Inputs'!$AZ$84</f>
        <v>53.548708020822609</v>
      </c>
      <c r="BR126" s="125">
        <f>BR15/293.07*(1/(VLOOKUP($BL126,'Fuel economy adjusted factor'!$A$2:$L$52,5,FALSE)*m2k))/'TCO Inputs'!$AZ$84</f>
        <v>53.548708020822609</v>
      </c>
      <c r="BS126" s="125">
        <f>BS15/293.07*(1/(VLOOKUP($BL126,'Fuel economy adjusted factor'!$A$2:$L$52,5,FALSE)*m2k))/'TCO Inputs'!$AZ$84</f>
        <v>53.548708020822609</v>
      </c>
      <c r="BT126" s="125">
        <f>BT15/293.07*(1/(VLOOKUP($BL126,'Fuel economy adjusted factor'!$A$2:$L$52,5,FALSE)*m2k))/'TCO Inputs'!$AZ$84</f>
        <v>53.548708020822609</v>
      </c>
      <c r="BU126" s="125">
        <f>BU15/293.07*(1/(VLOOKUP($BL126,'Fuel economy adjusted factor'!$A$2:$L$52,5,FALSE)*m2k))/'TCO Inputs'!$AZ$84</f>
        <v>53.548708020822609</v>
      </c>
      <c r="BV126" s="125">
        <f>BV15/293.07*(1/(VLOOKUP($BL126,'Fuel economy adjusted factor'!$A$2:$L$52,5,FALSE)*m2k))/'TCO Inputs'!$AZ$84</f>
        <v>53.548708020822609</v>
      </c>
      <c r="BW126" s="125">
        <f>BW15/293.07*(1/(VLOOKUP($BL126,'Fuel economy adjusted factor'!$A$2:$L$52,5,FALSE)*m2k))/'TCO Inputs'!$AZ$84</f>
        <v>53.548708020822609</v>
      </c>
      <c r="BX126" s="125">
        <f>BX15/293.07*(1/(VLOOKUP($BL126,'Fuel economy adjusted factor'!$A$2:$L$52,5,FALSE)*m2k))/'TCO Inputs'!$AZ$84</f>
        <v>53.548708020822609</v>
      </c>
      <c r="BY126" s="125">
        <f>BY15/293.07*(1/(VLOOKUP($BL126,'Fuel economy adjusted factor'!$A$2:$L$52,5,FALSE)*m2k))/'TCO Inputs'!$AZ$84</f>
        <v>53.548708020822609</v>
      </c>
      <c r="BZ126" s="125">
        <f>BZ15/293.07*(1/(VLOOKUP($BL126,'Fuel economy adjusted factor'!$A$2:$L$52,5,FALSE)*m2k))/'TCO Inputs'!$AZ$84</f>
        <v>53.548708020822609</v>
      </c>
      <c r="CA126" s="125">
        <f>CA15/293.07*(1/(VLOOKUP($BL126,'Fuel economy adjusted factor'!$A$2:$L$52,5,FALSE)*m2k))/'TCO Inputs'!$AZ$84</f>
        <v>53.548708020822609</v>
      </c>
      <c r="CB126" s="125">
        <f>CB15/293.07*(1/(VLOOKUP($BL126,'Fuel economy adjusted factor'!$A$2:$L$52,5,FALSE)*m2k))/'TCO Inputs'!$AZ$84</f>
        <v>53.548708020822609</v>
      </c>
      <c r="CC126" s="125">
        <f>CC15/293.07*(1/(VLOOKUP($BL126,'Fuel economy adjusted factor'!$A$2:$L$52,5,FALSE)*m2k))/'TCO Inputs'!$AZ$84</f>
        <v>53.548708020822609</v>
      </c>
      <c r="CD126" s="125">
        <f>CD15/293.07*(1/(VLOOKUP($BL126,'Fuel economy adjusted factor'!$A$2:$L$52,5,FALSE)*m2k))/'TCO Inputs'!$AZ$84</f>
        <v>53.548708020822609</v>
      </c>
      <c r="CE126" s="125">
        <f>CE15/293.07*(1/(VLOOKUP($BL126,'Fuel economy adjusted factor'!$A$2:$L$52,5,FALSE)*m2k))/'TCO Inputs'!$AZ$84</f>
        <v>53.548708020822609</v>
      </c>
      <c r="CF126" s="125">
        <f>CF15/293.07*(1/(VLOOKUP($BL126,'Fuel economy adjusted factor'!$A$2:$L$52,5,FALSE)*m2k))/'TCO Inputs'!$AZ$84</f>
        <v>53.548708020822609</v>
      </c>
      <c r="CG126" s="125">
        <f>CG15/293.07*(1/(VLOOKUP($BL126,'Fuel economy adjusted factor'!$A$2:$L$52,5,FALSE)*m2k))/'TCO Inputs'!$AZ$84</f>
        <v>53.548708020822609</v>
      </c>
      <c r="CH126" s="125">
        <f>CH15/293.07*(1/(VLOOKUP($BL126,'Fuel economy adjusted factor'!$A$2:$L$52,5,FALSE)*m2k))/'TCO Inputs'!$AZ$84</f>
        <v>53.548708020822609</v>
      </c>
      <c r="CI126" s="125">
        <f>CI15/293.07*(1/(VLOOKUP($BL126,'Fuel economy adjusted factor'!$A$2:$L$52,5,FALSE)*m2k))/'TCO Inputs'!$AZ$84</f>
        <v>53.548708020822609</v>
      </c>
      <c r="CJ126" s="125">
        <f>CJ15/293.07*(1/(VLOOKUP($BL126,'Fuel economy adjusted factor'!$A$2:$L$52,5,FALSE)*m2k))/'TCO Inputs'!$AZ$84</f>
        <v>53.548708020822609</v>
      </c>
      <c r="CK126" s="125">
        <f>CK15/293.07*(1/(VLOOKUP($BL126,'Fuel economy adjusted factor'!$A$2:$L$52,5,FALSE)*m2k))/'TCO Inputs'!$AZ$84</f>
        <v>53.548708020822609</v>
      </c>
      <c r="CL126" s="125">
        <f>CL15/293.07*(1/(VLOOKUP($BL126,'Fuel economy adjusted factor'!$A$2:$L$52,5,FALSE)*m2k))/'TCO Inputs'!$AZ$84</f>
        <v>53.548708020822609</v>
      </c>
      <c r="CM126" s="125">
        <f>CM15/293.07*(1/(VLOOKUP($BL126,'Fuel economy adjusted factor'!$A$2:$L$52,5,FALSE)*m2k))/'TCO Inputs'!$AZ$84</f>
        <v>53.548708020822609</v>
      </c>
      <c r="CN126" s="125">
        <f>CN15/293.07*(1/(VLOOKUP($BL126,'Fuel economy adjusted factor'!$A$2:$L$52,5,FALSE)*m2k))/'TCO Inputs'!$AZ$84</f>
        <v>53.548708020822609</v>
      </c>
      <c r="CO126" s="98" cm="1">
        <f t="array" ref="CO126">SUMPRODUCT(INDEX(BM126:CN126,,'TCO Inputs'!$AZ$12-2023+_xlfn.SEQUENCE('TCO Inputs'!$AZ$13))*INDEX('VKT US'!C74:AA74,,_xlfn.SEQUENCE('TCO Inputs'!$AZ$13)))*m2k*CONVERT(0.9072,"g","ton")</f>
        <v>16.320459891583575</v>
      </c>
    </row>
    <row r="127" spans="1:93" x14ac:dyDescent="0.25">
      <c r="A127" s="123" t="s">
        <v>197</v>
      </c>
      <c r="B127" s="125">
        <f>B16/293.07*(1/(VLOOKUP($A127,'Fuel economy adjusted factor'!$A$2:$L$52,5,FALSE)*m2k))/'TCO Inputs'!$AZ$84</f>
        <v>79.492930776429915</v>
      </c>
      <c r="C127" s="125">
        <f>C16/293.07*(1/(VLOOKUP($A127,'Fuel economy adjusted factor'!$A$2:$L$52,5,FALSE)*m2k))/'TCO Inputs'!$AZ$84</f>
        <v>79.492930776429915</v>
      </c>
      <c r="D127" s="125">
        <f>D16/293.07*(1/(VLOOKUP($A127,'Fuel economy adjusted factor'!$A$2:$L$52,5,FALSE)*m2k))/'TCO Inputs'!$AZ$84</f>
        <v>79.492930776429915</v>
      </c>
      <c r="E127" s="125">
        <f>E16/293.07*(1/(VLOOKUP($A127,'Fuel economy adjusted factor'!$A$2:$L$52,5,FALSE)*m2k))/'TCO Inputs'!$AZ$84</f>
        <v>79.492930776429915</v>
      </c>
      <c r="F127" s="125">
        <f>F16/293.07*(1/(VLOOKUP($A127,'Fuel economy adjusted factor'!$A$2:$L$52,5,FALSE)*m2k))/'TCO Inputs'!$AZ$84</f>
        <v>79.492930776429915</v>
      </c>
      <c r="G127" s="125">
        <f>G16/293.07*(1/(VLOOKUP($A127,'Fuel economy adjusted factor'!$A$2:$L$52,5,FALSE)*m2k))/'TCO Inputs'!$AZ$84</f>
        <v>79.492930776429915</v>
      </c>
      <c r="H127" s="125">
        <f>H16/293.07*(1/(VLOOKUP($A127,'Fuel economy adjusted factor'!$A$2:$L$52,5,FALSE)*m2k))/'TCO Inputs'!$AZ$84</f>
        <v>79.492930776429915</v>
      </c>
      <c r="I127" s="125">
        <f>I16/293.07*(1/(VLOOKUP($A127,'Fuel economy adjusted factor'!$A$2:$L$52,5,FALSE)*m2k))/'TCO Inputs'!$AZ$84</f>
        <v>79.492930776429915</v>
      </c>
      <c r="J127" s="125">
        <f>J16/293.07*(1/(VLOOKUP($A127,'Fuel economy adjusted factor'!$A$2:$L$52,5,FALSE)*m2k))/'TCO Inputs'!$AZ$84</f>
        <v>79.492930776429915</v>
      </c>
      <c r="K127" s="125">
        <f>K16/293.07*(1/(VLOOKUP($A127,'Fuel economy adjusted factor'!$A$2:$L$52,5,FALSE)*m2k))/'TCO Inputs'!$AZ$84</f>
        <v>79.492930776429915</v>
      </c>
      <c r="L127" s="125">
        <f>L16/293.07*(1/(VLOOKUP($A127,'Fuel economy adjusted factor'!$A$2:$L$52,5,FALSE)*m2k))/'TCO Inputs'!$AZ$84</f>
        <v>79.492930776429915</v>
      </c>
      <c r="M127" s="125">
        <f>M16/293.07*(1/(VLOOKUP($A127,'Fuel economy adjusted factor'!$A$2:$L$52,5,FALSE)*m2k))/'TCO Inputs'!$AZ$84</f>
        <v>79.492930776429915</v>
      </c>
      <c r="N127" s="125">
        <f>N16/293.07*(1/(VLOOKUP($A127,'Fuel economy adjusted factor'!$A$2:$L$52,5,FALSE)*m2k))/'TCO Inputs'!$AZ$84</f>
        <v>79.492930776429915</v>
      </c>
      <c r="O127" s="125">
        <f>O16/293.07*(1/(VLOOKUP($A127,'Fuel economy adjusted factor'!$A$2:$L$52,5,FALSE)*m2k))/'TCO Inputs'!$AZ$84</f>
        <v>79.492930776429915</v>
      </c>
      <c r="P127" s="125">
        <f>P16/293.07*(1/(VLOOKUP($A127,'Fuel economy adjusted factor'!$A$2:$L$52,5,FALSE)*m2k))/'TCO Inputs'!$AZ$84</f>
        <v>79.492930776429915</v>
      </c>
      <c r="Q127" s="125">
        <f>Q16/293.07*(1/(VLOOKUP($A127,'Fuel economy adjusted factor'!$A$2:$L$52,5,FALSE)*m2k))/'TCO Inputs'!$AZ$84</f>
        <v>79.492930776429915</v>
      </c>
      <c r="R127" s="125">
        <f>R16/293.07*(1/(VLOOKUP($A127,'Fuel economy adjusted factor'!$A$2:$L$52,5,FALSE)*m2k))/'TCO Inputs'!$AZ$84</f>
        <v>79.492930776429915</v>
      </c>
      <c r="S127" s="125">
        <f>S16/293.07*(1/(VLOOKUP($A127,'Fuel economy adjusted factor'!$A$2:$L$52,5,FALSE)*m2k))/'TCO Inputs'!$AZ$84</f>
        <v>79.492930776429915</v>
      </c>
      <c r="T127" s="125">
        <f>T16/293.07*(1/(VLOOKUP($A127,'Fuel economy adjusted factor'!$A$2:$L$52,5,FALSE)*m2k))/'TCO Inputs'!$AZ$84</f>
        <v>79.492930776429915</v>
      </c>
      <c r="U127" s="125">
        <f>U16/293.07*(1/(VLOOKUP($A127,'Fuel economy adjusted factor'!$A$2:$L$52,5,FALSE)*m2k))/'TCO Inputs'!$AZ$84</f>
        <v>79.492930776429915</v>
      </c>
      <c r="V127" s="125">
        <f>V16/293.07*(1/(VLOOKUP($A127,'Fuel economy adjusted factor'!$A$2:$L$52,5,FALSE)*m2k))/'TCO Inputs'!$AZ$84</f>
        <v>79.492930776429915</v>
      </c>
      <c r="W127" s="125">
        <f>W16/293.07*(1/(VLOOKUP($A127,'Fuel economy adjusted factor'!$A$2:$L$52,5,FALSE)*m2k))/'TCO Inputs'!$AZ$84</f>
        <v>79.492930776429915</v>
      </c>
      <c r="X127" s="125">
        <f>X16/293.07*(1/(VLOOKUP($A127,'Fuel economy adjusted factor'!$A$2:$L$52,5,FALSE)*m2k))/'TCO Inputs'!$AZ$84</f>
        <v>79.492930776429915</v>
      </c>
      <c r="Y127" s="125">
        <f>Y16/293.07*(1/(VLOOKUP($A127,'Fuel economy adjusted factor'!$A$2:$L$52,5,FALSE)*m2k))/'TCO Inputs'!$AZ$84</f>
        <v>79.492930776429915</v>
      </c>
      <c r="Z127" s="125">
        <f>Z16/293.07*(1/(VLOOKUP($A127,'Fuel economy adjusted factor'!$A$2:$L$52,5,FALSE)*m2k))/'TCO Inputs'!$AZ$84</f>
        <v>79.492930776429915</v>
      </c>
      <c r="AA127" s="125">
        <f>AA16/293.07*(1/(VLOOKUP($A127,'Fuel economy adjusted factor'!$A$2:$L$52,5,FALSE)*m2k))/'TCO Inputs'!$AZ$84</f>
        <v>79.492930776429915</v>
      </c>
      <c r="AB127" s="125">
        <f>AB16/293.07*(1/(VLOOKUP($A127,'Fuel economy adjusted factor'!$A$2:$L$52,5,FALSE)*m2k))/'TCO Inputs'!$AZ$84</f>
        <v>79.492930776429915</v>
      </c>
      <c r="AC127" s="125">
        <f>AC16/293.07*(1/(VLOOKUP($A127,'Fuel economy adjusted factor'!$A$2:$L$52,5,FALSE)*m2k))/'TCO Inputs'!$AZ$84</f>
        <v>79.492930776429915</v>
      </c>
      <c r="AD127" s="98" cm="1">
        <f t="array" ref="AD127">SUMPRODUCT(INDEX(B127:AC127,,'TCO Inputs'!$AZ$12-2023+_xlfn.SEQUENCE('TCO Inputs'!$AZ$13))*INDEX('VKT US'!C75:AA75,,_xlfn.SEQUENCE('TCO Inputs'!$AZ$13)))*m2k*CONVERT(0.9072,"g","ton")</f>
        <v>21.142296954392794</v>
      </c>
      <c r="AF127" s="123" t="s">
        <v>197</v>
      </c>
      <c r="AG127" s="125">
        <f>AG16/293.07*(1/(VLOOKUP($AF127,'Fuel economy adjusted factor'!$A$2:$L$52,5,FALSE)*m2k))/'TCO Inputs'!$AZ$84</f>
        <v>93.174285833821713</v>
      </c>
      <c r="AH127" s="125">
        <f>AH16/293.07*(1/(VLOOKUP($AF127,'Fuel economy adjusted factor'!$A$2:$L$52,5,FALSE)*m2k))/'TCO Inputs'!$AZ$84</f>
        <v>93.174285833821713</v>
      </c>
      <c r="AI127" s="125">
        <f>AI16/293.07*(1/(VLOOKUP($AF127,'Fuel economy adjusted factor'!$A$2:$L$52,5,FALSE)*m2k))/'TCO Inputs'!$AZ$84</f>
        <v>93.174285833821713</v>
      </c>
      <c r="AJ127" s="125">
        <f>AJ16/293.07*(1/(VLOOKUP($AF127,'Fuel economy adjusted factor'!$A$2:$L$52,5,FALSE)*m2k))/'TCO Inputs'!$AZ$84</f>
        <v>93.174285833821713</v>
      </c>
      <c r="AK127" s="125">
        <f>AK16/293.07*(1/(VLOOKUP($AF127,'Fuel economy adjusted factor'!$A$2:$L$52,5,FALSE)*m2k))/'TCO Inputs'!$AZ$84</f>
        <v>93.174285833821713</v>
      </c>
      <c r="AL127" s="125">
        <f>AL16/293.07*(1/(VLOOKUP($AF127,'Fuel economy adjusted factor'!$A$2:$L$52,5,FALSE)*m2k))/'TCO Inputs'!$AZ$84</f>
        <v>93.174285833821713</v>
      </c>
      <c r="AM127" s="125">
        <f>AM16/293.07*(1/(VLOOKUP($AF127,'Fuel economy adjusted factor'!$A$2:$L$52,5,FALSE)*m2k))/'TCO Inputs'!$AZ$84</f>
        <v>93.174285833821713</v>
      </c>
      <c r="AN127" s="125">
        <f>AN16/293.07*(1/(VLOOKUP($AF127,'Fuel economy adjusted factor'!$A$2:$L$52,5,FALSE)*m2k))/'TCO Inputs'!$AZ$84</f>
        <v>93.174285833821713</v>
      </c>
      <c r="AO127" s="125">
        <f>AO16/293.07*(1/(VLOOKUP($AF127,'Fuel economy adjusted factor'!$A$2:$L$52,5,FALSE)*m2k))/'TCO Inputs'!$AZ$84</f>
        <v>93.174285833821713</v>
      </c>
      <c r="AP127" s="125">
        <f>AP16/293.07*(1/(VLOOKUP($AF127,'Fuel economy adjusted factor'!$A$2:$L$52,5,FALSE)*m2k))/'TCO Inputs'!$AZ$84</f>
        <v>93.174285833821713</v>
      </c>
      <c r="AQ127" s="125">
        <f>AQ16/293.07*(1/(VLOOKUP($AF127,'Fuel economy adjusted factor'!$A$2:$L$52,5,FALSE)*m2k))/'TCO Inputs'!$AZ$84</f>
        <v>93.174285833821713</v>
      </c>
      <c r="AR127" s="125">
        <f>AR16/293.07*(1/(VLOOKUP($AF127,'Fuel economy adjusted factor'!$A$2:$L$52,5,FALSE)*m2k))/'TCO Inputs'!$AZ$84</f>
        <v>93.174285833821713</v>
      </c>
      <c r="AS127" s="125">
        <f>AS16/293.07*(1/(VLOOKUP($AF127,'Fuel economy adjusted factor'!$A$2:$L$52,5,FALSE)*m2k))/'TCO Inputs'!$AZ$84</f>
        <v>93.174285833821713</v>
      </c>
      <c r="AT127" s="125">
        <f>AT16/293.07*(1/(VLOOKUP($AF127,'Fuel economy adjusted factor'!$A$2:$L$52,5,FALSE)*m2k))/'TCO Inputs'!$AZ$84</f>
        <v>93.174285833821713</v>
      </c>
      <c r="AU127" s="125">
        <f>AU16/293.07*(1/(VLOOKUP($AF127,'Fuel economy adjusted factor'!$A$2:$L$52,5,FALSE)*m2k))/'TCO Inputs'!$AZ$84</f>
        <v>93.174285833821713</v>
      </c>
      <c r="AV127" s="125">
        <f>AV16/293.07*(1/(VLOOKUP($AF127,'Fuel economy adjusted factor'!$A$2:$L$52,5,FALSE)*m2k))/'TCO Inputs'!$AZ$84</f>
        <v>93.174285833821713</v>
      </c>
      <c r="AW127" s="125">
        <f>AW16/293.07*(1/(VLOOKUP($AF127,'Fuel economy adjusted factor'!$A$2:$L$52,5,FALSE)*m2k))/'TCO Inputs'!$AZ$84</f>
        <v>93.174285833821713</v>
      </c>
      <c r="AX127" s="125">
        <f>AX16/293.07*(1/(VLOOKUP($AF127,'Fuel economy adjusted factor'!$A$2:$L$52,5,FALSE)*m2k))/'TCO Inputs'!$AZ$84</f>
        <v>93.174285833821713</v>
      </c>
      <c r="AY127" s="125">
        <f>AY16/293.07*(1/(VLOOKUP($AF127,'Fuel economy adjusted factor'!$A$2:$L$52,5,FALSE)*m2k))/'TCO Inputs'!$AZ$84</f>
        <v>93.174285833821713</v>
      </c>
      <c r="AZ127" s="125">
        <f>AZ16/293.07*(1/(VLOOKUP($AF127,'Fuel economy adjusted factor'!$A$2:$L$52,5,FALSE)*m2k))/'TCO Inputs'!$AZ$84</f>
        <v>93.174285833821713</v>
      </c>
      <c r="BA127" s="125">
        <f>BA16/293.07*(1/(VLOOKUP($AF127,'Fuel economy adjusted factor'!$A$2:$L$52,5,FALSE)*m2k))/'TCO Inputs'!$AZ$84</f>
        <v>93.174285833821713</v>
      </c>
      <c r="BB127" s="125">
        <f>BB16/293.07*(1/(VLOOKUP($AF127,'Fuel economy adjusted factor'!$A$2:$L$52,5,FALSE)*m2k))/'TCO Inputs'!$AZ$84</f>
        <v>93.174285833821713</v>
      </c>
      <c r="BC127" s="125">
        <f>BC16/293.07*(1/(VLOOKUP($AF127,'Fuel economy adjusted factor'!$A$2:$L$52,5,FALSE)*m2k))/'TCO Inputs'!$AZ$84</f>
        <v>93.174285833821713</v>
      </c>
      <c r="BD127" s="125">
        <f>BD16/293.07*(1/(VLOOKUP($AF127,'Fuel economy adjusted factor'!$A$2:$L$52,5,FALSE)*m2k))/'TCO Inputs'!$AZ$84</f>
        <v>93.174285833821713</v>
      </c>
      <c r="BE127" s="125">
        <f>BE16/293.07*(1/(VLOOKUP($AF127,'Fuel economy adjusted factor'!$A$2:$L$52,5,FALSE)*m2k))/'TCO Inputs'!$AZ$84</f>
        <v>93.174285833821713</v>
      </c>
      <c r="BF127" s="125">
        <f>BF16/293.07*(1/(VLOOKUP($AF127,'Fuel economy adjusted factor'!$A$2:$L$52,5,FALSE)*m2k))/'TCO Inputs'!$AZ$84</f>
        <v>93.174285833821713</v>
      </c>
      <c r="BG127" s="125">
        <f>BG16/293.07*(1/(VLOOKUP($AF127,'Fuel economy adjusted factor'!$A$2:$L$52,5,FALSE)*m2k))/'TCO Inputs'!$AZ$84</f>
        <v>93.174285833821713</v>
      </c>
      <c r="BH127" s="125">
        <f>BH16/293.07*(1/(VLOOKUP($AF127,'Fuel economy adjusted factor'!$A$2:$L$52,5,FALSE)*m2k))/'TCO Inputs'!$AZ$84</f>
        <v>93.174285833821713</v>
      </c>
      <c r="BI127" s="98" cm="1">
        <f t="array" ref="BI127">SUMPRODUCT(INDEX(AG127:BH127,,'TCO Inputs'!$AZ$12-2023+_xlfn.SEQUENCE('TCO Inputs'!$AZ$13))*INDEX('VKT US'!C75:AA75,,_xlfn.SEQUENCE('TCO Inputs'!$AZ$13)))*m2k*CONVERT(0.9072,"g","ton")</f>
        <v>24.781051602593873</v>
      </c>
      <c r="BL127" s="123" t="s">
        <v>197</v>
      </c>
      <c r="BM127" s="125">
        <f>BM16/293.07*(1/(VLOOKUP($BL127,'Fuel economy adjusted factor'!$A$2:$L$52,5,FALSE)*m2k))/'TCO Inputs'!$AZ$84</f>
        <v>69.267090381144016</v>
      </c>
      <c r="BN127" s="125">
        <f>BN16/293.07*(1/(VLOOKUP($BL127,'Fuel economy adjusted factor'!$A$2:$L$52,5,FALSE)*m2k))/'TCO Inputs'!$AZ$84</f>
        <v>69.267090381144016</v>
      </c>
      <c r="BO127" s="125">
        <f>BO16/293.07*(1/(VLOOKUP($BL127,'Fuel economy adjusted factor'!$A$2:$L$52,5,FALSE)*m2k))/'TCO Inputs'!$AZ$84</f>
        <v>69.267090381144016</v>
      </c>
      <c r="BP127" s="125">
        <f>BP16/293.07*(1/(VLOOKUP($BL127,'Fuel economy adjusted factor'!$A$2:$L$52,5,FALSE)*m2k))/'TCO Inputs'!$AZ$84</f>
        <v>69.267090381144016</v>
      </c>
      <c r="BQ127" s="125">
        <f>BQ16/293.07*(1/(VLOOKUP($BL127,'Fuel economy adjusted factor'!$A$2:$L$52,5,FALSE)*m2k))/'TCO Inputs'!$AZ$84</f>
        <v>69.267090381144016</v>
      </c>
      <c r="BR127" s="125">
        <f>BR16/293.07*(1/(VLOOKUP($BL127,'Fuel economy adjusted factor'!$A$2:$L$52,5,FALSE)*m2k))/'TCO Inputs'!$AZ$84</f>
        <v>69.267090381144016</v>
      </c>
      <c r="BS127" s="125">
        <f>BS16/293.07*(1/(VLOOKUP($BL127,'Fuel economy adjusted factor'!$A$2:$L$52,5,FALSE)*m2k))/'TCO Inputs'!$AZ$84</f>
        <v>69.267090381144016</v>
      </c>
      <c r="BT127" s="125">
        <f>BT16/293.07*(1/(VLOOKUP($BL127,'Fuel economy adjusted factor'!$A$2:$L$52,5,FALSE)*m2k))/'TCO Inputs'!$AZ$84</f>
        <v>69.267090381144016</v>
      </c>
      <c r="BU127" s="125">
        <f>BU16/293.07*(1/(VLOOKUP($BL127,'Fuel economy adjusted factor'!$A$2:$L$52,5,FALSE)*m2k))/'TCO Inputs'!$AZ$84</f>
        <v>69.267090381144016</v>
      </c>
      <c r="BV127" s="125">
        <f>BV16/293.07*(1/(VLOOKUP($BL127,'Fuel economy adjusted factor'!$A$2:$L$52,5,FALSE)*m2k))/'TCO Inputs'!$AZ$84</f>
        <v>69.267090381144016</v>
      </c>
      <c r="BW127" s="125">
        <f>BW16/293.07*(1/(VLOOKUP($BL127,'Fuel economy adjusted factor'!$A$2:$L$52,5,FALSE)*m2k))/'TCO Inputs'!$AZ$84</f>
        <v>69.267090381144016</v>
      </c>
      <c r="BX127" s="125">
        <f>BX16/293.07*(1/(VLOOKUP($BL127,'Fuel economy adjusted factor'!$A$2:$L$52,5,FALSE)*m2k))/'TCO Inputs'!$AZ$84</f>
        <v>69.267090381144016</v>
      </c>
      <c r="BY127" s="125">
        <f>BY16/293.07*(1/(VLOOKUP($BL127,'Fuel economy adjusted factor'!$A$2:$L$52,5,FALSE)*m2k))/'TCO Inputs'!$AZ$84</f>
        <v>69.267090381144016</v>
      </c>
      <c r="BZ127" s="125">
        <f>BZ16/293.07*(1/(VLOOKUP($BL127,'Fuel economy adjusted factor'!$A$2:$L$52,5,FALSE)*m2k))/'TCO Inputs'!$AZ$84</f>
        <v>69.267090381144016</v>
      </c>
      <c r="CA127" s="125">
        <f>CA16/293.07*(1/(VLOOKUP($BL127,'Fuel economy adjusted factor'!$A$2:$L$52,5,FALSE)*m2k))/'TCO Inputs'!$AZ$84</f>
        <v>69.267090381144016</v>
      </c>
      <c r="CB127" s="125">
        <f>CB16/293.07*(1/(VLOOKUP($BL127,'Fuel economy adjusted factor'!$A$2:$L$52,5,FALSE)*m2k))/'TCO Inputs'!$AZ$84</f>
        <v>69.267090381144016</v>
      </c>
      <c r="CC127" s="125">
        <f>CC16/293.07*(1/(VLOOKUP($BL127,'Fuel economy adjusted factor'!$A$2:$L$52,5,FALSE)*m2k))/'TCO Inputs'!$AZ$84</f>
        <v>69.267090381144016</v>
      </c>
      <c r="CD127" s="125">
        <f>CD16/293.07*(1/(VLOOKUP($BL127,'Fuel economy adjusted factor'!$A$2:$L$52,5,FALSE)*m2k))/'TCO Inputs'!$AZ$84</f>
        <v>69.267090381144016</v>
      </c>
      <c r="CE127" s="125">
        <f>CE16/293.07*(1/(VLOOKUP($BL127,'Fuel economy adjusted factor'!$A$2:$L$52,5,FALSE)*m2k))/'TCO Inputs'!$AZ$84</f>
        <v>69.267090381144016</v>
      </c>
      <c r="CF127" s="125">
        <f>CF16/293.07*(1/(VLOOKUP($BL127,'Fuel economy adjusted factor'!$A$2:$L$52,5,FALSE)*m2k))/'TCO Inputs'!$AZ$84</f>
        <v>69.267090381144016</v>
      </c>
      <c r="CG127" s="125">
        <f>CG16/293.07*(1/(VLOOKUP($BL127,'Fuel economy adjusted factor'!$A$2:$L$52,5,FALSE)*m2k))/'TCO Inputs'!$AZ$84</f>
        <v>69.267090381144016</v>
      </c>
      <c r="CH127" s="125">
        <f>CH16/293.07*(1/(VLOOKUP($BL127,'Fuel economy adjusted factor'!$A$2:$L$52,5,FALSE)*m2k))/'TCO Inputs'!$AZ$84</f>
        <v>69.267090381144016</v>
      </c>
      <c r="CI127" s="125">
        <f>CI16/293.07*(1/(VLOOKUP($BL127,'Fuel economy adjusted factor'!$A$2:$L$52,5,FALSE)*m2k))/'TCO Inputs'!$AZ$84</f>
        <v>69.267090381144016</v>
      </c>
      <c r="CJ127" s="125">
        <f>CJ16/293.07*(1/(VLOOKUP($BL127,'Fuel economy adjusted factor'!$A$2:$L$52,5,FALSE)*m2k))/'TCO Inputs'!$AZ$84</f>
        <v>69.267090381144016</v>
      </c>
      <c r="CK127" s="125">
        <f>CK16/293.07*(1/(VLOOKUP($BL127,'Fuel economy adjusted factor'!$A$2:$L$52,5,FALSE)*m2k))/'TCO Inputs'!$AZ$84</f>
        <v>69.267090381144016</v>
      </c>
      <c r="CL127" s="125">
        <f>CL16/293.07*(1/(VLOOKUP($BL127,'Fuel economy adjusted factor'!$A$2:$L$52,5,FALSE)*m2k))/'TCO Inputs'!$AZ$84</f>
        <v>69.267090381144016</v>
      </c>
      <c r="CM127" s="125">
        <f>CM16/293.07*(1/(VLOOKUP($BL127,'Fuel economy adjusted factor'!$A$2:$L$52,5,FALSE)*m2k))/'TCO Inputs'!$AZ$84</f>
        <v>69.267090381144016</v>
      </c>
      <c r="CN127" s="125">
        <f>CN16/293.07*(1/(VLOOKUP($BL127,'Fuel economy adjusted factor'!$A$2:$L$52,5,FALSE)*m2k))/'TCO Inputs'!$AZ$84</f>
        <v>69.267090381144016</v>
      </c>
      <c r="CO127" s="98" cm="1">
        <f t="array" ref="CO127">SUMPRODUCT(INDEX(BM127:CN127,,'TCO Inputs'!$AZ$12-2023+_xlfn.SEQUENCE('TCO Inputs'!$AZ$13))*INDEX('VKT US'!C75:AA75,,_xlfn.SEQUENCE('TCO Inputs'!$AZ$13)))*m2k*CONVERT(0.9072,"g","ton")</f>
        <v>18.422586508021084</v>
      </c>
    </row>
    <row r="128" spans="1:93" x14ac:dyDescent="0.25">
      <c r="A128" s="123" t="s">
        <v>198</v>
      </c>
      <c r="B128" s="125">
        <f>B17/293.07*(1/(VLOOKUP($A128,'Fuel economy adjusted factor'!$A$2:$L$52,5,FALSE)*m2k))/'TCO Inputs'!$AZ$84</f>
        <v>233.21111001245251</v>
      </c>
      <c r="C128" s="125">
        <f>C17/293.07*(1/(VLOOKUP($A128,'Fuel economy adjusted factor'!$A$2:$L$52,5,FALSE)*m2k))/'TCO Inputs'!$AZ$84</f>
        <v>233.21111001245251</v>
      </c>
      <c r="D128" s="125">
        <f>D17/293.07*(1/(VLOOKUP($A128,'Fuel economy adjusted factor'!$A$2:$L$52,5,FALSE)*m2k))/'TCO Inputs'!$AZ$84</f>
        <v>233.21111001245251</v>
      </c>
      <c r="E128" s="125">
        <f>E17/293.07*(1/(VLOOKUP($A128,'Fuel economy adjusted factor'!$A$2:$L$52,5,FALSE)*m2k))/'TCO Inputs'!$AZ$84</f>
        <v>233.21111001245251</v>
      </c>
      <c r="F128" s="125">
        <f>F17/293.07*(1/(VLOOKUP($A128,'Fuel economy adjusted factor'!$A$2:$L$52,5,FALSE)*m2k))/'TCO Inputs'!$AZ$84</f>
        <v>233.21111001245251</v>
      </c>
      <c r="G128" s="125">
        <f>G17/293.07*(1/(VLOOKUP($A128,'Fuel economy adjusted factor'!$A$2:$L$52,5,FALSE)*m2k))/'TCO Inputs'!$AZ$84</f>
        <v>233.21111001245251</v>
      </c>
      <c r="H128" s="125">
        <f>H17/293.07*(1/(VLOOKUP($A128,'Fuel economy adjusted factor'!$A$2:$L$52,5,FALSE)*m2k))/'TCO Inputs'!$AZ$84</f>
        <v>233.21111001245251</v>
      </c>
      <c r="I128" s="125">
        <f>I17/293.07*(1/(VLOOKUP($A128,'Fuel economy adjusted factor'!$A$2:$L$52,5,FALSE)*m2k))/'TCO Inputs'!$AZ$84</f>
        <v>233.21111001245251</v>
      </c>
      <c r="J128" s="125">
        <f>J17/293.07*(1/(VLOOKUP($A128,'Fuel economy adjusted factor'!$A$2:$L$52,5,FALSE)*m2k))/'TCO Inputs'!$AZ$84</f>
        <v>233.21111001245251</v>
      </c>
      <c r="K128" s="125">
        <f>K17/293.07*(1/(VLOOKUP($A128,'Fuel economy adjusted factor'!$A$2:$L$52,5,FALSE)*m2k))/'TCO Inputs'!$AZ$84</f>
        <v>233.21111001245251</v>
      </c>
      <c r="L128" s="125">
        <f>L17/293.07*(1/(VLOOKUP($A128,'Fuel economy adjusted factor'!$A$2:$L$52,5,FALSE)*m2k))/'TCO Inputs'!$AZ$84</f>
        <v>233.21111001245251</v>
      </c>
      <c r="M128" s="125">
        <f>M17/293.07*(1/(VLOOKUP($A128,'Fuel economy adjusted factor'!$A$2:$L$52,5,FALSE)*m2k))/'TCO Inputs'!$AZ$84</f>
        <v>233.21111001245251</v>
      </c>
      <c r="N128" s="125">
        <f>N17/293.07*(1/(VLOOKUP($A128,'Fuel economy adjusted factor'!$A$2:$L$52,5,FALSE)*m2k))/'TCO Inputs'!$AZ$84</f>
        <v>233.21111001245251</v>
      </c>
      <c r="O128" s="125">
        <f>O17/293.07*(1/(VLOOKUP($A128,'Fuel economy adjusted factor'!$A$2:$L$52,5,FALSE)*m2k))/'TCO Inputs'!$AZ$84</f>
        <v>233.21111001245251</v>
      </c>
      <c r="P128" s="125">
        <f>P17/293.07*(1/(VLOOKUP($A128,'Fuel economy adjusted factor'!$A$2:$L$52,5,FALSE)*m2k))/'TCO Inputs'!$AZ$84</f>
        <v>233.21111001245251</v>
      </c>
      <c r="Q128" s="125">
        <f>Q17/293.07*(1/(VLOOKUP($A128,'Fuel economy adjusted factor'!$A$2:$L$52,5,FALSE)*m2k))/'TCO Inputs'!$AZ$84</f>
        <v>233.21111001245251</v>
      </c>
      <c r="R128" s="125">
        <f>R17/293.07*(1/(VLOOKUP($A128,'Fuel economy adjusted factor'!$A$2:$L$52,5,FALSE)*m2k))/'TCO Inputs'!$AZ$84</f>
        <v>233.21111001245251</v>
      </c>
      <c r="S128" s="125">
        <f>S17/293.07*(1/(VLOOKUP($A128,'Fuel economy adjusted factor'!$A$2:$L$52,5,FALSE)*m2k))/'TCO Inputs'!$AZ$84</f>
        <v>233.21111001245251</v>
      </c>
      <c r="T128" s="125">
        <f>T17/293.07*(1/(VLOOKUP($A128,'Fuel economy adjusted factor'!$A$2:$L$52,5,FALSE)*m2k))/'TCO Inputs'!$AZ$84</f>
        <v>233.21111001245251</v>
      </c>
      <c r="U128" s="125">
        <f>U17/293.07*(1/(VLOOKUP($A128,'Fuel economy adjusted factor'!$A$2:$L$52,5,FALSE)*m2k))/'TCO Inputs'!$AZ$84</f>
        <v>233.21111001245251</v>
      </c>
      <c r="V128" s="125">
        <f>V17/293.07*(1/(VLOOKUP($A128,'Fuel economy adjusted factor'!$A$2:$L$52,5,FALSE)*m2k))/'TCO Inputs'!$AZ$84</f>
        <v>233.21111001245251</v>
      </c>
      <c r="W128" s="125">
        <f>W17/293.07*(1/(VLOOKUP($A128,'Fuel economy adjusted factor'!$A$2:$L$52,5,FALSE)*m2k))/'TCO Inputs'!$AZ$84</f>
        <v>233.21111001245251</v>
      </c>
      <c r="X128" s="125">
        <f>X17/293.07*(1/(VLOOKUP($A128,'Fuel economy adjusted factor'!$A$2:$L$52,5,FALSE)*m2k))/'TCO Inputs'!$AZ$84</f>
        <v>233.21111001245251</v>
      </c>
      <c r="Y128" s="125">
        <f>Y17/293.07*(1/(VLOOKUP($A128,'Fuel economy adjusted factor'!$A$2:$L$52,5,FALSE)*m2k))/'TCO Inputs'!$AZ$84</f>
        <v>233.21111001245251</v>
      </c>
      <c r="Z128" s="125">
        <f>Z17/293.07*(1/(VLOOKUP($A128,'Fuel economy adjusted factor'!$A$2:$L$52,5,FALSE)*m2k))/'TCO Inputs'!$AZ$84</f>
        <v>233.21111001245251</v>
      </c>
      <c r="AA128" s="125">
        <f>AA17/293.07*(1/(VLOOKUP($A128,'Fuel economy adjusted factor'!$A$2:$L$52,5,FALSE)*m2k))/'TCO Inputs'!$AZ$84</f>
        <v>233.21111001245251</v>
      </c>
      <c r="AB128" s="125">
        <f>AB17/293.07*(1/(VLOOKUP($A128,'Fuel economy adjusted factor'!$A$2:$L$52,5,FALSE)*m2k))/'TCO Inputs'!$AZ$84</f>
        <v>233.21111001245251</v>
      </c>
      <c r="AC128" s="125">
        <f>AC17/293.07*(1/(VLOOKUP($A128,'Fuel economy adjusted factor'!$A$2:$L$52,5,FALSE)*m2k))/'TCO Inputs'!$AZ$84</f>
        <v>233.21111001245251</v>
      </c>
      <c r="AD128" s="98" cm="1">
        <f t="array" ref="AD128">SUMPRODUCT(INDEX(B128:AC128,,'TCO Inputs'!$AZ$12-2023+_xlfn.SEQUENCE('TCO Inputs'!$AZ$13))*INDEX('VKT US'!C76:AA76,,_xlfn.SEQUENCE('TCO Inputs'!$AZ$13)))*m2k*CONVERT(0.9072,"g","ton")</f>
        <v>88.860532580416574</v>
      </c>
      <c r="AF128" s="123" t="s">
        <v>198</v>
      </c>
      <c r="AG128" s="125">
        <f>AG17/293.07*(1/(VLOOKUP($AF128,'Fuel economy adjusted factor'!$A$2:$L$52,5,FALSE)*m2k))/'TCO Inputs'!$AZ$84</f>
        <v>273.34856586223572</v>
      </c>
      <c r="AH128" s="125">
        <f>AH17/293.07*(1/(VLOOKUP($AF128,'Fuel economy adjusted factor'!$A$2:$L$52,5,FALSE)*m2k))/'TCO Inputs'!$AZ$84</f>
        <v>273.34856586223572</v>
      </c>
      <c r="AI128" s="125">
        <f>AI17/293.07*(1/(VLOOKUP($AF128,'Fuel economy adjusted factor'!$A$2:$L$52,5,FALSE)*m2k))/'TCO Inputs'!$AZ$84</f>
        <v>273.34856586223572</v>
      </c>
      <c r="AJ128" s="125">
        <f>AJ17/293.07*(1/(VLOOKUP($AF128,'Fuel economy adjusted factor'!$A$2:$L$52,5,FALSE)*m2k))/'TCO Inputs'!$AZ$84</f>
        <v>273.34856586223572</v>
      </c>
      <c r="AK128" s="125">
        <f>AK17/293.07*(1/(VLOOKUP($AF128,'Fuel economy adjusted factor'!$A$2:$L$52,5,FALSE)*m2k))/'TCO Inputs'!$AZ$84</f>
        <v>273.34856586223572</v>
      </c>
      <c r="AL128" s="125">
        <f>AL17/293.07*(1/(VLOOKUP($AF128,'Fuel economy adjusted factor'!$A$2:$L$52,5,FALSE)*m2k))/'TCO Inputs'!$AZ$84</f>
        <v>273.34856586223572</v>
      </c>
      <c r="AM128" s="125">
        <f>AM17/293.07*(1/(VLOOKUP($AF128,'Fuel economy adjusted factor'!$A$2:$L$52,5,FALSE)*m2k))/'TCO Inputs'!$AZ$84</f>
        <v>273.34856586223572</v>
      </c>
      <c r="AN128" s="125">
        <f>AN17/293.07*(1/(VLOOKUP($AF128,'Fuel economy adjusted factor'!$A$2:$L$52,5,FALSE)*m2k))/'TCO Inputs'!$AZ$84</f>
        <v>273.34856586223572</v>
      </c>
      <c r="AO128" s="125">
        <f>AO17/293.07*(1/(VLOOKUP($AF128,'Fuel economy adjusted factor'!$A$2:$L$52,5,FALSE)*m2k))/'TCO Inputs'!$AZ$84</f>
        <v>273.34856586223572</v>
      </c>
      <c r="AP128" s="125">
        <f>AP17/293.07*(1/(VLOOKUP($AF128,'Fuel economy adjusted factor'!$A$2:$L$52,5,FALSE)*m2k))/'TCO Inputs'!$AZ$84</f>
        <v>273.34856586223572</v>
      </c>
      <c r="AQ128" s="125">
        <f>AQ17/293.07*(1/(VLOOKUP($AF128,'Fuel economy adjusted factor'!$A$2:$L$52,5,FALSE)*m2k))/'TCO Inputs'!$AZ$84</f>
        <v>273.34856586223572</v>
      </c>
      <c r="AR128" s="125">
        <f>AR17/293.07*(1/(VLOOKUP($AF128,'Fuel economy adjusted factor'!$A$2:$L$52,5,FALSE)*m2k))/'TCO Inputs'!$AZ$84</f>
        <v>273.34856586223572</v>
      </c>
      <c r="AS128" s="125">
        <f>AS17/293.07*(1/(VLOOKUP($AF128,'Fuel economy adjusted factor'!$A$2:$L$52,5,FALSE)*m2k))/'TCO Inputs'!$AZ$84</f>
        <v>273.34856586223572</v>
      </c>
      <c r="AT128" s="125">
        <f>AT17/293.07*(1/(VLOOKUP($AF128,'Fuel economy adjusted factor'!$A$2:$L$52,5,FALSE)*m2k))/'TCO Inputs'!$AZ$84</f>
        <v>273.34856586223572</v>
      </c>
      <c r="AU128" s="125">
        <f>AU17/293.07*(1/(VLOOKUP($AF128,'Fuel economy adjusted factor'!$A$2:$L$52,5,FALSE)*m2k))/'TCO Inputs'!$AZ$84</f>
        <v>273.34856586223572</v>
      </c>
      <c r="AV128" s="125">
        <f>AV17/293.07*(1/(VLOOKUP($AF128,'Fuel economy adjusted factor'!$A$2:$L$52,5,FALSE)*m2k))/'TCO Inputs'!$AZ$84</f>
        <v>273.34856586223572</v>
      </c>
      <c r="AW128" s="125">
        <f>AW17/293.07*(1/(VLOOKUP($AF128,'Fuel economy adjusted factor'!$A$2:$L$52,5,FALSE)*m2k))/'TCO Inputs'!$AZ$84</f>
        <v>273.34856586223572</v>
      </c>
      <c r="AX128" s="125">
        <f>AX17/293.07*(1/(VLOOKUP($AF128,'Fuel economy adjusted factor'!$A$2:$L$52,5,FALSE)*m2k))/'TCO Inputs'!$AZ$84</f>
        <v>273.34856586223572</v>
      </c>
      <c r="AY128" s="125">
        <f>AY17/293.07*(1/(VLOOKUP($AF128,'Fuel economy adjusted factor'!$A$2:$L$52,5,FALSE)*m2k))/'TCO Inputs'!$AZ$84</f>
        <v>273.34856586223572</v>
      </c>
      <c r="AZ128" s="125">
        <f>AZ17/293.07*(1/(VLOOKUP($AF128,'Fuel economy adjusted factor'!$A$2:$L$52,5,FALSE)*m2k))/'TCO Inputs'!$AZ$84</f>
        <v>273.34856586223572</v>
      </c>
      <c r="BA128" s="125">
        <f>BA17/293.07*(1/(VLOOKUP($AF128,'Fuel economy adjusted factor'!$A$2:$L$52,5,FALSE)*m2k))/'TCO Inputs'!$AZ$84</f>
        <v>273.34856586223572</v>
      </c>
      <c r="BB128" s="125">
        <f>BB17/293.07*(1/(VLOOKUP($AF128,'Fuel economy adjusted factor'!$A$2:$L$52,5,FALSE)*m2k))/'TCO Inputs'!$AZ$84</f>
        <v>273.34856586223572</v>
      </c>
      <c r="BC128" s="125">
        <f>BC17/293.07*(1/(VLOOKUP($AF128,'Fuel economy adjusted factor'!$A$2:$L$52,5,FALSE)*m2k))/'TCO Inputs'!$AZ$84</f>
        <v>273.34856586223572</v>
      </c>
      <c r="BD128" s="125">
        <f>BD17/293.07*(1/(VLOOKUP($AF128,'Fuel economy adjusted factor'!$A$2:$L$52,5,FALSE)*m2k))/'TCO Inputs'!$AZ$84</f>
        <v>273.34856586223572</v>
      </c>
      <c r="BE128" s="125">
        <f>BE17/293.07*(1/(VLOOKUP($AF128,'Fuel economy adjusted factor'!$A$2:$L$52,5,FALSE)*m2k))/'TCO Inputs'!$AZ$84</f>
        <v>273.34856586223572</v>
      </c>
      <c r="BF128" s="125">
        <f>BF17/293.07*(1/(VLOOKUP($AF128,'Fuel economy adjusted factor'!$A$2:$L$52,5,FALSE)*m2k))/'TCO Inputs'!$AZ$84</f>
        <v>273.34856586223572</v>
      </c>
      <c r="BG128" s="125">
        <f>BG17/293.07*(1/(VLOOKUP($AF128,'Fuel economy adjusted factor'!$A$2:$L$52,5,FALSE)*m2k))/'TCO Inputs'!$AZ$84</f>
        <v>273.34856586223572</v>
      </c>
      <c r="BH128" s="125">
        <f>BH17/293.07*(1/(VLOOKUP($AF128,'Fuel economy adjusted factor'!$A$2:$L$52,5,FALSE)*m2k))/'TCO Inputs'!$AZ$84</f>
        <v>273.34856586223572</v>
      </c>
      <c r="BI128" s="98" cm="1">
        <f t="array" ref="BI128">SUMPRODUCT(INDEX(AG128:BH128,,'TCO Inputs'!$AZ$12-2023+_xlfn.SEQUENCE('TCO Inputs'!$AZ$13))*INDEX('VKT US'!C76:AA76,,_xlfn.SEQUENCE('TCO Inputs'!$AZ$13)))*m2k*CONVERT(0.9072,"g","ton")</f>
        <v>104.15412516716879</v>
      </c>
      <c r="BL128" s="123" t="s">
        <v>198</v>
      </c>
      <c r="BM128" s="125">
        <f>BM17/293.07*(1/(VLOOKUP($BL128,'Fuel economy adjusted factor'!$A$2:$L$52,5,FALSE)*m2k))/'TCO Inputs'!$AZ$84</f>
        <v>203.21121485068176</v>
      </c>
      <c r="BN128" s="125">
        <f>BN17/293.07*(1/(VLOOKUP($BL128,'Fuel economy adjusted factor'!$A$2:$L$52,5,FALSE)*m2k))/'TCO Inputs'!$AZ$84</f>
        <v>203.21121485068176</v>
      </c>
      <c r="BO128" s="125">
        <f>BO17/293.07*(1/(VLOOKUP($BL128,'Fuel economy adjusted factor'!$A$2:$L$52,5,FALSE)*m2k))/'TCO Inputs'!$AZ$84</f>
        <v>203.21121485068176</v>
      </c>
      <c r="BP128" s="125">
        <f>BP17/293.07*(1/(VLOOKUP($BL128,'Fuel economy adjusted factor'!$A$2:$L$52,5,FALSE)*m2k))/'TCO Inputs'!$AZ$84</f>
        <v>203.21121485068176</v>
      </c>
      <c r="BQ128" s="125">
        <f>BQ17/293.07*(1/(VLOOKUP($BL128,'Fuel economy adjusted factor'!$A$2:$L$52,5,FALSE)*m2k))/'TCO Inputs'!$AZ$84</f>
        <v>203.21121485068176</v>
      </c>
      <c r="BR128" s="125">
        <f>BR17/293.07*(1/(VLOOKUP($BL128,'Fuel economy adjusted factor'!$A$2:$L$52,5,FALSE)*m2k))/'TCO Inputs'!$AZ$84</f>
        <v>203.21121485068176</v>
      </c>
      <c r="BS128" s="125">
        <f>BS17/293.07*(1/(VLOOKUP($BL128,'Fuel economy adjusted factor'!$A$2:$L$52,5,FALSE)*m2k))/'TCO Inputs'!$AZ$84</f>
        <v>203.21121485068176</v>
      </c>
      <c r="BT128" s="125">
        <f>BT17/293.07*(1/(VLOOKUP($BL128,'Fuel economy adjusted factor'!$A$2:$L$52,5,FALSE)*m2k))/'TCO Inputs'!$AZ$84</f>
        <v>203.21121485068176</v>
      </c>
      <c r="BU128" s="125">
        <f>BU17/293.07*(1/(VLOOKUP($BL128,'Fuel economy adjusted factor'!$A$2:$L$52,5,FALSE)*m2k))/'TCO Inputs'!$AZ$84</f>
        <v>203.21121485068176</v>
      </c>
      <c r="BV128" s="125">
        <f>BV17/293.07*(1/(VLOOKUP($BL128,'Fuel economy adjusted factor'!$A$2:$L$52,5,FALSE)*m2k))/'TCO Inputs'!$AZ$84</f>
        <v>203.21121485068176</v>
      </c>
      <c r="BW128" s="125">
        <f>BW17/293.07*(1/(VLOOKUP($BL128,'Fuel economy adjusted factor'!$A$2:$L$52,5,FALSE)*m2k))/'TCO Inputs'!$AZ$84</f>
        <v>203.21121485068176</v>
      </c>
      <c r="BX128" s="125">
        <f>BX17/293.07*(1/(VLOOKUP($BL128,'Fuel economy adjusted factor'!$A$2:$L$52,5,FALSE)*m2k))/'TCO Inputs'!$AZ$84</f>
        <v>203.21121485068176</v>
      </c>
      <c r="BY128" s="125">
        <f>BY17/293.07*(1/(VLOOKUP($BL128,'Fuel economy adjusted factor'!$A$2:$L$52,5,FALSE)*m2k))/'TCO Inputs'!$AZ$84</f>
        <v>203.21121485068176</v>
      </c>
      <c r="BZ128" s="125">
        <f>BZ17/293.07*(1/(VLOOKUP($BL128,'Fuel economy adjusted factor'!$A$2:$L$52,5,FALSE)*m2k))/'TCO Inputs'!$AZ$84</f>
        <v>203.21121485068176</v>
      </c>
      <c r="CA128" s="125">
        <f>CA17/293.07*(1/(VLOOKUP($BL128,'Fuel economy adjusted factor'!$A$2:$L$52,5,FALSE)*m2k))/'TCO Inputs'!$AZ$84</f>
        <v>203.21121485068176</v>
      </c>
      <c r="CB128" s="125">
        <f>CB17/293.07*(1/(VLOOKUP($BL128,'Fuel economy adjusted factor'!$A$2:$L$52,5,FALSE)*m2k))/'TCO Inputs'!$AZ$84</f>
        <v>203.21121485068176</v>
      </c>
      <c r="CC128" s="125">
        <f>CC17/293.07*(1/(VLOOKUP($BL128,'Fuel economy adjusted factor'!$A$2:$L$52,5,FALSE)*m2k))/'TCO Inputs'!$AZ$84</f>
        <v>203.21121485068176</v>
      </c>
      <c r="CD128" s="125">
        <f>CD17/293.07*(1/(VLOOKUP($BL128,'Fuel economy adjusted factor'!$A$2:$L$52,5,FALSE)*m2k))/'TCO Inputs'!$AZ$84</f>
        <v>203.21121485068176</v>
      </c>
      <c r="CE128" s="125">
        <f>CE17/293.07*(1/(VLOOKUP($BL128,'Fuel economy adjusted factor'!$A$2:$L$52,5,FALSE)*m2k))/'TCO Inputs'!$AZ$84</f>
        <v>203.21121485068176</v>
      </c>
      <c r="CF128" s="125">
        <f>CF17/293.07*(1/(VLOOKUP($BL128,'Fuel economy adjusted factor'!$A$2:$L$52,5,FALSE)*m2k))/'TCO Inputs'!$AZ$84</f>
        <v>203.21121485068176</v>
      </c>
      <c r="CG128" s="125">
        <f>CG17/293.07*(1/(VLOOKUP($BL128,'Fuel economy adjusted factor'!$A$2:$L$52,5,FALSE)*m2k))/'TCO Inputs'!$AZ$84</f>
        <v>203.21121485068176</v>
      </c>
      <c r="CH128" s="125">
        <f>CH17/293.07*(1/(VLOOKUP($BL128,'Fuel economy adjusted factor'!$A$2:$L$52,5,FALSE)*m2k))/'TCO Inputs'!$AZ$84</f>
        <v>203.21121485068176</v>
      </c>
      <c r="CI128" s="125">
        <f>CI17/293.07*(1/(VLOOKUP($BL128,'Fuel economy adjusted factor'!$A$2:$L$52,5,FALSE)*m2k))/'TCO Inputs'!$AZ$84</f>
        <v>203.21121485068176</v>
      </c>
      <c r="CJ128" s="125">
        <f>CJ17/293.07*(1/(VLOOKUP($BL128,'Fuel economy adjusted factor'!$A$2:$L$52,5,FALSE)*m2k))/'TCO Inputs'!$AZ$84</f>
        <v>203.21121485068176</v>
      </c>
      <c r="CK128" s="125">
        <f>CK17/293.07*(1/(VLOOKUP($BL128,'Fuel economy adjusted factor'!$A$2:$L$52,5,FALSE)*m2k))/'TCO Inputs'!$AZ$84</f>
        <v>203.21121485068176</v>
      </c>
      <c r="CL128" s="125">
        <f>CL17/293.07*(1/(VLOOKUP($BL128,'Fuel economy adjusted factor'!$A$2:$L$52,5,FALSE)*m2k))/'TCO Inputs'!$AZ$84</f>
        <v>203.21121485068176</v>
      </c>
      <c r="CM128" s="125">
        <f>CM17/293.07*(1/(VLOOKUP($BL128,'Fuel economy adjusted factor'!$A$2:$L$52,5,FALSE)*m2k))/'TCO Inputs'!$AZ$84</f>
        <v>203.21121485068176</v>
      </c>
      <c r="CN128" s="125">
        <f>CN17/293.07*(1/(VLOOKUP($BL128,'Fuel economy adjusted factor'!$A$2:$L$52,5,FALSE)*m2k))/'TCO Inputs'!$AZ$84</f>
        <v>203.21121485068176</v>
      </c>
      <c r="CO128" s="98" cm="1">
        <f t="array" ref="CO128">SUMPRODUCT(INDEX(BM128:CN128,,'TCO Inputs'!$AZ$12-2023+_xlfn.SEQUENCE('TCO Inputs'!$AZ$13))*INDEX('VKT US'!C76:AA76,,_xlfn.SEQUENCE('TCO Inputs'!$AZ$13)))*m2k*CONVERT(0.9072,"g","ton")</f>
        <v>77.429659234420029</v>
      </c>
    </row>
    <row r="129" spans="1:93" x14ac:dyDescent="0.25">
      <c r="A129" s="123" t="s">
        <v>195</v>
      </c>
      <c r="B129" s="125">
        <f>B18/293.07*(1/(VLOOKUP($A129,'Fuel economy adjusted factor'!$A$2:$L$52,5,FALSE)*m2k))/'TCO Inputs'!$AZ$84</f>
        <v>108.37640993823025</v>
      </c>
      <c r="C129" s="125">
        <f>C18/293.07*(1/(VLOOKUP($A129,'Fuel economy adjusted factor'!$A$2:$L$52,5,FALSE)*m2k))/'TCO Inputs'!$AZ$84</f>
        <v>108.37640993823025</v>
      </c>
      <c r="D129" s="125">
        <f>D18/293.07*(1/(VLOOKUP($A129,'Fuel economy adjusted factor'!$A$2:$L$52,5,FALSE)*m2k))/'TCO Inputs'!$AZ$84</f>
        <v>108.37640993823025</v>
      </c>
      <c r="E129" s="125">
        <f>E18/293.07*(1/(VLOOKUP($A129,'Fuel economy adjusted factor'!$A$2:$L$52,5,FALSE)*m2k))/'TCO Inputs'!$AZ$84</f>
        <v>108.37640993823025</v>
      </c>
      <c r="F129" s="125">
        <f>F18/293.07*(1/(VLOOKUP($A129,'Fuel economy adjusted factor'!$A$2:$L$52,5,FALSE)*m2k))/'TCO Inputs'!$AZ$84</f>
        <v>108.37640993823025</v>
      </c>
      <c r="G129" s="125">
        <f>G18/293.07*(1/(VLOOKUP($A129,'Fuel economy adjusted factor'!$A$2:$L$52,5,FALSE)*m2k))/'TCO Inputs'!$AZ$84</f>
        <v>108.37640993823025</v>
      </c>
      <c r="H129" s="125">
        <f>H18/293.07*(1/(VLOOKUP($A129,'Fuel economy adjusted factor'!$A$2:$L$52,5,FALSE)*m2k))/'TCO Inputs'!$AZ$84</f>
        <v>108.37640993823025</v>
      </c>
      <c r="I129" s="125">
        <f>I18/293.07*(1/(VLOOKUP($A129,'Fuel economy adjusted factor'!$A$2:$L$52,5,FALSE)*m2k))/'TCO Inputs'!$AZ$84</f>
        <v>108.37640993823025</v>
      </c>
      <c r="J129" s="125">
        <f>J18/293.07*(1/(VLOOKUP($A129,'Fuel economy adjusted factor'!$A$2:$L$52,5,FALSE)*m2k))/'TCO Inputs'!$AZ$84</f>
        <v>108.37640993823025</v>
      </c>
      <c r="K129" s="125">
        <f>K18/293.07*(1/(VLOOKUP($A129,'Fuel economy adjusted factor'!$A$2:$L$52,5,FALSE)*m2k))/'TCO Inputs'!$AZ$84</f>
        <v>108.37640993823025</v>
      </c>
      <c r="L129" s="125">
        <f>L18/293.07*(1/(VLOOKUP($A129,'Fuel economy adjusted factor'!$A$2:$L$52,5,FALSE)*m2k))/'TCO Inputs'!$AZ$84</f>
        <v>108.37640993823025</v>
      </c>
      <c r="M129" s="125">
        <f>M18/293.07*(1/(VLOOKUP($A129,'Fuel economy adjusted factor'!$A$2:$L$52,5,FALSE)*m2k))/'TCO Inputs'!$AZ$84</f>
        <v>108.37640993823025</v>
      </c>
      <c r="N129" s="125">
        <f>N18/293.07*(1/(VLOOKUP($A129,'Fuel economy adjusted factor'!$A$2:$L$52,5,FALSE)*m2k))/'TCO Inputs'!$AZ$84</f>
        <v>108.37640993823025</v>
      </c>
      <c r="O129" s="125">
        <f>O18/293.07*(1/(VLOOKUP($A129,'Fuel economy adjusted factor'!$A$2:$L$52,5,FALSE)*m2k))/'TCO Inputs'!$AZ$84</f>
        <v>108.37640993823025</v>
      </c>
      <c r="P129" s="125">
        <f>P18/293.07*(1/(VLOOKUP($A129,'Fuel economy adjusted factor'!$A$2:$L$52,5,FALSE)*m2k))/'TCO Inputs'!$AZ$84</f>
        <v>108.37640993823025</v>
      </c>
      <c r="Q129" s="125">
        <f>Q18/293.07*(1/(VLOOKUP($A129,'Fuel economy adjusted factor'!$A$2:$L$52,5,FALSE)*m2k))/'TCO Inputs'!$AZ$84</f>
        <v>108.37640993823025</v>
      </c>
      <c r="R129" s="125">
        <f>R18/293.07*(1/(VLOOKUP($A129,'Fuel economy adjusted factor'!$A$2:$L$52,5,FALSE)*m2k))/'TCO Inputs'!$AZ$84</f>
        <v>108.37640993823025</v>
      </c>
      <c r="S129" s="125">
        <f>S18/293.07*(1/(VLOOKUP($A129,'Fuel economy adjusted factor'!$A$2:$L$52,5,FALSE)*m2k))/'TCO Inputs'!$AZ$84</f>
        <v>108.37640993823025</v>
      </c>
      <c r="T129" s="125">
        <f>T18/293.07*(1/(VLOOKUP($A129,'Fuel economy adjusted factor'!$A$2:$L$52,5,FALSE)*m2k))/'TCO Inputs'!$AZ$84</f>
        <v>108.37640993823025</v>
      </c>
      <c r="U129" s="125">
        <f>U18/293.07*(1/(VLOOKUP($A129,'Fuel economy adjusted factor'!$A$2:$L$52,5,FALSE)*m2k))/'TCO Inputs'!$AZ$84</f>
        <v>108.37640993823025</v>
      </c>
      <c r="V129" s="125">
        <f>V18/293.07*(1/(VLOOKUP($A129,'Fuel economy adjusted factor'!$A$2:$L$52,5,FALSE)*m2k))/'TCO Inputs'!$AZ$84</f>
        <v>108.37640993823025</v>
      </c>
      <c r="W129" s="125">
        <f>W18/293.07*(1/(VLOOKUP($A129,'Fuel economy adjusted factor'!$A$2:$L$52,5,FALSE)*m2k))/'TCO Inputs'!$AZ$84</f>
        <v>108.37640993823025</v>
      </c>
      <c r="X129" s="125">
        <f>X18/293.07*(1/(VLOOKUP($A129,'Fuel economy adjusted factor'!$A$2:$L$52,5,FALSE)*m2k))/'TCO Inputs'!$AZ$84</f>
        <v>108.37640993823025</v>
      </c>
      <c r="Y129" s="125">
        <f>Y18/293.07*(1/(VLOOKUP($A129,'Fuel economy adjusted factor'!$A$2:$L$52,5,FALSE)*m2k))/'TCO Inputs'!$AZ$84</f>
        <v>108.37640993823025</v>
      </c>
      <c r="Z129" s="125">
        <f>Z18/293.07*(1/(VLOOKUP($A129,'Fuel economy adjusted factor'!$A$2:$L$52,5,FALSE)*m2k))/'TCO Inputs'!$AZ$84</f>
        <v>108.37640993823025</v>
      </c>
      <c r="AA129" s="125">
        <f>AA18/293.07*(1/(VLOOKUP($A129,'Fuel economy adjusted factor'!$A$2:$L$52,5,FALSE)*m2k))/'TCO Inputs'!$AZ$84</f>
        <v>108.37640993823025</v>
      </c>
      <c r="AB129" s="125">
        <f>AB18/293.07*(1/(VLOOKUP($A129,'Fuel economy adjusted factor'!$A$2:$L$52,5,FALSE)*m2k))/'TCO Inputs'!$AZ$84</f>
        <v>108.37640993823025</v>
      </c>
      <c r="AC129" s="125">
        <f>AC18/293.07*(1/(VLOOKUP($A129,'Fuel economy adjusted factor'!$A$2:$L$52,5,FALSE)*m2k))/'TCO Inputs'!$AZ$84</f>
        <v>108.37640993823025</v>
      </c>
      <c r="AD129" s="98" cm="1">
        <f t="array" ref="AD129">SUMPRODUCT(INDEX(B129:AC129,,'TCO Inputs'!$AZ$12-2023+_xlfn.SEQUENCE('TCO Inputs'!$AZ$13))*INDEX('VKT US'!C77:AA77,,_xlfn.SEQUENCE('TCO Inputs'!$AZ$13)))*m2k*CONVERT(0.9072,"g","ton")</f>
        <v>33.782208225082819</v>
      </c>
      <c r="AF129" s="123" t="s">
        <v>195</v>
      </c>
      <c r="AG129" s="125">
        <f>AG18/293.07*(1/(VLOOKUP($AF129,'Fuel economy adjusted factor'!$A$2:$L$52,5,FALSE)*m2k))/'TCO Inputs'!$AZ$84</f>
        <v>127.02883764127343</v>
      </c>
      <c r="AH129" s="125">
        <f>AH18/293.07*(1/(VLOOKUP($AF129,'Fuel economy adjusted factor'!$A$2:$L$52,5,FALSE)*m2k))/'TCO Inputs'!$AZ$84</f>
        <v>127.02883764127343</v>
      </c>
      <c r="AI129" s="125">
        <f>AI18/293.07*(1/(VLOOKUP($AF129,'Fuel economy adjusted factor'!$A$2:$L$52,5,FALSE)*m2k))/'TCO Inputs'!$AZ$84</f>
        <v>127.02883764127343</v>
      </c>
      <c r="AJ129" s="125">
        <f>AJ18/293.07*(1/(VLOOKUP($AF129,'Fuel economy adjusted factor'!$A$2:$L$52,5,FALSE)*m2k))/'TCO Inputs'!$AZ$84</f>
        <v>127.02883764127343</v>
      </c>
      <c r="AK129" s="125">
        <f>AK18/293.07*(1/(VLOOKUP($AF129,'Fuel economy adjusted factor'!$A$2:$L$52,5,FALSE)*m2k))/'TCO Inputs'!$AZ$84</f>
        <v>127.02883764127343</v>
      </c>
      <c r="AL129" s="125">
        <f>AL18/293.07*(1/(VLOOKUP($AF129,'Fuel economy adjusted factor'!$A$2:$L$52,5,FALSE)*m2k))/'TCO Inputs'!$AZ$84</f>
        <v>127.02883764127343</v>
      </c>
      <c r="AM129" s="125">
        <f>AM18/293.07*(1/(VLOOKUP($AF129,'Fuel economy adjusted factor'!$A$2:$L$52,5,FALSE)*m2k))/'TCO Inputs'!$AZ$84</f>
        <v>127.02883764127343</v>
      </c>
      <c r="AN129" s="125">
        <f>AN18/293.07*(1/(VLOOKUP($AF129,'Fuel economy adjusted factor'!$A$2:$L$52,5,FALSE)*m2k))/'TCO Inputs'!$AZ$84</f>
        <v>127.02883764127343</v>
      </c>
      <c r="AO129" s="125">
        <f>AO18/293.07*(1/(VLOOKUP($AF129,'Fuel economy adjusted factor'!$A$2:$L$52,5,FALSE)*m2k))/'TCO Inputs'!$AZ$84</f>
        <v>127.02883764127343</v>
      </c>
      <c r="AP129" s="125">
        <f>AP18/293.07*(1/(VLOOKUP($AF129,'Fuel economy adjusted factor'!$A$2:$L$52,5,FALSE)*m2k))/'TCO Inputs'!$AZ$84</f>
        <v>127.02883764127343</v>
      </c>
      <c r="AQ129" s="125">
        <f>AQ18/293.07*(1/(VLOOKUP($AF129,'Fuel economy adjusted factor'!$A$2:$L$52,5,FALSE)*m2k))/'TCO Inputs'!$AZ$84</f>
        <v>127.02883764127343</v>
      </c>
      <c r="AR129" s="125">
        <f>AR18/293.07*(1/(VLOOKUP($AF129,'Fuel economy adjusted factor'!$A$2:$L$52,5,FALSE)*m2k))/'TCO Inputs'!$AZ$84</f>
        <v>127.02883764127343</v>
      </c>
      <c r="AS129" s="125">
        <f>AS18/293.07*(1/(VLOOKUP($AF129,'Fuel economy adjusted factor'!$A$2:$L$52,5,FALSE)*m2k))/'TCO Inputs'!$AZ$84</f>
        <v>127.02883764127343</v>
      </c>
      <c r="AT129" s="125">
        <f>AT18/293.07*(1/(VLOOKUP($AF129,'Fuel economy adjusted factor'!$A$2:$L$52,5,FALSE)*m2k))/'TCO Inputs'!$AZ$84</f>
        <v>127.02883764127343</v>
      </c>
      <c r="AU129" s="125">
        <f>AU18/293.07*(1/(VLOOKUP($AF129,'Fuel economy adjusted factor'!$A$2:$L$52,5,FALSE)*m2k))/'TCO Inputs'!$AZ$84</f>
        <v>127.02883764127343</v>
      </c>
      <c r="AV129" s="125">
        <f>AV18/293.07*(1/(VLOOKUP($AF129,'Fuel economy adjusted factor'!$A$2:$L$52,5,FALSE)*m2k))/'TCO Inputs'!$AZ$84</f>
        <v>127.02883764127343</v>
      </c>
      <c r="AW129" s="125">
        <f>AW18/293.07*(1/(VLOOKUP($AF129,'Fuel economy adjusted factor'!$A$2:$L$52,5,FALSE)*m2k))/'TCO Inputs'!$AZ$84</f>
        <v>127.02883764127343</v>
      </c>
      <c r="AX129" s="125">
        <f>AX18/293.07*(1/(VLOOKUP($AF129,'Fuel economy adjusted factor'!$A$2:$L$52,5,FALSE)*m2k))/'TCO Inputs'!$AZ$84</f>
        <v>127.02883764127343</v>
      </c>
      <c r="AY129" s="125">
        <f>AY18/293.07*(1/(VLOOKUP($AF129,'Fuel economy adjusted factor'!$A$2:$L$52,5,FALSE)*m2k))/'TCO Inputs'!$AZ$84</f>
        <v>127.02883764127343</v>
      </c>
      <c r="AZ129" s="125">
        <f>AZ18/293.07*(1/(VLOOKUP($AF129,'Fuel economy adjusted factor'!$A$2:$L$52,5,FALSE)*m2k))/'TCO Inputs'!$AZ$84</f>
        <v>127.02883764127343</v>
      </c>
      <c r="BA129" s="125">
        <f>BA18/293.07*(1/(VLOOKUP($AF129,'Fuel economy adjusted factor'!$A$2:$L$52,5,FALSE)*m2k))/'TCO Inputs'!$AZ$84</f>
        <v>127.02883764127343</v>
      </c>
      <c r="BB129" s="125">
        <f>BB18/293.07*(1/(VLOOKUP($AF129,'Fuel economy adjusted factor'!$A$2:$L$52,5,FALSE)*m2k))/'TCO Inputs'!$AZ$84</f>
        <v>127.02883764127343</v>
      </c>
      <c r="BC129" s="125">
        <f>BC18/293.07*(1/(VLOOKUP($AF129,'Fuel economy adjusted factor'!$A$2:$L$52,5,FALSE)*m2k))/'TCO Inputs'!$AZ$84</f>
        <v>127.02883764127343</v>
      </c>
      <c r="BD129" s="125">
        <f>BD18/293.07*(1/(VLOOKUP($AF129,'Fuel economy adjusted factor'!$A$2:$L$52,5,FALSE)*m2k))/'TCO Inputs'!$AZ$84</f>
        <v>127.02883764127343</v>
      </c>
      <c r="BE129" s="125">
        <f>BE18/293.07*(1/(VLOOKUP($AF129,'Fuel economy adjusted factor'!$A$2:$L$52,5,FALSE)*m2k))/'TCO Inputs'!$AZ$84</f>
        <v>127.02883764127343</v>
      </c>
      <c r="BF129" s="125">
        <f>BF18/293.07*(1/(VLOOKUP($AF129,'Fuel economy adjusted factor'!$A$2:$L$52,5,FALSE)*m2k))/'TCO Inputs'!$AZ$84</f>
        <v>127.02883764127343</v>
      </c>
      <c r="BG129" s="125">
        <f>BG18/293.07*(1/(VLOOKUP($AF129,'Fuel economy adjusted factor'!$A$2:$L$52,5,FALSE)*m2k))/'TCO Inputs'!$AZ$84</f>
        <v>127.02883764127343</v>
      </c>
      <c r="BH129" s="125">
        <f>BH18/293.07*(1/(VLOOKUP($AF129,'Fuel economy adjusted factor'!$A$2:$L$52,5,FALSE)*m2k))/'TCO Inputs'!$AZ$84</f>
        <v>127.02883764127343</v>
      </c>
      <c r="BI129" s="98" cm="1">
        <f t="array" ref="BI129">SUMPRODUCT(INDEX(AG129:BH129,,'TCO Inputs'!$AZ$12-2023+_xlfn.SEQUENCE('TCO Inputs'!$AZ$13))*INDEX('VKT US'!C77:AA77,,_xlfn.SEQUENCE('TCO Inputs'!$AZ$13)))*m2k*CONVERT(0.9072,"g","ton")</f>
        <v>39.596390452807917</v>
      </c>
      <c r="BL129" s="123" t="s">
        <v>195</v>
      </c>
      <c r="BM129" s="125">
        <f>BM18/293.07*(1/(VLOOKUP($BL129,'Fuel economy adjusted factor'!$A$2:$L$52,5,FALSE)*m2k))/'TCO Inputs'!$AZ$84</f>
        <v>94.435046098478381</v>
      </c>
      <c r="BN129" s="125">
        <f>BN18/293.07*(1/(VLOOKUP($BL129,'Fuel economy adjusted factor'!$A$2:$L$52,5,FALSE)*m2k))/'TCO Inputs'!$AZ$84</f>
        <v>94.435046098478381</v>
      </c>
      <c r="BO129" s="125">
        <f>BO18/293.07*(1/(VLOOKUP($BL129,'Fuel economy adjusted factor'!$A$2:$L$52,5,FALSE)*m2k))/'TCO Inputs'!$AZ$84</f>
        <v>94.435046098478381</v>
      </c>
      <c r="BP129" s="125">
        <f>BP18/293.07*(1/(VLOOKUP($BL129,'Fuel economy adjusted factor'!$A$2:$L$52,5,FALSE)*m2k))/'TCO Inputs'!$AZ$84</f>
        <v>94.435046098478381</v>
      </c>
      <c r="BQ129" s="125">
        <f>BQ18/293.07*(1/(VLOOKUP($BL129,'Fuel economy adjusted factor'!$A$2:$L$52,5,FALSE)*m2k))/'TCO Inputs'!$AZ$84</f>
        <v>94.435046098478381</v>
      </c>
      <c r="BR129" s="125">
        <f>BR18/293.07*(1/(VLOOKUP($BL129,'Fuel economy adjusted factor'!$A$2:$L$52,5,FALSE)*m2k))/'TCO Inputs'!$AZ$84</f>
        <v>94.435046098478381</v>
      </c>
      <c r="BS129" s="125">
        <f>BS18/293.07*(1/(VLOOKUP($BL129,'Fuel economy adjusted factor'!$A$2:$L$52,5,FALSE)*m2k))/'TCO Inputs'!$AZ$84</f>
        <v>94.435046098478381</v>
      </c>
      <c r="BT129" s="125">
        <f>BT18/293.07*(1/(VLOOKUP($BL129,'Fuel economy adjusted factor'!$A$2:$L$52,5,FALSE)*m2k))/'TCO Inputs'!$AZ$84</f>
        <v>94.435046098478381</v>
      </c>
      <c r="BU129" s="125">
        <f>BU18/293.07*(1/(VLOOKUP($BL129,'Fuel economy adjusted factor'!$A$2:$L$52,5,FALSE)*m2k))/'TCO Inputs'!$AZ$84</f>
        <v>94.435046098478381</v>
      </c>
      <c r="BV129" s="125">
        <f>BV18/293.07*(1/(VLOOKUP($BL129,'Fuel economy adjusted factor'!$A$2:$L$52,5,FALSE)*m2k))/'TCO Inputs'!$AZ$84</f>
        <v>94.435046098478381</v>
      </c>
      <c r="BW129" s="125">
        <f>BW18/293.07*(1/(VLOOKUP($BL129,'Fuel economy adjusted factor'!$A$2:$L$52,5,FALSE)*m2k))/'TCO Inputs'!$AZ$84</f>
        <v>94.435046098478381</v>
      </c>
      <c r="BX129" s="125">
        <f>BX18/293.07*(1/(VLOOKUP($BL129,'Fuel economy adjusted factor'!$A$2:$L$52,5,FALSE)*m2k))/'TCO Inputs'!$AZ$84</f>
        <v>94.435046098478381</v>
      </c>
      <c r="BY129" s="125">
        <f>BY18/293.07*(1/(VLOOKUP($BL129,'Fuel economy adjusted factor'!$A$2:$L$52,5,FALSE)*m2k))/'TCO Inputs'!$AZ$84</f>
        <v>94.435046098478381</v>
      </c>
      <c r="BZ129" s="125">
        <f>BZ18/293.07*(1/(VLOOKUP($BL129,'Fuel economy adjusted factor'!$A$2:$L$52,5,FALSE)*m2k))/'TCO Inputs'!$AZ$84</f>
        <v>94.435046098478381</v>
      </c>
      <c r="CA129" s="125">
        <f>CA18/293.07*(1/(VLOOKUP($BL129,'Fuel economy adjusted factor'!$A$2:$L$52,5,FALSE)*m2k))/'TCO Inputs'!$AZ$84</f>
        <v>94.435046098478381</v>
      </c>
      <c r="CB129" s="125">
        <f>CB18/293.07*(1/(VLOOKUP($BL129,'Fuel economy adjusted factor'!$A$2:$L$52,5,FALSE)*m2k))/'TCO Inputs'!$AZ$84</f>
        <v>94.435046098478381</v>
      </c>
      <c r="CC129" s="125">
        <f>CC18/293.07*(1/(VLOOKUP($BL129,'Fuel economy adjusted factor'!$A$2:$L$52,5,FALSE)*m2k))/'TCO Inputs'!$AZ$84</f>
        <v>94.435046098478381</v>
      </c>
      <c r="CD129" s="125">
        <f>CD18/293.07*(1/(VLOOKUP($BL129,'Fuel economy adjusted factor'!$A$2:$L$52,5,FALSE)*m2k))/'TCO Inputs'!$AZ$84</f>
        <v>94.435046098478381</v>
      </c>
      <c r="CE129" s="125">
        <f>CE18/293.07*(1/(VLOOKUP($BL129,'Fuel economy adjusted factor'!$A$2:$L$52,5,FALSE)*m2k))/'TCO Inputs'!$AZ$84</f>
        <v>94.435046098478381</v>
      </c>
      <c r="CF129" s="125">
        <f>CF18/293.07*(1/(VLOOKUP($BL129,'Fuel economy adjusted factor'!$A$2:$L$52,5,FALSE)*m2k))/'TCO Inputs'!$AZ$84</f>
        <v>94.435046098478381</v>
      </c>
      <c r="CG129" s="125">
        <f>CG18/293.07*(1/(VLOOKUP($BL129,'Fuel economy adjusted factor'!$A$2:$L$52,5,FALSE)*m2k))/'TCO Inputs'!$AZ$84</f>
        <v>94.435046098478381</v>
      </c>
      <c r="CH129" s="125">
        <f>CH18/293.07*(1/(VLOOKUP($BL129,'Fuel economy adjusted factor'!$A$2:$L$52,5,FALSE)*m2k))/'TCO Inputs'!$AZ$84</f>
        <v>94.435046098478381</v>
      </c>
      <c r="CI129" s="125">
        <f>CI18/293.07*(1/(VLOOKUP($BL129,'Fuel economy adjusted factor'!$A$2:$L$52,5,FALSE)*m2k))/'TCO Inputs'!$AZ$84</f>
        <v>94.435046098478381</v>
      </c>
      <c r="CJ129" s="125">
        <f>CJ18/293.07*(1/(VLOOKUP($BL129,'Fuel economy adjusted factor'!$A$2:$L$52,5,FALSE)*m2k))/'TCO Inputs'!$AZ$84</f>
        <v>94.435046098478381</v>
      </c>
      <c r="CK129" s="125">
        <f>CK18/293.07*(1/(VLOOKUP($BL129,'Fuel economy adjusted factor'!$A$2:$L$52,5,FALSE)*m2k))/'TCO Inputs'!$AZ$84</f>
        <v>94.435046098478381</v>
      </c>
      <c r="CL129" s="125">
        <f>CL18/293.07*(1/(VLOOKUP($BL129,'Fuel economy adjusted factor'!$A$2:$L$52,5,FALSE)*m2k))/'TCO Inputs'!$AZ$84</f>
        <v>94.435046098478381</v>
      </c>
      <c r="CM129" s="125">
        <f>CM18/293.07*(1/(VLOOKUP($BL129,'Fuel economy adjusted factor'!$A$2:$L$52,5,FALSE)*m2k))/'TCO Inputs'!$AZ$84</f>
        <v>94.435046098478381</v>
      </c>
      <c r="CN129" s="125">
        <f>CN18/293.07*(1/(VLOOKUP($BL129,'Fuel economy adjusted factor'!$A$2:$L$52,5,FALSE)*m2k))/'TCO Inputs'!$AZ$84</f>
        <v>94.435046098478381</v>
      </c>
      <c r="CO129" s="98" cm="1">
        <f t="array" ref="CO129">SUMPRODUCT(INDEX(BM129:CN129,,'TCO Inputs'!$AZ$12-2023+_xlfn.SEQUENCE('TCO Inputs'!$AZ$13))*INDEX('VKT US'!C77:AA77,,_xlfn.SEQUENCE('TCO Inputs'!$AZ$13)))*m2k*CONVERT(0.9072,"g","ton")</f>
        <v>29.43652029867366</v>
      </c>
    </row>
    <row r="130" spans="1:93" x14ac:dyDescent="0.25">
      <c r="A130" s="123" t="s">
        <v>199</v>
      </c>
      <c r="B130" s="125">
        <f>B19/293.07*(1/(VLOOKUP($A130,'Fuel economy adjusted factor'!$A$2:$L$52,5,FALSE)*m2k))/'TCO Inputs'!$AZ$84</f>
        <v>113.34695780301649</v>
      </c>
      <c r="C130" s="125">
        <f>C19/293.07*(1/(VLOOKUP($A130,'Fuel economy adjusted factor'!$A$2:$L$52,5,FALSE)*m2k))/'TCO Inputs'!$AZ$84</f>
        <v>113.34695780301649</v>
      </c>
      <c r="D130" s="125">
        <f>D19/293.07*(1/(VLOOKUP($A130,'Fuel economy adjusted factor'!$A$2:$L$52,5,FALSE)*m2k))/'TCO Inputs'!$AZ$84</f>
        <v>113.34695780301649</v>
      </c>
      <c r="E130" s="125">
        <f>E19/293.07*(1/(VLOOKUP($A130,'Fuel economy adjusted factor'!$A$2:$L$52,5,FALSE)*m2k))/'TCO Inputs'!$AZ$84</f>
        <v>113.34695780301649</v>
      </c>
      <c r="F130" s="125">
        <f>F19/293.07*(1/(VLOOKUP($A130,'Fuel economy adjusted factor'!$A$2:$L$52,5,FALSE)*m2k))/'TCO Inputs'!$AZ$84</f>
        <v>113.34695780301649</v>
      </c>
      <c r="G130" s="125">
        <f>G19/293.07*(1/(VLOOKUP($A130,'Fuel economy adjusted factor'!$A$2:$L$52,5,FALSE)*m2k))/'TCO Inputs'!$AZ$84</f>
        <v>113.34695780301649</v>
      </c>
      <c r="H130" s="125">
        <f>H19/293.07*(1/(VLOOKUP($A130,'Fuel economy adjusted factor'!$A$2:$L$52,5,FALSE)*m2k))/'TCO Inputs'!$AZ$84</f>
        <v>113.34695780301649</v>
      </c>
      <c r="I130" s="125">
        <f>I19/293.07*(1/(VLOOKUP($A130,'Fuel economy adjusted factor'!$A$2:$L$52,5,FALSE)*m2k))/'TCO Inputs'!$AZ$84</f>
        <v>113.34695780301649</v>
      </c>
      <c r="J130" s="125">
        <f>J19/293.07*(1/(VLOOKUP($A130,'Fuel economy adjusted factor'!$A$2:$L$52,5,FALSE)*m2k))/'TCO Inputs'!$AZ$84</f>
        <v>113.34695780301649</v>
      </c>
      <c r="K130" s="125">
        <f>K19/293.07*(1/(VLOOKUP($A130,'Fuel economy adjusted factor'!$A$2:$L$52,5,FALSE)*m2k))/'TCO Inputs'!$AZ$84</f>
        <v>113.34695780301649</v>
      </c>
      <c r="L130" s="125">
        <f>L19/293.07*(1/(VLOOKUP($A130,'Fuel economy adjusted factor'!$A$2:$L$52,5,FALSE)*m2k))/'TCO Inputs'!$AZ$84</f>
        <v>113.34695780301649</v>
      </c>
      <c r="M130" s="125">
        <f>M19/293.07*(1/(VLOOKUP($A130,'Fuel economy adjusted factor'!$A$2:$L$52,5,FALSE)*m2k))/'TCO Inputs'!$AZ$84</f>
        <v>113.34695780301649</v>
      </c>
      <c r="N130" s="125">
        <f>N19/293.07*(1/(VLOOKUP($A130,'Fuel economy adjusted factor'!$A$2:$L$52,5,FALSE)*m2k))/'TCO Inputs'!$AZ$84</f>
        <v>113.34695780301649</v>
      </c>
      <c r="O130" s="125">
        <f>O19/293.07*(1/(VLOOKUP($A130,'Fuel economy adjusted factor'!$A$2:$L$52,5,FALSE)*m2k))/'TCO Inputs'!$AZ$84</f>
        <v>113.34695780301649</v>
      </c>
      <c r="P130" s="125">
        <f>P19/293.07*(1/(VLOOKUP($A130,'Fuel economy adjusted factor'!$A$2:$L$52,5,FALSE)*m2k))/'TCO Inputs'!$AZ$84</f>
        <v>113.34695780301649</v>
      </c>
      <c r="Q130" s="125">
        <f>Q19/293.07*(1/(VLOOKUP($A130,'Fuel economy adjusted factor'!$A$2:$L$52,5,FALSE)*m2k))/'TCO Inputs'!$AZ$84</f>
        <v>113.34695780301649</v>
      </c>
      <c r="R130" s="125">
        <f>R19/293.07*(1/(VLOOKUP($A130,'Fuel economy adjusted factor'!$A$2:$L$52,5,FALSE)*m2k))/'TCO Inputs'!$AZ$84</f>
        <v>113.34695780301649</v>
      </c>
      <c r="S130" s="125">
        <f>S19/293.07*(1/(VLOOKUP($A130,'Fuel economy adjusted factor'!$A$2:$L$52,5,FALSE)*m2k))/'TCO Inputs'!$AZ$84</f>
        <v>113.34695780301649</v>
      </c>
      <c r="T130" s="125">
        <f>T19/293.07*(1/(VLOOKUP($A130,'Fuel economy adjusted factor'!$A$2:$L$52,5,FALSE)*m2k))/'TCO Inputs'!$AZ$84</f>
        <v>113.34695780301649</v>
      </c>
      <c r="U130" s="125">
        <f>U19/293.07*(1/(VLOOKUP($A130,'Fuel economy adjusted factor'!$A$2:$L$52,5,FALSE)*m2k))/'TCO Inputs'!$AZ$84</f>
        <v>113.34695780301649</v>
      </c>
      <c r="V130" s="125">
        <f>V19/293.07*(1/(VLOOKUP($A130,'Fuel economy adjusted factor'!$A$2:$L$52,5,FALSE)*m2k))/'TCO Inputs'!$AZ$84</f>
        <v>113.34695780301649</v>
      </c>
      <c r="W130" s="125">
        <f>W19/293.07*(1/(VLOOKUP($A130,'Fuel economy adjusted factor'!$A$2:$L$52,5,FALSE)*m2k))/'TCO Inputs'!$AZ$84</f>
        <v>113.34695780301649</v>
      </c>
      <c r="X130" s="125">
        <f>X19/293.07*(1/(VLOOKUP($A130,'Fuel economy adjusted factor'!$A$2:$L$52,5,FALSE)*m2k))/'TCO Inputs'!$AZ$84</f>
        <v>113.34695780301649</v>
      </c>
      <c r="Y130" s="125">
        <f>Y19/293.07*(1/(VLOOKUP($A130,'Fuel economy adjusted factor'!$A$2:$L$52,5,FALSE)*m2k))/'TCO Inputs'!$AZ$84</f>
        <v>113.34695780301649</v>
      </c>
      <c r="Z130" s="125">
        <f>Z19/293.07*(1/(VLOOKUP($A130,'Fuel economy adjusted factor'!$A$2:$L$52,5,FALSE)*m2k))/'TCO Inputs'!$AZ$84</f>
        <v>113.34695780301649</v>
      </c>
      <c r="AA130" s="125">
        <f>AA19/293.07*(1/(VLOOKUP($A130,'Fuel economy adjusted factor'!$A$2:$L$52,5,FALSE)*m2k))/'TCO Inputs'!$AZ$84</f>
        <v>113.34695780301649</v>
      </c>
      <c r="AB130" s="125">
        <f>AB19/293.07*(1/(VLOOKUP($A130,'Fuel economy adjusted factor'!$A$2:$L$52,5,FALSE)*m2k))/'TCO Inputs'!$AZ$84</f>
        <v>113.34695780301649</v>
      </c>
      <c r="AC130" s="125">
        <f>AC19/293.07*(1/(VLOOKUP($A130,'Fuel economy adjusted factor'!$A$2:$L$52,5,FALSE)*m2k))/'TCO Inputs'!$AZ$84</f>
        <v>113.34695780301649</v>
      </c>
      <c r="AD130" s="98" cm="1">
        <f t="array" ref="AD130">SUMPRODUCT(INDEX(B130:AC130,,'TCO Inputs'!$AZ$12-2023+_xlfn.SEQUENCE('TCO Inputs'!$AZ$13))*INDEX('VKT US'!C78:AA78,,_xlfn.SEQUENCE('TCO Inputs'!$AZ$13)))*m2k*CONVERT(0.9072,"g","ton")</f>
        <v>35.41784902408827</v>
      </c>
      <c r="AF130" s="123" t="s">
        <v>199</v>
      </c>
      <c r="AG130" s="125">
        <f>AG19/293.07*(1/(VLOOKUP($AF130,'Fuel economy adjusted factor'!$A$2:$L$52,5,FALSE)*m2k))/'TCO Inputs'!$AZ$84</f>
        <v>132.85485566552774</v>
      </c>
      <c r="AH130" s="125">
        <f>AH19/293.07*(1/(VLOOKUP($AF130,'Fuel economy adjusted factor'!$A$2:$L$52,5,FALSE)*m2k))/'TCO Inputs'!$AZ$84</f>
        <v>132.85485566552774</v>
      </c>
      <c r="AI130" s="125">
        <f>AI19/293.07*(1/(VLOOKUP($AF130,'Fuel economy adjusted factor'!$A$2:$L$52,5,FALSE)*m2k))/'TCO Inputs'!$AZ$84</f>
        <v>132.85485566552774</v>
      </c>
      <c r="AJ130" s="125">
        <f>AJ19/293.07*(1/(VLOOKUP($AF130,'Fuel economy adjusted factor'!$A$2:$L$52,5,FALSE)*m2k))/'TCO Inputs'!$AZ$84</f>
        <v>132.85485566552774</v>
      </c>
      <c r="AK130" s="125">
        <f>AK19/293.07*(1/(VLOOKUP($AF130,'Fuel economy adjusted factor'!$A$2:$L$52,5,FALSE)*m2k))/'TCO Inputs'!$AZ$84</f>
        <v>132.85485566552774</v>
      </c>
      <c r="AL130" s="125">
        <f>AL19/293.07*(1/(VLOOKUP($AF130,'Fuel economy adjusted factor'!$A$2:$L$52,5,FALSE)*m2k))/'TCO Inputs'!$AZ$84</f>
        <v>132.85485566552774</v>
      </c>
      <c r="AM130" s="125">
        <f>AM19/293.07*(1/(VLOOKUP($AF130,'Fuel economy adjusted factor'!$A$2:$L$52,5,FALSE)*m2k))/'TCO Inputs'!$AZ$84</f>
        <v>132.85485566552774</v>
      </c>
      <c r="AN130" s="125">
        <f>AN19/293.07*(1/(VLOOKUP($AF130,'Fuel economy adjusted factor'!$A$2:$L$52,5,FALSE)*m2k))/'TCO Inputs'!$AZ$84</f>
        <v>132.85485566552774</v>
      </c>
      <c r="AO130" s="125">
        <f>AO19/293.07*(1/(VLOOKUP($AF130,'Fuel economy adjusted factor'!$A$2:$L$52,5,FALSE)*m2k))/'TCO Inputs'!$AZ$84</f>
        <v>132.85485566552774</v>
      </c>
      <c r="AP130" s="125">
        <f>AP19/293.07*(1/(VLOOKUP($AF130,'Fuel economy adjusted factor'!$A$2:$L$52,5,FALSE)*m2k))/'TCO Inputs'!$AZ$84</f>
        <v>132.85485566552774</v>
      </c>
      <c r="AQ130" s="125">
        <f>AQ19/293.07*(1/(VLOOKUP($AF130,'Fuel economy adjusted factor'!$A$2:$L$52,5,FALSE)*m2k))/'TCO Inputs'!$AZ$84</f>
        <v>132.85485566552774</v>
      </c>
      <c r="AR130" s="125">
        <f>AR19/293.07*(1/(VLOOKUP($AF130,'Fuel economy adjusted factor'!$A$2:$L$52,5,FALSE)*m2k))/'TCO Inputs'!$AZ$84</f>
        <v>132.85485566552774</v>
      </c>
      <c r="AS130" s="125">
        <f>AS19/293.07*(1/(VLOOKUP($AF130,'Fuel economy adjusted factor'!$A$2:$L$52,5,FALSE)*m2k))/'TCO Inputs'!$AZ$84</f>
        <v>132.85485566552774</v>
      </c>
      <c r="AT130" s="125">
        <f>AT19/293.07*(1/(VLOOKUP($AF130,'Fuel economy adjusted factor'!$A$2:$L$52,5,FALSE)*m2k))/'TCO Inputs'!$AZ$84</f>
        <v>132.85485566552774</v>
      </c>
      <c r="AU130" s="125">
        <f>AU19/293.07*(1/(VLOOKUP($AF130,'Fuel economy adjusted factor'!$A$2:$L$52,5,FALSE)*m2k))/'TCO Inputs'!$AZ$84</f>
        <v>132.85485566552774</v>
      </c>
      <c r="AV130" s="125">
        <f>AV19/293.07*(1/(VLOOKUP($AF130,'Fuel economy adjusted factor'!$A$2:$L$52,5,FALSE)*m2k))/'TCO Inputs'!$AZ$84</f>
        <v>132.85485566552774</v>
      </c>
      <c r="AW130" s="125">
        <f>AW19/293.07*(1/(VLOOKUP($AF130,'Fuel economy adjusted factor'!$A$2:$L$52,5,FALSE)*m2k))/'TCO Inputs'!$AZ$84</f>
        <v>132.85485566552774</v>
      </c>
      <c r="AX130" s="125">
        <f>AX19/293.07*(1/(VLOOKUP($AF130,'Fuel economy adjusted factor'!$A$2:$L$52,5,FALSE)*m2k))/'TCO Inputs'!$AZ$84</f>
        <v>132.85485566552774</v>
      </c>
      <c r="AY130" s="125">
        <f>AY19/293.07*(1/(VLOOKUP($AF130,'Fuel economy adjusted factor'!$A$2:$L$52,5,FALSE)*m2k))/'TCO Inputs'!$AZ$84</f>
        <v>132.85485566552774</v>
      </c>
      <c r="AZ130" s="125">
        <f>AZ19/293.07*(1/(VLOOKUP($AF130,'Fuel economy adjusted factor'!$A$2:$L$52,5,FALSE)*m2k))/'TCO Inputs'!$AZ$84</f>
        <v>132.85485566552774</v>
      </c>
      <c r="BA130" s="125">
        <f>BA19/293.07*(1/(VLOOKUP($AF130,'Fuel economy adjusted factor'!$A$2:$L$52,5,FALSE)*m2k))/'TCO Inputs'!$AZ$84</f>
        <v>132.85485566552774</v>
      </c>
      <c r="BB130" s="125">
        <f>BB19/293.07*(1/(VLOOKUP($AF130,'Fuel economy adjusted factor'!$A$2:$L$52,5,FALSE)*m2k))/'TCO Inputs'!$AZ$84</f>
        <v>132.85485566552774</v>
      </c>
      <c r="BC130" s="125">
        <f>BC19/293.07*(1/(VLOOKUP($AF130,'Fuel economy adjusted factor'!$A$2:$L$52,5,FALSE)*m2k))/'TCO Inputs'!$AZ$84</f>
        <v>132.85485566552774</v>
      </c>
      <c r="BD130" s="125">
        <f>BD19/293.07*(1/(VLOOKUP($AF130,'Fuel economy adjusted factor'!$A$2:$L$52,5,FALSE)*m2k))/'TCO Inputs'!$AZ$84</f>
        <v>132.85485566552774</v>
      </c>
      <c r="BE130" s="125">
        <f>BE19/293.07*(1/(VLOOKUP($AF130,'Fuel economy adjusted factor'!$A$2:$L$52,5,FALSE)*m2k))/'TCO Inputs'!$AZ$84</f>
        <v>132.85485566552774</v>
      </c>
      <c r="BF130" s="125">
        <f>BF19/293.07*(1/(VLOOKUP($AF130,'Fuel economy adjusted factor'!$A$2:$L$52,5,FALSE)*m2k))/'TCO Inputs'!$AZ$84</f>
        <v>132.85485566552774</v>
      </c>
      <c r="BG130" s="125">
        <f>BG19/293.07*(1/(VLOOKUP($AF130,'Fuel economy adjusted factor'!$A$2:$L$52,5,FALSE)*m2k))/'TCO Inputs'!$AZ$84</f>
        <v>132.85485566552774</v>
      </c>
      <c r="BH130" s="125">
        <f>BH19/293.07*(1/(VLOOKUP($AF130,'Fuel economy adjusted factor'!$A$2:$L$52,5,FALSE)*m2k))/'TCO Inputs'!$AZ$84</f>
        <v>132.85485566552774</v>
      </c>
      <c r="BI130" s="98" cm="1">
        <f t="array" ref="BI130">SUMPRODUCT(INDEX(AG130:BH130,,'TCO Inputs'!$AZ$12-2023+_xlfn.SEQUENCE('TCO Inputs'!$AZ$13))*INDEX('VKT US'!C78:AA78,,_xlfn.SEQUENCE('TCO Inputs'!$AZ$13)))*m2k*CONVERT(0.9072,"g","ton")</f>
        <v>41.513537824774993</v>
      </c>
      <c r="BL130" s="123" t="s">
        <v>199</v>
      </c>
      <c r="BM130" s="125">
        <f>BM19/293.07*(1/(VLOOKUP($BL130,'Fuel economy adjusted factor'!$A$2:$L$52,5,FALSE)*m2k))/'TCO Inputs'!$AZ$84</f>
        <v>98.766190828344534</v>
      </c>
      <c r="BN130" s="125">
        <f>BN19/293.07*(1/(VLOOKUP($BL130,'Fuel economy adjusted factor'!$A$2:$L$52,5,FALSE)*m2k))/'TCO Inputs'!$AZ$84</f>
        <v>98.766190828344534</v>
      </c>
      <c r="BO130" s="125">
        <f>BO19/293.07*(1/(VLOOKUP($BL130,'Fuel economy adjusted factor'!$A$2:$L$52,5,FALSE)*m2k))/'TCO Inputs'!$AZ$84</f>
        <v>98.766190828344534</v>
      </c>
      <c r="BP130" s="125">
        <f>BP19/293.07*(1/(VLOOKUP($BL130,'Fuel economy adjusted factor'!$A$2:$L$52,5,FALSE)*m2k))/'TCO Inputs'!$AZ$84</f>
        <v>98.766190828344534</v>
      </c>
      <c r="BQ130" s="125">
        <f>BQ19/293.07*(1/(VLOOKUP($BL130,'Fuel economy adjusted factor'!$A$2:$L$52,5,FALSE)*m2k))/'TCO Inputs'!$AZ$84</f>
        <v>98.766190828344534</v>
      </c>
      <c r="BR130" s="125">
        <f>BR19/293.07*(1/(VLOOKUP($BL130,'Fuel economy adjusted factor'!$A$2:$L$52,5,FALSE)*m2k))/'TCO Inputs'!$AZ$84</f>
        <v>98.766190828344534</v>
      </c>
      <c r="BS130" s="125">
        <f>BS19/293.07*(1/(VLOOKUP($BL130,'Fuel economy adjusted factor'!$A$2:$L$52,5,FALSE)*m2k))/'TCO Inputs'!$AZ$84</f>
        <v>98.766190828344534</v>
      </c>
      <c r="BT130" s="125">
        <f>BT19/293.07*(1/(VLOOKUP($BL130,'Fuel economy adjusted factor'!$A$2:$L$52,5,FALSE)*m2k))/'TCO Inputs'!$AZ$84</f>
        <v>98.766190828344534</v>
      </c>
      <c r="BU130" s="125">
        <f>BU19/293.07*(1/(VLOOKUP($BL130,'Fuel economy adjusted factor'!$A$2:$L$52,5,FALSE)*m2k))/'TCO Inputs'!$AZ$84</f>
        <v>98.766190828344534</v>
      </c>
      <c r="BV130" s="125">
        <f>BV19/293.07*(1/(VLOOKUP($BL130,'Fuel economy adjusted factor'!$A$2:$L$52,5,FALSE)*m2k))/'TCO Inputs'!$AZ$84</f>
        <v>98.766190828344534</v>
      </c>
      <c r="BW130" s="125">
        <f>BW19/293.07*(1/(VLOOKUP($BL130,'Fuel economy adjusted factor'!$A$2:$L$52,5,FALSE)*m2k))/'TCO Inputs'!$AZ$84</f>
        <v>98.766190828344534</v>
      </c>
      <c r="BX130" s="125">
        <f>BX19/293.07*(1/(VLOOKUP($BL130,'Fuel economy adjusted factor'!$A$2:$L$52,5,FALSE)*m2k))/'TCO Inputs'!$AZ$84</f>
        <v>98.766190828344534</v>
      </c>
      <c r="BY130" s="125">
        <f>BY19/293.07*(1/(VLOOKUP($BL130,'Fuel economy adjusted factor'!$A$2:$L$52,5,FALSE)*m2k))/'TCO Inputs'!$AZ$84</f>
        <v>98.766190828344534</v>
      </c>
      <c r="BZ130" s="125">
        <f>BZ19/293.07*(1/(VLOOKUP($BL130,'Fuel economy adjusted factor'!$A$2:$L$52,5,FALSE)*m2k))/'TCO Inputs'!$AZ$84</f>
        <v>98.766190828344534</v>
      </c>
      <c r="CA130" s="125">
        <f>CA19/293.07*(1/(VLOOKUP($BL130,'Fuel economy adjusted factor'!$A$2:$L$52,5,FALSE)*m2k))/'TCO Inputs'!$AZ$84</f>
        <v>98.766190828344534</v>
      </c>
      <c r="CB130" s="125">
        <f>CB19/293.07*(1/(VLOOKUP($BL130,'Fuel economy adjusted factor'!$A$2:$L$52,5,FALSE)*m2k))/'TCO Inputs'!$AZ$84</f>
        <v>98.766190828344534</v>
      </c>
      <c r="CC130" s="125">
        <f>CC19/293.07*(1/(VLOOKUP($BL130,'Fuel economy adjusted factor'!$A$2:$L$52,5,FALSE)*m2k))/'TCO Inputs'!$AZ$84</f>
        <v>98.766190828344534</v>
      </c>
      <c r="CD130" s="125">
        <f>CD19/293.07*(1/(VLOOKUP($BL130,'Fuel economy adjusted factor'!$A$2:$L$52,5,FALSE)*m2k))/'TCO Inputs'!$AZ$84</f>
        <v>98.766190828344534</v>
      </c>
      <c r="CE130" s="125">
        <f>CE19/293.07*(1/(VLOOKUP($BL130,'Fuel economy adjusted factor'!$A$2:$L$52,5,FALSE)*m2k))/'TCO Inputs'!$AZ$84</f>
        <v>98.766190828344534</v>
      </c>
      <c r="CF130" s="125">
        <f>CF19/293.07*(1/(VLOOKUP($BL130,'Fuel economy adjusted factor'!$A$2:$L$52,5,FALSE)*m2k))/'TCO Inputs'!$AZ$84</f>
        <v>98.766190828344534</v>
      </c>
      <c r="CG130" s="125">
        <f>CG19/293.07*(1/(VLOOKUP($BL130,'Fuel economy adjusted factor'!$A$2:$L$52,5,FALSE)*m2k))/'TCO Inputs'!$AZ$84</f>
        <v>98.766190828344534</v>
      </c>
      <c r="CH130" s="125">
        <f>CH19/293.07*(1/(VLOOKUP($BL130,'Fuel economy adjusted factor'!$A$2:$L$52,5,FALSE)*m2k))/'TCO Inputs'!$AZ$84</f>
        <v>98.766190828344534</v>
      </c>
      <c r="CI130" s="125">
        <f>CI19/293.07*(1/(VLOOKUP($BL130,'Fuel economy adjusted factor'!$A$2:$L$52,5,FALSE)*m2k))/'TCO Inputs'!$AZ$84</f>
        <v>98.766190828344534</v>
      </c>
      <c r="CJ130" s="125">
        <f>CJ19/293.07*(1/(VLOOKUP($BL130,'Fuel economy adjusted factor'!$A$2:$L$52,5,FALSE)*m2k))/'TCO Inputs'!$AZ$84</f>
        <v>98.766190828344534</v>
      </c>
      <c r="CK130" s="125">
        <f>CK19/293.07*(1/(VLOOKUP($BL130,'Fuel economy adjusted factor'!$A$2:$L$52,5,FALSE)*m2k))/'TCO Inputs'!$AZ$84</f>
        <v>98.766190828344534</v>
      </c>
      <c r="CL130" s="125">
        <f>CL19/293.07*(1/(VLOOKUP($BL130,'Fuel economy adjusted factor'!$A$2:$L$52,5,FALSE)*m2k))/'TCO Inputs'!$AZ$84</f>
        <v>98.766190828344534</v>
      </c>
      <c r="CM130" s="125">
        <f>CM19/293.07*(1/(VLOOKUP($BL130,'Fuel economy adjusted factor'!$A$2:$L$52,5,FALSE)*m2k))/'TCO Inputs'!$AZ$84</f>
        <v>98.766190828344534</v>
      </c>
      <c r="CN130" s="125">
        <f>CN19/293.07*(1/(VLOOKUP($BL130,'Fuel economy adjusted factor'!$A$2:$L$52,5,FALSE)*m2k))/'TCO Inputs'!$AZ$84</f>
        <v>98.766190828344534</v>
      </c>
      <c r="CO130" s="98" cm="1">
        <f t="array" ref="CO130">SUMPRODUCT(INDEX(BM130:CN130,,'TCO Inputs'!$AZ$12-2023+_xlfn.SEQUENCE('TCO Inputs'!$AZ$13))*INDEX('VKT US'!C78:AA78,,_xlfn.SEQUENCE('TCO Inputs'!$AZ$13)))*m2k*CONVERT(0.9072,"g","ton")</f>
        <v>30.861754944688105</v>
      </c>
    </row>
    <row r="131" spans="1:93" x14ac:dyDescent="0.25">
      <c r="A131" s="123" t="s">
        <v>157</v>
      </c>
      <c r="B131" s="125">
        <f>B20/293.07*(1/(VLOOKUP($A131,'Fuel economy adjusted factor'!$A$2:$L$52,5,FALSE)*m2k))/'TCO Inputs'!$AZ$84</f>
        <v>271.83682605965004</v>
      </c>
      <c r="C131" s="125">
        <f>C20/293.07*(1/(VLOOKUP($A131,'Fuel economy adjusted factor'!$A$2:$L$52,5,FALSE)*m2k))/'TCO Inputs'!$AZ$84</f>
        <v>271.83682605965004</v>
      </c>
      <c r="D131" s="125">
        <f>D20/293.07*(1/(VLOOKUP($A131,'Fuel economy adjusted factor'!$A$2:$L$52,5,FALSE)*m2k))/'TCO Inputs'!$AZ$84</f>
        <v>271.83682605965004</v>
      </c>
      <c r="E131" s="125">
        <f>E20/293.07*(1/(VLOOKUP($A131,'Fuel economy adjusted factor'!$A$2:$L$52,5,FALSE)*m2k))/'TCO Inputs'!$AZ$84</f>
        <v>271.83682605965004</v>
      </c>
      <c r="F131" s="125">
        <f>F20/293.07*(1/(VLOOKUP($A131,'Fuel economy adjusted factor'!$A$2:$L$52,5,FALSE)*m2k))/'TCO Inputs'!$AZ$84</f>
        <v>271.83682605965004</v>
      </c>
      <c r="G131" s="125">
        <f>G20/293.07*(1/(VLOOKUP($A131,'Fuel economy adjusted factor'!$A$2:$L$52,5,FALSE)*m2k))/'TCO Inputs'!$AZ$84</f>
        <v>271.83682605965004</v>
      </c>
      <c r="H131" s="125">
        <f>H20/293.07*(1/(VLOOKUP($A131,'Fuel economy adjusted factor'!$A$2:$L$52,5,FALSE)*m2k))/'TCO Inputs'!$AZ$84</f>
        <v>271.83682605965004</v>
      </c>
      <c r="I131" s="125">
        <f>I20/293.07*(1/(VLOOKUP($A131,'Fuel economy adjusted factor'!$A$2:$L$52,5,FALSE)*m2k))/'TCO Inputs'!$AZ$84</f>
        <v>271.83682605965004</v>
      </c>
      <c r="J131" s="125">
        <f>J20/293.07*(1/(VLOOKUP($A131,'Fuel economy adjusted factor'!$A$2:$L$52,5,FALSE)*m2k))/'TCO Inputs'!$AZ$84</f>
        <v>271.83682605965004</v>
      </c>
      <c r="K131" s="125">
        <f>K20/293.07*(1/(VLOOKUP($A131,'Fuel economy adjusted factor'!$A$2:$L$52,5,FALSE)*m2k))/'TCO Inputs'!$AZ$84</f>
        <v>271.83682605965004</v>
      </c>
      <c r="L131" s="125">
        <f>L20/293.07*(1/(VLOOKUP($A131,'Fuel economy adjusted factor'!$A$2:$L$52,5,FALSE)*m2k))/'TCO Inputs'!$AZ$84</f>
        <v>271.83682605965004</v>
      </c>
      <c r="M131" s="125">
        <f>M20/293.07*(1/(VLOOKUP($A131,'Fuel economy adjusted factor'!$A$2:$L$52,5,FALSE)*m2k))/'TCO Inputs'!$AZ$84</f>
        <v>271.83682605965004</v>
      </c>
      <c r="N131" s="125">
        <f>N20/293.07*(1/(VLOOKUP($A131,'Fuel economy adjusted factor'!$A$2:$L$52,5,FALSE)*m2k))/'TCO Inputs'!$AZ$84</f>
        <v>271.83682605965004</v>
      </c>
      <c r="O131" s="125">
        <f>O20/293.07*(1/(VLOOKUP($A131,'Fuel economy adjusted factor'!$A$2:$L$52,5,FALSE)*m2k))/'TCO Inputs'!$AZ$84</f>
        <v>271.83682605965004</v>
      </c>
      <c r="P131" s="125">
        <f>P20/293.07*(1/(VLOOKUP($A131,'Fuel economy adjusted factor'!$A$2:$L$52,5,FALSE)*m2k))/'TCO Inputs'!$AZ$84</f>
        <v>271.83682605965004</v>
      </c>
      <c r="Q131" s="125">
        <f>Q20/293.07*(1/(VLOOKUP($A131,'Fuel economy adjusted factor'!$A$2:$L$52,5,FALSE)*m2k))/'TCO Inputs'!$AZ$84</f>
        <v>271.83682605965004</v>
      </c>
      <c r="R131" s="125">
        <f>R20/293.07*(1/(VLOOKUP($A131,'Fuel economy adjusted factor'!$A$2:$L$52,5,FALSE)*m2k))/'TCO Inputs'!$AZ$84</f>
        <v>271.83682605965004</v>
      </c>
      <c r="S131" s="125">
        <f>S20/293.07*(1/(VLOOKUP($A131,'Fuel economy adjusted factor'!$A$2:$L$52,5,FALSE)*m2k))/'TCO Inputs'!$AZ$84</f>
        <v>271.83682605965004</v>
      </c>
      <c r="T131" s="125">
        <f>T20/293.07*(1/(VLOOKUP($A131,'Fuel economy adjusted factor'!$A$2:$L$52,5,FALSE)*m2k))/'TCO Inputs'!$AZ$84</f>
        <v>271.83682605965004</v>
      </c>
      <c r="U131" s="125">
        <f>U20/293.07*(1/(VLOOKUP($A131,'Fuel economy adjusted factor'!$A$2:$L$52,5,FALSE)*m2k))/'TCO Inputs'!$AZ$84</f>
        <v>271.83682605965004</v>
      </c>
      <c r="V131" s="125">
        <f>V20/293.07*(1/(VLOOKUP($A131,'Fuel economy adjusted factor'!$A$2:$L$52,5,FALSE)*m2k))/'TCO Inputs'!$AZ$84</f>
        <v>271.83682605965004</v>
      </c>
      <c r="W131" s="125">
        <f>W20/293.07*(1/(VLOOKUP($A131,'Fuel economy adjusted factor'!$A$2:$L$52,5,FALSE)*m2k))/'TCO Inputs'!$AZ$84</f>
        <v>271.83682605965004</v>
      </c>
      <c r="X131" s="125">
        <f>X20/293.07*(1/(VLOOKUP($A131,'Fuel economy adjusted factor'!$A$2:$L$52,5,FALSE)*m2k))/'TCO Inputs'!$AZ$84</f>
        <v>271.83682605965004</v>
      </c>
      <c r="Y131" s="125">
        <f>Y20/293.07*(1/(VLOOKUP($A131,'Fuel economy adjusted factor'!$A$2:$L$52,5,FALSE)*m2k))/'TCO Inputs'!$AZ$84</f>
        <v>271.83682605965004</v>
      </c>
      <c r="Z131" s="125">
        <f>Z20/293.07*(1/(VLOOKUP($A131,'Fuel economy adjusted factor'!$A$2:$L$52,5,FALSE)*m2k))/'TCO Inputs'!$AZ$84</f>
        <v>271.83682605965004</v>
      </c>
      <c r="AA131" s="125">
        <f>AA20/293.07*(1/(VLOOKUP($A131,'Fuel economy adjusted factor'!$A$2:$L$52,5,FALSE)*m2k))/'TCO Inputs'!$AZ$84</f>
        <v>271.83682605965004</v>
      </c>
      <c r="AB131" s="125">
        <f>AB20/293.07*(1/(VLOOKUP($A131,'Fuel economy adjusted factor'!$A$2:$L$52,5,FALSE)*m2k))/'TCO Inputs'!$AZ$84</f>
        <v>271.83682605965004</v>
      </c>
      <c r="AC131" s="125">
        <f>AC20/293.07*(1/(VLOOKUP($A131,'Fuel economy adjusted factor'!$A$2:$L$52,5,FALSE)*m2k))/'TCO Inputs'!$AZ$84</f>
        <v>271.83682605965004</v>
      </c>
      <c r="AD131" s="98" cm="1">
        <f t="array" ref="AD131">SUMPRODUCT(INDEX(B131:AC131,,'TCO Inputs'!$AZ$12-2023+_xlfn.SEQUENCE('TCO Inputs'!$AZ$13))*INDEX('VKT US'!C79:AA79,,_xlfn.SEQUENCE('TCO Inputs'!$AZ$13)))*m2k*CONVERT(0.9072,"g","ton")</f>
        <v>93.699568514273849</v>
      </c>
      <c r="AF131" s="123" t="s">
        <v>157</v>
      </c>
      <c r="AG131" s="125">
        <f>AG20/293.07*(1/(VLOOKUP($AF131,'Fuel economy adjusted factor'!$A$2:$L$52,5,FALSE)*m2k))/'TCO Inputs'!$AZ$84</f>
        <v>318.62206971177199</v>
      </c>
      <c r="AH131" s="125">
        <f>AH20/293.07*(1/(VLOOKUP($AF131,'Fuel economy adjusted factor'!$A$2:$L$52,5,FALSE)*m2k))/'TCO Inputs'!$AZ$84</f>
        <v>318.62206971177199</v>
      </c>
      <c r="AI131" s="125">
        <f>AI20/293.07*(1/(VLOOKUP($AF131,'Fuel economy adjusted factor'!$A$2:$L$52,5,FALSE)*m2k))/'TCO Inputs'!$AZ$84</f>
        <v>318.62206971177199</v>
      </c>
      <c r="AJ131" s="125">
        <f>AJ20/293.07*(1/(VLOOKUP($AF131,'Fuel economy adjusted factor'!$A$2:$L$52,5,FALSE)*m2k))/'TCO Inputs'!$AZ$84</f>
        <v>318.62206971177199</v>
      </c>
      <c r="AK131" s="125">
        <f>AK20/293.07*(1/(VLOOKUP($AF131,'Fuel economy adjusted factor'!$A$2:$L$52,5,FALSE)*m2k))/'TCO Inputs'!$AZ$84</f>
        <v>318.62206971177199</v>
      </c>
      <c r="AL131" s="125">
        <f>AL20/293.07*(1/(VLOOKUP($AF131,'Fuel economy adjusted factor'!$A$2:$L$52,5,FALSE)*m2k))/'TCO Inputs'!$AZ$84</f>
        <v>318.62206971177199</v>
      </c>
      <c r="AM131" s="125">
        <f>AM20/293.07*(1/(VLOOKUP($AF131,'Fuel economy adjusted factor'!$A$2:$L$52,5,FALSE)*m2k))/'TCO Inputs'!$AZ$84</f>
        <v>318.62206971177199</v>
      </c>
      <c r="AN131" s="125">
        <f>AN20/293.07*(1/(VLOOKUP($AF131,'Fuel economy adjusted factor'!$A$2:$L$52,5,FALSE)*m2k))/'TCO Inputs'!$AZ$84</f>
        <v>318.62206971177199</v>
      </c>
      <c r="AO131" s="125">
        <f>AO20/293.07*(1/(VLOOKUP($AF131,'Fuel economy adjusted factor'!$A$2:$L$52,5,FALSE)*m2k))/'TCO Inputs'!$AZ$84</f>
        <v>318.62206971177199</v>
      </c>
      <c r="AP131" s="125">
        <f>AP20/293.07*(1/(VLOOKUP($AF131,'Fuel economy adjusted factor'!$A$2:$L$52,5,FALSE)*m2k))/'TCO Inputs'!$AZ$84</f>
        <v>318.62206971177199</v>
      </c>
      <c r="AQ131" s="125">
        <f>AQ20/293.07*(1/(VLOOKUP($AF131,'Fuel economy adjusted factor'!$A$2:$L$52,5,FALSE)*m2k))/'TCO Inputs'!$AZ$84</f>
        <v>318.62206971177199</v>
      </c>
      <c r="AR131" s="125">
        <f>AR20/293.07*(1/(VLOOKUP($AF131,'Fuel economy adjusted factor'!$A$2:$L$52,5,FALSE)*m2k))/'TCO Inputs'!$AZ$84</f>
        <v>318.62206971177199</v>
      </c>
      <c r="AS131" s="125">
        <f>AS20/293.07*(1/(VLOOKUP($AF131,'Fuel economy adjusted factor'!$A$2:$L$52,5,FALSE)*m2k))/'TCO Inputs'!$AZ$84</f>
        <v>318.62206971177199</v>
      </c>
      <c r="AT131" s="125">
        <f>AT20/293.07*(1/(VLOOKUP($AF131,'Fuel economy adjusted factor'!$A$2:$L$52,5,FALSE)*m2k))/'TCO Inputs'!$AZ$84</f>
        <v>318.62206971177199</v>
      </c>
      <c r="AU131" s="125">
        <f>AU20/293.07*(1/(VLOOKUP($AF131,'Fuel economy adjusted factor'!$A$2:$L$52,5,FALSE)*m2k))/'TCO Inputs'!$AZ$84</f>
        <v>318.62206971177199</v>
      </c>
      <c r="AV131" s="125">
        <f>AV20/293.07*(1/(VLOOKUP($AF131,'Fuel economy adjusted factor'!$A$2:$L$52,5,FALSE)*m2k))/'TCO Inputs'!$AZ$84</f>
        <v>318.62206971177199</v>
      </c>
      <c r="AW131" s="125">
        <f>AW20/293.07*(1/(VLOOKUP($AF131,'Fuel economy adjusted factor'!$A$2:$L$52,5,FALSE)*m2k))/'TCO Inputs'!$AZ$84</f>
        <v>318.62206971177199</v>
      </c>
      <c r="AX131" s="125">
        <f>AX20/293.07*(1/(VLOOKUP($AF131,'Fuel economy adjusted factor'!$A$2:$L$52,5,FALSE)*m2k))/'TCO Inputs'!$AZ$84</f>
        <v>318.62206971177199</v>
      </c>
      <c r="AY131" s="125">
        <f>AY20/293.07*(1/(VLOOKUP($AF131,'Fuel economy adjusted factor'!$A$2:$L$52,5,FALSE)*m2k))/'TCO Inputs'!$AZ$84</f>
        <v>318.62206971177199</v>
      </c>
      <c r="AZ131" s="125">
        <f>AZ20/293.07*(1/(VLOOKUP($AF131,'Fuel economy adjusted factor'!$A$2:$L$52,5,FALSE)*m2k))/'TCO Inputs'!$AZ$84</f>
        <v>318.62206971177199</v>
      </c>
      <c r="BA131" s="125">
        <f>BA20/293.07*(1/(VLOOKUP($AF131,'Fuel economy adjusted factor'!$A$2:$L$52,5,FALSE)*m2k))/'TCO Inputs'!$AZ$84</f>
        <v>318.62206971177199</v>
      </c>
      <c r="BB131" s="125">
        <f>BB20/293.07*(1/(VLOOKUP($AF131,'Fuel economy adjusted factor'!$A$2:$L$52,5,FALSE)*m2k))/'TCO Inputs'!$AZ$84</f>
        <v>318.62206971177199</v>
      </c>
      <c r="BC131" s="125">
        <f>BC20/293.07*(1/(VLOOKUP($AF131,'Fuel economy adjusted factor'!$A$2:$L$52,5,FALSE)*m2k))/'TCO Inputs'!$AZ$84</f>
        <v>318.62206971177199</v>
      </c>
      <c r="BD131" s="125">
        <f>BD20/293.07*(1/(VLOOKUP($AF131,'Fuel economy adjusted factor'!$A$2:$L$52,5,FALSE)*m2k))/'TCO Inputs'!$AZ$84</f>
        <v>318.62206971177199</v>
      </c>
      <c r="BE131" s="125">
        <f>BE20/293.07*(1/(VLOOKUP($AF131,'Fuel economy adjusted factor'!$A$2:$L$52,5,FALSE)*m2k))/'TCO Inputs'!$AZ$84</f>
        <v>318.62206971177199</v>
      </c>
      <c r="BF131" s="125">
        <f>BF20/293.07*(1/(VLOOKUP($AF131,'Fuel economy adjusted factor'!$A$2:$L$52,5,FALSE)*m2k))/'TCO Inputs'!$AZ$84</f>
        <v>318.62206971177199</v>
      </c>
      <c r="BG131" s="125">
        <f>BG20/293.07*(1/(VLOOKUP($AF131,'Fuel economy adjusted factor'!$A$2:$L$52,5,FALSE)*m2k))/'TCO Inputs'!$AZ$84</f>
        <v>318.62206971177199</v>
      </c>
      <c r="BH131" s="125">
        <f>BH20/293.07*(1/(VLOOKUP($AF131,'Fuel economy adjusted factor'!$A$2:$L$52,5,FALSE)*m2k))/'TCO Inputs'!$AZ$84</f>
        <v>318.62206971177199</v>
      </c>
      <c r="BI131" s="98" cm="1">
        <f t="array" ref="BI131">SUMPRODUCT(INDEX(AG131:BH131,,'TCO Inputs'!$AZ$12-2023+_xlfn.SEQUENCE('TCO Inputs'!$AZ$13))*INDEX('VKT US'!C79:AA79,,_xlfn.SEQUENCE('TCO Inputs'!$AZ$13)))*m2k*CONVERT(0.9072,"g","ton")</f>
        <v>109.8259970286984</v>
      </c>
      <c r="BL131" s="123" t="s">
        <v>157</v>
      </c>
      <c r="BM131" s="125">
        <f>BM20/293.07*(1/(VLOOKUP($BL131,'Fuel economy adjusted factor'!$A$2:$L$52,5,FALSE)*m2k))/'TCO Inputs'!$AZ$84</f>
        <v>236.86818205953116</v>
      </c>
      <c r="BN131" s="125">
        <f>BN20/293.07*(1/(VLOOKUP($BL131,'Fuel economy adjusted factor'!$A$2:$L$52,5,FALSE)*m2k))/'TCO Inputs'!$AZ$84</f>
        <v>236.86818205953116</v>
      </c>
      <c r="BO131" s="125">
        <f>BO20/293.07*(1/(VLOOKUP($BL131,'Fuel economy adjusted factor'!$A$2:$L$52,5,FALSE)*m2k))/'TCO Inputs'!$AZ$84</f>
        <v>236.86818205953116</v>
      </c>
      <c r="BP131" s="125">
        <f>BP20/293.07*(1/(VLOOKUP($BL131,'Fuel economy adjusted factor'!$A$2:$L$52,5,FALSE)*m2k))/'TCO Inputs'!$AZ$84</f>
        <v>236.86818205953116</v>
      </c>
      <c r="BQ131" s="125">
        <f>BQ20/293.07*(1/(VLOOKUP($BL131,'Fuel economy adjusted factor'!$A$2:$L$52,5,FALSE)*m2k))/'TCO Inputs'!$AZ$84</f>
        <v>236.86818205953116</v>
      </c>
      <c r="BR131" s="125">
        <f>BR20/293.07*(1/(VLOOKUP($BL131,'Fuel economy adjusted factor'!$A$2:$L$52,5,FALSE)*m2k))/'TCO Inputs'!$AZ$84</f>
        <v>236.86818205953116</v>
      </c>
      <c r="BS131" s="125">
        <f>BS20/293.07*(1/(VLOOKUP($BL131,'Fuel economy adjusted factor'!$A$2:$L$52,5,FALSE)*m2k))/'TCO Inputs'!$AZ$84</f>
        <v>236.86818205953116</v>
      </c>
      <c r="BT131" s="125">
        <f>BT20/293.07*(1/(VLOOKUP($BL131,'Fuel economy adjusted factor'!$A$2:$L$52,5,FALSE)*m2k))/'TCO Inputs'!$AZ$84</f>
        <v>236.86818205953116</v>
      </c>
      <c r="BU131" s="125">
        <f>BU20/293.07*(1/(VLOOKUP($BL131,'Fuel economy adjusted factor'!$A$2:$L$52,5,FALSE)*m2k))/'TCO Inputs'!$AZ$84</f>
        <v>236.86818205953116</v>
      </c>
      <c r="BV131" s="125">
        <f>BV20/293.07*(1/(VLOOKUP($BL131,'Fuel economy adjusted factor'!$A$2:$L$52,5,FALSE)*m2k))/'TCO Inputs'!$AZ$84</f>
        <v>236.86818205953116</v>
      </c>
      <c r="BW131" s="125">
        <f>BW20/293.07*(1/(VLOOKUP($BL131,'Fuel economy adjusted factor'!$A$2:$L$52,5,FALSE)*m2k))/'TCO Inputs'!$AZ$84</f>
        <v>236.86818205953116</v>
      </c>
      <c r="BX131" s="125">
        <f>BX20/293.07*(1/(VLOOKUP($BL131,'Fuel economy adjusted factor'!$A$2:$L$52,5,FALSE)*m2k))/'TCO Inputs'!$AZ$84</f>
        <v>236.86818205953116</v>
      </c>
      <c r="BY131" s="125">
        <f>BY20/293.07*(1/(VLOOKUP($BL131,'Fuel economy adjusted factor'!$A$2:$L$52,5,FALSE)*m2k))/'TCO Inputs'!$AZ$84</f>
        <v>236.86818205953116</v>
      </c>
      <c r="BZ131" s="125">
        <f>BZ20/293.07*(1/(VLOOKUP($BL131,'Fuel economy adjusted factor'!$A$2:$L$52,5,FALSE)*m2k))/'TCO Inputs'!$AZ$84</f>
        <v>236.86818205953116</v>
      </c>
      <c r="CA131" s="125">
        <f>CA20/293.07*(1/(VLOOKUP($BL131,'Fuel economy adjusted factor'!$A$2:$L$52,5,FALSE)*m2k))/'TCO Inputs'!$AZ$84</f>
        <v>236.86818205953116</v>
      </c>
      <c r="CB131" s="125">
        <f>CB20/293.07*(1/(VLOOKUP($BL131,'Fuel economy adjusted factor'!$A$2:$L$52,5,FALSE)*m2k))/'TCO Inputs'!$AZ$84</f>
        <v>236.86818205953116</v>
      </c>
      <c r="CC131" s="125">
        <f>CC20/293.07*(1/(VLOOKUP($BL131,'Fuel economy adjusted factor'!$A$2:$L$52,5,FALSE)*m2k))/'TCO Inputs'!$AZ$84</f>
        <v>236.86818205953116</v>
      </c>
      <c r="CD131" s="125">
        <f>CD20/293.07*(1/(VLOOKUP($BL131,'Fuel economy adjusted factor'!$A$2:$L$52,5,FALSE)*m2k))/'TCO Inputs'!$AZ$84</f>
        <v>236.86818205953116</v>
      </c>
      <c r="CE131" s="125">
        <f>CE20/293.07*(1/(VLOOKUP($BL131,'Fuel economy adjusted factor'!$A$2:$L$52,5,FALSE)*m2k))/'TCO Inputs'!$AZ$84</f>
        <v>236.86818205953116</v>
      </c>
      <c r="CF131" s="125">
        <f>CF20/293.07*(1/(VLOOKUP($BL131,'Fuel economy adjusted factor'!$A$2:$L$52,5,FALSE)*m2k))/'TCO Inputs'!$AZ$84</f>
        <v>236.86818205953116</v>
      </c>
      <c r="CG131" s="125">
        <f>CG20/293.07*(1/(VLOOKUP($BL131,'Fuel economy adjusted factor'!$A$2:$L$52,5,FALSE)*m2k))/'TCO Inputs'!$AZ$84</f>
        <v>236.86818205953116</v>
      </c>
      <c r="CH131" s="125">
        <f>CH20/293.07*(1/(VLOOKUP($BL131,'Fuel economy adjusted factor'!$A$2:$L$52,5,FALSE)*m2k))/'TCO Inputs'!$AZ$84</f>
        <v>236.86818205953116</v>
      </c>
      <c r="CI131" s="125">
        <f>CI20/293.07*(1/(VLOOKUP($BL131,'Fuel economy adjusted factor'!$A$2:$L$52,5,FALSE)*m2k))/'TCO Inputs'!$AZ$84</f>
        <v>236.86818205953116</v>
      </c>
      <c r="CJ131" s="125">
        <f>CJ20/293.07*(1/(VLOOKUP($BL131,'Fuel economy adjusted factor'!$A$2:$L$52,5,FALSE)*m2k))/'TCO Inputs'!$AZ$84</f>
        <v>236.86818205953116</v>
      </c>
      <c r="CK131" s="125">
        <f>CK20/293.07*(1/(VLOOKUP($BL131,'Fuel economy adjusted factor'!$A$2:$L$52,5,FALSE)*m2k))/'TCO Inputs'!$AZ$84</f>
        <v>236.86818205953116</v>
      </c>
      <c r="CL131" s="125">
        <f>CL20/293.07*(1/(VLOOKUP($BL131,'Fuel economy adjusted factor'!$A$2:$L$52,5,FALSE)*m2k))/'TCO Inputs'!$AZ$84</f>
        <v>236.86818205953116</v>
      </c>
      <c r="CM131" s="125">
        <f>CM20/293.07*(1/(VLOOKUP($BL131,'Fuel economy adjusted factor'!$A$2:$L$52,5,FALSE)*m2k))/'TCO Inputs'!$AZ$84</f>
        <v>236.86818205953116</v>
      </c>
      <c r="CN131" s="125">
        <f>CN20/293.07*(1/(VLOOKUP($BL131,'Fuel economy adjusted factor'!$A$2:$L$52,5,FALSE)*m2k))/'TCO Inputs'!$AZ$84</f>
        <v>236.86818205953116</v>
      </c>
      <c r="CO131" s="98" cm="1">
        <f t="array" ref="CO131">SUMPRODUCT(INDEX(BM131:CN131,,'TCO Inputs'!$AZ$12-2023+_xlfn.SEQUENCE('TCO Inputs'!$AZ$13))*INDEX('VKT US'!C79:AA79,,_xlfn.SEQUENCE('TCO Inputs'!$AZ$13)))*m2k*CONVERT(0.9072,"g","ton")</f>
        <v>81.646209512718258</v>
      </c>
    </row>
    <row r="132" spans="1:93" x14ac:dyDescent="0.25">
      <c r="A132" s="123" t="s">
        <v>200</v>
      </c>
      <c r="B132" s="125">
        <f>B21/293.07*(1/(VLOOKUP($A132,'Fuel economy adjusted factor'!$A$2:$L$52,5,FALSE)*m2k))/'TCO Inputs'!$AZ$84</f>
        <v>137.27096138730806</v>
      </c>
      <c r="C132" s="125">
        <f>C21/293.07*(1/(VLOOKUP($A132,'Fuel economy adjusted factor'!$A$2:$L$52,5,FALSE)*m2k))/'TCO Inputs'!$AZ$84</f>
        <v>137.27096138730806</v>
      </c>
      <c r="D132" s="125">
        <f>D21/293.07*(1/(VLOOKUP($A132,'Fuel economy adjusted factor'!$A$2:$L$52,5,FALSE)*m2k))/'TCO Inputs'!$AZ$84</f>
        <v>137.27096138730806</v>
      </c>
      <c r="E132" s="125">
        <f>E21/293.07*(1/(VLOOKUP($A132,'Fuel economy adjusted factor'!$A$2:$L$52,5,FALSE)*m2k))/'TCO Inputs'!$AZ$84</f>
        <v>137.27096138730806</v>
      </c>
      <c r="F132" s="125">
        <f>F21/293.07*(1/(VLOOKUP($A132,'Fuel economy adjusted factor'!$A$2:$L$52,5,FALSE)*m2k))/'TCO Inputs'!$AZ$84</f>
        <v>137.27096138730806</v>
      </c>
      <c r="G132" s="125">
        <f>G21/293.07*(1/(VLOOKUP($A132,'Fuel economy adjusted factor'!$A$2:$L$52,5,FALSE)*m2k))/'TCO Inputs'!$AZ$84</f>
        <v>137.27096138730806</v>
      </c>
      <c r="H132" s="125">
        <f>H21/293.07*(1/(VLOOKUP($A132,'Fuel economy adjusted factor'!$A$2:$L$52,5,FALSE)*m2k))/'TCO Inputs'!$AZ$84</f>
        <v>137.27096138730806</v>
      </c>
      <c r="I132" s="125">
        <f>I21/293.07*(1/(VLOOKUP($A132,'Fuel economy adjusted factor'!$A$2:$L$52,5,FALSE)*m2k))/'TCO Inputs'!$AZ$84</f>
        <v>137.27096138730806</v>
      </c>
      <c r="J132" s="125">
        <f>J21/293.07*(1/(VLOOKUP($A132,'Fuel economy adjusted factor'!$A$2:$L$52,5,FALSE)*m2k))/'TCO Inputs'!$AZ$84</f>
        <v>137.27096138730806</v>
      </c>
      <c r="K132" s="125">
        <f>K21/293.07*(1/(VLOOKUP($A132,'Fuel economy adjusted factor'!$A$2:$L$52,5,FALSE)*m2k))/'TCO Inputs'!$AZ$84</f>
        <v>137.27096138730806</v>
      </c>
      <c r="L132" s="125">
        <f>L21/293.07*(1/(VLOOKUP($A132,'Fuel economy adjusted factor'!$A$2:$L$52,5,FALSE)*m2k))/'TCO Inputs'!$AZ$84</f>
        <v>137.27096138730806</v>
      </c>
      <c r="M132" s="125">
        <f>M21/293.07*(1/(VLOOKUP($A132,'Fuel economy adjusted factor'!$A$2:$L$52,5,FALSE)*m2k))/'TCO Inputs'!$AZ$84</f>
        <v>137.27096138730806</v>
      </c>
      <c r="N132" s="125">
        <f>N21/293.07*(1/(VLOOKUP($A132,'Fuel economy adjusted factor'!$A$2:$L$52,5,FALSE)*m2k))/'TCO Inputs'!$AZ$84</f>
        <v>137.27096138730806</v>
      </c>
      <c r="O132" s="125">
        <f>O21/293.07*(1/(VLOOKUP($A132,'Fuel economy adjusted factor'!$A$2:$L$52,5,FALSE)*m2k))/'TCO Inputs'!$AZ$84</f>
        <v>137.27096138730806</v>
      </c>
      <c r="P132" s="125">
        <f>P21/293.07*(1/(VLOOKUP($A132,'Fuel economy adjusted factor'!$A$2:$L$52,5,FALSE)*m2k))/'TCO Inputs'!$AZ$84</f>
        <v>137.27096138730806</v>
      </c>
      <c r="Q132" s="125">
        <f>Q21/293.07*(1/(VLOOKUP($A132,'Fuel economy adjusted factor'!$A$2:$L$52,5,FALSE)*m2k))/'TCO Inputs'!$AZ$84</f>
        <v>137.27096138730806</v>
      </c>
      <c r="R132" s="125">
        <f>R21/293.07*(1/(VLOOKUP($A132,'Fuel economy adjusted factor'!$A$2:$L$52,5,FALSE)*m2k))/'TCO Inputs'!$AZ$84</f>
        <v>137.27096138730806</v>
      </c>
      <c r="S132" s="125">
        <f>S21/293.07*(1/(VLOOKUP($A132,'Fuel economy adjusted factor'!$A$2:$L$52,5,FALSE)*m2k))/'TCO Inputs'!$AZ$84</f>
        <v>137.27096138730806</v>
      </c>
      <c r="T132" s="125">
        <f>T21/293.07*(1/(VLOOKUP($A132,'Fuel economy adjusted factor'!$A$2:$L$52,5,FALSE)*m2k))/'TCO Inputs'!$AZ$84</f>
        <v>137.27096138730806</v>
      </c>
      <c r="U132" s="125">
        <f>U21/293.07*(1/(VLOOKUP($A132,'Fuel economy adjusted factor'!$A$2:$L$52,5,FALSE)*m2k))/'TCO Inputs'!$AZ$84</f>
        <v>137.27096138730806</v>
      </c>
      <c r="V132" s="125">
        <f>V21/293.07*(1/(VLOOKUP($A132,'Fuel economy adjusted factor'!$A$2:$L$52,5,FALSE)*m2k))/'TCO Inputs'!$AZ$84</f>
        <v>137.27096138730806</v>
      </c>
      <c r="W132" s="125">
        <f>W21/293.07*(1/(VLOOKUP($A132,'Fuel economy adjusted factor'!$A$2:$L$52,5,FALSE)*m2k))/'TCO Inputs'!$AZ$84</f>
        <v>137.27096138730806</v>
      </c>
      <c r="X132" s="125">
        <f>X21/293.07*(1/(VLOOKUP($A132,'Fuel economy adjusted factor'!$A$2:$L$52,5,FALSE)*m2k))/'TCO Inputs'!$AZ$84</f>
        <v>137.27096138730806</v>
      </c>
      <c r="Y132" s="125">
        <f>Y21/293.07*(1/(VLOOKUP($A132,'Fuel economy adjusted factor'!$A$2:$L$52,5,FALSE)*m2k))/'TCO Inputs'!$AZ$84</f>
        <v>137.27096138730806</v>
      </c>
      <c r="Z132" s="125">
        <f>Z21/293.07*(1/(VLOOKUP($A132,'Fuel economy adjusted factor'!$A$2:$L$52,5,FALSE)*m2k))/'TCO Inputs'!$AZ$84</f>
        <v>137.27096138730806</v>
      </c>
      <c r="AA132" s="125">
        <f>AA21/293.07*(1/(VLOOKUP($A132,'Fuel economy adjusted factor'!$A$2:$L$52,5,FALSE)*m2k))/'TCO Inputs'!$AZ$84</f>
        <v>137.27096138730806</v>
      </c>
      <c r="AB132" s="125">
        <f>AB21/293.07*(1/(VLOOKUP($A132,'Fuel economy adjusted factor'!$A$2:$L$52,5,FALSE)*m2k))/'TCO Inputs'!$AZ$84</f>
        <v>137.27096138730806</v>
      </c>
      <c r="AC132" s="125">
        <f>AC21/293.07*(1/(VLOOKUP($A132,'Fuel economy adjusted factor'!$A$2:$L$52,5,FALSE)*m2k))/'TCO Inputs'!$AZ$84</f>
        <v>137.27096138730806</v>
      </c>
      <c r="AD132" s="98" cm="1">
        <f t="array" ref="AD132">SUMPRODUCT(INDEX(B132:AC132,,'TCO Inputs'!$AZ$12-2023+_xlfn.SEQUENCE('TCO Inputs'!$AZ$13))*INDEX('VKT US'!C80:AA80,,_xlfn.SEQUENCE('TCO Inputs'!$AZ$13)))*m2k*CONVERT(0.9072,"g","ton")</f>
        <v>43.386779419392028</v>
      </c>
      <c r="AF132" s="123" t="s">
        <v>200</v>
      </c>
      <c r="AG132" s="125">
        <f>AG21/293.07*(1/(VLOOKUP($AF132,'Fuel economy adjusted factor'!$A$2:$L$52,5,FALSE)*m2k))/'TCO Inputs'!$AZ$84</f>
        <v>160.89636736323334</v>
      </c>
      <c r="AH132" s="125">
        <f>AH21/293.07*(1/(VLOOKUP($AF132,'Fuel economy adjusted factor'!$A$2:$L$52,5,FALSE)*m2k))/'TCO Inputs'!$AZ$84</f>
        <v>160.89636736323334</v>
      </c>
      <c r="AI132" s="125">
        <f>AI21/293.07*(1/(VLOOKUP($AF132,'Fuel economy adjusted factor'!$A$2:$L$52,5,FALSE)*m2k))/'TCO Inputs'!$AZ$84</f>
        <v>160.89636736323334</v>
      </c>
      <c r="AJ132" s="125">
        <f>AJ21/293.07*(1/(VLOOKUP($AF132,'Fuel economy adjusted factor'!$A$2:$L$52,5,FALSE)*m2k))/'TCO Inputs'!$AZ$84</f>
        <v>160.89636736323334</v>
      </c>
      <c r="AK132" s="125">
        <f>AK21/293.07*(1/(VLOOKUP($AF132,'Fuel economy adjusted factor'!$A$2:$L$52,5,FALSE)*m2k))/'TCO Inputs'!$AZ$84</f>
        <v>160.89636736323334</v>
      </c>
      <c r="AL132" s="125">
        <f>AL21/293.07*(1/(VLOOKUP($AF132,'Fuel economy adjusted factor'!$A$2:$L$52,5,FALSE)*m2k))/'TCO Inputs'!$AZ$84</f>
        <v>160.89636736323334</v>
      </c>
      <c r="AM132" s="125">
        <f>AM21/293.07*(1/(VLOOKUP($AF132,'Fuel economy adjusted factor'!$A$2:$L$52,5,FALSE)*m2k))/'TCO Inputs'!$AZ$84</f>
        <v>160.89636736323334</v>
      </c>
      <c r="AN132" s="125">
        <f>AN21/293.07*(1/(VLOOKUP($AF132,'Fuel economy adjusted factor'!$A$2:$L$52,5,FALSE)*m2k))/'TCO Inputs'!$AZ$84</f>
        <v>160.89636736323334</v>
      </c>
      <c r="AO132" s="125">
        <f>AO21/293.07*(1/(VLOOKUP($AF132,'Fuel economy adjusted factor'!$A$2:$L$52,5,FALSE)*m2k))/'TCO Inputs'!$AZ$84</f>
        <v>160.89636736323334</v>
      </c>
      <c r="AP132" s="125">
        <f>AP21/293.07*(1/(VLOOKUP($AF132,'Fuel economy adjusted factor'!$A$2:$L$52,5,FALSE)*m2k))/'TCO Inputs'!$AZ$84</f>
        <v>160.89636736323334</v>
      </c>
      <c r="AQ132" s="125">
        <f>AQ21/293.07*(1/(VLOOKUP($AF132,'Fuel economy adjusted factor'!$A$2:$L$52,5,FALSE)*m2k))/'TCO Inputs'!$AZ$84</f>
        <v>160.89636736323334</v>
      </c>
      <c r="AR132" s="125">
        <f>AR21/293.07*(1/(VLOOKUP($AF132,'Fuel economy adjusted factor'!$A$2:$L$52,5,FALSE)*m2k))/'TCO Inputs'!$AZ$84</f>
        <v>160.89636736323334</v>
      </c>
      <c r="AS132" s="125">
        <f>AS21/293.07*(1/(VLOOKUP($AF132,'Fuel economy adjusted factor'!$A$2:$L$52,5,FALSE)*m2k))/'TCO Inputs'!$AZ$84</f>
        <v>160.89636736323334</v>
      </c>
      <c r="AT132" s="125">
        <f>AT21/293.07*(1/(VLOOKUP($AF132,'Fuel economy adjusted factor'!$A$2:$L$52,5,FALSE)*m2k))/'TCO Inputs'!$AZ$84</f>
        <v>160.89636736323334</v>
      </c>
      <c r="AU132" s="125">
        <f>AU21/293.07*(1/(VLOOKUP($AF132,'Fuel economy adjusted factor'!$A$2:$L$52,5,FALSE)*m2k))/'TCO Inputs'!$AZ$84</f>
        <v>160.89636736323334</v>
      </c>
      <c r="AV132" s="125">
        <f>AV21/293.07*(1/(VLOOKUP($AF132,'Fuel economy adjusted factor'!$A$2:$L$52,5,FALSE)*m2k))/'TCO Inputs'!$AZ$84</f>
        <v>160.89636736323334</v>
      </c>
      <c r="AW132" s="125">
        <f>AW21/293.07*(1/(VLOOKUP($AF132,'Fuel economy adjusted factor'!$A$2:$L$52,5,FALSE)*m2k))/'TCO Inputs'!$AZ$84</f>
        <v>160.89636736323334</v>
      </c>
      <c r="AX132" s="125">
        <f>AX21/293.07*(1/(VLOOKUP($AF132,'Fuel economy adjusted factor'!$A$2:$L$52,5,FALSE)*m2k))/'TCO Inputs'!$AZ$84</f>
        <v>160.89636736323334</v>
      </c>
      <c r="AY132" s="125">
        <f>AY21/293.07*(1/(VLOOKUP($AF132,'Fuel economy adjusted factor'!$A$2:$L$52,5,FALSE)*m2k))/'TCO Inputs'!$AZ$84</f>
        <v>160.89636736323334</v>
      </c>
      <c r="AZ132" s="125">
        <f>AZ21/293.07*(1/(VLOOKUP($AF132,'Fuel economy adjusted factor'!$A$2:$L$52,5,FALSE)*m2k))/'TCO Inputs'!$AZ$84</f>
        <v>160.89636736323334</v>
      </c>
      <c r="BA132" s="125">
        <f>BA21/293.07*(1/(VLOOKUP($AF132,'Fuel economy adjusted factor'!$A$2:$L$52,5,FALSE)*m2k))/'TCO Inputs'!$AZ$84</f>
        <v>160.89636736323334</v>
      </c>
      <c r="BB132" s="125">
        <f>BB21/293.07*(1/(VLOOKUP($AF132,'Fuel economy adjusted factor'!$A$2:$L$52,5,FALSE)*m2k))/'TCO Inputs'!$AZ$84</f>
        <v>160.89636736323334</v>
      </c>
      <c r="BC132" s="125">
        <f>BC21/293.07*(1/(VLOOKUP($AF132,'Fuel economy adjusted factor'!$A$2:$L$52,5,FALSE)*m2k))/'TCO Inputs'!$AZ$84</f>
        <v>160.89636736323334</v>
      </c>
      <c r="BD132" s="125">
        <f>BD21/293.07*(1/(VLOOKUP($AF132,'Fuel economy adjusted factor'!$A$2:$L$52,5,FALSE)*m2k))/'TCO Inputs'!$AZ$84</f>
        <v>160.89636736323334</v>
      </c>
      <c r="BE132" s="125">
        <f>BE21/293.07*(1/(VLOOKUP($AF132,'Fuel economy adjusted factor'!$A$2:$L$52,5,FALSE)*m2k))/'TCO Inputs'!$AZ$84</f>
        <v>160.89636736323334</v>
      </c>
      <c r="BF132" s="125">
        <f>BF21/293.07*(1/(VLOOKUP($AF132,'Fuel economy adjusted factor'!$A$2:$L$52,5,FALSE)*m2k))/'TCO Inputs'!$AZ$84</f>
        <v>160.89636736323334</v>
      </c>
      <c r="BG132" s="125">
        <f>BG21/293.07*(1/(VLOOKUP($AF132,'Fuel economy adjusted factor'!$A$2:$L$52,5,FALSE)*m2k))/'TCO Inputs'!$AZ$84</f>
        <v>160.89636736323334</v>
      </c>
      <c r="BH132" s="125">
        <f>BH21/293.07*(1/(VLOOKUP($AF132,'Fuel economy adjusted factor'!$A$2:$L$52,5,FALSE)*m2k))/'TCO Inputs'!$AZ$84</f>
        <v>160.89636736323334</v>
      </c>
      <c r="BI132" s="98" cm="1">
        <f t="array" ref="BI132">SUMPRODUCT(INDEX(AG132:BH132,,'TCO Inputs'!$AZ$12-2023+_xlfn.SEQUENCE('TCO Inputs'!$AZ$13))*INDEX('VKT US'!C80:AA80,,_xlfn.SEQUENCE('TCO Inputs'!$AZ$13)))*m2k*CONVERT(0.9072,"g","ton")</f>
        <v>50.853983461760095</v>
      </c>
      <c r="BL132" s="123" t="s">
        <v>200</v>
      </c>
      <c r="BM132" s="125">
        <f>BM21/293.07*(1/(VLOOKUP($BL132,'Fuel economy adjusted factor'!$A$2:$L$52,5,FALSE)*m2k))/'TCO Inputs'!$AZ$84</f>
        <v>119.6126497821927</v>
      </c>
      <c r="BN132" s="125">
        <f>BN21/293.07*(1/(VLOOKUP($BL132,'Fuel economy adjusted factor'!$A$2:$L$52,5,FALSE)*m2k))/'TCO Inputs'!$AZ$84</f>
        <v>119.6126497821927</v>
      </c>
      <c r="BO132" s="125">
        <f>BO21/293.07*(1/(VLOOKUP($BL132,'Fuel economy adjusted factor'!$A$2:$L$52,5,FALSE)*m2k))/'TCO Inputs'!$AZ$84</f>
        <v>119.6126497821927</v>
      </c>
      <c r="BP132" s="125">
        <f>BP21/293.07*(1/(VLOOKUP($BL132,'Fuel economy adjusted factor'!$A$2:$L$52,5,FALSE)*m2k))/'TCO Inputs'!$AZ$84</f>
        <v>119.6126497821927</v>
      </c>
      <c r="BQ132" s="125">
        <f>BQ21/293.07*(1/(VLOOKUP($BL132,'Fuel economy adjusted factor'!$A$2:$L$52,5,FALSE)*m2k))/'TCO Inputs'!$AZ$84</f>
        <v>119.6126497821927</v>
      </c>
      <c r="BR132" s="125">
        <f>BR21/293.07*(1/(VLOOKUP($BL132,'Fuel economy adjusted factor'!$A$2:$L$52,5,FALSE)*m2k))/'TCO Inputs'!$AZ$84</f>
        <v>119.6126497821927</v>
      </c>
      <c r="BS132" s="125">
        <f>BS21/293.07*(1/(VLOOKUP($BL132,'Fuel economy adjusted factor'!$A$2:$L$52,5,FALSE)*m2k))/'TCO Inputs'!$AZ$84</f>
        <v>119.6126497821927</v>
      </c>
      <c r="BT132" s="125">
        <f>BT21/293.07*(1/(VLOOKUP($BL132,'Fuel economy adjusted factor'!$A$2:$L$52,5,FALSE)*m2k))/'TCO Inputs'!$AZ$84</f>
        <v>119.6126497821927</v>
      </c>
      <c r="BU132" s="125">
        <f>BU21/293.07*(1/(VLOOKUP($BL132,'Fuel economy adjusted factor'!$A$2:$L$52,5,FALSE)*m2k))/'TCO Inputs'!$AZ$84</f>
        <v>119.6126497821927</v>
      </c>
      <c r="BV132" s="125">
        <f>BV21/293.07*(1/(VLOOKUP($BL132,'Fuel economy adjusted factor'!$A$2:$L$52,5,FALSE)*m2k))/'TCO Inputs'!$AZ$84</f>
        <v>119.6126497821927</v>
      </c>
      <c r="BW132" s="125">
        <f>BW21/293.07*(1/(VLOOKUP($BL132,'Fuel economy adjusted factor'!$A$2:$L$52,5,FALSE)*m2k))/'TCO Inputs'!$AZ$84</f>
        <v>119.6126497821927</v>
      </c>
      <c r="BX132" s="125">
        <f>BX21/293.07*(1/(VLOOKUP($BL132,'Fuel economy adjusted factor'!$A$2:$L$52,5,FALSE)*m2k))/'TCO Inputs'!$AZ$84</f>
        <v>119.6126497821927</v>
      </c>
      <c r="BY132" s="125">
        <f>BY21/293.07*(1/(VLOOKUP($BL132,'Fuel economy adjusted factor'!$A$2:$L$52,5,FALSE)*m2k))/'TCO Inputs'!$AZ$84</f>
        <v>119.6126497821927</v>
      </c>
      <c r="BZ132" s="125">
        <f>BZ21/293.07*(1/(VLOOKUP($BL132,'Fuel economy adjusted factor'!$A$2:$L$52,5,FALSE)*m2k))/'TCO Inputs'!$AZ$84</f>
        <v>119.6126497821927</v>
      </c>
      <c r="CA132" s="125">
        <f>CA21/293.07*(1/(VLOOKUP($BL132,'Fuel economy adjusted factor'!$A$2:$L$52,5,FALSE)*m2k))/'TCO Inputs'!$AZ$84</f>
        <v>119.6126497821927</v>
      </c>
      <c r="CB132" s="125">
        <f>CB21/293.07*(1/(VLOOKUP($BL132,'Fuel economy adjusted factor'!$A$2:$L$52,5,FALSE)*m2k))/'TCO Inputs'!$AZ$84</f>
        <v>119.6126497821927</v>
      </c>
      <c r="CC132" s="125">
        <f>CC21/293.07*(1/(VLOOKUP($BL132,'Fuel economy adjusted factor'!$A$2:$L$52,5,FALSE)*m2k))/'TCO Inputs'!$AZ$84</f>
        <v>119.6126497821927</v>
      </c>
      <c r="CD132" s="125">
        <f>CD21/293.07*(1/(VLOOKUP($BL132,'Fuel economy adjusted factor'!$A$2:$L$52,5,FALSE)*m2k))/'TCO Inputs'!$AZ$84</f>
        <v>119.6126497821927</v>
      </c>
      <c r="CE132" s="125">
        <f>CE21/293.07*(1/(VLOOKUP($BL132,'Fuel economy adjusted factor'!$A$2:$L$52,5,FALSE)*m2k))/'TCO Inputs'!$AZ$84</f>
        <v>119.6126497821927</v>
      </c>
      <c r="CF132" s="125">
        <f>CF21/293.07*(1/(VLOOKUP($BL132,'Fuel economy adjusted factor'!$A$2:$L$52,5,FALSE)*m2k))/'TCO Inputs'!$AZ$84</f>
        <v>119.6126497821927</v>
      </c>
      <c r="CG132" s="125">
        <f>CG21/293.07*(1/(VLOOKUP($BL132,'Fuel economy adjusted factor'!$A$2:$L$52,5,FALSE)*m2k))/'TCO Inputs'!$AZ$84</f>
        <v>119.6126497821927</v>
      </c>
      <c r="CH132" s="125">
        <f>CH21/293.07*(1/(VLOOKUP($BL132,'Fuel economy adjusted factor'!$A$2:$L$52,5,FALSE)*m2k))/'TCO Inputs'!$AZ$84</f>
        <v>119.6126497821927</v>
      </c>
      <c r="CI132" s="125">
        <f>CI21/293.07*(1/(VLOOKUP($BL132,'Fuel economy adjusted factor'!$A$2:$L$52,5,FALSE)*m2k))/'TCO Inputs'!$AZ$84</f>
        <v>119.6126497821927</v>
      </c>
      <c r="CJ132" s="125">
        <f>CJ21/293.07*(1/(VLOOKUP($BL132,'Fuel economy adjusted factor'!$A$2:$L$52,5,FALSE)*m2k))/'TCO Inputs'!$AZ$84</f>
        <v>119.6126497821927</v>
      </c>
      <c r="CK132" s="125">
        <f>CK21/293.07*(1/(VLOOKUP($BL132,'Fuel economy adjusted factor'!$A$2:$L$52,5,FALSE)*m2k))/'TCO Inputs'!$AZ$84</f>
        <v>119.6126497821927</v>
      </c>
      <c r="CL132" s="125">
        <f>CL21/293.07*(1/(VLOOKUP($BL132,'Fuel economy adjusted factor'!$A$2:$L$52,5,FALSE)*m2k))/'TCO Inputs'!$AZ$84</f>
        <v>119.6126497821927</v>
      </c>
      <c r="CM132" s="125">
        <f>CM21/293.07*(1/(VLOOKUP($BL132,'Fuel economy adjusted factor'!$A$2:$L$52,5,FALSE)*m2k))/'TCO Inputs'!$AZ$84</f>
        <v>119.6126497821927</v>
      </c>
      <c r="CN132" s="125">
        <f>CN21/293.07*(1/(VLOOKUP($BL132,'Fuel economy adjusted factor'!$A$2:$L$52,5,FALSE)*m2k))/'TCO Inputs'!$AZ$84</f>
        <v>119.6126497821927</v>
      </c>
      <c r="CO132" s="98" cm="1">
        <f t="array" ref="CO132">SUMPRODUCT(INDEX(BM132:CN132,,'TCO Inputs'!$AZ$12-2023+_xlfn.SEQUENCE('TCO Inputs'!$AZ$13))*INDEX('VKT US'!C80:AA80,,_xlfn.SEQUENCE('TCO Inputs'!$AZ$13)))*m2k*CONVERT(0.9072,"g","ton")</f>
        <v>37.8055751880879</v>
      </c>
    </row>
    <row r="133" spans="1:93" x14ac:dyDescent="0.25">
      <c r="A133" s="123" t="s">
        <v>203</v>
      </c>
      <c r="B133" s="125">
        <f>B22/293.07*(1/(VLOOKUP($A133,'Fuel economy adjusted factor'!$A$2:$L$52,5,FALSE)*m2k))/'TCO Inputs'!$AZ$84</f>
        <v>63.576442996012048</v>
      </c>
      <c r="C133" s="125">
        <f>C22/293.07*(1/(VLOOKUP($A133,'Fuel economy adjusted factor'!$A$2:$L$52,5,FALSE)*m2k))/'TCO Inputs'!$AZ$84</f>
        <v>63.576442996012048</v>
      </c>
      <c r="D133" s="125">
        <f>D22/293.07*(1/(VLOOKUP($A133,'Fuel economy adjusted factor'!$A$2:$L$52,5,FALSE)*m2k))/'TCO Inputs'!$AZ$84</f>
        <v>63.576442996012048</v>
      </c>
      <c r="E133" s="125">
        <f>E22/293.07*(1/(VLOOKUP($A133,'Fuel economy adjusted factor'!$A$2:$L$52,5,FALSE)*m2k))/'TCO Inputs'!$AZ$84</f>
        <v>63.576442996012048</v>
      </c>
      <c r="F133" s="125">
        <f>F22/293.07*(1/(VLOOKUP($A133,'Fuel economy adjusted factor'!$A$2:$L$52,5,FALSE)*m2k))/'TCO Inputs'!$AZ$84</f>
        <v>63.576442996012048</v>
      </c>
      <c r="G133" s="125">
        <f>G22/293.07*(1/(VLOOKUP($A133,'Fuel economy adjusted factor'!$A$2:$L$52,5,FALSE)*m2k))/'TCO Inputs'!$AZ$84</f>
        <v>63.576442996012048</v>
      </c>
      <c r="H133" s="125">
        <f>H22/293.07*(1/(VLOOKUP($A133,'Fuel economy adjusted factor'!$A$2:$L$52,5,FALSE)*m2k))/'TCO Inputs'!$AZ$84</f>
        <v>63.576442996012048</v>
      </c>
      <c r="I133" s="125">
        <f>I22/293.07*(1/(VLOOKUP($A133,'Fuel economy adjusted factor'!$A$2:$L$52,5,FALSE)*m2k))/'TCO Inputs'!$AZ$84</f>
        <v>63.576442996012048</v>
      </c>
      <c r="J133" s="125">
        <f>J22/293.07*(1/(VLOOKUP($A133,'Fuel economy adjusted factor'!$A$2:$L$52,5,FALSE)*m2k))/'TCO Inputs'!$AZ$84</f>
        <v>63.576442996012048</v>
      </c>
      <c r="K133" s="125">
        <f>K22/293.07*(1/(VLOOKUP($A133,'Fuel economy adjusted factor'!$A$2:$L$52,5,FALSE)*m2k))/'TCO Inputs'!$AZ$84</f>
        <v>63.576442996012048</v>
      </c>
      <c r="L133" s="125">
        <f>L22/293.07*(1/(VLOOKUP($A133,'Fuel economy adjusted factor'!$A$2:$L$52,5,FALSE)*m2k))/'TCO Inputs'!$AZ$84</f>
        <v>63.576442996012048</v>
      </c>
      <c r="M133" s="125">
        <f>M22/293.07*(1/(VLOOKUP($A133,'Fuel economy adjusted factor'!$A$2:$L$52,5,FALSE)*m2k))/'TCO Inputs'!$AZ$84</f>
        <v>63.576442996012048</v>
      </c>
      <c r="N133" s="125">
        <f>N22/293.07*(1/(VLOOKUP($A133,'Fuel economy adjusted factor'!$A$2:$L$52,5,FALSE)*m2k))/'TCO Inputs'!$AZ$84</f>
        <v>63.576442996012048</v>
      </c>
      <c r="O133" s="125">
        <f>O22/293.07*(1/(VLOOKUP($A133,'Fuel economy adjusted factor'!$A$2:$L$52,5,FALSE)*m2k))/'TCO Inputs'!$AZ$84</f>
        <v>63.576442996012048</v>
      </c>
      <c r="P133" s="125">
        <f>P22/293.07*(1/(VLOOKUP($A133,'Fuel economy adjusted factor'!$A$2:$L$52,5,FALSE)*m2k))/'TCO Inputs'!$AZ$84</f>
        <v>63.576442996012048</v>
      </c>
      <c r="Q133" s="125">
        <f>Q22/293.07*(1/(VLOOKUP($A133,'Fuel economy adjusted factor'!$A$2:$L$52,5,FALSE)*m2k))/'TCO Inputs'!$AZ$84</f>
        <v>63.576442996012048</v>
      </c>
      <c r="R133" s="125">
        <f>R22/293.07*(1/(VLOOKUP($A133,'Fuel economy adjusted factor'!$A$2:$L$52,5,FALSE)*m2k))/'TCO Inputs'!$AZ$84</f>
        <v>63.576442996012048</v>
      </c>
      <c r="S133" s="125">
        <f>S22/293.07*(1/(VLOOKUP($A133,'Fuel economy adjusted factor'!$A$2:$L$52,5,FALSE)*m2k))/'TCO Inputs'!$AZ$84</f>
        <v>63.576442996012048</v>
      </c>
      <c r="T133" s="125">
        <f>T22/293.07*(1/(VLOOKUP($A133,'Fuel economy adjusted factor'!$A$2:$L$52,5,FALSE)*m2k))/'TCO Inputs'!$AZ$84</f>
        <v>63.576442996012048</v>
      </c>
      <c r="U133" s="125">
        <f>U22/293.07*(1/(VLOOKUP($A133,'Fuel economy adjusted factor'!$A$2:$L$52,5,FALSE)*m2k))/'TCO Inputs'!$AZ$84</f>
        <v>63.576442996012048</v>
      </c>
      <c r="V133" s="125">
        <f>V22/293.07*(1/(VLOOKUP($A133,'Fuel economy adjusted factor'!$A$2:$L$52,5,FALSE)*m2k))/'TCO Inputs'!$AZ$84</f>
        <v>63.576442996012048</v>
      </c>
      <c r="W133" s="125">
        <f>W22/293.07*(1/(VLOOKUP($A133,'Fuel economy adjusted factor'!$A$2:$L$52,5,FALSE)*m2k))/'TCO Inputs'!$AZ$84</f>
        <v>63.576442996012048</v>
      </c>
      <c r="X133" s="125">
        <f>X22/293.07*(1/(VLOOKUP($A133,'Fuel economy adjusted factor'!$A$2:$L$52,5,FALSE)*m2k))/'TCO Inputs'!$AZ$84</f>
        <v>63.576442996012048</v>
      </c>
      <c r="Y133" s="125">
        <f>Y22/293.07*(1/(VLOOKUP($A133,'Fuel economy adjusted factor'!$A$2:$L$52,5,FALSE)*m2k))/'TCO Inputs'!$AZ$84</f>
        <v>63.576442996012048</v>
      </c>
      <c r="Z133" s="125">
        <f>Z22/293.07*(1/(VLOOKUP($A133,'Fuel economy adjusted factor'!$A$2:$L$52,5,FALSE)*m2k))/'TCO Inputs'!$AZ$84</f>
        <v>63.576442996012048</v>
      </c>
      <c r="AA133" s="125">
        <f>AA22/293.07*(1/(VLOOKUP($A133,'Fuel economy adjusted factor'!$A$2:$L$52,5,FALSE)*m2k))/'TCO Inputs'!$AZ$84</f>
        <v>63.576442996012048</v>
      </c>
      <c r="AB133" s="125">
        <f>AB22/293.07*(1/(VLOOKUP($A133,'Fuel economy adjusted factor'!$A$2:$L$52,5,FALSE)*m2k))/'TCO Inputs'!$AZ$84</f>
        <v>63.576442996012048</v>
      </c>
      <c r="AC133" s="125">
        <f>AC22/293.07*(1/(VLOOKUP($A133,'Fuel economy adjusted factor'!$A$2:$L$52,5,FALSE)*m2k))/'TCO Inputs'!$AZ$84</f>
        <v>63.576442996012048</v>
      </c>
      <c r="AD133" s="98" cm="1">
        <f t="array" ref="AD133">SUMPRODUCT(INDEX(B133:AC133,,'TCO Inputs'!$AZ$12-2023+_xlfn.SEQUENCE('TCO Inputs'!$AZ$13))*INDEX('VKT US'!C81:AA81,,_xlfn.SEQUENCE('TCO Inputs'!$AZ$13)))*m2k*CONVERT(0.9072,"g","ton")</f>
        <v>19.105199948747387</v>
      </c>
      <c r="AF133" s="123" t="s">
        <v>203</v>
      </c>
      <c r="AG133" s="125">
        <f>AG22/293.07*(1/(VLOOKUP($AF133,'Fuel economy adjusted factor'!$A$2:$L$52,5,FALSE)*m2k))/'TCO Inputs'!$AZ$84</f>
        <v>74.518446032241471</v>
      </c>
      <c r="AH133" s="125">
        <f>AH22/293.07*(1/(VLOOKUP($AF133,'Fuel economy adjusted factor'!$A$2:$L$52,5,FALSE)*m2k))/'TCO Inputs'!$AZ$84</f>
        <v>74.518446032241471</v>
      </c>
      <c r="AI133" s="125">
        <f>AI22/293.07*(1/(VLOOKUP($AF133,'Fuel economy adjusted factor'!$A$2:$L$52,5,FALSE)*m2k))/'TCO Inputs'!$AZ$84</f>
        <v>74.518446032241471</v>
      </c>
      <c r="AJ133" s="125">
        <f>AJ22/293.07*(1/(VLOOKUP($AF133,'Fuel economy adjusted factor'!$A$2:$L$52,5,FALSE)*m2k))/'TCO Inputs'!$AZ$84</f>
        <v>74.518446032241471</v>
      </c>
      <c r="AK133" s="125">
        <f>AK22/293.07*(1/(VLOOKUP($AF133,'Fuel economy adjusted factor'!$A$2:$L$52,5,FALSE)*m2k))/'TCO Inputs'!$AZ$84</f>
        <v>74.518446032241471</v>
      </c>
      <c r="AL133" s="125">
        <f>AL22/293.07*(1/(VLOOKUP($AF133,'Fuel economy adjusted factor'!$A$2:$L$52,5,FALSE)*m2k))/'TCO Inputs'!$AZ$84</f>
        <v>74.518446032241471</v>
      </c>
      <c r="AM133" s="125">
        <f>AM22/293.07*(1/(VLOOKUP($AF133,'Fuel economy adjusted factor'!$A$2:$L$52,5,FALSE)*m2k))/'TCO Inputs'!$AZ$84</f>
        <v>74.518446032241471</v>
      </c>
      <c r="AN133" s="125">
        <f>AN22/293.07*(1/(VLOOKUP($AF133,'Fuel economy adjusted factor'!$A$2:$L$52,5,FALSE)*m2k))/'TCO Inputs'!$AZ$84</f>
        <v>74.518446032241471</v>
      </c>
      <c r="AO133" s="125">
        <f>AO22/293.07*(1/(VLOOKUP($AF133,'Fuel economy adjusted factor'!$A$2:$L$52,5,FALSE)*m2k))/'TCO Inputs'!$AZ$84</f>
        <v>74.518446032241471</v>
      </c>
      <c r="AP133" s="125">
        <f>AP22/293.07*(1/(VLOOKUP($AF133,'Fuel economy adjusted factor'!$A$2:$L$52,5,FALSE)*m2k))/'TCO Inputs'!$AZ$84</f>
        <v>74.518446032241471</v>
      </c>
      <c r="AQ133" s="125">
        <f>AQ22/293.07*(1/(VLOOKUP($AF133,'Fuel economy adjusted factor'!$A$2:$L$52,5,FALSE)*m2k))/'TCO Inputs'!$AZ$84</f>
        <v>74.518446032241471</v>
      </c>
      <c r="AR133" s="125">
        <f>AR22/293.07*(1/(VLOOKUP($AF133,'Fuel economy adjusted factor'!$A$2:$L$52,5,FALSE)*m2k))/'TCO Inputs'!$AZ$84</f>
        <v>74.518446032241471</v>
      </c>
      <c r="AS133" s="125">
        <f>AS22/293.07*(1/(VLOOKUP($AF133,'Fuel economy adjusted factor'!$A$2:$L$52,5,FALSE)*m2k))/'TCO Inputs'!$AZ$84</f>
        <v>74.518446032241471</v>
      </c>
      <c r="AT133" s="125">
        <f>AT22/293.07*(1/(VLOOKUP($AF133,'Fuel economy adjusted factor'!$A$2:$L$52,5,FALSE)*m2k))/'TCO Inputs'!$AZ$84</f>
        <v>74.518446032241471</v>
      </c>
      <c r="AU133" s="125">
        <f>AU22/293.07*(1/(VLOOKUP($AF133,'Fuel economy adjusted factor'!$A$2:$L$52,5,FALSE)*m2k))/'TCO Inputs'!$AZ$84</f>
        <v>74.518446032241471</v>
      </c>
      <c r="AV133" s="125">
        <f>AV22/293.07*(1/(VLOOKUP($AF133,'Fuel economy adjusted factor'!$A$2:$L$52,5,FALSE)*m2k))/'TCO Inputs'!$AZ$84</f>
        <v>74.518446032241471</v>
      </c>
      <c r="AW133" s="125">
        <f>AW22/293.07*(1/(VLOOKUP($AF133,'Fuel economy adjusted factor'!$A$2:$L$52,5,FALSE)*m2k))/'TCO Inputs'!$AZ$84</f>
        <v>74.518446032241471</v>
      </c>
      <c r="AX133" s="125">
        <f>AX22/293.07*(1/(VLOOKUP($AF133,'Fuel economy adjusted factor'!$A$2:$L$52,5,FALSE)*m2k))/'TCO Inputs'!$AZ$84</f>
        <v>74.518446032241471</v>
      </c>
      <c r="AY133" s="125">
        <f>AY22/293.07*(1/(VLOOKUP($AF133,'Fuel economy adjusted factor'!$A$2:$L$52,5,FALSE)*m2k))/'TCO Inputs'!$AZ$84</f>
        <v>74.518446032241471</v>
      </c>
      <c r="AZ133" s="125">
        <f>AZ22/293.07*(1/(VLOOKUP($AF133,'Fuel economy adjusted factor'!$A$2:$L$52,5,FALSE)*m2k))/'TCO Inputs'!$AZ$84</f>
        <v>74.518446032241471</v>
      </c>
      <c r="BA133" s="125">
        <f>BA22/293.07*(1/(VLOOKUP($AF133,'Fuel economy adjusted factor'!$A$2:$L$52,5,FALSE)*m2k))/'TCO Inputs'!$AZ$84</f>
        <v>74.518446032241471</v>
      </c>
      <c r="BB133" s="125">
        <f>BB22/293.07*(1/(VLOOKUP($AF133,'Fuel economy adjusted factor'!$A$2:$L$52,5,FALSE)*m2k))/'TCO Inputs'!$AZ$84</f>
        <v>74.518446032241471</v>
      </c>
      <c r="BC133" s="125">
        <f>BC22/293.07*(1/(VLOOKUP($AF133,'Fuel economy adjusted factor'!$A$2:$L$52,5,FALSE)*m2k))/'TCO Inputs'!$AZ$84</f>
        <v>74.518446032241471</v>
      </c>
      <c r="BD133" s="125">
        <f>BD22/293.07*(1/(VLOOKUP($AF133,'Fuel economy adjusted factor'!$A$2:$L$52,5,FALSE)*m2k))/'TCO Inputs'!$AZ$84</f>
        <v>74.518446032241471</v>
      </c>
      <c r="BE133" s="125">
        <f>BE22/293.07*(1/(VLOOKUP($AF133,'Fuel economy adjusted factor'!$A$2:$L$52,5,FALSE)*m2k))/'TCO Inputs'!$AZ$84</f>
        <v>74.518446032241471</v>
      </c>
      <c r="BF133" s="125">
        <f>BF22/293.07*(1/(VLOOKUP($AF133,'Fuel economy adjusted factor'!$A$2:$L$52,5,FALSE)*m2k))/'TCO Inputs'!$AZ$84</f>
        <v>74.518446032241471</v>
      </c>
      <c r="BG133" s="125">
        <f>BG22/293.07*(1/(VLOOKUP($AF133,'Fuel economy adjusted factor'!$A$2:$L$52,5,FALSE)*m2k))/'TCO Inputs'!$AZ$84</f>
        <v>74.518446032241471</v>
      </c>
      <c r="BH133" s="125">
        <f>BH22/293.07*(1/(VLOOKUP($AF133,'Fuel economy adjusted factor'!$A$2:$L$52,5,FALSE)*m2k))/'TCO Inputs'!$AZ$84</f>
        <v>74.518446032241471</v>
      </c>
      <c r="BI133" s="98" cm="1">
        <f t="array" ref="BI133">SUMPRODUCT(INDEX(AG133:BH133,,'TCO Inputs'!$AZ$12-2023+_xlfn.SEQUENCE('TCO Inputs'!$AZ$13))*INDEX('VKT US'!C81:AA81,,_xlfn.SEQUENCE('TCO Inputs'!$AZ$13)))*m2k*CONVERT(0.9072,"g","ton")</f>
        <v>22.393354271254498</v>
      </c>
      <c r="BL133" s="123" t="s">
        <v>203</v>
      </c>
      <c r="BM133" s="125">
        <f>BM22/293.07*(1/(VLOOKUP($BL133,'Fuel economy adjusted factor'!$A$2:$L$52,5,FALSE)*m2k))/'TCO Inputs'!$AZ$84</f>
        <v>55.398073515515108</v>
      </c>
      <c r="BN133" s="125">
        <f>BN22/293.07*(1/(VLOOKUP($BL133,'Fuel economy adjusted factor'!$A$2:$L$52,5,FALSE)*m2k))/'TCO Inputs'!$AZ$84</f>
        <v>55.398073515515108</v>
      </c>
      <c r="BO133" s="125">
        <f>BO22/293.07*(1/(VLOOKUP($BL133,'Fuel economy adjusted factor'!$A$2:$L$52,5,FALSE)*m2k))/'TCO Inputs'!$AZ$84</f>
        <v>55.398073515515108</v>
      </c>
      <c r="BP133" s="125">
        <f>BP22/293.07*(1/(VLOOKUP($BL133,'Fuel economy adjusted factor'!$A$2:$L$52,5,FALSE)*m2k))/'TCO Inputs'!$AZ$84</f>
        <v>55.398073515515108</v>
      </c>
      <c r="BQ133" s="125">
        <f>BQ22/293.07*(1/(VLOOKUP($BL133,'Fuel economy adjusted factor'!$A$2:$L$52,5,FALSE)*m2k))/'TCO Inputs'!$AZ$84</f>
        <v>55.398073515515108</v>
      </c>
      <c r="BR133" s="125">
        <f>BR22/293.07*(1/(VLOOKUP($BL133,'Fuel economy adjusted factor'!$A$2:$L$52,5,FALSE)*m2k))/'TCO Inputs'!$AZ$84</f>
        <v>55.398073515515108</v>
      </c>
      <c r="BS133" s="125">
        <f>BS22/293.07*(1/(VLOOKUP($BL133,'Fuel economy adjusted factor'!$A$2:$L$52,5,FALSE)*m2k))/'TCO Inputs'!$AZ$84</f>
        <v>55.398073515515108</v>
      </c>
      <c r="BT133" s="125">
        <f>BT22/293.07*(1/(VLOOKUP($BL133,'Fuel economy adjusted factor'!$A$2:$L$52,5,FALSE)*m2k))/'TCO Inputs'!$AZ$84</f>
        <v>55.398073515515108</v>
      </c>
      <c r="BU133" s="125">
        <f>BU22/293.07*(1/(VLOOKUP($BL133,'Fuel economy adjusted factor'!$A$2:$L$52,5,FALSE)*m2k))/'TCO Inputs'!$AZ$84</f>
        <v>55.398073515515108</v>
      </c>
      <c r="BV133" s="125">
        <f>BV22/293.07*(1/(VLOOKUP($BL133,'Fuel economy adjusted factor'!$A$2:$L$52,5,FALSE)*m2k))/'TCO Inputs'!$AZ$84</f>
        <v>55.398073515515108</v>
      </c>
      <c r="BW133" s="125">
        <f>BW22/293.07*(1/(VLOOKUP($BL133,'Fuel economy adjusted factor'!$A$2:$L$52,5,FALSE)*m2k))/'TCO Inputs'!$AZ$84</f>
        <v>55.398073515515108</v>
      </c>
      <c r="BX133" s="125">
        <f>BX22/293.07*(1/(VLOOKUP($BL133,'Fuel economy adjusted factor'!$A$2:$L$52,5,FALSE)*m2k))/'TCO Inputs'!$AZ$84</f>
        <v>55.398073515515108</v>
      </c>
      <c r="BY133" s="125">
        <f>BY22/293.07*(1/(VLOOKUP($BL133,'Fuel economy adjusted factor'!$A$2:$L$52,5,FALSE)*m2k))/'TCO Inputs'!$AZ$84</f>
        <v>55.398073515515108</v>
      </c>
      <c r="BZ133" s="125">
        <f>BZ22/293.07*(1/(VLOOKUP($BL133,'Fuel economy adjusted factor'!$A$2:$L$52,5,FALSE)*m2k))/'TCO Inputs'!$AZ$84</f>
        <v>55.398073515515108</v>
      </c>
      <c r="CA133" s="125">
        <f>CA22/293.07*(1/(VLOOKUP($BL133,'Fuel economy adjusted factor'!$A$2:$L$52,5,FALSE)*m2k))/'TCO Inputs'!$AZ$84</f>
        <v>55.398073515515108</v>
      </c>
      <c r="CB133" s="125">
        <f>CB22/293.07*(1/(VLOOKUP($BL133,'Fuel economy adjusted factor'!$A$2:$L$52,5,FALSE)*m2k))/'TCO Inputs'!$AZ$84</f>
        <v>55.398073515515108</v>
      </c>
      <c r="CC133" s="125">
        <f>CC22/293.07*(1/(VLOOKUP($BL133,'Fuel economy adjusted factor'!$A$2:$L$52,5,FALSE)*m2k))/'TCO Inputs'!$AZ$84</f>
        <v>55.398073515515108</v>
      </c>
      <c r="CD133" s="125">
        <f>CD22/293.07*(1/(VLOOKUP($BL133,'Fuel economy adjusted factor'!$A$2:$L$52,5,FALSE)*m2k))/'TCO Inputs'!$AZ$84</f>
        <v>55.398073515515108</v>
      </c>
      <c r="CE133" s="125">
        <f>CE22/293.07*(1/(VLOOKUP($BL133,'Fuel economy adjusted factor'!$A$2:$L$52,5,FALSE)*m2k))/'TCO Inputs'!$AZ$84</f>
        <v>55.398073515515108</v>
      </c>
      <c r="CF133" s="125">
        <f>CF22/293.07*(1/(VLOOKUP($BL133,'Fuel economy adjusted factor'!$A$2:$L$52,5,FALSE)*m2k))/'TCO Inputs'!$AZ$84</f>
        <v>55.398073515515108</v>
      </c>
      <c r="CG133" s="125">
        <f>CG22/293.07*(1/(VLOOKUP($BL133,'Fuel economy adjusted factor'!$A$2:$L$52,5,FALSE)*m2k))/'TCO Inputs'!$AZ$84</f>
        <v>55.398073515515108</v>
      </c>
      <c r="CH133" s="125">
        <f>CH22/293.07*(1/(VLOOKUP($BL133,'Fuel economy adjusted factor'!$A$2:$L$52,5,FALSE)*m2k))/'TCO Inputs'!$AZ$84</f>
        <v>55.398073515515108</v>
      </c>
      <c r="CI133" s="125">
        <f>CI22/293.07*(1/(VLOOKUP($BL133,'Fuel economy adjusted factor'!$A$2:$L$52,5,FALSE)*m2k))/'TCO Inputs'!$AZ$84</f>
        <v>55.398073515515108</v>
      </c>
      <c r="CJ133" s="125">
        <f>CJ22/293.07*(1/(VLOOKUP($BL133,'Fuel economy adjusted factor'!$A$2:$L$52,5,FALSE)*m2k))/'TCO Inputs'!$AZ$84</f>
        <v>55.398073515515108</v>
      </c>
      <c r="CK133" s="125">
        <f>CK22/293.07*(1/(VLOOKUP($BL133,'Fuel economy adjusted factor'!$A$2:$L$52,5,FALSE)*m2k))/'TCO Inputs'!$AZ$84</f>
        <v>55.398073515515108</v>
      </c>
      <c r="CL133" s="125">
        <f>CL22/293.07*(1/(VLOOKUP($BL133,'Fuel economy adjusted factor'!$A$2:$L$52,5,FALSE)*m2k))/'TCO Inputs'!$AZ$84</f>
        <v>55.398073515515108</v>
      </c>
      <c r="CM133" s="125">
        <f>CM22/293.07*(1/(VLOOKUP($BL133,'Fuel economy adjusted factor'!$A$2:$L$52,5,FALSE)*m2k))/'TCO Inputs'!$AZ$84</f>
        <v>55.398073515515108</v>
      </c>
      <c r="CN133" s="125">
        <f>CN22/293.07*(1/(VLOOKUP($BL133,'Fuel economy adjusted factor'!$A$2:$L$52,5,FALSE)*m2k))/'TCO Inputs'!$AZ$84</f>
        <v>55.398073515515108</v>
      </c>
      <c r="CO133" s="98" cm="1">
        <f t="array" ref="CO133">SUMPRODUCT(INDEX(BM133:CN133,,'TCO Inputs'!$AZ$12-2023+_xlfn.SEQUENCE('TCO Inputs'!$AZ$13))*INDEX('VKT US'!C81:AA81,,_xlfn.SEQUENCE('TCO Inputs'!$AZ$13)))*m2k*CONVERT(0.9072,"g","ton")</f>
        <v>16.647538324151178</v>
      </c>
    </row>
    <row r="134" spans="1:93" x14ac:dyDescent="0.25">
      <c r="A134" s="123" t="s">
        <v>202</v>
      </c>
      <c r="B134" s="125">
        <f>B23/293.07*(1/(VLOOKUP($A134,'Fuel economy adjusted factor'!$A$2:$L$52,5,FALSE)*m2k))/'TCO Inputs'!$AZ$84</f>
        <v>86.830556730403472</v>
      </c>
      <c r="C134" s="125">
        <f>C23/293.07*(1/(VLOOKUP($A134,'Fuel economy adjusted factor'!$A$2:$L$52,5,FALSE)*m2k))/'TCO Inputs'!$AZ$84</f>
        <v>86.830556730403472</v>
      </c>
      <c r="D134" s="125">
        <f>D23/293.07*(1/(VLOOKUP($A134,'Fuel economy adjusted factor'!$A$2:$L$52,5,FALSE)*m2k))/'TCO Inputs'!$AZ$84</f>
        <v>86.830556730403472</v>
      </c>
      <c r="E134" s="125">
        <f>E23/293.07*(1/(VLOOKUP($A134,'Fuel economy adjusted factor'!$A$2:$L$52,5,FALSE)*m2k))/'TCO Inputs'!$AZ$84</f>
        <v>86.830556730403472</v>
      </c>
      <c r="F134" s="125">
        <f>F23/293.07*(1/(VLOOKUP($A134,'Fuel economy adjusted factor'!$A$2:$L$52,5,FALSE)*m2k))/'TCO Inputs'!$AZ$84</f>
        <v>86.830556730403472</v>
      </c>
      <c r="G134" s="125">
        <f>G23/293.07*(1/(VLOOKUP($A134,'Fuel economy adjusted factor'!$A$2:$L$52,5,FALSE)*m2k))/'TCO Inputs'!$AZ$84</f>
        <v>86.830556730403472</v>
      </c>
      <c r="H134" s="125">
        <f>H23/293.07*(1/(VLOOKUP($A134,'Fuel economy adjusted factor'!$A$2:$L$52,5,FALSE)*m2k))/'TCO Inputs'!$AZ$84</f>
        <v>86.830556730403472</v>
      </c>
      <c r="I134" s="125">
        <f>I23/293.07*(1/(VLOOKUP($A134,'Fuel economy adjusted factor'!$A$2:$L$52,5,FALSE)*m2k))/'TCO Inputs'!$AZ$84</f>
        <v>86.830556730403472</v>
      </c>
      <c r="J134" s="125">
        <f>J23/293.07*(1/(VLOOKUP($A134,'Fuel economy adjusted factor'!$A$2:$L$52,5,FALSE)*m2k))/'TCO Inputs'!$AZ$84</f>
        <v>86.830556730403472</v>
      </c>
      <c r="K134" s="125">
        <f>K23/293.07*(1/(VLOOKUP($A134,'Fuel economy adjusted factor'!$A$2:$L$52,5,FALSE)*m2k))/'TCO Inputs'!$AZ$84</f>
        <v>86.830556730403472</v>
      </c>
      <c r="L134" s="125">
        <f>L23/293.07*(1/(VLOOKUP($A134,'Fuel economy adjusted factor'!$A$2:$L$52,5,FALSE)*m2k))/'TCO Inputs'!$AZ$84</f>
        <v>86.830556730403472</v>
      </c>
      <c r="M134" s="125">
        <f>M23/293.07*(1/(VLOOKUP($A134,'Fuel economy adjusted factor'!$A$2:$L$52,5,FALSE)*m2k))/'TCO Inputs'!$AZ$84</f>
        <v>86.830556730403472</v>
      </c>
      <c r="N134" s="125">
        <f>N23/293.07*(1/(VLOOKUP($A134,'Fuel economy adjusted factor'!$A$2:$L$52,5,FALSE)*m2k))/'TCO Inputs'!$AZ$84</f>
        <v>86.830556730403472</v>
      </c>
      <c r="O134" s="125">
        <f>O23/293.07*(1/(VLOOKUP($A134,'Fuel economy adjusted factor'!$A$2:$L$52,5,FALSE)*m2k))/'TCO Inputs'!$AZ$84</f>
        <v>86.830556730403472</v>
      </c>
      <c r="P134" s="125">
        <f>P23/293.07*(1/(VLOOKUP($A134,'Fuel economy adjusted factor'!$A$2:$L$52,5,FALSE)*m2k))/'TCO Inputs'!$AZ$84</f>
        <v>86.830556730403472</v>
      </c>
      <c r="Q134" s="125">
        <f>Q23/293.07*(1/(VLOOKUP($A134,'Fuel economy adjusted factor'!$A$2:$L$52,5,FALSE)*m2k))/'TCO Inputs'!$AZ$84</f>
        <v>86.830556730403472</v>
      </c>
      <c r="R134" s="125">
        <f>R23/293.07*(1/(VLOOKUP($A134,'Fuel economy adjusted factor'!$A$2:$L$52,5,FALSE)*m2k))/'TCO Inputs'!$AZ$84</f>
        <v>86.830556730403472</v>
      </c>
      <c r="S134" s="125">
        <f>S23/293.07*(1/(VLOOKUP($A134,'Fuel economy adjusted factor'!$A$2:$L$52,5,FALSE)*m2k))/'TCO Inputs'!$AZ$84</f>
        <v>86.830556730403472</v>
      </c>
      <c r="T134" s="125">
        <f>T23/293.07*(1/(VLOOKUP($A134,'Fuel economy adjusted factor'!$A$2:$L$52,5,FALSE)*m2k))/'TCO Inputs'!$AZ$84</f>
        <v>86.830556730403472</v>
      </c>
      <c r="U134" s="125">
        <f>U23/293.07*(1/(VLOOKUP($A134,'Fuel economy adjusted factor'!$A$2:$L$52,5,FALSE)*m2k))/'TCO Inputs'!$AZ$84</f>
        <v>86.830556730403472</v>
      </c>
      <c r="V134" s="125">
        <f>V23/293.07*(1/(VLOOKUP($A134,'Fuel economy adjusted factor'!$A$2:$L$52,5,FALSE)*m2k))/'TCO Inputs'!$AZ$84</f>
        <v>86.830556730403472</v>
      </c>
      <c r="W134" s="125">
        <f>W23/293.07*(1/(VLOOKUP($A134,'Fuel economy adjusted factor'!$A$2:$L$52,5,FALSE)*m2k))/'TCO Inputs'!$AZ$84</f>
        <v>86.830556730403472</v>
      </c>
      <c r="X134" s="125">
        <f>X23/293.07*(1/(VLOOKUP($A134,'Fuel economy adjusted factor'!$A$2:$L$52,5,FALSE)*m2k))/'TCO Inputs'!$AZ$84</f>
        <v>86.830556730403472</v>
      </c>
      <c r="Y134" s="125">
        <f>Y23/293.07*(1/(VLOOKUP($A134,'Fuel economy adjusted factor'!$A$2:$L$52,5,FALSE)*m2k))/'TCO Inputs'!$AZ$84</f>
        <v>86.830556730403472</v>
      </c>
      <c r="Z134" s="125">
        <f>Z23/293.07*(1/(VLOOKUP($A134,'Fuel economy adjusted factor'!$A$2:$L$52,5,FALSE)*m2k))/'TCO Inputs'!$AZ$84</f>
        <v>86.830556730403472</v>
      </c>
      <c r="AA134" s="125">
        <f>AA23/293.07*(1/(VLOOKUP($A134,'Fuel economy adjusted factor'!$A$2:$L$52,5,FALSE)*m2k))/'TCO Inputs'!$AZ$84</f>
        <v>86.830556730403472</v>
      </c>
      <c r="AB134" s="125">
        <f>AB23/293.07*(1/(VLOOKUP($A134,'Fuel economy adjusted factor'!$A$2:$L$52,5,FALSE)*m2k))/'TCO Inputs'!$AZ$84</f>
        <v>86.830556730403472</v>
      </c>
      <c r="AC134" s="125">
        <f>AC23/293.07*(1/(VLOOKUP($A134,'Fuel economy adjusted factor'!$A$2:$L$52,5,FALSE)*m2k))/'TCO Inputs'!$AZ$84</f>
        <v>86.830556730403472</v>
      </c>
      <c r="AD134" s="98" cm="1">
        <f t="array" ref="AD134">SUMPRODUCT(INDEX(B134:AC134,,'TCO Inputs'!$AZ$12-2023+_xlfn.SEQUENCE('TCO Inputs'!$AZ$13))*INDEX('VKT US'!C82:AA82,,_xlfn.SEQUENCE('TCO Inputs'!$AZ$13)))*m2k*CONVERT(0.9072,"g","ton")</f>
        <v>24.76241696921781</v>
      </c>
      <c r="AF134" s="123" t="s">
        <v>202</v>
      </c>
      <c r="AG134" s="125">
        <f>AG23/293.07*(1/(VLOOKUP($AF134,'Fuel economy adjusted factor'!$A$2:$L$52,5,FALSE)*m2k))/'TCO Inputs'!$AZ$84</f>
        <v>101.77477459803666</v>
      </c>
      <c r="AH134" s="125">
        <f>AH23/293.07*(1/(VLOOKUP($AF134,'Fuel economy adjusted factor'!$A$2:$L$52,5,FALSE)*m2k))/'TCO Inputs'!$AZ$84</f>
        <v>101.77477459803666</v>
      </c>
      <c r="AI134" s="125">
        <f>AI23/293.07*(1/(VLOOKUP($AF134,'Fuel economy adjusted factor'!$A$2:$L$52,5,FALSE)*m2k))/'TCO Inputs'!$AZ$84</f>
        <v>101.77477459803666</v>
      </c>
      <c r="AJ134" s="125">
        <f>AJ23/293.07*(1/(VLOOKUP($AF134,'Fuel economy adjusted factor'!$A$2:$L$52,5,FALSE)*m2k))/'TCO Inputs'!$AZ$84</f>
        <v>101.77477459803666</v>
      </c>
      <c r="AK134" s="125">
        <f>AK23/293.07*(1/(VLOOKUP($AF134,'Fuel economy adjusted factor'!$A$2:$L$52,5,FALSE)*m2k))/'TCO Inputs'!$AZ$84</f>
        <v>101.77477459803666</v>
      </c>
      <c r="AL134" s="125">
        <f>AL23/293.07*(1/(VLOOKUP($AF134,'Fuel economy adjusted factor'!$A$2:$L$52,5,FALSE)*m2k))/'TCO Inputs'!$AZ$84</f>
        <v>101.77477459803666</v>
      </c>
      <c r="AM134" s="125">
        <f>AM23/293.07*(1/(VLOOKUP($AF134,'Fuel economy adjusted factor'!$A$2:$L$52,5,FALSE)*m2k))/'TCO Inputs'!$AZ$84</f>
        <v>101.77477459803666</v>
      </c>
      <c r="AN134" s="125">
        <f>AN23/293.07*(1/(VLOOKUP($AF134,'Fuel economy adjusted factor'!$A$2:$L$52,5,FALSE)*m2k))/'TCO Inputs'!$AZ$84</f>
        <v>101.77477459803666</v>
      </c>
      <c r="AO134" s="125">
        <f>AO23/293.07*(1/(VLOOKUP($AF134,'Fuel economy adjusted factor'!$A$2:$L$52,5,FALSE)*m2k))/'TCO Inputs'!$AZ$84</f>
        <v>101.77477459803666</v>
      </c>
      <c r="AP134" s="125">
        <f>AP23/293.07*(1/(VLOOKUP($AF134,'Fuel economy adjusted factor'!$A$2:$L$52,5,FALSE)*m2k))/'TCO Inputs'!$AZ$84</f>
        <v>101.77477459803666</v>
      </c>
      <c r="AQ134" s="125">
        <f>AQ23/293.07*(1/(VLOOKUP($AF134,'Fuel economy adjusted factor'!$A$2:$L$52,5,FALSE)*m2k))/'TCO Inputs'!$AZ$84</f>
        <v>101.77477459803666</v>
      </c>
      <c r="AR134" s="125">
        <f>AR23/293.07*(1/(VLOOKUP($AF134,'Fuel economy adjusted factor'!$A$2:$L$52,5,FALSE)*m2k))/'TCO Inputs'!$AZ$84</f>
        <v>101.77477459803666</v>
      </c>
      <c r="AS134" s="125">
        <f>AS23/293.07*(1/(VLOOKUP($AF134,'Fuel economy adjusted factor'!$A$2:$L$52,5,FALSE)*m2k))/'TCO Inputs'!$AZ$84</f>
        <v>101.77477459803666</v>
      </c>
      <c r="AT134" s="125">
        <f>AT23/293.07*(1/(VLOOKUP($AF134,'Fuel economy adjusted factor'!$A$2:$L$52,5,FALSE)*m2k))/'TCO Inputs'!$AZ$84</f>
        <v>101.77477459803666</v>
      </c>
      <c r="AU134" s="125">
        <f>AU23/293.07*(1/(VLOOKUP($AF134,'Fuel economy adjusted factor'!$A$2:$L$52,5,FALSE)*m2k))/'TCO Inputs'!$AZ$84</f>
        <v>101.77477459803666</v>
      </c>
      <c r="AV134" s="125">
        <f>AV23/293.07*(1/(VLOOKUP($AF134,'Fuel economy adjusted factor'!$A$2:$L$52,5,FALSE)*m2k))/'TCO Inputs'!$AZ$84</f>
        <v>101.77477459803666</v>
      </c>
      <c r="AW134" s="125">
        <f>AW23/293.07*(1/(VLOOKUP($AF134,'Fuel economy adjusted factor'!$A$2:$L$52,5,FALSE)*m2k))/'TCO Inputs'!$AZ$84</f>
        <v>101.77477459803666</v>
      </c>
      <c r="AX134" s="125">
        <f>AX23/293.07*(1/(VLOOKUP($AF134,'Fuel economy adjusted factor'!$A$2:$L$52,5,FALSE)*m2k))/'TCO Inputs'!$AZ$84</f>
        <v>101.77477459803666</v>
      </c>
      <c r="AY134" s="125">
        <f>AY23/293.07*(1/(VLOOKUP($AF134,'Fuel economy adjusted factor'!$A$2:$L$52,5,FALSE)*m2k))/'TCO Inputs'!$AZ$84</f>
        <v>101.77477459803666</v>
      </c>
      <c r="AZ134" s="125">
        <f>AZ23/293.07*(1/(VLOOKUP($AF134,'Fuel economy adjusted factor'!$A$2:$L$52,5,FALSE)*m2k))/'TCO Inputs'!$AZ$84</f>
        <v>101.77477459803666</v>
      </c>
      <c r="BA134" s="125">
        <f>BA23/293.07*(1/(VLOOKUP($AF134,'Fuel economy adjusted factor'!$A$2:$L$52,5,FALSE)*m2k))/'TCO Inputs'!$AZ$84</f>
        <v>101.77477459803666</v>
      </c>
      <c r="BB134" s="125">
        <f>BB23/293.07*(1/(VLOOKUP($AF134,'Fuel economy adjusted factor'!$A$2:$L$52,5,FALSE)*m2k))/'TCO Inputs'!$AZ$84</f>
        <v>101.77477459803666</v>
      </c>
      <c r="BC134" s="125">
        <f>BC23/293.07*(1/(VLOOKUP($AF134,'Fuel economy adjusted factor'!$A$2:$L$52,5,FALSE)*m2k))/'TCO Inputs'!$AZ$84</f>
        <v>101.77477459803666</v>
      </c>
      <c r="BD134" s="125">
        <f>BD23/293.07*(1/(VLOOKUP($AF134,'Fuel economy adjusted factor'!$A$2:$L$52,5,FALSE)*m2k))/'TCO Inputs'!$AZ$84</f>
        <v>101.77477459803666</v>
      </c>
      <c r="BE134" s="125">
        <f>BE23/293.07*(1/(VLOOKUP($AF134,'Fuel economy adjusted factor'!$A$2:$L$52,5,FALSE)*m2k))/'TCO Inputs'!$AZ$84</f>
        <v>101.77477459803666</v>
      </c>
      <c r="BF134" s="125">
        <f>BF23/293.07*(1/(VLOOKUP($AF134,'Fuel economy adjusted factor'!$A$2:$L$52,5,FALSE)*m2k))/'TCO Inputs'!$AZ$84</f>
        <v>101.77477459803666</v>
      </c>
      <c r="BG134" s="125">
        <f>BG23/293.07*(1/(VLOOKUP($AF134,'Fuel economy adjusted factor'!$A$2:$L$52,5,FALSE)*m2k))/'TCO Inputs'!$AZ$84</f>
        <v>101.77477459803666</v>
      </c>
      <c r="BH134" s="125">
        <f>BH23/293.07*(1/(VLOOKUP($AF134,'Fuel economy adjusted factor'!$A$2:$L$52,5,FALSE)*m2k))/'TCO Inputs'!$AZ$84</f>
        <v>101.77477459803666</v>
      </c>
      <c r="BI134" s="98" cm="1">
        <f t="array" ref="BI134">SUMPRODUCT(INDEX(AG134:BH134,,'TCO Inputs'!$AZ$12-2023+_xlfn.SEQUENCE('TCO Inputs'!$AZ$13))*INDEX('VKT US'!C82:AA82,,_xlfn.SEQUENCE('TCO Inputs'!$AZ$13)))*m2k*CONVERT(0.9072,"g","ton")</f>
        <v>29.0242225829505</v>
      </c>
      <c r="BL134" s="123" t="s">
        <v>202</v>
      </c>
      <c r="BM134" s="125">
        <f>BM23/293.07*(1/(VLOOKUP($BL134,'Fuel economy adjusted factor'!$A$2:$L$52,5,FALSE)*m2k))/'TCO Inputs'!$AZ$84</f>
        <v>75.660816152387255</v>
      </c>
      <c r="BN134" s="125">
        <f>BN23/293.07*(1/(VLOOKUP($BL134,'Fuel economy adjusted factor'!$A$2:$L$52,5,FALSE)*m2k))/'TCO Inputs'!$AZ$84</f>
        <v>75.660816152387255</v>
      </c>
      <c r="BO134" s="125">
        <f>BO23/293.07*(1/(VLOOKUP($BL134,'Fuel economy adjusted factor'!$A$2:$L$52,5,FALSE)*m2k))/'TCO Inputs'!$AZ$84</f>
        <v>75.660816152387255</v>
      </c>
      <c r="BP134" s="125">
        <f>BP23/293.07*(1/(VLOOKUP($BL134,'Fuel economy adjusted factor'!$A$2:$L$52,5,FALSE)*m2k))/'TCO Inputs'!$AZ$84</f>
        <v>75.660816152387255</v>
      </c>
      <c r="BQ134" s="125">
        <f>BQ23/293.07*(1/(VLOOKUP($BL134,'Fuel economy adjusted factor'!$A$2:$L$52,5,FALSE)*m2k))/'TCO Inputs'!$AZ$84</f>
        <v>75.660816152387255</v>
      </c>
      <c r="BR134" s="125">
        <f>BR23/293.07*(1/(VLOOKUP($BL134,'Fuel economy adjusted factor'!$A$2:$L$52,5,FALSE)*m2k))/'TCO Inputs'!$AZ$84</f>
        <v>75.660816152387255</v>
      </c>
      <c r="BS134" s="125">
        <f>BS23/293.07*(1/(VLOOKUP($BL134,'Fuel economy adjusted factor'!$A$2:$L$52,5,FALSE)*m2k))/'TCO Inputs'!$AZ$84</f>
        <v>75.660816152387255</v>
      </c>
      <c r="BT134" s="125">
        <f>BT23/293.07*(1/(VLOOKUP($BL134,'Fuel economy adjusted factor'!$A$2:$L$52,5,FALSE)*m2k))/'TCO Inputs'!$AZ$84</f>
        <v>75.660816152387255</v>
      </c>
      <c r="BU134" s="125">
        <f>BU23/293.07*(1/(VLOOKUP($BL134,'Fuel economy adjusted factor'!$A$2:$L$52,5,FALSE)*m2k))/'TCO Inputs'!$AZ$84</f>
        <v>75.660816152387255</v>
      </c>
      <c r="BV134" s="125">
        <f>BV23/293.07*(1/(VLOOKUP($BL134,'Fuel economy adjusted factor'!$A$2:$L$52,5,FALSE)*m2k))/'TCO Inputs'!$AZ$84</f>
        <v>75.660816152387255</v>
      </c>
      <c r="BW134" s="125">
        <f>BW23/293.07*(1/(VLOOKUP($BL134,'Fuel economy adjusted factor'!$A$2:$L$52,5,FALSE)*m2k))/'TCO Inputs'!$AZ$84</f>
        <v>75.660816152387255</v>
      </c>
      <c r="BX134" s="125">
        <f>BX23/293.07*(1/(VLOOKUP($BL134,'Fuel economy adjusted factor'!$A$2:$L$52,5,FALSE)*m2k))/'TCO Inputs'!$AZ$84</f>
        <v>75.660816152387255</v>
      </c>
      <c r="BY134" s="125">
        <f>BY23/293.07*(1/(VLOOKUP($BL134,'Fuel economy adjusted factor'!$A$2:$L$52,5,FALSE)*m2k))/'TCO Inputs'!$AZ$84</f>
        <v>75.660816152387255</v>
      </c>
      <c r="BZ134" s="125">
        <f>BZ23/293.07*(1/(VLOOKUP($BL134,'Fuel economy adjusted factor'!$A$2:$L$52,5,FALSE)*m2k))/'TCO Inputs'!$AZ$84</f>
        <v>75.660816152387255</v>
      </c>
      <c r="CA134" s="125">
        <f>CA23/293.07*(1/(VLOOKUP($BL134,'Fuel economy adjusted factor'!$A$2:$L$52,5,FALSE)*m2k))/'TCO Inputs'!$AZ$84</f>
        <v>75.660816152387255</v>
      </c>
      <c r="CB134" s="125">
        <f>CB23/293.07*(1/(VLOOKUP($BL134,'Fuel economy adjusted factor'!$A$2:$L$52,5,FALSE)*m2k))/'TCO Inputs'!$AZ$84</f>
        <v>75.660816152387255</v>
      </c>
      <c r="CC134" s="125">
        <f>CC23/293.07*(1/(VLOOKUP($BL134,'Fuel economy adjusted factor'!$A$2:$L$52,5,FALSE)*m2k))/'TCO Inputs'!$AZ$84</f>
        <v>75.660816152387255</v>
      </c>
      <c r="CD134" s="125">
        <f>CD23/293.07*(1/(VLOOKUP($BL134,'Fuel economy adjusted factor'!$A$2:$L$52,5,FALSE)*m2k))/'TCO Inputs'!$AZ$84</f>
        <v>75.660816152387255</v>
      </c>
      <c r="CE134" s="125">
        <f>CE23/293.07*(1/(VLOOKUP($BL134,'Fuel economy adjusted factor'!$A$2:$L$52,5,FALSE)*m2k))/'TCO Inputs'!$AZ$84</f>
        <v>75.660816152387255</v>
      </c>
      <c r="CF134" s="125">
        <f>CF23/293.07*(1/(VLOOKUP($BL134,'Fuel economy adjusted factor'!$A$2:$L$52,5,FALSE)*m2k))/'TCO Inputs'!$AZ$84</f>
        <v>75.660816152387255</v>
      </c>
      <c r="CG134" s="125">
        <f>CG23/293.07*(1/(VLOOKUP($BL134,'Fuel economy adjusted factor'!$A$2:$L$52,5,FALSE)*m2k))/'TCO Inputs'!$AZ$84</f>
        <v>75.660816152387255</v>
      </c>
      <c r="CH134" s="125">
        <f>CH23/293.07*(1/(VLOOKUP($BL134,'Fuel economy adjusted factor'!$A$2:$L$52,5,FALSE)*m2k))/'TCO Inputs'!$AZ$84</f>
        <v>75.660816152387255</v>
      </c>
      <c r="CI134" s="125">
        <f>CI23/293.07*(1/(VLOOKUP($BL134,'Fuel economy adjusted factor'!$A$2:$L$52,5,FALSE)*m2k))/'TCO Inputs'!$AZ$84</f>
        <v>75.660816152387255</v>
      </c>
      <c r="CJ134" s="125">
        <f>CJ23/293.07*(1/(VLOOKUP($BL134,'Fuel economy adjusted factor'!$A$2:$L$52,5,FALSE)*m2k))/'TCO Inputs'!$AZ$84</f>
        <v>75.660816152387255</v>
      </c>
      <c r="CK134" s="125">
        <f>CK23/293.07*(1/(VLOOKUP($BL134,'Fuel economy adjusted factor'!$A$2:$L$52,5,FALSE)*m2k))/'TCO Inputs'!$AZ$84</f>
        <v>75.660816152387255</v>
      </c>
      <c r="CL134" s="125">
        <f>CL23/293.07*(1/(VLOOKUP($BL134,'Fuel economy adjusted factor'!$A$2:$L$52,5,FALSE)*m2k))/'TCO Inputs'!$AZ$84</f>
        <v>75.660816152387255</v>
      </c>
      <c r="CM134" s="125">
        <f>CM23/293.07*(1/(VLOOKUP($BL134,'Fuel economy adjusted factor'!$A$2:$L$52,5,FALSE)*m2k))/'TCO Inputs'!$AZ$84</f>
        <v>75.660816152387255</v>
      </c>
      <c r="CN134" s="125">
        <f>CN23/293.07*(1/(VLOOKUP($BL134,'Fuel economy adjusted factor'!$A$2:$L$52,5,FALSE)*m2k))/'TCO Inputs'!$AZ$84</f>
        <v>75.660816152387255</v>
      </c>
      <c r="CO134" s="98" cm="1">
        <f t="array" ref="CO134">SUMPRODUCT(INDEX(BM134:CN134,,'TCO Inputs'!$AZ$12-2023+_xlfn.SEQUENCE('TCO Inputs'!$AZ$13))*INDEX('VKT US'!C82:AA82,,_xlfn.SEQUENCE('TCO Inputs'!$AZ$13)))*m2k*CONVERT(0.9072,"g","ton")</f>
        <v>21.577020214367998</v>
      </c>
    </row>
    <row r="135" spans="1:93" x14ac:dyDescent="0.25">
      <c r="A135" s="123" t="s">
        <v>201</v>
      </c>
      <c r="B135" s="125">
        <f>B24/293.07*(1/(VLOOKUP($A135,'Fuel economy adjusted factor'!$A$2:$L$52,5,FALSE)*m2k))/'TCO Inputs'!$AZ$84</f>
        <v>137.39664149439602</v>
      </c>
      <c r="C135" s="125">
        <f>C24/293.07*(1/(VLOOKUP($A135,'Fuel economy adjusted factor'!$A$2:$L$52,5,FALSE)*m2k))/'TCO Inputs'!$AZ$84</f>
        <v>137.39664149439602</v>
      </c>
      <c r="D135" s="125">
        <f>D24/293.07*(1/(VLOOKUP($A135,'Fuel economy adjusted factor'!$A$2:$L$52,5,FALSE)*m2k))/'TCO Inputs'!$AZ$84</f>
        <v>137.39664149439602</v>
      </c>
      <c r="E135" s="125">
        <f>E24/293.07*(1/(VLOOKUP($A135,'Fuel economy adjusted factor'!$A$2:$L$52,5,FALSE)*m2k))/'TCO Inputs'!$AZ$84</f>
        <v>137.39664149439602</v>
      </c>
      <c r="F135" s="125">
        <f>F24/293.07*(1/(VLOOKUP($A135,'Fuel economy adjusted factor'!$A$2:$L$52,5,FALSE)*m2k))/'TCO Inputs'!$AZ$84</f>
        <v>137.39664149439602</v>
      </c>
      <c r="G135" s="125">
        <f>G24/293.07*(1/(VLOOKUP($A135,'Fuel economy adjusted factor'!$A$2:$L$52,5,FALSE)*m2k))/'TCO Inputs'!$AZ$84</f>
        <v>137.39664149439602</v>
      </c>
      <c r="H135" s="125">
        <f>H24/293.07*(1/(VLOOKUP($A135,'Fuel economy adjusted factor'!$A$2:$L$52,5,FALSE)*m2k))/'TCO Inputs'!$AZ$84</f>
        <v>137.39664149439602</v>
      </c>
      <c r="I135" s="125">
        <f>I24/293.07*(1/(VLOOKUP($A135,'Fuel economy adjusted factor'!$A$2:$L$52,5,FALSE)*m2k))/'TCO Inputs'!$AZ$84</f>
        <v>137.39664149439602</v>
      </c>
      <c r="J135" s="125">
        <f>J24/293.07*(1/(VLOOKUP($A135,'Fuel economy adjusted factor'!$A$2:$L$52,5,FALSE)*m2k))/'TCO Inputs'!$AZ$84</f>
        <v>137.39664149439602</v>
      </c>
      <c r="K135" s="125">
        <f>K24/293.07*(1/(VLOOKUP($A135,'Fuel economy adjusted factor'!$A$2:$L$52,5,FALSE)*m2k))/'TCO Inputs'!$AZ$84</f>
        <v>137.39664149439602</v>
      </c>
      <c r="L135" s="125">
        <f>L24/293.07*(1/(VLOOKUP($A135,'Fuel economy adjusted factor'!$A$2:$L$52,5,FALSE)*m2k))/'TCO Inputs'!$AZ$84</f>
        <v>137.39664149439602</v>
      </c>
      <c r="M135" s="125">
        <f>M24/293.07*(1/(VLOOKUP($A135,'Fuel economy adjusted factor'!$A$2:$L$52,5,FALSE)*m2k))/'TCO Inputs'!$AZ$84</f>
        <v>137.39664149439602</v>
      </c>
      <c r="N135" s="125">
        <f>N24/293.07*(1/(VLOOKUP($A135,'Fuel economy adjusted factor'!$A$2:$L$52,5,FALSE)*m2k))/'TCO Inputs'!$AZ$84</f>
        <v>137.39664149439602</v>
      </c>
      <c r="O135" s="125">
        <f>O24/293.07*(1/(VLOOKUP($A135,'Fuel economy adjusted factor'!$A$2:$L$52,5,FALSE)*m2k))/'TCO Inputs'!$AZ$84</f>
        <v>137.39664149439602</v>
      </c>
      <c r="P135" s="125">
        <f>P24/293.07*(1/(VLOOKUP($A135,'Fuel economy adjusted factor'!$A$2:$L$52,5,FALSE)*m2k))/'TCO Inputs'!$AZ$84</f>
        <v>137.39664149439602</v>
      </c>
      <c r="Q135" s="125">
        <f>Q24/293.07*(1/(VLOOKUP($A135,'Fuel economy adjusted factor'!$A$2:$L$52,5,FALSE)*m2k))/'TCO Inputs'!$AZ$84</f>
        <v>137.39664149439602</v>
      </c>
      <c r="R135" s="125">
        <f>R24/293.07*(1/(VLOOKUP($A135,'Fuel economy adjusted factor'!$A$2:$L$52,5,FALSE)*m2k))/'TCO Inputs'!$AZ$84</f>
        <v>137.39664149439602</v>
      </c>
      <c r="S135" s="125">
        <f>S24/293.07*(1/(VLOOKUP($A135,'Fuel economy adjusted factor'!$A$2:$L$52,5,FALSE)*m2k))/'TCO Inputs'!$AZ$84</f>
        <v>137.39664149439602</v>
      </c>
      <c r="T135" s="125">
        <f>T24/293.07*(1/(VLOOKUP($A135,'Fuel economy adjusted factor'!$A$2:$L$52,5,FALSE)*m2k))/'TCO Inputs'!$AZ$84</f>
        <v>137.39664149439602</v>
      </c>
      <c r="U135" s="125">
        <f>U24/293.07*(1/(VLOOKUP($A135,'Fuel economy adjusted factor'!$A$2:$L$52,5,FALSE)*m2k))/'TCO Inputs'!$AZ$84</f>
        <v>137.39664149439602</v>
      </c>
      <c r="V135" s="125">
        <f>V24/293.07*(1/(VLOOKUP($A135,'Fuel economy adjusted factor'!$A$2:$L$52,5,FALSE)*m2k))/'TCO Inputs'!$AZ$84</f>
        <v>137.39664149439602</v>
      </c>
      <c r="W135" s="125">
        <f>W24/293.07*(1/(VLOOKUP($A135,'Fuel economy adjusted factor'!$A$2:$L$52,5,FALSE)*m2k))/'TCO Inputs'!$AZ$84</f>
        <v>137.39664149439602</v>
      </c>
      <c r="X135" s="125">
        <f>X24/293.07*(1/(VLOOKUP($A135,'Fuel economy adjusted factor'!$A$2:$L$52,5,FALSE)*m2k))/'TCO Inputs'!$AZ$84</f>
        <v>137.39664149439602</v>
      </c>
      <c r="Y135" s="125">
        <f>Y24/293.07*(1/(VLOOKUP($A135,'Fuel economy adjusted factor'!$A$2:$L$52,5,FALSE)*m2k))/'TCO Inputs'!$AZ$84</f>
        <v>137.39664149439602</v>
      </c>
      <c r="Z135" s="125">
        <f>Z24/293.07*(1/(VLOOKUP($A135,'Fuel economy adjusted factor'!$A$2:$L$52,5,FALSE)*m2k))/'TCO Inputs'!$AZ$84</f>
        <v>137.39664149439602</v>
      </c>
      <c r="AA135" s="125">
        <f>AA24/293.07*(1/(VLOOKUP($A135,'Fuel economy adjusted factor'!$A$2:$L$52,5,FALSE)*m2k))/'TCO Inputs'!$AZ$84</f>
        <v>137.39664149439602</v>
      </c>
      <c r="AB135" s="125">
        <f>AB24/293.07*(1/(VLOOKUP($A135,'Fuel economy adjusted factor'!$A$2:$L$52,5,FALSE)*m2k))/'TCO Inputs'!$AZ$84</f>
        <v>137.39664149439602</v>
      </c>
      <c r="AC135" s="125">
        <f>AC24/293.07*(1/(VLOOKUP($A135,'Fuel economy adjusted factor'!$A$2:$L$52,5,FALSE)*m2k))/'TCO Inputs'!$AZ$84</f>
        <v>137.39664149439602</v>
      </c>
      <c r="AD135" s="98" cm="1">
        <f t="array" ref="AD135">SUMPRODUCT(INDEX(B135:AC135,,'TCO Inputs'!$AZ$12-2023+_xlfn.SEQUENCE('TCO Inputs'!$AZ$13))*INDEX('VKT US'!C83:AA83,,_xlfn.SEQUENCE('TCO Inputs'!$AZ$13)))*m2k*CONVERT(0.9072,"g","ton")</f>
        <v>38.076250692332479</v>
      </c>
      <c r="AF135" s="123" t="s">
        <v>201</v>
      </c>
      <c r="AG135" s="125">
        <f>AG24/293.07*(1/(VLOOKUP($AF135,'Fuel economy adjusted factor'!$A$2:$L$52,5,FALSE)*m2k))/'TCO Inputs'!$AZ$84</f>
        <v>161.0436779996266</v>
      </c>
      <c r="AH135" s="125">
        <f>AH24/293.07*(1/(VLOOKUP($AF135,'Fuel economy adjusted factor'!$A$2:$L$52,5,FALSE)*m2k))/'TCO Inputs'!$AZ$84</f>
        <v>161.0436779996266</v>
      </c>
      <c r="AI135" s="125">
        <f>AI24/293.07*(1/(VLOOKUP($AF135,'Fuel economy adjusted factor'!$A$2:$L$52,5,FALSE)*m2k))/'TCO Inputs'!$AZ$84</f>
        <v>161.0436779996266</v>
      </c>
      <c r="AJ135" s="125">
        <f>AJ24/293.07*(1/(VLOOKUP($AF135,'Fuel economy adjusted factor'!$A$2:$L$52,5,FALSE)*m2k))/'TCO Inputs'!$AZ$84</f>
        <v>161.0436779996266</v>
      </c>
      <c r="AK135" s="125">
        <f>AK24/293.07*(1/(VLOOKUP($AF135,'Fuel economy adjusted factor'!$A$2:$L$52,5,FALSE)*m2k))/'TCO Inputs'!$AZ$84</f>
        <v>161.0436779996266</v>
      </c>
      <c r="AL135" s="125">
        <f>AL24/293.07*(1/(VLOOKUP($AF135,'Fuel economy adjusted factor'!$A$2:$L$52,5,FALSE)*m2k))/'TCO Inputs'!$AZ$84</f>
        <v>161.0436779996266</v>
      </c>
      <c r="AM135" s="125">
        <f>AM24/293.07*(1/(VLOOKUP($AF135,'Fuel economy adjusted factor'!$A$2:$L$52,5,FALSE)*m2k))/'TCO Inputs'!$AZ$84</f>
        <v>161.0436779996266</v>
      </c>
      <c r="AN135" s="125">
        <f>AN24/293.07*(1/(VLOOKUP($AF135,'Fuel economy adjusted factor'!$A$2:$L$52,5,FALSE)*m2k))/'TCO Inputs'!$AZ$84</f>
        <v>161.0436779996266</v>
      </c>
      <c r="AO135" s="125">
        <f>AO24/293.07*(1/(VLOOKUP($AF135,'Fuel economy adjusted factor'!$A$2:$L$52,5,FALSE)*m2k))/'TCO Inputs'!$AZ$84</f>
        <v>161.0436779996266</v>
      </c>
      <c r="AP135" s="125">
        <f>AP24/293.07*(1/(VLOOKUP($AF135,'Fuel economy adjusted factor'!$A$2:$L$52,5,FALSE)*m2k))/'TCO Inputs'!$AZ$84</f>
        <v>161.0436779996266</v>
      </c>
      <c r="AQ135" s="125">
        <f>AQ24/293.07*(1/(VLOOKUP($AF135,'Fuel economy adjusted factor'!$A$2:$L$52,5,FALSE)*m2k))/'TCO Inputs'!$AZ$84</f>
        <v>161.0436779996266</v>
      </c>
      <c r="AR135" s="125">
        <f>AR24/293.07*(1/(VLOOKUP($AF135,'Fuel economy adjusted factor'!$A$2:$L$52,5,FALSE)*m2k))/'TCO Inputs'!$AZ$84</f>
        <v>161.0436779996266</v>
      </c>
      <c r="AS135" s="125">
        <f>AS24/293.07*(1/(VLOOKUP($AF135,'Fuel economy adjusted factor'!$A$2:$L$52,5,FALSE)*m2k))/'TCO Inputs'!$AZ$84</f>
        <v>161.0436779996266</v>
      </c>
      <c r="AT135" s="125">
        <f>AT24/293.07*(1/(VLOOKUP($AF135,'Fuel economy adjusted factor'!$A$2:$L$52,5,FALSE)*m2k))/'TCO Inputs'!$AZ$84</f>
        <v>161.0436779996266</v>
      </c>
      <c r="AU135" s="125">
        <f>AU24/293.07*(1/(VLOOKUP($AF135,'Fuel economy adjusted factor'!$A$2:$L$52,5,FALSE)*m2k))/'TCO Inputs'!$AZ$84</f>
        <v>161.0436779996266</v>
      </c>
      <c r="AV135" s="125">
        <f>AV24/293.07*(1/(VLOOKUP($AF135,'Fuel economy adjusted factor'!$A$2:$L$52,5,FALSE)*m2k))/'TCO Inputs'!$AZ$84</f>
        <v>161.0436779996266</v>
      </c>
      <c r="AW135" s="125">
        <f>AW24/293.07*(1/(VLOOKUP($AF135,'Fuel economy adjusted factor'!$A$2:$L$52,5,FALSE)*m2k))/'TCO Inputs'!$AZ$84</f>
        <v>161.0436779996266</v>
      </c>
      <c r="AX135" s="125">
        <f>AX24/293.07*(1/(VLOOKUP($AF135,'Fuel economy adjusted factor'!$A$2:$L$52,5,FALSE)*m2k))/'TCO Inputs'!$AZ$84</f>
        <v>161.0436779996266</v>
      </c>
      <c r="AY135" s="125">
        <f>AY24/293.07*(1/(VLOOKUP($AF135,'Fuel economy adjusted factor'!$A$2:$L$52,5,FALSE)*m2k))/'TCO Inputs'!$AZ$84</f>
        <v>161.0436779996266</v>
      </c>
      <c r="AZ135" s="125">
        <f>AZ24/293.07*(1/(VLOOKUP($AF135,'Fuel economy adjusted factor'!$A$2:$L$52,5,FALSE)*m2k))/'TCO Inputs'!$AZ$84</f>
        <v>161.0436779996266</v>
      </c>
      <c r="BA135" s="125">
        <f>BA24/293.07*(1/(VLOOKUP($AF135,'Fuel economy adjusted factor'!$A$2:$L$52,5,FALSE)*m2k))/'TCO Inputs'!$AZ$84</f>
        <v>161.0436779996266</v>
      </c>
      <c r="BB135" s="125">
        <f>BB24/293.07*(1/(VLOOKUP($AF135,'Fuel economy adjusted factor'!$A$2:$L$52,5,FALSE)*m2k))/'TCO Inputs'!$AZ$84</f>
        <v>161.0436779996266</v>
      </c>
      <c r="BC135" s="125">
        <f>BC24/293.07*(1/(VLOOKUP($AF135,'Fuel economy adjusted factor'!$A$2:$L$52,5,FALSE)*m2k))/'TCO Inputs'!$AZ$84</f>
        <v>161.0436779996266</v>
      </c>
      <c r="BD135" s="125">
        <f>BD24/293.07*(1/(VLOOKUP($AF135,'Fuel economy adjusted factor'!$A$2:$L$52,5,FALSE)*m2k))/'TCO Inputs'!$AZ$84</f>
        <v>161.0436779996266</v>
      </c>
      <c r="BE135" s="125">
        <f>BE24/293.07*(1/(VLOOKUP($AF135,'Fuel economy adjusted factor'!$A$2:$L$52,5,FALSE)*m2k))/'TCO Inputs'!$AZ$84</f>
        <v>161.0436779996266</v>
      </c>
      <c r="BF135" s="125">
        <f>BF24/293.07*(1/(VLOOKUP($AF135,'Fuel economy adjusted factor'!$A$2:$L$52,5,FALSE)*m2k))/'TCO Inputs'!$AZ$84</f>
        <v>161.0436779996266</v>
      </c>
      <c r="BG135" s="125">
        <f>BG24/293.07*(1/(VLOOKUP($AF135,'Fuel economy adjusted factor'!$A$2:$L$52,5,FALSE)*m2k))/'TCO Inputs'!$AZ$84</f>
        <v>161.0436779996266</v>
      </c>
      <c r="BH135" s="125">
        <f>BH24/293.07*(1/(VLOOKUP($AF135,'Fuel economy adjusted factor'!$A$2:$L$52,5,FALSE)*m2k))/'TCO Inputs'!$AZ$84</f>
        <v>161.0436779996266</v>
      </c>
      <c r="BI135" s="98" cm="1">
        <f t="array" ref="BI135">SUMPRODUCT(INDEX(AG135:BH135,,'TCO Inputs'!$AZ$12-2023+_xlfn.SEQUENCE('TCO Inputs'!$AZ$13))*INDEX('VKT US'!C83:AA83,,_xlfn.SEQUENCE('TCO Inputs'!$AZ$13)))*m2k*CONVERT(0.9072,"g","ton")</f>
        <v>44.629471210030644</v>
      </c>
      <c r="BL135" s="123" t="s">
        <v>201</v>
      </c>
      <c r="BM135" s="125">
        <f>BM24/293.07*(1/(VLOOKUP($BL135,'Fuel economy adjusted factor'!$A$2:$L$52,5,FALSE)*m2k))/'TCO Inputs'!$AZ$84</f>
        <v>119.72216260618528</v>
      </c>
      <c r="BN135" s="125">
        <f>BN24/293.07*(1/(VLOOKUP($BL135,'Fuel economy adjusted factor'!$A$2:$L$52,5,FALSE)*m2k))/'TCO Inputs'!$AZ$84</f>
        <v>119.72216260618528</v>
      </c>
      <c r="BO135" s="125">
        <f>BO24/293.07*(1/(VLOOKUP($BL135,'Fuel economy adjusted factor'!$A$2:$L$52,5,FALSE)*m2k))/'TCO Inputs'!$AZ$84</f>
        <v>119.72216260618528</v>
      </c>
      <c r="BP135" s="125">
        <f>BP24/293.07*(1/(VLOOKUP($BL135,'Fuel economy adjusted factor'!$A$2:$L$52,5,FALSE)*m2k))/'TCO Inputs'!$AZ$84</f>
        <v>119.72216260618528</v>
      </c>
      <c r="BQ135" s="125">
        <f>BQ24/293.07*(1/(VLOOKUP($BL135,'Fuel economy adjusted factor'!$A$2:$L$52,5,FALSE)*m2k))/'TCO Inputs'!$AZ$84</f>
        <v>119.72216260618528</v>
      </c>
      <c r="BR135" s="125">
        <f>BR24/293.07*(1/(VLOOKUP($BL135,'Fuel economy adjusted factor'!$A$2:$L$52,5,FALSE)*m2k))/'TCO Inputs'!$AZ$84</f>
        <v>119.72216260618528</v>
      </c>
      <c r="BS135" s="125">
        <f>BS24/293.07*(1/(VLOOKUP($BL135,'Fuel economy adjusted factor'!$A$2:$L$52,5,FALSE)*m2k))/'TCO Inputs'!$AZ$84</f>
        <v>119.72216260618528</v>
      </c>
      <c r="BT135" s="125">
        <f>BT24/293.07*(1/(VLOOKUP($BL135,'Fuel economy adjusted factor'!$A$2:$L$52,5,FALSE)*m2k))/'TCO Inputs'!$AZ$84</f>
        <v>119.72216260618528</v>
      </c>
      <c r="BU135" s="125">
        <f>BU24/293.07*(1/(VLOOKUP($BL135,'Fuel economy adjusted factor'!$A$2:$L$52,5,FALSE)*m2k))/'TCO Inputs'!$AZ$84</f>
        <v>119.72216260618528</v>
      </c>
      <c r="BV135" s="125">
        <f>BV24/293.07*(1/(VLOOKUP($BL135,'Fuel economy adjusted factor'!$A$2:$L$52,5,FALSE)*m2k))/'TCO Inputs'!$AZ$84</f>
        <v>119.72216260618528</v>
      </c>
      <c r="BW135" s="125">
        <f>BW24/293.07*(1/(VLOOKUP($BL135,'Fuel economy adjusted factor'!$A$2:$L$52,5,FALSE)*m2k))/'TCO Inputs'!$AZ$84</f>
        <v>119.72216260618528</v>
      </c>
      <c r="BX135" s="125">
        <f>BX24/293.07*(1/(VLOOKUP($BL135,'Fuel economy adjusted factor'!$A$2:$L$52,5,FALSE)*m2k))/'TCO Inputs'!$AZ$84</f>
        <v>119.72216260618528</v>
      </c>
      <c r="BY135" s="125">
        <f>BY24/293.07*(1/(VLOOKUP($BL135,'Fuel economy adjusted factor'!$A$2:$L$52,5,FALSE)*m2k))/'TCO Inputs'!$AZ$84</f>
        <v>119.72216260618528</v>
      </c>
      <c r="BZ135" s="125">
        <f>BZ24/293.07*(1/(VLOOKUP($BL135,'Fuel economy adjusted factor'!$A$2:$L$52,5,FALSE)*m2k))/'TCO Inputs'!$AZ$84</f>
        <v>119.72216260618528</v>
      </c>
      <c r="CA135" s="125">
        <f>CA24/293.07*(1/(VLOOKUP($BL135,'Fuel economy adjusted factor'!$A$2:$L$52,5,FALSE)*m2k))/'TCO Inputs'!$AZ$84</f>
        <v>119.72216260618528</v>
      </c>
      <c r="CB135" s="125">
        <f>CB24/293.07*(1/(VLOOKUP($BL135,'Fuel economy adjusted factor'!$A$2:$L$52,5,FALSE)*m2k))/'TCO Inputs'!$AZ$84</f>
        <v>119.72216260618528</v>
      </c>
      <c r="CC135" s="125">
        <f>CC24/293.07*(1/(VLOOKUP($BL135,'Fuel economy adjusted factor'!$A$2:$L$52,5,FALSE)*m2k))/'TCO Inputs'!$AZ$84</f>
        <v>119.72216260618528</v>
      </c>
      <c r="CD135" s="125">
        <f>CD24/293.07*(1/(VLOOKUP($BL135,'Fuel economy adjusted factor'!$A$2:$L$52,5,FALSE)*m2k))/'TCO Inputs'!$AZ$84</f>
        <v>119.72216260618528</v>
      </c>
      <c r="CE135" s="125">
        <f>CE24/293.07*(1/(VLOOKUP($BL135,'Fuel economy adjusted factor'!$A$2:$L$52,5,FALSE)*m2k))/'TCO Inputs'!$AZ$84</f>
        <v>119.72216260618528</v>
      </c>
      <c r="CF135" s="125">
        <f>CF24/293.07*(1/(VLOOKUP($BL135,'Fuel economy adjusted factor'!$A$2:$L$52,5,FALSE)*m2k))/'TCO Inputs'!$AZ$84</f>
        <v>119.72216260618528</v>
      </c>
      <c r="CG135" s="125">
        <f>CG24/293.07*(1/(VLOOKUP($BL135,'Fuel economy adjusted factor'!$A$2:$L$52,5,FALSE)*m2k))/'TCO Inputs'!$AZ$84</f>
        <v>119.72216260618528</v>
      </c>
      <c r="CH135" s="125">
        <f>CH24/293.07*(1/(VLOOKUP($BL135,'Fuel economy adjusted factor'!$A$2:$L$52,5,FALSE)*m2k))/'TCO Inputs'!$AZ$84</f>
        <v>119.72216260618528</v>
      </c>
      <c r="CI135" s="125">
        <f>CI24/293.07*(1/(VLOOKUP($BL135,'Fuel economy adjusted factor'!$A$2:$L$52,5,FALSE)*m2k))/'TCO Inputs'!$AZ$84</f>
        <v>119.72216260618528</v>
      </c>
      <c r="CJ135" s="125">
        <f>CJ24/293.07*(1/(VLOOKUP($BL135,'Fuel economy adjusted factor'!$A$2:$L$52,5,FALSE)*m2k))/'TCO Inputs'!$AZ$84</f>
        <v>119.72216260618528</v>
      </c>
      <c r="CK135" s="125">
        <f>CK24/293.07*(1/(VLOOKUP($BL135,'Fuel economy adjusted factor'!$A$2:$L$52,5,FALSE)*m2k))/'TCO Inputs'!$AZ$84</f>
        <v>119.72216260618528</v>
      </c>
      <c r="CL135" s="125">
        <f>CL24/293.07*(1/(VLOOKUP($BL135,'Fuel economy adjusted factor'!$A$2:$L$52,5,FALSE)*m2k))/'TCO Inputs'!$AZ$84</f>
        <v>119.72216260618528</v>
      </c>
      <c r="CM135" s="125">
        <f>CM24/293.07*(1/(VLOOKUP($BL135,'Fuel economy adjusted factor'!$A$2:$L$52,5,FALSE)*m2k))/'TCO Inputs'!$AZ$84</f>
        <v>119.72216260618528</v>
      </c>
      <c r="CN135" s="125">
        <f>CN24/293.07*(1/(VLOOKUP($BL135,'Fuel economy adjusted factor'!$A$2:$L$52,5,FALSE)*m2k))/'TCO Inputs'!$AZ$84</f>
        <v>119.72216260618528</v>
      </c>
      <c r="CO135" s="98" cm="1">
        <f t="array" ref="CO135">SUMPRODUCT(INDEX(BM135:CN135,,'TCO Inputs'!$AZ$12-2023+_xlfn.SEQUENCE('TCO Inputs'!$AZ$13))*INDEX('VKT US'!C83:AA83,,_xlfn.SEQUENCE('TCO Inputs'!$AZ$13)))*m2k*CONVERT(0.9072,"g","ton")</f>
        <v>33.17818417713822</v>
      </c>
    </row>
    <row r="136" spans="1:93" x14ac:dyDescent="0.25">
      <c r="A136" s="123" t="s">
        <v>204</v>
      </c>
      <c r="B136" s="125">
        <f>B25/293.07*(1/(VLOOKUP($A136,'Fuel economy adjusted factor'!$A$2:$L$52,5,FALSE)*m2k))/'TCO Inputs'!$AZ$84</f>
        <v>159.63969399812524</v>
      </c>
      <c r="C136" s="125">
        <f>C25/293.07*(1/(VLOOKUP($A136,'Fuel economy adjusted factor'!$A$2:$L$52,5,FALSE)*m2k))/'TCO Inputs'!$AZ$84</f>
        <v>159.63969399812524</v>
      </c>
      <c r="D136" s="125">
        <f>D25/293.07*(1/(VLOOKUP($A136,'Fuel economy adjusted factor'!$A$2:$L$52,5,FALSE)*m2k))/'TCO Inputs'!$AZ$84</f>
        <v>159.63969399812524</v>
      </c>
      <c r="E136" s="125">
        <f>E25/293.07*(1/(VLOOKUP($A136,'Fuel economy adjusted factor'!$A$2:$L$52,5,FALSE)*m2k))/'TCO Inputs'!$AZ$84</f>
        <v>159.63969399812524</v>
      </c>
      <c r="F136" s="125">
        <f>F25/293.07*(1/(VLOOKUP($A136,'Fuel economy adjusted factor'!$A$2:$L$52,5,FALSE)*m2k))/'TCO Inputs'!$AZ$84</f>
        <v>159.63969399812524</v>
      </c>
      <c r="G136" s="125">
        <f>G25/293.07*(1/(VLOOKUP($A136,'Fuel economy adjusted factor'!$A$2:$L$52,5,FALSE)*m2k))/'TCO Inputs'!$AZ$84</f>
        <v>159.63969399812524</v>
      </c>
      <c r="H136" s="125">
        <f>H25/293.07*(1/(VLOOKUP($A136,'Fuel economy adjusted factor'!$A$2:$L$52,5,FALSE)*m2k))/'TCO Inputs'!$AZ$84</f>
        <v>159.63969399812524</v>
      </c>
      <c r="I136" s="125">
        <f>I25/293.07*(1/(VLOOKUP($A136,'Fuel economy adjusted factor'!$A$2:$L$52,5,FALSE)*m2k))/'TCO Inputs'!$AZ$84</f>
        <v>159.63969399812524</v>
      </c>
      <c r="J136" s="125">
        <f>J25/293.07*(1/(VLOOKUP($A136,'Fuel economy adjusted factor'!$A$2:$L$52,5,FALSE)*m2k))/'TCO Inputs'!$AZ$84</f>
        <v>159.63969399812524</v>
      </c>
      <c r="K136" s="125">
        <f>K25/293.07*(1/(VLOOKUP($A136,'Fuel economy adjusted factor'!$A$2:$L$52,5,FALSE)*m2k))/'TCO Inputs'!$AZ$84</f>
        <v>159.63969399812524</v>
      </c>
      <c r="L136" s="125">
        <f>L25/293.07*(1/(VLOOKUP($A136,'Fuel economy adjusted factor'!$A$2:$L$52,5,FALSE)*m2k))/'TCO Inputs'!$AZ$84</f>
        <v>159.63969399812524</v>
      </c>
      <c r="M136" s="125">
        <f>M25/293.07*(1/(VLOOKUP($A136,'Fuel economy adjusted factor'!$A$2:$L$52,5,FALSE)*m2k))/'TCO Inputs'!$AZ$84</f>
        <v>159.63969399812524</v>
      </c>
      <c r="N136" s="125">
        <f>N25/293.07*(1/(VLOOKUP($A136,'Fuel economy adjusted factor'!$A$2:$L$52,5,FALSE)*m2k))/'TCO Inputs'!$AZ$84</f>
        <v>159.63969399812524</v>
      </c>
      <c r="O136" s="125">
        <f>O25/293.07*(1/(VLOOKUP($A136,'Fuel economy adjusted factor'!$A$2:$L$52,5,FALSE)*m2k))/'TCO Inputs'!$AZ$84</f>
        <v>159.63969399812524</v>
      </c>
      <c r="P136" s="125">
        <f>P25/293.07*(1/(VLOOKUP($A136,'Fuel economy adjusted factor'!$A$2:$L$52,5,FALSE)*m2k))/'TCO Inputs'!$AZ$84</f>
        <v>159.63969399812524</v>
      </c>
      <c r="Q136" s="125">
        <f>Q25/293.07*(1/(VLOOKUP($A136,'Fuel economy adjusted factor'!$A$2:$L$52,5,FALSE)*m2k))/'TCO Inputs'!$AZ$84</f>
        <v>159.63969399812524</v>
      </c>
      <c r="R136" s="125">
        <f>R25/293.07*(1/(VLOOKUP($A136,'Fuel economy adjusted factor'!$A$2:$L$52,5,FALSE)*m2k))/'TCO Inputs'!$AZ$84</f>
        <v>159.63969399812524</v>
      </c>
      <c r="S136" s="125">
        <f>S25/293.07*(1/(VLOOKUP($A136,'Fuel economy adjusted factor'!$A$2:$L$52,5,FALSE)*m2k))/'TCO Inputs'!$AZ$84</f>
        <v>159.63969399812524</v>
      </c>
      <c r="T136" s="125">
        <f>T25/293.07*(1/(VLOOKUP($A136,'Fuel economy adjusted factor'!$A$2:$L$52,5,FALSE)*m2k))/'TCO Inputs'!$AZ$84</f>
        <v>159.63969399812524</v>
      </c>
      <c r="U136" s="125">
        <f>U25/293.07*(1/(VLOOKUP($A136,'Fuel economy adjusted factor'!$A$2:$L$52,5,FALSE)*m2k))/'TCO Inputs'!$AZ$84</f>
        <v>159.63969399812524</v>
      </c>
      <c r="V136" s="125">
        <f>V25/293.07*(1/(VLOOKUP($A136,'Fuel economy adjusted factor'!$A$2:$L$52,5,FALSE)*m2k))/'TCO Inputs'!$AZ$84</f>
        <v>159.63969399812524</v>
      </c>
      <c r="W136" s="125">
        <f>W25/293.07*(1/(VLOOKUP($A136,'Fuel economy adjusted factor'!$A$2:$L$52,5,FALSE)*m2k))/'TCO Inputs'!$AZ$84</f>
        <v>159.63969399812524</v>
      </c>
      <c r="X136" s="125">
        <f>X25/293.07*(1/(VLOOKUP($A136,'Fuel economy adjusted factor'!$A$2:$L$52,5,FALSE)*m2k))/'TCO Inputs'!$AZ$84</f>
        <v>159.63969399812524</v>
      </c>
      <c r="Y136" s="125">
        <f>Y25/293.07*(1/(VLOOKUP($A136,'Fuel economy adjusted factor'!$A$2:$L$52,5,FALSE)*m2k))/'TCO Inputs'!$AZ$84</f>
        <v>159.63969399812524</v>
      </c>
      <c r="Z136" s="125">
        <f>Z25/293.07*(1/(VLOOKUP($A136,'Fuel economy adjusted factor'!$A$2:$L$52,5,FALSE)*m2k))/'TCO Inputs'!$AZ$84</f>
        <v>159.63969399812524</v>
      </c>
      <c r="AA136" s="125">
        <f>AA25/293.07*(1/(VLOOKUP($A136,'Fuel economy adjusted factor'!$A$2:$L$52,5,FALSE)*m2k))/'TCO Inputs'!$AZ$84</f>
        <v>159.63969399812524</v>
      </c>
      <c r="AB136" s="125">
        <f>AB25/293.07*(1/(VLOOKUP($A136,'Fuel economy adjusted factor'!$A$2:$L$52,5,FALSE)*m2k))/'TCO Inputs'!$AZ$84</f>
        <v>159.63969399812524</v>
      </c>
      <c r="AC136" s="125">
        <f>AC25/293.07*(1/(VLOOKUP($A136,'Fuel economy adjusted factor'!$A$2:$L$52,5,FALSE)*m2k))/'TCO Inputs'!$AZ$84</f>
        <v>159.63969399812524</v>
      </c>
      <c r="AD136" s="98" cm="1">
        <f t="array" ref="AD136">SUMPRODUCT(INDEX(B136:AC136,,'TCO Inputs'!$AZ$12-2023+_xlfn.SEQUENCE('TCO Inputs'!$AZ$13))*INDEX('VKT US'!C84:AA84,,_xlfn.SEQUENCE('TCO Inputs'!$AZ$13)))*m2k*CONVERT(0.9072,"g","ton")</f>
        <v>48.283412939296625</v>
      </c>
      <c r="AF136" s="123" t="s">
        <v>204</v>
      </c>
      <c r="AG136" s="125">
        <f>AG25/293.07*(1/(VLOOKUP($AF136,'Fuel economy adjusted factor'!$A$2:$L$52,5,FALSE)*m2k))/'TCO Inputs'!$AZ$84</f>
        <v>187.11493379000524</v>
      </c>
      <c r="AH136" s="125">
        <f>AH25/293.07*(1/(VLOOKUP($AF136,'Fuel economy adjusted factor'!$A$2:$L$52,5,FALSE)*m2k))/'TCO Inputs'!$AZ$84</f>
        <v>187.11493379000524</v>
      </c>
      <c r="AI136" s="125">
        <f>AI25/293.07*(1/(VLOOKUP($AF136,'Fuel economy adjusted factor'!$A$2:$L$52,5,FALSE)*m2k))/'TCO Inputs'!$AZ$84</f>
        <v>187.11493379000524</v>
      </c>
      <c r="AJ136" s="125">
        <f>AJ25/293.07*(1/(VLOOKUP($AF136,'Fuel economy adjusted factor'!$A$2:$L$52,5,FALSE)*m2k))/'TCO Inputs'!$AZ$84</f>
        <v>187.11493379000524</v>
      </c>
      <c r="AK136" s="125">
        <f>AK25/293.07*(1/(VLOOKUP($AF136,'Fuel economy adjusted factor'!$A$2:$L$52,5,FALSE)*m2k))/'TCO Inputs'!$AZ$84</f>
        <v>187.11493379000524</v>
      </c>
      <c r="AL136" s="125">
        <f>AL25/293.07*(1/(VLOOKUP($AF136,'Fuel economy adjusted factor'!$A$2:$L$52,5,FALSE)*m2k))/'TCO Inputs'!$AZ$84</f>
        <v>187.11493379000524</v>
      </c>
      <c r="AM136" s="125">
        <f>AM25/293.07*(1/(VLOOKUP($AF136,'Fuel economy adjusted factor'!$A$2:$L$52,5,FALSE)*m2k))/'TCO Inputs'!$AZ$84</f>
        <v>187.11493379000524</v>
      </c>
      <c r="AN136" s="125">
        <f>AN25/293.07*(1/(VLOOKUP($AF136,'Fuel economy adjusted factor'!$A$2:$L$52,5,FALSE)*m2k))/'TCO Inputs'!$AZ$84</f>
        <v>187.11493379000524</v>
      </c>
      <c r="AO136" s="125">
        <f>AO25/293.07*(1/(VLOOKUP($AF136,'Fuel economy adjusted factor'!$A$2:$L$52,5,FALSE)*m2k))/'TCO Inputs'!$AZ$84</f>
        <v>187.11493379000524</v>
      </c>
      <c r="AP136" s="125">
        <f>AP25/293.07*(1/(VLOOKUP($AF136,'Fuel economy adjusted factor'!$A$2:$L$52,5,FALSE)*m2k))/'TCO Inputs'!$AZ$84</f>
        <v>187.11493379000524</v>
      </c>
      <c r="AQ136" s="125">
        <f>AQ25/293.07*(1/(VLOOKUP($AF136,'Fuel economy adjusted factor'!$A$2:$L$52,5,FALSE)*m2k))/'TCO Inputs'!$AZ$84</f>
        <v>187.11493379000524</v>
      </c>
      <c r="AR136" s="125">
        <f>AR25/293.07*(1/(VLOOKUP($AF136,'Fuel economy adjusted factor'!$A$2:$L$52,5,FALSE)*m2k))/'TCO Inputs'!$AZ$84</f>
        <v>187.11493379000524</v>
      </c>
      <c r="AS136" s="125">
        <f>AS25/293.07*(1/(VLOOKUP($AF136,'Fuel economy adjusted factor'!$A$2:$L$52,5,FALSE)*m2k))/'TCO Inputs'!$AZ$84</f>
        <v>187.11493379000524</v>
      </c>
      <c r="AT136" s="125">
        <f>AT25/293.07*(1/(VLOOKUP($AF136,'Fuel economy adjusted factor'!$A$2:$L$52,5,FALSE)*m2k))/'TCO Inputs'!$AZ$84</f>
        <v>187.11493379000524</v>
      </c>
      <c r="AU136" s="125">
        <f>AU25/293.07*(1/(VLOOKUP($AF136,'Fuel economy adjusted factor'!$A$2:$L$52,5,FALSE)*m2k))/'TCO Inputs'!$AZ$84</f>
        <v>187.11493379000524</v>
      </c>
      <c r="AV136" s="125">
        <f>AV25/293.07*(1/(VLOOKUP($AF136,'Fuel economy adjusted factor'!$A$2:$L$52,5,FALSE)*m2k))/'TCO Inputs'!$AZ$84</f>
        <v>187.11493379000524</v>
      </c>
      <c r="AW136" s="125">
        <f>AW25/293.07*(1/(VLOOKUP($AF136,'Fuel economy adjusted factor'!$A$2:$L$52,5,FALSE)*m2k))/'TCO Inputs'!$AZ$84</f>
        <v>187.11493379000524</v>
      </c>
      <c r="AX136" s="125">
        <f>AX25/293.07*(1/(VLOOKUP($AF136,'Fuel economy adjusted factor'!$A$2:$L$52,5,FALSE)*m2k))/'TCO Inputs'!$AZ$84</f>
        <v>187.11493379000524</v>
      </c>
      <c r="AY136" s="125">
        <f>AY25/293.07*(1/(VLOOKUP($AF136,'Fuel economy adjusted factor'!$A$2:$L$52,5,FALSE)*m2k))/'TCO Inputs'!$AZ$84</f>
        <v>187.11493379000524</v>
      </c>
      <c r="AZ136" s="125">
        <f>AZ25/293.07*(1/(VLOOKUP($AF136,'Fuel economy adjusted factor'!$A$2:$L$52,5,FALSE)*m2k))/'TCO Inputs'!$AZ$84</f>
        <v>187.11493379000524</v>
      </c>
      <c r="BA136" s="125">
        <f>BA25/293.07*(1/(VLOOKUP($AF136,'Fuel economy adjusted factor'!$A$2:$L$52,5,FALSE)*m2k))/'TCO Inputs'!$AZ$84</f>
        <v>187.11493379000524</v>
      </c>
      <c r="BB136" s="125">
        <f>BB25/293.07*(1/(VLOOKUP($AF136,'Fuel economy adjusted factor'!$A$2:$L$52,5,FALSE)*m2k))/'TCO Inputs'!$AZ$84</f>
        <v>187.11493379000524</v>
      </c>
      <c r="BC136" s="125">
        <f>BC25/293.07*(1/(VLOOKUP($AF136,'Fuel economy adjusted factor'!$A$2:$L$52,5,FALSE)*m2k))/'TCO Inputs'!$AZ$84</f>
        <v>187.11493379000524</v>
      </c>
      <c r="BD136" s="125">
        <f>BD25/293.07*(1/(VLOOKUP($AF136,'Fuel economy adjusted factor'!$A$2:$L$52,5,FALSE)*m2k))/'TCO Inputs'!$AZ$84</f>
        <v>187.11493379000524</v>
      </c>
      <c r="BE136" s="125">
        <f>BE25/293.07*(1/(VLOOKUP($AF136,'Fuel economy adjusted factor'!$A$2:$L$52,5,FALSE)*m2k))/'TCO Inputs'!$AZ$84</f>
        <v>187.11493379000524</v>
      </c>
      <c r="BF136" s="125">
        <f>BF25/293.07*(1/(VLOOKUP($AF136,'Fuel economy adjusted factor'!$A$2:$L$52,5,FALSE)*m2k))/'TCO Inputs'!$AZ$84</f>
        <v>187.11493379000524</v>
      </c>
      <c r="BG136" s="125">
        <f>BG25/293.07*(1/(VLOOKUP($AF136,'Fuel economy adjusted factor'!$A$2:$L$52,5,FALSE)*m2k))/'TCO Inputs'!$AZ$84</f>
        <v>187.11493379000524</v>
      </c>
      <c r="BH136" s="125">
        <f>BH25/293.07*(1/(VLOOKUP($AF136,'Fuel economy adjusted factor'!$A$2:$L$52,5,FALSE)*m2k))/'TCO Inputs'!$AZ$84</f>
        <v>187.11493379000524</v>
      </c>
      <c r="BI136" s="98" cm="1">
        <f t="array" ref="BI136">SUMPRODUCT(INDEX(AG136:BH136,,'TCO Inputs'!$AZ$12-2023+_xlfn.SEQUENCE('TCO Inputs'!$AZ$13))*INDEX('VKT US'!C84:AA84,,_xlfn.SEQUENCE('TCO Inputs'!$AZ$13)))*m2k*CONVERT(0.9072,"g","ton")</f>
        <v>56.593365904334973</v>
      </c>
      <c r="BL136" s="123" t="s">
        <v>204</v>
      </c>
      <c r="BM136" s="125">
        <f>BM25/293.07*(1/(VLOOKUP($BL136,'Fuel economy adjusted factor'!$A$2:$L$52,5,FALSE)*m2k))/'TCO Inputs'!$AZ$84</f>
        <v>139.10390527285736</v>
      </c>
      <c r="BN136" s="125">
        <f>BN25/293.07*(1/(VLOOKUP($BL136,'Fuel economy adjusted factor'!$A$2:$L$52,5,FALSE)*m2k))/'TCO Inputs'!$AZ$84</f>
        <v>139.10390527285736</v>
      </c>
      <c r="BO136" s="125">
        <f>BO25/293.07*(1/(VLOOKUP($BL136,'Fuel economy adjusted factor'!$A$2:$L$52,5,FALSE)*m2k))/'TCO Inputs'!$AZ$84</f>
        <v>139.10390527285736</v>
      </c>
      <c r="BP136" s="125">
        <f>BP25/293.07*(1/(VLOOKUP($BL136,'Fuel economy adjusted factor'!$A$2:$L$52,5,FALSE)*m2k))/'TCO Inputs'!$AZ$84</f>
        <v>139.10390527285736</v>
      </c>
      <c r="BQ136" s="125">
        <f>BQ25/293.07*(1/(VLOOKUP($BL136,'Fuel economy adjusted factor'!$A$2:$L$52,5,FALSE)*m2k))/'TCO Inputs'!$AZ$84</f>
        <v>139.10390527285736</v>
      </c>
      <c r="BR136" s="125">
        <f>BR25/293.07*(1/(VLOOKUP($BL136,'Fuel economy adjusted factor'!$A$2:$L$52,5,FALSE)*m2k))/'TCO Inputs'!$AZ$84</f>
        <v>139.10390527285736</v>
      </c>
      <c r="BS136" s="125">
        <f>BS25/293.07*(1/(VLOOKUP($BL136,'Fuel economy adjusted factor'!$A$2:$L$52,5,FALSE)*m2k))/'TCO Inputs'!$AZ$84</f>
        <v>139.10390527285736</v>
      </c>
      <c r="BT136" s="125">
        <f>BT25/293.07*(1/(VLOOKUP($BL136,'Fuel economy adjusted factor'!$A$2:$L$52,5,FALSE)*m2k))/'TCO Inputs'!$AZ$84</f>
        <v>139.10390527285736</v>
      </c>
      <c r="BU136" s="125">
        <f>BU25/293.07*(1/(VLOOKUP($BL136,'Fuel economy adjusted factor'!$A$2:$L$52,5,FALSE)*m2k))/'TCO Inputs'!$AZ$84</f>
        <v>139.10390527285736</v>
      </c>
      <c r="BV136" s="125">
        <f>BV25/293.07*(1/(VLOOKUP($BL136,'Fuel economy adjusted factor'!$A$2:$L$52,5,FALSE)*m2k))/'TCO Inputs'!$AZ$84</f>
        <v>139.10390527285736</v>
      </c>
      <c r="BW136" s="125">
        <f>BW25/293.07*(1/(VLOOKUP($BL136,'Fuel economy adjusted factor'!$A$2:$L$52,5,FALSE)*m2k))/'TCO Inputs'!$AZ$84</f>
        <v>139.10390527285736</v>
      </c>
      <c r="BX136" s="125">
        <f>BX25/293.07*(1/(VLOOKUP($BL136,'Fuel economy adjusted factor'!$A$2:$L$52,5,FALSE)*m2k))/'TCO Inputs'!$AZ$84</f>
        <v>139.10390527285736</v>
      </c>
      <c r="BY136" s="125">
        <f>BY25/293.07*(1/(VLOOKUP($BL136,'Fuel economy adjusted factor'!$A$2:$L$52,5,FALSE)*m2k))/'TCO Inputs'!$AZ$84</f>
        <v>139.10390527285736</v>
      </c>
      <c r="BZ136" s="125">
        <f>BZ25/293.07*(1/(VLOOKUP($BL136,'Fuel economy adjusted factor'!$A$2:$L$52,5,FALSE)*m2k))/'TCO Inputs'!$AZ$84</f>
        <v>139.10390527285736</v>
      </c>
      <c r="CA136" s="125">
        <f>CA25/293.07*(1/(VLOOKUP($BL136,'Fuel economy adjusted factor'!$A$2:$L$52,5,FALSE)*m2k))/'TCO Inputs'!$AZ$84</f>
        <v>139.10390527285736</v>
      </c>
      <c r="CB136" s="125">
        <f>CB25/293.07*(1/(VLOOKUP($BL136,'Fuel economy adjusted factor'!$A$2:$L$52,5,FALSE)*m2k))/'TCO Inputs'!$AZ$84</f>
        <v>139.10390527285736</v>
      </c>
      <c r="CC136" s="125">
        <f>CC25/293.07*(1/(VLOOKUP($BL136,'Fuel economy adjusted factor'!$A$2:$L$52,5,FALSE)*m2k))/'TCO Inputs'!$AZ$84</f>
        <v>139.10390527285736</v>
      </c>
      <c r="CD136" s="125">
        <f>CD25/293.07*(1/(VLOOKUP($BL136,'Fuel economy adjusted factor'!$A$2:$L$52,5,FALSE)*m2k))/'TCO Inputs'!$AZ$84</f>
        <v>139.10390527285736</v>
      </c>
      <c r="CE136" s="125">
        <f>CE25/293.07*(1/(VLOOKUP($BL136,'Fuel economy adjusted factor'!$A$2:$L$52,5,FALSE)*m2k))/'TCO Inputs'!$AZ$84</f>
        <v>139.10390527285736</v>
      </c>
      <c r="CF136" s="125">
        <f>CF25/293.07*(1/(VLOOKUP($BL136,'Fuel economy adjusted factor'!$A$2:$L$52,5,FALSE)*m2k))/'TCO Inputs'!$AZ$84</f>
        <v>139.10390527285736</v>
      </c>
      <c r="CG136" s="125">
        <f>CG25/293.07*(1/(VLOOKUP($BL136,'Fuel economy adjusted factor'!$A$2:$L$52,5,FALSE)*m2k))/'TCO Inputs'!$AZ$84</f>
        <v>139.10390527285736</v>
      </c>
      <c r="CH136" s="125">
        <f>CH25/293.07*(1/(VLOOKUP($BL136,'Fuel economy adjusted factor'!$A$2:$L$52,5,FALSE)*m2k))/'TCO Inputs'!$AZ$84</f>
        <v>139.10390527285736</v>
      </c>
      <c r="CI136" s="125">
        <f>CI25/293.07*(1/(VLOOKUP($BL136,'Fuel economy adjusted factor'!$A$2:$L$52,5,FALSE)*m2k))/'TCO Inputs'!$AZ$84</f>
        <v>139.10390527285736</v>
      </c>
      <c r="CJ136" s="125">
        <f>CJ25/293.07*(1/(VLOOKUP($BL136,'Fuel economy adjusted factor'!$A$2:$L$52,5,FALSE)*m2k))/'TCO Inputs'!$AZ$84</f>
        <v>139.10390527285736</v>
      </c>
      <c r="CK136" s="125">
        <f>CK25/293.07*(1/(VLOOKUP($BL136,'Fuel economy adjusted factor'!$A$2:$L$52,5,FALSE)*m2k))/'TCO Inputs'!$AZ$84</f>
        <v>139.10390527285736</v>
      </c>
      <c r="CL136" s="125">
        <f>CL25/293.07*(1/(VLOOKUP($BL136,'Fuel economy adjusted factor'!$A$2:$L$52,5,FALSE)*m2k))/'TCO Inputs'!$AZ$84</f>
        <v>139.10390527285736</v>
      </c>
      <c r="CM136" s="125">
        <f>CM25/293.07*(1/(VLOOKUP($BL136,'Fuel economy adjusted factor'!$A$2:$L$52,5,FALSE)*m2k))/'TCO Inputs'!$AZ$84</f>
        <v>139.10390527285736</v>
      </c>
      <c r="CN136" s="125">
        <f>CN25/293.07*(1/(VLOOKUP($BL136,'Fuel economy adjusted factor'!$A$2:$L$52,5,FALSE)*m2k))/'TCO Inputs'!$AZ$84</f>
        <v>139.10390527285736</v>
      </c>
      <c r="CO136" s="98" cm="1">
        <f t="array" ref="CO136">SUMPRODUCT(INDEX(BM136:CN136,,'TCO Inputs'!$AZ$12-2023+_xlfn.SEQUENCE('TCO Inputs'!$AZ$13))*INDEX('VKT US'!C84:AA84,,_xlfn.SEQUENCE('TCO Inputs'!$AZ$13)))*m2k*CONVERT(0.9072,"g","ton")</f>
        <v>42.072313793316653</v>
      </c>
    </row>
    <row r="137" spans="1:93" x14ac:dyDescent="0.25">
      <c r="A137" s="123" t="s">
        <v>205</v>
      </c>
      <c r="B137" s="125">
        <f>B26/293.07*(1/(VLOOKUP($A137,'Fuel economy adjusted factor'!$A$2:$L$52,5,FALSE)*m2k))/'TCO Inputs'!$AZ$84</f>
        <v>136.4149121785299</v>
      </c>
      <c r="C137" s="125">
        <f>C26/293.07*(1/(VLOOKUP($A137,'Fuel economy adjusted factor'!$A$2:$L$52,5,FALSE)*m2k))/'TCO Inputs'!$AZ$84</f>
        <v>136.4149121785299</v>
      </c>
      <c r="D137" s="125">
        <f>D26/293.07*(1/(VLOOKUP($A137,'Fuel economy adjusted factor'!$A$2:$L$52,5,FALSE)*m2k))/'TCO Inputs'!$AZ$84</f>
        <v>136.4149121785299</v>
      </c>
      <c r="E137" s="125">
        <f>E26/293.07*(1/(VLOOKUP($A137,'Fuel economy adjusted factor'!$A$2:$L$52,5,FALSE)*m2k))/'TCO Inputs'!$AZ$84</f>
        <v>136.4149121785299</v>
      </c>
      <c r="F137" s="125">
        <f>F26/293.07*(1/(VLOOKUP($A137,'Fuel economy adjusted factor'!$A$2:$L$52,5,FALSE)*m2k))/'TCO Inputs'!$AZ$84</f>
        <v>136.4149121785299</v>
      </c>
      <c r="G137" s="125">
        <f>G26/293.07*(1/(VLOOKUP($A137,'Fuel economy adjusted factor'!$A$2:$L$52,5,FALSE)*m2k))/'TCO Inputs'!$AZ$84</f>
        <v>136.4149121785299</v>
      </c>
      <c r="H137" s="125">
        <f>H26/293.07*(1/(VLOOKUP($A137,'Fuel economy adjusted factor'!$A$2:$L$52,5,FALSE)*m2k))/'TCO Inputs'!$AZ$84</f>
        <v>136.4149121785299</v>
      </c>
      <c r="I137" s="125">
        <f>I26/293.07*(1/(VLOOKUP($A137,'Fuel economy adjusted factor'!$A$2:$L$52,5,FALSE)*m2k))/'TCO Inputs'!$AZ$84</f>
        <v>136.4149121785299</v>
      </c>
      <c r="J137" s="125">
        <f>J26/293.07*(1/(VLOOKUP($A137,'Fuel economy adjusted factor'!$A$2:$L$52,5,FALSE)*m2k))/'TCO Inputs'!$AZ$84</f>
        <v>136.4149121785299</v>
      </c>
      <c r="K137" s="125">
        <f>K26/293.07*(1/(VLOOKUP($A137,'Fuel economy adjusted factor'!$A$2:$L$52,5,FALSE)*m2k))/'TCO Inputs'!$AZ$84</f>
        <v>136.4149121785299</v>
      </c>
      <c r="L137" s="125">
        <f>L26/293.07*(1/(VLOOKUP($A137,'Fuel economy adjusted factor'!$A$2:$L$52,5,FALSE)*m2k))/'TCO Inputs'!$AZ$84</f>
        <v>136.4149121785299</v>
      </c>
      <c r="M137" s="125">
        <f>M26/293.07*(1/(VLOOKUP($A137,'Fuel economy adjusted factor'!$A$2:$L$52,5,FALSE)*m2k))/'TCO Inputs'!$AZ$84</f>
        <v>136.4149121785299</v>
      </c>
      <c r="N137" s="125">
        <f>N26/293.07*(1/(VLOOKUP($A137,'Fuel economy adjusted factor'!$A$2:$L$52,5,FALSE)*m2k))/'TCO Inputs'!$AZ$84</f>
        <v>136.4149121785299</v>
      </c>
      <c r="O137" s="125">
        <f>O26/293.07*(1/(VLOOKUP($A137,'Fuel economy adjusted factor'!$A$2:$L$52,5,FALSE)*m2k))/'TCO Inputs'!$AZ$84</f>
        <v>136.4149121785299</v>
      </c>
      <c r="P137" s="125">
        <f>P26/293.07*(1/(VLOOKUP($A137,'Fuel economy adjusted factor'!$A$2:$L$52,5,FALSE)*m2k))/'TCO Inputs'!$AZ$84</f>
        <v>136.4149121785299</v>
      </c>
      <c r="Q137" s="125">
        <f>Q26/293.07*(1/(VLOOKUP($A137,'Fuel economy adjusted factor'!$A$2:$L$52,5,FALSE)*m2k))/'TCO Inputs'!$AZ$84</f>
        <v>136.4149121785299</v>
      </c>
      <c r="R137" s="125">
        <f>R26/293.07*(1/(VLOOKUP($A137,'Fuel economy adjusted factor'!$A$2:$L$52,5,FALSE)*m2k))/'TCO Inputs'!$AZ$84</f>
        <v>136.4149121785299</v>
      </c>
      <c r="S137" s="125">
        <f>S26/293.07*(1/(VLOOKUP($A137,'Fuel economy adjusted factor'!$A$2:$L$52,5,FALSE)*m2k))/'TCO Inputs'!$AZ$84</f>
        <v>136.4149121785299</v>
      </c>
      <c r="T137" s="125">
        <f>T26/293.07*(1/(VLOOKUP($A137,'Fuel economy adjusted factor'!$A$2:$L$52,5,FALSE)*m2k))/'TCO Inputs'!$AZ$84</f>
        <v>136.4149121785299</v>
      </c>
      <c r="U137" s="125">
        <f>U26/293.07*(1/(VLOOKUP($A137,'Fuel economy adjusted factor'!$A$2:$L$52,5,FALSE)*m2k))/'TCO Inputs'!$AZ$84</f>
        <v>136.4149121785299</v>
      </c>
      <c r="V137" s="125">
        <f>V26/293.07*(1/(VLOOKUP($A137,'Fuel economy adjusted factor'!$A$2:$L$52,5,FALSE)*m2k))/'TCO Inputs'!$AZ$84</f>
        <v>136.4149121785299</v>
      </c>
      <c r="W137" s="125">
        <f>W26/293.07*(1/(VLOOKUP($A137,'Fuel economy adjusted factor'!$A$2:$L$52,5,FALSE)*m2k))/'TCO Inputs'!$AZ$84</f>
        <v>136.4149121785299</v>
      </c>
      <c r="X137" s="125">
        <f>X26/293.07*(1/(VLOOKUP($A137,'Fuel economy adjusted factor'!$A$2:$L$52,5,FALSE)*m2k))/'TCO Inputs'!$AZ$84</f>
        <v>136.4149121785299</v>
      </c>
      <c r="Y137" s="125">
        <f>Y26/293.07*(1/(VLOOKUP($A137,'Fuel economy adjusted factor'!$A$2:$L$52,5,FALSE)*m2k))/'TCO Inputs'!$AZ$84</f>
        <v>136.4149121785299</v>
      </c>
      <c r="Z137" s="125">
        <f>Z26/293.07*(1/(VLOOKUP($A137,'Fuel economy adjusted factor'!$A$2:$L$52,5,FALSE)*m2k))/'TCO Inputs'!$AZ$84</f>
        <v>136.4149121785299</v>
      </c>
      <c r="AA137" s="125">
        <f>AA26/293.07*(1/(VLOOKUP($A137,'Fuel economy adjusted factor'!$A$2:$L$52,5,FALSE)*m2k))/'TCO Inputs'!$AZ$84</f>
        <v>136.4149121785299</v>
      </c>
      <c r="AB137" s="125">
        <f>AB26/293.07*(1/(VLOOKUP($A137,'Fuel economy adjusted factor'!$A$2:$L$52,5,FALSE)*m2k))/'TCO Inputs'!$AZ$84</f>
        <v>136.4149121785299</v>
      </c>
      <c r="AC137" s="125">
        <f>AC26/293.07*(1/(VLOOKUP($A137,'Fuel economy adjusted factor'!$A$2:$L$52,5,FALSE)*m2k))/'TCO Inputs'!$AZ$84</f>
        <v>136.4149121785299</v>
      </c>
      <c r="AD137" s="98" cm="1">
        <f t="array" ref="AD137">SUMPRODUCT(INDEX(B137:AC137,,'TCO Inputs'!$AZ$12-2023+_xlfn.SEQUENCE('TCO Inputs'!$AZ$13))*INDEX('VKT US'!C85:AA85,,_xlfn.SEQUENCE('TCO Inputs'!$AZ$13)))*m2k*CONVERT(0.9072,"g","ton")</f>
        <v>51.64659345435205</v>
      </c>
      <c r="AF137" s="123" t="s">
        <v>205</v>
      </c>
      <c r="AG137" s="125">
        <f>AG26/293.07*(1/(VLOOKUP($AF137,'Fuel economy adjusted factor'!$A$2:$L$52,5,FALSE)*m2k))/'TCO Inputs'!$AZ$84</f>
        <v>159.89298539093144</v>
      </c>
      <c r="AH137" s="125">
        <f>AH26/293.07*(1/(VLOOKUP($AF137,'Fuel economy adjusted factor'!$A$2:$L$52,5,FALSE)*m2k))/'TCO Inputs'!$AZ$84</f>
        <v>159.89298539093144</v>
      </c>
      <c r="AI137" s="125">
        <f>AI26/293.07*(1/(VLOOKUP($AF137,'Fuel economy adjusted factor'!$A$2:$L$52,5,FALSE)*m2k))/'TCO Inputs'!$AZ$84</f>
        <v>159.89298539093144</v>
      </c>
      <c r="AJ137" s="125">
        <f>AJ26/293.07*(1/(VLOOKUP($AF137,'Fuel economy adjusted factor'!$A$2:$L$52,5,FALSE)*m2k))/'TCO Inputs'!$AZ$84</f>
        <v>159.89298539093144</v>
      </c>
      <c r="AK137" s="125">
        <f>AK26/293.07*(1/(VLOOKUP($AF137,'Fuel economy adjusted factor'!$A$2:$L$52,5,FALSE)*m2k))/'TCO Inputs'!$AZ$84</f>
        <v>159.89298539093144</v>
      </c>
      <c r="AL137" s="125">
        <f>AL26/293.07*(1/(VLOOKUP($AF137,'Fuel economy adjusted factor'!$A$2:$L$52,5,FALSE)*m2k))/'TCO Inputs'!$AZ$84</f>
        <v>159.89298539093144</v>
      </c>
      <c r="AM137" s="125">
        <f>AM26/293.07*(1/(VLOOKUP($AF137,'Fuel economy adjusted factor'!$A$2:$L$52,5,FALSE)*m2k))/'TCO Inputs'!$AZ$84</f>
        <v>159.89298539093144</v>
      </c>
      <c r="AN137" s="125">
        <f>AN26/293.07*(1/(VLOOKUP($AF137,'Fuel economy adjusted factor'!$A$2:$L$52,5,FALSE)*m2k))/'TCO Inputs'!$AZ$84</f>
        <v>159.89298539093144</v>
      </c>
      <c r="AO137" s="125">
        <f>AO26/293.07*(1/(VLOOKUP($AF137,'Fuel economy adjusted factor'!$A$2:$L$52,5,FALSE)*m2k))/'TCO Inputs'!$AZ$84</f>
        <v>159.89298539093144</v>
      </c>
      <c r="AP137" s="125">
        <f>AP26/293.07*(1/(VLOOKUP($AF137,'Fuel economy adjusted factor'!$A$2:$L$52,5,FALSE)*m2k))/'TCO Inputs'!$AZ$84</f>
        <v>159.89298539093144</v>
      </c>
      <c r="AQ137" s="125">
        <f>AQ26/293.07*(1/(VLOOKUP($AF137,'Fuel economy adjusted factor'!$A$2:$L$52,5,FALSE)*m2k))/'TCO Inputs'!$AZ$84</f>
        <v>159.89298539093144</v>
      </c>
      <c r="AR137" s="125">
        <f>AR26/293.07*(1/(VLOOKUP($AF137,'Fuel economy adjusted factor'!$A$2:$L$52,5,FALSE)*m2k))/'TCO Inputs'!$AZ$84</f>
        <v>159.89298539093144</v>
      </c>
      <c r="AS137" s="125">
        <f>AS26/293.07*(1/(VLOOKUP($AF137,'Fuel economy adjusted factor'!$A$2:$L$52,5,FALSE)*m2k))/'TCO Inputs'!$AZ$84</f>
        <v>159.89298539093144</v>
      </c>
      <c r="AT137" s="125">
        <f>AT26/293.07*(1/(VLOOKUP($AF137,'Fuel economy adjusted factor'!$A$2:$L$52,5,FALSE)*m2k))/'TCO Inputs'!$AZ$84</f>
        <v>159.89298539093144</v>
      </c>
      <c r="AU137" s="125">
        <f>AU26/293.07*(1/(VLOOKUP($AF137,'Fuel economy adjusted factor'!$A$2:$L$52,5,FALSE)*m2k))/'TCO Inputs'!$AZ$84</f>
        <v>159.89298539093144</v>
      </c>
      <c r="AV137" s="125">
        <f>AV26/293.07*(1/(VLOOKUP($AF137,'Fuel economy adjusted factor'!$A$2:$L$52,5,FALSE)*m2k))/'TCO Inputs'!$AZ$84</f>
        <v>159.89298539093144</v>
      </c>
      <c r="AW137" s="125">
        <f>AW26/293.07*(1/(VLOOKUP($AF137,'Fuel economy adjusted factor'!$A$2:$L$52,5,FALSE)*m2k))/'TCO Inputs'!$AZ$84</f>
        <v>159.89298539093144</v>
      </c>
      <c r="AX137" s="125">
        <f>AX26/293.07*(1/(VLOOKUP($AF137,'Fuel economy adjusted factor'!$A$2:$L$52,5,FALSE)*m2k))/'TCO Inputs'!$AZ$84</f>
        <v>159.89298539093144</v>
      </c>
      <c r="AY137" s="125">
        <f>AY26/293.07*(1/(VLOOKUP($AF137,'Fuel economy adjusted factor'!$A$2:$L$52,5,FALSE)*m2k))/'TCO Inputs'!$AZ$84</f>
        <v>159.89298539093144</v>
      </c>
      <c r="AZ137" s="125">
        <f>AZ26/293.07*(1/(VLOOKUP($AF137,'Fuel economy adjusted factor'!$A$2:$L$52,5,FALSE)*m2k))/'TCO Inputs'!$AZ$84</f>
        <v>159.89298539093144</v>
      </c>
      <c r="BA137" s="125">
        <f>BA26/293.07*(1/(VLOOKUP($AF137,'Fuel economy adjusted factor'!$A$2:$L$52,5,FALSE)*m2k))/'TCO Inputs'!$AZ$84</f>
        <v>159.89298539093144</v>
      </c>
      <c r="BB137" s="125">
        <f>BB26/293.07*(1/(VLOOKUP($AF137,'Fuel economy adjusted factor'!$A$2:$L$52,5,FALSE)*m2k))/'TCO Inputs'!$AZ$84</f>
        <v>159.89298539093144</v>
      </c>
      <c r="BC137" s="125">
        <f>BC26/293.07*(1/(VLOOKUP($AF137,'Fuel economy adjusted factor'!$A$2:$L$52,5,FALSE)*m2k))/'TCO Inputs'!$AZ$84</f>
        <v>159.89298539093144</v>
      </c>
      <c r="BD137" s="125">
        <f>BD26/293.07*(1/(VLOOKUP($AF137,'Fuel economy adjusted factor'!$A$2:$L$52,5,FALSE)*m2k))/'TCO Inputs'!$AZ$84</f>
        <v>159.89298539093144</v>
      </c>
      <c r="BE137" s="125">
        <f>BE26/293.07*(1/(VLOOKUP($AF137,'Fuel economy adjusted factor'!$A$2:$L$52,5,FALSE)*m2k))/'TCO Inputs'!$AZ$84</f>
        <v>159.89298539093144</v>
      </c>
      <c r="BF137" s="125">
        <f>BF26/293.07*(1/(VLOOKUP($AF137,'Fuel economy adjusted factor'!$A$2:$L$52,5,FALSE)*m2k))/'TCO Inputs'!$AZ$84</f>
        <v>159.89298539093144</v>
      </c>
      <c r="BG137" s="125">
        <f>BG26/293.07*(1/(VLOOKUP($AF137,'Fuel economy adjusted factor'!$A$2:$L$52,5,FALSE)*m2k))/'TCO Inputs'!$AZ$84</f>
        <v>159.89298539093144</v>
      </c>
      <c r="BH137" s="125">
        <f>BH26/293.07*(1/(VLOOKUP($AF137,'Fuel economy adjusted factor'!$A$2:$L$52,5,FALSE)*m2k))/'TCO Inputs'!$AZ$84</f>
        <v>159.89298539093144</v>
      </c>
      <c r="BI137" s="98" cm="1">
        <f t="array" ref="BI137">SUMPRODUCT(INDEX(AG137:BH137,,'TCO Inputs'!$AZ$12-2023+_xlfn.SEQUENCE('TCO Inputs'!$AZ$13))*INDEX('VKT US'!C85:AA85,,_xlfn.SEQUENCE('TCO Inputs'!$AZ$13)))*m2k*CONVERT(0.9072,"g","ton")</f>
        <v>60.535376087628258</v>
      </c>
      <c r="BL137" s="123" t="s">
        <v>205</v>
      </c>
      <c r="BM137" s="125">
        <f>BM26/293.07*(1/(VLOOKUP($BL137,'Fuel economy adjusted factor'!$A$2:$L$52,5,FALSE)*m2k))/'TCO Inputs'!$AZ$84</f>
        <v>118.86672134131143</v>
      </c>
      <c r="BN137" s="125">
        <f>BN26/293.07*(1/(VLOOKUP($BL137,'Fuel economy adjusted factor'!$A$2:$L$52,5,FALSE)*m2k))/'TCO Inputs'!$AZ$84</f>
        <v>118.86672134131143</v>
      </c>
      <c r="BO137" s="125">
        <f>BO26/293.07*(1/(VLOOKUP($BL137,'Fuel economy adjusted factor'!$A$2:$L$52,5,FALSE)*m2k))/'TCO Inputs'!$AZ$84</f>
        <v>118.86672134131143</v>
      </c>
      <c r="BP137" s="125">
        <f>BP26/293.07*(1/(VLOOKUP($BL137,'Fuel economy adjusted factor'!$A$2:$L$52,5,FALSE)*m2k))/'TCO Inputs'!$AZ$84</f>
        <v>118.86672134131143</v>
      </c>
      <c r="BQ137" s="125">
        <f>BQ26/293.07*(1/(VLOOKUP($BL137,'Fuel economy adjusted factor'!$A$2:$L$52,5,FALSE)*m2k))/'TCO Inputs'!$AZ$84</f>
        <v>118.86672134131143</v>
      </c>
      <c r="BR137" s="125">
        <f>BR26/293.07*(1/(VLOOKUP($BL137,'Fuel economy adjusted factor'!$A$2:$L$52,5,FALSE)*m2k))/'TCO Inputs'!$AZ$84</f>
        <v>118.86672134131143</v>
      </c>
      <c r="BS137" s="125">
        <f>BS26/293.07*(1/(VLOOKUP($BL137,'Fuel economy adjusted factor'!$A$2:$L$52,5,FALSE)*m2k))/'TCO Inputs'!$AZ$84</f>
        <v>118.86672134131143</v>
      </c>
      <c r="BT137" s="125">
        <f>BT26/293.07*(1/(VLOOKUP($BL137,'Fuel economy adjusted factor'!$A$2:$L$52,5,FALSE)*m2k))/'TCO Inputs'!$AZ$84</f>
        <v>118.86672134131143</v>
      </c>
      <c r="BU137" s="125">
        <f>BU26/293.07*(1/(VLOOKUP($BL137,'Fuel economy adjusted factor'!$A$2:$L$52,5,FALSE)*m2k))/'TCO Inputs'!$AZ$84</f>
        <v>118.86672134131143</v>
      </c>
      <c r="BV137" s="125">
        <f>BV26/293.07*(1/(VLOOKUP($BL137,'Fuel economy adjusted factor'!$A$2:$L$52,5,FALSE)*m2k))/'TCO Inputs'!$AZ$84</f>
        <v>118.86672134131143</v>
      </c>
      <c r="BW137" s="125">
        <f>BW26/293.07*(1/(VLOOKUP($BL137,'Fuel economy adjusted factor'!$A$2:$L$52,5,FALSE)*m2k))/'TCO Inputs'!$AZ$84</f>
        <v>118.86672134131143</v>
      </c>
      <c r="BX137" s="125">
        <f>BX26/293.07*(1/(VLOOKUP($BL137,'Fuel economy adjusted factor'!$A$2:$L$52,5,FALSE)*m2k))/'TCO Inputs'!$AZ$84</f>
        <v>118.86672134131143</v>
      </c>
      <c r="BY137" s="125">
        <f>BY26/293.07*(1/(VLOOKUP($BL137,'Fuel economy adjusted factor'!$A$2:$L$52,5,FALSE)*m2k))/'TCO Inputs'!$AZ$84</f>
        <v>118.86672134131143</v>
      </c>
      <c r="BZ137" s="125">
        <f>BZ26/293.07*(1/(VLOOKUP($BL137,'Fuel economy adjusted factor'!$A$2:$L$52,5,FALSE)*m2k))/'TCO Inputs'!$AZ$84</f>
        <v>118.86672134131143</v>
      </c>
      <c r="CA137" s="125">
        <f>CA26/293.07*(1/(VLOOKUP($BL137,'Fuel economy adjusted factor'!$A$2:$L$52,5,FALSE)*m2k))/'TCO Inputs'!$AZ$84</f>
        <v>118.86672134131143</v>
      </c>
      <c r="CB137" s="125">
        <f>CB26/293.07*(1/(VLOOKUP($BL137,'Fuel economy adjusted factor'!$A$2:$L$52,5,FALSE)*m2k))/'TCO Inputs'!$AZ$84</f>
        <v>118.86672134131143</v>
      </c>
      <c r="CC137" s="125">
        <f>CC26/293.07*(1/(VLOOKUP($BL137,'Fuel economy adjusted factor'!$A$2:$L$52,5,FALSE)*m2k))/'TCO Inputs'!$AZ$84</f>
        <v>118.86672134131143</v>
      </c>
      <c r="CD137" s="125">
        <f>CD26/293.07*(1/(VLOOKUP($BL137,'Fuel economy adjusted factor'!$A$2:$L$52,5,FALSE)*m2k))/'TCO Inputs'!$AZ$84</f>
        <v>118.86672134131143</v>
      </c>
      <c r="CE137" s="125">
        <f>CE26/293.07*(1/(VLOOKUP($BL137,'Fuel economy adjusted factor'!$A$2:$L$52,5,FALSE)*m2k))/'TCO Inputs'!$AZ$84</f>
        <v>118.86672134131143</v>
      </c>
      <c r="CF137" s="125">
        <f>CF26/293.07*(1/(VLOOKUP($BL137,'Fuel economy adjusted factor'!$A$2:$L$52,5,FALSE)*m2k))/'TCO Inputs'!$AZ$84</f>
        <v>118.86672134131143</v>
      </c>
      <c r="CG137" s="125">
        <f>CG26/293.07*(1/(VLOOKUP($BL137,'Fuel economy adjusted factor'!$A$2:$L$52,5,FALSE)*m2k))/'TCO Inputs'!$AZ$84</f>
        <v>118.86672134131143</v>
      </c>
      <c r="CH137" s="125">
        <f>CH26/293.07*(1/(VLOOKUP($BL137,'Fuel economy adjusted factor'!$A$2:$L$52,5,FALSE)*m2k))/'TCO Inputs'!$AZ$84</f>
        <v>118.86672134131143</v>
      </c>
      <c r="CI137" s="125">
        <f>CI26/293.07*(1/(VLOOKUP($BL137,'Fuel economy adjusted factor'!$A$2:$L$52,5,FALSE)*m2k))/'TCO Inputs'!$AZ$84</f>
        <v>118.86672134131143</v>
      </c>
      <c r="CJ137" s="125">
        <f>CJ26/293.07*(1/(VLOOKUP($BL137,'Fuel economy adjusted factor'!$A$2:$L$52,5,FALSE)*m2k))/'TCO Inputs'!$AZ$84</f>
        <v>118.86672134131143</v>
      </c>
      <c r="CK137" s="125">
        <f>CK26/293.07*(1/(VLOOKUP($BL137,'Fuel economy adjusted factor'!$A$2:$L$52,5,FALSE)*m2k))/'TCO Inputs'!$AZ$84</f>
        <v>118.86672134131143</v>
      </c>
      <c r="CL137" s="125">
        <f>CL26/293.07*(1/(VLOOKUP($BL137,'Fuel economy adjusted factor'!$A$2:$L$52,5,FALSE)*m2k))/'TCO Inputs'!$AZ$84</f>
        <v>118.86672134131143</v>
      </c>
      <c r="CM137" s="125">
        <f>CM26/293.07*(1/(VLOOKUP($BL137,'Fuel economy adjusted factor'!$A$2:$L$52,5,FALSE)*m2k))/'TCO Inputs'!$AZ$84</f>
        <v>118.86672134131143</v>
      </c>
      <c r="CN137" s="125">
        <f>CN26/293.07*(1/(VLOOKUP($BL137,'Fuel economy adjusted factor'!$A$2:$L$52,5,FALSE)*m2k))/'TCO Inputs'!$AZ$84</f>
        <v>118.86672134131143</v>
      </c>
      <c r="CO137" s="98" cm="1">
        <f t="array" ref="CO137">SUMPRODUCT(INDEX(BM137:CN137,,'TCO Inputs'!$AZ$12-2023+_xlfn.SEQUENCE('TCO Inputs'!$AZ$13))*INDEX('VKT US'!C85:AA85,,_xlfn.SEQUENCE('TCO Inputs'!$AZ$13)))*m2k*CONVERT(0.9072,"g","ton")</f>
        <v>45.002860276243915</v>
      </c>
    </row>
    <row r="138" spans="1:93" x14ac:dyDescent="0.25">
      <c r="A138" s="123" t="s">
        <v>207</v>
      </c>
      <c r="B138" s="125">
        <f>B27/293.07*(1/(VLOOKUP($A138,'Fuel economy adjusted factor'!$A$2:$L$52,5,FALSE)*m2k))/'TCO Inputs'!$AZ$84</f>
        <v>139.48151695558198</v>
      </c>
      <c r="C138" s="125">
        <f>C27/293.07*(1/(VLOOKUP($A138,'Fuel economy adjusted factor'!$A$2:$L$52,5,FALSE)*m2k))/'TCO Inputs'!$AZ$84</f>
        <v>139.48151695558198</v>
      </c>
      <c r="D138" s="125">
        <f>D27/293.07*(1/(VLOOKUP($A138,'Fuel economy adjusted factor'!$A$2:$L$52,5,FALSE)*m2k))/'TCO Inputs'!$AZ$84</f>
        <v>139.48151695558198</v>
      </c>
      <c r="E138" s="125">
        <f>E27/293.07*(1/(VLOOKUP($A138,'Fuel economy adjusted factor'!$A$2:$L$52,5,FALSE)*m2k))/'TCO Inputs'!$AZ$84</f>
        <v>139.48151695558198</v>
      </c>
      <c r="F138" s="125">
        <f>F27/293.07*(1/(VLOOKUP($A138,'Fuel economy adjusted factor'!$A$2:$L$52,5,FALSE)*m2k))/'TCO Inputs'!$AZ$84</f>
        <v>139.48151695558198</v>
      </c>
      <c r="G138" s="125">
        <f>G27/293.07*(1/(VLOOKUP($A138,'Fuel economy adjusted factor'!$A$2:$L$52,5,FALSE)*m2k))/'TCO Inputs'!$AZ$84</f>
        <v>139.48151695558198</v>
      </c>
      <c r="H138" s="125">
        <f>H27/293.07*(1/(VLOOKUP($A138,'Fuel economy adjusted factor'!$A$2:$L$52,5,FALSE)*m2k))/'TCO Inputs'!$AZ$84</f>
        <v>139.48151695558198</v>
      </c>
      <c r="I138" s="125">
        <f>I27/293.07*(1/(VLOOKUP($A138,'Fuel economy adjusted factor'!$A$2:$L$52,5,FALSE)*m2k))/'TCO Inputs'!$AZ$84</f>
        <v>139.48151695558198</v>
      </c>
      <c r="J138" s="125">
        <f>J27/293.07*(1/(VLOOKUP($A138,'Fuel economy adjusted factor'!$A$2:$L$52,5,FALSE)*m2k))/'TCO Inputs'!$AZ$84</f>
        <v>139.48151695558198</v>
      </c>
      <c r="K138" s="125">
        <f>K27/293.07*(1/(VLOOKUP($A138,'Fuel economy adjusted factor'!$A$2:$L$52,5,FALSE)*m2k))/'TCO Inputs'!$AZ$84</f>
        <v>139.48151695558198</v>
      </c>
      <c r="L138" s="125">
        <f>L27/293.07*(1/(VLOOKUP($A138,'Fuel economy adjusted factor'!$A$2:$L$52,5,FALSE)*m2k))/'TCO Inputs'!$AZ$84</f>
        <v>139.48151695558198</v>
      </c>
      <c r="M138" s="125">
        <f>M27/293.07*(1/(VLOOKUP($A138,'Fuel economy adjusted factor'!$A$2:$L$52,5,FALSE)*m2k))/'TCO Inputs'!$AZ$84</f>
        <v>139.48151695558198</v>
      </c>
      <c r="N138" s="125">
        <f>N27/293.07*(1/(VLOOKUP($A138,'Fuel economy adjusted factor'!$A$2:$L$52,5,FALSE)*m2k))/'TCO Inputs'!$AZ$84</f>
        <v>139.48151695558198</v>
      </c>
      <c r="O138" s="125">
        <f>O27/293.07*(1/(VLOOKUP($A138,'Fuel economy adjusted factor'!$A$2:$L$52,5,FALSE)*m2k))/'TCO Inputs'!$AZ$84</f>
        <v>139.48151695558198</v>
      </c>
      <c r="P138" s="125">
        <f>P27/293.07*(1/(VLOOKUP($A138,'Fuel economy adjusted factor'!$A$2:$L$52,5,FALSE)*m2k))/'TCO Inputs'!$AZ$84</f>
        <v>139.48151695558198</v>
      </c>
      <c r="Q138" s="125">
        <f>Q27/293.07*(1/(VLOOKUP($A138,'Fuel economy adjusted factor'!$A$2:$L$52,5,FALSE)*m2k))/'TCO Inputs'!$AZ$84</f>
        <v>139.48151695558198</v>
      </c>
      <c r="R138" s="125">
        <f>R27/293.07*(1/(VLOOKUP($A138,'Fuel economy adjusted factor'!$A$2:$L$52,5,FALSE)*m2k))/'TCO Inputs'!$AZ$84</f>
        <v>139.48151695558198</v>
      </c>
      <c r="S138" s="125">
        <f>S27/293.07*(1/(VLOOKUP($A138,'Fuel economy adjusted factor'!$A$2:$L$52,5,FALSE)*m2k))/'TCO Inputs'!$AZ$84</f>
        <v>139.48151695558198</v>
      </c>
      <c r="T138" s="125">
        <f>T27/293.07*(1/(VLOOKUP($A138,'Fuel economy adjusted factor'!$A$2:$L$52,5,FALSE)*m2k))/'TCO Inputs'!$AZ$84</f>
        <v>139.48151695558198</v>
      </c>
      <c r="U138" s="125">
        <f>U27/293.07*(1/(VLOOKUP($A138,'Fuel economy adjusted factor'!$A$2:$L$52,5,FALSE)*m2k))/'TCO Inputs'!$AZ$84</f>
        <v>139.48151695558198</v>
      </c>
      <c r="V138" s="125">
        <f>V27/293.07*(1/(VLOOKUP($A138,'Fuel economy adjusted factor'!$A$2:$L$52,5,FALSE)*m2k))/'TCO Inputs'!$AZ$84</f>
        <v>139.48151695558198</v>
      </c>
      <c r="W138" s="125">
        <f>W27/293.07*(1/(VLOOKUP($A138,'Fuel economy adjusted factor'!$A$2:$L$52,5,FALSE)*m2k))/'TCO Inputs'!$AZ$84</f>
        <v>139.48151695558198</v>
      </c>
      <c r="X138" s="125">
        <f>X27/293.07*(1/(VLOOKUP($A138,'Fuel economy adjusted factor'!$A$2:$L$52,5,FALSE)*m2k))/'TCO Inputs'!$AZ$84</f>
        <v>139.48151695558198</v>
      </c>
      <c r="Y138" s="125">
        <f>Y27/293.07*(1/(VLOOKUP($A138,'Fuel economy adjusted factor'!$A$2:$L$52,5,FALSE)*m2k))/'TCO Inputs'!$AZ$84</f>
        <v>139.48151695558198</v>
      </c>
      <c r="Z138" s="125">
        <f>Z27/293.07*(1/(VLOOKUP($A138,'Fuel economy adjusted factor'!$A$2:$L$52,5,FALSE)*m2k))/'TCO Inputs'!$AZ$84</f>
        <v>139.48151695558198</v>
      </c>
      <c r="AA138" s="125">
        <f>AA27/293.07*(1/(VLOOKUP($A138,'Fuel economy adjusted factor'!$A$2:$L$52,5,FALSE)*m2k))/'TCO Inputs'!$AZ$84</f>
        <v>139.48151695558198</v>
      </c>
      <c r="AB138" s="125">
        <f>AB27/293.07*(1/(VLOOKUP($A138,'Fuel economy adjusted factor'!$A$2:$L$52,5,FALSE)*m2k))/'TCO Inputs'!$AZ$84</f>
        <v>139.48151695558198</v>
      </c>
      <c r="AC138" s="125">
        <f>AC27/293.07*(1/(VLOOKUP($A138,'Fuel economy adjusted factor'!$A$2:$L$52,5,FALSE)*m2k))/'TCO Inputs'!$AZ$84</f>
        <v>139.48151695558198</v>
      </c>
      <c r="AD138" s="98" cm="1">
        <f t="array" ref="AD138">SUMPRODUCT(INDEX(B138:AC138,,'TCO Inputs'!$AZ$12-2023+_xlfn.SEQUENCE('TCO Inputs'!$AZ$13))*INDEX('VKT US'!C86:AA86,,_xlfn.SEQUENCE('TCO Inputs'!$AZ$13)))*m2k*CONVERT(0.9072,"g","ton")</f>
        <v>58.873008001127779</v>
      </c>
      <c r="AF138" s="123" t="s">
        <v>207</v>
      </c>
      <c r="AG138" s="125">
        <f>AG27/293.07*(1/(VLOOKUP($AF138,'Fuel economy adjusted factor'!$A$2:$L$52,5,FALSE)*m2k))/'TCO Inputs'!$AZ$84</f>
        <v>163.48737683235427</v>
      </c>
      <c r="AH138" s="125">
        <f>AH27/293.07*(1/(VLOOKUP($AF138,'Fuel economy adjusted factor'!$A$2:$L$52,5,FALSE)*m2k))/'TCO Inputs'!$AZ$84</f>
        <v>163.48737683235427</v>
      </c>
      <c r="AI138" s="125">
        <f>AI27/293.07*(1/(VLOOKUP($AF138,'Fuel economy adjusted factor'!$A$2:$L$52,5,FALSE)*m2k))/'TCO Inputs'!$AZ$84</f>
        <v>163.48737683235427</v>
      </c>
      <c r="AJ138" s="125">
        <f>AJ27/293.07*(1/(VLOOKUP($AF138,'Fuel economy adjusted factor'!$A$2:$L$52,5,FALSE)*m2k))/'TCO Inputs'!$AZ$84</f>
        <v>163.48737683235427</v>
      </c>
      <c r="AK138" s="125">
        <f>AK27/293.07*(1/(VLOOKUP($AF138,'Fuel economy adjusted factor'!$A$2:$L$52,5,FALSE)*m2k))/'TCO Inputs'!$AZ$84</f>
        <v>163.48737683235427</v>
      </c>
      <c r="AL138" s="125">
        <f>AL27/293.07*(1/(VLOOKUP($AF138,'Fuel economy adjusted factor'!$A$2:$L$52,5,FALSE)*m2k))/'TCO Inputs'!$AZ$84</f>
        <v>163.48737683235427</v>
      </c>
      <c r="AM138" s="125">
        <f>AM27/293.07*(1/(VLOOKUP($AF138,'Fuel economy adjusted factor'!$A$2:$L$52,5,FALSE)*m2k))/'TCO Inputs'!$AZ$84</f>
        <v>163.48737683235427</v>
      </c>
      <c r="AN138" s="125">
        <f>AN27/293.07*(1/(VLOOKUP($AF138,'Fuel economy adjusted factor'!$A$2:$L$52,5,FALSE)*m2k))/'TCO Inputs'!$AZ$84</f>
        <v>163.48737683235427</v>
      </c>
      <c r="AO138" s="125">
        <f>AO27/293.07*(1/(VLOOKUP($AF138,'Fuel economy adjusted factor'!$A$2:$L$52,5,FALSE)*m2k))/'TCO Inputs'!$AZ$84</f>
        <v>163.48737683235427</v>
      </c>
      <c r="AP138" s="125">
        <f>AP27/293.07*(1/(VLOOKUP($AF138,'Fuel economy adjusted factor'!$A$2:$L$52,5,FALSE)*m2k))/'TCO Inputs'!$AZ$84</f>
        <v>163.48737683235427</v>
      </c>
      <c r="AQ138" s="125">
        <f>AQ27/293.07*(1/(VLOOKUP($AF138,'Fuel economy adjusted factor'!$A$2:$L$52,5,FALSE)*m2k))/'TCO Inputs'!$AZ$84</f>
        <v>163.48737683235427</v>
      </c>
      <c r="AR138" s="125">
        <f>AR27/293.07*(1/(VLOOKUP($AF138,'Fuel economy adjusted factor'!$A$2:$L$52,5,FALSE)*m2k))/'TCO Inputs'!$AZ$84</f>
        <v>163.48737683235427</v>
      </c>
      <c r="AS138" s="125">
        <f>AS27/293.07*(1/(VLOOKUP($AF138,'Fuel economy adjusted factor'!$A$2:$L$52,5,FALSE)*m2k))/'TCO Inputs'!$AZ$84</f>
        <v>163.48737683235427</v>
      </c>
      <c r="AT138" s="125">
        <f>AT27/293.07*(1/(VLOOKUP($AF138,'Fuel economy adjusted factor'!$A$2:$L$52,5,FALSE)*m2k))/'TCO Inputs'!$AZ$84</f>
        <v>163.48737683235427</v>
      </c>
      <c r="AU138" s="125">
        <f>AU27/293.07*(1/(VLOOKUP($AF138,'Fuel economy adjusted factor'!$A$2:$L$52,5,FALSE)*m2k))/'TCO Inputs'!$AZ$84</f>
        <v>163.48737683235427</v>
      </c>
      <c r="AV138" s="125">
        <f>AV27/293.07*(1/(VLOOKUP($AF138,'Fuel economy adjusted factor'!$A$2:$L$52,5,FALSE)*m2k))/'TCO Inputs'!$AZ$84</f>
        <v>163.48737683235427</v>
      </c>
      <c r="AW138" s="125">
        <f>AW27/293.07*(1/(VLOOKUP($AF138,'Fuel economy adjusted factor'!$A$2:$L$52,5,FALSE)*m2k))/'TCO Inputs'!$AZ$84</f>
        <v>163.48737683235427</v>
      </c>
      <c r="AX138" s="125">
        <f>AX27/293.07*(1/(VLOOKUP($AF138,'Fuel economy adjusted factor'!$A$2:$L$52,5,FALSE)*m2k))/'TCO Inputs'!$AZ$84</f>
        <v>163.48737683235427</v>
      </c>
      <c r="AY138" s="125">
        <f>AY27/293.07*(1/(VLOOKUP($AF138,'Fuel economy adjusted factor'!$A$2:$L$52,5,FALSE)*m2k))/'TCO Inputs'!$AZ$84</f>
        <v>163.48737683235427</v>
      </c>
      <c r="AZ138" s="125">
        <f>AZ27/293.07*(1/(VLOOKUP($AF138,'Fuel economy adjusted factor'!$A$2:$L$52,5,FALSE)*m2k))/'TCO Inputs'!$AZ$84</f>
        <v>163.48737683235427</v>
      </c>
      <c r="BA138" s="125">
        <f>BA27/293.07*(1/(VLOOKUP($AF138,'Fuel economy adjusted factor'!$A$2:$L$52,5,FALSE)*m2k))/'TCO Inputs'!$AZ$84</f>
        <v>163.48737683235427</v>
      </c>
      <c r="BB138" s="125">
        <f>BB27/293.07*(1/(VLOOKUP($AF138,'Fuel economy adjusted factor'!$A$2:$L$52,5,FALSE)*m2k))/'TCO Inputs'!$AZ$84</f>
        <v>163.48737683235427</v>
      </c>
      <c r="BC138" s="125">
        <f>BC27/293.07*(1/(VLOOKUP($AF138,'Fuel economy adjusted factor'!$A$2:$L$52,5,FALSE)*m2k))/'TCO Inputs'!$AZ$84</f>
        <v>163.48737683235427</v>
      </c>
      <c r="BD138" s="125">
        <f>BD27/293.07*(1/(VLOOKUP($AF138,'Fuel economy adjusted factor'!$A$2:$L$52,5,FALSE)*m2k))/'TCO Inputs'!$AZ$84</f>
        <v>163.48737683235427</v>
      </c>
      <c r="BE138" s="125">
        <f>BE27/293.07*(1/(VLOOKUP($AF138,'Fuel economy adjusted factor'!$A$2:$L$52,5,FALSE)*m2k))/'TCO Inputs'!$AZ$84</f>
        <v>163.48737683235427</v>
      </c>
      <c r="BF138" s="125">
        <f>BF27/293.07*(1/(VLOOKUP($AF138,'Fuel economy adjusted factor'!$A$2:$L$52,5,FALSE)*m2k))/'TCO Inputs'!$AZ$84</f>
        <v>163.48737683235427</v>
      </c>
      <c r="BG138" s="125">
        <f>BG27/293.07*(1/(VLOOKUP($AF138,'Fuel economy adjusted factor'!$A$2:$L$52,5,FALSE)*m2k))/'TCO Inputs'!$AZ$84</f>
        <v>163.48737683235427</v>
      </c>
      <c r="BH138" s="125">
        <f>BH27/293.07*(1/(VLOOKUP($AF138,'Fuel economy adjusted factor'!$A$2:$L$52,5,FALSE)*m2k))/'TCO Inputs'!$AZ$84</f>
        <v>163.48737683235427</v>
      </c>
      <c r="BI138" s="98" cm="1">
        <f t="array" ref="BI138">SUMPRODUCT(INDEX(AG138:BH138,,'TCO Inputs'!$AZ$12-2023+_xlfn.SEQUENCE('TCO Inputs'!$AZ$13))*INDEX('VKT US'!C86:AA86,,_xlfn.SEQUENCE('TCO Inputs'!$AZ$13)))*m2k*CONVERT(0.9072,"g","ton")</f>
        <v>69.005513091742984</v>
      </c>
      <c r="BL138" s="123" t="s">
        <v>207</v>
      </c>
      <c r="BM138" s="125">
        <f>BM27/293.07*(1/(VLOOKUP($BL138,'Fuel economy adjusted factor'!$A$2:$L$52,5,FALSE)*m2k))/'TCO Inputs'!$AZ$84</f>
        <v>121.53884310334234</v>
      </c>
      <c r="BN138" s="125">
        <f>BN27/293.07*(1/(VLOOKUP($BL138,'Fuel economy adjusted factor'!$A$2:$L$52,5,FALSE)*m2k))/'TCO Inputs'!$AZ$84</f>
        <v>121.53884310334234</v>
      </c>
      <c r="BO138" s="125">
        <f>BO27/293.07*(1/(VLOOKUP($BL138,'Fuel economy adjusted factor'!$A$2:$L$52,5,FALSE)*m2k))/'TCO Inputs'!$AZ$84</f>
        <v>121.53884310334234</v>
      </c>
      <c r="BP138" s="125">
        <f>BP27/293.07*(1/(VLOOKUP($BL138,'Fuel economy adjusted factor'!$A$2:$L$52,5,FALSE)*m2k))/'TCO Inputs'!$AZ$84</f>
        <v>121.53884310334234</v>
      </c>
      <c r="BQ138" s="125">
        <f>BQ27/293.07*(1/(VLOOKUP($BL138,'Fuel economy adjusted factor'!$A$2:$L$52,5,FALSE)*m2k))/'TCO Inputs'!$AZ$84</f>
        <v>121.53884310334234</v>
      </c>
      <c r="BR138" s="125">
        <f>BR27/293.07*(1/(VLOOKUP($BL138,'Fuel economy adjusted factor'!$A$2:$L$52,5,FALSE)*m2k))/'TCO Inputs'!$AZ$84</f>
        <v>121.53884310334234</v>
      </c>
      <c r="BS138" s="125">
        <f>BS27/293.07*(1/(VLOOKUP($BL138,'Fuel economy adjusted factor'!$A$2:$L$52,5,FALSE)*m2k))/'TCO Inputs'!$AZ$84</f>
        <v>121.53884310334234</v>
      </c>
      <c r="BT138" s="125">
        <f>BT27/293.07*(1/(VLOOKUP($BL138,'Fuel economy adjusted factor'!$A$2:$L$52,5,FALSE)*m2k))/'TCO Inputs'!$AZ$84</f>
        <v>121.53884310334234</v>
      </c>
      <c r="BU138" s="125">
        <f>BU27/293.07*(1/(VLOOKUP($BL138,'Fuel economy adjusted factor'!$A$2:$L$52,5,FALSE)*m2k))/'TCO Inputs'!$AZ$84</f>
        <v>121.53884310334234</v>
      </c>
      <c r="BV138" s="125">
        <f>BV27/293.07*(1/(VLOOKUP($BL138,'Fuel economy adjusted factor'!$A$2:$L$52,5,FALSE)*m2k))/'TCO Inputs'!$AZ$84</f>
        <v>121.53884310334234</v>
      </c>
      <c r="BW138" s="125">
        <f>BW27/293.07*(1/(VLOOKUP($BL138,'Fuel economy adjusted factor'!$A$2:$L$52,5,FALSE)*m2k))/'TCO Inputs'!$AZ$84</f>
        <v>121.53884310334234</v>
      </c>
      <c r="BX138" s="125">
        <f>BX27/293.07*(1/(VLOOKUP($BL138,'Fuel economy adjusted factor'!$A$2:$L$52,5,FALSE)*m2k))/'TCO Inputs'!$AZ$84</f>
        <v>121.53884310334234</v>
      </c>
      <c r="BY138" s="125">
        <f>BY27/293.07*(1/(VLOOKUP($BL138,'Fuel economy adjusted factor'!$A$2:$L$52,5,FALSE)*m2k))/'TCO Inputs'!$AZ$84</f>
        <v>121.53884310334234</v>
      </c>
      <c r="BZ138" s="125">
        <f>BZ27/293.07*(1/(VLOOKUP($BL138,'Fuel economy adjusted factor'!$A$2:$L$52,5,FALSE)*m2k))/'TCO Inputs'!$AZ$84</f>
        <v>121.53884310334234</v>
      </c>
      <c r="CA138" s="125">
        <f>CA27/293.07*(1/(VLOOKUP($BL138,'Fuel economy adjusted factor'!$A$2:$L$52,5,FALSE)*m2k))/'TCO Inputs'!$AZ$84</f>
        <v>121.53884310334234</v>
      </c>
      <c r="CB138" s="125">
        <f>CB27/293.07*(1/(VLOOKUP($BL138,'Fuel economy adjusted factor'!$A$2:$L$52,5,FALSE)*m2k))/'TCO Inputs'!$AZ$84</f>
        <v>121.53884310334234</v>
      </c>
      <c r="CC138" s="125">
        <f>CC27/293.07*(1/(VLOOKUP($BL138,'Fuel economy adjusted factor'!$A$2:$L$52,5,FALSE)*m2k))/'TCO Inputs'!$AZ$84</f>
        <v>121.53884310334234</v>
      </c>
      <c r="CD138" s="125">
        <f>CD27/293.07*(1/(VLOOKUP($BL138,'Fuel economy adjusted factor'!$A$2:$L$52,5,FALSE)*m2k))/'TCO Inputs'!$AZ$84</f>
        <v>121.53884310334234</v>
      </c>
      <c r="CE138" s="125">
        <f>CE27/293.07*(1/(VLOOKUP($BL138,'Fuel economy adjusted factor'!$A$2:$L$52,5,FALSE)*m2k))/'TCO Inputs'!$AZ$84</f>
        <v>121.53884310334234</v>
      </c>
      <c r="CF138" s="125">
        <f>CF27/293.07*(1/(VLOOKUP($BL138,'Fuel economy adjusted factor'!$A$2:$L$52,5,FALSE)*m2k))/'TCO Inputs'!$AZ$84</f>
        <v>121.53884310334234</v>
      </c>
      <c r="CG138" s="125">
        <f>CG27/293.07*(1/(VLOOKUP($BL138,'Fuel economy adjusted factor'!$A$2:$L$52,5,FALSE)*m2k))/'TCO Inputs'!$AZ$84</f>
        <v>121.53884310334234</v>
      </c>
      <c r="CH138" s="125">
        <f>CH27/293.07*(1/(VLOOKUP($BL138,'Fuel economy adjusted factor'!$A$2:$L$52,5,FALSE)*m2k))/'TCO Inputs'!$AZ$84</f>
        <v>121.53884310334234</v>
      </c>
      <c r="CI138" s="125">
        <f>CI27/293.07*(1/(VLOOKUP($BL138,'Fuel economy adjusted factor'!$A$2:$L$52,5,FALSE)*m2k))/'TCO Inputs'!$AZ$84</f>
        <v>121.53884310334234</v>
      </c>
      <c r="CJ138" s="125">
        <f>CJ27/293.07*(1/(VLOOKUP($BL138,'Fuel economy adjusted factor'!$A$2:$L$52,5,FALSE)*m2k))/'TCO Inputs'!$AZ$84</f>
        <v>121.53884310334234</v>
      </c>
      <c r="CK138" s="125">
        <f>CK27/293.07*(1/(VLOOKUP($BL138,'Fuel economy adjusted factor'!$A$2:$L$52,5,FALSE)*m2k))/'TCO Inputs'!$AZ$84</f>
        <v>121.53884310334234</v>
      </c>
      <c r="CL138" s="125">
        <f>CL27/293.07*(1/(VLOOKUP($BL138,'Fuel economy adjusted factor'!$A$2:$L$52,5,FALSE)*m2k))/'TCO Inputs'!$AZ$84</f>
        <v>121.53884310334234</v>
      </c>
      <c r="CM138" s="125">
        <f>CM27/293.07*(1/(VLOOKUP($BL138,'Fuel economy adjusted factor'!$A$2:$L$52,5,FALSE)*m2k))/'TCO Inputs'!$AZ$84</f>
        <v>121.53884310334234</v>
      </c>
      <c r="CN138" s="125">
        <f>CN27/293.07*(1/(VLOOKUP($BL138,'Fuel economy adjusted factor'!$A$2:$L$52,5,FALSE)*m2k))/'TCO Inputs'!$AZ$84</f>
        <v>121.53884310334234</v>
      </c>
      <c r="CO138" s="98" cm="1">
        <f t="array" ref="CO138">SUMPRODUCT(INDEX(BM138:CN138,,'TCO Inputs'!$AZ$12-2023+_xlfn.SEQUENCE('TCO Inputs'!$AZ$13))*INDEX('VKT US'!C86:AA86,,_xlfn.SEQUENCE('TCO Inputs'!$AZ$13)))*m2k*CONVERT(0.9072,"g","ton")</f>
        <v>51.299680693532451</v>
      </c>
    </row>
    <row r="139" spans="1:93" x14ac:dyDescent="0.25">
      <c r="A139" s="123" t="s">
        <v>206</v>
      </c>
      <c r="B139" s="125">
        <f>B28/293.07*(1/(VLOOKUP($A139,'Fuel economy adjusted factor'!$A$2:$L$52,5,FALSE)*m2k))/'TCO Inputs'!$AZ$84</f>
        <v>229.63784998060507</v>
      </c>
      <c r="C139" s="125">
        <f>C28/293.07*(1/(VLOOKUP($A139,'Fuel economy adjusted factor'!$A$2:$L$52,5,FALSE)*m2k))/'TCO Inputs'!$AZ$84</f>
        <v>229.63784998060507</v>
      </c>
      <c r="D139" s="125">
        <f>D28/293.07*(1/(VLOOKUP($A139,'Fuel economy adjusted factor'!$A$2:$L$52,5,FALSE)*m2k))/'TCO Inputs'!$AZ$84</f>
        <v>229.63784998060507</v>
      </c>
      <c r="E139" s="125">
        <f>E28/293.07*(1/(VLOOKUP($A139,'Fuel economy adjusted factor'!$A$2:$L$52,5,FALSE)*m2k))/'TCO Inputs'!$AZ$84</f>
        <v>229.63784998060507</v>
      </c>
      <c r="F139" s="125">
        <f>F28/293.07*(1/(VLOOKUP($A139,'Fuel economy adjusted factor'!$A$2:$L$52,5,FALSE)*m2k))/'TCO Inputs'!$AZ$84</f>
        <v>229.63784998060507</v>
      </c>
      <c r="G139" s="125">
        <f>G28/293.07*(1/(VLOOKUP($A139,'Fuel economy adjusted factor'!$A$2:$L$52,5,FALSE)*m2k))/'TCO Inputs'!$AZ$84</f>
        <v>229.63784998060507</v>
      </c>
      <c r="H139" s="125">
        <f>H28/293.07*(1/(VLOOKUP($A139,'Fuel economy adjusted factor'!$A$2:$L$52,5,FALSE)*m2k))/'TCO Inputs'!$AZ$84</f>
        <v>229.63784998060507</v>
      </c>
      <c r="I139" s="125">
        <f>I28/293.07*(1/(VLOOKUP($A139,'Fuel economy adjusted factor'!$A$2:$L$52,5,FALSE)*m2k))/'TCO Inputs'!$AZ$84</f>
        <v>229.63784998060507</v>
      </c>
      <c r="J139" s="125">
        <f>J28/293.07*(1/(VLOOKUP($A139,'Fuel economy adjusted factor'!$A$2:$L$52,5,FALSE)*m2k))/'TCO Inputs'!$AZ$84</f>
        <v>229.63784998060507</v>
      </c>
      <c r="K139" s="125">
        <f>K28/293.07*(1/(VLOOKUP($A139,'Fuel economy adjusted factor'!$A$2:$L$52,5,FALSE)*m2k))/'TCO Inputs'!$AZ$84</f>
        <v>229.63784998060507</v>
      </c>
      <c r="L139" s="125">
        <f>L28/293.07*(1/(VLOOKUP($A139,'Fuel economy adjusted factor'!$A$2:$L$52,5,FALSE)*m2k))/'TCO Inputs'!$AZ$84</f>
        <v>229.63784998060507</v>
      </c>
      <c r="M139" s="125">
        <f>M28/293.07*(1/(VLOOKUP($A139,'Fuel economy adjusted factor'!$A$2:$L$52,5,FALSE)*m2k))/'TCO Inputs'!$AZ$84</f>
        <v>229.63784998060507</v>
      </c>
      <c r="N139" s="125">
        <f>N28/293.07*(1/(VLOOKUP($A139,'Fuel economy adjusted factor'!$A$2:$L$52,5,FALSE)*m2k))/'TCO Inputs'!$AZ$84</f>
        <v>229.63784998060507</v>
      </c>
      <c r="O139" s="125">
        <f>O28/293.07*(1/(VLOOKUP($A139,'Fuel economy adjusted factor'!$A$2:$L$52,5,FALSE)*m2k))/'TCO Inputs'!$AZ$84</f>
        <v>229.63784998060507</v>
      </c>
      <c r="P139" s="125">
        <f>P28/293.07*(1/(VLOOKUP($A139,'Fuel economy adjusted factor'!$A$2:$L$52,5,FALSE)*m2k))/'TCO Inputs'!$AZ$84</f>
        <v>229.63784998060507</v>
      </c>
      <c r="Q139" s="125">
        <f>Q28/293.07*(1/(VLOOKUP($A139,'Fuel economy adjusted factor'!$A$2:$L$52,5,FALSE)*m2k))/'TCO Inputs'!$AZ$84</f>
        <v>229.63784998060507</v>
      </c>
      <c r="R139" s="125">
        <f>R28/293.07*(1/(VLOOKUP($A139,'Fuel economy adjusted factor'!$A$2:$L$52,5,FALSE)*m2k))/'TCO Inputs'!$AZ$84</f>
        <v>229.63784998060507</v>
      </c>
      <c r="S139" s="125">
        <f>S28/293.07*(1/(VLOOKUP($A139,'Fuel economy adjusted factor'!$A$2:$L$52,5,FALSE)*m2k))/'TCO Inputs'!$AZ$84</f>
        <v>229.63784998060507</v>
      </c>
      <c r="T139" s="125">
        <f>T28/293.07*(1/(VLOOKUP($A139,'Fuel economy adjusted factor'!$A$2:$L$52,5,FALSE)*m2k))/'TCO Inputs'!$AZ$84</f>
        <v>229.63784998060507</v>
      </c>
      <c r="U139" s="125">
        <f>U28/293.07*(1/(VLOOKUP($A139,'Fuel economy adjusted factor'!$A$2:$L$52,5,FALSE)*m2k))/'TCO Inputs'!$AZ$84</f>
        <v>229.63784998060507</v>
      </c>
      <c r="V139" s="125">
        <f>V28/293.07*(1/(VLOOKUP($A139,'Fuel economy adjusted factor'!$A$2:$L$52,5,FALSE)*m2k))/'TCO Inputs'!$AZ$84</f>
        <v>229.63784998060507</v>
      </c>
      <c r="W139" s="125">
        <f>W28/293.07*(1/(VLOOKUP($A139,'Fuel economy adjusted factor'!$A$2:$L$52,5,FALSE)*m2k))/'TCO Inputs'!$AZ$84</f>
        <v>229.63784998060507</v>
      </c>
      <c r="X139" s="125">
        <f>X28/293.07*(1/(VLOOKUP($A139,'Fuel economy adjusted factor'!$A$2:$L$52,5,FALSE)*m2k))/'TCO Inputs'!$AZ$84</f>
        <v>229.63784998060507</v>
      </c>
      <c r="Y139" s="125">
        <f>Y28/293.07*(1/(VLOOKUP($A139,'Fuel economy adjusted factor'!$A$2:$L$52,5,FALSE)*m2k))/'TCO Inputs'!$AZ$84</f>
        <v>229.63784998060507</v>
      </c>
      <c r="Z139" s="125">
        <f>Z28/293.07*(1/(VLOOKUP($A139,'Fuel economy adjusted factor'!$A$2:$L$52,5,FALSE)*m2k))/'TCO Inputs'!$AZ$84</f>
        <v>229.63784998060507</v>
      </c>
      <c r="AA139" s="125">
        <f>AA28/293.07*(1/(VLOOKUP($A139,'Fuel economy adjusted factor'!$A$2:$L$52,5,FALSE)*m2k))/'TCO Inputs'!$AZ$84</f>
        <v>229.63784998060507</v>
      </c>
      <c r="AB139" s="125">
        <f>AB28/293.07*(1/(VLOOKUP($A139,'Fuel economy adjusted factor'!$A$2:$L$52,5,FALSE)*m2k))/'TCO Inputs'!$AZ$84</f>
        <v>229.63784998060507</v>
      </c>
      <c r="AC139" s="125">
        <f>AC28/293.07*(1/(VLOOKUP($A139,'Fuel economy adjusted factor'!$A$2:$L$52,5,FALSE)*m2k))/'TCO Inputs'!$AZ$84</f>
        <v>229.63784998060507</v>
      </c>
      <c r="AD139" s="98" cm="1">
        <f t="array" ref="AD139">SUMPRODUCT(INDEX(B139:AC139,,'TCO Inputs'!$AZ$12-2023+_xlfn.SEQUENCE('TCO Inputs'!$AZ$13))*INDEX('VKT US'!C87:AA87,,_xlfn.SEQUENCE('TCO Inputs'!$AZ$13)))*m2k*CONVERT(0.9072,"g","ton")</f>
        <v>89.911739691517127</v>
      </c>
      <c r="AF139" s="123" t="s">
        <v>206</v>
      </c>
      <c r="AG139" s="125">
        <f>AG28/293.07*(1/(VLOOKUP($AF139,'Fuel economy adjusted factor'!$A$2:$L$52,5,FALSE)*m2k))/'TCO Inputs'!$AZ$84</f>
        <v>269.16031983439342</v>
      </c>
      <c r="AH139" s="125">
        <f>AH28/293.07*(1/(VLOOKUP($AF139,'Fuel economy adjusted factor'!$A$2:$L$52,5,FALSE)*m2k))/'TCO Inputs'!$AZ$84</f>
        <v>269.16031983439342</v>
      </c>
      <c r="AI139" s="125">
        <f>AI28/293.07*(1/(VLOOKUP($AF139,'Fuel economy adjusted factor'!$A$2:$L$52,5,FALSE)*m2k))/'TCO Inputs'!$AZ$84</f>
        <v>269.16031983439342</v>
      </c>
      <c r="AJ139" s="125">
        <f>AJ28/293.07*(1/(VLOOKUP($AF139,'Fuel economy adjusted factor'!$A$2:$L$52,5,FALSE)*m2k))/'TCO Inputs'!$AZ$84</f>
        <v>269.16031983439342</v>
      </c>
      <c r="AK139" s="125">
        <f>AK28/293.07*(1/(VLOOKUP($AF139,'Fuel economy adjusted factor'!$A$2:$L$52,5,FALSE)*m2k))/'TCO Inputs'!$AZ$84</f>
        <v>269.16031983439342</v>
      </c>
      <c r="AL139" s="125">
        <f>AL28/293.07*(1/(VLOOKUP($AF139,'Fuel economy adjusted factor'!$A$2:$L$52,5,FALSE)*m2k))/'TCO Inputs'!$AZ$84</f>
        <v>269.16031983439342</v>
      </c>
      <c r="AM139" s="125">
        <f>AM28/293.07*(1/(VLOOKUP($AF139,'Fuel economy adjusted factor'!$A$2:$L$52,5,FALSE)*m2k))/'TCO Inputs'!$AZ$84</f>
        <v>269.16031983439342</v>
      </c>
      <c r="AN139" s="125">
        <f>AN28/293.07*(1/(VLOOKUP($AF139,'Fuel economy adjusted factor'!$A$2:$L$52,5,FALSE)*m2k))/'TCO Inputs'!$AZ$84</f>
        <v>269.16031983439342</v>
      </c>
      <c r="AO139" s="125">
        <f>AO28/293.07*(1/(VLOOKUP($AF139,'Fuel economy adjusted factor'!$A$2:$L$52,5,FALSE)*m2k))/'TCO Inputs'!$AZ$84</f>
        <v>269.16031983439342</v>
      </c>
      <c r="AP139" s="125">
        <f>AP28/293.07*(1/(VLOOKUP($AF139,'Fuel economy adjusted factor'!$A$2:$L$52,5,FALSE)*m2k))/'TCO Inputs'!$AZ$84</f>
        <v>269.16031983439342</v>
      </c>
      <c r="AQ139" s="125">
        <f>AQ28/293.07*(1/(VLOOKUP($AF139,'Fuel economy adjusted factor'!$A$2:$L$52,5,FALSE)*m2k))/'TCO Inputs'!$AZ$84</f>
        <v>269.16031983439342</v>
      </c>
      <c r="AR139" s="125">
        <f>AR28/293.07*(1/(VLOOKUP($AF139,'Fuel economy adjusted factor'!$A$2:$L$52,5,FALSE)*m2k))/'TCO Inputs'!$AZ$84</f>
        <v>269.16031983439342</v>
      </c>
      <c r="AS139" s="125">
        <f>AS28/293.07*(1/(VLOOKUP($AF139,'Fuel economy adjusted factor'!$A$2:$L$52,5,FALSE)*m2k))/'TCO Inputs'!$AZ$84</f>
        <v>269.16031983439342</v>
      </c>
      <c r="AT139" s="125">
        <f>AT28/293.07*(1/(VLOOKUP($AF139,'Fuel economy adjusted factor'!$A$2:$L$52,5,FALSE)*m2k))/'TCO Inputs'!$AZ$84</f>
        <v>269.16031983439342</v>
      </c>
      <c r="AU139" s="125">
        <f>AU28/293.07*(1/(VLOOKUP($AF139,'Fuel economy adjusted factor'!$A$2:$L$52,5,FALSE)*m2k))/'TCO Inputs'!$AZ$84</f>
        <v>269.16031983439342</v>
      </c>
      <c r="AV139" s="125">
        <f>AV28/293.07*(1/(VLOOKUP($AF139,'Fuel economy adjusted factor'!$A$2:$L$52,5,FALSE)*m2k))/'TCO Inputs'!$AZ$84</f>
        <v>269.16031983439342</v>
      </c>
      <c r="AW139" s="125">
        <f>AW28/293.07*(1/(VLOOKUP($AF139,'Fuel economy adjusted factor'!$A$2:$L$52,5,FALSE)*m2k))/'TCO Inputs'!$AZ$84</f>
        <v>269.16031983439342</v>
      </c>
      <c r="AX139" s="125">
        <f>AX28/293.07*(1/(VLOOKUP($AF139,'Fuel economy adjusted factor'!$A$2:$L$52,5,FALSE)*m2k))/'TCO Inputs'!$AZ$84</f>
        <v>269.16031983439342</v>
      </c>
      <c r="AY139" s="125">
        <f>AY28/293.07*(1/(VLOOKUP($AF139,'Fuel economy adjusted factor'!$A$2:$L$52,5,FALSE)*m2k))/'TCO Inputs'!$AZ$84</f>
        <v>269.16031983439342</v>
      </c>
      <c r="AZ139" s="125">
        <f>AZ28/293.07*(1/(VLOOKUP($AF139,'Fuel economy adjusted factor'!$A$2:$L$52,5,FALSE)*m2k))/'TCO Inputs'!$AZ$84</f>
        <v>269.16031983439342</v>
      </c>
      <c r="BA139" s="125">
        <f>BA28/293.07*(1/(VLOOKUP($AF139,'Fuel economy adjusted factor'!$A$2:$L$52,5,FALSE)*m2k))/'TCO Inputs'!$AZ$84</f>
        <v>269.16031983439342</v>
      </c>
      <c r="BB139" s="125">
        <f>BB28/293.07*(1/(VLOOKUP($AF139,'Fuel economy adjusted factor'!$A$2:$L$52,5,FALSE)*m2k))/'TCO Inputs'!$AZ$84</f>
        <v>269.16031983439342</v>
      </c>
      <c r="BC139" s="125">
        <f>BC28/293.07*(1/(VLOOKUP($AF139,'Fuel economy adjusted factor'!$A$2:$L$52,5,FALSE)*m2k))/'TCO Inputs'!$AZ$84</f>
        <v>269.16031983439342</v>
      </c>
      <c r="BD139" s="125">
        <f>BD28/293.07*(1/(VLOOKUP($AF139,'Fuel economy adjusted factor'!$A$2:$L$52,5,FALSE)*m2k))/'TCO Inputs'!$AZ$84</f>
        <v>269.16031983439342</v>
      </c>
      <c r="BE139" s="125">
        <f>BE28/293.07*(1/(VLOOKUP($AF139,'Fuel economy adjusted factor'!$A$2:$L$52,5,FALSE)*m2k))/'TCO Inputs'!$AZ$84</f>
        <v>269.16031983439342</v>
      </c>
      <c r="BF139" s="125">
        <f>BF28/293.07*(1/(VLOOKUP($AF139,'Fuel economy adjusted factor'!$A$2:$L$52,5,FALSE)*m2k))/'TCO Inputs'!$AZ$84</f>
        <v>269.16031983439342</v>
      </c>
      <c r="BG139" s="125">
        <f>BG28/293.07*(1/(VLOOKUP($AF139,'Fuel economy adjusted factor'!$A$2:$L$52,5,FALSE)*m2k))/'TCO Inputs'!$AZ$84</f>
        <v>269.16031983439342</v>
      </c>
      <c r="BH139" s="125">
        <f>BH28/293.07*(1/(VLOOKUP($AF139,'Fuel economy adjusted factor'!$A$2:$L$52,5,FALSE)*m2k))/'TCO Inputs'!$AZ$84</f>
        <v>269.16031983439342</v>
      </c>
      <c r="BI139" s="98" cm="1">
        <f t="array" ref="BI139">SUMPRODUCT(INDEX(AG139:BH139,,'TCO Inputs'!$AZ$12-2023+_xlfn.SEQUENCE('TCO Inputs'!$AZ$13))*INDEX('VKT US'!C87:AA87,,_xlfn.SEQUENCE('TCO Inputs'!$AZ$13)))*m2k*CONVERT(0.9072,"g","ton")</f>
        <v>105.38625324300604</v>
      </c>
      <c r="BL139" s="123" t="s">
        <v>206</v>
      </c>
      <c r="BM139" s="125">
        <f>BM28/293.07*(1/(VLOOKUP($BL139,'Fuel economy adjusted factor'!$A$2:$L$52,5,FALSE)*m2k))/'TCO Inputs'!$AZ$84</f>
        <v>200.09761313586495</v>
      </c>
      <c r="BN139" s="125">
        <f>BN28/293.07*(1/(VLOOKUP($BL139,'Fuel economy adjusted factor'!$A$2:$L$52,5,FALSE)*m2k))/'TCO Inputs'!$AZ$84</f>
        <v>200.09761313586495</v>
      </c>
      <c r="BO139" s="125">
        <f>BO28/293.07*(1/(VLOOKUP($BL139,'Fuel economy adjusted factor'!$A$2:$L$52,5,FALSE)*m2k))/'TCO Inputs'!$AZ$84</f>
        <v>200.09761313586495</v>
      </c>
      <c r="BP139" s="125">
        <f>BP28/293.07*(1/(VLOOKUP($BL139,'Fuel economy adjusted factor'!$A$2:$L$52,5,FALSE)*m2k))/'TCO Inputs'!$AZ$84</f>
        <v>200.09761313586495</v>
      </c>
      <c r="BQ139" s="125">
        <f>BQ28/293.07*(1/(VLOOKUP($BL139,'Fuel economy adjusted factor'!$A$2:$L$52,5,FALSE)*m2k))/'TCO Inputs'!$AZ$84</f>
        <v>200.09761313586495</v>
      </c>
      <c r="BR139" s="125">
        <f>BR28/293.07*(1/(VLOOKUP($BL139,'Fuel economy adjusted factor'!$A$2:$L$52,5,FALSE)*m2k))/'TCO Inputs'!$AZ$84</f>
        <v>200.09761313586495</v>
      </c>
      <c r="BS139" s="125">
        <f>BS28/293.07*(1/(VLOOKUP($BL139,'Fuel economy adjusted factor'!$A$2:$L$52,5,FALSE)*m2k))/'TCO Inputs'!$AZ$84</f>
        <v>200.09761313586495</v>
      </c>
      <c r="BT139" s="125">
        <f>BT28/293.07*(1/(VLOOKUP($BL139,'Fuel economy adjusted factor'!$A$2:$L$52,5,FALSE)*m2k))/'TCO Inputs'!$AZ$84</f>
        <v>200.09761313586495</v>
      </c>
      <c r="BU139" s="125">
        <f>BU28/293.07*(1/(VLOOKUP($BL139,'Fuel economy adjusted factor'!$A$2:$L$52,5,FALSE)*m2k))/'TCO Inputs'!$AZ$84</f>
        <v>200.09761313586495</v>
      </c>
      <c r="BV139" s="125">
        <f>BV28/293.07*(1/(VLOOKUP($BL139,'Fuel economy adjusted factor'!$A$2:$L$52,5,FALSE)*m2k))/'TCO Inputs'!$AZ$84</f>
        <v>200.09761313586495</v>
      </c>
      <c r="BW139" s="125">
        <f>BW28/293.07*(1/(VLOOKUP($BL139,'Fuel economy adjusted factor'!$A$2:$L$52,5,FALSE)*m2k))/'TCO Inputs'!$AZ$84</f>
        <v>200.09761313586495</v>
      </c>
      <c r="BX139" s="125">
        <f>BX28/293.07*(1/(VLOOKUP($BL139,'Fuel economy adjusted factor'!$A$2:$L$52,5,FALSE)*m2k))/'TCO Inputs'!$AZ$84</f>
        <v>200.09761313586495</v>
      </c>
      <c r="BY139" s="125">
        <f>BY28/293.07*(1/(VLOOKUP($BL139,'Fuel economy adjusted factor'!$A$2:$L$52,5,FALSE)*m2k))/'TCO Inputs'!$AZ$84</f>
        <v>200.09761313586495</v>
      </c>
      <c r="BZ139" s="125">
        <f>BZ28/293.07*(1/(VLOOKUP($BL139,'Fuel economy adjusted factor'!$A$2:$L$52,5,FALSE)*m2k))/'TCO Inputs'!$AZ$84</f>
        <v>200.09761313586495</v>
      </c>
      <c r="CA139" s="125">
        <f>CA28/293.07*(1/(VLOOKUP($BL139,'Fuel economy adjusted factor'!$A$2:$L$52,5,FALSE)*m2k))/'TCO Inputs'!$AZ$84</f>
        <v>200.09761313586495</v>
      </c>
      <c r="CB139" s="125">
        <f>CB28/293.07*(1/(VLOOKUP($BL139,'Fuel economy adjusted factor'!$A$2:$L$52,5,FALSE)*m2k))/'TCO Inputs'!$AZ$84</f>
        <v>200.09761313586495</v>
      </c>
      <c r="CC139" s="125">
        <f>CC28/293.07*(1/(VLOOKUP($BL139,'Fuel economy adjusted factor'!$A$2:$L$52,5,FALSE)*m2k))/'TCO Inputs'!$AZ$84</f>
        <v>200.09761313586495</v>
      </c>
      <c r="CD139" s="125">
        <f>CD28/293.07*(1/(VLOOKUP($BL139,'Fuel economy adjusted factor'!$A$2:$L$52,5,FALSE)*m2k))/'TCO Inputs'!$AZ$84</f>
        <v>200.09761313586495</v>
      </c>
      <c r="CE139" s="125">
        <f>CE28/293.07*(1/(VLOOKUP($BL139,'Fuel economy adjusted factor'!$A$2:$L$52,5,FALSE)*m2k))/'TCO Inputs'!$AZ$84</f>
        <v>200.09761313586495</v>
      </c>
      <c r="CF139" s="125">
        <f>CF28/293.07*(1/(VLOOKUP($BL139,'Fuel economy adjusted factor'!$A$2:$L$52,5,FALSE)*m2k))/'TCO Inputs'!$AZ$84</f>
        <v>200.09761313586495</v>
      </c>
      <c r="CG139" s="125">
        <f>CG28/293.07*(1/(VLOOKUP($BL139,'Fuel economy adjusted factor'!$A$2:$L$52,5,FALSE)*m2k))/'TCO Inputs'!$AZ$84</f>
        <v>200.09761313586495</v>
      </c>
      <c r="CH139" s="125">
        <f>CH28/293.07*(1/(VLOOKUP($BL139,'Fuel economy adjusted factor'!$A$2:$L$52,5,FALSE)*m2k))/'TCO Inputs'!$AZ$84</f>
        <v>200.09761313586495</v>
      </c>
      <c r="CI139" s="125">
        <f>CI28/293.07*(1/(VLOOKUP($BL139,'Fuel economy adjusted factor'!$A$2:$L$52,5,FALSE)*m2k))/'TCO Inputs'!$AZ$84</f>
        <v>200.09761313586495</v>
      </c>
      <c r="CJ139" s="125">
        <f>CJ28/293.07*(1/(VLOOKUP($BL139,'Fuel economy adjusted factor'!$A$2:$L$52,5,FALSE)*m2k))/'TCO Inputs'!$AZ$84</f>
        <v>200.09761313586495</v>
      </c>
      <c r="CK139" s="125">
        <f>CK28/293.07*(1/(VLOOKUP($BL139,'Fuel economy adjusted factor'!$A$2:$L$52,5,FALSE)*m2k))/'TCO Inputs'!$AZ$84</f>
        <v>200.09761313586495</v>
      </c>
      <c r="CL139" s="125">
        <f>CL28/293.07*(1/(VLOOKUP($BL139,'Fuel economy adjusted factor'!$A$2:$L$52,5,FALSE)*m2k))/'TCO Inputs'!$AZ$84</f>
        <v>200.09761313586495</v>
      </c>
      <c r="CM139" s="125">
        <f>CM28/293.07*(1/(VLOOKUP($BL139,'Fuel economy adjusted factor'!$A$2:$L$52,5,FALSE)*m2k))/'TCO Inputs'!$AZ$84</f>
        <v>200.09761313586495</v>
      </c>
      <c r="CN139" s="125">
        <f>CN28/293.07*(1/(VLOOKUP($BL139,'Fuel economy adjusted factor'!$A$2:$L$52,5,FALSE)*m2k))/'TCO Inputs'!$AZ$84</f>
        <v>200.09761313586495</v>
      </c>
      <c r="CO139" s="98" cm="1">
        <f t="array" ref="CO139">SUMPRODUCT(INDEX(BM139:CN139,,'TCO Inputs'!$AZ$12-2023+_xlfn.SEQUENCE('TCO Inputs'!$AZ$13))*INDEX('VKT US'!C87:AA87,,_xlfn.SEQUENCE('TCO Inputs'!$AZ$13)))*m2k*CONVERT(0.9072,"g","ton")</f>
        <v>78.345640784763035</v>
      </c>
    </row>
    <row r="140" spans="1:93" x14ac:dyDescent="0.25">
      <c r="A140" s="123" t="s">
        <v>208</v>
      </c>
      <c r="B140" s="125">
        <f>B29/293.07*(1/(VLOOKUP($A140,'Fuel economy adjusted factor'!$A$2:$L$52,5,FALSE)*m2k))/'TCO Inputs'!$AZ$84</f>
        <v>188.43402736580913</v>
      </c>
      <c r="C140" s="125">
        <f>C29/293.07*(1/(VLOOKUP($A140,'Fuel economy adjusted factor'!$A$2:$L$52,5,FALSE)*m2k))/'TCO Inputs'!$AZ$84</f>
        <v>188.43402736580913</v>
      </c>
      <c r="D140" s="125">
        <f>D29/293.07*(1/(VLOOKUP($A140,'Fuel economy adjusted factor'!$A$2:$L$52,5,FALSE)*m2k))/'TCO Inputs'!$AZ$84</f>
        <v>188.43402736580913</v>
      </c>
      <c r="E140" s="125">
        <f>E29/293.07*(1/(VLOOKUP($A140,'Fuel economy adjusted factor'!$A$2:$L$52,5,FALSE)*m2k))/'TCO Inputs'!$AZ$84</f>
        <v>188.43402736580913</v>
      </c>
      <c r="F140" s="125">
        <f>F29/293.07*(1/(VLOOKUP($A140,'Fuel economy adjusted factor'!$A$2:$L$52,5,FALSE)*m2k))/'TCO Inputs'!$AZ$84</f>
        <v>188.43402736580913</v>
      </c>
      <c r="G140" s="125">
        <f>G29/293.07*(1/(VLOOKUP($A140,'Fuel economy adjusted factor'!$A$2:$L$52,5,FALSE)*m2k))/'TCO Inputs'!$AZ$84</f>
        <v>188.43402736580913</v>
      </c>
      <c r="H140" s="125">
        <f>H29/293.07*(1/(VLOOKUP($A140,'Fuel economy adjusted factor'!$A$2:$L$52,5,FALSE)*m2k))/'TCO Inputs'!$AZ$84</f>
        <v>188.43402736580913</v>
      </c>
      <c r="I140" s="125">
        <f>I29/293.07*(1/(VLOOKUP($A140,'Fuel economy adjusted factor'!$A$2:$L$52,5,FALSE)*m2k))/'TCO Inputs'!$AZ$84</f>
        <v>188.43402736580913</v>
      </c>
      <c r="J140" s="125">
        <f>J29/293.07*(1/(VLOOKUP($A140,'Fuel economy adjusted factor'!$A$2:$L$52,5,FALSE)*m2k))/'TCO Inputs'!$AZ$84</f>
        <v>188.43402736580913</v>
      </c>
      <c r="K140" s="125">
        <f>K29/293.07*(1/(VLOOKUP($A140,'Fuel economy adjusted factor'!$A$2:$L$52,5,FALSE)*m2k))/'TCO Inputs'!$AZ$84</f>
        <v>188.43402736580913</v>
      </c>
      <c r="L140" s="125">
        <f>L29/293.07*(1/(VLOOKUP($A140,'Fuel economy adjusted factor'!$A$2:$L$52,5,FALSE)*m2k))/'TCO Inputs'!$AZ$84</f>
        <v>188.43402736580913</v>
      </c>
      <c r="M140" s="125">
        <f>M29/293.07*(1/(VLOOKUP($A140,'Fuel economy adjusted factor'!$A$2:$L$52,5,FALSE)*m2k))/'TCO Inputs'!$AZ$84</f>
        <v>188.43402736580913</v>
      </c>
      <c r="N140" s="125">
        <f>N29/293.07*(1/(VLOOKUP($A140,'Fuel economy adjusted factor'!$A$2:$L$52,5,FALSE)*m2k))/'TCO Inputs'!$AZ$84</f>
        <v>188.43402736580913</v>
      </c>
      <c r="O140" s="125">
        <f>O29/293.07*(1/(VLOOKUP($A140,'Fuel economy adjusted factor'!$A$2:$L$52,5,FALSE)*m2k))/'TCO Inputs'!$AZ$84</f>
        <v>188.43402736580913</v>
      </c>
      <c r="P140" s="125">
        <f>P29/293.07*(1/(VLOOKUP($A140,'Fuel economy adjusted factor'!$A$2:$L$52,5,FALSE)*m2k))/'TCO Inputs'!$AZ$84</f>
        <v>188.43402736580913</v>
      </c>
      <c r="Q140" s="125">
        <f>Q29/293.07*(1/(VLOOKUP($A140,'Fuel economy adjusted factor'!$A$2:$L$52,5,FALSE)*m2k))/'TCO Inputs'!$AZ$84</f>
        <v>188.43402736580913</v>
      </c>
      <c r="R140" s="125">
        <f>R29/293.07*(1/(VLOOKUP($A140,'Fuel economy adjusted factor'!$A$2:$L$52,5,FALSE)*m2k))/'TCO Inputs'!$AZ$84</f>
        <v>188.43402736580913</v>
      </c>
      <c r="S140" s="125">
        <f>S29/293.07*(1/(VLOOKUP($A140,'Fuel economy adjusted factor'!$A$2:$L$52,5,FALSE)*m2k))/'TCO Inputs'!$AZ$84</f>
        <v>188.43402736580913</v>
      </c>
      <c r="T140" s="125">
        <f>T29/293.07*(1/(VLOOKUP($A140,'Fuel economy adjusted factor'!$A$2:$L$52,5,FALSE)*m2k))/'TCO Inputs'!$AZ$84</f>
        <v>188.43402736580913</v>
      </c>
      <c r="U140" s="125">
        <f>U29/293.07*(1/(VLOOKUP($A140,'Fuel economy adjusted factor'!$A$2:$L$52,5,FALSE)*m2k))/'TCO Inputs'!$AZ$84</f>
        <v>188.43402736580913</v>
      </c>
      <c r="V140" s="125">
        <f>V29/293.07*(1/(VLOOKUP($A140,'Fuel economy adjusted factor'!$A$2:$L$52,5,FALSE)*m2k))/'TCO Inputs'!$AZ$84</f>
        <v>188.43402736580913</v>
      </c>
      <c r="W140" s="125">
        <f>W29/293.07*(1/(VLOOKUP($A140,'Fuel economy adjusted factor'!$A$2:$L$52,5,FALSE)*m2k))/'TCO Inputs'!$AZ$84</f>
        <v>188.43402736580913</v>
      </c>
      <c r="X140" s="125">
        <f>X29/293.07*(1/(VLOOKUP($A140,'Fuel economy adjusted factor'!$A$2:$L$52,5,FALSE)*m2k))/'TCO Inputs'!$AZ$84</f>
        <v>188.43402736580913</v>
      </c>
      <c r="Y140" s="125">
        <f>Y29/293.07*(1/(VLOOKUP($A140,'Fuel economy adjusted factor'!$A$2:$L$52,5,FALSE)*m2k))/'TCO Inputs'!$AZ$84</f>
        <v>188.43402736580913</v>
      </c>
      <c r="Z140" s="125">
        <f>Z29/293.07*(1/(VLOOKUP($A140,'Fuel economy adjusted factor'!$A$2:$L$52,5,FALSE)*m2k))/'TCO Inputs'!$AZ$84</f>
        <v>188.43402736580913</v>
      </c>
      <c r="AA140" s="125">
        <f>AA29/293.07*(1/(VLOOKUP($A140,'Fuel economy adjusted factor'!$A$2:$L$52,5,FALSE)*m2k))/'TCO Inputs'!$AZ$84</f>
        <v>188.43402736580913</v>
      </c>
      <c r="AB140" s="125">
        <f>AB29/293.07*(1/(VLOOKUP($A140,'Fuel economy adjusted factor'!$A$2:$L$52,5,FALSE)*m2k))/'TCO Inputs'!$AZ$84</f>
        <v>188.43402736580913</v>
      </c>
      <c r="AC140" s="125">
        <f>AC29/293.07*(1/(VLOOKUP($A140,'Fuel economy adjusted factor'!$A$2:$L$52,5,FALSE)*m2k))/'TCO Inputs'!$AZ$84</f>
        <v>188.43402736580913</v>
      </c>
      <c r="AD140" s="98" cm="1">
        <f t="array" ref="AD140">SUMPRODUCT(INDEX(B140:AC140,,'TCO Inputs'!$AZ$12-2023+_xlfn.SEQUENCE('TCO Inputs'!$AZ$13))*INDEX('VKT US'!C88:AA88,,_xlfn.SEQUENCE('TCO Inputs'!$AZ$13)))*m2k*CONVERT(0.9072,"g","ton")</f>
        <v>63.258417827306602</v>
      </c>
      <c r="AF140" s="123" t="s">
        <v>208</v>
      </c>
      <c r="AG140" s="125">
        <f>AG29/293.07*(1/(VLOOKUP($AF140,'Fuel economy adjusted factor'!$A$2:$L$52,5,FALSE)*m2k))/'TCO Inputs'!$AZ$84</f>
        <v>220.86499711501253</v>
      </c>
      <c r="AH140" s="125">
        <f>AH29/293.07*(1/(VLOOKUP($AF140,'Fuel economy adjusted factor'!$A$2:$L$52,5,FALSE)*m2k))/'TCO Inputs'!$AZ$84</f>
        <v>220.86499711501253</v>
      </c>
      <c r="AI140" s="125">
        <f>AI29/293.07*(1/(VLOOKUP($AF140,'Fuel economy adjusted factor'!$A$2:$L$52,5,FALSE)*m2k))/'TCO Inputs'!$AZ$84</f>
        <v>220.86499711501253</v>
      </c>
      <c r="AJ140" s="125">
        <f>AJ29/293.07*(1/(VLOOKUP($AF140,'Fuel economy adjusted factor'!$A$2:$L$52,5,FALSE)*m2k))/'TCO Inputs'!$AZ$84</f>
        <v>220.86499711501253</v>
      </c>
      <c r="AK140" s="125">
        <f>AK29/293.07*(1/(VLOOKUP($AF140,'Fuel economy adjusted factor'!$A$2:$L$52,5,FALSE)*m2k))/'TCO Inputs'!$AZ$84</f>
        <v>220.86499711501253</v>
      </c>
      <c r="AL140" s="125">
        <f>AL29/293.07*(1/(VLOOKUP($AF140,'Fuel economy adjusted factor'!$A$2:$L$52,5,FALSE)*m2k))/'TCO Inputs'!$AZ$84</f>
        <v>220.86499711501253</v>
      </c>
      <c r="AM140" s="125">
        <f>AM29/293.07*(1/(VLOOKUP($AF140,'Fuel economy adjusted factor'!$A$2:$L$52,5,FALSE)*m2k))/'TCO Inputs'!$AZ$84</f>
        <v>220.86499711501253</v>
      </c>
      <c r="AN140" s="125">
        <f>AN29/293.07*(1/(VLOOKUP($AF140,'Fuel economy adjusted factor'!$A$2:$L$52,5,FALSE)*m2k))/'TCO Inputs'!$AZ$84</f>
        <v>220.86499711501253</v>
      </c>
      <c r="AO140" s="125">
        <f>AO29/293.07*(1/(VLOOKUP($AF140,'Fuel economy adjusted factor'!$A$2:$L$52,5,FALSE)*m2k))/'TCO Inputs'!$AZ$84</f>
        <v>220.86499711501253</v>
      </c>
      <c r="AP140" s="125">
        <f>AP29/293.07*(1/(VLOOKUP($AF140,'Fuel economy adjusted factor'!$A$2:$L$52,5,FALSE)*m2k))/'TCO Inputs'!$AZ$84</f>
        <v>220.86499711501253</v>
      </c>
      <c r="AQ140" s="125">
        <f>AQ29/293.07*(1/(VLOOKUP($AF140,'Fuel economy adjusted factor'!$A$2:$L$52,5,FALSE)*m2k))/'TCO Inputs'!$AZ$84</f>
        <v>220.86499711501253</v>
      </c>
      <c r="AR140" s="125">
        <f>AR29/293.07*(1/(VLOOKUP($AF140,'Fuel economy adjusted factor'!$A$2:$L$52,5,FALSE)*m2k))/'TCO Inputs'!$AZ$84</f>
        <v>220.86499711501253</v>
      </c>
      <c r="AS140" s="125">
        <f>AS29/293.07*(1/(VLOOKUP($AF140,'Fuel economy adjusted factor'!$A$2:$L$52,5,FALSE)*m2k))/'TCO Inputs'!$AZ$84</f>
        <v>220.86499711501253</v>
      </c>
      <c r="AT140" s="125">
        <f>AT29/293.07*(1/(VLOOKUP($AF140,'Fuel economy adjusted factor'!$A$2:$L$52,5,FALSE)*m2k))/'TCO Inputs'!$AZ$84</f>
        <v>220.86499711501253</v>
      </c>
      <c r="AU140" s="125">
        <f>AU29/293.07*(1/(VLOOKUP($AF140,'Fuel economy adjusted factor'!$A$2:$L$52,5,FALSE)*m2k))/'TCO Inputs'!$AZ$84</f>
        <v>220.86499711501253</v>
      </c>
      <c r="AV140" s="125">
        <f>AV29/293.07*(1/(VLOOKUP($AF140,'Fuel economy adjusted factor'!$A$2:$L$52,5,FALSE)*m2k))/'TCO Inputs'!$AZ$84</f>
        <v>220.86499711501253</v>
      </c>
      <c r="AW140" s="125">
        <f>AW29/293.07*(1/(VLOOKUP($AF140,'Fuel economy adjusted factor'!$A$2:$L$52,5,FALSE)*m2k))/'TCO Inputs'!$AZ$84</f>
        <v>220.86499711501253</v>
      </c>
      <c r="AX140" s="125">
        <f>AX29/293.07*(1/(VLOOKUP($AF140,'Fuel economy adjusted factor'!$A$2:$L$52,5,FALSE)*m2k))/'TCO Inputs'!$AZ$84</f>
        <v>220.86499711501253</v>
      </c>
      <c r="AY140" s="125">
        <f>AY29/293.07*(1/(VLOOKUP($AF140,'Fuel economy adjusted factor'!$A$2:$L$52,5,FALSE)*m2k))/'TCO Inputs'!$AZ$84</f>
        <v>220.86499711501253</v>
      </c>
      <c r="AZ140" s="125">
        <f>AZ29/293.07*(1/(VLOOKUP($AF140,'Fuel economy adjusted factor'!$A$2:$L$52,5,FALSE)*m2k))/'TCO Inputs'!$AZ$84</f>
        <v>220.86499711501253</v>
      </c>
      <c r="BA140" s="125">
        <f>BA29/293.07*(1/(VLOOKUP($AF140,'Fuel economy adjusted factor'!$A$2:$L$52,5,FALSE)*m2k))/'TCO Inputs'!$AZ$84</f>
        <v>220.86499711501253</v>
      </c>
      <c r="BB140" s="125">
        <f>BB29/293.07*(1/(VLOOKUP($AF140,'Fuel economy adjusted factor'!$A$2:$L$52,5,FALSE)*m2k))/'TCO Inputs'!$AZ$84</f>
        <v>220.86499711501253</v>
      </c>
      <c r="BC140" s="125">
        <f>BC29/293.07*(1/(VLOOKUP($AF140,'Fuel economy adjusted factor'!$A$2:$L$52,5,FALSE)*m2k))/'TCO Inputs'!$AZ$84</f>
        <v>220.86499711501253</v>
      </c>
      <c r="BD140" s="125">
        <f>BD29/293.07*(1/(VLOOKUP($AF140,'Fuel economy adjusted factor'!$A$2:$L$52,5,FALSE)*m2k))/'TCO Inputs'!$AZ$84</f>
        <v>220.86499711501253</v>
      </c>
      <c r="BE140" s="125">
        <f>BE29/293.07*(1/(VLOOKUP($AF140,'Fuel economy adjusted factor'!$A$2:$L$52,5,FALSE)*m2k))/'TCO Inputs'!$AZ$84</f>
        <v>220.86499711501253</v>
      </c>
      <c r="BF140" s="125">
        <f>BF29/293.07*(1/(VLOOKUP($AF140,'Fuel economy adjusted factor'!$A$2:$L$52,5,FALSE)*m2k))/'TCO Inputs'!$AZ$84</f>
        <v>220.86499711501253</v>
      </c>
      <c r="BG140" s="125">
        <f>BG29/293.07*(1/(VLOOKUP($AF140,'Fuel economy adjusted factor'!$A$2:$L$52,5,FALSE)*m2k))/'TCO Inputs'!$AZ$84</f>
        <v>220.86499711501253</v>
      </c>
      <c r="BH140" s="125">
        <f>BH29/293.07*(1/(VLOOKUP($AF140,'Fuel economy adjusted factor'!$A$2:$L$52,5,FALSE)*m2k))/'TCO Inputs'!$AZ$84</f>
        <v>220.86499711501253</v>
      </c>
      <c r="BI140" s="98" cm="1">
        <f t="array" ref="BI140">SUMPRODUCT(INDEX(AG140:BH140,,'TCO Inputs'!$AZ$12-2023+_xlfn.SEQUENCE('TCO Inputs'!$AZ$13))*INDEX('VKT US'!C88:AA88,,_xlfn.SEQUENCE('TCO Inputs'!$AZ$13)))*m2k*CONVERT(0.9072,"g","ton")</f>
        <v>74.145686244900773</v>
      </c>
      <c r="BL140" s="123" t="s">
        <v>208</v>
      </c>
      <c r="BM140" s="125">
        <f>BM29/293.07*(1/(VLOOKUP($BL140,'Fuel economy adjusted factor'!$A$2:$L$52,5,FALSE)*m2k))/'TCO Inputs'!$AZ$84</f>
        <v>164.19418276499798</v>
      </c>
      <c r="BN140" s="125">
        <f>BN29/293.07*(1/(VLOOKUP($BL140,'Fuel economy adjusted factor'!$A$2:$L$52,5,FALSE)*m2k))/'TCO Inputs'!$AZ$84</f>
        <v>164.19418276499798</v>
      </c>
      <c r="BO140" s="125">
        <f>BO29/293.07*(1/(VLOOKUP($BL140,'Fuel economy adjusted factor'!$A$2:$L$52,5,FALSE)*m2k))/'TCO Inputs'!$AZ$84</f>
        <v>164.19418276499798</v>
      </c>
      <c r="BP140" s="125">
        <f>BP29/293.07*(1/(VLOOKUP($BL140,'Fuel economy adjusted factor'!$A$2:$L$52,5,FALSE)*m2k))/'TCO Inputs'!$AZ$84</f>
        <v>164.19418276499798</v>
      </c>
      <c r="BQ140" s="125">
        <f>BQ29/293.07*(1/(VLOOKUP($BL140,'Fuel economy adjusted factor'!$A$2:$L$52,5,FALSE)*m2k))/'TCO Inputs'!$AZ$84</f>
        <v>164.19418276499798</v>
      </c>
      <c r="BR140" s="125">
        <f>BR29/293.07*(1/(VLOOKUP($BL140,'Fuel economy adjusted factor'!$A$2:$L$52,5,FALSE)*m2k))/'TCO Inputs'!$AZ$84</f>
        <v>164.19418276499798</v>
      </c>
      <c r="BS140" s="125">
        <f>BS29/293.07*(1/(VLOOKUP($BL140,'Fuel economy adjusted factor'!$A$2:$L$52,5,FALSE)*m2k))/'TCO Inputs'!$AZ$84</f>
        <v>164.19418276499798</v>
      </c>
      <c r="BT140" s="125">
        <f>BT29/293.07*(1/(VLOOKUP($BL140,'Fuel economy adjusted factor'!$A$2:$L$52,5,FALSE)*m2k))/'TCO Inputs'!$AZ$84</f>
        <v>164.19418276499798</v>
      </c>
      <c r="BU140" s="125">
        <f>BU29/293.07*(1/(VLOOKUP($BL140,'Fuel economy adjusted factor'!$A$2:$L$52,5,FALSE)*m2k))/'TCO Inputs'!$AZ$84</f>
        <v>164.19418276499798</v>
      </c>
      <c r="BV140" s="125">
        <f>BV29/293.07*(1/(VLOOKUP($BL140,'Fuel economy adjusted factor'!$A$2:$L$52,5,FALSE)*m2k))/'TCO Inputs'!$AZ$84</f>
        <v>164.19418276499798</v>
      </c>
      <c r="BW140" s="125">
        <f>BW29/293.07*(1/(VLOOKUP($BL140,'Fuel economy adjusted factor'!$A$2:$L$52,5,FALSE)*m2k))/'TCO Inputs'!$AZ$84</f>
        <v>164.19418276499798</v>
      </c>
      <c r="BX140" s="125">
        <f>BX29/293.07*(1/(VLOOKUP($BL140,'Fuel economy adjusted factor'!$A$2:$L$52,5,FALSE)*m2k))/'TCO Inputs'!$AZ$84</f>
        <v>164.19418276499798</v>
      </c>
      <c r="BY140" s="125">
        <f>BY29/293.07*(1/(VLOOKUP($BL140,'Fuel economy adjusted factor'!$A$2:$L$52,5,FALSE)*m2k))/'TCO Inputs'!$AZ$84</f>
        <v>164.19418276499798</v>
      </c>
      <c r="BZ140" s="125">
        <f>BZ29/293.07*(1/(VLOOKUP($BL140,'Fuel economy adjusted factor'!$A$2:$L$52,5,FALSE)*m2k))/'TCO Inputs'!$AZ$84</f>
        <v>164.19418276499798</v>
      </c>
      <c r="CA140" s="125">
        <f>CA29/293.07*(1/(VLOOKUP($BL140,'Fuel economy adjusted factor'!$A$2:$L$52,5,FALSE)*m2k))/'TCO Inputs'!$AZ$84</f>
        <v>164.19418276499798</v>
      </c>
      <c r="CB140" s="125">
        <f>CB29/293.07*(1/(VLOOKUP($BL140,'Fuel economy adjusted factor'!$A$2:$L$52,5,FALSE)*m2k))/'TCO Inputs'!$AZ$84</f>
        <v>164.19418276499798</v>
      </c>
      <c r="CC140" s="125">
        <f>CC29/293.07*(1/(VLOOKUP($BL140,'Fuel economy adjusted factor'!$A$2:$L$52,5,FALSE)*m2k))/'TCO Inputs'!$AZ$84</f>
        <v>164.19418276499798</v>
      </c>
      <c r="CD140" s="125">
        <f>CD29/293.07*(1/(VLOOKUP($BL140,'Fuel economy adjusted factor'!$A$2:$L$52,5,FALSE)*m2k))/'TCO Inputs'!$AZ$84</f>
        <v>164.19418276499798</v>
      </c>
      <c r="CE140" s="125">
        <f>CE29/293.07*(1/(VLOOKUP($BL140,'Fuel economy adjusted factor'!$A$2:$L$52,5,FALSE)*m2k))/'TCO Inputs'!$AZ$84</f>
        <v>164.19418276499798</v>
      </c>
      <c r="CF140" s="125">
        <f>CF29/293.07*(1/(VLOOKUP($BL140,'Fuel economy adjusted factor'!$A$2:$L$52,5,FALSE)*m2k))/'TCO Inputs'!$AZ$84</f>
        <v>164.19418276499798</v>
      </c>
      <c r="CG140" s="125">
        <f>CG29/293.07*(1/(VLOOKUP($BL140,'Fuel economy adjusted factor'!$A$2:$L$52,5,FALSE)*m2k))/'TCO Inputs'!$AZ$84</f>
        <v>164.19418276499798</v>
      </c>
      <c r="CH140" s="125">
        <f>CH29/293.07*(1/(VLOOKUP($BL140,'Fuel economy adjusted factor'!$A$2:$L$52,5,FALSE)*m2k))/'TCO Inputs'!$AZ$84</f>
        <v>164.19418276499798</v>
      </c>
      <c r="CI140" s="125">
        <f>CI29/293.07*(1/(VLOOKUP($BL140,'Fuel economy adjusted factor'!$A$2:$L$52,5,FALSE)*m2k))/'TCO Inputs'!$AZ$84</f>
        <v>164.19418276499798</v>
      </c>
      <c r="CJ140" s="125">
        <f>CJ29/293.07*(1/(VLOOKUP($BL140,'Fuel economy adjusted factor'!$A$2:$L$52,5,FALSE)*m2k))/'TCO Inputs'!$AZ$84</f>
        <v>164.19418276499798</v>
      </c>
      <c r="CK140" s="125">
        <f>CK29/293.07*(1/(VLOOKUP($BL140,'Fuel economy adjusted factor'!$A$2:$L$52,5,FALSE)*m2k))/'TCO Inputs'!$AZ$84</f>
        <v>164.19418276499798</v>
      </c>
      <c r="CL140" s="125">
        <f>CL29/293.07*(1/(VLOOKUP($BL140,'Fuel economy adjusted factor'!$A$2:$L$52,5,FALSE)*m2k))/'TCO Inputs'!$AZ$84</f>
        <v>164.19418276499798</v>
      </c>
      <c r="CM140" s="125">
        <f>CM29/293.07*(1/(VLOOKUP($BL140,'Fuel economy adjusted factor'!$A$2:$L$52,5,FALSE)*m2k))/'TCO Inputs'!$AZ$84</f>
        <v>164.19418276499798</v>
      </c>
      <c r="CN140" s="125">
        <f>CN29/293.07*(1/(VLOOKUP($BL140,'Fuel economy adjusted factor'!$A$2:$L$52,5,FALSE)*m2k))/'TCO Inputs'!$AZ$84</f>
        <v>164.19418276499798</v>
      </c>
      <c r="CO140" s="98" cm="1">
        <f t="array" ref="CO140">SUMPRODUCT(INDEX(BM140:CN140,,'TCO Inputs'!$AZ$12-2023+_xlfn.SEQUENCE('TCO Inputs'!$AZ$13))*INDEX('VKT US'!C88:AA88,,_xlfn.SEQUENCE('TCO Inputs'!$AZ$13)))*m2k*CONVERT(0.9072,"g","ton")</f>
        <v>55.120958583545182</v>
      </c>
    </row>
    <row r="141" spans="1:93" x14ac:dyDescent="0.25">
      <c r="A141" s="123" t="s">
        <v>211</v>
      </c>
      <c r="B141" s="125">
        <f>B30/293.07*(1/(VLOOKUP($A141,'Fuel economy adjusted factor'!$A$2:$L$52,5,FALSE)*m2k))/'TCO Inputs'!$AZ$84</f>
        <v>171.23590986317686</v>
      </c>
      <c r="C141" s="125">
        <f>C30/293.07*(1/(VLOOKUP($A141,'Fuel economy adjusted factor'!$A$2:$L$52,5,FALSE)*m2k))/'TCO Inputs'!$AZ$84</f>
        <v>171.23590986317686</v>
      </c>
      <c r="D141" s="125">
        <f>D30/293.07*(1/(VLOOKUP($A141,'Fuel economy adjusted factor'!$A$2:$L$52,5,FALSE)*m2k))/'TCO Inputs'!$AZ$84</f>
        <v>171.23590986317686</v>
      </c>
      <c r="E141" s="125">
        <f>E30/293.07*(1/(VLOOKUP($A141,'Fuel economy adjusted factor'!$A$2:$L$52,5,FALSE)*m2k))/'TCO Inputs'!$AZ$84</f>
        <v>171.23590986317686</v>
      </c>
      <c r="F141" s="125">
        <f>F30/293.07*(1/(VLOOKUP($A141,'Fuel economy adjusted factor'!$A$2:$L$52,5,FALSE)*m2k))/'TCO Inputs'!$AZ$84</f>
        <v>171.23590986317686</v>
      </c>
      <c r="G141" s="125">
        <f>G30/293.07*(1/(VLOOKUP($A141,'Fuel economy adjusted factor'!$A$2:$L$52,5,FALSE)*m2k))/'TCO Inputs'!$AZ$84</f>
        <v>171.23590986317686</v>
      </c>
      <c r="H141" s="125">
        <f>H30/293.07*(1/(VLOOKUP($A141,'Fuel economy adjusted factor'!$A$2:$L$52,5,FALSE)*m2k))/'TCO Inputs'!$AZ$84</f>
        <v>171.23590986317686</v>
      </c>
      <c r="I141" s="125">
        <f>I30/293.07*(1/(VLOOKUP($A141,'Fuel economy adjusted factor'!$A$2:$L$52,5,FALSE)*m2k))/'TCO Inputs'!$AZ$84</f>
        <v>171.23590986317686</v>
      </c>
      <c r="J141" s="125">
        <f>J30/293.07*(1/(VLOOKUP($A141,'Fuel economy adjusted factor'!$A$2:$L$52,5,FALSE)*m2k))/'TCO Inputs'!$AZ$84</f>
        <v>171.23590986317686</v>
      </c>
      <c r="K141" s="125">
        <f>K30/293.07*(1/(VLOOKUP($A141,'Fuel economy adjusted factor'!$A$2:$L$52,5,FALSE)*m2k))/'TCO Inputs'!$AZ$84</f>
        <v>171.23590986317686</v>
      </c>
      <c r="L141" s="125">
        <f>L30/293.07*(1/(VLOOKUP($A141,'Fuel economy adjusted factor'!$A$2:$L$52,5,FALSE)*m2k))/'TCO Inputs'!$AZ$84</f>
        <v>171.23590986317686</v>
      </c>
      <c r="M141" s="125">
        <f>M30/293.07*(1/(VLOOKUP($A141,'Fuel economy adjusted factor'!$A$2:$L$52,5,FALSE)*m2k))/'TCO Inputs'!$AZ$84</f>
        <v>171.23590986317686</v>
      </c>
      <c r="N141" s="125">
        <f>N30/293.07*(1/(VLOOKUP($A141,'Fuel economy adjusted factor'!$A$2:$L$52,5,FALSE)*m2k))/'TCO Inputs'!$AZ$84</f>
        <v>171.23590986317686</v>
      </c>
      <c r="O141" s="125">
        <f>O30/293.07*(1/(VLOOKUP($A141,'Fuel economy adjusted factor'!$A$2:$L$52,5,FALSE)*m2k))/'TCO Inputs'!$AZ$84</f>
        <v>171.23590986317686</v>
      </c>
      <c r="P141" s="125">
        <f>P30/293.07*(1/(VLOOKUP($A141,'Fuel economy adjusted factor'!$A$2:$L$52,5,FALSE)*m2k))/'TCO Inputs'!$AZ$84</f>
        <v>171.23590986317686</v>
      </c>
      <c r="Q141" s="125">
        <f>Q30/293.07*(1/(VLOOKUP($A141,'Fuel economy adjusted factor'!$A$2:$L$52,5,FALSE)*m2k))/'TCO Inputs'!$AZ$84</f>
        <v>171.23590986317686</v>
      </c>
      <c r="R141" s="125">
        <f>R30/293.07*(1/(VLOOKUP($A141,'Fuel economy adjusted factor'!$A$2:$L$52,5,FALSE)*m2k))/'TCO Inputs'!$AZ$84</f>
        <v>171.23590986317686</v>
      </c>
      <c r="S141" s="125">
        <f>S30/293.07*(1/(VLOOKUP($A141,'Fuel economy adjusted factor'!$A$2:$L$52,5,FALSE)*m2k))/'TCO Inputs'!$AZ$84</f>
        <v>171.23590986317686</v>
      </c>
      <c r="T141" s="125">
        <f>T30/293.07*(1/(VLOOKUP($A141,'Fuel economy adjusted factor'!$A$2:$L$52,5,FALSE)*m2k))/'TCO Inputs'!$AZ$84</f>
        <v>171.23590986317686</v>
      </c>
      <c r="U141" s="125">
        <f>U30/293.07*(1/(VLOOKUP($A141,'Fuel economy adjusted factor'!$A$2:$L$52,5,FALSE)*m2k))/'TCO Inputs'!$AZ$84</f>
        <v>171.23590986317686</v>
      </c>
      <c r="V141" s="125">
        <f>V30/293.07*(1/(VLOOKUP($A141,'Fuel economy adjusted factor'!$A$2:$L$52,5,FALSE)*m2k))/'TCO Inputs'!$AZ$84</f>
        <v>171.23590986317686</v>
      </c>
      <c r="W141" s="125">
        <f>W30/293.07*(1/(VLOOKUP($A141,'Fuel economy adjusted factor'!$A$2:$L$52,5,FALSE)*m2k))/'TCO Inputs'!$AZ$84</f>
        <v>171.23590986317686</v>
      </c>
      <c r="X141" s="125">
        <f>X30/293.07*(1/(VLOOKUP($A141,'Fuel economy adjusted factor'!$A$2:$L$52,5,FALSE)*m2k))/'TCO Inputs'!$AZ$84</f>
        <v>171.23590986317686</v>
      </c>
      <c r="Y141" s="125">
        <f>Y30/293.07*(1/(VLOOKUP($A141,'Fuel economy adjusted factor'!$A$2:$L$52,5,FALSE)*m2k))/'TCO Inputs'!$AZ$84</f>
        <v>171.23590986317686</v>
      </c>
      <c r="Z141" s="125">
        <f>Z30/293.07*(1/(VLOOKUP($A141,'Fuel economy adjusted factor'!$A$2:$L$52,5,FALSE)*m2k))/'TCO Inputs'!$AZ$84</f>
        <v>171.23590986317686</v>
      </c>
      <c r="AA141" s="125">
        <f>AA30/293.07*(1/(VLOOKUP($A141,'Fuel economy adjusted factor'!$A$2:$L$52,5,FALSE)*m2k))/'TCO Inputs'!$AZ$84</f>
        <v>171.23590986317686</v>
      </c>
      <c r="AB141" s="125">
        <f>AB30/293.07*(1/(VLOOKUP($A141,'Fuel economy adjusted factor'!$A$2:$L$52,5,FALSE)*m2k))/'TCO Inputs'!$AZ$84</f>
        <v>171.23590986317686</v>
      </c>
      <c r="AC141" s="125">
        <f>AC30/293.07*(1/(VLOOKUP($A141,'Fuel economy adjusted factor'!$A$2:$L$52,5,FALSE)*m2k))/'TCO Inputs'!$AZ$84</f>
        <v>171.23590986317686</v>
      </c>
      <c r="AD141" s="98" cm="1">
        <f t="array" ref="AD141">SUMPRODUCT(INDEX(B141:AC141,,'TCO Inputs'!$AZ$12-2023+_xlfn.SEQUENCE('TCO Inputs'!$AZ$13))*INDEX('VKT US'!C89:AA89,,_xlfn.SEQUENCE('TCO Inputs'!$AZ$13)))*m2k*CONVERT(0.9072,"g","ton")</f>
        <v>53.741873088061652</v>
      </c>
      <c r="AF141" s="123" t="s">
        <v>211</v>
      </c>
      <c r="AG141" s="125">
        <f>AG30/293.07*(1/(VLOOKUP($AF141,'Fuel economy adjusted factor'!$A$2:$L$52,5,FALSE)*m2k))/'TCO Inputs'!$AZ$84</f>
        <v>200.70694909309915</v>
      </c>
      <c r="AH141" s="125">
        <f>AH30/293.07*(1/(VLOOKUP($AF141,'Fuel economy adjusted factor'!$A$2:$L$52,5,FALSE)*m2k))/'TCO Inputs'!$AZ$84</f>
        <v>200.70694909309915</v>
      </c>
      <c r="AI141" s="125">
        <f>AI30/293.07*(1/(VLOOKUP($AF141,'Fuel economy adjusted factor'!$A$2:$L$52,5,FALSE)*m2k))/'TCO Inputs'!$AZ$84</f>
        <v>200.70694909309915</v>
      </c>
      <c r="AJ141" s="125">
        <f>AJ30/293.07*(1/(VLOOKUP($AF141,'Fuel economy adjusted factor'!$A$2:$L$52,5,FALSE)*m2k))/'TCO Inputs'!$AZ$84</f>
        <v>200.70694909309915</v>
      </c>
      <c r="AK141" s="125">
        <f>AK30/293.07*(1/(VLOOKUP($AF141,'Fuel economy adjusted factor'!$A$2:$L$52,5,FALSE)*m2k))/'TCO Inputs'!$AZ$84</f>
        <v>200.70694909309915</v>
      </c>
      <c r="AL141" s="125">
        <f>AL30/293.07*(1/(VLOOKUP($AF141,'Fuel economy adjusted factor'!$A$2:$L$52,5,FALSE)*m2k))/'TCO Inputs'!$AZ$84</f>
        <v>200.70694909309915</v>
      </c>
      <c r="AM141" s="125">
        <f>AM30/293.07*(1/(VLOOKUP($AF141,'Fuel economy adjusted factor'!$A$2:$L$52,5,FALSE)*m2k))/'TCO Inputs'!$AZ$84</f>
        <v>200.70694909309915</v>
      </c>
      <c r="AN141" s="125">
        <f>AN30/293.07*(1/(VLOOKUP($AF141,'Fuel economy adjusted factor'!$A$2:$L$52,5,FALSE)*m2k))/'TCO Inputs'!$AZ$84</f>
        <v>200.70694909309915</v>
      </c>
      <c r="AO141" s="125">
        <f>AO30/293.07*(1/(VLOOKUP($AF141,'Fuel economy adjusted factor'!$A$2:$L$52,5,FALSE)*m2k))/'TCO Inputs'!$AZ$84</f>
        <v>200.70694909309915</v>
      </c>
      <c r="AP141" s="125">
        <f>AP30/293.07*(1/(VLOOKUP($AF141,'Fuel economy adjusted factor'!$A$2:$L$52,5,FALSE)*m2k))/'TCO Inputs'!$AZ$84</f>
        <v>200.70694909309915</v>
      </c>
      <c r="AQ141" s="125">
        <f>AQ30/293.07*(1/(VLOOKUP($AF141,'Fuel economy adjusted factor'!$A$2:$L$52,5,FALSE)*m2k))/'TCO Inputs'!$AZ$84</f>
        <v>200.70694909309915</v>
      </c>
      <c r="AR141" s="125">
        <f>AR30/293.07*(1/(VLOOKUP($AF141,'Fuel economy adjusted factor'!$A$2:$L$52,5,FALSE)*m2k))/'TCO Inputs'!$AZ$84</f>
        <v>200.70694909309915</v>
      </c>
      <c r="AS141" s="125">
        <f>AS30/293.07*(1/(VLOOKUP($AF141,'Fuel economy adjusted factor'!$A$2:$L$52,5,FALSE)*m2k))/'TCO Inputs'!$AZ$84</f>
        <v>200.70694909309915</v>
      </c>
      <c r="AT141" s="125">
        <f>AT30/293.07*(1/(VLOOKUP($AF141,'Fuel economy adjusted factor'!$A$2:$L$52,5,FALSE)*m2k))/'TCO Inputs'!$AZ$84</f>
        <v>200.70694909309915</v>
      </c>
      <c r="AU141" s="125">
        <f>AU30/293.07*(1/(VLOOKUP($AF141,'Fuel economy adjusted factor'!$A$2:$L$52,5,FALSE)*m2k))/'TCO Inputs'!$AZ$84</f>
        <v>200.70694909309915</v>
      </c>
      <c r="AV141" s="125">
        <f>AV30/293.07*(1/(VLOOKUP($AF141,'Fuel economy adjusted factor'!$A$2:$L$52,5,FALSE)*m2k))/'TCO Inputs'!$AZ$84</f>
        <v>200.70694909309915</v>
      </c>
      <c r="AW141" s="125">
        <f>AW30/293.07*(1/(VLOOKUP($AF141,'Fuel economy adjusted factor'!$A$2:$L$52,5,FALSE)*m2k))/'TCO Inputs'!$AZ$84</f>
        <v>200.70694909309915</v>
      </c>
      <c r="AX141" s="125">
        <f>AX30/293.07*(1/(VLOOKUP($AF141,'Fuel economy adjusted factor'!$A$2:$L$52,5,FALSE)*m2k))/'TCO Inputs'!$AZ$84</f>
        <v>200.70694909309915</v>
      </c>
      <c r="AY141" s="125">
        <f>AY30/293.07*(1/(VLOOKUP($AF141,'Fuel economy adjusted factor'!$A$2:$L$52,5,FALSE)*m2k))/'TCO Inputs'!$AZ$84</f>
        <v>200.70694909309915</v>
      </c>
      <c r="AZ141" s="125">
        <f>AZ30/293.07*(1/(VLOOKUP($AF141,'Fuel economy adjusted factor'!$A$2:$L$52,5,FALSE)*m2k))/'TCO Inputs'!$AZ$84</f>
        <v>200.70694909309915</v>
      </c>
      <c r="BA141" s="125">
        <f>BA30/293.07*(1/(VLOOKUP($AF141,'Fuel economy adjusted factor'!$A$2:$L$52,5,FALSE)*m2k))/'TCO Inputs'!$AZ$84</f>
        <v>200.70694909309915</v>
      </c>
      <c r="BB141" s="125">
        <f>BB30/293.07*(1/(VLOOKUP($AF141,'Fuel economy adjusted factor'!$A$2:$L$52,5,FALSE)*m2k))/'TCO Inputs'!$AZ$84</f>
        <v>200.70694909309915</v>
      </c>
      <c r="BC141" s="125">
        <f>BC30/293.07*(1/(VLOOKUP($AF141,'Fuel economy adjusted factor'!$A$2:$L$52,5,FALSE)*m2k))/'TCO Inputs'!$AZ$84</f>
        <v>200.70694909309915</v>
      </c>
      <c r="BD141" s="125">
        <f>BD30/293.07*(1/(VLOOKUP($AF141,'Fuel economy adjusted factor'!$A$2:$L$52,5,FALSE)*m2k))/'TCO Inputs'!$AZ$84</f>
        <v>200.70694909309915</v>
      </c>
      <c r="BE141" s="125">
        <f>BE30/293.07*(1/(VLOOKUP($AF141,'Fuel economy adjusted factor'!$A$2:$L$52,5,FALSE)*m2k))/'TCO Inputs'!$AZ$84</f>
        <v>200.70694909309915</v>
      </c>
      <c r="BF141" s="125">
        <f>BF30/293.07*(1/(VLOOKUP($AF141,'Fuel economy adjusted factor'!$A$2:$L$52,5,FALSE)*m2k))/'TCO Inputs'!$AZ$84</f>
        <v>200.70694909309915</v>
      </c>
      <c r="BG141" s="125">
        <f>BG30/293.07*(1/(VLOOKUP($AF141,'Fuel economy adjusted factor'!$A$2:$L$52,5,FALSE)*m2k))/'TCO Inputs'!$AZ$84</f>
        <v>200.70694909309915</v>
      </c>
      <c r="BH141" s="125">
        <f>BH30/293.07*(1/(VLOOKUP($AF141,'Fuel economy adjusted factor'!$A$2:$L$52,5,FALSE)*m2k))/'TCO Inputs'!$AZ$84</f>
        <v>200.70694909309915</v>
      </c>
      <c r="BI141" s="98" cm="1">
        <f t="array" ref="BI141">SUMPRODUCT(INDEX(AG141:BH141,,'TCO Inputs'!$AZ$12-2023+_xlfn.SEQUENCE('TCO Inputs'!$AZ$13))*INDEX('VKT US'!C89:AA89,,_xlfn.SEQUENCE('TCO Inputs'!$AZ$13)))*m2k*CONVERT(0.9072,"g","ton")</f>
        <v>62.991269732336228</v>
      </c>
      <c r="BL141" s="123" t="s">
        <v>211</v>
      </c>
      <c r="BM141" s="125">
        <f>BM30/293.07*(1/(VLOOKUP($BL141,'Fuel economy adjusted factor'!$A$2:$L$52,5,FALSE)*m2k))/'TCO Inputs'!$AZ$84</f>
        <v>149.20840292514359</v>
      </c>
      <c r="BN141" s="125">
        <f>BN30/293.07*(1/(VLOOKUP($BL141,'Fuel economy adjusted factor'!$A$2:$L$52,5,FALSE)*m2k))/'TCO Inputs'!$AZ$84</f>
        <v>149.20840292514359</v>
      </c>
      <c r="BO141" s="125">
        <f>BO30/293.07*(1/(VLOOKUP($BL141,'Fuel economy adjusted factor'!$A$2:$L$52,5,FALSE)*m2k))/'TCO Inputs'!$AZ$84</f>
        <v>149.20840292514359</v>
      </c>
      <c r="BP141" s="125">
        <f>BP30/293.07*(1/(VLOOKUP($BL141,'Fuel economy adjusted factor'!$A$2:$L$52,5,FALSE)*m2k))/'TCO Inputs'!$AZ$84</f>
        <v>149.20840292514359</v>
      </c>
      <c r="BQ141" s="125">
        <f>BQ30/293.07*(1/(VLOOKUP($BL141,'Fuel economy adjusted factor'!$A$2:$L$52,5,FALSE)*m2k))/'TCO Inputs'!$AZ$84</f>
        <v>149.20840292514359</v>
      </c>
      <c r="BR141" s="125">
        <f>BR30/293.07*(1/(VLOOKUP($BL141,'Fuel economy adjusted factor'!$A$2:$L$52,5,FALSE)*m2k))/'TCO Inputs'!$AZ$84</f>
        <v>149.20840292514359</v>
      </c>
      <c r="BS141" s="125">
        <f>BS30/293.07*(1/(VLOOKUP($BL141,'Fuel economy adjusted factor'!$A$2:$L$52,5,FALSE)*m2k))/'TCO Inputs'!$AZ$84</f>
        <v>149.20840292514359</v>
      </c>
      <c r="BT141" s="125">
        <f>BT30/293.07*(1/(VLOOKUP($BL141,'Fuel economy adjusted factor'!$A$2:$L$52,5,FALSE)*m2k))/'TCO Inputs'!$AZ$84</f>
        <v>149.20840292514359</v>
      </c>
      <c r="BU141" s="125">
        <f>BU30/293.07*(1/(VLOOKUP($BL141,'Fuel economy adjusted factor'!$A$2:$L$52,5,FALSE)*m2k))/'TCO Inputs'!$AZ$84</f>
        <v>149.20840292514359</v>
      </c>
      <c r="BV141" s="125">
        <f>BV30/293.07*(1/(VLOOKUP($BL141,'Fuel economy adjusted factor'!$A$2:$L$52,5,FALSE)*m2k))/'TCO Inputs'!$AZ$84</f>
        <v>149.20840292514359</v>
      </c>
      <c r="BW141" s="125">
        <f>BW30/293.07*(1/(VLOOKUP($BL141,'Fuel economy adjusted factor'!$A$2:$L$52,5,FALSE)*m2k))/'TCO Inputs'!$AZ$84</f>
        <v>149.20840292514359</v>
      </c>
      <c r="BX141" s="125">
        <f>BX30/293.07*(1/(VLOOKUP($BL141,'Fuel economy adjusted factor'!$A$2:$L$52,5,FALSE)*m2k))/'TCO Inputs'!$AZ$84</f>
        <v>149.20840292514359</v>
      </c>
      <c r="BY141" s="125">
        <f>BY30/293.07*(1/(VLOOKUP($BL141,'Fuel economy adjusted factor'!$A$2:$L$52,5,FALSE)*m2k))/'TCO Inputs'!$AZ$84</f>
        <v>149.20840292514359</v>
      </c>
      <c r="BZ141" s="125">
        <f>BZ30/293.07*(1/(VLOOKUP($BL141,'Fuel economy adjusted factor'!$A$2:$L$52,5,FALSE)*m2k))/'TCO Inputs'!$AZ$84</f>
        <v>149.20840292514359</v>
      </c>
      <c r="CA141" s="125">
        <f>CA30/293.07*(1/(VLOOKUP($BL141,'Fuel economy adjusted factor'!$A$2:$L$52,5,FALSE)*m2k))/'TCO Inputs'!$AZ$84</f>
        <v>149.20840292514359</v>
      </c>
      <c r="CB141" s="125">
        <f>CB30/293.07*(1/(VLOOKUP($BL141,'Fuel economy adjusted factor'!$A$2:$L$52,5,FALSE)*m2k))/'TCO Inputs'!$AZ$84</f>
        <v>149.20840292514359</v>
      </c>
      <c r="CC141" s="125">
        <f>CC30/293.07*(1/(VLOOKUP($BL141,'Fuel economy adjusted factor'!$A$2:$L$52,5,FALSE)*m2k))/'TCO Inputs'!$AZ$84</f>
        <v>149.20840292514359</v>
      </c>
      <c r="CD141" s="125">
        <f>CD30/293.07*(1/(VLOOKUP($BL141,'Fuel economy adjusted factor'!$A$2:$L$52,5,FALSE)*m2k))/'TCO Inputs'!$AZ$84</f>
        <v>149.20840292514359</v>
      </c>
      <c r="CE141" s="125">
        <f>CE30/293.07*(1/(VLOOKUP($BL141,'Fuel economy adjusted factor'!$A$2:$L$52,5,FALSE)*m2k))/'TCO Inputs'!$AZ$84</f>
        <v>149.20840292514359</v>
      </c>
      <c r="CF141" s="125">
        <f>CF30/293.07*(1/(VLOOKUP($BL141,'Fuel economy adjusted factor'!$A$2:$L$52,5,FALSE)*m2k))/'TCO Inputs'!$AZ$84</f>
        <v>149.20840292514359</v>
      </c>
      <c r="CG141" s="125">
        <f>CG30/293.07*(1/(VLOOKUP($BL141,'Fuel economy adjusted factor'!$A$2:$L$52,5,FALSE)*m2k))/'TCO Inputs'!$AZ$84</f>
        <v>149.20840292514359</v>
      </c>
      <c r="CH141" s="125">
        <f>CH30/293.07*(1/(VLOOKUP($BL141,'Fuel economy adjusted factor'!$A$2:$L$52,5,FALSE)*m2k))/'TCO Inputs'!$AZ$84</f>
        <v>149.20840292514359</v>
      </c>
      <c r="CI141" s="125">
        <f>CI30/293.07*(1/(VLOOKUP($BL141,'Fuel economy adjusted factor'!$A$2:$L$52,5,FALSE)*m2k))/'TCO Inputs'!$AZ$84</f>
        <v>149.20840292514359</v>
      </c>
      <c r="CJ141" s="125">
        <f>CJ30/293.07*(1/(VLOOKUP($BL141,'Fuel economy adjusted factor'!$A$2:$L$52,5,FALSE)*m2k))/'TCO Inputs'!$AZ$84</f>
        <v>149.20840292514359</v>
      </c>
      <c r="CK141" s="125">
        <f>CK30/293.07*(1/(VLOOKUP($BL141,'Fuel economy adjusted factor'!$A$2:$L$52,5,FALSE)*m2k))/'TCO Inputs'!$AZ$84</f>
        <v>149.20840292514359</v>
      </c>
      <c r="CL141" s="125">
        <f>CL30/293.07*(1/(VLOOKUP($BL141,'Fuel economy adjusted factor'!$A$2:$L$52,5,FALSE)*m2k))/'TCO Inputs'!$AZ$84</f>
        <v>149.20840292514359</v>
      </c>
      <c r="CM141" s="125">
        <f>CM30/293.07*(1/(VLOOKUP($BL141,'Fuel economy adjusted factor'!$A$2:$L$52,5,FALSE)*m2k))/'TCO Inputs'!$AZ$84</f>
        <v>149.20840292514359</v>
      </c>
      <c r="CN141" s="125">
        <f>CN30/293.07*(1/(VLOOKUP($BL141,'Fuel economy adjusted factor'!$A$2:$L$52,5,FALSE)*m2k))/'TCO Inputs'!$AZ$84</f>
        <v>149.20840292514359</v>
      </c>
      <c r="CO141" s="98" cm="1">
        <f t="array" ref="CO141">SUMPRODUCT(INDEX(BM141:CN141,,'TCO Inputs'!$AZ$12-2023+_xlfn.SEQUENCE('TCO Inputs'!$AZ$13))*INDEX('VKT US'!C89:AA89,,_xlfn.SEQUENCE('TCO Inputs'!$AZ$13)))*m2k*CONVERT(0.9072,"g","ton")</f>
        <v>46.828606570214568</v>
      </c>
    </row>
    <row r="142" spans="1:93" x14ac:dyDescent="0.25">
      <c r="A142" s="123" t="s">
        <v>215</v>
      </c>
      <c r="B142" s="125">
        <f>B31/293.07*(1/(VLOOKUP($A142,'Fuel economy adjusted factor'!$A$2:$L$52,5,FALSE)*m2k))/'TCO Inputs'!$AZ$84</f>
        <v>117.95016924404138</v>
      </c>
      <c r="C142" s="125">
        <f>C31/293.07*(1/(VLOOKUP($A142,'Fuel economy adjusted factor'!$A$2:$L$52,5,FALSE)*m2k))/'TCO Inputs'!$AZ$84</f>
        <v>117.95016924404138</v>
      </c>
      <c r="D142" s="125">
        <f>D31/293.07*(1/(VLOOKUP($A142,'Fuel economy adjusted factor'!$A$2:$L$52,5,FALSE)*m2k))/'TCO Inputs'!$AZ$84</f>
        <v>117.95016924404138</v>
      </c>
      <c r="E142" s="125">
        <f>E31/293.07*(1/(VLOOKUP($A142,'Fuel economy adjusted factor'!$A$2:$L$52,5,FALSE)*m2k))/'TCO Inputs'!$AZ$84</f>
        <v>117.95016924404138</v>
      </c>
      <c r="F142" s="125">
        <f>F31/293.07*(1/(VLOOKUP($A142,'Fuel economy adjusted factor'!$A$2:$L$52,5,FALSE)*m2k))/'TCO Inputs'!$AZ$84</f>
        <v>117.95016924404138</v>
      </c>
      <c r="G142" s="125">
        <f>G31/293.07*(1/(VLOOKUP($A142,'Fuel economy adjusted factor'!$A$2:$L$52,5,FALSE)*m2k))/'TCO Inputs'!$AZ$84</f>
        <v>117.95016924404138</v>
      </c>
      <c r="H142" s="125">
        <f>H31/293.07*(1/(VLOOKUP($A142,'Fuel economy adjusted factor'!$A$2:$L$52,5,FALSE)*m2k))/'TCO Inputs'!$AZ$84</f>
        <v>117.95016924404138</v>
      </c>
      <c r="I142" s="125">
        <f>I31/293.07*(1/(VLOOKUP($A142,'Fuel economy adjusted factor'!$A$2:$L$52,5,FALSE)*m2k))/'TCO Inputs'!$AZ$84</f>
        <v>117.95016924404138</v>
      </c>
      <c r="J142" s="125">
        <f>J31/293.07*(1/(VLOOKUP($A142,'Fuel economy adjusted factor'!$A$2:$L$52,5,FALSE)*m2k))/'TCO Inputs'!$AZ$84</f>
        <v>117.95016924404138</v>
      </c>
      <c r="K142" s="125">
        <f>K31/293.07*(1/(VLOOKUP($A142,'Fuel economy adjusted factor'!$A$2:$L$52,5,FALSE)*m2k))/'TCO Inputs'!$AZ$84</f>
        <v>117.95016924404138</v>
      </c>
      <c r="L142" s="125">
        <f>L31/293.07*(1/(VLOOKUP($A142,'Fuel economy adjusted factor'!$A$2:$L$52,5,FALSE)*m2k))/'TCO Inputs'!$AZ$84</f>
        <v>117.95016924404138</v>
      </c>
      <c r="M142" s="125">
        <f>M31/293.07*(1/(VLOOKUP($A142,'Fuel economy adjusted factor'!$A$2:$L$52,5,FALSE)*m2k))/'TCO Inputs'!$AZ$84</f>
        <v>117.95016924404138</v>
      </c>
      <c r="N142" s="125">
        <f>N31/293.07*(1/(VLOOKUP($A142,'Fuel economy adjusted factor'!$A$2:$L$52,5,FALSE)*m2k))/'TCO Inputs'!$AZ$84</f>
        <v>117.95016924404138</v>
      </c>
      <c r="O142" s="125">
        <f>O31/293.07*(1/(VLOOKUP($A142,'Fuel economy adjusted factor'!$A$2:$L$52,5,FALSE)*m2k))/'TCO Inputs'!$AZ$84</f>
        <v>117.95016924404138</v>
      </c>
      <c r="P142" s="125">
        <f>P31/293.07*(1/(VLOOKUP($A142,'Fuel economy adjusted factor'!$A$2:$L$52,5,FALSE)*m2k))/'TCO Inputs'!$AZ$84</f>
        <v>117.95016924404138</v>
      </c>
      <c r="Q142" s="125">
        <f>Q31/293.07*(1/(VLOOKUP($A142,'Fuel economy adjusted factor'!$A$2:$L$52,5,FALSE)*m2k))/'TCO Inputs'!$AZ$84</f>
        <v>117.95016924404138</v>
      </c>
      <c r="R142" s="125">
        <f>R31/293.07*(1/(VLOOKUP($A142,'Fuel economy adjusted factor'!$A$2:$L$52,5,FALSE)*m2k))/'TCO Inputs'!$AZ$84</f>
        <v>117.95016924404138</v>
      </c>
      <c r="S142" s="125">
        <f>S31/293.07*(1/(VLOOKUP($A142,'Fuel economy adjusted factor'!$A$2:$L$52,5,FALSE)*m2k))/'TCO Inputs'!$AZ$84</f>
        <v>117.95016924404138</v>
      </c>
      <c r="T142" s="125">
        <f>T31/293.07*(1/(VLOOKUP($A142,'Fuel economy adjusted factor'!$A$2:$L$52,5,FALSE)*m2k))/'TCO Inputs'!$AZ$84</f>
        <v>117.95016924404138</v>
      </c>
      <c r="U142" s="125">
        <f>U31/293.07*(1/(VLOOKUP($A142,'Fuel economy adjusted factor'!$A$2:$L$52,5,FALSE)*m2k))/'TCO Inputs'!$AZ$84</f>
        <v>117.95016924404138</v>
      </c>
      <c r="V142" s="125">
        <f>V31/293.07*(1/(VLOOKUP($A142,'Fuel economy adjusted factor'!$A$2:$L$52,5,FALSE)*m2k))/'TCO Inputs'!$AZ$84</f>
        <v>117.95016924404138</v>
      </c>
      <c r="W142" s="125">
        <f>W31/293.07*(1/(VLOOKUP($A142,'Fuel economy adjusted factor'!$A$2:$L$52,5,FALSE)*m2k))/'TCO Inputs'!$AZ$84</f>
        <v>117.95016924404138</v>
      </c>
      <c r="X142" s="125">
        <f>X31/293.07*(1/(VLOOKUP($A142,'Fuel economy adjusted factor'!$A$2:$L$52,5,FALSE)*m2k))/'TCO Inputs'!$AZ$84</f>
        <v>117.95016924404138</v>
      </c>
      <c r="Y142" s="125">
        <f>Y31/293.07*(1/(VLOOKUP($A142,'Fuel economy adjusted factor'!$A$2:$L$52,5,FALSE)*m2k))/'TCO Inputs'!$AZ$84</f>
        <v>117.95016924404138</v>
      </c>
      <c r="Z142" s="125">
        <f>Z31/293.07*(1/(VLOOKUP($A142,'Fuel economy adjusted factor'!$A$2:$L$52,5,FALSE)*m2k))/'TCO Inputs'!$AZ$84</f>
        <v>117.95016924404138</v>
      </c>
      <c r="AA142" s="125">
        <f>AA31/293.07*(1/(VLOOKUP($A142,'Fuel economy adjusted factor'!$A$2:$L$52,5,FALSE)*m2k))/'TCO Inputs'!$AZ$84</f>
        <v>117.95016924404138</v>
      </c>
      <c r="AB142" s="125">
        <f>AB31/293.07*(1/(VLOOKUP($A142,'Fuel economy adjusted factor'!$A$2:$L$52,5,FALSE)*m2k))/'TCO Inputs'!$AZ$84</f>
        <v>117.95016924404138</v>
      </c>
      <c r="AC142" s="125">
        <f>AC31/293.07*(1/(VLOOKUP($A142,'Fuel economy adjusted factor'!$A$2:$L$52,5,FALSE)*m2k))/'TCO Inputs'!$AZ$84</f>
        <v>117.95016924404138</v>
      </c>
      <c r="AD142" s="98" cm="1">
        <f t="array" ref="AD142">SUMPRODUCT(INDEX(B142:AC142,,'TCO Inputs'!$AZ$12-2023+_xlfn.SEQUENCE('TCO Inputs'!$AZ$13))*INDEX('VKT US'!C90:AA90,,_xlfn.SEQUENCE('TCO Inputs'!$AZ$13)))*m2k*CONVERT(0.9072,"g","ton")</f>
        <v>34.948710340117941</v>
      </c>
      <c r="AF142" s="123" t="s">
        <v>215</v>
      </c>
      <c r="AG142" s="125">
        <f>AG31/293.07*(1/(VLOOKUP($AF142,'Fuel economy adjusted factor'!$A$2:$L$52,5,FALSE)*m2k))/'TCO Inputs'!$AZ$84</f>
        <v>138.25031579475404</v>
      </c>
      <c r="AH142" s="125">
        <f>AH31/293.07*(1/(VLOOKUP($AF142,'Fuel economy adjusted factor'!$A$2:$L$52,5,FALSE)*m2k))/'TCO Inputs'!$AZ$84</f>
        <v>138.25031579475404</v>
      </c>
      <c r="AI142" s="125">
        <f>AI31/293.07*(1/(VLOOKUP($AF142,'Fuel economy adjusted factor'!$A$2:$L$52,5,FALSE)*m2k))/'TCO Inputs'!$AZ$84</f>
        <v>138.25031579475404</v>
      </c>
      <c r="AJ142" s="125">
        <f>AJ31/293.07*(1/(VLOOKUP($AF142,'Fuel economy adjusted factor'!$A$2:$L$52,5,FALSE)*m2k))/'TCO Inputs'!$AZ$84</f>
        <v>138.25031579475404</v>
      </c>
      <c r="AK142" s="125">
        <f>AK31/293.07*(1/(VLOOKUP($AF142,'Fuel economy adjusted factor'!$A$2:$L$52,5,FALSE)*m2k))/'TCO Inputs'!$AZ$84</f>
        <v>138.25031579475404</v>
      </c>
      <c r="AL142" s="125">
        <f>AL31/293.07*(1/(VLOOKUP($AF142,'Fuel economy adjusted factor'!$A$2:$L$52,5,FALSE)*m2k))/'TCO Inputs'!$AZ$84</f>
        <v>138.25031579475404</v>
      </c>
      <c r="AM142" s="125">
        <f>AM31/293.07*(1/(VLOOKUP($AF142,'Fuel economy adjusted factor'!$A$2:$L$52,5,FALSE)*m2k))/'TCO Inputs'!$AZ$84</f>
        <v>138.25031579475404</v>
      </c>
      <c r="AN142" s="125">
        <f>AN31/293.07*(1/(VLOOKUP($AF142,'Fuel economy adjusted factor'!$A$2:$L$52,5,FALSE)*m2k))/'TCO Inputs'!$AZ$84</f>
        <v>138.25031579475404</v>
      </c>
      <c r="AO142" s="125">
        <f>AO31/293.07*(1/(VLOOKUP($AF142,'Fuel economy adjusted factor'!$A$2:$L$52,5,FALSE)*m2k))/'TCO Inputs'!$AZ$84</f>
        <v>138.25031579475404</v>
      </c>
      <c r="AP142" s="125">
        <f>AP31/293.07*(1/(VLOOKUP($AF142,'Fuel economy adjusted factor'!$A$2:$L$52,5,FALSE)*m2k))/'TCO Inputs'!$AZ$84</f>
        <v>138.25031579475404</v>
      </c>
      <c r="AQ142" s="125">
        <f>AQ31/293.07*(1/(VLOOKUP($AF142,'Fuel economy adjusted factor'!$A$2:$L$52,5,FALSE)*m2k))/'TCO Inputs'!$AZ$84</f>
        <v>138.25031579475404</v>
      </c>
      <c r="AR142" s="125">
        <f>AR31/293.07*(1/(VLOOKUP($AF142,'Fuel economy adjusted factor'!$A$2:$L$52,5,FALSE)*m2k))/'TCO Inputs'!$AZ$84</f>
        <v>138.25031579475404</v>
      </c>
      <c r="AS142" s="125">
        <f>AS31/293.07*(1/(VLOOKUP($AF142,'Fuel economy adjusted factor'!$A$2:$L$52,5,FALSE)*m2k))/'TCO Inputs'!$AZ$84</f>
        <v>138.25031579475404</v>
      </c>
      <c r="AT142" s="125">
        <f>AT31/293.07*(1/(VLOOKUP($AF142,'Fuel economy adjusted factor'!$A$2:$L$52,5,FALSE)*m2k))/'TCO Inputs'!$AZ$84</f>
        <v>138.25031579475404</v>
      </c>
      <c r="AU142" s="125">
        <f>AU31/293.07*(1/(VLOOKUP($AF142,'Fuel economy adjusted factor'!$A$2:$L$52,5,FALSE)*m2k))/'TCO Inputs'!$AZ$84</f>
        <v>138.25031579475404</v>
      </c>
      <c r="AV142" s="125">
        <f>AV31/293.07*(1/(VLOOKUP($AF142,'Fuel economy adjusted factor'!$A$2:$L$52,5,FALSE)*m2k))/'TCO Inputs'!$AZ$84</f>
        <v>138.25031579475404</v>
      </c>
      <c r="AW142" s="125">
        <f>AW31/293.07*(1/(VLOOKUP($AF142,'Fuel economy adjusted factor'!$A$2:$L$52,5,FALSE)*m2k))/'TCO Inputs'!$AZ$84</f>
        <v>138.25031579475404</v>
      </c>
      <c r="AX142" s="125">
        <f>AX31/293.07*(1/(VLOOKUP($AF142,'Fuel economy adjusted factor'!$A$2:$L$52,5,FALSE)*m2k))/'TCO Inputs'!$AZ$84</f>
        <v>138.25031579475404</v>
      </c>
      <c r="AY142" s="125">
        <f>AY31/293.07*(1/(VLOOKUP($AF142,'Fuel economy adjusted factor'!$A$2:$L$52,5,FALSE)*m2k))/'TCO Inputs'!$AZ$84</f>
        <v>138.25031579475404</v>
      </c>
      <c r="AZ142" s="125">
        <f>AZ31/293.07*(1/(VLOOKUP($AF142,'Fuel economy adjusted factor'!$A$2:$L$52,5,FALSE)*m2k))/'TCO Inputs'!$AZ$84</f>
        <v>138.25031579475404</v>
      </c>
      <c r="BA142" s="125">
        <f>BA31/293.07*(1/(VLOOKUP($AF142,'Fuel economy adjusted factor'!$A$2:$L$52,5,FALSE)*m2k))/'TCO Inputs'!$AZ$84</f>
        <v>138.25031579475404</v>
      </c>
      <c r="BB142" s="125">
        <f>BB31/293.07*(1/(VLOOKUP($AF142,'Fuel economy adjusted factor'!$A$2:$L$52,5,FALSE)*m2k))/'TCO Inputs'!$AZ$84</f>
        <v>138.25031579475404</v>
      </c>
      <c r="BC142" s="125">
        <f>BC31/293.07*(1/(VLOOKUP($AF142,'Fuel economy adjusted factor'!$A$2:$L$52,5,FALSE)*m2k))/'TCO Inputs'!$AZ$84</f>
        <v>138.25031579475404</v>
      </c>
      <c r="BD142" s="125">
        <f>BD31/293.07*(1/(VLOOKUP($AF142,'Fuel economy adjusted factor'!$A$2:$L$52,5,FALSE)*m2k))/'TCO Inputs'!$AZ$84</f>
        <v>138.25031579475404</v>
      </c>
      <c r="BE142" s="125">
        <f>BE31/293.07*(1/(VLOOKUP($AF142,'Fuel economy adjusted factor'!$A$2:$L$52,5,FALSE)*m2k))/'TCO Inputs'!$AZ$84</f>
        <v>138.25031579475404</v>
      </c>
      <c r="BF142" s="125">
        <f>BF31/293.07*(1/(VLOOKUP($AF142,'Fuel economy adjusted factor'!$A$2:$L$52,5,FALSE)*m2k))/'TCO Inputs'!$AZ$84</f>
        <v>138.25031579475404</v>
      </c>
      <c r="BG142" s="125">
        <f>BG31/293.07*(1/(VLOOKUP($AF142,'Fuel economy adjusted factor'!$A$2:$L$52,5,FALSE)*m2k))/'TCO Inputs'!$AZ$84</f>
        <v>138.25031579475404</v>
      </c>
      <c r="BH142" s="125">
        <f>BH31/293.07*(1/(VLOOKUP($AF142,'Fuel economy adjusted factor'!$A$2:$L$52,5,FALSE)*m2k))/'TCO Inputs'!$AZ$84</f>
        <v>138.25031579475404</v>
      </c>
      <c r="BI142" s="98" cm="1">
        <f t="array" ref="BI142">SUMPRODUCT(INDEX(AG142:BH142,,'TCO Inputs'!$AZ$12-2023+_xlfn.SEQUENCE('TCO Inputs'!$AZ$13))*INDEX('VKT US'!C90:AA90,,_xlfn.SEQUENCE('TCO Inputs'!$AZ$13)))*m2k*CONVERT(0.9072,"g","ton")</f>
        <v>40.963656704416124</v>
      </c>
      <c r="BL142" s="123" t="s">
        <v>215</v>
      </c>
      <c r="BM142" s="125">
        <f>BM31/293.07*(1/(VLOOKUP($BL142,'Fuel economy adjusted factor'!$A$2:$L$52,5,FALSE)*m2k))/'TCO Inputs'!$AZ$84</f>
        <v>102.77725269025703</v>
      </c>
      <c r="BN142" s="125">
        <f>BN31/293.07*(1/(VLOOKUP($BL142,'Fuel economy adjusted factor'!$A$2:$L$52,5,FALSE)*m2k))/'TCO Inputs'!$AZ$84</f>
        <v>102.77725269025703</v>
      </c>
      <c r="BO142" s="125">
        <f>BO31/293.07*(1/(VLOOKUP($BL142,'Fuel economy adjusted factor'!$A$2:$L$52,5,FALSE)*m2k))/'TCO Inputs'!$AZ$84</f>
        <v>102.77725269025703</v>
      </c>
      <c r="BP142" s="125">
        <f>BP31/293.07*(1/(VLOOKUP($BL142,'Fuel economy adjusted factor'!$A$2:$L$52,5,FALSE)*m2k))/'TCO Inputs'!$AZ$84</f>
        <v>102.77725269025703</v>
      </c>
      <c r="BQ142" s="125">
        <f>BQ31/293.07*(1/(VLOOKUP($BL142,'Fuel economy adjusted factor'!$A$2:$L$52,5,FALSE)*m2k))/'TCO Inputs'!$AZ$84</f>
        <v>102.77725269025703</v>
      </c>
      <c r="BR142" s="125">
        <f>BR31/293.07*(1/(VLOOKUP($BL142,'Fuel economy adjusted factor'!$A$2:$L$52,5,FALSE)*m2k))/'TCO Inputs'!$AZ$84</f>
        <v>102.77725269025703</v>
      </c>
      <c r="BS142" s="125">
        <f>BS31/293.07*(1/(VLOOKUP($BL142,'Fuel economy adjusted factor'!$A$2:$L$52,5,FALSE)*m2k))/'TCO Inputs'!$AZ$84</f>
        <v>102.77725269025703</v>
      </c>
      <c r="BT142" s="125">
        <f>BT31/293.07*(1/(VLOOKUP($BL142,'Fuel economy adjusted factor'!$A$2:$L$52,5,FALSE)*m2k))/'TCO Inputs'!$AZ$84</f>
        <v>102.77725269025703</v>
      </c>
      <c r="BU142" s="125">
        <f>BU31/293.07*(1/(VLOOKUP($BL142,'Fuel economy adjusted factor'!$A$2:$L$52,5,FALSE)*m2k))/'TCO Inputs'!$AZ$84</f>
        <v>102.77725269025703</v>
      </c>
      <c r="BV142" s="125">
        <f>BV31/293.07*(1/(VLOOKUP($BL142,'Fuel economy adjusted factor'!$A$2:$L$52,5,FALSE)*m2k))/'TCO Inputs'!$AZ$84</f>
        <v>102.77725269025703</v>
      </c>
      <c r="BW142" s="125">
        <f>BW31/293.07*(1/(VLOOKUP($BL142,'Fuel economy adjusted factor'!$A$2:$L$52,5,FALSE)*m2k))/'TCO Inputs'!$AZ$84</f>
        <v>102.77725269025703</v>
      </c>
      <c r="BX142" s="125">
        <f>BX31/293.07*(1/(VLOOKUP($BL142,'Fuel economy adjusted factor'!$A$2:$L$52,5,FALSE)*m2k))/'TCO Inputs'!$AZ$84</f>
        <v>102.77725269025703</v>
      </c>
      <c r="BY142" s="125">
        <f>BY31/293.07*(1/(VLOOKUP($BL142,'Fuel economy adjusted factor'!$A$2:$L$52,5,FALSE)*m2k))/'TCO Inputs'!$AZ$84</f>
        <v>102.77725269025703</v>
      </c>
      <c r="BZ142" s="125">
        <f>BZ31/293.07*(1/(VLOOKUP($BL142,'Fuel economy adjusted factor'!$A$2:$L$52,5,FALSE)*m2k))/'TCO Inputs'!$AZ$84</f>
        <v>102.77725269025703</v>
      </c>
      <c r="CA142" s="125">
        <f>CA31/293.07*(1/(VLOOKUP($BL142,'Fuel economy adjusted factor'!$A$2:$L$52,5,FALSE)*m2k))/'TCO Inputs'!$AZ$84</f>
        <v>102.77725269025703</v>
      </c>
      <c r="CB142" s="125">
        <f>CB31/293.07*(1/(VLOOKUP($BL142,'Fuel economy adjusted factor'!$A$2:$L$52,5,FALSE)*m2k))/'TCO Inputs'!$AZ$84</f>
        <v>102.77725269025703</v>
      </c>
      <c r="CC142" s="125">
        <f>CC31/293.07*(1/(VLOOKUP($BL142,'Fuel economy adjusted factor'!$A$2:$L$52,5,FALSE)*m2k))/'TCO Inputs'!$AZ$84</f>
        <v>102.77725269025703</v>
      </c>
      <c r="CD142" s="125">
        <f>CD31/293.07*(1/(VLOOKUP($BL142,'Fuel economy adjusted factor'!$A$2:$L$52,5,FALSE)*m2k))/'TCO Inputs'!$AZ$84</f>
        <v>102.77725269025703</v>
      </c>
      <c r="CE142" s="125">
        <f>CE31/293.07*(1/(VLOOKUP($BL142,'Fuel economy adjusted factor'!$A$2:$L$52,5,FALSE)*m2k))/'TCO Inputs'!$AZ$84</f>
        <v>102.77725269025703</v>
      </c>
      <c r="CF142" s="125">
        <f>CF31/293.07*(1/(VLOOKUP($BL142,'Fuel economy adjusted factor'!$A$2:$L$52,5,FALSE)*m2k))/'TCO Inputs'!$AZ$84</f>
        <v>102.77725269025703</v>
      </c>
      <c r="CG142" s="125">
        <f>CG31/293.07*(1/(VLOOKUP($BL142,'Fuel economy adjusted factor'!$A$2:$L$52,5,FALSE)*m2k))/'TCO Inputs'!$AZ$84</f>
        <v>102.77725269025703</v>
      </c>
      <c r="CH142" s="125">
        <f>CH31/293.07*(1/(VLOOKUP($BL142,'Fuel economy adjusted factor'!$A$2:$L$52,5,FALSE)*m2k))/'TCO Inputs'!$AZ$84</f>
        <v>102.77725269025703</v>
      </c>
      <c r="CI142" s="125">
        <f>CI31/293.07*(1/(VLOOKUP($BL142,'Fuel economy adjusted factor'!$A$2:$L$52,5,FALSE)*m2k))/'TCO Inputs'!$AZ$84</f>
        <v>102.77725269025703</v>
      </c>
      <c r="CJ142" s="125">
        <f>CJ31/293.07*(1/(VLOOKUP($BL142,'Fuel economy adjusted factor'!$A$2:$L$52,5,FALSE)*m2k))/'TCO Inputs'!$AZ$84</f>
        <v>102.77725269025703</v>
      </c>
      <c r="CK142" s="125">
        <f>CK31/293.07*(1/(VLOOKUP($BL142,'Fuel economy adjusted factor'!$A$2:$L$52,5,FALSE)*m2k))/'TCO Inputs'!$AZ$84</f>
        <v>102.77725269025703</v>
      </c>
      <c r="CL142" s="125">
        <f>CL31/293.07*(1/(VLOOKUP($BL142,'Fuel economy adjusted factor'!$A$2:$L$52,5,FALSE)*m2k))/'TCO Inputs'!$AZ$84</f>
        <v>102.77725269025703</v>
      </c>
      <c r="CM142" s="125">
        <f>CM31/293.07*(1/(VLOOKUP($BL142,'Fuel economy adjusted factor'!$A$2:$L$52,5,FALSE)*m2k))/'TCO Inputs'!$AZ$84</f>
        <v>102.77725269025703</v>
      </c>
      <c r="CN142" s="125">
        <f>CN31/293.07*(1/(VLOOKUP($BL142,'Fuel economy adjusted factor'!$A$2:$L$52,5,FALSE)*m2k))/'TCO Inputs'!$AZ$84</f>
        <v>102.77725269025703</v>
      </c>
      <c r="CO142" s="98" cm="1">
        <f t="array" ref="CO142">SUMPRODUCT(INDEX(BM142:CN142,,'TCO Inputs'!$AZ$12-2023+_xlfn.SEQUENCE('TCO Inputs'!$AZ$13))*INDEX('VKT US'!C90:AA90,,_xlfn.SEQUENCE('TCO Inputs'!$AZ$13)))*m2k*CONVERT(0.9072,"g","ton")</f>
        <v>30.452965492513346</v>
      </c>
    </row>
    <row r="143" spans="1:93" x14ac:dyDescent="0.25">
      <c r="A143" s="123" t="s">
        <v>212</v>
      </c>
      <c r="B143" s="125">
        <f>B32/293.07*(1/(VLOOKUP($A143,'Fuel economy adjusted factor'!$A$2:$L$52,5,FALSE)*m2k))/'TCO Inputs'!$AZ$84</f>
        <v>52.309170527991412</v>
      </c>
      <c r="C143" s="125">
        <f>C32/293.07*(1/(VLOOKUP($A143,'Fuel economy adjusted factor'!$A$2:$L$52,5,FALSE)*m2k))/'TCO Inputs'!$AZ$84</f>
        <v>52.309170527991412</v>
      </c>
      <c r="D143" s="125">
        <f>D32/293.07*(1/(VLOOKUP($A143,'Fuel economy adjusted factor'!$A$2:$L$52,5,FALSE)*m2k))/'TCO Inputs'!$AZ$84</f>
        <v>52.309170527991412</v>
      </c>
      <c r="E143" s="125">
        <f>E32/293.07*(1/(VLOOKUP($A143,'Fuel economy adjusted factor'!$A$2:$L$52,5,FALSE)*m2k))/'TCO Inputs'!$AZ$84</f>
        <v>52.309170527991412</v>
      </c>
      <c r="F143" s="125">
        <f>F32/293.07*(1/(VLOOKUP($A143,'Fuel economy adjusted factor'!$A$2:$L$52,5,FALSE)*m2k))/'TCO Inputs'!$AZ$84</f>
        <v>52.309170527991412</v>
      </c>
      <c r="G143" s="125">
        <f>G32/293.07*(1/(VLOOKUP($A143,'Fuel economy adjusted factor'!$A$2:$L$52,5,FALSE)*m2k))/'TCO Inputs'!$AZ$84</f>
        <v>52.309170527991412</v>
      </c>
      <c r="H143" s="125">
        <f>H32/293.07*(1/(VLOOKUP($A143,'Fuel economy adjusted factor'!$A$2:$L$52,5,FALSE)*m2k))/'TCO Inputs'!$AZ$84</f>
        <v>52.309170527991412</v>
      </c>
      <c r="I143" s="125">
        <f>I32/293.07*(1/(VLOOKUP($A143,'Fuel economy adjusted factor'!$A$2:$L$52,5,FALSE)*m2k))/'TCO Inputs'!$AZ$84</f>
        <v>52.309170527991412</v>
      </c>
      <c r="J143" s="125">
        <f>J32/293.07*(1/(VLOOKUP($A143,'Fuel economy adjusted factor'!$A$2:$L$52,5,FALSE)*m2k))/'TCO Inputs'!$AZ$84</f>
        <v>52.309170527991412</v>
      </c>
      <c r="K143" s="125">
        <f>K32/293.07*(1/(VLOOKUP($A143,'Fuel economy adjusted factor'!$A$2:$L$52,5,FALSE)*m2k))/'TCO Inputs'!$AZ$84</f>
        <v>52.309170527991412</v>
      </c>
      <c r="L143" s="125">
        <f>L32/293.07*(1/(VLOOKUP($A143,'Fuel economy adjusted factor'!$A$2:$L$52,5,FALSE)*m2k))/'TCO Inputs'!$AZ$84</f>
        <v>52.309170527991412</v>
      </c>
      <c r="M143" s="125">
        <f>M32/293.07*(1/(VLOOKUP($A143,'Fuel economy adjusted factor'!$A$2:$L$52,5,FALSE)*m2k))/'TCO Inputs'!$AZ$84</f>
        <v>52.309170527991412</v>
      </c>
      <c r="N143" s="125">
        <f>N32/293.07*(1/(VLOOKUP($A143,'Fuel economy adjusted factor'!$A$2:$L$52,5,FALSE)*m2k))/'TCO Inputs'!$AZ$84</f>
        <v>52.309170527991412</v>
      </c>
      <c r="O143" s="125">
        <f>O32/293.07*(1/(VLOOKUP($A143,'Fuel economy adjusted factor'!$A$2:$L$52,5,FALSE)*m2k))/'TCO Inputs'!$AZ$84</f>
        <v>52.309170527991412</v>
      </c>
      <c r="P143" s="125">
        <f>P32/293.07*(1/(VLOOKUP($A143,'Fuel economy adjusted factor'!$A$2:$L$52,5,FALSE)*m2k))/'TCO Inputs'!$AZ$84</f>
        <v>52.309170527991412</v>
      </c>
      <c r="Q143" s="125">
        <f>Q32/293.07*(1/(VLOOKUP($A143,'Fuel economy adjusted factor'!$A$2:$L$52,5,FALSE)*m2k))/'TCO Inputs'!$AZ$84</f>
        <v>52.309170527991412</v>
      </c>
      <c r="R143" s="125">
        <f>R32/293.07*(1/(VLOOKUP($A143,'Fuel economy adjusted factor'!$A$2:$L$52,5,FALSE)*m2k))/'TCO Inputs'!$AZ$84</f>
        <v>52.309170527991412</v>
      </c>
      <c r="S143" s="125">
        <f>S32/293.07*(1/(VLOOKUP($A143,'Fuel economy adjusted factor'!$A$2:$L$52,5,FALSE)*m2k))/'TCO Inputs'!$AZ$84</f>
        <v>52.309170527991412</v>
      </c>
      <c r="T143" s="125">
        <f>T32/293.07*(1/(VLOOKUP($A143,'Fuel economy adjusted factor'!$A$2:$L$52,5,FALSE)*m2k))/'TCO Inputs'!$AZ$84</f>
        <v>52.309170527991412</v>
      </c>
      <c r="U143" s="125">
        <f>U32/293.07*(1/(VLOOKUP($A143,'Fuel economy adjusted factor'!$A$2:$L$52,5,FALSE)*m2k))/'TCO Inputs'!$AZ$84</f>
        <v>52.309170527991412</v>
      </c>
      <c r="V143" s="125">
        <f>V32/293.07*(1/(VLOOKUP($A143,'Fuel economy adjusted factor'!$A$2:$L$52,5,FALSE)*m2k))/'TCO Inputs'!$AZ$84</f>
        <v>52.309170527991412</v>
      </c>
      <c r="W143" s="125">
        <f>W32/293.07*(1/(VLOOKUP($A143,'Fuel economy adjusted factor'!$A$2:$L$52,5,FALSE)*m2k))/'TCO Inputs'!$AZ$84</f>
        <v>52.309170527991412</v>
      </c>
      <c r="X143" s="125">
        <f>X32/293.07*(1/(VLOOKUP($A143,'Fuel economy adjusted factor'!$A$2:$L$52,5,FALSE)*m2k))/'TCO Inputs'!$AZ$84</f>
        <v>52.309170527991412</v>
      </c>
      <c r="Y143" s="125">
        <f>Y32/293.07*(1/(VLOOKUP($A143,'Fuel economy adjusted factor'!$A$2:$L$52,5,FALSE)*m2k))/'TCO Inputs'!$AZ$84</f>
        <v>52.309170527991412</v>
      </c>
      <c r="Z143" s="125">
        <f>Z32/293.07*(1/(VLOOKUP($A143,'Fuel economy adjusted factor'!$A$2:$L$52,5,FALSE)*m2k))/'TCO Inputs'!$AZ$84</f>
        <v>52.309170527991412</v>
      </c>
      <c r="AA143" s="125">
        <f>AA32/293.07*(1/(VLOOKUP($A143,'Fuel economy adjusted factor'!$A$2:$L$52,5,FALSE)*m2k))/'TCO Inputs'!$AZ$84</f>
        <v>52.309170527991412</v>
      </c>
      <c r="AB143" s="125">
        <f>AB32/293.07*(1/(VLOOKUP($A143,'Fuel economy adjusted factor'!$A$2:$L$52,5,FALSE)*m2k))/'TCO Inputs'!$AZ$84</f>
        <v>52.309170527991412</v>
      </c>
      <c r="AC143" s="125">
        <f>AC32/293.07*(1/(VLOOKUP($A143,'Fuel economy adjusted factor'!$A$2:$L$52,5,FALSE)*m2k))/'TCO Inputs'!$AZ$84</f>
        <v>52.309170527991412</v>
      </c>
      <c r="AD143" s="98" cm="1">
        <f t="array" ref="AD143">SUMPRODUCT(INDEX(B143:AC143,,'TCO Inputs'!$AZ$12-2023+_xlfn.SEQUENCE('TCO Inputs'!$AZ$13))*INDEX('VKT US'!C91:AA91,,_xlfn.SEQUENCE('TCO Inputs'!$AZ$13)))*m2k*CONVERT(0.9072,"g","ton")</f>
        <v>12.794393082676244</v>
      </c>
      <c r="AF143" s="123" t="s">
        <v>212</v>
      </c>
      <c r="AG143" s="125">
        <f>AG32/293.07*(1/(VLOOKUP($AF143,'Fuel economy adjusted factor'!$A$2:$L$52,5,FALSE)*m2k))/'TCO Inputs'!$AZ$84</f>
        <v>61.311987857294142</v>
      </c>
      <c r="AH143" s="125">
        <f>AH32/293.07*(1/(VLOOKUP($AF143,'Fuel economy adjusted factor'!$A$2:$L$52,5,FALSE)*m2k))/'TCO Inputs'!$AZ$84</f>
        <v>61.311987857294142</v>
      </c>
      <c r="AI143" s="125">
        <f>AI32/293.07*(1/(VLOOKUP($AF143,'Fuel economy adjusted factor'!$A$2:$L$52,5,FALSE)*m2k))/'TCO Inputs'!$AZ$84</f>
        <v>61.311987857294142</v>
      </c>
      <c r="AJ143" s="125">
        <f>AJ32/293.07*(1/(VLOOKUP($AF143,'Fuel economy adjusted factor'!$A$2:$L$52,5,FALSE)*m2k))/'TCO Inputs'!$AZ$84</f>
        <v>61.311987857294142</v>
      </c>
      <c r="AK143" s="125">
        <f>AK32/293.07*(1/(VLOOKUP($AF143,'Fuel economy adjusted factor'!$A$2:$L$52,5,FALSE)*m2k))/'TCO Inputs'!$AZ$84</f>
        <v>61.311987857294142</v>
      </c>
      <c r="AL143" s="125">
        <f>AL32/293.07*(1/(VLOOKUP($AF143,'Fuel economy adjusted factor'!$A$2:$L$52,5,FALSE)*m2k))/'TCO Inputs'!$AZ$84</f>
        <v>61.311987857294142</v>
      </c>
      <c r="AM143" s="125">
        <f>AM32/293.07*(1/(VLOOKUP($AF143,'Fuel economy adjusted factor'!$A$2:$L$52,5,FALSE)*m2k))/'TCO Inputs'!$AZ$84</f>
        <v>61.311987857294142</v>
      </c>
      <c r="AN143" s="125">
        <f>AN32/293.07*(1/(VLOOKUP($AF143,'Fuel economy adjusted factor'!$A$2:$L$52,5,FALSE)*m2k))/'TCO Inputs'!$AZ$84</f>
        <v>61.311987857294142</v>
      </c>
      <c r="AO143" s="125">
        <f>AO32/293.07*(1/(VLOOKUP($AF143,'Fuel economy adjusted factor'!$A$2:$L$52,5,FALSE)*m2k))/'TCO Inputs'!$AZ$84</f>
        <v>61.311987857294142</v>
      </c>
      <c r="AP143" s="125">
        <f>AP32/293.07*(1/(VLOOKUP($AF143,'Fuel economy adjusted factor'!$A$2:$L$52,5,FALSE)*m2k))/'TCO Inputs'!$AZ$84</f>
        <v>61.311987857294142</v>
      </c>
      <c r="AQ143" s="125">
        <f>AQ32/293.07*(1/(VLOOKUP($AF143,'Fuel economy adjusted factor'!$A$2:$L$52,5,FALSE)*m2k))/'TCO Inputs'!$AZ$84</f>
        <v>61.311987857294142</v>
      </c>
      <c r="AR143" s="125">
        <f>AR32/293.07*(1/(VLOOKUP($AF143,'Fuel economy adjusted factor'!$A$2:$L$52,5,FALSE)*m2k))/'TCO Inputs'!$AZ$84</f>
        <v>61.311987857294142</v>
      </c>
      <c r="AS143" s="125">
        <f>AS32/293.07*(1/(VLOOKUP($AF143,'Fuel economy adjusted factor'!$A$2:$L$52,5,FALSE)*m2k))/'TCO Inputs'!$AZ$84</f>
        <v>61.311987857294142</v>
      </c>
      <c r="AT143" s="125">
        <f>AT32/293.07*(1/(VLOOKUP($AF143,'Fuel economy adjusted factor'!$A$2:$L$52,5,FALSE)*m2k))/'TCO Inputs'!$AZ$84</f>
        <v>61.311987857294142</v>
      </c>
      <c r="AU143" s="125">
        <f>AU32/293.07*(1/(VLOOKUP($AF143,'Fuel economy adjusted factor'!$A$2:$L$52,5,FALSE)*m2k))/'TCO Inputs'!$AZ$84</f>
        <v>61.311987857294142</v>
      </c>
      <c r="AV143" s="125">
        <f>AV32/293.07*(1/(VLOOKUP($AF143,'Fuel economy adjusted factor'!$A$2:$L$52,5,FALSE)*m2k))/'TCO Inputs'!$AZ$84</f>
        <v>61.311987857294142</v>
      </c>
      <c r="AW143" s="125">
        <f>AW32/293.07*(1/(VLOOKUP($AF143,'Fuel economy adjusted factor'!$A$2:$L$52,5,FALSE)*m2k))/'TCO Inputs'!$AZ$84</f>
        <v>61.311987857294142</v>
      </c>
      <c r="AX143" s="125">
        <f>AX32/293.07*(1/(VLOOKUP($AF143,'Fuel economy adjusted factor'!$A$2:$L$52,5,FALSE)*m2k))/'TCO Inputs'!$AZ$84</f>
        <v>61.311987857294142</v>
      </c>
      <c r="AY143" s="125">
        <f>AY32/293.07*(1/(VLOOKUP($AF143,'Fuel economy adjusted factor'!$A$2:$L$52,5,FALSE)*m2k))/'TCO Inputs'!$AZ$84</f>
        <v>61.311987857294142</v>
      </c>
      <c r="AZ143" s="125">
        <f>AZ32/293.07*(1/(VLOOKUP($AF143,'Fuel economy adjusted factor'!$A$2:$L$52,5,FALSE)*m2k))/'TCO Inputs'!$AZ$84</f>
        <v>61.311987857294142</v>
      </c>
      <c r="BA143" s="125">
        <f>BA32/293.07*(1/(VLOOKUP($AF143,'Fuel economy adjusted factor'!$A$2:$L$52,5,FALSE)*m2k))/'TCO Inputs'!$AZ$84</f>
        <v>61.311987857294142</v>
      </c>
      <c r="BB143" s="125">
        <f>BB32/293.07*(1/(VLOOKUP($AF143,'Fuel economy adjusted factor'!$A$2:$L$52,5,FALSE)*m2k))/'TCO Inputs'!$AZ$84</f>
        <v>61.311987857294142</v>
      </c>
      <c r="BC143" s="125">
        <f>BC32/293.07*(1/(VLOOKUP($AF143,'Fuel economy adjusted factor'!$A$2:$L$52,5,FALSE)*m2k))/'TCO Inputs'!$AZ$84</f>
        <v>61.311987857294142</v>
      </c>
      <c r="BD143" s="125">
        <f>BD32/293.07*(1/(VLOOKUP($AF143,'Fuel economy adjusted factor'!$A$2:$L$52,5,FALSE)*m2k))/'TCO Inputs'!$AZ$84</f>
        <v>61.311987857294142</v>
      </c>
      <c r="BE143" s="125">
        <f>BE32/293.07*(1/(VLOOKUP($AF143,'Fuel economy adjusted factor'!$A$2:$L$52,5,FALSE)*m2k))/'TCO Inputs'!$AZ$84</f>
        <v>61.311987857294142</v>
      </c>
      <c r="BF143" s="125">
        <f>BF32/293.07*(1/(VLOOKUP($AF143,'Fuel economy adjusted factor'!$A$2:$L$52,5,FALSE)*m2k))/'TCO Inputs'!$AZ$84</f>
        <v>61.311987857294142</v>
      </c>
      <c r="BG143" s="125">
        <f>BG32/293.07*(1/(VLOOKUP($AF143,'Fuel economy adjusted factor'!$A$2:$L$52,5,FALSE)*m2k))/'TCO Inputs'!$AZ$84</f>
        <v>61.311987857294142</v>
      </c>
      <c r="BH143" s="125">
        <f>BH32/293.07*(1/(VLOOKUP($AF143,'Fuel economy adjusted factor'!$A$2:$L$52,5,FALSE)*m2k))/'TCO Inputs'!$AZ$84</f>
        <v>61.311987857294142</v>
      </c>
      <c r="BI143" s="98" cm="1">
        <f t="array" ref="BI143">SUMPRODUCT(INDEX(AG143:BH143,,'TCO Inputs'!$AZ$12-2023+_xlfn.SEQUENCE('TCO Inputs'!$AZ$13))*INDEX('VKT US'!C91:AA91,,_xlfn.SEQUENCE('TCO Inputs'!$AZ$13)))*m2k*CONVERT(0.9072,"g","ton")</f>
        <v>14.996408190160912</v>
      </c>
      <c r="BL143" s="123" t="s">
        <v>212</v>
      </c>
      <c r="BM143" s="125">
        <f>BM32/293.07*(1/(VLOOKUP($BL143,'Fuel economy adjusted factor'!$A$2:$L$52,5,FALSE)*m2k))/'TCO Inputs'!$AZ$84</f>
        <v>45.580204520518009</v>
      </c>
      <c r="BN143" s="125">
        <f>BN32/293.07*(1/(VLOOKUP($BL143,'Fuel economy adjusted factor'!$A$2:$L$52,5,FALSE)*m2k))/'TCO Inputs'!$AZ$84</f>
        <v>45.580204520518009</v>
      </c>
      <c r="BO143" s="125">
        <f>BO32/293.07*(1/(VLOOKUP($BL143,'Fuel economy adjusted factor'!$A$2:$L$52,5,FALSE)*m2k))/'TCO Inputs'!$AZ$84</f>
        <v>45.580204520518009</v>
      </c>
      <c r="BP143" s="125">
        <f>BP32/293.07*(1/(VLOOKUP($BL143,'Fuel economy adjusted factor'!$A$2:$L$52,5,FALSE)*m2k))/'TCO Inputs'!$AZ$84</f>
        <v>45.580204520518009</v>
      </c>
      <c r="BQ143" s="125">
        <f>BQ32/293.07*(1/(VLOOKUP($BL143,'Fuel economy adjusted factor'!$A$2:$L$52,5,FALSE)*m2k))/'TCO Inputs'!$AZ$84</f>
        <v>45.580204520518009</v>
      </c>
      <c r="BR143" s="125">
        <f>BR32/293.07*(1/(VLOOKUP($BL143,'Fuel economy adjusted factor'!$A$2:$L$52,5,FALSE)*m2k))/'TCO Inputs'!$AZ$84</f>
        <v>45.580204520518009</v>
      </c>
      <c r="BS143" s="125">
        <f>BS32/293.07*(1/(VLOOKUP($BL143,'Fuel economy adjusted factor'!$A$2:$L$52,5,FALSE)*m2k))/'TCO Inputs'!$AZ$84</f>
        <v>45.580204520518009</v>
      </c>
      <c r="BT143" s="125">
        <f>BT32/293.07*(1/(VLOOKUP($BL143,'Fuel economy adjusted factor'!$A$2:$L$52,5,FALSE)*m2k))/'TCO Inputs'!$AZ$84</f>
        <v>45.580204520518009</v>
      </c>
      <c r="BU143" s="125">
        <f>BU32/293.07*(1/(VLOOKUP($BL143,'Fuel economy adjusted factor'!$A$2:$L$52,5,FALSE)*m2k))/'TCO Inputs'!$AZ$84</f>
        <v>45.580204520518009</v>
      </c>
      <c r="BV143" s="125">
        <f>BV32/293.07*(1/(VLOOKUP($BL143,'Fuel economy adjusted factor'!$A$2:$L$52,5,FALSE)*m2k))/'TCO Inputs'!$AZ$84</f>
        <v>45.580204520518009</v>
      </c>
      <c r="BW143" s="125">
        <f>BW32/293.07*(1/(VLOOKUP($BL143,'Fuel economy adjusted factor'!$A$2:$L$52,5,FALSE)*m2k))/'TCO Inputs'!$AZ$84</f>
        <v>45.580204520518009</v>
      </c>
      <c r="BX143" s="125">
        <f>BX32/293.07*(1/(VLOOKUP($BL143,'Fuel economy adjusted factor'!$A$2:$L$52,5,FALSE)*m2k))/'TCO Inputs'!$AZ$84</f>
        <v>45.580204520518009</v>
      </c>
      <c r="BY143" s="125">
        <f>BY32/293.07*(1/(VLOOKUP($BL143,'Fuel economy adjusted factor'!$A$2:$L$52,5,FALSE)*m2k))/'TCO Inputs'!$AZ$84</f>
        <v>45.580204520518009</v>
      </c>
      <c r="BZ143" s="125">
        <f>BZ32/293.07*(1/(VLOOKUP($BL143,'Fuel economy adjusted factor'!$A$2:$L$52,5,FALSE)*m2k))/'TCO Inputs'!$AZ$84</f>
        <v>45.580204520518009</v>
      </c>
      <c r="CA143" s="125">
        <f>CA32/293.07*(1/(VLOOKUP($BL143,'Fuel economy adjusted factor'!$A$2:$L$52,5,FALSE)*m2k))/'TCO Inputs'!$AZ$84</f>
        <v>45.580204520518009</v>
      </c>
      <c r="CB143" s="125">
        <f>CB32/293.07*(1/(VLOOKUP($BL143,'Fuel economy adjusted factor'!$A$2:$L$52,5,FALSE)*m2k))/'TCO Inputs'!$AZ$84</f>
        <v>45.580204520518009</v>
      </c>
      <c r="CC143" s="125">
        <f>CC32/293.07*(1/(VLOOKUP($BL143,'Fuel economy adjusted factor'!$A$2:$L$52,5,FALSE)*m2k))/'TCO Inputs'!$AZ$84</f>
        <v>45.580204520518009</v>
      </c>
      <c r="CD143" s="125">
        <f>CD32/293.07*(1/(VLOOKUP($BL143,'Fuel economy adjusted factor'!$A$2:$L$52,5,FALSE)*m2k))/'TCO Inputs'!$AZ$84</f>
        <v>45.580204520518009</v>
      </c>
      <c r="CE143" s="125">
        <f>CE32/293.07*(1/(VLOOKUP($BL143,'Fuel economy adjusted factor'!$A$2:$L$52,5,FALSE)*m2k))/'TCO Inputs'!$AZ$84</f>
        <v>45.580204520518009</v>
      </c>
      <c r="CF143" s="125">
        <f>CF32/293.07*(1/(VLOOKUP($BL143,'Fuel economy adjusted factor'!$A$2:$L$52,5,FALSE)*m2k))/'TCO Inputs'!$AZ$84</f>
        <v>45.580204520518009</v>
      </c>
      <c r="CG143" s="125">
        <f>CG32/293.07*(1/(VLOOKUP($BL143,'Fuel economy adjusted factor'!$A$2:$L$52,5,FALSE)*m2k))/'TCO Inputs'!$AZ$84</f>
        <v>45.580204520518009</v>
      </c>
      <c r="CH143" s="125">
        <f>CH32/293.07*(1/(VLOOKUP($BL143,'Fuel economy adjusted factor'!$A$2:$L$52,5,FALSE)*m2k))/'TCO Inputs'!$AZ$84</f>
        <v>45.580204520518009</v>
      </c>
      <c r="CI143" s="125">
        <f>CI32/293.07*(1/(VLOOKUP($BL143,'Fuel economy adjusted factor'!$A$2:$L$52,5,FALSE)*m2k))/'TCO Inputs'!$AZ$84</f>
        <v>45.580204520518009</v>
      </c>
      <c r="CJ143" s="125">
        <f>CJ32/293.07*(1/(VLOOKUP($BL143,'Fuel economy adjusted factor'!$A$2:$L$52,5,FALSE)*m2k))/'TCO Inputs'!$AZ$84</f>
        <v>45.580204520518009</v>
      </c>
      <c r="CK143" s="125">
        <f>CK32/293.07*(1/(VLOOKUP($BL143,'Fuel economy adjusted factor'!$A$2:$L$52,5,FALSE)*m2k))/'TCO Inputs'!$AZ$84</f>
        <v>45.580204520518009</v>
      </c>
      <c r="CL143" s="125">
        <f>CL32/293.07*(1/(VLOOKUP($BL143,'Fuel economy adjusted factor'!$A$2:$L$52,5,FALSE)*m2k))/'TCO Inputs'!$AZ$84</f>
        <v>45.580204520518009</v>
      </c>
      <c r="CM143" s="125">
        <f>CM32/293.07*(1/(VLOOKUP($BL143,'Fuel economy adjusted factor'!$A$2:$L$52,5,FALSE)*m2k))/'TCO Inputs'!$AZ$84</f>
        <v>45.580204520518009</v>
      </c>
      <c r="CN143" s="125">
        <f>CN32/293.07*(1/(VLOOKUP($BL143,'Fuel economy adjusted factor'!$A$2:$L$52,5,FALSE)*m2k))/'TCO Inputs'!$AZ$84</f>
        <v>45.580204520518009</v>
      </c>
      <c r="CO143" s="98" cm="1">
        <f t="array" ref="CO143">SUMPRODUCT(INDEX(BM143:CN143,,'TCO Inputs'!$AZ$12-2023+_xlfn.SEQUENCE('TCO Inputs'!$AZ$13))*INDEX('VKT US'!C91:AA91,,_xlfn.SEQUENCE('TCO Inputs'!$AZ$13)))*m2k*CONVERT(0.9072,"g","ton")</f>
        <v>11.148543315406249</v>
      </c>
    </row>
    <row r="144" spans="1:93" x14ac:dyDescent="0.25">
      <c r="A144" s="123" t="s">
        <v>213</v>
      </c>
      <c r="B144" s="125">
        <f>B33/293.07*(1/(VLOOKUP($A144,'Fuel economy adjusted factor'!$A$2:$L$52,5,FALSE)*m2k))/'TCO Inputs'!$AZ$84</f>
        <v>87.049387100997222</v>
      </c>
      <c r="C144" s="125">
        <f>C33/293.07*(1/(VLOOKUP($A144,'Fuel economy adjusted factor'!$A$2:$L$52,5,FALSE)*m2k))/'TCO Inputs'!$AZ$84</f>
        <v>87.049387100997222</v>
      </c>
      <c r="D144" s="125">
        <f>D33/293.07*(1/(VLOOKUP($A144,'Fuel economy adjusted factor'!$A$2:$L$52,5,FALSE)*m2k))/'TCO Inputs'!$AZ$84</f>
        <v>87.049387100997222</v>
      </c>
      <c r="E144" s="125">
        <f>E33/293.07*(1/(VLOOKUP($A144,'Fuel economy adjusted factor'!$A$2:$L$52,5,FALSE)*m2k))/'TCO Inputs'!$AZ$84</f>
        <v>87.049387100997222</v>
      </c>
      <c r="F144" s="125">
        <f>F33/293.07*(1/(VLOOKUP($A144,'Fuel economy adjusted factor'!$A$2:$L$52,5,FALSE)*m2k))/'TCO Inputs'!$AZ$84</f>
        <v>87.049387100997222</v>
      </c>
      <c r="G144" s="125">
        <f>G33/293.07*(1/(VLOOKUP($A144,'Fuel economy adjusted factor'!$A$2:$L$52,5,FALSE)*m2k))/'TCO Inputs'!$AZ$84</f>
        <v>87.049387100997222</v>
      </c>
      <c r="H144" s="125">
        <f>H33/293.07*(1/(VLOOKUP($A144,'Fuel economy adjusted factor'!$A$2:$L$52,5,FALSE)*m2k))/'TCO Inputs'!$AZ$84</f>
        <v>87.049387100997222</v>
      </c>
      <c r="I144" s="125">
        <f>I33/293.07*(1/(VLOOKUP($A144,'Fuel economy adjusted factor'!$A$2:$L$52,5,FALSE)*m2k))/'TCO Inputs'!$AZ$84</f>
        <v>87.049387100997222</v>
      </c>
      <c r="J144" s="125">
        <f>J33/293.07*(1/(VLOOKUP($A144,'Fuel economy adjusted factor'!$A$2:$L$52,5,FALSE)*m2k))/'TCO Inputs'!$AZ$84</f>
        <v>87.049387100997222</v>
      </c>
      <c r="K144" s="125">
        <f>K33/293.07*(1/(VLOOKUP($A144,'Fuel economy adjusted factor'!$A$2:$L$52,5,FALSE)*m2k))/'TCO Inputs'!$AZ$84</f>
        <v>87.049387100997222</v>
      </c>
      <c r="L144" s="125">
        <f>L33/293.07*(1/(VLOOKUP($A144,'Fuel economy adjusted factor'!$A$2:$L$52,5,FALSE)*m2k))/'TCO Inputs'!$AZ$84</f>
        <v>87.049387100997222</v>
      </c>
      <c r="M144" s="125">
        <f>M33/293.07*(1/(VLOOKUP($A144,'Fuel economy adjusted factor'!$A$2:$L$52,5,FALSE)*m2k))/'TCO Inputs'!$AZ$84</f>
        <v>87.049387100997222</v>
      </c>
      <c r="N144" s="125">
        <f>N33/293.07*(1/(VLOOKUP($A144,'Fuel economy adjusted factor'!$A$2:$L$52,5,FALSE)*m2k))/'TCO Inputs'!$AZ$84</f>
        <v>87.049387100997222</v>
      </c>
      <c r="O144" s="125">
        <f>O33/293.07*(1/(VLOOKUP($A144,'Fuel economy adjusted factor'!$A$2:$L$52,5,FALSE)*m2k))/'TCO Inputs'!$AZ$84</f>
        <v>87.049387100997222</v>
      </c>
      <c r="P144" s="125">
        <f>P33/293.07*(1/(VLOOKUP($A144,'Fuel economy adjusted factor'!$A$2:$L$52,5,FALSE)*m2k))/'TCO Inputs'!$AZ$84</f>
        <v>87.049387100997222</v>
      </c>
      <c r="Q144" s="125">
        <f>Q33/293.07*(1/(VLOOKUP($A144,'Fuel economy adjusted factor'!$A$2:$L$52,5,FALSE)*m2k))/'TCO Inputs'!$AZ$84</f>
        <v>87.049387100997222</v>
      </c>
      <c r="R144" s="125">
        <f>R33/293.07*(1/(VLOOKUP($A144,'Fuel economy adjusted factor'!$A$2:$L$52,5,FALSE)*m2k))/'TCO Inputs'!$AZ$84</f>
        <v>87.049387100997222</v>
      </c>
      <c r="S144" s="125">
        <f>S33/293.07*(1/(VLOOKUP($A144,'Fuel economy adjusted factor'!$A$2:$L$52,5,FALSE)*m2k))/'TCO Inputs'!$AZ$84</f>
        <v>87.049387100997222</v>
      </c>
      <c r="T144" s="125">
        <f>T33/293.07*(1/(VLOOKUP($A144,'Fuel economy adjusted factor'!$A$2:$L$52,5,FALSE)*m2k))/'TCO Inputs'!$AZ$84</f>
        <v>87.049387100997222</v>
      </c>
      <c r="U144" s="125">
        <f>U33/293.07*(1/(VLOOKUP($A144,'Fuel economy adjusted factor'!$A$2:$L$52,5,FALSE)*m2k))/'TCO Inputs'!$AZ$84</f>
        <v>87.049387100997222</v>
      </c>
      <c r="V144" s="125">
        <f>V33/293.07*(1/(VLOOKUP($A144,'Fuel economy adjusted factor'!$A$2:$L$52,5,FALSE)*m2k))/'TCO Inputs'!$AZ$84</f>
        <v>87.049387100997222</v>
      </c>
      <c r="W144" s="125">
        <f>W33/293.07*(1/(VLOOKUP($A144,'Fuel economy adjusted factor'!$A$2:$L$52,5,FALSE)*m2k))/'TCO Inputs'!$AZ$84</f>
        <v>87.049387100997222</v>
      </c>
      <c r="X144" s="125">
        <f>X33/293.07*(1/(VLOOKUP($A144,'Fuel economy adjusted factor'!$A$2:$L$52,5,FALSE)*m2k))/'TCO Inputs'!$AZ$84</f>
        <v>87.049387100997222</v>
      </c>
      <c r="Y144" s="125">
        <f>Y33/293.07*(1/(VLOOKUP($A144,'Fuel economy adjusted factor'!$A$2:$L$52,5,FALSE)*m2k))/'TCO Inputs'!$AZ$84</f>
        <v>87.049387100997222</v>
      </c>
      <c r="Z144" s="125">
        <f>Z33/293.07*(1/(VLOOKUP($A144,'Fuel economy adjusted factor'!$A$2:$L$52,5,FALSE)*m2k))/'TCO Inputs'!$AZ$84</f>
        <v>87.049387100997222</v>
      </c>
      <c r="AA144" s="125">
        <f>AA33/293.07*(1/(VLOOKUP($A144,'Fuel economy adjusted factor'!$A$2:$L$52,5,FALSE)*m2k))/'TCO Inputs'!$AZ$84</f>
        <v>87.049387100997222</v>
      </c>
      <c r="AB144" s="125">
        <f>AB33/293.07*(1/(VLOOKUP($A144,'Fuel economy adjusted factor'!$A$2:$L$52,5,FALSE)*m2k))/'TCO Inputs'!$AZ$84</f>
        <v>87.049387100997222</v>
      </c>
      <c r="AC144" s="125">
        <f>AC33/293.07*(1/(VLOOKUP($A144,'Fuel economy adjusted factor'!$A$2:$L$52,5,FALSE)*m2k))/'TCO Inputs'!$AZ$84</f>
        <v>87.049387100997222</v>
      </c>
      <c r="AD144" s="98" cm="1">
        <f t="array" ref="AD144">SUMPRODUCT(INDEX(B144:AC144,,'TCO Inputs'!$AZ$12-2023+_xlfn.SEQUENCE('TCO Inputs'!$AZ$13))*INDEX('VKT US'!C92:AA92,,_xlfn.SEQUENCE('TCO Inputs'!$AZ$13)))*m2k*CONVERT(0.9072,"g","ton")</f>
        <v>22.566850041494703</v>
      </c>
      <c r="AF144" s="123" t="s">
        <v>213</v>
      </c>
      <c r="AG144" s="125">
        <f>AG33/293.07*(1/(VLOOKUP($AF144,'Fuel economy adjusted factor'!$A$2:$L$52,5,FALSE)*m2k))/'TCO Inputs'!$AZ$84</f>
        <v>102.03126738676232</v>
      </c>
      <c r="AH144" s="125">
        <f>AH33/293.07*(1/(VLOOKUP($AF144,'Fuel economy adjusted factor'!$A$2:$L$52,5,FALSE)*m2k))/'TCO Inputs'!$AZ$84</f>
        <v>102.03126738676232</v>
      </c>
      <c r="AI144" s="125">
        <f>AI33/293.07*(1/(VLOOKUP($AF144,'Fuel economy adjusted factor'!$A$2:$L$52,5,FALSE)*m2k))/'TCO Inputs'!$AZ$84</f>
        <v>102.03126738676232</v>
      </c>
      <c r="AJ144" s="125">
        <f>AJ33/293.07*(1/(VLOOKUP($AF144,'Fuel economy adjusted factor'!$A$2:$L$52,5,FALSE)*m2k))/'TCO Inputs'!$AZ$84</f>
        <v>102.03126738676232</v>
      </c>
      <c r="AK144" s="125">
        <f>AK33/293.07*(1/(VLOOKUP($AF144,'Fuel economy adjusted factor'!$A$2:$L$52,5,FALSE)*m2k))/'TCO Inputs'!$AZ$84</f>
        <v>102.03126738676232</v>
      </c>
      <c r="AL144" s="125">
        <f>AL33/293.07*(1/(VLOOKUP($AF144,'Fuel economy adjusted factor'!$A$2:$L$52,5,FALSE)*m2k))/'TCO Inputs'!$AZ$84</f>
        <v>102.03126738676232</v>
      </c>
      <c r="AM144" s="125">
        <f>AM33/293.07*(1/(VLOOKUP($AF144,'Fuel economy adjusted factor'!$A$2:$L$52,5,FALSE)*m2k))/'TCO Inputs'!$AZ$84</f>
        <v>102.03126738676232</v>
      </c>
      <c r="AN144" s="125">
        <f>AN33/293.07*(1/(VLOOKUP($AF144,'Fuel economy adjusted factor'!$A$2:$L$52,5,FALSE)*m2k))/'TCO Inputs'!$AZ$84</f>
        <v>102.03126738676232</v>
      </c>
      <c r="AO144" s="125">
        <f>AO33/293.07*(1/(VLOOKUP($AF144,'Fuel economy adjusted factor'!$A$2:$L$52,5,FALSE)*m2k))/'TCO Inputs'!$AZ$84</f>
        <v>102.03126738676232</v>
      </c>
      <c r="AP144" s="125">
        <f>AP33/293.07*(1/(VLOOKUP($AF144,'Fuel economy adjusted factor'!$A$2:$L$52,5,FALSE)*m2k))/'TCO Inputs'!$AZ$84</f>
        <v>102.03126738676232</v>
      </c>
      <c r="AQ144" s="125">
        <f>AQ33/293.07*(1/(VLOOKUP($AF144,'Fuel economy adjusted factor'!$A$2:$L$52,5,FALSE)*m2k))/'TCO Inputs'!$AZ$84</f>
        <v>102.03126738676232</v>
      </c>
      <c r="AR144" s="125">
        <f>AR33/293.07*(1/(VLOOKUP($AF144,'Fuel economy adjusted factor'!$A$2:$L$52,5,FALSE)*m2k))/'TCO Inputs'!$AZ$84</f>
        <v>102.03126738676232</v>
      </c>
      <c r="AS144" s="125">
        <f>AS33/293.07*(1/(VLOOKUP($AF144,'Fuel economy adjusted factor'!$A$2:$L$52,5,FALSE)*m2k))/'TCO Inputs'!$AZ$84</f>
        <v>102.03126738676232</v>
      </c>
      <c r="AT144" s="125">
        <f>AT33/293.07*(1/(VLOOKUP($AF144,'Fuel economy adjusted factor'!$A$2:$L$52,5,FALSE)*m2k))/'TCO Inputs'!$AZ$84</f>
        <v>102.03126738676232</v>
      </c>
      <c r="AU144" s="125">
        <f>AU33/293.07*(1/(VLOOKUP($AF144,'Fuel economy adjusted factor'!$A$2:$L$52,5,FALSE)*m2k))/'TCO Inputs'!$AZ$84</f>
        <v>102.03126738676232</v>
      </c>
      <c r="AV144" s="125">
        <f>AV33/293.07*(1/(VLOOKUP($AF144,'Fuel economy adjusted factor'!$A$2:$L$52,5,FALSE)*m2k))/'TCO Inputs'!$AZ$84</f>
        <v>102.03126738676232</v>
      </c>
      <c r="AW144" s="125">
        <f>AW33/293.07*(1/(VLOOKUP($AF144,'Fuel economy adjusted factor'!$A$2:$L$52,5,FALSE)*m2k))/'TCO Inputs'!$AZ$84</f>
        <v>102.03126738676232</v>
      </c>
      <c r="AX144" s="125">
        <f>AX33/293.07*(1/(VLOOKUP($AF144,'Fuel economy adjusted factor'!$A$2:$L$52,5,FALSE)*m2k))/'TCO Inputs'!$AZ$84</f>
        <v>102.03126738676232</v>
      </c>
      <c r="AY144" s="125">
        <f>AY33/293.07*(1/(VLOOKUP($AF144,'Fuel economy adjusted factor'!$A$2:$L$52,5,FALSE)*m2k))/'TCO Inputs'!$AZ$84</f>
        <v>102.03126738676232</v>
      </c>
      <c r="AZ144" s="125">
        <f>AZ33/293.07*(1/(VLOOKUP($AF144,'Fuel economy adjusted factor'!$A$2:$L$52,5,FALSE)*m2k))/'TCO Inputs'!$AZ$84</f>
        <v>102.03126738676232</v>
      </c>
      <c r="BA144" s="125">
        <f>BA33/293.07*(1/(VLOOKUP($AF144,'Fuel economy adjusted factor'!$A$2:$L$52,5,FALSE)*m2k))/'TCO Inputs'!$AZ$84</f>
        <v>102.03126738676232</v>
      </c>
      <c r="BB144" s="125">
        <f>BB33/293.07*(1/(VLOOKUP($AF144,'Fuel economy adjusted factor'!$A$2:$L$52,5,FALSE)*m2k))/'TCO Inputs'!$AZ$84</f>
        <v>102.03126738676232</v>
      </c>
      <c r="BC144" s="125">
        <f>BC33/293.07*(1/(VLOOKUP($AF144,'Fuel economy adjusted factor'!$A$2:$L$52,5,FALSE)*m2k))/'TCO Inputs'!$AZ$84</f>
        <v>102.03126738676232</v>
      </c>
      <c r="BD144" s="125">
        <f>BD33/293.07*(1/(VLOOKUP($AF144,'Fuel economy adjusted factor'!$A$2:$L$52,5,FALSE)*m2k))/'TCO Inputs'!$AZ$84</f>
        <v>102.03126738676232</v>
      </c>
      <c r="BE144" s="125">
        <f>BE33/293.07*(1/(VLOOKUP($AF144,'Fuel economy adjusted factor'!$A$2:$L$52,5,FALSE)*m2k))/'TCO Inputs'!$AZ$84</f>
        <v>102.03126738676232</v>
      </c>
      <c r="BF144" s="125">
        <f>BF33/293.07*(1/(VLOOKUP($AF144,'Fuel economy adjusted factor'!$A$2:$L$52,5,FALSE)*m2k))/'TCO Inputs'!$AZ$84</f>
        <v>102.03126738676232</v>
      </c>
      <c r="BG144" s="125">
        <f>BG33/293.07*(1/(VLOOKUP($AF144,'Fuel economy adjusted factor'!$A$2:$L$52,5,FALSE)*m2k))/'TCO Inputs'!$AZ$84</f>
        <v>102.03126738676232</v>
      </c>
      <c r="BH144" s="125">
        <f>BH33/293.07*(1/(VLOOKUP($AF144,'Fuel economy adjusted factor'!$A$2:$L$52,5,FALSE)*m2k))/'TCO Inputs'!$AZ$84</f>
        <v>102.03126738676232</v>
      </c>
      <c r="BI144" s="98" cm="1">
        <f t="array" ref="BI144">SUMPRODUCT(INDEX(AG144:BH144,,'TCO Inputs'!$AZ$12-2023+_xlfn.SEQUENCE('TCO Inputs'!$AZ$13))*INDEX('VKT US'!C92:AA92,,_xlfn.SEQUENCE('TCO Inputs'!$AZ$13)))*m2k*CONVERT(0.9072,"g","ton")</f>
        <v>26.450781416637188</v>
      </c>
      <c r="BL144" s="123" t="s">
        <v>213</v>
      </c>
      <c r="BM144" s="125">
        <f>BM33/293.07*(1/(VLOOKUP($BL144,'Fuel economy adjusted factor'!$A$2:$L$52,5,FALSE)*m2k))/'TCO Inputs'!$AZ$84</f>
        <v>75.85149654258052</v>
      </c>
      <c r="BN144" s="125">
        <f>BN33/293.07*(1/(VLOOKUP($BL144,'Fuel economy adjusted factor'!$A$2:$L$52,5,FALSE)*m2k))/'TCO Inputs'!$AZ$84</f>
        <v>75.85149654258052</v>
      </c>
      <c r="BO144" s="125">
        <f>BO33/293.07*(1/(VLOOKUP($BL144,'Fuel economy adjusted factor'!$A$2:$L$52,5,FALSE)*m2k))/'TCO Inputs'!$AZ$84</f>
        <v>75.85149654258052</v>
      </c>
      <c r="BP144" s="125">
        <f>BP33/293.07*(1/(VLOOKUP($BL144,'Fuel economy adjusted factor'!$A$2:$L$52,5,FALSE)*m2k))/'TCO Inputs'!$AZ$84</f>
        <v>75.85149654258052</v>
      </c>
      <c r="BQ144" s="125">
        <f>BQ33/293.07*(1/(VLOOKUP($BL144,'Fuel economy adjusted factor'!$A$2:$L$52,5,FALSE)*m2k))/'TCO Inputs'!$AZ$84</f>
        <v>75.85149654258052</v>
      </c>
      <c r="BR144" s="125">
        <f>BR33/293.07*(1/(VLOOKUP($BL144,'Fuel economy adjusted factor'!$A$2:$L$52,5,FALSE)*m2k))/'TCO Inputs'!$AZ$84</f>
        <v>75.85149654258052</v>
      </c>
      <c r="BS144" s="125">
        <f>BS33/293.07*(1/(VLOOKUP($BL144,'Fuel economy adjusted factor'!$A$2:$L$52,5,FALSE)*m2k))/'TCO Inputs'!$AZ$84</f>
        <v>75.85149654258052</v>
      </c>
      <c r="BT144" s="125">
        <f>BT33/293.07*(1/(VLOOKUP($BL144,'Fuel economy adjusted factor'!$A$2:$L$52,5,FALSE)*m2k))/'TCO Inputs'!$AZ$84</f>
        <v>75.85149654258052</v>
      </c>
      <c r="BU144" s="125">
        <f>BU33/293.07*(1/(VLOOKUP($BL144,'Fuel economy adjusted factor'!$A$2:$L$52,5,FALSE)*m2k))/'TCO Inputs'!$AZ$84</f>
        <v>75.85149654258052</v>
      </c>
      <c r="BV144" s="125">
        <f>BV33/293.07*(1/(VLOOKUP($BL144,'Fuel economy adjusted factor'!$A$2:$L$52,5,FALSE)*m2k))/'TCO Inputs'!$AZ$84</f>
        <v>75.85149654258052</v>
      </c>
      <c r="BW144" s="125">
        <f>BW33/293.07*(1/(VLOOKUP($BL144,'Fuel economy adjusted factor'!$A$2:$L$52,5,FALSE)*m2k))/'TCO Inputs'!$AZ$84</f>
        <v>75.85149654258052</v>
      </c>
      <c r="BX144" s="125">
        <f>BX33/293.07*(1/(VLOOKUP($BL144,'Fuel economy adjusted factor'!$A$2:$L$52,5,FALSE)*m2k))/'TCO Inputs'!$AZ$84</f>
        <v>75.85149654258052</v>
      </c>
      <c r="BY144" s="125">
        <f>BY33/293.07*(1/(VLOOKUP($BL144,'Fuel economy adjusted factor'!$A$2:$L$52,5,FALSE)*m2k))/'TCO Inputs'!$AZ$84</f>
        <v>75.85149654258052</v>
      </c>
      <c r="BZ144" s="125">
        <f>BZ33/293.07*(1/(VLOOKUP($BL144,'Fuel economy adjusted factor'!$A$2:$L$52,5,FALSE)*m2k))/'TCO Inputs'!$AZ$84</f>
        <v>75.85149654258052</v>
      </c>
      <c r="CA144" s="125">
        <f>CA33/293.07*(1/(VLOOKUP($BL144,'Fuel economy adjusted factor'!$A$2:$L$52,5,FALSE)*m2k))/'TCO Inputs'!$AZ$84</f>
        <v>75.85149654258052</v>
      </c>
      <c r="CB144" s="125">
        <f>CB33/293.07*(1/(VLOOKUP($BL144,'Fuel economy adjusted factor'!$A$2:$L$52,5,FALSE)*m2k))/'TCO Inputs'!$AZ$84</f>
        <v>75.85149654258052</v>
      </c>
      <c r="CC144" s="125">
        <f>CC33/293.07*(1/(VLOOKUP($BL144,'Fuel economy adjusted factor'!$A$2:$L$52,5,FALSE)*m2k))/'TCO Inputs'!$AZ$84</f>
        <v>75.85149654258052</v>
      </c>
      <c r="CD144" s="125">
        <f>CD33/293.07*(1/(VLOOKUP($BL144,'Fuel economy adjusted factor'!$A$2:$L$52,5,FALSE)*m2k))/'TCO Inputs'!$AZ$84</f>
        <v>75.85149654258052</v>
      </c>
      <c r="CE144" s="125">
        <f>CE33/293.07*(1/(VLOOKUP($BL144,'Fuel economy adjusted factor'!$A$2:$L$52,5,FALSE)*m2k))/'TCO Inputs'!$AZ$84</f>
        <v>75.85149654258052</v>
      </c>
      <c r="CF144" s="125">
        <f>CF33/293.07*(1/(VLOOKUP($BL144,'Fuel economy adjusted factor'!$A$2:$L$52,5,FALSE)*m2k))/'TCO Inputs'!$AZ$84</f>
        <v>75.85149654258052</v>
      </c>
      <c r="CG144" s="125">
        <f>CG33/293.07*(1/(VLOOKUP($BL144,'Fuel economy adjusted factor'!$A$2:$L$52,5,FALSE)*m2k))/'TCO Inputs'!$AZ$84</f>
        <v>75.85149654258052</v>
      </c>
      <c r="CH144" s="125">
        <f>CH33/293.07*(1/(VLOOKUP($BL144,'Fuel economy adjusted factor'!$A$2:$L$52,5,FALSE)*m2k))/'TCO Inputs'!$AZ$84</f>
        <v>75.85149654258052</v>
      </c>
      <c r="CI144" s="125">
        <f>CI33/293.07*(1/(VLOOKUP($BL144,'Fuel economy adjusted factor'!$A$2:$L$52,5,FALSE)*m2k))/'TCO Inputs'!$AZ$84</f>
        <v>75.85149654258052</v>
      </c>
      <c r="CJ144" s="125">
        <f>CJ33/293.07*(1/(VLOOKUP($BL144,'Fuel economy adjusted factor'!$A$2:$L$52,5,FALSE)*m2k))/'TCO Inputs'!$AZ$84</f>
        <v>75.85149654258052</v>
      </c>
      <c r="CK144" s="125">
        <f>CK33/293.07*(1/(VLOOKUP($BL144,'Fuel economy adjusted factor'!$A$2:$L$52,5,FALSE)*m2k))/'TCO Inputs'!$AZ$84</f>
        <v>75.85149654258052</v>
      </c>
      <c r="CL144" s="125">
        <f>CL33/293.07*(1/(VLOOKUP($BL144,'Fuel economy adjusted factor'!$A$2:$L$52,5,FALSE)*m2k))/'TCO Inputs'!$AZ$84</f>
        <v>75.85149654258052</v>
      </c>
      <c r="CM144" s="125">
        <f>CM33/293.07*(1/(VLOOKUP($BL144,'Fuel economy adjusted factor'!$A$2:$L$52,5,FALSE)*m2k))/'TCO Inputs'!$AZ$84</f>
        <v>75.85149654258052</v>
      </c>
      <c r="CN144" s="125">
        <f>CN33/293.07*(1/(VLOOKUP($BL144,'Fuel economy adjusted factor'!$A$2:$L$52,5,FALSE)*m2k))/'TCO Inputs'!$AZ$84</f>
        <v>75.85149654258052</v>
      </c>
      <c r="CO144" s="98" cm="1">
        <f t="array" ref="CO144">SUMPRODUCT(INDEX(BM144:CN144,,'TCO Inputs'!$AZ$12-2023+_xlfn.SEQUENCE('TCO Inputs'!$AZ$13))*INDEX('VKT US'!C92:AA92,,_xlfn.SEQUENCE('TCO Inputs'!$AZ$13)))*m2k*CONVERT(0.9072,"g","ton")</f>
        <v>19.663887419602052</v>
      </c>
    </row>
    <row r="145" spans="1:93" x14ac:dyDescent="0.25">
      <c r="A145" s="123" t="s">
        <v>214</v>
      </c>
      <c r="B145" s="125">
        <f>B34/293.07*(1/(VLOOKUP($A145,'Fuel economy adjusted factor'!$A$2:$L$52,5,FALSE)*m2k))/'TCO Inputs'!$AZ$84</f>
        <v>125.27489243060535</v>
      </c>
      <c r="C145" s="125">
        <f>C34/293.07*(1/(VLOOKUP($A145,'Fuel economy adjusted factor'!$A$2:$L$52,5,FALSE)*m2k))/'TCO Inputs'!$AZ$84</f>
        <v>125.27489243060535</v>
      </c>
      <c r="D145" s="125">
        <f>D34/293.07*(1/(VLOOKUP($A145,'Fuel economy adjusted factor'!$A$2:$L$52,5,FALSE)*m2k))/'TCO Inputs'!$AZ$84</f>
        <v>125.27489243060535</v>
      </c>
      <c r="E145" s="125">
        <f>E34/293.07*(1/(VLOOKUP($A145,'Fuel economy adjusted factor'!$A$2:$L$52,5,FALSE)*m2k))/'TCO Inputs'!$AZ$84</f>
        <v>125.27489243060535</v>
      </c>
      <c r="F145" s="125">
        <f>F34/293.07*(1/(VLOOKUP($A145,'Fuel economy adjusted factor'!$A$2:$L$52,5,FALSE)*m2k))/'TCO Inputs'!$AZ$84</f>
        <v>125.27489243060535</v>
      </c>
      <c r="G145" s="125">
        <f>G34/293.07*(1/(VLOOKUP($A145,'Fuel economy adjusted factor'!$A$2:$L$52,5,FALSE)*m2k))/'TCO Inputs'!$AZ$84</f>
        <v>125.27489243060535</v>
      </c>
      <c r="H145" s="125">
        <f>H34/293.07*(1/(VLOOKUP($A145,'Fuel economy adjusted factor'!$A$2:$L$52,5,FALSE)*m2k))/'TCO Inputs'!$AZ$84</f>
        <v>125.27489243060535</v>
      </c>
      <c r="I145" s="125">
        <f>I34/293.07*(1/(VLOOKUP($A145,'Fuel economy adjusted factor'!$A$2:$L$52,5,FALSE)*m2k))/'TCO Inputs'!$AZ$84</f>
        <v>125.27489243060535</v>
      </c>
      <c r="J145" s="125">
        <f>J34/293.07*(1/(VLOOKUP($A145,'Fuel economy adjusted factor'!$A$2:$L$52,5,FALSE)*m2k))/'TCO Inputs'!$AZ$84</f>
        <v>125.27489243060535</v>
      </c>
      <c r="K145" s="125">
        <f>K34/293.07*(1/(VLOOKUP($A145,'Fuel economy adjusted factor'!$A$2:$L$52,5,FALSE)*m2k))/'TCO Inputs'!$AZ$84</f>
        <v>125.27489243060535</v>
      </c>
      <c r="L145" s="125">
        <f>L34/293.07*(1/(VLOOKUP($A145,'Fuel economy adjusted factor'!$A$2:$L$52,5,FALSE)*m2k))/'TCO Inputs'!$AZ$84</f>
        <v>125.27489243060535</v>
      </c>
      <c r="M145" s="125">
        <f>M34/293.07*(1/(VLOOKUP($A145,'Fuel economy adjusted factor'!$A$2:$L$52,5,FALSE)*m2k))/'TCO Inputs'!$AZ$84</f>
        <v>125.27489243060535</v>
      </c>
      <c r="N145" s="125">
        <f>N34/293.07*(1/(VLOOKUP($A145,'Fuel economy adjusted factor'!$A$2:$L$52,5,FALSE)*m2k))/'TCO Inputs'!$AZ$84</f>
        <v>125.27489243060535</v>
      </c>
      <c r="O145" s="125">
        <f>O34/293.07*(1/(VLOOKUP($A145,'Fuel economy adjusted factor'!$A$2:$L$52,5,FALSE)*m2k))/'TCO Inputs'!$AZ$84</f>
        <v>125.27489243060535</v>
      </c>
      <c r="P145" s="125">
        <f>P34/293.07*(1/(VLOOKUP($A145,'Fuel economy adjusted factor'!$A$2:$L$52,5,FALSE)*m2k))/'TCO Inputs'!$AZ$84</f>
        <v>125.27489243060535</v>
      </c>
      <c r="Q145" s="125">
        <f>Q34/293.07*(1/(VLOOKUP($A145,'Fuel economy adjusted factor'!$A$2:$L$52,5,FALSE)*m2k))/'TCO Inputs'!$AZ$84</f>
        <v>125.27489243060535</v>
      </c>
      <c r="R145" s="125">
        <f>R34/293.07*(1/(VLOOKUP($A145,'Fuel economy adjusted factor'!$A$2:$L$52,5,FALSE)*m2k))/'TCO Inputs'!$AZ$84</f>
        <v>125.27489243060535</v>
      </c>
      <c r="S145" s="125">
        <f>S34/293.07*(1/(VLOOKUP($A145,'Fuel economy adjusted factor'!$A$2:$L$52,5,FALSE)*m2k))/'TCO Inputs'!$AZ$84</f>
        <v>125.27489243060535</v>
      </c>
      <c r="T145" s="125">
        <f>T34/293.07*(1/(VLOOKUP($A145,'Fuel economy adjusted factor'!$A$2:$L$52,5,FALSE)*m2k))/'TCO Inputs'!$AZ$84</f>
        <v>125.27489243060535</v>
      </c>
      <c r="U145" s="125">
        <f>U34/293.07*(1/(VLOOKUP($A145,'Fuel economy adjusted factor'!$A$2:$L$52,5,FALSE)*m2k))/'TCO Inputs'!$AZ$84</f>
        <v>125.27489243060535</v>
      </c>
      <c r="V145" s="125">
        <f>V34/293.07*(1/(VLOOKUP($A145,'Fuel economy adjusted factor'!$A$2:$L$52,5,FALSE)*m2k))/'TCO Inputs'!$AZ$84</f>
        <v>125.27489243060535</v>
      </c>
      <c r="W145" s="125">
        <f>W34/293.07*(1/(VLOOKUP($A145,'Fuel economy adjusted factor'!$A$2:$L$52,5,FALSE)*m2k))/'TCO Inputs'!$AZ$84</f>
        <v>125.27489243060535</v>
      </c>
      <c r="X145" s="125">
        <f>X34/293.07*(1/(VLOOKUP($A145,'Fuel economy adjusted factor'!$A$2:$L$52,5,FALSE)*m2k))/'TCO Inputs'!$AZ$84</f>
        <v>125.27489243060535</v>
      </c>
      <c r="Y145" s="125">
        <f>Y34/293.07*(1/(VLOOKUP($A145,'Fuel economy adjusted factor'!$A$2:$L$52,5,FALSE)*m2k))/'TCO Inputs'!$AZ$84</f>
        <v>125.27489243060535</v>
      </c>
      <c r="Z145" s="125">
        <f>Z34/293.07*(1/(VLOOKUP($A145,'Fuel economy adjusted factor'!$A$2:$L$52,5,FALSE)*m2k))/'TCO Inputs'!$AZ$84</f>
        <v>125.27489243060535</v>
      </c>
      <c r="AA145" s="125">
        <f>AA34/293.07*(1/(VLOOKUP($A145,'Fuel economy adjusted factor'!$A$2:$L$52,5,FALSE)*m2k))/'TCO Inputs'!$AZ$84</f>
        <v>125.27489243060535</v>
      </c>
      <c r="AB145" s="125">
        <f>AB34/293.07*(1/(VLOOKUP($A145,'Fuel economy adjusted factor'!$A$2:$L$52,5,FALSE)*m2k))/'TCO Inputs'!$AZ$84</f>
        <v>125.27489243060535</v>
      </c>
      <c r="AC145" s="125">
        <f>AC34/293.07*(1/(VLOOKUP($A145,'Fuel economy adjusted factor'!$A$2:$L$52,5,FALSE)*m2k))/'TCO Inputs'!$AZ$84</f>
        <v>125.27489243060535</v>
      </c>
      <c r="AD145" s="98" cm="1">
        <f t="array" ref="AD145">SUMPRODUCT(INDEX(B145:AC145,,'TCO Inputs'!$AZ$12-2023+_xlfn.SEQUENCE('TCO Inputs'!$AZ$13))*INDEX('VKT US'!C93:AA93,,_xlfn.SEQUENCE('TCO Inputs'!$AZ$13)))*m2k*CONVERT(0.9072,"g","ton")</f>
        <v>50.734108668172212</v>
      </c>
      <c r="AF145" s="123" t="s">
        <v>214</v>
      </c>
      <c r="AG145" s="125">
        <f>AG34/293.07*(1/(VLOOKUP($AF145,'Fuel economy adjusted factor'!$A$2:$L$52,5,FALSE)*m2k))/'TCO Inputs'!$AZ$84</f>
        <v>146.83568112438272</v>
      </c>
      <c r="AH145" s="125">
        <f>AH34/293.07*(1/(VLOOKUP($AF145,'Fuel economy adjusted factor'!$A$2:$L$52,5,FALSE)*m2k))/'TCO Inputs'!$AZ$84</f>
        <v>146.83568112438272</v>
      </c>
      <c r="AI145" s="125">
        <f>AI34/293.07*(1/(VLOOKUP($AF145,'Fuel economy adjusted factor'!$A$2:$L$52,5,FALSE)*m2k))/'TCO Inputs'!$AZ$84</f>
        <v>146.83568112438272</v>
      </c>
      <c r="AJ145" s="125">
        <f>AJ34/293.07*(1/(VLOOKUP($AF145,'Fuel economy adjusted factor'!$A$2:$L$52,5,FALSE)*m2k))/'TCO Inputs'!$AZ$84</f>
        <v>146.83568112438272</v>
      </c>
      <c r="AK145" s="125">
        <f>AK34/293.07*(1/(VLOOKUP($AF145,'Fuel economy adjusted factor'!$A$2:$L$52,5,FALSE)*m2k))/'TCO Inputs'!$AZ$84</f>
        <v>146.83568112438272</v>
      </c>
      <c r="AL145" s="125">
        <f>AL34/293.07*(1/(VLOOKUP($AF145,'Fuel economy adjusted factor'!$A$2:$L$52,5,FALSE)*m2k))/'TCO Inputs'!$AZ$84</f>
        <v>146.83568112438272</v>
      </c>
      <c r="AM145" s="125">
        <f>AM34/293.07*(1/(VLOOKUP($AF145,'Fuel economy adjusted factor'!$A$2:$L$52,5,FALSE)*m2k))/'TCO Inputs'!$AZ$84</f>
        <v>146.83568112438272</v>
      </c>
      <c r="AN145" s="125">
        <f>AN34/293.07*(1/(VLOOKUP($AF145,'Fuel economy adjusted factor'!$A$2:$L$52,5,FALSE)*m2k))/'TCO Inputs'!$AZ$84</f>
        <v>146.83568112438272</v>
      </c>
      <c r="AO145" s="125">
        <f>AO34/293.07*(1/(VLOOKUP($AF145,'Fuel economy adjusted factor'!$A$2:$L$52,5,FALSE)*m2k))/'TCO Inputs'!$AZ$84</f>
        <v>146.83568112438272</v>
      </c>
      <c r="AP145" s="125">
        <f>AP34/293.07*(1/(VLOOKUP($AF145,'Fuel economy adjusted factor'!$A$2:$L$52,5,FALSE)*m2k))/'TCO Inputs'!$AZ$84</f>
        <v>146.83568112438272</v>
      </c>
      <c r="AQ145" s="125">
        <f>AQ34/293.07*(1/(VLOOKUP($AF145,'Fuel economy adjusted factor'!$A$2:$L$52,5,FALSE)*m2k))/'TCO Inputs'!$AZ$84</f>
        <v>146.83568112438272</v>
      </c>
      <c r="AR145" s="125">
        <f>AR34/293.07*(1/(VLOOKUP($AF145,'Fuel economy adjusted factor'!$A$2:$L$52,5,FALSE)*m2k))/'TCO Inputs'!$AZ$84</f>
        <v>146.83568112438272</v>
      </c>
      <c r="AS145" s="125">
        <f>AS34/293.07*(1/(VLOOKUP($AF145,'Fuel economy adjusted factor'!$A$2:$L$52,5,FALSE)*m2k))/'TCO Inputs'!$AZ$84</f>
        <v>146.83568112438272</v>
      </c>
      <c r="AT145" s="125">
        <f>AT34/293.07*(1/(VLOOKUP($AF145,'Fuel economy adjusted factor'!$A$2:$L$52,5,FALSE)*m2k))/'TCO Inputs'!$AZ$84</f>
        <v>146.83568112438272</v>
      </c>
      <c r="AU145" s="125">
        <f>AU34/293.07*(1/(VLOOKUP($AF145,'Fuel economy adjusted factor'!$A$2:$L$52,5,FALSE)*m2k))/'TCO Inputs'!$AZ$84</f>
        <v>146.83568112438272</v>
      </c>
      <c r="AV145" s="125">
        <f>AV34/293.07*(1/(VLOOKUP($AF145,'Fuel economy adjusted factor'!$A$2:$L$52,5,FALSE)*m2k))/'TCO Inputs'!$AZ$84</f>
        <v>146.83568112438272</v>
      </c>
      <c r="AW145" s="125">
        <f>AW34/293.07*(1/(VLOOKUP($AF145,'Fuel economy adjusted factor'!$A$2:$L$52,5,FALSE)*m2k))/'TCO Inputs'!$AZ$84</f>
        <v>146.83568112438272</v>
      </c>
      <c r="AX145" s="125">
        <f>AX34/293.07*(1/(VLOOKUP($AF145,'Fuel economy adjusted factor'!$A$2:$L$52,5,FALSE)*m2k))/'TCO Inputs'!$AZ$84</f>
        <v>146.83568112438272</v>
      </c>
      <c r="AY145" s="125">
        <f>AY34/293.07*(1/(VLOOKUP($AF145,'Fuel economy adjusted factor'!$A$2:$L$52,5,FALSE)*m2k))/'TCO Inputs'!$AZ$84</f>
        <v>146.83568112438272</v>
      </c>
      <c r="AZ145" s="125">
        <f>AZ34/293.07*(1/(VLOOKUP($AF145,'Fuel economy adjusted factor'!$A$2:$L$52,5,FALSE)*m2k))/'TCO Inputs'!$AZ$84</f>
        <v>146.83568112438272</v>
      </c>
      <c r="BA145" s="125">
        <f>BA34/293.07*(1/(VLOOKUP($AF145,'Fuel economy adjusted factor'!$A$2:$L$52,5,FALSE)*m2k))/'TCO Inputs'!$AZ$84</f>
        <v>146.83568112438272</v>
      </c>
      <c r="BB145" s="125">
        <f>BB34/293.07*(1/(VLOOKUP($AF145,'Fuel economy adjusted factor'!$A$2:$L$52,5,FALSE)*m2k))/'TCO Inputs'!$AZ$84</f>
        <v>146.83568112438272</v>
      </c>
      <c r="BC145" s="125">
        <f>BC34/293.07*(1/(VLOOKUP($AF145,'Fuel economy adjusted factor'!$A$2:$L$52,5,FALSE)*m2k))/'TCO Inputs'!$AZ$84</f>
        <v>146.83568112438272</v>
      </c>
      <c r="BD145" s="125">
        <f>BD34/293.07*(1/(VLOOKUP($AF145,'Fuel economy adjusted factor'!$A$2:$L$52,5,FALSE)*m2k))/'TCO Inputs'!$AZ$84</f>
        <v>146.83568112438272</v>
      </c>
      <c r="BE145" s="125">
        <f>BE34/293.07*(1/(VLOOKUP($AF145,'Fuel economy adjusted factor'!$A$2:$L$52,5,FALSE)*m2k))/'TCO Inputs'!$AZ$84</f>
        <v>146.83568112438272</v>
      </c>
      <c r="BF145" s="125">
        <f>BF34/293.07*(1/(VLOOKUP($AF145,'Fuel economy adjusted factor'!$A$2:$L$52,5,FALSE)*m2k))/'TCO Inputs'!$AZ$84</f>
        <v>146.83568112438272</v>
      </c>
      <c r="BG145" s="125">
        <f>BG34/293.07*(1/(VLOOKUP($AF145,'Fuel economy adjusted factor'!$A$2:$L$52,5,FALSE)*m2k))/'TCO Inputs'!$AZ$84</f>
        <v>146.83568112438272</v>
      </c>
      <c r="BH145" s="125">
        <f>BH34/293.07*(1/(VLOOKUP($AF145,'Fuel economy adjusted factor'!$A$2:$L$52,5,FALSE)*m2k))/'TCO Inputs'!$AZ$84</f>
        <v>146.83568112438272</v>
      </c>
      <c r="BI145" s="98" cm="1">
        <f t="array" ref="BI145">SUMPRODUCT(INDEX(AG145:BH145,,'TCO Inputs'!$AZ$12-2023+_xlfn.SEQUENCE('TCO Inputs'!$AZ$13))*INDEX('VKT US'!C93:AA93,,_xlfn.SEQUENCE('TCO Inputs'!$AZ$13)))*m2k*CONVERT(0.9072,"g","ton")</f>
        <v>59.465845533702037</v>
      </c>
      <c r="BL145" s="123" t="s">
        <v>214</v>
      </c>
      <c r="BM145" s="125">
        <f>BM34/293.07*(1/(VLOOKUP($BL145,'Fuel economy adjusted factor'!$A$2:$L$52,5,FALSE)*m2k))/'TCO Inputs'!$AZ$84</f>
        <v>109.15973548495384</v>
      </c>
      <c r="BN145" s="125">
        <f>BN34/293.07*(1/(VLOOKUP($BL145,'Fuel economy adjusted factor'!$A$2:$L$52,5,FALSE)*m2k))/'TCO Inputs'!$AZ$84</f>
        <v>109.15973548495384</v>
      </c>
      <c r="BO145" s="125">
        <f>BO34/293.07*(1/(VLOOKUP($BL145,'Fuel economy adjusted factor'!$A$2:$L$52,5,FALSE)*m2k))/'TCO Inputs'!$AZ$84</f>
        <v>109.15973548495384</v>
      </c>
      <c r="BP145" s="125">
        <f>BP34/293.07*(1/(VLOOKUP($BL145,'Fuel economy adjusted factor'!$A$2:$L$52,5,FALSE)*m2k))/'TCO Inputs'!$AZ$84</f>
        <v>109.15973548495384</v>
      </c>
      <c r="BQ145" s="125">
        <f>BQ34/293.07*(1/(VLOOKUP($BL145,'Fuel economy adjusted factor'!$A$2:$L$52,5,FALSE)*m2k))/'TCO Inputs'!$AZ$84</f>
        <v>109.15973548495384</v>
      </c>
      <c r="BR145" s="125">
        <f>BR34/293.07*(1/(VLOOKUP($BL145,'Fuel economy adjusted factor'!$A$2:$L$52,5,FALSE)*m2k))/'TCO Inputs'!$AZ$84</f>
        <v>109.15973548495384</v>
      </c>
      <c r="BS145" s="125">
        <f>BS34/293.07*(1/(VLOOKUP($BL145,'Fuel economy adjusted factor'!$A$2:$L$52,5,FALSE)*m2k))/'TCO Inputs'!$AZ$84</f>
        <v>109.15973548495384</v>
      </c>
      <c r="BT145" s="125">
        <f>BT34/293.07*(1/(VLOOKUP($BL145,'Fuel economy adjusted factor'!$A$2:$L$52,5,FALSE)*m2k))/'TCO Inputs'!$AZ$84</f>
        <v>109.15973548495384</v>
      </c>
      <c r="BU145" s="125">
        <f>BU34/293.07*(1/(VLOOKUP($BL145,'Fuel economy adjusted factor'!$A$2:$L$52,5,FALSE)*m2k))/'TCO Inputs'!$AZ$84</f>
        <v>109.15973548495384</v>
      </c>
      <c r="BV145" s="125">
        <f>BV34/293.07*(1/(VLOOKUP($BL145,'Fuel economy adjusted factor'!$A$2:$L$52,5,FALSE)*m2k))/'TCO Inputs'!$AZ$84</f>
        <v>109.15973548495384</v>
      </c>
      <c r="BW145" s="125">
        <f>BW34/293.07*(1/(VLOOKUP($BL145,'Fuel economy adjusted factor'!$A$2:$L$52,5,FALSE)*m2k))/'TCO Inputs'!$AZ$84</f>
        <v>109.15973548495384</v>
      </c>
      <c r="BX145" s="125">
        <f>BX34/293.07*(1/(VLOOKUP($BL145,'Fuel economy adjusted factor'!$A$2:$L$52,5,FALSE)*m2k))/'TCO Inputs'!$AZ$84</f>
        <v>109.15973548495384</v>
      </c>
      <c r="BY145" s="125">
        <f>BY34/293.07*(1/(VLOOKUP($BL145,'Fuel economy adjusted factor'!$A$2:$L$52,5,FALSE)*m2k))/'TCO Inputs'!$AZ$84</f>
        <v>109.15973548495384</v>
      </c>
      <c r="BZ145" s="125">
        <f>BZ34/293.07*(1/(VLOOKUP($BL145,'Fuel economy adjusted factor'!$A$2:$L$52,5,FALSE)*m2k))/'TCO Inputs'!$AZ$84</f>
        <v>109.15973548495384</v>
      </c>
      <c r="CA145" s="125">
        <f>CA34/293.07*(1/(VLOOKUP($BL145,'Fuel economy adjusted factor'!$A$2:$L$52,5,FALSE)*m2k))/'TCO Inputs'!$AZ$84</f>
        <v>109.15973548495384</v>
      </c>
      <c r="CB145" s="125">
        <f>CB34/293.07*(1/(VLOOKUP($BL145,'Fuel economy adjusted factor'!$A$2:$L$52,5,FALSE)*m2k))/'TCO Inputs'!$AZ$84</f>
        <v>109.15973548495384</v>
      </c>
      <c r="CC145" s="125">
        <f>CC34/293.07*(1/(VLOOKUP($BL145,'Fuel economy adjusted factor'!$A$2:$L$52,5,FALSE)*m2k))/'TCO Inputs'!$AZ$84</f>
        <v>109.15973548495384</v>
      </c>
      <c r="CD145" s="125">
        <f>CD34/293.07*(1/(VLOOKUP($BL145,'Fuel economy adjusted factor'!$A$2:$L$52,5,FALSE)*m2k))/'TCO Inputs'!$AZ$84</f>
        <v>109.15973548495384</v>
      </c>
      <c r="CE145" s="125">
        <f>CE34/293.07*(1/(VLOOKUP($BL145,'Fuel economy adjusted factor'!$A$2:$L$52,5,FALSE)*m2k))/'TCO Inputs'!$AZ$84</f>
        <v>109.15973548495384</v>
      </c>
      <c r="CF145" s="125">
        <f>CF34/293.07*(1/(VLOOKUP($BL145,'Fuel economy adjusted factor'!$A$2:$L$52,5,FALSE)*m2k))/'TCO Inputs'!$AZ$84</f>
        <v>109.15973548495384</v>
      </c>
      <c r="CG145" s="125">
        <f>CG34/293.07*(1/(VLOOKUP($BL145,'Fuel economy adjusted factor'!$A$2:$L$52,5,FALSE)*m2k))/'TCO Inputs'!$AZ$84</f>
        <v>109.15973548495384</v>
      </c>
      <c r="CH145" s="125">
        <f>CH34/293.07*(1/(VLOOKUP($BL145,'Fuel economy adjusted factor'!$A$2:$L$52,5,FALSE)*m2k))/'TCO Inputs'!$AZ$84</f>
        <v>109.15973548495384</v>
      </c>
      <c r="CI145" s="125">
        <f>CI34/293.07*(1/(VLOOKUP($BL145,'Fuel economy adjusted factor'!$A$2:$L$52,5,FALSE)*m2k))/'TCO Inputs'!$AZ$84</f>
        <v>109.15973548495384</v>
      </c>
      <c r="CJ145" s="125">
        <f>CJ34/293.07*(1/(VLOOKUP($BL145,'Fuel economy adjusted factor'!$A$2:$L$52,5,FALSE)*m2k))/'TCO Inputs'!$AZ$84</f>
        <v>109.15973548495384</v>
      </c>
      <c r="CK145" s="125">
        <f>CK34/293.07*(1/(VLOOKUP($BL145,'Fuel economy adjusted factor'!$A$2:$L$52,5,FALSE)*m2k))/'TCO Inputs'!$AZ$84</f>
        <v>109.15973548495384</v>
      </c>
      <c r="CL145" s="125">
        <f>CL34/293.07*(1/(VLOOKUP($BL145,'Fuel economy adjusted factor'!$A$2:$L$52,5,FALSE)*m2k))/'TCO Inputs'!$AZ$84</f>
        <v>109.15973548495384</v>
      </c>
      <c r="CM145" s="125">
        <f>CM34/293.07*(1/(VLOOKUP($BL145,'Fuel economy adjusted factor'!$A$2:$L$52,5,FALSE)*m2k))/'TCO Inputs'!$AZ$84</f>
        <v>109.15973548495384</v>
      </c>
      <c r="CN145" s="125">
        <f>CN34/293.07*(1/(VLOOKUP($BL145,'Fuel economy adjusted factor'!$A$2:$L$52,5,FALSE)*m2k))/'TCO Inputs'!$AZ$84</f>
        <v>109.15973548495384</v>
      </c>
      <c r="CO145" s="98" cm="1">
        <f t="array" ref="CO145">SUMPRODUCT(INDEX(BM145:CN145,,'TCO Inputs'!$AZ$12-2023+_xlfn.SEQUENCE('TCO Inputs'!$AZ$13))*INDEX('VKT US'!C93:AA93,,_xlfn.SEQUENCE('TCO Inputs'!$AZ$13)))*m2k*CONVERT(0.9072,"g","ton")</f>
        <v>44.207756038189089</v>
      </c>
    </row>
    <row r="146" spans="1:93" x14ac:dyDescent="0.25">
      <c r="A146" s="123" t="s">
        <v>216</v>
      </c>
      <c r="B146" s="125">
        <f>B35/293.07*(1/(VLOOKUP($A146,'Fuel economy adjusted factor'!$A$2:$L$52,5,FALSE)*m2k))/'TCO Inputs'!$AZ$84</f>
        <v>86.557845306583417</v>
      </c>
      <c r="C146" s="125">
        <f>C35/293.07*(1/(VLOOKUP($A146,'Fuel economy adjusted factor'!$A$2:$L$52,5,FALSE)*m2k))/'TCO Inputs'!$AZ$84</f>
        <v>86.557845306583417</v>
      </c>
      <c r="D146" s="125">
        <f>D35/293.07*(1/(VLOOKUP($A146,'Fuel economy adjusted factor'!$A$2:$L$52,5,FALSE)*m2k))/'TCO Inputs'!$AZ$84</f>
        <v>86.557845306583417</v>
      </c>
      <c r="E146" s="125">
        <f>E35/293.07*(1/(VLOOKUP($A146,'Fuel economy adjusted factor'!$A$2:$L$52,5,FALSE)*m2k))/'TCO Inputs'!$AZ$84</f>
        <v>86.557845306583417</v>
      </c>
      <c r="F146" s="125">
        <f>F35/293.07*(1/(VLOOKUP($A146,'Fuel economy adjusted factor'!$A$2:$L$52,5,FALSE)*m2k))/'TCO Inputs'!$AZ$84</f>
        <v>86.557845306583417</v>
      </c>
      <c r="G146" s="125">
        <f>G35/293.07*(1/(VLOOKUP($A146,'Fuel economy adjusted factor'!$A$2:$L$52,5,FALSE)*m2k))/'TCO Inputs'!$AZ$84</f>
        <v>86.557845306583417</v>
      </c>
      <c r="H146" s="125">
        <f>H35/293.07*(1/(VLOOKUP($A146,'Fuel economy adjusted factor'!$A$2:$L$52,5,FALSE)*m2k))/'TCO Inputs'!$AZ$84</f>
        <v>86.557845306583417</v>
      </c>
      <c r="I146" s="125">
        <f>I35/293.07*(1/(VLOOKUP($A146,'Fuel economy adjusted factor'!$A$2:$L$52,5,FALSE)*m2k))/'TCO Inputs'!$AZ$84</f>
        <v>86.557845306583417</v>
      </c>
      <c r="J146" s="125">
        <f>J35/293.07*(1/(VLOOKUP($A146,'Fuel economy adjusted factor'!$A$2:$L$52,5,FALSE)*m2k))/'TCO Inputs'!$AZ$84</f>
        <v>86.557845306583417</v>
      </c>
      <c r="K146" s="125">
        <f>K35/293.07*(1/(VLOOKUP($A146,'Fuel economy adjusted factor'!$A$2:$L$52,5,FALSE)*m2k))/'TCO Inputs'!$AZ$84</f>
        <v>86.557845306583417</v>
      </c>
      <c r="L146" s="125">
        <f>L35/293.07*(1/(VLOOKUP($A146,'Fuel economy adjusted factor'!$A$2:$L$52,5,FALSE)*m2k))/'TCO Inputs'!$AZ$84</f>
        <v>86.557845306583417</v>
      </c>
      <c r="M146" s="125">
        <f>M35/293.07*(1/(VLOOKUP($A146,'Fuel economy adjusted factor'!$A$2:$L$52,5,FALSE)*m2k))/'TCO Inputs'!$AZ$84</f>
        <v>86.557845306583417</v>
      </c>
      <c r="N146" s="125">
        <f>N35/293.07*(1/(VLOOKUP($A146,'Fuel economy adjusted factor'!$A$2:$L$52,5,FALSE)*m2k))/'TCO Inputs'!$AZ$84</f>
        <v>86.557845306583417</v>
      </c>
      <c r="O146" s="125">
        <f>O35/293.07*(1/(VLOOKUP($A146,'Fuel economy adjusted factor'!$A$2:$L$52,5,FALSE)*m2k))/'TCO Inputs'!$AZ$84</f>
        <v>86.557845306583417</v>
      </c>
      <c r="P146" s="125">
        <f>P35/293.07*(1/(VLOOKUP($A146,'Fuel economy adjusted factor'!$A$2:$L$52,5,FALSE)*m2k))/'TCO Inputs'!$AZ$84</f>
        <v>86.557845306583417</v>
      </c>
      <c r="Q146" s="125">
        <f>Q35/293.07*(1/(VLOOKUP($A146,'Fuel economy adjusted factor'!$A$2:$L$52,5,FALSE)*m2k))/'TCO Inputs'!$AZ$84</f>
        <v>86.557845306583417</v>
      </c>
      <c r="R146" s="125">
        <f>R35/293.07*(1/(VLOOKUP($A146,'Fuel economy adjusted factor'!$A$2:$L$52,5,FALSE)*m2k))/'TCO Inputs'!$AZ$84</f>
        <v>86.557845306583417</v>
      </c>
      <c r="S146" s="125">
        <f>S35/293.07*(1/(VLOOKUP($A146,'Fuel economy adjusted factor'!$A$2:$L$52,5,FALSE)*m2k))/'TCO Inputs'!$AZ$84</f>
        <v>86.557845306583417</v>
      </c>
      <c r="T146" s="125">
        <f>T35/293.07*(1/(VLOOKUP($A146,'Fuel economy adjusted factor'!$A$2:$L$52,5,FALSE)*m2k))/'TCO Inputs'!$AZ$84</f>
        <v>86.557845306583417</v>
      </c>
      <c r="U146" s="125">
        <f>U35/293.07*(1/(VLOOKUP($A146,'Fuel economy adjusted factor'!$A$2:$L$52,5,FALSE)*m2k))/'TCO Inputs'!$AZ$84</f>
        <v>86.557845306583417</v>
      </c>
      <c r="V146" s="125">
        <f>V35/293.07*(1/(VLOOKUP($A146,'Fuel economy adjusted factor'!$A$2:$L$52,5,FALSE)*m2k))/'TCO Inputs'!$AZ$84</f>
        <v>86.557845306583417</v>
      </c>
      <c r="W146" s="125">
        <f>W35/293.07*(1/(VLOOKUP($A146,'Fuel economy adjusted factor'!$A$2:$L$52,5,FALSE)*m2k))/'TCO Inputs'!$AZ$84</f>
        <v>86.557845306583417</v>
      </c>
      <c r="X146" s="125">
        <f>X35/293.07*(1/(VLOOKUP($A146,'Fuel economy adjusted factor'!$A$2:$L$52,5,FALSE)*m2k))/'TCO Inputs'!$AZ$84</f>
        <v>86.557845306583417</v>
      </c>
      <c r="Y146" s="125">
        <f>Y35/293.07*(1/(VLOOKUP($A146,'Fuel economy adjusted factor'!$A$2:$L$52,5,FALSE)*m2k))/'TCO Inputs'!$AZ$84</f>
        <v>86.557845306583417</v>
      </c>
      <c r="Z146" s="125">
        <f>Z35/293.07*(1/(VLOOKUP($A146,'Fuel economy adjusted factor'!$A$2:$L$52,5,FALSE)*m2k))/'TCO Inputs'!$AZ$84</f>
        <v>86.557845306583417</v>
      </c>
      <c r="AA146" s="125">
        <f>AA35/293.07*(1/(VLOOKUP($A146,'Fuel economy adjusted factor'!$A$2:$L$52,5,FALSE)*m2k))/'TCO Inputs'!$AZ$84</f>
        <v>86.557845306583417</v>
      </c>
      <c r="AB146" s="125">
        <f>AB35/293.07*(1/(VLOOKUP($A146,'Fuel economy adjusted factor'!$A$2:$L$52,5,FALSE)*m2k))/'TCO Inputs'!$AZ$84</f>
        <v>86.557845306583417</v>
      </c>
      <c r="AC146" s="125">
        <f>AC35/293.07*(1/(VLOOKUP($A146,'Fuel economy adjusted factor'!$A$2:$L$52,5,FALSE)*m2k))/'TCO Inputs'!$AZ$84</f>
        <v>86.557845306583417</v>
      </c>
      <c r="AD146" s="98" cm="1">
        <f t="array" ref="AD146">SUMPRODUCT(INDEX(B146:AC146,,'TCO Inputs'!$AZ$12-2023+_xlfn.SEQUENCE('TCO Inputs'!$AZ$13))*INDEX('VKT US'!C94:AA94,,_xlfn.SEQUENCE('TCO Inputs'!$AZ$13)))*m2k*CONVERT(0.9072,"g","ton")</f>
        <v>18.604061117376698</v>
      </c>
      <c r="AF146" s="123" t="s">
        <v>216</v>
      </c>
      <c r="AG146" s="125">
        <f>AG35/293.07*(1/(VLOOKUP($AF146,'Fuel economy adjusted factor'!$A$2:$L$52,5,FALSE)*m2k))/'TCO Inputs'!$AZ$84</f>
        <v>101.45512740545017</v>
      </c>
      <c r="AH146" s="125">
        <f>AH35/293.07*(1/(VLOOKUP($AF146,'Fuel economy adjusted factor'!$A$2:$L$52,5,FALSE)*m2k))/'TCO Inputs'!$AZ$84</f>
        <v>101.45512740545017</v>
      </c>
      <c r="AI146" s="125">
        <f>AI35/293.07*(1/(VLOOKUP($AF146,'Fuel economy adjusted factor'!$A$2:$L$52,5,FALSE)*m2k))/'TCO Inputs'!$AZ$84</f>
        <v>101.45512740545017</v>
      </c>
      <c r="AJ146" s="125">
        <f>AJ35/293.07*(1/(VLOOKUP($AF146,'Fuel economy adjusted factor'!$A$2:$L$52,5,FALSE)*m2k))/'TCO Inputs'!$AZ$84</f>
        <v>101.45512740545017</v>
      </c>
      <c r="AK146" s="125">
        <f>AK35/293.07*(1/(VLOOKUP($AF146,'Fuel economy adjusted factor'!$A$2:$L$52,5,FALSE)*m2k))/'TCO Inputs'!$AZ$84</f>
        <v>101.45512740545017</v>
      </c>
      <c r="AL146" s="125">
        <f>AL35/293.07*(1/(VLOOKUP($AF146,'Fuel economy adjusted factor'!$A$2:$L$52,5,FALSE)*m2k))/'TCO Inputs'!$AZ$84</f>
        <v>101.45512740545017</v>
      </c>
      <c r="AM146" s="125">
        <f>AM35/293.07*(1/(VLOOKUP($AF146,'Fuel economy adjusted factor'!$A$2:$L$52,5,FALSE)*m2k))/'TCO Inputs'!$AZ$84</f>
        <v>101.45512740545017</v>
      </c>
      <c r="AN146" s="125">
        <f>AN35/293.07*(1/(VLOOKUP($AF146,'Fuel economy adjusted factor'!$A$2:$L$52,5,FALSE)*m2k))/'TCO Inputs'!$AZ$84</f>
        <v>101.45512740545017</v>
      </c>
      <c r="AO146" s="125">
        <f>AO35/293.07*(1/(VLOOKUP($AF146,'Fuel economy adjusted factor'!$A$2:$L$52,5,FALSE)*m2k))/'TCO Inputs'!$AZ$84</f>
        <v>101.45512740545017</v>
      </c>
      <c r="AP146" s="125">
        <f>AP35/293.07*(1/(VLOOKUP($AF146,'Fuel economy adjusted factor'!$A$2:$L$52,5,FALSE)*m2k))/'TCO Inputs'!$AZ$84</f>
        <v>101.45512740545017</v>
      </c>
      <c r="AQ146" s="125">
        <f>AQ35/293.07*(1/(VLOOKUP($AF146,'Fuel economy adjusted factor'!$A$2:$L$52,5,FALSE)*m2k))/'TCO Inputs'!$AZ$84</f>
        <v>101.45512740545017</v>
      </c>
      <c r="AR146" s="125">
        <f>AR35/293.07*(1/(VLOOKUP($AF146,'Fuel economy adjusted factor'!$A$2:$L$52,5,FALSE)*m2k))/'TCO Inputs'!$AZ$84</f>
        <v>101.45512740545017</v>
      </c>
      <c r="AS146" s="125">
        <f>AS35/293.07*(1/(VLOOKUP($AF146,'Fuel economy adjusted factor'!$A$2:$L$52,5,FALSE)*m2k))/'TCO Inputs'!$AZ$84</f>
        <v>101.45512740545017</v>
      </c>
      <c r="AT146" s="125">
        <f>AT35/293.07*(1/(VLOOKUP($AF146,'Fuel economy adjusted factor'!$A$2:$L$52,5,FALSE)*m2k))/'TCO Inputs'!$AZ$84</f>
        <v>101.45512740545017</v>
      </c>
      <c r="AU146" s="125">
        <f>AU35/293.07*(1/(VLOOKUP($AF146,'Fuel economy adjusted factor'!$A$2:$L$52,5,FALSE)*m2k))/'TCO Inputs'!$AZ$84</f>
        <v>101.45512740545017</v>
      </c>
      <c r="AV146" s="125">
        <f>AV35/293.07*(1/(VLOOKUP($AF146,'Fuel economy adjusted factor'!$A$2:$L$52,5,FALSE)*m2k))/'TCO Inputs'!$AZ$84</f>
        <v>101.45512740545017</v>
      </c>
      <c r="AW146" s="125">
        <f>AW35/293.07*(1/(VLOOKUP($AF146,'Fuel economy adjusted factor'!$A$2:$L$52,5,FALSE)*m2k))/'TCO Inputs'!$AZ$84</f>
        <v>101.45512740545017</v>
      </c>
      <c r="AX146" s="125">
        <f>AX35/293.07*(1/(VLOOKUP($AF146,'Fuel economy adjusted factor'!$A$2:$L$52,5,FALSE)*m2k))/'TCO Inputs'!$AZ$84</f>
        <v>101.45512740545017</v>
      </c>
      <c r="AY146" s="125">
        <f>AY35/293.07*(1/(VLOOKUP($AF146,'Fuel economy adjusted factor'!$A$2:$L$52,5,FALSE)*m2k))/'TCO Inputs'!$AZ$84</f>
        <v>101.45512740545017</v>
      </c>
      <c r="AZ146" s="125">
        <f>AZ35/293.07*(1/(VLOOKUP($AF146,'Fuel economy adjusted factor'!$A$2:$L$52,5,FALSE)*m2k))/'TCO Inputs'!$AZ$84</f>
        <v>101.45512740545017</v>
      </c>
      <c r="BA146" s="125">
        <f>BA35/293.07*(1/(VLOOKUP($AF146,'Fuel economy adjusted factor'!$A$2:$L$52,5,FALSE)*m2k))/'TCO Inputs'!$AZ$84</f>
        <v>101.45512740545017</v>
      </c>
      <c r="BB146" s="125">
        <f>BB35/293.07*(1/(VLOOKUP($AF146,'Fuel economy adjusted factor'!$A$2:$L$52,5,FALSE)*m2k))/'TCO Inputs'!$AZ$84</f>
        <v>101.45512740545017</v>
      </c>
      <c r="BC146" s="125">
        <f>BC35/293.07*(1/(VLOOKUP($AF146,'Fuel economy adjusted factor'!$A$2:$L$52,5,FALSE)*m2k))/'TCO Inputs'!$AZ$84</f>
        <v>101.45512740545017</v>
      </c>
      <c r="BD146" s="125">
        <f>BD35/293.07*(1/(VLOOKUP($AF146,'Fuel economy adjusted factor'!$A$2:$L$52,5,FALSE)*m2k))/'TCO Inputs'!$AZ$84</f>
        <v>101.45512740545017</v>
      </c>
      <c r="BE146" s="125">
        <f>BE35/293.07*(1/(VLOOKUP($AF146,'Fuel economy adjusted factor'!$A$2:$L$52,5,FALSE)*m2k))/'TCO Inputs'!$AZ$84</f>
        <v>101.45512740545017</v>
      </c>
      <c r="BF146" s="125">
        <f>BF35/293.07*(1/(VLOOKUP($AF146,'Fuel economy adjusted factor'!$A$2:$L$52,5,FALSE)*m2k))/'TCO Inputs'!$AZ$84</f>
        <v>101.45512740545017</v>
      </c>
      <c r="BG146" s="125">
        <f>BG35/293.07*(1/(VLOOKUP($AF146,'Fuel economy adjusted factor'!$A$2:$L$52,5,FALSE)*m2k))/'TCO Inputs'!$AZ$84</f>
        <v>101.45512740545017</v>
      </c>
      <c r="BH146" s="125">
        <f>BH35/293.07*(1/(VLOOKUP($AF146,'Fuel economy adjusted factor'!$A$2:$L$52,5,FALSE)*m2k))/'TCO Inputs'!$AZ$84</f>
        <v>101.45512740545017</v>
      </c>
      <c r="BI146" s="98" cm="1">
        <f t="array" ref="BI146">SUMPRODUCT(INDEX(AG146:BH146,,'TCO Inputs'!$AZ$12-2023+_xlfn.SEQUENCE('TCO Inputs'!$AZ$13))*INDEX('VKT US'!C94:AA94,,_xlfn.SEQUENCE('TCO Inputs'!$AZ$13)))*m2k*CONVERT(0.9072,"g","ton")</f>
        <v>21.805965527871994</v>
      </c>
      <c r="BL146" s="123" t="s">
        <v>216</v>
      </c>
      <c r="BM146" s="125">
        <f>BM35/293.07*(1/(VLOOKUP($BL146,'Fuel economy adjusted factor'!$A$2:$L$52,5,FALSE)*m2k))/'TCO Inputs'!$AZ$84</f>
        <v>75.423185879390516</v>
      </c>
      <c r="BN146" s="125">
        <f>BN35/293.07*(1/(VLOOKUP($BL146,'Fuel economy adjusted factor'!$A$2:$L$52,5,FALSE)*m2k))/'TCO Inputs'!$AZ$84</f>
        <v>75.423185879390516</v>
      </c>
      <c r="BO146" s="125">
        <f>BO35/293.07*(1/(VLOOKUP($BL146,'Fuel economy adjusted factor'!$A$2:$L$52,5,FALSE)*m2k))/'TCO Inputs'!$AZ$84</f>
        <v>75.423185879390516</v>
      </c>
      <c r="BP146" s="125">
        <f>BP35/293.07*(1/(VLOOKUP($BL146,'Fuel economy adjusted factor'!$A$2:$L$52,5,FALSE)*m2k))/'TCO Inputs'!$AZ$84</f>
        <v>75.423185879390516</v>
      </c>
      <c r="BQ146" s="125">
        <f>BQ35/293.07*(1/(VLOOKUP($BL146,'Fuel economy adjusted factor'!$A$2:$L$52,5,FALSE)*m2k))/'TCO Inputs'!$AZ$84</f>
        <v>75.423185879390516</v>
      </c>
      <c r="BR146" s="125">
        <f>BR35/293.07*(1/(VLOOKUP($BL146,'Fuel economy adjusted factor'!$A$2:$L$52,5,FALSE)*m2k))/'TCO Inputs'!$AZ$84</f>
        <v>75.423185879390516</v>
      </c>
      <c r="BS146" s="125">
        <f>BS35/293.07*(1/(VLOOKUP($BL146,'Fuel economy adjusted factor'!$A$2:$L$52,5,FALSE)*m2k))/'TCO Inputs'!$AZ$84</f>
        <v>75.423185879390516</v>
      </c>
      <c r="BT146" s="125">
        <f>BT35/293.07*(1/(VLOOKUP($BL146,'Fuel economy adjusted factor'!$A$2:$L$52,5,FALSE)*m2k))/'TCO Inputs'!$AZ$84</f>
        <v>75.423185879390516</v>
      </c>
      <c r="BU146" s="125">
        <f>BU35/293.07*(1/(VLOOKUP($BL146,'Fuel economy adjusted factor'!$A$2:$L$52,5,FALSE)*m2k))/'TCO Inputs'!$AZ$84</f>
        <v>75.423185879390516</v>
      </c>
      <c r="BV146" s="125">
        <f>BV35/293.07*(1/(VLOOKUP($BL146,'Fuel economy adjusted factor'!$A$2:$L$52,5,FALSE)*m2k))/'TCO Inputs'!$AZ$84</f>
        <v>75.423185879390516</v>
      </c>
      <c r="BW146" s="125">
        <f>BW35/293.07*(1/(VLOOKUP($BL146,'Fuel economy adjusted factor'!$A$2:$L$52,5,FALSE)*m2k))/'TCO Inputs'!$AZ$84</f>
        <v>75.423185879390516</v>
      </c>
      <c r="BX146" s="125">
        <f>BX35/293.07*(1/(VLOOKUP($BL146,'Fuel economy adjusted factor'!$A$2:$L$52,5,FALSE)*m2k))/'TCO Inputs'!$AZ$84</f>
        <v>75.423185879390516</v>
      </c>
      <c r="BY146" s="125">
        <f>BY35/293.07*(1/(VLOOKUP($BL146,'Fuel economy adjusted factor'!$A$2:$L$52,5,FALSE)*m2k))/'TCO Inputs'!$AZ$84</f>
        <v>75.423185879390516</v>
      </c>
      <c r="BZ146" s="125">
        <f>BZ35/293.07*(1/(VLOOKUP($BL146,'Fuel economy adjusted factor'!$A$2:$L$52,5,FALSE)*m2k))/'TCO Inputs'!$AZ$84</f>
        <v>75.423185879390516</v>
      </c>
      <c r="CA146" s="125">
        <f>CA35/293.07*(1/(VLOOKUP($BL146,'Fuel economy adjusted factor'!$A$2:$L$52,5,FALSE)*m2k))/'TCO Inputs'!$AZ$84</f>
        <v>75.423185879390516</v>
      </c>
      <c r="CB146" s="125">
        <f>CB35/293.07*(1/(VLOOKUP($BL146,'Fuel economy adjusted factor'!$A$2:$L$52,5,FALSE)*m2k))/'TCO Inputs'!$AZ$84</f>
        <v>75.423185879390516</v>
      </c>
      <c r="CC146" s="125">
        <f>CC35/293.07*(1/(VLOOKUP($BL146,'Fuel economy adjusted factor'!$A$2:$L$52,5,FALSE)*m2k))/'TCO Inputs'!$AZ$84</f>
        <v>75.423185879390516</v>
      </c>
      <c r="CD146" s="125">
        <f>CD35/293.07*(1/(VLOOKUP($BL146,'Fuel economy adjusted factor'!$A$2:$L$52,5,FALSE)*m2k))/'TCO Inputs'!$AZ$84</f>
        <v>75.423185879390516</v>
      </c>
      <c r="CE146" s="125">
        <f>CE35/293.07*(1/(VLOOKUP($BL146,'Fuel economy adjusted factor'!$A$2:$L$52,5,FALSE)*m2k))/'TCO Inputs'!$AZ$84</f>
        <v>75.423185879390516</v>
      </c>
      <c r="CF146" s="125">
        <f>CF35/293.07*(1/(VLOOKUP($BL146,'Fuel economy adjusted factor'!$A$2:$L$52,5,FALSE)*m2k))/'TCO Inputs'!$AZ$84</f>
        <v>75.423185879390516</v>
      </c>
      <c r="CG146" s="125">
        <f>CG35/293.07*(1/(VLOOKUP($BL146,'Fuel economy adjusted factor'!$A$2:$L$52,5,FALSE)*m2k))/'TCO Inputs'!$AZ$84</f>
        <v>75.423185879390516</v>
      </c>
      <c r="CH146" s="125">
        <f>CH35/293.07*(1/(VLOOKUP($BL146,'Fuel economy adjusted factor'!$A$2:$L$52,5,FALSE)*m2k))/'TCO Inputs'!$AZ$84</f>
        <v>75.423185879390516</v>
      </c>
      <c r="CI146" s="125">
        <f>CI35/293.07*(1/(VLOOKUP($BL146,'Fuel economy adjusted factor'!$A$2:$L$52,5,FALSE)*m2k))/'TCO Inputs'!$AZ$84</f>
        <v>75.423185879390516</v>
      </c>
      <c r="CJ146" s="125">
        <f>CJ35/293.07*(1/(VLOOKUP($BL146,'Fuel economy adjusted factor'!$A$2:$L$52,5,FALSE)*m2k))/'TCO Inputs'!$AZ$84</f>
        <v>75.423185879390516</v>
      </c>
      <c r="CK146" s="125">
        <f>CK35/293.07*(1/(VLOOKUP($BL146,'Fuel economy adjusted factor'!$A$2:$L$52,5,FALSE)*m2k))/'TCO Inputs'!$AZ$84</f>
        <v>75.423185879390516</v>
      </c>
      <c r="CL146" s="125">
        <f>CL35/293.07*(1/(VLOOKUP($BL146,'Fuel economy adjusted factor'!$A$2:$L$52,5,FALSE)*m2k))/'TCO Inputs'!$AZ$84</f>
        <v>75.423185879390516</v>
      </c>
      <c r="CM146" s="125">
        <f>CM35/293.07*(1/(VLOOKUP($BL146,'Fuel economy adjusted factor'!$A$2:$L$52,5,FALSE)*m2k))/'TCO Inputs'!$AZ$84</f>
        <v>75.423185879390516</v>
      </c>
      <c r="CN146" s="125">
        <f>CN35/293.07*(1/(VLOOKUP($BL146,'Fuel economy adjusted factor'!$A$2:$L$52,5,FALSE)*m2k))/'TCO Inputs'!$AZ$84</f>
        <v>75.423185879390516</v>
      </c>
      <c r="CO146" s="98" cm="1">
        <f t="array" ref="CO146">SUMPRODUCT(INDEX(BM146:CN146,,'TCO Inputs'!$AZ$12-2023+_xlfn.SEQUENCE('TCO Inputs'!$AZ$13))*INDEX('VKT US'!C94:AA94,,_xlfn.SEQUENCE('TCO Inputs'!$AZ$13)))*m2k*CONVERT(0.9072,"g","ton")</f>
        <v>16.210865171117209</v>
      </c>
    </row>
    <row r="147" spans="1:93" x14ac:dyDescent="0.25">
      <c r="A147" s="123" t="s">
        <v>209</v>
      </c>
      <c r="B147" s="125">
        <f>B36/293.07*(1/(VLOOKUP($A147,'Fuel economy adjusted factor'!$A$2:$L$52,5,FALSE)*m2k))/'TCO Inputs'!$AZ$84</f>
        <v>103.69374436601991</v>
      </c>
      <c r="C147" s="125">
        <f>C36/293.07*(1/(VLOOKUP($A147,'Fuel economy adjusted factor'!$A$2:$L$52,5,FALSE)*m2k))/'TCO Inputs'!$AZ$84</f>
        <v>103.69374436601991</v>
      </c>
      <c r="D147" s="125">
        <f>D36/293.07*(1/(VLOOKUP($A147,'Fuel economy adjusted factor'!$A$2:$L$52,5,FALSE)*m2k))/'TCO Inputs'!$AZ$84</f>
        <v>103.69374436601991</v>
      </c>
      <c r="E147" s="125">
        <f>E36/293.07*(1/(VLOOKUP($A147,'Fuel economy adjusted factor'!$A$2:$L$52,5,FALSE)*m2k))/'TCO Inputs'!$AZ$84</f>
        <v>103.69374436601991</v>
      </c>
      <c r="F147" s="125">
        <f>F36/293.07*(1/(VLOOKUP($A147,'Fuel economy adjusted factor'!$A$2:$L$52,5,FALSE)*m2k))/'TCO Inputs'!$AZ$84</f>
        <v>103.69374436601991</v>
      </c>
      <c r="G147" s="125">
        <f>G36/293.07*(1/(VLOOKUP($A147,'Fuel economy adjusted factor'!$A$2:$L$52,5,FALSE)*m2k))/'TCO Inputs'!$AZ$84</f>
        <v>103.69374436601991</v>
      </c>
      <c r="H147" s="125">
        <f>H36/293.07*(1/(VLOOKUP($A147,'Fuel economy adjusted factor'!$A$2:$L$52,5,FALSE)*m2k))/'TCO Inputs'!$AZ$84</f>
        <v>103.69374436601991</v>
      </c>
      <c r="I147" s="125">
        <f>I36/293.07*(1/(VLOOKUP($A147,'Fuel economy adjusted factor'!$A$2:$L$52,5,FALSE)*m2k))/'TCO Inputs'!$AZ$84</f>
        <v>103.69374436601991</v>
      </c>
      <c r="J147" s="125">
        <f>J36/293.07*(1/(VLOOKUP($A147,'Fuel economy adjusted factor'!$A$2:$L$52,5,FALSE)*m2k))/'TCO Inputs'!$AZ$84</f>
        <v>103.69374436601991</v>
      </c>
      <c r="K147" s="125">
        <f>K36/293.07*(1/(VLOOKUP($A147,'Fuel economy adjusted factor'!$A$2:$L$52,5,FALSE)*m2k))/'TCO Inputs'!$AZ$84</f>
        <v>103.69374436601991</v>
      </c>
      <c r="L147" s="125">
        <f>L36/293.07*(1/(VLOOKUP($A147,'Fuel economy adjusted factor'!$A$2:$L$52,5,FALSE)*m2k))/'TCO Inputs'!$AZ$84</f>
        <v>103.69374436601991</v>
      </c>
      <c r="M147" s="125">
        <f>M36/293.07*(1/(VLOOKUP($A147,'Fuel economy adjusted factor'!$A$2:$L$52,5,FALSE)*m2k))/'TCO Inputs'!$AZ$84</f>
        <v>103.69374436601991</v>
      </c>
      <c r="N147" s="125">
        <f>N36/293.07*(1/(VLOOKUP($A147,'Fuel economy adjusted factor'!$A$2:$L$52,5,FALSE)*m2k))/'TCO Inputs'!$AZ$84</f>
        <v>103.69374436601991</v>
      </c>
      <c r="O147" s="125">
        <f>O36/293.07*(1/(VLOOKUP($A147,'Fuel economy adjusted factor'!$A$2:$L$52,5,FALSE)*m2k))/'TCO Inputs'!$AZ$84</f>
        <v>103.69374436601991</v>
      </c>
      <c r="P147" s="125">
        <f>P36/293.07*(1/(VLOOKUP($A147,'Fuel economy adjusted factor'!$A$2:$L$52,5,FALSE)*m2k))/'TCO Inputs'!$AZ$84</f>
        <v>103.69374436601991</v>
      </c>
      <c r="Q147" s="125">
        <f>Q36/293.07*(1/(VLOOKUP($A147,'Fuel economy adjusted factor'!$A$2:$L$52,5,FALSE)*m2k))/'TCO Inputs'!$AZ$84</f>
        <v>103.69374436601991</v>
      </c>
      <c r="R147" s="125">
        <f>R36/293.07*(1/(VLOOKUP($A147,'Fuel economy adjusted factor'!$A$2:$L$52,5,FALSE)*m2k))/'TCO Inputs'!$AZ$84</f>
        <v>103.69374436601991</v>
      </c>
      <c r="S147" s="125">
        <f>S36/293.07*(1/(VLOOKUP($A147,'Fuel economy adjusted factor'!$A$2:$L$52,5,FALSE)*m2k))/'TCO Inputs'!$AZ$84</f>
        <v>103.69374436601991</v>
      </c>
      <c r="T147" s="125">
        <f>T36/293.07*(1/(VLOOKUP($A147,'Fuel economy adjusted factor'!$A$2:$L$52,5,FALSE)*m2k))/'TCO Inputs'!$AZ$84</f>
        <v>103.69374436601991</v>
      </c>
      <c r="U147" s="125">
        <f>U36/293.07*(1/(VLOOKUP($A147,'Fuel economy adjusted factor'!$A$2:$L$52,5,FALSE)*m2k))/'TCO Inputs'!$AZ$84</f>
        <v>103.69374436601991</v>
      </c>
      <c r="V147" s="125">
        <f>V36/293.07*(1/(VLOOKUP($A147,'Fuel economy adjusted factor'!$A$2:$L$52,5,FALSE)*m2k))/'TCO Inputs'!$AZ$84</f>
        <v>103.69374436601991</v>
      </c>
      <c r="W147" s="125">
        <f>W36/293.07*(1/(VLOOKUP($A147,'Fuel economy adjusted factor'!$A$2:$L$52,5,FALSE)*m2k))/'TCO Inputs'!$AZ$84</f>
        <v>103.69374436601991</v>
      </c>
      <c r="X147" s="125">
        <f>X36/293.07*(1/(VLOOKUP($A147,'Fuel economy adjusted factor'!$A$2:$L$52,5,FALSE)*m2k))/'TCO Inputs'!$AZ$84</f>
        <v>103.69374436601991</v>
      </c>
      <c r="Y147" s="125">
        <f>Y36/293.07*(1/(VLOOKUP($A147,'Fuel economy adjusted factor'!$A$2:$L$52,5,FALSE)*m2k))/'TCO Inputs'!$AZ$84</f>
        <v>103.69374436601991</v>
      </c>
      <c r="Z147" s="125">
        <f>Z36/293.07*(1/(VLOOKUP($A147,'Fuel economy adjusted factor'!$A$2:$L$52,5,FALSE)*m2k))/'TCO Inputs'!$AZ$84</f>
        <v>103.69374436601991</v>
      </c>
      <c r="AA147" s="125">
        <f>AA36/293.07*(1/(VLOOKUP($A147,'Fuel economy adjusted factor'!$A$2:$L$52,5,FALSE)*m2k))/'TCO Inputs'!$AZ$84</f>
        <v>103.69374436601991</v>
      </c>
      <c r="AB147" s="125">
        <f>AB36/293.07*(1/(VLOOKUP($A147,'Fuel economy adjusted factor'!$A$2:$L$52,5,FALSE)*m2k))/'TCO Inputs'!$AZ$84</f>
        <v>103.69374436601991</v>
      </c>
      <c r="AC147" s="125">
        <f>AC36/293.07*(1/(VLOOKUP($A147,'Fuel economy adjusted factor'!$A$2:$L$52,5,FALSE)*m2k))/'TCO Inputs'!$AZ$84</f>
        <v>103.69374436601991</v>
      </c>
      <c r="AD147" s="98" cm="1">
        <f t="array" ref="AD147">SUMPRODUCT(INDEX(B147:AC147,,'TCO Inputs'!$AZ$12-2023+_xlfn.SEQUENCE('TCO Inputs'!$AZ$13))*INDEX('VKT US'!C95:AA95,,_xlfn.SEQUENCE('TCO Inputs'!$AZ$13)))*m2k*CONVERT(0.9072,"g","ton")</f>
        <v>35.233679445760004</v>
      </c>
      <c r="AF147" s="123" t="s">
        <v>209</v>
      </c>
      <c r="AG147" s="125">
        <f>AG36/293.07*(1/(VLOOKUP($AF147,'Fuel economy adjusted factor'!$A$2:$L$52,5,FALSE)*m2k))/'TCO Inputs'!$AZ$84</f>
        <v>121.54024870351734</v>
      </c>
      <c r="AH147" s="125">
        <f>AH36/293.07*(1/(VLOOKUP($AF147,'Fuel economy adjusted factor'!$A$2:$L$52,5,FALSE)*m2k))/'TCO Inputs'!$AZ$84</f>
        <v>121.54024870351734</v>
      </c>
      <c r="AI147" s="125">
        <f>AI36/293.07*(1/(VLOOKUP($AF147,'Fuel economy adjusted factor'!$A$2:$L$52,5,FALSE)*m2k))/'TCO Inputs'!$AZ$84</f>
        <v>121.54024870351734</v>
      </c>
      <c r="AJ147" s="125">
        <f>AJ36/293.07*(1/(VLOOKUP($AF147,'Fuel economy adjusted factor'!$A$2:$L$52,5,FALSE)*m2k))/'TCO Inputs'!$AZ$84</f>
        <v>121.54024870351734</v>
      </c>
      <c r="AK147" s="125">
        <f>AK36/293.07*(1/(VLOOKUP($AF147,'Fuel economy adjusted factor'!$A$2:$L$52,5,FALSE)*m2k))/'TCO Inputs'!$AZ$84</f>
        <v>121.54024870351734</v>
      </c>
      <c r="AL147" s="125">
        <f>AL36/293.07*(1/(VLOOKUP($AF147,'Fuel economy adjusted factor'!$A$2:$L$52,5,FALSE)*m2k))/'TCO Inputs'!$AZ$84</f>
        <v>121.54024870351734</v>
      </c>
      <c r="AM147" s="125">
        <f>AM36/293.07*(1/(VLOOKUP($AF147,'Fuel economy adjusted factor'!$A$2:$L$52,5,FALSE)*m2k))/'TCO Inputs'!$AZ$84</f>
        <v>121.54024870351734</v>
      </c>
      <c r="AN147" s="125">
        <f>AN36/293.07*(1/(VLOOKUP($AF147,'Fuel economy adjusted factor'!$A$2:$L$52,5,FALSE)*m2k))/'TCO Inputs'!$AZ$84</f>
        <v>121.54024870351734</v>
      </c>
      <c r="AO147" s="125">
        <f>AO36/293.07*(1/(VLOOKUP($AF147,'Fuel economy adjusted factor'!$A$2:$L$52,5,FALSE)*m2k))/'TCO Inputs'!$AZ$84</f>
        <v>121.54024870351734</v>
      </c>
      <c r="AP147" s="125">
        <f>AP36/293.07*(1/(VLOOKUP($AF147,'Fuel economy adjusted factor'!$A$2:$L$52,5,FALSE)*m2k))/'TCO Inputs'!$AZ$84</f>
        <v>121.54024870351734</v>
      </c>
      <c r="AQ147" s="125">
        <f>AQ36/293.07*(1/(VLOOKUP($AF147,'Fuel economy adjusted factor'!$A$2:$L$52,5,FALSE)*m2k))/'TCO Inputs'!$AZ$84</f>
        <v>121.54024870351734</v>
      </c>
      <c r="AR147" s="125">
        <f>AR36/293.07*(1/(VLOOKUP($AF147,'Fuel economy adjusted factor'!$A$2:$L$52,5,FALSE)*m2k))/'TCO Inputs'!$AZ$84</f>
        <v>121.54024870351734</v>
      </c>
      <c r="AS147" s="125">
        <f>AS36/293.07*(1/(VLOOKUP($AF147,'Fuel economy adjusted factor'!$A$2:$L$52,5,FALSE)*m2k))/'TCO Inputs'!$AZ$84</f>
        <v>121.54024870351734</v>
      </c>
      <c r="AT147" s="125">
        <f>AT36/293.07*(1/(VLOOKUP($AF147,'Fuel economy adjusted factor'!$A$2:$L$52,5,FALSE)*m2k))/'TCO Inputs'!$AZ$84</f>
        <v>121.54024870351734</v>
      </c>
      <c r="AU147" s="125">
        <f>AU36/293.07*(1/(VLOOKUP($AF147,'Fuel economy adjusted factor'!$A$2:$L$52,5,FALSE)*m2k))/'TCO Inputs'!$AZ$84</f>
        <v>121.54024870351734</v>
      </c>
      <c r="AV147" s="125">
        <f>AV36/293.07*(1/(VLOOKUP($AF147,'Fuel economy adjusted factor'!$A$2:$L$52,5,FALSE)*m2k))/'TCO Inputs'!$AZ$84</f>
        <v>121.54024870351734</v>
      </c>
      <c r="AW147" s="125">
        <f>AW36/293.07*(1/(VLOOKUP($AF147,'Fuel economy adjusted factor'!$A$2:$L$52,5,FALSE)*m2k))/'TCO Inputs'!$AZ$84</f>
        <v>121.54024870351734</v>
      </c>
      <c r="AX147" s="125">
        <f>AX36/293.07*(1/(VLOOKUP($AF147,'Fuel economy adjusted factor'!$A$2:$L$52,5,FALSE)*m2k))/'TCO Inputs'!$AZ$84</f>
        <v>121.54024870351734</v>
      </c>
      <c r="AY147" s="125">
        <f>AY36/293.07*(1/(VLOOKUP($AF147,'Fuel economy adjusted factor'!$A$2:$L$52,5,FALSE)*m2k))/'TCO Inputs'!$AZ$84</f>
        <v>121.54024870351734</v>
      </c>
      <c r="AZ147" s="125">
        <f>AZ36/293.07*(1/(VLOOKUP($AF147,'Fuel economy adjusted factor'!$A$2:$L$52,5,FALSE)*m2k))/'TCO Inputs'!$AZ$84</f>
        <v>121.54024870351734</v>
      </c>
      <c r="BA147" s="125">
        <f>BA36/293.07*(1/(VLOOKUP($AF147,'Fuel economy adjusted factor'!$A$2:$L$52,5,FALSE)*m2k))/'TCO Inputs'!$AZ$84</f>
        <v>121.54024870351734</v>
      </c>
      <c r="BB147" s="125">
        <f>BB36/293.07*(1/(VLOOKUP($AF147,'Fuel economy adjusted factor'!$A$2:$L$52,5,FALSE)*m2k))/'TCO Inputs'!$AZ$84</f>
        <v>121.54024870351734</v>
      </c>
      <c r="BC147" s="125">
        <f>BC36/293.07*(1/(VLOOKUP($AF147,'Fuel economy adjusted factor'!$A$2:$L$52,5,FALSE)*m2k))/'TCO Inputs'!$AZ$84</f>
        <v>121.54024870351734</v>
      </c>
      <c r="BD147" s="125">
        <f>BD36/293.07*(1/(VLOOKUP($AF147,'Fuel economy adjusted factor'!$A$2:$L$52,5,FALSE)*m2k))/'TCO Inputs'!$AZ$84</f>
        <v>121.54024870351734</v>
      </c>
      <c r="BE147" s="125">
        <f>BE36/293.07*(1/(VLOOKUP($AF147,'Fuel economy adjusted factor'!$A$2:$L$52,5,FALSE)*m2k))/'TCO Inputs'!$AZ$84</f>
        <v>121.54024870351734</v>
      </c>
      <c r="BF147" s="125">
        <f>BF36/293.07*(1/(VLOOKUP($AF147,'Fuel economy adjusted factor'!$A$2:$L$52,5,FALSE)*m2k))/'TCO Inputs'!$AZ$84</f>
        <v>121.54024870351734</v>
      </c>
      <c r="BG147" s="125">
        <f>BG36/293.07*(1/(VLOOKUP($AF147,'Fuel economy adjusted factor'!$A$2:$L$52,5,FALSE)*m2k))/'TCO Inputs'!$AZ$84</f>
        <v>121.54024870351734</v>
      </c>
      <c r="BH147" s="125">
        <f>BH36/293.07*(1/(VLOOKUP($AF147,'Fuel economy adjusted factor'!$A$2:$L$52,5,FALSE)*m2k))/'TCO Inputs'!$AZ$84</f>
        <v>121.54024870351734</v>
      </c>
      <c r="BI147" s="98" cm="1">
        <f t="array" ref="BI147">SUMPRODUCT(INDEX(AG147:BH147,,'TCO Inputs'!$AZ$12-2023+_xlfn.SEQUENCE('TCO Inputs'!$AZ$13))*INDEX('VKT US'!C95:AA95,,_xlfn.SEQUENCE('TCO Inputs'!$AZ$13)))*m2k*CONVERT(0.9072,"g","ton")</f>
        <v>41.297671221726809</v>
      </c>
      <c r="BL147" s="123" t="s">
        <v>209</v>
      </c>
      <c r="BM147" s="125">
        <f>BM36/293.07*(1/(VLOOKUP($BL147,'Fuel economy adjusted factor'!$A$2:$L$52,5,FALSE)*m2k))/'TCO Inputs'!$AZ$84</f>
        <v>90.354750954659906</v>
      </c>
      <c r="BN147" s="125">
        <f>BN36/293.07*(1/(VLOOKUP($BL147,'Fuel economy adjusted factor'!$A$2:$L$52,5,FALSE)*m2k))/'TCO Inputs'!$AZ$84</f>
        <v>90.354750954659906</v>
      </c>
      <c r="BO147" s="125">
        <f>BO36/293.07*(1/(VLOOKUP($BL147,'Fuel economy adjusted factor'!$A$2:$L$52,5,FALSE)*m2k))/'TCO Inputs'!$AZ$84</f>
        <v>90.354750954659906</v>
      </c>
      <c r="BP147" s="125">
        <f>BP36/293.07*(1/(VLOOKUP($BL147,'Fuel economy adjusted factor'!$A$2:$L$52,5,FALSE)*m2k))/'TCO Inputs'!$AZ$84</f>
        <v>90.354750954659906</v>
      </c>
      <c r="BQ147" s="125">
        <f>BQ36/293.07*(1/(VLOOKUP($BL147,'Fuel economy adjusted factor'!$A$2:$L$52,5,FALSE)*m2k))/'TCO Inputs'!$AZ$84</f>
        <v>90.354750954659906</v>
      </c>
      <c r="BR147" s="125">
        <f>BR36/293.07*(1/(VLOOKUP($BL147,'Fuel economy adjusted factor'!$A$2:$L$52,5,FALSE)*m2k))/'TCO Inputs'!$AZ$84</f>
        <v>90.354750954659906</v>
      </c>
      <c r="BS147" s="125">
        <f>BS36/293.07*(1/(VLOOKUP($BL147,'Fuel economy adjusted factor'!$A$2:$L$52,5,FALSE)*m2k))/'TCO Inputs'!$AZ$84</f>
        <v>90.354750954659906</v>
      </c>
      <c r="BT147" s="125">
        <f>BT36/293.07*(1/(VLOOKUP($BL147,'Fuel economy adjusted factor'!$A$2:$L$52,5,FALSE)*m2k))/'TCO Inputs'!$AZ$84</f>
        <v>90.354750954659906</v>
      </c>
      <c r="BU147" s="125">
        <f>BU36/293.07*(1/(VLOOKUP($BL147,'Fuel economy adjusted factor'!$A$2:$L$52,5,FALSE)*m2k))/'TCO Inputs'!$AZ$84</f>
        <v>90.354750954659906</v>
      </c>
      <c r="BV147" s="125">
        <f>BV36/293.07*(1/(VLOOKUP($BL147,'Fuel economy adjusted factor'!$A$2:$L$52,5,FALSE)*m2k))/'TCO Inputs'!$AZ$84</f>
        <v>90.354750954659906</v>
      </c>
      <c r="BW147" s="125">
        <f>BW36/293.07*(1/(VLOOKUP($BL147,'Fuel economy adjusted factor'!$A$2:$L$52,5,FALSE)*m2k))/'TCO Inputs'!$AZ$84</f>
        <v>90.354750954659906</v>
      </c>
      <c r="BX147" s="125">
        <f>BX36/293.07*(1/(VLOOKUP($BL147,'Fuel economy adjusted factor'!$A$2:$L$52,5,FALSE)*m2k))/'TCO Inputs'!$AZ$84</f>
        <v>90.354750954659906</v>
      </c>
      <c r="BY147" s="125">
        <f>BY36/293.07*(1/(VLOOKUP($BL147,'Fuel economy adjusted factor'!$A$2:$L$52,5,FALSE)*m2k))/'TCO Inputs'!$AZ$84</f>
        <v>90.354750954659906</v>
      </c>
      <c r="BZ147" s="125">
        <f>BZ36/293.07*(1/(VLOOKUP($BL147,'Fuel economy adjusted factor'!$A$2:$L$52,5,FALSE)*m2k))/'TCO Inputs'!$AZ$84</f>
        <v>90.354750954659906</v>
      </c>
      <c r="CA147" s="125">
        <f>CA36/293.07*(1/(VLOOKUP($BL147,'Fuel economy adjusted factor'!$A$2:$L$52,5,FALSE)*m2k))/'TCO Inputs'!$AZ$84</f>
        <v>90.354750954659906</v>
      </c>
      <c r="CB147" s="125">
        <f>CB36/293.07*(1/(VLOOKUP($BL147,'Fuel economy adjusted factor'!$A$2:$L$52,5,FALSE)*m2k))/'TCO Inputs'!$AZ$84</f>
        <v>90.354750954659906</v>
      </c>
      <c r="CC147" s="125">
        <f>CC36/293.07*(1/(VLOOKUP($BL147,'Fuel economy adjusted factor'!$A$2:$L$52,5,FALSE)*m2k))/'TCO Inputs'!$AZ$84</f>
        <v>90.354750954659906</v>
      </c>
      <c r="CD147" s="125">
        <f>CD36/293.07*(1/(VLOOKUP($BL147,'Fuel economy adjusted factor'!$A$2:$L$52,5,FALSE)*m2k))/'TCO Inputs'!$AZ$84</f>
        <v>90.354750954659906</v>
      </c>
      <c r="CE147" s="125">
        <f>CE36/293.07*(1/(VLOOKUP($BL147,'Fuel economy adjusted factor'!$A$2:$L$52,5,FALSE)*m2k))/'TCO Inputs'!$AZ$84</f>
        <v>90.354750954659906</v>
      </c>
      <c r="CF147" s="125">
        <f>CF36/293.07*(1/(VLOOKUP($BL147,'Fuel economy adjusted factor'!$A$2:$L$52,5,FALSE)*m2k))/'TCO Inputs'!$AZ$84</f>
        <v>90.354750954659906</v>
      </c>
      <c r="CG147" s="125">
        <f>CG36/293.07*(1/(VLOOKUP($BL147,'Fuel economy adjusted factor'!$A$2:$L$52,5,FALSE)*m2k))/'TCO Inputs'!$AZ$84</f>
        <v>90.354750954659906</v>
      </c>
      <c r="CH147" s="125">
        <f>CH36/293.07*(1/(VLOOKUP($BL147,'Fuel economy adjusted factor'!$A$2:$L$52,5,FALSE)*m2k))/'TCO Inputs'!$AZ$84</f>
        <v>90.354750954659906</v>
      </c>
      <c r="CI147" s="125">
        <f>CI36/293.07*(1/(VLOOKUP($BL147,'Fuel economy adjusted factor'!$A$2:$L$52,5,FALSE)*m2k))/'TCO Inputs'!$AZ$84</f>
        <v>90.354750954659906</v>
      </c>
      <c r="CJ147" s="125">
        <f>CJ36/293.07*(1/(VLOOKUP($BL147,'Fuel economy adjusted factor'!$A$2:$L$52,5,FALSE)*m2k))/'TCO Inputs'!$AZ$84</f>
        <v>90.354750954659906</v>
      </c>
      <c r="CK147" s="125">
        <f>CK36/293.07*(1/(VLOOKUP($BL147,'Fuel economy adjusted factor'!$A$2:$L$52,5,FALSE)*m2k))/'TCO Inputs'!$AZ$84</f>
        <v>90.354750954659906</v>
      </c>
      <c r="CL147" s="125">
        <f>CL36/293.07*(1/(VLOOKUP($BL147,'Fuel economy adjusted factor'!$A$2:$L$52,5,FALSE)*m2k))/'TCO Inputs'!$AZ$84</f>
        <v>90.354750954659906</v>
      </c>
      <c r="CM147" s="125">
        <f>CM36/293.07*(1/(VLOOKUP($BL147,'Fuel economy adjusted factor'!$A$2:$L$52,5,FALSE)*m2k))/'TCO Inputs'!$AZ$84</f>
        <v>90.354750954659906</v>
      </c>
      <c r="CN147" s="125">
        <f>CN36/293.07*(1/(VLOOKUP($BL147,'Fuel economy adjusted factor'!$A$2:$L$52,5,FALSE)*m2k))/'TCO Inputs'!$AZ$84</f>
        <v>90.354750954659906</v>
      </c>
      <c r="CO147" s="98" cm="1">
        <f t="array" ref="CO147">SUMPRODUCT(INDEX(BM147:CN147,,'TCO Inputs'!$AZ$12-2023+_xlfn.SEQUENCE('TCO Inputs'!$AZ$13))*INDEX('VKT US'!C95:AA95,,_xlfn.SEQUENCE('TCO Inputs'!$AZ$13)))*m2k*CONVERT(0.9072,"g","ton")</f>
        <v>30.701276639222183</v>
      </c>
    </row>
    <row r="148" spans="1:93" x14ac:dyDescent="0.25">
      <c r="A148" s="123" t="s">
        <v>210</v>
      </c>
      <c r="B148" s="125">
        <f>B37/293.07*(1/(VLOOKUP($A148,'Fuel economy adjusted factor'!$A$2:$L$52,5,FALSE)*m2k))/'TCO Inputs'!$AZ$84</f>
        <v>225.4339834259504</v>
      </c>
      <c r="C148" s="125">
        <f>C37/293.07*(1/(VLOOKUP($A148,'Fuel economy adjusted factor'!$A$2:$L$52,5,FALSE)*m2k))/'TCO Inputs'!$AZ$84</f>
        <v>225.4339834259504</v>
      </c>
      <c r="D148" s="125">
        <f>D37/293.07*(1/(VLOOKUP($A148,'Fuel economy adjusted factor'!$A$2:$L$52,5,FALSE)*m2k))/'TCO Inputs'!$AZ$84</f>
        <v>225.4339834259504</v>
      </c>
      <c r="E148" s="125">
        <f>E37/293.07*(1/(VLOOKUP($A148,'Fuel economy adjusted factor'!$A$2:$L$52,5,FALSE)*m2k))/'TCO Inputs'!$AZ$84</f>
        <v>225.4339834259504</v>
      </c>
      <c r="F148" s="125">
        <f>F37/293.07*(1/(VLOOKUP($A148,'Fuel economy adjusted factor'!$A$2:$L$52,5,FALSE)*m2k))/'TCO Inputs'!$AZ$84</f>
        <v>225.4339834259504</v>
      </c>
      <c r="G148" s="125">
        <f>G37/293.07*(1/(VLOOKUP($A148,'Fuel economy adjusted factor'!$A$2:$L$52,5,FALSE)*m2k))/'TCO Inputs'!$AZ$84</f>
        <v>225.4339834259504</v>
      </c>
      <c r="H148" s="125">
        <f>H37/293.07*(1/(VLOOKUP($A148,'Fuel economy adjusted factor'!$A$2:$L$52,5,FALSE)*m2k))/'TCO Inputs'!$AZ$84</f>
        <v>225.4339834259504</v>
      </c>
      <c r="I148" s="125">
        <f>I37/293.07*(1/(VLOOKUP($A148,'Fuel economy adjusted factor'!$A$2:$L$52,5,FALSE)*m2k))/'TCO Inputs'!$AZ$84</f>
        <v>225.4339834259504</v>
      </c>
      <c r="J148" s="125">
        <f>J37/293.07*(1/(VLOOKUP($A148,'Fuel economy adjusted factor'!$A$2:$L$52,5,FALSE)*m2k))/'TCO Inputs'!$AZ$84</f>
        <v>225.4339834259504</v>
      </c>
      <c r="K148" s="125">
        <f>K37/293.07*(1/(VLOOKUP($A148,'Fuel economy adjusted factor'!$A$2:$L$52,5,FALSE)*m2k))/'TCO Inputs'!$AZ$84</f>
        <v>225.4339834259504</v>
      </c>
      <c r="L148" s="125">
        <f>L37/293.07*(1/(VLOOKUP($A148,'Fuel economy adjusted factor'!$A$2:$L$52,5,FALSE)*m2k))/'TCO Inputs'!$AZ$84</f>
        <v>225.4339834259504</v>
      </c>
      <c r="M148" s="125">
        <f>M37/293.07*(1/(VLOOKUP($A148,'Fuel economy adjusted factor'!$A$2:$L$52,5,FALSE)*m2k))/'TCO Inputs'!$AZ$84</f>
        <v>225.4339834259504</v>
      </c>
      <c r="N148" s="125">
        <f>N37/293.07*(1/(VLOOKUP($A148,'Fuel economy adjusted factor'!$A$2:$L$52,5,FALSE)*m2k))/'TCO Inputs'!$AZ$84</f>
        <v>225.4339834259504</v>
      </c>
      <c r="O148" s="125">
        <f>O37/293.07*(1/(VLOOKUP($A148,'Fuel economy adjusted factor'!$A$2:$L$52,5,FALSE)*m2k))/'TCO Inputs'!$AZ$84</f>
        <v>225.4339834259504</v>
      </c>
      <c r="P148" s="125">
        <f>P37/293.07*(1/(VLOOKUP($A148,'Fuel economy adjusted factor'!$A$2:$L$52,5,FALSE)*m2k))/'TCO Inputs'!$AZ$84</f>
        <v>225.4339834259504</v>
      </c>
      <c r="Q148" s="125">
        <f>Q37/293.07*(1/(VLOOKUP($A148,'Fuel economy adjusted factor'!$A$2:$L$52,5,FALSE)*m2k))/'TCO Inputs'!$AZ$84</f>
        <v>225.4339834259504</v>
      </c>
      <c r="R148" s="125">
        <f>R37/293.07*(1/(VLOOKUP($A148,'Fuel economy adjusted factor'!$A$2:$L$52,5,FALSE)*m2k))/'TCO Inputs'!$AZ$84</f>
        <v>225.4339834259504</v>
      </c>
      <c r="S148" s="125">
        <f>S37/293.07*(1/(VLOOKUP($A148,'Fuel economy adjusted factor'!$A$2:$L$52,5,FALSE)*m2k))/'TCO Inputs'!$AZ$84</f>
        <v>225.4339834259504</v>
      </c>
      <c r="T148" s="125">
        <f>T37/293.07*(1/(VLOOKUP($A148,'Fuel economy adjusted factor'!$A$2:$L$52,5,FALSE)*m2k))/'TCO Inputs'!$AZ$84</f>
        <v>225.4339834259504</v>
      </c>
      <c r="U148" s="125">
        <f>U37/293.07*(1/(VLOOKUP($A148,'Fuel economy adjusted factor'!$A$2:$L$52,5,FALSE)*m2k))/'TCO Inputs'!$AZ$84</f>
        <v>225.4339834259504</v>
      </c>
      <c r="V148" s="125">
        <f>V37/293.07*(1/(VLOOKUP($A148,'Fuel economy adjusted factor'!$A$2:$L$52,5,FALSE)*m2k))/'TCO Inputs'!$AZ$84</f>
        <v>225.4339834259504</v>
      </c>
      <c r="W148" s="125">
        <f>W37/293.07*(1/(VLOOKUP($A148,'Fuel economy adjusted factor'!$A$2:$L$52,5,FALSE)*m2k))/'TCO Inputs'!$AZ$84</f>
        <v>225.4339834259504</v>
      </c>
      <c r="X148" s="125">
        <f>X37/293.07*(1/(VLOOKUP($A148,'Fuel economy adjusted factor'!$A$2:$L$52,5,FALSE)*m2k))/'TCO Inputs'!$AZ$84</f>
        <v>225.4339834259504</v>
      </c>
      <c r="Y148" s="125">
        <f>Y37/293.07*(1/(VLOOKUP($A148,'Fuel economy adjusted factor'!$A$2:$L$52,5,FALSE)*m2k))/'TCO Inputs'!$AZ$84</f>
        <v>225.4339834259504</v>
      </c>
      <c r="Z148" s="125">
        <f>Z37/293.07*(1/(VLOOKUP($A148,'Fuel economy adjusted factor'!$A$2:$L$52,5,FALSE)*m2k))/'TCO Inputs'!$AZ$84</f>
        <v>225.4339834259504</v>
      </c>
      <c r="AA148" s="125">
        <f>AA37/293.07*(1/(VLOOKUP($A148,'Fuel economy adjusted factor'!$A$2:$L$52,5,FALSE)*m2k))/'TCO Inputs'!$AZ$84</f>
        <v>225.4339834259504</v>
      </c>
      <c r="AB148" s="125">
        <f>AB37/293.07*(1/(VLOOKUP($A148,'Fuel economy adjusted factor'!$A$2:$L$52,5,FALSE)*m2k))/'TCO Inputs'!$AZ$84</f>
        <v>225.4339834259504</v>
      </c>
      <c r="AC148" s="125">
        <f>AC37/293.07*(1/(VLOOKUP($A148,'Fuel economy adjusted factor'!$A$2:$L$52,5,FALSE)*m2k))/'TCO Inputs'!$AZ$84</f>
        <v>225.4339834259504</v>
      </c>
      <c r="AD148" s="98" cm="1">
        <f t="array" ref="AD148">SUMPRODUCT(INDEX(B148:AC148,,'TCO Inputs'!$AZ$12-2023+_xlfn.SEQUENCE('TCO Inputs'!$AZ$13))*INDEX('VKT US'!C96:AA96,,_xlfn.SEQUENCE('TCO Inputs'!$AZ$13)))*m2k*CONVERT(0.9072,"g","ton")</f>
        <v>84.214913912431882</v>
      </c>
      <c r="AF148" s="123" t="s">
        <v>210</v>
      </c>
      <c r="AG148" s="125">
        <f>AG37/293.07*(1/(VLOOKUP($AF148,'Fuel economy adjusted factor'!$A$2:$L$52,5,FALSE)*m2k))/'TCO Inputs'!$AZ$84</f>
        <v>264.23293496953977</v>
      </c>
      <c r="AH148" s="125">
        <f>AH37/293.07*(1/(VLOOKUP($AF148,'Fuel economy adjusted factor'!$A$2:$L$52,5,FALSE)*m2k))/'TCO Inputs'!$AZ$84</f>
        <v>264.23293496953977</v>
      </c>
      <c r="AI148" s="125">
        <f>AI37/293.07*(1/(VLOOKUP($AF148,'Fuel economy adjusted factor'!$A$2:$L$52,5,FALSE)*m2k))/'TCO Inputs'!$AZ$84</f>
        <v>264.23293496953977</v>
      </c>
      <c r="AJ148" s="125">
        <f>AJ37/293.07*(1/(VLOOKUP($AF148,'Fuel economy adjusted factor'!$A$2:$L$52,5,FALSE)*m2k))/'TCO Inputs'!$AZ$84</f>
        <v>264.23293496953977</v>
      </c>
      <c r="AK148" s="125">
        <f>AK37/293.07*(1/(VLOOKUP($AF148,'Fuel economy adjusted factor'!$A$2:$L$52,5,FALSE)*m2k))/'TCO Inputs'!$AZ$84</f>
        <v>264.23293496953977</v>
      </c>
      <c r="AL148" s="125">
        <f>AL37/293.07*(1/(VLOOKUP($AF148,'Fuel economy adjusted factor'!$A$2:$L$52,5,FALSE)*m2k))/'TCO Inputs'!$AZ$84</f>
        <v>264.23293496953977</v>
      </c>
      <c r="AM148" s="125">
        <f>AM37/293.07*(1/(VLOOKUP($AF148,'Fuel economy adjusted factor'!$A$2:$L$52,5,FALSE)*m2k))/'TCO Inputs'!$AZ$84</f>
        <v>264.23293496953977</v>
      </c>
      <c r="AN148" s="125">
        <f>AN37/293.07*(1/(VLOOKUP($AF148,'Fuel economy adjusted factor'!$A$2:$L$52,5,FALSE)*m2k))/'TCO Inputs'!$AZ$84</f>
        <v>264.23293496953977</v>
      </c>
      <c r="AO148" s="125">
        <f>AO37/293.07*(1/(VLOOKUP($AF148,'Fuel economy adjusted factor'!$A$2:$L$52,5,FALSE)*m2k))/'TCO Inputs'!$AZ$84</f>
        <v>264.23293496953977</v>
      </c>
      <c r="AP148" s="125">
        <f>AP37/293.07*(1/(VLOOKUP($AF148,'Fuel economy adjusted factor'!$A$2:$L$52,5,FALSE)*m2k))/'TCO Inputs'!$AZ$84</f>
        <v>264.23293496953977</v>
      </c>
      <c r="AQ148" s="125">
        <f>AQ37/293.07*(1/(VLOOKUP($AF148,'Fuel economy adjusted factor'!$A$2:$L$52,5,FALSE)*m2k))/'TCO Inputs'!$AZ$84</f>
        <v>264.23293496953977</v>
      </c>
      <c r="AR148" s="125">
        <f>AR37/293.07*(1/(VLOOKUP($AF148,'Fuel economy adjusted factor'!$A$2:$L$52,5,FALSE)*m2k))/'TCO Inputs'!$AZ$84</f>
        <v>264.23293496953977</v>
      </c>
      <c r="AS148" s="125">
        <f>AS37/293.07*(1/(VLOOKUP($AF148,'Fuel economy adjusted factor'!$A$2:$L$52,5,FALSE)*m2k))/'TCO Inputs'!$AZ$84</f>
        <v>264.23293496953977</v>
      </c>
      <c r="AT148" s="125">
        <f>AT37/293.07*(1/(VLOOKUP($AF148,'Fuel economy adjusted factor'!$A$2:$L$52,5,FALSE)*m2k))/'TCO Inputs'!$AZ$84</f>
        <v>264.23293496953977</v>
      </c>
      <c r="AU148" s="125">
        <f>AU37/293.07*(1/(VLOOKUP($AF148,'Fuel economy adjusted factor'!$A$2:$L$52,5,FALSE)*m2k))/'TCO Inputs'!$AZ$84</f>
        <v>264.23293496953977</v>
      </c>
      <c r="AV148" s="125">
        <f>AV37/293.07*(1/(VLOOKUP($AF148,'Fuel economy adjusted factor'!$A$2:$L$52,5,FALSE)*m2k))/'TCO Inputs'!$AZ$84</f>
        <v>264.23293496953977</v>
      </c>
      <c r="AW148" s="125">
        <f>AW37/293.07*(1/(VLOOKUP($AF148,'Fuel economy adjusted factor'!$A$2:$L$52,5,FALSE)*m2k))/'TCO Inputs'!$AZ$84</f>
        <v>264.23293496953977</v>
      </c>
      <c r="AX148" s="125">
        <f>AX37/293.07*(1/(VLOOKUP($AF148,'Fuel economy adjusted factor'!$A$2:$L$52,5,FALSE)*m2k))/'TCO Inputs'!$AZ$84</f>
        <v>264.23293496953977</v>
      </c>
      <c r="AY148" s="125">
        <f>AY37/293.07*(1/(VLOOKUP($AF148,'Fuel economy adjusted factor'!$A$2:$L$52,5,FALSE)*m2k))/'TCO Inputs'!$AZ$84</f>
        <v>264.23293496953977</v>
      </c>
      <c r="AZ148" s="125">
        <f>AZ37/293.07*(1/(VLOOKUP($AF148,'Fuel economy adjusted factor'!$A$2:$L$52,5,FALSE)*m2k))/'TCO Inputs'!$AZ$84</f>
        <v>264.23293496953977</v>
      </c>
      <c r="BA148" s="125">
        <f>BA37/293.07*(1/(VLOOKUP($AF148,'Fuel economy adjusted factor'!$A$2:$L$52,5,FALSE)*m2k))/'TCO Inputs'!$AZ$84</f>
        <v>264.23293496953977</v>
      </c>
      <c r="BB148" s="125">
        <f>BB37/293.07*(1/(VLOOKUP($AF148,'Fuel economy adjusted factor'!$A$2:$L$52,5,FALSE)*m2k))/'TCO Inputs'!$AZ$84</f>
        <v>264.23293496953977</v>
      </c>
      <c r="BC148" s="125">
        <f>BC37/293.07*(1/(VLOOKUP($AF148,'Fuel economy adjusted factor'!$A$2:$L$52,5,FALSE)*m2k))/'TCO Inputs'!$AZ$84</f>
        <v>264.23293496953977</v>
      </c>
      <c r="BD148" s="125">
        <f>BD37/293.07*(1/(VLOOKUP($AF148,'Fuel economy adjusted factor'!$A$2:$L$52,5,FALSE)*m2k))/'TCO Inputs'!$AZ$84</f>
        <v>264.23293496953977</v>
      </c>
      <c r="BE148" s="125">
        <f>BE37/293.07*(1/(VLOOKUP($AF148,'Fuel economy adjusted factor'!$A$2:$L$52,5,FALSE)*m2k))/'TCO Inputs'!$AZ$84</f>
        <v>264.23293496953977</v>
      </c>
      <c r="BF148" s="125">
        <f>BF37/293.07*(1/(VLOOKUP($AF148,'Fuel economy adjusted factor'!$A$2:$L$52,5,FALSE)*m2k))/'TCO Inputs'!$AZ$84</f>
        <v>264.23293496953977</v>
      </c>
      <c r="BG148" s="125">
        <f>BG37/293.07*(1/(VLOOKUP($AF148,'Fuel economy adjusted factor'!$A$2:$L$52,5,FALSE)*m2k))/'TCO Inputs'!$AZ$84</f>
        <v>264.23293496953977</v>
      </c>
      <c r="BH148" s="125">
        <f>BH37/293.07*(1/(VLOOKUP($AF148,'Fuel economy adjusted factor'!$A$2:$L$52,5,FALSE)*m2k))/'TCO Inputs'!$AZ$84</f>
        <v>264.23293496953977</v>
      </c>
      <c r="BI148" s="98" cm="1">
        <f t="array" ref="BI148">SUMPRODUCT(INDEX(AG148:BH148,,'TCO Inputs'!$AZ$12-2023+_xlfn.SEQUENCE('TCO Inputs'!$AZ$13))*INDEX('VKT US'!C96:AA96,,_xlfn.SEQUENCE('TCO Inputs'!$AZ$13)))*m2k*CONVERT(0.9072,"g","ton")</f>
        <v>98.708959195579126</v>
      </c>
      <c r="BL148" s="123" t="s">
        <v>210</v>
      </c>
      <c r="BM148" s="125">
        <f>BM37/293.07*(1/(VLOOKUP($BL148,'Fuel economy adjusted factor'!$A$2:$L$52,5,FALSE)*m2k))/'TCO Inputs'!$AZ$84</f>
        <v>196.43452508831902</v>
      </c>
      <c r="BN148" s="125">
        <f>BN37/293.07*(1/(VLOOKUP($BL148,'Fuel economy adjusted factor'!$A$2:$L$52,5,FALSE)*m2k))/'TCO Inputs'!$AZ$84</f>
        <v>196.43452508831902</v>
      </c>
      <c r="BO148" s="125">
        <f>BO37/293.07*(1/(VLOOKUP($BL148,'Fuel economy adjusted factor'!$A$2:$L$52,5,FALSE)*m2k))/'TCO Inputs'!$AZ$84</f>
        <v>196.43452508831902</v>
      </c>
      <c r="BP148" s="125">
        <f>BP37/293.07*(1/(VLOOKUP($BL148,'Fuel economy adjusted factor'!$A$2:$L$52,5,FALSE)*m2k))/'TCO Inputs'!$AZ$84</f>
        <v>196.43452508831902</v>
      </c>
      <c r="BQ148" s="125">
        <f>BQ37/293.07*(1/(VLOOKUP($BL148,'Fuel economy adjusted factor'!$A$2:$L$52,5,FALSE)*m2k))/'TCO Inputs'!$AZ$84</f>
        <v>196.43452508831902</v>
      </c>
      <c r="BR148" s="125">
        <f>BR37/293.07*(1/(VLOOKUP($BL148,'Fuel economy adjusted factor'!$A$2:$L$52,5,FALSE)*m2k))/'TCO Inputs'!$AZ$84</f>
        <v>196.43452508831902</v>
      </c>
      <c r="BS148" s="125">
        <f>BS37/293.07*(1/(VLOOKUP($BL148,'Fuel economy adjusted factor'!$A$2:$L$52,5,FALSE)*m2k))/'TCO Inputs'!$AZ$84</f>
        <v>196.43452508831902</v>
      </c>
      <c r="BT148" s="125">
        <f>BT37/293.07*(1/(VLOOKUP($BL148,'Fuel economy adjusted factor'!$A$2:$L$52,5,FALSE)*m2k))/'TCO Inputs'!$AZ$84</f>
        <v>196.43452508831902</v>
      </c>
      <c r="BU148" s="125">
        <f>BU37/293.07*(1/(VLOOKUP($BL148,'Fuel economy adjusted factor'!$A$2:$L$52,5,FALSE)*m2k))/'TCO Inputs'!$AZ$84</f>
        <v>196.43452508831902</v>
      </c>
      <c r="BV148" s="125">
        <f>BV37/293.07*(1/(VLOOKUP($BL148,'Fuel economy adjusted factor'!$A$2:$L$52,5,FALSE)*m2k))/'TCO Inputs'!$AZ$84</f>
        <v>196.43452508831902</v>
      </c>
      <c r="BW148" s="125">
        <f>BW37/293.07*(1/(VLOOKUP($BL148,'Fuel economy adjusted factor'!$A$2:$L$52,5,FALSE)*m2k))/'TCO Inputs'!$AZ$84</f>
        <v>196.43452508831902</v>
      </c>
      <c r="BX148" s="125">
        <f>BX37/293.07*(1/(VLOOKUP($BL148,'Fuel economy adjusted factor'!$A$2:$L$52,5,FALSE)*m2k))/'TCO Inputs'!$AZ$84</f>
        <v>196.43452508831902</v>
      </c>
      <c r="BY148" s="125">
        <f>BY37/293.07*(1/(VLOOKUP($BL148,'Fuel economy adjusted factor'!$A$2:$L$52,5,FALSE)*m2k))/'TCO Inputs'!$AZ$84</f>
        <v>196.43452508831902</v>
      </c>
      <c r="BZ148" s="125">
        <f>BZ37/293.07*(1/(VLOOKUP($BL148,'Fuel economy adjusted factor'!$A$2:$L$52,5,FALSE)*m2k))/'TCO Inputs'!$AZ$84</f>
        <v>196.43452508831902</v>
      </c>
      <c r="CA148" s="125">
        <f>CA37/293.07*(1/(VLOOKUP($BL148,'Fuel economy adjusted factor'!$A$2:$L$52,5,FALSE)*m2k))/'TCO Inputs'!$AZ$84</f>
        <v>196.43452508831902</v>
      </c>
      <c r="CB148" s="125">
        <f>CB37/293.07*(1/(VLOOKUP($BL148,'Fuel economy adjusted factor'!$A$2:$L$52,5,FALSE)*m2k))/'TCO Inputs'!$AZ$84</f>
        <v>196.43452508831902</v>
      </c>
      <c r="CC148" s="125">
        <f>CC37/293.07*(1/(VLOOKUP($BL148,'Fuel economy adjusted factor'!$A$2:$L$52,5,FALSE)*m2k))/'TCO Inputs'!$AZ$84</f>
        <v>196.43452508831902</v>
      </c>
      <c r="CD148" s="125">
        <f>CD37/293.07*(1/(VLOOKUP($BL148,'Fuel economy adjusted factor'!$A$2:$L$52,5,FALSE)*m2k))/'TCO Inputs'!$AZ$84</f>
        <v>196.43452508831902</v>
      </c>
      <c r="CE148" s="125">
        <f>CE37/293.07*(1/(VLOOKUP($BL148,'Fuel economy adjusted factor'!$A$2:$L$52,5,FALSE)*m2k))/'TCO Inputs'!$AZ$84</f>
        <v>196.43452508831902</v>
      </c>
      <c r="CF148" s="125">
        <f>CF37/293.07*(1/(VLOOKUP($BL148,'Fuel economy adjusted factor'!$A$2:$L$52,5,FALSE)*m2k))/'TCO Inputs'!$AZ$84</f>
        <v>196.43452508831902</v>
      </c>
      <c r="CG148" s="125">
        <f>CG37/293.07*(1/(VLOOKUP($BL148,'Fuel economy adjusted factor'!$A$2:$L$52,5,FALSE)*m2k))/'TCO Inputs'!$AZ$84</f>
        <v>196.43452508831902</v>
      </c>
      <c r="CH148" s="125">
        <f>CH37/293.07*(1/(VLOOKUP($BL148,'Fuel economy adjusted factor'!$A$2:$L$52,5,FALSE)*m2k))/'TCO Inputs'!$AZ$84</f>
        <v>196.43452508831902</v>
      </c>
      <c r="CI148" s="125">
        <f>CI37/293.07*(1/(VLOOKUP($BL148,'Fuel economy adjusted factor'!$A$2:$L$52,5,FALSE)*m2k))/'TCO Inputs'!$AZ$84</f>
        <v>196.43452508831902</v>
      </c>
      <c r="CJ148" s="125">
        <f>CJ37/293.07*(1/(VLOOKUP($BL148,'Fuel economy adjusted factor'!$A$2:$L$52,5,FALSE)*m2k))/'TCO Inputs'!$AZ$84</f>
        <v>196.43452508831902</v>
      </c>
      <c r="CK148" s="125">
        <f>CK37/293.07*(1/(VLOOKUP($BL148,'Fuel economy adjusted factor'!$A$2:$L$52,5,FALSE)*m2k))/'TCO Inputs'!$AZ$84</f>
        <v>196.43452508831902</v>
      </c>
      <c r="CL148" s="125">
        <f>CL37/293.07*(1/(VLOOKUP($BL148,'Fuel economy adjusted factor'!$A$2:$L$52,5,FALSE)*m2k))/'TCO Inputs'!$AZ$84</f>
        <v>196.43452508831902</v>
      </c>
      <c r="CM148" s="125">
        <f>CM37/293.07*(1/(VLOOKUP($BL148,'Fuel economy adjusted factor'!$A$2:$L$52,5,FALSE)*m2k))/'TCO Inputs'!$AZ$84</f>
        <v>196.43452508831902</v>
      </c>
      <c r="CN148" s="125">
        <f>CN37/293.07*(1/(VLOOKUP($BL148,'Fuel economy adjusted factor'!$A$2:$L$52,5,FALSE)*m2k))/'TCO Inputs'!$AZ$84</f>
        <v>196.43452508831902</v>
      </c>
      <c r="CO148" s="98" cm="1">
        <f t="array" ref="CO148">SUMPRODUCT(INDEX(BM148:CN148,,'TCO Inputs'!$AZ$12-2023+_xlfn.SEQUENCE('TCO Inputs'!$AZ$13))*INDEX('VKT US'!C96:AA96,,_xlfn.SEQUENCE('TCO Inputs'!$AZ$13)))*m2k*CONVERT(0.9072,"g","ton")</f>
        <v>73.381645341755259</v>
      </c>
    </row>
    <row r="149" spans="1:93" x14ac:dyDescent="0.25">
      <c r="A149" s="123" t="s">
        <v>217</v>
      </c>
      <c r="B149" s="125">
        <f>B38/293.07*(1/(VLOOKUP($A149,'Fuel economy adjusted factor'!$A$2:$L$52,5,FALSE)*m2k))/'TCO Inputs'!$AZ$84</f>
        <v>188.00973807023468</v>
      </c>
      <c r="C149" s="125">
        <f>C38/293.07*(1/(VLOOKUP($A149,'Fuel economy adjusted factor'!$A$2:$L$52,5,FALSE)*m2k))/'TCO Inputs'!$AZ$84</f>
        <v>188.00973807023468</v>
      </c>
      <c r="D149" s="125">
        <f>D38/293.07*(1/(VLOOKUP($A149,'Fuel economy adjusted factor'!$A$2:$L$52,5,FALSE)*m2k))/'TCO Inputs'!$AZ$84</f>
        <v>188.00973807023468</v>
      </c>
      <c r="E149" s="125">
        <f>E38/293.07*(1/(VLOOKUP($A149,'Fuel economy adjusted factor'!$A$2:$L$52,5,FALSE)*m2k))/'TCO Inputs'!$AZ$84</f>
        <v>188.00973807023468</v>
      </c>
      <c r="F149" s="125">
        <f>F38/293.07*(1/(VLOOKUP($A149,'Fuel economy adjusted factor'!$A$2:$L$52,5,FALSE)*m2k))/'TCO Inputs'!$AZ$84</f>
        <v>188.00973807023468</v>
      </c>
      <c r="G149" s="125">
        <f>G38/293.07*(1/(VLOOKUP($A149,'Fuel economy adjusted factor'!$A$2:$L$52,5,FALSE)*m2k))/'TCO Inputs'!$AZ$84</f>
        <v>188.00973807023468</v>
      </c>
      <c r="H149" s="125">
        <f>H38/293.07*(1/(VLOOKUP($A149,'Fuel economy adjusted factor'!$A$2:$L$52,5,FALSE)*m2k))/'TCO Inputs'!$AZ$84</f>
        <v>188.00973807023468</v>
      </c>
      <c r="I149" s="125">
        <f>I38/293.07*(1/(VLOOKUP($A149,'Fuel economy adjusted factor'!$A$2:$L$52,5,FALSE)*m2k))/'TCO Inputs'!$AZ$84</f>
        <v>188.00973807023468</v>
      </c>
      <c r="J149" s="125">
        <f>J38/293.07*(1/(VLOOKUP($A149,'Fuel economy adjusted factor'!$A$2:$L$52,5,FALSE)*m2k))/'TCO Inputs'!$AZ$84</f>
        <v>188.00973807023468</v>
      </c>
      <c r="K149" s="125">
        <f>K38/293.07*(1/(VLOOKUP($A149,'Fuel economy adjusted factor'!$A$2:$L$52,5,FALSE)*m2k))/'TCO Inputs'!$AZ$84</f>
        <v>188.00973807023468</v>
      </c>
      <c r="L149" s="125">
        <f>L38/293.07*(1/(VLOOKUP($A149,'Fuel economy adjusted factor'!$A$2:$L$52,5,FALSE)*m2k))/'TCO Inputs'!$AZ$84</f>
        <v>188.00973807023468</v>
      </c>
      <c r="M149" s="125">
        <f>M38/293.07*(1/(VLOOKUP($A149,'Fuel economy adjusted factor'!$A$2:$L$52,5,FALSE)*m2k))/'TCO Inputs'!$AZ$84</f>
        <v>188.00973807023468</v>
      </c>
      <c r="N149" s="125">
        <f>N38/293.07*(1/(VLOOKUP($A149,'Fuel economy adjusted factor'!$A$2:$L$52,5,FALSE)*m2k))/'TCO Inputs'!$AZ$84</f>
        <v>188.00973807023468</v>
      </c>
      <c r="O149" s="125">
        <f>O38/293.07*(1/(VLOOKUP($A149,'Fuel economy adjusted factor'!$A$2:$L$52,5,FALSE)*m2k))/'TCO Inputs'!$AZ$84</f>
        <v>188.00973807023468</v>
      </c>
      <c r="P149" s="125">
        <f>P38/293.07*(1/(VLOOKUP($A149,'Fuel economy adjusted factor'!$A$2:$L$52,5,FALSE)*m2k))/'TCO Inputs'!$AZ$84</f>
        <v>188.00973807023468</v>
      </c>
      <c r="Q149" s="125">
        <f>Q38/293.07*(1/(VLOOKUP($A149,'Fuel economy adjusted factor'!$A$2:$L$52,5,FALSE)*m2k))/'TCO Inputs'!$AZ$84</f>
        <v>188.00973807023468</v>
      </c>
      <c r="R149" s="125">
        <f>R38/293.07*(1/(VLOOKUP($A149,'Fuel economy adjusted factor'!$A$2:$L$52,5,FALSE)*m2k))/'TCO Inputs'!$AZ$84</f>
        <v>188.00973807023468</v>
      </c>
      <c r="S149" s="125">
        <f>S38/293.07*(1/(VLOOKUP($A149,'Fuel economy adjusted factor'!$A$2:$L$52,5,FALSE)*m2k))/'TCO Inputs'!$AZ$84</f>
        <v>188.00973807023468</v>
      </c>
      <c r="T149" s="125">
        <f>T38/293.07*(1/(VLOOKUP($A149,'Fuel economy adjusted factor'!$A$2:$L$52,5,FALSE)*m2k))/'TCO Inputs'!$AZ$84</f>
        <v>188.00973807023468</v>
      </c>
      <c r="U149" s="125">
        <f>U38/293.07*(1/(VLOOKUP($A149,'Fuel economy adjusted factor'!$A$2:$L$52,5,FALSE)*m2k))/'TCO Inputs'!$AZ$84</f>
        <v>188.00973807023468</v>
      </c>
      <c r="V149" s="125">
        <f>V38/293.07*(1/(VLOOKUP($A149,'Fuel economy adjusted factor'!$A$2:$L$52,5,FALSE)*m2k))/'TCO Inputs'!$AZ$84</f>
        <v>188.00973807023468</v>
      </c>
      <c r="W149" s="125">
        <f>W38/293.07*(1/(VLOOKUP($A149,'Fuel economy adjusted factor'!$A$2:$L$52,5,FALSE)*m2k))/'TCO Inputs'!$AZ$84</f>
        <v>188.00973807023468</v>
      </c>
      <c r="X149" s="125">
        <f>X38/293.07*(1/(VLOOKUP($A149,'Fuel economy adjusted factor'!$A$2:$L$52,5,FALSE)*m2k))/'TCO Inputs'!$AZ$84</f>
        <v>188.00973807023468</v>
      </c>
      <c r="Y149" s="125">
        <f>Y38/293.07*(1/(VLOOKUP($A149,'Fuel economy adjusted factor'!$A$2:$L$52,5,FALSE)*m2k))/'TCO Inputs'!$AZ$84</f>
        <v>188.00973807023468</v>
      </c>
      <c r="Z149" s="125">
        <f>Z38/293.07*(1/(VLOOKUP($A149,'Fuel economy adjusted factor'!$A$2:$L$52,5,FALSE)*m2k))/'TCO Inputs'!$AZ$84</f>
        <v>188.00973807023468</v>
      </c>
      <c r="AA149" s="125">
        <f>AA38/293.07*(1/(VLOOKUP($A149,'Fuel economy adjusted factor'!$A$2:$L$52,5,FALSE)*m2k))/'TCO Inputs'!$AZ$84</f>
        <v>188.00973807023468</v>
      </c>
      <c r="AB149" s="125">
        <f>AB38/293.07*(1/(VLOOKUP($A149,'Fuel economy adjusted factor'!$A$2:$L$52,5,FALSE)*m2k))/'TCO Inputs'!$AZ$84</f>
        <v>188.00973807023468</v>
      </c>
      <c r="AC149" s="125">
        <f>AC38/293.07*(1/(VLOOKUP($A149,'Fuel economy adjusted factor'!$A$2:$L$52,5,FALSE)*m2k))/'TCO Inputs'!$AZ$84</f>
        <v>188.00973807023468</v>
      </c>
      <c r="AD149" s="98" cm="1">
        <f t="array" ref="AD149">SUMPRODUCT(INDEX(B149:AC149,,'TCO Inputs'!$AZ$12-2023+_xlfn.SEQUENCE('TCO Inputs'!$AZ$13))*INDEX('VKT US'!C97:AA97,,_xlfn.SEQUENCE('TCO Inputs'!$AZ$13)))*m2k*CONVERT(0.9072,"g","ton")</f>
        <v>56.74873944816872</v>
      </c>
      <c r="AF149" s="123" t="s">
        <v>217</v>
      </c>
      <c r="AG149" s="125">
        <f>AG38/293.07*(1/(VLOOKUP($AF149,'Fuel economy adjusted factor'!$A$2:$L$52,5,FALSE)*m2k))/'TCO Inputs'!$AZ$84</f>
        <v>220.36768431353497</v>
      </c>
      <c r="AH149" s="125">
        <f>AH38/293.07*(1/(VLOOKUP($AF149,'Fuel economy adjusted factor'!$A$2:$L$52,5,FALSE)*m2k))/'TCO Inputs'!$AZ$84</f>
        <v>220.36768431353497</v>
      </c>
      <c r="AI149" s="125">
        <f>AI38/293.07*(1/(VLOOKUP($AF149,'Fuel economy adjusted factor'!$A$2:$L$52,5,FALSE)*m2k))/'TCO Inputs'!$AZ$84</f>
        <v>220.36768431353497</v>
      </c>
      <c r="AJ149" s="125">
        <f>AJ38/293.07*(1/(VLOOKUP($AF149,'Fuel economy adjusted factor'!$A$2:$L$52,5,FALSE)*m2k))/'TCO Inputs'!$AZ$84</f>
        <v>220.36768431353497</v>
      </c>
      <c r="AK149" s="125">
        <f>AK38/293.07*(1/(VLOOKUP($AF149,'Fuel economy adjusted factor'!$A$2:$L$52,5,FALSE)*m2k))/'TCO Inputs'!$AZ$84</f>
        <v>220.36768431353497</v>
      </c>
      <c r="AL149" s="125">
        <f>AL38/293.07*(1/(VLOOKUP($AF149,'Fuel economy adjusted factor'!$A$2:$L$52,5,FALSE)*m2k))/'TCO Inputs'!$AZ$84</f>
        <v>220.36768431353497</v>
      </c>
      <c r="AM149" s="125">
        <f>AM38/293.07*(1/(VLOOKUP($AF149,'Fuel economy adjusted factor'!$A$2:$L$52,5,FALSE)*m2k))/'TCO Inputs'!$AZ$84</f>
        <v>220.36768431353497</v>
      </c>
      <c r="AN149" s="125">
        <f>AN38/293.07*(1/(VLOOKUP($AF149,'Fuel economy adjusted factor'!$A$2:$L$52,5,FALSE)*m2k))/'TCO Inputs'!$AZ$84</f>
        <v>220.36768431353497</v>
      </c>
      <c r="AO149" s="125">
        <f>AO38/293.07*(1/(VLOOKUP($AF149,'Fuel economy adjusted factor'!$A$2:$L$52,5,FALSE)*m2k))/'TCO Inputs'!$AZ$84</f>
        <v>220.36768431353497</v>
      </c>
      <c r="AP149" s="125">
        <f>AP38/293.07*(1/(VLOOKUP($AF149,'Fuel economy adjusted factor'!$A$2:$L$52,5,FALSE)*m2k))/'TCO Inputs'!$AZ$84</f>
        <v>220.36768431353497</v>
      </c>
      <c r="AQ149" s="125">
        <f>AQ38/293.07*(1/(VLOOKUP($AF149,'Fuel economy adjusted factor'!$A$2:$L$52,5,FALSE)*m2k))/'TCO Inputs'!$AZ$84</f>
        <v>220.36768431353497</v>
      </c>
      <c r="AR149" s="125">
        <f>AR38/293.07*(1/(VLOOKUP($AF149,'Fuel economy adjusted factor'!$A$2:$L$52,5,FALSE)*m2k))/'TCO Inputs'!$AZ$84</f>
        <v>220.36768431353497</v>
      </c>
      <c r="AS149" s="125">
        <f>AS38/293.07*(1/(VLOOKUP($AF149,'Fuel economy adjusted factor'!$A$2:$L$52,5,FALSE)*m2k))/'TCO Inputs'!$AZ$84</f>
        <v>220.36768431353497</v>
      </c>
      <c r="AT149" s="125">
        <f>AT38/293.07*(1/(VLOOKUP($AF149,'Fuel economy adjusted factor'!$A$2:$L$52,5,FALSE)*m2k))/'TCO Inputs'!$AZ$84</f>
        <v>220.36768431353497</v>
      </c>
      <c r="AU149" s="125">
        <f>AU38/293.07*(1/(VLOOKUP($AF149,'Fuel economy adjusted factor'!$A$2:$L$52,5,FALSE)*m2k))/'TCO Inputs'!$AZ$84</f>
        <v>220.36768431353497</v>
      </c>
      <c r="AV149" s="125">
        <f>AV38/293.07*(1/(VLOOKUP($AF149,'Fuel economy adjusted factor'!$A$2:$L$52,5,FALSE)*m2k))/'TCO Inputs'!$AZ$84</f>
        <v>220.36768431353497</v>
      </c>
      <c r="AW149" s="125">
        <f>AW38/293.07*(1/(VLOOKUP($AF149,'Fuel economy adjusted factor'!$A$2:$L$52,5,FALSE)*m2k))/'TCO Inputs'!$AZ$84</f>
        <v>220.36768431353497</v>
      </c>
      <c r="AX149" s="125">
        <f>AX38/293.07*(1/(VLOOKUP($AF149,'Fuel economy adjusted factor'!$A$2:$L$52,5,FALSE)*m2k))/'TCO Inputs'!$AZ$84</f>
        <v>220.36768431353497</v>
      </c>
      <c r="AY149" s="125">
        <f>AY38/293.07*(1/(VLOOKUP($AF149,'Fuel economy adjusted factor'!$A$2:$L$52,5,FALSE)*m2k))/'TCO Inputs'!$AZ$84</f>
        <v>220.36768431353497</v>
      </c>
      <c r="AZ149" s="125">
        <f>AZ38/293.07*(1/(VLOOKUP($AF149,'Fuel economy adjusted factor'!$A$2:$L$52,5,FALSE)*m2k))/'TCO Inputs'!$AZ$84</f>
        <v>220.36768431353497</v>
      </c>
      <c r="BA149" s="125">
        <f>BA38/293.07*(1/(VLOOKUP($AF149,'Fuel economy adjusted factor'!$A$2:$L$52,5,FALSE)*m2k))/'TCO Inputs'!$AZ$84</f>
        <v>220.36768431353497</v>
      </c>
      <c r="BB149" s="125">
        <f>BB38/293.07*(1/(VLOOKUP($AF149,'Fuel economy adjusted factor'!$A$2:$L$52,5,FALSE)*m2k))/'TCO Inputs'!$AZ$84</f>
        <v>220.36768431353497</v>
      </c>
      <c r="BC149" s="125">
        <f>BC38/293.07*(1/(VLOOKUP($AF149,'Fuel economy adjusted factor'!$A$2:$L$52,5,FALSE)*m2k))/'TCO Inputs'!$AZ$84</f>
        <v>220.36768431353497</v>
      </c>
      <c r="BD149" s="125">
        <f>BD38/293.07*(1/(VLOOKUP($AF149,'Fuel economy adjusted factor'!$A$2:$L$52,5,FALSE)*m2k))/'TCO Inputs'!$AZ$84</f>
        <v>220.36768431353497</v>
      </c>
      <c r="BE149" s="125">
        <f>BE38/293.07*(1/(VLOOKUP($AF149,'Fuel economy adjusted factor'!$A$2:$L$52,5,FALSE)*m2k))/'TCO Inputs'!$AZ$84</f>
        <v>220.36768431353497</v>
      </c>
      <c r="BF149" s="125">
        <f>BF38/293.07*(1/(VLOOKUP($AF149,'Fuel economy adjusted factor'!$A$2:$L$52,5,FALSE)*m2k))/'TCO Inputs'!$AZ$84</f>
        <v>220.36768431353497</v>
      </c>
      <c r="BG149" s="125">
        <f>BG38/293.07*(1/(VLOOKUP($AF149,'Fuel economy adjusted factor'!$A$2:$L$52,5,FALSE)*m2k))/'TCO Inputs'!$AZ$84</f>
        <v>220.36768431353497</v>
      </c>
      <c r="BH149" s="125">
        <f>BH38/293.07*(1/(VLOOKUP($AF149,'Fuel economy adjusted factor'!$A$2:$L$52,5,FALSE)*m2k))/'TCO Inputs'!$AZ$84</f>
        <v>220.36768431353497</v>
      </c>
      <c r="BI149" s="98" cm="1">
        <f t="array" ref="BI149">SUMPRODUCT(INDEX(AG149:BH149,,'TCO Inputs'!$AZ$12-2023+_xlfn.SEQUENCE('TCO Inputs'!$AZ$13))*INDEX('VKT US'!C97:AA97,,_xlfn.SEQUENCE('TCO Inputs'!$AZ$13)))*m2k*CONVERT(0.9072,"g","ton")</f>
        <v>66.515641308076241</v>
      </c>
      <c r="BL149" s="123" t="s">
        <v>217</v>
      </c>
      <c r="BM149" s="125">
        <f>BM38/293.07*(1/(VLOOKUP($BL149,'Fuel economy adjusted factor'!$A$2:$L$52,5,FALSE)*m2k))/'TCO Inputs'!$AZ$84</f>
        <v>163.82447334936501</v>
      </c>
      <c r="BN149" s="125">
        <f>BN38/293.07*(1/(VLOOKUP($BL149,'Fuel economy adjusted factor'!$A$2:$L$52,5,FALSE)*m2k))/'TCO Inputs'!$AZ$84</f>
        <v>163.82447334936501</v>
      </c>
      <c r="BO149" s="125">
        <f>BO38/293.07*(1/(VLOOKUP($BL149,'Fuel economy adjusted factor'!$A$2:$L$52,5,FALSE)*m2k))/'TCO Inputs'!$AZ$84</f>
        <v>163.82447334936501</v>
      </c>
      <c r="BP149" s="125">
        <f>BP38/293.07*(1/(VLOOKUP($BL149,'Fuel economy adjusted factor'!$A$2:$L$52,5,FALSE)*m2k))/'TCO Inputs'!$AZ$84</f>
        <v>163.82447334936501</v>
      </c>
      <c r="BQ149" s="125">
        <f>BQ38/293.07*(1/(VLOOKUP($BL149,'Fuel economy adjusted factor'!$A$2:$L$52,5,FALSE)*m2k))/'TCO Inputs'!$AZ$84</f>
        <v>163.82447334936501</v>
      </c>
      <c r="BR149" s="125">
        <f>BR38/293.07*(1/(VLOOKUP($BL149,'Fuel economy adjusted factor'!$A$2:$L$52,5,FALSE)*m2k))/'TCO Inputs'!$AZ$84</f>
        <v>163.82447334936501</v>
      </c>
      <c r="BS149" s="125">
        <f>BS38/293.07*(1/(VLOOKUP($BL149,'Fuel economy adjusted factor'!$A$2:$L$52,5,FALSE)*m2k))/'TCO Inputs'!$AZ$84</f>
        <v>163.82447334936501</v>
      </c>
      <c r="BT149" s="125">
        <f>BT38/293.07*(1/(VLOOKUP($BL149,'Fuel economy adjusted factor'!$A$2:$L$52,5,FALSE)*m2k))/'TCO Inputs'!$AZ$84</f>
        <v>163.82447334936501</v>
      </c>
      <c r="BU149" s="125">
        <f>BU38/293.07*(1/(VLOOKUP($BL149,'Fuel economy adjusted factor'!$A$2:$L$52,5,FALSE)*m2k))/'TCO Inputs'!$AZ$84</f>
        <v>163.82447334936501</v>
      </c>
      <c r="BV149" s="125">
        <f>BV38/293.07*(1/(VLOOKUP($BL149,'Fuel economy adjusted factor'!$A$2:$L$52,5,FALSE)*m2k))/'TCO Inputs'!$AZ$84</f>
        <v>163.82447334936501</v>
      </c>
      <c r="BW149" s="125">
        <f>BW38/293.07*(1/(VLOOKUP($BL149,'Fuel economy adjusted factor'!$A$2:$L$52,5,FALSE)*m2k))/'TCO Inputs'!$AZ$84</f>
        <v>163.82447334936501</v>
      </c>
      <c r="BX149" s="125">
        <f>BX38/293.07*(1/(VLOOKUP($BL149,'Fuel economy adjusted factor'!$A$2:$L$52,5,FALSE)*m2k))/'TCO Inputs'!$AZ$84</f>
        <v>163.82447334936501</v>
      </c>
      <c r="BY149" s="125">
        <f>BY38/293.07*(1/(VLOOKUP($BL149,'Fuel economy adjusted factor'!$A$2:$L$52,5,FALSE)*m2k))/'TCO Inputs'!$AZ$84</f>
        <v>163.82447334936501</v>
      </c>
      <c r="BZ149" s="125">
        <f>BZ38/293.07*(1/(VLOOKUP($BL149,'Fuel economy adjusted factor'!$A$2:$L$52,5,FALSE)*m2k))/'TCO Inputs'!$AZ$84</f>
        <v>163.82447334936501</v>
      </c>
      <c r="CA149" s="125">
        <f>CA38/293.07*(1/(VLOOKUP($BL149,'Fuel economy adjusted factor'!$A$2:$L$52,5,FALSE)*m2k))/'TCO Inputs'!$AZ$84</f>
        <v>163.82447334936501</v>
      </c>
      <c r="CB149" s="125">
        <f>CB38/293.07*(1/(VLOOKUP($BL149,'Fuel economy adjusted factor'!$A$2:$L$52,5,FALSE)*m2k))/'TCO Inputs'!$AZ$84</f>
        <v>163.82447334936501</v>
      </c>
      <c r="CC149" s="125">
        <f>CC38/293.07*(1/(VLOOKUP($BL149,'Fuel economy adjusted factor'!$A$2:$L$52,5,FALSE)*m2k))/'TCO Inputs'!$AZ$84</f>
        <v>163.82447334936501</v>
      </c>
      <c r="CD149" s="125">
        <f>CD38/293.07*(1/(VLOOKUP($BL149,'Fuel economy adjusted factor'!$A$2:$L$52,5,FALSE)*m2k))/'TCO Inputs'!$AZ$84</f>
        <v>163.82447334936501</v>
      </c>
      <c r="CE149" s="125">
        <f>CE38/293.07*(1/(VLOOKUP($BL149,'Fuel economy adjusted factor'!$A$2:$L$52,5,FALSE)*m2k))/'TCO Inputs'!$AZ$84</f>
        <v>163.82447334936501</v>
      </c>
      <c r="CF149" s="125">
        <f>CF38/293.07*(1/(VLOOKUP($BL149,'Fuel economy adjusted factor'!$A$2:$L$52,5,FALSE)*m2k))/'TCO Inputs'!$AZ$84</f>
        <v>163.82447334936501</v>
      </c>
      <c r="CG149" s="125">
        <f>CG38/293.07*(1/(VLOOKUP($BL149,'Fuel economy adjusted factor'!$A$2:$L$52,5,FALSE)*m2k))/'TCO Inputs'!$AZ$84</f>
        <v>163.82447334936501</v>
      </c>
      <c r="CH149" s="125">
        <f>CH38/293.07*(1/(VLOOKUP($BL149,'Fuel economy adjusted factor'!$A$2:$L$52,5,FALSE)*m2k))/'TCO Inputs'!$AZ$84</f>
        <v>163.82447334936501</v>
      </c>
      <c r="CI149" s="125">
        <f>CI38/293.07*(1/(VLOOKUP($BL149,'Fuel economy adjusted factor'!$A$2:$L$52,5,FALSE)*m2k))/'TCO Inputs'!$AZ$84</f>
        <v>163.82447334936501</v>
      </c>
      <c r="CJ149" s="125">
        <f>CJ38/293.07*(1/(VLOOKUP($BL149,'Fuel economy adjusted factor'!$A$2:$L$52,5,FALSE)*m2k))/'TCO Inputs'!$AZ$84</f>
        <v>163.82447334936501</v>
      </c>
      <c r="CK149" s="125">
        <f>CK38/293.07*(1/(VLOOKUP($BL149,'Fuel economy adjusted factor'!$A$2:$L$52,5,FALSE)*m2k))/'TCO Inputs'!$AZ$84</f>
        <v>163.82447334936501</v>
      </c>
      <c r="CL149" s="125">
        <f>CL38/293.07*(1/(VLOOKUP($BL149,'Fuel economy adjusted factor'!$A$2:$L$52,5,FALSE)*m2k))/'TCO Inputs'!$AZ$84</f>
        <v>163.82447334936501</v>
      </c>
      <c r="CM149" s="125">
        <f>CM38/293.07*(1/(VLOOKUP($BL149,'Fuel economy adjusted factor'!$A$2:$L$52,5,FALSE)*m2k))/'TCO Inputs'!$AZ$84</f>
        <v>163.82447334936501</v>
      </c>
      <c r="CN149" s="125">
        <f>CN38/293.07*(1/(VLOOKUP($BL149,'Fuel economy adjusted factor'!$A$2:$L$52,5,FALSE)*m2k))/'TCO Inputs'!$AZ$84</f>
        <v>163.82447334936501</v>
      </c>
      <c r="CO149" s="98" cm="1">
        <f t="array" ref="CO149">SUMPRODUCT(INDEX(BM149:CN149,,'TCO Inputs'!$AZ$12-2023+_xlfn.SEQUENCE('TCO Inputs'!$AZ$13))*INDEX('VKT US'!C97:AA97,,_xlfn.SEQUENCE('TCO Inputs'!$AZ$13)))*m2k*CONVERT(0.9072,"g","ton")</f>
        <v>49.448674567396942</v>
      </c>
    </row>
    <row r="150" spans="1:93" x14ac:dyDescent="0.25">
      <c r="A150" s="123" t="s">
        <v>218</v>
      </c>
      <c r="B150" s="125">
        <f>B39/293.07*(1/(VLOOKUP($A150,'Fuel economy adjusted factor'!$A$2:$L$52,5,FALSE)*m2k))/'TCO Inputs'!$AZ$84</f>
        <v>103.02703926921339</v>
      </c>
      <c r="C150" s="125">
        <f>C39/293.07*(1/(VLOOKUP($A150,'Fuel economy adjusted factor'!$A$2:$L$52,5,FALSE)*m2k))/'TCO Inputs'!$AZ$84</f>
        <v>103.02703926921339</v>
      </c>
      <c r="D150" s="125">
        <f>D39/293.07*(1/(VLOOKUP($A150,'Fuel economy adjusted factor'!$A$2:$L$52,5,FALSE)*m2k))/'TCO Inputs'!$AZ$84</f>
        <v>103.02703926921339</v>
      </c>
      <c r="E150" s="125">
        <f>E39/293.07*(1/(VLOOKUP($A150,'Fuel economy adjusted factor'!$A$2:$L$52,5,FALSE)*m2k))/'TCO Inputs'!$AZ$84</f>
        <v>103.02703926921339</v>
      </c>
      <c r="F150" s="125">
        <f>F39/293.07*(1/(VLOOKUP($A150,'Fuel economy adjusted factor'!$A$2:$L$52,5,FALSE)*m2k))/'TCO Inputs'!$AZ$84</f>
        <v>103.02703926921339</v>
      </c>
      <c r="G150" s="125">
        <f>G39/293.07*(1/(VLOOKUP($A150,'Fuel economy adjusted factor'!$A$2:$L$52,5,FALSE)*m2k))/'TCO Inputs'!$AZ$84</f>
        <v>103.02703926921339</v>
      </c>
      <c r="H150" s="125">
        <f>H39/293.07*(1/(VLOOKUP($A150,'Fuel economy adjusted factor'!$A$2:$L$52,5,FALSE)*m2k))/'TCO Inputs'!$AZ$84</f>
        <v>103.02703926921339</v>
      </c>
      <c r="I150" s="125">
        <f>I39/293.07*(1/(VLOOKUP($A150,'Fuel economy adjusted factor'!$A$2:$L$52,5,FALSE)*m2k))/'TCO Inputs'!$AZ$84</f>
        <v>103.02703926921339</v>
      </c>
      <c r="J150" s="125">
        <f>J39/293.07*(1/(VLOOKUP($A150,'Fuel economy adjusted factor'!$A$2:$L$52,5,FALSE)*m2k))/'TCO Inputs'!$AZ$84</f>
        <v>103.02703926921339</v>
      </c>
      <c r="K150" s="125">
        <f>K39/293.07*(1/(VLOOKUP($A150,'Fuel economy adjusted factor'!$A$2:$L$52,5,FALSE)*m2k))/'TCO Inputs'!$AZ$84</f>
        <v>103.02703926921339</v>
      </c>
      <c r="L150" s="125">
        <f>L39/293.07*(1/(VLOOKUP($A150,'Fuel economy adjusted factor'!$A$2:$L$52,5,FALSE)*m2k))/'TCO Inputs'!$AZ$84</f>
        <v>103.02703926921339</v>
      </c>
      <c r="M150" s="125">
        <f>M39/293.07*(1/(VLOOKUP($A150,'Fuel economy adjusted factor'!$A$2:$L$52,5,FALSE)*m2k))/'TCO Inputs'!$AZ$84</f>
        <v>103.02703926921339</v>
      </c>
      <c r="N150" s="125">
        <f>N39/293.07*(1/(VLOOKUP($A150,'Fuel economy adjusted factor'!$A$2:$L$52,5,FALSE)*m2k))/'TCO Inputs'!$AZ$84</f>
        <v>103.02703926921339</v>
      </c>
      <c r="O150" s="125">
        <f>O39/293.07*(1/(VLOOKUP($A150,'Fuel economy adjusted factor'!$A$2:$L$52,5,FALSE)*m2k))/'TCO Inputs'!$AZ$84</f>
        <v>103.02703926921339</v>
      </c>
      <c r="P150" s="125">
        <f>P39/293.07*(1/(VLOOKUP($A150,'Fuel economy adjusted factor'!$A$2:$L$52,5,FALSE)*m2k))/'TCO Inputs'!$AZ$84</f>
        <v>103.02703926921339</v>
      </c>
      <c r="Q150" s="125">
        <f>Q39/293.07*(1/(VLOOKUP($A150,'Fuel economy adjusted factor'!$A$2:$L$52,5,FALSE)*m2k))/'TCO Inputs'!$AZ$84</f>
        <v>103.02703926921339</v>
      </c>
      <c r="R150" s="125">
        <f>R39/293.07*(1/(VLOOKUP($A150,'Fuel economy adjusted factor'!$A$2:$L$52,5,FALSE)*m2k))/'TCO Inputs'!$AZ$84</f>
        <v>103.02703926921339</v>
      </c>
      <c r="S150" s="125">
        <f>S39/293.07*(1/(VLOOKUP($A150,'Fuel economy adjusted factor'!$A$2:$L$52,5,FALSE)*m2k))/'TCO Inputs'!$AZ$84</f>
        <v>103.02703926921339</v>
      </c>
      <c r="T150" s="125">
        <f>T39/293.07*(1/(VLOOKUP($A150,'Fuel economy adjusted factor'!$A$2:$L$52,5,FALSE)*m2k))/'TCO Inputs'!$AZ$84</f>
        <v>103.02703926921339</v>
      </c>
      <c r="U150" s="125">
        <f>U39/293.07*(1/(VLOOKUP($A150,'Fuel economy adjusted factor'!$A$2:$L$52,5,FALSE)*m2k))/'TCO Inputs'!$AZ$84</f>
        <v>103.02703926921339</v>
      </c>
      <c r="V150" s="125">
        <f>V39/293.07*(1/(VLOOKUP($A150,'Fuel economy adjusted factor'!$A$2:$L$52,5,FALSE)*m2k))/'TCO Inputs'!$AZ$84</f>
        <v>103.02703926921339</v>
      </c>
      <c r="W150" s="125">
        <f>W39/293.07*(1/(VLOOKUP($A150,'Fuel economy adjusted factor'!$A$2:$L$52,5,FALSE)*m2k))/'TCO Inputs'!$AZ$84</f>
        <v>103.02703926921339</v>
      </c>
      <c r="X150" s="125">
        <f>X39/293.07*(1/(VLOOKUP($A150,'Fuel economy adjusted factor'!$A$2:$L$52,5,FALSE)*m2k))/'TCO Inputs'!$AZ$84</f>
        <v>103.02703926921339</v>
      </c>
      <c r="Y150" s="125">
        <f>Y39/293.07*(1/(VLOOKUP($A150,'Fuel economy adjusted factor'!$A$2:$L$52,5,FALSE)*m2k))/'TCO Inputs'!$AZ$84</f>
        <v>103.02703926921339</v>
      </c>
      <c r="Z150" s="125">
        <f>Z39/293.07*(1/(VLOOKUP($A150,'Fuel economy adjusted factor'!$A$2:$L$52,5,FALSE)*m2k))/'TCO Inputs'!$AZ$84</f>
        <v>103.02703926921339</v>
      </c>
      <c r="AA150" s="125">
        <f>AA39/293.07*(1/(VLOOKUP($A150,'Fuel economy adjusted factor'!$A$2:$L$52,5,FALSE)*m2k))/'TCO Inputs'!$AZ$84</f>
        <v>103.02703926921339</v>
      </c>
      <c r="AB150" s="125">
        <f>AB39/293.07*(1/(VLOOKUP($A150,'Fuel economy adjusted factor'!$A$2:$L$52,5,FALSE)*m2k))/'TCO Inputs'!$AZ$84</f>
        <v>103.02703926921339</v>
      </c>
      <c r="AC150" s="125">
        <f>AC39/293.07*(1/(VLOOKUP($A150,'Fuel economy adjusted factor'!$A$2:$L$52,5,FALSE)*m2k))/'TCO Inputs'!$AZ$84</f>
        <v>103.02703926921339</v>
      </c>
      <c r="AD150" s="98" cm="1">
        <f t="array" ref="AD150">SUMPRODUCT(INDEX(B150:AC150,,'TCO Inputs'!$AZ$12-2023+_xlfn.SEQUENCE('TCO Inputs'!$AZ$13))*INDEX('VKT US'!C98:AA98,,_xlfn.SEQUENCE('TCO Inputs'!$AZ$13)))*m2k*CONVERT(0.9072,"g","ton")</f>
        <v>38.548585421646557</v>
      </c>
      <c r="AF150" s="123" t="s">
        <v>218</v>
      </c>
      <c r="AG150" s="125">
        <f>AG39/293.07*(1/(VLOOKUP($AF150,'Fuel economy adjusted factor'!$A$2:$L$52,5,FALSE)*m2k))/'TCO Inputs'!$AZ$84</f>
        <v>120.75879844561425</v>
      </c>
      <c r="AH150" s="125">
        <f>AH39/293.07*(1/(VLOOKUP($AF150,'Fuel economy adjusted factor'!$A$2:$L$52,5,FALSE)*m2k))/'TCO Inputs'!$AZ$84</f>
        <v>120.75879844561425</v>
      </c>
      <c r="AI150" s="125">
        <f>AI39/293.07*(1/(VLOOKUP($AF150,'Fuel economy adjusted factor'!$A$2:$L$52,5,FALSE)*m2k))/'TCO Inputs'!$AZ$84</f>
        <v>120.75879844561425</v>
      </c>
      <c r="AJ150" s="125">
        <f>AJ39/293.07*(1/(VLOOKUP($AF150,'Fuel economy adjusted factor'!$A$2:$L$52,5,FALSE)*m2k))/'TCO Inputs'!$AZ$84</f>
        <v>120.75879844561425</v>
      </c>
      <c r="AK150" s="125">
        <f>AK39/293.07*(1/(VLOOKUP($AF150,'Fuel economy adjusted factor'!$A$2:$L$52,5,FALSE)*m2k))/'TCO Inputs'!$AZ$84</f>
        <v>120.75879844561425</v>
      </c>
      <c r="AL150" s="125">
        <f>AL39/293.07*(1/(VLOOKUP($AF150,'Fuel economy adjusted factor'!$A$2:$L$52,5,FALSE)*m2k))/'TCO Inputs'!$AZ$84</f>
        <v>120.75879844561425</v>
      </c>
      <c r="AM150" s="125">
        <f>AM39/293.07*(1/(VLOOKUP($AF150,'Fuel economy adjusted factor'!$A$2:$L$52,5,FALSE)*m2k))/'TCO Inputs'!$AZ$84</f>
        <v>120.75879844561425</v>
      </c>
      <c r="AN150" s="125">
        <f>AN39/293.07*(1/(VLOOKUP($AF150,'Fuel economy adjusted factor'!$A$2:$L$52,5,FALSE)*m2k))/'TCO Inputs'!$AZ$84</f>
        <v>120.75879844561425</v>
      </c>
      <c r="AO150" s="125">
        <f>AO39/293.07*(1/(VLOOKUP($AF150,'Fuel economy adjusted factor'!$A$2:$L$52,5,FALSE)*m2k))/'TCO Inputs'!$AZ$84</f>
        <v>120.75879844561425</v>
      </c>
      <c r="AP150" s="125">
        <f>AP39/293.07*(1/(VLOOKUP($AF150,'Fuel economy adjusted factor'!$A$2:$L$52,5,FALSE)*m2k))/'TCO Inputs'!$AZ$84</f>
        <v>120.75879844561425</v>
      </c>
      <c r="AQ150" s="125">
        <f>AQ39/293.07*(1/(VLOOKUP($AF150,'Fuel economy adjusted factor'!$A$2:$L$52,5,FALSE)*m2k))/'TCO Inputs'!$AZ$84</f>
        <v>120.75879844561425</v>
      </c>
      <c r="AR150" s="125">
        <f>AR39/293.07*(1/(VLOOKUP($AF150,'Fuel economy adjusted factor'!$A$2:$L$52,5,FALSE)*m2k))/'TCO Inputs'!$AZ$84</f>
        <v>120.75879844561425</v>
      </c>
      <c r="AS150" s="125">
        <f>AS39/293.07*(1/(VLOOKUP($AF150,'Fuel economy adjusted factor'!$A$2:$L$52,5,FALSE)*m2k))/'TCO Inputs'!$AZ$84</f>
        <v>120.75879844561425</v>
      </c>
      <c r="AT150" s="125">
        <f>AT39/293.07*(1/(VLOOKUP($AF150,'Fuel economy adjusted factor'!$A$2:$L$52,5,FALSE)*m2k))/'TCO Inputs'!$AZ$84</f>
        <v>120.75879844561425</v>
      </c>
      <c r="AU150" s="125">
        <f>AU39/293.07*(1/(VLOOKUP($AF150,'Fuel economy adjusted factor'!$A$2:$L$52,5,FALSE)*m2k))/'TCO Inputs'!$AZ$84</f>
        <v>120.75879844561425</v>
      </c>
      <c r="AV150" s="125">
        <f>AV39/293.07*(1/(VLOOKUP($AF150,'Fuel economy adjusted factor'!$A$2:$L$52,5,FALSE)*m2k))/'TCO Inputs'!$AZ$84</f>
        <v>120.75879844561425</v>
      </c>
      <c r="AW150" s="125">
        <f>AW39/293.07*(1/(VLOOKUP($AF150,'Fuel economy adjusted factor'!$A$2:$L$52,5,FALSE)*m2k))/'TCO Inputs'!$AZ$84</f>
        <v>120.75879844561425</v>
      </c>
      <c r="AX150" s="125">
        <f>AX39/293.07*(1/(VLOOKUP($AF150,'Fuel economy adjusted factor'!$A$2:$L$52,5,FALSE)*m2k))/'TCO Inputs'!$AZ$84</f>
        <v>120.75879844561425</v>
      </c>
      <c r="AY150" s="125">
        <f>AY39/293.07*(1/(VLOOKUP($AF150,'Fuel economy adjusted factor'!$A$2:$L$52,5,FALSE)*m2k))/'TCO Inputs'!$AZ$84</f>
        <v>120.75879844561425</v>
      </c>
      <c r="AZ150" s="125">
        <f>AZ39/293.07*(1/(VLOOKUP($AF150,'Fuel economy adjusted factor'!$A$2:$L$52,5,FALSE)*m2k))/'TCO Inputs'!$AZ$84</f>
        <v>120.75879844561425</v>
      </c>
      <c r="BA150" s="125">
        <f>BA39/293.07*(1/(VLOOKUP($AF150,'Fuel economy adjusted factor'!$A$2:$L$52,5,FALSE)*m2k))/'TCO Inputs'!$AZ$84</f>
        <v>120.75879844561425</v>
      </c>
      <c r="BB150" s="125">
        <f>BB39/293.07*(1/(VLOOKUP($AF150,'Fuel economy adjusted factor'!$A$2:$L$52,5,FALSE)*m2k))/'TCO Inputs'!$AZ$84</f>
        <v>120.75879844561425</v>
      </c>
      <c r="BC150" s="125">
        <f>BC39/293.07*(1/(VLOOKUP($AF150,'Fuel economy adjusted factor'!$A$2:$L$52,5,FALSE)*m2k))/'TCO Inputs'!$AZ$84</f>
        <v>120.75879844561425</v>
      </c>
      <c r="BD150" s="125">
        <f>BD39/293.07*(1/(VLOOKUP($AF150,'Fuel economy adjusted factor'!$A$2:$L$52,5,FALSE)*m2k))/'TCO Inputs'!$AZ$84</f>
        <v>120.75879844561425</v>
      </c>
      <c r="BE150" s="125">
        <f>BE39/293.07*(1/(VLOOKUP($AF150,'Fuel economy adjusted factor'!$A$2:$L$52,5,FALSE)*m2k))/'TCO Inputs'!$AZ$84</f>
        <v>120.75879844561425</v>
      </c>
      <c r="BF150" s="125">
        <f>BF39/293.07*(1/(VLOOKUP($AF150,'Fuel economy adjusted factor'!$A$2:$L$52,5,FALSE)*m2k))/'TCO Inputs'!$AZ$84</f>
        <v>120.75879844561425</v>
      </c>
      <c r="BG150" s="125">
        <f>BG39/293.07*(1/(VLOOKUP($AF150,'Fuel economy adjusted factor'!$A$2:$L$52,5,FALSE)*m2k))/'TCO Inputs'!$AZ$84</f>
        <v>120.75879844561425</v>
      </c>
      <c r="BH150" s="125">
        <f>BH39/293.07*(1/(VLOOKUP($AF150,'Fuel economy adjusted factor'!$A$2:$L$52,5,FALSE)*m2k))/'TCO Inputs'!$AZ$84</f>
        <v>120.75879844561425</v>
      </c>
      <c r="BI150" s="98" cm="1">
        <f t="array" ref="BI150">SUMPRODUCT(INDEX(AG150:BH150,,'TCO Inputs'!$AZ$12-2023+_xlfn.SEQUENCE('TCO Inputs'!$AZ$13))*INDEX('VKT US'!C98:AA98,,_xlfn.SEQUENCE('TCO Inputs'!$AZ$13)))*m2k*CONVERT(0.9072,"g","ton")</f>
        <v>45.183098440131488</v>
      </c>
      <c r="BL150" s="123" t="s">
        <v>218</v>
      </c>
      <c r="BM150" s="125">
        <f>BM39/293.07*(1/(VLOOKUP($BL150,'Fuel economy adjusted factor'!$A$2:$L$52,5,FALSE)*m2k))/'TCO Inputs'!$AZ$84</f>
        <v>89.773809709356627</v>
      </c>
      <c r="BN150" s="125">
        <f>BN39/293.07*(1/(VLOOKUP($BL150,'Fuel economy adjusted factor'!$A$2:$L$52,5,FALSE)*m2k))/'TCO Inputs'!$AZ$84</f>
        <v>89.773809709356627</v>
      </c>
      <c r="BO150" s="125">
        <f>BO39/293.07*(1/(VLOOKUP($BL150,'Fuel economy adjusted factor'!$A$2:$L$52,5,FALSE)*m2k))/'TCO Inputs'!$AZ$84</f>
        <v>89.773809709356627</v>
      </c>
      <c r="BP150" s="125">
        <f>BP39/293.07*(1/(VLOOKUP($BL150,'Fuel economy adjusted factor'!$A$2:$L$52,5,FALSE)*m2k))/'TCO Inputs'!$AZ$84</f>
        <v>89.773809709356627</v>
      </c>
      <c r="BQ150" s="125">
        <f>BQ39/293.07*(1/(VLOOKUP($BL150,'Fuel economy adjusted factor'!$A$2:$L$52,5,FALSE)*m2k))/'TCO Inputs'!$AZ$84</f>
        <v>89.773809709356627</v>
      </c>
      <c r="BR150" s="125">
        <f>BR39/293.07*(1/(VLOOKUP($BL150,'Fuel economy adjusted factor'!$A$2:$L$52,5,FALSE)*m2k))/'TCO Inputs'!$AZ$84</f>
        <v>89.773809709356627</v>
      </c>
      <c r="BS150" s="125">
        <f>BS39/293.07*(1/(VLOOKUP($BL150,'Fuel economy adjusted factor'!$A$2:$L$52,5,FALSE)*m2k))/'TCO Inputs'!$AZ$84</f>
        <v>89.773809709356627</v>
      </c>
      <c r="BT150" s="125">
        <f>BT39/293.07*(1/(VLOOKUP($BL150,'Fuel economy adjusted factor'!$A$2:$L$52,5,FALSE)*m2k))/'TCO Inputs'!$AZ$84</f>
        <v>89.773809709356627</v>
      </c>
      <c r="BU150" s="125">
        <f>BU39/293.07*(1/(VLOOKUP($BL150,'Fuel economy adjusted factor'!$A$2:$L$52,5,FALSE)*m2k))/'TCO Inputs'!$AZ$84</f>
        <v>89.773809709356627</v>
      </c>
      <c r="BV150" s="125">
        <f>BV39/293.07*(1/(VLOOKUP($BL150,'Fuel economy adjusted factor'!$A$2:$L$52,5,FALSE)*m2k))/'TCO Inputs'!$AZ$84</f>
        <v>89.773809709356627</v>
      </c>
      <c r="BW150" s="125">
        <f>BW39/293.07*(1/(VLOOKUP($BL150,'Fuel economy adjusted factor'!$A$2:$L$52,5,FALSE)*m2k))/'TCO Inputs'!$AZ$84</f>
        <v>89.773809709356627</v>
      </c>
      <c r="BX150" s="125">
        <f>BX39/293.07*(1/(VLOOKUP($BL150,'Fuel economy adjusted factor'!$A$2:$L$52,5,FALSE)*m2k))/'TCO Inputs'!$AZ$84</f>
        <v>89.773809709356627</v>
      </c>
      <c r="BY150" s="125">
        <f>BY39/293.07*(1/(VLOOKUP($BL150,'Fuel economy adjusted factor'!$A$2:$L$52,5,FALSE)*m2k))/'TCO Inputs'!$AZ$84</f>
        <v>89.773809709356627</v>
      </c>
      <c r="BZ150" s="125">
        <f>BZ39/293.07*(1/(VLOOKUP($BL150,'Fuel economy adjusted factor'!$A$2:$L$52,5,FALSE)*m2k))/'TCO Inputs'!$AZ$84</f>
        <v>89.773809709356627</v>
      </c>
      <c r="CA150" s="125">
        <f>CA39/293.07*(1/(VLOOKUP($BL150,'Fuel economy adjusted factor'!$A$2:$L$52,5,FALSE)*m2k))/'TCO Inputs'!$AZ$84</f>
        <v>89.773809709356627</v>
      </c>
      <c r="CB150" s="125">
        <f>CB39/293.07*(1/(VLOOKUP($BL150,'Fuel economy adjusted factor'!$A$2:$L$52,5,FALSE)*m2k))/'TCO Inputs'!$AZ$84</f>
        <v>89.773809709356627</v>
      </c>
      <c r="CC150" s="125">
        <f>CC39/293.07*(1/(VLOOKUP($BL150,'Fuel economy adjusted factor'!$A$2:$L$52,5,FALSE)*m2k))/'TCO Inputs'!$AZ$84</f>
        <v>89.773809709356627</v>
      </c>
      <c r="CD150" s="125">
        <f>CD39/293.07*(1/(VLOOKUP($BL150,'Fuel economy adjusted factor'!$A$2:$L$52,5,FALSE)*m2k))/'TCO Inputs'!$AZ$84</f>
        <v>89.773809709356627</v>
      </c>
      <c r="CE150" s="125">
        <f>CE39/293.07*(1/(VLOOKUP($BL150,'Fuel economy adjusted factor'!$A$2:$L$52,5,FALSE)*m2k))/'TCO Inputs'!$AZ$84</f>
        <v>89.773809709356627</v>
      </c>
      <c r="CF150" s="125">
        <f>CF39/293.07*(1/(VLOOKUP($BL150,'Fuel economy adjusted factor'!$A$2:$L$52,5,FALSE)*m2k))/'TCO Inputs'!$AZ$84</f>
        <v>89.773809709356627</v>
      </c>
      <c r="CG150" s="125">
        <f>CG39/293.07*(1/(VLOOKUP($BL150,'Fuel economy adjusted factor'!$A$2:$L$52,5,FALSE)*m2k))/'TCO Inputs'!$AZ$84</f>
        <v>89.773809709356627</v>
      </c>
      <c r="CH150" s="125">
        <f>CH39/293.07*(1/(VLOOKUP($BL150,'Fuel economy adjusted factor'!$A$2:$L$52,5,FALSE)*m2k))/'TCO Inputs'!$AZ$84</f>
        <v>89.773809709356627</v>
      </c>
      <c r="CI150" s="125">
        <f>CI39/293.07*(1/(VLOOKUP($BL150,'Fuel economy adjusted factor'!$A$2:$L$52,5,FALSE)*m2k))/'TCO Inputs'!$AZ$84</f>
        <v>89.773809709356627</v>
      </c>
      <c r="CJ150" s="125">
        <f>CJ39/293.07*(1/(VLOOKUP($BL150,'Fuel economy adjusted factor'!$A$2:$L$52,5,FALSE)*m2k))/'TCO Inputs'!$AZ$84</f>
        <v>89.773809709356627</v>
      </c>
      <c r="CK150" s="125">
        <f>CK39/293.07*(1/(VLOOKUP($BL150,'Fuel economy adjusted factor'!$A$2:$L$52,5,FALSE)*m2k))/'TCO Inputs'!$AZ$84</f>
        <v>89.773809709356627</v>
      </c>
      <c r="CL150" s="125">
        <f>CL39/293.07*(1/(VLOOKUP($BL150,'Fuel economy adjusted factor'!$A$2:$L$52,5,FALSE)*m2k))/'TCO Inputs'!$AZ$84</f>
        <v>89.773809709356627</v>
      </c>
      <c r="CM150" s="125">
        <f>CM39/293.07*(1/(VLOOKUP($BL150,'Fuel economy adjusted factor'!$A$2:$L$52,5,FALSE)*m2k))/'TCO Inputs'!$AZ$84</f>
        <v>89.773809709356627</v>
      </c>
      <c r="CN150" s="125">
        <f>CN39/293.07*(1/(VLOOKUP($BL150,'Fuel economy adjusted factor'!$A$2:$L$52,5,FALSE)*m2k))/'TCO Inputs'!$AZ$84</f>
        <v>89.773809709356627</v>
      </c>
      <c r="CO150" s="98" cm="1">
        <f t="array" ref="CO150">SUMPRODUCT(INDEX(BM150:CN150,,'TCO Inputs'!$AZ$12-2023+_xlfn.SEQUENCE('TCO Inputs'!$AZ$13))*INDEX('VKT US'!C98:AA98,,_xlfn.SEQUENCE('TCO Inputs'!$AZ$13)))*m2k*CONVERT(0.9072,"g","ton")</f>
        <v>33.589758540619279</v>
      </c>
    </row>
    <row r="151" spans="1:93" x14ac:dyDescent="0.25">
      <c r="A151" s="123" t="s">
        <v>219</v>
      </c>
      <c r="B151" s="125">
        <f>B40/293.07*(1/(VLOOKUP($A151,'Fuel economy adjusted factor'!$A$2:$L$52,5,FALSE)*m2k))/'TCO Inputs'!$AZ$84</f>
        <v>68.764914931974445</v>
      </c>
      <c r="C151" s="125">
        <f>C40/293.07*(1/(VLOOKUP($A151,'Fuel economy adjusted factor'!$A$2:$L$52,5,FALSE)*m2k))/'TCO Inputs'!$AZ$84</f>
        <v>68.764914931974445</v>
      </c>
      <c r="D151" s="125">
        <f>D40/293.07*(1/(VLOOKUP($A151,'Fuel economy adjusted factor'!$A$2:$L$52,5,FALSE)*m2k))/'TCO Inputs'!$AZ$84</f>
        <v>68.764914931974445</v>
      </c>
      <c r="E151" s="125">
        <f>E40/293.07*(1/(VLOOKUP($A151,'Fuel economy adjusted factor'!$A$2:$L$52,5,FALSE)*m2k))/'TCO Inputs'!$AZ$84</f>
        <v>68.764914931974445</v>
      </c>
      <c r="F151" s="125">
        <f>F40/293.07*(1/(VLOOKUP($A151,'Fuel economy adjusted factor'!$A$2:$L$52,5,FALSE)*m2k))/'TCO Inputs'!$AZ$84</f>
        <v>68.764914931974445</v>
      </c>
      <c r="G151" s="125">
        <f>G40/293.07*(1/(VLOOKUP($A151,'Fuel economy adjusted factor'!$A$2:$L$52,5,FALSE)*m2k))/'TCO Inputs'!$AZ$84</f>
        <v>68.764914931974445</v>
      </c>
      <c r="H151" s="125">
        <f>H40/293.07*(1/(VLOOKUP($A151,'Fuel economy adjusted factor'!$A$2:$L$52,5,FALSE)*m2k))/'TCO Inputs'!$AZ$84</f>
        <v>68.764914931974445</v>
      </c>
      <c r="I151" s="125">
        <f>I40/293.07*(1/(VLOOKUP($A151,'Fuel economy adjusted factor'!$A$2:$L$52,5,FALSE)*m2k))/'TCO Inputs'!$AZ$84</f>
        <v>68.764914931974445</v>
      </c>
      <c r="J151" s="125">
        <f>J40/293.07*(1/(VLOOKUP($A151,'Fuel economy adjusted factor'!$A$2:$L$52,5,FALSE)*m2k))/'TCO Inputs'!$AZ$84</f>
        <v>68.764914931974445</v>
      </c>
      <c r="K151" s="125">
        <f>K40/293.07*(1/(VLOOKUP($A151,'Fuel economy adjusted factor'!$A$2:$L$52,5,FALSE)*m2k))/'TCO Inputs'!$AZ$84</f>
        <v>68.764914931974445</v>
      </c>
      <c r="L151" s="125">
        <f>L40/293.07*(1/(VLOOKUP($A151,'Fuel economy adjusted factor'!$A$2:$L$52,5,FALSE)*m2k))/'TCO Inputs'!$AZ$84</f>
        <v>68.764914931974445</v>
      </c>
      <c r="M151" s="125">
        <f>M40/293.07*(1/(VLOOKUP($A151,'Fuel economy adjusted factor'!$A$2:$L$52,5,FALSE)*m2k))/'TCO Inputs'!$AZ$84</f>
        <v>68.764914931974445</v>
      </c>
      <c r="N151" s="125">
        <f>N40/293.07*(1/(VLOOKUP($A151,'Fuel economy adjusted factor'!$A$2:$L$52,5,FALSE)*m2k))/'TCO Inputs'!$AZ$84</f>
        <v>68.764914931974445</v>
      </c>
      <c r="O151" s="125">
        <f>O40/293.07*(1/(VLOOKUP($A151,'Fuel economy adjusted factor'!$A$2:$L$52,5,FALSE)*m2k))/'TCO Inputs'!$AZ$84</f>
        <v>68.764914931974445</v>
      </c>
      <c r="P151" s="125">
        <f>P40/293.07*(1/(VLOOKUP($A151,'Fuel economy adjusted factor'!$A$2:$L$52,5,FALSE)*m2k))/'TCO Inputs'!$AZ$84</f>
        <v>68.764914931974445</v>
      </c>
      <c r="Q151" s="125">
        <f>Q40/293.07*(1/(VLOOKUP($A151,'Fuel economy adjusted factor'!$A$2:$L$52,5,FALSE)*m2k))/'TCO Inputs'!$AZ$84</f>
        <v>68.764914931974445</v>
      </c>
      <c r="R151" s="125">
        <f>R40/293.07*(1/(VLOOKUP($A151,'Fuel economy adjusted factor'!$A$2:$L$52,5,FALSE)*m2k))/'TCO Inputs'!$AZ$84</f>
        <v>68.764914931974445</v>
      </c>
      <c r="S151" s="125">
        <f>S40/293.07*(1/(VLOOKUP($A151,'Fuel economy adjusted factor'!$A$2:$L$52,5,FALSE)*m2k))/'TCO Inputs'!$AZ$84</f>
        <v>68.764914931974445</v>
      </c>
      <c r="T151" s="125">
        <f>T40/293.07*(1/(VLOOKUP($A151,'Fuel economy adjusted factor'!$A$2:$L$52,5,FALSE)*m2k))/'TCO Inputs'!$AZ$84</f>
        <v>68.764914931974445</v>
      </c>
      <c r="U151" s="125">
        <f>U40/293.07*(1/(VLOOKUP($A151,'Fuel economy adjusted factor'!$A$2:$L$52,5,FALSE)*m2k))/'TCO Inputs'!$AZ$84</f>
        <v>68.764914931974445</v>
      </c>
      <c r="V151" s="125">
        <f>V40/293.07*(1/(VLOOKUP($A151,'Fuel economy adjusted factor'!$A$2:$L$52,5,FALSE)*m2k))/'TCO Inputs'!$AZ$84</f>
        <v>68.764914931974445</v>
      </c>
      <c r="W151" s="125">
        <f>W40/293.07*(1/(VLOOKUP($A151,'Fuel economy adjusted factor'!$A$2:$L$52,5,FALSE)*m2k))/'TCO Inputs'!$AZ$84</f>
        <v>68.764914931974445</v>
      </c>
      <c r="X151" s="125">
        <f>X40/293.07*(1/(VLOOKUP($A151,'Fuel economy adjusted factor'!$A$2:$L$52,5,FALSE)*m2k))/'TCO Inputs'!$AZ$84</f>
        <v>68.764914931974445</v>
      </c>
      <c r="Y151" s="125">
        <f>Y40/293.07*(1/(VLOOKUP($A151,'Fuel economy adjusted factor'!$A$2:$L$52,5,FALSE)*m2k))/'TCO Inputs'!$AZ$84</f>
        <v>68.764914931974445</v>
      </c>
      <c r="Z151" s="125">
        <f>Z40/293.07*(1/(VLOOKUP($A151,'Fuel economy adjusted factor'!$A$2:$L$52,5,FALSE)*m2k))/'TCO Inputs'!$AZ$84</f>
        <v>68.764914931974445</v>
      </c>
      <c r="AA151" s="125">
        <f>AA40/293.07*(1/(VLOOKUP($A151,'Fuel economy adjusted factor'!$A$2:$L$52,5,FALSE)*m2k))/'TCO Inputs'!$AZ$84</f>
        <v>68.764914931974445</v>
      </c>
      <c r="AB151" s="125">
        <f>AB40/293.07*(1/(VLOOKUP($A151,'Fuel economy adjusted factor'!$A$2:$L$52,5,FALSE)*m2k))/'TCO Inputs'!$AZ$84</f>
        <v>68.764914931974445</v>
      </c>
      <c r="AC151" s="125">
        <f>AC40/293.07*(1/(VLOOKUP($A151,'Fuel economy adjusted factor'!$A$2:$L$52,5,FALSE)*m2k))/'TCO Inputs'!$AZ$84</f>
        <v>68.764914931974445</v>
      </c>
      <c r="AD151" s="98" cm="1">
        <f t="array" ref="AD151">SUMPRODUCT(INDEX(B151:AC151,,'TCO Inputs'!$AZ$12-2023+_xlfn.SEQUENCE('TCO Inputs'!$AZ$13))*INDEX('VKT US'!C99:AA99,,_xlfn.SEQUENCE('TCO Inputs'!$AZ$13)))*m2k*CONVERT(0.9072,"g","ton")</f>
        <v>17.761331820463219</v>
      </c>
      <c r="AF151" s="123" t="s">
        <v>219</v>
      </c>
      <c r="AG151" s="125">
        <f>AG40/293.07*(1/(VLOOKUP($AF151,'Fuel economy adjusted factor'!$A$2:$L$52,5,FALSE)*m2k))/'TCO Inputs'!$AZ$84</f>
        <v>80.599894564586478</v>
      </c>
      <c r="AH151" s="125">
        <f>AH40/293.07*(1/(VLOOKUP($AF151,'Fuel economy adjusted factor'!$A$2:$L$52,5,FALSE)*m2k))/'TCO Inputs'!$AZ$84</f>
        <v>80.599894564586478</v>
      </c>
      <c r="AI151" s="125">
        <f>AI40/293.07*(1/(VLOOKUP($AF151,'Fuel economy adjusted factor'!$A$2:$L$52,5,FALSE)*m2k))/'TCO Inputs'!$AZ$84</f>
        <v>80.599894564586478</v>
      </c>
      <c r="AJ151" s="125">
        <f>AJ40/293.07*(1/(VLOOKUP($AF151,'Fuel economy adjusted factor'!$A$2:$L$52,5,FALSE)*m2k))/'TCO Inputs'!$AZ$84</f>
        <v>80.599894564586478</v>
      </c>
      <c r="AK151" s="125">
        <f>AK40/293.07*(1/(VLOOKUP($AF151,'Fuel economy adjusted factor'!$A$2:$L$52,5,FALSE)*m2k))/'TCO Inputs'!$AZ$84</f>
        <v>80.599894564586478</v>
      </c>
      <c r="AL151" s="125">
        <f>AL40/293.07*(1/(VLOOKUP($AF151,'Fuel economy adjusted factor'!$A$2:$L$52,5,FALSE)*m2k))/'TCO Inputs'!$AZ$84</f>
        <v>80.599894564586478</v>
      </c>
      <c r="AM151" s="125">
        <f>AM40/293.07*(1/(VLOOKUP($AF151,'Fuel economy adjusted factor'!$A$2:$L$52,5,FALSE)*m2k))/'TCO Inputs'!$AZ$84</f>
        <v>80.599894564586478</v>
      </c>
      <c r="AN151" s="125">
        <f>AN40/293.07*(1/(VLOOKUP($AF151,'Fuel economy adjusted factor'!$A$2:$L$52,5,FALSE)*m2k))/'TCO Inputs'!$AZ$84</f>
        <v>80.599894564586478</v>
      </c>
      <c r="AO151" s="125">
        <f>AO40/293.07*(1/(VLOOKUP($AF151,'Fuel economy adjusted factor'!$A$2:$L$52,5,FALSE)*m2k))/'TCO Inputs'!$AZ$84</f>
        <v>80.599894564586478</v>
      </c>
      <c r="AP151" s="125">
        <f>AP40/293.07*(1/(VLOOKUP($AF151,'Fuel economy adjusted factor'!$A$2:$L$52,5,FALSE)*m2k))/'TCO Inputs'!$AZ$84</f>
        <v>80.599894564586478</v>
      </c>
      <c r="AQ151" s="125">
        <f>AQ40/293.07*(1/(VLOOKUP($AF151,'Fuel economy adjusted factor'!$A$2:$L$52,5,FALSE)*m2k))/'TCO Inputs'!$AZ$84</f>
        <v>80.599894564586478</v>
      </c>
      <c r="AR151" s="125">
        <f>AR40/293.07*(1/(VLOOKUP($AF151,'Fuel economy adjusted factor'!$A$2:$L$52,5,FALSE)*m2k))/'TCO Inputs'!$AZ$84</f>
        <v>80.599894564586478</v>
      </c>
      <c r="AS151" s="125">
        <f>AS40/293.07*(1/(VLOOKUP($AF151,'Fuel economy adjusted factor'!$A$2:$L$52,5,FALSE)*m2k))/'TCO Inputs'!$AZ$84</f>
        <v>80.599894564586478</v>
      </c>
      <c r="AT151" s="125">
        <f>AT40/293.07*(1/(VLOOKUP($AF151,'Fuel economy adjusted factor'!$A$2:$L$52,5,FALSE)*m2k))/'TCO Inputs'!$AZ$84</f>
        <v>80.599894564586478</v>
      </c>
      <c r="AU151" s="125">
        <f>AU40/293.07*(1/(VLOOKUP($AF151,'Fuel economy adjusted factor'!$A$2:$L$52,5,FALSE)*m2k))/'TCO Inputs'!$AZ$84</f>
        <v>80.599894564586478</v>
      </c>
      <c r="AV151" s="125">
        <f>AV40/293.07*(1/(VLOOKUP($AF151,'Fuel economy adjusted factor'!$A$2:$L$52,5,FALSE)*m2k))/'TCO Inputs'!$AZ$84</f>
        <v>80.599894564586478</v>
      </c>
      <c r="AW151" s="125">
        <f>AW40/293.07*(1/(VLOOKUP($AF151,'Fuel economy adjusted factor'!$A$2:$L$52,5,FALSE)*m2k))/'TCO Inputs'!$AZ$84</f>
        <v>80.599894564586478</v>
      </c>
      <c r="AX151" s="125">
        <f>AX40/293.07*(1/(VLOOKUP($AF151,'Fuel economy adjusted factor'!$A$2:$L$52,5,FALSE)*m2k))/'TCO Inputs'!$AZ$84</f>
        <v>80.599894564586478</v>
      </c>
      <c r="AY151" s="125">
        <f>AY40/293.07*(1/(VLOOKUP($AF151,'Fuel economy adjusted factor'!$A$2:$L$52,5,FALSE)*m2k))/'TCO Inputs'!$AZ$84</f>
        <v>80.599894564586478</v>
      </c>
      <c r="AZ151" s="125">
        <f>AZ40/293.07*(1/(VLOOKUP($AF151,'Fuel economy adjusted factor'!$A$2:$L$52,5,FALSE)*m2k))/'TCO Inputs'!$AZ$84</f>
        <v>80.599894564586478</v>
      </c>
      <c r="BA151" s="125">
        <f>BA40/293.07*(1/(VLOOKUP($AF151,'Fuel economy adjusted factor'!$A$2:$L$52,5,FALSE)*m2k))/'TCO Inputs'!$AZ$84</f>
        <v>80.599894564586478</v>
      </c>
      <c r="BB151" s="125">
        <f>BB40/293.07*(1/(VLOOKUP($AF151,'Fuel economy adjusted factor'!$A$2:$L$52,5,FALSE)*m2k))/'TCO Inputs'!$AZ$84</f>
        <v>80.599894564586478</v>
      </c>
      <c r="BC151" s="125">
        <f>BC40/293.07*(1/(VLOOKUP($AF151,'Fuel economy adjusted factor'!$A$2:$L$52,5,FALSE)*m2k))/'TCO Inputs'!$AZ$84</f>
        <v>80.599894564586478</v>
      </c>
      <c r="BD151" s="125">
        <f>BD40/293.07*(1/(VLOOKUP($AF151,'Fuel economy adjusted factor'!$A$2:$L$52,5,FALSE)*m2k))/'TCO Inputs'!$AZ$84</f>
        <v>80.599894564586478</v>
      </c>
      <c r="BE151" s="125">
        <f>BE40/293.07*(1/(VLOOKUP($AF151,'Fuel economy adjusted factor'!$A$2:$L$52,5,FALSE)*m2k))/'TCO Inputs'!$AZ$84</f>
        <v>80.599894564586478</v>
      </c>
      <c r="BF151" s="125">
        <f>BF40/293.07*(1/(VLOOKUP($AF151,'Fuel economy adjusted factor'!$A$2:$L$52,5,FALSE)*m2k))/'TCO Inputs'!$AZ$84</f>
        <v>80.599894564586478</v>
      </c>
      <c r="BG151" s="125">
        <f>BG40/293.07*(1/(VLOOKUP($AF151,'Fuel economy adjusted factor'!$A$2:$L$52,5,FALSE)*m2k))/'TCO Inputs'!$AZ$84</f>
        <v>80.599894564586478</v>
      </c>
      <c r="BH151" s="125">
        <f>BH40/293.07*(1/(VLOOKUP($AF151,'Fuel economy adjusted factor'!$A$2:$L$52,5,FALSE)*m2k))/'TCO Inputs'!$AZ$84</f>
        <v>80.599894564586478</v>
      </c>
      <c r="BI151" s="98" cm="1">
        <f t="array" ref="BI151">SUMPRODUCT(INDEX(AG151:BH151,,'TCO Inputs'!$AZ$12-2023+_xlfn.SEQUENCE('TCO Inputs'!$AZ$13))*INDEX('VKT US'!C99:AA99,,_xlfn.SEQUENCE('TCO Inputs'!$AZ$13)))*m2k*CONVERT(0.9072,"g","ton")</f>
        <v>20.818195928434427</v>
      </c>
      <c r="BL151" s="123" t="s">
        <v>219</v>
      </c>
      <c r="BM151" s="125">
        <f>BM40/293.07*(1/(VLOOKUP($BL151,'Fuel economy adjusted factor'!$A$2:$L$52,5,FALSE)*m2k))/'TCO Inputs'!$AZ$84</f>
        <v>59.919108921029391</v>
      </c>
      <c r="BN151" s="125">
        <f>BN40/293.07*(1/(VLOOKUP($BL151,'Fuel economy adjusted factor'!$A$2:$L$52,5,FALSE)*m2k))/'TCO Inputs'!$AZ$84</f>
        <v>59.919108921029391</v>
      </c>
      <c r="BO151" s="125">
        <f>BO40/293.07*(1/(VLOOKUP($BL151,'Fuel economy adjusted factor'!$A$2:$L$52,5,FALSE)*m2k))/'TCO Inputs'!$AZ$84</f>
        <v>59.919108921029391</v>
      </c>
      <c r="BP151" s="125">
        <f>BP40/293.07*(1/(VLOOKUP($BL151,'Fuel economy adjusted factor'!$A$2:$L$52,5,FALSE)*m2k))/'TCO Inputs'!$AZ$84</f>
        <v>59.919108921029391</v>
      </c>
      <c r="BQ151" s="125">
        <f>BQ40/293.07*(1/(VLOOKUP($BL151,'Fuel economy adjusted factor'!$A$2:$L$52,5,FALSE)*m2k))/'TCO Inputs'!$AZ$84</f>
        <v>59.919108921029391</v>
      </c>
      <c r="BR151" s="125">
        <f>BR40/293.07*(1/(VLOOKUP($BL151,'Fuel economy adjusted factor'!$A$2:$L$52,5,FALSE)*m2k))/'TCO Inputs'!$AZ$84</f>
        <v>59.919108921029391</v>
      </c>
      <c r="BS151" s="125">
        <f>BS40/293.07*(1/(VLOOKUP($BL151,'Fuel economy adjusted factor'!$A$2:$L$52,5,FALSE)*m2k))/'TCO Inputs'!$AZ$84</f>
        <v>59.919108921029391</v>
      </c>
      <c r="BT151" s="125">
        <f>BT40/293.07*(1/(VLOOKUP($BL151,'Fuel economy adjusted factor'!$A$2:$L$52,5,FALSE)*m2k))/'TCO Inputs'!$AZ$84</f>
        <v>59.919108921029391</v>
      </c>
      <c r="BU151" s="125">
        <f>BU40/293.07*(1/(VLOOKUP($BL151,'Fuel economy adjusted factor'!$A$2:$L$52,5,FALSE)*m2k))/'TCO Inputs'!$AZ$84</f>
        <v>59.919108921029391</v>
      </c>
      <c r="BV151" s="125">
        <f>BV40/293.07*(1/(VLOOKUP($BL151,'Fuel economy adjusted factor'!$A$2:$L$52,5,FALSE)*m2k))/'TCO Inputs'!$AZ$84</f>
        <v>59.919108921029391</v>
      </c>
      <c r="BW151" s="125">
        <f>BW40/293.07*(1/(VLOOKUP($BL151,'Fuel economy adjusted factor'!$A$2:$L$52,5,FALSE)*m2k))/'TCO Inputs'!$AZ$84</f>
        <v>59.919108921029391</v>
      </c>
      <c r="BX151" s="125">
        <f>BX40/293.07*(1/(VLOOKUP($BL151,'Fuel economy adjusted factor'!$A$2:$L$52,5,FALSE)*m2k))/'TCO Inputs'!$AZ$84</f>
        <v>59.919108921029391</v>
      </c>
      <c r="BY151" s="125">
        <f>BY40/293.07*(1/(VLOOKUP($BL151,'Fuel economy adjusted factor'!$A$2:$L$52,5,FALSE)*m2k))/'TCO Inputs'!$AZ$84</f>
        <v>59.919108921029391</v>
      </c>
      <c r="BZ151" s="125">
        <f>BZ40/293.07*(1/(VLOOKUP($BL151,'Fuel economy adjusted factor'!$A$2:$L$52,5,FALSE)*m2k))/'TCO Inputs'!$AZ$84</f>
        <v>59.919108921029391</v>
      </c>
      <c r="CA151" s="125">
        <f>CA40/293.07*(1/(VLOOKUP($BL151,'Fuel economy adjusted factor'!$A$2:$L$52,5,FALSE)*m2k))/'TCO Inputs'!$AZ$84</f>
        <v>59.919108921029391</v>
      </c>
      <c r="CB151" s="125">
        <f>CB40/293.07*(1/(VLOOKUP($BL151,'Fuel economy adjusted factor'!$A$2:$L$52,5,FALSE)*m2k))/'TCO Inputs'!$AZ$84</f>
        <v>59.919108921029391</v>
      </c>
      <c r="CC151" s="125">
        <f>CC40/293.07*(1/(VLOOKUP($BL151,'Fuel economy adjusted factor'!$A$2:$L$52,5,FALSE)*m2k))/'TCO Inputs'!$AZ$84</f>
        <v>59.919108921029391</v>
      </c>
      <c r="CD151" s="125">
        <f>CD40/293.07*(1/(VLOOKUP($BL151,'Fuel economy adjusted factor'!$A$2:$L$52,5,FALSE)*m2k))/'TCO Inputs'!$AZ$84</f>
        <v>59.919108921029391</v>
      </c>
      <c r="CE151" s="125">
        <f>CE40/293.07*(1/(VLOOKUP($BL151,'Fuel economy adjusted factor'!$A$2:$L$52,5,FALSE)*m2k))/'TCO Inputs'!$AZ$84</f>
        <v>59.919108921029391</v>
      </c>
      <c r="CF151" s="125">
        <f>CF40/293.07*(1/(VLOOKUP($BL151,'Fuel economy adjusted factor'!$A$2:$L$52,5,FALSE)*m2k))/'TCO Inputs'!$AZ$84</f>
        <v>59.919108921029391</v>
      </c>
      <c r="CG151" s="125">
        <f>CG40/293.07*(1/(VLOOKUP($BL151,'Fuel economy adjusted factor'!$A$2:$L$52,5,FALSE)*m2k))/'TCO Inputs'!$AZ$84</f>
        <v>59.919108921029391</v>
      </c>
      <c r="CH151" s="125">
        <f>CH40/293.07*(1/(VLOOKUP($BL151,'Fuel economy adjusted factor'!$A$2:$L$52,5,FALSE)*m2k))/'TCO Inputs'!$AZ$84</f>
        <v>59.919108921029391</v>
      </c>
      <c r="CI151" s="125">
        <f>CI40/293.07*(1/(VLOOKUP($BL151,'Fuel economy adjusted factor'!$A$2:$L$52,5,FALSE)*m2k))/'TCO Inputs'!$AZ$84</f>
        <v>59.919108921029391</v>
      </c>
      <c r="CJ151" s="125">
        <f>CJ40/293.07*(1/(VLOOKUP($BL151,'Fuel economy adjusted factor'!$A$2:$L$52,5,FALSE)*m2k))/'TCO Inputs'!$AZ$84</f>
        <v>59.919108921029391</v>
      </c>
      <c r="CK151" s="125">
        <f>CK40/293.07*(1/(VLOOKUP($BL151,'Fuel economy adjusted factor'!$A$2:$L$52,5,FALSE)*m2k))/'TCO Inputs'!$AZ$84</f>
        <v>59.919108921029391</v>
      </c>
      <c r="CL151" s="125">
        <f>CL40/293.07*(1/(VLOOKUP($BL151,'Fuel economy adjusted factor'!$A$2:$L$52,5,FALSE)*m2k))/'TCO Inputs'!$AZ$84</f>
        <v>59.919108921029391</v>
      </c>
      <c r="CM151" s="125">
        <f>CM40/293.07*(1/(VLOOKUP($BL151,'Fuel economy adjusted factor'!$A$2:$L$52,5,FALSE)*m2k))/'TCO Inputs'!$AZ$84</f>
        <v>59.919108921029391</v>
      </c>
      <c r="CN151" s="125">
        <f>CN40/293.07*(1/(VLOOKUP($BL151,'Fuel economy adjusted factor'!$A$2:$L$52,5,FALSE)*m2k))/'TCO Inputs'!$AZ$84</f>
        <v>59.919108921029391</v>
      </c>
      <c r="CO151" s="98" cm="1">
        <f t="array" ref="CO151">SUMPRODUCT(INDEX(BM151:CN151,,'TCO Inputs'!$AZ$12-2023+_xlfn.SEQUENCE('TCO Inputs'!$AZ$13))*INDEX('VKT US'!C99:AA99,,_xlfn.SEQUENCE('TCO Inputs'!$AZ$13)))*m2k*CONVERT(0.9072,"g","ton")</f>
        <v>15.476543190458115</v>
      </c>
    </row>
    <row r="152" spans="1:93" x14ac:dyDescent="0.25">
      <c r="A152" s="123" t="s">
        <v>220</v>
      </c>
      <c r="B152" s="125">
        <f>B41/293.07*(1/(VLOOKUP($A152,'Fuel economy adjusted factor'!$A$2:$L$52,5,FALSE)*m2k))/'TCO Inputs'!$AZ$84</f>
        <v>119.38193221744318</v>
      </c>
      <c r="C152" s="125">
        <f>C41/293.07*(1/(VLOOKUP($A152,'Fuel economy adjusted factor'!$A$2:$L$52,5,FALSE)*m2k))/'TCO Inputs'!$AZ$84</f>
        <v>119.38193221744318</v>
      </c>
      <c r="D152" s="125">
        <f>D41/293.07*(1/(VLOOKUP($A152,'Fuel economy adjusted factor'!$A$2:$L$52,5,FALSE)*m2k))/'TCO Inputs'!$AZ$84</f>
        <v>119.38193221744318</v>
      </c>
      <c r="E152" s="125">
        <f>E41/293.07*(1/(VLOOKUP($A152,'Fuel economy adjusted factor'!$A$2:$L$52,5,FALSE)*m2k))/'TCO Inputs'!$AZ$84</f>
        <v>119.38193221744318</v>
      </c>
      <c r="F152" s="125">
        <f>F41/293.07*(1/(VLOOKUP($A152,'Fuel economy adjusted factor'!$A$2:$L$52,5,FALSE)*m2k))/'TCO Inputs'!$AZ$84</f>
        <v>119.38193221744318</v>
      </c>
      <c r="G152" s="125">
        <f>G41/293.07*(1/(VLOOKUP($A152,'Fuel economy adjusted factor'!$A$2:$L$52,5,FALSE)*m2k))/'TCO Inputs'!$AZ$84</f>
        <v>119.38193221744318</v>
      </c>
      <c r="H152" s="125">
        <f>H41/293.07*(1/(VLOOKUP($A152,'Fuel economy adjusted factor'!$A$2:$L$52,5,FALSE)*m2k))/'TCO Inputs'!$AZ$84</f>
        <v>119.38193221744318</v>
      </c>
      <c r="I152" s="125">
        <f>I41/293.07*(1/(VLOOKUP($A152,'Fuel economy adjusted factor'!$A$2:$L$52,5,FALSE)*m2k))/'TCO Inputs'!$AZ$84</f>
        <v>119.38193221744318</v>
      </c>
      <c r="J152" s="125">
        <f>J41/293.07*(1/(VLOOKUP($A152,'Fuel economy adjusted factor'!$A$2:$L$52,5,FALSE)*m2k))/'TCO Inputs'!$AZ$84</f>
        <v>119.38193221744318</v>
      </c>
      <c r="K152" s="125">
        <f>K41/293.07*(1/(VLOOKUP($A152,'Fuel economy adjusted factor'!$A$2:$L$52,5,FALSE)*m2k))/'TCO Inputs'!$AZ$84</f>
        <v>119.38193221744318</v>
      </c>
      <c r="L152" s="125">
        <f>L41/293.07*(1/(VLOOKUP($A152,'Fuel economy adjusted factor'!$A$2:$L$52,5,FALSE)*m2k))/'TCO Inputs'!$AZ$84</f>
        <v>119.38193221744318</v>
      </c>
      <c r="M152" s="125">
        <f>M41/293.07*(1/(VLOOKUP($A152,'Fuel economy adjusted factor'!$A$2:$L$52,5,FALSE)*m2k))/'TCO Inputs'!$AZ$84</f>
        <v>119.38193221744318</v>
      </c>
      <c r="N152" s="125">
        <f>N41/293.07*(1/(VLOOKUP($A152,'Fuel economy adjusted factor'!$A$2:$L$52,5,FALSE)*m2k))/'TCO Inputs'!$AZ$84</f>
        <v>119.38193221744318</v>
      </c>
      <c r="O152" s="125">
        <f>O41/293.07*(1/(VLOOKUP($A152,'Fuel economy adjusted factor'!$A$2:$L$52,5,FALSE)*m2k))/'TCO Inputs'!$AZ$84</f>
        <v>119.38193221744318</v>
      </c>
      <c r="P152" s="125">
        <f>P41/293.07*(1/(VLOOKUP($A152,'Fuel economy adjusted factor'!$A$2:$L$52,5,FALSE)*m2k))/'TCO Inputs'!$AZ$84</f>
        <v>119.38193221744318</v>
      </c>
      <c r="Q152" s="125">
        <f>Q41/293.07*(1/(VLOOKUP($A152,'Fuel economy adjusted factor'!$A$2:$L$52,5,FALSE)*m2k))/'TCO Inputs'!$AZ$84</f>
        <v>119.38193221744318</v>
      </c>
      <c r="R152" s="125">
        <f>R41/293.07*(1/(VLOOKUP($A152,'Fuel economy adjusted factor'!$A$2:$L$52,5,FALSE)*m2k))/'TCO Inputs'!$AZ$84</f>
        <v>119.38193221744318</v>
      </c>
      <c r="S152" s="125">
        <f>S41/293.07*(1/(VLOOKUP($A152,'Fuel economy adjusted factor'!$A$2:$L$52,5,FALSE)*m2k))/'TCO Inputs'!$AZ$84</f>
        <v>119.38193221744318</v>
      </c>
      <c r="T152" s="125">
        <f>T41/293.07*(1/(VLOOKUP($A152,'Fuel economy adjusted factor'!$A$2:$L$52,5,FALSE)*m2k))/'TCO Inputs'!$AZ$84</f>
        <v>119.38193221744318</v>
      </c>
      <c r="U152" s="125">
        <f>U41/293.07*(1/(VLOOKUP($A152,'Fuel economy adjusted factor'!$A$2:$L$52,5,FALSE)*m2k))/'TCO Inputs'!$AZ$84</f>
        <v>119.38193221744318</v>
      </c>
      <c r="V152" s="125">
        <f>V41/293.07*(1/(VLOOKUP($A152,'Fuel economy adjusted factor'!$A$2:$L$52,5,FALSE)*m2k))/'TCO Inputs'!$AZ$84</f>
        <v>119.38193221744318</v>
      </c>
      <c r="W152" s="125">
        <f>W41/293.07*(1/(VLOOKUP($A152,'Fuel economy adjusted factor'!$A$2:$L$52,5,FALSE)*m2k))/'TCO Inputs'!$AZ$84</f>
        <v>119.38193221744318</v>
      </c>
      <c r="X152" s="125">
        <f>X41/293.07*(1/(VLOOKUP($A152,'Fuel economy adjusted factor'!$A$2:$L$52,5,FALSE)*m2k))/'TCO Inputs'!$AZ$84</f>
        <v>119.38193221744318</v>
      </c>
      <c r="Y152" s="125">
        <f>Y41/293.07*(1/(VLOOKUP($A152,'Fuel economy adjusted factor'!$A$2:$L$52,5,FALSE)*m2k))/'TCO Inputs'!$AZ$84</f>
        <v>119.38193221744318</v>
      </c>
      <c r="Z152" s="125">
        <f>Z41/293.07*(1/(VLOOKUP($A152,'Fuel economy adjusted factor'!$A$2:$L$52,5,FALSE)*m2k))/'TCO Inputs'!$AZ$84</f>
        <v>119.38193221744318</v>
      </c>
      <c r="AA152" s="125">
        <f>AA41/293.07*(1/(VLOOKUP($A152,'Fuel economy adjusted factor'!$A$2:$L$52,5,FALSE)*m2k))/'TCO Inputs'!$AZ$84</f>
        <v>119.38193221744318</v>
      </c>
      <c r="AB152" s="125">
        <f>AB41/293.07*(1/(VLOOKUP($A152,'Fuel economy adjusted factor'!$A$2:$L$52,5,FALSE)*m2k))/'TCO Inputs'!$AZ$84</f>
        <v>119.38193221744318</v>
      </c>
      <c r="AC152" s="125">
        <f>AC41/293.07*(1/(VLOOKUP($A152,'Fuel economy adjusted factor'!$A$2:$L$52,5,FALSE)*m2k))/'TCO Inputs'!$AZ$84</f>
        <v>119.38193221744318</v>
      </c>
      <c r="AD152" s="98" cm="1">
        <f t="array" ref="AD152">SUMPRODUCT(INDEX(B152:AC152,,'TCO Inputs'!$AZ$12-2023+_xlfn.SEQUENCE('TCO Inputs'!$AZ$13))*INDEX('VKT US'!C100:AA100,,_xlfn.SEQUENCE('TCO Inputs'!$AZ$13)))*m2k*CONVERT(0.9072,"g","ton")</f>
        <v>28.884369884950466</v>
      </c>
      <c r="AF152" s="123" t="s">
        <v>220</v>
      </c>
      <c r="AG152" s="125">
        <f>AG41/293.07*(1/(VLOOKUP($AF152,'Fuel economy adjusted factor'!$A$2:$L$52,5,FALSE)*m2k))/'TCO Inputs'!$AZ$84</f>
        <v>139.92849637291405</v>
      </c>
      <c r="AH152" s="125">
        <f>AH41/293.07*(1/(VLOOKUP($AF152,'Fuel economy adjusted factor'!$A$2:$L$52,5,FALSE)*m2k))/'TCO Inputs'!$AZ$84</f>
        <v>139.92849637291405</v>
      </c>
      <c r="AI152" s="125">
        <f>AI41/293.07*(1/(VLOOKUP($AF152,'Fuel economy adjusted factor'!$A$2:$L$52,5,FALSE)*m2k))/'TCO Inputs'!$AZ$84</f>
        <v>139.92849637291405</v>
      </c>
      <c r="AJ152" s="125">
        <f>AJ41/293.07*(1/(VLOOKUP($AF152,'Fuel economy adjusted factor'!$A$2:$L$52,5,FALSE)*m2k))/'TCO Inputs'!$AZ$84</f>
        <v>139.92849637291405</v>
      </c>
      <c r="AK152" s="125">
        <f>AK41/293.07*(1/(VLOOKUP($AF152,'Fuel economy adjusted factor'!$A$2:$L$52,5,FALSE)*m2k))/'TCO Inputs'!$AZ$84</f>
        <v>139.92849637291405</v>
      </c>
      <c r="AL152" s="125">
        <f>AL41/293.07*(1/(VLOOKUP($AF152,'Fuel economy adjusted factor'!$A$2:$L$52,5,FALSE)*m2k))/'TCO Inputs'!$AZ$84</f>
        <v>139.92849637291405</v>
      </c>
      <c r="AM152" s="125">
        <f>AM41/293.07*(1/(VLOOKUP($AF152,'Fuel economy adjusted factor'!$A$2:$L$52,5,FALSE)*m2k))/'TCO Inputs'!$AZ$84</f>
        <v>139.92849637291405</v>
      </c>
      <c r="AN152" s="125">
        <f>AN41/293.07*(1/(VLOOKUP($AF152,'Fuel economy adjusted factor'!$A$2:$L$52,5,FALSE)*m2k))/'TCO Inputs'!$AZ$84</f>
        <v>139.92849637291405</v>
      </c>
      <c r="AO152" s="125">
        <f>AO41/293.07*(1/(VLOOKUP($AF152,'Fuel economy adjusted factor'!$A$2:$L$52,5,FALSE)*m2k))/'TCO Inputs'!$AZ$84</f>
        <v>139.92849637291405</v>
      </c>
      <c r="AP152" s="125">
        <f>AP41/293.07*(1/(VLOOKUP($AF152,'Fuel economy adjusted factor'!$A$2:$L$52,5,FALSE)*m2k))/'TCO Inputs'!$AZ$84</f>
        <v>139.92849637291405</v>
      </c>
      <c r="AQ152" s="125">
        <f>AQ41/293.07*(1/(VLOOKUP($AF152,'Fuel economy adjusted factor'!$A$2:$L$52,5,FALSE)*m2k))/'TCO Inputs'!$AZ$84</f>
        <v>139.92849637291405</v>
      </c>
      <c r="AR152" s="125">
        <f>AR41/293.07*(1/(VLOOKUP($AF152,'Fuel economy adjusted factor'!$A$2:$L$52,5,FALSE)*m2k))/'TCO Inputs'!$AZ$84</f>
        <v>139.92849637291405</v>
      </c>
      <c r="AS152" s="125">
        <f>AS41/293.07*(1/(VLOOKUP($AF152,'Fuel economy adjusted factor'!$A$2:$L$52,5,FALSE)*m2k))/'TCO Inputs'!$AZ$84</f>
        <v>139.92849637291405</v>
      </c>
      <c r="AT152" s="125">
        <f>AT41/293.07*(1/(VLOOKUP($AF152,'Fuel economy adjusted factor'!$A$2:$L$52,5,FALSE)*m2k))/'TCO Inputs'!$AZ$84</f>
        <v>139.92849637291405</v>
      </c>
      <c r="AU152" s="125">
        <f>AU41/293.07*(1/(VLOOKUP($AF152,'Fuel economy adjusted factor'!$A$2:$L$52,5,FALSE)*m2k))/'TCO Inputs'!$AZ$84</f>
        <v>139.92849637291405</v>
      </c>
      <c r="AV152" s="125">
        <f>AV41/293.07*(1/(VLOOKUP($AF152,'Fuel economy adjusted factor'!$A$2:$L$52,5,FALSE)*m2k))/'TCO Inputs'!$AZ$84</f>
        <v>139.92849637291405</v>
      </c>
      <c r="AW152" s="125">
        <f>AW41/293.07*(1/(VLOOKUP($AF152,'Fuel economy adjusted factor'!$A$2:$L$52,5,FALSE)*m2k))/'TCO Inputs'!$AZ$84</f>
        <v>139.92849637291405</v>
      </c>
      <c r="AX152" s="125">
        <f>AX41/293.07*(1/(VLOOKUP($AF152,'Fuel economy adjusted factor'!$A$2:$L$52,5,FALSE)*m2k))/'TCO Inputs'!$AZ$84</f>
        <v>139.92849637291405</v>
      </c>
      <c r="AY152" s="125">
        <f>AY41/293.07*(1/(VLOOKUP($AF152,'Fuel economy adjusted factor'!$A$2:$L$52,5,FALSE)*m2k))/'TCO Inputs'!$AZ$84</f>
        <v>139.92849637291405</v>
      </c>
      <c r="AZ152" s="125">
        <f>AZ41/293.07*(1/(VLOOKUP($AF152,'Fuel economy adjusted factor'!$A$2:$L$52,5,FALSE)*m2k))/'TCO Inputs'!$AZ$84</f>
        <v>139.92849637291405</v>
      </c>
      <c r="BA152" s="125">
        <f>BA41/293.07*(1/(VLOOKUP($AF152,'Fuel economy adjusted factor'!$A$2:$L$52,5,FALSE)*m2k))/'TCO Inputs'!$AZ$84</f>
        <v>139.92849637291405</v>
      </c>
      <c r="BB152" s="125">
        <f>BB41/293.07*(1/(VLOOKUP($AF152,'Fuel economy adjusted factor'!$A$2:$L$52,5,FALSE)*m2k))/'TCO Inputs'!$AZ$84</f>
        <v>139.92849637291405</v>
      </c>
      <c r="BC152" s="125">
        <f>BC41/293.07*(1/(VLOOKUP($AF152,'Fuel economy adjusted factor'!$A$2:$L$52,5,FALSE)*m2k))/'TCO Inputs'!$AZ$84</f>
        <v>139.92849637291405</v>
      </c>
      <c r="BD152" s="125">
        <f>BD41/293.07*(1/(VLOOKUP($AF152,'Fuel economy adjusted factor'!$A$2:$L$52,5,FALSE)*m2k))/'TCO Inputs'!$AZ$84</f>
        <v>139.92849637291405</v>
      </c>
      <c r="BE152" s="125">
        <f>BE41/293.07*(1/(VLOOKUP($AF152,'Fuel economy adjusted factor'!$A$2:$L$52,5,FALSE)*m2k))/'TCO Inputs'!$AZ$84</f>
        <v>139.92849637291405</v>
      </c>
      <c r="BF152" s="125">
        <f>BF41/293.07*(1/(VLOOKUP($AF152,'Fuel economy adjusted factor'!$A$2:$L$52,5,FALSE)*m2k))/'TCO Inputs'!$AZ$84</f>
        <v>139.92849637291405</v>
      </c>
      <c r="BG152" s="125">
        <f>BG41/293.07*(1/(VLOOKUP($AF152,'Fuel economy adjusted factor'!$A$2:$L$52,5,FALSE)*m2k))/'TCO Inputs'!$AZ$84</f>
        <v>139.92849637291405</v>
      </c>
      <c r="BH152" s="125">
        <f>BH41/293.07*(1/(VLOOKUP($AF152,'Fuel economy adjusted factor'!$A$2:$L$52,5,FALSE)*m2k))/'TCO Inputs'!$AZ$84</f>
        <v>139.92849637291405</v>
      </c>
      <c r="BI152" s="98" cm="1">
        <f t="array" ref="BI152">SUMPRODUCT(INDEX(AG152:BH152,,'TCO Inputs'!$AZ$12-2023+_xlfn.SEQUENCE('TCO Inputs'!$AZ$13))*INDEX('VKT US'!C100:AA100,,_xlfn.SEQUENCE('TCO Inputs'!$AZ$13)))*m2k*CONVERT(0.9072,"g","ton")</f>
        <v>33.855595831021823</v>
      </c>
      <c r="BL152" s="123" t="s">
        <v>220</v>
      </c>
      <c r="BM152" s="125">
        <f>BM41/293.07*(1/(VLOOKUP($BL152,'Fuel economy adjusted factor'!$A$2:$L$52,5,FALSE)*m2k))/'TCO Inputs'!$AZ$84</f>
        <v>104.02483602017502</v>
      </c>
      <c r="BN152" s="125">
        <f>BN41/293.07*(1/(VLOOKUP($BL152,'Fuel economy adjusted factor'!$A$2:$L$52,5,FALSE)*m2k))/'TCO Inputs'!$AZ$84</f>
        <v>104.02483602017502</v>
      </c>
      <c r="BO152" s="125">
        <f>BO41/293.07*(1/(VLOOKUP($BL152,'Fuel economy adjusted factor'!$A$2:$L$52,5,FALSE)*m2k))/'TCO Inputs'!$AZ$84</f>
        <v>104.02483602017502</v>
      </c>
      <c r="BP152" s="125">
        <f>BP41/293.07*(1/(VLOOKUP($BL152,'Fuel economy adjusted factor'!$A$2:$L$52,5,FALSE)*m2k))/'TCO Inputs'!$AZ$84</f>
        <v>104.02483602017502</v>
      </c>
      <c r="BQ152" s="125">
        <f>BQ41/293.07*(1/(VLOOKUP($BL152,'Fuel economy adjusted factor'!$A$2:$L$52,5,FALSE)*m2k))/'TCO Inputs'!$AZ$84</f>
        <v>104.02483602017502</v>
      </c>
      <c r="BR152" s="125">
        <f>BR41/293.07*(1/(VLOOKUP($BL152,'Fuel economy adjusted factor'!$A$2:$L$52,5,FALSE)*m2k))/'TCO Inputs'!$AZ$84</f>
        <v>104.02483602017502</v>
      </c>
      <c r="BS152" s="125">
        <f>BS41/293.07*(1/(VLOOKUP($BL152,'Fuel economy adjusted factor'!$A$2:$L$52,5,FALSE)*m2k))/'TCO Inputs'!$AZ$84</f>
        <v>104.02483602017502</v>
      </c>
      <c r="BT152" s="125">
        <f>BT41/293.07*(1/(VLOOKUP($BL152,'Fuel economy adjusted factor'!$A$2:$L$52,5,FALSE)*m2k))/'TCO Inputs'!$AZ$84</f>
        <v>104.02483602017502</v>
      </c>
      <c r="BU152" s="125">
        <f>BU41/293.07*(1/(VLOOKUP($BL152,'Fuel economy adjusted factor'!$A$2:$L$52,5,FALSE)*m2k))/'TCO Inputs'!$AZ$84</f>
        <v>104.02483602017502</v>
      </c>
      <c r="BV152" s="125">
        <f>BV41/293.07*(1/(VLOOKUP($BL152,'Fuel economy adjusted factor'!$A$2:$L$52,5,FALSE)*m2k))/'TCO Inputs'!$AZ$84</f>
        <v>104.02483602017502</v>
      </c>
      <c r="BW152" s="125">
        <f>BW41/293.07*(1/(VLOOKUP($BL152,'Fuel economy adjusted factor'!$A$2:$L$52,5,FALSE)*m2k))/'TCO Inputs'!$AZ$84</f>
        <v>104.02483602017502</v>
      </c>
      <c r="BX152" s="125">
        <f>BX41/293.07*(1/(VLOOKUP($BL152,'Fuel economy adjusted factor'!$A$2:$L$52,5,FALSE)*m2k))/'TCO Inputs'!$AZ$84</f>
        <v>104.02483602017502</v>
      </c>
      <c r="BY152" s="125">
        <f>BY41/293.07*(1/(VLOOKUP($BL152,'Fuel economy adjusted factor'!$A$2:$L$52,5,FALSE)*m2k))/'TCO Inputs'!$AZ$84</f>
        <v>104.02483602017502</v>
      </c>
      <c r="BZ152" s="125">
        <f>BZ41/293.07*(1/(VLOOKUP($BL152,'Fuel economy adjusted factor'!$A$2:$L$52,5,FALSE)*m2k))/'TCO Inputs'!$AZ$84</f>
        <v>104.02483602017502</v>
      </c>
      <c r="CA152" s="125">
        <f>CA41/293.07*(1/(VLOOKUP($BL152,'Fuel economy adjusted factor'!$A$2:$L$52,5,FALSE)*m2k))/'TCO Inputs'!$AZ$84</f>
        <v>104.02483602017502</v>
      </c>
      <c r="CB152" s="125">
        <f>CB41/293.07*(1/(VLOOKUP($BL152,'Fuel economy adjusted factor'!$A$2:$L$52,5,FALSE)*m2k))/'TCO Inputs'!$AZ$84</f>
        <v>104.02483602017502</v>
      </c>
      <c r="CC152" s="125">
        <f>CC41/293.07*(1/(VLOOKUP($BL152,'Fuel economy adjusted factor'!$A$2:$L$52,5,FALSE)*m2k))/'TCO Inputs'!$AZ$84</f>
        <v>104.02483602017502</v>
      </c>
      <c r="CD152" s="125">
        <f>CD41/293.07*(1/(VLOOKUP($BL152,'Fuel economy adjusted factor'!$A$2:$L$52,5,FALSE)*m2k))/'TCO Inputs'!$AZ$84</f>
        <v>104.02483602017502</v>
      </c>
      <c r="CE152" s="125">
        <f>CE41/293.07*(1/(VLOOKUP($BL152,'Fuel economy adjusted factor'!$A$2:$L$52,5,FALSE)*m2k))/'TCO Inputs'!$AZ$84</f>
        <v>104.02483602017502</v>
      </c>
      <c r="CF152" s="125">
        <f>CF41/293.07*(1/(VLOOKUP($BL152,'Fuel economy adjusted factor'!$A$2:$L$52,5,FALSE)*m2k))/'TCO Inputs'!$AZ$84</f>
        <v>104.02483602017502</v>
      </c>
      <c r="CG152" s="125">
        <f>CG41/293.07*(1/(VLOOKUP($BL152,'Fuel economy adjusted factor'!$A$2:$L$52,5,FALSE)*m2k))/'TCO Inputs'!$AZ$84</f>
        <v>104.02483602017502</v>
      </c>
      <c r="CH152" s="125">
        <f>CH41/293.07*(1/(VLOOKUP($BL152,'Fuel economy adjusted factor'!$A$2:$L$52,5,FALSE)*m2k))/'TCO Inputs'!$AZ$84</f>
        <v>104.02483602017502</v>
      </c>
      <c r="CI152" s="125">
        <f>CI41/293.07*(1/(VLOOKUP($BL152,'Fuel economy adjusted factor'!$A$2:$L$52,5,FALSE)*m2k))/'TCO Inputs'!$AZ$84</f>
        <v>104.02483602017502</v>
      </c>
      <c r="CJ152" s="125">
        <f>CJ41/293.07*(1/(VLOOKUP($BL152,'Fuel economy adjusted factor'!$A$2:$L$52,5,FALSE)*m2k))/'TCO Inputs'!$AZ$84</f>
        <v>104.02483602017502</v>
      </c>
      <c r="CK152" s="125">
        <f>CK41/293.07*(1/(VLOOKUP($BL152,'Fuel economy adjusted factor'!$A$2:$L$52,5,FALSE)*m2k))/'TCO Inputs'!$AZ$84</f>
        <v>104.02483602017502</v>
      </c>
      <c r="CL152" s="125">
        <f>CL41/293.07*(1/(VLOOKUP($BL152,'Fuel economy adjusted factor'!$A$2:$L$52,5,FALSE)*m2k))/'TCO Inputs'!$AZ$84</f>
        <v>104.02483602017502</v>
      </c>
      <c r="CM152" s="125">
        <f>CM41/293.07*(1/(VLOOKUP($BL152,'Fuel economy adjusted factor'!$A$2:$L$52,5,FALSE)*m2k))/'TCO Inputs'!$AZ$84</f>
        <v>104.02483602017502</v>
      </c>
      <c r="CN152" s="125">
        <f>CN41/293.07*(1/(VLOOKUP($BL152,'Fuel economy adjusted factor'!$A$2:$L$52,5,FALSE)*m2k))/'TCO Inputs'!$AZ$84</f>
        <v>104.02483602017502</v>
      </c>
      <c r="CO152" s="98" cm="1">
        <f t="array" ref="CO152">SUMPRODUCT(INDEX(BM152:CN152,,'TCO Inputs'!$AZ$12-2023+_xlfn.SEQUENCE('TCO Inputs'!$AZ$13))*INDEX('VKT US'!C100:AA100,,_xlfn.SEQUENCE('TCO Inputs'!$AZ$13)))*m2k*CONVERT(0.9072,"g","ton")</f>
        <v>25.168731859317575</v>
      </c>
    </row>
    <row r="153" spans="1:93" x14ac:dyDescent="0.25">
      <c r="A153" s="123" t="s">
        <v>221</v>
      </c>
      <c r="B153" s="125">
        <f>B42/293.07*(1/(VLOOKUP($A153,'Fuel economy adjusted factor'!$A$2:$L$52,5,FALSE)*m2k))/'TCO Inputs'!$AZ$84</f>
        <v>151.48239127555186</v>
      </c>
      <c r="C153" s="125">
        <f>C42/293.07*(1/(VLOOKUP($A153,'Fuel economy adjusted factor'!$A$2:$L$52,5,FALSE)*m2k))/'TCO Inputs'!$AZ$84</f>
        <v>151.48239127555186</v>
      </c>
      <c r="D153" s="125">
        <f>D42/293.07*(1/(VLOOKUP($A153,'Fuel economy adjusted factor'!$A$2:$L$52,5,FALSE)*m2k))/'TCO Inputs'!$AZ$84</f>
        <v>151.48239127555186</v>
      </c>
      <c r="E153" s="125">
        <f>E42/293.07*(1/(VLOOKUP($A153,'Fuel economy adjusted factor'!$A$2:$L$52,5,FALSE)*m2k))/'TCO Inputs'!$AZ$84</f>
        <v>151.48239127555186</v>
      </c>
      <c r="F153" s="125">
        <f>F42/293.07*(1/(VLOOKUP($A153,'Fuel economy adjusted factor'!$A$2:$L$52,5,FALSE)*m2k))/'TCO Inputs'!$AZ$84</f>
        <v>151.48239127555186</v>
      </c>
      <c r="G153" s="125">
        <f>G42/293.07*(1/(VLOOKUP($A153,'Fuel economy adjusted factor'!$A$2:$L$52,5,FALSE)*m2k))/'TCO Inputs'!$AZ$84</f>
        <v>151.48239127555186</v>
      </c>
      <c r="H153" s="125">
        <f>H42/293.07*(1/(VLOOKUP($A153,'Fuel economy adjusted factor'!$A$2:$L$52,5,FALSE)*m2k))/'TCO Inputs'!$AZ$84</f>
        <v>151.48239127555186</v>
      </c>
      <c r="I153" s="125">
        <f>I42/293.07*(1/(VLOOKUP($A153,'Fuel economy adjusted factor'!$A$2:$L$52,5,FALSE)*m2k))/'TCO Inputs'!$AZ$84</f>
        <v>151.48239127555186</v>
      </c>
      <c r="J153" s="125">
        <f>J42/293.07*(1/(VLOOKUP($A153,'Fuel economy adjusted factor'!$A$2:$L$52,5,FALSE)*m2k))/'TCO Inputs'!$AZ$84</f>
        <v>151.48239127555186</v>
      </c>
      <c r="K153" s="125">
        <f>K42/293.07*(1/(VLOOKUP($A153,'Fuel economy adjusted factor'!$A$2:$L$52,5,FALSE)*m2k))/'TCO Inputs'!$AZ$84</f>
        <v>151.48239127555186</v>
      </c>
      <c r="L153" s="125">
        <f>L42/293.07*(1/(VLOOKUP($A153,'Fuel economy adjusted factor'!$A$2:$L$52,5,FALSE)*m2k))/'TCO Inputs'!$AZ$84</f>
        <v>151.48239127555186</v>
      </c>
      <c r="M153" s="125">
        <f>M42/293.07*(1/(VLOOKUP($A153,'Fuel economy adjusted factor'!$A$2:$L$52,5,FALSE)*m2k))/'TCO Inputs'!$AZ$84</f>
        <v>151.48239127555186</v>
      </c>
      <c r="N153" s="125">
        <f>N42/293.07*(1/(VLOOKUP($A153,'Fuel economy adjusted factor'!$A$2:$L$52,5,FALSE)*m2k))/'TCO Inputs'!$AZ$84</f>
        <v>151.48239127555186</v>
      </c>
      <c r="O153" s="125">
        <f>O42/293.07*(1/(VLOOKUP($A153,'Fuel economy adjusted factor'!$A$2:$L$52,5,FALSE)*m2k))/'TCO Inputs'!$AZ$84</f>
        <v>151.48239127555186</v>
      </c>
      <c r="P153" s="125">
        <f>P42/293.07*(1/(VLOOKUP($A153,'Fuel economy adjusted factor'!$A$2:$L$52,5,FALSE)*m2k))/'TCO Inputs'!$AZ$84</f>
        <v>151.48239127555186</v>
      </c>
      <c r="Q153" s="125">
        <f>Q42/293.07*(1/(VLOOKUP($A153,'Fuel economy adjusted factor'!$A$2:$L$52,5,FALSE)*m2k))/'TCO Inputs'!$AZ$84</f>
        <v>151.48239127555186</v>
      </c>
      <c r="R153" s="125">
        <f>R42/293.07*(1/(VLOOKUP($A153,'Fuel economy adjusted factor'!$A$2:$L$52,5,FALSE)*m2k))/'TCO Inputs'!$AZ$84</f>
        <v>151.48239127555186</v>
      </c>
      <c r="S153" s="125">
        <f>S42/293.07*(1/(VLOOKUP($A153,'Fuel economy adjusted factor'!$A$2:$L$52,5,FALSE)*m2k))/'TCO Inputs'!$AZ$84</f>
        <v>151.48239127555186</v>
      </c>
      <c r="T153" s="125">
        <f>T42/293.07*(1/(VLOOKUP($A153,'Fuel economy adjusted factor'!$A$2:$L$52,5,FALSE)*m2k))/'TCO Inputs'!$AZ$84</f>
        <v>151.48239127555186</v>
      </c>
      <c r="U153" s="125">
        <f>U42/293.07*(1/(VLOOKUP($A153,'Fuel economy adjusted factor'!$A$2:$L$52,5,FALSE)*m2k))/'TCO Inputs'!$AZ$84</f>
        <v>151.48239127555186</v>
      </c>
      <c r="V153" s="125">
        <f>V42/293.07*(1/(VLOOKUP($A153,'Fuel economy adjusted factor'!$A$2:$L$52,5,FALSE)*m2k))/'TCO Inputs'!$AZ$84</f>
        <v>151.48239127555186</v>
      </c>
      <c r="W153" s="125">
        <f>W42/293.07*(1/(VLOOKUP($A153,'Fuel economy adjusted factor'!$A$2:$L$52,5,FALSE)*m2k))/'TCO Inputs'!$AZ$84</f>
        <v>151.48239127555186</v>
      </c>
      <c r="X153" s="125">
        <f>X42/293.07*(1/(VLOOKUP($A153,'Fuel economy adjusted factor'!$A$2:$L$52,5,FALSE)*m2k))/'TCO Inputs'!$AZ$84</f>
        <v>151.48239127555186</v>
      </c>
      <c r="Y153" s="125">
        <f>Y42/293.07*(1/(VLOOKUP($A153,'Fuel economy adjusted factor'!$A$2:$L$52,5,FALSE)*m2k))/'TCO Inputs'!$AZ$84</f>
        <v>151.48239127555186</v>
      </c>
      <c r="Z153" s="125">
        <f>Z42/293.07*(1/(VLOOKUP($A153,'Fuel economy adjusted factor'!$A$2:$L$52,5,FALSE)*m2k))/'TCO Inputs'!$AZ$84</f>
        <v>151.48239127555186</v>
      </c>
      <c r="AA153" s="125">
        <f>AA42/293.07*(1/(VLOOKUP($A153,'Fuel economy adjusted factor'!$A$2:$L$52,5,FALSE)*m2k))/'TCO Inputs'!$AZ$84</f>
        <v>151.48239127555186</v>
      </c>
      <c r="AB153" s="125">
        <f>AB42/293.07*(1/(VLOOKUP($A153,'Fuel economy adjusted factor'!$A$2:$L$52,5,FALSE)*m2k))/'TCO Inputs'!$AZ$84</f>
        <v>151.48239127555186</v>
      </c>
      <c r="AC153" s="125">
        <f>AC42/293.07*(1/(VLOOKUP($A153,'Fuel economy adjusted factor'!$A$2:$L$52,5,FALSE)*m2k))/'TCO Inputs'!$AZ$84</f>
        <v>151.48239127555186</v>
      </c>
      <c r="AD153" s="98" cm="1">
        <f t="array" ref="AD153">SUMPRODUCT(INDEX(B153:AC153,,'TCO Inputs'!$AZ$12-2023+_xlfn.SEQUENCE('TCO Inputs'!$AZ$13))*INDEX('VKT US'!C101:AA101,,_xlfn.SEQUENCE('TCO Inputs'!$AZ$13)))*m2k*CONVERT(0.9072,"g","ton")</f>
        <v>31.89874445012979</v>
      </c>
      <c r="AF153" s="123" t="s">
        <v>221</v>
      </c>
      <c r="AG153" s="125">
        <f>AG42/293.07*(1/(VLOOKUP($AF153,'Fuel economy adjusted factor'!$A$2:$L$52,5,FALSE)*m2k))/'TCO Inputs'!$AZ$84</f>
        <v>177.55369547507044</v>
      </c>
      <c r="AH153" s="125">
        <f>AH42/293.07*(1/(VLOOKUP($AF153,'Fuel economy adjusted factor'!$A$2:$L$52,5,FALSE)*m2k))/'TCO Inputs'!$AZ$84</f>
        <v>177.55369547507044</v>
      </c>
      <c r="AI153" s="125">
        <f>AI42/293.07*(1/(VLOOKUP($AF153,'Fuel economy adjusted factor'!$A$2:$L$52,5,FALSE)*m2k))/'TCO Inputs'!$AZ$84</f>
        <v>177.55369547507044</v>
      </c>
      <c r="AJ153" s="125">
        <f>AJ42/293.07*(1/(VLOOKUP($AF153,'Fuel economy adjusted factor'!$A$2:$L$52,5,FALSE)*m2k))/'TCO Inputs'!$AZ$84</f>
        <v>177.55369547507044</v>
      </c>
      <c r="AK153" s="125">
        <f>AK42/293.07*(1/(VLOOKUP($AF153,'Fuel economy adjusted factor'!$A$2:$L$52,5,FALSE)*m2k))/'TCO Inputs'!$AZ$84</f>
        <v>177.55369547507044</v>
      </c>
      <c r="AL153" s="125">
        <f>AL42/293.07*(1/(VLOOKUP($AF153,'Fuel economy adjusted factor'!$A$2:$L$52,5,FALSE)*m2k))/'TCO Inputs'!$AZ$84</f>
        <v>177.55369547507044</v>
      </c>
      <c r="AM153" s="125">
        <f>AM42/293.07*(1/(VLOOKUP($AF153,'Fuel economy adjusted factor'!$A$2:$L$52,5,FALSE)*m2k))/'TCO Inputs'!$AZ$84</f>
        <v>177.55369547507044</v>
      </c>
      <c r="AN153" s="125">
        <f>AN42/293.07*(1/(VLOOKUP($AF153,'Fuel economy adjusted factor'!$A$2:$L$52,5,FALSE)*m2k))/'TCO Inputs'!$AZ$84</f>
        <v>177.55369547507044</v>
      </c>
      <c r="AO153" s="125">
        <f>AO42/293.07*(1/(VLOOKUP($AF153,'Fuel economy adjusted factor'!$A$2:$L$52,5,FALSE)*m2k))/'TCO Inputs'!$AZ$84</f>
        <v>177.55369547507044</v>
      </c>
      <c r="AP153" s="125">
        <f>AP42/293.07*(1/(VLOOKUP($AF153,'Fuel economy adjusted factor'!$A$2:$L$52,5,FALSE)*m2k))/'TCO Inputs'!$AZ$84</f>
        <v>177.55369547507044</v>
      </c>
      <c r="AQ153" s="125">
        <f>AQ42/293.07*(1/(VLOOKUP($AF153,'Fuel economy adjusted factor'!$A$2:$L$52,5,FALSE)*m2k))/'TCO Inputs'!$AZ$84</f>
        <v>177.55369547507044</v>
      </c>
      <c r="AR153" s="125">
        <f>AR42/293.07*(1/(VLOOKUP($AF153,'Fuel economy adjusted factor'!$A$2:$L$52,5,FALSE)*m2k))/'TCO Inputs'!$AZ$84</f>
        <v>177.55369547507044</v>
      </c>
      <c r="AS153" s="125">
        <f>AS42/293.07*(1/(VLOOKUP($AF153,'Fuel economy adjusted factor'!$A$2:$L$52,5,FALSE)*m2k))/'TCO Inputs'!$AZ$84</f>
        <v>177.55369547507044</v>
      </c>
      <c r="AT153" s="125">
        <f>AT42/293.07*(1/(VLOOKUP($AF153,'Fuel economy adjusted factor'!$A$2:$L$52,5,FALSE)*m2k))/'TCO Inputs'!$AZ$84</f>
        <v>177.55369547507044</v>
      </c>
      <c r="AU153" s="125">
        <f>AU42/293.07*(1/(VLOOKUP($AF153,'Fuel economy adjusted factor'!$A$2:$L$52,5,FALSE)*m2k))/'TCO Inputs'!$AZ$84</f>
        <v>177.55369547507044</v>
      </c>
      <c r="AV153" s="125">
        <f>AV42/293.07*(1/(VLOOKUP($AF153,'Fuel economy adjusted factor'!$A$2:$L$52,5,FALSE)*m2k))/'TCO Inputs'!$AZ$84</f>
        <v>177.55369547507044</v>
      </c>
      <c r="AW153" s="125">
        <f>AW42/293.07*(1/(VLOOKUP($AF153,'Fuel economy adjusted factor'!$A$2:$L$52,5,FALSE)*m2k))/'TCO Inputs'!$AZ$84</f>
        <v>177.55369547507044</v>
      </c>
      <c r="AX153" s="125">
        <f>AX42/293.07*(1/(VLOOKUP($AF153,'Fuel economy adjusted factor'!$A$2:$L$52,5,FALSE)*m2k))/'TCO Inputs'!$AZ$84</f>
        <v>177.55369547507044</v>
      </c>
      <c r="AY153" s="125">
        <f>AY42/293.07*(1/(VLOOKUP($AF153,'Fuel economy adjusted factor'!$A$2:$L$52,5,FALSE)*m2k))/'TCO Inputs'!$AZ$84</f>
        <v>177.55369547507044</v>
      </c>
      <c r="AZ153" s="125">
        <f>AZ42/293.07*(1/(VLOOKUP($AF153,'Fuel economy adjusted factor'!$A$2:$L$52,5,FALSE)*m2k))/'TCO Inputs'!$AZ$84</f>
        <v>177.55369547507044</v>
      </c>
      <c r="BA153" s="125">
        <f>BA42/293.07*(1/(VLOOKUP($AF153,'Fuel economy adjusted factor'!$A$2:$L$52,5,FALSE)*m2k))/'TCO Inputs'!$AZ$84</f>
        <v>177.55369547507044</v>
      </c>
      <c r="BB153" s="125">
        <f>BB42/293.07*(1/(VLOOKUP($AF153,'Fuel economy adjusted factor'!$A$2:$L$52,5,FALSE)*m2k))/'TCO Inputs'!$AZ$84</f>
        <v>177.55369547507044</v>
      </c>
      <c r="BC153" s="125">
        <f>BC42/293.07*(1/(VLOOKUP($AF153,'Fuel economy adjusted factor'!$A$2:$L$52,5,FALSE)*m2k))/'TCO Inputs'!$AZ$84</f>
        <v>177.55369547507044</v>
      </c>
      <c r="BD153" s="125">
        <f>BD42/293.07*(1/(VLOOKUP($AF153,'Fuel economy adjusted factor'!$A$2:$L$52,5,FALSE)*m2k))/'TCO Inputs'!$AZ$84</f>
        <v>177.55369547507044</v>
      </c>
      <c r="BE153" s="125">
        <f>BE42/293.07*(1/(VLOOKUP($AF153,'Fuel economy adjusted factor'!$A$2:$L$52,5,FALSE)*m2k))/'TCO Inputs'!$AZ$84</f>
        <v>177.55369547507044</v>
      </c>
      <c r="BF153" s="125">
        <f>BF42/293.07*(1/(VLOOKUP($AF153,'Fuel economy adjusted factor'!$A$2:$L$52,5,FALSE)*m2k))/'TCO Inputs'!$AZ$84</f>
        <v>177.55369547507044</v>
      </c>
      <c r="BG153" s="125">
        <f>BG42/293.07*(1/(VLOOKUP($AF153,'Fuel economy adjusted factor'!$A$2:$L$52,5,FALSE)*m2k))/'TCO Inputs'!$AZ$84</f>
        <v>177.55369547507044</v>
      </c>
      <c r="BH153" s="125">
        <f>BH42/293.07*(1/(VLOOKUP($AF153,'Fuel economy adjusted factor'!$A$2:$L$52,5,FALSE)*m2k))/'TCO Inputs'!$AZ$84</f>
        <v>177.55369547507044</v>
      </c>
      <c r="BI153" s="98" cm="1">
        <f t="array" ref="BI153">SUMPRODUCT(INDEX(AG153:BH153,,'TCO Inputs'!$AZ$12-2023+_xlfn.SEQUENCE('TCO Inputs'!$AZ$13))*INDEX('VKT US'!C101:AA101,,_xlfn.SEQUENCE('TCO Inputs'!$AZ$13)))*m2k*CONVERT(0.9072,"g","ton")</f>
        <v>37.388767832644618</v>
      </c>
      <c r="BL153" s="123" t="s">
        <v>221</v>
      </c>
      <c r="BM153" s="125">
        <f>BM42/293.07*(1/(VLOOKUP($BL153,'Fuel economy adjusted factor'!$A$2:$L$52,5,FALSE)*m2k))/'TCO Inputs'!$AZ$84</f>
        <v>131.99594460978949</v>
      </c>
      <c r="BN153" s="125">
        <f>BN42/293.07*(1/(VLOOKUP($BL153,'Fuel economy adjusted factor'!$A$2:$L$52,5,FALSE)*m2k))/'TCO Inputs'!$AZ$84</f>
        <v>131.99594460978949</v>
      </c>
      <c r="BO153" s="125">
        <f>BO42/293.07*(1/(VLOOKUP($BL153,'Fuel economy adjusted factor'!$A$2:$L$52,5,FALSE)*m2k))/'TCO Inputs'!$AZ$84</f>
        <v>131.99594460978949</v>
      </c>
      <c r="BP153" s="125">
        <f>BP42/293.07*(1/(VLOOKUP($BL153,'Fuel economy adjusted factor'!$A$2:$L$52,5,FALSE)*m2k))/'TCO Inputs'!$AZ$84</f>
        <v>131.99594460978949</v>
      </c>
      <c r="BQ153" s="125">
        <f>BQ42/293.07*(1/(VLOOKUP($BL153,'Fuel economy adjusted factor'!$A$2:$L$52,5,FALSE)*m2k))/'TCO Inputs'!$AZ$84</f>
        <v>131.99594460978949</v>
      </c>
      <c r="BR153" s="125">
        <f>BR42/293.07*(1/(VLOOKUP($BL153,'Fuel economy adjusted factor'!$A$2:$L$52,5,FALSE)*m2k))/'TCO Inputs'!$AZ$84</f>
        <v>131.99594460978949</v>
      </c>
      <c r="BS153" s="125">
        <f>BS42/293.07*(1/(VLOOKUP($BL153,'Fuel economy adjusted factor'!$A$2:$L$52,5,FALSE)*m2k))/'TCO Inputs'!$AZ$84</f>
        <v>131.99594460978949</v>
      </c>
      <c r="BT153" s="125">
        <f>BT42/293.07*(1/(VLOOKUP($BL153,'Fuel economy adjusted factor'!$A$2:$L$52,5,FALSE)*m2k))/'TCO Inputs'!$AZ$84</f>
        <v>131.99594460978949</v>
      </c>
      <c r="BU153" s="125">
        <f>BU42/293.07*(1/(VLOOKUP($BL153,'Fuel economy adjusted factor'!$A$2:$L$52,5,FALSE)*m2k))/'TCO Inputs'!$AZ$84</f>
        <v>131.99594460978949</v>
      </c>
      <c r="BV153" s="125">
        <f>BV42/293.07*(1/(VLOOKUP($BL153,'Fuel economy adjusted factor'!$A$2:$L$52,5,FALSE)*m2k))/'TCO Inputs'!$AZ$84</f>
        <v>131.99594460978949</v>
      </c>
      <c r="BW153" s="125">
        <f>BW42/293.07*(1/(VLOOKUP($BL153,'Fuel economy adjusted factor'!$A$2:$L$52,5,FALSE)*m2k))/'TCO Inputs'!$AZ$84</f>
        <v>131.99594460978949</v>
      </c>
      <c r="BX153" s="125">
        <f>BX42/293.07*(1/(VLOOKUP($BL153,'Fuel economy adjusted factor'!$A$2:$L$52,5,FALSE)*m2k))/'TCO Inputs'!$AZ$84</f>
        <v>131.99594460978949</v>
      </c>
      <c r="BY153" s="125">
        <f>BY42/293.07*(1/(VLOOKUP($BL153,'Fuel economy adjusted factor'!$A$2:$L$52,5,FALSE)*m2k))/'TCO Inputs'!$AZ$84</f>
        <v>131.99594460978949</v>
      </c>
      <c r="BZ153" s="125">
        <f>BZ42/293.07*(1/(VLOOKUP($BL153,'Fuel economy adjusted factor'!$A$2:$L$52,5,FALSE)*m2k))/'TCO Inputs'!$AZ$84</f>
        <v>131.99594460978949</v>
      </c>
      <c r="CA153" s="125">
        <f>CA42/293.07*(1/(VLOOKUP($BL153,'Fuel economy adjusted factor'!$A$2:$L$52,5,FALSE)*m2k))/'TCO Inputs'!$AZ$84</f>
        <v>131.99594460978949</v>
      </c>
      <c r="CB153" s="125">
        <f>CB42/293.07*(1/(VLOOKUP($BL153,'Fuel economy adjusted factor'!$A$2:$L$52,5,FALSE)*m2k))/'TCO Inputs'!$AZ$84</f>
        <v>131.99594460978949</v>
      </c>
      <c r="CC153" s="125">
        <f>CC42/293.07*(1/(VLOOKUP($BL153,'Fuel economy adjusted factor'!$A$2:$L$52,5,FALSE)*m2k))/'TCO Inputs'!$AZ$84</f>
        <v>131.99594460978949</v>
      </c>
      <c r="CD153" s="125">
        <f>CD42/293.07*(1/(VLOOKUP($BL153,'Fuel economy adjusted factor'!$A$2:$L$52,5,FALSE)*m2k))/'TCO Inputs'!$AZ$84</f>
        <v>131.99594460978949</v>
      </c>
      <c r="CE153" s="125">
        <f>CE42/293.07*(1/(VLOOKUP($BL153,'Fuel economy adjusted factor'!$A$2:$L$52,5,FALSE)*m2k))/'TCO Inputs'!$AZ$84</f>
        <v>131.99594460978949</v>
      </c>
      <c r="CF153" s="125">
        <f>CF42/293.07*(1/(VLOOKUP($BL153,'Fuel economy adjusted factor'!$A$2:$L$52,5,FALSE)*m2k))/'TCO Inputs'!$AZ$84</f>
        <v>131.99594460978949</v>
      </c>
      <c r="CG153" s="125">
        <f>CG42/293.07*(1/(VLOOKUP($BL153,'Fuel economy adjusted factor'!$A$2:$L$52,5,FALSE)*m2k))/'TCO Inputs'!$AZ$84</f>
        <v>131.99594460978949</v>
      </c>
      <c r="CH153" s="125">
        <f>CH42/293.07*(1/(VLOOKUP($BL153,'Fuel economy adjusted factor'!$A$2:$L$52,5,FALSE)*m2k))/'TCO Inputs'!$AZ$84</f>
        <v>131.99594460978949</v>
      </c>
      <c r="CI153" s="125">
        <f>CI42/293.07*(1/(VLOOKUP($BL153,'Fuel economy adjusted factor'!$A$2:$L$52,5,FALSE)*m2k))/'TCO Inputs'!$AZ$84</f>
        <v>131.99594460978949</v>
      </c>
      <c r="CJ153" s="125">
        <f>CJ42/293.07*(1/(VLOOKUP($BL153,'Fuel economy adjusted factor'!$A$2:$L$52,5,FALSE)*m2k))/'TCO Inputs'!$AZ$84</f>
        <v>131.99594460978949</v>
      </c>
      <c r="CK153" s="125">
        <f>CK42/293.07*(1/(VLOOKUP($BL153,'Fuel economy adjusted factor'!$A$2:$L$52,5,FALSE)*m2k))/'TCO Inputs'!$AZ$84</f>
        <v>131.99594460978949</v>
      </c>
      <c r="CL153" s="125">
        <f>CL42/293.07*(1/(VLOOKUP($BL153,'Fuel economy adjusted factor'!$A$2:$L$52,5,FALSE)*m2k))/'TCO Inputs'!$AZ$84</f>
        <v>131.99594460978949</v>
      </c>
      <c r="CM153" s="125">
        <f>CM42/293.07*(1/(VLOOKUP($BL153,'Fuel economy adjusted factor'!$A$2:$L$52,5,FALSE)*m2k))/'TCO Inputs'!$AZ$84</f>
        <v>131.99594460978949</v>
      </c>
      <c r="CN153" s="125">
        <f>CN42/293.07*(1/(VLOOKUP($BL153,'Fuel economy adjusted factor'!$A$2:$L$52,5,FALSE)*m2k))/'TCO Inputs'!$AZ$84</f>
        <v>131.99594460978949</v>
      </c>
      <c r="CO153" s="98" cm="1">
        <f t="array" ref="CO153">SUMPRODUCT(INDEX(BM153:CN153,,'TCO Inputs'!$AZ$12-2023+_xlfn.SEQUENCE('TCO Inputs'!$AZ$13))*INDEX('VKT US'!C101:AA101,,_xlfn.SEQUENCE('TCO Inputs'!$AZ$13)))*m2k*CONVERT(0.9072,"g","ton")</f>
        <v>27.79534221837114</v>
      </c>
    </row>
    <row r="154" spans="1:93" x14ac:dyDescent="0.25">
      <c r="A154" s="123" t="s">
        <v>222</v>
      </c>
      <c r="B154" s="125">
        <f>B43/293.07*(1/(VLOOKUP($A154,'Fuel economy adjusted factor'!$A$2:$L$52,5,FALSE)*m2k))/'TCO Inputs'!$AZ$84</f>
        <v>86.450896328580228</v>
      </c>
      <c r="C154" s="125">
        <f>C43/293.07*(1/(VLOOKUP($A154,'Fuel economy adjusted factor'!$A$2:$L$52,5,FALSE)*m2k))/'TCO Inputs'!$AZ$84</f>
        <v>86.450896328580228</v>
      </c>
      <c r="D154" s="125">
        <f>D43/293.07*(1/(VLOOKUP($A154,'Fuel economy adjusted factor'!$A$2:$L$52,5,FALSE)*m2k))/'TCO Inputs'!$AZ$84</f>
        <v>86.450896328580228</v>
      </c>
      <c r="E154" s="125">
        <f>E43/293.07*(1/(VLOOKUP($A154,'Fuel economy adjusted factor'!$A$2:$L$52,5,FALSE)*m2k))/'TCO Inputs'!$AZ$84</f>
        <v>86.450896328580228</v>
      </c>
      <c r="F154" s="125">
        <f>F43/293.07*(1/(VLOOKUP($A154,'Fuel economy adjusted factor'!$A$2:$L$52,5,FALSE)*m2k))/'TCO Inputs'!$AZ$84</f>
        <v>86.450896328580228</v>
      </c>
      <c r="G154" s="125">
        <f>G43/293.07*(1/(VLOOKUP($A154,'Fuel economy adjusted factor'!$A$2:$L$52,5,FALSE)*m2k))/'TCO Inputs'!$AZ$84</f>
        <v>86.450896328580228</v>
      </c>
      <c r="H154" s="125">
        <f>H43/293.07*(1/(VLOOKUP($A154,'Fuel economy adjusted factor'!$A$2:$L$52,5,FALSE)*m2k))/'TCO Inputs'!$AZ$84</f>
        <v>86.450896328580228</v>
      </c>
      <c r="I154" s="125">
        <f>I43/293.07*(1/(VLOOKUP($A154,'Fuel economy adjusted factor'!$A$2:$L$52,5,FALSE)*m2k))/'TCO Inputs'!$AZ$84</f>
        <v>86.450896328580228</v>
      </c>
      <c r="J154" s="125">
        <f>J43/293.07*(1/(VLOOKUP($A154,'Fuel economy adjusted factor'!$A$2:$L$52,5,FALSE)*m2k))/'TCO Inputs'!$AZ$84</f>
        <v>86.450896328580228</v>
      </c>
      <c r="K154" s="125">
        <f>K43/293.07*(1/(VLOOKUP($A154,'Fuel economy adjusted factor'!$A$2:$L$52,5,FALSE)*m2k))/'TCO Inputs'!$AZ$84</f>
        <v>86.450896328580228</v>
      </c>
      <c r="L154" s="125">
        <f>L43/293.07*(1/(VLOOKUP($A154,'Fuel economy adjusted factor'!$A$2:$L$52,5,FALSE)*m2k))/'TCO Inputs'!$AZ$84</f>
        <v>86.450896328580228</v>
      </c>
      <c r="M154" s="125">
        <f>M43/293.07*(1/(VLOOKUP($A154,'Fuel economy adjusted factor'!$A$2:$L$52,5,FALSE)*m2k))/'TCO Inputs'!$AZ$84</f>
        <v>86.450896328580228</v>
      </c>
      <c r="N154" s="125">
        <f>N43/293.07*(1/(VLOOKUP($A154,'Fuel economy adjusted factor'!$A$2:$L$52,5,FALSE)*m2k))/'TCO Inputs'!$AZ$84</f>
        <v>86.450896328580228</v>
      </c>
      <c r="O154" s="125">
        <f>O43/293.07*(1/(VLOOKUP($A154,'Fuel economy adjusted factor'!$A$2:$L$52,5,FALSE)*m2k))/'TCO Inputs'!$AZ$84</f>
        <v>86.450896328580228</v>
      </c>
      <c r="P154" s="125">
        <f>P43/293.07*(1/(VLOOKUP($A154,'Fuel economy adjusted factor'!$A$2:$L$52,5,FALSE)*m2k))/'TCO Inputs'!$AZ$84</f>
        <v>86.450896328580228</v>
      </c>
      <c r="Q154" s="125">
        <f>Q43/293.07*(1/(VLOOKUP($A154,'Fuel economy adjusted factor'!$A$2:$L$52,5,FALSE)*m2k))/'TCO Inputs'!$AZ$84</f>
        <v>86.450896328580228</v>
      </c>
      <c r="R154" s="125">
        <f>R43/293.07*(1/(VLOOKUP($A154,'Fuel economy adjusted factor'!$A$2:$L$52,5,FALSE)*m2k))/'TCO Inputs'!$AZ$84</f>
        <v>86.450896328580228</v>
      </c>
      <c r="S154" s="125">
        <f>S43/293.07*(1/(VLOOKUP($A154,'Fuel economy adjusted factor'!$A$2:$L$52,5,FALSE)*m2k))/'TCO Inputs'!$AZ$84</f>
        <v>86.450896328580228</v>
      </c>
      <c r="T154" s="125">
        <f>T43/293.07*(1/(VLOOKUP($A154,'Fuel economy adjusted factor'!$A$2:$L$52,5,FALSE)*m2k))/'TCO Inputs'!$AZ$84</f>
        <v>86.450896328580228</v>
      </c>
      <c r="U154" s="125">
        <f>U43/293.07*(1/(VLOOKUP($A154,'Fuel economy adjusted factor'!$A$2:$L$52,5,FALSE)*m2k))/'TCO Inputs'!$AZ$84</f>
        <v>86.450896328580228</v>
      </c>
      <c r="V154" s="125">
        <f>V43/293.07*(1/(VLOOKUP($A154,'Fuel economy adjusted factor'!$A$2:$L$52,5,FALSE)*m2k))/'TCO Inputs'!$AZ$84</f>
        <v>86.450896328580228</v>
      </c>
      <c r="W154" s="125">
        <f>W43/293.07*(1/(VLOOKUP($A154,'Fuel economy adjusted factor'!$A$2:$L$52,5,FALSE)*m2k))/'TCO Inputs'!$AZ$84</f>
        <v>86.450896328580228</v>
      </c>
      <c r="X154" s="125">
        <f>X43/293.07*(1/(VLOOKUP($A154,'Fuel economy adjusted factor'!$A$2:$L$52,5,FALSE)*m2k))/'TCO Inputs'!$AZ$84</f>
        <v>86.450896328580228</v>
      </c>
      <c r="Y154" s="125">
        <f>Y43/293.07*(1/(VLOOKUP($A154,'Fuel economy adjusted factor'!$A$2:$L$52,5,FALSE)*m2k))/'TCO Inputs'!$AZ$84</f>
        <v>86.450896328580228</v>
      </c>
      <c r="Z154" s="125">
        <f>Z43/293.07*(1/(VLOOKUP($A154,'Fuel economy adjusted factor'!$A$2:$L$52,5,FALSE)*m2k))/'TCO Inputs'!$AZ$84</f>
        <v>86.450896328580228</v>
      </c>
      <c r="AA154" s="125">
        <f>AA43/293.07*(1/(VLOOKUP($A154,'Fuel economy adjusted factor'!$A$2:$L$52,5,FALSE)*m2k))/'TCO Inputs'!$AZ$84</f>
        <v>86.450896328580228</v>
      </c>
      <c r="AB154" s="125">
        <f>AB43/293.07*(1/(VLOOKUP($A154,'Fuel economy adjusted factor'!$A$2:$L$52,5,FALSE)*m2k))/'TCO Inputs'!$AZ$84</f>
        <v>86.450896328580228</v>
      </c>
      <c r="AC154" s="125">
        <f>AC43/293.07*(1/(VLOOKUP($A154,'Fuel economy adjusted factor'!$A$2:$L$52,5,FALSE)*m2k))/'TCO Inputs'!$AZ$84</f>
        <v>86.450896328580228</v>
      </c>
      <c r="AD154" s="98" cm="1">
        <f t="array" ref="AD154">SUMPRODUCT(INDEX(B154:AC154,,'TCO Inputs'!$AZ$12-2023+_xlfn.SEQUENCE('TCO Inputs'!$AZ$13))*INDEX('VKT US'!C102:AA102,,_xlfn.SEQUENCE('TCO Inputs'!$AZ$13)))*m2k*CONVERT(0.9072,"g","ton")</f>
        <v>27.305973425494219</v>
      </c>
      <c r="AF154" s="123" t="s">
        <v>222</v>
      </c>
      <c r="AG154" s="125">
        <f>AG43/293.07*(1/(VLOOKUP($AF154,'Fuel economy adjusted factor'!$A$2:$L$52,5,FALSE)*m2k))/'TCO Inputs'!$AZ$84</f>
        <v>101.32977167194312</v>
      </c>
      <c r="AH154" s="125">
        <f>AH43/293.07*(1/(VLOOKUP($AF154,'Fuel economy adjusted factor'!$A$2:$L$52,5,FALSE)*m2k))/'TCO Inputs'!$AZ$84</f>
        <v>101.32977167194312</v>
      </c>
      <c r="AI154" s="125">
        <f>AI43/293.07*(1/(VLOOKUP($AF154,'Fuel economy adjusted factor'!$A$2:$L$52,5,FALSE)*m2k))/'TCO Inputs'!$AZ$84</f>
        <v>101.32977167194312</v>
      </c>
      <c r="AJ154" s="125">
        <f>AJ43/293.07*(1/(VLOOKUP($AF154,'Fuel economy adjusted factor'!$A$2:$L$52,5,FALSE)*m2k))/'TCO Inputs'!$AZ$84</f>
        <v>101.32977167194312</v>
      </c>
      <c r="AK154" s="125">
        <f>AK43/293.07*(1/(VLOOKUP($AF154,'Fuel economy adjusted factor'!$A$2:$L$52,5,FALSE)*m2k))/'TCO Inputs'!$AZ$84</f>
        <v>101.32977167194312</v>
      </c>
      <c r="AL154" s="125">
        <f>AL43/293.07*(1/(VLOOKUP($AF154,'Fuel economy adjusted factor'!$A$2:$L$52,5,FALSE)*m2k))/'TCO Inputs'!$AZ$84</f>
        <v>101.32977167194312</v>
      </c>
      <c r="AM154" s="125">
        <f>AM43/293.07*(1/(VLOOKUP($AF154,'Fuel economy adjusted factor'!$A$2:$L$52,5,FALSE)*m2k))/'TCO Inputs'!$AZ$84</f>
        <v>101.32977167194312</v>
      </c>
      <c r="AN154" s="125">
        <f>AN43/293.07*(1/(VLOOKUP($AF154,'Fuel economy adjusted factor'!$A$2:$L$52,5,FALSE)*m2k))/'TCO Inputs'!$AZ$84</f>
        <v>101.32977167194312</v>
      </c>
      <c r="AO154" s="125">
        <f>AO43/293.07*(1/(VLOOKUP($AF154,'Fuel economy adjusted factor'!$A$2:$L$52,5,FALSE)*m2k))/'TCO Inputs'!$AZ$84</f>
        <v>101.32977167194312</v>
      </c>
      <c r="AP154" s="125">
        <f>AP43/293.07*(1/(VLOOKUP($AF154,'Fuel economy adjusted factor'!$A$2:$L$52,5,FALSE)*m2k))/'TCO Inputs'!$AZ$84</f>
        <v>101.32977167194312</v>
      </c>
      <c r="AQ154" s="125">
        <f>AQ43/293.07*(1/(VLOOKUP($AF154,'Fuel economy adjusted factor'!$A$2:$L$52,5,FALSE)*m2k))/'TCO Inputs'!$AZ$84</f>
        <v>101.32977167194312</v>
      </c>
      <c r="AR154" s="125">
        <f>AR43/293.07*(1/(VLOOKUP($AF154,'Fuel economy adjusted factor'!$A$2:$L$52,5,FALSE)*m2k))/'TCO Inputs'!$AZ$84</f>
        <v>101.32977167194312</v>
      </c>
      <c r="AS154" s="125">
        <f>AS43/293.07*(1/(VLOOKUP($AF154,'Fuel economy adjusted factor'!$A$2:$L$52,5,FALSE)*m2k))/'TCO Inputs'!$AZ$84</f>
        <v>101.32977167194312</v>
      </c>
      <c r="AT154" s="125">
        <f>AT43/293.07*(1/(VLOOKUP($AF154,'Fuel economy adjusted factor'!$A$2:$L$52,5,FALSE)*m2k))/'TCO Inputs'!$AZ$84</f>
        <v>101.32977167194312</v>
      </c>
      <c r="AU154" s="125">
        <f>AU43/293.07*(1/(VLOOKUP($AF154,'Fuel economy adjusted factor'!$A$2:$L$52,5,FALSE)*m2k))/'TCO Inputs'!$AZ$84</f>
        <v>101.32977167194312</v>
      </c>
      <c r="AV154" s="125">
        <f>AV43/293.07*(1/(VLOOKUP($AF154,'Fuel economy adjusted factor'!$A$2:$L$52,5,FALSE)*m2k))/'TCO Inputs'!$AZ$84</f>
        <v>101.32977167194312</v>
      </c>
      <c r="AW154" s="125">
        <f>AW43/293.07*(1/(VLOOKUP($AF154,'Fuel economy adjusted factor'!$A$2:$L$52,5,FALSE)*m2k))/'TCO Inputs'!$AZ$84</f>
        <v>101.32977167194312</v>
      </c>
      <c r="AX154" s="125">
        <f>AX43/293.07*(1/(VLOOKUP($AF154,'Fuel economy adjusted factor'!$A$2:$L$52,5,FALSE)*m2k))/'TCO Inputs'!$AZ$84</f>
        <v>101.32977167194312</v>
      </c>
      <c r="AY154" s="125">
        <f>AY43/293.07*(1/(VLOOKUP($AF154,'Fuel economy adjusted factor'!$A$2:$L$52,5,FALSE)*m2k))/'TCO Inputs'!$AZ$84</f>
        <v>101.32977167194312</v>
      </c>
      <c r="AZ154" s="125">
        <f>AZ43/293.07*(1/(VLOOKUP($AF154,'Fuel economy adjusted factor'!$A$2:$L$52,5,FALSE)*m2k))/'TCO Inputs'!$AZ$84</f>
        <v>101.32977167194312</v>
      </c>
      <c r="BA154" s="125">
        <f>BA43/293.07*(1/(VLOOKUP($AF154,'Fuel economy adjusted factor'!$A$2:$L$52,5,FALSE)*m2k))/'TCO Inputs'!$AZ$84</f>
        <v>101.32977167194312</v>
      </c>
      <c r="BB154" s="125">
        <f>BB43/293.07*(1/(VLOOKUP($AF154,'Fuel economy adjusted factor'!$A$2:$L$52,5,FALSE)*m2k))/'TCO Inputs'!$AZ$84</f>
        <v>101.32977167194312</v>
      </c>
      <c r="BC154" s="125">
        <f>BC43/293.07*(1/(VLOOKUP($AF154,'Fuel economy adjusted factor'!$A$2:$L$52,5,FALSE)*m2k))/'TCO Inputs'!$AZ$84</f>
        <v>101.32977167194312</v>
      </c>
      <c r="BD154" s="125">
        <f>BD43/293.07*(1/(VLOOKUP($AF154,'Fuel economy adjusted factor'!$A$2:$L$52,5,FALSE)*m2k))/'TCO Inputs'!$AZ$84</f>
        <v>101.32977167194312</v>
      </c>
      <c r="BE154" s="125">
        <f>BE43/293.07*(1/(VLOOKUP($AF154,'Fuel economy adjusted factor'!$A$2:$L$52,5,FALSE)*m2k))/'TCO Inputs'!$AZ$84</f>
        <v>101.32977167194312</v>
      </c>
      <c r="BF154" s="125">
        <f>BF43/293.07*(1/(VLOOKUP($AF154,'Fuel economy adjusted factor'!$A$2:$L$52,5,FALSE)*m2k))/'TCO Inputs'!$AZ$84</f>
        <v>101.32977167194312</v>
      </c>
      <c r="BG154" s="125">
        <f>BG43/293.07*(1/(VLOOKUP($AF154,'Fuel economy adjusted factor'!$A$2:$L$52,5,FALSE)*m2k))/'TCO Inputs'!$AZ$84</f>
        <v>101.32977167194312</v>
      </c>
      <c r="BH154" s="125">
        <f>BH43/293.07*(1/(VLOOKUP($AF154,'Fuel economy adjusted factor'!$A$2:$L$52,5,FALSE)*m2k))/'TCO Inputs'!$AZ$84</f>
        <v>101.32977167194312</v>
      </c>
      <c r="BI154" s="98" cm="1">
        <f t="array" ref="BI154">SUMPRODUCT(INDEX(AG154:BH154,,'TCO Inputs'!$AZ$12-2023+_xlfn.SEQUENCE('TCO Inputs'!$AZ$13))*INDEX('VKT US'!C102:AA102,,_xlfn.SEQUENCE('TCO Inputs'!$AZ$13)))*m2k*CONVERT(0.9072,"g","ton")</f>
        <v>32.005544997117049</v>
      </c>
      <c r="BL154" s="123" t="s">
        <v>222</v>
      </c>
      <c r="BM154" s="125">
        <f>BM43/293.07*(1/(VLOOKUP($BL154,'Fuel economy adjusted factor'!$A$2:$L$52,5,FALSE)*m2k))/'TCO Inputs'!$AZ$84</f>
        <v>75.32999464272126</v>
      </c>
      <c r="BN154" s="125">
        <f>BN43/293.07*(1/(VLOOKUP($BL154,'Fuel economy adjusted factor'!$A$2:$L$52,5,FALSE)*m2k))/'TCO Inputs'!$AZ$84</f>
        <v>75.32999464272126</v>
      </c>
      <c r="BO154" s="125">
        <f>BO43/293.07*(1/(VLOOKUP($BL154,'Fuel economy adjusted factor'!$A$2:$L$52,5,FALSE)*m2k))/'TCO Inputs'!$AZ$84</f>
        <v>75.32999464272126</v>
      </c>
      <c r="BP154" s="125">
        <f>BP43/293.07*(1/(VLOOKUP($BL154,'Fuel economy adjusted factor'!$A$2:$L$52,5,FALSE)*m2k))/'TCO Inputs'!$AZ$84</f>
        <v>75.32999464272126</v>
      </c>
      <c r="BQ154" s="125">
        <f>BQ43/293.07*(1/(VLOOKUP($BL154,'Fuel economy adjusted factor'!$A$2:$L$52,5,FALSE)*m2k))/'TCO Inputs'!$AZ$84</f>
        <v>75.32999464272126</v>
      </c>
      <c r="BR154" s="125">
        <f>BR43/293.07*(1/(VLOOKUP($BL154,'Fuel economy adjusted factor'!$A$2:$L$52,5,FALSE)*m2k))/'TCO Inputs'!$AZ$84</f>
        <v>75.32999464272126</v>
      </c>
      <c r="BS154" s="125">
        <f>BS43/293.07*(1/(VLOOKUP($BL154,'Fuel economy adjusted factor'!$A$2:$L$52,5,FALSE)*m2k))/'TCO Inputs'!$AZ$84</f>
        <v>75.32999464272126</v>
      </c>
      <c r="BT154" s="125">
        <f>BT43/293.07*(1/(VLOOKUP($BL154,'Fuel economy adjusted factor'!$A$2:$L$52,5,FALSE)*m2k))/'TCO Inputs'!$AZ$84</f>
        <v>75.32999464272126</v>
      </c>
      <c r="BU154" s="125">
        <f>BU43/293.07*(1/(VLOOKUP($BL154,'Fuel economy adjusted factor'!$A$2:$L$52,5,FALSE)*m2k))/'TCO Inputs'!$AZ$84</f>
        <v>75.32999464272126</v>
      </c>
      <c r="BV154" s="125">
        <f>BV43/293.07*(1/(VLOOKUP($BL154,'Fuel economy adjusted factor'!$A$2:$L$52,5,FALSE)*m2k))/'TCO Inputs'!$AZ$84</f>
        <v>75.32999464272126</v>
      </c>
      <c r="BW154" s="125">
        <f>BW43/293.07*(1/(VLOOKUP($BL154,'Fuel economy adjusted factor'!$A$2:$L$52,5,FALSE)*m2k))/'TCO Inputs'!$AZ$84</f>
        <v>75.32999464272126</v>
      </c>
      <c r="BX154" s="125">
        <f>BX43/293.07*(1/(VLOOKUP($BL154,'Fuel economy adjusted factor'!$A$2:$L$52,5,FALSE)*m2k))/'TCO Inputs'!$AZ$84</f>
        <v>75.32999464272126</v>
      </c>
      <c r="BY154" s="125">
        <f>BY43/293.07*(1/(VLOOKUP($BL154,'Fuel economy adjusted factor'!$A$2:$L$52,5,FALSE)*m2k))/'TCO Inputs'!$AZ$84</f>
        <v>75.32999464272126</v>
      </c>
      <c r="BZ154" s="125">
        <f>BZ43/293.07*(1/(VLOOKUP($BL154,'Fuel economy adjusted factor'!$A$2:$L$52,5,FALSE)*m2k))/'TCO Inputs'!$AZ$84</f>
        <v>75.32999464272126</v>
      </c>
      <c r="CA154" s="125">
        <f>CA43/293.07*(1/(VLOOKUP($BL154,'Fuel economy adjusted factor'!$A$2:$L$52,5,FALSE)*m2k))/'TCO Inputs'!$AZ$84</f>
        <v>75.32999464272126</v>
      </c>
      <c r="CB154" s="125">
        <f>CB43/293.07*(1/(VLOOKUP($BL154,'Fuel economy adjusted factor'!$A$2:$L$52,5,FALSE)*m2k))/'TCO Inputs'!$AZ$84</f>
        <v>75.32999464272126</v>
      </c>
      <c r="CC154" s="125">
        <f>CC43/293.07*(1/(VLOOKUP($BL154,'Fuel economy adjusted factor'!$A$2:$L$52,5,FALSE)*m2k))/'TCO Inputs'!$AZ$84</f>
        <v>75.32999464272126</v>
      </c>
      <c r="CD154" s="125">
        <f>CD43/293.07*(1/(VLOOKUP($BL154,'Fuel economy adjusted factor'!$A$2:$L$52,5,FALSE)*m2k))/'TCO Inputs'!$AZ$84</f>
        <v>75.32999464272126</v>
      </c>
      <c r="CE154" s="125">
        <f>CE43/293.07*(1/(VLOOKUP($BL154,'Fuel economy adjusted factor'!$A$2:$L$52,5,FALSE)*m2k))/'TCO Inputs'!$AZ$84</f>
        <v>75.32999464272126</v>
      </c>
      <c r="CF154" s="125">
        <f>CF43/293.07*(1/(VLOOKUP($BL154,'Fuel economy adjusted factor'!$A$2:$L$52,5,FALSE)*m2k))/'TCO Inputs'!$AZ$84</f>
        <v>75.32999464272126</v>
      </c>
      <c r="CG154" s="125">
        <f>CG43/293.07*(1/(VLOOKUP($BL154,'Fuel economy adjusted factor'!$A$2:$L$52,5,FALSE)*m2k))/'TCO Inputs'!$AZ$84</f>
        <v>75.32999464272126</v>
      </c>
      <c r="CH154" s="125">
        <f>CH43/293.07*(1/(VLOOKUP($BL154,'Fuel economy adjusted factor'!$A$2:$L$52,5,FALSE)*m2k))/'TCO Inputs'!$AZ$84</f>
        <v>75.32999464272126</v>
      </c>
      <c r="CI154" s="125">
        <f>CI43/293.07*(1/(VLOOKUP($BL154,'Fuel economy adjusted factor'!$A$2:$L$52,5,FALSE)*m2k))/'TCO Inputs'!$AZ$84</f>
        <v>75.32999464272126</v>
      </c>
      <c r="CJ154" s="125">
        <f>CJ43/293.07*(1/(VLOOKUP($BL154,'Fuel economy adjusted factor'!$A$2:$L$52,5,FALSE)*m2k))/'TCO Inputs'!$AZ$84</f>
        <v>75.32999464272126</v>
      </c>
      <c r="CK154" s="125">
        <f>CK43/293.07*(1/(VLOOKUP($BL154,'Fuel economy adjusted factor'!$A$2:$L$52,5,FALSE)*m2k))/'TCO Inputs'!$AZ$84</f>
        <v>75.32999464272126</v>
      </c>
      <c r="CL154" s="125">
        <f>CL43/293.07*(1/(VLOOKUP($BL154,'Fuel economy adjusted factor'!$A$2:$L$52,5,FALSE)*m2k))/'TCO Inputs'!$AZ$84</f>
        <v>75.32999464272126</v>
      </c>
      <c r="CM154" s="125">
        <f>CM43/293.07*(1/(VLOOKUP($BL154,'Fuel economy adjusted factor'!$A$2:$L$52,5,FALSE)*m2k))/'TCO Inputs'!$AZ$84</f>
        <v>75.32999464272126</v>
      </c>
      <c r="CN154" s="125">
        <f>CN43/293.07*(1/(VLOOKUP($BL154,'Fuel economy adjusted factor'!$A$2:$L$52,5,FALSE)*m2k))/'TCO Inputs'!$AZ$84</f>
        <v>75.32999464272126</v>
      </c>
      <c r="CO154" s="98" cm="1">
        <f t="array" ref="CO154">SUMPRODUCT(INDEX(BM154:CN154,,'TCO Inputs'!$AZ$12-2023+_xlfn.SEQUENCE('TCO Inputs'!$AZ$13))*INDEX('VKT US'!C102:AA102,,_xlfn.SEQUENCE('TCO Inputs'!$AZ$13)))*m2k*CONVERT(0.9072,"g","ton")</f>
        <v>23.793377734786407</v>
      </c>
    </row>
    <row r="155" spans="1:93" x14ac:dyDescent="0.25">
      <c r="A155" s="123" t="s">
        <v>223</v>
      </c>
      <c r="B155" s="125">
        <f>B44/293.07*(1/(VLOOKUP($A155,'Fuel economy adjusted factor'!$A$2:$L$52,5,FALSE)*m2k))/'TCO Inputs'!$AZ$84</f>
        <v>61.932645485967214</v>
      </c>
      <c r="C155" s="125">
        <f>C44/293.07*(1/(VLOOKUP($A155,'Fuel economy adjusted factor'!$A$2:$L$52,5,FALSE)*m2k))/'TCO Inputs'!$AZ$84</f>
        <v>61.932645485967214</v>
      </c>
      <c r="D155" s="125">
        <f>D44/293.07*(1/(VLOOKUP($A155,'Fuel economy adjusted factor'!$A$2:$L$52,5,FALSE)*m2k))/'TCO Inputs'!$AZ$84</f>
        <v>61.932645485967214</v>
      </c>
      <c r="E155" s="125">
        <f>E44/293.07*(1/(VLOOKUP($A155,'Fuel economy adjusted factor'!$A$2:$L$52,5,FALSE)*m2k))/'TCO Inputs'!$AZ$84</f>
        <v>61.932645485967214</v>
      </c>
      <c r="F155" s="125">
        <f>F44/293.07*(1/(VLOOKUP($A155,'Fuel economy adjusted factor'!$A$2:$L$52,5,FALSE)*m2k))/'TCO Inputs'!$AZ$84</f>
        <v>61.932645485967214</v>
      </c>
      <c r="G155" s="125">
        <f>G44/293.07*(1/(VLOOKUP($A155,'Fuel economy adjusted factor'!$A$2:$L$52,5,FALSE)*m2k))/'TCO Inputs'!$AZ$84</f>
        <v>61.932645485967214</v>
      </c>
      <c r="H155" s="125">
        <f>H44/293.07*(1/(VLOOKUP($A155,'Fuel economy adjusted factor'!$A$2:$L$52,5,FALSE)*m2k))/'TCO Inputs'!$AZ$84</f>
        <v>61.932645485967214</v>
      </c>
      <c r="I155" s="125">
        <f>I44/293.07*(1/(VLOOKUP($A155,'Fuel economy adjusted factor'!$A$2:$L$52,5,FALSE)*m2k))/'TCO Inputs'!$AZ$84</f>
        <v>61.932645485967214</v>
      </c>
      <c r="J155" s="125">
        <f>J44/293.07*(1/(VLOOKUP($A155,'Fuel economy adjusted factor'!$A$2:$L$52,5,FALSE)*m2k))/'TCO Inputs'!$AZ$84</f>
        <v>61.932645485967214</v>
      </c>
      <c r="K155" s="125">
        <f>K44/293.07*(1/(VLOOKUP($A155,'Fuel economy adjusted factor'!$A$2:$L$52,5,FALSE)*m2k))/'TCO Inputs'!$AZ$84</f>
        <v>61.932645485967214</v>
      </c>
      <c r="L155" s="125">
        <f>L44/293.07*(1/(VLOOKUP($A155,'Fuel economy adjusted factor'!$A$2:$L$52,5,FALSE)*m2k))/'TCO Inputs'!$AZ$84</f>
        <v>61.932645485967214</v>
      </c>
      <c r="M155" s="125">
        <f>M44/293.07*(1/(VLOOKUP($A155,'Fuel economy adjusted factor'!$A$2:$L$52,5,FALSE)*m2k))/'TCO Inputs'!$AZ$84</f>
        <v>61.932645485967214</v>
      </c>
      <c r="N155" s="125">
        <f>N44/293.07*(1/(VLOOKUP($A155,'Fuel economy adjusted factor'!$A$2:$L$52,5,FALSE)*m2k))/'TCO Inputs'!$AZ$84</f>
        <v>61.932645485967214</v>
      </c>
      <c r="O155" s="125">
        <f>O44/293.07*(1/(VLOOKUP($A155,'Fuel economy adjusted factor'!$A$2:$L$52,5,FALSE)*m2k))/'TCO Inputs'!$AZ$84</f>
        <v>61.932645485967214</v>
      </c>
      <c r="P155" s="125">
        <f>P44/293.07*(1/(VLOOKUP($A155,'Fuel economy adjusted factor'!$A$2:$L$52,5,FALSE)*m2k))/'TCO Inputs'!$AZ$84</f>
        <v>61.932645485967214</v>
      </c>
      <c r="Q155" s="125">
        <f>Q44/293.07*(1/(VLOOKUP($A155,'Fuel economy adjusted factor'!$A$2:$L$52,5,FALSE)*m2k))/'TCO Inputs'!$AZ$84</f>
        <v>61.932645485967214</v>
      </c>
      <c r="R155" s="125">
        <f>R44/293.07*(1/(VLOOKUP($A155,'Fuel economy adjusted factor'!$A$2:$L$52,5,FALSE)*m2k))/'TCO Inputs'!$AZ$84</f>
        <v>61.932645485967214</v>
      </c>
      <c r="S155" s="125">
        <f>S44/293.07*(1/(VLOOKUP($A155,'Fuel economy adjusted factor'!$A$2:$L$52,5,FALSE)*m2k))/'TCO Inputs'!$AZ$84</f>
        <v>61.932645485967214</v>
      </c>
      <c r="T155" s="125">
        <f>T44/293.07*(1/(VLOOKUP($A155,'Fuel economy adjusted factor'!$A$2:$L$52,5,FALSE)*m2k))/'TCO Inputs'!$AZ$84</f>
        <v>61.932645485967214</v>
      </c>
      <c r="U155" s="125">
        <f>U44/293.07*(1/(VLOOKUP($A155,'Fuel economy adjusted factor'!$A$2:$L$52,5,FALSE)*m2k))/'TCO Inputs'!$AZ$84</f>
        <v>61.932645485967214</v>
      </c>
      <c r="V155" s="125">
        <f>V44/293.07*(1/(VLOOKUP($A155,'Fuel economy adjusted factor'!$A$2:$L$52,5,FALSE)*m2k))/'TCO Inputs'!$AZ$84</f>
        <v>61.932645485967214</v>
      </c>
      <c r="W155" s="125">
        <f>W44/293.07*(1/(VLOOKUP($A155,'Fuel economy adjusted factor'!$A$2:$L$52,5,FALSE)*m2k))/'TCO Inputs'!$AZ$84</f>
        <v>61.932645485967214</v>
      </c>
      <c r="X155" s="125">
        <f>X44/293.07*(1/(VLOOKUP($A155,'Fuel economy adjusted factor'!$A$2:$L$52,5,FALSE)*m2k))/'TCO Inputs'!$AZ$84</f>
        <v>61.932645485967214</v>
      </c>
      <c r="Y155" s="125">
        <f>Y44/293.07*(1/(VLOOKUP($A155,'Fuel economy adjusted factor'!$A$2:$L$52,5,FALSE)*m2k))/'TCO Inputs'!$AZ$84</f>
        <v>61.932645485967214</v>
      </c>
      <c r="Z155" s="125">
        <f>Z44/293.07*(1/(VLOOKUP($A155,'Fuel economy adjusted factor'!$A$2:$L$52,5,FALSE)*m2k))/'TCO Inputs'!$AZ$84</f>
        <v>61.932645485967214</v>
      </c>
      <c r="AA155" s="125">
        <f>AA44/293.07*(1/(VLOOKUP($A155,'Fuel economy adjusted factor'!$A$2:$L$52,5,FALSE)*m2k))/'TCO Inputs'!$AZ$84</f>
        <v>61.932645485967214</v>
      </c>
      <c r="AB155" s="125">
        <f>AB44/293.07*(1/(VLOOKUP($A155,'Fuel economy adjusted factor'!$A$2:$L$52,5,FALSE)*m2k))/'TCO Inputs'!$AZ$84</f>
        <v>61.932645485967214</v>
      </c>
      <c r="AC155" s="125">
        <f>AC44/293.07*(1/(VLOOKUP($A155,'Fuel economy adjusted factor'!$A$2:$L$52,5,FALSE)*m2k))/'TCO Inputs'!$AZ$84</f>
        <v>61.932645485967214</v>
      </c>
      <c r="AD155" s="98" cm="1">
        <f t="array" ref="AD155">SUMPRODUCT(INDEX(B155:AC155,,'TCO Inputs'!$AZ$12-2023+_xlfn.SEQUENCE('TCO Inputs'!$AZ$13))*INDEX('VKT US'!C103:AA103,,_xlfn.SEQUENCE('TCO Inputs'!$AZ$13)))*m2k*CONVERT(0.9072,"g","ton")</f>
        <v>20.347314086614372</v>
      </c>
      <c r="AF155" s="123" t="s">
        <v>223</v>
      </c>
      <c r="AG155" s="125">
        <f>AG44/293.07*(1/(VLOOKUP($AF155,'Fuel economy adjusted factor'!$A$2:$L$52,5,FALSE)*m2k))/'TCO Inputs'!$AZ$84</f>
        <v>72.591738115475948</v>
      </c>
      <c r="AH155" s="125">
        <f>AH44/293.07*(1/(VLOOKUP($AF155,'Fuel economy adjusted factor'!$A$2:$L$52,5,FALSE)*m2k))/'TCO Inputs'!$AZ$84</f>
        <v>72.591738115475948</v>
      </c>
      <c r="AI155" s="125">
        <f>AI44/293.07*(1/(VLOOKUP($AF155,'Fuel economy adjusted factor'!$A$2:$L$52,5,FALSE)*m2k))/'TCO Inputs'!$AZ$84</f>
        <v>72.591738115475948</v>
      </c>
      <c r="AJ155" s="125">
        <f>AJ44/293.07*(1/(VLOOKUP($AF155,'Fuel economy adjusted factor'!$A$2:$L$52,5,FALSE)*m2k))/'TCO Inputs'!$AZ$84</f>
        <v>72.591738115475948</v>
      </c>
      <c r="AK155" s="125">
        <f>AK44/293.07*(1/(VLOOKUP($AF155,'Fuel economy adjusted factor'!$A$2:$L$52,5,FALSE)*m2k))/'TCO Inputs'!$AZ$84</f>
        <v>72.591738115475948</v>
      </c>
      <c r="AL155" s="125">
        <f>AL44/293.07*(1/(VLOOKUP($AF155,'Fuel economy adjusted factor'!$A$2:$L$52,5,FALSE)*m2k))/'TCO Inputs'!$AZ$84</f>
        <v>72.591738115475948</v>
      </c>
      <c r="AM155" s="125">
        <f>AM44/293.07*(1/(VLOOKUP($AF155,'Fuel economy adjusted factor'!$A$2:$L$52,5,FALSE)*m2k))/'TCO Inputs'!$AZ$84</f>
        <v>72.591738115475948</v>
      </c>
      <c r="AN155" s="125">
        <f>AN44/293.07*(1/(VLOOKUP($AF155,'Fuel economy adjusted factor'!$A$2:$L$52,5,FALSE)*m2k))/'TCO Inputs'!$AZ$84</f>
        <v>72.591738115475948</v>
      </c>
      <c r="AO155" s="125">
        <f>AO44/293.07*(1/(VLOOKUP($AF155,'Fuel economy adjusted factor'!$A$2:$L$52,5,FALSE)*m2k))/'TCO Inputs'!$AZ$84</f>
        <v>72.591738115475948</v>
      </c>
      <c r="AP155" s="125">
        <f>AP44/293.07*(1/(VLOOKUP($AF155,'Fuel economy adjusted factor'!$A$2:$L$52,5,FALSE)*m2k))/'TCO Inputs'!$AZ$84</f>
        <v>72.591738115475948</v>
      </c>
      <c r="AQ155" s="125">
        <f>AQ44/293.07*(1/(VLOOKUP($AF155,'Fuel economy adjusted factor'!$A$2:$L$52,5,FALSE)*m2k))/'TCO Inputs'!$AZ$84</f>
        <v>72.591738115475948</v>
      </c>
      <c r="AR155" s="125">
        <f>AR44/293.07*(1/(VLOOKUP($AF155,'Fuel economy adjusted factor'!$A$2:$L$52,5,FALSE)*m2k))/'TCO Inputs'!$AZ$84</f>
        <v>72.591738115475948</v>
      </c>
      <c r="AS155" s="125">
        <f>AS44/293.07*(1/(VLOOKUP($AF155,'Fuel economy adjusted factor'!$A$2:$L$52,5,FALSE)*m2k))/'TCO Inputs'!$AZ$84</f>
        <v>72.591738115475948</v>
      </c>
      <c r="AT155" s="125">
        <f>AT44/293.07*(1/(VLOOKUP($AF155,'Fuel economy adjusted factor'!$A$2:$L$52,5,FALSE)*m2k))/'TCO Inputs'!$AZ$84</f>
        <v>72.591738115475948</v>
      </c>
      <c r="AU155" s="125">
        <f>AU44/293.07*(1/(VLOOKUP($AF155,'Fuel economy adjusted factor'!$A$2:$L$52,5,FALSE)*m2k))/'TCO Inputs'!$AZ$84</f>
        <v>72.591738115475948</v>
      </c>
      <c r="AV155" s="125">
        <f>AV44/293.07*(1/(VLOOKUP($AF155,'Fuel economy adjusted factor'!$A$2:$L$52,5,FALSE)*m2k))/'TCO Inputs'!$AZ$84</f>
        <v>72.591738115475948</v>
      </c>
      <c r="AW155" s="125">
        <f>AW44/293.07*(1/(VLOOKUP($AF155,'Fuel economy adjusted factor'!$A$2:$L$52,5,FALSE)*m2k))/'TCO Inputs'!$AZ$84</f>
        <v>72.591738115475948</v>
      </c>
      <c r="AX155" s="125">
        <f>AX44/293.07*(1/(VLOOKUP($AF155,'Fuel economy adjusted factor'!$A$2:$L$52,5,FALSE)*m2k))/'TCO Inputs'!$AZ$84</f>
        <v>72.591738115475948</v>
      </c>
      <c r="AY155" s="125">
        <f>AY44/293.07*(1/(VLOOKUP($AF155,'Fuel economy adjusted factor'!$A$2:$L$52,5,FALSE)*m2k))/'TCO Inputs'!$AZ$84</f>
        <v>72.591738115475948</v>
      </c>
      <c r="AZ155" s="125">
        <f>AZ44/293.07*(1/(VLOOKUP($AF155,'Fuel economy adjusted factor'!$A$2:$L$52,5,FALSE)*m2k))/'TCO Inputs'!$AZ$84</f>
        <v>72.591738115475948</v>
      </c>
      <c r="BA155" s="125">
        <f>BA44/293.07*(1/(VLOOKUP($AF155,'Fuel economy adjusted factor'!$A$2:$L$52,5,FALSE)*m2k))/'TCO Inputs'!$AZ$84</f>
        <v>72.591738115475948</v>
      </c>
      <c r="BB155" s="125">
        <f>BB44/293.07*(1/(VLOOKUP($AF155,'Fuel economy adjusted factor'!$A$2:$L$52,5,FALSE)*m2k))/'TCO Inputs'!$AZ$84</f>
        <v>72.591738115475948</v>
      </c>
      <c r="BC155" s="125">
        <f>BC44/293.07*(1/(VLOOKUP($AF155,'Fuel economy adjusted factor'!$A$2:$L$52,5,FALSE)*m2k))/'TCO Inputs'!$AZ$84</f>
        <v>72.591738115475948</v>
      </c>
      <c r="BD155" s="125">
        <f>BD44/293.07*(1/(VLOOKUP($AF155,'Fuel economy adjusted factor'!$A$2:$L$52,5,FALSE)*m2k))/'TCO Inputs'!$AZ$84</f>
        <v>72.591738115475948</v>
      </c>
      <c r="BE155" s="125">
        <f>BE44/293.07*(1/(VLOOKUP($AF155,'Fuel economy adjusted factor'!$A$2:$L$52,5,FALSE)*m2k))/'TCO Inputs'!$AZ$84</f>
        <v>72.591738115475948</v>
      </c>
      <c r="BF155" s="125">
        <f>BF44/293.07*(1/(VLOOKUP($AF155,'Fuel economy adjusted factor'!$A$2:$L$52,5,FALSE)*m2k))/'TCO Inputs'!$AZ$84</f>
        <v>72.591738115475948</v>
      </c>
      <c r="BG155" s="125">
        <f>BG44/293.07*(1/(VLOOKUP($AF155,'Fuel economy adjusted factor'!$A$2:$L$52,5,FALSE)*m2k))/'TCO Inputs'!$AZ$84</f>
        <v>72.591738115475948</v>
      </c>
      <c r="BH155" s="125">
        <f>BH44/293.07*(1/(VLOOKUP($AF155,'Fuel economy adjusted factor'!$A$2:$L$52,5,FALSE)*m2k))/'TCO Inputs'!$AZ$84</f>
        <v>72.591738115475948</v>
      </c>
      <c r="BI155" s="98" cm="1">
        <f t="array" ref="BI155">SUMPRODUCT(INDEX(AG155:BH155,,'TCO Inputs'!$AZ$12-2023+_xlfn.SEQUENCE('TCO Inputs'!$AZ$13))*INDEX('VKT US'!C103:AA103,,_xlfn.SEQUENCE('TCO Inputs'!$AZ$13)))*m2k*CONVERT(0.9072,"g","ton")</f>
        <v>23.849245966144249</v>
      </c>
      <c r="BL155" s="123" t="s">
        <v>223</v>
      </c>
      <c r="BM155" s="125">
        <f>BM44/293.07*(1/(VLOOKUP($BL155,'Fuel economy adjusted factor'!$A$2:$L$52,5,FALSE)*m2k))/'TCO Inputs'!$AZ$84</f>
        <v>53.965731424407608</v>
      </c>
      <c r="BN155" s="125">
        <f>BN44/293.07*(1/(VLOOKUP($BL155,'Fuel economy adjusted factor'!$A$2:$L$52,5,FALSE)*m2k))/'TCO Inputs'!$AZ$84</f>
        <v>53.965731424407608</v>
      </c>
      <c r="BO155" s="125">
        <f>BO44/293.07*(1/(VLOOKUP($BL155,'Fuel economy adjusted factor'!$A$2:$L$52,5,FALSE)*m2k))/'TCO Inputs'!$AZ$84</f>
        <v>53.965731424407608</v>
      </c>
      <c r="BP155" s="125">
        <f>BP44/293.07*(1/(VLOOKUP($BL155,'Fuel economy adjusted factor'!$A$2:$L$52,5,FALSE)*m2k))/'TCO Inputs'!$AZ$84</f>
        <v>53.965731424407608</v>
      </c>
      <c r="BQ155" s="125">
        <f>BQ44/293.07*(1/(VLOOKUP($BL155,'Fuel economy adjusted factor'!$A$2:$L$52,5,FALSE)*m2k))/'TCO Inputs'!$AZ$84</f>
        <v>53.965731424407608</v>
      </c>
      <c r="BR155" s="125">
        <f>BR44/293.07*(1/(VLOOKUP($BL155,'Fuel economy adjusted factor'!$A$2:$L$52,5,FALSE)*m2k))/'TCO Inputs'!$AZ$84</f>
        <v>53.965731424407608</v>
      </c>
      <c r="BS155" s="125">
        <f>BS44/293.07*(1/(VLOOKUP($BL155,'Fuel economy adjusted factor'!$A$2:$L$52,5,FALSE)*m2k))/'TCO Inputs'!$AZ$84</f>
        <v>53.965731424407608</v>
      </c>
      <c r="BT155" s="125">
        <f>BT44/293.07*(1/(VLOOKUP($BL155,'Fuel economy adjusted factor'!$A$2:$L$52,5,FALSE)*m2k))/'TCO Inputs'!$AZ$84</f>
        <v>53.965731424407608</v>
      </c>
      <c r="BU155" s="125">
        <f>BU44/293.07*(1/(VLOOKUP($BL155,'Fuel economy adjusted factor'!$A$2:$L$52,5,FALSE)*m2k))/'TCO Inputs'!$AZ$84</f>
        <v>53.965731424407608</v>
      </c>
      <c r="BV155" s="125">
        <f>BV44/293.07*(1/(VLOOKUP($BL155,'Fuel economy adjusted factor'!$A$2:$L$52,5,FALSE)*m2k))/'TCO Inputs'!$AZ$84</f>
        <v>53.965731424407608</v>
      </c>
      <c r="BW155" s="125">
        <f>BW44/293.07*(1/(VLOOKUP($BL155,'Fuel economy adjusted factor'!$A$2:$L$52,5,FALSE)*m2k))/'TCO Inputs'!$AZ$84</f>
        <v>53.965731424407608</v>
      </c>
      <c r="BX155" s="125">
        <f>BX44/293.07*(1/(VLOOKUP($BL155,'Fuel economy adjusted factor'!$A$2:$L$52,5,FALSE)*m2k))/'TCO Inputs'!$AZ$84</f>
        <v>53.965731424407608</v>
      </c>
      <c r="BY155" s="125">
        <f>BY44/293.07*(1/(VLOOKUP($BL155,'Fuel economy adjusted factor'!$A$2:$L$52,5,FALSE)*m2k))/'TCO Inputs'!$AZ$84</f>
        <v>53.965731424407608</v>
      </c>
      <c r="BZ155" s="125">
        <f>BZ44/293.07*(1/(VLOOKUP($BL155,'Fuel economy adjusted factor'!$A$2:$L$52,5,FALSE)*m2k))/'TCO Inputs'!$AZ$84</f>
        <v>53.965731424407608</v>
      </c>
      <c r="CA155" s="125">
        <f>CA44/293.07*(1/(VLOOKUP($BL155,'Fuel economy adjusted factor'!$A$2:$L$52,5,FALSE)*m2k))/'TCO Inputs'!$AZ$84</f>
        <v>53.965731424407608</v>
      </c>
      <c r="CB155" s="125">
        <f>CB44/293.07*(1/(VLOOKUP($BL155,'Fuel economy adjusted factor'!$A$2:$L$52,5,FALSE)*m2k))/'TCO Inputs'!$AZ$84</f>
        <v>53.965731424407608</v>
      </c>
      <c r="CC155" s="125">
        <f>CC44/293.07*(1/(VLOOKUP($BL155,'Fuel economy adjusted factor'!$A$2:$L$52,5,FALSE)*m2k))/'TCO Inputs'!$AZ$84</f>
        <v>53.965731424407608</v>
      </c>
      <c r="CD155" s="125">
        <f>CD44/293.07*(1/(VLOOKUP($BL155,'Fuel economy adjusted factor'!$A$2:$L$52,5,FALSE)*m2k))/'TCO Inputs'!$AZ$84</f>
        <v>53.965731424407608</v>
      </c>
      <c r="CE155" s="125">
        <f>CE44/293.07*(1/(VLOOKUP($BL155,'Fuel economy adjusted factor'!$A$2:$L$52,5,FALSE)*m2k))/'TCO Inputs'!$AZ$84</f>
        <v>53.965731424407608</v>
      </c>
      <c r="CF155" s="125">
        <f>CF44/293.07*(1/(VLOOKUP($BL155,'Fuel economy adjusted factor'!$A$2:$L$52,5,FALSE)*m2k))/'TCO Inputs'!$AZ$84</f>
        <v>53.965731424407608</v>
      </c>
      <c r="CG155" s="125">
        <f>CG44/293.07*(1/(VLOOKUP($BL155,'Fuel economy adjusted factor'!$A$2:$L$52,5,FALSE)*m2k))/'TCO Inputs'!$AZ$84</f>
        <v>53.965731424407608</v>
      </c>
      <c r="CH155" s="125">
        <f>CH44/293.07*(1/(VLOOKUP($BL155,'Fuel economy adjusted factor'!$A$2:$L$52,5,FALSE)*m2k))/'TCO Inputs'!$AZ$84</f>
        <v>53.965731424407608</v>
      </c>
      <c r="CI155" s="125">
        <f>CI44/293.07*(1/(VLOOKUP($BL155,'Fuel economy adjusted factor'!$A$2:$L$52,5,FALSE)*m2k))/'TCO Inputs'!$AZ$84</f>
        <v>53.965731424407608</v>
      </c>
      <c r="CJ155" s="125">
        <f>CJ44/293.07*(1/(VLOOKUP($BL155,'Fuel economy adjusted factor'!$A$2:$L$52,5,FALSE)*m2k))/'TCO Inputs'!$AZ$84</f>
        <v>53.965731424407608</v>
      </c>
      <c r="CK155" s="125">
        <f>CK44/293.07*(1/(VLOOKUP($BL155,'Fuel economy adjusted factor'!$A$2:$L$52,5,FALSE)*m2k))/'TCO Inputs'!$AZ$84</f>
        <v>53.965731424407608</v>
      </c>
      <c r="CL155" s="125">
        <f>CL44/293.07*(1/(VLOOKUP($BL155,'Fuel economy adjusted factor'!$A$2:$L$52,5,FALSE)*m2k))/'TCO Inputs'!$AZ$84</f>
        <v>53.965731424407608</v>
      </c>
      <c r="CM155" s="125">
        <f>CM44/293.07*(1/(VLOOKUP($BL155,'Fuel economy adjusted factor'!$A$2:$L$52,5,FALSE)*m2k))/'TCO Inputs'!$AZ$84</f>
        <v>53.965731424407608</v>
      </c>
      <c r="CN155" s="125">
        <f>CN44/293.07*(1/(VLOOKUP($BL155,'Fuel economy adjusted factor'!$A$2:$L$52,5,FALSE)*m2k))/'TCO Inputs'!$AZ$84</f>
        <v>53.965731424407608</v>
      </c>
      <c r="CO155" s="98" cm="1">
        <f t="array" ref="CO155">SUMPRODUCT(INDEX(BM155:CN155,,'TCO Inputs'!$AZ$12-2023+_xlfn.SEQUENCE('TCO Inputs'!$AZ$13))*INDEX('VKT US'!C103:AA103,,_xlfn.SEQUENCE('TCO Inputs'!$AZ$13)))*m2k*CONVERT(0.9072,"g","ton")</f>
        <v>17.729868934068001</v>
      </c>
    </row>
    <row r="156" spans="1:93" x14ac:dyDescent="0.25">
      <c r="A156" s="123" t="s">
        <v>224</v>
      </c>
      <c r="B156" s="125">
        <f>B45/293.07*(1/(VLOOKUP($A156,'Fuel economy adjusted factor'!$A$2:$L$52,5,FALSE)*m2k))/'TCO Inputs'!$AZ$84</f>
        <v>96.652891473675353</v>
      </c>
      <c r="C156" s="125">
        <f>C45/293.07*(1/(VLOOKUP($A156,'Fuel economy adjusted factor'!$A$2:$L$52,5,FALSE)*m2k))/'TCO Inputs'!$AZ$84</f>
        <v>96.652891473675353</v>
      </c>
      <c r="D156" s="125">
        <f>D45/293.07*(1/(VLOOKUP($A156,'Fuel economy adjusted factor'!$A$2:$L$52,5,FALSE)*m2k))/'TCO Inputs'!$AZ$84</f>
        <v>96.652891473675353</v>
      </c>
      <c r="E156" s="125">
        <f>E45/293.07*(1/(VLOOKUP($A156,'Fuel economy adjusted factor'!$A$2:$L$52,5,FALSE)*m2k))/'TCO Inputs'!$AZ$84</f>
        <v>96.652891473675353</v>
      </c>
      <c r="F156" s="125">
        <f>F45/293.07*(1/(VLOOKUP($A156,'Fuel economy adjusted factor'!$A$2:$L$52,5,FALSE)*m2k))/'TCO Inputs'!$AZ$84</f>
        <v>96.652891473675353</v>
      </c>
      <c r="G156" s="125">
        <f>G45/293.07*(1/(VLOOKUP($A156,'Fuel economy adjusted factor'!$A$2:$L$52,5,FALSE)*m2k))/'TCO Inputs'!$AZ$84</f>
        <v>96.652891473675353</v>
      </c>
      <c r="H156" s="125">
        <f>H45/293.07*(1/(VLOOKUP($A156,'Fuel economy adjusted factor'!$A$2:$L$52,5,FALSE)*m2k))/'TCO Inputs'!$AZ$84</f>
        <v>96.652891473675353</v>
      </c>
      <c r="I156" s="125">
        <f>I45/293.07*(1/(VLOOKUP($A156,'Fuel economy adjusted factor'!$A$2:$L$52,5,FALSE)*m2k))/'TCO Inputs'!$AZ$84</f>
        <v>96.652891473675353</v>
      </c>
      <c r="J156" s="125">
        <f>J45/293.07*(1/(VLOOKUP($A156,'Fuel economy adjusted factor'!$A$2:$L$52,5,FALSE)*m2k))/'TCO Inputs'!$AZ$84</f>
        <v>96.652891473675353</v>
      </c>
      <c r="K156" s="125">
        <f>K45/293.07*(1/(VLOOKUP($A156,'Fuel economy adjusted factor'!$A$2:$L$52,5,FALSE)*m2k))/'TCO Inputs'!$AZ$84</f>
        <v>96.652891473675353</v>
      </c>
      <c r="L156" s="125">
        <f>L45/293.07*(1/(VLOOKUP($A156,'Fuel economy adjusted factor'!$A$2:$L$52,5,FALSE)*m2k))/'TCO Inputs'!$AZ$84</f>
        <v>96.652891473675353</v>
      </c>
      <c r="M156" s="125">
        <f>M45/293.07*(1/(VLOOKUP($A156,'Fuel economy adjusted factor'!$A$2:$L$52,5,FALSE)*m2k))/'TCO Inputs'!$AZ$84</f>
        <v>96.652891473675353</v>
      </c>
      <c r="N156" s="125">
        <f>N45/293.07*(1/(VLOOKUP($A156,'Fuel economy adjusted factor'!$A$2:$L$52,5,FALSE)*m2k))/'TCO Inputs'!$AZ$84</f>
        <v>96.652891473675353</v>
      </c>
      <c r="O156" s="125">
        <f>O45/293.07*(1/(VLOOKUP($A156,'Fuel economy adjusted factor'!$A$2:$L$52,5,FALSE)*m2k))/'TCO Inputs'!$AZ$84</f>
        <v>96.652891473675353</v>
      </c>
      <c r="P156" s="125">
        <f>P45/293.07*(1/(VLOOKUP($A156,'Fuel economy adjusted factor'!$A$2:$L$52,5,FALSE)*m2k))/'TCO Inputs'!$AZ$84</f>
        <v>96.652891473675353</v>
      </c>
      <c r="Q156" s="125">
        <f>Q45/293.07*(1/(VLOOKUP($A156,'Fuel economy adjusted factor'!$A$2:$L$52,5,FALSE)*m2k))/'TCO Inputs'!$AZ$84</f>
        <v>96.652891473675353</v>
      </c>
      <c r="R156" s="125">
        <f>R45/293.07*(1/(VLOOKUP($A156,'Fuel economy adjusted factor'!$A$2:$L$52,5,FALSE)*m2k))/'TCO Inputs'!$AZ$84</f>
        <v>96.652891473675353</v>
      </c>
      <c r="S156" s="125">
        <f>S45/293.07*(1/(VLOOKUP($A156,'Fuel economy adjusted factor'!$A$2:$L$52,5,FALSE)*m2k))/'TCO Inputs'!$AZ$84</f>
        <v>96.652891473675353</v>
      </c>
      <c r="T156" s="125">
        <f>T45/293.07*(1/(VLOOKUP($A156,'Fuel economy adjusted factor'!$A$2:$L$52,5,FALSE)*m2k))/'TCO Inputs'!$AZ$84</f>
        <v>96.652891473675353</v>
      </c>
      <c r="U156" s="125">
        <f>U45/293.07*(1/(VLOOKUP($A156,'Fuel economy adjusted factor'!$A$2:$L$52,5,FALSE)*m2k))/'TCO Inputs'!$AZ$84</f>
        <v>96.652891473675353</v>
      </c>
      <c r="V156" s="125">
        <f>V45/293.07*(1/(VLOOKUP($A156,'Fuel economy adjusted factor'!$A$2:$L$52,5,FALSE)*m2k))/'TCO Inputs'!$AZ$84</f>
        <v>96.652891473675353</v>
      </c>
      <c r="W156" s="125">
        <f>W45/293.07*(1/(VLOOKUP($A156,'Fuel economy adjusted factor'!$A$2:$L$52,5,FALSE)*m2k))/'TCO Inputs'!$AZ$84</f>
        <v>96.652891473675353</v>
      </c>
      <c r="X156" s="125">
        <f>X45/293.07*(1/(VLOOKUP($A156,'Fuel economy adjusted factor'!$A$2:$L$52,5,FALSE)*m2k))/'TCO Inputs'!$AZ$84</f>
        <v>96.652891473675353</v>
      </c>
      <c r="Y156" s="125">
        <f>Y45/293.07*(1/(VLOOKUP($A156,'Fuel economy adjusted factor'!$A$2:$L$52,5,FALSE)*m2k))/'TCO Inputs'!$AZ$84</f>
        <v>96.652891473675353</v>
      </c>
      <c r="Z156" s="125">
        <f>Z45/293.07*(1/(VLOOKUP($A156,'Fuel economy adjusted factor'!$A$2:$L$52,5,FALSE)*m2k))/'TCO Inputs'!$AZ$84</f>
        <v>96.652891473675353</v>
      </c>
      <c r="AA156" s="125">
        <f>AA45/293.07*(1/(VLOOKUP($A156,'Fuel economy adjusted factor'!$A$2:$L$52,5,FALSE)*m2k))/'TCO Inputs'!$AZ$84</f>
        <v>96.652891473675353</v>
      </c>
      <c r="AB156" s="125">
        <f>AB45/293.07*(1/(VLOOKUP($A156,'Fuel economy adjusted factor'!$A$2:$L$52,5,FALSE)*m2k))/'TCO Inputs'!$AZ$84</f>
        <v>96.652891473675353</v>
      </c>
      <c r="AC156" s="125">
        <f>AC45/293.07*(1/(VLOOKUP($A156,'Fuel economy adjusted factor'!$A$2:$L$52,5,FALSE)*m2k))/'TCO Inputs'!$AZ$84</f>
        <v>96.652891473675353</v>
      </c>
      <c r="AD156" s="98" cm="1">
        <f t="array" ref="AD156">SUMPRODUCT(INDEX(B156:AC156,,'TCO Inputs'!$AZ$12-2023+_xlfn.SEQUENCE('TCO Inputs'!$AZ$13))*INDEX('VKT US'!C104:AA104,,_xlfn.SEQUENCE('TCO Inputs'!$AZ$13)))*m2k*CONVERT(0.9072,"g","ton")</f>
        <v>31.235295114922135</v>
      </c>
      <c r="AF156" s="123" t="s">
        <v>224</v>
      </c>
      <c r="AG156" s="125">
        <f>AG45/293.07*(1/(VLOOKUP($AF156,'Fuel economy adjusted factor'!$A$2:$L$52,5,FALSE)*m2k))/'TCO Inputs'!$AZ$84</f>
        <v>113.28760996573769</v>
      </c>
      <c r="AH156" s="125">
        <f>AH45/293.07*(1/(VLOOKUP($AF156,'Fuel economy adjusted factor'!$A$2:$L$52,5,FALSE)*m2k))/'TCO Inputs'!$AZ$84</f>
        <v>113.28760996573769</v>
      </c>
      <c r="AI156" s="125">
        <f>AI45/293.07*(1/(VLOOKUP($AF156,'Fuel economy adjusted factor'!$A$2:$L$52,5,FALSE)*m2k))/'TCO Inputs'!$AZ$84</f>
        <v>113.28760996573769</v>
      </c>
      <c r="AJ156" s="125">
        <f>AJ45/293.07*(1/(VLOOKUP($AF156,'Fuel economy adjusted factor'!$A$2:$L$52,5,FALSE)*m2k))/'TCO Inputs'!$AZ$84</f>
        <v>113.28760996573769</v>
      </c>
      <c r="AK156" s="125">
        <f>AK45/293.07*(1/(VLOOKUP($AF156,'Fuel economy adjusted factor'!$A$2:$L$52,5,FALSE)*m2k))/'TCO Inputs'!$AZ$84</f>
        <v>113.28760996573769</v>
      </c>
      <c r="AL156" s="125">
        <f>AL45/293.07*(1/(VLOOKUP($AF156,'Fuel economy adjusted factor'!$A$2:$L$52,5,FALSE)*m2k))/'TCO Inputs'!$AZ$84</f>
        <v>113.28760996573769</v>
      </c>
      <c r="AM156" s="125">
        <f>AM45/293.07*(1/(VLOOKUP($AF156,'Fuel economy adjusted factor'!$A$2:$L$52,5,FALSE)*m2k))/'TCO Inputs'!$AZ$84</f>
        <v>113.28760996573769</v>
      </c>
      <c r="AN156" s="125">
        <f>AN45/293.07*(1/(VLOOKUP($AF156,'Fuel economy adjusted factor'!$A$2:$L$52,5,FALSE)*m2k))/'TCO Inputs'!$AZ$84</f>
        <v>113.28760996573769</v>
      </c>
      <c r="AO156" s="125">
        <f>AO45/293.07*(1/(VLOOKUP($AF156,'Fuel economy adjusted factor'!$A$2:$L$52,5,FALSE)*m2k))/'TCO Inputs'!$AZ$84</f>
        <v>113.28760996573769</v>
      </c>
      <c r="AP156" s="125">
        <f>AP45/293.07*(1/(VLOOKUP($AF156,'Fuel economy adjusted factor'!$A$2:$L$52,5,FALSE)*m2k))/'TCO Inputs'!$AZ$84</f>
        <v>113.28760996573769</v>
      </c>
      <c r="AQ156" s="125">
        <f>AQ45/293.07*(1/(VLOOKUP($AF156,'Fuel economy adjusted factor'!$A$2:$L$52,5,FALSE)*m2k))/'TCO Inputs'!$AZ$84</f>
        <v>113.28760996573769</v>
      </c>
      <c r="AR156" s="125">
        <f>AR45/293.07*(1/(VLOOKUP($AF156,'Fuel economy adjusted factor'!$A$2:$L$52,5,FALSE)*m2k))/'TCO Inputs'!$AZ$84</f>
        <v>113.28760996573769</v>
      </c>
      <c r="AS156" s="125">
        <f>AS45/293.07*(1/(VLOOKUP($AF156,'Fuel economy adjusted factor'!$A$2:$L$52,5,FALSE)*m2k))/'TCO Inputs'!$AZ$84</f>
        <v>113.28760996573769</v>
      </c>
      <c r="AT156" s="125">
        <f>AT45/293.07*(1/(VLOOKUP($AF156,'Fuel economy adjusted factor'!$A$2:$L$52,5,FALSE)*m2k))/'TCO Inputs'!$AZ$84</f>
        <v>113.28760996573769</v>
      </c>
      <c r="AU156" s="125">
        <f>AU45/293.07*(1/(VLOOKUP($AF156,'Fuel economy adjusted factor'!$A$2:$L$52,5,FALSE)*m2k))/'TCO Inputs'!$AZ$84</f>
        <v>113.28760996573769</v>
      </c>
      <c r="AV156" s="125">
        <f>AV45/293.07*(1/(VLOOKUP($AF156,'Fuel economy adjusted factor'!$A$2:$L$52,5,FALSE)*m2k))/'TCO Inputs'!$AZ$84</f>
        <v>113.28760996573769</v>
      </c>
      <c r="AW156" s="125">
        <f>AW45/293.07*(1/(VLOOKUP($AF156,'Fuel economy adjusted factor'!$A$2:$L$52,5,FALSE)*m2k))/'TCO Inputs'!$AZ$84</f>
        <v>113.28760996573769</v>
      </c>
      <c r="AX156" s="125">
        <f>AX45/293.07*(1/(VLOOKUP($AF156,'Fuel economy adjusted factor'!$A$2:$L$52,5,FALSE)*m2k))/'TCO Inputs'!$AZ$84</f>
        <v>113.28760996573769</v>
      </c>
      <c r="AY156" s="125">
        <f>AY45/293.07*(1/(VLOOKUP($AF156,'Fuel economy adjusted factor'!$A$2:$L$52,5,FALSE)*m2k))/'TCO Inputs'!$AZ$84</f>
        <v>113.28760996573769</v>
      </c>
      <c r="AZ156" s="125">
        <f>AZ45/293.07*(1/(VLOOKUP($AF156,'Fuel economy adjusted factor'!$A$2:$L$52,5,FALSE)*m2k))/'TCO Inputs'!$AZ$84</f>
        <v>113.28760996573769</v>
      </c>
      <c r="BA156" s="125">
        <f>BA45/293.07*(1/(VLOOKUP($AF156,'Fuel economy adjusted factor'!$A$2:$L$52,5,FALSE)*m2k))/'TCO Inputs'!$AZ$84</f>
        <v>113.28760996573769</v>
      </c>
      <c r="BB156" s="125">
        <f>BB45/293.07*(1/(VLOOKUP($AF156,'Fuel economy adjusted factor'!$A$2:$L$52,5,FALSE)*m2k))/'TCO Inputs'!$AZ$84</f>
        <v>113.28760996573769</v>
      </c>
      <c r="BC156" s="125">
        <f>BC45/293.07*(1/(VLOOKUP($AF156,'Fuel economy adjusted factor'!$A$2:$L$52,5,FALSE)*m2k))/'TCO Inputs'!$AZ$84</f>
        <v>113.28760996573769</v>
      </c>
      <c r="BD156" s="125">
        <f>BD45/293.07*(1/(VLOOKUP($AF156,'Fuel economy adjusted factor'!$A$2:$L$52,5,FALSE)*m2k))/'TCO Inputs'!$AZ$84</f>
        <v>113.28760996573769</v>
      </c>
      <c r="BE156" s="125">
        <f>BE45/293.07*(1/(VLOOKUP($AF156,'Fuel economy adjusted factor'!$A$2:$L$52,5,FALSE)*m2k))/'TCO Inputs'!$AZ$84</f>
        <v>113.28760996573769</v>
      </c>
      <c r="BF156" s="125">
        <f>BF45/293.07*(1/(VLOOKUP($AF156,'Fuel economy adjusted factor'!$A$2:$L$52,5,FALSE)*m2k))/'TCO Inputs'!$AZ$84</f>
        <v>113.28760996573769</v>
      </c>
      <c r="BG156" s="125">
        <f>BG45/293.07*(1/(VLOOKUP($AF156,'Fuel economy adjusted factor'!$A$2:$L$52,5,FALSE)*m2k))/'TCO Inputs'!$AZ$84</f>
        <v>113.28760996573769</v>
      </c>
      <c r="BH156" s="125">
        <f>BH45/293.07*(1/(VLOOKUP($AF156,'Fuel economy adjusted factor'!$A$2:$L$52,5,FALSE)*m2k))/'TCO Inputs'!$AZ$84</f>
        <v>113.28760996573769</v>
      </c>
      <c r="BI156" s="98" cm="1">
        <f t="array" ref="BI156">SUMPRODUCT(INDEX(AG156:BH156,,'TCO Inputs'!$AZ$12-2023+_xlfn.SEQUENCE('TCO Inputs'!$AZ$13))*INDEX('VKT US'!C104:AA104,,_xlfn.SEQUENCE('TCO Inputs'!$AZ$13)))*m2k*CONVERT(0.9072,"g","ton")</f>
        <v>36.611133678373037</v>
      </c>
      <c r="BL156" s="123" t="s">
        <v>224</v>
      </c>
      <c r="BM156" s="125">
        <f>BM45/293.07*(1/(VLOOKUP($BL156,'Fuel economy adjusted factor'!$A$2:$L$52,5,FALSE)*m2k))/'TCO Inputs'!$AZ$84</f>
        <v>84.219621844550701</v>
      </c>
      <c r="BN156" s="125">
        <f>BN45/293.07*(1/(VLOOKUP($BL156,'Fuel economy adjusted factor'!$A$2:$L$52,5,FALSE)*m2k))/'TCO Inputs'!$AZ$84</f>
        <v>84.219621844550701</v>
      </c>
      <c r="BO156" s="125">
        <f>BO45/293.07*(1/(VLOOKUP($BL156,'Fuel economy adjusted factor'!$A$2:$L$52,5,FALSE)*m2k))/'TCO Inputs'!$AZ$84</f>
        <v>84.219621844550701</v>
      </c>
      <c r="BP156" s="125">
        <f>BP45/293.07*(1/(VLOOKUP($BL156,'Fuel economy adjusted factor'!$A$2:$L$52,5,FALSE)*m2k))/'TCO Inputs'!$AZ$84</f>
        <v>84.219621844550701</v>
      </c>
      <c r="BQ156" s="125">
        <f>BQ45/293.07*(1/(VLOOKUP($BL156,'Fuel economy adjusted factor'!$A$2:$L$52,5,FALSE)*m2k))/'TCO Inputs'!$AZ$84</f>
        <v>84.219621844550701</v>
      </c>
      <c r="BR156" s="125">
        <f>BR45/293.07*(1/(VLOOKUP($BL156,'Fuel economy adjusted factor'!$A$2:$L$52,5,FALSE)*m2k))/'TCO Inputs'!$AZ$84</f>
        <v>84.219621844550701</v>
      </c>
      <c r="BS156" s="125">
        <f>BS45/293.07*(1/(VLOOKUP($BL156,'Fuel economy adjusted factor'!$A$2:$L$52,5,FALSE)*m2k))/'TCO Inputs'!$AZ$84</f>
        <v>84.219621844550701</v>
      </c>
      <c r="BT156" s="125">
        <f>BT45/293.07*(1/(VLOOKUP($BL156,'Fuel economy adjusted factor'!$A$2:$L$52,5,FALSE)*m2k))/'TCO Inputs'!$AZ$84</f>
        <v>84.219621844550701</v>
      </c>
      <c r="BU156" s="125">
        <f>BU45/293.07*(1/(VLOOKUP($BL156,'Fuel economy adjusted factor'!$A$2:$L$52,5,FALSE)*m2k))/'TCO Inputs'!$AZ$84</f>
        <v>84.219621844550701</v>
      </c>
      <c r="BV156" s="125">
        <f>BV45/293.07*(1/(VLOOKUP($BL156,'Fuel economy adjusted factor'!$A$2:$L$52,5,FALSE)*m2k))/'TCO Inputs'!$AZ$84</f>
        <v>84.219621844550701</v>
      </c>
      <c r="BW156" s="125">
        <f>BW45/293.07*(1/(VLOOKUP($BL156,'Fuel economy adjusted factor'!$A$2:$L$52,5,FALSE)*m2k))/'TCO Inputs'!$AZ$84</f>
        <v>84.219621844550701</v>
      </c>
      <c r="BX156" s="125">
        <f>BX45/293.07*(1/(VLOOKUP($BL156,'Fuel economy adjusted factor'!$A$2:$L$52,5,FALSE)*m2k))/'TCO Inputs'!$AZ$84</f>
        <v>84.219621844550701</v>
      </c>
      <c r="BY156" s="125">
        <f>BY45/293.07*(1/(VLOOKUP($BL156,'Fuel economy adjusted factor'!$A$2:$L$52,5,FALSE)*m2k))/'TCO Inputs'!$AZ$84</f>
        <v>84.219621844550701</v>
      </c>
      <c r="BZ156" s="125">
        <f>BZ45/293.07*(1/(VLOOKUP($BL156,'Fuel economy adjusted factor'!$A$2:$L$52,5,FALSE)*m2k))/'TCO Inputs'!$AZ$84</f>
        <v>84.219621844550701</v>
      </c>
      <c r="CA156" s="125">
        <f>CA45/293.07*(1/(VLOOKUP($BL156,'Fuel economy adjusted factor'!$A$2:$L$52,5,FALSE)*m2k))/'TCO Inputs'!$AZ$84</f>
        <v>84.219621844550701</v>
      </c>
      <c r="CB156" s="125">
        <f>CB45/293.07*(1/(VLOOKUP($BL156,'Fuel economy adjusted factor'!$A$2:$L$52,5,FALSE)*m2k))/'TCO Inputs'!$AZ$84</f>
        <v>84.219621844550701</v>
      </c>
      <c r="CC156" s="125">
        <f>CC45/293.07*(1/(VLOOKUP($BL156,'Fuel economy adjusted factor'!$A$2:$L$52,5,FALSE)*m2k))/'TCO Inputs'!$AZ$84</f>
        <v>84.219621844550701</v>
      </c>
      <c r="CD156" s="125">
        <f>CD45/293.07*(1/(VLOOKUP($BL156,'Fuel economy adjusted factor'!$A$2:$L$52,5,FALSE)*m2k))/'TCO Inputs'!$AZ$84</f>
        <v>84.219621844550701</v>
      </c>
      <c r="CE156" s="125">
        <f>CE45/293.07*(1/(VLOOKUP($BL156,'Fuel economy adjusted factor'!$A$2:$L$52,5,FALSE)*m2k))/'TCO Inputs'!$AZ$84</f>
        <v>84.219621844550701</v>
      </c>
      <c r="CF156" s="125">
        <f>CF45/293.07*(1/(VLOOKUP($BL156,'Fuel economy adjusted factor'!$A$2:$L$52,5,FALSE)*m2k))/'TCO Inputs'!$AZ$84</f>
        <v>84.219621844550701</v>
      </c>
      <c r="CG156" s="125">
        <f>CG45/293.07*(1/(VLOOKUP($BL156,'Fuel economy adjusted factor'!$A$2:$L$52,5,FALSE)*m2k))/'TCO Inputs'!$AZ$84</f>
        <v>84.219621844550701</v>
      </c>
      <c r="CH156" s="125">
        <f>CH45/293.07*(1/(VLOOKUP($BL156,'Fuel economy adjusted factor'!$A$2:$L$52,5,FALSE)*m2k))/'TCO Inputs'!$AZ$84</f>
        <v>84.219621844550701</v>
      </c>
      <c r="CI156" s="125">
        <f>CI45/293.07*(1/(VLOOKUP($BL156,'Fuel economy adjusted factor'!$A$2:$L$52,5,FALSE)*m2k))/'TCO Inputs'!$AZ$84</f>
        <v>84.219621844550701</v>
      </c>
      <c r="CJ156" s="125">
        <f>CJ45/293.07*(1/(VLOOKUP($BL156,'Fuel economy adjusted factor'!$A$2:$L$52,5,FALSE)*m2k))/'TCO Inputs'!$AZ$84</f>
        <v>84.219621844550701</v>
      </c>
      <c r="CK156" s="125">
        <f>CK45/293.07*(1/(VLOOKUP($BL156,'Fuel economy adjusted factor'!$A$2:$L$52,5,FALSE)*m2k))/'TCO Inputs'!$AZ$84</f>
        <v>84.219621844550701</v>
      </c>
      <c r="CL156" s="125">
        <f>CL45/293.07*(1/(VLOOKUP($BL156,'Fuel economy adjusted factor'!$A$2:$L$52,5,FALSE)*m2k))/'TCO Inputs'!$AZ$84</f>
        <v>84.219621844550701</v>
      </c>
      <c r="CM156" s="125">
        <f>CM45/293.07*(1/(VLOOKUP($BL156,'Fuel economy adjusted factor'!$A$2:$L$52,5,FALSE)*m2k))/'TCO Inputs'!$AZ$84</f>
        <v>84.219621844550701</v>
      </c>
      <c r="CN156" s="125">
        <f>CN45/293.07*(1/(VLOOKUP($BL156,'Fuel economy adjusted factor'!$A$2:$L$52,5,FALSE)*m2k))/'TCO Inputs'!$AZ$84</f>
        <v>84.219621844550701</v>
      </c>
      <c r="CO156" s="98" cm="1">
        <f t="array" ref="CO156">SUMPRODUCT(INDEX(BM156:CN156,,'TCO Inputs'!$AZ$12-2023+_xlfn.SEQUENCE('TCO Inputs'!$AZ$13))*INDEX('VKT US'!C104:AA104,,_xlfn.SEQUENCE('TCO Inputs'!$AZ$13)))*m2k*CONVERT(0.9072,"g","ton")</f>
        <v>27.217237918828001</v>
      </c>
    </row>
    <row r="157" spans="1:93" x14ac:dyDescent="0.25">
      <c r="A157" s="123" t="s">
        <v>225</v>
      </c>
      <c r="B157" s="125">
        <f>B46/293.07*(1/(VLOOKUP($A157,'Fuel economy adjusted factor'!$A$2:$L$52,5,FALSE)*m2k))/'TCO Inputs'!$AZ$84</f>
        <v>120.63216238226498</v>
      </c>
      <c r="C157" s="125">
        <f>C46/293.07*(1/(VLOOKUP($A157,'Fuel economy adjusted factor'!$A$2:$L$52,5,FALSE)*m2k))/'TCO Inputs'!$AZ$84</f>
        <v>120.63216238226498</v>
      </c>
      <c r="D157" s="125">
        <f>D46/293.07*(1/(VLOOKUP($A157,'Fuel economy adjusted factor'!$A$2:$L$52,5,FALSE)*m2k))/'TCO Inputs'!$AZ$84</f>
        <v>120.63216238226498</v>
      </c>
      <c r="E157" s="125">
        <f>E46/293.07*(1/(VLOOKUP($A157,'Fuel economy adjusted factor'!$A$2:$L$52,5,FALSE)*m2k))/'TCO Inputs'!$AZ$84</f>
        <v>120.63216238226498</v>
      </c>
      <c r="F157" s="125">
        <f>F46/293.07*(1/(VLOOKUP($A157,'Fuel economy adjusted factor'!$A$2:$L$52,5,FALSE)*m2k))/'TCO Inputs'!$AZ$84</f>
        <v>120.63216238226498</v>
      </c>
      <c r="G157" s="125">
        <f>G46/293.07*(1/(VLOOKUP($A157,'Fuel economy adjusted factor'!$A$2:$L$52,5,FALSE)*m2k))/'TCO Inputs'!$AZ$84</f>
        <v>120.63216238226498</v>
      </c>
      <c r="H157" s="125">
        <f>H46/293.07*(1/(VLOOKUP($A157,'Fuel economy adjusted factor'!$A$2:$L$52,5,FALSE)*m2k))/'TCO Inputs'!$AZ$84</f>
        <v>120.63216238226498</v>
      </c>
      <c r="I157" s="125">
        <f>I46/293.07*(1/(VLOOKUP($A157,'Fuel economy adjusted factor'!$A$2:$L$52,5,FALSE)*m2k))/'TCO Inputs'!$AZ$84</f>
        <v>120.63216238226498</v>
      </c>
      <c r="J157" s="125">
        <f>J46/293.07*(1/(VLOOKUP($A157,'Fuel economy adjusted factor'!$A$2:$L$52,5,FALSE)*m2k))/'TCO Inputs'!$AZ$84</f>
        <v>120.63216238226498</v>
      </c>
      <c r="K157" s="125">
        <f>K46/293.07*(1/(VLOOKUP($A157,'Fuel economy adjusted factor'!$A$2:$L$52,5,FALSE)*m2k))/'TCO Inputs'!$AZ$84</f>
        <v>120.63216238226498</v>
      </c>
      <c r="L157" s="125">
        <f>L46/293.07*(1/(VLOOKUP($A157,'Fuel economy adjusted factor'!$A$2:$L$52,5,FALSE)*m2k))/'TCO Inputs'!$AZ$84</f>
        <v>120.63216238226498</v>
      </c>
      <c r="M157" s="125">
        <f>M46/293.07*(1/(VLOOKUP($A157,'Fuel economy adjusted factor'!$A$2:$L$52,5,FALSE)*m2k))/'TCO Inputs'!$AZ$84</f>
        <v>120.63216238226498</v>
      </c>
      <c r="N157" s="125">
        <f>N46/293.07*(1/(VLOOKUP($A157,'Fuel economy adjusted factor'!$A$2:$L$52,5,FALSE)*m2k))/'TCO Inputs'!$AZ$84</f>
        <v>120.63216238226498</v>
      </c>
      <c r="O157" s="125">
        <f>O46/293.07*(1/(VLOOKUP($A157,'Fuel economy adjusted factor'!$A$2:$L$52,5,FALSE)*m2k))/'TCO Inputs'!$AZ$84</f>
        <v>120.63216238226498</v>
      </c>
      <c r="P157" s="125">
        <f>P46/293.07*(1/(VLOOKUP($A157,'Fuel economy adjusted factor'!$A$2:$L$52,5,FALSE)*m2k))/'TCO Inputs'!$AZ$84</f>
        <v>120.63216238226498</v>
      </c>
      <c r="Q157" s="125">
        <f>Q46/293.07*(1/(VLOOKUP($A157,'Fuel economy adjusted factor'!$A$2:$L$52,5,FALSE)*m2k))/'TCO Inputs'!$AZ$84</f>
        <v>120.63216238226498</v>
      </c>
      <c r="R157" s="125">
        <f>R46/293.07*(1/(VLOOKUP($A157,'Fuel economy adjusted factor'!$A$2:$L$52,5,FALSE)*m2k))/'TCO Inputs'!$AZ$84</f>
        <v>120.63216238226498</v>
      </c>
      <c r="S157" s="125">
        <f>S46/293.07*(1/(VLOOKUP($A157,'Fuel economy adjusted factor'!$A$2:$L$52,5,FALSE)*m2k))/'TCO Inputs'!$AZ$84</f>
        <v>120.63216238226498</v>
      </c>
      <c r="T157" s="125">
        <f>T46/293.07*(1/(VLOOKUP($A157,'Fuel economy adjusted factor'!$A$2:$L$52,5,FALSE)*m2k))/'TCO Inputs'!$AZ$84</f>
        <v>120.63216238226498</v>
      </c>
      <c r="U157" s="125">
        <f>U46/293.07*(1/(VLOOKUP($A157,'Fuel economy adjusted factor'!$A$2:$L$52,5,FALSE)*m2k))/'TCO Inputs'!$AZ$84</f>
        <v>120.63216238226498</v>
      </c>
      <c r="V157" s="125">
        <f>V46/293.07*(1/(VLOOKUP($A157,'Fuel economy adjusted factor'!$A$2:$L$52,5,FALSE)*m2k))/'TCO Inputs'!$AZ$84</f>
        <v>120.63216238226498</v>
      </c>
      <c r="W157" s="125">
        <f>W46/293.07*(1/(VLOOKUP($A157,'Fuel economy adjusted factor'!$A$2:$L$52,5,FALSE)*m2k))/'TCO Inputs'!$AZ$84</f>
        <v>120.63216238226498</v>
      </c>
      <c r="X157" s="125">
        <f>X46/293.07*(1/(VLOOKUP($A157,'Fuel economy adjusted factor'!$A$2:$L$52,5,FALSE)*m2k))/'TCO Inputs'!$AZ$84</f>
        <v>120.63216238226498</v>
      </c>
      <c r="Y157" s="125">
        <f>Y46/293.07*(1/(VLOOKUP($A157,'Fuel economy adjusted factor'!$A$2:$L$52,5,FALSE)*m2k))/'TCO Inputs'!$AZ$84</f>
        <v>120.63216238226498</v>
      </c>
      <c r="Z157" s="125">
        <f>Z46/293.07*(1/(VLOOKUP($A157,'Fuel economy adjusted factor'!$A$2:$L$52,5,FALSE)*m2k))/'TCO Inputs'!$AZ$84</f>
        <v>120.63216238226498</v>
      </c>
      <c r="AA157" s="125">
        <f>AA46/293.07*(1/(VLOOKUP($A157,'Fuel economy adjusted factor'!$A$2:$L$52,5,FALSE)*m2k))/'TCO Inputs'!$AZ$84</f>
        <v>120.63216238226498</v>
      </c>
      <c r="AB157" s="125">
        <f>AB46/293.07*(1/(VLOOKUP($A157,'Fuel economy adjusted factor'!$A$2:$L$52,5,FALSE)*m2k))/'TCO Inputs'!$AZ$84</f>
        <v>120.63216238226498</v>
      </c>
      <c r="AC157" s="125">
        <f>AC46/293.07*(1/(VLOOKUP($A157,'Fuel economy adjusted factor'!$A$2:$L$52,5,FALSE)*m2k))/'TCO Inputs'!$AZ$84</f>
        <v>120.63216238226498</v>
      </c>
      <c r="AD157" s="98" cm="1">
        <f t="array" ref="AD157">SUMPRODUCT(INDEX(B157:AC157,,'TCO Inputs'!$AZ$12-2023+_xlfn.SEQUENCE('TCO Inputs'!$AZ$13))*INDEX('VKT US'!C105:AA105,,_xlfn.SEQUENCE('TCO Inputs'!$AZ$13)))*m2k*CONVERT(0.9072,"g","ton")</f>
        <v>41.241584500994719</v>
      </c>
      <c r="AF157" s="123" t="s">
        <v>225</v>
      </c>
      <c r="AG157" s="125">
        <f>AG46/293.07*(1/(VLOOKUP($AF157,'Fuel economy adjusted factor'!$A$2:$L$52,5,FALSE)*m2k))/'TCO Inputs'!$AZ$84</f>
        <v>141.39390092646855</v>
      </c>
      <c r="AH157" s="125">
        <f>AH46/293.07*(1/(VLOOKUP($AF157,'Fuel economy adjusted factor'!$A$2:$L$52,5,FALSE)*m2k))/'TCO Inputs'!$AZ$84</f>
        <v>141.39390092646855</v>
      </c>
      <c r="AI157" s="125">
        <f>AI46/293.07*(1/(VLOOKUP($AF157,'Fuel economy adjusted factor'!$A$2:$L$52,5,FALSE)*m2k))/'TCO Inputs'!$AZ$84</f>
        <v>141.39390092646855</v>
      </c>
      <c r="AJ157" s="125">
        <f>AJ46/293.07*(1/(VLOOKUP($AF157,'Fuel economy adjusted factor'!$A$2:$L$52,5,FALSE)*m2k))/'TCO Inputs'!$AZ$84</f>
        <v>141.39390092646855</v>
      </c>
      <c r="AK157" s="125">
        <f>AK46/293.07*(1/(VLOOKUP($AF157,'Fuel economy adjusted factor'!$A$2:$L$52,5,FALSE)*m2k))/'TCO Inputs'!$AZ$84</f>
        <v>141.39390092646855</v>
      </c>
      <c r="AL157" s="125">
        <f>AL46/293.07*(1/(VLOOKUP($AF157,'Fuel economy adjusted factor'!$A$2:$L$52,5,FALSE)*m2k))/'TCO Inputs'!$AZ$84</f>
        <v>141.39390092646855</v>
      </c>
      <c r="AM157" s="125">
        <f>AM46/293.07*(1/(VLOOKUP($AF157,'Fuel economy adjusted factor'!$A$2:$L$52,5,FALSE)*m2k))/'TCO Inputs'!$AZ$84</f>
        <v>141.39390092646855</v>
      </c>
      <c r="AN157" s="125">
        <f>AN46/293.07*(1/(VLOOKUP($AF157,'Fuel economy adjusted factor'!$A$2:$L$52,5,FALSE)*m2k))/'TCO Inputs'!$AZ$84</f>
        <v>141.39390092646855</v>
      </c>
      <c r="AO157" s="125">
        <f>AO46/293.07*(1/(VLOOKUP($AF157,'Fuel economy adjusted factor'!$A$2:$L$52,5,FALSE)*m2k))/'TCO Inputs'!$AZ$84</f>
        <v>141.39390092646855</v>
      </c>
      <c r="AP157" s="125">
        <f>AP46/293.07*(1/(VLOOKUP($AF157,'Fuel economy adjusted factor'!$A$2:$L$52,5,FALSE)*m2k))/'TCO Inputs'!$AZ$84</f>
        <v>141.39390092646855</v>
      </c>
      <c r="AQ157" s="125">
        <f>AQ46/293.07*(1/(VLOOKUP($AF157,'Fuel economy adjusted factor'!$A$2:$L$52,5,FALSE)*m2k))/'TCO Inputs'!$AZ$84</f>
        <v>141.39390092646855</v>
      </c>
      <c r="AR157" s="125">
        <f>AR46/293.07*(1/(VLOOKUP($AF157,'Fuel economy adjusted factor'!$A$2:$L$52,5,FALSE)*m2k))/'TCO Inputs'!$AZ$84</f>
        <v>141.39390092646855</v>
      </c>
      <c r="AS157" s="125">
        <f>AS46/293.07*(1/(VLOOKUP($AF157,'Fuel economy adjusted factor'!$A$2:$L$52,5,FALSE)*m2k))/'TCO Inputs'!$AZ$84</f>
        <v>141.39390092646855</v>
      </c>
      <c r="AT157" s="125">
        <f>AT46/293.07*(1/(VLOOKUP($AF157,'Fuel economy adjusted factor'!$A$2:$L$52,5,FALSE)*m2k))/'TCO Inputs'!$AZ$84</f>
        <v>141.39390092646855</v>
      </c>
      <c r="AU157" s="125">
        <f>AU46/293.07*(1/(VLOOKUP($AF157,'Fuel economy adjusted factor'!$A$2:$L$52,5,FALSE)*m2k))/'TCO Inputs'!$AZ$84</f>
        <v>141.39390092646855</v>
      </c>
      <c r="AV157" s="125">
        <f>AV46/293.07*(1/(VLOOKUP($AF157,'Fuel economy adjusted factor'!$A$2:$L$52,5,FALSE)*m2k))/'TCO Inputs'!$AZ$84</f>
        <v>141.39390092646855</v>
      </c>
      <c r="AW157" s="125">
        <f>AW46/293.07*(1/(VLOOKUP($AF157,'Fuel economy adjusted factor'!$A$2:$L$52,5,FALSE)*m2k))/'TCO Inputs'!$AZ$84</f>
        <v>141.39390092646855</v>
      </c>
      <c r="AX157" s="125">
        <f>AX46/293.07*(1/(VLOOKUP($AF157,'Fuel economy adjusted factor'!$A$2:$L$52,5,FALSE)*m2k))/'TCO Inputs'!$AZ$84</f>
        <v>141.39390092646855</v>
      </c>
      <c r="AY157" s="125">
        <f>AY46/293.07*(1/(VLOOKUP($AF157,'Fuel economy adjusted factor'!$A$2:$L$52,5,FALSE)*m2k))/'TCO Inputs'!$AZ$84</f>
        <v>141.39390092646855</v>
      </c>
      <c r="AZ157" s="125">
        <f>AZ46/293.07*(1/(VLOOKUP($AF157,'Fuel economy adjusted factor'!$A$2:$L$52,5,FALSE)*m2k))/'TCO Inputs'!$AZ$84</f>
        <v>141.39390092646855</v>
      </c>
      <c r="BA157" s="125">
        <f>BA46/293.07*(1/(VLOOKUP($AF157,'Fuel economy adjusted factor'!$A$2:$L$52,5,FALSE)*m2k))/'TCO Inputs'!$AZ$84</f>
        <v>141.39390092646855</v>
      </c>
      <c r="BB157" s="125">
        <f>BB46/293.07*(1/(VLOOKUP($AF157,'Fuel economy adjusted factor'!$A$2:$L$52,5,FALSE)*m2k))/'TCO Inputs'!$AZ$84</f>
        <v>141.39390092646855</v>
      </c>
      <c r="BC157" s="125">
        <f>BC46/293.07*(1/(VLOOKUP($AF157,'Fuel economy adjusted factor'!$A$2:$L$52,5,FALSE)*m2k))/'TCO Inputs'!$AZ$84</f>
        <v>141.39390092646855</v>
      </c>
      <c r="BD157" s="125">
        <f>BD46/293.07*(1/(VLOOKUP($AF157,'Fuel economy adjusted factor'!$A$2:$L$52,5,FALSE)*m2k))/'TCO Inputs'!$AZ$84</f>
        <v>141.39390092646855</v>
      </c>
      <c r="BE157" s="125">
        <f>BE46/293.07*(1/(VLOOKUP($AF157,'Fuel economy adjusted factor'!$A$2:$L$52,5,FALSE)*m2k))/'TCO Inputs'!$AZ$84</f>
        <v>141.39390092646855</v>
      </c>
      <c r="BF157" s="125">
        <f>BF46/293.07*(1/(VLOOKUP($AF157,'Fuel economy adjusted factor'!$A$2:$L$52,5,FALSE)*m2k))/'TCO Inputs'!$AZ$84</f>
        <v>141.39390092646855</v>
      </c>
      <c r="BG157" s="125">
        <f>BG46/293.07*(1/(VLOOKUP($AF157,'Fuel economy adjusted factor'!$A$2:$L$52,5,FALSE)*m2k))/'TCO Inputs'!$AZ$84</f>
        <v>141.39390092646855</v>
      </c>
      <c r="BH157" s="125">
        <f>BH46/293.07*(1/(VLOOKUP($AF157,'Fuel economy adjusted factor'!$A$2:$L$52,5,FALSE)*m2k))/'TCO Inputs'!$AZ$84</f>
        <v>141.39390092646855</v>
      </c>
      <c r="BI157" s="98" cm="1">
        <f t="array" ref="BI157">SUMPRODUCT(INDEX(AG157:BH157,,'TCO Inputs'!$AZ$12-2023+_xlfn.SEQUENCE('TCO Inputs'!$AZ$13))*INDEX('VKT US'!C105:AA105,,_xlfn.SEQUENCE('TCO Inputs'!$AZ$13)))*m2k*CONVERT(0.9072,"g","ton")</f>
        <v>48.339583721509499</v>
      </c>
      <c r="BL157" s="123" t="s">
        <v>225</v>
      </c>
      <c r="BM157" s="125">
        <f>BM46/293.07*(1/(VLOOKUP($BL157,'Fuel economy adjusted factor'!$A$2:$L$52,5,FALSE)*m2k))/'TCO Inputs'!$AZ$84</f>
        <v>105.11423862463431</v>
      </c>
      <c r="BN157" s="125">
        <f>BN46/293.07*(1/(VLOOKUP($BL157,'Fuel economy adjusted factor'!$A$2:$L$52,5,FALSE)*m2k))/'TCO Inputs'!$AZ$84</f>
        <v>105.11423862463431</v>
      </c>
      <c r="BO157" s="125">
        <f>BO46/293.07*(1/(VLOOKUP($BL157,'Fuel economy adjusted factor'!$A$2:$L$52,5,FALSE)*m2k))/'TCO Inputs'!$AZ$84</f>
        <v>105.11423862463431</v>
      </c>
      <c r="BP157" s="125">
        <f>BP46/293.07*(1/(VLOOKUP($BL157,'Fuel economy adjusted factor'!$A$2:$L$52,5,FALSE)*m2k))/'TCO Inputs'!$AZ$84</f>
        <v>105.11423862463431</v>
      </c>
      <c r="BQ157" s="125">
        <f>BQ46/293.07*(1/(VLOOKUP($BL157,'Fuel economy adjusted factor'!$A$2:$L$52,5,FALSE)*m2k))/'TCO Inputs'!$AZ$84</f>
        <v>105.11423862463431</v>
      </c>
      <c r="BR157" s="125">
        <f>BR46/293.07*(1/(VLOOKUP($BL157,'Fuel economy adjusted factor'!$A$2:$L$52,5,FALSE)*m2k))/'TCO Inputs'!$AZ$84</f>
        <v>105.11423862463431</v>
      </c>
      <c r="BS157" s="125">
        <f>BS46/293.07*(1/(VLOOKUP($BL157,'Fuel economy adjusted factor'!$A$2:$L$52,5,FALSE)*m2k))/'TCO Inputs'!$AZ$84</f>
        <v>105.11423862463431</v>
      </c>
      <c r="BT157" s="125">
        <f>BT46/293.07*(1/(VLOOKUP($BL157,'Fuel economy adjusted factor'!$A$2:$L$52,5,FALSE)*m2k))/'TCO Inputs'!$AZ$84</f>
        <v>105.11423862463431</v>
      </c>
      <c r="BU157" s="125">
        <f>BU46/293.07*(1/(VLOOKUP($BL157,'Fuel economy adjusted factor'!$A$2:$L$52,5,FALSE)*m2k))/'TCO Inputs'!$AZ$84</f>
        <v>105.11423862463431</v>
      </c>
      <c r="BV157" s="125">
        <f>BV46/293.07*(1/(VLOOKUP($BL157,'Fuel economy adjusted factor'!$A$2:$L$52,5,FALSE)*m2k))/'TCO Inputs'!$AZ$84</f>
        <v>105.11423862463431</v>
      </c>
      <c r="BW157" s="125">
        <f>BW46/293.07*(1/(VLOOKUP($BL157,'Fuel economy adjusted factor'!$A$2:$L$52,5,FALSE)*m2k))/'TCO Inputs'!$AZ$84</f>
        <v>105.11423862463431</v>
      </c>
      <c r="BX157" s="125">
        <f>BX46/293.07*(1/(VLOOKUP($BL157,'Fuel economy adjusted factor'!$A$2:$L$52,5,FALSE)*m2k))/'TCO Inputs'!$AZ$84</f>
        <v>105.11423862463431</v>
      </c>
      <c r="BY157" s="125">
        <f>BY46/293.07*(1/(VLOOKUP($BL157,'Fuel economy adjusted factor'!$A$2:$L$52,5,FALSE)*m2k))/'TCO Inputs'!$AZ$84</f>
        <v>105.11423862463431</v>
      </c>
      <c r="BZ157" s="125">
        <f>BZ46/293.07*(1/(VLOOKUP($BL157,'Fuel economy adjusted factor'!$A$2:$L$52,5,FALSE)*m2k))/'TCO Inputs'!$AZ$84</f>
        <v>105.11423862463431</v>
      </c>
      <c r="CA157" s="125">
        <f>CA46/293.07*(1/(VLOOKUP($BL157,'Fuel economy adjusted factor'!$A$2:$L$52,5,FALSE)*m2k))/'TCO Inputs'!$AZ$84</f>
        <v>105.11423862463431</v>
      </c>
      <c r="CB157" s="125">
        <f>CB46/293.07*(1/(VLOOKUP($BL157,'Fuel economy adjusted factor'!$A$2:$L$52,5,FALSE)*m2k))/'TCO Inputs'!$AZ$84</f>
        <v>105.11423862463431</v>
      </c>
      <c r="CC157" s="125">
        <f>CC46/293.07*(1/(VLOOKUP($BL157,'Fuel economy adjusted factor'!$A$2:$L$52,5,FALSE)*m2k))/'TCO Inputs'!$AZ$84</f>
        <v>105.11423862463431</v>
      </c>
      <c r="CD157" s="125">
        <f>CD46/293.07*(1/(VLOOKUP($BL157,'Fuel economy adjusted factor'!$A$2:$L$52,5,FALSE)*m2k))/'TCO Inputs'!$AZ$84</f>
        <v>105.11423862463431</v>
      </c>
      <c r="CE157" s="125">
        <f>CE46/293.07*(1/(VLOOKUP($BL157,'Fuel economy adjusted factor'!$A$2:$L$52,5,FALSE)*m2k))/'TCO Inputs'!$AZ$84</f>
        <v>105.11423862463431</v>
      </c>
      <c r="CF157" s="125">
        <f>CF46/293.07*(1/(VLOOKUP($BL157,'Fuel economy adjusted factor'!$A$2:$L$52,5,FALSE)*m2k))/'TCO Inputs'!$AZ$84</f>
        <v>105.11423862463431</v>
      </c>
      <c r="CG157" s="125">
        <f>CG46/293.07*(1/(VLOOKUP($BL157,'Fuel economy adjusted factor'!$A$2:$L$52,5,FALSE)*m2k))/'TCO Inputs'!$AZ$84</f>
        <v>105.11423862463431</v>
      </c>
      <c r="CH157" s="125">
        <f>CH46/293.07*(1/(VLOOKUP($BL157,'Fuel economy adjusted factor'!$A$2:$L$52,5,FALSE)*m2k))/'TCO Inputs'!$AZ$84</f>
        <v>105.11423862463431</v>
      </c>
      <c r="CI157" s="125">
        <f>CI46/293.07*(1/(VLOOKUP($BL157,'Fuel economy adjusted factor'!$A$2:$L$52,5,FALSE)*m2k))/'TCO Inputs'!$AZ$84</f>
        <v>105.11423862463431</v>
      </c>
      <c r="CJ157" s="125">
        <f>CJ46/293.07*(1/(VLOOKUP($BL157,'Fuel economy adjusted factor'!$A$2:$L$52,5,FALSE)*m2k))/'TCO Inputs'!$AZ$84</f>
        <v>105.11423862463431</v>
      </c>
      <c r="CK157" s="125">
        <f>CK46/293.07*(1/(VLOOKUP($BL157,'Fuel economy adjusted factor'!$A$2:$L$52,5,FALSE)*m2k))/'TCO Inputs'!$AZ$84</f>
        <v>105.11423862463431</v>
      </c>
      <c r="CL157" s="125">
        <f>CL46/293.07*(1/(VLOOKUP($BL157,'Fuel economy adjusted factor'!$A$2:$L$52,5,FALSE)*m2k))/'TCO Inputs'!$AZ$84</f>
        <v>105.11423862463431</v>
      </c>
      <c r="CM157" s="125">
        <f>CM46/293.07*(1/(VLOOKUP($BL157,'Fuel economy adjusted factor'!$A$2:$L$52,5,FALSE)*m2k))/'TCO Inputs'!$AZ$84</f>
        <v>105.11423862463431</v>
      </c>
      <c r="CN157" s="125">
        <f>CN46/293.07*(1/(VLOOKUP($BL157,'Fuel economy adjusted factor'!$A$2:$L$52,5,FALSE)*m2k))/'TCO Inputs'!$AZ$84</f>
        <v>105.11423862463431</v>
      </c>
      <c r="CO157" s="98" cm="1">
        <f t="array" ref="CO157">SUMPRODUCT(INDEX(BM157:CN157,,'TCO Inputs'!$AZ$12-2023+_xlfn.SEQUENCE('TCO Inputs'!$AZ$13))*INDEX('VKT US'!C105:AA105,,_xlfn.SEQUENCE('TCO Inputs'!$AZ$13)))*m2k*CONVERT(0.9072,"g","ton")</f>
        <v>35.936334629883994</v>
      </c>
    </row>
    <row r="158" spans="1:93" x14ac:dyDescent="0.25">
      <c r="A158" s="123" t="s">
        <v>226</v>
      </c>
      <c r="B158" s="125">
        <f>B47/293.07*(1/(VLOOKUP($A158,'Fuel economy adjusted factor'!$A$2:$L$52,5,FALSE)*m2k))/'TCO Inputs'!$AZ$84</f>
        <v>234.47796037220164</v>
      </c>
      <c r="C158" s="125">
        <f>C47/293.07*(1/(VLOOKUP($A158,'Fuel economy adjusted factor'!$A$2:$L$52,5,FALSE)*m2k))/'TCO Inputs'!$AZ$84</f>
        <v>234.47796037220164</v>
      </c>
      <c r="D158" s="125">
        <f>D47/293.07*(1/(VLOOKUP($A158,'Fuel economy adjusted factor'!$A$2:$L$52,5,FALSE)*m2k))/'TCO Inputs'!$AZ$84</f>
        <v>234.47796037220164</v>
      </c>
      <c r="E158" s="125">
        <f>E47/293.07*(1/(VLOOKUP($A158,'Fuel economy adjusted factor'!$A$2:$L$52,5,FALSE)*m2k))/'TCO Inputs'!$AZ$84</f>
        <v>234.47796037220164</v>
      </c>
      <c r="F158" s="125">
        <f>F47/293.07*(1/(VLOOKUP($A158,'Fuel economy adjusted factor'!$A$2:$L$52,5,FALSE)*m2k))/'TCO Inputs'!$AZ$84</f>
        <v>234.47796037220164</v>
      </c>
      <c r="G158" s="125">
        <f>G47/293.07*(1/(VLOOKUP($A158,'Fuel economy adjusted factor'!$A$2:$L$52,5,FALSE)*m2k))/'TCO Inputs'!$AZ$84</f>
        <v>234.47796037220164</v>
      </c>
      <c r="H158" s="125">
        <f>H47/293.07*(1/(VLOOKUP($A158,'Fuel economy adjusted factor'!$A$2:$L$52,5,FALSE)*m2k))/'TCO Inputs'!$AZ$84</f>
        <v>234.47796037220164</v>
      </c>
      <c r="I158" s="125">
        <f>I47/293.07*(1/(VLOOKUP($A158,'Fuel economy adjusted factor'!$A$2:$L$52,5,FALSE)*m2k))/'TCO Inputs'!$AZ$84</f>
        <v>234.47796037220164</v>
      </c>
      <c r="J158" s="125">
        <f>J47/293.07*(1/(VLOOKUP($A158,'Fuel economy adjusted factor'!$A$2:$L$52,5,FALSE)*m2k))/'TCO Inputs'!$AZ$84</f>
        <v>234.47796037220164</v>
      </c>
      <c r="K158" s="125">
        <f>K47/293.07*(1/(VLOOKUP($A158,'Fuel economy adjusted factor'!$A$2:$L$52,5,FALSE)*m2k))/'TCO Inputs'!$AZ$84</f>
        <v>234.47796037220164</v>
      </c>
      <c r="L158" s="125">
        <f>L47/293.07*(1/(VLOOKUP($A158,'Fuel economy adjusted factor'!$A$2:$L$52,5,FALSE)*m2k))/'TCO Inputs'!$AZ$84</f>
        <v>234.47796037220164</v>
      </c>
      <c r="M158" s="125">
        <f>M47/293.07*(1/(VLOOKUP($A158,'Fuel economy adjusted factor'!$A$2:$L$52,5,FALSE)*m2k))/'TCO Inputs'!$AZ$84</f>
        <v>234.47796037220164</v>
      </c>
      <c r="N158" s="125">
        <f>N47/293.07*(1/(VLOOKUP($A158,'Fuel economy adjusted factor'!$A$2:$L$52,5,FALSE)*m2k))/'TCO Inputs'!$AZ$84</f>
        <v>234.47796037220164</v>
      </c>
      <c r="O158" s="125">
        <f>O47/293.07*(1/(VLOOKUP($A158,'Fuel economy adjusted factor'!$A$2:$L$52,5,FALSE)*m2k))/'TCO Inputs'!$AZ$84</f>
        <v>234.47796037220164</v>
      </c>
      <c r="P158" s="125">
        <f>P47/293.07*(1/(VLOOKUP($A158,'Fuel economy adjusted factor'!$A$2:$L$52,5,FALSE)*m2k))/'TCO Inputs'!$AZ$84</f>
        <v>234.47796037220164</v>
      </c>
      <c r="Q158" s="125">
        <f>Q47/293.07*(1/(VLOOKUP($A158,'Fuel economy adjusted factor'!$A$2:$L$52,5,FALSE)*m2k))/'TCO Inputs'!$AZ$84</f>
        <v>234.47796037220164</v>
      </c>
      <c r="R158" s="125">
        <f>R47/293.07*(1/(VLOOKUP($A158,'Fuel economy adjusted factor'!$A$2:$L$52,5,FALSE)*m2k))/'TCO Inputs'!$AZ$84</f>
        <v>234.47796037220164</v>
      </c>
      <c r="S158" s="125">
        <f>S47/293.07*(1/(VLOOKUP($A158,'Fuel economy adjusted factor'!$A$2:$L$52,5,FALSE)*m2k))/'TCO Inputs'!$AZ$84</f>
        <v>234.47796037220164</v>
      </c>
      <c r="T158" s="125">
        <f>T47/293.07*(1/(VLOOKUP($A158,'Fuel economy adjusted factor'!$A$2:$L$52,5,FALSE)*m2k))/'TCO Inputs'!$AZ$84</f>
        <v>234.47796037220164</v>
      </c>
      <c r="U158" s="125">
        <f>U47/293.07*(1/(VLOOKUP($A158,'Fuel economy adjusted factor'!$A$2:$L$52,5,FALSE)*m2k))/'TCO Inputs'!$AZ$84</f>
        <v>234.47796037220164</v>
      </c>
      <c r="V158" s="125">
        <f>V47/293.07*(1/(VLOOKUP($A158,'Fuel economy adjusted factor'!$A$2:$L$52,5,FALSE)*m2k))/'TCO Inputs'!$AZ$84</f>
        <v>234.47796037220164</v>
      </c>
      <c r="W158" s="125">
        <f>W47/293.07*(1/(VLOOKUP($A158,'Fuel economy adjusted factor'!$A$2:$L$52,5,FALSE)*m2k))/'TCO Inputs'!$AZ$84</f>
        <v>234.47796037220164</v>
      </c>
      <c r="X158" s="125">
        <f>X47/293.07*(1/(VLOOKUP($A158,'Fuel economy adjusted factor'!$A$2:$L$52,5,FALSE)*m2k))/'TCO Inputs'!$AZ$84</f>
        <v>234.47796037220164</v>
      </c>
      <c r="Y158" s="125">
        <f>Y47/293.07*(1/(VLOOKUP($A158,'Fuel economy adjusted factor'!$A$2:$L$52,5,FALSE)*m2k))/'TCO Inputs'!$AZ$84</f>
        <v>234.47796037220164</v>
      </c>
      <c r="Z158" s="125">
        <f>Z47/293.07*(1/(VLOOKUP($A158,'Fuel economy adjusted factor'!$A$2:$L$52,5,FALSE)*m2k))/'TCO Inputs'!$AZ$84</f>
        <v>234.47796037220164</v>
      </c>
      <c r="AA158" s="125">
        <f>AA47/293.07*(1/(VLOOKUP($A158,'Fuel economy adjusted factor'!$A$2:$L$52,5,FALSE)*m2k))/'TCO Inputs'!$AZ$84</f>
        <v>234.47796037220164</v>
      </c>
      <c r="AB158" s="125">
        <f>AB47/293.07*(1/(VLOOKUP($A158,'Fuel economy adjusted factor'!$A$2:$L$52,5,FALSE)*m2k))/'TCO Inputs'!$AZ$84</f>
        <v>234.47796037220164</v>
      </c>
      <c r="AC158" s="125">
        <f>AC47/293.07*(1/(VLOOKUP($A158,'Fuel economy adjusted factor'!$A$2:$L$52,5,FALSE)*m2k))/'TCO Inputs'!$AZ$84</f>
        <v>234.47796037220164</v>
      </c>
      <c r="AD158" s="98" cm="1">
        <f t="array" ref="AD158">SUMPRODUCT(INDEX(B158:AC158,,'TCO Inputs'!$AZ$12-2023+_xlfn.SEQUENCE('TCO Inputs'!$AZ$13))*INDEX('VKT US'!C106:AA106,,_xlfn.SEQUENCE('TCO Inputs'!$AZ$13)))*m2k*CONVERT(0.9072,"g","ton")</f>
        <v>76.911325423880456</v>
      </c>
      <c r="AF158" s="123" t="s">
        <v>226</v>
      </c>
      <c r="AG158" s="125">
        <f>AG47/293.07*(1/(VLOOKUP($AF158,'Fuel economy adjusted factor'!$A$2:$L$52,5,FALSE)*m2k))/'TCO Inputs'!$AZ$84</f>
        <v>274.83345107624189</v>
      </c>
      <c r="AH158" s="125">
        <f>AH47/293.07*(1/(VLOOKUP($AF158,'Fuel economy adjusted factor'!$A$2:$L$52,5,FALSE)*m2k))/'TCO Inputs'!$AZ$84</f>
        <v>274.83345107624189</v>
      </c>
      <c r="AI158" s="125">
        <f>AI47/293.07*(1/(VLOOKUP($AF158,'Fuel economy adjusted factor'!$A$2:$L$52,5,FALSE)*m2k))/'TCO Inputs'!$AZ$84</f>
        <v>274.83345107624189</v>
      </c>
      <c r="AJ158" s="125">
        <f>AJ47/293.07*(1/(VLOOKUP($AF158,'Fuel economy adjusted factor'!$A$2:$L$52,5,FALSE)*m2k))/'TCO Inputs'!$AZ$84</f>
        <v>274.83345107624189</v>
      </c>
      <c r="AK158" s="125">
        <f>AK47/293.07*(1/(VLOOKUP($AF158,'Fuel economy adjusted factor'!$A$2:$L$52,5,FALSE)*m2k))/'TCO Inputs'!$AZ$84</f>
        <v>274.83345107624189</v>
      </c>
      <c r="AL158" s="125">
        <f>AL47/293.07*(1/(VLOOKUP($AF158,'Fuel economy adjusted factor'!$A$2:$L$52,5,FALSE)*m2k))/'TCO Inputs'!$AZ$84</f>
        <v>274.83345107624189</v>
      </c>
      <c r="AM158" s="125">
        <f>AM47/293.07*(1/(VLOOKUP($AF158,'Fuel economy adjusted factor'!$A$2:$L$52,5,FALSE)*m2k))/'TCO Inputs'!$AZ$84</f>
        <v>274.83345107624189</v>
      </c>
      <c r="AN158" s="125">
        <f>AN47/293.07*(1/(VLOOKUP($AF158,'Fuel economy adjusted factor'!$A$2:$L$52,5,FALSE)*m2k))/'TCO Inputs'!$AZ$84</f>
        <v>274.83345107624189</v>
      </c>
      <c r="AO158" s="125">
        <f>AO47/293.07*(1/(VLOOKUP($AF158,'Fuel economy adjusted factor'!$A$2:$L$52,5,FALSE)*m2k))/'TCO Inputs'!$AZ$84</f>
        <v>274.83345107624189</v>
      </c>
      <c r="AP158" s="125">
        <f>AP47/293.07*(1/(VLOOKUP($AF158,'Fuel economy adjusted factor'!$A$2:$L$52,5,FALSE)*m2k))/'TCO Inputs'!$AZ$84</f>
        <v>274.83345107624189</v>
      </c>
      <c r="AQ158" s="125">
        <f>AQ47/293.07*(1/(VLOOKUP($AF158,'Fuel economy adjusted factor'!$A$2:$L$52,5,FALSE)*m2k))/'TCO Inputs'!$AZ$84</f>
        <v>274.83345107624189</v>
      </c>
      <c r="AR158" s="125">
        <f>AR47/293.07*(1/(VLOOKUP($AF158,'Fuel economy adjusted factor'!$A$2:$L$52,5,FALSE)*m2k))/'TCO Inputs'!$AZ$84</f>
        <v>274.83345107624189</v>
      </c>
      <c r="AS158" s="125">
        <f>AS47/293.07*(1/(VLOOKUP($AF158,'Fuel economy adjusted factor'!$A$2:$L$52,5,FALSE)*m2k))/'TCO Inputs'!$AZ$84</f>
        <v>274.83345107624189</v>
      </c>
      <c r="AT158" s="125">
        <f>AT47/293.07*(1/(VLOOKUP($AF158,'Fuel economy adjusted factor'!$A$2:$L$52,5,FALSE)*m2k))/'TCO Inputs'!$AZ$84</f>
        <v>274.83345107624189</v>
      </c>
      <c r="AU158" s="125">
        <f>AU47/293.07*(1/(VLOOKUP($AF158,'Fuel economy adjusted factor'!$A$2:$L$52,5,FALSE)*m2k))/'TCO Inputs'!$AZ$84</f>
        <v>274.83345107624189</v>
      </c>
      <c r="AV158" s="125">
        <f>AV47/293.07*(1/(VLOOKUP($AF158,'Fuel economy adjusted factor'!$A$2:$L$52,5,FALSE)*m2k))/'TCO Inputs'!$AZ$84</f>
        <v>274.83345107624189</v>
      </c>
      <c r="AW158" s="125">
        <f>AW47/293.07*(1/(VLOOKUP($AF158,'Fuel economy adjusted factor'!$A$2:$L$52,5,FALSE)*m2k))/'TCO Inputs'!$AZ$84</f>
        <v>274.83345107624189</v>
      </c>
      <c r="AX158" s="125">
        <f>AX47/293.07*(1/(VLOOKUP($AF158,'Fuel economy adjusted factor'!$A$2:$L$52,5,FALSE)*m2k))/'TCO Inputs'!$AZ$84</f>
        <v>274.83345107624189</v>
      </c>
      <c r="AY158" s="125">
        <f>AY47/293.07*(1/(VLOOKUP($AF158,'Fuel economy adjusted factor'!$A$2:$L$52,5,FALSE)*m2k))/'TCO Inputs'!$AZ$84</f>
        <v>274.83345107624189</v>
      </c>
      <c r="AZ158" s="125">
        <f>AZ47/293.07*(1/(VLOOKUP($AF158,'Fuel economy adjusted factor'!$A$2:$L$52,5,FALSE)*m2k))/'TCO Inputs'!$AZ$84</f>
        <v>274.83345107624189</v>
      </c>
      <c r="BA158" s="125">
        <f>BA47/293.07*(1/(VLOOKUP($AF158,'Fuel economy adjusted factor'!$A$2:$L$52,5,FALSE)*m2k))/'TCO Inputs'!$AZ$84</f>
        <v>274.83345107624189</v>
      </c>
      <c r="BB158" s="125">
        <f>BB47/293.07*(1/(VLOOKUP($AF158,'Fuel economy adjusted factor'!$A$2:$L$52,5,FALSE)*m2k))/'TCO Inputs'!$AZ$84</f>
        <v>274.83345107624189</v>
      </c>
      <c r="BC158" s="125">
        <f>BC47/293.07*(1/(VLOOKUP($AF158,'Fuel economy adjusted factor'!$A$2:$L$52,5,FALSE)*m2k))/'TCO Inputs'!$AZ$84</f>
        <v>274.83345107624189</v>
      </c>
      <c r="BD158" s="125">
        <f>BD47/293.07*(1/(VLOOKUP($AF158,'Fuel economy adjusted factor'!$A$2:$L$52,5,FALSE)*m2k))/'TCO Inputs'!$AZ$84</f>
        <v>274.83345107624189</v>
      </c>
      <c r="BE158" s="125">
        <f>BE47/293.07*(1/(VLOOKUP($AF158,'Fuel economy adjusted factor'!$A$2:$L$52,5,FALSE)*m2k))/'TCO Inputs'!$AZ$84</f>
        <v>274.83345107624189</v>
      </c>
      <c r="BF158" s="125">
        <f>BF47/293.07*(1/(VLOOKUP($AF158,'Fuel economy adjusted factor'!$A$2:$L$52,5,FALSE)*m2k))/'TCO Inputs'!$AZ$84</f>
        <v>274.83345107624189</v>
      </c>
      <c r="BG158" s="125">
        <f>BG47/293.07*(1/(VLOOKUP($AF158,'Fuel economy adjusted factor'!$A$2:$L$52,5,FALSE)*m2k))/'TCO Inputs'!$AZ$84</f>
        <v>274.83345107624189</v>
      </c>
      <c r="BH158" s="125">
        <f>BH47/293.07*(1/(VLOOKUP($AF158,'Fuel economy adjusted factor'!$A$2:$L$52,5,FALSE)*m2k))/'TCO Inputs'!$AZ$84</f>
        <v>274.83345107624189</v>
      </c>
      <c r="BI158" s="98" cm="1">
        <f t="array" ref="BI158">SUMPRODUCT(INDEX(AG158:BH158,,'TCO Inputs'!$AZ$12-2023+_xlfn.SEQUENCE('TCO Inputs'!$AZ$13))*INDEX('VKT US'!C106:AA106,,_xlfn.SEQUENCE('TCO Inputs'!$AZ$13)))*m2k*CONVERT(0.9072,"g","ton")</f>
        <v>90.148366010773856</v>
      </c>
      <c r="BL158" s="123" t="s">
        <v>226</v>
      </c>
      <c r="BM158" s="125">
        <f>BM47/293.07*(1/(VLOOKUP($BL158,'Fuel economy adjusted factor'!$A$2:$L$52,5,FALSE)*m2k))/'TCO Inputs'!$AZ$84</f>
        <v>204.31509965541892</v>
      </c>
      <c r="BN158" s="125">
        <f>BN47/293.07*(1/(VLOOKUP($BL158,'Fuel economy adjusted factor'!$A$2:$L$52,5,FALSE)*m2k))/'TCO Inputs'!$AZ$84</f>
        <v>204.31509965541892</v>
      </c>
      <c r="BO158" s="125">
        <f>BO47/293.07*(1/(VLOOKUP($BL158,'Fuel economy adjusted factor'!$A$2:$L$52,5,FALSE)*m2k))/'TCO Inputs'!$AZ$84</f>
        <v>204.31509965541892</v>
      </c>
      <c r="BP158" s="125">
        <f>BP47/293.07*(1/(VLOOKUP($BL158,'Fuel economy adjusted factor'!$A$2:$L$52,5,FALSE)*m2k))/'TCO Inputs'!$AZ$84</f>
        <v>204.31509965541892</v>
      </c>
      <c r="BQ158" s="125">
        <f>BQ47/293.07*(1/(VLOOKUP($BL158,'Fuel economy adjusted factor'!$A$2:$L$52,5,FALSE)*m2k))/'TCO Inputs'!$AZ$84</f>
        <v>204.31509965541892</v>
      </c>
      <c r="BR158" s="125">
        <f>BR47/293.07*(1/(VLOOKUP($BL158,'Fuel economy adjusted factor'!$A$2:$L$52,5,FALSE)*m2k))/'TCO Inputs'!$AZ$84</f>
        <v>204.31509965541892</v>
      </c>
      <c r="BS158" s="125">
        <f>BS47/293.07*(1/(VLOOKUP($BL158,'Fuel economy adjusted factor'!$A$2:$L$52,5,FALSE)*m2k))/'TCO Inputs'!$AZ$84</f>
        <v>204.31509965541892</v>
      </c>
      <c r="BT158" s="125">
        <f>BT47/293.07*(1/(VLOOKUP($BL158,'Fuel economy adjusted factor'!$A$2:$L$52,5,FALSE)*m2k))/'TCO Inputs'!$AZ$84</f>
        <v>204.31509965541892</v>
      </c>
      <c r="BU158" s="125">
        <f>BU47/293.07*(1/(VLOOKUP($BL158,'Fuel economy adjusted factor'!$A$2:$L$52,5,FALSE)*m2k))/'TCO Inputs'!$AZ$84</f>
        <v>204.31509965541892</v>
      </c>
      <c r="BV158" s="125">
        <f>BV47/293.07*(1/(VLOOKUP($BL158,'Fuel economy adjusted factor'!$A$2:$L$52,5,FALSE)*m2k))/'TCO Inputs'!$AZ$84</f>
        <v>204.31509965541892</v>
      </c>
      <c r="BW158" s="125">
        <f>BW47/293.07*(1/(VLOOKUP($BL158,'Fuel economy adjusted factor'!$A$2:$L$52,5,FALSE)*m2k))/'TCO Inputs'!$AZ$84</f>
        <v>204.31509965541892</v>
      </c>
      <c r="BX158" s="125">
        <f>BX47/293.07*(1/(VLOOKUP($BL158,'Fuel economy adjusted factor'!$A$2:$L$52,5,FALSE)*m2k))/'TCO Inputs'!$AZ$84</f>
        <v>204.31509965541892</v>
      </c>
      <c r="BY158" s="125">
        <f>BY47/293.07*(1/(VLOOKUP($BL158,'Fuel economy adjusted factor'!$A$2:$L$52,5,FALSE)*m2k))/'TCO Inputs'!$AZ$84</f>
        <v>204.31509965541892</v>
      </c>
      <c r="BZ158" s="125">
        <f>BZ47/293.07*(1/(VLOOKUP($BL158,'Fuel economy adjusted factor'!$A$2:$L$52,5,FALSE)*m2k))/'TCO Inputs'!$AZ$84</f>
        <v>204.31509965541892</v>
      </c>
      <c r="CA158" s="125">
        <f>CA47/293.07*(1/(VLOOKUP($BL158,'Fuel economy adjusted factor'!$A$2:$L$52,5,FALSE)*m2k))/'TCO Inputs'!$AZ$84</f>
        <v>204.31509965541892</v>
      </c>
      <c r="CB158" s="125">
        <f>CB47/293.07*(1/(VLOOKUP($BL158,'Fuel economy adjusted factor'!$A$2:$L$52,5,FALSE)*m2k))/'TCO Inputs'!$AZ$84</f>
        <v>204.31509965541892</v>
      </c>
      <c r="CC158" s="125">
        <f>CC47/293.07*(1/(VLOOKUP($BL158,'Fuel economy adjusted factor'!$A$2:$L$52,5,FALSE)*m2k))/'TCO Inputs'!$AZ$84</f>
        <v>204.31509965541892</v>
      </c>
      <c r="CD158" s="125">
        <f>CD47/293.07*(1/(VLOOKUP($BL158,'Fuel economy adjusted factor'!$A$2:$L$52,5,FALSE)*m2k))/'TCO Inputs'!$AZ$84</f>
        <v>204.31509965541892</v>
      </c>
      <c r="CE158" s="125">
        <f>CE47/293.07*(1/(VLOOKUP($BL158,'Fuel economy adjusted factor'!$A$2:$L$52,5,FALSE)*m2k))/'TCO Inputs'!$AZ$84</f>
        <v>204.31509965541892</v>
      </c>
      <c r="CF158" s="125">
        <f>CF47/293.07*(1/(VLOOKUP($BL158,'Fuel economy adjusted factor'!$A$2:$L$52,5,FALSE)*m2k))/'TCO Inputs'!$AZ$84</f>
        <v>204.31509965541892</v>
      </c>
      <c r="CG158" s="125">
        <f>CG47/293.07*(1/(VLOOKUP($BL158,'Fuel economy adjusted factor'!$A$2:$L$52,5,FALSE)*m2k))/'TCO Inputs'!$AZ$84</f>
        <v>204.31509965541892</v>
      </c>
      <c r="CH158" s="125">
        <f>CH47/293.07*(1/(VLOOKUP($BL158,'Fuel economy adjusted factor'!$A$2:$L$52,5,FALSE)*m2k))/'TCO Inputs'!$AZ$84</f>
        <v>204.31509965541892</v>
      </c>
      <c r="CI158" s="125">
        <f>CI47/293.07*(1/(VLOOKUP($BL158,'Fuel economy adjusted factor'!$A$2:$L$52,5,FALSE)*m2k))/'TCO Inputs'!$AZ$84</f>
        <v>204.31509965541892</v>
      </c>
      <c r="CJ158" s="125">
        <f>CJ47/293.07*(1/(VLOOKUP($BL158,'Fuel economy adjusted factor'!$A$2:$L$52,5,FALSE)*m2k))/'TCO Inputs'!$AZ$84</f>
        <v>204.31509965541892</v>
      </c>
      <c r="CK158" s="125">
        <f>CK47/293.07*(1/(VLOOKUP($BL158,'Fuel economy adjusted factor'!$A$2:$L$52,5,FALSE)*m2k))/'TCO Inputs'!$AZ$84</f>
        <v>204.31509965541892</v>
      </c>
      <c r="CL158" s="125">
        <f>CL47/293.07*(1/(VLOOKUP($BL158,'Fuel economy adjusted factor'!$A$2:$L$52,5,FALSE)*m2k))/'TCO Inputs'!$AZ$84</f>
        <v>204.31509965541892</v>
      </c>
      <c r="CM158" s="125">
        <f>CM47/293.07*(1/(VLOOKUP($BL158,'Fuel economy adjusted factor'!$A$2:$L$52,5,FALSE)*m2k))/'TCO Inputs'!$AZ$84</f>
        <v>204.31509965541892</v>
      </c>
      <c r="CN158" s="125">
        <f>CN47/293.07*(1/(VLOOKUP($BL158,'Fuel economy adjusted factor'!$A$2:$L$52,5,FALSE)*m2k))/'TCO Inputs'!$AZ$84</f>
        <v>204.31509965541892</v>
      </c>
      <c r="CO158" s="98" cm="1">
        <f t="array" ref="CO158">SUMPRODUCT(INDEX(BM158:CN158,,'TCO Inputs'!$AZ$12-2023+_xlfn.SEQUENCE('TCO Inputs'!$AZ$13))*INDEX('VKT US'!C106:AA106,,_xlfn.SEQUENCE('TCO Inputs'!$AZ$13)))*m2k*CONVERT(0.9072,"g","ton")</f>
        <v>67.017578512140062</v>
      </c>
    </row>
    <row r="159" spans="1:93" x14ac:dyDescent="0.25">
      <c r="A159" s="123" t="s">
        <v>228</v>
      </c>
      <c r="B159" s="125">
        <f>B48/293.07*(1/(VLOOKUP($A159,'Fuel economy adjusted factor'!$A$2:$L$52,5,FALSE)*m2k))/'TCO Inputs'!$AZ$84</f>
        <v>7.2813619826523528</v>
      </c>
      <c r="C159" s="125">
        <f>C48/293.07*(1/(VLOOKUP($A159,'Fuel economy adjusted factor'!$A$2:$L$52,5,FALSE)*m2k))/'TCO Inputs'!$AZ$84</f>
        <v>7.2813619826523528</v>
      </c>
      <c r="D159" s="125">
        <f>D48/293.07*(1/(VLOOKUP($A159,'Fuel economy adjusted factor'!$A$2:$L$52,5,FALSE)*m2k))/'TCO Inputs'!$AZ$84</f>
        <v>7.2813619826523528</v>
      </c>
      <c r="E159" s="125">
        <f>E48/293.07*(1/(VLOOKUP($A159,'Fuel economy adjusted factor'!$A$2:$L$52,5,FALSE)*m2k))/'TCO Inputs'!$AZ$84</f>
        <v>7.2813619826523528</v>
      </c>
      <c r="F159" s="125">
        <f>F48/293.07*(1/(VLOOKUP($A159,'Fuel economy adjusted factor'!$A$2:$L$52,5,FALSE)*m2k))/'TCO Inputs'!$AZ$84</f>
        <v>7.2813619826523528</v>
      </c>
      <c r="G159" s="125">
        <f>G48/293.07*(1/(VLOOKUP($A159,'Fuel economy adjusted factor'!$A$2:$L$52,5,FALSE)*m2k))/'TCO Inputs'!$AZ$84</f>
        <v>7.2813619826523528</v>
      </c>
      <c r="H159" s="125">
        <f>H48/293.07*(1/(VLOOKUP($A159,'Fuel economy adjusted factor'!$A$2:$L$52,5,FALSE)*m2k))/'TCO Inputs'!$AZ$84</f>
        <v>7.2813619826523528</v>
      </c>
      <c r="I159" s="125">
        <f>I48/293.07*(1/(VLOOKUP($A159,'Fuel economy adjusted factor'!$A$2:$L$52,5,FALSE)*m2k))/'TCO Inputs'!$AZ$84</f>
        <v>7.2813619826523528</v>
      </c>
      <c r="J159" s="125">
        <f>J48/293.07*(1/(VLOOKUP($A159,'Fuel economy adjusted factor'!$A$2:$L$52,5,FALSE)*m2k))/'TCO Inputs'!$AZ$84</f>
        <v>7.2813619826523528</v>
      </c>
      <c r="K159" s="125">
        <f>K48/293.07*(1/(VLOOKUP($A159,'Fuel economy adjusted factor'!$A$2:$L$52,5,FALSE)*m2k))/'TCO Inputs'!$AZ$84</f>
        <v>7.2813619826523528</v>
      </c>
      <c r="L159" s="125">
        <f>L48/293.07*(1/(VLOOKUP($A159,'Fuel economy adjusted factor'!$A$2:$L$52,5,FALSE)*m2k))/'TCO Inputs'!$AZ$84</f>
        <v>7.2813619826523528</v>
      </c>
      <c r="M159" s="125">
        <f>M48/293.07*(1/(VLOOKUP($A159,'Fuel economy adjusted factor'!$A$2:$L$52,5,FALSE)*m2k))/'TCO Inputs'!$AZ$84</f>
        <v>7.2813619826523528</v>
      </c>
      <c r="N159" s="125">
        <f>N48/293.07*(1/(VLOOKUP($A159,'Fuel economy adjusted factor'!$A$2:$L$52,5,FALSE)*m2k))/'TCO Inputs'!$AZ$84</f>
        <v>7.2813619826523528</v>
      </c>
      <c r="O159" s="125">
        <f>O48/293.07*(1/(VLOOKUP($A159,'Fuel economy adjusted factor'!$A$2:$L$52,5,FALSE)*m2k))/'TCO Inputs'!$AZ$84</f>
        <v>7.2813619826523528</v>
      </c>
      <c r="P159" s="125">
        <f>P48/293.07*(1/(VLOOKUP($A159,'Fuel economy adjusted factor'!$A$2:$L$52,5,FALSE)*m2k))/'TCO Inputs'!$AZ$84</f>
        <v>7.2813619826523528</v>
      </c>
      <c r="Q159" s="125">
        <f>Q48/293.07*(1/(VLOOKUP($A159,'Fuel economy adjusted factor'!$A$2:$L$52,5,FALSE)*m2k))/'TCO Inputs'!$AZ$84</f>
        <v>7.2813619826523528</v>
      </c>
      <c r="R159" s="125">
        <f>R48/293.07*(1/(VLOOKUP($A159,'Fuel economy adjusted factor'!$A$2:$L$52,5,FALSE)*m2k))/'TCO Inputs'!$AZ$84</f>
        <v>7.2813619826523528</v>
      </c>
      <c r="S159" s="125">
        <f>S48/293.07*(1/(VLOOKUP($A159,'Fuel economy adjusted factor'!$A$2:$L$52,5,FALSE)*m2k))/'TCO Inputs'!$AZ$84</f>
        <v>7.2813619826523528</v>
      </c>
      <c r="T159" s="125">
        <f>T48/293.07*(1/(VLOOKUP($A159,'Fuel economy adjusted factor'!$A$2:$L$52,5,FALSE)*m2k))/'TCO Inputs'!$AZ$84</f>
        <v>7.2813619826523528</v>
      </c>
      <c r="U159" s="125">
        <f>U48/293.07*(1/(VLOOKUP($A159,'Fuel economy adjusted factor'!$A$2:$L$52,5,FALSE)*m2k))/'TCO Inputs'!$AZ$84</f>
        <v>7.2813619826523528</v>
      </c>
      <c r="V159" s="125">
        <f>V48/293.07*(1/(VLOOKUP($A159,'Fuel economy adjusted factor'!$A$2:$L$52,5,FALSE)*m2k))/'TCO Inputs'!$AZ$84</f>
        <v>7.2813619826523528</v>
      </c>
      <c r="W159" s="125">
        <f>W48/293.07*(1/(VLOOKUP($A159,'Fuel economy adjusted factor'!$A$2:$L$52,5,FALSE)*m2k))/'TCO Inputs'!$AZ$84</f>
        <v>7.2813619826523528</v>
      </c>
      <c r="X159" s="125">
        <f>X48/293.07*(1/(VLOOKUP($A159,'Fuel economy adjusted factor'!$A$2:$L$52,5,FALSE)*m2k))/'TCO Inputs'!$AZ$84</f>
        <v>7.2813619826523528</v>
      </c>
      <c r="Y159" s="125">
        <f>Y48/293.07*(1/(VLOOKUP($A159,'Fuel economy adjusted factor'!$A$2:$L$52,5,FALSE)*m2k))/'TCO Inputs'!$AZ$84</f>
        <v>7.2813619826523528</v>
      </c>
      <c r="Z159" s="125">
        <f>Z48/293.07*(1/(VLOOKUP($A159,'Fuel economy adjusted factor'!$A$2:$L$52,5,FALSE)*m2k))/'TCO Inputs'!$AZ$84</f>
        <v>7.2813619826523528</v>
      </c>
      <c r="AA159" s="125">
        <f>AA48/293.07*(1/(VLOOKUP($A159,'Fuel economy adjusted factor'!$A$2:$L$52,5,FALSE)*m2k))/'TCO Inputs'!$AZ$84</f>
        <v>7.2813619826523528</v>
      </c>
      <c r="AB159" s="125">
        <f>AB48/293.07*(1/(VLOOKUP($A159,'Fuel economy adjusted factor'!$A$2:$L$52,5,FALSE)*m2k))/'TCO Inputs'!$AZ$84</f>
        <v>7.2813619826523528</v>
      </c>
      <c r="AC159" s="125">
        <f>AC48/293.07*(1/(VLOOKUP($A159,'Fuel economy adjusted factor'!$A$2:$L$52,5,FALSE)*m2k))/'TCO Inputs'!$AZ$84</f>
        <v>7.2813619826523528</v>
      </c>
      <c r="AD159" s="98" cm="1">
        <f t="array" ref="AD159">SUMPRODUCT(INDEX(B159:AC159,,'TCO Inputs'!$AZ$12-2023+_xlfn.SEQUENCE('TCO Inputs'!$AZ$13))*INDEX('VKT US'!C107:AA107,,_xlfn.SEQUENCE('TCO Inputs'!$AZ$13)))*m2k*CONVERT(0.9072,"g","ton")</f>
        <v>2.0016958086440835</v>
      </c>
      <c r="AF159" s="123" t="s">
        <v>228</v>
      </c>
      <c r="AG159" s="125">
        <f>AG48/293.07*(1/(VLOOKUP($AF159,'Fuel economy adjusted factor'!$A$2:$L$52,5,FALSE)*m2k))/'TCO Inputs'!$AZ$84</f>
        <v>8.5345413234195799</v>
      </c>
      <c r="AH159" s="125">
        <f>AH48/293.07*(1/(VLOOKUP($AF159,'Fuel economy adjusted factor'!$A$2:$L$52,5,FALSE)*m2k))/'TCO Inputs'!$AZ$84</f>
        <v>8.5345413234195799</v>
      </c>
      <c r="AI159" s="125">
        <f>AI48/293.07*(1/(VLOOKUP($AF159,'Fuel economy adjusted factor'!$A$2:$L$52,5,FALSE)*m2k))/'TCO Inputs'!$AZ$84</f>
        <v>8.5345413234195799</v>
      </c>
      <c r="AJ159" s="125">
        <f>AJ48/293.07*(1/(VLOOKUP($AF159,'Fuel economy adjusted factor'!$A$2:$L$52,5,FALSE)*m2k))/'TCO Inputs'!$AZ$84</f>
        <v>8.5345413234195799</v>
      </c>
      <c r="AK159" s="125">
        <f>AK48/293.07*(1/(VLOOKUP($AF159,'Fuel economy adjusted factor'!$A$2:$L$52,5,FALSE)*m2k))/'TCO Inputs'!$AZ$84</f>
        <v>8.5345413234195799</v>
      </c>
      <c r="AL159" s="125">
        <f>AL48/293.07*(1/(VLOOKUP($AF159,'Fuel economy adjusted factor'!$A$2:$L$52,5,FALSE)*m2k))/'TCO Inputs'!$AZ$84</f>
        <v>8.5345413234195799</v>
      </c>
      <c r="AM159" s="125">
        <f>AM48/293.07*(1/(VLOOKUP($AF159,'Fuel economy adjusted factor'!$A$2:$L$52,5,FALSE)*m2k))/'TCO Inputs'!$AZ$84</f>
        <v>8.5345413234195799</v>
      </c>
      <c r="AN159" s="125">
        <f>AN48/293.07*(1/(VLOOKUP($AF159,'Fuel economy adjusted factor'!$A$2:$L$52,5,FALSE)*m2k))/'TCO Inputs'!$AZ$84</f>
        <v>8.5345413234195799</v>
      </c>
      <c r="AO159" s="125">
        <f>AO48/293.07*(1/(VLOOKUP($AF159,'Fuel economy adjusted factor'!$A$2:$L$52,5,FALSE)*m2k))/'TCO Inputs'!$AZ$84</f>
        <v>8.5345413234195799</v>
      </c>
      <c r="AP159" s="125">
        <f>AP48/293.07*(1/(VLOOKUP($AF159,'Fuel economy adjusted factor'!$A$2:$L$52,5,FALSE)*m2k))/'TCO Inputs'!$AZ$84</f>
        <v>8.5345413234195799</v>
      </c>
      <c r="AQ159" s="125">
        <f>AQ48/293.07*(1/(VLOOKUP($AF159,'Fuel economy adjusted factor'!$A$2:$L$52,5,FALSE)*m2k))/'TCO Inputs'!$AZ$84</f>
        <v>8.5345413234195799</v>
      </c>
      <c r="AR159" s="125">
        <f>AR48/293.07*(1/(VLOOKUP($AF159,'Fuel economy adjusted factor'!$A$2:$L$52,5,FALSE)*m2k))/'TCO Inputs'!$AZ$84</f>
        <v>8.5345413234195799</v>
      </c>
      <c r="AS159" s="125">
        <f>AS48/293.07*(1/(VLOOKUP($AF159,'Fuel economy adjusted factor'!$A$2:$L$52,5,FALSE)*m2k))/'TCO Inputs'!$AZ$84</f>
        <v>8.5345413234195799</v>
      </c>
      <c r="AT159" s="125">
        <f>AT48/293.07*(1/(VLOOKUP($AF159,'Fuel economy adjusted factor'!$A$2:$L$52,5,FALSE)*m2k))/'TCO Inputs'!$AZ$84</f>
        <v>8.5345413234195799</v>
      </c>
      <c r="AU159" s="125">
        <f>AU48/293.07*(1/(VLOOKUP($AF159,'Fuel economy adjusted factor'!$A$2:$L$52,5,FALSE)*m2k))/'TCO Inputs'!$AZ$84</f>
        <v>8.5345413234195799</v>
      </c>
      <c r="AV159" s="125">
        <f>AV48/293.07*(1/(VLOOKUP($AF159,'Fuel economy adjusted factor'!$A$2:$L$52,5,FALSE)*m2k))/'TCO Inputs'!$AZ$84</f>
        <v>8.5345413234195799</v>
      </c>
      <c r="AW159" s="125">
        <f>AW48/293.07*(1/(VLOOKUP($AF159,'Fuel economy adjusted factor'!$A$2:$L$52,5,FALSE)*m2k))/'TCO Inputs'!$AZ$84</f>
        <v>8.5345413234195799</v>
      </c>
      <c r="AX159" s="125">
        <f>AX48/293.07*(1/(VLOOKUP($AF159,'Fuel economy adjusted factor'!$A$2:$L$52,5,FALSE)*m2k))/'TCO Inputs'!$AZ$84</f>
        <v>8.5345413234195799</v>
      </c>
      <c r="AY159" s="125">
        <f>AY48/293.07*(1/(VLOOKUP($AF159,'Fuel economy adjusted factor'!$A$2:$L$52,5,FALSE)*m2k))/'TCO Inputs'!$AZ$84</f>
        <v>8.5345413234195799</v>
      </c>
      <c r="AZ159" s="125">
        <f>AZ48/293.07*(1/(VLOOKUP($AF159,'Fuel economy adjusted factor'!$A$2:$L$52,5,FALSE)*m2k))/'TCO Inputs'!$AZ$84</f>
        <v>8.5345413234195799</v>
      </c>
      <c r="BA159" s="125">
        <f>BA48/293.07*(1/(VLOOKUP($AF159,'Fuel economy adjusted factor'!$A$2:$L$52,5,FALSE)*m2k))/'TCO Inputs'!$AZ$84</f>
        <v>8.5345413234195799</v>
      </c>
      <c r="BB159" s="125">
        <f>BB48/293.07*(1/(VLOOKUP($AF159,'Fuel economy adjusted factor'!$A$2:$L$52,5,FALSE)*m2k))/'TCO Inputs'!$AZ$84</f>
        <v>8.5345413234195799</v>
      </c>
      <c r="BC159" s="125">
        <f>BC48/293.07*(1/(VLOOKUP($AF159,'Fuel economy adjusted factor'!$A$2:$L$52,5,FALSE)*m2k))/'TCO Inputs'!$AZ$84</f>
        <v>8.5345413234195799</v>
      </c>
      <c r="BD159" s="125">
        <f>BD48/293.07*(1/(VLOOKUP($AF159,'Fuel economy adjusted factor'!$A$2:$L$52,5,FALSE)*m2k))/'TCO Inputs'!$AZ$84</f>
        <v>8.5345413234195799</v>
      </c>
      <c r="BE159" s="125">
        <f>BE48/293.07*(1/(VLOOKUP($AF159,'Fuel economy adjusted factor'!$A$2:$L$52,5,FALSE)*m2k))/'TCO Inputs'!$AZ$84</f>
        <v>8.5345413234195799</v>
      </c>
      <c r="BF159" s="125">
        <f>BF48/293.07*(1/(VLOOKUP($AF159,'Fuel economy adjusted factor'!$A$2:$L$52,5,FALSE)*m2k))/'TCO Inputs'!$AZ$84</f>
        <v>8.5345413234195799</v>
      </c>
      <c r="BG159" s="125">
        <f>BG48/293.07*(1/(VLOOKUP($AF159,'Fuel economy adjusted factor'!$A$2:$L$52,5,FALSE)*m2k))/'TCO Inputs'!$AZ$84</f>
        <v>8.5345413234195799</v>
      </c>
      <c r="BH159" s="125">
        <f>BH48/293.07*(1/(VLOOKUP($AF159,'Fuel economy adjusted factor'!$A$2:$L$52,5,FALSE)*m2k))/'TCO Inputs'!$AZ$84</f>
        <v>8.5345413234195799</v>
      </c>
      <c r="BI159" s="98" cm="1">
        <f t="array" ref="BI159">SUMPRODUCT(INDEX(AG159:BH159,,'TCO Inputs'!$AZ$12-2023+_xlfn.SEQUENCE('TCO Inputs'!$AZ$13))*INDEX('VKT US'!C107:AA107,,_xlfn.SEQUENCE('TCO Inputs'!$AZ$13)))*m2k*CONVERT(0.9072,"g","ton")</f>
        <v>2.3462033114807106</v>
      </c>
      <c r="BL159" s="123" t="s">
        <v>228</v>
      </c>
      <c r="BM159" s="125">
        <f>BM48/293.07*(1/(VLOOKUP($BL159,'Fuel economy adjusted factor'!$A$2:$L$52,5,FALSE)*m2k))/'TCO Inputs'!$AZ$84</f>
        <v>6.344699505025063</v>
      </c>
      <c r="BN159" s="125">
        <f>BN48/293.07*(1/(VLOOKUP($BL159,'Fuel economy adjusted factor'!$A$2:$L$52,5,FALSE)*m2k))/'TCO Inputs'!$AZ$84</f>
        <v>6.344699505025063</v>
      </c>
      <c r="BO159" s="125">
        <f>BO48/293.07*(1/(VLOOKUP($BL159,'Fuel economy adjusted factor'!$A$2:$L$52,5,FALSE)*m2k))/'TCO Inputs'!$AZ$84</f>
        <v>6.344699505025063</v>
      </c>
      <c r="BP159" s="125">
        <f>BP48/293.07*(1/(VLOOKUP($BL159,'Fuel economy adjusted factor'!$A$2:$L$52,5,FALSE)*m2k))/'TCO Inputs'!$AZ$84</f>
        <v>6.344699505025063</v>
      </c>
      <c r="BQ159" s="125">
        <f>BQ48/293.07*(1/(VLOOKUP($BL159,'Fuel economy adjusted factor'!$A$2:$L$52,5,FALSE)*m2k))/'TCO Inputs'!$AZ$84</f>
        <v>6.344699505025063</v>
      </c>
      <c r="BR159" s="125">
        <f>BR48/293.07*(1/(VLOOKUP($BL159,'Fuel economy adjusted factor'!$A$2:$L$52,5,FALSE)*m2k))/'TCO Inputs'!$AZ$84</f>
        <v>6.344699505025063</v>
      </c>
      <c r="BS159" s="125">
        <f>BS48/293.07*(1/(VLOOKUP($BL159,'Fuel economy adjusted factor'!$A$2:$L$52,5,FALSE)*m2k))/'TCO Inputs'!$AZ$84</f>
        <v>6.344699505025063</v>
      </c>
      <c r="BT159" s="125">
        <f>BT48/293.07*(1/(VLOOKUP($BL159,'Fuel economy adjusted factor'!$A$2:$L$52,5,FALSE)*m2k))/'TCO Inputs'!$AZ$84</f>
        <v>6.344699505025063</v>
      </c>
      <c r="BU159" s="125">
        <f>BU48/293.07*(1/(VLOOKUP($BL159,'Fuel economy adjusted factor'!$A$2:$L$52,5,FALSE)*m2k))/'TCO Inputs'!$AZ$84</f>
        <v>6.344699505025063</v>
      </c>
      <c r="BV159" s="125">
        <f>BV48/293.07*(1/(VLOOKUP($BL159,'Fuel economy adjusted factor'!$A$2:$L$52,5,FALSE)*m2k))/'TCO Inputs'!$AZ$84</f>
        <v>6.344699505025063</v>
      </c>
      <c r="BW159" s="125">
        <f>BW48/293.07*(1/(VLOOKUP($BL159,'Fuel economy adjusted factor'!$A$2:$L$52,5,FALSE)*m2k))/'TCO Inputs'!$AZ$84</f>
        <v>6.344699505025063</v>
      </c>
      <c r="BX159" s="125">
        <f>BX48/293.07*(1/(VLOOKUP($BL159,'Fuel economy adjusted factor'!$A$2:$L$52,5,FALSE)*m2k))/'TCO Inputs'!$AZ$84</f>
        <v>6.344699505025063</v>
      </c>
      <c r="BY159" s="125">
        <f>BY48/293.07*(1/(VLOOKUP($BL159,'Fuel economy adjusted factor'!$A$2:$L$52,5,FALSE)*m2k))/'TCO Inputs'!$AZ$84</f>
        <v>6.344699505025063</v>
      </c>
      <c r="BZ159" s="125">
        <f>BZ48/293.07*(1/(VLOOKUP($BL159,'Fuel economy adjusted factor'!$A$2:$L$52,5,FALSE)*m2k))/'TCO Inputs'!$AZ$84</f>
        <v>6.344699505025063</v>
      </c>
      <c r="CA159" s="125">
        <f>CA48/293.07*(1/(VLOOKUP($BL159,'Fuel economy adjusted factor'!$A$2:$L$52,5,FALSE)*m2k))/'TCO Inputs'!$AZ$84</f>
        <v>6.344699505025063</v>
      </c>
      <c r="CB159" s="125">
        <f>CB48/293.07*(1/(VLOOKUP($BL159,'Fuel economy adjusted factor'!$A$2:$L$52,5,FALSE)*m2k))/'TCO Inputs'!$AZ$84</f>
        <v>6.344699505025063</v>
      </c>
      <c r="CC159" s="125">
        <f>CC48/293.07*(1/(VLOOKUP($BL159,'Fuel economy adjusted factor'!$A$2:$L$52,5,FALSE)*m2k))/'TCO Inputs'!$AZ$84</f>
        <v>6.344699505025063</v>
      </c>
      <c r="CD159" s="125">
        <f>CD48/293.07*(1/(VLOOKUP($BL159,'Fuel economy adjusted factor'!$A$2:$L$52,5,FALSE)*m2k))/'TCO Inputs'!$AZ$84</f>
        <v>6.344699505025063</v>
      </c>
      <c r="CE159" s="125">
        <f>CE48/293.07*(1/(VLOOKUP($BL159,'Fuel economy adjusted factor'!$A$2:$L$52,5,FALSE)*m2k))/'TCO Inputs'!$AZ$84</f>
        <v>6.344699505025063</v>
      </c>
      <c r="CF159" s="125">
        <f>CF48/293.07*(1/(VLOOKUP($BL159,'Fuel economy adjusted factor'!$A$2:$L$52,5,FALSE)*m2k))/'TCO Inputs'!$AZ$84</f>
        <v>6.344699505025063</v>
      </c>
      <c r="CG159" s="125">
        <f>CG48/293.07*(1/(VLOOKUP($BL159,'Fuel economy adjusted factor'!$A$2:$L$52,5,FALSE)*m2k))/'TCO Inputs'!$AZ$84</f>
        <v>6.344699505025063</v>
      </c>
      <c r="CH159" s="125">
        <f>CH48/293.07*(1/(VLOOKUP($BL159,'Fuel economy adjusted factor'!$A$2:$L$52,5,FALSE)*m2k))/'TCO Inputs'!$AZ$84</f>
        <v>6.344699505025063</v>
      </c>
      <c r="CI159" s="125">
        <f>CI48/293.07*(1/(VLOOKUP($BL159,'Fuel economy adjusted factor'!$A$2:$L$52,5,FALSE)*m2k))/'TCO Inputs'!$AZ$84</f>
        <v>6.344699505025063</v>
      </c>
      <c r="CJ159" s="125">
        <f>CJ48/293.07*(1/(VLOOKUP($BL159,'Fuel economy adjusted factor'!$A$2:$L$52,5,FALSE)*m2k))/'TCO Inputs'!$AZ$84</f>
        <v>6.344699505025063</v>
      </c>
      <c r="CK159" s="125">
        <f>CK48/293.07*(1/(VLOOKUP($BL159,'Fuel economy adjusted factor'!$A$2:$L$52,5,FALSE)*m2k))/'TCO Inputs'!$AZ$84</f>
        <v>6.344699505025063</v>
      </c>
      <c r="CL159" s="125">
        <f>CL48/293.07*(1/(VLOOKUP($BL159,'Fuel economy adjusted factor'!$A$2:$L$52,5,FALSE)*m2k))/'TCO Inputs'!$AZ$84</f>
        <v>6.344699505025063</v>
      </c>
      <c r="CM159" s="125">
        <f>CM48/293.07*(1/(VLOOKUP($BL159,'Fuel economy adjusted factor'!$A$2:$L$52,5,FALSE)*m2k))/'TCO Inputs'!$AZ$84</f>
        <v>6.344699505025063</v>
      </c>
      <c r="CN159" s="125">
        <f>CN48/293.07*(1/(VLOOKUP($BL159,'Fuel economy adjusted factor'!$A$2:$L$52,5,FALSE)*m2k))/'TCO Inputs'!$AZ$84</f>
        <v>6.344699505025063</v>
      </c>
      <c r="CO159" s="98" cm="1">
        <f t="array" ref="CO159">SUMPRODUCT(INDEX(BM159:CN159,,'TCO Inputs'!$AZ$12-2023+_xlfn.SEQUENCE('TCO Inputs'!$AZ$13))*INDEX('VKT US'!C107:AA107,,_xlfn.SEQUENCE('TCO Inputs'!$AZ$13)))*m2k*CONVERT(0.9072,"g","ton")</f>
        <v>1.7442009388590547</v>
      </c>
    </row>
    <row r="160" spans="1:93" x14ac:dyDescent="0.25">
      <c r="A160" s="123" t="s">
        <v>227</v>
      </c>
      <c r="B160" s="125">
        <f>B49/293.07*(1/(VLOOKUP($A160,'Fuel economy adjusted factor'!$A$2:$L$52,5,FALSE)*m2k))/'TCO Inputs'!$AZ$84</f>
        <v>96.878221225139299</v>
      </c>
      <c r="C160" s="125">
        <f>C49/293.07*(1/(VLOOKUP($A160,'Fuel economy adjusted factor'!$A$2:$L$52,5,FALSE)*m2k))/'TCO Inputs'!$AZ$84</f>
        <v>96.878221225139299</v>
      </c>
      <c r="D160" s="125">
        <f>D49/293.07*(1/(VLOOKUP($A160,'Fuel economy adjusted factor'!$A$2:$L$52,5,FALSE)*m2k))/'TCO Inputs'!$AZ$84</f>
        <v>96.878221225139299</v>
      </c>
      <c r="E160" s="125">
        <f>E49/293.07*(1/(VLOOKUP($A160,'Fuel economy adjusted factor'!$A$2:$L$52,5,FALSE)*m2k))/'TCO Inputs'!$AZ$84</f>
        <v>96.878221225139299</v>
      </c>
      <c r="F160" s="125">
        <f>F49/293.07*(1/(VLOOKUP($A160,'Fuel economy adjusted factor'!$A$2:$L$52,5,FALSE)*m2k))/'TCO Inputs'!$AZ$84</f>
        <v>96.878221225139299</v>
      </c>
      <c r="G160" s="125">
        <f>G49/293.07*(1/(VLOOKUP($A160,'Fuel economy adjusted factor'!$A$2:$L$52,5,FALSE)*m2k))/'TCO Inputs'!$AZ$84</f>
        <v>96.878221225139299</v>
      </c>
      <c r="H160" s="125">
        <f>H49/293.07*(1/(VLOOKUP($A160,'Fuel economy adjusted factor'!$A$2:$L$52,5,FALSE)*m2k))/'TCO Inputs'!$AZ$84</f>
        <v>96.878221225139299</v>
      </c>
      <c r="I160" s="125">
        <f>I49/293.07*(1/(VLOOKUP($A160,'Fuel economy adjusted factor'!$A$2:$L$52,5,FALSE)*m2k))/'TCO Inputs'!$AZ$84</f>
        <v>96.878221225139299</v>
      </c>
      <c r="J160" s="125">
        <f>J49/293.07*(1/(VLOOKUP($A160,'Fuel economy adjusted factor'!$A$2:$L$52,5,FALSE)*m2k))/'TCO Inputs'!$AZ$84</f>
        <v>96.878221225139299</v>
      </c>
      <c r="K160" s="125">
        <f>K49/293.07*(1/(VLOOKUP($A160,'Fuel economy adjusted factor'!$A$2:$L$52,5,FALSE)*m2k))/'TCO Inputs'!$AZ$84</f>
        <v>96.878221225139299</v>
      </c>
      <c r="L160" s="125">
        <f>L49/293.07*(1/(VLOOKUP($A160,'Fuel economy adjusted factor'!$A$2:$L$52,5,FALSE)*m2k))/'TCO Inputs'!$AZ$84</f>
        <v>96.878221225139299</v>
      </c>
      <c r="M160" s="125">
        <f>M49/293.07*(1/(VLOOKUP($A160,'Fuel economy adjusted factor'!$A$2:$L$52,5,FALSE)*m2k))/'TCO Inputs'!$AZ$84</f>
        <v>96.878221225139299</v>
      </c>
      <c r="N160" s="125">
        <f>N49/293.07*(1/(VLOOKUP($A160,'Fuel economy adjusted factor'!$A$2:$L$52,5,FALSE)*m2k))/'TCO Inputs'!$AZ$84</f>
        <v>96.878221225139299</v>
      </c>
      <c r="O160" s="125">
        <f>O49/293.07*(1/(VLOOKUP($A160,'Fuel economy adjusted factor'!$A$2:$L$52,5,FALSE)*m2k))/'TCO Inputs'!$AZ$84</f>
        <v>96.878221225139299</v>
      </c>
      <c r="P160" s="125">
        <f>P49/293.07*(1/(VLOOKUP($A160,'Fuel economy adjusted factor'!$A$2:$L$52,5,FALSE)*m2k))/'TCO Inputs'!$AZ$84</f>
        <v>96.878221225139299</v>
      </c>
      <c r="Q160" s="125">
        <f>Q49/293.07*(1/(VLOOKUP($A160,'Fuel economy adjusted factor'!$A$2:$L$52,5,FALSE)*m2k))/'TCO Inputs'!$AZ$84</f>
        <v>96.878221225139299</v>
      </c>
      <c r="R160" s="125">
        <f>R49/293.07*(1/(VLOOKUP($A160,'Fuel economy adjusted factor'!$A$2:$L$52,5,FALSE)*m2k))/'TCO Inputs'!$AZ$84</f>
        <v>96.878221225139299</v>
      </c>
      <c r="S160" s="125">
        <f>S49/293.07*(1/(VLOOKUP($A160,'Fuel economy adjusted factor'!$A$2:$L$52,5,FALSE)*m2k))/'TCO Inputs'!$AZ$84</f>
        <v>96.878221225139299</v>
      </c>
      <c r="T160" s="125">
        <f>T49/293.07*(1/(VLOOKUP($A160,'Fuel economy adjusted factor'!$A$2:$L$52,5,FALSE)*m2k))/'TCO Inputs'!$AZ$84</f>
        <v>96.878221225139299</v>
      </c>
      <c r="U160" s="125">
        <f>U49/293.07*(1/(VLOOKUP($A160,'Fuel economy adjusted factor'!$A$2:$L$52,5,FALSE)*m2k))/'TCO Inputs'!$AZ$84</f>
        <v>96.878221225139299</v>
      </c>
      <c r="V160" s="125">
        <f>V49/293.07*(1/(VLOOKUP($A160,'Fuel economy adjusted factor'!$A$2:$L$52,5,FALSE)*m2k))/'TCO Inputs'!$AZ$84</f>
        <v>96.878221225139299</v>
      </c>
      <c r="W160" s="125">
        <f>W49/293.07*(1/(VLOOKUP($A160,'Fuel economy adjusted factor'!$A$2:$L$52,5,FALSE)*m2k))/'TCO Inputs'!$AZ$84</f>
        <v>96.878221225139299</v>
      </c>
      <c r="X160" s="125">
        <f>X49/293.07*(1/(VLOOKUP($A160,'Fuel economy adjusted factor'!$A$2:$L$52,5,FALSE)*m2k))/'TCO Inputs'!$AZ$84</f>
        <v>96.878221225139299</v>
      </c>
      <c r="Y160" s="125">
        <f>Y49/293.07*(1/(VLOOKUP($A160,'Fuel economy adjusted factor'!$A$2:$L$52,5,FALSE)*m2k))/'TCO Inputs'!$AZ$84</f>
        <v>96.878221225139299</v>
      </c>
      <c r="Z160" s="125">
        <f>Z49/293.07*(1/(VLOOKUP($A160,'Fuel economy adjusted factor'!$A$2:$L$52,5,FALSE)*m2k))/'TCO Inputs'!$AZ$84</f>
        <v>96.878221225139299</v>
      </c>
      <c r="AA160" s="125">
        <f>AA49/293.07*(1/(VLOOKUP($A160,'Fuel economy adjusted factor'!$A$2:$L$52,5,FALSE)*m2k))/'TCO Inputs'!$AZ$84</f>
        <v>96.878221225139299</v>
      </c>
      <c r="AB160" s="125">
        <f>AB49/293.07*(1/(VLOOKUP($A160,'Fuel economy adjusted factor'!$A$2:$L$52,5,FALSE)*m2k))/'TCO Inputs'!$AZ$84</f>
        <v>96.878221225139299</v>
      </c>
      <c r="AC160" s="125">
        <f>AC49/293.07*(1/(VLOOKUP($A160,'Fuel economy adjusted factor'!$A$2:$L$52,5,FALSE)*m2k))/'TCO Inputs'!$AZ$84</f>
        <v>96.878221225139299</v>
      </c>
      <c r="AD160" s="98" cm="1">
        <f t="array" ref="AD160">SUMPRODUCT(INDEX(B160:AC160,,'TCO Inputs'!$AZ$12-2023+_xlfn.SEQUENCE('TCO Inputs'!$AZ$13))*INDEX('VKT US'!C108:AA108,,_xlfn.SEQUENCE('TCO Inputs'!$AZ$13)))*m2k*CONVERT(0.9072,"g","ton")</f>
        <v>29.714753637669958</v>
      </c>
      <c r="AF160" s="123" t="s">
        <v>227</v>
      </c>
      <c r="AG160" s="125">
        <f>AG49/293.07*(1/(VLOOKUP($AF160,'Fuel economy adjusted factor'!$A$2:$L$52,5,FALSE)*m2k))/'TCO Inputs'!$AZ$84</f>
        <v>113.55172072960941</v>
      </c>
      <c r="AH160" s="125">
        <f>AH49/293.07*(1/(VLOOKUP($AF160,'Fuel economy adjusted factor'!$A$2:$L$52,5,FALSE)*m2k))/'TCO Inputs'!$AZ$84</f>
        <v>113.55172072960941</v>
      </c>
      <c r="AI160" s="125">
        <f>AI49/293.07*(1/(VLOOKUP($AF160,'Fuel economy adjusted factor'!$A$2:$L$52,5,FALSE)*m2k))/'TCO Inputs'!$AZ$84</f>
        <v>113.55172072960941</v>
      </c>
      <c r="AJ160" s="125">
        <f>AJ49/293.07*(1/(VLOOKUP($AF160,'Fuel economy adjusted factor'!$A$2:$L$52,5,FALSE)*m2k))/'TCO Inputs'!$AZ$84</f>
        <v>113.55172072960941</v>
      </c>
      <c r="AK160" s="125">
        <f>AK49/293.07*(1/(VLOOKUP($AF160,'Fuel economy adjusted factor'!$A$2:$L$52,5,FALSE)*m2k))/'TCO Inputs'!$AZ$84</f>
        <v>113.55172072960941</v>
      </c>
      <c r="AL160" s="125">
        <f>AL49/293.07*(1/(VLOOKUP($AF160,'Fuel economy adjusted factor'!$A$2:$L$52,5,FALSE)*m2k))/'TCO Inputs'!$AZ$84</f>
        <v>113.55172072960941</v>
      </c>
      <c r="AM160" s="125">
        <f>AM49/293.07*(1/(VLOOKUP($AF160,'Fuel economy adjusted factor'!$A$2:$L$52,5,FALSE)*m2k))/'TCO Inputs'!$AZ$84</f>
        <v>113.55172072960941</v>
      </c>
      <c r="AN160" s="125">
        <f>AN49/293.07*(1/(VLOOKUP($AF160,'Fuel economy adjusted factor'!$A$2:$L$52,5,FALSE)*m2k))/'TCO Inputs'!$AZ$84</f>
        <v>113.55172072960941</v>
      </c>
      <c r="AO160" s="125">
        <f>AO49/293.07*(1/(VLOOKUP($AF160,'Fuel economy adjusted factor'!$A$2:$L$52,5,FALSE)*m2k))/'TCO Inputs'!$AZ$84</f>
        <v>113.55172072960941</v>
      </c>
      <c r="AP160" s="125">
        <f>AP49/293.07*(1/(VLOOKUP($AF160,'Fuel economy adjusted factor'!$A$2:$L$52,5,FALSE)*m2k))/'TCO Inputs'!$AZ$84</f>
        <v>113.55172072960941</v>
      </c>
      <c r="AQ160" s="125">
        <f>AQ49/293.07*(1/(VLOOKUP($AF160,'Fuel economy adjusted factor'!$A$2:$L$52,5,FALSE)*m2k))/'TCO Inputs'!$AZ$84</f>
        <v>113.55172072960941</v>
      </c>
      <c r="AR160" s="125">
        <f>AR49/293.07*(1/(VLOOKUP($AF160,'Fuel economy adjusted factor'!$A$2:$L$52,5,FALSE)*m2k))/'TCO Inputs'!$AZ$84</f>
        <v>113.55172072960941</v>
      </c>
      <c r="AS160" s="125">
        <f>AS49/293.07*(1/(VLOOKUP($AF160,'Fuel economy adjusted factor'!$A$2:$L$52,5,FALSE)*m2k))/'TCO Inputs'!$AZ$84</f>
        <v>113.55172072960941</v>
      </c>
      <c r="AT160" s="125">
        <f>AT49/293.07*(1/(VLOOKUP($AF160,'Fuel economy adjusted factor'!$A$2:$L$52,5,FALSE)*m2k))/'TCO Inputs'!$AZ$84</f>
        <v>113.55172072960941</v>
      </c>
      <c r="AU160" s="125">
        <f>AU49/293.07*(1/(VLOOKUP($AF160,'Fuel economy adjusted factor'!$A$2:$L$52,5,FALSE)*m2k))/'TCO Inputs'!$AZ$84</f>
        <v>113.55172072960941</v>
      </c>
      <c r="AV160" s="125">
        <f>AV49/293.07*(1/(VLOOKUP($AF160,'Fuel economy adjusted factor'!$A$2:$L$52,5,FALSE)*m2k))/'TCO Inputs'!$AZ$84</f>
        <v>113.55172072960941</v>
      </c>
      <c r="AW160" s="125">
        <f>AW49/293.07*(1/(VLOOKUP($AF160,'Fuel economy adjusted factor'!$A$2:$L$52,5,FALSE)*m2k))/'TCO Inputs'!$AZ$84</f>
        <v>113.55172072960941</v>
      </c>
      <c r="AX160" s="125">
        <f>AX49/293.07*(1/(VLOOKUP($AF160,'Fuel economy adjusted factor'!$A$2:$L$52,5,FALSE)*m2k))/'TCO Inputs'!$AZ$84</f>
        <v>113.55172072960941</v>
      </c>
      <c r="AY160" s="125">
        <f>AY49/293.07*(1/(VLOOKUP($AF160,'Fuel economy adjusted factor'!$A$2:$L$52,5,FALSE)*m2k))/'TCO Inputs'!$AZ$84</f>
        <v>113.55172072960941</v>
      </c>
      <c r="AZ160" s="125">
        <f>AZ49/293.07*(1/(VLOOKUP($AF160,'Fuel economy adjusted factor'!$A$2:$L$52,5,FALSE)*m2k))/'TCO Inputs'!$AZ$84</f>
        <v>113.55172072960941</v>
      </c>
      <c r="BA160" s="125">
        <f>BA49/293.07*(1/(VLOOKUP($AF160,'Fuel economy adjusted factor'!$A$2:$L$52,5,FALSE)*m2k))/'TCO Inputs'!$AZ$84</f>
        <v>113.55172072960941</v>
      </c>
      <c r="BB160" s="125">
        <f>BB49/293.07*(1/(VLOOKUP($AF160,'Fuel economy adjusted factor'!$A$2:$L$52,5,FALSE)*m2k))/'TCO Inputs'!$AZ$84</f>
        <v>113.55172072960941</v>
      </c>
      <c r="BC160" s="125">
        <f>BC49/293.07*(1/(VLOOKUP($AF160,'Fuel economy adjusted factor'!$A$2:$L$52,5,FALSE)*m2k))/'TCO Inputs'!$AZ$84</f>
        <v>113.55172072960941</v>
      </c>
      <c r="BD160" s="125">
        <f>BD49/293.07*(1/(VLOOKUP($AF160,'Fuel economy adjusted factor'!$A$2:$L$52,5,FALSE)*m2k))/'TCO Inputs'!$AZ$84</f>
        <v>113.55172072960941</v>
      </c>
      <c r="BE160" s="125">
        <f>BE49/293.07*(1/(VLOOKUP($AF160,'Fuel economy adjusted factor'!$A$2:$L$52,5,FALSE)*m2k))/'TCO Inputs'!$AZ$84</f>
        <v>113.55172072960941</v>
      </c>
      <c r="BF160" s="125">
        <f>BF49/293.07*(1/(VLOOKUP($AF160,'Fuel economy adjusted factor'!$A$2:$L$52,5,FALSE)*m2k))/'TCO Inputs'!$AZ$84</f>
        <v>113.55172072960941</v>
      </c>
      <c r="BG160" s="125">
        <f>BG49/293.07*(1/(VLOOKUP($AF160,'Fuel economy adjusted factor'!$A$2:$L$52,5,FALSE)*m2k))/'TCO Inputs'!$AZ$84</f>
        <v>113.55172072960941</v>
      </c>
      <c r="BH160" s="125">
        <f>BH49/293.07*(1/(VLOOKUP($AF160,'Fuel economy adjusted factor'!$A$2:$L$52,5,FALSE)*m2k))/'TCO Inputs'!$AZ$84</f>
        <v>113.55172072960941</v>
      </c>
      <c r="BI160" s="98" cm="1">
        <f t="array" ref="BI160">SUMPRODUCT(INDEX(AG160:BH160,,'TCO Inputs'!$AZ$12-2023+_xlfn.SEQUENCE('TCO Inputs'!$AZ$13))*INDEX('VKT US'!C108:AA108,,_xlfn.SEQUENCE('TCO Inputs'!$AZ$13)))*m2k*CONVERT(0.9072,"g","ton")</f>
        <v>34.82889512156185</v>
      </c>
      <c r="BL160" s="123" t="s">
        <v>227</v>
      </c>
      <c r="BM160" s="125">
        <f>BM49/293.07*(1/(VLOOKUP($BL160,'Fuel economy adjusted factor'!$A$2:$L$52,5,FALSE)*m2k))/'TCO Inputs'!$AZ$84</f>
        <v>84.415965545905863</v>
      </c>
      <c r="BN160" s="125">
        <f>BN49/293.07*(1/(VLOOKUP($BL160,'Fuel economy adjusted factor'!$A$2:$L$52,5,FALSE)*m2k))/'TCO Inputs'!$AZ$84</f>
        <v>84.415965545905863</v>
      </c>
      <c r="BO160" s="125">
        <f>BO49/293.07*(1/(VLOOKUP($BL160,'Fuel economy adjusted factor'!$A$2:$L$52,5,FALSE)*m2k))/'TCO Inputs'!$AZ$84</f>
        <v>84.415965545905863</v>
      </c>
      <c r="BP160" s="125">
        <f>BP49/293.07*(1/(VLOOKUP($BL160,'Fuel economy adjusted factor'!$A$2:$L$52,5,FALSE)*m2k))/'TCO Inputs'!$AZ$84</f>
        <v>84.415965545905863</v>
      </c>
      <c r="BQ160" s="125">
        <f>BQ49/293.07*(1/(VLOOKUP($BL160,'Fuel economy adjusted factor'!$A$2:$L$52,5,FALSE)*m2k))/'TCO Inputs'!$AZ$84</f>
        <v>84.415965545905863</v>
      </c>
      <c r="BR160" s="125">
        <f>BR49/293.07*(1/(VLOOKUP($BL160,'Fuel economy adjusted factor'!$A$2:$L$52,5,FALSE)*m2k))/'TCO Inputs'!$AZ$84</f>
        <v>84.415965545905863</v>
      </c>
      <c r="BS160" s="125">
        <f>BS49/293.07*(1/(VLOOKUP($BL160,'Fuel economy adjusted factor'!$A$2:$L$52,5,FALSE)*m2k))/'TCO Inputs'!$AZ$84</f>
        <v>84.415965545905863</v>
      </c>
      <c r="BT160" s="125">
        <f>BT49/293.07*(1/(VLOOKUP($BL160,'Fuel economy adjusted factor'!$A$2:$L$52,5,FALSE)*m2k))/'TCO Inputs'!$AZ$84</f>
        <v>84.415965545905863</v>
      </c>
      <c r="BU160" s="125">
        <f>BU49/293.07*(1/(VLOOKUP($BL160,'Fuel economy adjusted factor'!$A$2:$L$52,5,FALSE)*m2k))/'TCO Inputs'!$AZ$84</f>
        <v>84.415965545905863</v>
      </c>
      <c r="BV160" s="125">
        <f>BV49/293.07*(1/(VLOOKUP($BL160,'Fuel economy adjusted factor'!$A$2:$L$52,5,FALSE)*m2k))/'TCO Inputs'!$AZ$84</f>
        <v>84.415965545905863</v>
      </c>
      <c r="BW160" s="125">
        <f>BW49/293.07*(1/(VLOOKUP($BL160,'Fuel economy adjusted factor'!$A$2:$L$52,5,FALSE)*m2k))/'TCO Inputs'!$AZ$84</f>
        <v>84.415965545905863</v>
      </c>
      <c r="BX160" s="125">
        <f>BX49/293.07*(1/(VLOOKUP($BL160,'Fuel economy adjusted factor'!$A$2:$L$52,5,FALSE)*m2k))/'TCO Inputs'!$AZ$84</f>
        <v>84.415965545905863</v>
      </c>
      <c r="BY160" s="125">
        <f>BY49/293.07*(1/(VLOOKUP($BL160,'Fuel economy adjusted factor'!$A$2:$L$52,5,FALSE)*m2k))/'TCO Inputs'!$AZ$84</f>
        <v>84.415965545905863</v>
      </c>
      <c r="BZ160" s="125">
        <f>BZ49/293.07*(1/(VLOOKUP($BL160,'Fuel economy adjusted factor'!$A$2:$L$52,5,FALSE)*m2k))/'TCO Inputs'!$AZ$84</f>
        <v>84.415965545905863</v>
      </c>
      <c r="CA160" s="125">
        <f>CA49/293.07*(1/(VLOOKUP($BL160,'Fuel economy adjusted factor'!$A$2:$L$52,5,FALSE)*m2k))/'TCO Inputs'!$AZ$84</f>
        <v>84.415965545905863</v>
      </c>
      <c r="CB160" s="125">
        <f>CB49/293.07*(1/(VLOOKUP($BL160,'Fuel economy adjusted factor'!$A$2:$L$52,5,FALSE)*m2k))/'TCO Inputs'!$AZ$84</f>
        <v>84.415965545905863</v>
      </c>
      <c r="CC160" s="125">
        <f>CC49/293.07*(1/(VLOOKUP($BL160,'Fuel economy adjusted factor'!$A$2:$L$52,5,FALSE)*m2k))/'TCO Inputs'!$AZ$84</f>
        <v>84.415965545905863</v>
      </c>
      <c r="CD160" s="125">
        <f>CD49/293.07*(1/(VLOOKUP($BL160,'Fuel economy adjusted factor'!$A$2:$L$52,5,FALSE)*m2k))/'TCO Inputs'!$AZ$84</f>
        <v>84.415965545905863</v>
      </c>
      <c r="CE160" s="125">
        <f>CE49/293.07*(1/(VLOOKUP($BL160,'Fuel economy adjusted factor'!$A$2:$L$52,5,FALSE)*m2k))/'TCO Inputs'!$AZ$84</f>
        <v>84.415965545905863</v>
      </c>
      <c r="CF160" s="125">
        <f>CF49/293.07*(1/(VLOOKUP($BL160,'Fuel economy adjusted factor'!$A$2:$L$52,5,FALSE)*m2k))/'TCO Inputs'!$AZ$84</f>
        <v>84.415965545905863</v>
      </c>
      <c r="CG160" s="125">
        <f>CG49/293.07*(1/(VLOOKUP($BL160,'Fuel economy adjusted factor'!$A$2:$L$52,5,FALSE)*m2k))/'TCO Inputs'!$AZ$84</f>
        <v>84.415965545905863</v>
      </c>
      <c r="CH160" s="125">
        <f>CH49/293.07*(1/(VLOOKUP($BL160,'Fuel economy adjusted factor'!$A$2:$L$52,5,FALSE)*m2k))/'TCO Inputs'!$AZ$84</f>
        <v>84.415965545905863</v>
      </c>
      <c r="CI160" s="125">
        <f>CI49/293.07*(1/(VLOOKUP($BL160,'Fuel economy adjusted factor'!$A$2:$L$52,5,FALSE)*m2k))/'TCO Inputs'!$AZ$84</f>
        <v>84.415965545905863</v>
      </c>
      <c r="CJ160" s="125">
        <f>CJ49/293.07*(1/(VLOOKUP($BL160,'Fuel economy adjusted factor'!$A$2:$L$52,5,FALSE)*m2k))/'TCO Inputs'!$AZ$84</f>
        <v>84.415965545905863</v>
      </c>
      <c r="CK160" s="125">
        <f>CK49/293.07*(1/(VLOOKUP($BL160,'Fuel economy adjusted factor'!$A$2:$L$52,5,FALSE)*m2k))/'TCO Inputs'!$AZ$84</f>
        <v>84.415965545905863</v>
      </c>
      <c r="CL160" s="125">
        <f>CL49/293.07*(1/(VLOOKUP($BL160,'Fuel economy adjusted factor'!$A$2:$L$52,5,FALSE)*m2k))/'TCO Inputs'!$AZ$84</f>
        <v>84.415965545905863</v>
      </c>
      <c r="CM160" s="125">
        <f>CM49/293.07*(1/(VLOOKUP($BL160,'Fuel economy adjusted factor'!$A$2:$L$52,5,FALSE)*m2k))/'TCO Inputs'!$AZ$84</f>
        <v>84.415965545905863</v>
      </c>
      <c r="CN160" s="125">
        <f>CN49/293.07*(1/(VLOOKUP($BL160,'Fuel economy adjusted factor'!$A$2:$L$52,5,FALSE)*m2k))/'TCO Inputs'!$AZ$84</f>
        <v>84.415965545905863</v>
      </c>
      <c r="CO160" s="98" cm="1">
        <f t="array" ref="CO160">SUMPRODUCT(INDEX(BM160:CN160,,'TCO Inputs'!$AZ$12-2023+_xlfn.SEQUENCE('TCO Inputs'!$AZ$13))*INDEX('VKT US'!C108:AA108,,_xlfn.SEQUENCE('TCO Inputs'!$AZ$13)))*m2k*CONVERT(0.9072,"g","ton")</f>
        <v>25.892296406364171</v>
      </c>
    </row>
    <row r="161" spans="1:93" x14ac:dyDescent="0.25">
      <c r="A161" s="123" t="s">
        <v>229</v>
      </c>
      <c r="B161" s="125">
        <f>B50/293.07*(1/(VLOOKUP($A161,'Fuel economy adjusted factor'!$A$2:$L$52,5,FALSE)*m2k))/'TCO Inputs'!$AZ$84</f>
        <v>47.368063748024547</v>
      </c>
      <c r="C161" s="125">
        <f>C50/293.07*(1/(VLOOKUP($A161,'Fuel economy adjusted factor'!$A$2:$L$52,5,FALSE)*m2k))/'TCO Inputs'!$AZ$84</f>
        <v>47.368063748024547</v>
      </c>
      <c r="D161" s="125">
        <f>D50/293.07*(1/(VLOOKUP($A161,'Fuel economy adjusted factor'!$A$2:$L$52,5,FALSE)*m2k))/'TCO Inputs'!$AZ$84</f>
        <v>47.368063748024547</v>
      </c>
      <c r="E161" s="125">
        <f>E50/293.07*(1/(VLOOKUP($A161,'Fuel economy adjusted factor'!$A$2:$L$52,5,FALSE)*m2k))/'TCO Inputs'!$AZ$84</f>
        <v>47.368063748024547</v>
      </c>
      <c r="F161" s="125">
        <f>F50/293.07*(1/(VLOOKUP($A161,'Fuel economy adjusted factor'!$A$2:$L$52,5,FALSE)*m2k))/'TCO Inputs'!$AZ$84</f>
        <v>47.368063748024547</v>
      </c>
      <c r="G161" s="125">
        <f>G50/293.07*(1/(VLOOKUP($A161,'Fuel economy adjusted factor'!$A$2:$L$52,5,FALSE)*m2k))/'TCO Inputs'!$AZ$84</f>
        <v>47.368063748024547</v>
      </c>
      <c r="H161" s="125">
        <f>H50/293.07*(1/(VLOOKUP($A161,'Fuel economy adjusted factor'!$A$2:$L$52,5,FALSE)*m2k))/'TCO Inputs'!$AZ$84</f>
        <v>47.368063748024547</v>
      </c>
      <c r="I161" s="125">
        <f>I50/293.07*(1/(VLOOKUP($A161,'Fuel economy adjusted factor'!$A$2:$L$52,5,FALSE)*m2k))/'TCO Inputs'!$AZ$84</f>
        <v>47.368063748024547</v>
      </c>
      <c r="J161" s="125">
        <f>J50/293.07*(1/(VLOOKUP($A161,'Fuel economy adjusted factor'!$A$2:$L$52,5,FALSE)*m2k))/'TCO Inputs'!$AZ$84</f>
        <v>47.368063748024547</v>
      </c>
      <c r="K161" s="125">
        <f>K50/293.07*(1/(VLOOKUP($A161,'Fuel economy adjusted factor'!$A$2:$L$52,5,FALSE)*m2k))/'TCO Inputs'!$AZ$84</f>
        <v>47.368063748024547</v>
      </c>
      <c r="L161" s="125">
        <f>L50/293.07*(1/(VLOOKUP($A161,'Fuel economy adjusted factor'!$A$2:$L$52,5,FALSE)*m2k))/'TCO Inputs'!$AZ$84</f>
        <v>47.368063748024547</v>
      </c>
      <c r="M161" s="125">
        <f>M50/293.07*(1/(VLOOKUP($A161,'Fuel economy adjusted factor'!$A$2:$L$52,5,FALSE)*m2k))/'TCO Inputs'!$AZ$84</f>
        <v>47.368063748024547</v>
      </c>
      <c r="N161" s="125">
        <f>N50/293.07*(1/(VLOOKUP($A161,'Fuel economy adjusted factor'!$A$2:$L$52,5,FALSE)*m2k))/'TCO Inputs'!$AZ$84</f>
        <v>47.368063748024547</v>
      </c>
      <c r="O161" s="125">
        <f>O50/293.07*(1/(VLOOKUP($A161,'Fuel economy adjusted factor'!$A$2:$L$52,5,FALSE)*m2k))/'TCO Inputs'!$AZ$84</f>
        <v>47.368063748024547</v>
      </c>
      <c r="P161" s="125">
        <f>P50/293.07*(1/(VLOOKUP($A161,'Fuel economy adjusted factor'!$A$2:$L$52,5,FALSE)*m2k))/'TCO Inputs'!$AZ$84</f>
        <v>47.368063748024547</v>
      </c>
      <c r="Q161" s="125">
        <f>Q50/293.07*(1/(VLOOKUP($A161,'Fuel economy adjusted factor'!$A$2:$L$52,5,FALSE)*m2k))/'TCO Inputs'!$AZ$84</f>
        <v>47.368063748024547</v>
      </c>
      <c r="R161" s="125">
        <f>R50/293.07*(1/(VLOOKUP($A161,'Fuel economy adjusted factor'!$A$2:$L$52,5,FALSE)*m2k))/'TCO Inputs'!$AZ$84</f>
        <v>47.368063748024547</v>
      </c>
      <c r="S161" s="125">
        <f>S50/293.07*(1/(VLOOKUP($A161,'Fuel economy adjusted factor'!$A$2:$L$52,5,FALSE)*m2k))/'TCO Inputs'!$AZ$84</f>
        <v>47.368063748024547</v>
      </c>
      <c r="T161" s="125">
        <f>T50/293.07*(1/(VLOOKUP($A161,'Fuel economy adjusted factor'!$A$2:$L$52,5,FALSE)*m2k))/'TCO Inputs'!$AZ$84</f>
        <v>47.368063748024547</v>
      </c>
      <c r="U161" s="125">
        <f>U50/293.07*(1/(VLOOKUP($A161,'Fuel economy adjusted factor'!$A$2:$L$52,5,FALSE)*m2k))/'TCO Inputs'!$AZ$84</f>
        <v>47.368063748024547</v>
      </c>
      <c r="V161" s="125">
        <f>V50/293.07*(1/(VLOOKUP($A161,'Fuel economy adjusted factor'!$A$2:$L$52,5,FALSE)*m2k))/'TCO Inputs'!$AZ$84</f>
        <v>47.368063748024547</v>
      </c>
      <c r="W161" s="125">
        <f>W50/293.07*(1/(VLOOKUP($A161,'Fuel economy adjusted factor'!$A$2:$L$52,5,FALSE)*m2k))/'TCO Inputs'!$AZ$84</f>
        <v>47.368063748024547</v>
      </c>
      <c r="X161" s="125">
        <f>X50/293.07*(1/(VLOOKUP($A161,'Fuel economy adjusted factor'!$A$2:$L$52,5,FALSE)*m2k))/'TCO Inputs'!$AZ$84</f>
        <v>47.368063748024547</v>
      </c>
      <c r="Y161" s="125">
        <f>Y50/293.07*(1/(VLOOKUP($A161,'Fuel economy adjusted factor'!$A$2:$L$52,5,FALSE)*m2k))/'TCO Inputs'!$AZ$84</f>
        <v>47.368063748024547</v>
      </c>
      <c r="Z161" s="125">
        <f>Z50/293.07*(1/(VLOOKUP($A161,'Fuel economy adjusted factor'!$A$2:$L$52,5,FALSE)*m2k))/'TCO Inputs'!$AZ$84</f>
        <v>47.368063748024547</v>
      </c>
      <c r="AA161" s="125">
        <f>AA50/293.07*(1/(VLOOKUP($A161,'Fuel economy adjusted factor'!$A$2:$L$52,5,FALSE)*m2k))/'TCO Inputs'!$AZ$84</f>
        <v>47.368063748024547</v>
      </c>
      <c r="AB161" s="125">
        <f>AB50/293.07*(1/(VLOOKUP($A161,'Fuel economy adjusted factor'!$A$2:$L$52,5,FALSE)*m2k))/'TCO Inputs'!$AZ$84</f>
        <v>47.368063748024547</v>
      </c>
      <c r="AC161" s="125">
        <f>AC50/293.07*(1/(VLOOKUP($A161,'Fuel economy adjusted factor'!$A$2:$L$52,5,FALSE)*m2k))/'TCO Inputs'!$AZ$84</f>
        <v>47.368063748024547</v>
      </c>
      <c r="AD161" s="98" cm="1">
        <f t="array" ref="AD161">SUMPRODUCT(INDEX(B161:AC161,,'TCO Inputs'!$AZ$12-2023+_xlfn.SEQUENCE('TCO Inputs'!$AZ$13))*INDEX('VKT US'!C109:AA109,,_xlfn.SEQUENCE('TCO Inputs'!$AZ$13)))*m2k*CONVERT(0.9072,"g","ton")</f>
        <v>10.963988854178565</v>
      </c>
      <c r="AF161" s="123" t="s">
        <v>229</v>
      </c>
      <c r="AG161" s="125">
        <f>AG50/293.07*(1/(VLOOKUP($AF161,'Fuel economy adjusted factor'!$A$2:$L$52,5,FALSE)*m2k))/'TCO Inputs'!$AZ$84</f>
        <v>55.520477958799198</v>
      </c>
      <c r="AH161" s="125">
        <f>AH50/293.07*(1/(VLOOKUP($AF161,'Fuel economy adjusted factor'!$A$2:$L$52,5,FALSE)*m2k))/'TCO Inputs'!$AZ$84</f>
        <v>55.520477958799198</v>
      </c>
      <c r="AI161" s="125">
        <f>AI50/293.07*(1/(VLOOKUP($AF161,'Fuel economy adjusted factor'!$A$2:$L$52,5,FALSE)*m2k))/'TCO Inputs'!$AZ$84</f>
        <v>55.520477958799198</v>
      </c>
      <c r="AJ161" s="125">
        <f>AJ50/293.07*(1/(VLOOKUP($AF161,'Fuel economy adjusted factor'!$A$2:$L$52,5,FALSE)*m2k))/'TCO Inputs'!$AZ$84</f>
        <v>55.520477958799198</v>
      </c>
      <c r="AK161" s="125">
        <f>AK50/293.07*(1/(VLOOKUP($AF161,'Fuel economy adjusted factor'!$A$2:$L$52,5,FALSE)*m2k))/'TCO Inputs'!$AZ$84</f>
        <v>55.520477958799198</v>
      </c>
      <c r="AL161" s="125">
        <f>AL50/293.07*(1/(VLOOKUP($AF161,'Fuel economy adjusted factor'!$A$2:$L$52,5,FALSE)*m2k))/'TCO Inputs'!$AZ$84</f>
        <v>55.520477958799198</v>
      </c>
      <c r="AM161" s="125">
        <f>AM50/293.07*(1/(VLOOKUP($AF161,'Fuel economy adjusted factor'!$A$2:$L$52,5,FALSE)*m2k))/'TCO Inputs'!$AZ$84</f>
        <v>55.520477958799198</v>
      </c>
      <c r="AN161" s="125">
        <f>AN50/293.07*(1/(VLOOKUP($AF161,'Fuel economy adjusted factor'!$A$2:$L$52,5,FALSE)*m2k))/'TCO Inputs'!$AZ$84</f>
        <v>55.520477958799198</v>
      </c>
      <c r="AO161" s="125">
        <f>AO50/293.07*(1/(VLOOKUP($AF161,'Fuel economy adjusted factor'!$A$2:$L$52,5,FALSE)*m2k))/'TCO Inputs'!$AZ$84</f>
        <v>55.520477958799198</v>
      </c>
      <c r="AP161" s="125">
        <f>AP50/293.07*(1/(VLOOKUP($AF161,'Fuel economy adjusted factor'!$A$2:$L$52,5,FALSE)*m2k))/'TCO Inputs'!$AZ$84</f>
        <v>55.520477958799198</v>
      </c>
      <c r="AQ161" s="125">
        <f>AQ50/293.07*(1/(VLOOKUP($AF161,'Fuel economy adjusted factor'!$A$2:$L$52,5,FALSE)*m2k))/'TCO Inputs'!$AZ$84</f>
        <v>55.520477958799198</v>
      </c>
      <c r="AR161" s="125">
        <f>AR50/293.07*(1/(VLOOKUP($AF161,'Fuel economy adjusted factor'!$A$2:$L$52,5,FALSE)*m2k))/'TCO Inputs'!$AZ$84</f>
        <v>55.520477958799198</v>
      </c>
      <c r="AS161" s="125">
        <f>AS50/293.07*(1/(VLOOKUP($AF161,'Fuel economy adjusted factor'!$A$2:$L$52,5,FALSE)*m2k))/'TCO Inputs'!$AZ$84</f>
        <v>55.520477958799198</v>
      </c>
      <c r="AT161" s="125">
        <f>AT50/293.07*(1/(VLOOKUP($AF161,'Fuel economy adjusted factor'!$A$2:$L$52,5,FALSE)*m2k))/'TCO Inputs'!$AZ$84</f>
        <v>55.520477958799198</v>
      </c>
      <c r="AU161" s="125">
        <f>AU50/293.07*(1/(VLOOKUP($AF161,'Fuel economy adjusted factor'!$A$2:$L$52,5,FALSE)*m2k))/'TCO Inputs'!$AZ$84</f>
        <v>55.520477958799198</v>
      </c>
      <c r="AV161" s="125">
        <f>AV50/293.07*(1/(VLOOKUP($AF161,'Fuel economy adjusted factor'!$A$2:$L$52,5,FALSE)*m2k))/'TCO Inputs'!$AZ$84</f>
        <v>55.520477958799198</v>
      </c>
      <c r="AW161" s="125">
        <f>AW50/293.07*(1/(VLOOKUP($AF161,'Fuel economy adjusted factor'!$A$2:$L$52,5,FALSE)*m2k))/'TCO Inputs'!$AZ$84</f>
        <v>55.520477958799198</v>
      </c>
      <c r="AX161" s="125">
        <f>AX50/293.07*(1/(VLOOKUP($AF161,'Fuel economy adjusted factor'!$A$2:$L$52,5,FALSE)*m2k))/'TCO Inputs'!$AZ$84</f>
        <v>55.520477958799198</v>
      </c>
      <c r="AY161" s="125">
        <f>AY50/293.07*(1/(VLOOKUP($AF161,'Fuel economy adjusted factor'!$A$2:$L$52,5,FALSE)*m2k))/'TCO Inputs'!$AZ$84</f>
        <v>55.520477958799198</v>
      </c>
      <c r="AZ161" s="125">
        <f>AZ50/293.07*(1/(VLOOKUP($AF161,'Fuel economy adjusted factor'!$A$2:$L$52,5,FALSE)*m2k))/'TCO Inputs'!$AZ$84</f>
        <v>55.520477958799198</v>
      </c>
      <c r="BA161" s="125">
        <f>BA50/293.07*(1/(VLOOKUP($AF161,'Fuel economy adjusted factor'!$A$2:$L$52,5,FALSE)*m2k))/'TCO Inputs'!$AZ$84</f>
        <v>55.520477958799198</v>
      </c>
      <c r="BB161" s="125">
        <f>BB50/293.07*(1/(VLOOKUP($AF161,'Fuel economy adjusted factor'!$A$2:$L$52,5,FALSE)*m2k))/'TCO Inputs'!$AZ$84</f>
        <v>55.520477958799198</v>
      </c>
      <c r="BC161" s="125">
        <f>BC50/293.07*(1/(VLOOKUP($AF161,'Fuel economy adjusted factor'!$A$2:$L$52,5,FALSE)*m2k))/'TCO Inputs'!$AZ$84</f>
        <v>55.520477958799198</v>
      </c>
      <c r="BD161" s="125">
        <f>BD50/293.07*(1/(VLOOKUP($AF161,'Fuel economy adjusted factor'!$A$2:$L$52,5,FALSE)*m2k))/'TCO Inputs'!$AZ$84</f>
        <v>55.520477958799198</v>
      </c>
      <c r="BE161" s="125">
        <f>BE50/293.07*(1/(VLOOKUP($AF161,'Fuel economy adjusted factor'!$A$2:$L$52,5,FALSE)*m2k))/'TCO Inputs'!$AZ$84</f>
        <v>55.520477958799198</v>
      </c>
      <c r="BF161" s="125">
        <f>BF50/293.07*(1/(VLOOKUP($AF161,'Fuel economy adjusted factor'!$A$2:$L$52,5,FALSE)*m2k))/'TCO Inputs'!$AZ$84</f>
        <v>55.520477958799198</v>
      </c>
      <c r="BG161" s="125">
        <f>BG50/293.07*(1/(VLOOKUP($AF161,'Fuel economy adjusted factor'!$A$2:$L$52,5,FALSE)*m2k))/'TCO Inputs'!$AZ$84</f>
        <v>55.520477958799198</v>
      </c>
      <c r="BH161" s="125">
        <f>BH50/293.07*(1/(VLOOKUP($AF161,'Fuel economy adjusted factor'!$A$2:$L$52,5,FALSE)*m2k))/'TCO Inputs'!$AZ$84</f>
        <v>55.520477958799198</v>
      </c>
      <c r="BI161" s="98" cm="1">
        <f t="array" ref="BI161">SUMPRODUCT(INDEX(AG161:BH161,,'TCO Inputs'!$AZ$12-2023+_xlfn.SEQUENCE('TCO Inputs'!$AZ$13))*INDEX('VKT US'!C109:AA109,,_xlfn.SEQUENCE('TCO Inputs'!$AZ$13)))*m2k*CONVERT(0.9072,"g","ton")</f>
        <v>12.850977079347633</v>
      </c>
      <c r="BL161" s="123" t="s">
        <v>229</v>
      </c>
      <c r="BM161" s="125">
        <f>BM50/293.07*(1/(VLOOKUP($BL161,'Fuel economy adjusted factor'!$A$2:$L$52,5,FALSE)*m2k))/'TCO Inputs'!$AZ$84</f>
        <v>41.274713622548383</v>
      </c>
      <c r="BN161" s="125">
        <f>BN50/293.07*(1/(VLOOKUP($BL161,'Fuel economy adjusted factor'!$A$2:$L$52,5,FALSE)*m2k))/'TCO Inputs'!$AZ$84</f>
        <v>41.274713622548383</v>
      </c>
      <c r="BO161" s="125">
        <f>BO50/293.07*(1/(VLOOKUP($BL161,'Fuel economy adjusted factor'!$A$2:$L$52,5,FALSE)*m2k))/'TCO Inputs'!$AZ$84</f>
        <v>41.274713622548383</v>
      </c>
      <c r="BP161" s="125">
        <f>BP50/293.07*(1/(VLOOKUP($BL161,'Fuel economy adjusted factor'!$A$2:$L$52,5,FALSE)*m2k))/'TCO Inputs'!$AZ$84</f>
        <v>41.274713622548383</v>
      </c>
      <c r="BQ161" s="125">
        <f>BQ50/293.07*(1/(VLOOKUP($BL161,'Fuel economy adjusted factor'!$A$2:$L$52,5,FALSE)*m2k))/'TCO Inputs'!$AZ$84</f>
        <v>41.274713622548383</v>
      </c>
      <c r="BR161" s="125">
        <f>BR50/293.07*(1/(VLOOKUP($BL161,'Fuel economy adjusted factor'!$A$2:$L$52,5,FALSE)*m2k))/'TCO Inputs'!$AZ$84</f>
        <v>41.274713622548383</v>
      </c>
      <c r="BS161" s="125">
        <f>BS50/293.07*(1/(VLOOKUP($BL161,'Fuel economy adjusted factor'!$A$2:$L$52,5,FALSE)*m2k))/'TCO Inputs'!$AZ$84</f>
        <v>41.274713622548383</v>
      </c>
      <c r="BT161" s="125">
        <f>BT50/293.07*(1/(VLOOKUP($BL161,'Fuel economy adjusted factor'!$A$2:$L$52,5,FALSE)*m2k))/'TCO Inputs'!$AZ$84</f>
        <v>41.274713622548383</v>
      </c>
      <c r="BU161" s="125">
        <f>BU50/293.07*(1/(VLOOKUP($BL161,'Fuel economy adjusted factor'!$A$2:$L$52,5,FALSE)*m2k))/'TCO Inputs'!$AZ$84</f>
        <v>41.274713622548383</v>
      </c>
      <c r="BV161" s="125">
        <f>BV50/293.07*(1/(VLOOKUP($BL161,'Fuel economy adjusted factor'!$A$2:$L$52,5,FALSE)*m2k))/'TCO Inputs'!$AZ$84</f>
        <v>41.274713622548383</v>
      </c>
      <c r="BW161" s="125">
        <f>BW50/293.07*(1/(VLOOKUP($BL161,'Fuel economy adjusted factor'!$A$2:$L$52,5,FALSE)*m2k))/'TCO Inputs'!$AZ$84</f>
        <v>41.274713622548383</v>
      </c>
      <c r="BX161" s="125">
        <f>BX50/293.07*(1/(VLOOKUP($BL161,'Fuel economy adjusted factor'!$A$2:$L$52,5,FALSE)*m2k))/'TCO Inputs'!$AZ$84</f>
        <v>41.274713622548383</v>
      </c>
      <c r="BY161" s="125">
        <f>BY50/293.07*(1/(VLOOKUP($BL161,'Fuel economy adjusted factor'!$A$2:$L$52,5,FALSE)*m2k))/'TCO Inputs'!$AZ$84</f>
        <v>41.274713622548383</v>
      </c>
      <c r="BZ161" s="125">
        <f>BZ50/293.07*(1/(VLOOKUP($BL161,'Fuel economy adjusted factor'!$A$2:$L$52,5,FALSE)*m2k))/'TCO Inputs'!$AZ$84</f>
        <v>41.274713622548383</v>
      </c>
      <c r="CA161" s="125">
        <f>CA50/293.07*(1/(VLOOKUP($BL161,'Fuel economy adjusted factor'!$A$2:$L$52,5,FALSE)*m2k))/'TCO Inputs'!$AZ$84</f>
        <v>41.274713622548383</v>
      </c>
      <c r="CB161" s="125">
        <f>CB50/293.07*(1/(VLOOKUP($BL161,'Fuel economy adjusted factor'!$A$2:$L$52,5,FALSE)*m2k))/'TCO Inputs'!$AZ$84</f>
        <v>41.274713622548383</v>
      </c>
      <c r="CC161" s="125">
        <f>CC50/293.07*(1/(VLOOKUP($BL161,'Fuel economy adjusted factor'!$A$2:$L$52,5,FALSE)*m2k))/'TCO Inputs'!$AZ$84</f>
        <v>41.274713622548383</v>
      </c>
      <c r="CD161" s="125">
        <f>CD50/293.07*(1/(VLOOKUP($BL161,'Fuel economy adjusted factor'!$A$2:$L$52,5,FALSE)*m2k))/'TCO Inputs'!$AZ$84</f>
        <v>41.274713622548383</v>
      </c>
      <c r="CE161" s="125">
        <f>CE50/293.07*(1/(VLOOKUP($BL161,'Fuel economy adjusted factor'!$A$2:$L$52,5,FALSE)*m2k))/'TCO Inputs'!$AZ$84</f>
        <v>41.274713622548383</v>
      </c>
      <c r="CF161" s="125">
        <f>CF50/293.07*(1/(VLOOKUP($BL161,'Fuel economy adjusted factor'!$A$2:$L$52,5,FALSE)*m2k))/'TCO Inputs'!$AZ$84</f>
        <v>41.274713622548383</v>
      </c>
      <c r="CG161" s="125">
        <f>CG50/293.07*(1/(VLOOKUP($BL161,'Fuel economy adjusted factor'!$A$2:$L$52,5,FALSE)*m2k))/'TCO Inputs'!$AZ$84</f>
        <v>41.274713622548383</v>
      </c>
      <c r="CH161" s="125">
        <f>CH50/293.07*(1/(VLOOKUP($BL161,'Fuel economy adjusted factor'!$A$2:$L$52,5,FALSE)*m2k))/'TCO Inputs'!$AZ$84</f>
        <v>41.274713622548383</v>
      </c>
      <c r="CI161" s="125">
        <f>CI50/293.07*(1/(VLOOKUP($BL161,'Fuel economy adjusted factor'!$A$2:$L$52,5,FALSE)*m2k))/'TCO Inputs'!$AZ$84</f>
        <v>41.274713622548383</v>
      </c>
      <c r="CJ161" s="125">
        <f>CJ50/293.07*(1/(VLOOKUP($BL161,'Fuel economy adjusted factor'!$A$2:$L$52,5,FALSE)*m2k))/'TCO Inputs'!$AZ$84</f>
        <v>41.274713622548383</v>
      </c>
      <c r="CK161" s="125">
        <f>CK50/293.07*(1/(VLOOKUP($BL161,'Fuel economy adjusted factor'!$A$2:$L$52,5,FALSE)*m2k))/'TCO Inputs'!$AZ$84</f>
        <v>41.274713622548383</v>
      </c>
      <c r="CL161" s="125">
        <f>CL50/293.07*(1/(VLOOKUP($BL161,'Fuel economy adjusted factor'!$A$2:$L$52,5,FALSE)*m2k))/'TCO Inputs'!$AZ$84</f>
        <v>41.274713622548383</v>
      </c>
      <c r="CM161" s="125">
        <f>CM50/293.07*(1/(VLOOKUP($BL161,'Fuel economy adjusted factor'!$A$2:$L$52,5,FALSE)*m2k))/'TCO Inputs'!$AZ$84</f>
        <v>41.274713622548383</v>
      </c>
      <c r="CN161" s="125">
        <f>CN50/293.07*(1/(VLOOKUP($BL161,'Fuel economy adjusted factor'!$A$2:$L$52,5,FALSE)*m2k))/'TCO Inputs'!$AZ$84</f>
        <v>41.274713622548383</v>
      </c>
      <c r="CO161" s="98" cm="1">
        <f t="array" ref="CO161">SUMPRODUCT(INDEX(BM161:CN161,,'TCO Inputs'!$AZ$12-2023+_xlfn.SEQUENCE('TCO Inputs'!$AZ$13))*INDEX('VKT US'!C109:AA109,,_xlfn.SEQUENCE('TCO Inputs'!$AZ$13)))*m2k*CONVERT(0.9072,"g","ton")</f>
        <v>9.5535992884215215</v>
      </c>
    </row>
    <row r="162" spans="1:93" x14ac:dyDescent="0.25">
      <c r="A162" s="123" t="s">
        <v>159</v>
      </c>
      <c r="B162" s="125">
        <f>B51/293.07*(1/(VLOOKUP($A162,'Fuel economy adjusted factor'!$A$2:$L$52,5,FALSE)*m2k))/'TCO Inputs'!$AZ$84</f>
        <v>314.52064974021442</v>
      </c>
      <c r="C162" s="125">
        <f>C51/293.07*(1/(VLOOKUP($A162,'Fuel economy adjusted factor'!$A$2:$L$52,5,FALSE)*m2k))/'TCO Inputs'!$AZ$84</f>
        <v>314.52064974021442</v>
      </c>
      <c r="D162" s="125">
        <f>D51/293.07*(1/(VLOOKUP($A162,'Fuel economy adjusted factor'!$A$2:$L$52,5,FALSE)*m2k))/'TCO Inputs'!$AZ$84</f>
        <v>314.52064974021442</v>
      </c>
      <c r="E162" s="125">
        <f>E51/293.07*(1/(VLOOKUP($A162,'Fuel economy adjusted factor'!$A$2:$L$52,5,FALSE)*m2k))/'TCO Inputs'!$AZ$84</f>
        <v>314.52064974021442</v>
      </c>
      <c r="F162" s="125">
        <f>F51/293.07*(1/(VLOOKUP($A162,'Fuel economy adjusted factor'!$A$2:$L$52,5,FALSE)*m2k))/'TCO Inputs'!$AZ$84</f>
        <v>314.52064974021442</v>
      </c>
      <c r="G162" s="125">
        <f>G51/293.07*(1/(VLOOKUP($A162,'Fuel economy adjusted factor'!$A$2:$L$52,5,FALSE)*m2k))/'TCO Inputs'!$AZ$84</f>
        <v>314.52064974021442</v>
      </c>
      <c r="H162" s="125">
        <f>H51/293.07*(1/(VLOOKUP($A162,'Fuel economy adjusted factor'!$A$2:$L$52,5,FALSE)*m2k))/'TCO Inputs'!$AZ$84</f>
        <v>314.52064974021442</v>
      </c>
      <c r="I162" s="125">
        <f>I51/293.07*(1/(VLOOKUP($A162,'Fuel economy adjusted factor'!$A$2:$L$52,5,FALSE)*m2k))/'TCO Inputs'!$AZ$84</f>
        <v>314.52064974021442</v>
      </c>
      <c r="J162" s="125">
        <f>J51/293.07*(1/(VLOOKUP($A162,'Fuel economy adjusted factor'!$A$2:$L$52,5,FALSE)*m2k))/'TCO Inputs'!$AZ$84</f>
        <v>314.52064974021442</v>
      </c>
      <c r="K162" s="125">
        <f>K51/293.07*(1/(VLOOKUP($A162,'Fuel economy adjusted factor'!$A$2:$L$52,5,FALSE)*m2k))/'TCO Inputs'!$AZ$84</f>
        <v>314.52064974021442</v>
      </c>
      <c r="L162" s="125">
        <f>L51/293.07*(1/(VLOOKUP($A162,'Fuel economy adjusted factor'!$A$2:$L$52,5,FALSE)*m2k))/'TCO Inputs'!$AZ$84</f>
        <v>314.52064974021442</v>
      </c>
      <c r="M162" s="125">
        <f>M51/293.07*(1/(VLOOKUP($A162,'Fuel economy adjusted factor'!$A$2:$L$52,5,FALSE)*m2k))/'TCO Inputs'!$AZ$84</f>
        <v>314.52064974021442</v>
      </c>
      <c r="N162" s="125">
        <f>N51/293.07*(1/(VLOOKUP($A162,'Fuel economy adjusted factor'!$A$2:$L$52,5,FALSE)*m2k))/'TCO Inputs'!$AZ$84</f>
        <v>314.52064974021442</v>
      </c>
      <c r="O162" s="125">
        <f>O51/293.07*(1/(VLOOKUP($A162,'Fuel economy adjusted factor'!$A$2:$L$52,5,FALSE)*m2k))/'TCO Inputs'!$AZ$84</f>
        <v>314.52064974021442</v>
      </c>
      <c r="P162" s="125">
        <f>P51/293.07*(1/(VLOOKUP($A162,'Fuel economy adjusted factor'!$A$2:$L$52,5,FALSE)*m2k))/'TCO Inputs'!$AZ$84</f>
        <v>314.52064974021442</v>
      </c>
      <c r="Q162" s="125">
        <f>Q51/293.07*(1/(VLOOKUP($A162,'Fuel economy adjusted factor'!$A$2:$L$52,5,FALSE)*m2k))/'TCO Inputs'!$AZ$84</f>
        <v>314.52064974021442</v>
      </c>
      <c r="R162" s="125">
        <f>R51/293.07*(1/(VLOOKUP($A162,'Fuel economy adjusted factor'!$A$2:$L$52,5,FALSE)*m2k))/'TCO Inputs'!$AZ$84</f>
        <v>314.52064974021442</v>
      </c>
      <c r="S162" s="125">
        <f>S51/293.07*(1/(VLOOKUP($A162,'Fuel economy adjusted factor'!$A$2:$L$52,5,FALSE)*m2k))/'TCO Inputs'!$AZ$84</f>
        <v>314.52064974021442</v>
      </c>
      <c r="T162" s="125">
        <f>T51/293.07*(1/(VLOOKUP($A162,'Fuel economy adjusted factor'!$A$2:$L$52,5,FALSE)*m2k))/'TCO Inputs'!$AZ$84</f>
        <v>314.52064974021442</v>
      </c>
      <c r="U162" s="125">
        <f>U51/293.07*(1/(VLOOKUP($A162,'Fuel economy adjusted factor'!$A$2:$L$52,5,FALSE)*m2k))/'TCO Inputs'!$AZ$84</f>
        <v>314.52064974021442</v>
      </c>
      <c r="V162" s="125">
        <f>V51/293.07*(1/(VLOOKUP($A162,'Fuel economy adjusted factor'!$A$2:$L$52,5,FALSE)*m2k))/'TCO Inputs'!$AZ$84</f>
        <v>314.52064974021442</v>
      </c>
      <c r="W162" s="125">
        <f>W51/293.07*(1/(VLOOKUP($A162,'Fuel economy adjusted factor'!$A$2:$L$52,5,FALSE)*m2k))/'TCO Inputs'!$AZ$84</f>
        <v>314.52064974021442</v>
      </c>
      <c r="X162" s="125">
        <f>X51/293.07*(1/(VLOOKUP($A162,'Fuel economy adjusted factor'!$A$2:$L$52,5,FALSE)*m2k))/'TCO Inputs'!$AZ$84</f>
        <v>314.52064974021442</v>
      </c>
      <c r="Y162" s="125">
        <f>Y51/293.07*(1/(VLOOKUP($A162,'Fuel economy adjusted factor'!$A$2:$L$52,5,FALSE)*m2k))/'TCO Inputs'!$AZ$84</f>
        <v>314.52064974021442</v>
      </c>
      <c r="Z162" s="125">
        <f>Z51/293.07*(1/(VLOOKUP($A162,'Fuel economy adjusted factor'!$A$2:$L$52,5,FALSE)*m2k))/'TCO Inputs'!$AZ$84</f>
        <v>314.52064974021442</v>
      </c>
      <c r="AA162" s="125">
        <f>AA51/293.07*(1/(VLOOKUP($A162,'Fuel economy adjusted factor'!$A$2:$L$52,5,FALSE)*m2k))/'TCO Inputs'!$AZ$84</f>
        <v>314.52064974021442</v>
      </c>
      <c r="AB162" s="125">
        <f>AB51/293.07*(1/(VLOOKUP($A162,'Fuel economy adjusted factor'!$A$2:$L$52,5,FALSE)*m2k))/'TCO Inputs'!$AZ$84</f>
        <v>314.52064974021442</v>
      </c>
      <c r="AC162" s="125">
        <f>AC51/293.07*(1/(VLOOKUP($A162,'Fuel economy adjusted factor'!$A$2:$L$52,5,FALSE)*m2k))/'TCO Inputs'!$AZ$84</f>
        <v>314.52064974021442</v>
      </c>
      <c r="AD162" s="98" cm="1">
        <f t="array" ref="AD162">SUMPRODUCT(INDEX(B162:AC162,,'TCO Inputs'!$AZ$12-2023+_xlfn.SEQUENCE('TCO Inputs'!$AZ$13))*INDEX('VKT US'!C110:AA110,,_xlfn.SEQUENCE('TCO Inputs'!$AZ$13)))*m2k*CONVERT(0.9072,"g","ton")</f>
        <v>112.20886718459511</v>
      </c>
      <c r="AF162" s="123" t="s">
        <v>159</v>
      </c>
      <c r="AG162" s="125">
        <f>AG51/293.07*(1/(VLOOKUP($AF162,'Fuel economy adjusted factor'!$A$2:$L$52,5,FALSE)*m2k))/'TCO Inputs'!$AZ$84</f>
        <v>368.65211325461945</v>
      </c>
      <c r="AH162" s="125">
        <f>AH51/293.07*(1/(VLOOKUP($AF162,'Fuel economy adjusted factor'!$A$2:$L$52,5,FALSE)*m2k))/'TCO Inputs'!$AZ$84</f>
        <v>368.65211325461945</v>
      </c>
      <c r="AI162" s="125">
        <f>AI51/293.07*(1/(VLOOKUP($AF162,'Fuel economy adjusted factor'!$A$2:$L$52,5,FALSE)*m2k))/'TCO Inputs'!$AZ$84</f>
        <v>368.65211325461945</v>
      </c>
      <c r="AJ162" s="125">
        <f>AJ51/293.07*(1/(VLOOKUP($AF162,'Fuel economy adjusted factor'!$A$2:$L$52,5,FALSE)*m2k))/'TCO Inputs'!$AZ$84</f>
        <v>368.65211325461945</v>
      </c>
      <c r="AK162" s="125">
        <f>AK51/293.07*(1/(VLOOKUP($AF162,'Fuel economy adjusted factor'!$A$2:$L$52,5,FALSE)*m2k))/'TCO Inputs'!$AZ$84</f>
        <v>368.65211325461945</v>
      </c>
      <c r="AL162" s="125">
        <f>AL51/293.07*(1/(VLOOKUP($AF162,'Fuel economy adjusted factor'!$A$2:$L$52,5,FALSE)*m2k))/'TCO Inputs'!$AZ$84</f>
        <v>368.65211325461945</v>
      </c>
      <c r="AM162" s="125">
        <f>AM51/293.07*(1/(VLOOKUP($AF162,'Fuel economy adjusted factor'!$A$2:$L$52,5,FALSE)*m2k))/'TCO Inputs'!$AZ$84</f>
        <v>368.65211325461945</v>
      </c>
      <c r="AN162" s="125">
        <f>AN51/293.07*(1/(VLOOKUP($AF162,'Fuel economy adjusted factor'!$A$2:$L$52,5,FALSE)*m2k))/'TCO Inputs'!$AZ$84</f>
        <v>368.65211325461945</v>
      </c>
      <c r="AO162" s="125">
        <f>AO51/293.07*(1/(VLOOKUP($AF162,'Fuel economy adjusted factor'!$A$2:$L$52,5,FALSE)*m2k))/'TCO Inputs'!$AZ$84</f>
        <v>368.65211325461945</v>
      </c>
      <c r="AP162" s="125">
        <f>AP51/293.07*(1/(VLOOKUP($AF162,'Fuel economy adjusted factor'!$A$2:$L$52,5,FALSE)*m2k))/'TCO Inputs'!$AZ$84</f>
        <v>368.65211325461945</v>
      </c>
      <c r="AQ162" s="125">
        <f>AQ51/293.07*(1/(VLOOKUP($AF162,'Fuel economy adjusted factor'!$A$2:$L$52,5,FALSE)*m2k))/'TCO Inputs'!$AZ$84</f>
        <v>368.65211325461945</v>
      </c>
      <c r="AR162" s="125">
        <f>AR51/293.07*(1/(VLOOKUP($AF162,'Fuel economy adjusted factor'!$A$2:$L$52,5,FALSE)*m2k))/'TCO Inputs'!$AZ$84</f>
        <v>368.65211325461945</v>
      </c>
      <c r="AS162" s="125">
        <f>AS51/293.07*(1/(VLOOKUP($AF162,'Fuel economy adjusted factor'!$A$2:$L$52,5,FALSE)*m2k))/'TCO Inputs'!$AZ$84</f>
        <v>368.65211325461945</v>
      </c>
      <c r="AT162" s="125">
        <f>AT51/293.07*(1/(VLOOKUP($AF162,'Fuel economy adjusted factor'!$A$2:$L$52,5,FALSE)*m2k))/'TCO Inputs'!$AZ$84</f>
        <v>368.65211325461945</v>
      </c>
      <c r="AU162" s="125">
        <f>AU51/293.07*(1/(VLOOKUP($AF162,'Fuel economy adjusted factor'!$A$2:$L$52,5,FALSE)*m2k))/'TCO Inputs'!$AZ$84</f>
        <v>368.65211325461945</v>
      </c>
      <c r="AV162" s="125">
        <f>AV51/293.07*(1/(VLOOKUP($AF162,'Fuel economy adjusted factor'!$A$2:$L$52,5,FALSE)*m2k))/'TCO Inputs'!$AZ$84</f>
        <v>368.65211325461945</v>
      </c>
      <c r="AW162" s="125">
        <f>AW51/293.07*(1/(VLOOKUP($AF162,'Fuel economy adjusted factor'!$A$2:$L$52,5,FALSE)*m2k))/'TCO Inputs'!$AZ$84</f>
        <v>368.65211325461945</v>
      </c>
      <c r="AX162" s="125">
        <f>AX51/293.07*(1/(VLOOKUP($AF162,'Fuel economy adjusted factor'!$A$2:$L$52,5,FALSE)*m2k))/'TCO Inputs'!$AZ$84</f>
        <v>368.65211325461945</v>
      </c>
      <c r="AY162" s="125">
        <f>AY51/293.07*(1/(VLOOKUP($AF162,'Fuel economy adjusted factor'!$A$2:$L$52,5,FALSE)*m2k))/'TCO Inputs'!$AZ$84</f>
        <v>368.65211325461945</v>
      </c>
      <c r="AZ162" s="125">
        <f>AZ51/293.07*(1/(VLOOKUP($AF162,'Fuel economy adjusted factor'!$A$2:$L$52,5,FALSE)*m2k))/'TCO Inputs'!$AZ$84</f>
        <v>368.65211325461945</v>
      </c>
      <c r="BA162" s="125">
        <f>BA51/293.07*(1/(VLOOKUP($AF162,'Fuel economy adjusted factor'!$A$2:$L$52,5,FALSE)*m2k))/'TCO Inputs'!$AZ$84</f>
        <v>368.65211325461945</v>
      </c>
      <c r="BB162" s="125">
        <f>BB51/293.07*(1/(VLOOKUP($AF162,'Fuel economy adjusted factor'!$A$2:$L$52,5,FALSE)*m2k))/'TCO Inputs'!$AZ$84</f>
        <v>368.65211325461945</v>
      </c>
      <c r="BC162" s="125">
        <f>BC51/293.07*(1/(VLOOKUP($AF162,'Fuel economy adjusted factor'!$A$2:$L$52,5,FALSE)*m2k))/'TCO Inputs'!$AZ$84</f>
        <v>368.65211325461945</v>
      </c>
      <c r="BD162" s="125">
        <f>BD51/293.07*(1/(VLOOKUP($AF162,'Fuel economy adjusted factor'!$A$2:$L$52,5,FALSE)*m2k))/'TCO Inputs'!$AZ$84</f>
        <v>368.65211325461945</v>
      </c>
      <c r="BE162" s="125">
        <f>BE51/293.07*(1/(VLOOKUP($AF162,'Fuel economy adjusted factor'!$A$2:$L$52,5,FALSE)*m2k))/'TCO Inputs'!$AZ$84</f>
        <v>368.65211325461945</v>
      </c>
      <c r="BF162" s="125">
        <f>BF51/293.07*(1/(VLOOKUP($AF162,'Fuel economy adjusted factor'!$A$2:$L$52,5,FALSE)*m2k))/'TCO Inputs'!$AZ$84</f>
        <v>368.65211325461945</v>
      </c>
      <c r="BG162" s="125">
        <f>BG51/293.07*(1/(VLOOKUP($AF162,'Fuel economy adjusted factor'!$A$2:$L$52,5,FALSE)*m2k))/'TCO Inputs'!$AZ$84</f>
        <v>368.65211325461945</v>
      </c>
      <c r="BH162" s="125">
        <f>BH51/293.07*(1/(VLOOKUP($AF162,'Fuel economy adjusted factor'!$A$2:$L$52,5,FALSE)*m2k))/'TCO Inputs'!$AZ$84</f>
        <v>368.65211325461945</v>
      </c>
      <c r="BI162" s="98" cm="1">
        <f t="array" ref="BI162">SUMPRODUCT(INDEX(AG162:BH162,,'TCO Inputs'!$AZ$12-2023+_xlfn.SEQUENCE('TCO Inputs'!$AZ$13))*INDEX('VKT US'!C110:AA110,,_xlfn.SEQUENCE('TCO Inputs'!$AZ$13)))*m2k*CONVERT(0.9072,"g","ton")</f>
        <v>131.52089075129129</v>
      </c>
      <c r="BL162" s="123" t="s">
        <v>159</v>
      </c>
      <c r="BM162" s="125">
        <f>BM51/293.07*(1/(VLOOKUP($BL162,'Fuel economy adjusted factor'!$A$2:$L$52,5,FALSE)*m2k))/'TCO Inputs'!$AZ$84</f>
        <v>274.06122858350085</v>
      </c>
      <c r="BN162" s="125">
        <f>BN51/293.07*(1/(VLOOKUP($BL162,'Fuel economy adjusted factor'!$A$2:$L$52,5,FALSE)*m2k))/'TCO Inputs'!$AZ$84</f>
        <v>274.06122858350085</v>
      </c>
      <c r="BO162" s="125">
        <f>BO51/293.07*(1/(VLOOKUP($BL162,'Fuel economy adjusted factor'!$A$2:$L$52,5,FALSE)*m2k))/'TCO Inputs'!$AZ$84</f>
        <v>274.06122858350085</v>
      </c>
      <c r="BP162" s="125">
        <f>BP51/293.07*(1/(VLOOKUP($BL162,'Fuel economy adjusted factor'!$A$2:$L$52,5,FALSE)*m2k))/'TCO Inputs'!$AZ$84</f>
        <v>274.06122858350085</v>
      </c>
      <c r="BQ162" s="125">
        <f>BQ51/293.07*(1/(VLOOKUP($BL162,'Fuel economy adjusted factor'!$A$2:$L$52,5,FALSE)*m2k))/'TCO Inputs'!$AZ$84</f>
        <v>274.06122858350085</v>
      </c>
      <c r="BR162" s="125">
        <f>BR51/293.07*(1/(VLOOKUP($BL162,'Fuel economy adjusted factor'!$A$2:$L$52,5,FALSE)*m2k))/'TCO Inputs'!$AZ$84</f>
        <v>274.06122858350085</v>
      </c>
      <c r="BS162" s="125">
        <f>BS51/293.07*(1/(VLOOKUP($BL162,'Fuel economy adjusted factor'!$A$2:$L$52,5,FALSE)*m2k))/'TCO Inputs'!$AZ$84</f>
        <v>274.06122858350085</v>
      </c>
      <c r="BT162" s="125">
        <f>BT51/293.07*(1/(VLOOKUP($BL162,'Fuel economy adjusted factor'!$A$2:$L$52,5,FALSE)*m2k))/'TCO Inputs'!$AZ$84</f>
        <v>274.06122858350085</v>
      </c>
      <c r="BU162" s="125">
        <f>BU51/293.07*(1/(VLOOKUP($BL162,'Fuel economy adjusted factor'!$A$2:$L$52,5,FALSE)*m2k))/'TCO Inputs'!$AZ$84</f>
        <v>274.06122858350085</v>
      </c>
      <c r="BV162" s="125">
        <f>BV51/293.07*(1/(VLOOKUP($BL162,'Fuel economy adjusted factor'!$A$2:$L$52,5,FALSE)*m2k))/'TCO Inputs'!$AZ$84</f>
        <v>274.06122858350085</v>
      </c>
      <c r="BW162" s="125">
        <f>BW51/293.07*(1/(VLOOKUP($BL162,'Fuel economy adjusted factor'!$A$2:$L$52,5,FALSE)*m2k))/'TCO Inputs'!$AZ$84</f>
        <v>274.06122858350085</v>
      </c>
      <c r="BX162" s="125">
        <f>BX51/293.07*(1/(VLOOKUP($BL162,'Fuel economy adjusted factor'!$A$2:$L$52,5,FALSE)*m2k))/'TCO Inputs'!$AZ$84</f>
        <v>274.06122858350085</v>
      </c>
      <c r="BY162" s="125">
        <f>BY51/293.07*(1/(VLOOKUP($BL162,'Fuel economy adjusted factor'!$A$2:$L$52,5,FALSE)*m2k))/'TCO Inputs'!$AZ$84</f>
        <v>274.06122858350085</v>
      </c>
      <c r="BZ162" s="125">
        <f>BZ51/293.07*(1/(VLOOKUP($BL162,'Fuel economy adjusted factor'!$A$2:$L$52,5,FALSE)*m2k))/'TCO Inputs'!$AZ$84</f>
        <v>274.06122858350085</v>
      </c>
      <c r="CA162" s="125">
        <f>CA51/293.07*(1/(VLOOKUP($BL162,'Fuel economy adjusted factor'!$A$2:$L$52,5,FALSE)*m2k))/'TCO Inputs'!$AZ$84</f>
        <v>274.06122858350085</v>
      </c>
      <c r="CB162" s="125">
        <f>CB51/293.07*(1/(VLOOKUP($BL162,'Fuel economy adjusted factor'!$A$2:$L$52,5,FALSE)*m2k))/'TCO Inputs'!$AZ$84</f>
        <v>274.06122858350085</v>
      </c>
      <c r="CC162" s="125">
        <f>CC51/293.07*(1/(VLOOKUP($BL162,'Fuel economy adjusted factor'!$A$2:$L$52,5,FALSE)*m2k))/'TCO Inputs'!$AZ$84</f>
        <v>274.06122858350085</v>
      </c>
      <c r="CD162" s="125">
        <f>CD51/293.07*(1/(VLOOKUP($BL162,'Fuel economy adjusted factor'!$A$2:$L$52,5,FALSE)*m2k))/'TCO Inputs'!$AZ$84</f>
        <v>274.06122858350085</v>
      </c>
      <c r="CE162" s="125">
        <f>CE51/293.07*(1/(VLOOKUP($BL162,'Fuel economy adjusted factor'!$A$2:$L$52,5,FALSE)*m2k))/'TCO Inputs'!$AZ$84</f>
        <v>274.06122858350085</v>
      </c>
      <c r="CF162" s="125">
        <f>CF51/293.07*(1/(VLOOKUP($BL162,'Fuel economy adjusted factor'!$A$2:$L$52,5,FALSE)*m2k))/'TCO Inputs'!$AZ$84</f>
        <v>274.06122858350085</v>
      </c>
      <c r="CG162" s="125">
        <f>CG51/293.07*(1/(VLOOKUP($BL162,'Fuel economy adjusted factor'!$A$2:$L$52,5,FALSE)*m2k))/'TCO Inputs'!$AZ$84</f>
        <v>274.06122858350085</v>
      </c>
      <c r="CH162" s="125">
        <f>CH51/293.07*(1/(VLOOKUP($BL162,'Fuel economy adjusted factor'!$A$2:$L$52,5,FALSE)*m2k))/'TCO Inputs'!$AZ$84</f>
        <v>274.06122858350085</v>
      </c>
      <c r="CI162" s="125">
        <f>CI51/293.07*(1/(VLOOKUP($BL162,'Fuel economy adjusted factor'!$A$2:$L$52,5,FALSE)*m2k))/'TCO Inputs'!$AZ$84</f>
        <v>274.06122858350085</v>
      </c>
      <c r="CJ162" s="125">
        <f>CJ51/293.07*(1/(VLOOKUP($BL162,'Fuel economy adjusted factor'!$A$2:$L$52,5,FALSE)*m2k))/'TCO Inputs'!$AZ$84</f>
        <v>274.06122858350085</v>
      </c>
      <c r="CK162" s="125">
        <f>CK51/293.07*(1/(VLOOKUP($BL162,'Fuel economy adjusted factor'!$A$2:$L$52,5,FALSE)*m2k))/'TCO Inputs'!$AZ$84</f>
        <v>274.06122858350085</v>
      </c>
      <c r="CL162" s="125">
        <f>CL51/293.07*(1/(VLOOKUP($BL162,'Fuel economy adjusted factor'!$A$2:$L$52,5,FALSE)*m2k))/'TCO Inputs'!$AZ$84</f>
        <v>274.06122858350085</v>
      </c>
      <c r="CM162" s="125">
        <f>CM51/293.07*(1/(VLOOKUP($BL162,'Fuel economy adjusted factor'!$A$2:$L$52,5,FALSE)*m2k))/'TCO Inputs'!$AZ$84</f>
        <v>274.06122858350085</v>
      </c>
      <c r="CN162" s="125">
        <f>CN51/293.07*(1/(VLOOKUP($BL162,'Fuel economy adjusted factor'!$A$2:$L$52,5,FALSE)*m2k))/'TCO Inputs'!$AZ$84</f>
        <v>274.06122858350085</v>
      </c>
      <c r="CO162" s="98" cm="1">
        <f t="array" ref="CO162">SUMPRODUCT(INDEX(BM162:CN162,,'TCO Inputs'!$AZ$12-2023+_xlfn.SEQUENCE('TCO Inputs'!$AZ$13))*INDEX('VKT US'!C110:AA110,,_xlfn.SEQUENCE('TCO Inputs'!$AZ$13)))*m2k*CONVERT(0.9072,"g","ton")</f>
        <v>97.774502322735927</v>
      </c>
    </row>
    <row r="163" spans="1:93" x14ac:dyDescent="0.25">
      <c r="A163" s="123" t="s">
        <v>158</v>
      </c>
      <c r="B163" s="125">
        <f>B52/293.07*(1/(VLOOKUP($A163,'Fuel economy adjusted factor'!$A$2:$L$52,5,FALSE)*m2k))/'TCO Inputs'!$AZ$84</f>
        <v>204.16461930119834</v>
      </c>
      <c r="C163" s="125">
        <f>C52/293.07*(1/(VLOOKUP($A163,'Fuel economy adjusted factor'!$A$2:$L$52,5,FALSE)*m2k))/'TCO Inputs'!$AZ$84</f>
        <v>204.16461930119834</v>
      </c>
      <c r="D163" s="125">
        <f>D52/293.07*(1/(VLOOKUP($A163,'Fuel economy adjusted factor'!$A$2:$L$52,5,FALSE)*m2k))/'TCO Inputs'!$AZ$84</f>
        <v>204.16461930119834</v>
      </c>
      <c r="E163" s="125">
        <f>E52/293.07*(1/(VLOOKUP($A163,'Fuel economy adjusted factor'!$A$2:$L$52,5,FALSE)*m2k))/'TCO Inputs'!$AZ$84</f>
        <v>204.16461930119834</v>
      </c>
      <c r="F163" s="125">
        <f>F52/293.07*(1/(VLOOKUP($A163,'Fuel economy adjusted factor'!$A$2:$L$52,5,FALSE)*m2k))/'TCO Inputs'!$AZ$84</f>
        <v>204.16461930119834</v>
      </c>
      <c r="G163" s="125">
        <f>G52/293.07*(1/(VLOOKUP($A163,'Fuel economy adjusted factor'!$A$2:$L$52,5,FALSE)*m2k))/'TCO Inputs'!$AZ$84</f>
        <v>204.16461930119834</v>
      </c>
      <c r="H163" s="125">
        <f>H52/293.07*(1/(VLOOKUP($A163,'Fuel economy adjusted factor'!$A$2:$L$52,5,FALSE)*m2k))/'TCO Inputs'!$AZ$84</f>
        <v>204.16461930119834</v>
      </c>
      <c r="I163" s="125">
        <f>I52/293.07*(1/(VLOOKUP($A163,'Fuel economy adjusted factor'!$A$2:$L$52,5,FALSE)*m2k))/'TCO Inputs'!$AZ$84</f>
        <v>204.16461930119834</v>
      </c>
      <c r="J163" s="125">
        <f>J52/293.07*(1/(VLOOKUP($A163,'Fuel economy adjusted factor'!$A$2:$L$52,5,FALSE)*m2k))/'TCO Inputs'!$AZ$84</f>
        <v>204.16461930119834</v>
      </c>
      <c r="K163" s="125">
        <f>K52/293.07*(1/(VLOOKUP($A163,'Fuel economy adjusted factor'!$A$2:$L$52,5,FALSE)*m2k))/'TCO Inputs'!$AZ$84</f>
        <v>204.16461930119834</v>
      </c>
      <c r="L163" s="125">
        <f>L52/293.07*(1/(VLOOKUP($A163,'Fuel economy adjusted factor'!$A$2:$L$52,5,FALSE)*m2k))/'TCO Inputs'!$AZ$84</f>
        <v>204.16461930119834</v>
      </c>
      <c r="M163" s="125">
        <f>M52/293.07*(1/(VLOOKUP($A163,'Fuel economy adjusted factor'!$A$2:$L$52,5,FALSE)*m2k))/'TCO Inputs'!$AZ$84</f>
        <v>204.16461930119834</v>
      </c>
      <c r="N163" s="125">
        <f>N52/293.07*(1/(VLOOKUP($A163,'Fuel economy adjusted factor'!$A$2:$L$52,5,FALSE)*m2k))/'TCO Inputs'!$AZ$84</f>
        <v>204.16461930119834</v>
      </c>
      <c r="O163" s="125">
        <f>O52/293.07*(1/(VLOOKUP($A163,'Fuel economy adjusted factor'!$A$2:$L$52,5,FALSE)*m2k))/'TCO Inputs'!$AZ$84</f>
        <v>204.16461930119834</v>
      </c>
      <c r="P163" s="125">
        <f>P52/293.07*(1/(VLOOKUP($A163,'Fuel economy adjusted factor'!$A$2:$L$52,5,FALSE)*m2k))/'TCO Inputs'!$AZ$84</f>
        <v>204.16461930119834</v>
      </c>
      <c r="Q163" s="125">
        <f>Q52/293.07*(1/(VLOOKUP($A163,'Fuel economy adjusted factor'!$A$2:$L$52,5,FALSE)*m2k))/'TCO Inputs'!$AZ$84</f>
        <v>204.16461930119834</v>
      </c>
      <c r="R163" s="125">
        <f>R52/293.07*(1/(VLOOKUP($A163,'Fuel economy adjusted factor'!$A$2:$L$52,5,FALSE)*m2k))/'TCO Inputs'!$AZ$84</f>
        <v>204.16461930119834</v>
      </c>
      <c r="S163" s="125">
        <f>S52/293.07*(1/(VLOOKUP($A163,'Fuel economy adjusted factor'!$A$2:$L$52,5,FALSE)*m2k))/'TCO Inputs'!$AZ$84</f>
        <v>204.16461930119834</v>
      </c>
      <c r="T163" s="125">
        <f>T52/293.07*(1/(VLOOKUP($A163,'Fuel economy adjusted factor'!$A$2:$L$52,5,FALSE)*m2k))/'TCO Inputs'!$AZ$84</f>
        <v>204.16461930119834</v>
      </c>
      <c r="U163" s="125">
        <f>U52/293.07*(1/(VLOOKUP($A163,'Fuel economy adjusted factor'!$A$2:$L$52,5,FALSE)*m2k))/'TCO Inputs'!$AZ$84</f>
        <v>204.16461930119834</v>
      </c>
      <c r="V163" s="125">
        <f>V52/293.07*(1/(VLOOKUP($A163,'Fuel economy adjusted factor'!$A$2:$L$52,5,FALSE)*m2k))/'TCO Inputs'!$AZ$84</f>
        <v>204.16461930119834</v>
      </c>
      <c r="W163" s="125">
        <f>W52/293.07*(1/(VLOOKUP($A163,'Fuel economy adjusted factor'!$A$2:$L$52,5,FALSE)*m2k))/'TCO Inputs'!$AZ$84</f>
        <v>204.16461930119834</v>
      </c>
      <c r="X163" s="125">
        <f>X52/293.07*(1/(VLOOKUP($A163,'Fuel economy adjusted factor'!$A$2:$L$52,5,FALSE)*m2k))/'TCO Inputs'!$AZ$84</f>
        <v>204.16461930119834</v>
      </c>
      <c r="Y163" s="125">
        <f>Y52/293.07*(1/(VLOOKUP($A163,'Fuel economy adjusted factor'!$A$2:$L$52,5,FALSE)*m2k))/'TCO Inputs'!$AZ$84</f>
        <v>204.16461930119834</v>
      </c>
      <c r="Z163" s="125">
        <f>Z52/293.07*(1/(VLOOKUP($A163,'Fuel economy adjusted factor'!$A$2:$L$52,5,FALSE)*m2k))/'TCO Inputs'!$AZ$84</f>
        <v>204.16461930119834</v>
      </c>
      <c r="AA163" s="125">
        <f>AA52/293.07*(1/(VLOOKUP($A163,'Fuel economy adjusted factor'!$A$2:$L$52,5,FALSE)*m2k))/'TCO Inputs'!$AZ$84</f>
        <v>204.16461930119834</v>
      </c>
      <c r="AB163" s="125">
        <f>AB52/293.07*(1/(VLOOKUP($A163,'Fuel economy adjusted factor'!$A$2:$L$52,5,FALSE)*m2k))/'TCO Inputs'!$AZ$84</f>
        <v>204.16461930119834</v>
      </c>
      <c r="AC163" s="125">
        <f>AC52/293.07*(1/(VLOOKUP($A163,'Fuel economy adjusted factor'!$A$2:$L$52,5,FALSE)*m2k))/'TCO Inputs'!$AZ$84</f>
        <v>204.16461930119834</v>
      </c>
      <c r="AD163" s="98" cm="1">
        <f t="array" ref="AD163">SUMPRODUCT(INDEX(B163:AC163,,'TCO Inputs'!$AZ$12-2023+_xlfn.SEQUENCE('TCO Inputs'!$AZ$13))*INDEX('VKT US'!C111:AA111,,_xlfn.SEQUENCE('TCO Inputs'!$AZ$13)))*m2k*CONVERT(0.9072,"g","ton")</f>
        <v>66.648829768439086</v>
      </c>
      <c r="AF163" s="123" t="s">
        <v>158</v>
      </c>
      <c r="AG163" s="125">
        <f>AG52/293.07*(1/(VLOOKUP($AF163,'Fuel economy adjusted factor'!$A$2:$L$52,5,FALSE)*m2k))/'TCO Inputs'!$AZ$84</f>
        <v>239.30294694284493</v>
      </c>
      <c r="AH163" s="125">
        <f>AH52/293.07*(1/(VLOOKUP($AF163,'Fuel economy adjusted factor'!$A$2:$L$52,5,FALSE)*m2k))/'TCO Inputs'!$AZ$84</f>
        <v>239.30294694284493</v>
      </c>
      <c r="AI163" s="125">
        <f>AI52/293.07*(1/(VLOOKUP($AF163,'Fuel economy adjusted factor'!$A$2:$L$52,5,FALSE)*m2k))/'TCO Inputs'!$AZ$84</f>
        <v>239.30294694284493</v>
      </c>
      <c r="AJ163" s="125">
        <f>AJ52/293.07*(1/(VLOOKUP($AF163,'Fuel economy adjusted factor'!$A$2:$L$52,5,FALSE)*m2k))/'TCO Inputs'!$AZ$84</f>
        <v>239.30294694284493</v>
      </c>
      <c r="AK163" s="125">
        <f>AK52/293.07*(1/(VLOOKUP($AF163,'Fuel economy adjusted factor'!$A$2:$L$52,5,FALSE)*m2k))/'TCO Inputs'!$AZ$84</f>
        <v>239.30294694284493</v>
      </c>
      <c r="AL163" s="125">
        <f>AL52/293.07*(1/(VLOOKUP($AF163,'Fuel economy adjusted factor'!$A$2:$L$52,5,FALSE)*m2k))/'TCO Inputs'!$AZ$84</f>
        <v>239.30294694284493</v>
      </c>
      <c r="AM163" s="125">
        <f>AM52/293.07*(1/(VLOOKUP($AF163,'Fuel economy adjusted factor'!$A$2:$L$52,5,FALSE)*m2k))/'TCO Inputs'!$AZ$84</f>
        <v>239.30294694284493</v>
      </c>
      <c r="AN163" s="125">
        <f>AN52/293.07*(1/(VLOOKUP($AF163,'Fuel economy adjusted factor'!$A$2:$L$52,5,FALSE)*m2k))/'TCO Inputs'!$AZ$84</f>
        <v>239.30294694284493</v>
      </c>
      <c r="AO163" s="125">
        <f>AO52/293.07*(1/(VLOOKUP($AF163,'Fuel economy adjusted factor'!$A$2:$L$52,5,FALSE)*m2k))/'TCO Inputs'!$AZ$84</f>
        <v>239.30294694284493</v>
      </c>
      <c r="AP163" s="125">
        <f>AP52/293.07*(1/(VLOOKUP($AF163,'Fuel economy adjusted factor'!$A$2:$L$52,5,FALSE)*m2k))/'TCO Inputs'!$AZ$84</f>
        <v>239.30294694284493</v>
      </c>
      <c r="AQ163" s="125">
        <f>AQ52/293.07*(1/(VLOOKUP($AF163,'Fuel economy adjusted factor'!$A$2:$L$52,5,FALSE)*m2k))/'TCO Inputs'!$AZ$84</f>
        <v>239.30294694284493</v>
      </c>
      <c r="AR163" s="125">
        <f>AR52/293.07*(1/(VLOOKUP($AF163,'Fuel economy adjusted factor'!$A$2:$L$52,5,FALSE)*m2k))/'TCO Inputs'!$AZ$84</f>
        <v>239.30294694284493</v>
      </c>
      <c r="AS163" s="125">
        <f>AS52/293.07*(1/(VLOOKUP($AF163,'Fuel economy adjusted factor'!$A$2:$L$52,5,FALSE)*m2k))/'TCO Inputs'!$AZ$84</f>
        <v>239.30294694284493</v>
      </c>
      <c r="AT163" s="125">
        <f>AT52/293.07*(1/(VLOOKUP($AF163,'Fuel economy adjusted factor'!$A$2:$L$52,5,FALSE)*m2k))/'TCO Inputs'!$AZ$84</f>
        <v>239.30294694284493</v>
      </c>
      <c r="AU163" s="125">
        <f>AU52/293.07*(1/(VLOOKUP($AF163,'Fuel economy adjusted factor'!$A$2:$L$52,5,FALSE)*m2k))/'TCO Inputs'!$AZ$84</f>
        <v>239.30294694284493</v>
      </c>
      <c r="AV163" s="125">
        <f>AV52/293.07*(1/(VLOOKUP($AF163,'Fuel economy adjusted factor'!$A$2:$L$52,5,FALSE)*m2k))/'TCO Inputs'!$AZ$84</f>
        <v>239.30294694284493</v>
      </c>
      <c r="AW163" s="125">
        <f>AW52/293.07*(1/(VLOOKUP($AF163,'Fuel economy adjusted factor'!$A$2:$L$52,5,FALSE)*m2k))/'TCO Inputs'!$AZ$84</f>
        <v>239.30294694284493</v>
      </c>
      <c r="AX163" s="125">
        <f>AX52/293.07*(1/(VLOOKUP($AF163,'Fuel economy adjusted factor'!$A$2:$L$52,5,FALSE)*m2k))/'TCO Inputs'!$AZ$84</f>
        <v>239.30294694284493</v>
      </c>
      <c r="AY163" s="125">
        <f>AY52/293.07*(1/(VLOOKUP($AF163,'Fuel economy adjusted factor'!$A$2:$L$52,5,FALSE)*m2k))/'TCO Inputs'!$AZ$84</f>
        <v>239.30294694284493</v>
      </c>
      <c r="AZ163" s="125">
        <f>AZ52/293.07*(1/(VLOOKUP($AF163,'Fuel economy adjusted factor'!$A$2:$L$52,5,FALSE)*m2k))/'TCO Inputs'!$AZ$84</f>
        <v>239.30294694284493</v>
      </c>
      <c r="BA163" s="125">
        <f>BA52/293.07*(1/(VLOOKUP($AF163,'Fuel economy adjusted factor'!$A$2:$L$52,5,FALSE)*m2k))/'TCO Inputs'!$AZ$84</f>
        <v>239.30294694284493</v>
      </c>
      <c r="BB163" s="125">
        <f>BB52/293.07*(1/(VLOOKUP($AF163,'Fuel economy adjusted factor'!$A$2:$L$52,5,FALSE)*m2k))/'TCO Inputs'!$AZ$84</f>
        <v>239.30294694284493</v>
      </c>
      <c r="BC163" s="125">
        <f>BC52/293.07*(1/(VLOOKUP($AF163,'Fuel economy adjusted factor'!$A$2:$L$52,5,FALSE)*m2k))/'TCO Inputs'!$AZ$84</f>
        <v>239.30294694284493</v>
      </c>
      <c r="BD163" s="125">
        <f>BD52/293.07*(1/(VLOOKUP($AF163,'Fuel economy adjusted factor'!$A$2:$L$52,5,FALSE)*m2k))/'TCO Inputs'!$AZ$84</f>
        <v>239.30294694284493</v>
      </c>
      <c r="BE163" s="125">
        <f>BE52/293.07*(1/(VLOOKUP($AF163,'Fuel economy adjusted factor'!$A$2:$L$52,5,FALSE)*m2k))/'TCO Inputs'!$AZ$84</f>
        <v>239.30294694284493</v>
      </c>
      <c r="BF163" s="125">
        <f>BF52/293.07*(1/(VLOOKUP($AF163,'Fuel economy adjusted factor'!$A$2:$L$52,5,FALSE)*m2k))/'TCO Inputs'!$AZ$84</f>
        <v>239.30294694284493</v>
      </c>
      <c r="BG163" s="125">
        <f>BG52/293.07*(1/(VLOOKUP($AF163,'Fuel economy adjusted factor'!$A$2:$L$52,5,FALSE)*m2k))/'TCO Inputs'!$AZ$84</f>
        <v>239.30294694284493</v>
      </c>
      <c r="BH163" s="125">
        <f>BH52/293.07*(1/(VLOOKUP($AF163,'Fuel economy adjusted factor'!$A$2:$L$52,5,FALSE)*m2k))/'TCO Inputs'!$AZ$84</f>
        <v>239.30294694284493</v>
      </c>
      <c r="BI163" s="98" cm="1">
        <f t="array" ref="BI163">SUMPRODUCT(INDEX(AG163:BH163,,'TCO Inputs'!$AZ$12-2023+_xlfn.SEQUENCE('TCO Inputs'!$AZ$13))*INDEX('VKT US'!C111:AA111,,_xlfn.SEQUENCE('TCO Inputs'!$AZ$13)))*m2k*CONVERT(0.9072,"g","ton")</f>
        <v>78.119614595661091</v>
      </c>
      <c r="BL163" s="123" t="s">
        <v>158</v>
      </c>
      <c r="BM163" s="125">
        <f>BM52/293.07*(1/(VLOOKUP($BL163,'Fuel economy adjusted factor'!$A$2:$L$52,5,FALSE)*m2k))/'TCO Inputs'!$AZ$84</f>
        <v>177.9012171225811</v>
      </c>
      <c r="BN163" s="125">
        <f>BN52/293.07*(1/(VLOOKUP($BL163,'Fuel economy adjusted factor'!$A$2:$L$52,5,FALSE)*m2k))/'TCO Inputs'!$AZ$84</f>
        <v>177.9012171225811</v>
      </c>
      <c r="BO163" s="125">
        <f>BO52/293.07*(1/(VLOOKUP($BL163,'Fuel economy adjusted factor'!$A$2:$L$52,5,FALSE)*m2k))/'TCO Inputs'!$AZ$84</f>
        <v>177.9012171225811</v>
      </c>
      <c r="BP163" s="125">
        <f>BP52/293.07*(1/(VLOOKUP($BL163,'Fuel economy adjusted factor'!$A$2:$L$52,5,FALSE)*m2k))/'TCO Inputs'!$AZ$84</f>
        <v>177.9012171225811</v>
      </c>
      <c r="BQ163" s="125">
        <f>BQ52/293.07*(1/(VLOOKUP($BL163,'Fuel economy adjusted factor'!$A$2:$L$52,5,FALSE)*m2k))/'TCO Inputs'!$AZ$84</f>
        <v>177.9012171225811</v>
      </c>
      <c r="BR163" s="125">
        <f>BR52/293.07*(1/(VLOOKUP($BL163,'Fuel economy adjusted factor'!$A$2:$L$52,5,FALSE)*m2k))/'TCO Inputs'!$AZ$84</f>
        <v>177.9012171225811</v>
      </c>
      <c r="BS163" s="125">
        <f>BS52/293.07*(1/(VLOOKUP($BL163,'Fuel economy adjusted factor'!$A$2:$L$52,5,FALSE)*m2k))/'TCO Inputs'!$AZ$84</f>
        <v>177.9012171225811</v>
      </c>
      <c r="BT163" s="125">
        <f>BT52/293.07*(1/(VLOOKUP($BL163,'Fuel economy adjusted factor'!$A$2:$L$52,5,FALSE)*m2k))/'TCO Inputs'!$AZ$84</f>
        <v>177.9012171225811</v>
      </c>
      <c r="BU163" s="125">
        <f>BU52/293.07*(1/(VLOOKUP($BL163,'Fuel economy adjusted factor'!$A$2:$L$52,5,FALSE)*m2k))/'TCO Inputs'!$AZ$84</f>
        <v>177.9012171225811</v>
      </c>
      <c r="BV163" s="125">
        <f>BV52/293.07*(1/(VLOOKUP($BL163,'Fuel economy adjusted factor'!$A$2:$L$52,5,FALSE)*m2k))/'TCO Inputs'!$AZ$84</f>
        <v>177.9012171225811</v>
      </c>
      <c r="BW163" s="125">
        <f>BW52/293.07*(1/(VLOOKUP($BL163,'Fuel economy adjusted factor'!$A$2:$L$52,5,FALSE)*m2k))/'TCO Inputs'!$AZ$84</f>
        <v>177.9012171225811</v>
      </c>
      <c r="BX163" s="125">
        <f>BX52/293.07*(1/(VLOOKUP($BL163,'Fuel economy adjusted factor'!$A$2:$L$52,5,FALSE)*m2k))/'TCO Inputs'!$AZ$84</f>
        <v>177.9012171225811</v>
      </c>
      <c r="BY163" s="125">
        <f>BY52/293.07*(1/(VLOOKUP($BL163,'Fuel economy adjusted factor'!$A$2:$L$52,5,FALSE)*m2k))/'TCO Inputs'!$AZ$84</f>
        <v>177.9012171225811</v>
      </c>
      <c r="BZ163" s="125">
        <f>BZ52/293.07*(1/(VLOOKUP($BL163,'Fuel economy adjusted factor'!$A$2:$L$52,5,FALSE)*m2k))/'TCO Inputs'!$AZ$84</f>
        <v>177.9012171225811</v>
      </c>
      <c r="CA163" s="125">
        <f>CA52/293.07*(1/(VLOOKUP($BL163,'Fuel economy adjusted factor'!$A$2:$L$52,5,FALSE)*m2k))/'TCO Inputs'!$AZ$84</f>
        <v>177.9012171225811</v>
      </c>
      <c r="CB163" s="125">
        <f>CB52/293.07*(1/(VLOOKUP($BL163,'Fuel economy adjusted factor'!$A$2:$L$52,5,FALSE)*m2k))/'TCO Inputs'!$AZ$84</f>
        <v>177.9012171225811</v>
      </c>
      <c r="CC163" s="125">
        <f>CC52/293.07*(1/(VLOOKUP($BL163,'Fuel economy adjusted factor'!$A$2:$L$52,5,FALSE)*m2k))/'TCO Inputs'!$AZ$84</f>
        <v>177.9012171225811</v>
      </c>
      <c r="CD163" s="125">
        <f>CD52/293.07*(1/(VLOOKUP($BL163,'Fuel economy adjusted factor'!$A$2:$L$52,5,FALSE)*m2k))/'TCO Inputs'!$AZ$84</f>
        <v>177.9012171225811</v>
      </c>
      <c r="CE163" s="125">
        <f>CE52/293.07*(1/(VLOOKUP($BL163,'Fuel economy adjusted factor'!$A$2:$L$52,5,FALSE)*m2k))/'TCO Inputs'!$AZ$84</f>
        <v>177.9012171225811</v>
      </c>
      <c r="CF163" s="125">
        <f>CF52/293.07*(1/(VLOOKUP($BL163,'Fuel economy adjusted factor'!$A$2:$L$52,5,FALSE)*m2k))/'TCO Inputs'!$AZ$84</f>
        <v>177.9012171225811</v>
      </c>
      <c r="CG163" s="125">
        <f>CG52/293.07*(1/(VLOOKUP($BL163,'Fuel economy adjusted factor'!$A$2:$L$52,5,FALSE)*m2k))/'TCO Inputs'!$AZ$84</f>
        <v>177.9012171225811</v>
      </c>
      <c r="CH163" s="125">
        <f>CH52/293.07*(1/(VLOOKUP($BL163,'Fuel economy adjusted factor'!$A$2:$L$52,5,FALSE)*m2k))/'TCO Inputs'!$AZ$84</f>
        <v>177.9012171225811</v>
      </c>
      <c r="CI163" s="125">
        <f>CI52/293.07*(1/(VLOOKUP($BL163,'Fuel economy adjusted factor'!$A$2:$L$52,5,FALSE)*m2k))/'TCO Inputs'!$AZ$84</f>
        <v>177.9012171225811</v>
      </c>
      <c r="CJ163" s="125">
        <f>CJ52/293.07*(1/(VLOOKUP($BL163,'Fuel economy adjusted factor'!$A$2:$L$52,5,FALSE)*m2k))/'TCO Inputs'!$AZ$84</f>
        <v>177.9012171225811</v>
      </c>
      <c r="CK163" s="125">
        <f>CK52/293.07*(1/(VLOOKUP($BL163,'Fuel economy adjusted factor'!$A$2:$L$52,5,FALSE)*m2k))/'TCO Inputs'!$AZ$84</f>
        <v>177.9012171225811</v>
      </c>
      <c r="CL163" s="125">
        <f>CL52/293.07*(1/(VLOOKUP($BL163,'Fuel economy adjusted factor'!$A$2:$L$52,5,FALSE)*m2k))/'TCO Inputs'!$AZ$84</f>
        <v>177.9012171225811</v>
      </c>
      <c r="CM163" s="125">
        <f>CM52/293.07*(1/(VLOOKUP($BL163,'Fuel economy adjusted factor'!$A$2:$L$52,5,FALSE)*m2k))/'TCO Inputs'!$AZ$84</f>
        <v>177.9012171225811</v>
      </c>
      <c r="CN163" s="125">
        <f>CN52/293.07*(1/(VLOOKUP($BL163,'Fuel economy adjusted factor'!$A$2:$L$52,5,FALSE)*m2k))/'TCO Inputs'!$AZ$84</f>
        <v>177.9012171225811</v>
      </c>
      <c r="CO163" s="98" cm="1">
        <f t="array" ref="CO163">SUMPRODUCT(INDEX(BM163:CN163,,'TCO Inputs'!$AZ$12-2023+_xlfn.SEQUENCE('TCO Inputs'!$AZ$13))*INDEX('VKT US'!C111:AA111,,_xlfn.SEQUENCE('TCO Inputs'!$AZ$13)))*m2k*CONVERT(0.9072,"g","ton")</f>
        <v>58.075233486507578</v>
      </c>
    </row>
    <row r="164" spans="1:93" x14ac:dyDescent="0.25">
      <c r="A164" s="123" t="s">
        <v>160</v>
      </c>
      <c r="B164" s="125">
        <f>B53/293.07*(1/(VLOOKUP($A164,'Fuel economy adjusted factor'!$A$2:$L$52,5,FALSE)*m2k))/'TCO Inputs'!$AZ$84</f>
        <v>288.07108895549072</v>
      </c>
      <c r="C164" s="125">
        <f>C53/293.07*(1/(VLOOKUP($A164,'Fuel economy adjusted factor'!$A$2:$L$52,5,FALSE)*m2k))/'TCO Inputs'!$AZ$84</f>
        <v>288.07108895549072</v>
      </c>
      <c r="D164" s="125">
        <f>D53/293.07*(1/(VLOOKUP($A164,'Fuel economy adjusted factor'!$A$2:$L$52,5,FALSE)*m2k))/'TCO Inputs'!$AZ$84</f>
        <v>288.07108895549072</v>
      </c>
      <c r="E164" s="125">
        <f>E53/293.07*(1/(VLOOKUP($A164,'Fuel economy adjusted factor'!$A$2:$L$52,5,FALSE)*m2k))/'TCO Inputs'!$AZ$84</f>
        <v>288.07108895549072</v>
      </c>
      <c r="F164" s="125">
        <f>F53/293.07*(1/(VLOOKUP($A164,'Fuel economy adjusted factor'!$A$2:$L$52,5,FALSE)*m2k))/'TCO Inputs'!$AZ$84</f>
        <v>288.07108895549072</v>
      </c>
      <c r="G164" s="125">
        <f>G53/293.07*(1/(VLOOKUP($A164,'Fuel economy adjusted factor'!$A$2:$L$52,5,FALSE)*m2k))/'TCO Inputs'!$AZ$84</f>
        <v>288.07108895549072</v>
      </c>
      <c r="H164" s="125">
        <f>H53/293.07*(1/(VLOOKUP($A164,'Fuel economy adjusted factor'!$A$2:$L$52,5,FALSE)*m2k))/'TCO Inputs'!$AZ$84</f>
        <v>288.07108895549072</v>
      </c>
      <c r="I164" s="125">
        <f>I53/293.07*(1/(VLOOKUP($A164,'Fuel economy adjusted factor'!$A$2:$L$52,5,FALSE)*m2k))/'TCO Inputs'!$AZ$84</f>
        <v>288.07108895549072</v>
      </c>
      <c r="J164" s="125">
        <f>J53/293.07*(1/(VLOOKUP($A164,'Fuel economy adjusted factor'!$A$2:$L$52,5,FALSE)*m2k))/'TCO Inputs'!$AZ$84</f>
        <v>288.07108895549072</v>
      </c>
      <c r="K164" s="125">
        <f>K53/293.07*(1/(VLOOKUP($A164,'Fuel economy adjusted factor'!$A$2:$L$52,5,FALSE)*m2k))/'TCO Inputs'!$AZ$84</f>
        <v>288.07108895549072</v>
      </c>
      <c r="L164" s="125">
        <f>L53/293.07*(1/(VLOOKUP($A164,'Fuel economy adjusted factor'!$A$2:$L$52,5,FALSE)*m2k))/'TCO Inputs'!$AZ$84</f>
        <v>288.07108895549072</v>
      </c>
      <c r="M164" s="125">
        <f>M53/293.07*(1/(VLOOKUP($A164,'Fuel economy adjusted factor'!$A$2:$L$52,5,FALSE)*m2k))/'TCO Inputs'!$AZ$84</f>
        <v>288.07108895549072</v>
      </c>
      <c r="N164" s="125">
        <f>N53/293.07*(1/(VLOOKUP($A164,'Fuel economy adjusted factor'!$A$2:$L$52,5,FALSE)*m2k))/'TCO Inputs'!$AZ$84</f>
        <v>288.07108895549072</v>
      </c>
      <c r="O164" s="125">
        <f>O53/293.07*(1/(VLOOKUP($A164,'Fuel economy adjusted factor'!$A$2:$L$52,5,FALSE)*m2k))/'TCO Inputs'!$AZ$84</f>
        <v>288.07108895549072</v>
      </c>
      <c r="P164" s="125">
        <f>P53/293.07*(1/(VLOOKUP($A164,'Fuel economy adjusted factor'!$A$2:$L$52,5,FALSE)*m2k))/'TCO Inputs'!$AZ$84</f>
        <v>288.07108895549072</v>
      </c>
      <c r="Q164" s="125">
        <f>Q53/293.07*(1/(VLOOKUP($A164,'Fuel economy adjusted factor'!$A$2:$L$52,5,FALSE)*m2k))/'TCO Inputs'!$AZ$84</f>
        <v>288.07108895549072</v>
      </c>
      <c r="R164" s="125">
        <f>R53/293.07*(1/(VLOOKUP($A164,'Fuel economy adjusted factor'!$A$2:$L$52,5,FALSE)*m2k))/'TCO Inputs'!$AZ$84</f>
        <v>288.07108895549072</v>
      </c>
      <c r="S164" s="125">
        <f>S53/293.07*(1/(VLOOKUP($A164,'Fuel economy adjusted factor'!$A$2:$L$52,5,FALSE)*m2k))/'TCO Inputs'!$AZ$84</f>
        <v>288.07108895549072</v>
      </c>
      <c r="T164" s="125">
        <f>T53/293.07*(1/(VLOOKUP($A164,'Fuel economy adjusted factor'!$A$2:$L$52,5,FALSE)*m2k))/'TCO Inputs'!$AZ$84</f>
        <v>288.07108895549072</v>
      </c>
      <c r="U164" s="125">
        <f>U53/293.07*(1/(VLOOKUP($A164,'Fuel economy adjusted factor'!$A$2:$L$52,5,FALSE)*m2k))/'TCO Inputs'!$AZ$84</f>
        <v>288.07108895549072</v>
      </c>
      <c r="V164" s="125">
        <f>V53/293.07*(1/(VLOOKUP($A164,'Fuel economy adjusted factor'!$A$2:$L$52,5,FALSE)*m2k))/'TCO Inputs'!$AZ$84</f>
        <v>288.07108895549072</v>
      </c>
      <c r="W164" s="125">
        <f>W53/293.07*(1/(VLOOKUP($A164,'Fuel economy adjusted factor'!$A$2:$L$52,5,FALSE)*m2k))/'TCO Inputs'!$AZ$84</f>
        <v>288.07108895549072</v>
      </c>
      <c r="X164" s="125">
        <f>X53/293.07*(1/(VLOOKUP($A164,'Fuel economy adjusted factor'!$A$2:$L$52,5,FALSE)*m2k))/'TCO Inputs'!$AZ$84</f>
        <v>288.07108895549072</v>
      </c>
      <c r="Y164" s="125">
        <f>Y53/293.07*(1/(VLOOKUP($A164,'Fuel economy adjusted factor'!$A$2:$L$52,5,FALSE)*m2k))/'TCO Inputs'!$AZ$84</f>
        <v>288.07108895549072</v>
      </c>
      <c r="Z164" s="125">
        <f>Z53/293.07*(1/(VLOOKUP($A164,'Fuel economy adjusted factor'!$A$2:$L$52,5,FALSE)*m2k))/'TCO Inputs'!$AZ$84</f>
        <v>288.07108895549072</v>
      </c>
      <c r="AA164" s="125">
        <f>AA53/293.07*(1/(VLOOKUP($A164,'Fuel economy adjusted factor'!$A$2:$L$52,5,FALSE)*m2k))/'TCO Inputs'!$AZ$84</f>
        <v>288.07108895549072</v>
      </c>
      <c r="AB164" s="125">
        <f>AB53/293.07*(1/(VLOOKUP($A164,'Fuel economy adjusted factor'!$A$2:$L$52,5,FALSE)*m2k))/'TCO Inputs'!$AZ$84</f>
        <v>288.07108895549072</v>
      </c>
      <c r="AC164" s="125">
        <f>AC53/293.07*(1/(VLOOKUP($A164,'Fuel economy adjusted factor'!$A$2:$L$52,5,FALSE)*m2k))/'TCO Inputs'!$AZ$84</f>
        <v>288.07108895549072</v>
      </c>
      <c r="AD164" s="98" cm="1">
        <f t="array" ref="AD164">SUMPRODUCT(INDEX(B164:AC164,,'TCO Inputs'!$AZ$12-2023+_xlfn.SEQUENCE('TCO Inputs'!$AZ$13))*INDEX('VKT US'!C112:AA112,,_xlfn.SEQUENCE('TCO Inputs'!$AZ$13)))*m2k*CONVERT(0.9072,"g","ton")</f>
        <v>146.57713148719526</v>
      </c>
      <c r="AF164" s="123" t="s">
        <v>160</v>
      </c>
      <c r="AG164" s="125">
        <f>AG53/293.07*(1/(VLOOKUP($AF164,'Fuel economy adjusted factor'!$A$2:$L$52,5,FALSE)*m2k))/'TCO Inputs'!$AZ$84</f>
        <v>337.65037621128471</v>
      </c>
      <c r="AH164" s="125">
        <f>AH53/293.07*(1/(VLOOKUP($AF164,'Fuel economy adjusted factor'!$A$2:$L$52,5,FALSE)*m2k))/'TCO Inputs'!$AZ$84</f>
        <v>337.65037621128471</v>
      </c>
      <c r="AI164" s="125">
        <f>AI53/293.07*(1/(VLOOKUP($AF164,'Fuel economy adjusted factor'!$A$2:$L$52,5,FALSE)*m2k))/'TCO Inputs'!$AZ$84</f>
        <v>337.65037621128471</v>
      </c>
      <c r="AJ164" s="125">
        <f>AJ53/293.07*(1/(VLOOKUP($AF164,'Fuel economy adjusted factor'!$A$2:$L$52,5,FALSE)*m2k))/'TCO Inputs'!$AZ$84</f>
        <v>337.65037621128471</v>
      </c>
      <c r="AK164" s="125">
        <f>AK53/293.07*(1/(VLOOKUP($AF164,'Fuel economy adjusted factor'!$A$2:$L$52,5,FALSE)*m2k))/'TCO Inputs'!$AZ$84</f>
        <v>337.65037621128471</v>
      </c>
      <c r="AL164" s="125">
        <f>AL53/293.07*(1/(VLOOKUP($AF164,'Fuel economy adjusted factor'!$A$2:$L$52,5,FALSE)*m2k))/'TCO Inputs'!$AZ$84</f>
        <v>337.65037621128471</v>
      </c>
      <c r="AM164" s="125">
        <f>AM53/293.07*(1/(VLOOKUP($AF164,'Fuel economy adjusted factor'!$A$2:$L$52,5,FALSE)*m2k))/'TCO Inputs'!$AZ$84</f>
        <v>337.65037621128471</v>
      </c>
      <c r="AN164" s="125">
        <f>AN53/293.07*(1/(VLOOKUP($AF164,'Fuel economy adjusted factor'!$A$2:$L$52,5,FALSE)*m2k))/'TCO Inputs'!$AZ$84</f>
        <v>337.65037621128471</v>
      </c>
      <c r="AO164" s="125">
        <f>AO53/293.07*(1/(VLOOKUP($AF164,'Fuel economy adjusted factor'!$A$2:$L$52,5,FALSE)*m2k))/'TCO Inputs'!$AZ$84</f>
        <v>337.65037621128471</v>
      </c>
      <c r="AP164" s="125">
        <f>AP53/293.07*(1/(VLOOKUP($AF164,'Fuel economy adjusted factor'!$A$2:$L$52,5,FALSE)*m2k))/'TCO Inputs'!$AZ$84</f>
        <v>337.65037621128471</v>
      </c>
      <c r="AQ164" s="125">
        <f>AQ53/293.07*(1/(VLOOKUP($AF164,'Fuel economy adjusted factor'!$A$2:$L$52,5,FALSE)*m2k))/'TCO Inputs'!$AZ$84</f>
        <v>337.65037621128471</v>
      </c>
      <c r="AR164" s="125">
        <f>AR53/293.07*(1/(VLOOKUP($AF164,'Fuel economy adjusted factor'!$A$2:$L$52,5,FALSE)*m2k))/'TCO Inputs'!$AZ$84</f>
        <v>337.65037621128471</v>
      </c>
      <c r="AS164" s="125">
        <f>AS53/293.07*(1/(VLOOKUP($AF164,'Fuel economy adjusted factor'!$A$2:$L$52,5,FALSE)*m2k))/'TCO Inputs'!$AZ$84</f>
        <v>337.65037621128471</v>
      </c>
      <c r="AT164" s="125">
        <f>AT53/293.07*(1/(VLOOKUP($AF164,'Fuel economy adjusted factor'!$A$2:$L$52,5,FALSE)*m2k))/'TCO Inputs'!$AZ$84</f>
        <v>337.65037621128471</v>
      </c>
      <c r="AU164" s="125">
        <f>AU53/293.07*(1/(VLOOKUP($AF164,'Fuel economy adjusted factor'!$A$2:$L$52,5,FALSE)*m2k))/'TCO Inputs'!$AZ$84</f>
        <v>337.65037621128471</v>
      </c>
      <c r="AV164" s="125">
        <f>AV53/293.07*(1/(VLOOKUP($AF164,'Fuel economy adjusted factor'!$A$2:$L$52,5,FALSE)*m2k))/'TCO Inputs'!$AZ$84</f>
        <v>337.65037621128471</v>
      </c>
      <c r="AW164" s="125">
        <f>AW53/293.07*(1/(VLOOKUP($AF164,'Fuel economy adjusted factor'!$A$2:$L$52,5,FALSE)*m2k))/'TCO Inputs'!$AZ$84</f>
        <v>337.65037621128471</v>
      </c>
      <c r="AX164" s="125">
        <f>AX53/293.07*(1/(VLOOKUP($AF164,'Fuel economy adjusted factor'!$A$2:$L$52,5,FALSE)*m2k))/'TCO Inputs'!$AZ$84</f>
        <v>337.65037621128471</v>
      </c>
      <c r="AY164" s="125">
        <f>AY53/293.07*(1/(VLOOKUP($AF164,'Fuel economy adjusted factor'!$A$2:$L$52,5,FALSE)*m2k))/'TCO Inputs'!$AZ$84</f>
        <v>337.65037621128471</v>
      </c>
      <c r="AZ164" s="125">
        <f>AZ53/293.07*(1/(VLOOKUP($AF164,'Fuel economy adjusted factor'!$A$2:$L$52,5,FALSE)*m2k))/'TCO Inputs'!$AZ$84</f>
        <v>337.65037621128471</v>
      </c>
      <c r="BA164" s="125">
        <f>BA53/293.07*(1/(VLOOKUP($AF164,'Fuel economy adjusted factor'!$A$2:$L$52,5,FALSE)*m2k))/'TCO Inputs'!$AZ$84</f>
        <v>337.65037621128471</v>
      </c>
      <c r="BB164" s="125">
        <f>BB53/293.07*(1/(VLOOKUP($AF164,'Fuel economy adjusted factor'!$A$2:$L$52,5,FALSE)*m2k))/'TCO Inputs'!$AZ$84</f>
        <v>337.65037621128471</v>
      </c>
      <c r="BC164" s="125">
        <f>BC53/293.07*(1/(VLOOKUP($AF164,'Fuel economy adjusted factor'!$A$2:$L$52,5,FALSE)*m2k))/'TCO Inputs'!$AZ$84</f>
        <v>337.65037621128471</v>
      </c>
      <c r="BD164" s="125">
        <f>BD53/293.07*(1/(VLOOKUP($AF164,'Fuel economy adjusted factor'!$A$2:$L$52,5,FALSE)*m2k))/'TCO Inputs'!$AZ$84</f>
        <v>337.65037621128471</v>
      </c>
      <c r="BE164" s="125">
        <f>BE53/293.07*(1/(VLOOKUP($AF164,'Fuel economy adjusted factor'!$A$2:$L$52,5,FALSE)*m2k))/'TCO Inputs'!$AZ$84</f>
        <v>337.65037621128471</v>
      </c>
      <c r="BF164" s="125">
        <f>BF53/293.07*(1/(VLOOKUP($AF164,'Fuel economy adjusted factor'!$A$2:$L$52,5,FALSE)*m2k))/'TCO Inputs'!$AZ$84</f>
        <v>337.65037621128471</v>
      </c>
      <c r="BG164" s="125">
        <f>BG53/293.07*(1/(VLOOKUP($AF164,'Fuel economy adjusted factor'!$A$2:$L$52,5,FALSE)*m2k))/'TCO Inputs'!$AZ$84</f>
        <v>337.65037621128471</v>
      </c>
      <c r="BH164" s="125">
        <f>BH53/293.07*(1/(VLOOKUP($AF164,'Fuel economy adjusted factor'!$A$2:$L$52,5,FALSE)*m2k))/'TCO Inputs'!$AZ$84</f>
        <v>337.65037621128471</v>
      </c>
      <c r="BI164" s="98" cm="1">
        <f t="array" ref="BI164">SUMPRODUCT(INDEX(AG164:BH164,,'TCO Inputs'!$AZ$12-2023+_xlfn.SEQUENCE('TCO Inputs'!$AZ$13))*INDEX('VKT US'!C112:AA112,,_xlfn.SEQUENCE('TCO Inputs'!$AZ$13)))*m2k*CONVERT(0.9072,"g","ton")</f>
        <v>171.80420211578161</v>
      </c>
      <c r="BL164" s="123" t="s">
        <v>160</v>
      </c>
      <c r="BM164" s="125">
        <f>BM53/293.07*(1/(VLOOKUP($BL164,'Fuel economy adjusted factor'!$A$2:$L$52,5,FALSE)*m2k))/'TCO Inputs'!$AZ$84</f>
        <v>251.01409597029195</v>
      </c>
      <c r="BN164" s="125">
        <f>BN53/293.07*(1/(VLOOKUP($BL164,'Fuel economy adjusted factor'!$A$2:$L$52,5,FALSE)*m2k))/'TCO Inputs'!$AZ$84</f>
        <v>251.01409597029195</v>
      </c>
      <c r="BO164" s="125">
        <f>BO53/293.07*(1/(VLOOKUP($BL164,'Fuel economy adjusted factor'!$A$2:$L$52,5,FALSE)*m2k))/'TCO Inputs'!$AZ$84</f>
        <v>251.01409597029195</v>
      </c>
      <c r="BP164" s="125">
        <f>BP53/293.07*(1/(VLOOKUP($BL164,'Fuel economy adjusted factor'!$A$2:$L$52,5,FALSE)*m2k))/'TCO Inputs'!$AZ$84</f>
        <v>251.01409597029195</v>
      </c>
      <c r="BQ164" s="125">
        <f>BQ53/293.07*(1/(VLOOKUP($BL164,'Fuel economy adjusted factor'!$A$2:$L$52,5,FALSE)*m2k))/'TCO Inputs'!$AZ$84</f>
        <v>251.01409597029195</v>
      </c>
      <c r="BR164" s="125">
        <f>BR53/293.07*(1/(VLOOKUP($BL164,'Fuel economy adjusted factor'!$A$2:$L$52,5,FALSE)*m2k))/'TCO Inputs'!$AZ$84</f>
        <v>251.01409597029195</v>
      </c>
      <c r="BS164" s="125">
        <f>BS53/293.07*(1/(VLOOKUP($BL164,'Fuel economy adjusted factor'!$A$2:$L$52,5,FALSE)*m2k))/'TCO Inputs'!$AZ$84</f>
        <v>251.01409597029195</v>
      </c>
      <c r="BT164" s="125">
        <f>BT53/293.07*(1/(VLOOKUP($BL164,'Fuel economy adjusted factor'!$A$2:$L$52,5,FALSE)*m2k))/'TCO Inputs'!$AZ$84</f>
        <v>251.01409597029195</v>
      </c>
      <c r="BU164" s="125">
        <f>BU53/293.07*(1/(VLOOKUP($BL164,'Fuel economy adjusted factor'!$A$2:$L$52,5,FALSE)*m2k))/'TCO Inputs'!$AZ$84</f>
        <v>251.01409597029195</v>
      </c>
      <c r="BV164" s="125">
        <f>BV53/293.07*(1/(VLOOKUP($BL164,'Fuel economy adjusted factor'!$A$2:$L$52,5,FALSE)*m2k))/'TCO Inputs'!$AZ$84</f>
        <v>251.01409597029195</v>
      </c>
      <c r="BW164" s="125">
        <f>BW53/293.07*(1/(VLOOKUP($BL164,'Fuel economy adjusted factor'!$A$2:$L$52,5,FALSE)*m2k))/'TCO Inputs'!$AZ$84</f>
        <v>251.01409597029195</v>
      </c>
      <c r="BX164" s="125">
        <f>BX53/293.07*(1/(VLOOKUP($BL164,'Fuel economy adjusted factor'!$A$2:$L$52,5,FALSE)*m2k))/'TCO Inputs'!$AZ$84</f>
        <v>251.01409597029195</v>
      </c>
      <c r="BY164" s="125">
        <f>BY53/293.07*(1/(VLOOKUP($BL164,'Fuel economy adjusted factor'!$A$2:$L$52,5,FALSE)*m2k))/'TCO Inputs'!$AZ$84</f>
        <v>251.01409597029195</v>
      </c>
      <c r="BZ164" s="125">
        <f>BZ53/293.07*(1/(VLOOKUP($BL164,'Fuel economy adjusted factor'!$A$2:$L$52,5,FALSE)*m2k))/'TCO Inputs'!$AZ$84</f>
        <v>251.01409597029195</v>
      </c>
      <c r="CA164" s="125">
        <f>CA53/293.07*(1/(VLOOKUP($BL164,'Fuel economy adjusted factor'!$A$2:$L$52,5,FALSE)*m2k))/'TCO Inputs'!$AZ$84</f>
        <v>251.01409597029195</v>
      </c>
      <c r="CB164" s="125">
        <f>CB53/293.07*(1/(VLOOKUP($BL164,'Fuel economy adjusted factor'!$A$2:$L$52,5,FALSE)*m2k))/'TCO Inputs'!$AZ$84</f>
        <v>251.01409597029195</v>
      </c>
      <c r="CC164" s="125">
        <f>CC53/293.07*(1/(VLOOKUP($BL164,'Fuel economy adjusted factor'!$A$2:$L$52,5,FALSE)*m2k))/'TCO Inputs'!$AZ$84</f>
        <v>251.01409597029195</v>
      </c>
      <c r="CD164" s="125">
        <f>CD53/293.07*(1/(VLOOKUP($BL164,'Fuel economy adjusted factor'!$A$2:$L$52,5,FALSE)*m2k))/'TCO Inputs'!$AZ$84</f>
        <v>251.01409597029195</v>
      </c>
      <c r="CE164" s="125">
        <f>CE53/293.07*(1/(VLOOKUP($BL164,'Fuel economy adjusted factor'!$A$2:$L$52,5,FALSE)*m2k))/'TCO Inputs'!$AZ$84</f>
        <v>251.01409597029195</v>
      </c>
      <c r="CF164" s="125">
        <f>CF53/293.07*(1/(VLOOKUP($BL164,'Fuel economy adjusted factor'!$A$2:$L$52,5,FALSE)*m2k))/'TCO Inputs'!$AZ$84</f>
        <v>251.01409597029195</v>
      </c>
      <c r="CG164" s="125">
        <f>CG53/293.07*(1/(VLOOKUP($BL164,'Fuel economy adjusted factor'!$A$2:$L$52,5,FALSE)*m2k))/'TCO Inputs'!$AZ$84</f>
        <v>251.01409597029195</v>
      </c>
      <c r="CH164" s="125">
        <f>CH53/293.07*(1/(VLOOKUP($BL164,'Fuel economy adjusted factor'!$A$2:$L$52,5,FALSE)*m2k))/'TCO Inputs'!$AZ$84</f>
        <v>251.01409597029195</v>
      </c>
      <c r="CI164" s="125">
        <f>CI53/293.07*(1/(VLOOKUP($BL164,'Fuel economy adjusted factor'!$A$2:$L$52,5,FALSE)*m2k))/'TCO Inputs'!$AZ$84</f>
        <v>251.01409597029195</v>
      </c>
      <c r="CJ164" s="125">
        <f>CJ53/293.07*(1/(VLOOKUP($BL164,'Fuel economy adjusted factor'!$A$2:$L$52,5,FALSE)*m2k))/'TCO Inputs'!$AZ$84</f>
        <v>251.01409597029195</v>
      </c>
      <c r="CK164" s="125">
        <f>CK53/293.07*(1/(VLOOKUP($BL164,'Fuel economy adjusted factor'!$A$2:$L$52,5,FALSE)*m2k))/'TCO Inputs'!$AZ$84</f>
        <v>251.01409597029195</v>
      </c>
      <c r="CL164" s="125">
        <f>CL53/293.07*(1/(VLOOKUP($BL164,'Fuel economy adjusted factor'!$A$2:$L$52,5,FALSE)*m2k))/'TCO Inputs'!$AZ$84</f>
        <v>251.01409597029195</v>
      </c>
      <c r="CM164" s="125">
        <f>CM53/293.07*(1/(VLOOKUP($BL164,'Fuel economy adjusted factor'!$A$2:$L$52,5,FALSE)*m2k))/'TCO Inputs'!$AZ$84</f>
        <v>251.01409597029195</v>
      </c>
      <c r="CN164" s="125">
        <f>CN53/293.07*(1/(VLOOKUP($BL164,'Fuel economy adjusted factor'!$A$2:$L$52,5,FALSE)*m2k))/'TCO Inputs'!$AZ$84</f>
        <v>251.01409597029195</v>
      </c>
      <c r="CO164" s="98" cm="1">
        <f t="array" ref="CO164">SUMPRODUCT(INDEX(BM164:CN164,,'TCO Inputs'!$AZ$12-2023+_xlfn.SEQUENCE('TCO Inputs'!$AZ$13))*INDEX('VKT US'!C112:AA112,,_xlfn.SEQUENCE('TCO Inputs'!$AZ$13)))*m2k*CONVERT(0.9072,"g","ton")</f>
        <v>127.72168940515144</v>
      </c>
    </row>
    <row r="165" spans="1:93" x14ac:dyDescent="0.25">
      <c r="A165" s="124" t="s">
        <v>134</v>
      </c>
      <c r="B165" s="125">
        <f>B54/293.07*(1/(VLOOKUP($A165,'Fuel economy adjusted factor'!$A$2:$L$52,5,FALSE)*m2k))/'TCO Inputs'!$AZ$84</f>
        <v>141.0446251697397</v>
      </c>
      <c r="C165" s="125">
        <f>C54/293.07*(1/(VLOOKUP($A165,'Fuel economy adjusted factor'!$A$2:$L$52,5,FALSE)*m2k))/'TCO Inputs'!$AZ$84</f>
        <v>141.0446251697397</v>
      </c>
      <c r="D165" s="125">
        <f>D54/293.07*(1/(VLOOKUP($A165,'Fuel economy adjusted factor'!$A$2:$L$52,5,FALSE)*m2k))/'TCO Inputs'!$AZ$84</f>
        <v>141.0446251697397</v>
      </c>
      <c r="E165" s="125">
        <f>E54/293.07*(1/(VLOOKUP($A165,'Fuel economy adjusted factor'!$A$2:$L$52,5,FALSE)*m2k))/'TCO Inputs'!$AZ$84</f>
        <v>141.0446251697397</v>
      </c>
      <c r="F165" s="125">
        <f>F54/293.07*(1/(VLOOKUP($A165,'Fuel economy adjusted factor'!$A$2:$L$52,5,FALSE)*m2k))/'TCO Inputs'!$AZ$84</f>
        <v>141.0446251697397</v>
      </c>
      <c r="G165" s="125">
        <f>G54/293.07*(1/(VLOOKUP($A165,'Fuel economy adjusted factor'!$A$2:$L$52,5,FALSE)*m2k))/'TCO Inputs'!$AZ$84</f>
        <v>141.0446251697397</v>
      </c>
      <c r="H165" s="125">
        <f>H54/293.07*(1/(VLOOKUP($A165,'Fuel economy adjusted factor'!$A$2:$L$52,5,FALSE)*m2k))/'TCO Inputs'!$AZ$84</f>
        <v>141.0446251697397</v>
      </c>
      <c r="I165" s="125">
        <f>I54/293.07*(1/(VLOOKUP($A165,'Fuel economy adjusted factor'!$A$2:$L$52,5,FALSE)*m2k))/'TCO Inputs'!$AZ$84</f>
        <v>141.0446251697397</v>
      </c>
      <c r="J165" s="125">
        <f>J54/293.07*(1/(VLOOKUP($A165,'Fuel economy adjusted factor'!$A$2:$L$52,5,FALSE)*m2k))/'TCO Inputs'!$AZ$84</f>
        <v>141.0446251697397</v>
      </c>
      <c r="K165" s="125">
        <f>K54/293.07*(1/(VLOOKUP($A165,'Fuel economy adjusted factor'!$A$2:$L$52,5,FALSE)*m2k))/'TCO Inputs'!$AZ$84</f>
        <v>141.0446251697397</v>
      </c>
      <c r="L165" s="125">
        <f>L54/293.07*(1/(VLOOKUP($A165,'Fuel economy adjusted factor'!$A$2:$L$52,5,FALSE)*m2k))/'TCO Inputs'!$AZ$84</f>
        <v>141.0446251697397</v>
      </c>
      <c r="M165" s="125">
        <f>M54/293.07*(1/(VLOOKUP($A165,'Fuel economy adjusted factor'!$A$2:$L$52,5,FALSE)*m2k))/'TCO Inputs'!$AZ$84</f>
        <v>141.0446251697397</v>
      </c>
      <c r="N165" s="125">
        <f>N54/293.07*(1/(VLOOKUP($A165,'Fuel economy adjusted factor'!$A$2:$L$52,5,FALSE)*m2k))/'TCO Inputs'!$AZ$84</f>
        <v>141.0446251697397</v>
      </c>
      <c r="O165" s="125">
        <f>O54/293.07*(1/(VLOOKUP($A165,'Fuel economy adjusted factor'!$A$2:$L$52,5,FALSE)*m2k))/'TCO Inputs'!$AZ$84</f>
        <v>141.0446251697397</v>
      </c>
      <c r="P165" s="125">
        <f>P54/293.07*(1/(VLOOKUP($A165,'Fuel economy adjusted factor'!$A$2:$L$52,5,FALSE)*m2k))/'TCO Inputs'!$AZ$84</f>
        <v>141.0446251697397</v>
      </c>
      <c r="Q165" s="125">
        <f>Q54/293.07*(1/(VLOOKUP($A165,'Fuel economy adjusted factor'!$A$2:$L$52,5,FALSE)*m2k))/'TCO Inputs'!$AZ$84</f>
        <v>141.0446251697397</v>
      </c>
      <c r="R165" s="125">
        <f>R54/293.07*(1/(VLOOKUP($A165,'Fuel economy adjusted factor'!$A$2:$L$52,5,FALSE)*m2k))/'TCO Inputs'!$AZ$84</f>
        <v>141.0446251697397</v>
      </c>
      <c r="S165" s="125">
        <f>S54/293.07*(1/(VLOOKUP($A165,'Fuel economy adjusted factor'!$A$2:$L$52,5,FALSE)*m2k))/'TCO Inputs'!$AZ$84</f>
        <v>141.0446251697397</v>
      </c>
      <c r="T165" s="125">
        <f>T54/293.07*(1/(VLOOKUP($A165,'Fuel economy adjusted factor'!$A$2:$L$52,5,FALSE)*m2k))/'TCO Inputs'!$AZ$84</f>
        <v>141.0446251697397</v>
      </c>
      <c r="U165" s="125">
        <f>U54/293.07*(1/(VLOOKUP($A165,'Fuel economy adjusted factor'!$A$2:$L$52,5,FALSE)*m2k))/'TCO Inputs'!$AZ$84</f>
        <v>141.0446251697397</v>
      </c>
      <c r="V165" s="125">
        <f>V54/293.07*(1/(VLOOKUP($A165,'Fuel economy adjusted factor'!$A$2:$L$52,5,FALSE)*m2k))/'TCO Inputs'!$AZ$84</f>
        <v>141.0446251697397</v>
      </c>
      <c r="W165" s="125">
        <f>W54/293.07*(1/(VLOOKUP($A165,'Fuel economy adjusted factor'!$A$2:$L$52,5,FALSE)*m2k))/'TCO Inputs'!$AZ$84</f>
        <v>141.0446251697397</v>
      </c>
      <c r="X165" s="125">
        <f>X54/293.07*(1/(VLOOKUP($A165,'Fuel economy adjusted factor'!$A$2:$L$52,5,FALSE)*m2k))/'TCO Inputs'!$AZ$84</f>
        <v>141.0446251697397</v>
      </c>
      <c r="Y165" s="125">
        <f>Y54/293.07*(1/(VLOOKUP($A165,'Fuel economy adjusted factor'!$A$2:$L$52,5,FALSE)*m2k))/'TCO Inputs'!$AZ$84</f>
        <v>141.0446251697397</v>
      </c>
      <c r="Z165" s="125">
        <f>Z54/293.07*(1/(VLOOKUP($A165,'Fuel economy adjusted factor'!$A$2:$L$52,5,FALSE)*m2k))/'TCO Inputs'!$AZ$84</f>
        <v>141.0446251697397</v>
      </c>
      <c r="AA165" s="125">
        <f>AA54/293.07*(1/(VLOOKUP($A165,'Fuel economy adjusted factor'!$A$2:$L$52,5,FALSE)*m2k))/'TCO Inputs'!$AZ$84</f>
        <v>141.0446251697397</v>
      </c>
      <c r="AB165" s="125">
        <f>AB54/293.07*(1/(VLOOKUP($A165,'Fuel economy adjusted factor'!$A$2:$L$52,5,FALSE)*m2k))/'TCO Inputs'!$AZ$84</f>
        <v>141.0446251697397</v>
      </c>
      <c r="AC165" s="125">
        <f>AC54/293.07*(1/(VLOOKUP($A165,'Fuel economy adjusted factor'!$A$2:$L$52,5,FALSE)*m2k))/'TCO Inputs'!$AZ$84</f>
        <v>141.0446251697397</v>
      </c>
      <c r="AD165" s="98" cm="1">
        <f t="array" ref="AD165">SUMPRODUCT(INDEX(B165:AC165,,'TCO Inputs'!$AZ$12-2023+_xlfn.SEQUENCE('TCO Inputs'!$AZ$13))*INDEX('VKT US'!C113:AA113,,_xlfn.SEQUENCE('TCO Inputs'!$AZ$13)))*m2k*CONVERT(0.9072,"g","ton")</f>
        <v>42.520839612332338</v>
      </c>
      <c r="AF165" s="124" t="s">
        <v>134</v>
      </c>
      <c r="AG165" s="125">
        <f>AG54/293.07*(1/(VLOOKUP($AF165,'Fuel economy adjusted factor'!$A$2:$L$52,5,FALSE)*m2k))/'TCO Inputs'!$AZ$84</f>
        <v>165.31950819438362</v>
      </c>
      <c r="AH165" s="125">
        <f>AH54/293.07*(1/(VLOOKUP($AF165,'Fuel economy adjusted factor'!$A$2:$L$52,5,FALSE)*m2k))/'TCO Inputs'!$AZ$84</f>
        <v>165.31950819438362</v>
      </c>
      <c r="AI165" s="125">
        <f>AI54/293.07*(1/(VLOOKUP($AF165,'Fuel economy adjusted factor'!$A$2:$L$52,5,FALSE)*m2k))/'TCO Inputs'!$AZ$84</f>
        <v>165.31950819438362</v>
      </c>
      <c r="AJ165" s="125">
        <f>AJ54/293.07*(1/(VLOOKUP($AF165,'Fuel economy adjusted factor'!$A$2:$L$52,5,FALSE)*m2k))/'TCO Inputs'!$AZ$84</f>
        <v>165.31950819438362</v>
      </c>
      <c r="AK165" s="125">
        <f>AK54/293.07*(1/(VLOOKUP($AF165,'Fuel economy adjusted factor'!$A$2:$L$52,5,FALSE)*m2k))/'TCO Inputs'!$AZ$84</f>
        <v>165.31950819438362</v>
      </c>
      <c r="AL165" s="125">
        <f>AL54/293.07*(1/(VLOOKUP($AF165,'Fuel economy adjusted factor'!$A$2:$L$52,5,FALSE)*m2k))/'TCO Inputs'!$AZ$84</f>
        <v>165.31950819438362</v>
      </c>
      <c r="AM165" s="125">
        <f>AM54/293.07*(1/(VLOOKUP($AF165,'Fuel economy adjusted factor'!$A$2:$L$52,5,FALSE)*m2k))/'TCO Inputs'!$AZ$84</f>
        <v>165.31950819438362</v>
      </c>
      <c r="AN165" s="125">
        <f>AN54/293.07*(1/(VLOOKUP($AF165,'Fuel economy adjusted factor'!$A$2:$L$52,5,FALSE)*m2k))/'TCO Inputs'!$AZ$84</f>
        <v>165.31950819438362</v>
      </c>
      <c r="AO165" s="125">
        <f>AO54/293.07*(1/(VLOOKUP($AF165,'Fuel economy adjusted factor'!$A$2:$L$52,5,FALSE)*m2k))/'TCO Inputs'!$AZ$84</f>
        <v>165.31950819438362</v>
      </c>
      <c r="AP165" s="125">
        <f>AP54/293.07*(1/(VLOOKUP($AF165,'Fuel economy adjusted factor'!$A$2:$L$52,5,FALSE)*m2k))/'TCO Inputs'!$AZ$84</f>
        <v>165.31950819438362</v>
      </c>
      <c r="AQ165" s="125">
        <f>AQ54/293.07*(1/(VLOOKUP($AF165,'Fuel economy adjusted factor'!$A$2:$L$52,5,FALSE)*m2k))/'TCO Inputs'!$AZ$84</f>
        <v>165.31950819438362</v>
      </c>
      <c r="AR165" s="125">
        <f>AR54/293.07*(1/(VLOOKUP($AF165,'Fuel economy adjusted factor'!$A$2:$L$52,5,FALSE)*m2k))/'TCO Inputs'!$AZ$84</f>
        <v>165.31950819438362</v>
      </c>
      <c r="AS165" s="125">
        <f>AS54/293.07*(1/(VLOOKUP($AF165,'Fuel economy adjusted factor'!$A$2:$L$52,5,FALSE)*m2k))/'TCO Inputs'!$AZ$84</f>
        <v>165.31950819438362</v>
      </c>
      <c r="AT165" s="125">
        <f>AT54/293.07*(1/(VLOOKUP($AF165,'Fuel economy adjusted factor'!$A$2:$L$52,5,FALSE)*m2k))/'TCO Inputs'!$AZ$84</f>
        <v>165.31950819438362</v>
      </c>
      <c r="AU165" s="125">
        <f>AU54/293.07*(1/(VLOOKUP($AF165,'Fuel economy adjusted factor'!$A$2:$L$52,5,FALSE)*m2k))/'TCO Inputs'!$AZ$84</f>
        <v>165.31950819438362</v>
      </c>
      <c r="AV165" s="125">
        <f>AV54/293.07*(1/(VLOOKUP($AF165,'Fuel economy adjusted factor'!$A$2:$L$52,5,FALSE)*m2k))/'TCO Inputs'!$AZ$84</f>
        <v>165.31950819438362</v>
      </c>
      <c r="AW165" s="125">
        <f>AW54/293.07*(1/(VLOOKUP($AF165,'Fuel economy adjusted factor'!$A$2:$L$52,5,FALSE)*m2k))/'TCO Inputs'!$AZ$84</f>
        <v>165.31950819438362</v>
      </c>
      <c r="AX165" s="125">
        <f>AX54/293.07*(1/(VLOOKUP($AF165,'Fuel economy adjusted factor'!$A$2:$L$52,5,FALSE)*m2k))/'TCO Inputs'!$AZ$84</f>
        <v>165.31950819438362</v>
      </c>
      <c r="AY165" s="125">
        <f>AY54/293.07*(1/(VLOOKUP($AF165,'Fuel economy adjusted factor'!$A$2:$L$52,5,FALSE)*m2k))/'TCO Inputs'!$AZ$84</f>
        <v>165.31950819438362</v>
      </c>
      <c r="AZ165" s="125">
        <f>AZ54/293.07*(1/(VLOOKUP($AF165,'Fuel economy adjusted factor'!$A$2:$L$52,5,FALSE)*m2k))/'TCO Inputs'!$AZ$84</f>
        <v>165.31950819438362</v>
      </c>
      <c r="BA165" s="125">
        <f>BA54/293.07*(1/(VLOOKUP($AF165,'Fuel economy adjusted factor'!$A$2:$L$52,5,FALSE)*m2k))/'TCO Inputs'!$AZ$84</f>
        <v>165.31950819438362</v>
      </c>
      <c r="BB165" s="125">
        <f>BB54/293.07*(1/(VLOOKUP($AF165,'Fuel economy adjusted factor'!$A$2:$L$52,5,FALSE)*m2k))/'TCO Inputs'!$AZ$84</f>
        <v>165.31950819438362</v>
      </c>
      <c r="BC165" s="125">
        <f>BC54/293.07*(1/(VLOOKUP($AF165,'Fuel economy adjusted factor'!$A$2:$L$52,5,FALSE)*m2k))/'TCO Inputs'!$AZ$84</f>
        <v>165.31950819438362</v>
      </c>
      <c r="BD165" s="125">
        <f>BD54/293.07*(1/(VLOOKUP($AF165,'Fuel economy adjusted factor'!$A$2:$L$52,5,FALSE)*m2k))/'TCO Inputs'!$AZ$84</f>
        <v>165.31950819438362</v>
      </c>
      <c r="BE165" s="125">
        <f>BE54/293.07*(1/(VLOOKUP($AF165,'Fuel economy adjusted factor'!$A$2:$L$52,5,FALSE)*m2k))/'TCO Inputs'!$AZ$84</f>
        <v>165.31950819438362</v>
      </c>
      <c r="BF165" s="125">
        <f>BF54/293.07*(1/(VLOOKUP($AF165,'Fuel economy adjusted factor'!$A$2:$L$52,5,FALSE)*m2k))/'TCO Inputs'!$AZ$84</f>
        <v>165.31950819438362</v>
      </c>
      <c r="BG165" s="125">
        <f>BG54/293.07*(1/(VLOOKUP($AF165,'Fuel economy adjusted factor'!$A$2:$L$52,5,FALSE)*m2k))/'TCO Inputs'!$AZ$84</f>
        <v>165.31950819438362</v>
      </c>
      <c r="BH165" s="125">
        <f>BH54/293.07*(1/(VLOOKUP($AF165,'Fuel economy adjusted factor'!$A$2:$L$52,5,FALSE)*m2k))/'TCO Inputs'!$AZ$84</f>
        <v>165.31950819438362</v>
      </c>
      <c r="BI165" s="98" cm="1">
        <f t="array" ref="BI165">SUMPRODUCT(INDEX(AG165:BH165,,'TCO Inputs'!$AZ$12-2023+_xlfn.SEQUENCE('TCO Inputs'!$AZ$13))*INDEX('VKT US'!C113:AA113,,_xlfn.SEQUENCE('TCO Inputs'!$AZ$13)))*m2k*CONVERT(0.9072,"g","ton")</f>
        <v>49.839008641863444</v>
      </c>
      <c r="BL165" s="124" t="s">
        <v>134</v>
      </c>
      <c r="BM165" s="125">
        <f>BM54/293.07*(1/(VLOOKUP($BL165,'Fuel economy adjusted factor'!$A$2:$L$52,5,FALSE)*m2k))/'TCO Inputs'!$AZ$84</f>
        <v>122.90087563740605</v>
      </c>
      <c r="BN165" s="125">
        <f>BN54/293.07*(1/(VLOOKUP($BL165,'Fuel economy adjusted factor'!$A$2:$L$52,5,FALSE)*m2k))/'TCO Inputs'!$AZ$84</f>
        <v>122.90087563740605</v>
      </c>
      <c r="BO165" s="125">
        <f>BO54/293.07*(1/(VLOOKUP($BL165,'Fuel economy adjusted factor'!$A$2:$L$52,5,FALSE)*m2k))/'TCO Inputs'!$AZ$84</f>
        <v>122.90087563740605</v>
      </c>
      <c r="BP165" s="125">
        <f>BP54/293.07*(1/(VLOOKUP($BL165,'Fuel economy adjusted factor'!$A$2:$L$52,5,FALSE)*m2k))/'TCO Inputs'!$AZ$84</f>
        <v>122.90087563740605</v>
      </c>
      <c r="BQ165" s="125">
        <f>BQ54/293.07*(1/(VLOOKUP($BL165,'Fuel economy adjusted factor'!$A$2:$L$52,5,FALSE)*m2k))/'TCO Inputs'!$AZ$84</f>
        <v>122.90087563740605</v>
      </c>
      <c r="BR165" s="125">
        <f>BR54/293.07*(1/(VLOOKUP($BL165,'Fuel economy adjusted factor'!$A$2:$L$52,5,FALSE)*m2k))/'TCO Inputs'!$AZ$84</f>
        <v>122.90087563740605</v>
      </c>
      <c r="BS165" s="125">
        <f>BS54/293.07*(1/(VLOOKUP($BL165,'Fuel economy adjusted factor'!$A$2:$L$52,5,FALSE)*m2k))/'TCO Inputs'!$AZ$84</f>
        <v>122.90087563740605</v>
      </c>
      <c r="BT165" s="125">
        <f>BT54/293.07*(1/(VLOOKUP($BL165,'Fuel economy adjusted factor'!$A$2:$L$52,5,FALSE)*m2k))/'TCO Inputs'!$AZ$84</f>
        <v>122.90087563740605</v>
      </c>
      <c r="BU165" s="125">
        <f>BU54/293.07*(1/(VLOOKUP($BL165,'Fuel economy adjusted factor'!$A$2:$L$52,5,FALSE)*m2k))/'TCO Inputs'!$AZ$84</f>
        <v>122.90087563740605</v>
      </c>
      <c r="BV165" s="125">
        <f>BV54/293.07*(1/(VLOOKUP($BL165,'Fuel economy adjusted factor'!$A$2:$L$52,5,FALSE)*m2k))/'TCO Inputs'!$AZ$84</f>
        <v>122.90087563740605</v>
      </c>
      <c r="BW165" s="125">
        <f>BW54/293.07*(1/(VLOOKUP($BL165,'Fuel economy adjusted factor'!$A$2:$L$52,5,FALSE)*m2k))/'TCO Inputs'!$AZ$84</f>
        <v>122.90087563740605</v>
      </c>
      <c r="BX165" s="125">
        <f>BX54/293.07*(1/(VLOOKUP($BL165,'Fuel economy adjusted factor'!$A$2:$L$52,5,FALSE)*m2k))/'TCO Inputs'!$AZ$84</f>
        <v>122.90087563740605</v>
      </c>
      <c r="BY165" s="125">
        <f>BY54/293.07*(1/(VLOOKUP($BL165,'Fuel economy adjusted factor'!$A$2:$L$52,5,FALSE)*m2k))/'TCO Inputs'!$AZ$84</f>
        <v>122.90087563740605</v>
      </c>
      <c r="BZ165" s="125">
        <f>BZ54/293.07*(1/(VLOOKUP($BL165,'Fuel economy adjusted factor'!$A$2:$L$52,5,FALSE)*m2k))/'TCO Inputs'!$AZ$84</f>
        <v>122.90087563740605</v>
      </c>
      <c r="CA165" s="125">
        <f>CA54/293.07*(1/(VLOOKUP($BL165,'Fuel economy adjusted factor'!$A$2:$L$52,5,FALSE)*m2k))/'TCO Inputs'!$AZ$84</f>
        <v>122.90087563740605</v>
      </c>
      <c r="CB165" s="125">
        <f>CB54/293.07*(1/(VLOOKUP($BL165,'Fuel economy adjusted factor'!$A$2:$L$52,5,FALSE)*m2k))/'TCO Inputs'!$AZ$84</f>
        <v>122.90087563740605</v>
      </c>
      <c r="CC165" s="125">
        <f>CC54/293.07*(1/(VLOOKUP($BL165,'Fuel economy adjusted factor'!$A$2:$L$52,5,FALSE)*m2k))/'TCO Inputs'!$AZ$84</f>
        <v>122.90087563740605</v>
      </c>
      <c r="CD165" s="125">
        <f>CD54/293.07*(1/(VLOOKUP($BL165,'Fuel economy adjusted factor'!$A$2:$L$52,5,FALSE)*m2k))/'TCO Inputs'!$AZ$84</f>
        <v>122.90087563740605</v>
      </c>
      <c r="CE165" s="125">
        <f>CE54/293.07*(1/(VLOOKUP($BL165,'Fuel economy adjusted factor'!$A$2:$L$52,5,FALSE)*m2k))/'TCO Inputs'!$AZ$84</f>
        <v>122.90087563740605</v>
      </c>
      <c r="CF165" s="125">
        <f>CF54/293.07*(1/(VLOOKUP($BL165,'Fuel economy adjusted factor'!$A$2:$L$52,5,FALSE)*m2k))/'TCO Inputs'!$AZ$84</f>
        <v>122.90087563740605</v>
      </c>
      <c r="CG165" s="125">
        <f>CG54/293.07*(1/(VLOOKUP($BL165,'Fuel economy adjusted factor'!$A$2:$L$52,5,FALSE)*m2k))/'TCO Inputs'!$AZ$84</f>
        <v>122.90087563740605</v>
      </c>
      <c r="CH165" s="125">
        <f>CH54/293.07*(1/(VLOOKUP($BL165,'Fuel economy adjusted factor'!$A$2:$L$52,5,FALSE)*m2k))/'TCO Inputs'!$AZ$84</f>
        <v>122.90087563740605</v>
      </c>
      <c r="CI165" s="125">
        <f>CI54/293.07*(1/(VLOOKUP($BL165,'Fuel economy adjusted factor'!$A$2:$L$52,5,FALSE)*m2k))/'TCO Inputs'!$AZ$84</f>
        <v>122.90087563740605</v>
      </c>
      <c r="CJ165" s="125">
        <f>CJ54/293.07*(1/(VLOOKUP($BL165,'Fuel economy adjusted factor'!$A$2:$L$52,5,FALSE)*m2k))/'TCO Inputs'!$AZ$84</f>
        <v>122.90087563740605</v>
      </c>
      <c r="CK165" s="125">
        <f>CK54/293.07*(1/(VLOOKUP($BL165,'Fuel economy adjusted factor'!$A$2:$L$52,5,FALSE)*m2k))/'TCO Inputs'!$AZ$84</f>
        <v>122.90087563740605</v>
      </c>
      <c r="CL165" s="125">
        <f>CL54/293.07*(1/(VLOOKUP($BL165,'Fuel economy adjusted factor'!$A$2:$L$52,5,FALSE)*m2k))/'TCO Inputs'!$AZ$84</f>
        <v>122.90087563740605</v>
      </c>
      <c r="CM165" s="125">
        <f>CM54/293.07*(1/(VLOOKUP($BL165,'Fuel economy adjusted factor'!$A$2:$L$52,5,FALSE)*m2k))/'TCO Inputs'!$AZ$84</f>
        <v>122.90087563740605</v>
      </c>
      <c r="CN165" s="125">
        <f>CN54/293.07*(1/(VLOOKUP($BL165,'Fuel economy adjusted factor'!$A$2:$L$52,5,FALSE)*m2k))/'TCO Inputs'!$AZ$84</f>
        <v>122.90087563740605</v>
      </c>
      <c r="CO165" s="98" cm="1">
        <f t="array" ref="CO165">SUMPRODUCT(INDEX(BM165:CN165,,'TCO Inputs'!$AZ$12-2023+_xlfn.SEQUENCE('TCO Inputs'!$AZ$13))*INDEX('VKT US'!C113:AA113,,_xlfn.SEQUENCE('TCO Inputs'!$AZ$13)))*m2k*CONVERT(0.9072,"g","ton")</f>
        <v>37.051028459285952</v>
      </c>
    </row>
    <row r="169" spans="1:93" x14ac:dyDescent="0.25">
      <c r="A169" s="248" t="s">
        <v>463</v>
      </c>
      <c r="B169" s="249"/>
      <c r="C169" s="249"/>
      <c r="D169" s="250"/>
      <c r="E169" s="248" t="s">
        <v>540</v>
      </c>
      <c r="F169" s="249"/>
      <c r="G169" s="249"/>
      <c r="H169" s="249"/>
      <c r="I169" s="249"/>
      <c r="J169" s="249"/>
      <c r="K169" s="249"/>
      <c r="L169" s="250"/>
      <c r="M169" s="13"/>
      <c r="N169" s="13"/>
      <c r="O169" s="13"/>
      <c r="P169" s="13"/>
      <c r="Q169" s="13"/>
      <c r="R169" s="13"/>
      <c r="S169" s="13"/>
      <c r="T169" s="13"/>
      <c r="U169" s="13"/>
      <c r="V169" s="13"/>
      <c r="W169" s="13"/>
      <c r="X169" s="13"/>
      <c r="Y169" s="13"/>
      <c r="Z169" s="13"/>
      <c r="AA169" s="13"/>
      <c r="AB169" s="13"/>
      <c r="AC169" s="13"/>
      <c r="AF169" s="248" t="s">
        <v>463</v>
      </c>
      <c r="AG169" s="249"/>
      <c r="AH169" s="249"/>
      <c r="AI169" s="250"/>
      <c r="AJ169" s="248" t="s">
        <v>542</v>
      </c>
      <c r="AK169" s="249"/>
      <c r="AL169" s="249"/>
      <c r="AM169" s="249"/>
      <c r="AN169" s="249"/>
      <c r="AO169" s="249"/>
      <c r="AP169" s="249"/>
      <c r="AQ169" s="250"/>
      <c r="AR169" s="13"/>
      <c r="AS169" s="13"/>
      <c r="AT169" s="13"/>
      <c r="AU169" s="13"/>
      <c r="AV169" s="13"/>
      <c r="AW169" s="13"/>
      <c r="AX169" s="13"/>
      <c r="AY169" s="13"/>
      <c r="AZ169" s="13"/>
      <c r="BA169" s="13"/>
      <c r="BB169" s="13"/>
      <c r="BC169" s="13"/>
      <c r="BD169" s="13"/>
      <c r="BE169" s="13"/>
      <c r="BF169" s="13"/>
      <c r="BG169" s="13"/>
      <c r="BH169" s="13"/>
    </row>
    <row r="170" spans="1:93" x14ac:dyDescent="0.25">
      <c r="A170" s="122" t="s">
        <v>3</v>
      </c>
      <c r="B170" s="122">
        <v>2023</v>
      </c>
      <c r="C170" s="122">
        <v>2024</v>
      </c>
      <c r="D170" s="122">
        <v>2025</v>
      </c>
      <c r="E170" s="122">
        <v>2026</v>
      </c>
      <c r="F170" s="122">
        <v>2027</v>
      </c>
      <c r="G170" s="122">
        <v>2028</v>
      </c>
      <c r="H170" s="122">
        <v>2029</v>
      </c>
      <c r="I170" s="122">
        <v>2030</v>
      </c>
      <c r="J170" s="122">
        <v>2031</v>
      </c>
      <c r="K170" s="122">
        <v>2032</v>
      </c>
      <c r="L170" s="122">
        <v>2033</v>
      </c>
      <c r="M170" s="122">
        <v>2034</v>
      </c>
      <c r="N170" s="122">
        <v>2035</v>
      </c>
      <c r="O170" s="122">
        <v>2036</v>
      </c>
      <c r="P170" s="122">
        <v>2037</v>
      </c>
      <c r="Q170" s="122">
        <v>2038</v>
      </c>
      <c r="R170" s="122">
        <v>2039</v>
      </c>
      <c r="S170" s="122">
        <v>2040</v>
      </c>
      <c r="T170" s="122">
        <v>2041</v>
      </c>
      <c r="U170" s="122">
        <v>2042</v>
      </c>
      <c r="V170" s="122">
        <v>2043</v>
      </c>
      <c r="W170" s="122">
        <v>2044</v>
      </c>
      <c r="X170" s="122">
        <v>2045</v>
      </c>
      <c r="Y170" s="122">
        <v>2046</v>
      </c>
      <c r="Z170" s="122">
        <v>2047</v>
      </c>
      <c r="AA170" s="122">
        <v>2048</v>
      </c>
      <c r="AB170" s="122">
        <v>2049</v>
      </c>
      <c r="AC170" s="122">
        <v>2050</v>
      </c>
      <c r="AD170" s="37" t="s">
        <v>464</v>
      </c>
      <c r="AF170" s="122" t="s">
        <v>3</v>
      </c>
      <c r="AG170" s="122">
        <v>2023</v>
      </c>
      <c r="AH170" s="122">
        <v>2024</v>
      </c>
      <c r="AI170" s="122">
        <v>2025</v>
      </c>
      <c r="AJ170" s="122">
        <v>2026</v>
      </c>
      <c r="AK170" s="122">
        <v>2027</v>
      </c>
      <c r="AL170" s="122">
        <v>2028</v>
      </c>
      <c r="AM170" s="122">
        <v>2029</v>
      </c>
      <c r="AN170" s="122">
        <v>2030</v>
      </c>
      <c r="AO170" s="122">
        <v>2031</v>
      </c>
      <c r="AP170" s="122">
        <v>2032</v>
      </c>
      <c r="AQ170" s="122">
        <v>2033</v>
      </c>
      <c r="AR170" s="122">
        <v>2034</v>
      </c>
      <c r="AS170" s="122">
        <v>2035</v>
      </c>
      <c r="AT170" s="122">
        <v>2036</v>
      </c>
      <c r="AU170" s="122">
        <v>2037</v>
      </c>
      <c r="AV170" s="122">
        <v>2038</v>
      </c>
      <c r="AW170" s="122">
        <v>2039</v>
      </c>
      <c r="AX170" s="122">
        <v>2040</v>
      </c>
      <c r="AY170" s="122">
        <v>2041</v>
      </c>
      <c r="AZ170" s="122">
        <v>2042</v>
      </c>
      <c r="BA170" s="122">
        <v>2043</v>
      </c>
      <c r="BB170" s="122">
        <v>2044</v>
      </c>
      <c r="BC170" s="122">
        <v>2045</v>
      </c>
      <c r="BD170" s="122">
        <v>2046</v>
      </c>
      <c r="BE170" s="122">
        <v>2047</v>
      </c>
      <c r="BF170" s="122">
        <v>2048</v>
      </c>
      <c r="BG170" s="122">
        <v>2049</v>
      </c>
      <c r="BH170" s="122">
        <v>2050</v>
      </c>
      <c r="BI170" s="37" t="s">
        <v>464</v>
      </c>
    </row>
    <row r="171" spans="1:93" x14ac:dyDescent="0.25">
      <c r="A171" s="70" t="s">
        <v>187</v>
      </c>
      <c r="B171" s="125">
        <f>B59/293.07*(1/(VLOOKUP($A171,'Fuel economy adjusted factor'!$A$2:$L$52,5,FALSE)*m2k))/'TCO Inputs'!$AZ$84</f>
        <v>124.25693736490967</v>
      </c>
      <c r="C171" s="125">
        <f>C59/293.07*(1/(VLOOKUP($A171,'Fuel economy adjusted factor'!$A$2:$L$52,5,FALSE)*m2k))/'TCO Inputs'!$AZ$84</f>
        <v>124.25693736490967</v>
      </c>
      <c r="D171" s="125">
        <f>D59/293.07*(1/(VLOOKUP($A171,'Fuel economy adjusted factor'!$A$2:$L$52,5,FALSE)*m2k))/'TCO Inputs'!$AZ$84</f>
        <v>124.25693736490967</v>
      </c>
      <c r="E171" s="125">
        <f>E59/293.07*(1/(VLOOKUP($A171,'Fuel economy adjusted factor'!$A$2:$L$52,5,FALSE)*m2k))/'TCO Inputs'!$AZ$84</f>
        <v>124.25693736490967</v>
      </c>
      <c r="F171" s="125">
        <f>F59/293.07*(1/(VLOOKUP($A171,'Fuel economy adjusted factor'!$A$2:$L$52,5,FALSE)*m2k))/'TCO Inputs'!$AZ$84</f>
        <v>124.25693736490967</v>
      </c>
      <c r="G171" s="125">
        <f>G59/293.07*(1/(VLOOKUP($A171,'Fuel economy adjusted factor'!$A$2:$L$52,5,FALSE)*m2k))/'TCO Inputs'!$AZ$84</f>
        <v>124.25693736490967</v>
      </c>
      <c r="H171" s="125">
        <f>H59/293.07*(1/(VLOOKUP($A171,'Fuel economy adjusted factor'!$A$2:$L$52,5,FALSE)*m2k))/'TCO Inputs'!$AZ$84</f>
        <v>124.25693736490967</v>
      </c>
      <c r="I171" s="125">
        <f>I59/293.07*(1/(VLOOKUP($A171,'Fuel economy adjusted factor'!$A$2:$L$52,5,FALSE)*m2k))/'TCO Inputs'!$AZ$84</f>
        <v>124.25693736490967</v>
      </c>
      <c r="J171" s="125">
        <f>J59/293.07*(1/(VLOOKUP($A171,'Fuel economy adjusted factor'!$A$2:$L$52,5,FALSE)*m2k))/'TCO Inputs'!$AZ$84</f>
        <v>124.25693736490967</v>
      </c>
      <c r="K171" s="125">
        <f>K59/293.07*(1/(VLOOKUP($A171,'Fuel economy adjusted factor'!$A$2:$L$52,5,FALSE)*m2k))/'TCO Inputs'!$AZ$84</f>
        <v>124.25693736490967</v>
      </c>
      <c r="L171" s="125">
        <f>L59/293.07*(1/(VLOOKUP($A171,'Fuel economy adjusted factor'!$A$2:$L$52,5,FALSE)*m2k))/'TCO Inputs'!$AZ$84</f>
        <v>124.25693736490967</v>
      </c>
      <c r="M171" s="125">
        <f>M59/293.07*(1/(VLOOKUP($A171,'Fuel economy adjusted factor'!$A$2:$L$52,5,FALSE)*m2k))/'TCO Inputs'!$AZ$84</f>
        <v>124.25693736490967</v>
      </c>
      <c r="N171" s="125">
        <f>N59/293.07*(1/(VLOOKUP($A171,'Fuel economy adjusted factor'!$A$2:$L$52,5,FALSE)*m2k))/'TCO Inputs'!$AZ$84</f>
        <v>124.25693736490967</v>
      </c>
      <c r="O171" s="125">
        <f>O59/293.07*(1/(VLOOKUP($A171,'Fuel economy adjusted factor'!$A$2:$L$52,5,FALSE)*m2k))/'TCO Inputs'!$AZ$84</f>
        <v>124.25693736490967</v>
      </c>
      <c r="P171" s="125">
        <f>P59/293.07*(1/(VLOOKUP($A171,'Fuel economy adjusted factor'!$A$2:$L$52,5,FALSE)*m2k))/'TCO Inputs'!$AZ$84</f>
        <v>124.25693736490967</v>
      </c>
      <c r="Q171" s="125">
        <f>Q59/293.07*(1/(VLOOKUP($A171,'Fuel economy adjusted factor'!$A$2:$L$52,5,FALSE)*m2k))/'TCO Inputs'!$AZ$84</f>
        <v>124.25693736490967</v>
      </c>
      <c r="R171" s="125">
        <f>R59/293.07*(1/(VLOOKUP($A171,'Fuel economy adjusted factor'!$A$2:$L$52,5,FALSE)*m2k))/'TCO Inputs'!$AZ$84</f>
        <v>124.25693736490967</v>
      </c>
      <c r="S171" s="125">
        <f>S59/293.07*(1/(VLOOKUP($A171,'Fuel economy adjusted factor'!$A$2:$L$52,5,FALSE)*m2k))/'TCO Inputs'!$AZ$84</f>
        <v>124.25693736490967</v>
      </c>
      <c r="T171" s="125">
        <f>T59/293.07*(1/(VLOOKUP($A171,'Fuel economy adjusted factor'!$A$2:$L$52,5,FALSE)*m2k))/'TCO Inputs'!$AZ$84</f>
        <v>124.25693736490967</v>
      </c>
      <c r="U171" s="125">
        <f>U59/293.07*(1/(VLOOKUP($A171,'Fuel economy adjusted factor'!$A$2:$L$52,5,FALSE)*m2k))/'TCO Inputs'!$AZ$84</f>
        <v>124.25693736490967</v>
      </c>
      <c r="V171" s="125">
        <f>V59/293.07*(1/(VLOOKUP($A171,'Fuel economy adjusted factor'!$A$2:$L$52,5,FALSE)*m2k))/'TCO Inputs'!$AZ$84</f>
        <v>124.25693736490967</v>
      </c>
      <c r="W171" s="125">
        <f>W59/293.07*(1/(VLOOKUP($A171,'Fuel economy adjusted factor'!$A$2:$L$52,5,FALSE)*m2k))/'TCO Inputs'!$AZ$84</f>
        <v>124.25693736490967</v>
      </c>
      <c r="X171" s="125">
        <f>X59/293.07*(1/(VLOOKUP($A171,'Fuel economy adjusted factor'!$A$2:$L$52,5,FALSE)*m2k))/'TCO Inputs'!$AZ$84</f>
        <v>124.25693736490967</v>
      </c>
      <c r="Y171" s="125">
        <f>Y59/293.07*(1/(VLOOKUP($A171,'Fuel economy adjusted factor'!$A$2:$L$52,5,FALSE)*m2k))/'TCO Inputs'!$AZ$84</f>
        <v>124.25693736490967</v>
      </c>
      <c r="Z171" s="125">
        <f>Z59/293.07*(1/(VLOOKUP($A171,'Fuel economy adjusted factor'!$A$2:$L$52,5,FALSE)*m2k))/'TCO Inputs'!$AZ$84</f>
        <v>124.25693736490967</v>
      </c>
      <c r="AA171" s="125">
        <f>AA59/293.07*(1/(VLOOKUP($A171,'Fuel economy adjusted factor'!$A$2:$L$52,5,FALSE)*m2k))/'TCO Inputs'!$AZ$84</f>
        <v>124.25693736490967</v>
      </c>
      <c r="AB171" s="125">
        <f>AB59/293.07*(1/(VLOOKUP($A171,'Fuel economy adjusted factor'!$A$2:$L$52,5,FALSE)*m2k))/'TCO Inputs'!$AZ$84</f>
        <v>124.25693736490967</v>
      </c>
      <c r="AC171" s="125">
        <f>AC59/293.07*(1/(VLOOKUP($A171,'Fuel economy adjusted factor'!$A$2:$L$52,5,FALSE)*m2k))/'TCO Inputs'!$AZ$84</f>
        <v>124.25693736490967</v>
      </c>
      <c r="AD171" s="98" cm="1">
        <f t="array" ref="AD171">SUMPRODUCT(INDEX(B171:AC171,,'TCO Inputs'!$AZ$12-2023+_xlfn.SEQUENCE('TCO Inputs'!$AZ$13))*INDEX('VKT US'!C63:AA63,,_xlfn.SEQUENCE('TCO Inputs'!$AZ$13)))*m2k*CONVERT(0.9072,"g","ton")</f>
        <v>46.801925628058072</v>
      </c>
      <c r="AF171" s="70" t="s">
        <v>187</v>
      </c>
      <c r="AG171" s="125">
        <f>AG59/293.07*(1/(VLOOKUP($AF171,'Fuel economy adjusted factor'!$A$2:$L$52,5,FALSE)*m2k))/'TCO Inputs'!$AZ$84</f>
        <v>143.94425752250618</v>
      </c>
      <c r="AH171" s="125">
        <f>AH59/293.07*(1/(VLOOKUP($AF171,'Fuel economy adjusted factor'!$A$2:$L$52,5,FALSE)*m2k))/'TCO Inputs'!$AZ$84</f>
        <v>143.94425752250618</v>
      </c>
      <c r="AI171" s="125">
        <f>AI59/293.07*(1/(VLOOKUP($AF171,'Fuel economy adjusted factor'!$A$2:$L$52,5,FALSE)*m2k))/'TCO Inputs'!$AZ$84</f>
        <v>143.94425752250618</v>
      </c>
      <c r="AJ171" s="125">
        <f>AJ59/293.07*(1/(VLOOKUP($AF171,'Fuel economy adjusted factor'!$A$2:$L$52,5,FALSE)*m2k))/'TCO Inputs'!$AZ$84</f>
        <v>143.94425752250618</v>
      </c>
      <c r="AK171" s="125">
        <f>AK59/293.07*(1/(VLOOKUP($AF171,'Fuel economy adjusted factor'!$A$2:$L$52,5,FALSE)*m2k))/'TCO Inputs'!$AZ$84</f>
        <v>143.94425752250618</v>
      </c>
      <c r="AL171" s="125">
        <f>AL59/293.07*(1/(VLOOKUP($AF171,'Fuel economy adjusted factor'!$A$2:$L$52,5,FALSE)*m2k))/'TCO Inputs'!$AZ$84</f>
        <v>143.94425752250618</v>
      </c>
      <c r="AM171" s="125">
        <f>AM59/293.07*(1/(VLOOKUP($AF171,'Fuel economy adjusted factor'!$A$2:$L$52,5,FALSE)*m2k))/'TCO Inputs'!$AZ$84</f>
        <v>143.94425752250618</v>
      </c>
      <c r="AN171" s="125">
        <f>AN59/293.07*(1/(VLOOKUP($AF171,'Fuel economy adjusted factor'!$A$2:$L$52,5,FALSE)*m2k))/'TCO Inputs'!$AZ$84</f>
        <v>143.94425752250618</v>
      </c>
      <c r="AO171" s="125">
        <f>AO59/293.07*(1/(VLOOKUP($AF171,'Fuel economy adjusted factor'!$A$2:$L$52,5,FALSE)*m2k))/'TCO Inputs'!$AZ$84</f>
        <v>143.94425752250618</v>
      </c>
      <c r="AP171" s="125">
        <f>AP59/293.07*(1/(VLOOKUP($AF171,'Fuel economy adjusted factor'!$A$2:$L$52,5,FALSE)*m2k))/'TCO Inputs'!$AZ$84</f>
        <v>143.94425752250618</v>
      </c>
      <c r="AQ171" s="125">
        <f>AQ59/293.07*(1/(VLOOKUP($AF171,'Fuel economy adjusted factor'!$A$2:$L$52,5,FALSE)*m2k))/'TCO Inputs'!$AZ$84</f>
        <v>143.94425752250618</v>
      </c>
      <c r="AR171" s="125">
        <f>AR59/293.07*(1/(VLOOKUP($AF171,'Fuel economy adjusted factor'!$A$2:$L$52,5,FALSE)*m2k))/'TCO Inputs'!$AZ$84</f>
        <v>143.94425752250618</v>
      </c>
      <c r="AS171" s="125">
        <f>AS59/293.07*(1/(VLOOKUP($AF171,'Fuel economy adjusted factor'!$A$2:$L$52,5,FALSE)*m2k))/'TCO Inputs'!$AZ$84</f>
        <v>143.94425752250618</v>
      </c>
      <c r="AT171" s="125">
        <f>AT59/293.07*(1/(VLOOKUP($AF171,'Fuel economy adjusted factor'!$A$2:$L$52,5,FALSE)*m2k))/'TCO Inputs'!$AZ$84</f>
        <v>143.94425752250618</v>
      </c>
      <c r="AU171" s="125">
        <f>AU59/293.07*(1/(VLOOKUP($AF171,'Fuel economy adjusted factor'!$A$2:$L$52,5,FALSE)*m2k))/'TCO Inputs'!$AZ$84</f>
        <v>143.94425752250618</v>
      </c>
      <c r="AV171" s="125">
        <f>AV59/293.07*(1/(VLOOKUP($AF171,'Fuel economy adjusted factor'!$A$2:$L$52,5,FALSE)*m2k))/'TCO Inputs'!$AZ$84</f>
        <v>143.94425752250618</v>
      </c>
      <c r="AW171" s="125">
        <f>AW59/293.07*(1/(VLOOKUP($AF171,'Fuel economy adjusted factor'!$A$2:$L$52,5,FALSE)*m2k))/'TCO Inputs'!$AZ$84</f>
        <v>143.94425752250618</v>
      </c>
      <c r="AX171" s="125">
        <f>AX59/293.07*(1/(VLOOKUP($AF171,'Fuel economy adjusted factor'!$A$2:$L$52,5,FALSE)*m2k))/'TCO Inputs'!$AZ$84</f>
        <v>143.94425752250618</v>
      </c>
      <c r="AY171" s="125">
        <f>AY59/293.07*(1/(VLOOKUP($AF171,'Fuel economy adjusted factor'!$A$2:$L$52,5,FALSE)*m2k))/'TCO Inputs'!$AZ$84</f>
        <v>143.94425752250618</v>
      </c>
      <c r="AZ171" s="125">
        <f>AZ59/293.07*(1/(VLOOKUP($AF171,'Fuel economy adjusted factor'!$A$2:$L$52,5,FALSE)*m2k))/'TCO Inputs'!$AZ$84</f>
        <v>143.94425752250618</v>
      </c>
      <c r="BA171" s="125">
        <f>BA59/293.07*(1/(VLOOKUP($AF171,'Fuel economy adjusted factor'!$A$2:$L$52,5,FALSE)*m2k))/'TCO Inputs'!$AZ$84</f>
        <v>143.94425752250618</v>
      </c>
      <c r="BB171" s="125">
        <f>BB59/293.07*(1/(VLOOKUP($AF171,'Fuel economy adjusted factor'!$A$2:$L$52,5,FALSE)*m2k))/'TCO Inputs'!$AZ$84</f>
        <v>143.94425752250618</v>
      </c>
      <c r="BC171" s="125">
        <f>BC59/293.07*(1/(VLOOKUP($AF171,'Fuel economy adjusted factor'!$A$2:$L$52,5,FALSE)*m2k))/'TCO Inputs'!$AZ$84</f>
        <v>143.94425752250618</v>
      </c>
      <c r="BD171" s="125">
        <f>BD59/293.07*(1/(VLOOKUP($AF171,'Fuel economy adjusted factor'!$A$2:$L$52,5,FALSE)*m2k))/'TCO Inputs'!$AZ$84</f>
        <v>143.94425752250618</v>
      </c>
      <c r="BE171" s="125">
        <f>BE59/293.07*(1/(VLOOKUP($AF171,'Fuel economy adjusted factor'!$A$2:$L$52,5,FALSE)*m2k))/'TCO Inputs'!$AZ$84</f>
        <v>143.94425752250618</v>
      </c>
      <c r="BF171" s="125">
        <f>BF59/293.07*(1/(VLOOKUP($AF171,'Fuel economy adjusted factor'!$A$2:$L$52,5,FALSE)*m2k))/'TCO Inputs'!$AZ$84</f>
        <v>143.94425752250618</v>
      </c>
      <c r="BG171" s="125">
        <f>BG59/293.07*(1/(VLOOKUP($AF171,'Fuel economy adjusted factor'!$A$2:$L$52,5,FALSE)*m2k))/'TCO Inputs'!$AZ$84</f>
        <v>143.94425752250618</v>
      </c>
      <c r="BH171" s="125">
        <f>BH59/293.07*(1/(VLOOKUP($AF171,'Fuel economy adjusted factor'!$A$2:$L$52,5,FALSE)*m2k))/'TCO Inputs'!$AZ$84</f>
        <v>143.94425752250618</v>
      </c>
      <c r="BI171" s="98" cm="1">
        <f t="array" ref="BI171">SUMPRODUCT(INDEX(AG171:BH171,,'TCO Inputs'!$AZ$12-2023+_xlfn.SEQUENCE('TCO Inputs'!$AZ$13))*INDEX('VKT US'!C63:AA63,,_xlfn.SEQUENCE('TCO Inputs'!$AZ$13)))*m2k*CONVERT(0.9072,"g","ton")</f>
        <v>54.217241934508465</v>
      </c>
    </row>
    <row r="172" spans="1:93" x14ac:dyDescent="0.25">
      <c r="A172" s="123" t="s">
        <v>231</v>
      </c>
      <c r="B172" s="125">
        <f>B60/293.07*(1/(VLOOKUP($A172,'Fuel economy adjusted factor'!$A$2:$L$52,5,FALSE)*m2k))/'TCO Inputs'!$AZ$84</f>
        <v>296.58204446559586</v>
      </c>
      <c r="C172" s="125">
        <f>C60/293.07*(1/(VLOOKUP($A172,'Fuel economy adjusted factor'!$A$2:$L$52,5,FALSE)*m2k))/'TCO Inputs'!$AZ$84</f>
        <v>296.58204446559586</v>
      </c>
      <c r="D172" s="125">
        <f>D60/293.07*(1/(VLOOKUP($A172,'Fuel economy adjusted factor'!$A$2:$L$52,5,FALSE)*m2k))/'TCO Inputs'!$AZ$84</f>
        <v>296.58204446559586</v>
      </c>
      <c r="E172" s="125">
        <f>E60/293.07*(1/(VLOOKUP($A172,'Fuel economy adjusted factor'!$A$2:$L$52,5,FALSE)*m2k))/'TCO Inputs'!$AZ$84</f>
        <v>296.58204446559586</v>
      </c>
      <c r="F172" s="125">
        <f>F60/293.07*(1/(VLOOKUP($A172,'Fuel economy adjusted factor'!$A$2:$L$52,5,FALSE)*m2k))/'TCO Inputs'!$AZ$84</f>
        <v>296.58204446559586</v>
      </c>
      <c r="G172" s="125">
        <f>G60/293.07*(1/(VLOOKUP($A172,'Fuel economy adjusted factor'!$A$2:$L$52,5,FALSE)*m2k))/'TCO Inputs'!$AZ$84</f>
        <v>296.58204446559586</v>
      </c>
      <c r="H172" s="125">
        <f>H60/293.07*(1/(VLOOKUP($A172,'Fuel economy adjusted factor'!$A$2:$L$52,5,FALSE)*m2k))/'TCO Inputs'!$AZ$84</f>
        <v>296.58204446559586</v>
      </c>
      <c r="I172" s="125">
        <f>I60/293.07*(1/(VLOOKUP($A172,'Fuel economy adjusted factor'!$A$2:$L$52,5,FALSE)*m2k))/'TCO Inputs'!$AZ$84</f>
        <v>296.58204446559586</v>
      </c>
      <c r="J172" s="125">
        <f>J60/293.07*(1/(VLOOKUP($A172,'Fuel economy adjusted factor'!$A$2:$L$52,5,FALSE)*m2k))/'TCO Inputs'!$AZ$84</f>
        <v>296.58204446559586</v>
      </c>
      <c r="K172" s="125">
        <f>K60/293.07*(1/(VLOOKUP($A172,'Fuel economy adjusted factor'!$A$2:$L$52,5,FALSE)*m2k))/'TCO Inputs'!$AZ$84</f>
        <v>296.58204446559586</v>
      </c>
      <c r="L172" s="125">
        <f>L60/293.07*(1/(VLOOKUP($A172,'Fuel economy adjusted factor'!$A$2:$L$52,5,FALSE)*m2k))/'TCO Inputs'!$AZ$84</f>
        <v>296.58204446559586</v>
      </c>
      <c r="M172" s="125">
        <f>M60/293.07*(1/(VLOOKUP($A172,'Fuel economy adjusted factor'!$A$2:$L$52,5,FALSE)*m2k))/'TCO Inputs'!$AZ$84</f>
        <v>296.58204446559586</v>
      </c>
      <c r="N172" s="125">
        <f>N60/293.07*(1/(VLOOKUP($A172,'Fuel economy adjusted factor'!$A$2:$L$52,5,FALSE)*m2k))/'TCO Inputs'!$AZ$84</f>
        <v>296.58204446559586</v>
      </c>
      <c r="O172" s="125">
        <f>O60/293.07*(1/(VLOOKUP($A172,'Fuel economy adjusted factor'!$A$2:$L$52,5,FALSE)*m2k))/'TCO Inputs'!$AZ$84</f>
        <v>296.58204446559586</v>
      </c>
      <c r="P172" s="125">
        <f>P60/293.07*(1/(VLOOKUP($A172,'Fuel economy adjusted factor'!$A$2:$L$52,5,FALSE)*m2k))/'TCO Inputs'!$AZ$84</f>
        <v>296.58204446559586</v>
      </c>
      <c r="Q172" s="125">
        <f>Q60/293.07*(1/(VLOOKUP($A172,'Fuel economy adjusted factor'!$A$2:$L$52,5,FALSE)*m2k))/'TCO Inputs'!$AZ$84</f>
        <v>296.58204446559586</v>
      </c>
      <c r="R172" s="125">
        <f>R60/293.07*(1/(VLOOKUP($A172,'Fuel economy adjusted factor'!$A$2:$L$52,5,FALSE)*m2k))/'TCO Inputs'!$AZ$84</f>
        <v>296.58204446559586</v>
      </c>
      <c r="S172" s="125">
        <f>S60/293.07*(1/(VLOOKUP($A172,'Fuel economy adjusted factor'!$A$2:$L$52,5,FALSE)*m2k))/'TCO Inputs'!$AZ$84</f>
        <v>296.58204446559586</v>
      </c>
      <c r="T172" s="125">
        <f>T60/293.07*(1/(VLOOKUP($A172,'Fuel economy adjusted factor'!$A$2:$L$52,5,FALSE)*m2k))/'TCO Inputs'!$AZ$84</f>
        <v>296.58204446559586</v>
      </c>
      <c r="U172" s="125">
        <f>U60/293.07*(1/(VLOOKUP($A172,'Fuel economy adjusted factor'!$A$2:$L$52,5,FALSE)*m2k))/'TCO Inputs'!$AZ$84</f>
        <v>296.58204446559586</v>
      </c>
      <c r="V172" s="125">
        <f>V60/293.07*(1/(VLOOKUP($A172,'Fuel economy adjusted factor'!$A$2:$L$52,5,FALSE)*m2k))/'TCO Inputs'!$AZ$84</f>
        <v>296.58204446559586</v>
      </c>
      <c r="W172" s="125">
        <f>W60/293.07*(1/(VLOOKUP($A172,'Fuel economy adjusted factor'!$A$2:$L$52,5,FALSE)*m2k))/'TCO Inputs'!$AZ$84</f>
        <v>296.58204446559586</v>
      </c>
      <c r="X172" s="125">
        <f>X60/293.07*(1/(VLOOKUP($A172,'Fuel economy adjusted factor'!$A$2:$L$52,5,FALSE)*m2k))/'TCO Inputs'!$AZ$84</f>
        <v>296.58204446559586</v>
      </c>
      <c r="Y172" s="125">
        <f>Y60/293.07*(1/(VLOOKUP($A172,'Fuel economy adjusted factor'!$A$2:$L$52,5,FALSE)*m2k))/'TCO Inputs'!$AZ$84</f>
        <v>296.58204446559586</v>
      </c>
      <c r="Z172" s="125">
        <f>Z60/293.07*(1/(VLOOKUP($A172,'Fuel economy adjusted factor'!$A$2:$L$52,5,FALSE)*m2k))/'TCO Inputs'!$AZ$84</f>
        <v>296.58204446559586</v>
      </c>
      <c r="AA172" s="125">
        <f>AA60/293.07*(1/(VLOOKUP($A172,'Fuel economy adjusted factor'!$A$2:$L$52,5,FALSE)*m2k))/'TCO Inputs'!$AZ$84</f>
        <v>296.58204446559586</v>
      </c>
      <c r="AB172" s="125">
        <f>AB60/293.07*(1/(VLOOKUP($A172,'Fuel economy adjusted factor'!$A$2:$L$52,5,FALSE)*m2k))/'TCO Inputs'!$AZ$84</f>
        <v>296.58204446559586</v>
      </c>
      <c r="AC172" s="125">
        <f>AC60/293.07*(1/(VLOOKUP($A172,'Fuel economy adjusted factor'!$A$2:$L$52,5,FALSE)*m2k))/'TCO Inputs'!$AZ$84</f>
        <v>296.58204446559586</v>
      </c>
      <c r="AD172" s="98" cm="1">
        <f t="array" ref="AD172">SUMPRODUCT(INDEX(B172:AC172,,'TCO Inputs'!$AZ$12-2023+_xlfn.SEQUENCE('TCO Inputs'!$AZ$13))*INDEX('VKT US'!C64:AA64,,_xlfn.SEQUENCE('TCO Inputs'!$AZ$13)))*m2k*CONVERT(0.9072,"g","ton")</f>
        <v>69.663693930276608</v>
      </c>
      <c r="AF172" s="123" t="s">
        <v>231</v>
      </c>
      <c r="AG172" s="125">
        <f>AG60/293.07*(1/(VLOOKUP($AF172,'Fuel economy adjusted factor'!$A$2:$L$52,5,FALSE)*m2k))/'TCO Inputs'!$AZ$84</f>
        <v>343.5726253233986</v>
      </c>
      <c r="AH172" s="125">
        <f>AH60/293.07*(1/(VLOOKUP($AF172,'Fuel economy adjusted factor'!$A$2:$L$52,5,FALSE)*m2k))/'TCO Inputs'!$AZ$84</f>
        <v>343.5726253233986</v>
      </c>
      <c r="AI172" s="125">
        <f>AI60/293.07*(1/(VLOOKUP($AF172,'Fuel economy adjusted factor'!$A$2:$L$52,5,FALSE)*m2k))/'TCO Inputs'!$AZ$84</f>
        <v>343.5726253233986</v>
      </c>
      <c r="AJ172" s="125">
        <f>AJ60/293.07*(1/(VLOOKUP($AF172,'Fuel economy adjusted factor'!$A$2:$L$52,5,FALSE)*m2k))/'TCO Inputs'!$AZ$84</f>
        <v>343.5726253233986</v>
      </c>
      <c r="AK172" s="125">
        <f>AK60/293.07*(1/(VLOOKUP($AF172,'Fuel economy adjusted factor'!$A$2:$L$52,5,FALSE)*m2k))/'TCO Inputs'!$AZ$84</f>
        <v>343.5726253233986</v>
      </c>
      <c r="AL172" s="125">
        <f>AL60/293.07*(1/(VLOOKUP($AF172,'Fuel economy adjusted factor'!$A$2:$L$52,5,FALSE)*m2k))/'TCO Inputs'!$AZ$84</f>
        <v>343.5726253233986</v>
      </c>
      <c r="AM172" s="125">
        <f>AM60/293.07*(1/(VLOOKUP($AF172,'Fuel economy adjusted factor'!$A$2:$L$52,5,FALSE)*m2k))/'TCO Inputs'!$AZ$84</f>
        <v>343.5726253233986</v>
      </c>
      <c r="AN172" s="125">
        <f>AN60/293.07*(1/(VLOOKUP($AF172,'Fuel economy adjusted factor'!$A$2:$L$52,5,FALSE)*m2k))/'TCO Inputs'!$AZ$84</f>
        <v>343.5726253233986</v>
      </c>
      <c r="AO172" s="125">
        <f>AO60/293.07*(1/(VLOOKUP($AF172,'Fuel economy adjusted factor'!$A$2:$L$52,5,FALSE)*m2k))/'TCO Inputs'!$AZ$84</f>
        <v>343.5726253233986</v>
      </c>
      <c r="AP172" s="125">
        <f>AP60/293.07*(1/(VLOOKUP($AF172,'Fuel economy adjusted factor'!$A$2:$L$52,5,FALSE)*m2k))/'TCO Inputs'!$AZ$84</f>
        <v>343.5726253233986</v>
      </c>
      <c r="AQ172" s="125">
        <f>AQ60/293.07*(1/(VLOOKUP($AF172,'Fuel economy adjusted factor'!$A$2:$L$52,5,FALSE)*m2k))/'TCO Inputs'!$AZ$84</f>
        <v>343.5726253233986</v>
      </c>
      <c r="AR172" s="125">
        <f>AR60/293.07*(1/(VLOOKUP($AF172,'Fuel economy adjusted factor'!$A$2:$L$52,5,FALSE)*m2k))/'TCO Inputs'!$AZ$84</f>
        <v>343.5726253233986</v>
      </c>
      <c r="AS172" s="125">
        <f>AS60/293.07*(1/(VLOOKUP($AF172,'Fuel economy adjusted factor'!$A$2:$L$52,5,FALSE)*m2k))/'TCO Inputs'!$AZ$84</f>
        <v>343.5726253233986</v>
      </c>
      <c r="AT172" s="125">
        <f>AT60/293.07*(1/(VLOOKUP($AF172,'Fuel economy adjusted factor'!$A$2:$L$52,5,FALSE)*m2k))/'TCO Inputs'!$AZ$84</f>
        <v>343.5726253233986</v>
      </c>
      <c r="AU172" s="125">
        <f>AU60/293.07*(1/(VLOOKUP($AF172,'Fuel economy adjusted factor'!$A$2:$L$52,5,FALSE)*m2k))/'TCO Inputs'!$AZ$84</f>
        <v>343.5726253233986</v>
      </c>
      <c r="AV172" s="125">
        <f>AV60/293.07*(1/(VLOOKUP($AF172,'Fuel economy adjusted factor'!$A$2:$L$52,5,FALSE)*m2k))/'TCO Inputs'!$AZ$84</f>
        <v>343.5726253233986</v>
      </c>
      <c r="AW172" s="125">
        <f>AW60/293.07*(1/(VLOOKUP($AF172,'Fuel economy adjusted factor'!$A$2:$L$52,5,FALSE)*m2k))/'TCO Inputs'!$AZ$84</f>
        <v>343.5726253233986</v>
      </c>
      <c r="AX172" s="125">
        <f>AX60/293.07*(1/(VLOOKUP($AF172,'Fuel economy adjusted factor'!$A$2:$L$52,5,FALSE)*m2k))/'TCO Inputs'!$AZ$84</f>
        <v>343.5726253233986</v>
      </c>
      <c r="AY172" s="125">
        <f>AY60/293.07*(1/(VLOOKUP($AF172,'Fuel economy adjusted factor'!$A$2:$L$52,5,FALSE)*m2k))/'TCO Inputs'!$AZ$84</f>
        <v>343.5726253233986</v>
      </c>
      <c r="AZ172" s="125">
        <f>AZ60/293.07*(1/(VLOOKUP($AF172,'Fuel economy adjusted factor'!$A$2:$L$52,5,FALSE)*m2k))/'TCO Inputs'!$AZ$84</f>
        <v>343.5726253233986</v>
      </c>
      <c r="BA172" s="125">
        <f>BA60/293.07*(1/(VLOOKUP($AF172,'Fuel economy adjusted factor'!$A$2:$L$52,5,FALSE)*m2k))/'TCO Inputs'!$AZ$84</f>
        <v>343.5726253233986</v>
      </c>
      <c r="BB172" s="125">
        <f>BB60/293.07*(1/(VLOOKUP($AF172,'Fuel economy adjusted factor'!$A$2:$L$52,5,FALSE)*m2k))/'TCO Inputs'!$AZ$84</f>
        <v>343.5726253233986</v>
      </c>
      <c r="BC172" s="125">
        <f>BC60/293.07*(1/(VLOOKUP($AF172,'Fuel economy adjusted factor'!$A$2:$L$52,5,FALSE)*m2k))/'TCO Inputs'!$AZ$84</f>
        <v>343.5726253233986</v>
      </c>
      <c r="BD172" s="125">
        <f>BD60/293.07*(1/(VLOOKUP($AF172,'Fuel economy adjusted factor'!$A$2:$L$52,5,FALSE)*m2k))/'TCO Inputs'!$AZ$84</f>
        <v>343.5726253233986</v>
      </c>
      <c r="BE172" s="125">
        <f>BE60/293.07*(1/(VLOOKUP($AF172,'Fuel economy adjusted factor'!$A$2:$L$52,5,FALSE)*m2k))/'TCO Inputs'!$AZ$84</f>
        <v>343.5726253233986</v>
      </c>
      <c r="BF172" s="125">
        <f>BF60/293.07*(1/(VLOOKUP($AF172,'Fuel economy adjusted factor'!$A$2:$L$52,5,FALSE)*m2k))/'TCO Inputs'!$AZ$84</f>
        <v>343.5726253233986</v>
      </c>
      <c r="BG172" s="125">
        <f>BG60/293.07*(1/(VLOOKUP($AF172,'Fuel economy adjusted factor'!$A$2:$L$52,5,FALSE)*m2k))/'TCO Inputs'!$AZ$84</f>
        <v>343.5726253233986</v>
      </c>
      <c r="BH172" s="125">
        <f>BH60/293.07*(1/(VLOOKUP($AF172,'Fuel economy adjusted factor'!$A$2:$L$52,5,FALSE)*m2k))/'TCO Inputs'!$AZ$84</f>
        <v>343.5726253233986</v>
      </c>
      <c r="BI172" s="98" cm="1">
        <f t="array" ref="BI172">SUMPRODUCT(INDEX(AG172:BH172,,'TCO Inputs'!$AZ$12-2023+_xlfn.SEQUENCE('TCO Inputs'!$AZ$13))*INDEX('VKT US'!C64:AA64,,_xlfn.SEQUENCE('TCO Inputs'!$AZ$13)))*m2k*CONVERT(0.9072,"g","ton")</f>
        <v>80.701238190187539</v>
      </c>
    </row>
    <row r="173" spans="1:93" x14ac:dyDescent="0.25">
      <c r="A173" s="123" t="s">
        <v>189</v>
      </c>
      <c r="B173" s="125">
        <f>B61/293.07*(1/(VLOOKUP($A173,'Fuel economy adjusted factor'!$A$2:$L$52,5,FALSE)*m2k))/'TCO Inputs'!$AZ$84</f>
        <v>122.59987867860312</v>
      </c>
      <c r="C173" s="125">
        <f>C61/293.07*(1/(VLOOKUP($A173,'Fuel economy adjusted factor'!$A$2:$L$52,5,FALSE)*m2k))/'TCO Inputs'!$AZ$84</f>
        <v>122.59987867860312</v>
      </c>
      <c r="D173" s="125">
        <f>D61/293.07*(1/(VLOOKUP($A173,'Fuel economy adjusted factor'!$A$2:$L$52,5,FALSE)*m2k))/'TCO Inputs'!$AZ$84</f>
        <v>122.59987867860312</v>
      </c>
      <c r="E173" s="125">
        <f>E61/293.07*(1/(VLOOKUP($A173,'Fuel economy adjusted factor'!$A$2:$L$52,5,FALSE)*m2k))/'TCO Inputs'!$AZ$84</f>
        <v>122.59987867860312</v>
      </c>
      <c r="F173" s="125">
        <f>F61/293.07*(1/(VLOOKUP($A173,'Fuel economy adjusted factor'!$A$2:$L$52,5,FALSE)*m2k))/'TCO Inputs'!$AZ$84</f>
        <v>122.59987867860312</v>
      </c>
      <c r="G173" s="125">
        <f>G61/293.07*(1/(VLOOKUP($A173,'Fuel economy adjusted factor'!$A$2:$L$52,5,FALSE)*m2k))/'TCO Inputs'!$AZ$84</f>
        <v>122.59987867860312</v>
      </c>
      <c r="H173" s="125">
        <f>H61/293.07*(1/(VLOOKUP($A173,'Fuel economy adjusted factor'!$A$2:$L$52,5,FALSE)*m2k))/'TCO Inputs'!$AZ$84</f>
        <v>122.59987867860312</v>
      </c>
      <c r="I173" s="125">
        <f>I61/293.07*(1/(VLOOKUP($A173,'Fuel economy adjusted factor'!$A$2:$L$52,5,FALSE)*m2k))/'TCO Inputs'!$AZ$84</f>
        <v>122.59987867860312</v>
      </c>
      <c r="J173" s="125">
        <f>J61/293.07*(1/(VLOOKUP($A173,'Fuel economy adjusted factor'!$A$2:$L$52,5,FALSE)*m2k))/'TCO Inputs'!$AZ$84</f>
        <v>122.59987867860312</v>
      </c>
      <c r="K173" s="125">
        <f>K61/293.07*(1/(VLOOKUP($A173,'Fuel economy adjusted factor'!$A$2:$L$52,5,FALSE)*m2k))/'TCO Inputs'!$AZ$84</f>
        <v>122.59987867860312</v>
      </c>
      <c r="L173" s="125">
        <f>L61/293.07*(1/(VLOOKUP($A173,'Fuel economy adjusted factor'!$A$2:$L$52,5,FALSE)*m2k))/'TCO Inputs'!$AZ$84</f>
        <v>122.59987867860312</v>
      </c>
      <c r="M173" s="125">
        <f>M61/293.07*(1/(VLOOKUP($A173,'Fuel economy adjusted factor'!$A$2:$L$52,5,FALSE)*m2k))/'TCO Inputs'!$AZ$84</f>
        <v>122.59987867860312</v>
      </c>
      <c r="N173" s="125">
        <f>N61/293.07*(1/(VLOOKUP($A173,'Fuel economy adjusted factor'!$A$2:$L$52,5,FALSE)*m2k))/'TCO Inputs'!$AZ$84</f>
        <v>122.59987867860312</v>
      </c>
      <c r="O173" s="125">
        <f>O61/293.07*(1/(VLOOKUP($A173,'Fuel economy adjusted factor'!$A$2:$L$52,5,FALSE)*m2k))/'TCO Inputs'!$AZ$84</f>
        <v>122.59987867860312</v>
      </c>
      <c r="P173" s="125">
        <f>P61/293.07*(1/(VLOOKUP($A173,'Fuel economy adjusted factor'!$A$2:$L$52,5,FALSE)*m2k))/'TCO Inputs'!$AZ$84</f>
        <v>122.59987867860312</v>
      </c>
      <c r="Q173" s="125">
        <f>Q61/293.07*(1/(VLOOKUP($A173,'Fuel economy adjusted factor'!$A$2:$L$52,5,FALSE)*m2k))/'TCO Inputs'!$AZ$84</f>
        <v>122.59987867860312</v>
      </c>
      <c r="R173" s="125">
        <f>R61/293.07*(1/(VLOOKUP($A173,'Fuel economy adjusted factor'!$A$2:$L$52,5,FALSE)*m2k))/'TCO Inputs'!$AZ$84</f>
        <v>122.59987867860312</v>
      </c>
      <c r="S173" s="125">
        <f>S61/293.07*(1/(VLOOKUP($A173,'Fuel economy adjusted factor'!$A$2:$L$52,5,FALSE)*m2k))/'TCO Inputs'!$AZ$84</f>
        <v>122.59987867860312</v>
      </c>
      <c r="T173" s="125">
        <f>T61/293.07*(1/(VLOOKUP($A173,'Fuel economy adjusted factor'!$A$2:$L$52,5,FALSE)*m2k))/'TCO Inputs'!$AZ$84</f>
        <v>122.59987867860312</v>
      </c>
      <c r="U173" s="125">
        <f>U61/293.07*(1/(VLOOKUP($A173,'Fuel economy adjusted factor'!$A$2:$L$52,5,FALSE)*m2k))/'TCO Inputs'!$AZ$84</f>
        <v>122.59987867860312</v>
      </c>
      <c r="V173" s="125">
        <f>V61/293.07*(1/(VLOOKUP($A173,'Fuel economy adjusted factor'!$A$2:$L$52,5,FALSE)*m2k))/'TCO Inputs'!$AZ$84</f>
        <v>122.59987867860312</v>
      </c>
      <c r="W173" s="125">
        <f>W61/293.07*(1/(VLOOKUP($A173,'Fuel economy adjusted factor'!$A$2:$L$52,5,FALSE)*m2k))/'TCO Inputs'!$AZ$84</f>
        <v>122.59987867860312</v>
      </c>
      <c r="X173" s="125">
        <f>X61/293.07*(1/(VLOOKUP($A173,'Fuel economy adjusted factor'!$A$2:$L$52,5,FALSE)*m2k))/'TCO Inputs'!$AZ$84</f>
        <v>122.59987867860312</v>
      </c>
      <c r="Y173" s="125">
        <f>Y61/293.07*(1/(VLOOKUP($A173,'Fuel economy adjusted factor'!$A$2:$L$52,5,FALSE)*m2k))/'TCO Inputs'!$AZ$84</f>
        <v>122.59987867860312</v>
      </c>
      <c r="Z173" s="125">
        <f>Z61/293.07*(1/(VLOOKUP($A173,'Fuel economy adjusted factor'!$A$2:$L$52,5,FALSE)*m2k))/'TCO Inputs'!$AZ$84</f>
        <v>122.59987867860312</v>
      </c>
      <c r="AA173" s="125">
        <f>AA61/293.07*(1/(VLOOKUP($A173,'Fuel economy adjusted factor'!$A$2:$L$52,5,FALSE)*m2k))/'TCO Inputs'!$AZ$84</f>
        <v>122.59987867860312</v>
      </c>
      <c r="AB173" s="125">
        <f>AB61/293.07*(1/(VLOOKUP($A173,'Fuel economy adjusted factor'!$A$2:$L$52,5,FALSE)*m2k))/'TCO Inputs'!$AZ$84</f>
        <v>122.59987867860312</v>
      </c>
      <c r="AC173" s="125">
        <f>AC61/293.07*(1/(VLOOKUP($A173,'Fuel economy adjusted factor'!$A$2:$L$52,5,FALSE)*m2k))/'TCO Inputs'!$AZ$84</f>
        <v>122.59987867860312</v>
      </c>
      <c r="AD173" s="98" cm="1">
        <f t="array" ref="AD173">SUMPRODUCT(INDEX(B173:AC173,,'TCO Inputs'!$AZ$12-2023+_xlfn.SEQUENCE('TCO Inputs'!$AZ$13))*INDEX('VKT US'!C65:AA65,,_xlfn.SEQUENCE('TCO Inputs'!$AZ$13)))*m2k*CONVERT(0.9072,"g","ton")</f>
        <v>33.926431701327317</v>
      </c>
      <c r="AF173" s="123" t="s">
        <v>189</v>
      </c>
      <c r="AG173" s="125">
        <f>AG61/293.07*(1/(VLOOKUP($AF173,'Fuel economy adjusted factor'!$A$2:$L$52,5,FALSE)*m2k))/'TCO Inputs'!$AZ$84</f>
        <v>142.02465377779828</v>
      </c>
      <c r="AH173" s="125">
        <f>AH61/293.07*(1/(VLOOKUP($AF173,'Fuel economy adjusted factor'!$A$2:$L$52,5,FALSE)*m2k))/'TCO Inputs'!$AZ$84</f>
        <v>142.02465377779828</v>
      </c>
      <c r="AI173" s="125">
        <f>AI61/293.07*(1/(VLOOKUP($AF173,'Fuel economy adjusted factor'!$A$2:$L$52,5,FALSE)*m2k))/'TCO Inputs'!$AZ$84</f>
        <v>142.02465377779828</v>
      </c>
      <c r="AJ173" s="125">
        <f>AJ61/293.07*(1/(VLOOKUP($AF173,'Fuel economy adjusted factor'!$A$2:$L$52,5,FALSE)*m2k))/'TCO Inputs'!$AZ$84</f>
        <v>142.02465377779828</v>
      </c>
      <c r="AK173" s="125">
        <f>AK61/293.07*(1/(VLOOKUP($AF173,'Fuel economy adjusted factor'!$A$2:$L$52,5,FALSE)*m2k))/'TCO Inputs'!$AZ$84</f>
        <v>142.02465377779828</v>
      </c>
      <c r="AL173" s="125">
        <f>AL61/293.07*(1/(VLOOKUP($AF173,'Fuel economy adjusted factor'!$A$2:$L$52,5,FALSE)*m2k))/'TCO Inputs'!$AZ$84</f>
        <v>142.02465377779828</v>
      </c>
      <c r="AM173" s="125">
        <f>AM61/293.07*(1/(VLOOKUP($AF173,'Fuel economy adjusted factor'!$A$2:$L$52,5,FALSE)*m2k))/'TCO Inputs'!$AZ$84</f>
        <v>142.02465377779828</v>
      </c>
      <c r="AN173" s="125">
        <f>AN61/293.07*(1/(VLOOKUP($AF173,'Fuel economy adjusted factor'!$A$2:$L$52,5,FALSE)*m2k))/'TCO Inputs'!$AZ$84</f>
        <v>142.02465377779828</v>
      </c>
      <c r="AO173" s="125">
        <f>AO61/293.07*(1/(VLOOKUP($AF173,'Fuel economy adjusted factor'!$A$2:$L$52,5,FALSE)*m2k))/'TCO Inputs'!$AZ$84</f>
        <v>142.02465377779828</v>
      </c>
      <c r="AP173" s="125">
        <f>AP61/293.07*(1/(VLOOKUP($AF173,'Fuel economy adjusted factor'!$A$2:$L$52,5,FALSE)*m2k))/'TCO Inputs'!$AZ$84</f>
        <v>142.02465377779828</v>
      </c>
      <c r="AQ173" s="125">
        <f>AQ61/293.07*(1/(VLOOKUP($AF173,'Fuel economy adjusted factor'!$A$2:$L$52,5,FALSE)*m2k))/'TCO Inputs'!$AZ$84</f>
        <v>142.02465377779828</v>
      </c>
      <c r="AR173" s="125">
        <f>AR61/293.07*(1/(VLOOKUP($AF173,'Fuel economy adjusted factor'!$A$2:$L$52,5,FALSE)*m2k))/'TCO Inputs'!$AZ$84</f>
        <v>142.02465377779828</v>
      </c>
      <c r="AS173" s="125">
        <f>AS61/293.07*(1/(VLOOKUP($AF173,'Fuel economy adjusted factor'!$A$2:$L$52,5,FALSE)*m2k))/'TCO Inputs'!$AZ$84</f>
        <v>142.02465377779828</v>
      </c>
      <c r="AT173" s="125">
        <f>AT61/293.07*(1/(VLOOKUP($AF173,'Fuel economy adjusted factor'!$A$2:$L$52,5,FALSE)*m2k))/'TCO Inputs'!$AZ$84</f>
        <v>142.02465377779828</v>
      </c>
      <c r="AU173" s="125">
        <f>AU61/293.07*(1/(VLOOKUP($AF173,'Fuel economy adjusted factor'!$A$2:$L$52,5,FALSE)*m2k))/'TCO Inputs'!$AZ$84</f>
        <v>142.02465377779828</v>
      </c>
      <c r="AV173" s="125">
        <f>AV61/293.07*(1/(VLOOKUP($AF173,'Fuel economy adjusted factor'!$A$2:$L$52,5,FALSE)*m2k))/'TCO Inputs'!$AZ$84</f>
        <v>142.02465377779828</v>
      </c>
      <c r="AW173" s="125">
        <f>AW61/293.07*(1/(VLOOKUP($AF173,'Fuel economy adjusted factor'!$A$2:$L$52,5,FALSE)*m2k))/'TCO Inputs'!$AZ$84</f>
        <v>142.02465377779828</v>
      </c>
      <c r="AX173" s="125">
        <f>AX61/293.07*(1/(VLOOKUP($AF173,'Fuel economy adjusted factor'!$A$2:$L$52,5,FALSE)*m2k))/'TCO Inputs'!$AZ$84</f>
        <v>142.02465377779828</v>
      </c>
      <c r="AY173" s="125">
        <f>AY61/293.07*(1/(VLOOKUP($AF173,'Fuel economy adjusted factor'!$A$2:$L$52,5,FALSE)*m2k))/'TCO Inputs'!$AZ$84</f>
        <v>142.02465377779828</v>
      </c>
      <c r="AZ173" s="125">
        <f>AZ61/293.07*(1/(VLOOKUP($AF173,'Fuel economy adjusted factor'!$A$2:$L$52,5,FALSE)*m2k))/'TCO Inputs'!$AZ$84</f>
        <v>142.02465377779828</v>
      </c>
      <c r="BA173" s="125">
        <f>BA61/293.07*(1/(VLOOKUP($AF173,'Fuel economy adjusted factor'!$A$2:$L$52,5,FALSE)*m2k))/'TCO Inputs'!$AZ$84</f>
        <v>142.02465377779828</v>
      </c>
      <c r="BB173" s="125">
        <f>BB61/293.07*(1/(VLOOKUP($AF173,'Fuel economy adjusted factor'!$A$2:$L$52,5,FALSE)*m2k))/'TCO Inputs'!$AZ$84</f>
        <v>142.02465377779828</v>
      </c>
      <c r="BC173" s="125">
        <f>BC61/293.07*(1/(VLOOKUP($AF173,'Fuel economy adjusted factor'!$A$2:$L$52,5,FALSE)*m2k))/'TCO Inputs'!$AZ$84</f>
        <v>142.02465377779828</v>
      </c>
      <c r="BD173" s="125">
        <f>BD61/293.07*(1/(VLOOKUP($AF173,'Fuel economy adjusted factor'!$A$2:$L$52,5,FALSE)*m2k))/'TCO Inputs'!$AZ$84</f>
        <v>142.02465377779828</v>
      </c>
      <c r="BE173" s="125">
        <f>BE61/293.07*(1/(VLOOKUP($AF173,'Fuel economy adjusted factor'!$A$2:$L$52,5,FALSE)*m2k))/'TCO Inputs'!$AZ$84</f>
        <v>142.02465377779828</v>
      </c>
      <c r="BF173" s="125">
        <f>BF61/293.07*(1/(VLOOKUP($AF173,'Fuel economy adjusted factor'!$A$2:$L$52,5,FALSE)*m2k))/'TCO Inputs'!$AZ$84</f>
        <v>142.02465377779828</v>
      </c>
      <c r="BG173" s="125">
        <f>BG61/293.07*(1/(VLOOKUP($AF173,'Fuel economy adjusted factor'!$A$2:$L$52,5,FALSE)*m2k))/'TCO Inputs'!$AZ$84</f>
        <v>142.02465377779828</v>
      </c>
      <c r="BH173" s="125">
        <f>BH61/293.07*(1/(VLOOKUP($AF173,'Fuel economy adjusted factor'!$A$2:$L$52,5,FALSE)*m2k))/'TCO Inputs'!$AZ$84</f>
        <v>142.02465377779828</v>
      </c>
      <c r="BI173" s="98" cm="1">
        <f t="array" ref="BI173">SUMPRODUCT(INDEX(AG173:BH173,,'TCO Inputs'!$AZ$12-2023+_xlfn.SEQUENCE('TCO Inputs'!$AZ$13))*INDEX('VKT US'!C65:AA65,,_xlfn.SEQUENCE('TCO Inputs'!$AZ$13)))*m2k*CONVERT(0.9072,"g","ton")</f>
        <v>39.301749465255106</v>
      </c>
    </row>
    <row r="174" spans="1:93" x14ac:dyDescent="0.25">
      <c r="A174" s="123" t="s">
        <v>188</v>
      </c>
      <c r="B174" s="125">
        <f>B62/293.07*(1/(VLOOKUP($A174,'Fuel economy adjusted factor'!$A$2:$L$52,5,FALSE)*m2k))/'TCO Inputs'!$AZ$84</f>
        <v>169.97898791663641</v>
      </c>
      <c r="C174" s="125">
        <f>C62/293.07*(1/(VLOOKUP($A174,'Fuel economy adjusted factor'!$A$2:$L$52,5,FALSE)*m2k))/'TCO Inputs'!$AZ$84</f>
        <v>169.97898791663641</v>
      </c>
      <c r="D174" s="125">
        <f>D62/293.07*(1/(VLOOKUP($A174,'Fuel economy adjusted factor'!$A$2:$L$52,5,FALSE)*m2k))/'TCO Inputs'!$AZ$84</f>
        <v>169.97898791663641</v>
      </c>
      <c r="E174" s="125">
        <f>E62/293.07*(1/(VLOOKUP($A174,'Fuel economy adjusted factor'!$A$2:$L$52,5,FALSE)*m2k))/'TCO Inputs'!$AZ$84</f>
        <v>169.97898791663641</v>
      </c>
      <c r="F174" s="125">
        <f>F62/293.07*(1/(VLOOKUP($A174,'Fuel economy adjusted factor'!$A$2:$L$52,5,FALSE)*m2k))/'TCO Inputs'!$AZ$84</f>
        <v>169.97898791663641</v>
      </c>
      <c r="G174" s="125">
        <f>G62/293.07*(1/(VLOOKUP($A174,'Fuel economy adjusted factor'!$A$2:$L$52,5,FALSE)*m2k))/'TCO Inputs'!$AZ$84</f>
        <v>169.97898791663641</v>
      </c>
      <c r="H174" s="125">
        <f>H62/293.07*(1/(VLOOKUP($A174,'Fuel economy adjusted factor'!$A$2:$L$52,5,FALSE)*m2k))/'TCO Inputs'!$AZ$84</f>
        <v>169.97898791663641</v>
      </c>
      <c r="I174" s="125">
        <f>I62/293.07*(1/(VLOOKUP($A174,'Fuel economy adjusted factor'!$A$2:$L$52,5,FALSE)*m2k))/'TCO Inputs'!$AZ$84</f>
        <v>169.97898791663641</v>
      </c>
      <c r="J174" s="125">
        <f>J62/293.07*(1/(VLOOKUP($A174,'Fuel economy adjusted factor'!$A$2:$L$52,5,FALSE)*m2k))/'TCO Inputs'!$AZ$84</f>
        <v>169.97898791663641</v>
      </c>
      <c r="K174" s="125">
        <f>K62/293.07*(1/(VLOOKUP($A174,'Fuel economy adjusted factor'!$A$2:$L$52,5,FALSE)*m2k))/'TCO Inputs'!$AZ$84</f>
        <v>169.97898791663641</v>
      </c>
      <c r="L174" s="125">
        <f>L62/293.07*(1/(VLOOKUP($A174,'Fuel economy adjusted factor'!$A$2:$L$52,5,FALSE)*m2k))/'TCO Inputs'!$AZ$84</f>
        <v>169.97898791663641</v>
      </c>
      <c r="M174" s="125">
        <f>M62/293.07*(1/(VLOOKUP($A174,'Fuel economy adjusted factor'!$A$2:$L$52,5,FALSE)*m2k))/'TCO Inputs'!$AZ$84</f>
        <v>169.97898791663641</v>
      </c>
      <c r="N174" s="125">
        <f>N62/293.07*(1/(VLOOKUP($A174,'Fuel economy adjusted factor'!$A$2:$L$52,5,FALSE)*m2k))/'TCO Inputs'!$AZ$84</f>
        <v>169.97898791663641</v>
      </c>
      <c r="O174" s="125">
        <f>O62/293.07*(1/(VLOOKUP($A174,'Fuel economy adjusted factor'!$A$2:$L$52,5,FALSE)*m2k))/'TCO Inputs'!$AZ$84</f>
        <v>169.97898791663641</v>
      </c>
      <c r="P174" s="125">
        <f>P62/293.07*(1/(VLOOKUP($A174,'Fuel economy adjusted factor'!$A$2:$L$52,5,FALSE)*m2k))/'TCO Inputs'!$AZ$84</f>
        <v>169.97898791663641</v>
      </c>
      <c r="Q174" s="125">
        <f>Q62/293.07*(1/(VLOOKUP($A174,'Fuel economy adjusted factor'!$A$2:$L$52,5,FALSE)*m2k))/'TCO Inputs'!$AZ$84</f>
        <v>169.97898791663641</v>
      </c>
      <c r="R174" s="125">
        <f>R62/293.07*(1/(VLOOKUP($A174,'Fuel economy adjusted factor'!$A$2:$L$52,5,FALSE)*m2k))/'TCO Inputs'!$AZ$84</f>
        <v>169.97898791663641</v>
      </c>
      <c r="S174" s="125">
        <f>S62/293.07*(1/(VLOOKUP($A174,'Fuel economy adjusted factor'!$A$2:$L$52,5,FALSE)*m2k))/'TCO Inputs'!$AZ$84</f>
        <v>169.97898791663641</v>
      </c>
      <c r="T174" s="125">
        <f>T62/293.07*(1/(VLOOKUP($A174,'Fuel economy adjusted factor'!$A$2:$L$52,5,FALSE)*m2k))/'TCO Inputs'!$AZ$84</f>
        <v>169.97898791663641</v>
      </c>
      <c r="U174" s="125">
        <f>U62/293.07*(1/(VLOOKUP($A174,'Fuel economy adjusted factor'!$A$2:$L$52,5,FALSE)*m2k))/'TCO Inputs'!$AZ$84</f>
        <v>169.97898791663641</v>
      </c>
      <c r="V174" s="125">
        <f>V62/293.07*(1/(VLOOKUP($A174,'Fuel economy adjusted factor'!$A$2:$L$52,5,FALSE)*m2k))/'TCO Inputs'!$AZ$84</f>
        <v>169.97898791663641</v>
      </c>
      <c r="W174" s="125">
        <f>W62/293.07*(1/(VLOOKUP($A174,'Fuel economy adjusted factor'!$A$2:$L$52,5,FALSE)*m2k))/'TCO Inputs'!$AZ$84</f>
        <v>169.97898791663641</v>
      </c>
      <c r="X174" s="125">
        <f>X62/293.07*(1/(VLOOKUP($A174,'Fuel economy adjusted factor'!$A$2:$L$52,5,FALSE)*m2k))/'TCO Inputs'!$AZ$84</f>
        <v>169.97898791663641</v>
      </c>
      <c r="Y174" s="125">
        <f>Y62/293.07*(1/(VLOOKUP($A174,'Fuel economy adjusted factor'!$A$2:$L$52,5,FALSE)*m2k))/'TCO Inputs'!$AZ$84</f>
        <v>169.97898791663641</v>
      </c>
      <c r="Z174" s="125">
        <f>Z62/293.07*(1/(VLOOKUP($A174,'Fuel economy adjusted factor'!$A$2:$L$52,5,FALSE)*m2k))/'TCO Inputs'!$AZ$84</f>
        <v>169.97898791663641</v>
      </c>
      <c r="AA174" s="125">
        <f>AA62/293.07*(1/(VLOOKUP($A174,'Fuel economy adjusted factor'!$A$2:$L$52,5,FALSE)*m2k))/'TCO Inputs'!$AZ$84</f>
        <v>169.97898791663641</v>
      </c>
      <c r="AB174" s="125">
        <f>AB62/293.07*(1/(VLOOKUP($A174,'Fuel economy adjusted factor'!$A$2:$L$52,5,FALSE)*m2k))/'TCO Inputs'!$AZ$84</f>
        <v>169.97898791663641</v>
      </c>
      <c r="AC174" s="125">
        <f>AC62/293.07*(1/(VLOOKUP($A174,'Fuel economy adjusted factor'!$A$2:$L$52,5,FALSE)*m2k))/'TCO Inputs'!$AZ$84</f>
        <v>169.97898791663641</v>
      </c>
      <c r="AD174" s="98" cm="1">
        <f t="array" ref="AD174">SUMPRODUCT(INDEX(B174:AC174,,'TCO Inputs'!$AZ$12-2023+_xlfn.SEQUENCE('TCO Inputs'!$AZ$13))*INDEX('VKT US'!C66:AA66,,_xlfn.SEQUENCE('TCO Inputs'!$AZ$13)))*m2k*CONVERT(0.9072,"g","ton")</f>
        <v>61.892461176861801</v>
      </c>
      <c r="AF174" s="123" t="s">
        <v>188</v>
      </c>
      <c r="AG174" s="125">
        <f>AG62/293.07*(1/(VLOOKUP($AF174,'Fuel economy adjusted factor'!$A$2:$L$52,5,FALSE)*m2k))/'TCO Inputs'!$AZ$84</f>
        <v>196.91052853035256</v>
      </c>
      <c r="AH174" s="125">
        <f>AH62/293.07*(1/(VLOOKUP($AF174,'Fuel economy adjusted factor'!$A$2:$L$52,5,FALSE)*m2k))/'TCO Inputs'!$AZ$84</f>
        <v>196.91052853035256</v>
      </c>
      <c r="AI174" s="125">
        <f>AI62/293.07*(1/(VLOOKUP($AF174,'Fuel economy adjusted factor'!$A$2:$L$52,5,FALSE)*m2k))/'TCO Inputs'!$AZ$84</f>
        <v>196.91052853035256</v>
      </c>
      <c r="AJ174" s="125">
        <f>AJ62/293.07*(1/(VLOOKUP($AF174,'Fuel economy adjusted factor'!$A$2:$L$52,5,FALSE)*m2k))/'TCO Inputs'!$AZ$84</f>
        <v>196.91052853035256</v>
      </c>
      <c r="AK174" s="125">
        <f>AK62/293.07*(1/(VLOOKUP($AF174,'Fuel economy adjusted factor'!$A$2:$L$52,5,FALSE)*m2k))/'TCO Inputs'!$AZ$84</f>
        <v>196.91052853035256</v>
      </c>
      <c r="AL174" s="125">
        <f>AL62/293.07*(1/(VLOOKUP($AF174,'Fuel economy adjusted factor'!$A$2:$L$52,5,FALSE)*m2k))/'TCO Inputs'!$AZ$84</f>
        <v>196.91052853035256</v>
      </c>
      <c r="AM174" s="125">
        <f>AM62/293.07*(1/(VLOOKUP($AF174,'Fuel economy adjusted factor'!$A$2:$L$52,5,FALSE)*m2k))/'TCO Inputs'!$AZ$84</f>
        <v>196.91052853035256</v>
      </c>
      <c r="AN174" s="125">
        <f>AN62/293.07*(1/(VLOOKUP($AF174,'Fuel economy adjusted factor'!$A$2:$L$52,5,FALSE)*m2k))/'TCO Inputs'!$AZ$84</f>
        <v>196.91052853035256</v>
      </c>
      <c r="AO174" s="125">
        <f>AO62/293.07*(1/(VLOOKUP($AF174,'Fuel economy adjusted factor'!$A$2:$L$52,5,FALSE)*m2k))/'TCO Inputs'!$AZ$84</f>
        <v>196.91052853035256</v>
      </c>
      <c r="AP174" s="125">
        <f>AP62/293.07*(1/(VLOOKUP($AF174,'Fuel economy adjusted factor'!$A$2:$L$52,5,FALSE)*m2k))/'TCO Inputs'!$AZ$84</f>
        <v>196.91052853035256</v>
      </c>
      <c r="AQ174" s="125">
        <f>AQ62/293.07*(1/(VLOOKUP($AF174,'Fuel economy adjusted factor'!$A$2:$L$52,5,FALSE)*m2k))/'TCO Inputs'!$AZ$84</f>
        <v>196.91052853035256</v>
      </c>
      <c r="AR174" s="125">
        <f>AR62/293.07*(1/(VLOOKUP($AF174,'Fuel economy adjusted factor'!$A$2:$L$52,5,FALSE)*m2k))/'TCO Inputs'!$AZ$84</f>
        <v>196.91052853035256</v>
      </c>
      <c r="AS174" s="125">
        <f>AS62/293.07*(1/(VLOOKUP($AF174,'Fuel economy adjusted factor'!$A$2:$L$52,5,FALSE)*m2k))/'TCO Inputs'!$AZ$84</f>
        <v>196.91052853035256</v>
      </c>
      <c r="AT174" s="125">
        <f>AT62/293.07*(1/(VLOOKUP($AF174,'Fuel economy adjusted factor'!$A$2:$L$52,5,FALSE)*m2k))/'TCO Inputs'!$AZ$84</f>
        <v>196.91052853035256</v>
      </c>
      <c r="AU174" s="125">
        <f>AU62/293.07*(1/(VLOOKUP($AF174,'Fuel economy adjusted factor'!$A$2:$L$52,5,FALSE)*m2k))/'TCO Inputs'!$AZ$84</f>
        <v>196.91052853035256</v>
      </c>
      <c r="AV174" s="125">
        <f>AV62/293.07*(1/(VLOOKUP($AF174,'Fuel economy adjusted factor'!$A$2:$L$52,5,FALSE)*m2k))/'TCO Inputs'!$AZ$84</f>
        <v>196.91052853035256</v>
      </c>
      <c r="AW174" s="125">
        <f>AW62/293.07*(1/(VLOOKUP($AF174,'Fuel economy adjusted factor'!$A$2:$L$52,5,FALSE)*m2k))/'TCO Inputs'!$AZ$84</f>
        <v>196.91052853035256</v>
      </c>
      <c r="AX174" s="125">
        <f>AX62/293.07*(1/(VLOOKUP($AF174,'Fuel economy adjusted factor'!$A$2:$L$52,5,FALSE)*m2k))/'TCO Inputs'!$AZ$84</f>
        <v>196.91052853035256</v>
      </c>
      <c r="AY174" s="125">
        <f>AY62/293.07*(1/(VLOOKUP($AF174,'Fuel economy adjusted factor'!$A$2:$L$52,5,FALSE)*m2k))/'TCO Inputs'!$AZ$84</f>
        <v>196.91052853035256</v>
      </c>
      <c r="AZ174" s="125">
        <f>AZ62/293.07*(1/(VLOOKUP($AF174,'Fuel economy adjusted factor'!$A$2:$L$52,5,FALSE)*m2k))/'TCO Inputs'!$AZ$84</f>
        <v>196.91052853035256</v>
      </c>
      <c r="BA174" s="125">
        <f>BA62/293.07*(1/(VLOOKUP($AF174,'Fuel economy adjusted factor'!$A$2:$L$52,5,FALSE)*m2k))/'TCO Inputs'!$AZ$84</f>
        <v>196.91052853035256</v>
      </c>
      <c r="BB174" s="125">
        <f>BB62/293.07*(1/(VLOOKUP($AF174,'Fuel economy adjusted factor'!$A$2:$L$52,5,FALSE)*m2k))/'TCO Inputs'!$AZ$84</f>
        <v>196.91052853035256</v>
      </c>
      <c r="BC174" s="125">
        <f>BC62/293.07*(1/(VLOOKUP($AF174,'Fuel economy adjusted factor'!$A$2:$L$52,5,FALSE)*m2k))/'TCO Inputs'!$AZ$84</f>
        <v>196.91052853035256</v>
      </c>
      <c r="BD174" s="125">
        <f>BD62/293.07*(1/(VLOOKUP($AF174,'Fuel economy adjusted factor'!$A$2:$L$52,5,FALSE)*m2k))/'TCO Inputs'!$AZ$84</f>
        <v>196.91052853035256</v>
      </c>
      <c r="BE174" s="125">
        <f>BE62/293.07*(1/(VLOOKUP($AF174,'Fuel economy adjusted factor'!$A$2:$L$52,5,FALSE)*m2k))/'TCO Inputs'!$AZ$84</f>
        <v>196.91052853035256</v>
      </c>
      <c r="BF174" s="125">
        <f>BF62/293.07*(1/(VLOOKUP($AF174,'Fuel economy adjusted factor'!$A$2:$L$52,5,FALSE)*m2k))/'TCO Inputs'!$AZ$84</f>
        <v>196.91052853035256</v>
      </c>
      <c r="BG174" s="125">
        <f>BG62/293.07*(1/(VLOOKUP($AF174,'Fuel economy adjusted factor'!$A$2:$L$52,5,FALSE)*m2k))/'TCO Inputs'!$AZ$84</f>
        <v>196.91052853035256</v>
      </c>
      <c r="BH174" s="125">
        <f>BH62/293.07*(1/(VLOOKUP($AF174,'Fuel economy adjusted factor'!$A$2:$L$52,5,FALSE)*m2k))/'TCO Inputs'!$AZ$84</f>
        <v>196.91052853035256</v>
      </c>
      <c r="BI174" s="98" cm="1">
        <f t="array" ref="BI174">SUMPRODUCT(INDEX(AG174:BH174,,'TCO Inputs'!$AZ$12-2023+_xlfn.SEQUENCE('TCO Inputs'!$AZ$13))*INDEX('VKT US'!C66:AA66,,_xlfn.SEQUENCE('TCO Inputs'!$AZ$13)))*m2k*CONVERT(0.9072,"g","ton")</f>
        <v>71.698728129604163</v>
      </c>
    </row>
    <row r="175" spans="1:93" x14ac:dyDescent="0.25">
      <c r="A175" s="123" t="s">
        <v>149</v>
      </c>
      <c r="B175" s="125">
        <f>B63/293.07*(1/(VLOOKUP($A175,'Fuel economy adjusted factor'!$A$2:$L$52,5,FALSE)*m2k))/'TCO Inputs'!$AZ$84</f>
        <v>73.355551258531705</v>
      </c>
      <c r="C175" s="125">
        <f>C63/293.07*(1/(VLOOKUP($A175,'Fuel economy adjusted factor'!$A$2:$L$52,5,FALSE)*m2k))/'TCO Inputs'!$AZ$84</f>
        <v>73.355551258531705</v>
      </c>
      <c r="D175" s="125">
        <f>D63/293.07*(1/(VLOOKUP($A175,'Fuel economy adjusted factor'!$A$2:$L$52,5,FALSE)*m2k))/'TCO Inputs'!$AZ$84</f>
        <v>73.355551258531705</v>
      </c>
      <c r="E175" s="125">
        <f>E63/293.07*(1/(VLOOKUP($A175,'Fuel economy adjusted factor'!$A$2:$L$52,5,FALSE)*m2k))/'TCO Inputs'!$AZ$84</f>
        <v>73.355551258531705</v>
      </c>
      <c r="F175" s="125">
        <f>F63/293.07*(1/(VLOOKUP($A175,'Fuel economy adjusted factor'!$A$2:$L$52,5,FALSE)*m2k))/'TCO Inputs'!$AZ$84</f>
        <v>73.355551258531705</v>
      </c>
      <c r="G175" s="125">
        <f>G63/293.07*(1/(VLOOKUP($A175,'Fuel economy adjusted factor'!$A$2:$L$52,5,FALSE)*m2k))/'TCO Inputs'!$AZ$84</f>
        <v>73.355551258531705</v>
      </c>
      <c r="H175" s="125">
        <f>H63/293.07*(1/(VLOOKUP($A175,'Fuel economy adjusted factor'!$A$2:$L$52,5,FALSE)*m2k))/'TCO Inputs'!$AZ$84</f>
        <v>73.355551258531705</v>
      </c>
      <c r="I175" s="125">
        <f>I63/293.07*(1/(VLOOKUP($A175,'Fuel economy adjusted factor'!$A$2:$L$52,5,FALSE)*m2k))/'TCO Inputs'!$AZ$84</f>
        <v>73.355551258531705</v>
      </c>
      <c r="J175" s="125">
        <f>J63/293.07*(1/(VLOOKUP($A175,'Fuel economy adjusted factor'!$A$2:$L$52,5,FALSE)*m2k))/'TCO Inputs'!$AZ$84</f>
        <v>73.355551258531705</v>
      </c>
      <c r="K175" s="125">
        <f>K63/293.07*(1/(VLOOKUP($A175,'Fuel economy adjusted factor'!$A$2:$L$52,5,FALSE)*m2k))/'TCO Inputs'!$AZ$84</f>
        <v>73.355551258531705</v>
      </c>
      <c r="L175" s="125">
        <f>L63/293.07*(1/(VLOOKUP($A175,'Fuel economy adjusted factor'!$A$2:$L$52,5,FALSE)*m2k))/'TCO Inputs'!$AZ$84</f>
        <v>73.355551258531705</v>
      </c>
      <c r="M175" s="125">
        <f>M63/293.07*(1/(VLOOKUP($A175,'Fuel economy adjusted factor'!$A$2:$L$52,5,FALSE)*m2k))/'TCO Inputs'!$AZ$84</f>
        <v>73.355551258531705</v>
      </c>
      <c r="N175" s="125">
        <f>N63/293.07*(1/(VLOOKUP($A175,'Fuel economy adjusted factor'!$A$2:$L$52,5,FALSE)*m2k))/'TCO Inputs'!$AZ$84</f>
        <v>73.355551258531705</v>
      </c>
      <c r="O175" s="125">
        <f>O63/293.07*(1/(VLOOKUP($A175,'Fuel economy adjusted factor'!$A$2:$L$52,5,FALSE)*m2k))/'TCO Inputs'!$AZ$84</f>
        <v>73.355551258531705</v>
      </c>
      <c r="P175" s="125">
        <f>P63/293.07*(1/(VLOOKUP($A175,'Fuel economy adjusted factor'!$A$2:$L$52,5,FALSE)*m2k))/'TCO Inputs'!$AZ$84</f>
        <v>73.355551258531705</v>
      </c>
      <c r="Q175" s="125">
        <f>Q63/293.07*(1/(VLOOKUP($A175,'Fuel economy adjusted factor'!$A$2:$L$52,5,FALSE)*m2k))/'TCO Inputs'!$AZ$84</f>
        <v>73.355551258531705</v>
      </c>
      <c r="R175" s="125">
        <f>R63/293.07*(1/(VLOOKUP($A175,'Fuel economy adjusted factor'!$A$2:$L$52,5,FALSE)*m2k))/'TCO Inputs'!$AZ$84</f>
        <v>73.355551258531705</v>
      </c>
      <c r="S175" s="125">
        <f>S63/293.07*(1/(VLOOKUP($A175,'Fuel economy adjusted factor'!$A$2:$L$52,5,FALSE)*m2k))/'TCO Inputs'!$AZ$84</f>
        <v>73.355551258531705</v>
      </c>
      <c r="T175" s="125">
        <f>T63/293.07*(1/(VLOOKUP($A175,'Fuel economy adjusted factor'!$A$2:$L$52,5,FALSE)*m2k))/'TCO Inputs'!$AZ$84</f>
        <v>73.355551258531705</v>
      </c>
      <c r="U175" s="125">
        <f>U63/293.07*(1/(VLOOKUP($A175,'Fuel economy adjusted factor'!$A$2:$L$52,5,FALSE)*m2k))/'TCO Inputs'!$AZ$84</f>
        <v>73.355551258531705</v>
      </c>
      <c r="V175" s="125">
        <f>V63/293.07*(1/(VLOOKUP($A175,'Fuel economy adjusted factor'!$A$2:$L$52,5,FALSE)*m2k))/'TCO Inputs'!$AZ$84</f>
        <v>73.355551258531705</v>
      </c>
      <c r="W175" s="125">
        <f>W63/293.07*(1/(VLOOKUP($A175,'Fuel economy adjusted factor'!$A$2:$L$52,5,FALSE)*m2k))/'TCO Inputs'!$AZ$84</f>
        <v>73.355551258531705</v>
      </c>
      <c r="X175" s="125">
        <f>X63/293.07*(1/(VLOOKUP($A175,'Fuel economy adjusted factor'!$A$2:$L$52,5,FALSE)*m2k))/'TCO Inputs'!$AZ$84</f>
        <v>73.355551258531705</v>
      </c>
      <c r="Y175" s="125">
        <f>Y63/293.07*(1/(VLOOKUP($A175,'Fuel economy adjusted factor'!$A$2:$L$52,5,FALSE)*m2k))/'TCO Inputs'!$AZ$84</f>
        <v>73.355551258531705</v>
      </c>
      <c r="Z175" s="125">
        <f>Z63/293.07*(1/(VLOOKUP($A175,'Fuel economy adjusted factor'!$A$2:$L$52,5,FALSE)*m2k))/'TCO Inputs'!$AZ$84</f>
        <v>73.355551258531705</v>
      </c>
      <c r="AA175" s="125">
        <f>AA63/293.07*(1/(VLOOKUP($A175,'Fuel economy adjusted factor'!$A$2:$L$52,5,FALSE)*m2k))/'TCO Inputs'!$AZ$84</f>
        <v>73.355551258531705</v>
      </c>
      <c r="AB175" s="125">
        <f>AB63/293.07*(1/(VLOOKUP($A175,'Fuel economy adjusted factor'!$A$2:$L$52,5,FALSE)*m2k))/'TCO Inputs'!$AZ$84</f>
        <v>73.355551258531705</v>
      </c>
      <c r="AC175" s="125">
        <f>AC63/293.07*(1/(VLOOKUP($A175,'Fuel economy adjusted factor'!$A$2:$L$52,5,FALSE)*m2k))/'TCO Inputs'!$AZ$84</f>
        <v>73.355551258531705</v>
      </c>
      <c r="AD175" s="98" cm="1">
        <f t="array" ref="AD175">SUMPRODUCT(INDEX(B175:AC175,,'TCO Inputs'!$AZ$12-2023+_xlfn.SEQUENCE('TCO Inputs'!$AZ$13))*INDEX('VKT US'!C67:AA67,,_xlfn.SEQUENCE('TCO Inputs'!$AZ$13)))*m2k*CONVERT(0.9072,"g","ton")</f>
        <v>19.421579241104201</v>
      </c>
      <c r="AF175" s="123" t="s">
        <v>149</v>
      </c>
      <c r="AG175" s="125">
        <f>AG63/293.07*(1/(VLOOKUP($AF175,'Fuel economy adjusted factor'!$A$2:$L$52,5,FALSE)*m2k))/'TCO Inputs'!$AZ$84</f>
        <v>84.978034908861332</v>
      </c>
      <c r="AH175" s="125">
        <f>AH63/293.07*(1/(VLOOKUP($AF175,'Fuel economy adjusted factor'!$A$2:$L$52,5,FALSE)*m2k))/'TCO Inputs'!$AZ$84</f>
        <v>84.978034908861332</v>
      </c>
      <c r="AI175" s="125">
        <f>AI63/293.07*(1/(VLOOKUP($AF175,'Fuel economy adjusted factor'!$A$2:$L$52,5,FALSE)*m2k))/'TCO Inputs'!$AZ$84</f>
        <v>84.978034908861332</v>
      </c>
      <c r="AJ175" s="125">
        <f>AJ63/293.07*(1/(VLOOKUP($AF175,'Fuel economy adjusted factor'!$A$2:$L$52,5,FALSE)*m2k))/'TCO Inputs'!$AZ$84</f>
        <v>84.978034908861332</v>
      </c>
      <c r="AK175" s="125">
        <f>AK63/293.07*(1/(VLOOKUP($AF175,'Fuel economy adjusted factor'!$A$2:$L$52,5,FALSE)*m2k))/'TCO Inputs'!$AZ$84</f>
        <v>84.978034908861332</v>
      </c>
      <c r="AL175" s="125">
        <f>AL63/293.07*(1/(VLOOKUP($AF175,'Fuel economy adjusted factor'!$A$2:$L$52,5,FALSE)*m2k))/'TCO Inputs'!$AZ$84</f>
        <v>84.978034908861332</v>
      </c>
      <c r="AM175" s="125">
        <f>AM63/293.07*(1/(VLOOKUP($AF175,'Fuel economy adjusted factor'!$A$2:$L$52,5,FALSE)*m2k))/'TCO Inputs'!$AZ$84</f>
        <v>84.978034908861332</v>
      </c>
      <c r="AN175" s="125">
        <f>AN63/293.07*(1/(VLOOKUP($AF175,'Fuel economy adjusted factor'!$A$2:$L$52,5,FALSE)*m2k))/'TCO Inputs'!$AZ$84</f>
        <v>84.978034908861332</v>
      </c>
      <c r="AO175" s="125">
        <f>AO63/293.07*(1/(VLOOKUP($AF175,'Fuel economy adjusted factor'!$A$2:$L$52,5,FALSE)*m2k))/'TCO Inputs'!$AZ$84</f>
        <v>84.978034908861332</v>
      </c>
      <c r="AP175" s="125">
        <f>AP63/293.07*(1/(VLOOKUP($AF175,'Fuel economy adjusted factor'!$A$2:$L$52,5,FALSE)*m2k))/'TCO Inputs'!$AZ$84</f>
        <v>84.978034908861332</v>
      </c>
      <c r="AQ175" s="125">
        <f>AQ63/293.07*(1/(VLOOKUP($AF175,'Fuel economy adjusted factor'!$A$2:$L$52,5,FALSE)*m2k))/'TCO Inputs'!$AZ$84</f>
        <v>84.978034908861332</v>
      </c>
      <c r="AR175" s="125">
        <f>AR63/293.07*(1/(VLOOKUP($AF175,'Fuel economy adjusted factor'!$A$2:$L$52,5,FALSE)*m2k))/'TCO Inputs'!$AZ$84</f>
        <v>84.978034908861332</v>
      </c>
      <c r="AS175" s="125">
        <f>AS63/293.07*(1/(VLOOKUP($AF175,'Fuel economy adjusted factor'!$A$2:$L$52,5,FALSE)*m2k))/'TCO Inputs'!$AZ$84</f>
        <v>84.978034908861332</v>
      </c>
      <c r="AT175" s="125">
        <f>AT63/293.07*(1/(VLOOKUP($AF175,'Fuel economy adjusted factor'!$A$2:$L$52,5,FALSE)*m2k))/'TCO Inputs'!$AZ$84</f>
        <v>84.978034908861332</v>
      </c>
      <c r="AU175" s="125">
        <f>AU63/293.07*(1/(VLOOKUP($AF175,'Fuel economy adjusted factor'!$A$2:$L$52,5,FALSE)*m2k))/'TCO Inputs'!$AZ$84</f>
        <v>84.978034908861332</v>
      </c>
      <c r="AV175" s="125">
        <f>AV63/293.07*(1/(VLOOKUP($AF175,'Fuel economy adjusted factor'!$A$2:$L$52,5,FALSE)*m2k))/'TCO Inputs'!$AZ$84</f>
        <v>84.978034908861332</v>
      </c>
      <c r="AW175" s="125">
        <f>AW63/293.07*(1/(VLOOKUP($AF175,'Fuel economy adjusted factor'!$A$2:$L$52,5,FALSE)*m2k))/'TCO Inputs'!$AZ$84</f>
        <v>84.978034908861332</v>
      </c>
      <c r="AX175" s="125">
        <f>AX63/293.07*(1/(VLOOKUP($AF175,'Fuel economy adjusted factor'!$A$2:$L$52,5,FALSE)*m2k))/'TCO Inputs'!$AZ$84</f>
        <v>84.978034908861332</v>
      </c>
      <c r="AY175" s="125">
        <f>AY63/293.07*(1/(VLOOKUP($AF175,'Fuel economy adjusted factor'!$A$2:$L$52,5,FALSE)*m2k))/'TCO Inputs'!$AZ$84</f>
        <v>84.978034908861332</v>
      </c>
      <c r="AZ175" s="125">
        <f>AZ63/293.07*(1/(VLOOKUP($AF175,'Fuel economy adjusted factor'!$A$2:$L$52,5,FALSE)*m2k))/'TCO Inputs'!$AZ$84</f>
        <v>84.978034908861332</v>
      </c>
      <c r="BA175" s="125">
        <f>BA63/293.07*(1/(VLOOKUP($AF175,'Fuel economy adjusted factor'!$A$2:$L$52,5,FALSE)*m2k))/'TCO Inputs'!$AZ$84</f>
        <v>84.978034908861332</v>
      </c>
      <c r="BB175" s="125">
        <f>BB63/293.07*(1/(VLOOKUP($AF175,'Fuel economy adjusted factor'!$A$2:$L$52,5,FALSE)*m2k))/'TCO Inputs'!$AZ$84</f>
        <v>84.978034908861332</v>
      </c>
      <c r="BC175" s="125">
        <f>BC63/293.07*(1/(VLOOKUP($AF175,'Fuel economy adjusted factor'!$A$2:$L$52,5,FALSE)*m2k))/'TCO Inputs'!$AZ$84</f>
        <v>84.978034908861332</v>
      </c>
      <c r="BD175" s="125">
        <f>BD63/293.07*(1/(VLOOKUP($AF175,'Fuel economy adjusted factor'!$A$2:$L$52,5,FALSE)*m2k))/'TCO Inputs'!$AZ$84</f>
        <v>84.978034908861332</v>
      </c>
      <c r="BE175" s="125">
        <f>BE63/293.07*(1/(VLOOKUP($AF175,'Fuel economy adjusted factor'!$A$2:$L$52,5,FALSE)*m2k))/'TCO Inputs'!$AZ$84</f>
        <v>84.978034908861332</v>
      </c>
      <c r="BF175" s="125">
        <f>BF63/293.07*(1/(VLOOKUP($AF175,'Fuel economy adjusted factor'!$A$2:$L$52,5,FALSE)*m2k))/'TCO Inputs'!$AZ$84</f>
        <v>84.978034908861332</v>
      </c>
      <c r="BG175" s="125">
        <f>BG63/293.07*(1/(VLOOKUP($AF175,'Fuel economy adjusted factor'!$A$2:$L$52,5,FALSE)*m2k))/'TCO Inputs'!$AZ$84</f>
        <v>84.978034908861332</v>
      </c>
      <c r="BH175" s="125">
        <f>BH63/293.07*(1/(VLOOKUP($AF175,'Fuel economy adjusted factor'!$A$2:$L$52,5,FALSE)*m2k))/'TCO Inputs'!$AZ$84</f>
        <v>84.978034908861332</v>
      </c>
      <c r="BI175" s="98" cm="1">
        <f t="array" ref="BI175">SUMPRODUCT(INDEX(AG175:BH175,,'TCO Inputs'!$AZ$12-2023+_xlfn.SEQUENCE('TCO Inputs'!$AZ$13))*INDEX('VKT US'!C67:AA67,,_xlfn.SEQUENCE('TCO Inputs'!$AZ$13)))*m2k*CONVERT(0.9072,"g","ton")</f>
        <v>22.498742227689512</v>
      </c>
    </row>
    <row r="176" spans="1:93" x14ac:dyDescent="0.25">
      <c r="A176" s="123" t="s">
        <v>190</v>
      </c>
      <c r="B176" s="125">
        <f>B64/293.07*(1/(VLOOKUP($A176,'Fuel economy adjusted factor'!$A$2:$L$52,5,FALSE)*m2k))/'TCO Inputs'!$AZ$84</f>
        <v>189.72507897535229</v>
      </c>
      <c r="C176" s="125">
        <f>C64/293.07*(1/(VLOOKUP($A176,'Fuel economy adjusted factor'!$A$2:$L$52,5,FALSE)*m2k))/'TCO Inputs'!$AZ$84</f>
        <v>189.72507897535229</v>
      </c>
      <c r="D176" s="125">
        <f>D64/293.07*(1/(VLOOKUP($A176,'Fuel economy adjusted factor'!$A$2:$L$52,5,FALSE)*m2k))/'TCO Inputs'!$AZ$84</f>
        <v>189.72507897535229</v>
      </c>
      <c r="E176" s="125">
        <f>E64/293.07*(1/(VLOOKUP($A176,'Fuel economy adjusted factor'!$A$2:$L$52,5,FALSE)*m2k))/'TCO Inputs'!$AZ$84</f>
        <v>189.72507897535229</v>
      </c>
      <c r="F176" s="125">
        <f>F64/293.07*(1/(VLOOKUP($A176,'Fuel economy adjusted factor'!$A$2:$L$52,5,FALSE)*m2k))/'TCO Inputs'!$AZ$84</f>
        <v>189.72507897535229</v>
      </c>
      <c r="G176" s="125">
        <f>G64/293.07*(1/(VLOOKUP($A176,'Fuel economy adjusted factor'!$A$2:$L$52,5,FALSE)*m2k))/'TCO Inputs'!$AZ$84</f>
        <v>189.72507897535229</v>
      </c>
      <c r="H176" s="125">
        <f>H64/293.07*(1/(VLOOKUP($A176,'Fuel economy adjusted factor'!$A$2:$L$52,5,FALSE)*m2k))/'TCO Inputs'!$AZ$84</f>
        <v>189.72507897535229</v>
      </c>
      <c r="I176" s="125">
        <f>I64/293.07*(1/(VLOOKUP($A176,'Fuel economy adjusted factor'!$A$2:$L$52,5,FALSE)*m2k))/'TCO Inputs'!$AZ$84</f>
        <v>189.72507897535229</v>
      </c>
      <c r="J176" s="125">
        <f>J64/293.07*(1/(VLOOKUP($A176,'Fuel economy adjusted factor'!$A$2:$L$52,5,FALSE)*m2k))/'TCO Inputs'!$AZ$84</f>
        <v>189.72507897535229</v>
      </c>
      <c r="K176" s="125">
        <f>K64/293.07*(1/(VLOOKUP($A176,'Fuel economy adjusted factor'!$A$2:$L$52,5,FALSE)*m2k))/'TCO Inputs'!$AZ$84</f>
        <v>189.72507897535229</v>
      </c>
      <c r="L176" s="125">
        <f>L64/293.07*(1/(VLOOKUP($A176,'Fuel economy adjusted factor'!$A$2:$L$52,5,FALSE)*m2k))/'TCO Inputs'!$AZ$84</f>
        <v>189.72507897535229</v>
      </c>
      <c r="M176" s="125">
        <f>M64/293.07*(1/(VLOOKUP($A176,'Fuel economy adjusted factor'!$A$2:$L$52,5,FALSE)*m2k))/'TCO Inputs'!$AZ$84</f>
        <v>189.72507897535229</v>
      </c>
      <c r="N176" s="125">
        <f>N64/293.07*(1/(VLOOKUP($A176,'Fuel economy adjusted factor'!$A$2:$L$52,5,FALSE)*m2k))/'TCO Inputs'!$AZ$84</f>
        <v>189.72507897535229</v>
      </c>
      <c r="O176" s="125">
        <f>O64/293.07*(1/(VLOOKUP($A176,'Fuel economy adjusted factor'!$A$2:$L$52,5,FALSE)*m2k))/'TCO Inputs'!$AZ$84</f>
        <v>189.72507897535229</v>
      </c>
      <c r="P176" s="125">
        <f>P64/293.07*(1/(VLOOKUP($A176,'Fuel economy adjusted factor'!$A$2:$L$52,5,FALSE)*m2k))/'TCO Inputs'!$AZ$84</f>
        <v>189.72507897535229</v>
      </c>
      <c r="Q176" s="125">
        <f>Q64/293.07*(1/(VLOOKUP($A176,'Fuel economy adjusted factor'!$A$2:$L$52,5,FALSE)*m2k))/'TCO Inputs'!$AZ$84</f>
        <v>189.72507897535229</v>
      </c>
      <c r="R176" s="125">
        <f>R64/293.07*(1/(VLOOKUP($A176,'Fuel economy adjusted factor'!$A$2:$L$52,5,FALSE)*m2k))/'TCO Inputs'!$AZ$84</f>
        <v>189.72507897535229</v>
      </c>
      <c r="S176" s="125">
        <f>S64/293.07*(1/(VLOOKUP($A176,'Fuel economy adjusted factor'!$A$2:$L$52,5,FALSE)*m2k))/'TCO Inputs'!$AZ$84</f>
        <v>189.72507897535229</v>
      </c>
      <c r="T176" s="125">
        <f>T64/293.07*(1/(VLOOKUP($A176,'Fuel economy adjusted factor'!$A$2:$L$52,5,FALSE)*m2k))/'TCO Inputs'!$AZ$84</f>
        <v>189.72507897535229</v>
      </c>
      <c r="U176" s="125">
        <f>U64/293.07*(1/(VLOOKUP($A176,'Fuel economy adjusted factor'!$A$2:$L$52,5,FALSE)*m2k))/'TCO Inputs'!$AZ$84</f>
        <v>189.72507897535229</v>
      </c>
      <c r="V176" s="125">
        <f>V64/293.07*(1/(VLOOKUP($A176,'Fuel economy adjusted factor'!$A$2:$L$52,5,FALSE)*m2k))/'TCO Inputs'!$AZ$84</f>
        <v>189.72507897535229</v>
      </c>
      <c r="W176" s="125">
        <f>W64/293.07*(1/(VLOOKUP($A176,'Fuel economy adjusted factor'!$A$2:$L$52,5,FALSE)*m2k))/'TCO Inputs'!$AZ$84</f>
        <v>189.72507897535229</v>
      </c>
      <c r="X176" s="125">
        <f>X64/293.07*(1/(VLOOKUP($A176,'Fuel economy adjusted factor'!$A$2:$L$52,5,FALSE)*m2k))/'TCO Inputs'!$AZ$84</f>
        <v>189.72507897535229</v>
      </c>
      <c r="Y176" s="125">
        <f>Y64/293.07*(1/(VLOOKUP($A176,'Fuel economy adjusted factor'!$A$2:$L$52,5,FALSE)*m2k))/'TCO Inputs'!$AZ$84</f>
        <v>189.72507897535229</v>
      </c>
      <c r="Z176" s="125">
        <f>Z64/293.07*(1/(VLOOKUP($A176,'Fuel economy adjusted factor'!$A$2:$L$52,5,FALSE)*m2k))/'TCO Inputs'!$AZ$84</f>
        <v>189.72507897535229</v>
      </c>
      <c r="AA176" s="125">
        <f>AA64/293.07*(1/(VLOOKUP($A176,'Fuel economy adjusted factor'!$A$2:$L$52,5,FALSE)*m2k))/'TCO Inputs'!$AZ$84</f>
        <v>189.72507897535229</v>
      </c>
      <c r="AB176" s="125">
        <f>AB64/293.07*(1/(VLOOKUP($A176,'Fuel economy adjusted factor'!$A$2:$L$52,5,FALSE)*m2k))/'TCO Inputs'!$AZ$84</f>
        <v>189.72507897535229</v>
      </c>
      <c r="AC176" s="125">
        <f>AC64/293.07*(1/(VLOOKUP($A176,'Fuel economy adjusted factor'!$A$2:$L$52,5,FALSE)*m2k))/'TCO Inputs'!$AZ$84</f>
        <v>189.72507897535229</v>
      </c>
      <c r="AD176" s="98" cm="1">
        <f t="array" ref="AD176">SUMPRODUCT(INDEX(B176:AC176,,'TCO Inputs'!$AZ$12-2023+_xlfn.SEQUENCE('TCO Inputs'!$AZ$13))*INDEX('VKT US'!C68:AA68,,_xlfn.SEQUENCE('TCO Inputs'!$AZ$13)))*m2k*CONVERT(0.9072,"g","ton")</f>
        <v>51.735575214205667</v>
      </c>
      <c r="AF176" s="123" t="s">
        <v>190</v>
      </c>
      <c r="AG176" s="125">
        <f>AG64/293.07*(1/(VLOOKUP($AF176,'Fuel economy adjusted factor'!$A$2:$L$52,5,FALSE)*m2k))/'TCO Inputs'!$AZ$84</f>
        <v>219.78519836123269</v>
      </c>
      <c r="AH176" s="125">
        <f>AH64/293.07*(1/(VLOOKUP($AF176,'Fuel economy adjusted factor'!$A$2:$L$52,5,FALSE)*m2k))/'TCO Inputs'!$AZ$84</f>
        <v>219.78519836123269</v>
      </c>
      <c r="AI176" s="125">
        <f>AI64/293.07*(1/(VLOOKUP($AF176,'Fuel economy adjusted factor'!$A$2:$L$52,5,FALSE)*m2k))/'TCO Inputs'!$AZ$84</f>
        <v>219.78519836123269</v>
      </c>
      <c r="AJ176" s="125">
        <f>AJ64/293.07*(1/(VLOOKUP($AF176,'Fuel economy adjusted factor'!$A$2:$L$52,5,FALSE)*m2k))/'TCO Inputs'!$AZ$84</f>
        <v>219.78519836123269</v>
      </c>
      <c r="AK176" s="125">
        <f>AK64/293.07*(1/(VLOOKUP($AF176,'Fuel economy adjusted factor'!$A$2:$L$52,5,FALSE)*m2k))/'TCO Inputs'!$AZ$84</f>
        <v>219.78519836123269</v>
      </c>
      <c r="AL176" s="125">
        <f>AL64/293.07*(1/(VLOOKUP($AF176,'Fuel economy adjusted factor'!$A$2:$L$52,5,FALSE)*m2k))/'TCO Inputs'!$AZ$84</f>
        <v>219.78519836123269</v>
      </c>
      <c r="AM176" s="125">
        <f>AM64/293.07*(1/(VLOOKUP($AF176,'Fuel economy adjusted factor'!$A$2:$L$52,5,FALSE)*m2k))/'TCO Inputs'!$AZ$84</f>
        <v>219.78519836123269</v>
      </c>
      <c r="AN176" s="125">
        <f>AN64/293.07*(1/(VLOOKUP($AF176,'Fuel economy adjusted factor'!$A$2:$L$52,5,FALSE)*m2k))/'TCO Inputs'!$AZ$84</f>
        <v>219.78519836123269</v>
      </c>
      <c r="AO176" s="125">
        <f>AO64/293.07*(1/(VLOOKUP($AF176,'Fuel economy adjusted factor'!$A$2:$L$52,5,FALSE)*m2k))/'TCO Inputs'!$AZ$84</f>
        <v>219.78519836123269</v>
      </c>
      <c r="AP176" s="125">
        <f>AP64/293.07*(1/(VLOOKUP($AF176,'Fuel economy adjusted factor'!$A$2:$L$52,5,FALSE)*m2k))/'TCO Inputs'!$AZ$84</f>
        <v>219.78519836123269</v>
      </c>
      <c r="AQ176" s="125">
        <f>AQ64/293.07*(1/(VLOOKUP($AF176,'Fuel economy adjusted factor'!$A$2:$L$52,5,FALSE)*m2k))/'TCO Inputs'!$AZ$84</f>
        <v>219.78519836123269</v>
      </c>
      <c r="AR176" s="125">
        <f>AR64/293.07*(1/(VLOOKUP($AF176,'Fuel economy adjusted factor'!$A$2:$L$52,5,FALSE)*m2k))/'TCO Inputs'!$AZ$84</f>
        <v>219.78519836123269</v>
      </c>
      <c r="AS176" s="125">
        <f>AS64/293.07*(1/(VLOOKUP($AF176,'Fuel economy adjusted factor'!$A$2:$L$52,5,FALSE)*m2k))/'TCO Inputs'!$AZ$84</f>
        <v>219.78519836123269</v>
      </c>
      <c r="AT176" s="125">
        <f>AT64/293.07*(1/(VLOOKUP($AF176,'Fuel economy adjusted factor'!$A$2:$L$52,5,FALSE)*m2k))/'TCO Inputs'!$AZ$84</f>
        <v>219.78519836123269</v>
      </c>
      <c r="AU176" s="125">
        <f>AU64/293.07*(1/(VLOOKUP($AF176,'Fuel economy adjusted factor'!$A$2:$L$52,5,FALSE)*m2k))/'TCO Inputs'!$AZ$84</f>
        <v>219.78519836123269</v>
      </c>
      <c r="AV176" s="125">
        <f>AV64/293.07*(1/(VLOOKUP($AF176,'Fuel economy adjusted factor'!$A$2:$L$52,5,FALSE)*m2k))/'TCO Inputs'!$AZ$84</f>
        <v>219.78519836123269</v>
      </c>
      <c r="AW176" s="125">
        <f>AW64/293.07*(1/(VLOOKUP($AF176,'Fuel economy adjusted factor'!$A$2:$L$52,5,FALSE)*m2k))/'TCO Inputs'!$AZ$84</f>
        <v>219.78519836123269</v>
      </c>
      <c r="AX176" s="125">
        <f>AX64/293.07*(1/(VLOOKUP($AF176,'Fuel economy adjusted factor'!$A$2:$L$52,5,FALSE)*m2k))/'TCO Inputs'!$AZ$84</f>
        <v>219.78519836123269</v>
      </c>
      <c r="AY176" s="125">
        <f>AY64/293.07*(1/(VLOOKUP($AF176,'Fuel economy adjusted factor'!$A$2:$L$52,5,FALSE)*m2k))/'TCO Inputs'!$AZ$84</f>
        <v>219.78519836123269</v>
      </c>
      <c r="AZ176" s="125">
        <f>AZ64/293.07*(1/(VLOOKUP($AF176,'Fuel economy adjusted factor'!$A$2:$L$52,5,FALSE)*m2k))/'TCO Inputs'!$AZ$84</f>
        <v>219.78519836123269</v>
      </c>
      <c r="BA176" s="125">
        <f>BA64/293.07*(1/(VLOOKUP($AF176,'Fuel economy adjusted factor'!$A$2:$L$52,5,FALSE)*m2k))/'TCO Inputs'!$AZ$84</f>
        <v>219.78519836123269</v>
      </c>
      <c r="BB176" s="125">
        <f>BB64/293.07*(1/(VLOOKUP($AF176,'Fuel economy adjusted factor'!$A$2:$L$52,5,FALSE)*m2k))/'TCO Inputs'!$AZ$84</f>
        <v>219.78519836123269</v>
      </c>
      <c r="BC176" s="125">
        <f>BC64/293.07*(1/(VLOOKUP($AF176,'Fuel economy adjusted factor'!$A$2:$L$52,5,FALSE)*m2k))/'TCO Inputs'!$AZ$84</f>
        <v>219.78519836123269</v>
      </c>
      <c r="BD176" s="125">
        <f>BD64/293.07*(1/(VLOOKUP($AF176,'Fuel economy adjusted factor'!$A$2:$L$52,5,FALSE)*m2k))/'TCO Inputs'!$AZ$84</f>
        <v>219.78519836123269</v>
      </c>
      <c r="BE176" s="125">
        <f>BE64/293.07*(1/(VLOOKUP($AF176,'Fuel economy adjusted factor'!$A$2:$L$52,5,FALSE)*m2k))/'TCO Inputs'!$AZ$84</f>
        <v>219.78519836123269</v>
      </c>
      <c r="BF176" s="125">
        <f>BF64/293.07*(1/(VLOOKUP($AF176,'Fuel economy adjusted factor'!$A$2:$L$52,5,FALSE)*m2k))/'TCO Inputs'!$AZ$84</f>
        <v>219.78519836123269</v>
      </c>
      <c r="BG176" s="125">
        <f>BG64/293.07*(1/(VLOOKUP($AF176,'Fuel economy adjusted factor'!$A$2:$L$52,5,FALSE)*m2k))/'TCO Inputs'!$AZ$84</f>
        <v>219.78519836123269</v>
      </c>
      <c r="BH176" s="125">
        <f>BH64/293.07*(1/(VLOOKUP($AF176,'Fuel economy adjusted factor'!$A$2:$L$52,5,FALSE)*m2k))/'TCO Inputs'!$AZ$84</f>
        <v>219.78519836123269</v>
      </c>
      <c r="BI176" s="98" cm="1">
        <f t="array" ref="BI176">SUMPRODUCT(INDEX(AG176:BH176,,'TCO Inputs'!$AZ$12-2023+_xlfn.SEQUENCE('TCO Inputs'!$AZ$13))*INDEX('VKT US'!C68:AA68,,_xlfn.SEQUENCE('TCO Inputs'!$AZ$13)))*m2k*CONVERT(0.9072,"g","ton")</f>
        <v>59.932580986111319</v>
      </c>
    </row>
    <row r="177" spans="1:61" x14ac:dyDescent="0.25">
      <c r="A177" s="123" t="s">
        <v>191</v>
      </c>
      <c r="B177" s="125">
        <f>B65/293.07*(1/(VLOOKUP($A177,'Fuel economy adjusted factor'!$A$2:$L$52,5,FALSE)*m2k))/'TCO Inputs'!$AZ$84</f>
        <v>111.78733117351069</v>
      </c>
      <c r="C177" s="125">
        <f>C65/293.07*(1/(VLOOKUP($A177,'Fuel economy adjusted factor'!$A$2:$L$52,5,FALSE)*m2k))/'TCO Inputs'!$AZ$84</f>
        <v>111.78733117351069</v>
      </c>
      <c r="D177" s="125">
        <f>D65/293.07*(1/(VLOOKUP($A177,'Fuel economy adjusted factor'!$A$2:$L$52,5,FALSE)*m2k))/'TCO Inputs'!$AZ$84</f>
        <v>111.78733117351069</v>
      </c>
      <c r="E177" s="125">
        <f>E65/293.07*(1/(VLOOKUP($A177,'Fuel economy adjusted factor'!$A$2:$L$52,5,FALSE)*m2k))/'TCO Inputs'!$AZ$84</f>
        <v>111.78733117351069</v>
      </c>
      <c r="F177" s="125">
        <f>F65/293.07*(1/(VLOOKUP($A177,'Fuel economy adjusted factor'!$A$2:$L$52,5,FALSE)*m2k))/'TCO Inputs'!$AZ$84</f>
        <v>111.78733117351069</v>
      </c>
      <c r="G177" s="125">
        <f>G65/293.07*(1/(VLOOKUP($A177,'Fuel economy adjusted factor'!$A$2:$L$52,5,FALSE)*m2k))/'TCO Inputs'!$AZ$84</f>
        <v>111.78733117351069</v>
      </c>
      <c r="H177" s="125">
        <f>H65/293.07*(1/(VLOOKUP($A177,'Fuel economy adjusted factor'!$A$2:$L$52,5,FALSE)*m2k))/'TCO Inputs'!$AZ$84</f>
        <v>111.78733117351069</v>
      </c>
      <c r="I177" s="125">
        <f>I65/293.07*(1/(VLOOKUP($A177,'Fuel economy adjusted factor'!$A$2:$L$52,5,FALSE)*m2k))/'TCO Inputs'!$AZ$84</f>
        <v>111.78733117351069</v>
      </c>
      <c r="J177" s="125">
        <f>J65/293.07*(1/(VLOOKUP($A177,'Fuel economy adjusted factor'!$A$2:$L$52,5,FALSE)*m2k))/'TCO Inputs'!$AZ$84</f>
        <v>111.78733117351069</v>
      </c>
      <c r="K177" s="125">
        <f>K65/293.07*(1/(VLOOKUP($A177,'Fuel economy adjusted factor'!$A$2:$L$52,5,FALSE)*m2k))/'TCO Inputs'!$AZ$84</f>
        <v>111.78733117351069</v>
      </c>
      <c r="L177" s="125">
        <f>L65/293.07*(1/(VLOOKUP($A177,'Fuel economy adjusted factor'!$A$2:$L$52,5,FALSE)*m2k))/'TCO Inputs'!$AZ$84</f>
        <v>111.78733117351069</v>
      </c>
      <c r="M177" s="125">
        <f>M65/293.07*(1/(VLOOKUP($A177,'Fuel economy adjusted factor'!$A$2:$L$52,5,FALSE)*m2k))/'TCO Inputs'!$AZ$84</f>
        <v>111.78733117351069</v>
      </c>
      <c r="N177" s="125">
        <f>N65/293.07*(1/(VLOOKUP($A177,'Fuel economy adjusted factor'!$A$2:$L$52,5,FALSE)*m2k))/'TCO Inputs'!$AZ$84</f>
        <v>111.78733117351069</v>
      </c>
      <c r="O177" s="125">
        <f>O65/293.07*(1/(VLOOKUP($A177,'Fuel economy adjusted factor'!$A$2:$L$52,5,FALSE)*m2k))/'TCO Inputs'!$AZ$84</f>
        <v>111.78733117351069</v>
      </c>
      <c r="P177" s="125">
        <f>P65/293.07*(1/(VLOOKUP($A177,'Fuel economy adjusted factor'!$A$2:$L$52,5,FALSE)*m2k))/'TCO Inputs'!$AZ$84</f>
        <v>111.78733117351069</v>
      </c>
      <c r="Q177" s="125">
        <f>Q65/293.07*(1/(VLOOKUP($A177,'Fuel economy adjusted factor'!$A$2:$L$52,5,FALSE)*m2k))/'TCO Inputs'!$AZ$84</f>
        <v>111.78733117351069</v>
      </c>
      <c r="R177" s="125">
        <f>R65/293.07*(1/(VLOOKUP($A177,'Fuel economy adjusted factor'!$A$2:$L$52,5,FALSE)*m2k))/'TCO Inputs'!$AZ$84</f>
        <v>111.78733117351069</v>
      </c>
      <c r="S177" s="125">
        <f>S65/293.07*(1/(VLOOKUP($A177,'Fuel economy adjusted factor'!$A$2:$L$52,5,FALSE)*m2k))/'TCO Inputs'!$AZ$84</f>
        <v>111.78733117351069</v>
      </c>
      <c r="T177" s="125">
        <f>T65/293.07*(1/(VLOOKUP($A177,'Fuel economy adjusted factor'!$A$2:$L$52,5,FALSE)*m2k))/'TCO Inputs'!$AZ$84</f>
        <v>111.78733117351069</v>
      </c>
      <c r="U177" s="125">
        <f>U65/293.07*(1/(VLOOKUP($A177,'Fuel economy adjusted factor'!$A$2:$L$52,5,FALSE)*m2k))/'TCO Inputs'!$AZ$84</f>
        <v>111.78733117351069</v>
      </c>
      <c r="V177" s="125">
        <f>V65/293.07*(1/(VLOOKUP($A177,'Fuel economy adjusted factor'!$A$2:$L$52,5,FALSE)*m2k))/'TCO Inputs'!$AZ$84</f>
        <v>111.78733117351069</v>
      </c>
      <c r="W177" s="125">
        <f>W65/293.07*(1/(VLOOKUP($A177,'Fuel economy adjusted factor'!$A$2:$L$52,5,FALSE)*m2k))/'TCO Inputs'!$AZ$84</f>
        <v>111.78733117351069</v>
      </c>
      <c r="X177" s="125">
        <f>X65/293.07*(1/(VLOOKUP($A177,'Fuel economy adjusted factor'!$A$2:$L$52,5,FALSE)*m2k))/'TCO Inputs'!$AZ$84</f>
        <v>111.78733117351069</v>
      </c>
      <c r="Y177" s="125">
        <f>Y65/293.07*(1/(VLOOKUP($A177,'Fuel economy adjusted factor'!$A$2:$L$52,5,FALSE)*m2k))/'TCO Inputs'!$AZ$84</f>
        <v>111.78733117351069</v>
      </c>
      <c r="Z177" s="125">
        <f>Z65/293.07*(1/(VLOOKUP($A177,'Fuel economy adjusted factor'!$A$2:$L$52,5,FALSE)*m2k))/'TCO Inputs'!$AZ$84</f>
        <v>111.78733117351069</v>
      </c>
      <c r="AA177" s="125">
        <f>AA65/293.07*(1/(VLOOKUP($A177,'Fuel economy adjusted factor'!$A$2:$L$52,5,FALSE)*m2k))/'TCO Inputs'!$AZ$84</f>
        <v>111.78733117351069</v>
      </c>
      <c r="AB177" s="125">
        <f>AB65/293.07*(1/(VLOOKUP($A177,'Fuel economy adjusted factor'!$A$2:$L$52,5,FALSE)*m2k))/'TCO Inputs'!$AZ$84</f>
        <v>111.78733117351069</v>
      </c>
      <c r="AC177" s="125">
        <f>AC65/293.07*(1/(VLOOKUP($A177,'Fuel economy adjusted factor'!$A$2:$L$52,5,FALSE)*m2k))/'TCO Inputs'!$AZ$84</f>
        <v>111.78733117351069</v>
      </c>
      <c r="AD177" s="98" cm="1">
        <f t="array" ref="AD177">SUMPRODUCT(INDEX(B177:AC177,,'TCO Inputs'!$AZ$12-2023+_xlfn.SEQUENCE('TCO Inputs'!$AZ$13))*INDEX('VKT US'!C69:AA69,,_xlfn.SEQUENCE('TCO Inputs'!$AZ$13)))*m2k*CONVERT(0.9072,"g","ton")</f>
        <v>28.634934419139004</v>
      </c>
      <c r="AF177" s="123" t="s">
        <v>191</v>
      </c>
      <c r="AG177" s="125">
        <f>AG65/293.07*(1/(VLOOKUP($AF177,'Fuel economy adjusted factor'!$A$2:$L$52,5,FALSE)*m2k))/'TCO Inputs'!$AZ$84</f>
        <v>129.49896180796802</v>
      </c>
      <c r="AH177" s="125">
        <f>AH65/293.07*(1/(VLOOKUP($AF177,'Fuel economy adjusted factor'!$A$2:$L$52,5,FALSE)*m2k))/'TCO Inputs'!$AZ$84</f>
        <v>129.49896180796802</v>
      </c>
      <c r="AI177" s="125">
        <f>AI65/293.07*(1/(VLOOKUP($AF177,'Fuel economy adjusted factor'!$A$2:$L$52,5,FALSE)*m2k))/'TCO Inputs'!$AZ$84</f>
        <v>129.49896180796802</v>
      </c>
      <c r="AJ177" s="125">
        <f>AJ65/293.07*(1/(VLOOKUP($AF177,'Fuel economy adjusted factor'!$A$2:$L$52,5,FALSE)*m2k))/'TCO Inputs'!$AZ$84</f>
        <v>129.49896180796802</v>
      </c>
      <c r="AK177" s="125">
        <f>AK65/293.07*(1/(VLOOKUP($AF177,'Fuel economy adjusted factor'!$A$2:$L$52,5,FALSE)*m2k))/'TCO Inputs'!$AZ$84</f>
        <v>129.49896180796802</v>
      </c>
      <c r="AL177" s="125">
        <f>AL65/293.07*(1/(VLOOKUP($AF177,'Fuel economy adjusted factor'!$A$2:$L$52,5,FALSE)*m2k))/'TCO Inputs'!$AZ$84</f>
        <v>129.49896180796802</v>
      </c>
      <c r="AM177" s="125">
        <f>AM65/293.07*(1/(VLOOKUP($AF177,'Fuel economy adjusted factor'!$A$2:$L$52,5,FALSE)*m2k))/'TCO Inputs'!$AZ$84</f>
        <v>129.49896180796802</v>
      </c>
      <c r="AN177" s="125">
        <f>AN65/293.07*(1/(VLOOKUP($AF177,'Fuel economy adjusted factor'!$A$2:$L$52,5,FALSE)*m2k))/'TCO Inputs'!$AZ$84</f>
        <v>129.49896180796802</v>
      </c>
      <c r="AO177" s="125">
        <f>AO65/293.07*(1/(VLOOKUP($AF177,'Fuel economy adjusted factor'!$A$2:$L$52,5,FALSE)*m2k))/'TCO Inputs'!$AZ$84</f>
        <v>129.49896180796802</v>
      </c>
      <c r="AP177" s="125">
        <f>AP65/293.07*(1/(VLOOKUP($AF177,'Fuel economy adjusted factor'!$A$2:$L$52,5,FALSE)*m2k))/'TCO Inputs'!$AZ$84</f>
        <v>129.49896180796802</v>
      </c>
      <c r="AQ177" s="125">
        <f>AQ65/293.07*(1/(VLOOKUP($AF177,'Fuel economy adjusted factor'!$A$2:$L$52,5,FALSE)*m2k))/'TCO Inputs'!$AZ$84</f>
        <v>129.49896180796802</v>
      </c>
      <c r="AR177" s="125">
        <f>AR65/293.07*(1/(VLOOKUP($AF177,'Fuel economy adjusted factor'!$A$2:$L$52,5,FALSE)*m2k))/'TCO Inputs'!$AZ$84</f>
        <v>129.49896180796802</v>
      </c>
      <c r="AS177" s="125">
        <f>AS65/293.07*(1/(VLOOKUP($AF177,'Fuel economy adjusted factor'!$A$2:$L$52,5,FALSE)*m2k))/'TCO Inputs'!$AZ$84</f>
        <v>129.49896180796802</v>
      </c>
      <c r="AT177" s="125">
        <f>AT65/293.07*(1/(VLOOKUP($AF177,'Fuel economy adjusted factor'!$A$2:$L$52,5,FALSE)*m2k))/'TCO Inputs'!$AZ$84</f>
        <v>129.49896180796802</v>
      </c>
      <c r="AU177" s="125">
        <f>AU65/293.07*(1/(VLOOKUP($AF177,'Fuel economy adjusted factor'!$A$2:$L$52,5,FALSE)*m2k))/'TCO Inputs'!$AZ$84</f>
        <v>129.49896180796802</v>
      </c>
      <c r="AV177" s="125">
        <f>AV65/293.07*(1/(VLOOKUP($AF177,'Fuel economy adjusted factor'!$A$2:$L$52,5,FALSE)*m2k))/'TCO Inputs'!$AZ$84</f>
        <v>129.49896180796802</v>
      </c>
      <c r="AW177" s="125">
        <f>AW65/293.07*(1/(VLOOKUP($AF177,'Fuel economy adjusted factor'!$A$2:$L$52,5,FALSE)*m2k))/'TCO Inputs'!$AZ$84</f>
        <v>129.49896180796802</v>
      </c>
      <c r="AX177" s="125">
        <f>AX65/293.07*(1/(VLOOKUP($AF177,'Fuel economy adjusted factor'!$A$2:$L$52,5,FALSE)*m2k))/'TCO Inputs'!$AZ$84</f>
        <v>129.49896180796802</v>
      </c>
      <c r="AY177" s="125">
        <f>AY65/293.07*(1/(VLOOKUP($AF177,'Fuel economy adjusted factor'!$A$2:$L$52,5,FALSE)*m2k))/'TCO Inputs'!$AZ$84</f>
        <v>129.49896180796802</v>
      </c>
      <c r="AZ177" s="125">
        <f>AZ65/293.07*(1/(VLOOKUP($AF177,'Fuel economy adjusted factor'!$A$2:$L$52,5,FALSE)*m2k))/'TCO Inputs'!$AZ$84</f>
        <v>129.49896180796802</v>
      </c>
      <c r="BA177" s="125">
        <f>BA65/293.07*(1/(VLOOKUP($AF177,'Fuel economy adjusted factor'!$A$2:$L$52,5,FALSE)*m2k))/'TCO Inputs'!$AZ$84</f>
        <v>129.49896180796802</v>
      </c>
      <c r="BB177" s="125">
        <f>BB65/293.07*(1/(VLOOKUP($AF177,'Fuel economy adjusted factor'!$A$2:$L$52,5,FALSE)*m2k))/'TCO Inputs'!$AZ$84</f>
        <v>129.49896180796802</v>
      </c>
      <c r="BC177" s="125">
        <f>BC65/293.07*(1/(VLOOKUP($AF177,'Fuel economy adjusted factor'!$A$2:$L$52,5,FALSE)*m2k))/'TCO Inputs'!$AZ$84</f>
        <v>129.49896180796802</v>
      </c>
      <c r="BD177" s="125">
        <f>BD65/293.07*(1/(VLOOKUP($AF177,'Fuel economy adjusted factor'!$A$2:$L$52,5,FALSE)*m2k))/'TCO Inputs'!$AZ$84</f>
        <v>129.49896180796802</v>
      </c>
      <c r="BE177" s="125">
        <f>BE65/293.07*(1/(VLOOKUP($AF177,'Fuel economy adjusted factor'!$A$2:$L$52,5,FALSE)*m2k))/'TCO Inputs'!$AZ$84</f>
        <v>129.49896180796802</v>
      </c>
      <c r="BF177" s="125">
        <f>BF65/293.07*(1/(VLOOKUP($AF177,'Fuel economy adjusted factor'!$A$2:$L$52,5,FALSE)*m2k))/'TCO Inputs'!$AZ$84</f>
        <v>129.49896180796802</v>
      </c>
      <c r="BG177" s="125">
        <f>BG65/293.07*(1/(VLOOKUP($AF177,'Fuel economy adjusted factor'!$A$2:$L$52,5,FALSE)*m2k))/'TCO Inputs'!$AZ$84</f>
        <v>129.49896180796802</v>
      </c>
      <c r="BH177" s="125">
        <f>BH65/293.07*(1/(VLOOKUP($AF177,'Fuel economy adjusted factor'!$A$2:$L$52,5,FALSE)*m2k))/'TCO Inputs'!$AZ$84</f>
        <v>129.49896180796802</v>
      </c>
      <c r="BI177" s="98" cm="1">
        <f t="array" ref="BI177">SUMPRODUCT(INDEX(AG177:BH177,,'TCO Inputs'!$AZ$12-2023+_xlfn.SEQUENCE('TCO Inputs'!$AZ$13))*INDEX('VKT US'!C69:AA69,,_xlfn.SEQUENCE('TCO Inputs'!$AZ$13)))*m2k*CONVERT(0.9072,"g","ton")</f>
        <v>33.171865181771601</v>
      </c>
    </row>
    <row r="178" spans="1:61" x14ac:dyDescent="0.25">
      <c r="A178" s="123" t="s">
        <v>192</v>
      </c>
      <c r="B178" s="125">
        <f>B66/293.07*(1/(VLOOKUP($A178,'Fuel economy adjusted factor'!$A$2:$L$52,5,FALSE)*m2k))/'TCO Inputs'!$AZ$84</f>
        <v>166.97971359590699</v>
      </c>
      <c r="C178" s="125">
        <f>C66/293.07*(1/(VLOOKUP($A178,'Fuel economy adjusted factor'!$A$2:$L$52,5,FALSE)*m2k))/'TCO Inputs'!$AZ$84</f>
        <v>166.97971359590699</v>
      </c>
      <c r="D178" s="125">
        <f>D66/293.07*(1/(VLOOKUP($A178,'Fuel economy adjusted factor'!$A$2:$L$52,5,FALSE)*m2k))/'TCO Inputs'!$AZ$84</f>
        <v>166.97971359590699</v>
      </c>
      <c r="E178" s="125">
        <f>E66/293.07*(1/(VLOOKUP($A178,'Fuel economy adjusted factor'!$A$2:$L$52,5,FALSE)*m2k))/'TCO Inputs'!$AZ$84</f>
        <v>166.97971359590699</v>
      </c>
      <c r="F178" s="125">
        <f>F66/293.07*(1/(VLOOKUP($A178,'Fuel economy adjusted factor'!$A$2:$L$52,5,FALSE)*m2k))/'TCO Inputs'!$AZ$84</f>
        <v>166.97971359590699</v>
      </c>
      <c r="G178" s="125">
        <f>G66/293.07*(1/(VLOOKUP($A178,'Fuel economy adjusted factor'!$A$2:$L$52,5,FALSE)*m2k))/'TCO Inputs'!$AZ$84</f>
        <v>166.97971359590699</v>
      </c>
      <c r="H178" s="125">
        <f>H66/293.07*(1/(VLOOKUP($A178,'Fuel economy adjusted factor'!$A$2:$L$52,5,FALSE)*m2k))/'TCO Inputs'!$AZ$84</f>
        <v>166.97971359590699</v>
      </c>
      <c r="I178" s="125">
        <f>I66/293.07*(1/(VLOOKUP($A178,'Fuel economy adjusted factor'!$A$2:$L$52,5,FALSE)*m2k))/'TCO Inputs'!$AZ$84</f>
        <v>166.97971359590699</v>
      </c>
      <c r="J178" s="125">
        <f>J66/293.07*(1/(VLOOKUP($A178,'Fuel economy adjusted factor'!$A$2:$L$52,5,FALSE)*m2k))/'TCO Inputs'!$AZ$84</f>
        <v>166.97971359590699</v>
      </c>
      <c r="K178" s="125">
        <f>K66/293.07*(1/(VLOOKUP($A178,'Fuel economy adjusted factor'!$A$2:$L$52,5,FALSE)*m2k))/'TCO Inputs'!$AZ$84</f>
        <v>166.97971359590699</v>
      </c>
      <c r="L178" s="125">
        <f>L66/293.07*(1/(VLOOKUP($A178,'Fuel economy adjusted factor'!$A$2:$L$52,5,FALSE)*m2k))/'TCO Inputs'!$AZ$84</f>
        <v>166.97971359590699</v>
      </c>
      <c r="M178" s="125">
        <f>M66/293.07*(1/(VLOOKUP($A178,'Fuel economy adjusted factor'!$A$2:$L$52,5,FALSE)*m2k))/'TCO Inputs'!$AZ$84</f>
        <v>166.97971359590699</v>
      </c>
      <c r="N178" s="125">
        <f>N66/293.07*(1/(VLOOKUP($A178,'Fuel economy adjusted factor'!$A$2:$L$52,5,FALSE)*m2k))/'TCO Inputs'!$AZ$84</f>
        <v>166.97971359590699</v>
      </c>
      <c r="O178" s="125">
        <f>O66/293.07*(1/(VLOOKUP($A178,'Fuel economy adjusted factor'!$A$2:$L$52,5,FALSE)*m2k))/'TCO Inputs'!$AZ$84</f>
        <v>166.97971359590699</v>
      </c>
      <c r="P178" s="125">
        <f>P66/293.07*(1/(VLOOKUP($A178,'Fuel economy adjusted factor'!$A$2:$L$52,5,FALSE)*m2k))/'TCO Inputs'!$AZ$84</f>
        <v>166.97971359590699</v>
      </c>
      <c r="Q178" s="125">
        <f>Q66/293.07*(1/(VLOOKUP($A178,'Fuel economy adjusted factor'!$A$2:$L$52,5,FALSE)*m2k))/'TCO Inputs'!$AZ$84</f>
        <v>166.97971359590699</v>
      </c>
      <c r="R178" s="125">
        <f>R66/293.07*(1/(VLOOKUP($A178,'Fuel economy adjusted factor'!$A$2:$L$52,5,FALSE)*m2k))/'TCO Inputs'!$AZ$84</f>
        <v>166.97971359590699</v>
      </c>
      <c r="S178" s="125">
        <f>S66/293.07*(1/(VLOOKUP($A178,'Fuel economy adjusted factor'!$A$2:$L$52,5,FALSE)*m2k))/'TCO Inputs'!$AZ$84</f>
        <v>166.97971359590699</v>
      </c>
      <c r="T178" s="125">
        <f>T66/293.07*(1/(VLOOKUP($A178,'Fuel economy adjusted factor'!$A$2:$L$52,5,FALSE)*m2k))/'TCO Inputs'!$AZ$84</f>
        <v>166.97971359590699</v>
      </c>
      <c r="U178" s="125">
        <f>U66/293.07*(1/(VLOOKUP($A178,'Fuel economy adjusted factor'!$A$2:$L$52,5,FALSE)*m2k))/'TCO Inputs'!$AZ$84</f>
        <v>166.97971359590699</v>
      </c>
      <c r="V178" s="125">
        <f>V66/293.07*(1/(VLOOKUP($A178,'Fuel economy adjusted factor'!$A$2:$L$52,5,FALSE)*m2k))/'TCO Inputs'!$AZ$84</f>
        <v>166.97971359590699</v>
      </c>
      <c r="W178" s="125">
        <f>W66/293.07*(1/(VLOOKUP($A178,'Fuel economy adjusted factor'!$A$2:$L$52,5,FALSE)*m2k))/'TCO Inputs'!$AZ$84</f>
        <v>166.97971359590699</v>
      </c>
      <c r="X178" s="125">
        <f>X66/293.07*(1/(VLOOKUP($A178,'Fuel economy adjusted factor'!$A$2:$L$52,5,FALSE)*m2k))/'TCO Inputs'!$AZ$84</f>
        <v>166.97971359590699</v>
      </c>
      <c r="Y178" s="125">
        <f>Y66/293.07*(1/(VLOOKUP($A178,'Fuel economy adjusted factor'!$A$2:$L$52,5,FALSE)*m2k))/'TCO Inputs'!$AZ$84</f>
        <v>166.97971359590699</v>
      </c>
      <c r="Z178" s="125">
        <f>Z66/293.07*(1/(VLOOKUP($A178,'Fuel economy adjusted factor'!$A$2:$L$52,5,FALSE)*m2k))/'TCO Inputs'!$AZ$84</f>
        <v>166.97971359590699</v>
      </c>
      <c r="AA178" s="125">
        <f>AA66/293.07*(1/(VLOOKUP($A178,'Fuel economy adjusted factor'!$A$2:$L$52,5,FALSE)*m2k))/'TCO Inputs'!$AZ$84</f>
        <v>166.97971359590699</v>
      </c>
      <c r="AB178" s="125">
        <f>AB66/293.07*(1/(VLOOKUP($A178,'Fuel economy adjusted factor'!$A$2:$L$52,5,FALSE)*m2k))/'TCO Inputs'!$AZ$84</f>
        <v>166.97971359590699</v>
      </c>
      <c r="AC178" s="125">
        <f>AC66/293.07*(1/(VLOOKUP($A178,'Fuel economy adjusted factor'!$A$2:$L$52,5,FALSE)*m2k))/'TCO Inputs'!$AZ$84</f>
        <v>166.97971359590699</v>
      </c>
      <c r="AD178" s="98" cm="1">
        <f t="array" ref="AD178">SUMPRODUCT(INDEX(B178:AC178,,'TCO Inputs'!$AZ$12-2023+_xlfn.SEQUENCE('TCO Inputs'!$AZ$13))*INDEX('VKT US'!C70:AA70,,_xlfn.SEQUENCE('TCO Inputs'!$AZ$13)))*m2k*CONVERT(0.9072,"g","ton")</f>
        <v>44.509514138649287</v>
      </c>
      <c r="AF178" s="123" t="s">
        <v>192</v>
      </c>
      <c r="AG178" s="125">
        <f>AG66/293.07*(1/(VLOOKUP($AF178,'Fuel economy adjusted factor'!$A$2:$L$52,5,FALSE)*m2k))/'TCO Inputs'!$AZ$84</f>
        <v>193.43604795518883</v>
      </c>
      <c r="AH178" s="125">
        <f>AH66/293.07*(1/(VLOOKUP($AF178,'Fuel economy adjusted factor'!$A$2:$L$52,5,FALSE)*m2k))/'TCO Inputs'!$AZ$84</f>
        <v>193.43604795518883</v>
      </c>
      <c r="AI178" s="125">
        <f>AI66/293.07*(1/(VLOOKUP($AF178,'Fuel economy adjusted factor'!$A$2:$L$52,5,FALSE)*m2k))/'TCO Inputs'!$AZ$84</f>
        <v>193.43604795518883</v>
      </c>
      <c r="AJ178" s="125">
        <f>AJ66/293.07*(1/(VLOOKUP($AF178,'Fuel economy adjusted factor'!$A$2:$L$52,5,FALSE)*m2k))/'TCO Inputs'!$AZ$84</f>
        <v>193.43604795518883</v>
      </c>
      <c r="AK178" s="125">
        <f>AK66/293.07*(1/(VLOOKUP($AF178,'Fuel economy adjusted factor'!$A$2:$L$52,5,FALSE)*m2k))/'TCO Inputs'!$AZ$84</f>
        <v>193.43604795518883</v>
      </c>
      <c r="AL178" s="125">
        <f>AL66/293.07*(1/(VLOOKUP($AF178,'Fuel economy adjusted factor'!$A$2:$L$52,5,FALSE)*m2k))/'TCO Inputs'!$AZ$84</f>
        <v>193.43604795518883</v>
      </c>
      <c r="AM178" s="125">
        <f>AM66/293.07*(1/(VLOOKUP($AF178,'Fuel economy adjusted factor'!$A$2:$L$52,5,FALSE)*m2k))/'TCO Inputs'!$AZ$84</f>
        <v>193.43604795518883</v>
      </c>
      <c r="AN178" s="125">
        <f>AN66/293.07*(1/(VLOOKUP($AF178,'Fuel economy adjusted factor'!$A$2:$L$52,5,FALSE)*m2k))/'TCO Inputs'!$AZ$84</f>
        <v>193.43604795518883</v>
      </c>
      <c r="AO178" s="125">
        <f>AO66/293.07*(1/(VLOOKUP($AF178,'Fuel economy adjusted factor'!$A$2:$L$52,5,FALSE)*m2k))/'TCO Inputs'!$AZ$84</f>
        <v>193.43604795518883</v>
      </c>
      <c r="AP178" s="125">
        <f>AP66/293.07*(1/(VLOOKUP($AF178,'Fuel economy adjusted factor'!$A$2:$L$52,5,FALSE)*m2k))/'TCO Inputs'!$AZ$84</f>
        <v>193.43604795518883</v>
      </c>
      <c r="AQ178" s="125">
        <f>AQ66/293.07*(1/(VLOOKUP($AF178,'Fuel economy adjusted factor'!$A$2:$L$52,5,FALSE)*m2k))/'TCO Inputs'!$AZ$84</f>
        <v>193.43604795518883</v>
      </c>
      <c r="AR178" s="125">
        <f>AR66/293.07*(1/(VLOOKUP($AF178,'Fuel economy adjusted factor'!$A$2:$L$52,5,FALSE)*m2k))/'TCO Inputs'!$AZ$84</f>
        <v>193.43604795518883</v>
      </c>
      <c r="AS178" s="125">
        <f>AS66/293.07*(1/(VLOOKUP($AF178,'Fuel economy adjusted factor'!$A$2:$L$52,5,FALSE)*m2k))/'TCO Inputs'!$AZ$84</f>
        <v>193.43604795518883</v>
      </c>
      <c r="AT178" s="125">
        <f>AT66/293.07*(1/(VLOOKUP($AF178,'Fuel economy adjusted factor'!$A$2:$L$52,5,FALSE)*m2k))/'TCO Inputs'!$AZ$84</f>
        <v>193.43604795518883</v>
      </c>
      <c r="AU178" s="125">
        <f>AU66/293.07*(1/(VLOOKUP($AF178,'Fuel economy adjusted factor'!$A$2:$L$52,5,FALSE)*m2k))/'TCO Inputs'!$AZ$84</f>
        <v>193.43604795518883</v>
      </c>
      <c r="AV178" s="125">
        <f>AV66/293.07*(1/(VLOOKUP($AF178,'Fuel economy adjusted factor'!$A$2:$L$52,5,FALSE)*m2k))/'TCO Inputs'!$AZ$84</f>
        <v>193.43604795518883</v>
      </c>
      <c r="AW178" s="125">
        <f>AW66/293.07*(1/(VLOOKUP($AF178,'Fuel economy adjusted factor'!$A$2:$L$52,5,FALSE)*m2k))/'TCO Inputs'!$AZ$84</f>
        <v>193.43604795518883</v>
      </c>
      <c r="AX178" s="125">
        <f>AX66/293.07*(1/(VLOOKUP($AF178,'Fuel economy adjusted factor'!$A$2:$L$52,5,FALSE)*m2k))/'TCO Inputs'!$AZ$84</f>
        <v>193.43604795518883</v>
      </c>
      <c r="AY178" s="125">
        <f>AY66/293.07*(1/(VLOOKUP($AF178,'Fuel economy adjusted factor'!$A$2:$L$52,5,FALSE)*m2k))/'TCO Inputs'!$AZ$84</f>
        <v>193.43604795518883</v>
      </c>
      <c r="AZ178" s="125">
        <f>AZ66/293.07*(1/(VLOOKUP($AF178,'Fuel economy adjusted factor'!$A$2:$L$52,5,FALSE)*m2k))/'TCO Inputs'!$AZ$84</f>
        <v>193.43604795518883</v>
      </c>
      <c r="BA178" s="125">
        <f>BA66/293.07*(1/(VLOOKUP($AF178,'Fuel economy adjusted factor'!$A$2:$L$52,5,FALSE)*m2k))/'TCO Inputs'!$AZ$84</f>
        <v>193.43604795518883</v>
      </c>
      <c r="BB178" s="125">
        <f>BB66/293.07*(1/(VLOOKUP($AF178,'Fuel economy adjusted factor'!$A$2:$L$52,5,FALSE)*m2k))/'TCO Inputs'!$AZ$84</f>
        <v>193.43604795518883</v>
      </c>
      <c r="BC178" s="125">
        <f>BC66/293.07*(1/(VLOOKUP($AF178,'Fuel economy adjusted factor'!$A$2:$L$52,5,FALSE)*m2k))/'TCO Inputs'!$AZ$84</f>
        <v>193.43604795518883</v>
      </c>
      <c r="BD178" s="125">
        <f>BD66/293.07*(1/(VLOOKUP($AF178,'Fuel economy adjusted factor'!$A$2:$L$52,5,FALSE)*m2k))/'TCO Inputs'!$AZ$84</f>
        <v>193.43604795518883</v>
      </c>
      <c r="BE178" s="125">
        <f>BE66/293.07*(1/(VLOOKUP($AF178,'Fuel economy adjusted factor'!$A$2:$L$52,5,FALSE)*m2k))/'TCO Inputs'!$AZ$84</f>
        <v>193.43604795518883</v>
      </c>
      <c r="BF178" s="125">
        <f>BF66/293.07*(1/(VLOOKUP($AF178,'Fuel economy adjusted factor'!$A$2:$L$52,5,FALSE)*m2k))/'TCO Inputs'!$AZ$84</f>
        <v>193.43604795518883</v>
      </c>
      <c r="BG178" s="125">
        <f>BG66/293.07*(1/(VLOOKUP($AF178,'Fuel economy adjusted factor'!$A$2:$L$52,5,FALSE)*m2k))/'TCO Inputs'!$AZ$84</f>
        <v>193.43604795518883</v>
      </c>
      <c r="BH178" s="125">
        <f>BH66/293.07*(1/(VLOOKUP($AF178,'Fuel economy adjusted factor'!$A$2:$L$52,5,FALSE)*m2k))/'TCO Inputs'!$AZ$84</f>
        <v>193.43604795518883</v>
      </c>
      <c r="BI178" s="98" cm="1">
        <f t="array" ref="BI178">SUMPRODUCT(INDEX(AG178:BH178,,'TCO Inputs'!$AZ$12-2023+_xlfn.SEQUENCE('TCO Inputs'!$AZ$13))*INDEX('VKT US'!C70:AA70,,_xlfn.SEQUENCE('TCO Inputs'!$AZ$13)))*m2k*CONVERT(0.9072,"g","ton")</f>
        <v>51.561619827793024</v>
      </c>
    </row>
    <row r="179" spans="1:61" x14ac:dyDescent="0.25">
      <c r="A179" s="123" t="s">
        <v>193</v>
      </c>
      <c r="B179" s="125">
        <f>B67/293.07*(1/(VLOOKUP($A179,'Fuel economy adjusted factor'!$A$2:$L$52,5,FALSE)*m2k))/'TCO Inputs'!$AZ$84</f>
        <v>145.50487989445284</v>
      </c>
      <c r="C179" s="125">
        <f>C67/293.07*(1/(VLOOKUP($A179,'Fuel economy adjusted factor'!$A$2:$L$52,5,FALSE)*m2k))/'TCO Inputs'!$AZ$84</f>
        <v>145.50487989445284</v>
      </c>
      <c r="D179" s="125">
        <f>D67/293.07*(1/(VLOOKUP($A179,'Fuel economy adjusted factor'!$A$2:$L$52,5,FALSE)*m2k))/'TCO Inputs'!$AZ$84</f>
        <v>145.50487989445284</v>
      </c>
      <c r="E179" s="125">
        <f>E67/293.07*(1/(VLOOKUP($A179,'Fuel economy adjusted factor'!$A$2:$L$52,5,FALSE)*m2k))/'TCO Inputs'!$AZ$84</f>
        <v>145.50487989445284</v>
      </c>
      <c r="F179" s="125">
        <f>F67/293.07*(1/(VLOOKUP($A179,'Fuel economy adjusted factor'!$A$2:$L$52,5,FALSE)*m2k))/'TCO Inputs'!$AZ$84</f>
        <v>145.50487989445284</v>
      </c>
      <c r="G179" s="125">
        <f>G67/293.07*(1/(VLOOKUP($A179,'Fuel economy adjusted factor'!$A$2:$L$52,5,FALSE)*m2k))/'TCO Inputs'!$AZ$84</f>
        <v>145.50487989445284</v>
      </c>
      <c r="H179" s="125">
        <f>H67/293.07*(1/(VLOOKUP($A179,'Fuel economy adjusted factor'!$A$2:$L$52,5,FALSE)*m2k))/'TCO Inputs'!$AZ$84</f>
        <v>145.50487989445284</v>
      </c>
      <c r="I179" s="125">
        <f>I67/293.07*(1/(VLOOKUP($A179,'Fuel economy adjusted factor'!$A$2:$L$52,5,FALSE)*m2k))/'TCO Inputs'!$AZ$84</f>
        <v>145.50487989445284</v>
      </c>
      <c r="J179" s="125">
        <f>J67/293.07*(1/(VLOOKUP($A179,'Fuel economy adjusted factor'!$A$2:$L$52,5,FALSE)*m2k))/'TCO Inputs'!$AZ$84</f>
        <v>145.50487989445284</v>
      </c>
      <c r="K179" s="125">
        <f>K67/293.07*(1/(VLOOKUP($A179,'Fuel economy adjusted factor'!$A$2:$L$52,5,FALSE)*m2k))/'TCO Inputs'!$AZ$84</f>
        <v>145.50487989445284</v>
      </c>
      <c r="L179" s="125">
        <f>L67/293.07*(1/(VLOOKUP($A179,'Fuel economy adjusted factor'!$A$2:$L$52,5,FALSE)*m2k))/'TCO Inputs'!$AZ$84</f>
        <v>145.50487989445284</v>
      </c>
      <c r="M179" s="125">
        <f>M67/293.07*(1/(VLOOKUP($A179,'Fuel economy adjusted factor'!$A$2:$L$52,5,FALSE)*m2k))/'TCO Inputs'!$AZ$84</f>
        <v>145.50487989445284</v>
      </c>
      <c r="N179" s="125">
        <f>N67/293.07*(1/(VLOOKUP($A179,'Fuel economy adjusted factor'!$A$2:$L$52,5,FALSE)*m2k))/'TCO Inputs'!$AZ$84</f>
        <v>145.50487989445284</v>
      </c>
      <c r="O179" s="125">
        <f>O67/293.07*(1/(VLOOKUP($A179,'Fuel economy adjusted factor'!$A$2:$L$52,5,FALSE)*m2k))/'TCO Inputs'!$AZ$84</f>
        <v>145.50487989445284</v>
      </c>
      <c r="P179" s="125">
        <f>P67/293.07*(1/(VLOOKUP($A179,'Fuel economy adjusted factor'!$A$2:$L$52,5,FALSE)*m2k))/'TCO Inputs'!$AZ$84</f>
        <v>145.50487989445284</v>
      </c>
      <c r="Q179" s="125">
        <f>Q67/293.07*(1/(VLOOKUP($A179,'Fuel economy adjusted factor'!$A$2:$L$52,5,FALSE)*m2k))/'TCO Inputs'!$AZ$84</f>
        <v>145.50487989445284</v>
      </c>
      <c r="R179" s="125">
        <f>R67/293.07*(1/(VLOOKUP($A179,'Fuel economy adjusted factor'!$A$2:$L$52,5,FALSE)*m2k))/'TCO Inputs'!$AZ$84</f>
        <v>145.50487989445284</v>
      </c>
      <c r="S179" s="125">
        <f>S67/293.07*(1/(VLOOKUP($A179,'Fuel economy adjusted factor'!$A$2:$L$52,5,FALSE)*m2k))/'TCO Inputs'!$AZ$84</f>
        <v>145.50487989445284</v>
      </c>
      <c r="T179" s="125">
        <f>T67/293.07*(1/(VLOOKUP($A179,'Fuel economy adjusted factor'!$A$2:$L$52,5,FALSE)*m2k))/'TCO Inputs'!$AZ$84</f>
        <v>145.50487989445284</v>
      </c>
      <c r="U179" s="125">
        <f>U67/293.07*(1/(VLOOKUP($A179,'Fuel economy adjusted factor'!$A$2:$L$52,5,FALSE)*m2k))/'TCO Inputs'!$AZ$84</f>
        <v>145.50487989445284</v>
      </c>
      <c r="V179" s="125">
        <f>V67/293.07*(1/(VLOOKUP($A179,'Fuel economy adjusted factor'!$A$2:$L$52,5,FALSE)*m2k))/'TCO Inputs'!$AZ$84</f>
        <v>145.50487989445284</v>
      </c>
      <c r="W179" s="125">
        <f>W67/293.07*(1/(VLOOKUP($A179,'Fuel economy adjusted factor'!$A$2:$L$52,5,FALSE)*m2k))/'TCO Inputs'!$AZ$84</f>
        <v>145.50487989445284</v>
      </c>
      <c r="X179" s="125">
        <f>X67/293.07*(1/(VLOOKUP($A179,'Fuel economy adjusted factor'!$A$2:$L$52,5,FALSE)*m2k))/'TCO Inputs'!$AZ$84</f>
        <v>145.50487989445284</v>
      </c>
      <c r="Y179" s="125">
        <f>Y67/293.07*(1/(VLOOKUP($A179,'Fuel economy adjusted factor'!$A$2:$L$52,5,FALSE)*m2k))/'TCO Inputs'!$AZ$84</f>
        <v>145.50487989445284</v>
      </c>
      <c r="Z179" s="125">
        <f>Z67/293.07*(1/(VLOOKUP($A179,'Fuel economy adjusted factor'!$A$2:$L$52,5,FALSE)*m2k))/'TCO Inputs'!$AZ$84</f>
        <v>145.50487989445284</v>
      </c>
      <c r="AA179" s="125">
        <f>AA67/293.07*(1/(VLOOKUP($A179,'Fuel economy adjusted factor'!$A$2:$L$52,5,FALSE)*m2k))/'TCO Inputs'!$AZ$84</f>
        <v>145.50487989445284</v>
      </c>
      <c r="AB179" s="125">
        <f>AB67/293.07*(1/(VLOOKUP($A179,'Fuel economy adjusted factor'!$A$2:$L$52,5,FALSE)*m2k))/'TCO Inputs'!$AZ$84</f>
        <v>145.50487989445284</v>
      </c>
      <c r="AC179" s="125">
        <f>AC67/293.07*(1/(VLOOKUP($A179,'Fuel economy adjusted factor'!$A$2:$L$52,5,FALSE)*m2k))/'TCO Inputs'!$AZ$84</f>
        <v>145.50487989445284</v>
      </c>
      <c r="AD179" s="98" cm="1">
        <f t="array" ref="AD179">SUMPRODUCT(INDEX(B179:AC179,,'TCO Inputs'!$AZ$12-2023+_xlfn.SEQUENCE('TCO Inputs'!$AZ$13))*INDEX('VKT US'!C71:AA71,,_xlfn.SEQUENCE('TCO Inputs'!$AZ$13)))*m2k*CONVERT(0.9072,"g","ton")</f>
        <v>44.777303617104806</v>
      </c>
      <c r="AF179" s="123" t="s">
        <v>193</v>
      </c>
      <c r="AG179" s="125">
        <f>AG67/293.07*(1/(VLOOKUP($AF179,'Fuel economy adjusted factor'!$A$2:$L$52,5,FALSE)*m2k))/'TCO Inputs'!$AZ$84</f>
        <v>168.55873278768925</v>
      </c>
      <c r="AH179" s="125">
        <f>AH67/293.07*(1/(VLOOKUP($AF179,'Fuel economy adjusted factor'!$A$2:$L$52,5,FALSE)*m2k))/'TCO Inputs'!$AZ$84</f>
        <v>168.55873278768925</v>
      </c>
      <c r="AI179" s="125">
        <f>AI67/293.07*(1/(VLOOKUP($AF179,'Fuel economy adjusted factor'!$A$2:$L$52,5,FALSE)*m2k))/'TCO Inputs'!$AZ$84</f>
        <v>168.55873278768925</v>
      </c>
      <c r="AJ179" s="125">
        <f>AJ67/293.07*(1/(VLOOKUP($AF179,'Fuel economy adjusted factor'!$A$2:$L$52,5,FALSE)*m2k))/'TCO Inputs'!$AZ$84</f>
        <v>168.55873278768925</v>
      </c>
      <c r="AK179" s="125">
        <f>AK67/293.07*(1/(VLOOKUP($AF179,'Fuel economy adjusted factor'!$A$2:$L$52,5,FALSE)*m2k))/'TCO Inputs'!$AZ$84</f>
        <v>168.55873278768925</v>
      </c>
      <c r="AL179" s="125">
        <f>AL67/293.07*(1/(VLOOKUP($AF179,'Fuel economy adjusted factor'!$A$2:$L$52,5,FALSE)*m2k))/'TCO Inputs'!$AZ$84</f>
        <v>168.55873278768925</v>
      </c>
      <c r="AM179" s="125">
        <f>AM67/293.07*(1/(VLOOKUP($AF179,'Fuel economy adjusted factor'!$A$2:$L$52,5,FALSE)*m2k))/'TCO Inputs'!$AZ$84</f>
        <v>168.55873278768925</v>
      </c>
      <c r="AN179" s="125">
        <f>AN67/293.07*(1/(VLOOKUP($AF179,'Fuel economy adjusted factor'!$A$2:$L$52,5,FALSE)*m2k))/'TCO Inputs'!$AZ$84</f>
        <v>168.55873278768925</v>
      </c>
      <c r="AO179" s="125">
        <f>AO67/293.07*(1/(VLOOKUP($AF179,'Fuel economy adjusted factor'!$A$2:$L$52,5,FALSE)*m2k))/'TCO Inputs'!$AZ$84</f>
        <v>168.55873278768925</v>
      </c>
      <c r="AP179" s="125">
        <f>AP67/293.07*(1/(VLOOKUP($AF179,'Fuel economy adjusted factor'!$A$2:$L$52,5,FALSE)*m2k))/'TCO Inputs'!$AZ$84</f>
        <v>168.55873278768925</v>
      </c>
      <c r="AQ179" s="125">
        <f>AQ67/293.07*(1/(VLOOKUP($AF179,'Fuel economy adjusted factor'!$A$2:$L$52,5,FALSE)*m2k))/'TCO Inputs'!$AZ$84</f>
        <v>168.55873278768925</v>
      </c>
      <c r="AR179" s="125">
        <f>AR67/293.07*(1/(VLOOKUP($AF179,'Fuel economy adjusted factor'!$A$2:$L$52,5,FALSE)*m2k))/'TCO Inputs'!$AZ$84</f>
        <v>168.55873278768925</v>
      </c>
      <c r="AS179" s="125">
        <f>AS67/293.07*(1/(VLOOKUP($AF179,'Fuel economy adjusted factor'!$A$2:$L$52,5,FALSE)*m2k))/'TCO Inputs'!$AZ$84</f>
        <v>168.55873278768925</v>
      </c>
      <c r="AT179" s="125">
        <f>AT67/293.07*(1/(VLOOKUP($AF179,'Fuel economy adjusted factor'!$A$2:$L$52,5,FALSE)*m2k))/'TCO Inputs'!$AZ$84</f>
        <v>168.55873278768925</v>
      </c>
      <c r="AU179" s="125">
        <f>AU67/293.07*(1/(VLOOKUP($AF179,'Fuel economy adjusted factor'!$A$2:$L$52,5,FALSE)*m2k))/'TCO Inputs'!$AZ$84</f>
        <v>168.55873278768925</v>
      </c>
      <c r="AV179" s="125">
        <f>AV67/293.07*(1/(VLOOKUP($AF179,'Fuel economy adjusted factor'!$A$2:$L$52,5,FALSE)*m2k))/'TCO Inputs'!$AZ$84</f>
        <v>168.55873278768925</v>
      </c>
      <c r="AW179" s="125">
        <f>AW67/293.07*(1/(VLOOKUP($AF179,'Fuel economy adjusted factor'!$A$2:$L$52,5,FALSE)*m2k))/'TCO Inputs'!$AZ$84</f>
        <v>168.55873278768925</v>
      </c>
      <c r="AX179" s="125">
        <f>AX67/293.07*(1/(VLOOKUP($AF179,'Fuel economy adjusted factor'!$A$2:$L$52,5,FALSE)*m2k))/'TCO Inputs'!$AZ$84</f>
        <v>168.55873278768925</v>
      </c>
      <c r="AY179" s="125">
        <f>AY67/293.07*(1/(VLOOKUP($AF179,'Fuel economy adjusted factor'!$A$2:$L$52,5,FALSE)*m2k))/'TCO Inputs'!$AZ$84</f>
        <v>168.55873278768925</v>
      </c>
      <c r="AZ179" s="125">
        <f>AZ67/293.07*(1/(VLOOKUP($AF179,'Fuel economy adjusted factor'!$A$2:$L$52,5,FALSE)*m2k))/'TCO Inputs'!$AZ$84</f>
        <v>168.55873278768925</v>
      </c>
      <c r="BA179" s="125">
        <f>BA67/293.07*(1/(VLOOKUP($AF179,'Fuel economy adjusted factor'!$A$2:$L$52,5,FALSE)*m2k))/'TCO Inputs'!$AZ$84</f>
        <v>168.55873278768925</v>
      </c>
      <c r="BB179" s="125">
        <f>BB67/293.07*(1/(VLOOKUP($AF179,'Fuel economy adjusted factor'!$A$2:$L$52,5,FALSE)*m2k))/'TCO Inputs'!$AZ$84</f>
        <v>168.55873278768925</v>
      </c>
      <c r="BC179" s="125">
        <f>BC67/293.07*(1/(VLOOKUP($AF179,'Fuel economy adjusted factor'!$A$2:$L$52,5,FALSE)*m2k))/'TCO Inputs'!$AZ$84</f>
        <v>168.55873278768925</v>
      </c>
      <c r="BD179" s="125">
        <f>BD67/293.07*(1/(VLOOKUP($AF179,'Fuel economy adjusted factor'!$A$2:$L$52,5,FALSE)*m2k))/'TCO Inputs'!$AZ$84</f>
        <v>168.55873278768925</v>
      </c>
      <c r="BE179" s="125">
        <f>BE67/293.07*(1/(VLOOKUP($AF179,'Fuel economy adjusted factor'!$A$2:$L$52,5,FALSE)*m2k))/'TCO Inputs'!$AZ$84</f>
        <v>168.55873278768925</v>
      </c>
      <c r="BF179" s="125">
        <f>BF67/293.07*(1/(VLOOKUP($AF179,'Fuel economy adjusted factor'!$A$2:$L$52,5,FALSE)*m2k))/'TCO Inputs'!$AZ$84</f>
        <v>168.55873278768925</v>
      </c>
      <c r="BG179" s="125">
        <f>BG67/293.07*(1/(VLOOKUP($AF179,'Fuel economy adjusted factor'!$A$2:$L$52,5,FALSE)*m2k))/'TCO Inputs'!$AZ$84</f>
        <v>168.55873278768925</v>
      </c>
      <c r="BH179" s="125">
        <f>BH67/293.07*(1/(VLOOKUP($AF179,'Fuel economy adjusted factor'!$A$2:$L$52,5,FALSE)*m2k))/'TCO Inputs'!$AZ$84</f>
        <v>168.55873278768925</v>
      </c>
      <c r="BI179" s="98" cm="1">
        <f t="array" ref="BI179">SUMPRODUCT(INDEX(AG179:BH179,,'TCO Inputs'!$AZ$12-2023+_xlfn.SEQUENCE('TCO Inputs'!$AZ$13))*INDEX('VKT US'!C71:AA71,,_xlfn.SEQUENCE('TCO Inputs'!$AZ$13)))*m2k*CONVERT(0.9072,"g","ton")</f>
        <v>51.871837981129751</v>
      </c>
    </row>
    <row r="180" spans="1:61" x14ac:dyDescent="0.25">
      <c r="A180" s="123" t="s">
        <v>194</v>
      </c>
      <c r="B180" s="125">
        <f>B68/293.07*(1/(VLOOKUP($A180,'Fuel economy adjusted factor'!$A$2:$L$52,5,FALSE)*m2k))/'TCO Inputs'!$AZ$84</f>
        <v>127.04011297704876</v>
      </c>
      <c r="C180" s="125">
        <f>C68/293.07*(1/(VLOOKUP($A180,'Fuel economy adjusted factor'!$A$2:$L$52,5,FALSE)*m2k))/'TCO Inputs'!$AZ$84</f>
        <v>127.04011297704876</v>
      </c>
      <c r="D180" s="125">
        <f>D68/293.07*(1/(VLOOKUP($A180,'Fuel economy adjusted factor'!$A$2:$L$52,5,FALSE)*m2k))/'TCO Inputs'!$AZ$84</f>
        <v>127.04011297704876</v>
      </c>
      <c r="E180" s="125">
        <f>E68/293.07*(1/(VLOOKUP($A180,'Fuel economy adjusted factor'!$A$2:$L$52,5,FALSE)*m2k))/'TCO Inputs'!$AZ$84</f>
        <v>127.04011297704876</v>
      </c>
      <c r="F180" s="125">
        <f>F68/293.07*(1/(VLOOKUP($A180,'Fuel economy adjusted factor'!$A$2:$L$52,5,FALSE)*m2k))/'TCO Inputs'!$AZ$84</f>
        <v>127.04011297704876</v>
      </c>
      <c r="G180" s="125">
        <f>G68/293.07*(1/(VLOOKUP($A180,'Fuel economy adjusted factor'!$A$2:$L$52,5,FALSE)*m2k))/'TCO Inputs'!$AZ$84</f>
        <v>127.04011297704876</v>
      </c>
      <c r="H180" s="125">
        <f>H68/293.07*(1/(VLOOKUP($A180,'Fuel economy adjusted factor'!$A$2:$L$52,5,FALSE)*m2k))/'TCO Inputs'!$AZ$84</f>
        <v>127.04011297704876</v>
      </c>
      <c r="I180" s="125">
        <f>I68/293.07*(1/(VLOOKUP($A180,'Fuel economy adjusted factor'!$A$2:$L$52,5,FALSE)*m2k))/'TCO Inputs'!$AZ$84</f>
        <v>127.04011297704876</v>
      </c>
      <c r="J180" s="125">
        <f>J68/293.07*(1/(VLOOKUP($A180,'Fuel economy adjusted factor'!$A$2:$L$52,5,FALSE)*m2k))/'TCO Inputs'!$AZ$84</f>
        <v>127.04011297704876</v>
      </c>
      <c r="K180" s="125">
        <f>K68/293.07*(1/(VLOOKUP($A180,'Fuel economy adjusted factor'!$A$2:$L$52,5,FALSE)*m2k))/'TCO Inputs'!$AZ$84</f>
        <v>127.04011297704876</v>
      </c>
      <c r="L180" s="125">
        <f>L68/293.07*(1/(VLOOKUP($A180,'Fuel economy adjusted factor'!$A$2:$L$52,5,FALSE)*m2k))/'TCO Inputs'!$AZ$84</f>
        <v>127.04011297704876</v>
      </c>
      <c r="M180" s="125">
        <f>M68/293.07*(1/(VLOOKUP($A180,'Fuel economy adjusted factor'!$A$2:$L$52,5,FALSE)*m2k))/'TCO Inputs'!$AZ$84</f>
        <v>127.04011297704876</v>
      </c>
      <c r="N180" s="125">
        <f>N68/293.07*(1/(VLOOKUP($A180,'Fuel economy adjusted factor'!$A$2:$L$52,5,FALSE)*m2k))/'TCO Inputs'!$AZ$84</f>
        <v>127.04011297704876</v>
      </c>
      <c r="O180" s="125">
        <f>O68/293.07*(1/(VLOOKUP($A180,'Fuel economy adjusted factor'!$A$2:$L$52,5,FALSE)*m2k))/'TCO Inputs'!$AZ$84</f>
        <v>127.04011297704876</v>
      </c>
      <c r="P180" s="125">
        <f>P68/293.07*(1/(VLOOKUP($A180,'Fuel economy adjusted factor'!$A$2:$L$52,5,FALSE)*m2k))/'TCO Inputs'!$AZ$84</f>
        <v>127.04011297704876</v>
      </c>
      <c r="Q180" s="125">
        <f>Q68/293.07*(1/(VLOOKUP($A180,'Fuel economy adjusted factor'!$A$2:$L$52,5,FALSE)*m2k))/'TCO Inputs'!$AZ$84</f>
        <v>127.04011297704876</v>
      </c>
      <c r="R180" s="125">
        <f>R68/293.07*(1/(VLOOKUP($A180,'Fuel economy adjusted factor'!$A$2:$L$52,5,FALSE)*m2k))/'TCO Inputs'!$AZ$84</f>
        <v>127.04011297704876</v>
      </c>
      <c r="S180" s="125">
        <f>S68/293.07*(1/(VLOOKUP($A180,'Fuel economy adjusted factor'!$A$2:$L$52,5,FALSE)*m2k))/'TCO Inputs'!$AZ$84</f>
        <v>127.04011297704876</v>
      </c>
      <c r="T180" s="125">
        <f>T68/293.07*(1/(VLOOKUP($A180,'Fuel economy adjusted factor'!$A$2:$L$52,5,FALSE)*m2k))/'TCO Inputs'!$AZ$84</f>
        <v>127.04011297704876</v>
      </c>
      <c r="U180" s="125">
        <f>U68/293.07*(1/(VLOOKUP($A180,'Fuel economy adjusted factor'!$A$2:$L$52,5,FALSE)*m2k))/'TCO Inputs'!$AZ$84</f>
        <v>127.04011297704876</v>
      </c>
      <c r="V180" s="125">
        <f>V68/293.07*(1/(VLOOKUP($A180,'Fuel economy adjusted factor'!$A$2:$L$52,5,FALSE)*m2k))/'TCO Inputs'!$AZ$84</f>
        <v>127.04011297704876</v>
      </c>
      <c r="W180" s="125">
        <f>W68/293.07*(1/(VLOOKUP($A180,'Fuel economy adjusted factor'!$A$2:$L$52,5,FALSE)*m2k))/'TCO Inputs'!$AZ$84</f>
        <v>127.04011297704876</v>
      </c>
      <c r="X180" s="125">
        <f>X68/293.07*(1/(VLOOKUP($A180,'Fuel economy adjusted factor'!$A$2:$L$52,5,FALSE)*m2k))/'TCO Inputs'!$AZ$84</f>
        <v>127.04011297704876</v>
      </c>
      <c r="Y180" s="125">
        <f>Y68/293.07*(1/(VLOOKUP($A180,'Fuel economy adjusted factor'!$A$2:$L$52,5,FALSE)*m2k))/'TCO Inputs'!$AZ$84</f>
        <v>127.04011297704876</v>
      </c>
      <c r="Z180" s="125">
        <f>Z68/293.07*(1/(VLOOKUP($A180,'Fuel economy adjusted factor'!$A$2:$L$52,5,FALSE)*m2k))/'TCO Inputs'!$AZ$84</f>
        <v>127.04011297704876</v>
      </c>
      <c r="AA180" s="125">
        <f>AA68/293.07*(1/(VLOOKUP($A180,'Fuel economy adjusted factor'!$A$2:$L$52,5,FALSE)*m2k))/'TCO Inputs'!$AZ$84</f>
        <v>127.04011297704876</v>
      </c>
      <c r="AB180" s="125">
        <f>AB68/293.07*(1/(VLOOKUP($A180,'Fuel economy adjusted factor'!$A$2:$L$52,5,FALSE)*m2k))/'TCO Inputs'!$AZ$84</f>
        <v>127.04011297704876</v>
      </c>
      <c r="AC180" s="125">
        <f>AC68/293.07*(1/(VLOOKUP($A180,'Fuel economy adjusted factor'!$A$2:$L$52,5,FALSE)*m2k))/'TCO Inputs'!$AZ$84</f>
        <v>127.04011297704876</v>
      </c>
      <c r="AD180" s="98" cm="1">
        <f t="array" ref="AD180">SUMPRODUCT(INDEX(B180:AC180,,'TCO Inputs'!$AZ$12-2023+_xlfn.SEQUENCE('TCO Inputs'!$AZ$13))*INDEX('VKT US'!C72:AA72,,_xlfn.SEQUENCE('TCO Inputs'!$AZ$13)))*m2k*CONVERT(0.9072,"g","ton")</f>
        <v>49.238701950152041</v>
      </c>
      <c r="AF180" s="123" t="s">
        <v>194</v>
      </c>
      <c r="AG180" s="125">
        <f>AG68/293.07*(1/(VLOOKUP($AF180,'Fuel economy adjusted factor'!$A$2:$L$52,5,FALSE)*m2k))/'TCO Inputs'!$AZ$84</f>
        <v>147.16840062099243</v>
      </c>
      <c r="AH180" s="125">
        <f>AH68/293.07*(1/(VLOOKUP($AF180,'Fuel economy adjusted factor'!$A$2:$L$52,5,FALSE)*m2k))/'TCO Inputs'!$AZ$84</f>
        <v>147.16840062099243</v>
      </c>
      <c r="AI180" s="125">
        <f>AI68/293.07*(1/(VLOOKUP($AF180,'Fuel economy adjusted factor'!$A$2:$L$52,5,FALSE)*m2k))/'TCO Inputs'!$AZ$84</f>
        <v>147.16840062099243</v>
      </c>
      <c r="AJ180" s="125">
        <f>AJ68/293.07*(1/(VLOOKUP($AF180,'Fuel economy adjusted factor'!$A$2:$L$52,5,FALSE)*m2k))/'TCO Inputs'!$AZ$84</f>
        <v>147.16840062099243</v>
      </c>
      <c r="AK180" s="125">
        <f>AK68/293.07*(1/(VLOOKUP($AF180,'Fuel economy adjusted factor'!$A$2:$L$52,5,FALSE)*m2k))/'TCO Inputs'!$AZ$84</f>
        <v>147.16840062099243</v>
      </c>
      <c r="AL180" s="125">
        <f>AL68/293.07*(1/(VLOOKUP($AF180,'Fuel economy adjusted factor'!$A$2:$L$52,5,FALSE)*m2k))/'TCO Inputs'!$AZ$84</f>
        <v>147.16840062099243</v>
      </c>
      <c r="AM180" s="125">
        <f>AM68/293.07*(1/(VLOOKUP($AF180,'Fuel economy adjusted factor'!$A$2:$L$52,5,FALSE)*m2k))/'TCO Inputs'!$AZ$84</f>
        <v>147.16840062099243</v>
      </c>
      <c r="AN180" s="125">
        <f>AN68/293.07*(1/(VLOOKUP($AF180,'Fuel economy adjusted factor'!$A$2:$L$52,5,FALSE)*m2k))/'TCO Inputs'!$AZ$84</f>
        <v>147.16840062099243</v>
      </c>
      <c r="AO180" s="125">
        <f>AO68/293.07*(1/(VLOOKUP($AF180,'Fuel economy adjusted factor'!$A$2:$L$52,5,FALSE)*m2k))/'TCO Inputs'!$AZ$84</f>
        <v>147.16840062099243</v>
      </c>
      <c r="AP180" s="125">
        <f>AP68/293.07*(1/(VLOOKUP($AF180,'Fuel economy adjusted factor'!$A$2:$L$52,5,FALSE)*m2k))/'TCO Inputs'!$AZ$84</f>
        <v>147.16840062099243</v>
      </c>
      <c r="AQ180" s="125">
        <f>AQ68/293.07*(1/(VLOOKUP($AF180,'Fuel economy adjusted factor'!$A$2:$L$52,5,FALSE)*m2k))/'TCO Inputs'!$AZ$84</f>
        <v>147.16840062099243</v>
      </c>
      <c r="AR180" s="125">
        <f>AR68/293.07*(1/(VLOOKUP($AF180,'Fuel economy adjusted factor'!$A$2:$L$52,5,FALSE)*m2k))/'TCO Inputs'!$AZ$84</f>
        <v>147.16840062099243</v>
      </c>
      <c r="AS180" s="125">
        <f>AS68/293.07*(1/(VLOOKUP($AF180,'Fuel economy adjusted factor'!$A$2:$L$52,5,FALSE)*m2k))/'TCO Inputs'!$AZ$84</f>
        <v>147.16840062099243</v>
      </c>
      <c r="AT180" s="125">
        <f>AT68/293.07*(1/(VLOOKUP($AF180,'Fuel economy adjusted factor'!$A$2:$L$52,5,FALSE)*m2k))/'TCO Inputs'!$AZ$84</f>
        <v>147.16840062099243</v>
      </c>
      <c r="AU180" s="125">
        <f>AU68/293.07*(1/(VLOOKUP($AF180,'Fuel economy adjusted factor'!$A$2:$L$52,5,FALSE)*m2k))/'TCO Inputs'!$AZ$84</f>
        <v>147.16840062099243</v>
      </c>
      <c r="AV180" s="125">
        <f>AV68/293.07*(1/(VLOOKUP($AF180,'Fuel economy adjusted factor'!$A$2:$L$52,5,FALSE)*m2k))/'TCO Inputs'!$AZ$84</f>
        <v>147.16840062099243</v>
      </c>
      <c r="AW180" s="125">
        <f>AW68/293.07*(1/(VLOOKUP($AF180,'Fuel economy adjusted factor'!$A$2:$L$52,5,FALSE)*m2k))/'TCO Inputs'!$AZ$84</f>
        <v>147.16840062099243</v>
      </c>
      <c r="AX180" s="125">
        <f>AX68/293.07*(1/(VLOOKUP($AF180,'Fuel economy adjusted factor'!$A$2:$L$52,5,FALSE)*m2k))/'TCO Inputs'!$AZ$84</f>
        <v>147.16840062099243</v>
      </c>
      <c r="AY180" s="125">
        <f>AY68/293.07*(1/(VLOOKUP($AF180,'Fuel economy adjusted factor'!$A$2:$L$52,5,FALSE)*m2k))/'TCO Inputs'!$AZ$84</f>
        <v>147.16840062099243</v>
      </c>
      <c r="AZ180" s="125">
        <f>AZ68/293.07*(1/(VLOOKUP($AF180,'Fuel economy adjusted factor'!$A$2:$L$52,5,FALSE)*m2k))/'TCO Inputs'!$AZ$84</f>
        <v>147.16840062099243</v>
      </c>
      <c r="BA180" s="125">
        <f>BA68/293.07*(1/(VLOOKUP($AF180,'Fuel economy adjusted factor'!$A$2:$L$52,5,FALSE)*m2k))/'TCO Inputs'!$AZ$84</f>
        <v>147.16840062099243</v>
      </c>
      <c r="BB180" s="125">
        <f>BB68/293.07*(1/(VLOOKUP($AF180,'Fuel economy adjusted factor'!$A$2:$L$52,5,FALSE)*m2k))/'TCO Inputs'!$AZ$84</f>
        <v>147.16840062099243</v>
      </c>
      <c r="BC180" s="125">
        <f>BC68/293.07*(1/(VLOOKUP($AF180,'Fuel economy adjusted factor'!$A$2:$L$52,5,FALSE)*m2k))/'TCO Inputs'!$AZ$84</f>
        <v>147.16840062099243</v>
      </c>
      <c r="BD180" s="125">
        <f>BD68/293.07*(1/(VLOOKUP($AF180,'Fuel economy adjusted factor'!$A$2:$L$52,5,FALSE)*m2k))/'TCO Inputs'!$AZ$84</f>
        <v>147.16840062099243</v>
      </c>
      <c r="BE180" s="125">
        <f>BE68/293.07*(1/(VLOOKUP($AF180,'Fuel economy adjusted factor'!$A$2:$L$52,5,FALSE)*m2k))/'TCO Inputs'!$AZ$84</f>
        <v>147.16840062099243</v>
      </c>
      <c r="BF180" s="125">
        <f>BF68/293.07*(1/(VLOOKUP($AF180,'Fuel economy adjusted factor'!$A$2:$L$52,5,FALSE)*m2k))/'TCO Inputs'!$AZ$84</f>
        <v>147.16840062099243</v>
      </c>
      <c r="BG180" s="125">
        <f>BG68/293.07*(1/(VLOOKUP($AF180,'Fuel economy adjusted factor'!$A$2:$L$52,5,FALSE)*m2k))/'TCO Inputs'!$AZ$84</f>
        <v>147.16840062099243</v>
      </c>
      <c r="BH180" s="125">
        <f>BH68/293.07*(1/(VLOOKUP($AF180,'Fuel economy adjusted factor'!$A$2:$L$52,5,FALSE)*m2k))/'TCO Inputs'!$AZ$84</f>
        <v>147.16840062099243</v>
      </c>
      <c r="BI180" s="98" cm="1">
        <f t="array" ref="BI180">SUMPRODUCT(INDEX(AG180:BH180,,'TCO Inputs'!$AZ$12-2023+_xlfn.SEQUENCE('TCO Inputs'!$AZ$13))*INDEX('VKT US'!C72:AA72,,_xlfn.SEQUENCE('TCO Inputs'!$AZ$13)))*m2k*CONVERT(0.9072,"g","ton")</f>
        <v>57.040102097254575</v>
      </c>
    </row>
    <row r="181" spans="1:61" x14ac:dyDescent="0.25">
      <c r="A181" s="123" t="s">
        <v>233</v>
      </c>
      <c r="B181" s="125">
        <f>B69/293.07*(1/(VLOOKUP($A181,'Fuel economy adjusted factor'!$A$2:$L$52,5,FALSE)*m2k))/'TCO Inputs'!$AZ$84</f>
        <v>273.84882507996633</v>
      </c>
      <c r="C181" s="125">
        <f>C69/293.07*(1/(VLOOKUP($A181,'Fuel economy adjusted factor'!$A$2:$L$52,5,FALSE)*m2k))/'TCO Inputs'!$AZ$84</f>
        <v>273.84882507996633</v>
      </c>
      <c r="D181" s="125">
        <f>D69/293.07*(1/(VLOOKUP($A181,'Fuel economy adjusted factor'!$A$2:$L$52,5,FALSE)*m2k))/'TCO Inputs'!$AZ$84</f>
        <v>273.84882507996633</v>
      </c>
      <c r="E181" s="125">
        <f>E69/293.07*(1/(VLOOKUP($A181,'Fuel economy adjusted factor'!$A$2:$L$52,5,FALSE)*m2k))/'TCO Inputs'!$AZ$84</f>
        <v>273.84882507996633</v>
      </c>
      <c r="F181" s="125">
        <f>F69/293.07*(1/(VLOOKUP($A181,'Fuel economy adjusted factor'!$A$2:$L$52,5,FALSE)*m2k))/'TCO Inputs'!$AZ$84</f>
        <v>273.84882507996633</v>
      </c>
      <c r="G181" s="125">
        <f>G69/293.07*(1/(VLOOKUP($A181,'Fuel economy adjusted factor'!$A$2:$L$52,5,FALSE)*m2k))/'TCO Inputs'!$AZ$84</f>
        <v>273.84882507996633</v>
      </c>
      <c r="H181" s="125">
        <f>H69/293.07*(1/(VLOOKUP($A181,'Fuel economy adjusted factor'!$A$2:$L$52,5,FALSE)*m2k))/'TCO Inputs'!$AZ$84</f>
        <v>273.84882507996633</v>
      </c>
      <c r="I181" s="125">
        <f>I69/293.07*(1/(VLOOKUP($A181,'Fuel economy adjusted factor'!$A$2:$L$52,5,FALSE)*m2k))/'TCO Inputs'!$AZ$84</f>
        <v>273.84882507996633</v>
      </c>
      <c r="J181" s="125">
        <f>J69/293.07*(1/(VLOOKUP($A181,'Fuel economy adjusted factor'!$A$2:$L$52,5,FALSE)*m2k))/'TCO Inputs'!$AZ$84</f>
        <v>273.84882507996633</v>
      </c>
      <c r="K181" s="125">
        <f>K69/293.07*(1/(VLOOKUP($A181,'Fuel economy adjusted factor'!$A$2:$L$52,5,FALSE)*m2k))/'TCO Inputs'!$AZ$84</f>
        <v>273.84882507996633</v>
      </c>
      <c r="L181" s="125">
        <f>L69/293.07*(1/(VLOOKUP($A181,'Fuel economy adjusted factor'!$A$2:$L$52,5,FALSE)*m2k))/'TCO Inputs'!$AZ$84</f>
        <v>273.84882507996633</v>
      </c>
      <c r="M181" s="125">
        <f>M69/293.07*(1/(VLOOKUP($A181,'Fuel economy adjusted factor'!$A$2:$L$52,5,FALSE)*m2k))/'TCO Inputs'!$AZ$84</f>
        <v>273.84882507996633</v>
      </c>
      <c r="N181" s="125">
        <f>N69/293.07*(1/(VLOOKUP($A181,'Fuel economy adjusted factor'!$A$2:$L$52,5,FALSE)*m2k))/'TCO Inputs'!$AZ$84</f>
        <v>273.84882507996633</v>
      </c>
      <c r="O181" s="125">
        <f>O69/293.07*(1/(VLOOKUP($A181,'Fuel economy adjusted factor'!$A$2:$L$52,5,FALSE)*m2k))/'TCO Inputs'!$AZ$84</f>
        <v>273.84882507996633</v>
      </c>
      <c r="P181" s="125">
        <f>P69/293.07*(1/(VLOOKUP($A181,'Fuel economy adjusted factor'!$A$2:$L$52,5,FALSE)*m2k))/'TCO Inputs'!$AZ$84</f>
        <v>273.84882507996633</v>
      </c>
      <c r="Q181" s="125">
        <f>Q69/293.07*(1/(VLOOKUP($A181,'Fuel economy adjusted factor'!$A$2:$L$52,5,FALSE)*m2k))/'TCO Inputs'!$AZ$84</f>
        <v>273.84882507996633</v>
      </c>
      <c r="R181" s="125">
        <f>R69/293.07*(1/(VLOOKUP($A181,'Fuel economy adjusted factor'!$A$2:$L$52,5,FALSE)*m2k))/'TCO Inputs'!$AZ$84</f>
        <v>273.84882507996633</v>
      </c>
      <c r="S181" s="125">
        <f>S69/293.07*(1/(VLOOKUP($A181,'Fuel economy adjusted factor'!$A$2:$L$52,5,FALSE)*m2k))/'TCO Inputs'!$AZ$84</f>
        <v>273.84882507996633</v>
      </c>
      <c r="T181" s="125">
        <f>T69/293.07*(1/(VLOOKUP($A181,'Fuel economy adjusted factor'!$A$2:$L$52,5,FALSE)*m2k))/'TCO Inputs'!$AZ$84</f>
        <v>273.84882507996633</v>
      </c>
      <c r="U181" s="125">
        <f>U69/293.07*(1/(VLOOKUP($A181,'Fuel economy adjusted factor'!$A$2:$L$52,5,FALSE)*m2k))/'TCO Inputs'!$AZ$84</f>
        <v>273.84882507996633</v>
      </c>
      <c r="V181" s="125">
        <f>V69/293.07*(1/(VLOOKUP($A181,'Fuel economy adjusted factor'!$A$2:$L$52,5,FALSE)*m2k))/'TCO Inputs'!$AZ$84</f>
        <v>273.84882507996633</v>
      </c>
      <c r="W181" s="125">
        <f>W69/293.07*(1/(VLOOKUP($A181,'Fuel economy adjusted factor'!$A$2:$L$52,5,FALSE)*m2k))/'TCO Inputs'!$AZ$84</f>
        <v>273.84882507996633</v>
      </c>
      <c r="X181" s="125">
        <f>X69/293.07*(1/(VLOOKUP($A181,'Fuel economy adjusted factor'!$A$2:$L$52,5,FALSE)*m2k))/'TCO Inputs'!$AZ$84</f>
        <v>273.84882507996633</v>
      </c>
      <c r="Y181" s="125">
        <f>Y69/293.07*(1/(VLOOKUP($A181,'Fuel economy adjusted factor'!$A$2:$L$52,5,FALSE)*m2k))/'TCO Inputs'!$AZ$84</f>
        <v>273.84882507996633</v>
      </c>
      <c r="Z181" s="125">
        <f>Z69/293.07*(1/(VLOOKUP($A181,'Fuel economy adjusted factor'!$A$2:$L$52,5,FALSE)*m2k))/'TCO Inputs'!$AZ$84</f>
        <v>273.84882507996633</v>
      </c>
      <c r="AA181" s="125">
        <f>AA69/293.07*(1/(VLOOKUP($A181,'Fuel economy adjusted factor'!$A$2:$L$52,5,FALSE)*m2k))/'TCO Inputs'!$AZ$84</f>
        <v>273.84882507996633</v>
      </c>
      <c r="AB181" s="125">
        <f>AB69/293.07*(1/(VLOOKUP($A181,'Fuel economy adjusted factor'!$A$2:$L$52,5,FALSE)*m2k))/'TCO Inputs'!$AZ$84</f>
        <v>273.84882507996633</v>
      </c>
      <c r="AC181" s="125">
        <f>AC69/293.07*(1/(VLOOKUP($A181,'Fuel economy adjusted factor'!$A$2:$L$52,5,FALSE)*m2k))/'TCO Inputs'!$AZ$84</f>
        <v>273.84882507996633</v>
      </c>
      <c r="AD181" s="98" cm="1">
        <f t="array" ref="AD181">SUMPRODUCT(INDEX(B181:AC181,,'TCO Inputs'!$AZ$12-2023+_xlfn.SEQUENCE('TCO Inputs'!$AZ$13))*INDEX('VKT US'!C73:AA73,,_xlfn.SEQUENCE('TCO Inputs'!$AZ$13)))*m2k*CONVERT(0.9072,"g","ton")</f>
        <v>67.664298229317964</v>
      </c>
      <c r="AF181" s="123" t="s">
        <v>233</v>
      </c>
      <c r="AG181" s="125">
        <f>AG69/293.07*(1/(VLOOKUP($AF181,'Fuel economy adjusted factor'!$A$2:$L$52,5,FALSE)*m2k))/'TCO Inputs'!$AZ$84</f>
        <v>317.23754532741611</v>
      </c>
      <c r="AH181" s="125">
        <f>AH69/293.07*(1/(VLOOKUP($AF181,'Fuel economy adjusted factor'!$A$2:$L$52,5,FALSE)*m2k))/'TCO Inputs'!$AZ$84</f>
        <v>317.23754532741611</v>
      </c>
      <c r="AI181" s="125">
        <f>AI69/293.07*(1/(VLOOKUP($AF181,'Fuel economy adjusted factor'!$A$2:$L$52,5,FALSE)*m2k))/'TCO Inputs'!$AZ$84</f>
        <v>317.23754532741611</v>
      </c>
      <c r="AJ181" s="125">
        <f>AJ69/293.07*(1/(VLOOKUP($AF181,'Fuel economy adjusted factor'!$A$2:$L$52,5,FALSE)*m2k))/'TCO Inputs'!$AZ$84</f>
        <v>317.23754532741611</v>
      </c>
      <c r="AK181" s="125">
        <f>AK69/293.07*(1/(VLOOKUP($AF181,'Fuel economy adjusted factor'!$A$2:$L$52,5,FALSE)*m2k))/'TCO Inputs'!$AZ$84</f>
        <v>317.23754532741611</v>
      </c>
      <c r="AL181" s="125">
        <f>AL69/293.07*(1/(VLOOKUP($AF181,'Fuel economy adjusted factor'!$A$2:$L$52,5,FALSE)*m2k))/'TCO Inputs'!$AZ$84</f>
        <v>317.23754532741611</v>
      </c>
      <c r="AM181" s="125">
        <f>AM69/293.07*(1/(VLOOKUP($AF181,'Fuel economy adjusted factor'!$A$2:$L$52,5,FALSE)*m2k))/'TCO Inputs'!$AZ$84</f>
        <v>317.23754532741611</v>
      </c>
      <c r="AN181" s="125">
        <f>AN69/293.07*(1/(VLOOKUP($AF181,'Fuel economy adjusted factor'!$A$2:$L$52,5,FALSE)*m2k))/'TCO Inputs'!$AZ$84</f>
        <v>317.23754532741611</v>
      </c>
      <c r="AO181" s="125">
        <f>AO69/293.07*(1/(VLOOKUP($AF181,'Fuel economy adjusted factor'!$A$2:$L$52,5,FALSE)*m2k))/'TCO Inputs'!$AZ$84</f>
        <v>317.23754532741611</v>
      </c>
      <c r="AP181" s="125">
        <f>AP69/293.07*(1/(VLOOKUP($AF181,'Fuel economy adjusted factor'!$A$2:$L$52,5,FALSE)*m2k))/'TCO Inputs'!$AZ$84</f>
        <v>317.23754532741611</v>
      </c>
      <c r="AQ181" s="125">
        <f>AQ69/293.07*(1/(VLOOKUP($AF181,'Fuel economy adjusted factor'!$A$2:$L$52,5,FALSE)*m2k))/'TCO Inputs'!$AZ$84</f>
        <v>317.23754532741611</v>
      </c>
      <c r="AR181" s="125">
        <f>AR69/293.07*(1/(VLOOKUP($AF181,'Fuel economy adjusted factor'!$A$2:$L$52,5,FALSE)*m2k))/'TCO Inputs'!$AZ$84</f>
        <v>317.23754532741611</v>
      </c>
      <c r="AS181" s="125">
        <f>AS69/293.07*(1/(VLOOKUP($AF181,'Fuel economy adjusted factor'!$A$2:$L$52,5,FALSE)*m2k))/'TCO Inputs'!$AZ$84</f>
        <v>317.23754532741611</v>
      </c>
      <c r="AT181" s="125">
        <f>AT69/293.07*(1/(VLOOKUP($AF181,'Fuel economy adjusted factor'!$A$2:$L$52,5,FALSE)*m2k))/'TCO Inputs'!$AZ$84</f>
        <v>317.23754532741611</v>
      </c>
      <c r="AU181" s="125">
        <f>AU69/293.07*(1/(VLOOKUP($AF181,'Fuel economy adjusted factor'!$A$2:$L$52,5,FALSE)*m2k))/'TCO Inputs'!$AZ$84</f>
        <v>317.23754532741611</v>
      </c>
      <c r="AV181" s="125">
        <f>AV69/293.07*(1/(VLOOKUP($AF181,'Fuel economy adjusted factor'!$A$2:$L$52,5,FALSE)*m2k))/'TCO Inputs'!$AZ$84</f>
        <v>317.23754532741611</v>
      </c>
      <c r="AW181" s="125">
        <f>AW69/293.07*(1/(VLOOKUP($AF181,'Fuel economy adjusted factor'!$A$2:$L$52,5,FALSE)*m2k))/'TCO Inputs'!$AZ$84</f>
        <v>317.23754532741611</v>
      </c>
      <c r="AX181" s="125">
        <f>AX69/293.07*(1/(VLOOKUP($AF181,'Fuel economy adjusted factor'!$A$2:$L$52,5,FALSE)*m2k))/'TCO Inputs'!$AZ$84</f>
        <v>317.23754532741611</v>
      </c>
      <c r="AY181" s="125">
        <f>AY69/293.07*(1/(VLOOKUP($AF181,'Fuel economy adjusted factor'!$A$2:$L$52,5,FALSE)*m2k))/'TCO Inputs'!$AZ$84</f>
        <v>317.23754532741611</v>
      </c>
      <c r="AZ181" s="125">
        <f>AZ69/293.07*(1/(VLOOKUP($AF181,'Fuel economy adjusted factor'!$A$2:$L$52,5,FALSE)*m2k))/'TCO Inputs'!$AZ$84</f>
        <v>317.23754532741611</v>
      </c>
      <c r="BA181" s="125">
        <f>BA69/293.07*(1/(VLOOKUP($AF181,'Fuel economy adjusted factor'!$A$2:$L$52,5,FALSE)*m2k))/'TCO Inputs'!$AZ$84</f>
        <v>317.23754532741611</v>
      </c>
      <c r="BB181" s="125">
        <f>BB69/293.07*(1/(VLOOKUP($AF181,'Fuel economy adjusted factor'!$A$2:$L$52,5,FALSE)*m2k))/'TCO Inputs'!$AZ$84</f>
        <v>317.23754532741611</v>
      </c>
      <c r="BC181" s="125">
        <f>BC69/293.07*(1/(VLOOKUP($AF181,'Fuel economy adjusted factor'!$A$2:$L$52,5,FALSE)*m2k))/'TCO Inputs'!$AZ$84</f>
        <v>317.23754532741611</v>
      </c>
      <c r="BD181" s="125">
        <f>BD69/293.07*(1/(VLOOKUP($AF181,'Fuel economy adjusted factor'!$A$2:$L$52,5,FALSE)*m2k))/'TCO Inputs'!$AZ$84</f>
        <v>317.23754532741611</v>
      </c>
      <c r="BE181" s="125">
        <f>BE69/293.07*(1/(VLOOKUP($AF181,'Fuel economy adjusted factor'!$A$2:$L$52,5,FALSE)*m2k))/'TCO Inputs'!$AZ$84</f>
        <v>317.23754532741611</v>
      </c>
      <c r="BF181" s="125">
        <f>BF69/293.07*(1/(VLOOKUP($AF181,'Fuel economy adjusted factor'!$A$2:$L$52,5,FALSE)*m2k))/'TCO Inputs'!$AZ$84</f>
        <v>317.23754532741611</v>
      </c>
      <c r="BG181" s="125">
        <f>BG69/293.07*(1/(VLOOKUP($AF181,'Fuel economy adjusted factor'!$A$2:$L$52,5,FALSE)*m2k))/'TCO Inputs'!$AZ$84</f>
        <v>317.23754532741611</v>
      </c>
      <c r="BH181" s="125">
        <f>BH69/293.07*(1/(VLOOKUP($AF181,'Fuel economy adjusted factor'!$A$2:$L$52,5,FALSE)*m2k))/'TCO Inputs'!$AZ$84</f>
        <v>317.23754532741611</v>
      </c>
      <c r="BI181" s="98" cm="1">
        <f t="array" ref="BI181">SUMPRODUCT(INDEX(AG181:BH181,,'TCO Inputs'!$AZ$12-2023+_xlfn.SEQUENCE('TCO Inputs'!$AZ$13))*INDEX('VKT US'!C73:AA73,,_xlfn.SEQUENCE('TCO Inputs'!$AZ$13)))*m2k*CONVERT(0.9072,"g","ton")</f>
        <v>78.38505741371317</v>
      </c>
    </row>
    <row r="182" spans="1:61" x14ac:dyDescent="0.25">
      <c r="A182" s="123" t="s">
        <v>196</v>
      </c>
      <c r="B182" s="125">
        <f>B70/293.07*(1/(VLOOKUP($A182,'Fuel economy adjusted factor'!$A$2:$L$52,5,FALSE)*m2k))/'TCO Inputs'!$AZ$84</f>
        <v>66.755216211750721</v>
      </c>
      <c r="C182" s="125">
        <f>C70/293.07*(1/(VLOOKUP($A182,'Fuel economy adjusted factor'!$A$2:$L$52,5,FALSE)*m2k))/'TCO Inputs'!$AZ$84</f>
        <v>66.755216211750721</v>
      </c>
      <c r="D182" s="125">
        <f>D70/293.07*(1/(VLOOKUP($A182,'Fuel economy adjusted factor'!$A$2:$L$52,5,FALSE)*m2k))/'TCO Inputs'!$AZ$84</f>
        <v>66.755216211750721</v>
      </c>
      <c r="E182" s="125">
        <f>E70/293.07*(1/(VLOOKUP($A182,'Fuel economy adjusted factor'!$A$2:$L$52,5,FALSE)*m2k))/'TCO Inputs'!$AZ$84</f>
        <v>66.755216211750721</v>
      </c>
      <c r="F182" s="125">
        <f>F70/293.07*(1/(VLOOKUP($A182,'Fuel economy adjusted factor'!$A$2:$L$52,5,FALSE)*m2k))/'TCO Inputs'!$AZ$84</f>
        <v>66.755216211750721</v>
      </c>
      <c r="G182" s="125">
        <f>G70/293.07*(1/(VLOOKUP($A182,'Fuel economy adjusted factor'!$A$2:$L$52,5,FALSE)*m2k))/'TCO Inputs'!$AZ$84</f>
        <v>66.755216211750721</v>
      </c>
      <c r="H182" s="125">
        <f>H70/293.07*(1/(VLOOKUP($A182,'Fuel economy adjusted factor'!$A$2:$L$52,5,FALSE)*m2k))/'TCO Inputs'!$AZ$84</f>
        <v>66.755216211750721</v>
      </c>
      <c r="I182" s="125">
        <f>I70/293.07*(1/(VLOOKUP($A182,'Fuel economy adjusted factor'!$A$2:$L$52,5,FALSE)*m2k))/'TCO Inputs'!$AZ$84</f>
        <v>66.755216211750721</v>
      </c>
      <c r="J182" s="125">
        <f>J70/293.07*(1/(VLOOKUP($A182,'Fuel economy adjusted factor'!$A$2:$L$52,5,FALSE)*m2k))/'TCO Inputs'!$AZ$84</f>
        <v>66.755216211750721</v>
      </c>
      <c r="K182" s="125">
        <f>K70/293.07*(1/(VLOOKUP($A182,'Fuel economy adjusted factor'!$A$2:$L$52,5,FALSE)*m2k))/'TCO Inputs'!$AZ$84</f>
        <v>66.755216211750721</v>
      </c>
      <c r="L182" s="125">
        <f>L70/293.07*(1/(VLOOKUP($A182,'Fuel economy adjusted factor'!$A$2:$L$52,5,FALSE)*m2k))/'TCO Inputs'!$AZ$84</f>
        <v>66.755216211750721</v>
      </c>
      <c r="M182" s="125">
        <f>M70/293.07*(1/(VLOOKUP($A182,'Fuel economy adjusted factor'!$A$2:$L$52,5,FALSE)*m2k))/'TCO Inputs'!$AZ$84</f>
        <v>66.755216211750721</v>
      </c>
      <c r="N182" s="125">
        <f>N70/293.07*(1/(VLOOKUP($A182,'Fuel economy adjusted factor'!$A$2:$L$52,5,FALSE)*m2k))/'TCO Inputs'!$AZ$84</f>
        <v>66.755216211750721</v>
      </c>
      <c r="O182" s="125">
        <f>O70/293.07*(1/(VLOOKUP($A182,'Fuel economy adjusted factor'!$A$2:$L$52,5,FALSE)*m2k))/'TCO Inputs'!$AZ$84</f>
        <v>66.755216211750721</v>
      </c>
      <c r="P182" s="125">
        <f>P70/293.07*(1/(VLOOKUP($A182,'Fuel economy adjusted factor'!$A$2:$L$52,5,FALSE)*m2k))/'TCO Inputs'!$AZ$84</f>
        <v>66.755216211750721</v>
      </c>
      <c r="Q182" s="125">
        <f>Q70/293.07*(1/(VLOOKUP($A182,'Fuel economy adjusted factor'!$A$2:$L$52,5,FALSE)*m2k))/'TCO Inputs'!$AZ$84</f>
        <v>66.755216211750721</v>
      </c>
      <c r="R182" s="125">
        <f>R70/293.07*(1/(VLOOKUP($A182,'Fuel economy adjusted factor'!$A$2:$L$52,5,FALSE)*m2k))/'TCO Inputs'!$AZ$84</f>
        <v>66.755216211750721</v>
      </c>
      <c r="S182" s="125">
        <f>S70/293.07*(1/(VLOOKUP($A182,'Fuel economy adjusted factor'!$A$2:$L$52,5,FALSE)*m2k))/'TCO Inputs'!$AZ$84</f>
        <v>66.755216211750721</v>
      </c>
      <c r="T182" s="125">
        <f>T70/293.07*(1/(VLOOKUP($A182,'Fuel economy adjusted factor'!$A$2:$L$52,5,FALSE)*m2k))/'TCO Inputs'!$AZ$84</f>
        <v>66.755216211750721</v>
      </c>
      <c r="U182" s="125">
        <f>U70/293.07*(1/(VLOOKUP($A182,'Fuel economy adjusted factor'!$A$2:$L$52,5,FALSE)*m2k))/'TCO Inputs'!$AZ$84</f>
        <v>66.755216211750721</v>
      </c>
      <c r="V182" s="125">
        <f>V70/293.07*(1/(VLOOKUP($A182,'Fuel economy adjusted factor'!$A$2:$L$52,5,FALSE)*m2k))/'TCO Inputs'!$AZ$84</f>
        <v>66.755216211750721</v>
      </c>
      <c r="W182" s="125">
        <f>W70/293.07*(1/(VLOOKUP($A182,'Fuel economy adjusted factor'!$A$2:$L$52,5,FALSE)*m2k))/'TCO Inputs'!$AZ$84</f>
        <v>66.755216211750721</v>
      </c>
      <c r="X182" s="125">
        <f>X70/293.07*(1/(VLOOKUP($A182,'Fuel economy adjusted factor'!$A$2:$L$52,5,FALSE)*m2k))/'TCO Inputs'!$AZ$84</f>
        <v>66.755216211750721</v>
      </c>
      <c r="Y182" s="125">
        <f>Y70/293.07*(1/(VLOOKUP($A182,'Fuel economy adjusted factor'!$A$2:$L$52,5,FALSE)*m2k))/'TCO Inputs'!$AZ$84</f>
        <v>66.755216211750721</v>
      </c>
      <c r="Z182" s="125">
        <f>Z70/293.07*(1/(VLOOKUP($A182,'Fuel economy adjusted factor'!$A$2:$L$52,5,FALSE)*m2k))/'TCO Inputs'!$AZ$84</f>
        <v>66.755216211750721</v>
      </c>
      <c r="AA182" s="125">
        <f>AA70/293.07*(1/(VLOOKUP($A182,'Fuel economy adjusted factor'!$A$2:$L$52,5,FALSE)*m2k))/'TCO Inputs'!$AZ$84</f>
        <v>66.755216211750721</v>
      </c>
      <c r="AB182" s="125">
        <f>AB70/293.07*(1/(VLOOKUP($A182,'Fuel economy adjusted factor'!$A$2:$L$52,5,FALSE)*m2k))/'TCO Inputs'!$AZ$84</f>
        <v>66.755216211750721</v>
      </c>
      <c r="AC182" s="125">
        <f>AC70/293.07*(1/(VLOOKUP($A182,'Fuel economy adjusted factor'!$A$2:$L$52,5,FALSE)*m2k))/'TCO Inputs'!$AZ$84</f>
        <v>66.755216211750721</v>
      </c>
      <c r="AD182" s="98" cm="1">
        <f t="array" ref="AD182">SUMPRODUCT(INDEX(B182:AC182,,'TCO Inputs'!$AZ$12-2023+_xlfn.SEQUENCE('TCO Inputs'!$AZ$13))*INDEX('VKT US'!C74:AA74,,_xlfn.SEQUENCE('TCO Inputs'!$AZ$13)))*m2k*CONVERT(0.9072,"g","ton")</f>
        <v>20.345511012408011</v>
      </c>
      <c r="AF182" s="123" t="s">
        <v>196</v>
      </c>
      <c r="AG182" s="125">
        <f>AG70/293.07*(1/(VLOOKUP($AF182,'Fuel economy adjusted factor'!$A$2:$L$52,5,FALSE)*m2k))/'TCO Inputs'!$AZ$84</f>
        <v>77.331940068148086</v>
      </c>
      <c r="AH182" s="125">
        <f>AH70/293.07*(1/(VLOOKUP($AF182,'Fuel economy adjusted factor'!$A$2:$L$52,5,FALSE)*m2k))/'TCO Inputs'!$AZ$84</f>
        <v>77.331940068148086</v>
      </c>
      <c r="AI182" s="125">
        <f>AI70/293.07*(1/(VLOOKUP($AF182,'Fuel economy adjusted factor'!$A$2:$L$52,5,FALSE)*m2k))/'TCO Inputs'!$AZ$84</f>
        <v>77.331940068148086</v>
      </c>
      <c r="AJ182" s="125">
        <f>AJ70/293.07*(1/(VLOOKUP($AF182,'Fuel economy adjusted factor'!$A$2:$L$52,5,FALSE)*m2k))/'TCO Inputs'!$AZ$84</f>
        <v>77.331940068148086</v>
      </c>
      <c r="AK182" s="125">
        <f>AK70/293.07*(1/(VLOOKUP($AF182,'Fuel economy adjusted factor'!$A$2:$L$52,5,FALSE)*m2k))/'TCO Inputs'!$AZ$84</f>
        <v>77.331940068148086</v>
      </c>
      <c r="AL182" s="125">
        <f>AL70/293.07*(1/(VLOOKUP($AF182,'Fuel economy adjusted factor'!$A$2:$L$52,5,FALSE)*m2k))/'TCO Inputs'!$AZ$84</f>
        <v>77.331940068148086</v>
      </c>
      <c r="AM182" s="125">
        <f>AM70/293.07*(1/(VLOOKUP($AF182,'Fuel economy adjusted factor'!$A$2:$L$52,5,FALSE)*m2k))/'TCO Inputs'!$AZ$84</f>
        <v>77.331940068148086</v>
      </c>
      <c r="AN182" s="125">
        <f>AN70/293.07*(1/(VLOOKUP($AF182,'Fuel economy adjusted factor'!$A$2:$L$52,5,FALSE)*m2k))/'TCO Inputs'!$AZ$84</f>
        <v>77.331940068148086</v>
      </c>
      <c r="AO182" s="125">
        <f>AO70/293.07*(1/(VLOOKUP($AF182,'Fuel economy adjusted factor'!$A$2:$L$52,5,FALSE)*m2k))/'TCO Inputs'!$AZ$84</f>
        <v>77.331940068148086</v>
      </c>
      <c r="AP182" s="125">
        <f>AP70/293.07*(1/(VLOOKUP($AF182,'Fuel economy adjusted factor'!$A$2:$L$52,5,FALSE)*m2k))/'TCO Inputs'!$AZ$84</f>
        <v>77.331940068148086</v>
      </c>
      <c r="AQ182" s="125">
        <f>AQ70/293.07*(1/(VLOOKUP($AF182,'Fuel economy adjusted factor'!$A$2:$L$52,5,FALSE)*m2k))/'TCO Inputs'!$AZ$84</f>
        <v>77.331940068148086</v>
      </c>
      <c r="AR182" s="125">
        <f>AR70/293.07*(1/(VLOOKUP($AF182,'Fuel economy adjusted factor'!$A$2:$L$52,5,FALSE)*m2k))/'TCO Inputs'!$AZ$84</f>
        <v>77.331940068148086</v>
      </c>
      <c r="AS182" s="125">
        <f>AS70/293.07*(1/(VLOOKUP($AF182,'Fuel economy adjusted factor'!$A$2:$L$52,5,FALSE)*m2k))/'TCO Inputs'!$AZ$84</f>
        <v>77.331940068148086</v>
      </c>
      <c r="AT182" s="125">
        <f>AT70/293.07*(1/(VLOOKUP($AF182,'Fuel economy adjusted factor'!$A$2:$L$52,5,FALSE)*m2k))/'TCO Inputs'!$AZ$84</f>
        <v>77.331940068148086</v>
      </c>
      <c r="AU182" s="125">
        <f>AU70/293.07*(1/(VLOOKUP($AF182,'Fuel economy adjusted factor'!$A$2:$L$52,5,FALSE)*m2k))/'TCO Inputs'!$AZ$84</f>
        <v>77.331940068148086</v>
      </c>
      <c r="AV182" s="125">
        <f>AV70/293.07*(1/(VLOOKUP($AF182,'Fuel economy adjusted factor'!$A$2:$L$52,5,FALSE)*m2k))/'TCO Inputs'!$AZ$84</f>
        <v>77.331940068148086</v>
      </c>
      <c r="AW182" s="125">
        <f>AW70/293.07*(1/(VLOOKUP($AF182,'Fuel economy adjusted factor'!$A$2:$L$52,5,FALSE)*m2k))/'TCO Inputs'!$AZ$84</f>
        <v>77.331940068148086</v>
      </c>
      <c r="AX182" s="125">
        <f>AX70/293.07*(1/(VLOOKUP($AF182,'Fuel economy adjusted factor'!$A$2:$L$52,5,FALSE)*m2k))/'TCO Inputs'!$AZ$84</f>
        <v>77.331940068148086</v>
      </c>
      <c r="AY182" s="125">
        <f>AY70/293.07*(1/(VLOOKUP($AF182,'Fuel economy adjusted factor'!$A$2:$L$52,5,FALSE)*m2k))/'TCO Inputs'!$AZ$84</f>
        <v>77.331940068148086</v>
      </c>
      <c r="AZ182" s="125">
        <f>AZ70/293.07*(1/(VLOOKUP($AF182,'Fuel economy adjusted factor'!$A$2:$L$52,5,FALSE)*m2k))/'TCO Inputs'!$AZ$84</f>
        <v>77.331940068148086</v>
      </c>
      <c r="BA182" s="125">
        <f>BA70/293.07*(1/(VLOOKUP($AF182,'Fuel economy adjusted factor'!$A$2:$L$52,5,FALSE)*m2k))/'TCO Inputs'!$AZ$84</f>
        <v>77.331940068148086</v>
      </c>
      <c r="BB182" s="125">
        <f>BB70/293.07*(1/(VLOOKUP($AF182,'Fuel economy adjusted factor'!$A$2:$L$52,5,FALSE)*m2k))/'TCO Inputs'!$AZ$84</f>
        <v>77.331940068148086</v>
      </c>
      <c r="BC182" s="125">
        <f>BC70/293.07*(1/(VLOOKUP($AF182,'Fuel economy adjusted factor'!$A$2:$L$52,5,FALSE)*m2k))/'TCO Inputs'!$AZ$84</f>
        <v>77.331940068148086</v>
      </c>
      <c r="BD182" s="125">
        <f>BD70/293.07*(1/(VLOOKUP($AF182,'Fuel economy adjusted factor'!$A$2:$L$52,5,FALSE)*m2k))/'TCO Inputs'!$AZ$84</f>
        <v>77.331940068148086</v>
      </c>
      <c r="BE182" s="125">
        <f>BE70/293.07*(1/(VLOOKUP($AF182,'Fuel economy adjusted factor'!$A$2:$L$52,5,FALSE)*m2k))/'TCO Inputs'!$AZ$84</f>
        <v>77.331940068148086</v>
      </c>
      <c r="BF182" s="125">
        <f>BF70/293.07*(1/(VLOOKUP($AF182,'Fuel economy adjusted factor'!$A$2:$L$52,5,FALSE)*m2k))/'TCO Inputs'!$AZ$84</f>
        <v>77.331940068148086</v>
      </c>
      <c r="BG182" s="125">
        <f>BG70/293.07*(1/(VLOOKUP($AF182,'Fuel economy adjusted factor'!$A$2:$L$52,5,FALSE)*m2k))/'TCO Inputs'!$AZ$84</f>
        <v>77.331940068148086</v>
      </c>
      <c r="BH182" s="125">
        <f>BH70/293.07*(1/(VLOOKUP($AF182,'Fuel economy adjusted factor'!$A$2:$L$52,5,FALSE)*m2k))/'TCO Inputs'!$AZ$84</f>
        <v>77.331940068148086</v>
      </c>
      <c r="BI182" s="98" cm="1">
        <f t="array" ref="BI182">SUMPRODUCT(INDEX(AG182:BH182,,'TCO Inputs'!$AZ$12-2023+_xlfn.SEQUENCE('TCO Inputs'!$AZ$13))*INDEX('VKT US'!C74:AA74,,_xlfn.SEQUENCE('TCO Inputs'!$AZ$13)))*m2k*CONVERT(0.9072,"g","ton")</f>
        <v>23.569062128068271</v>
      </c>
    </row>
    <row r="183" spans="1:61" x14ac:dyDescent="0.25">
      <c r="A183" s="123" t="s">
        <v>197</v>
      </c>
      <c r="B183" s="125">
        <f>B71/293.07*(1/(VLOOKUP($A183,'Fuel economy adjusted factor'!$A$2:$L$52,5,FALSE)*m2k))/'TCO Inputs'!$AZ$84</f>
        <v>86.350161668776593</v>
      </c>
      <c r="C183" s="125">
        <f>C71/293.07*(1/(VLOOKUP($A183,'Fuel economy adjusted factor'!$A$2:$L$52,5,FALSE)*m2k))/'TCO Inputs'!$AZ$84</f>
        <v>86.350161668776593</v>
      </c>
      <c r="D183" s="125">
        <f>D71/293.07*(1/(VLOOKUP($A183,'Fuel economy adjusted factor'!$A$2:$L$52,5,FALSE)*m2k))/'TCO Inputs'!$AZ$84</f>
        <v>86.350161668776593</v>
      </c>
      <c r="E183" s="125">
        <f>E71/293.07*(1/(VLOOKUP($A183,'Fuel economy adjusted factor'!$A$2:$L$52,5,FALSE)*m2k))/'TCO Inputs'!$AZ$84</f>
        <v>86.350161668776593</v>
      </c>
      <c r="F183" s="125">
        <f>F71/293.07*(1/(VLOOKUP($A183,'Fuel economy adjusted factor'!$A$2:$L$52,5,FALSE)*m2k))/'TCO Inputs'!$AZ$84</f>
        <v>86.350161668776593</v>
      </c>
      <c r="G183" s="125">
        <f>G71/293.07*(1/(VLOOKUP($A183,'Fuel economy adjusted factor'!$A$2:$L$52,5,FALSE)*m2k))/'TCO Inputs'!$AZ$84</f>
        <v>86.350161668776593</v>
      </c>
      <c r="H183" s="125">
        <f>H71/293.07*(1/(VLOOKUP($A183,'Fuel economy adjusted factor'!$A$2:$L$52,5,FALSE)*m2k))/'TCO Inputs'!$AZ$84</f>
        <v>86.350161668776593</v>
      </c>
      <c r="I183" s="125">
        <f>I71/293.07*(1/(VLOOKUP($A183,'Fuel economy adjusted factor'!$A$2:$L$52,5,FALSE)*m2k))/'TCO Inputs'!$AZ$84</f>
        <v>86.350161668776593</v>
      </c>
      <c r="J183" s="125">
        <f>J71/293.07*(1/(VLOOKUP($A183,'Fuel economy adjusted factor'!$A$2:$L$52,5,FALSE)*m2k))/'TCO Inputs'!$AZ$84</f>
        <v>86.350161668776593</v>
      </c>
      <c r="K183" s="125">
        <f>K71/293.07*(1/(VLOOKUP($A183,'Fuel economy adjusted factor'!$A$2:$L$52,5,FALSE)*m2k))/'TCO Inputs'!$AZ$84</f>
        <v>86.350161668776593</v>
      </c>
      <c r="L183" s="125">
        <f>L71/293.07*(1/(VLOOKUP($A183,'Fuel economy adjusted factor'!$A$2:$L$52,5,FALSE)*m2k))/'TCO Inputs'!$AZ$84</f>
        <v>86.350161668776593</v>
      </c>
      <c r="M183" s="125">
        <f>M71/293.07*(1/(VLOOKUP($A183,'Fuel economy adjusted factor'!$A$2:$L$52,5,FALSE)*m2k))/'TCO Inputs'!$AZ$84</f>
        <v>86.350161668776593</v>
      </c>
      <c r="N183" s="125">
        <f>N71/293.07*(1/(VLOOKUP($A183,'Fuel economy adjusted factor'!$A$2:$L$52,5,FALSE)*m2k))/'TCO Inputs'!$AZ$84</f>
        <v>86.350161668776593</v>
      </c>
      <c r="O183" s="125">
        <f>O71/293.07*(1/(VLOOKUP($A183,'Fuel economy adjusted factor'!$A$2:$L$52,5,FALSE)*m2k))/'TCO Inputs'!$AZ$84</f>
        <v>86.350161668776593</v>
      </c>
      <c r="P183" s="125">
        <f>P71/293.07*(1/(VLOOKUP($A183,'Fuel economy adjusted factor'!$A$2:$L$52,5,FALSE)*m2k))/'TCO Inputs'!$AZ$84</f>
        <v>86.350161668776593</v>
      </c>
      <c r="Q183" s="125">
        <f>Q71/293.07*(1/(VLOOKUP($A183,'Fuel economy adjusted factor'!$A$2:$L$52,5,FALSE)*m2k))/'TCO Inputs'!$AZ$84</f>
        <v>86.350161668776593</v>
      </c>
      <c r="R183" s="125">
        <f>R71/293.07*(1/(VLOOKUP($A183,'Fuel economy adjusted factor'!$A$2:$L$52,5,FALSE)*m2k))/'TCO Inputs'!$AZ$84</f>
        <v>86.350161668776593</v>
      </c>
      <c r="S183" s="125">
        <f>S71/293.07*(1/(VLOOKUP($A183,'Fuel economy adjusted factor'!$A$2:$L$52,5,FALSE)*m2k))/'TCO Inputs'!$AZ$84</f>
        <v>86.350161668776593</v>
      </c>
      <c r="T183" s="125">
        <f>T71/293.07*(1/(VLOOKUP($A183,'Fuel economy adjusted factor'!$A$2:$L$52,5,FALSE)*m2k))/'TCO Inputs'!$AZ$84</f>
        <v>86.350161668776593</v>
      </c>
      <c r="U183" s="125">
        <f>U71/293.07*(1/(VLOOKUP($A183,'Fuel economy adjusted factor'!$A$2:$L$52,5,FALSE)*m2k))/'TCO Inputs'!$AZ$84</f>
        <v>86.350161668776593</v>
      </c>
      <c r="V183" s="125">
        <f>V71/293.07*(1/(VLOOKUP($A183,'Fuel economy adjusted factor'!$A$2:$L$52,5,FALSE)*m2k))/'TCO Inputs'!$AZ$84</f>
        <v>86.350161668776593</v>
      </c>
      <c r="W183" s="125">
        <f>W71/293.07*(1/(VLOOKUP($A183,'Fuel economy adjusted factor'!$A$2:$L$52,5,FALSE)*m2k))/'TCO Inputs'!$AZ$84</f>
        <v>86.350161668776593</v>
      </c>
      <c r="X183" s="125">
        <f>X71/293.07*(1/(VLOOKUP($A183,'Fuel economy adjusted factor'!$A$2:$L$52,5,FALSE)*m2k))/'TCO Inputs'!$AZ$84</f>
        <v>86.350161668776593</v>
      </c>
      <c r="Y183" s="125">
        <f>Y71/293.07*(1/(VLOOKUP($A183,'Fuel economy adjusted factor'!$A$2:$L$52,5,FALSE)*m2k))/'TCO Inputs'!$AZ$84</f>
        <v>86.350161668776593</v>
      </c>
      <c r="Z183" s="125">
        <f>Z71/293.07*(1/(VLOOKUP($A183,'Fuel economy adjusted factor'!$A$2:$L$52,5,FALSE)*m2k))/'TCO Inputs'!$AZ$84</f>
        <v>86.350161668776593</v>
      </c>
      <c r="AA183" s="125">
        <f>AA71/293.07*(1/(VLOOKUP($A183,'Fuel economy adjusted factor'!$A$2:$L$52,5,FALSE)*m2k))/'TCO Inputs'!$AZ$84</f>
        <v>86.350161668776593</v>
      </c>
      <c r="AB183" s="125">
        <f>AB71/293.07*(1/(VLOOKUP($A183,'Fuel economy adjusted factor'!$A$2:$L$52,5,FALSE)*m2k))/'TCO Inputs'!$AZ$84</f>
        <v>86.350161668776593</v>
      </c>
      <c r="AC183" s="125">
        <f>AC71/293.07*(1/(VLOOKUP($A183,'Fuel economy adjusted factor'!$A$2:$L$52,5,FALSE)*m2k))/'TCO Inputs'!$AZ$84</f>
        <v>86.350161668776593</v>
      </c>
      <c r="AD183" s="98" cm="1">
        <f t="array" ref="AD183">SUMPRODUCT(INDEX(B183:AC183,,'TCO Inputs'!$AZ$12-2023+_xlfn.SEQUENCE('TCO Inputs'!$AZ$13))*INDEX('VKT US'!C75:AA75,,_xlfn.SEQUENCE('TCO Inputs'!$AZ$13)))*m2k*CONVERT(0.9072,"g","ton")</f>
        <v>22.966076885448196</v>
      </c>
      <c r="AF183" s="123" t="s">
        <v>197</v>
      </c>
      <c r="AG183" s="125">
        <f>AG71/293.07*(1/(VLOOKUP($AF183,'Fuel economy adjusted factor'!$A$2:$L$52,5,FALSE)*m2k))/'TCO Inputs'!$AZ$84</f>
        <v>100.03151672616842</v>
      </c>
      <c r="AH183" s="125">
        <f>AH71/293.07*(1/(VLOOKUP($AF183,'Fuel economy adjusted factor'!$A$2:$L$52,5,FALSE)*m2k))/'TCO Inputs'!$AZ$84</f>
        <v>100.03151672616842</v>
      </c>
      <c r="AI183" s="125">
        <f>AI71/293.07*(1/(VLOOKUP($AF183,'Fuel economy adjusted factor'!$A$2:$L$52,5,FALSE)*m2k))/'TCO Inputs'!$AZ$84</f>
        <v>100.03151672616842</v>
      </c>
      <c r="AJ183" s="125">
        <f>AJ71/293.07*(1/(VLOOKUP($AF183,'Fuel economy adjusted factor'!$A$2:$L$52,5,FALSE)*m2k))/'TCO Inputs'!$AZ$84</f>
        <v>100.03151672616842</v>
      </c>
      <c r="AK183" s="125">
        <f>AK71/293.07*(1/(VLOOKUP($AF183,'Fuel economy adjusted factor'!$A$2:$L$52,5,FALSE)*m2k))/'TCO Inputs'!$AZ$84</f>
        <v>100.03151672616842</v>
      </c>
      <c r="AL183" s="125">
        <f>AL71/293.07*(1/(VLOOKUP($AF183,'Fuel economy adjusted factor'!$A$2:$L$52,5,FALSE)*m2k))/'TCO Inputs'!$AZ$84</f>
        <v>100.03151672616842</v>
      </c>
      <c r="AM183" s="125">
        <f>AM71/293.07*(1/(VLOOKUP($AF183,'Fuel economy adjusted factor'!$A$2:$L$52,5,FALSE)*m2k))/'TCO Inputs'!$AZ$84</f>
        <v>100.03151672616842</v>
      </c>
      <c r="AN183" s="125">
        <f>AN71/293.07*(1/(VLOOKUP($AF183,'Fuel economy adjusted factor'!$A$2:$L$52,5,FALSE)*m2k))/'TCO Inputs'!$AZ$84</f>
        <v>100.03151672616842</v>
      </c>
      <c r="AO183" s="125">
        <f>AO71/293.07*(1/(VLOOKUP($AF183,'Fuel economy adjusted factor'!$A$2:$L$52,5,FALSE)*m2k))/'TCO Inputs'!$AZ$84</f>
        <v>100.03151672616842</v>
      </c>
      <c r="AP183" s="125">
        <f>AP71/293.07*(1/(VLOOKUP($AF183,'Fuel economy adjusted factor'!$A$2:$L$52,5,FALSE)*m2k))/'TCO Inputs'!$AZ$84</f>
        <v>100.03151672616842</v>
      </c>
      <c r="AQ183" s="125">
        <f>AQ71/293.07*(1/(VLOOKUP($AF183,'Fuel economy adjusted factor'!$A$2:$L$52,5,FALSE)*m2k))/'TCO Inputs'!$AZ$84</f>
        <v>100.03151672616842</v>
      </c>
      <c r="AR183" s="125">
        <f>AR71/293.07*(1/(VLOOKUP($AF183,'Fuel economy adjusted factor'!$A$2:$L$52,5,FALSE)*m2k))/'TCO Inputs'!$AZ$84</f>
        <v>100.03151672616842</v>
      </c>
      <c r="AS183" s="125">
        <f>AS71/293.07*(1/(VLOOKUP($AF183,'Fuel economy adjusted factor'!$A$2:$L$52,5,FALSE)*m2k))/'TCO Inputs'!$AZ$84</f>
        <v>100.03151672616842</v>
      </c>
      <c r="AT183" s="125">
        <f>AT71/293.07*(1/(VLOOKUP($AF183,'Fuel economy adjusted factor'!$A$2:$L$52,5,FALSE)*m2k))/'TCO Inputs'!$AZ$84</f>
        <v>100.03151672616842</v>
      </c>
      <c r="AU183" s="125">
        <f>AU71/293.07*(1/(VLOOKUP($AF183,'Fuel economy adjusted factor'!$A$2:$L$52,5,FALSE)*m2k))/'TCO Inputs'!$AZ$84</f>
        <v>100.03151672616842</v>
      </c>
      <c r="AV183" s="125">
        <f>AV71/293.07*(1/(VLOOKUP($AF183,'Fuel economy adjusted factor'!$A$2:$L$52,5,FALSE)*m2k))/'TCO Inputs'!$AZ$84</f>
        <v>100.03151672616842</v>
      </c>
      <c r="AW183" s="125">
        <f>AW71/293.07*(1/(VLOOKUP($AF183,'Fuel economy adjusted factor'!$A$2:$L$52,5,FALSE)*m2k))/'TCO Inputs'!$AZ$84</f>
        <v>100.03151672616842</v>
      </c>
      <c r="AX183" s="125">
        <f>AX71/293.07*(1/(VLOOKUP($AF183,'Fuel economy adjusted factor'!$A$2:$L$52,5,FALSE)*m2k))/'TCO Inputs'!$AZ$84</f>
        <v>100.03151672616842</v>
      </c>
      <c r="AY183" s="125">
        <f>AY71/293.07*(1/(VLOOKUP($AF183,'Fuel economy adjusted factor'!$A$2:$L$52,5,FALSE)*m2k))/'TCO Inputs'!$AZ$84</f>
        <v>100.03151672616842</v>
      </c>
      <c r="AZ183" s="125">
        <f>AZ71/293.07*(1/(VLOOKUP($AF183,'Fuel economy adjusted factor'!$A$2:$L$52,5,FALSE)*m2k))/'TCO Inputs'!$AZ$84</f>
        <v>100.03151672616842</v>
      </c>
      <c r="BA183" s="125">
        <f>BA71/293.07*(1/(VLOOKUP($AF183,'Fuel economy adjusted factor'!$A$2:$L$52,5,FALSE)*m2k))/'TCO Inputs'!$AZ$84</f>
        <v>100.03151672616842</v>
      </c>
      <c r="BB183" s="125">
        <f>BB71/293.07*(1/(VLOOKUP($AF183,'Fuel economy adjusted factor'!$A$2:$L$52,5,FALSE)*m2k))/'TCO Inputs'!$AZ$84</f>
        <v>100.03151672616842</v>
      </c>
      <c r="BC183" s="125">
        <f>BC71/293.07*(1/(VLOOKUP($AF183,'Fuel economy adjusted factor'!$A$2:$L$52,5,FALSE)*m2k))/'TCO Inputs'!$AZ$84</f>
        <v>100.03151672616842</v>
      </c>
      <c r="BD183" s="125">
        <f>BD71/293.07*(1/(VLOOKUP($AF183,'Fuel economy adjusted factor'!$A$2:$L$52,5,FALSE)*m2k))/'TCO Inputs'!$AZ$84</f>
        <v>100.03151672616842</v>
      </c>
      <c r="BE183" s="125">
        <f>BE71/293.07*(1/(VLOOKUP($AF183,'Fuel economy adjusted factor'!$A$2:$L$52,5,FALSE)*m2k))/'TCO Inputs'!$AZ$84</f>
        <v>100.03151672616842</v>
      </c>
      <c r="BF183" s="125">
        <f>BF71/293.07*(1/(VLOOKUP($AF183,'Fuel economy adjusted factor'!$A$2:$L$52,5,FALSE)*m2k))/'TCO Inputs'!$AZ$84</f>
        <v>100.03151672616842</v>
      </c>
      <c r="BG183" s="125">
        <f>BG71/293.07*(1/(VLOOKUP($AF183,'Fuel economy adjusted factor'!$A$2:$L$52,5,FALSE)*m2k))/'TCO Inputs'!$AZ$84</f>
        <v>100.03151672616842</v>
      </c>
      <c r="BH183" s="125">
        <f>BH71/293.07*(1/(VLOOKUP($AF183,'Fuel economy adjusted factor'!$A$2:$L$52,5,FALSE)*m2k))/'TCO Inputs'!$AZ$84</f>
        <v>100.03151672616842</v>
      </c>
      <c r="BI183" s="98" cm="1">
        <f t="array" ref="BI183">SUMPRODUCT(INDEX(AG183:BH183,,'TCO Inputs'!$AZ$12-2023+_xlfn.SEQUENCE('TCO Inputs'!$AZ$13))*INDEX('VKT US'!C75:AA75,,_xlfn.SEQUENCE('TCO Inputs'!$AZ$13)))*m2k*CONVERT(0.9072,"g","ton")</f>
        <v>26.604831533649289</v>
      </c>
    </row>
    <row r="184" spans="1:61" x14ac:dyDescent="0.25">
      <c r="A184" s="123" t="s">
        <v>198</v>
      </c>
      <c r="B184" s="125">
        <f>B72/293.07*(1/(VLOOKUP($A184,'Fuel economy adjusted factor'!$A$2:$L$52,5,FALSE)*m2k))/'TCO Inputs'!$AZ$84</f>
        <v>253.32840110231658</v>
      </c>
      <c r="C184" s="125">
        <f>C72/293.07*(1/(VLOOKUP($A184,'Fuel economy adjusted factor'!$A$2:$L$52,5,FALSE)*m2k))/'TCO Inputs'!$AZ$84</f>
        <v>253.32840110231658</v>
      </c>
      <c r="D184" s="125">
        <f>D72/293.07*(1/(VLOOKUP($A184,'Fuel economy adjusted factor'!$A$2:$L$52,5,FALSE)*m2k))/'TCO Inputs'!$AZ$84</f>
        <v>253.32840110231658</v>
      </c>
      <c r="E184" s="125">
        <f>E72/293.07*(1/(VLOOKUP($A184,'Fuel economy adjusted factor'!$A$2:$L$52,5,FALSE)*m2k))/'TCO Inputs'!$AZ$84</f>
        <v>253.32840110231658</v>
      </c>
      <c r="F184" s="125">
        <f>F72/293.07*(1/(VLOOKUP($A184,'Fuel economy adjusted factor'!$A$2:$L$52,5,FALSE)*m2k))/'TCO Inputs'!$AZ$84</f>
        <v>253.32840110231658</v>
      </c>
      <c r="G184" s="125">
        <f>G72/293.07*(1/(VLOOKUP($A184,'Fuel economy adjusted factor'!$A$2:$L$52,5,FALSE)*m2k))/'TCO Inputs'!$AZ$84</f>
        <v>253.32840110231658</v>
      </c>
      <c r="H184" s="125">
        <f>H72/293.07*(1/(VLOOKUP($A184,'Fuel economy adjusted factor'!$A$2:$L$52,5,FALSE)*m2k))/'TCO Inputs'!$AZ$84</f>
        <v>253.32840110231658</v>
      </c>
      <c r="I184" s="125">
        <f>I72/293.07*(1/(VLOOKUP($A184,'Fuel economy adjusted factor'!$A$2:$L$52,5,FALSE)*m2k))/'TCO Inputs'!$AZ$84</f>
        <v>253.32840110231658</v>
      </c>
      <c r="J184" s="125">
        <f>J72/293.07*(1/(VLOOKUP($A184,'Fuel economy adjusted factor'!$A$2:$L$52,5,FALSE)*m2k))/'TCO Inputs'!$AZ$84</f>
        <v>253.32840110231658</v>
      </c>
      <c r="K184" s="125">
        <f>K72/293.07*(1/(VLOOKUP($A184,'Fuel economy adjusted factor'!$A$2:$L$52,5,FALSE)*m2k))/'TCO Inputs'!$AZ$84</f>
        <v>253.32840110231658</v>
      </c>
      <c r="L184" s="125">
        <f>L72/293.07*(1/(VLOOKUP($A184,'Fuel economy adjusted factor'!$A$2:$L$52,5,FALSE)*m2k))/'TCO Inputs'!$AZ$84</f>
        <v>253.32840110231658</v>
      </c>
      <c r="M184" s="125">
        <f>M72/293.07*(1/(VLOOKUP($A184,'Fuel economy adjusted factor'!$A$2:$L$52,5,FALSE)*m2k))/'TCO Inputs'!$AZ$84</f>
        <v>253.32840110231658</v>
      </c>
      <c r="N184" s="125">
        <f>N72/293.07*(1/(VLOOKUP($A184,'Fuel economy adjusted factor'!$A$2:$L$52,5,FALSE)*m2k))/'TCO Inputs'!$AZ$84</f>
        <v>253.32840110231658</v>
      </c>
      <c r="O184" s="125">
        <f>O72/293.07*(1/(VLOOKUP($A184,'Fuel economy adjusted factor'!$A$2:$L$52,5,FALSE)*m2k))/'TCO Inputs'!$AZ$84</f>
        <v>253.32840110231658</v>
      </c>
      <c r="P184" s="125">
        <f>P72/293.07*(1/(VLOOKUP($A184,'Fuel economy adjusted factor'!$A$2:$L$52,5,FALSE)*m2k))/'TCO Inputs'!$AZ$84</f>
        <v>253.32840110231658</v>
      </c>
      <c r="Q184" s="125">
        <f>Q72/293.07*(1/(VLOOKUP($A184,'Fuel economy adjusted factor'!$A$2:$L$52,5,FALSE)*m2k))/'TCO Inputs'!$AZ$84</f>
        <v>253.32840110231658</v>
      </c>
      <c r="R184" s="125">
        <f>R72/293.07*(1/(VLOOKUP($A184,'Fuel economy adjusted factor'!$A$2:$L$52,5,FALSE)*m2k))/'TCO Inputs'!$AZ$84</f>
        <v>253.32840110231658</v>
      </c>
      <c r="S184" s="125">
        <f>S72/293.07*(1/(VLOOKUP($A184,'Fuel economy adjusted factor'!$A$2:$L$52,5,FALSE)*m2k))/'TCO Inputs'!$AZ$84</f>
        <v>253.32840110231658</v>
      </c>
      <c r="T184" s="125">
        <f>T72/293.07*(1/(VLOOKUP($A184,'Fuel economy adjusted factor'!$A$2:$L$52,5,FALSE)*m2k))/'TCO Inputs'!$AZ$84</f>
        <v>253.32840110231658</v>
      </c>
      <c r="U184" s="125">
        <f>U72/293.07*(1/(VLOOKUP($A184,'Fuel economy adjusted factor'!$A$2:$L$52,5,FALSE)*m2k))/'TCO Inputs'!$AZ$84</f>
        <v>253.32840110231658</v>
      </c>
      <c r="V184" s="125">
        <f>V72/293.07*(1/(VLOOKUP($A184,'Fuel economy adjusted factor'!$A$2:$L$52,5,FALSE)*m2k))/'TCO Inputs'!$AZ$84</f>
        <v>253.32840110231658</v>
      </c>
      <c r="W184" s="125">
        <f>W72/293.07*(1/(VLOOKUP($A184,'Fuel economy adjusted factor'!$A$2:$L$52,5,FALSE)*m2k))/'TCO Inputs'!$AZ$84</f>
        <v>253.32840110231658</v>
      </c>
      <c r="X184" s="125">
        <f>X72/293.07*(1/(VLOOKUP($A184,'Fuel economy adjusted factor'!$A$2:$L$52,5,FALSE)*m2k))/'TCO Inputs'!$AZ$84</f>
        <v>253.32840110231658</v>
      </c>
      <c r="Y184" s="125">
        <f>Y72/293.07*(1/(VLOOKUP($A184,'Fuel economy adjusted factor'!$A$2:$L$52,5,FALSE)*m2k))/'TCO Inputs'!$AZ$84</f>
        <v>253.32840110231658</v>
      </c>
      <c r="Z184" s="125">
        <f>Z72/293.07*(1/(VLOOKUP($A184,'Fuel economy adjusted factor'!$A$2:$L$52,5,FALSE)*m2k))/'TCO Inputs'!$AZ$84</f>
        <v>253.32840110231658</v>
      </c>
      <c r="AA184" s="125">
        <f>AA72/293.07*(1/(VLOOKUP($A184,'Fuel economy adjusted factor'!$A$2:$L$52,5,FALSE)*m2k))/'TCO Inputs'!$AZ$84</f>
        <v>253.32840110231658</v>
      </c>
      <c r="AB184" s="125">
        <f>AB72/293.07*(1/(VLOOKUP($A184,'Fuel economy adjusted factor'!$A$2:$L$52,5,FALSE)*m2k))/'TCO Inputs'!$AZ$84</f>
        <v>253.32840110231658</v>
      </c>
      <c r="AC184" s="125">
        <f>AC72/293.07*(1/(VLOOKUP($A184,'Fuel economy adjusted factor'!$A$2:$L$52,5,FALSE)*m2k))/'TCO Inputs'!$AZ$84</f>
        <v>253.32840110231658</v>
      </c>
      <c r="AD184" s="98" cm="1">
        <f t="array" ref="AD184">SUMPRODUCT(INDEX(B184:AC184,,'TCO Inputs'!$AZ$12-2023+_xlfn.SEQUENCE('TCO Inputs'!$AZ$13))*INDEX('VKT US'!C76:AA76,,_xlfn.SEQUENCE('TCO Inputs'!$AZ$13)))*m2k*CONVERT(0.9072,"g","ton")</f>
        <v>96.525832918059734</v>
      </c>
      <c r="AF184" s="123" t="s">
        <v>198</v>
      </c>
      <c r="AG184" s="125">
        <f>AG72/293.07*(1/(VLOOKUP($AF184,'Fuel economy adjusted factor'!$A$2:$L$52,5,FALSE)*m2k))/'TCO Inputs'!$AZ$84</f>
        <v>293.46585695209978</v>
      </c>
      <c r="AH184" s="125">
        <f>AH72/293.07*(1/(VLOOKUP($AF184,'Fuel economy adjusted factor'!$A$2:$L$52,5,FALSE)*m2k))/'TCO Inputs'!$AZ$84</f>
        <v>293.46585695209978</v>
      </c>
      <c r="AI184" s="125">
        <f>AI72/293.07*(1/(VLOOKUP($AF184,'Fuel economy adjusted factor'!$A$2:$L$52,5,FALSE)*m2k))/'TCO Inputs'!$AZ$84</f>
        <v>293.46585695209978</v>
      </c>
      <c r="AJ184" s="125">
        <f>AJ72/293.07*(1/(VLOOKUP($AF184,'Fuel economy adjusted factor'!$A$2:$L$52,5,FALSE)*m2k))/'TCO Inputs'!$AZ$84</f>
        <v>293.46585695209978</v>
      </c>
      <c r="AK184" s="125">
        <f>AK72/293.07*(1/(VLOOKUP($AF184,'Fuel economy adjusted factor'!$A$2:$L$52,5,FALSE)*m2k))/'TCO Inputs'!$AZ$84</f>
        <v>293.46585695209978</v>
      </c>
      <c r="AL184" s="125">
        <f>AL72/293.07*(1/(VLOOKUP($AF184,'Fuel economy adjusted factor'!$A$2:$L$52,5,FALSE)*m2k))/'TCO Inputs'!$AZ$84</f>
        <v>293.46585695209978</v>
      </c>
      <c r="AM184" s="125">
        <f>AM72/293.07*(1/(VLOOKUP($AF184,'Fuel economy adjusted factor'!$A$2:$L$52,5,FALSE)*m2k))/'TCO Inputs'!$AZ$84</f>
        <v>293.46585695209978</v>
      </c>
      <c r="AN184" s="125">
        <f>AN72/293.07*(1/(VLOOKUP($AF184,'Fuel economy adjusted factor'!$A$2:$L$52,5,FALSE)*m2k))/'TCO Inputs'!$AZ$84</f>
        <v>293.46585695209978</v>
      </c>
      <c r="AO184" s="125">
        <f>AO72/293.07*(1/(VLOOKUP($AF184,'Fuel economy adjusted factor'!$A$2:$L$52,5,FALSE)*m2k))/'TCO Inputs'!$AZ$84</f>
        <v>293.46585695209978</v>
      </c>
      <c r="AP184" s="125">
        <f>AP72/293.07*(1/(VLOOKUP($AF184,'Fuel economy adjusted factor'!$A$2:$L$52,5,FALSE)*m2k))/'TCO Inputs'!$AZ$84</f>
        <v>293.46585695209978</v>
      </c>
      <c r="AQ184" s="125">
        <f>AQ72/293.07*(1/(VLOOKUP($AF184,'Fuel economy adjusted factor'!$A$2:$L$52,5,FALSE)*m2k))/'TCO Inputs'!$AZ$84</f>
        <v>293.46585695209978</v>
      </c>
      <c r="AR184" s="125">
        <f>AR72/293.07*(1/(VLOOKUP($AF184,'Fuel economy adjusted factor'!$A$2:$L$52,5,FALSE)*m2k))/'TCO Inputs'!$AZ$84</f>
        <v>293.46585695209978</v>
      </c>
      <c r="AS184" s="125">
        <f>AS72/293.07*(1/(VLOOKUP($AF184,'Fuel economy adjusted factor'!$A$2:$L$52,5,FALSE)*m2k))/'TCO Inputs'!$AZ$84</f>
        <v>293.46585695209978</v>
      </c>
      <c r="AT184" s="125">
        <f>AT72/293.07*(1/(VLOOKUP($AF184,'Fuel economy adjusted factor'!$A$2:$L$52,5,FALSE)*m2k))/'TCO Inputs'!$AZ$84</f>
        <v>293.46585695209978</v>
      </c>
      <c r="AU184" s="125">
        <f>AU72/293.07*(1/(VLOOKUP($AF184,'Fuel economy adjusted factor'!$A$2:$L$52,5,FALSE)*m2k))/'TCO Inputs'!$AZ$84</f>
        <v>293.46585695209978</v>
      </c>
      <c r="AV184" s="125">
        <f>AV72/293.07*(1/(VLOOKUP($AF184,'Fuel economy adjusted factor'!$A$2:$L$52,5,FALSE)*m2k))/'TCO Inputs'!$AZ$84</f>
        <v>293.46585695209978</v>
      </c>
      <c r="AW184" s="125">
        <f>AW72/293.07*(1/(VLOOKUP($AF184,'Fuel economy adjusted factor'!$A$2:$L$52,5,FALSE)*m2k))/'TCO Inputs'!$AZ$84</f>
        <v>293.46585695209978</v>
      </c>
      <c r="AX184" s="125">
        <f>AX72/293.07*(1/(VLOOKUP($AF184,'Fuel economy adjusted factor'!$A$2:$L$52,5,FALSE)*m2k))/'TCO Inputs'!$AZ$84</f>
        <v>293.46585695209978</v>
      </c>
      <c r="AY184" s="125">
        <f>AY72/293.07*(1/(VLOOKUP($AF184,'Fuel economy adjusted factor'!$A$2:$L$52,5,FALSE)*m2k))/'TCO Inputs'!$AZ$84</f>
        <v>293.46585695209978</v>
      </c>
      <c r="AZ184" s="125">
        <f>AZ72/293.07*(1/(VLOOKUP($AF184,'Fuel economy adjusted factor'!$A$2:$L$52,5,FALSE)*m2k))/'TCO Inputs'!$AZ$84</f>
        <v>293.46585695209978</v>
      </c>
      <c r="BA184" s="125">
        <f>BA72/293.07*(1/(VLOOKUP($AF184,'Fuel economy adjusted factor'!$A$2:$L$52,5,FALSE)*m2k))/'TCO Inputs'!$AZ$84</f>
        <v>293.46585695209978</v>
      </c>
      <c r="BB184" s="125">
        <f>BB72/293.07*(1/(VLOOKUP($AF184,'Fuel economy adjusted factor'!$A$2:$L$52,5,FALSE)*m2k))/'TCO Inputs'!$AZ$84</f>
        <v>293.46585695209978</v>
      </c>
      <c r="BC184" s="125">
        <f>BC72/293.07*(1/(VLOOKUP($AF184,'Fuel economy adjusted factor'!$A$2:$L$52,5,FALSE)*m2k))/'TCO Inputs'!$AZ$84</f>
        <v>293.46585695209978</v>
      </c>
      <c r="BD184" s="125">
        <f>BD72/293.07*(1/(VLOOKUP($AF184,'Fuel economy adjusted factor'!$A$2:$L$52,5,FALSE)*m2k))/'TCO Inputs'!$AZ$84</f>
        <v>293.46585695209978</v>
      </c>
      <c r="BE184" s="125">
        <f>BE72/293.07*(1/(VLOOKUP($AF184,'Fuel economy adjusted factor'!$A$2:$L$52,5,FALSE)*m2k))/'TCO Inputs'!$AZ$84</f>
        <v>293.46585695209978</v>
      </c>
      <c r="BF184" s="125">
        <f>BF72/293.07*(1/(VLOOKUP($AF184,'Fuel economy adjusted factor'!$A$2:$L$52,5,FALSE)*m2k))/'TCO Inputs'!$AZ$84</f>
        <v>293.46585695209978</v>
      </c>
      <c r="BG184" s="125">
        <f>BG72/293.07*(1/(VLOOKUP($AF184,'Fuel economy adjusted factor'!$A$2:$L$52,5,FALSE)*m2k))/'TCO Inputs'!$AZ$84</f>
        <v>293.46585695209978</v>
      </c>
      <c r="BH184" s="125">
        <f>BH72/293.07*(1/(VLOOKUP($AF184,'Fuel economy adjusted factor'!$A$2:$L$52,5,FALSE)*m2k))/'TCO Inputs'!$AZ$84</f>
        <v>293.46585695209978</v>
      </c>
      <c r="BI184" s="98" cm="1">
        <f t="array" ref="BI184">SUMPRODUCT(INDEX(AG184:BH184,,'TCO Inputs'!$AZ$12-2023+_xlfn.SEQUENCE('TCO Inputs'!$AZ$13))*INDEX('VKT US'!C76:AA76,,_xlfn.SEQUENCE('TCO Inputs'!$AZ$13)))*m2k*CONVERT(0.9072,"g","ton")</f>
        <v>111.81942550481195</v>
      </c>
    </row>
    <row r="185" spans="1:61" x14ac:dyDescent="0.25">
      <c r="A185" s="123" t="s">
        <v>195</v>
      </c>
      <c r="B185" s="125">
        <f>B73/293.07*(1/(VLOOKUP($A185,'Fuel economy adjusted factor'!$A$2:$L$52,5,FALSE)*m2k))/'TCO Inputs'!$AZ$84</f>
        <v>117.72519176035441</v>
      </c>
      <c r="C185" s="125">
        <f>C73/293.07*(1/(VLOOKUP($A185,'Fuel economy adjusted factor'!$A$2:$L$52,5,FALSE)*m2k))/'TCO Inputs'!$AZ$84</f>
        <v>117.72519176035441</v>
      </c>
      <c r="D185" s="125">
        <f>D73/293.07*(1/(VLOOKUP($A185,'Fuel economy adjusted factor'!$A$2:$L$52,5,FALSE)*m2k))/'TCO Inputs'!$AZ$84</f>
        <v>117.72519176035441</v>
      </c>
      <c r="E185" s="125">
        <f>E73/293.07*(1/(VLOOKUP($A185,'Fuel economy adjusted factor'!$A$2:$L$52,5,FALSE)*m2k))/'TCO Inputs'!$AZ$84</f>
        <v>117.72519176035441</v>
      </c>
      <c r="F185" s="125">
        <f>F73/293.07*(1/(VLOOKUP($A185,'Fuel economy adjusted factor'!$A$2:$L$52,5,FALSE)*m2k))/'TCO Inputs'!$AZ$84</f>
        <v>117.72519176035441</v>
      </c>
      <c r="G185" s="125">
        <f>G73/293.07*(1/(VLOOKUP($A185,'Fuel economy adjusted factor'!$A$2:$L$52,5,FALSE)*m2k))/'TCO Inputs'!$AZ$84</f>
        <v>117.72519176035441</v>
      </c>
      <c r="H185" s="125">
        <f>H73/293.07*(1/(VLOOKUP($A185,'Fuel economy adjusted factor'!$A$2:$L$52,5,FALSE)*m2k))/'TCO Inputs'!$AZ$84</f>
        <v>117.72519176035441</v>
      </c>
      <c r="I185" s="125">
        <f>I73/293.07*(1/(VLOOKUP($A185,'Fuel economy adjusted factor'!$A$2:$L$52,5,FALSE)*m2k))/'TCO Inputs'!$AZ$84</f>
        <v>117.72519176035441</v>
      </c>
      <c r="J185" s="125">
        <f>J73/293.07*(1/(VLOOKUP($A185,'Fuel economy adjusted factor'!$A$2:$L$52,5,FALSE)*m2k))/'TCO Inputs'!$AZ$84</f>
        <v>117.72519176035441</v>
      </c>
      <c r="K185" s="125">
        <f>K73/293.07*(1/(VLOOKUP($A185,'Fuel economy adjusted factor'!$A$2:$L$52,5,FALSE)*m2k))/'TCO Inputs'!$AZ$84</f>
        <v>117.72519176035441</v>
      </c>
      <c r="L185" s="125">
        <f>L73/293.07*(1/(VLOOKUP($A185,'Fuel economy adjusted factor'!$A$2:$L$52,5,FALSE)*m2k))/'TCO Inputs'!$AZ$84</f>
        <v>117.72519176035441</v>
      </c>
      <c r="M185" s="125">
        <f>M73/293.07*(1/(VLOOKUP($A185,'Fuel economy adjusted factor'!$A$2:$L$52,5,FALSE)*m2k))/'TCO Inputs'!$AZ$84</f>
        <v>117.72519176035441</v>
      </c>
      <c r="N185" s="125">
        <f>N73/293.07*(1/(VLOOKUP($A185,'Fuel economy adjusted factor'!$A$2:$L$52,5,FALSE)*m2k))/'TCO Inputs'!$AZ$84</f>
        <v>117.72519176035441</v>
      </c>
      <c r="O185" s="125">
        <f>O73/293.07*(1/(VLOOKUP($A185,'Fuel economy adjusted factor'!$A$2:$L$52,5,FALSE)*m2k))/'TCO Inputs'!$AZ$84</f>
        <v>117.72519176035441</v>
      </c>
      <c r="P185" s="125">
        <f>P73/293.07*(1/(VLOOKUP($A185,'Fuel economy adjusted factor'!$A$2:$L$52,5,FALSE)*m2k))/'TCO Inputs'!$AZ$84</f>
        <v>117.72519176035441</v>
      </c>
      <c r="Q185" s="125">
        <f>Q73/293.07*(1/(VLOOKUP($A185,'Fuel economy adjusted factor'!$A$2:$L$52,5,FALSE)*m2k))/'TCO Inputs'!$AZ$84</f>
        <v>117.72519176035441</v>
      </c>
      <c r="R185" s="125">
        <f>R73/293.07*(1/(VLOOKUP($A185,'Fuel economy adjusted factor'!$A$2:$L$52,5,FALSE)*m2k))/'TCO Inputs'!$AZ$84</f>
        <v>117.72519176035441</v>
      </c>
      <c r="S185" s="125">
        <f>S73/293.07*(1/(VLOOKUP($A185,'Fuel economy adjusted factor'!$A$2:$L$52,5,FALSE)*m2k))/'TCO Inputs'!$AZ$84</f>
        <v>117.72519176035441</v>
      </c>
      <c r="T185" s="125">
        <f>T73/293.07*(1/(VLOOKUP($A185,'Fuel economy adjusted factor'!$A$2:$L$52,5,FALSE)*m2k))/'TCO Inputs'!$AZ$84</f>
        <v>117.72519176035441</v>
      </c>
      <c r="U185" s="125">
        <f>U73/293.07*(1/(VLOOKUP($A185,'Fuel economy adjusted factor'!$A$2:$L$52,5,FALSE)*m2k))/'TCO Inputs'!$AZ$84</f>
        <v>117.72519176035441</v>
      </c>
      <c r="V185" s="125">
        <f>V73/293.07*(1/(VLOOKUP($A185,'Fuel economy adjusted factor'!$A$2:$L$52,5,FALSE)*m2k))/'TCO Inputs'!$AZ$84</f>
        <v>117.72519176035441</v>
      </c>
      <c r="W185" s="125">
        <f>W73/293.07*(1/(VLOOKUP($A185,'Fuel economy adjusted factor'!$A$2:$L$52,5,FALSE)*m2k))/'TCO Inputs'!$AZ$84</f>
        <v>117.72519176035441</v>
      </c>
      <c r="X185" s="125">
        <f>X73/293.07*(1/(VLOOKUP($A185,'Fuel economy adjusted factor'!$A$2:$L$52,5,FALSE)*m2k))/'TCO Inputs'!$AZ$84</f>
        <v>117.72519176035441</v>
      </c>
      <c r="Y185" s="125">
        <f>Y73/293.07*(1/(VLOOKUP($A185,'Fuel economy adjusted factor'!$A$2:$L$52,5,FALSE)*m2k))/'TCO Inputs'!$AZ$84</f>
        <v>117.72519176035441</v>
      </c>
      <c r="Z185" s="125">
        <f>Z73/293.07*(1/(VLOOKUP($A185,'Fuel economy adjusted factor'!$A$2:$L$52,5,FALSE)*m2k))/'TCO Inputs'!$AZ$84</f>
        <v>117.72519176035441</v>
      </c>
      <c r="AA185" s="125">
        <f>AA73/293.07*(1/(VLOOKUP($A185,'Fuel economy adjusted factor'!$A$2:$L$52,5,FALSE)*m2k))/'TCO Inputs'!$AZ$84</f>
        <v>117.72519176035441</v>
      </c>
      <c r="AB185" s="125">
        <f>AB73/293.07*(1/(VLOOKUP($A185,'Fuel economy adjusted factor'!$A$2:$L$52,5,FALSE)*m2k))/'TCO Inputs'!$AZ$84</f>
        <v>117.72519176035441</v>
      </c>
      <c r="AC185" s="125">
        <f>AC73/293.07*(1/(VLOOKUP($A185,'Fuel economy adjusted factor'!$A$2:$L$52,5,FALSE)*m2k))/'TCO Inputs'!$AZ$84</f>
        <v>117.72519176035441</v>
      </c>
      <c r="AD185" s="98" cm="1">
        <f t="array" ref="AD185">SUMPRODUCT(INDEX(B185:AC185,,'TCO Inputs'!$AZ$12-2023+_xlfn.SEQUENCE('TCO Inputs'!$AZ$13))*INDEX('VKT US'!C77:AA77,,_xlfn.SEQUENCE('TCO Inputs'!$AZ$13)))*m2k*CONVERT(0.9072,"g","ton")</f>
        <v>36.696334042185207</v>
      </c>
      <c r="AF185" s="123" t="s">
        <v>195</v>
      </c>
      <c r="AG185" s="125">
        <f>AG73/293.07*(1/(VLOOKUP($AF185,'Fuel economy adjusted factor'!$A$2:$L$52,5,FALSE)*m2k))/'TCO Inputs'!$AZ$84</f>
        <v>136.37761946339759</v>
      </c>
      <c r="AH185" s="125">
        <f>AH73/293.07*(1/(VLOOKUP($AF185,'Fuel economy adjusted factor'!$A$2:$L$52,5,FALSE)*m2k))/'TCO Inputs'!$AZ$84</f>
        <v>136.37761946339759</v>
      </c>
      <c r="AI185" s="125">
        <f>AI73/293.07*(1/(VLOOKUP($AF185,'Fuel economy adjusted factor'!$A$2:$L$52,5,FALSE)*m2k))/'TCO Inputs'!$AZ$84</f>
        <v>136.37761946339759</v>
      </c>
      <c r="AJ185" s="125">
        <f>AJ73/293.07*(1/(VLOOKUP($AF185,'Fuel economy adjusted factor'!$A$2:$L$52,5,FALSE)*m2k))/'TCO Inputs'!$AZ$84</f>
        <v>136.37761946339759</v>
      </c>
      <c r="AK185" s="125">
        <f>AK73/293.07*(1/(VLOOKUP($AF185,'Fuel economy adjusted factor'!$A$2:$L$52,5,FALSE)*m2k))/'TCO Inputs'!$AZ$84</f>
        <v>136.37761946339759</v>
      </c>
      <c r="AL185" s="125">
        <f>AL73/293.07*(1/(VLOOKUP($AF185,'Fuel economy adjusted factor'!$A$2:$L$52,5,FALSE)*m2k))/'TCO Inputs'!$AZ$84</f>
        <v>136.37761946339759</v>
      </c>
      <c r="AM185" s="125">
        <f>AM73/293.07*(1/(VLOOKUP($AF185,'Fuel economy adjusted factor'!$A$2:$L$52,5,FALSE)*m2k))/'TCO Inputs'!$AZ$84</f>
        <v>136.37761946339759</v>
      </c>
      <c r="AN185" s="125">
        <f>AN73/293.07*(1/(VLOOKUP($AF185,'Fuel economy adjusted factor'!$A$2:$L$52,5,FALSE)*m2k))/'TCO Inputs'!$AZ$84</f>
        <v>136.37761946339759</v>
      </c>
      <c r="AO185" s="125">
        <f>AO73/293.07*(1/(VLOOKUP($AF185,'Fuel economy adjusted factor'!$A$2:$L$52,5,FALSE)*m2k))/'TCO Inputs'!$AZ$84</f>
        <v>136.37761946339759</v>
      </c>
      <c r="AP185" s="125">
        <f>AP73/293.07*(1/(VLOOKUP($AF185,'Fuel economy adjusted factor'!$A$2:$L$52,5,FALSE)*m2k))/'TCO Inputs'!$AZ$84</f>
        <v>136.37761946339759</v>
      </c>
      <c r="AQ185" s="125">
        <f>AQ73/293.07*(1/(VLOOKUP($AF185,'Fuel economy adjusted factor'!$A$2:$L$52,5,FALSE)*m2k))/'TCO Inputs'!$AZ$84</f>
        <v>136.37761946339759</v>
      </c>
      <c r="AR185" s="125">
        <f>AR73/293.07*(1/(VLOOKUP($AF185,'Fuel economy adjusted factor'!$A$2:$L$52,5,FALSE)*m2k))/'TCO Inputs'!$AZ$84</f>
        <v>136.37761946339759</v>
      </c>
      <c r="AS185" s="125">
        <f>AS73/293.07*(1/(VLOOKUP($AF185,'Fuel economy adjusted factor'!$A$2:$L$52,5,FALSE)*m2k))/'TCO Inputs'!$AZ$84</f>
        <v>136.37761946339759</v>
      </c>
      <c r="AT185" s="125">
        <f>AT73/293.07*(1/(VLOOKUP($AF185,'Fuel economy adjusted factor'!$A$2:$L$52,5,FALSE)*m2k))/'TCO Inputs'!$AZ$84</f>
        <v>136.37761946339759</v>
      </c>
      <c r="AU185" s="125">
        <f>AU73/293.07*(1/(VLOOKUP($AF185,'Fuel economy adjusted factor'!$A$2:$L$52,5,FALSE)*m2k))/'TCO Inputs'!$AZ$84</f>
        <v>136.37761946339759</v>
      </c>
      <c r="AV185" s="125">
        <f>AV73/293.07*(1/(VLOOKUP($AF185,'Fuel economy adjusted factor'!$A$2:$L$52,5,FALSE)*m2k))/'TCO Inputs'!$AZ$84</f>
        <v>136.37761946339759</v>
      </c>
      <c r="AW185" s="125">
        <f>AW73/293.07*(1/(VLOOKUP($AF185,'Fuel economy adjusted factor'!$A$2:$L$52,5,FALSE)*m2k))/'TCO Inputs'!$AZ$84</f>
        <v>136.37761946339759</v>
      </c>
      <c r="AX185" s="125">
        <f>AX73/293.07*(1/(VLOOKUP($AF185,'Fuel economy adjusted factor'!$A$2:$L$52,5,FALSE)*m2k))/'TCO Inputs'!$AZ$84</f>
        <v>136.37761946339759</v>
      </c>
      <c r="AY185" s="125">
        <f>AY73/293.07*(1/(VLOOKUP($AF185,'Fuel economy adjusted factor'!$A$2:$L$52,5,FALSE)*m2k))/'TCO Inputs'!$AZ$84</f>
        <v>136.37761946339759</v>
      </c>
      <c r="AZ185" s="125">
        <f>AZ73/293.07*(1/(VLOOKUP($AF185,'Fuel economy adjusted factor'!$A$2:$L$52,5,FALSE)*m2k))/'TCO Inputs'!$AZ$84</f>
        <v>136.37761946339759</v>
      </c>
      <c r="BA185" s="125">
        <f>BA73/293.07*(1/(VLOOKUP($AF185,'Fuel economy adjusted factor'!$A$2:$L$52,5,FALSE)*m2k))/'TCO Inputs'!$AZ$84</f>
        <v>136.37761946339759</v>
      </c>
      <c r="BB185" s="125">
        <f>BB73/293.07*(1/(VLOOKUP($AF185,'Fuel economy adjusted factor'!$A$2:$L$52,5,FALSE)*m2k))/'TCO Inputs'!$AZ$84</f>
        <v>136.37761946339759</v>
      </c>
      <c r="BC185" s="125">
        <f>BC73/293.07*(1/(VLOOKUP($AF185,'Fuel economy adjusted factor'!$A$2:$L$52,5,FALSE)*m2k))/'TCO Inputs'!$AZ$84</f>
        <v>136.37761946339759</v>
      </c>
      <c r="BD185" s="125">
        <f>BD73/293.07*(1/(VLOOKUP($AF185,'Fuel economy adjusted factor'!$A$2:$L$52,5,FALSE)*m2k))/'TCO Inputs'!$AZ$84</f>
        <v>136.37761946339759</v>
      </c>
      <c r="BE185" s="125">
        <f>BE73/293.07*(1/(VLOOKUP($AF185,'Fuel economy adjusted factor'!$A$2:$L$52,5,FALSE)*m2k))/'TCO Inputs'!$AZ$84</f>
        <v>136.37761946339759</v>
      </c>
      <c r="BF185" s="125">
        <f>BF73/293.07*(1/(VLOOKUP($AF185,'Fuel economy adjusted factor'!$A$2:$L$52,5,FALSE)*m2k))/'TCO Inputs'!$AZ$84</f>
        <v>136.37761946339759</v>
      </c>
      <c r="BG185" s="125">
        <f>BG73/293.07*(1/(VLOOKUP($AF185,'Fuel economy adjusted factor'!$A$2:$L$52,5,FALSE)*m2k))/'TCO Inputs'!$AZ$84</f>
        <v>136.37761946339759</v>
      </c>
      <c r="BH185" s="125">
        <f>BH73/293.07*(1/(VLOOKUP($AF185,'Fuel economy adjusted factor'!$A$2:$L$52,5,FALSE)*m2k))/'TCO Inputs'!$AZ$84</f>
        <v>136.37761946339759</v>
      </c>
      <c r="BI185" s="98" cm="1">
        <f t="array" ref="BI185">SUMPRODUCT(INDEX(AG185:BH185,,'TCO Inputs'!$AZ$12-2023+_xlfn.SEQUENCE('TCO Inputs'!$AZ$13))*INDEX('VKT US'!C77:AA77,,_xlfn.SEQUENCE('TCO Inputs'!$AZ$13)))*m2k*CONVERT(0.9072,"g","ton")</f>
        <v>42.510516269910305</v>
      </c>
    </row>
    <row r="186" spans="1:61" x14ac:dyDescent="0.25">
      <c r="A186" s="123" t="s">
        <v>199</v>
      </c>
      <c r="B186" s="125">
        <f>B74/293.07*(1/(VLOOKUP($A186,'Fuel economy adjusted factor'!$A$2:$L$52,5,FALSE)*m2k))/'TCO Inputs'!$AZ$84</f>
        <v>123.12450975648932</v>
      </c>
      <c r="C186" s="125">
        <f>C74/293.07*(1/(VLOOKUP($A186,'Fuel economy adjusted factor'!$A$2:$L$52,5,FALSE)*m2k))/'TCO Inputs'!$AZ$84</f>
        <v>123.12450975648932</v>
      </c>
      <c r="D186" s="125">
        <f>D74/293.07*(1/(VLOOKUP($A186,'Fuel economy adjusted factor'!$A$2:$L$52,5,FALSE)*m2k))/'TCO Inputs'!$AZ$84</f>
        <v>123.12450975648932</v>
      </c>
      <c r="E186" s="125">
        <f>E74/293.07*(1/(VLOOKUP($A186,'Fuel economy adjusted factor'!$A$2:$L$52,5,FALSE)*m2k))/'TCO Inputs'!$AZ$84</f>
        <v>123.12450975648932</v>
      </c>
      <c r="F186" s="125">
        <f>F74/293.07*(1/(VLOOKUP($A186,'Fuel economy adjusted factor'!$A$2:$L$52,5,FALSE)*m2k))/'TCO Inputs'!$AZ$84</f>
        <v>123.12450975648932</v>
      </c>
      <c r="G186" s="125">
        <f>G74/293.07*(1/(VLOOKUP($A186,'Fuel economy adjusted factor'!$A$2:$L$52,5,FALSE)*m2k))/'TCO Inputs'!$AZ$84</f>
        <v>123.12450975648932</v>
      </c>
      <c r="H186" s="125">
        <f>H74/293.07*(1/(VLOOKUP($A186,'Fuel economy adjusted factor'!$A$2:$L$52,5,FALSE)*m2k))/'TCO Inputs'!$AZ$84</f>
        <v>123.12450975648932</v>
      </c>
      <c r="I186" s="125">
        <f>I74/293.07*(1/(VLOOKUP($A186,'Fuel economy adjusted factor'!$A$2:$L$52,5,FALSE)*m2k))/'TCO Inputs'!$AZ$84</f>
        <v>123.12450975648932</v>
      </c>
      <c r="J186" s="125">
        <f>J74/293.07*(1/(VLOOKUP($A186,'Fuel economy adjusted factor'!$A$2:$L$52,5,FALSE)*m2k))/'TCO Inputs'!$AZ$84</f>
        <v>123.12450975648932</v>
      </c>
      <c r="K186" s="125">
        <f>K74/293.07*(1/(VLOOKUP($A186,'Fuel economy adjusted factor'!$A$2:$L$52,5,FALSE)*m2k))/'TCO Inputs'!$AZ$84</f>
        <v>123.12450975648932</v>
      </c>
      <c r="L186" s="125">
        <f>L74/293.07*(1/(VLOOKUP($A186,'Fuel economy adjusted factor'!$A$2:$L$52,5,FALSE)*m2k))/'TCO Inputs'!$AZ$84</f>
        <v>123.12450975648932</v>
      </c>
      <c r="M186" s="125">
        <f>M74/293.07*(1/(VLOOKUP($A186,'Fuel economy adjusted factor'!$A$2:$L$52,5,FALSE)*m2k))/'TCO Inputs'!$AZ$84</f>
        <v>123.12450975648932</v>
      </c>
      <c r="N186" s="125">
        <f>N74/293.07*(1/(VLOOKUP($A186,'Fuel economy adjusted factor'!$A$2:$L$52,5,FALSE)*m2k))/'TCO Inputs'!$AZ$84</f>
        <v>123.12450975648932</v>
      </c>
      <c r="O186" s="125">
        <f>O74/293.07*(1/(VLOOKUP($A186,'Fuel economy adjusted factor'!$A$2:$L$52,5,FALSE)*m2k))/'TCO Inputs'!$AZ$84</f>
        <v>123.12450975648932</v>
      </c>
      <c r="P186" s="125">
        <f>P74/293.07*(1/(VLOOKUP($A186,'Fuel economy adjusted factor'!$A$2:$L$52,5,FALSE)*m2k))/'TCO Inputs'!$AZ$84</f>
        <v>123.12450975648932</v>
      </c>
      <c r="Q186" s="125">
        <f>Q74/293.07*(1/(VLOOKUP($A186,'Fuel economy adjusted factor'!$A$2:$L$52,5,FALSE)*m2k))/'TCO Inputs'!$AZ$84</f>
        <v>123.12450975648932</v>
      </c>
      <c r="R186" s="125">
        <f>R74/293.07*(1/(VLOOKUP($A186,'Fuel economy adjusted factor'!$A$2:$L$52,5,FALSE)*m2k))/'TCO Inputs'!$AZ$84</f>
        <v>123.12450975648932</v>
      </c>
      <c r="S186" s="125">
        <f>S74/293.07*(1/(VLOOKUP($A186,'Fuel economy adjusted factor'!$A$2:$L$52,5,FALSE)*m2k))/'TCO Inputs'!$AZ$84</f>
        <v>123.12450975648932</v>
      </c>
      <c r="T186" s="125">
        <f>T74/293.07*(1/(VLOOKUP($A186,'Fuel economy adjusted factor'!$A$2:$L$52,5,FALSE)*m2k))/'TCO Inputs'!$AZ$84</f>
        <v>123.12450975648932</v>
      </c>
      <c r="U186" s="125">
        <f>U74/293.07*(1/(VLOOKUP($A186,'Fuel economy adjusted factor'!$A$2:$L$52,5,FALSE)*m2k))/'TCO Inputs'!$AZ$84</f>
        <v>123.12450975648932</v>
      </c>
      <c r="V186" s="125">
        <f>V74/293.07*(1/(VLOOKUP($A186,'Fuel economy adjusted factor'!$A$2:$L$52,5,FALSE)*m2k))/'TCO Inputs'!$AZ$84</f>
        <v>123.12450975648932</v>
      </c>
      <c r="W186" s="125">
        <f>W74/293.07*(1/(VLOOKUP($A186,'Fuel economy adjusted factor'!$A$2:$L$52,5,FALSE)*m2k))/'TCO Inputs'!$AZ$84</f>
        <v>123.12450975648932</v>
      </c>
      <c r="X186" s="125">
        <f>X74/293.07*(1/(VLOOKUP($A186,'Fuel economy adjusted factor'!$A$2:$L$52,5,FALSE)*m2k))/'TCO Inputs'!$AZ$84</f>
        <v>123.12450975648932</v>
      </c>
      <c r="Y186" s="125">
        <f>Y74/293.07*(1/(VLOOKUP($A186,'Fuel economy adjusted factor'!$A$2:$L$52,5,FALSE)*m2k))/'TCO Inputs'!$AZ$84</f>
        <v>123.12450975648932</v>
      </c>
      <c r="Z186" s="125">
        <f>Z74/293.07*(1/(VLOOKUP($A186,'Fuel economy adjusted factor'!$A$2:$L$52,5,FALSE)*m2k))/'TCO Inputs'!$AZ$84</f>
        <v>123.12450975648932</v>
      </c>
      <c r="AA186" s="125">
        <f>AA74/293.07*(1/(VLOOKUP($A186,'Fuel economy adjusted factor'!$A$2:$L$52,5,FALSE)*m2k))/'TCO Inputs'!$AZ$84</f>
        <v>123.12450975648932</v>
      </c>
      <c r="AB186" s="125">
        <f>AB74/293.07*(1/(VLOOKUP($A186,'Fuel economy adjusted factor'!$A$2:$L$52,5,FALSE)*m2k))/'TCO Inputs'!$AZ$84</f>
        <v>123.12450975648932</v>
      </c>
      <c r="AC186" s="125">
        <f>AC74/293.07*(1/(VLOOKUP($A186,'Fuel economy adjusted factor'!$A$2:$L$52,5,FALSE)*m2k))/'TCO Inputs'!$AZ$84</f>
        <v>123.12450975648932</v>
      </c>
      <c r="AD186" s="98" cm="1">
        <f t="array" ref="AD186">SUMPRODUCT(INDEX(B186:AC186,,'TCO Inputs'!$AZ$12-2023+_xlfn.SEQUENCE('TCO Inputs'!$AZ$13))*INDEX('VKT US'!C78:AA78,,_xlfn.SEQUENCE('TCO Inputs'!$AZ$13)))*m2k*CONVERT(0.9072,"g","ton")</f>
        <v>38.473068728485693</v>
      </c>
      <c r="AF186" s="123" t="s">
        <v>199</v>
      </c>
      <c r="AG186" s="125">
        <f>AG74/293.07*(1/(VLOOKUP($AF186,'Fuel economy adjusted factor'!$A$2:$L$52,5,FALSE)*m2k))/'TCO Inputs'!$AZ$84</f>
        <v>142.63240761900062</v>
      </c>
      <c r="AH186" s="125">
        <f>AH74/293.07*(1/(VLOOKUP($AF186,'Fuel economy adjusted factor'!$A$2:$L$52,5,FALSE)*m2k))/'TCO Inputs'!$AZ$84</f>
        <v>142.63240761900062</v>
      </c>
      <c r="AI186" s="125">
        <f>AI74/293.07*(1/(VLOOKUP($AF186,'Fuel economy adjusted factor'!$A$2:$L$52,5,FALSE)*m2k))/'TCO Inputs'!$AZ$84</f>
        <v>142.63240761900062</v>
      </c>
      <c r="AJ186" s="125">
        <f>AJ74/293.07*(1/(VLOOKUP($AF186,'Fuel economy adjusted factor'!$A$2:$L$52,5,FALSE)*m2k))/'TCO Inputs'!$AZ$84</f>
        <v>142.63240761900062</v>
      </c>
      <c r="AK186" s="125">
        <f>AK74/293.07*(1/(VLOOKUP($AF186,'Fuel economy adjusted factor'!$A$2:$L$52,5,FALSE)*m2k))/'TCO Inputs'!$AZ$84</f>
        <v>142.63240761900062</v>
      </c>
      <c r="AL186" s="125">
        <f>AL74/293.07*(1/(VLOOKUP($AF186,'Fuel economy adjusted factor'!$A$2:$L$52,5,FALSE)*m2k))/'TCO Inputs'!$AZ$84</f>
        <v>142.63240761900062</v>
      </c>
      <c r="AM186" s="125">
        <f>AM74/293.07*(1/(VLOOKUP($AF186,'Fuel economy adjusted factor'!$A$2:$L$52,5,FALSE)*m2k))/'TCO Inputs'!$AZ$84</f>
        <v>142.63240761900062</v>
      </c>
      <c r="AN186" s="125">
        <f>AN74/293.07*(1/(VLOOKUP($AF186,'Fuel economy adjusted factor'!$A$2:$L$52,5,FALSE)*m2k))/'TCO Inputs'!$AZ$84</f>
        <v>142.63240761900062</v>
      </c>
      <c r="AO186" s="125">
        <f>AO74/293.07*(1/(VLOOKUP($AF186,'Fuel economy adjusted factor'!$A$2:$L$52,5,FALSE)*m2k))/'TCO Inputs'!$AZ$84</f>
        <v>142.63240761900062</v>
      </c>
      <c r="AP186" s="125">
        <f>AP74/293.07*(1/(VLOOKUP($AF186,'Fuel economy adjusted factor'!$A$2:$L$52,5,FALSE)*m2k))/'TCO Inputs'!$AZ$84</f>
        <v>142.63240761900062</v>
      </c>
      <c r="AQ186" s="125">
        <f>AQ74/293.07*(1/(VLOOKUP($AF186,'Fuel economy adjusted factor'!$A$2:$L$52,5,FALSE)*m2k))/'TCO Inputs'!$AZ$84</f>
        <v>142.63240761900062</v>
      </c>
      <c r="AR186" s="125">
        <f>AR74/293.07*(1/(VLOOKUP($AF186,'Fuel economy adjusted factor'!$A$2:$L$52,5,FALSE)*m2k))/'TCO Inputs'!$AZ$84</f>
        <v>142.63240761900062</v>
      </c>
      <c r="AS186" s="125">
        <f>AS74/293.07*(1/(VLOOKUP($AF186,'Fuel economy adjusted factor'!$A$2:$L$52,5,FALSE)*m2k))/'TCO Inputs'!$AZ$84</f>
        <v>142.63240761900062</v>
      </c>
      <c r="AT186" s="125">
        <f>AT74/293.07*(1/(VLOOKUP($AF186,'Fuel economy adjusted factor'!$A$2:$L$52,5,FALSE)*m2k))/'TCO Inputs'!$AZ$84</f>
        <v>142.63240761900062</v>
      </c>
      <c r="AU186" s="125">
        <f>AU74/293.07*(1/(VLOOKUP($AF186,'Fuel economy adjusted factor'!$A$2:$L$52,5,FALSE)*m2k))/'TCO Inputs'!$AZ$84</f>
        <v>142.63240761900062</v>
      </c>
      <c r="AV186" s="125">
        <f>AV74/293.07*(1/(VLOOKUP($AF186,'Fuel economy adjusted factor'!$A$2:$L$52,5,FALSE)*m2k))/'TCO Inputs'!$AZ$84</f>
        <v>142.63240761900062</v>
      </c>
      <c r="AW186" s="125">
        <f>AW74/293.07*(1/(VLOOKUP($AF186,'Fuel economy adjusted factor'!$A$2:$L$52,5,FALSE)*m2k))/'TCO Inputs'!$AZ$84</f>
        <v>142.63240761900062</v>
      </c>
      <c r="AX186" s="125">
        <f>AX74/293.07*(1/(VLOOKUP($AF186,'Fuel economy adjusted factor'!$A$2:$L$52,5,FALSE)*m2k))/'TCO Inputs'!$AZ$84</f>
        <v>142.63240761900062</v>
      </c>
      <c r="AY186" s="125">
        <f>AY74/293.07*(1/(VLOOKUP($AF186,'Fuel economy adjusted factor'!$A$2:$L$52,5,FALSE)*m2k))/'TCO Inputs'!$AZ$84</f>
        <v>142.63240761900062</v>
      </c>
      <c r="AZ186" s="125">
        <f>AZ74/293.07*(1/(VLOOKUP($AF186,'Fuel economy adjusted factor'!$A$2:$L$52,5,FALSE)*m2k))/'TCO Inputs'!$AZ$84</f>
        <v>142.63240761900062</v>
      </c>
      <c r="BA186" s="125">
        <f>BA74/293.07*(1/(VLOOKUP($AF186,'Fuel economy adjusted factor'!$A$2:$L$52,5,FALSE)*m2k))/'TCO Inputs'!$AZ$84</f>
        <v>142.63240761900062</v>
      </c>
      <c r="BB186" s="125">
        <f>BB74/293.07*(1/(VLOOKUP($AF186,'Fuel economy adjusted factor'!$A$2:$L$52,5,FALSE)*m2k))/'TCO Inputs'!$AZ$84</f>
        <v>142.63240761900062</v>
      </c>
      <c r="BC186" s="125">
        <f>BC74/293.07*(1/(VLOOKUP($AF186,'Fuel economy adjusted factor'!$A$2:$L$52,5,FALSE)*m2k))/'TCO Inputs'!$AZ$84</f>
        <v>142.63240761900062</v>
      </c>
      <c r="BD186" s="125">
        <f>BD74/293.07*(1/(VLOOKUP($AF186,'Fuel economy adjusted factor'!$A$2:$L$52,5,FALSE)*m2k))/'TCO Inputs'!$AZ$84</f>
        <v>142.63240761900062</v>
      </c>
      <c r="BE186" s="125">
        <f>BE74/293.07*(1/(VLOOKUP($AF186,'Fuel economy adjusted factor'!$A$2:$L$52,5,FALSE)*m2k))/'TCO Inputs'!$AZ$84</f>
        <v>142.63240761900062</v>
      </c>
      <c r="BF186" s="125">
        <f>BF74/293.07*(1/(VLOOKUP($AF186,'Fuel economy adjusted factor'!$A$2:$L$52,5,FALSE)*m2k))/'TCO Inputs'!$AZ$84</f>
        <v>142.63240761900062</v>
      </c>
      <c r="BG186" s="125">
        <f>BG74/293.07*(1/(VLOOKUP($AF186,'Fuel economy adjusted factor'!$A$2:$L$52,5,FALSE)*m2k))/'TCO Inputs'!$AZ$84</f>
        <v>142.63240761900062</v>
      </c>
      <c r="BH186" s="125">
        <f>BH74/293.07*(1/(VLOOKUP($AF186,'Fuel economy adjusted factor'!$A$2:$L$52,5,FALSE)*m2k))/'TCO Inputs'!$AZ$84</f>
        <v>142.63240761900062</v>
      </c>
      <c r="BI186" s="98" cm="1">
        <f t="array" ref="BI186">SUMPRODUCT(INDEX(AG186:BH186,,'TCO Inputs'!$AZ$12-2023+_xlfn.SEQUENCE('TCO Inputs'!$AZ$13))*INDEX('VKT US'!C78:AA78,,_xlfn.SEQUENCE('TCO Inputs'!$AZ$13)))*m2k*CONVERT(0.9072,"g","ton")</f>
        <v>44.568757529172416</v>
      </c>
    </row>
    <row r="187" spans="1:61" x14ac:dyDescent="0.25">
      <c r="A187" s="123" t="s">
        <v>157</v>
      </c>
      <c r="B187" s="125">
        <f>B75/293.07*(1/(VLOOKUP($A187,'Fuel economy adjusted factor'!$A$2:$L$52,5,FALSE)*m2k))/'TCO Inputs'!$AZ$84</f>
        <v>295.28605435110978</v>
      </c>
      <c r="C187" s="125">
        <f>C75/293.07*(1/(VLOOKUP($A187,'Fuel economy adjusted factor'!$A$2:$L$52,5,FALSE)*m2k))/'TCO Inputs'!$AZ$84</f>
        <v>295.28605435110978</v>
      </c>
      <c r="D187" s="125">
        <f>D75/293.07*(1/(VLOOKUP($A187,'Fuel economy adjusted factor'!$A$2:$L$52,5,FALSE)*m2k))/'TCO Inputs'!$AZ$84</f>
        <v>295.28605435110978</v>
      </c>
      <c r="E187" s="125">
        <f>E75/293.07*(1/(VLOOKUP($A187,'Fuel economy adjusted factor'!$A$2:$L$52,5,FALSE)*m2k))/'TCO Inputs'!$AZ$84</f>
        <v>295.28605435110978</v>
      </c>
      <c r="F187" s="125">
        <f>F75/293.07*(1/(VLOOKUP($A187,'Fuel economy adjusted factor'!$A$2:$L$52,5,FALSE)*m2k))/'TCO Inputs'!$AZ$84</f>
        <v>295.28605435110978</v>
      </c>
      <c r="G187" s="125">
        <f>G75/293.07*(1/(VLOOKUP($A187,'Fuel economy adjusted factor'!$A$2:$L$52,5,FALSE)*m2k))/'TCO Inputs'!$AZ$84</f>
        <v>295.28605435110978</v>
      </c>
      <c r="H187" s="125">
        <f>H75/293.07*(1/(VLOOKUP($A187,'Fuel economy adjusted factor'!$A$2:$L$52,5,FALSE)*m2k))/'TCO Inputs'!$AZ$84</f>
        <v>295.28605435110978</v>
      </c>
      <c r="I187" s="125">
        <f>I75/293.07*(1/(VLOOKUP($A187,'Fuel economy adjusted factor'!$A$2:$L$52,5,FALSE)*m2k))/'TCO Inputs'!$AZ$84</f>
        <v>295.28605435110978</v>
      </c>
      <c r="J187" s="125">
        <f>J75/293.07*(1/(VLOOKUP($A187,'Fuel economy adjusted factor'!$A$2:$L$52,5,FALSE)*m2k))/'TCO Inputs'!$AZ$84</f>
        <v>295.28605435110978</v>
      </c>
      <c r="K187" s="125">
        <f>K75/293.07*(1/(VLOOKUP($A187,'Fuel economy adjusted factor'!$A$2:$L$52,5,FALSE)*m2k))/'TCO Inputs'!$AZ$84</f>
        <v>295.28605435110978</v>
      </c>
      <c r="L187" s="125">
        <f>L75/293.07*(1/(VLOOKUP($A187,'Fuel economy adjusted factor'!$A$2:$L$52,5,FALSE)*m2k))/'TCO Inputs'!$AZ$84</f>
        <v>295.28605435110978</v>
      </c>
      <c r="M187" s="125">
        <f>M75/293.07*(1/(VLOOKUP($A187,'Fuel economy adjusted factor'!$A$2:$L$52,5,FALSE)*m2k))/'TCO Inputs'!$AZ$84</f>
        <v>295.28605435110978</v>
      </c>
      <c r="N187" s="125">
        <f>N75/293.07*(1/(VLOOKUP($A187,'Fuel economy adjusted factor'!$A$2:$L$52,5,FALSE)*m2k))/'TCO Inputs'!$AZ$84</f>
        <v>295.28605435110978</v>
      </c>
      <c r="O187" s="125">
        <f>O75/293.07*(1/(VLOOKUP($A187,'Fuel economy adjusted factor'!$A$2:$L$52,5,FALSE)*m2k))/'TCO Inputs'!$AZ$84</f>
        <v>295.28605435110978</v>
      </c>
      <c r="P187" s="125">
        <f>P75/293.07*(1/(VLOOKUP($A187,'Fuel economy adjusted factor'!$A$2:$L$52,5,FALSE)*m2k))/'TCO Inputs'!$AZ$84</f>
        <v>295.28605435110978</v>
      </c>
      <c r="Q187" s="125">
        <f>Q75/293.07*(1/(VLOOKUP($A187,'Fuel economy adjusted factor'!$A$2:$L$52,5,FALSE)*m2k))/'TCO Inputs'!$AZ$84</f>
        <v>295.28605435110978</v>
      </c>
      <c r="R187" s="125">
        <f>R75/293.07*(1/(VLOOKUP($A187,'Fuel economy adjusted factor'!$A$2:$L$52,5,FALSE)*m2k))/'TCO Inputs'!$AZ$84</f>
        <v>295.28605435110978</v>
      </c>
      <c r="S187" s="125">
        <f>S75/293.07*(1/(VLOOKUP($A187,'Fuel economy adjusted factor'!$A$2:$L$52,5,FALSE)*m2k))/'TCO Inputs'!$AZ$84</f>
        <v>295.28605435110978</v>
      </c>
      <c r="T187" s="125">
        <f>T75/293.07*(1/(VLOOKUP($A187,'Fuel economy adjusted factor'!$A$2:$L$52,5,FALSE)*m2k))/'TCO Inputs'!$AZ$84</f>
        <v>295.28605435110978</v>
      </c>
      <c r="U187" s="125">
        <f>U75/293.07*(1/(VLOOKUP($A187,'Fuel economy adjusted factor'!$A$2:$L$52,5,FALSE)*m2k))/'TCO Inputs'!$AZ$84</f>
        <v>295.28605435110978</v>
      </c>
      <c r="V187" s="125">
        <f>V75/293.07*(1/(VLOOKUP($A187,'Fuel economy adjusted factor'!$A$2:$L$52,5,FALSE)*m2k))/'TCO Inputs'!$AZ$84</f>
        <v>295.28605435110978</v>
      </c>
      <c r="W187" s="125">
        <f>W75/293.07*(1/(VLOOKUP($A187,'Fuel economy adjusted factor'!$A$2:$L$52,5,FALSE)*m2k))/'TCO Inputs'!$AZ$84</f>
        <v>295.28605435110978</v>
      </c>
      <c r="X187" s="125">
        <f>X75/293.07*(1/(VLOOKUP($A187,'Fuel economy adjusted factor'!$A$2:$L$52,5,FALSE)*m2k))/'TCO Inputs'!$AZ$84</f>
        <v>295.28605435110978</v>
      </c>
      <c r="Y187" s="125">
        <f>Y75/293.07*(1/(VLOOKUP($A187,'Fuel economy adjusted factor'!$A$2:$L$52,5,FALSE)*m2k))/'TCO Inputs'!$AZ$84</f>
        <v>295.28605435110978</v>
      </c>
      <c r="Z187" s="125">
        <f>Z75/293.07*(1/(VLOOKUP($A187,'Fuel economy adjusted factor'!$A$2:$L$52,5,FALSE)*m2k))/'TCO Inputs'!$AZ$84</f>
        <v>295.28605435110978</v>
      </c>
      <c r="AA187" s="125">
        <f>AA75/293.07*(1/(VLOOKUP($A187,'Fuel economy adjusted factor'!$A$2:$L$52,5,FALSE)*m2k))/'TCO Inputs'!$AZ$84</f>
        <v>295.28605435110978</v>
      </c>
      <c r="AB187" s="125">
        <f>AB75/293.07*(1/(VLOOKUP($A187,'Fuel economy adjusted factor'!$A$2:$L$52,5,FALSE)*m2k))/'TCO Inputs'!$AZ$84</f>
        <v>295.28605435110978</v>
      </c>
      <c r="AC187" s="125">
        <f>AC75/293.07*(1/(VLOOKUP($A187,'Fuel economy adjusted factor'!$A$2:$L$52,5,FALSE)*m2k))/'TCO Inputs'!$AZ$84</f>
        <v>295.28605435110978</v>
      </c>
      <c r="AD187" s="98" cm="1">
        <f t="array" ref="AD187">SUMPRODUCT(INDEX(B187:AC187,,'TCO Inputs'!$AZ$12-2023+_xlfn.SEQUENCE('TCO Inputs'!$AZ$13))*INDEX('VKT US'!C79:AA79,,_xlfn.SEQUENCE('TCO Inputs'!$AZ$13)))*m2k*CONVERT(0.9072,"g","ton")</f>
        <v>101.78229448172738</v>
      </c>
      <c r="AF187" s="123" t="s">
        <v>157</v>
      </c>
      <c r="AG187" s="125">
        <f>AG75/293.07*(1/(VLOOKUP($AF187,'Fuel economy adjusted factor'!$A$2:$L$52,5,FALSE)*m2k))/'TCO Inputs'!$AZ$84</f>
        <v>342.07129800323168</v>
      </c>
      <c r="AH187" s="125">
        <f>AH75/293.07*(1/(VLOOKUP($AF187,'Fuel economy adjusted factor'!$A$2:$L$52,5,FALSE)*m2k))/'TCO Inputs'!$AZ$84</f>
        <v>342.07129800323168</v>
      </c>
      <c r="AI187" s="125">
        <f>AI75/293.07*(1/(VLOOKUP($AF187,'Fuel economy adjusted factor'!$A$2:$L$52,5,FALSE)*m2k))/'TCO Inputs'!$AZ$84</f>
        <v>342.07129800323168</v>
      </c>
      <c r="AJ187" s="125">
        <f>AJ75/293.07*(1/(VLOOKUP($AF187,'Fuel economy adjusted factor'!$A$2:$L$52,5,FALSE)*m2k))/'TCO Inputs'!$AZ$84</f>
        <v>342.07129800323168</v>
      </c>
      <c r="AK187" s="125">
        <f>AK75/293.07*(1/(VLOOKUP($AF187,'Fuel economy adjusted factor'!$A$2:$L$52,5,FALSE)*m2k))/'TCO Inputs'!$AZ$84</f>
        <v>342.07129800323168</v>
      </c>
      <c r="AL187" s="125">
        <f>AL75/293.07*(1/(VLOOKUP($AF187,'Fuel economy adjusted factor'!$A$2:$L$52,5,FALSE)*m2k))/'TCO Inputs'!$AZ$84</f>
        <v>342.07129800323168</v>
      </c>
      <c r="AM187" s="125">
        <f>AM75/293.07*(1/(VLOOKUP($AF187,'Fuel economy adjusted factor'!$A$2:$L$52,5,FALSE)*m2k))/'TCO Inputs'!$AZ$84</f>
        <v>342.07129800323168</v>
      </c>
      <c r="AN187" s="125">
        <f>AN75/293.07*(1/(VLOOKUP($AF187,'Fuel economy adjusted factor'!$A$2:$L$52,5,FALSE)*m2k))/'TCO Inputs'!$AZ$84</f>
        <v>342.07129800323168</v>
      </c>
      <c r="AO187" s="125">
        <f>AO75/293.07*(1/(VLOOKUP($AF187,'Fuel economy adjusted factor'!$A$2:$L$52,5,FALSE)*m2k))/'TCO Inputs'!$AZ$84</f>
        <v>342.07129800323168</v>
      </c>
      <c r="AP187" s="125">
        <f>AP75/293.07*(1/(VLOOKUP($AF187,'Fuel economy adjusted factor'!$A$2:$L$52,5,FALSE)*m2k))/'TCO Inputs'!$AZ$84</f>
        <v>342.07129800323168</v>
      </c>
      <c r="AQ187" s="125">
        <f>AQ75/293.07*(1/(VLOOKUP($AF187,'Fuel economy adjusted factor'!$A$2:$L$52,5,FALSE)*m2k))/'TCO Inputs'!$AZ$84</f>
        <v>342.07129800323168</v>
      </c>
      <c r="AR187" s="125">
        <f>AR75/293.07*(1/(VLOOKUP($AF187,'Fuel economy adjusted factor'!$A$2:$L$52,5,FALSE)*m2k))/'TCO Inputs'!$AZ$84</f>
        <v>342.07129800323168</v>
      </c>
      <c r="AS187" s="125">
        <f>AS75/293.07*(1/(VLOOKUP($AF187,'Fuel economy adjusted factor'!$A$2:$L$52,5,FALSE)*m2k))/'TCO Inputs'!$AZ$84</f>
        <v>342.07129800323168</v>
      </c>
      <c r="AT187" s="125">
        <f>AT75/293.07*(1/(VLOOKUP($AF187,'Fuel economy adjusted factor'!$A$2:$L$52,5,FALSE)*m2k))/'TCO Inputs'!$AZ$84</f>
        <v>342.07129800323168</v>
      </c>
      <c r="AU187" s="125">
        <f>AU75/293.07*(1/(VLOOKUP($AF187,'Fuel economy adjusted factor'!$A$2:$L$52,5,FALSE)*m2k))/'TCO Inputs'!$AZ$84</f>
        <v>342.07129800323168</v>
      </c>
      <c r="AV187" s="125">
        <f>AV75/293.07*(1/(VLOOKUP($AF187,'Fuel economy adjusted factor'!$A$2:$L$52,5,FALSE)*m2k))/'TCO Inputs'!$AZ$84</f>
        <v>342.07129800323168</v>
      </c>
      <c r="AW187" s="125">
        <f>AW75/293.07*(1/(VLOOKUP($AF187,'Fuel economy adjusted factor'!$A$2:$L$52,5,FALSE)*m2k))/'TCO Inputs'!$AZ$84</f>
        <v>342.07129800323168</v>
      </c>
      <c r="AX187" s="125">
        <f>AX75/293.07*(1/(VLOOKUP($AF187,'Fuel economy adjusted factor'!$A$2:$L$52,5,FALSE)*m2k))/'TCO Inputs'!$AZ$84</f>
        <v>342.07129800323168</v>
      </c>
      <c r="AY187" s="125">
        <f>AY75/293.07*(1/(VLOOKUP($AF187,'Fuel economy adjusted factor'!$A$2:$L$52,5,FALSE)*m2k))/'TCO Inputs'!$AZ$84</f>
        <v>342.07129800323168</v>
      </c>
      <c r="AZ187" s="125">
        <f>AZ75/293.07*(1/(VLOOKUP($AF187,'Fuel economy adjusted factor'!$A$2:$L$52,5,FALSE)*m2k))/'TCO Inputs'!$AZ$84</f>
        <v>342.07129800323168</v>
      </c>
      <c r="BA187" s="125">
        <f>BA75/293.07*(1/(VLOOKUP($AF187,'Fuel economy adjusted factor'!$A$2:$L$52,5,FALSE)*m2k))/'TCO Inputs'!$AZ$84</f>
        <v>342.07129800323168</v>
      </c>
      <c r="BB187" s="125">
        <f>BB75/293.07*(1/(VLOOKUP($AF187,'Fuel economy adjusted factor'!$A$2:$L$52,5,FALSE)*m2k))/'TCO Inputs'!$AZ$84</f>
        <v>342.07129800323168</v>
      </c>
      <c r="BC187" s="125">
        <f>BC75/293.07*(1/(VLOOKUP($AF187,'Fuel economy adjusted factor'!$A$2:$L$52,5,FALSE)*m2k))/'TCO Inputs'!$AZ$84</f>
        <v>342.07129800323168</v>
      </c>
      <c r="BD187" s="125">
        <f>BD75/293.07*(1/(VLOOKUP($AF187,'Fuel economy adjusted factor'!$A$2:$L$52,5,FALSE)*m2k))/'TCO Inputs'!$AZ$84</f>
        <v>342.07129800323168</v>
      </c>
      <c r="BE187" s="125">
        <f>BE75/293.07*(1/(VLOOKUP($AF187,'Fuel economy adjusted factor'!$A$2:$L$52,5,FALSE)*m2k))/'TCO Inputs'!$AZ$84</f>
        <v>342.07129800323168</v>
      </c>
      <c r="BF187" s="125">
        <f>BF75/293.07*(1/(VLOOKUP($AF187,'Fuel economy adjusted factor'!$A$2:$L$52,5,FALSE)*m2k))/'TCO Inputs'!$AZ$84</f>
        <v>342.07129800323168</v>
      </c>
      <c r="BG187" s="125">
        <f>BG75/293.07*(1/(VLOOKUP($AF187,'Fuel economy adjusted factor'!$A$2:$L$52,5,FALSE)*m2k))/'TCO Inputs'!$AZ$84</f>
        <v>342.07129800323168</v>
      </c>
      <c r="BH187" s="125">
        <f>BH75/293.07*(1/(VLOOKUP($AF187,'Fuel economy adjusted factor'!$A$2:$L$52,5,FALSE)*m2k))/'TCO Inputs'!$AZ$84</f>
        <v>342.07129800323168</v>
      </c>
      <c r="BI187" s="98" cm="1">
        <f t="array" ref="BI187">SUMPRODUCT(INDEX(AG187:BH187,,'TCO Inputs'!$AZ$12-2023+_xlfn.SEQUENCE('TCO Inputs'!$AZ$13))*INDEX('VKT US'!C79:AA79,,_xlfn.SEQUENCE('TCO Inputs'!$AZ$13)))*m2k*CONVERT(0.9072,"g","ton")</f>
        <v>117.90872299615189</v>
      </c>
    </row>
    <row r="188" spans="1:61" x14ac:dyDescent="0.25">
      <c r="A188" s="123" t="s">
        <v>200</v>
      </c>
      <c r="B188" s="125">
        <f>B76/293.07*(1/(VLOOKUP($A188,'Fuel economy adjusted factor'!$A$2:$L$52,5,FALSE)*m2k))/'TCO Inputs'!$AZ$84</f>
        <v>149.11224925848416</v>
      </c>
      <c r="C188" s="125">
        <f>C76/293.07*(1/(VLOOKUP($A188,'Fuel economy adjusted factor'!$A$2:$L$52,5,FALSE)*m2k))/'TCO Inputs'!$AZ$84</f>
        <v>149.11224925848416</v>
      </c>
      <c r="D188" s="125">
        <f>D76/293.07*(1/(VLOOKUP($A188,'Fuel economy adjusted factor'!$A$2:$L$52,5,FALSE)*m2k))/'TCO Inputs'!$AZ$84</f>
        <v>149.11224925848416</v>
      </c>
      <c r="E188" s="125">
        <f>E76/293.07*(1/(VLOOKUP($A188,'Fuel economy adjusted factor'!$A$2:$L$52,5,FALSE)*m2k))/'TCO Inputs'!$AZ$84</f>
        <v>149.11224925848416</v>
      </c>
      <c r="F188" s="125">
        <f>F76/293.07*(1/(VLOOKUP($A188,'Fuel economy adjusted factor'!$A$2:$L$52,5,FALSE)*m2k))/'TCO Inputs'!$AZ$84</f>
        <v>149.11224925848416</v>
      </c>
      <c r="G188" s="125">
        <f>G76/293.07*(1/(VLOOKUP($A188,'Fuel economy adjusted factor'!$A$2:$L$52,5,FALSE)*m2k))/'TCO Inputs'!$AZ$84</f>
        <v>149.11224925848416</v>
      </c>
      <c r="H188" s="125">
        <f>H76/293.07*(1/(VLOOKUP($A188,'Fuel economy adjusted factor'!$A$2:$L$52,5,FALSE)*m2k))/'TCO Inputs'!$AZ$84</f>
        <v>149.11224925848416</v>
      </c>
      <c r="I188" s="125">
        <f>I76/293.07*(1/(VLOOKUP($A188,'Fuel economy adjusted factor'!$A$2:$L$52,5,FALSE)*m2k))/'TCO Inputs'!$AZ$84</f>
        <v>149.11224925848416</v>
      </c>
      <c r="J188" s="125">
        <f>J76/293.07*(1/(VLOOKUP($A188,'Fuel economy adjusted factor'!$A$2:$L$52,5,FALSE)*m2k))/'TCO Inputs'!$AZ$84</f>
        <v>149.11224925848416</v>
      </c>
      <c r="K188" s="125">
        <f>K76/293.07*(1/(VLOOKUP($A188,'Fuel economy adjusted factor'!$A$2:$L$52,5,FALSE)*m2k))/'TCO Inputs'!$AZ$84</f>
        <v>149.11224925848416</v>
      </c>
      <c r="L188" s="125">
        <f>L76/293.07*(1/(VLOOKUP($A188,'Fuel economy adjusted factor'!$A$2:$L$52,5,FALSE)*m2k))/'TCO Inputs'!$AZ$84</f>
        <v>149.11224925848416</v>
      </c>
      <c r="M188" s="125">
        <f>M76/293.07*(1/(VLOOKUP($A188,'Fuel economy adjusted factor'!$A$2:$L$52,5,FALSE)*m2k))/'TCO Inputs'!$AZ$84</f>
        <v>149.11224925848416</v>
      </c>
      <c r="N188" s="125">
        <f>N76/293.07*(1/(VLOOKUP($A188,'Fuel economy adjusted factor'!$A$2:$L$52,5,FALSE)*m2k))/'TCO Inputs'!$AZ$84</f>
        <v>149.11224925848416</v>
      </c>
      <c r="O188" s="125">
        <f>O76/293.07*(1/(VLOOKUP($A188,'Fuel economy adjusted factor'!$A$2:$L$52,5,FALSE)*m2k))/'TCO Inputs'!$AZ$84</f>
        <v>149.11224925848416</v>
      </c>
      <c r="P188" s="125">
        <f>P76/293.07*(1/(VLOOKUP($A188,'Fuel economy adjusted factor'!$A$2:$L$52,5,FALSE)*m2k))/'TCO Inputs'!$AZ$84</f>
        <v>149.11224925848416</v>
      </c>
      <c r="Q188" s="125">
        <f>Q76/293.07*(1/(VLOOKUP($A188,'Fuel economy adjusted factor'!$A$2:$L$52,5,FALSE)*m2k))/'TCO Inputs'!$AZ$84</f>
        <v>149.11224925848416</v>
      </c>
      <c r="R188" s="125">
        <f>R76/293.07*(1/(VLOOKUP($A188,'Fuel economy adjusted factor'!$A$2:$L$52,5,FALSE)*m2k))/'TCO Inputs'!$AZ$84</f>
        <v>149.11224925848416</v>
      </c>
      <c r="S188" s="125">
        <f>S76/293.07*(1/(VLOOKUP($A188,'Fuel economy adjusted factor'!$A$2:$L$52,5,FALSE)*m2k))/'TCO Inputs'!$AZ$84</f>
        <v>149.11224925848416</v>
      </c>
      <c r="T188" s="125">
        <f>T76/293.07*(1/(VLOOKUP($A188,'Fuel economy adjusted factor'!$A$2:$L$52,5,FALSE)*m2k))/'TCO Inputs'!$AZ$84</f>
        <v>149.11224925848416</v>
      </c>
      <c r="U188" s="125">
        <f>U76/293.07*(1/(VLOOKUP($A188,'Fuel economy adjusted factor'!$A$2:$L$52,5,FALSE)*m2k))/'TCO Inputs'!$AZ$84</f>
        <v>149.11224925848416</v>
      </c>
      <c r="V188" s="125">
        <f>V76/293.07*(1/(VLOOKUP($A188,'Fuel economy adjusted factor'!$A$2:$L$52,5,FALSE)*m2k))/'TCO Inputs'!$AZ$84</f>
        <v>149.11224925848416</v>
      </c>
      <c r="W188" s="125">
        <f>W76/293.07*(1/(VLOOKUP($A188,'Fuel economy adjusted factor'!$A$2:$L$52,5,FALSE)*m2k))/'TCO Inputs'!$AZ$84</f>
        <v>149.11224925848416</v>
      </c>
      <c r="X188" s="125">
        <f>X76/293.07*(1/(VLOOKUP($A188,'Fuel economy adjusted factor'!$A$2:$L$52,5,FALSE)*m2k))/'TCO Inputs'!$AZ$84</f>
        <v>149.11224925848416</v>
      </c>
      <c r="Y188" s="125">
        <f>Y76/293.07*(1/(VLOOKUP($A188,'Fuel economy adjusted factor'!$A$2:$L$52,5,FALSE)*m2k))/'TCO Inputs'!$AZ$84</f>
        <v>149.11224925848416</v>
      </c>
      <c r="Z188" s="125">
        <f>Z76/293.07*(1/(VLOOKUP($A188,'Fuel economy adjusted factor'!$A$2:$L$52,5,FALSE)*m2k))/'TCO Inputs'!$AZ$84</f>
        <v>149.11224925848416</v>
      </c>
      <c r="AA188" s="125">
        <f>AA76/293.07*(1/(VLOOKUP($A188,'Fuel economy adjusted factor'!$A$2:$L$52,5,FALSE)*m2k))/'TCO Inputs'!$AZ$84</f>
        <v>149.11224925848416</v>
      </c>
      <c r="AB188" s="125">
        <f>AB76/293.07*(1/(VLOOKUP($A188,'Fuel economy adjusted factor'!$A$2:$L$52,5,FALSE)*m2k))/'TCO Inputs'!$AZ$84</f>
        <v>149.11224925848416</v>
      </c>
      <c r="AC188" s="125">
        <f>AC76/293.07*(1/(VLOOKUP($A188,'Fuel economy adjusted factor'!$A$2:$L$52,5,FALSE)*m2k))/'TCO Inputs'!$AZ$84</f>
        <v>149.11224925848416</v>
      </c>
      <c r="AD188" s="98" cm="1">
        <f t="array" ref="AD188">SUMPRODUCT(INDEX(B188:AC188,,'TCO Inputs'!$AZ$12-2023+_xlfn.SEQUENCE('TCO Inputs'!$AZ$13))*INDEX('VKT US'!C80:AA80,,_xlfn.SEQUENCE('TCO Inputs'!$AZ$13)))*m2k*CONVERT(0.9072,"g","ton")</f>
        <v>47.129416170209907</v>
      </c>
      <c r="AF188" s="123" t="s">
        <v>200</v>
      </c>
      <c r="AG188" s="125">
        <f>AG76/293.07*(1/(VLOOKUP($AF188,'Fuel economy adjusted factor'!$A$2:$L$52,5,FALSE)*m2k))/'TCO Inputs'!$AZ$84</f>
        <v>172.73765523440943</v>
      </c>
      <c r="AH188" s="125">
        <f>AH76/293.07*(1/(VLOOKUP($AF188,'Fuel economy adjusted factor'!$A$2:$L$52,5,FALSE)*m2k))/'TCO Inputs'!$AZ$84</f>
        <v>172.73765523440943</v>
      </c>
      <c r="AI188" s="125">
        <f>AI76/293.07*(1/(VLOOKUP($AF188,'Fuel economy adjusted factor'!$A$2:$L$52,5,FALSE)*m2k))/'TCO Inputs'!$AZ$84</f>
        <v>172.73765523440943</v>
      </c>
      <c r="AJ188" s="125">
        <f>AJ76/293.07*(1/(VLOOKUP($AF188,'Fuel economy adjusted factor'!$A$2:$L$52,5,FALSE)*m2k))/'TCO Inputs'!$AZ$84</f>
        <v>172.73765523440943</v>
      </c>
      <c r="AK188" s="125">
        <f>AK76/293.07*(1/(VLOOKUP($AF188,'Fuel economy adjusted factor'!$A$2:$L$52,5,FALSE)*m2k))/'TCO Inputs'!$AZ$84</f>
        <v>172.73765523440943</v>
      </c>
      <c r="AL188" s="125">
        <f>AL76/293.07*(1/(VLOOKUP($AF188,'Fuel economy adjusted factor'!$A$2:$L$52,5,FALSE)*m2k))/'TCO Inputs'!$AZ$84</f>
        <v>172.73765523440943</v>
      </c>
      <c r="AM188" s="125">
        <f>AM76/293.07*(1/(VLOOKUP($AF188,'Fuel economy adjusted factor'!$A$2:$L$52,5,FALSE)*m2k))/'TCO Inputs'!$AZ$84</f>
        <v>172.73765523440943</v>
      </c>
      <c r="AN188" s="125">
        <f>AN76/293.07*(1/(VLOOKUP($AF188,'Fuel economy adjusted factor'!$A$2:$L$52,5,FALSE)*m2k))/'TCO Inputs'!$AZ$84</f>
        <v>172.73765523440943</v>
      </c>
      <c r="AO188" s="125">
        <f>AO76/293.07*(1/(VLOOKUP($AF188,'Fuel economy adjusted factor'!$A$2:$L$52,5,FALSE)*m2k))/'TCO Inputs'!$AZ$84</f>
        <v>172.73765523440943</v>
      </c>
      <c r="AP188" s="125">
        <f>AP76/293.07*(1/(VLOOKUP($AF188,'Fuel economy adjusted factor'!$A$2:$L$52,5,FALSE)*m2k))/'TCO Inputs'!$AZ$84</f>
        <v>172.73765523440943</v>
      </c>
      <c r="AQ188" s="125">
        <f>AQ76/293.07*(1/(VLOOKUP($AF188,'Fuel economy adjusted factor'!$A$2:$L$52,5,FALSE)*m2k))/'TCO Inputs'!$AZ$84</f>
        <v>172.73765523440943</v>
      </c>
      <c r="AR188" s="125">
        <f>AR76/293.07*(1/(VLOOKUP($AF188,'Fuel economy adjusted factor'!$A$2:$L$52,5,FALSE)*m2k))/'TCO Inputs'!$AZ$84</f>
        <v>172.73765523440943</v>
      </c>
      <c r="AS188" s="125">
        <f>AS76/293.07*(1/(VLOOKUP($AF188,'Fuel economy adjusted factor'!$A$2:$L$52,5,FALSE)*m2k))/'TCO Inputs'!$AZ$84</f>
        <v>172.73765523440943</v>
      </c>
      <c r="AT188" s="125">
        <f>AT76/293.07*(1/(VLOOKUP($AF188,'Fuel economy adjusted factor'!$A$2:$L$52,5,FALSE)*m2k))/'TCO Inputs'!$AZ$84</f>
        <v>172.73765523440943</v>
      </c>
      <c r="AU188" s="125">
        <f>AU76/293.07*(1/(VLOOKUP($AF188,'Fuel economy adjusted factor'!$A$2:$L$52,5,FALSE)*m2k))/'TCO Inputs'!$AZ$84</f>
        <v>172.73765523440943</v>
      </c>
      <c r="AV188" s="125">
        <f>AV76/293.07*(1/(VLOOKUP($AF188,'Fuel economy adjusted factor'!$A$2:$L$52,5,FALSE)*m2k))/'TCO Inputs'!$AZ$84</f>
        <v>172.73765523440943</v>
      </c>
      <c r="AW188" s="125">
        <f>AW76/293.07*(1/(VLOOKUP($AF188,'Fuel economy adjusted factor'!$A$2:$L$52,5,FALSE)*m2k))/'TCO Inputs'!$AZ$84</f>
        <v>172.73765523440943</v>
      </c>
      <c r="AX188" s="125">
        <f>AX76/293.07*(1/(VLOOKUP($AF188,'Fuel economy adjusted factor'!$A$2:$L$52,5,FALSE)*m2k))/'TCO Inputs'!$AZ$84</f>
        <v>172.73765523440943</v>
      </c>
      <c r="AY188" s="125">
        <f>AY76/293.07*(1/(VLOOKUP($AF188,'Fuel economy adjusted factor'!$A$2:$L$52,5,FALSE)*m2k))/'TCO Inputs'!$AZ$84</f>
        <v>172.73765523440943</v>
      </c>
      <c r="AZ188" s="125">
        <f>AZ76/293.07*(1/(VLOOKUP($AF188,'Fuel economy adjusted factor'!$A$2:$L$52,5,FALSE)*m2k))/'TCO Inputs'!$AZ$84</f>
        <v>172.73765523440943</v>
      </c>
      <c r="BA188" s="125">
        <f>BA76/293.07*(1/(VLOOKUP($AF188,'Fuel economy adjusted factor'!$A$2:$L$52,5,FALSE)*m2k))/'TCO Inputs'!$AZ$84</f>
        <v>172.73765523440943</v>
      </c>
      <c r="BB188" s="125">
        <f>BB76/293.07*(1/(VLOOKUP($AF188,'Fuel economy adjusted factor'!$A$2:$L$52,5,FALSE)*m2k))/'TCO Inputs'!$AZ$84</f>
        <v>172.73765523440943</v>
      </c>
      <c r="BC188" s="125">
        <f>BC76/293.07*(1/(VLOOKUP($AF188,'Fuel economy adjusted factor'!$A$2:$L$52,5,FALSE)*m2k))/'TCO Inputs'!$AZ$84</f>
        <v>172.73765523440943</v>
      </c>
      <c r="BD188" s="125">
        <f>BD76/293.07*(1/(VLOOKUP($AF188,'Fuel economy adjusted factor'!$A$2:$L$52,5,FALSE)*m2k))/'TCO Inputs'!$AZ$84</f>
        <v>172.73765523440943</v>
      </c>
      <c r="BE188" s="125">
        <f>BE76/293.07*(1/(VLOOKUP($AF188,'Fuel economy adjusted factor'!$A$2:$L$52,5,FALSE)*m2k))/'TCO Inputs'!$AZ$84</f>
        <v>172.73765523440943</v>
      </c>
      <c r="BF188" s="125">
        <f>BF76/293.07*(1/(VLOOKUP($AF188,'Fuel economy adjusted factor'!$A$2:$L$52,5,FALSE)*m2k))/'TCO Inputs'!$AZ$84</f>
        <v>172.73765523440943</v>
      </c>
      <c r="BG188" s="125">
        <f>BG76/293.07*(1/(VLOOKUP($AF188,'Fuel economy adjusted factor'!$A$2:$L$52,5,FALSE)*m2k))/'TCO Inputs'!$AZ$84</f>
        <v>172.73765523440943</v>
      </c>
      <c r="BH188" s="125">
        <f>BH76/293.07*(1/(VLOOKUP($AF188,'Fuel economy adjusted factor'!$A$2:$L$52,5,FALSE)*m2k))/'TCO Inputs'!$AZ$84</f>
        <v>172.73765523440943</v>
      </c>
      <c r="BI188" s="98" cm="1">
        <f t="array" ref="BI188">SUMPRODUCT(INDEX(AG188:BH188,,'TCO Inputs'!$AZ$12-2023+_xlfn.SEQUENCE('TCO Inputs'!$AZ$13))*INDEX('VKT US'!C80:AA80,,_xlfn.SEQUENCE('TCO Inputs'!$AZ$13)))*m2k*CONVERT(0.9072,"g","ton")</f>
        <v>54.596620212577953</v>
      </c>
    </row>
    <row r="189" spans="1:61" x14ac:dyDescent="0.25">
      <c r="A189" s="123" t="s">
        <v>203</v>
      </c>
      <c r="B189" s="125">
        <f>B77/293.07*(1/(VLOOKUP($A189,'Fuel economy adjusted factor'!$A$2:$L$52,5,FALSE)*m2k))/'TCO Inputs'!$AZ$84</f>
        <v>69.060683477268</v>
      </c>
      <c r="C189" s="125">
        <f>C77/293.07*(1/(VLOOKUP($A189,'Fuel economy adjusted factor'!$A$2:$L$52,5,FALSE)*m2k))/'TCO Inputs'!$AZ$84</f>
        <v>69.060683477268</v>
      </c>
      <c r="D189" s="125">
        <f>D77/293.07*(1/(VLOOKUP($A189,'Fuel economy adjusted factor'!$A$2:$L$52,5,FALSE)*m2k))/'TCO Inputs'!$AZ$84</f>
        <v>69.060683477268</v>
      </c>
      <c r="E189" s="125">
        <f>E77/293.07*(1/(VLOOKUP($A189,'Fuel economy adjusted factor'!$A$2:$L$52,5,FALSE)*m2k))/'TCO Inputs'!$AZ$84</f>
        <v>69.060683477268</v>
      </c>
      <c r="F189" s="125">
        <f>F77/293.07*(1/(VLOOKUP($A189,'Fuel economy adjusted factor'!$A$2:$L$52,5,FALSE)*m2k))/'TCO Inputs'!$AZ$84</f>
        <v>69.060683477268</v>
      </c>
      <c r="G189" s="125">
        <f>G77/293.07*(1/(VLOOKUP($A189,'Fuel economy adjusted factor'!$A$2:$L$52,5,FALSE)*m2k))/'TCO Inputs'!$AZ$84</f>
        <v>69.060683477268</v>
      </c>
      <c r="H189" s="125">
        <f>H77/293.07*(1/(VLOOKUP($A189,'Fuel economy adjusted factor'!$A$2:$L$52,5,FALSE)*m2k))/'TCO Inputs'!$AZ$84</f>
        <v>69.060683477268</v>
      </c>
      <c r="I189" s="125">
        <f>I77/293.07*(1/(VLOOKUP($A189,'Fuel economy adjusted factor'!$A$2:$L$52,5,FALSE)*m2k))/'TCO Inputs'!$AZ$84</f>
        <v>69.060683477268</v>
      </c>
      <c r="J189" s="125">
        <f>J77/293.07*(1/(VLOOKUP($A189,'Fuel economy adjusted factor'!$A$2:$L$52,5,FALSE)*m2k))/'TCO Inputs'!$AZ$84</f>
        <v>69.060683477268</v>
      </c>
      <c r="K189" s="125">
        <f>K77/293.07*(1/(VLOOKUP($A189,'Fuel economy adjusted factor'!$A$2:$L$52,5,FALSE)*m2k))/'TCO Inputs'!$AZ$84</f>
        <v>69.060683477268</v>
      </c>
      <c r="L189" s="125">
        <f>L77/293.07*(1/(VLOOKUP($A189,'Fuel economy adjusted factor'!$A$2:$L$52,5,FALSE)*m2k))/'TCO Inputs'!$AZ$84</f>
        <v>69.060683477268</v>
      </c>
      <c r="M189" s="125">
        <f>M77/293.07*(1/(VLOOKUP($A189,'Fuel economy adjusted factor'!$A$2:$L$52,5,FALSE)*m2k))/'TCO Inputs'!$AZ$84</f>
        <v>69.060683477268</v>
      </c>
      <c r="N189" s="125">
        <f>N77/293.07*(1/(VLOOKUP($A189,'Fuel economy adjusted factor'!$A$2:$L$52,5,FALSE)*m2k))/'TCO Inputs'!$AZ$84</f>
        <v>69.060683477268</v>
      </c>
      <c r="O189" s="125">
        <f>O77/293.07*(1/(VLOOKUP($A189,'Fuel economy adjusted factor'!$A$2:$L$52,5,FALSE)*m2k))/'TCO Inputs'!$AZ$84</f>
        <v>69.060683477268</v>
      </c>
      <c r="P189" s="125">
        <f>P77/293.07*(1/(VLOOKUP($A189,'Fuel economy adjusted factor'!$A$2:$L$52,5,FALSE)*m2k))/'TCO Inputs'!$AZ$84</f>
        <v>69.060683477268</v>
      </c>
      <c r="Q189" s="125">
        <f>Q77/293.07*(1/(VLOOKUP($A189,'Fuel economy adjusted factor'!$A$2:$L$52,5,FALSE)*m2k))/'TCO Inputs'!$AZ$84</f>
        <v>69.060683477268</v>
      </c>
      <c r="R189" s="125">
        <f>R77/293.07*(1/(VLOOKUP($A189,'Fuel economy adjusted factor'!$A$2:$L$52,5,FALSE)*m2k))/'TCO Inputs'!$AZ$84</f>
        <v>69.060683477268</v>
      </c>
      <c r="S189" s="125">
        <f>S77/293.07*(1/(VLOOKUP($A189,'Fuel economy adjusted factor'!$A$2:$L$52,5,FALSE)*m2k))/'TCO Inputs'!$AZ$84</f>
        <v>69.060683477268</v>
      </c>
      <c r="T189" s="125">
        <f>T77/293.07*(1/(VLOOKUP($A189,'Fuel economy adjusted factor'!$A$2:$L$52,5,FALSE)*m2k))/'TCO Inputs'!$AZ$84</f>
        <v>69.060683477268</v>
      </c>
      <c r="U189" s="125">
        <f>U77/293.07*(1/(VLOOKUP($A189,'Fuel economy adjusted factor'!$A$2:$L$52,5,FALSE)*m2k))/'TCO Inputs'!$AZ$84</f>
        <v>69.060683477268</v>
      </c>
      <c r="V189" s="125">
        <f>V77/293.07*(1/(VLOOKUP($A189,'Fuel economy adjusted factor'!$A$2:$L$52,5,FALSE)*m2k))/'TCO Inputs'!$AZ$84</f>
        <v>69.060683477268</v>
      </c>
      <c r="W189" s="125">
        <f>W77/293.07*(1/(VLOOKUP($A189,'Fuel economy adjusted factor'!$A$2:$L$52,5,FALSE)*m2k))/'TCO Inputs'!$AZ$84</f>
        <v>69.060683477268</v>
      </c>
      <c r="X189" s="125">
        <f>X77/293.07*(1/(VLOOKUP($A189,'Fuel economy adjusted factor'!$A$2:$L$52,5,FALSE)*m2k))/'TCO Inputs'!$AZ$84</f>
        <v>69.060683477268</v>
      </c>
      <c r="Y189" s="125">
        <f>Y77/293.07*(1/(VLOOKUP($A189,'Fuel economy adjusted factor'!$A$2:$L$52,5,FALSE)*m2k))/'TCO Inputs'!$AZ$84</f>
        <v>69.060683477268</v>
      </c>
      <c r="Z189" s="125">
        <f>Z77/293.07*(1/(VLOOKUP($A189,'Fuel economy adjusted factor'!$A$2:$L$52,5,FALSE)*m2k))/'TCO Inputs'!$AZ$84</f>
        <v>69.060683477268</v>
      </c>
      <c r="AA189" s="125">
        <f>AA77/293.07*(1/(VLOOKUP($A189,'Fuel economy adjusted factor'!$A$2:$L$52,5,FALSE)*m2k))/'TCO Inputs'!$AZ$84</f>
        <v>69.060683477268</v>
      </c>
      <c r="AB189" s="125">
        <f>AB77/293.07*(1/(VLOOKUP($A189,'Fuel economy adjusted factor'!$A$2:$L$52,5,FALSE)*m2k))/'TCO Inputs'!$AZ$84</f>
        <v>69.060683477268</v>
      </c>
      <c r="AC189" s="125">
        <f>AC77/293.07*(1/(VLOOKUP($A189,'Fuel economy adjusted factor'!$A$2:$L$52,5,FALSE)*m2k))/'TCO Inputs'!$AZ$84</f>
        <v>69.060683477268</v>
      </c>
      <c r="AD189" s="98" cm="1">
        <f t="array" ref="AD189">SUMPRODUCT(INDEX(B189:AC189,,'TCO Inputs'!$AZ$12-2023+_xlfn.SEQUENCE('TCO Inputs'!$AZ$13))*INDEX('VKT US'!C81:AA81,,_xlfn.SEQUENCE('TCO Inputs'!$AZ$13)))*m2k*CONVERT(0.9072,"g","ton")</f>
        <v>20.753255518134651</v>
      </c>
      <c r="AF189" s="123" t="s">
        <v>203</v>
      </c>
      <c r="AG189" s="125">
        <f>AG77/293.07*(1/(VLOOKUP($AF189,'Fuel economy adjusted factor'!$A$2:$L$52,5,FALSE)*m2k))/'TCO Inputs'!$AZ$84</f>
        <v>80.002686513497423</v>
      </c>
      <c r="AH189" s="125">
        <f>AH77/293.07*(1/(VLOOKUP($AF189,'Fuel economy adjusted factor'!$A$2:$L$52,5,FALSE)*m2k))/'TCO Inputs'!$AZ$84</f>
        <v>80.002686513497423</v>
      </c>
      <c r="AI189" s="125">
        <f>AI77/293.07*(1/(VLOOKUP($AF189,'Fuel economy adjusted factor'!$A$2:$L$52,5,FALSE)*m2k))/'TCO Inputs'!$AZ$84</f>
        <v>80.002686513497423</v>
      </c>
      <c r="AJ189" s="125">
        <f>AJ77/293.07*(1/(VLOOKUP($AF189,'Fuel economy adjusted factor'!$A$2:$L$52,5,FALSE)*m2k))/'TCO Inputs'!$AZ$84</f>
        <v>80.002686513497423</v>
      </c>
      <c r="AK189" s="125">
        <f>AK77/293.07*(1/(VLOOKUP($AF189,'Fuel economy adjusted factor'!$A$2:$L$52,5,FALSE)*m2k))/'TCO Inputs'!$AZ$84</f>
        <v>80.002686513497423</v>
      </c>
      <c r="AL189" s="125">
        <f>AL77/293.07*(1/(VLOOKUP($AF189,'Fuel economy adjusted factor'!$A$2:$L$52,5,FALSE)*m2k))/'TCO Inputs'!$AZ$84</f>
        <v>80.002686513497423</v>
      </c>
      <c r="AM189" s="125">
        <f>AM77/293.07*(1/(VLOOKUP($AF189,'Fuel economy adjusted factor'!$A$2:$L$52,5,FALSE)*m2k))/'TCO Inputs'!$AZ$84</f>
        <v>80.002686513497423</v>
      </c>
      <c r="AN189" s="125">
        <f>AN77/293.07*(1/(VLOOKUP($AF189,'Fuel economy adjusted factor'!$A$2:$L$52,5,FALSE)*m2k))/'TCO Inputs'!$AZ$84</f>
        <v>80.002686513497423</v>
      </c>
      <c r="AO189" s="125">
        <f>AO77/293.07*(1/(VLOOKUP($AF189,'Fuel economy adjusted factor'!$A$2:$L$52,5,FALSE)*m2k))/'TCO Inputs'!$AZ$84</f>
        <v>80.002686513497423</v>
      </c>
      <c r="AP189" s="125">
        <f>AP77/293.07*(1/(VLOOKUP($AF189,'Fuel economy adjusted factor'!$A$2:$L$52,5,FALSE)*m2k))/'TCO Inputs'!$AZ$84</f>
        <v>80.002686513497423</v>
      </c>
      <c r="AQ189" s="125">
        <f>AQ77/293.07*(1/(VLOOKUP($AF189,'Fuel economy adjusted factor'!$A$2:$L$52,5,FALSE)*m2k))/'TCO Inputs'!$AZ$84</f>
        <v>80.002686513497423</v>
      </c>
      <c r="AR189" s="125">
        <f>AR77/293.07*(1/(VLOOKUP($AF189,'Fuel economy adjusted factor'!$A$2:$L$52,5,FALSE)*m2k))/'TCO Inputs'!$AZ$84</f>
        <v>80.002686513497423</v>
      </c>
      <c r="AS189" s="125">
        <f>AS77/293.07*(1/(VLOOKUP($AF189,'Fuel economy adjusted factor'!$A$2:$L$52,5,FALSE)*m2k))/'TCO Inputs'!$AZ$84</f>
        <v>80.002686513497423</v>
      </c>
      <c r="AT189" s="125">
        <f>AT77/293.07*(1/(VLOOKUP($AF189,'Fuel economy adjusted factor'!$A$2:$L$52,5,FALSE)*m2k))/'TCO Inputs'!$AZ$84</f>
        <v>80.002686513497423</v>
      </c>
      <c r="AU189" s="125">
        <f>AU77/293.07*(1/(VLOOKUP($AF189,'Fuel economy adjusted factor'!$A$2:$L$52,5,FALSE)*m2k))/'TCO Inputs'!$AZ$84</f>
        <v>80.002686513497423</v>
      </c>
      <c r="AV189" s="125">
        <f>AV77/293.07*(1/(VLOOKUP($AF189,'Fuel economy adjusted factor'!$A$2:$L$52,5,FALSE)*m2k))/'TCO Inputs'!$AZ$84</f>
        <v>80.002686513497423</v>
      </c>
      <c r="AW189" s="125">
        <f>AW77/293.07*(1/(VLOOKUP($AF189,'Fuel economy adjusted factor'!$A$2:$L$52,5,FALSE)*m2k))/'TCO Inputs'!$AZ$84</f>
        <v>80.002686513497423</v>
      </c>
      <c r="AX189" s="125">
        <f>AX77/293.07*(1/(VLOOKUP($AF189,'Fuel economy adjusted factor'!$A$2:$L$52,5,FALSE)*m2k))/'TCO Inputs'!$AZ$84</f>
        <v>80.002686513497423</v>
      </c>
      <c r="AY189" s="125">
        <f>AY77/293.07*(1/(VLOOKUP($AF189,'Fuel economy adjusted factor'!$A$2:$L$52,5,FALSE)*m2k))/'TCO Inputs'!$AZ$84</f>
        <v>80.002686513497423</v>
      </c>
      <c r="AZ189" s="125">
        <f>AZ77/293.07*(1/(VLOOKUP($AF189,'Fuel economy adjusted factor'!$A$2:$L$52,5,FALSE)*m2k))/'TCO Inputs'!$AZ$84</f>
        <v>80.002686513497423</v>
      </c>
      <c r="BA189" s="125">
        <f>BA77/293.07*(1/(VLOOKUP($AF189,'Fuel economy adjusted factor'!$A$2:$L$52,5,FALSE)*m2k))/'TCO Inputs'!$AZ$84</f>
        <v>80.002686513497423</v>
      </c>
      <c r="BB189" s="125">
        <f>BB77/293.07*(1/(VLOOKUP($AF189,'Fuel economy adjusted factor'!$A$2:$L$52,5,FALSE)*m2k))/'TCO Inputs'!$AZ$84</f>
        <v>80.002686513497423</v>
      </c>
      <c r="BC189" s="125">
        <f>BC77/293.07*(1/(VLOOKUP($AF189,'Fuel economy adjusted factor'!$A$2:$L$52,5,FALSE)*m2k))/'TCO Inputs'!$AZ$84</f>
        <v>80.002686513497423</v>
      </c>
      <c r="BD189" s="125">
        <f>BD77/293.07*(1/(VLOOKUP($AF189,'Fuel economy adjusted factor'!$A$2:$L$52,5,FALSE)*m2k))/'TCO Inputs'!$AZ$84</f>
        <v>80.002686513497423</v>
      </c>
      <c r="BE189" s="125">
        <f>BE77/293.07*(1/(VLOOKUP($AF189,'Fuel economy adjusted factor'!$A$2:$L$52,5,FALSE)*m2k))/'TCO Inputs'!$AZ$84</f>
        <v>80.002686513497423</v>
      </c>
      <c r="BF189" s="125">
        <f>BF77/293.07*(1/(VLOOKUP($AF189,'Fuel economy adjusted factor'!$A$2:$L$52,5,FALSE)*m2k))/'TCO Inputs'!$AZ$84</f>
        <v>80.002686513497423</v>
      </c>
      <c r="BG189" s="125">
        <f>BG77/293.07*(1/(VLOOKUP($AF189,'Fuel economy adjusted factor'!$A$2:$L$52,5,FALSE)*m2k))/'TCO Inputs'!$AZ$84</f>
        <v>80.002686513497423</v>
      </c>
      <c r="BH189" s="125">
        <f>BH77/293.07*(1/(VLOOKUP($AF189,'Fuel economy adjusted factor'!$A$2:$L$52,5,FALSE)*m2k))/'TCO Inputs'!$AZ$84</f>
        <v>80.002686513497423</v>
      </c>
      <c r="BI189" s="98" cm="1">
        <f t="array" ref="BI189">SUMPRODUCT(INDEX(AG189:BH189,,'TCO Inputs'!$AZ$12-2023+_xlfn.SEQUENCE('TCO Inputs'!$AZ$13))*INDEX('VKT US'!C81:AA81,,_xlfn.SEQUENCE('TCO Inputs'!$AZ$13)))*m2k*CONVERT(0.9072,"g","ton")</f>
        <v>24.041409840641769</v>
      </c>
    </row>
    <row r="190" spans="1:61" x14ac:dyDescent="0.25">
      <c r="A190" s="123" t="s">
        <v>202</v>
      </c>
      <c r="B190" s="125">
        <f>B78/293.07*(1/(VLOOKUP($A190,'Fuel economy adjusted factor'!$A$2:$L$52,5,FALSE)*m2k))/'TCO Inputs'!$AZ$84</f>
        <v>94.320746992553552</v>
      </c>
      <c r="C190" s="125">
        <f>C78/293.07*(1/(VLOOKUP($A190,'Fuel economy adjusted factor'!$A$2:$L$52,5,FALSE)*m2k))/'TCO Inputs'!$AZ$84</f>
        <v>94.320746992553552</v>
      </c>
      <c r="D190" s="125">
        <f>D78/293.07*(1/(VLOOKUP($A190,'Fuel economy adjusted factor'!$A$2:$L$52,5,FALSE)*m2k))/'TCO Inputs'!$AZ$84</f>
        <v>94.320746992553552</v>
      </c>
      <c r="E190" s="125">
        <f>E78/293.07*(1/(VLOOKUP($A190,'Fuel economy adjusted factor'!$A$2:$L$52,5,FALSE)*m2k))/'TCO Inputs'!$AZ$84</f>
        <v>94.320746992553552</v>
      </c>
      <c r="F190" s="125">
        <f>F78/293.07*(1/(VLOOKUP($A190,'Fuel economy adjusted factor'!$A$2:$L$52,5,FALSE)*m2k))/'TCO Inputs'!$AZ$84</f>
        <v>94.320746992553552</v>
      </c>
      <c r="G190" s="125">
        <f>G78/293.07*(1/(VLOOKUP($A190,'Fuel economy adjusted factor'!$A$2:$L$52,5,FALSE)*m2k))/'TCO Inputs'!$AZ$84</f>
        <v>94.320746992553552</v>
      </c>
      <c r="H190" s="125">
        <f>H78/293.07*(1/(VLOOKUP($A190,'Fuel economy adjusted factor'!$A$2:$L$52,5,FALSE)*m2k))/'TCO Inputs'!$AZ$84</f>
        <v>94.320746992553552</v>
      </c>
      <c r="I190" s="125">
        <f>I78/293.07*(1/(VLOOKUP($A190,'Fuel economy adjusted factor'!$A$2:$L$52,5,FALSE)*m2k))/'TCO Inputs'!$AZ$84</f>
        <v>94.320746992553552</v>
      </c>
      <c r="J190" s="125">
        <f>J78/293.07*(1/(VLOOKUP($A190,'Fuel economy adjusted factor'!$A$2:$L$52,5,FALSE)*m2k))/'TCO Inputs'!$AZ$84</f>
        <v>94.320746992553552</v>
      </c>
      <c r="K190" s="125">
        <f>K78/293.07*(1/(VLOOKUP($A190,'Fuel economy adjusted factor'!$A$2:$L$52,5,FALSE)*m2k))/'TCO Inputs'!$AZ$84</f>
        <v>94.320746992553552</v>
      </c>
      <c r="L190" s="125">
        <f>L78/293.07*(1/(VLOOKUP($A190,'Fuel economy adjusted factor'!$A$2:$L$52,5,FALSE)*m2k))/'TCO Inputs'!$AZ$84</f>
        <v>94.320746992553552</v>
      </c>
      <c r="M190" s="125">
        <f>M78/293.07*(1/(VLOOKUP($A190,'Fuel economy adjusted factor'!$A$2:$L$52,5,FALSE)*m2k))/'TCO Inputs'!$AZ$84</f>
        <v>94.320746992553552</v>
      </c>
      <c r="N190" s="125">
        <f>N78/293.07*(1/(VLOOKUP($A190,'Fuel economy adjusted factor'!$A$2:$L$52,5,FALSE)*m2k))/'TCO Inputs'!$AZ$84</f>
        <v>94.320746992553552</v>
      </c>
      <c r="O190" s="125">
        <f>O78/293.07*(1/(VLOOKUP($A190,'Fuel economy adjusted factor'!$A$2:$L$52,5,FALSE)*m2k))/'TCO Inputs'!$AZ$84</f>
        <v>94.320746992553552</v>
      </c>
      <c r="P190" s="125">
        <f>P78/293.07*(1/(VLOOKUP($A190,'Fuel economy adjusted factor'!$A$2:$L$52,5,FALSE)*m2k))/'TCO Inputs'!$AZ$84</f>
        <v>94.320746992553552</v>
      </c>
      <c r="Q190" s="125">
        <f>Q78/293.07*(1/(VLOOKUP($A190,'Fuel economy adjusted factor'!$A$2:$L$52,5,FALSE)*m2k))/'TCO Inputs'!$AZ$84</f>
        <v>94.320746992553552</v>
      </c>
      <c r="R190" s="125">
        <f>R78/293.07*(1/(VLOOKUP($A190,'Fuel economy adjusted factor'!$A$2:$L$52,5,FALSE)*m2k))/'TCO Inputs'!$AZ$84</f>
        <v>94.320746992553552</v>
      </c>
      <c r="S190" s="125">
        <f>S78/293.07*(1/(VLOOKUP($A190,'Fuel economy adjusted factor'!$A$2:$L$52,5,FALSE)*m2k))/'TCO Inputs'!$AZ$84</f>
        <v>94.320746992553552</v>
      </c>
      <c r="T190" s="125">
        <f>T78/293.07*(1/(VLOOKUP($A190,'Fuel economy adjusted factor'!$A$2:$L$52,5,FALSE)*m2k))/'TCO Inputs'!$AZ$84</f>
        <v>94.320746992553552</v>
      </c>
      <c r="U190" s="125">
        <f>U78/293.07*(1/(VLOOKUP($A190,'Fuel economy adjusted factor'!$A$2:$L$52,5,FALSE)*m2k))/'TCO Inputs'!$AZ$84</f>
        <v>94.320746992553552</v>
      </c>
      <c r="V190" s="125">
        <f>V78/293.07*(1/(VLOOKUP($A190,'Fuel economy adjusted factor'!$A$2:$L$52,5,FALSE)*m2k))/'TCO Inputs'!$AZ$84</f>
        <v>94.320746992553552</v>
      </c>
      <c r="W190" s="125">
        <f>W78/293.07*(1/(VLOOKUP($A190,'Fuel economy adjusted factor'!$A$2:$L$52,5,FALSE)*m2k))/'TCO Inputs'!$AZ$84</f>
        <v>94.320746992553552</v>
      </c>
      <c r="X190" s="125">
        <f>X78/293.07*(1/(VLOOKUP($A190,'Fuel economy adjusted factor'!$A$2:$L$52,5,FALSE)*m2k))/'TCO Inputs'!$AZ$84</f>
        <v>94.320746992553552</v>
      </c>
      <c r="Y190" s="125">
        <f>Y78/293.07*(1/(VLOOKUP($A190,'Fuel economy adjusted factor'!$A$2:$L$52,5,FALSE)*m2k))/'TCO Inputs'!$AZ$84</f>
        <v>94.320746992553552</v>
      </c>
      <c r="Z190" s="125">
        <f>Z78/293.07*(1/(VLOOKUP($A190,'Fuel economy adjusted factor'!$A$2:$L$52,5,FALSE)*m2k))/'TCO Inputs'!$AZ$84</f>
        <v>94.320746992553552</v>
      </c>
      <c r="AA190" s="125">
        <f>AA78/293.07*(1/(VLOOKUP($A190,'Fuel economy adjusted factor'!$A$2:$L$52,5,FALSE)*m2k))/'TCO Inputs'!$AZ$84</f>
        <v>94.320746992553552</v>
      </c>
      <c r="AB190" s="125">
        <f>AB78/293.07*(1/(VLOOKUP($A190,'Fuel economy adjusted factor'!$A$2:$L$52,5,FALSE)*m2k))/'TCO Inputs'!$AZ$84</f>
        <v>94.320746992553552</v>
      </c>
      <c r="AC190" s="125">
        <f>AC78/293.07*(1/(VLOOKUP($A190,'Fuel economy adjusted factor'!$A$2:$L$52,5,FALSE)*m2k))/'TCO Inputs'!$AZ$84</f>
        <v>94.320746992553552</v>
      </c>
      <c r="AD190" s="98" cm="1">
        <f t="array" ref="AD190">SUMPRODUCT(INDEX(B190:AC190,,'TCO Inputs'!$AZ$12-2023+_xlfn.SEQUENCE('TCO Inputs'!$AZ$13))*INDEX('VKT US'!C82:AA82,,_xlfn.SEQUENCE('TCO Inputs'!$AZ$13)))*m2k*CONVERT(0.9072,"g","ton")</f>
        <v>26.898476225707544</v>
      </c>
      <c r="AF190" s="123" t="s">
        <v>202</v>
      </c>
      <c r="AG190" s="125">
        <f>AG78/293.07*(1/(VLOOKUP($AF190,'Fuel economy adjusted factor'!$A$2:$L$52,5,FALSE)*m2k))/'TCO Inputs'!$AZ$84</f>
        <v>109.26496486018671</v>
      </c>
      <c r="AH190" s="125">
        <f>AH78/293.07*(1/(VLOOKUP($AF190,'Fuel economy adjusted factor'!$A$2:$L$52,5,FALSE)*m2k))/'TCO Inputs'!$AZ$84</f>
        <v>109.26496486018671</v>
      </c>
      <c r="AI190" s="125">
        <f>AI78/293.07*(1/(VLOOKUP($AF190,'Fuel economy adjusted factor'!$A$2:$L$52,5,FALSE)*m2k))/'TCO Inputs'!$AZ$84</f>
        <v>109.26496486018671</v>
      </c>
      <c r="AJ190" s="125">
        <f>AJ78/293.07*(1/(VLOOKUP($AF190,'Fuel economy adjusted factor'!$A$2:$L$52,5,FALSE)*m2k))/'TCO Inputs'!$AZ$84</f>
        <v>109.26496486018671</v>
      </c>
      <c r="AK190" s="125">
        <f>AK78/293.07*(1/(VLOOKUP($AF190,'Fuel economy adjusted factor'!$A$2:$L$52,5,FALSE)*m2k))/'TCO Inputs'!$AZ$84</f>
        <v>109.26496486018671</v>
      </c>
      <c r="AL190" s="125">
        <f>AL78/293.07*(1/(VLOOKUP($AF190,'Fuel economy adjusted factor'!$A$2:$L$52,5,FALSE)*m2k))/'TCO Inputs'!$AZ$84</f>
        <v>109.26496486018671</v>
      </c>
      <c r="AM190" s="125">
        <f>AM78/293.07*(1/(VLOOKUP($AF190,'Fuel economy adjusted factor'!$A$2:$L$52,5,FALSE)*m2k))/'TCO Inputs'!$AZ$84</f>
        <v>109.26496486018671</v>
      </c>
      <c r="AN190" s="125">
        <f>AN78/293.07*(1/(VLOOKUP($AF190,'Fuel economy adjusted factor'!$A$2:$L$52,5,FALSE)*m2k))/'TCO Inputs'!$AZ$84</f>
        <v>109.26496486018671</v>
      </c>
      <c r="AO190" s="125">
        <f>AO78/293.07*(1/(VLOOKUP($AF190,'Fuel economy adjusted factor'!$A$2:$L$52,5,FALSE)*m2k))/'TCO Inputs'!$AZ$84</f>
        <v>109.26496486018671</v>
      </c>
      <c r="AP190" s="125">
        <f>AP78/293.07*(1/(VLOOKUP($AF190,'Fuel economy adjusted factor'!$A$2:$L$52,5,FALSE)*m2k))/'TCO Inputs'!$AZ$84</f>
        <v>109.26496486018671</v>
      </c>
      <c r="AQ190" s="125">
        <f>AQ78/293.07*(1/(VLOOKUP($AF190,'Fuel economy adjusted factor'!$A$2:$L$52,5,FALSE)*m2k))/'TCO Inputs'!$AZ$84</f>
        <v>109.26496486018671</v>
      </c>
      <c r="AR190" s="125">
        <f>AR78/293.07*(1/(VLOOKUP($AF190,'Fuel economy adjusted factor'!$A$2:$L$52,5,FALSE)*m2k))/'TCO Inputs'!$AZ$84</f>
        <v>109.26496486018671</v>
      </c>
      <c r="AS190" s="125">
        <f>AS78/293.07*(1/(VLOOKUP($AF190,'Fuel economy adjusted factor'!$A$2:$L$52,5,FALSE)*m2k))/'TCO Inputs'!$AZ$84</f>
        <v>109.26496486018671</v>
      </c>
      <c r="AT190" s="125">
        <f>AT78/293.07*(1/(VLOOKUP($AF190,'Fuel economy adjusted factor'!$A$2:$L$52,5,FALSE)*m2k))/'TCO Inputs'!$AZ$84</f>
        <v>109.26496486018671</v>
      </c>
      <c r="AU190" s="125">
        <f>AU78/293.07*(1/(VLOOKUP($AF190,'Fuel economy adjusted factor'!$A$2:$L$52,5,FALSE)*m2k))/'TCO Inputs'!$AZ$84</f>
        <v>109.26496486018671</v>
      </c>
      <c r="AV190" s="125">
        <f>AV78/293.07*(1/(VLOOKUP($AF190,'Fuel economy adjusted factor'!$A$2:$L$52,5,FALSE)*m2k))/'TCO Inputs'!$AZ$84</f>
        <v>109.26496486018671</v>
      </c>
      <c r="AW190" s="125">
        <f>AW78/293.07*(1/(VLOOKUP($AF190,'Fuel economy adjusted factor'!$A$2:$L$52,5,FALSE)*m2k))/'TCO Inputs'!$AZ$84</f>
        <v>109.26496486018671</v>
      </c>
      <c r="AX190" s="125">
        <f>AX78/293.07*(1/(VLOOKUP($AF190,'Fuel economy adjusted factor'!$A$2:$L$52,5,FALSE)*m2k))/'TCO Inputs'!$AZ$84</f>
        <v>109.26496486018671</v>
      </c>
      <c r="AY190" s="125">
        <f>AY78/293.07*(1/(VLOOKUP($AF190,'Fuel economy adjusted factor'!$A$2:$L$52,5,FALSE)*m2k))/'TCO Inputs'!$AZ$84</f>
        <v>109.26496486018671</v>
      </c>
      <c r="AZ190" s="125">
        <f>AZ78/293.07*(1/(VLOOKUP($AF190,'Fuel economy adjusted factor'!$A$2:$L$52,5,FALSE)*m2k))/'TCO Inputs'!$AZ$84</f>
        <v>109.26496486018671</v>
      </c>
      <c r="BA190" s="125">
        <f>BA78/293.07*(1/(VLOOKUP($AF190,'Fuel economy adjusted factor'!$A$2:$L$52,5,FALSE)*m2k))/'TCO Inputs'!$AZ$84</f>
        <v>109.26496486018671</v>
      </c>
      <c r="BB190" s="125">
        <f>BB78/293.07*(1/(VLOOKUP($AF190,'Fuel economy adjusted factor'!$A$2:$L$52,5,FALSE)*m2k))/'TCO Inputs'!$AZ$84</f>
        <v>109.26496486018671</v>
      </c>
      <c r="BC190" s="125">
        <f>BC78/293.07*(1/(VLOOKUP($AF190,'Fuel economy adjusted factor'!$A$2:$L$52,5,FALSE)*m2k))/'TCO Inputs'!$AZ$84</f>
        <v>109.26496486018671</v>
      </c>
      <c r="BD190" s="125">
        <f>BD78/293.07*(1/(VLOOKUP($AF190,'Fuel economy adjusted factor'!$A$2:$L$52,5,FALSE)*m2k))/'TCO Inputs'!$AZ$84</f>
        <v>109.26496486018671</v>
      </c>
      <c r="BE190" s="125">
        <f>BE78/293.07*(1/(VLOOKUP($AF190,'Fuel economy adjusted factor'!$A$2:$L$52,5,FALSE)*m2k))/'TCO Inputs'!$AZ$84</f>
        <v>109.26496486018671</v>
      </c>
      <c r="BF190" s="125">
        <f>BF78/293.07*(1/(VLOOKUP($AF190,'Fuel economy adjusted factor'!$A$2:$L$52,5,FALSE)*m2k))/'TCO Inputs'!$AZ$84</f>
        <v>109.26496486018671</v>
      </c>
      <c r="BG190" s="125">
        <f>BG78/293.07*(1/(VLOOKUP($AF190,'Fuel economy adjusted factor'!$A$2:$L$52,5,FALSE)*m2k))/'TCO Inputs'!$AZ$84</f>
        <v>109.26496486018671</v>
      </c>
      <c r="BH190" s="125">
        <f>BH78/293.07*(1/(VLOOKUP($AF190,'Fuel economy adjusted factor'!$A$2:$L$52,5,FALSE)*m2k))/'TCO Inputs'!$AZ$84</f>
        <v>109.26496486018671</v>
      </c>
      <c r="BI190" s="98" cm="1">
        <f t="array" ref="BI190">SUMPRODUCT(INDEX(AG190:BH190,,'TCO Inputs'!$AZ$12-2023+_xlfn.SEQUENCE('TCO Inputs'!$AZ$13))*INDEX('VKT US'!C82:AA82,,_xlfn.SEQUENCE('TCO Inputs'!$AZ$13)))*m2k*CONVERT(0.9072,"g","ton")</f>
        <v>31.16028183944022</v>
      </c>
    </row>
    <row r="191" spans="1:61" x14ac:dyDescent="0.25">
      <c r="A191" s="123" t="s">
        <v>201</v>
      </c>
      <c r="B191" s="125">
        <f>B79/293.07*(1/(VLOOKUP($A191,'Fuel economy adjusted factor'!$A$2:$L$52,5,FALSE)*m2k))/'TCO Inputs'!$AZ$84</f>
        <v>149.24877080146408</v>
      </c>
      <c r="C191" s="125">
        <f>C79/293.07*(1/(VLOOKUP($A191,'Fuel economy adjusted factor'!$A$2:$L$52,5,FALSE)*m2k))/'TCO Inputs'!$AZ$84</f>
        <v>149.24877080146408</v>
      </c>
      <c r="D191" s="125">
        <f>D79/293.07*(1/(VLOOKUP($A191,'Fuel economy adjusted factor'!$A$2:$L$52,5,FALSE)*m2k))/'TCO Inputs'!$AZ$84</f>
        <v>149.24877080146408</v>
      </c>
      <c r="E191" s="125">
        <f>E79/293.07*(1/(VLOOKUP($A191,'Fuel economy adjusted factor'!$A$2:$L$52,5,FALSE)*m2k))/'TCO Inputs'!$AZ$84</f>
        <v>149.24877080146408</v>
      </c>
      <c r="F191" s="125">
        <f>F79/293.07*(1/(VLOOKUP($A191,'Fuel economy adjusted factor'!$A$2:$L$52,5,FALSE)*m2k))/'TCO Inputs'!$AZ$84</f>
        <v>149.24877080146408</v>
      </c>
      <c r="G191" s="125">
        <f>G79/293.07*(1/(VLOOKUP($A191,'Fuel economy adjusted factor'!$A$2:$L$52,5,FALSE)*m2k))/'TCO Inputs'!$AZ$84</f>
        <v>149.24877080146408</v>
      </c>
      <c r="H191" s="125">
        <f>H79/293.07*(1/(VLOOKUP($A191,'Fuel economy adjusted factor'!$A$2:$L$52,5,FALSE)*m2k))/'TCO Inputs'!$AZ$84</f>
        <v>149.24877080146408</v>
      </c>
      <c r="I191" s="125">
        <f>I79/293.07*(1/(VLOOKUP($A191,'Fuel economy adjusted factor'!$A$2:$L$52,5,FALSE)*m2k))/'TCO Inputs'!$AZ$84</f>
        <v>149.24877080146408</v>
      </c>
      <c r="J191" s="125">
        <f>J79/293.07*(1/(VLOOKUP($A191,'Fuel economy adjusted factor'!$A$2:$L$52,5,FALSE)*m2k))/'TCO Inputs'!$AZ$84</f>
        <v>149.24877080146408</v>
      </c>
      <c r="K191" s="125">
        <f>K79/293.07*(1/(VLOOKUP($A191,'Fuel economy adjusted factor'!$A$2:$L$52,5,FALSE)*m2k))/'TCO Inputs'!$AZ$84</f>
        <v>149.24877080146408</v>
      </c>
      <c r="L191" s="125">
        <f>L79/293.07*(1/(VLOOKUP($A191,'Fuel economy adjusted factor'!$A$2:$L$52,5,FALSE)*m2k))/'TCO Inputs'!$AZ$84</f>
        <v>149.24877080146408</v>
      </c>
      <c r="M191" s="125">
        <f>M79/293.07*(1/(VLOOKUP($A191,'Fuel economy adjusted factor'!$A$2:$L$52,5,FALSE)*m2k))/'TCO Inputs'!$AZ$84</f>
        <v>149.24877080146408</v>
      </c>
      <c r="N191" s="125">
        <f>N79/293.07*(1/(VLOOKUP($A191,'Fuel economy adjusted factor'!$A$2:$L$52,5,FALSE)*m2k))/'TCO Inputs'!$AZ$84</f>
        <v>149.24877080146408</v>
      </c>
      <c r="O191" s="125">
        <f>O79/293.07*(1/(VLOOKUP($A191,'Fuel economy adjusted factor'!$A$2:$L$52,5,FALSE)*m2k))/'TCO Inputs'!$AZ$84</f>
        <v>149.24877080146408</v>
      </c>
      <c r="P191" s="125">
        <f>P79/293.07*(1/(VLOOKUP($A191,'Fuel economy adjusted factor'!$A$2:$L$52,5,FALSE)*m2k))/'TCO Inputs'!$AZ$84</f>
        <v>149.24877080146408</v>
      </c>
      <c r="Q191" s="125">
        <f>Q79/293.07*(1/(VLOOKUP($A191,'Fuel economy adjusted factor'!$A$2:$L$52,5,FALSE)*m2k))/'TCO Inputs'!$AZ$84</f>
        <v>149.24877080146408</v>
      </c>
      <c r="R191" s="125">
        <f>R79/293.07*(1/(VLOOKUP($A191,'Fuel economy adjusted factor'!$A$2:$L$52,5,FALSE)*m2k))/'TCO Inputs'!$AZ$84</f>
        <v>149.24877080146408</v>
      </c>
      <c r="S191" s="125">
        <f>S79/293.07*(1/(VLOOKUP($A191,'Fuel economy adjusted factor'!$A$2:$L$52,5,FALSE)*m2k))/'TCO Inputs'!$AZ$84</f>
        <v>149.24877080146408</v>
      </c>
      <c r="T191" s="125">
        <f>T79/293.07*(1/(VLOOKUP($A191,'Fuel economy adjusted factor'!$A$2:$L$52,5,FALSE)*m2k))/'TCO Inputs'!$AZ$84</f>
        <v>149.24877080146408</v>
      </c>
      <c r="U191" s="125">
        <f>U79/293.07*(1/(VLOOKUP($A191,'Fuel economy adjusted factor'!$A$2:$L$52,5,FALSE)*m2k))/'TCO Inputs'!$AZ$84</f>
        <v>149.24877080146408</v>
      </c>
      <c r="V191" s="125">
        <f>V79/293.07*(1/(VLOOKUP($A191,'Fuel economy adjusted factor'!$A$2:$L$52,5,FALSE)*m2k))/'TCO Inputs'!$AZ$84</f>
        <v>149.24877080146408</v>
      </c>
      <c r="W191" s="125">
        <f>W79/293.07*(1/(VLOOKUP($A191,'Fuel economy adjusted factor'!$A$2:$L$52,5,FALSE)*m2k))/'TCO Inputs'!$AZ$84</f>
        <v>149.24877080146408</v>
      </c>
      <c r="X191" s="125">
        <f>X79/293.07*(1/(VLOOKUP($A191,'Fuel economy adjusted factor'!$A$2:$L$52,5,FALSE)*m2k))/'TCO Inputs'!$AZ$84</f>
        <v>149.24877080146408</v>
      </c>
      <c r="Y191" s="125">
        <f>Y79/293.07*(1/(VLOOKUP($A191,'Fuel economy adjusted factor'!$A$2:$L$52,5,FALSE)*m2k))/'TCO Inputs'!$AZ$84</f>
        <v>149.24877080146408</v>
      </c>
      <c r="Z191" s="125">
        <f>Z79/293.07*(1/(VLOOKUP($A191,'Fuel economy adjusted factor'!$A$2:$L$52,5,FALSE)*m2k))/'TCO Inputs'!$AZ$84</f>
        <v>149.24877080146408</v>
      </c>
      <c r="AA191" s="125">
        <f>AA79/293.07*(1/(VLOOKUP($A191,'Fuel economy adjusted factor'!$A$2:$L$52,5,FALSE)*m2k))/'TCO Inputs'!$AZ$84</f>
        <v>149.24877080146408</v>
      </c>
      <c r="AB191" s="125">
        <f>AB79/293.07*(1/(VLOOKUP($A191,'Fuel economy adjusted factor'!$A$2:$L$52,5,FALSE)*m2k))/'TCO Inputs'!$AZ$84</f>
        <v>149.24877080146408</v>
      </c>
      <c r="AC191" s="125">
        <f>AC79/293.07*(1/(VLOOKUP($A191,'Fuel economy adjusted factor'!$A$2:$L$52,5,FALSE)*m2k))/'TCO Inputs'!$AZ$84</f>
        <v>149.24877080146408</v>
      </c>
      <c r="AD191" s="98" cm="1">
        <f t="array" ref="AD191">SUMPRODUCT(INDEX(B191:AC191,,'TCO Inputs'!$AZ$12-2023+_xlfn.SEQUENCE('TCO Inputs'!$AZ$13))*INDEX('VKT US'!C83:AA83,,_xlfn.SEQUENCE('TCO Inputs'!$AZ$13)))*m2k*CONVERT(0.9072,"g","ton")</f>
        <v>41.360789832630665</v>
      </c>
      <c r="AF191" s="123" t="s">
        <v>201</v>
      </c>
      <c r="AG191" s="125">
        <f>AG79/293.07*(1/(VLOOKUP($AF191,'Fuel economy adjusted factor'!$A$2:$L$52,5,FALSE)*m2k))/'TCO Inputs'!$AZ$84</f>
        <v>172.89580730669468</v>
      </c>
      <c r="AH191" s="125">
        <f>AH79/293.07*(1/(VLOOKUP($AF191,'Fuel economy adjusted factor'!$A$2:$L$52,5,FALSE)*m2k))/'TCO Inputs'!$AZ$84</f>
        <v>172.89580730669468</v>
      </c>
      <c r="AI191" s="125">
        <f>AI79/293.07*(1/(VLOOKUP($AF191,'Fuel economy adjusted factor'!$A$2:$L$52,5,FALSE)*m2k))/'TCO Inputs'!$AZ$84</f>
        <v>172.89580730669468</v>
      </c>
      <c r="AJ191" s="125">
        <f>AJ79/293.07*(1/(VLOOKUP($AF191,'Fuel economy adjusted factor'!$A$2:$L$52,5,FALSE)*m2k))/'TCO Inputs'!$AZ$84</f>
        <v>172.89580730669468</v>
      </c>
      <c r="AK191" s="125">
        <f>AK79/293.07*(1/(VLOOKUP($AF191,'Fuel economy adjusted factor'!$A$2:$L$52,5,FALSE)*m2k))/'TCO Inputs'!$AZ$84</f>
        <v>172.89580730669468</v>
      </c>
      <c r="AL191" s="125">
        <f>AL79/293.07*(1/(VLOOKUP($AF191,'Fuel economy adjusted factor'!$A$2:$L$52,5,FALSE)*m2k))/'TCO Inputs'!$AZ$84</f>
        <v>172.89580730669468</v>
      </c>
      <c r="AM191" s="125">
        <f>AM79/293.07*(1/(VLOOKUP($AF191,'Fuel economy adjusted factor'!$A$2:$L$52,5,FALSE)*m2k))/'TCO Inputs'!$AZ$84</f>
        <v>172.89580730669468</v>
      </c>
      <c r="AN191" s="125">
        <f>AN79/293.07*(1/(VLOOKUP($AF191,'Fuel economy adjusted factor'!$A$2:$L$52,5,FALSE)*m2k))/'TCO Inputs'!$AZ$84</f>
        <v>172.89580730669468</v>
      </c>
      <c r="AO191" s="125">
        <f>AO79/293.07*(1/(VLOOKUP($AF191,'Fuel economy adjusted factor'!$A$2:$L$52,5,FALSE)*m2k))/'TCO Inputs'!$AZ$84</f>
        <v>172.89580730669468</v>
      </c>
      <c r="AP191" s="125">
        <f>AP79/293.07*(1/(VLOOKUP($AF191,'Fuel economy adjusted factor'!$A$2:$L$52,5,FALSE)*m2k))/'TCO Inputs'!$AZ$84</f>
        <v>172.89580730669468</v>
      </c>
      <c r="AQ191" s="125">
        <f>AQ79/293.07*(1/(VLOOKUP($AF191,'Fuel economy adjusted factor'!$A$2:$L$52,5,FALSE)*m2k))/'TCO Inputs'!$AZ$84</f>
        <v>172.89580730669468</v>
      </c>
      <c r="AR191" s="125">
        <f>AR79/293.07*(1/(VLOOKUP($AF191,'Fuel economy adjusted factor'!$A$2:$L$52,5,FALSE)*m2k))/'TCO Inputs'!$AZ$84</f>
        <v>172.89580730669468</v>
      </c>
      <c r="AS191" s="125">
        <f>AS79/293.07*(1/(VLOOKUP($AF191,'Fuel economy adjusted factor'!$A$2:$L$52,5,FALSE)*m2k))/'TCO Inputs'!$AZ$84</f>
        <v>172.89580730669468</v>
      </c>
      <c r="AT191" s="125">
        <f>AT79/293.07*(1/(VLOOKUP($AF191,'Fuel economy adjusted factor'!$A$2:$L$52,5,FALSE)*m2k))/'TCO Inputs'!$AZ$84</f>
        <v>172.89580730669468</v>
      </c>
      <c r="AU191" s="125">
        <f>AU79/293.07*(1/(VLOOKUP($AF191,'Fuel economy adjusted factor'!$A$2:$L$52,5,FALSE)*m2k))/'TCO Inputs'!$AZ$84</f>
        <v>172.89580730669468</v>
      </c>
      <c r="AV191" s="125">
        <f>AV79/293.07*(1/(VLOOKUP($AF191,'Fuel economy adjusted factor'!$A$2:$L$52,5,FALSE)*m2k))/'TCO Inputs'!$AZ$84</f>
        <v>172.89580730669468</v>
      </c>
      <c r="AW191" s="125">
        <f>AW79/293.07*(1/(VLOOKUP($AF191,'Fuel economy adjusted factor'!$A$2:$L$52,5,FALSE)*m2k))/'TCO Inputs'!$AZ$84</f>
        <v>172.89580730669468</v>
      </c>
      <c r="AX191" s="125">
        <f>AX79/293.07*(1/(VLOOKUP($AF191,'Fuel economy adjusted factor'!$A$2:$L$52,5,FALSE)*m2k))/'TCO Inputs'!$AZ$84</f>
        <v>172.89580730669468</v>
      </c>
      <c r="AY191" s="125">
        <f>AY79/293.07*(1/(VLOOKUP($AF191,'Fuel economy adjusted factor'!$A$2:$L$52,5,FALSE)*m2k))/'TCO Inputs'!$AZ$84</f>
        <v>172.89580730669468</v>
      </c>
      <c r="AZ191" s="125">
        <f>AZ79/293.07*(1/(VLOOKUP($AF191,'Fuel economy adjusted factor'!$A$2:$L$52,5,FALSE)*m2k))/'TCO Inputs'!$AZ$84</f>
        <v>172.89580730669468</v>
      </c>
      <c r="BA191" s="125">
        <f>BA79/293.07*(1/(VLOOKUP($AF191,'Fuel economy adjusted factor'!$A$2:$L$52,5,FALSE)*m2k))/'TCO Inputs'!$AZ$84</f>
        <v>172.89580730669468</v>
      </c>
      <c r="BB191" s="125">
        <f>BB79/293.07*(1/(VLOOKUP($AF191,'Fuel economy adjusted factor'!$A$2:$L$52,5,FALSE)*m2k))/'TCO Inputs'!$AZ$84</f>
        <v>172.89580730669468</v>
      </c>
      <c r="BC191" s="125">
        <f>BC79/293.07*(1/(VLOOKUP($AF191,'Fuel economy adjusted factor'!$A$2:$L$52,5,FALSE)*m2k))/'TCO Inputs'!$AZ$84</f>
        <v>172.89580730669468</v>
      </c>
      <c r="BD191" s="125">
        <f>BD79/293.07*(1/(VLOOKUP($AF191,'Fuel economy adjusted factor'!$A$2:$L$52,5,FALSE)*m2k))/'TCO Inputs'!$AZ$84</f>
        <v>172.89580730669468</v>
      </c>
      <c r="BE191" s="125">
        <f>BE79/293.07*(1/(VLOOKUP($AF191,'Fuel economy adjusted factor'!$A$2:$L$52,5,FALSE)*m2k))/'TCO Inputs'!$AZ$84</f>
        <v>172.89580730669468</v>
      </c>
      <c r="BF191" s="125">
        <f>BF79/293.07*(1/(VLOOKUP($AF191,'Fuel economy adjusted factor'!$A$2:$L$52,5,FALSE)*m2k))/'TCO Inputs'!$AZ$84</f>
        <v>172.89580730669468</v>
      </c>
      <c r="BG191" s="125">
        <f>BG79/293.07*(1/(VLOOKUP($AF191,'Fuel economy adjusted factor'!$A$2:$L$52,5,FALSE)*m2k))/'TCO Inputs'!$AZ$84</f>
        <v>172.89580730669468</v>
      </c>
      <c r="BH191" s="125">
        <f>BH79/293.07*(1/(VLOOKUP($AF191,'Fuel economy adjusted factor'!$A$2:$L$52,5,FALSE)*m2k))/'TCO Inputs'!$AZ$84</f>
        <v>172.89580730669468</v>
      </c>
      <c r="BI191" s="98" cm="1">
        <f t="array" ref="BI191">SUMPRODUCT(INDEX(AG191:BH191,,'TCO Inputs'!$AZ$12-2023+_xlfn.SEQUENCE('TCO Inputs'!$AZ$13))*INDEX('VKT US'!C83:AA83,,_xlfn.SEQUENCE('TCO Inputs'!$AZ$13)))*m2k*CONVERT(0.9072,"g","ton")</f>
        <v>47.914010350328859</v>
      </c>
    </row>
    <row r="192" spans="1:61" x14ac:dyDescent="0.25">
      <c r="A192" s="123" t="s">
        <v>204</v>
      </c>
      <c r="B192" s="125">
        <f>B80/293.07*(1/(VLOOKUP($A192,'Fuel economy adjusted factor'!$A$2:$L$52,5,FALSE)*m2k))/'TCO Inputs'!$AZ$84</f>
        <v>173.41055677342624</v>
      </c>
      <c r="C192" s="125">
        <f>C80/293.07*(1/(VLOOKUP($A192,'Fuel economy adjusted factor'!$A$2:$L$52,5,FALSE)*m2k))/'TCO Inputs'!$AZ$84</f>
        <v>173.41055677342624</v>
      </c>
      <c r="D192" s="125">
        <f>D80/293.07*(1/(VLOOKUP($A192,'Fuel economy adjusted factor'!$A$2:$L$52,5,FALSE)*m2k))/'TCO Inputs'!$AZ$84</f>
        <v>173.41055677342624</v>
      </c>
      <c r="E192" s="125">
        <f>E80/293.07*(1/(VLOOKUP($A192,'Fuel economy adjusted factor'!$A$2:$L$52,5,FALSE)*m2k))/'TCO Inputs'!$AZ$84</f>
        <v>173.41055677342624</v>
      </c>
      <c r="F192" s="125">
        <f>F80/293.07*(1/(VLOOKUP($A192,'Fuel economy adjusted factor'!$A$2:$L$52,5,FALSE)*m2k))/'TCO Inputs'!$AZ$84</f>
        <v>173.41055677342624</v>
      </c>
      <c r="G192" s="125">
        <f>G80/293.07*(1/(VLOOKUP($A192,'Fuel economy adjusted factor'!$A$2:$L$52,5,FALSE)*m2k))/'TCO Inputs'!$AZ$84</f>
        <v>173.41055677342624</v>
      </c>
      <c r="H192" s="125">
        <f>H80/293.07*(1/(VLOOKUP($A192,'Fuel economy adjusted factor'!$A$2:$L$52,5,FALSE)*m2k))/'TCO Inputs'!$AZ$84</f>
        <v>173.41055677342624</v>
      </c>
      <c r="I192" s="125">
        <f>I80/293.07*(1/(VLOOKUP($A192,'Fuel economy adjusted factor'!$A$2:$L$52,5,FALSE)*m2k))/'TCO Inputs'!$AZ$84</f>
        <v>173.41055677342624</v>
      </c>
      <c r="J192" s="125">
        <f>J80/293.07*(1/(VLOOKUP($A192,'Fuel economy adjusted factor'!$A$2:$L$52,5,FALSE)*m2k))/'TCO Inputs'!$AZ$84</f>
        <v>173.41055677342624</v>
      </c>
      <c r="K192" s="125">
        <f>K80/293.07*(1/(VLOOKUP($A192,'Fuel economy adjusted factor'!$A$2:$L$52,5,FALSE)*m2k))/'TCO Inputs'!$AZ$84</f>
        <v>173.41055677342624</v>
      </c>
      <c r="L192" s="125">
        <f>L80/293.07*(1/(VLOOKUP($A192,'Fuel economy adjusted factor'!$A$2:$L$52,5,FALSE)*m2k))/'TCO Inputs'!$AZ$84</f>
        <v>173.41055677342624</v>
      </c>
      <c r="M192" s="125">
        <f>M80/293.07*(1/(VLOOKUP($A192,'Fuel economy adjusted factor'!$A$2:$L$52,5,FALSE)*m2k))/'TCO Inputs'!$AZ$84</f>
        <v>173.41055677342624</v>
      </c>
      <c r="N192" s="125">
        <f>N80/293.07*(1/(VLOOKUP($A192,'Fuel economy adjusted factor'!$A$2:$L$52,5,FALSE)*m2k))/'TCO Inputs'!$AZ$84</f>
        <v>173.41055677342624</v>
      </c>
      <c r="O192" s="125">
        <f>O80/293.07*(1/(VLOOKUP($A192,'Fuel economy adjusted factor'!$A$2:$L$52,5,FALSE)*m2k))/'TCO Inputs'!$AZ$84</f>
        <v>173.41055677342624</v>
      </c>
      <c r="P192" s="125">
        <f>P80/293.07*(1/(VLOOKUP($A192,'Fuel economy adjusted factor'!$A$2:$L$52,5,FALSE)*m2k))/'TCO Inputs'!$AZ$84</f>
        <v>173.41055677342624</v>
      </c>
      <c r="Q192" s="125">
        <f>Q80/293.07*(1/(VLOOKUP($A192,'Fuel economy adjusted factor'!$A$2:$L$52,5,FALSE)*m2k))/'TCO Inputs'!$AZ$84</f>
        <v>173.41055677342624</v>
      </c>
      <c r="R192" s="125">
        <f>R80/293.07*(1/(VLOOKUP($A192,'Fuel economy adjusted factor'!$A$2:$L$52,5,FALSE)*m2k))/'TCO Inputs'!$AZ$84</f>
        <v>173.41055677342624</v>
      </c>
      <c r="S192" s="125">
        <f>S80/293.07*(1/(VLOOKUP($A192,'Fuel economy adjusted factor'!$A$2:$L$52,5,FALSE)*m2k))/'TCO Inputs'!$AZ$84</f>
        <v>173.41055677342624</v>
      </c>
      <c r="T192" s="125">
        <f>T80/293.07*(1/(VLOOKUP($A192,'Fuel economy adjusted factor'!$A$2:$L$52,5,FALSE)*m2k))/'TCO Inputs'!$AZ$84</f>
        <v>173.41055677342624</v>
      </c>
      <c r="U192" s="125">
        <f>U80/293.07*(1/(VLOOKUP($A192,'Fuel economy adjusted factor'!$A$2:$L$52,5,FALSE)*m2k))/'TCO Inputs'!$AZ$84</f>
        <v>173.41055677342624</v>
      </c>
      <c r="V192" s="125">
        <f>V80/293.07*(1/(VLOOKUP($A192,'Fuel economy adjusted factor'!$A$2:$L$52,5,FALSE)*m2k))/'TCO Inputs'!$AZ$84</f>
        <v>173.41055677342624</v>
      </c>
      <c r="W192" s="125">
        <f>W80/293.07*(1/(VLOOKUP($A192,'Fuel economy adjusted factor'!$A$2:$L$52,5,FALSE)*m2k))/'TCO Inputs'!$AZ$84</f>
        <v>173.41055677342624</v>
      </c>
      <c r="X192" s="125">
        <f>X80/293.07*(1/(VLOOKUP($A192,'Fuel economy adjusted factor'!$A$2:$L$52,5,FALSE)*m2k))/'TCO Inputs'!$AZ$84</f>
        <v>173.41055677342624</v>
      </c>
      <c r="Y192" s="125">
        <f>Y80/293.07*(1/(VLOOKUP($A192,'Fuel economy adjusted factor'!$A$2:$L$52,5,FALSE)*m2k))/'TCO Inputs'!$AZ$84</f>
        <v>173.41055677342624</v>
      </c>
      <c r="Z192" s="125">
        <f>Z80/293.07*(1/(VLOOKUP($A192,'Fuel economy adjusted factor'!$A$2:$L$52,5,FALSE)*m2k))/'TCO Inputs'!$AZ$84</f>
        <v>173.41055677342624</v>
      </c>
      <c r="AA192" s="125">
        <f>AA80/293.07*(1/(VLOOKUP($A192,'Fuel economy adjusted factor'!$A$2:$L$52,5,FALSE)*m2k))/'TCO Inputs'!$AZ$84</f>
        <v>173.41055677342624</v>
      </c>
      <c r="AB192" s="125">
        <f>AB80/293.07*(1/(VLOOKUP($A192,'Fuel economy adjusted factor'!$A$2:$L$52,5,FALSE)*m2k))/'TCO Inputs'!$AZ$84</f>
        <v>173.41055677342624</v>
      </c>
      <c r="AC192" s="125">
        <f>AC80/293.07*(1/(VLOOKUP($A192,'Fuel economy adjusted factor'!$A$2:$L$52,5,FALSE)*m2k))/'TCO Inputs'!$AZ$84</f>
        <v>173.41055677342624</v>
      </c>
      <c r="AD192" s="98" cm="1">
        <f t="array" ref="AD192">SUMPRODUCT(INDEX(B192:AC192,,'TCO Inputs'!$AZ$12-2023+_xlfn.SEQUENCE('TCO Inputs'!$AZ$13))*INDEX('VKT US'!C84:AA84,,_xlfn.SEQUENCE('TCO Inputs'!$AZ$13)))*m2k*CONVERT(0.9072,"g","ton")</f>
        <v>52.448443811368179</v>
      </c>
      <c r="AF192" s="123" t="s">
        <v>204</v>
      </c>
      <c r="AG192" s="125">
        <f>AG80/293.07*(1/(VLOOKUP($AF192,'Fuel economy adjusted factor'!$A$2:$L$52,5,FALSE)*m2k))/'TCO Inputs'!$AZ$84</f>
        <v>200.88579656530626</v>
      </c>
      <c r="AH192" s="125">
        <f>AH80/293.07*(1/(VLOOKUP($AF192,'Fuel economy adjusted factor'!$A$2:$L$52,5,FALSE)*m2k))/'TCO Inputs'!$AZ$84</f>
        <v>200.88579656530626</v>
      </c>
      <c r="AI192" s="125">
        <f>AI80/293.07*(1/(VLOOKUP($AF192,'Fuel economy adjusted factor'!$A$2:$L$52,5,FALSE)*m2k))/'TCO Inputs'!$AZ$84</f>
        <v>200.88579656530626</v>
      </c>
      <c r="AJ192" s="125">
        <f>AJ80/293.07*(1/(VLOOKUP($AF192,'Fuel economy adjusted factor'!$A$2:$L$52,5,FALSE)*m2k))/'TCO Inputs'!$AZ$84</f>
        <v>200.88579656530626</v>
      </c>
      <c r="AK192" s="125">
        <f>AK80/293.07*(1/(VLOOKUP($AF192,'Fuel economy adjusted factor'!$A$2:$L$52,5,FALSE)*m2k))/'TCO Inputs'!$AZ$84</f>
        <v>200.88579656530626</v>
      </c>
      <c r="AL192" s="125">
        <f>AL80/293.07*(1/(VLOOKUP($AF192,'Fuel economy adjusted factor'!$A$2:$L$52,5,FALSE)*m2k))/'TCO Inputs'!$AZ$84</f>
        <v>200.88579656530626</v>
      </c>
      <c r="AM192" s="125">
        <f>AM80/293.07*(1/(VLOOKUP($AF192,'Fuel economy adjusted factor'!$A$2:$L$52,5,FALSE)*m2k))/'TCO Inputs'!$AZ$84</f>
        <v>200.88579656530626</v>
      </c>
      <c r="AN192" s="125">
        <f>AN80/293.07*(1/(VLOOKUP($AF192,'Fuel economy adjusted factor'!$A$2:$L$52,5,FALSE)*m2k))/'TCO Inputs'!$AZ$84</f>
        <v>200.88579656530626</v>
      </c>
      <c r="AO192" s="125">
        <f>AO80/293.07*(1/(VLOOKUP($AF192,'Fuel economy adjusted factor'!$A$2:$L$52,5,FALSE)*m2k))/'TCO Inputs'!$AZ$84</f>
        <v>200.88579656530626</v>
      </c>
      <c r="AP192" s="125">
        <f>AP80/293.07*(1/(VLOOKUP($AF192,'Fuel economy adjusted factor'!$A$2:$L$52,5,FALSE)*m2k))/'TCO Inputs'!$AZ$84</f>
        <v>200.88579656530626</v>
      </c>
      <c r="AQ192" s="125">
        <f>AQ80/293.07*(1/(VLOOKUP($AF192,'Fuel economy adjusted factor'!$A$2:$L$52,5,FALSE)*m2k))/'TCO Inputs'!$AZ$84</f>
        <v>200.88579656530626</v>
      </c>
      <c r="AR192" s="125">
        <f>AR80/293.07*(1/(VLOOKUP($AF192,'Fuel economy adjusted factor'!$A$2:$L$52,5,FALSE)*m2k))/'TCO Inputs'!$AZ$84</f>
        <v>200.88579656530626</v>
      </c>
      <c r="AS192" s="125">
        <f>AS80/293.07*(1/(VLOOKUP($AF192,'Fuel economy adjusted factor'!$A$2:$L$52,5,FALSE)*m2k))/'TCO Inputs'!$AZ$84</f>
        <v>200.88579656530626</v>
      </c>
      <c r="AT192" s="125">
        <f>AT80/293.07*(1/(VLOOKUP($AF192,'Fuel economy adjusted factor'!$A$2:$L$52,5,FALSE)*m2k))/'TCO Inputs'!$AZ$84</f>
        <v>200.88579656530626</v>
      </c>
      <c r="AU192" s="125">
        <f>AU80/293.07*(1/(VLOOKUP($AF192,'Fuel economy adjusted factor'!$A$2:$L$52,5,FALSE)*m2k))/'TCO Inputs'!$AZ$84</f>
        <v>200.88579656530626</v>
      </c>
      <c r="AV192" s="125">
        <f>AV80/293.07*(1/(VLOOKUP($AF192,'Fuel economy adjusted factor'!$A$2:$L$52,5,FALSE)*m2k))/'TCO Inputs'!$AZ$84</f>
        <v>200.88579656530626</v>
      </c>
      <c r="AW192" s="125">
        <f>AW80/293.07*(1/(VLOOKUP($AF192,'Fuel economy adjusted factor'!$A$2:$L$52,5,FALSE)*m2k))/'TCO Inputs'!$AZ$84</f>
        <v>200.88579656530626</v>
      </c>
      <c r="AX192" s="125">
        <f>AX80/293.07*(1/(VLOOKUP($AF192,'Fuel economy adjusted factor'!$A$2:$L$52,5,FALSE)*m2k))/'TCO Inputs'!$AZ$84</f>
        <v>200.88579656530626</v>
      </c>
      <c r="AY192" s="125">
        <f>AY80/293.07*(1/(VLOOKUP($AF192,'Fuel economy adjusted factor'!$A$2:$L$52,5,FALSE)*m2k))/'TCO Inputs'!$AZ$84</f>
        <v>200.88579656530626</v>
      </c>
      <c r="AZ192" s="125">
        <f>AZ80/293.07*(1/(VLOOKUP($AF192,'Fuel economy adjusted factor'!$A$2:$L$52,5,FALSE)*m2k))/'TCO Inputs'!$AZ$84</f>
        <v>200.88579656530626</v>
      </c>
      <c r="BA192" s="125">
        <f>BA80/293.07*(1/(VLOOKUP($AF192,'Fuel economy adjusted factor'!$A$2:$L$52,5,FALSE)*m2k))/'TCO Inputs'!$AZ$84</f>
        <v>200.88579656530626</v>
      </c>
      <c r="BB192" s="125">
        <f>BB80/293.07*(1/(VLOOKUP($AF192,'Fuel economy adjusted factor'!$A$2:$L$52,5,FALSE)*m2k))/'TCO Inputs'!$AZ$84</f>
        <v>200.88579656530626</v>
      </c>
      <c r="BC192" s="125">
        <f>BC80/293.07*(1/(VLOOKUP($AF192,'Fuel economy adjusted factor'!$A$2:$L$52,5,FALSE)*m2k))/'TCO Inputs'!$AZ$84</f>
        <v>200.88579656530626</v>
      </c>
      <c r="BD192" s="125">
        <f>BD80/293.07*(1/(VLOOKUP($AF192,'Fuel economy adjusted factor'!$A$2:$L$52,5,FALSE)*m2k))/'TCO Inputs'!$AZ$84</f>
        <v>200.88579656530626</v>
      </c>
      <c r="BE192" s="125">
        <f>BE80/293.07*(1/(VLOOKUP($AF192,'Fuel economy adjusted factor'!$A$2:$L$52,5,FALSE)*m2k))/'TCO Inputs'!$AZ$84</f>
        <v>200.88579656530626</v>
      </c>
      <c r="BF192" s="125">
        <f>BF80/293.07*(1/(VLOOKUP($AF192,'Fuel economy adjusted factor'!$A$2:$L$52,5,FALSE)*m2k))/'TCO Inputs'!$AZ$84</f>
        <v>200.88579656530626</v>
      </c>
      <c r="BG192" s="125">
        <f>BG80/293.07*(1/(VLOOKUP($AF192,'Fuel economy adjusted factor'!$A$2:$L$52,5,FALSE)*m2k))/'TCO Inputs'!$AZ$84</f>
        <v>200.88579656530626</v>
      </c>
      <c r="BH192" s="125">
        <f>BH80/293.07*(1/(VLOOKUP($AF192,'Fuel economy adjusted factor'!$A$2:$L$52,5,FALSE)*m2k))/'TCO Inputs'!$AZ$84</f>
        <v>200.88579656530626</v>
      </c>
      <c r="BI192" s="98" cm="1">
        <f t="array" ref="BI192">SUMPRODUCT(INDEX(AG192:BH192,,'TCO Inputs'!$AZ$12-2023+_xlfn.SEQUENCE('TCO Inputs'!$AZ$13))*INDEX('VKT US'!C84:AA84,,_xlfn.SEQUENCE('TCO Inputs'!$AZ$13)))*m2k*CONVERT(0.9072,"g","ton")</f>
        <v>60.758396776406556</v>
      </c>
    </row>
    <row r="193" spans="1:61" x14ac:dyDescent="0.25">
      <c r="A193" s="123" t="s">
        <v>205</v>
      </c>
      <c r="B193" s="125">
        <f>B81/293.07*(1/(VLOOKUP($A193,'Fuel economy adjusted factor'!$A$2:$L$52,5,FALSE)*m2k))/'TCO Inputs'!$AZ$84</f>
        <v>148.18235540688718</v>
      </c>
      <c r="C193" s="125">
        <f>C81/293.07*(1/(VLOOKUP($A193,'Fuel economy adjusted factor'!$A$2:$L$52,5,FALSE)*m2k))/'TCO Inputs'!$AZ$84</f>
        <v>148.18235540688718</v>
      </c>
      <c r="D193" s="125">
        <f>D81/293.07*(1/(VLOOKUP($A193,'Fuel economy adjusted factor'!$A$2:$L$52,5,FALSE)*m2k))/'TCO Inputs'!$AZ$84</f>
        <v>148.18235540688718</v>
      </c>
      <c r="E193" s="125">
        <f>E81/293.07*(1/(VLOOKUP($A193,'Fuel economy adjusted factor'!$A$2:$L$52,5,FALSE)*m2k))/'TCO Inputs'!$AZ$84</f>
        <v>148.18235540688718</v>
      </c>
      <c r="F193" s="125">
        <f>F81/293.07*(1/(VLOOKUP($A193,'Fuel economy adjusted factor'!$A$2:$L$52,5,FALSE)*m2k))/'TCO Inputs'!$AZ$84</f>
        <v>148.18235540688718</v>
      </c>
      <c r="G193" s="125">
        <f>G81/293.07*(1/(VLOOKUP($A193,'Fuel economy adjusted factor'!$A$2:$L$52,5,FALSE)*m2k))/'TCO Inputs'!$AZ$84</f>
        <v>148.18235540688718</v>
      </c>
      <c r="H193" s="125">
        <f>H81/293.07*(1/(VLOOKUP($A193,'Fuel economy adjusted factor'!$A$2:$L$52,5,FALSE)*m2k))/'TCO Inputs'!$AZ$84</f>
        <v>148.18235540688718</v>
      </c>
      <c r="I193" s="125">
        <f>I81/293.07*(1/(VLOOKUP($A193,'Fuel economy adjusted factor'!$A$2:$L$52,5,FALSE)*m2k))/'TCO Inputs'!$AZ$84</f>
        <v>148.18235540688718</v>
      </c>
      <c r="J193" s="125">
        <f>J81/293.07*(1/(VLOOKUP($A193,'Fuel economy adjusted factor'!$A$2:$L$52,5,FALSE)*m2k))/'TCO Inputs'!$AZ$84</f>
        <v>148.18235540688718</v>
      </c>
      <c r="K193" s="125">
        <f>K81/293.07*(1/(VLOOKUP($A193,'Fuel economy adjusted factor'!$A$2:$L$52,5,FALSE)*m2k))/'TCO Inputs'!$AZ$84</f>
        <v>148.18235540688718</v>
      </c>
      <c r="L193" s="125">
        <f>L81/293.07*(1/(VLOOKUP($A193,'Fuel economy adjusted factor'!$A$2:$L$52,5,FALSE)*m2k))/'TCO Inputs'!$AZ$84</f>
        <v>148.18235540688718</v>
      </c>
      <c r="M193" s="125">
        <f>M81/293.07*(1/(VLOOKUP($A193,'Fuel economy adjusted factor'!$A$2:$L$52,5,FALSE)*m2k))/'TCO Inputs'!$AZ$84</f>
        <v>148.18235540688718</v>
      </c>
      <c r="N193" s="125">
        <f>N81/293.07*(1/(VLOOKUP($A193,'Fuel economy adjusted factor'!$A$2:$L$52,5,FALSE)*m2k))/'TCO Inputs'!$AZ$84</f>
        <v>148.18235540688718</v>
      </c>
      <c r="O193" s="125">
        <f>O81/293.07*(1/(VLOOKUP($A193,'Fuel economy adjusted factor'!$A$2:$L$52,5,FALSE)*m2k))/'TCO Inputs'!$AZ$84</f>
        <v>148.18235540688718</v>
      </c>
      <c r="P193" s="125">
        <f>P81/293.07*(1/(VLOOKUP($A193,'Fuel economy adjusted factor'!$A$2:$L$52,5,FALSE)*m2k))/'TCO Inputs'!$AZ$84</f>
        <v>148.18235540688718</v>
      </c>
      <c r="Q193" s="125">
        <f>Q81/293.07*(1/(VLOOKUP($A193,'Fuel economy adjusted factor'!$A$2:$L$52,5,FALSE)*m2k))/'TCO Inputs'!$AZ$84</f>
        <v>148.18235540688718</v>
      </c>
      <c r="R193" s="125">
        <f>R81/293.07*(1/(VLOOKUP($A193,'Fuel economy adjusted factor'!$A$2:$L$52,5,FALSE)*m2k))/'TCO Inputs'!$AZ$84</f>
        <v>148.18235540688718</v>
      </c>
      <c r="S193" s="125">
        <f>S81/293.07*(1/(VLOOKUP($A193,'Fuel economy adjusted factor'!$A$2:$L$52,5,FALSE)*m2k))/'TCO Inputs'!$AZ$84</f>
        <v>148.18235540688718</v>
      </c>
      <c r="T193" s="125">
        <f>T81/293.07*(1/(VLOOKUP($A193,'Fuel economy adjusted factor'!$A$2:$L$52,5,FALSE)*m2k))/'TCO Inputs'!$AZ$84</f>
        <v>148.18235540688718</v>
      </c>
      <c r="U193" s="125">
        <f>U81/293.07*(1/(VLOOKUP($A193,'Fuel economy adjusted factor'!$A$2:$L$52,5,FALSE)*m2k))/'TCO Inputs'!$AZ$84</f>
        <v>148.18235540688718</v>
      </c>
      <c r="V193" s="125">
        <f>V81/293.07*(1/(VLOOKUP($A193,'Fuel economy adjusted factor'!$A$2:$L$52,5,FALSE)*m2k))/'TCO Inputs'!$AZ$84</f>
        <v>148.18235540688718</v>
      </c>
      <c r="W193" s="125">
        <f>W81/293.07*(1/(VLOOKUP($A193,'Fuel economy adjusted factor'!$A$2:$L$52,5,FALSE)*m2k))/'TCO Inputs'!$AZ$84</f>
        <v>148.18235540688718</v>
      </c>
      <c r="X193" s="125">
        <f>X81/293.07*(1/(VLOOKUP($A193,'Fuel economy adjusted factor'!$A$2:$L$52,5,FALSE)*m2k))/'TCO Inputs'!$AZ$84</f>
        <v>148.18235540688718</v>
      </c>
      <c r="Y193" s="125">
        <f>Y81/293.07*(1/(VLOOKUP($A193,'Fuel economy adjusted factor'!$A$2:$L$52,5,FALSE)*m2k))/'TCO Inputs'!$AZ$84</f>
        <v>148.18235540688718</v>
      </c>
      <c r="Z193" s="125">
        <f>Z81/293.07*(1/(VLOOKUP($A193,'Fuel economy adjusted factor'!$A$2:$L$52,5,FALSE)*m2k))/'TCO Inputs'!$AZ$84</f>
        <v>148.18235540688718</v>
      </c>
      <c r="AA193" s="125">
        <f>AA81/293.07*(1/(VLOOKUP($A193,'Fuel economy adjusted factor'!$A$2:$L$52,5,FALSE)*m2k))/'TCO Inputs'!$AZ$84</f>
        <v>148.18235540688718</v>
      </c>
      <c r="AB193" s="125">
        <f>AB81/293.07*(1/(VLOOKUP($A193,'Fuel economy adjusted factor'!$A$2:$L$52,5,FALSE)*m2k))/'TCO Inputs'!$AZ$84</f>
        <v>148.18235540688718</v>
      </c>
      <c r="AC193" s="125">
        <f>AC81/293.07*(1/(VLOOKUP($A193,'Fuel economy adjusted factor'!$A$2:$L$52,5,FALSE)*m2k))/'TCO Inputs'!$AZ$84</f>
        <v>148.18235540688718</v>
      </c>
      <c r="AD193" s="98" cm="1">
        <f t="array" ref="AD193">SUMPRODUCT(INDEX(B193:AC193,,'TCO Inputs'!$AZ$12-2023+_xlfn.SEQUENCE('TCO Inputs'!$AZ$13))*INDEX('VKT US'!C85:AA85,,_xlfn.SEQUENCE('TCO Inputs'!$AZ$13)))*m2k*CONVERT(0.9072,"g","ton")</f>
        <v>56.101739498919095</v>
      </c>
      <c r="AF193" s="123" t="s">
        <v>205</v>
      </c>
      <c r="AG193" s="125">
        <f>AG81/293.07*(1/(VLOOKUP($AF193,'Fuel economy adjusted factor'!$A$2:$L$52,5,FALSE)*m2k))/'TCO Inputs'!$AZ$84</f>
        <v>171.66042861928875</v>
      </c>
      <c r="AH193" s="125">
        <f>AH81/293.07*(1/(VLOOKUP($AF193,'Fuel economy adjusted factor'!$A$2:$L$52,5,FALSE)*m2k))/'TCO Inputs'!$AZ$84</f>
        <v>171.66042861928875</v>
      </c>
      <c r="AI193" s="125">
        <f>AI81/293.07*(1/(VLOOKUP($AF193,'Fuel economy adjusted factor'!$A$2:$L$52,5,FALSE)*m2k))/'TCO Inputs'!$AZ$84</f>
        <v>171.66042861928875</v>
      </c>
      <c r="AJ193" s="125">
        <f>AJ81/293.07*(1/(VLOOKUP($AF193,'Fuel economy adjusted factor'!$A$2:$L$52,5,FALSE)*m2k))/'TCO Inputs'!$AZ$84</f>
        <v>171.66042861928875</v>
      </c>
      <c r="AK193" s="125">
        <f>AK81/293.07*(1/(VLOOKUP($AF193,'Fuel economy adjusted factor'!$A$2:$L$52,5,FALSE)*m2k))/'TCO Inputs'!$AZ$84</f>
        <v>171.66042861928875</v>
      </c>
      <c r="AL193" s="125">
        <f>AL81/293.07*(1/(VLOOKUP($AF193,'Fuel economy adjusted factor'!$A$2:$L$52,5,FALSE)*m2k))/'TCO Inputs'!$AZ$84</f>
        <v>171.66042861928875</v>
      </c>
      <c r="AM193" s="125">
        <f>AM81/293.07*(1/(VLOOKUP($AF193,'Fuel economy adjusted factor'!$A$2:$L$52,5,FALSE)*m2k))/'TCO Inputs'!$AZ$84</f>
        <v>171.66042861928875</v>
      </c>
      <c r="AN193" s="125">
        <f>AN81/293.07*(1/(VLOOKUP($AF193,'Fuel economy adjusted factor'!$A$2:$L$52,5,FALSE)*m2k))/'TCO Inputs'!$AZ$84</f>
        <v>171.66042861928875</v>
      </c>
      <c r="AO193" s="125">
        <f>AO81/293.07*(1/(VLOOKUP($AF193,'Fuel economy adjusted factor'!$A$2:$L$52,5,FALSE)*m2k))/'TCO Inputs'!$AZ$84</f>
        <v>171.66042861928875</v>
      </c>
      <c r="AP193" s="125">
        <f>AP81/293.07*(1/(VLOOKUP($AF193,'Fuel economy adjusted factor'!$A$2:$L$52,5,FALSE)*m2k))/'TCO Inputs'!$AZ$84</f>
        <v>171.66042861928875</v>
      </c>
      <c r="AQ193" s="125">
        <f>AQ81/293.07*(1/(VLOOKUP($AF193,'Fuel economy adjusted factor'!$A$2:$L$52,5,FALSE)*m2k))/'TCO Inputs'!$AZ$84</f>
        <v>171.66042861928875</v>
      </c>
      <c r="AR193" s="125">
        <f>AR81/293.07*(1/(VLOOKUP($AF193,'Fuel economy adjusted factor'!$A$2:$L$52,5,FALSE)*m2k))/'TCO Inputs'!$AZ$84</f>
        <v>171.66042861928875</v>
      </c>
      <c r="AS193" s="125">
        <f>AS81/293.07*(1/(VLOOKUP($AF193,'Fuel economy adjusted factor'!$A$2:$L$52,5,FALSE)*m2k))/'TCO Inputs'!$AZ$84</f>
        <v>171.66042861928875</v>
      </c>
      <c r="AT193" s="125">
        <f>AT81/293.07*(1/(VLOOKUP($AF193,'Fuel economy adjusted factor'!$A$2:$L$52,5,FALSE)*m2k))/'TCO Inputs'!$AZ$84</f>
        <v>171.66042861928875</v>
      </c>
      <c r="AU193" s="125">
        <f>AU81/293.07*(1/(VLOOKUP($AF193,'Fuel economy adjusted factor'!$A$2:$L$52,5,FALSE)*m2k))/'TCO Inputs'!$AZ$84</f>
        <v>171.66042861928875</v>
      </c>
      <c r="AV193" s="125">
        <f>AV81/293.07*(1/(VLOOKUP($AF193,'Fuel economy adjusted factor'!$A$2:$L$52,5,FALSE)*m2k))/'TCO Inputs'!$AZ$84</f>
        <v>171.66042861928875</v>
      </c>
      <c r="AW193" s="125">
        <f>AW81/293.07*(1/(VLOOKUP($AF193,'Fuel economy adjusted factor'!$A$2:$L$52,5,FALSE)*m2k))/'TCO Inputs'!$AZ$84</f>
        <v>171.66042861928875</v>
      </c>
      <c r="AX193" s="125">
        <f>AX81/293.07*(1/(VLOOKUP($AF193,'Fuel economy adjusted factor'!$A$2:$L$52,5,FALSE)*m2k))/'TCO Inputs'!$AZ$84</f>
        <v>171.66042861928875</v>
      </c>
      <c r="AY193" s="125">
        <f>AY81/293.07*(1/(VLOOKUP($AF193,'Fuel economy adjusted factor'!$A$2:$L$52,5,FALSE)*m2k))/'TCO Inputs'!$AZ$84</f>
        <v>171.66042861928875</v>
      </c>
      <c r="AZ193" s="125">
        <f>AZ81/293.07*(1/(VLOOKUP($AF193,'Fuel economy adjusted factor'!$A$2:$L$52,5,FALSE)*m2k))/'TCO Inputs'!$AZ$84</f>
        <v>171.66042861928875</v>
      </c>
      <c r="BA193" s="125">
        <f>BA81/293.07*(1/(VLOOKUP($AF193,'Fuel economy adjusted factor'!$A$2:$L$52,5,FALSE)*m2k))/'TCO Inputs'!$AZ$84</f>
        <v>171.66042861928875</v>
      </c>
      <c r="BB193" s="125">
        <f>BB81/293.07*(1/(VLOOKUP($AF193,'Fuel economy adjusted factor'!$A$2:$L$52,5,FALSE)*m2k))/'TCO Inputs'!$AZ$84</f>
        <v>171.66042861928875</v>
      </c>
      <c r="BC193" s="125">
        <f>BC81/293.07*(1/(VLOOKUP($AF193,'Fuel economy adjusted factor'!$A$2:$L$52,5,FALSE)*m2k))/'TCO Inputs'!$AZ$84</f>
        <v>171.66042861928875</v>
      </c>
      <c r="BD193" s="125">
        <f>BD81/293.07*(1/(VLOOKUP($AF193,'Fuel economy adjusted factor'!$A$2:$L$52,5,FALSE)*m2k))/'TCO Inputs'!$AZ$84</f>
        <v>171.66042861928875</v>
      </c>
      <c r="BE193" s="125">
        <f>BE81/293.07*(1/(VLOOKUP($AF193,'Fuel economy adjusted factor'!$A$2:$L$52,5,FALSE)*m2k))/'TCO Inputs'!$AZ$84</f>
        <v>171.66042861928875</v>
      </c>
      <c r="BF193" s="125">
        <f>BF81/293.07*(1/(VLOOKUP($AF193,'Fuel economy adjusted factor'!$A$2:$L$52,5,FALSE)*m2k))/'TCO Inputs'!$AZ$84</f>
        <v>171.66042861928875</v>
      </c>
      <c r="BG193" s="125">
        <f>BG81/293.07*(1/(VLOOKUP($AF193,'Fuel economy adjusted factor'!$A$2:$L$52,5,FALSE)*m2k))/'TCO Inputs'!$AZ$84</f>
        <v>171.66042861928875</v>
      </c>
      <c r="BH193" s="125">
        <f>BH81/293.07*(1/(VLOOKUP($AF193,'Fuel economy adjusted factor'!$A$2:$L$52,5,FALSE)*m2k))/'TCO Inputs'!$AZ$84</f>
        <v>171.66042861928875</v>
      </c>
      <c r="BI193" s="98" cm="1">
        <f t="array" ref="BI193">SUMPRODUCT(INDEX(AG193:BH193,,'TCO Inputs'!$AZ$12-2023+_xlfn.SEQUENCE('TCO Inputs'!$AZ$13))*INDEX('VKT US'!C85:AA85,,_xlfn.SEQUENCE('TCO Inputs'!$AZ$13)))*m2k*CONVERT(0.9072,"g","ton")</f>
        <v>64.990522132195323</v>
      </c>
    </row>
    <row r="194" spans="1:61" x14ac:dyDescent="0.25">
      <c r="A194" s="123" t="s">
        <v>207</v>
      </c>
      <c r="B194" s="125">
        <f>B82/293.07*(1/(VLOOKUP($A194,'Fuel economy adjusted factor'!$A$2:$L$52,5,FALSE)*m2k))/'TCO Inputs'!$AZ$84</f>
        <v>151.51349209648083</v>
      </c>
      <c r="C194" s="125">
        <f>C82/293.07*(1/(VLOOKUP($A194,'Fuel economy adjusted factor'!$A$2:$L$52,5,FALSE)*m2k))/'TCO Inputs'!$AZ$84</f>
        <v>151.51349209648083</v>
      </c>
      <c r="D194" s="125">
        <f>D82/293.07*(1/(VLOOKUP($A194,'Fuel economy adjusted factor'!$A$2:$L$52,5,FALSE)*m2k))/'TCO Inputs'!$AZ$84</f>
        <v>151.51349209648083</v>
      </c>
      <c r="E194" s="125">
        <f>E82/293.07*(1/(VLOOKUP($A194,'Fuel economy adjusted factor'!$A$2:$L$52,5,FALSE)*m2k))/'TCO Inputs'!$AZ$84</f>
        <v>151.51349209648083</v>
      </c>
      <c r="F194" s="125">
        <f>F82/293.07*(1/(VLOOKUP($A194,'Fuel economy adjusted factor'!$A$2:$L$52,5,FALSE)*m2k))/'TCO Inputs'!$AZ$84</f>
        <v>151.51349209648083</v>
      </c>
      <c r="G194" s="125">
        <f>G82/293.07*(1/(VLOOKUP($A194,'Fuel economy adjusted factor'!$A$2:$L$52,5,FALSE)*m2k))/'TCO Inputs'!$AZ$84</f>
        <v>151.51349209648083</v>
      </c>
      <c r="H194" s="125">
        <f>H82/293.07*(1/(VLOOKUP($A194,'Fuel economy adjusted factor'!$A$2:$L$52,5,FALSE)*m2k))/'TCO Inputs'!$AZ$84</f>
        <v>151.51349209648083</v>
      </c>
      <c r="I194" s="125">
        <f>I82/293.07*(1/(VLOOKUP($A194,'Fuel economy adjusted factor'!$A$2:$L$52,5,FALSE)*m2k))/'TCO Inputs'!$AZ$84</f>
        <v>151.51349209648083</v>
      </c>
      <c r="J194" s="125">
        <f>J82/293.07*(1/(VLOOKUP($A194,'Fuel economy adjusted factor'!$A$2:$L$52,5,FALSE)*m2k))/'TCO Inputs'!$AZ$84</f>
        <v>151.51349209648083</v>
      </c>
      <c r="K194" s="125">
        <f>K82/293.07*(1/(VLOOKUP($A194,'Fuel economy adjusted factor'!$A$2:$L$52,5,FALSE)*m2k))/'TCO Inputs'!$AZ$84</f>
        <v>151.51349209648083</v>
      </c>
      <c r="L194" s="125">
        <f>L82/293.07*(1/(VLOOKUP($A194,'Fuel economy adjusted factor'!$A$2:$L$52,5,FALSE)*m2k))/'TCO Inputs'!$AZ$84</f>
        <v>151.51349209648083</v>
      </c>
      <c r="M194" s="125">
        <f>M82/293.07*(1/(VLOOKUP($A194,'Fuel economy adjusted factor'!$A$2:$L$52,5,FALSE)*m2k))/'TCO Inputs'!$AZ$84</f>
        <v>151.51349209648083</v>
      </c>
      <c r="N194" s="125">
        <f>N82/293.07*(1/(VLOOKUP($A194,'Fuel economy adjusted factor'!$A$2:$L$52,5,FALSE)*m2k))/'TCO Inputs'!$AZ$84</f>
        <v>151.51349209648083</v>
      </c>
      <c r="O194" s="125">
        <f>O82/293.07*(1/(VLOOKUP($A194,'Fuel economy adjusted factor'!$A$2:$L$52,5,FALSE)*m2k))/'TCO Inputs'!$AZ$84</f>
        <v>151.51349209648083</v>
      </c>
      <c r="P194" s="125">
        <f>P82/293.07*(1/(VLOOKUP($A194,'Fuel economy adjusted factor'!$A$2:$L$52,5,FALSE)*m2k))/'TCO Inputs'!$AZ$84</f>
        <v>151.51349209648083</v>
      </c>
      <c r="Q194" s="125">
        <f>Q82/293.07*(1/(VLOOKUP($A194,'Fuel economy adjusted factor'!$A$2:$L$52,5,FALSE)*m2k))/'TCO Inputs'!$AZ$84</f>
        <v>151.51349209648083</v>
      </c>
      <c r="R194" s="125">
        <f>R82/293.07*(1/(VLOOKUP($A194,'Fuel economy adjusted factor'!$A$2:$L$52,5,FALSE)*m2k))/'TCO Inputs'!$AZ$84</f>
        <v>151.51349209648083</v>
      </c>
      <c r="S194" s="125">
        <f>S82/293.07*(1/(VLOOKUP($A194,'Fuel economy adjusted factor'!$A$2:$L$52,5,FALSE)*m2k))/'TCO Inputs'!$AZ$84</f>
        <v>151.51349209648083</v>
      </c>
      <c r="T194" s="125">
        <f>T82/293.07*(1/(VLOOKUP($A194,'Fuel economy adjusted factor'!$A$2:$L$52,5,FALSE)*m2k))/'TCO Inputs'!$AZ$84</f>
        <v>151.51349209648083</v>
      </c>
      <c r="U194" s="125">
        <f>U82/293.07*(1/(VLOOKUP($A194,'Fuel economy adjusted factor'!$A$2:$L$52,5,FALSE)*m2k))/'TCO Inputs'!$AZ$84</f>
        <v>151.51349209648083</v>
      </c>
      <c r="V194" s="125">
        <f>V82/293.07*(1/(VLOOKUP($A194,'Fuel economy adjusted factor'!$A$2:$L$52,5,FALSE)*m2k))/'TCO Inputs'!$AZ$84</f>
        <v>151.51349209648083</v>
      </c>
      <c r="W194" s="125">
        <f>W82/293.07*(1/(VLOOKUP($A194,'Fuel economy adjusted factor'!$A$2:$L$52,5,FALSE)*m2k))/'TCO Inputs'!$AZ$84</f>
        <v>151.51349209648083</v>
      </c>
      <c r="X194" s="125">
        <f>X82/293.07*(1/(VLOOKUP($A194,'Fuel economy adjusted factor'!$A$2:$L$52,5,FALSE)*m2k))/'TCO Inputs'!$AZ$84</f>
        <v>151.51349209648083</v>
      </c>
      <c r="Y194" s="125">
        <f>Y82/293.07*(1/(VLOOKUP($A194,'Fuel economy adjusted factor'!$A$2:$L$52,5,FALSE)*m2k))/'TCO Inputs'!$AZ$84</f>
        <v>151.51349209648083</v>
      </c>
      <c r="Z194" s="125">
        <f>Z82/293.07*(1/(VLOOKUP($A194,'Fuel economy adjusted factor'!$A$2:$L$52,5,FALSE)*m2k))/'TCO Inputs'!$AZ$84</f>
        <v>151.51349209648083</v>
      </c>
      <c r="AA194" s="125">
        <f>AA82/293.07*(1/(VLOOKUP($A194,'Fuel economy adjusted factor'!$A$2:$L$52,5,FALSE)*m2k))/'TCO Inputs'!$AZ$84</f>
        <v>151.51349209648083</v>
      </c>
      <c r="AB194" s="125">
        <f>AB82/293.07*(1/(VLOOKUP($A194,'Fuel economy adjusted factor'!$A$2:$L$52,5,FALSE)*m2k))/'TCO Inputs'!$AZ$84</f>
        <v>151.51349209648083</v>
      </c>
      <c r="AC194" s="125">
        <f>AC82/293.07*(1/(VLOOKUP($A194,'Fuel economy adjusted factor'!$A$2:$L$52,5,FALSE)*m2k))/'TCO Inputs'!$AZ$84</f>
        <v>151.51349209648083</v>
      </c>
      <c r="AD194" s="98" cm="1">
        <f t="array" ref="AD194">SUMPRODUCT(INDEX(B194:AC194,,'TCO Inputs'!$AZ$12-2023+_xlfn.SEQUENCE('TCO Inputs'!$AZ$13))*INDEX('VKT US'!C86:AA86,,_xlfn.SEQUENCE('TCO Inputs'!$AZ$13)))*m2k*CONVERT(0.9072,"g","ton")</f>
        <v>63.951520080725281</v>
      </c>
      <c r="AF194" s="123" t="s">
        <v>207</v>
      </c>
      <c r="AG194" s="125">
        <f>AG82/293.07*(1/(VLOOKUP($AF194,'Fuel economy adjusted factor'!$A$2:$L$52,5,FALSE)*m2k))/'TCO Inputs'!$AZ$84</f>
        <v>175.51935197325309</v>
      </c>
      <c r="AH194" s="125">
        <f>AH82/293.07*(1/(VLOOKUP($AF194,'Fuel economy adjusted factor'!$A$2:$L$52,5,FALSE)*m2k))/'TCO Inputs'!$AZ$84</f>
        <v>175.51935197325309</v>
      </c>
      <c r="AI194" s="125">
        <f>AI82/293.07*(1/(VLOOKUP($AF194,'Fuel economy adjusted factor'!$A$2:$L$52,5,FALSE)*m2k))/'TCO Inputs'!$AZ$84</f>
        <v>175.51935197325309</v>
      </c>
      <c r="AJ194" s="125">
        <f>AJ82/293.07*(1/(VLOOKUP($AF194,'Fuel economy adjusted factor'!$A$2:$L$52,5,FALSE)*m2k))/'TCO Inputs'!$AZ$84</f>
        <v>175.51935197325309</v>
      </c>
      <c r="AK194" s="125">
        <f>AK82/293.07*(1/(VLOOKUP($AF194,'Fuel economy adjusted factor'!$A$2:$L$52,5,FALSE)*m2k))/'TCO Inputs'!$AZ$84</f>
        <v>175.51935197325309</v>
      </c>
      <c r="AL194" s="125">
        <f>AL82/293.07*(1/(VLOOKUP($AF194,'Fuel economy adjusted factor'!$A$2:$L$52,5,FALSE)*m2k))/'TCO Inputs'!$AZ$84</f>
        <v>175.51935197325309</v>
      </c>
      <c r="AM194" s="125">
        <f>AM82/293.07*(1/(VLOOKUP($AF194,'Fuel economy adjusted factor'!$A$2:$L$52,5,FALSE)*m2k))/'TCO Inputs'!$AZ$84</f>
        <v>175.51935197325309</v>
      </c>
      <c r="AN194" s="125">
        <f>AN82/293.07*(1/(VLOOKUP($AF194,'Fuel economy adjusted factor'!$A$2:$L$52,5,FALSE)*m2k))/'TCO Inputs'!$AZ$84</f>
        <v>175.51935197325309</v>
      </c>
      <c r="AO194" s="125">
        <f>AO82/293.07*(1/(VLOOKUP($AF194,'Fuel economy adjusted factor'!$A$2:$L$52,5,FALSE)*m2k))/'TCO Inputs'!$AZ$84</f>
        <v>175.51935197325309</v>
      </c>
      <c r="AP194" s="125">
        <f>AP82/293.07*(1/(VLOOKUP($AF194,'Fuel economy adjusted factor'!$A$2:$L$52,5,FALSE)*m2k))/'TCO Inputs'!$AZ$84</f>
        <v>175.51935197325309</v>
      </c>
      <c r="AQ194" s="125">
        <f>AQ82/293.07*(1/(VLOOKUP($AF194,'Fuel economy adjusted factor'!$A$2:$L$52,5,FALSE)*m2k))/'TCO Inputs'!$AZ$84</f>
        <v>175.51935197325309</v>
      </c>
      <c r="AR194" s="125">
        <f>AR82/293.07*(1/(VLOOKUP($AF194,'Fuel economy adjusted factor'!$A$2:$L$52,5,FALSE)*m2k))/'TCO Inputs'!$AZ$84</f>
        <v>175.51935197325309</v>
      </c>
      <c r="AS194" s="125">
        <f>AS82/293.07*(1/(VLOOKUP($AF194,'Fuel economy adjusted factor'!$A$2:$L$52,5,FALSE)*m2k))/'TCO Inputs'!$AZ$84</f>
        <v>175.51935197325309</v>
      </c>
      <c r="AT194" s="125">
        <f>AT82/293.07*(1/(VLOOKUP($AF194,'Fuel economy adjusted factor'!$A$2:$L$52,5,FALSE)*m2k))/'TCO Inputs'!$AZ$84</f>
        <v>175.51935197325309</v>
      </c>
      <c r="AU194" s="125">
        <f>AU82/293.07*(1/(VLOOKUP($AF194,'Fuel economy adjusted factor'!$A$2:$L$52,5,FALSE)*m2k))/'TCO Inputs'!$AZ$84</f>
        <v>175.51935197325309</v>
      </c>
      <c r="AV194" s="125">
        <f>AV82/293.07*(1/(VLOOKUP($AF194,'Fuel economy adjusted factor'!$A$2:$L$52,5,FALSE)*m2k))/'TCO Inputs'!$AZ$84</f>
        <v>175.51935197325309</v>
      </c>
      <c r="AW194" s="125">
        <f>AW82/293.07*(1/(VLOOKUP($AF194,'Fuel economy adjusted factor'!$A$2:$L$52,5,FALSE)*m2k))/'TCO Inputs'!$AZ$84</f>
        <v>175.51935197325309</v>
      </c>
      <c r="AX194" s="125">
        <f>AX82/293.07*(1/(VLOOKUP($AF194,'Fuel economy adjusted factor'!$A$2:$L$52,5,FALSE)*m2k))/'TCO Inputs'!$AZ$84</f>
        <v>175.51935197325309</v>
      </c>
      <c r="AY194" s="125">
        <f>AY82/293.07*(1/(VLOOKUP($AF194,'Fuel economy adjusted factor'!$A$2:$L$52,5,FALSE)*m2k))/'TCO Inputs'!$AZ$84</f>
        <v>175.51935197325309</v>
      </c>
      <c r="AZ194" s="125">
        <f>AZ82/293.07*(1/(VLOOKUP($AF194,'Fuel economy adjusted factor'!$A$2:$L$52,5,FALSE)*m2k))/'TCO Inputs'!$AZ$84</f>
        <v>175.51935197325309</v>
      </c>
      <c r="BA194" s="125">
        <f>BA82/293.07*(1/(VLOOKUP($AF194,'Fuel economy adjusted factor'!$A$2:$L$52,5,FALSE)*m2k))/'TCO Inputs'!$AZ$84</f>
        <v>175.51935197325309</v>
      </c>
      <c r="BB194" s="125">
        <f>BB82/293.07*(1/(VLOOKUP($AF194,'Fuel economy adjusted factor'!$A$2:$L$52,5,FALSE)*m2k))/'TCO Inputs'!$AZ$84</f>
        <v>175.51935197325309</v>
      </c>
      <c r="BC194" s="125">
        <f>BC82/293.07*(1/(VLOOKUP($AF194,'Fuel economy adjusted factor'!$A$2:$L$52,5,FALSE)*m2k))/'TCO Inputs'!$AZ$84</f>
        <v>175.51935197325309</v>
      </c>
      <c r="BD194" s="125">
        <f>BD82/293.07*(1/(VLOOKUP($AF194,'Fuel economy adjusted factor'!$A$2:$L$52,5,FALSE)*m2k))/'TCO Inputs'!$AZ$84</f>
        <v>175.51935197325309</v>
      </c>
      <c r="BE194" s="125">
        <f>BE82/293.07*(1/(VLOOKUP($AF194,'Fuel economy adjusted factor'!$A$2:$L$52,5,FALSE)*m2k))/'TCO Inputs'!$AZ$84</f>
        <v>175.51935197325309</v>
      </c>
      <c r="BF194" s="125">
        <f>BF82/293.07*(1/(VLOOKUP($AF194,'Fuel economy adjusted factor'!$A$2:$L$52,5,FALSE)*m2k))/'TCO Inputs'!$AZ$84</f>
        <v>175.51935197325309</v>
      </c>
      <c r="BG194" s="125">
        <f>BG82/293.07*(1/(VLOOKUP($AF194,'Fuel economy adjusted factor'!$A$2:$L$52,5,FALSE)*m2k))/'TCO Inputs'!$AZ$84</f>
        <v>175.51935197325309</v>
      </c>
      <c r="BH194" s="125">
        <f>BH82/293.07*(1/(VLOOKUP($AF194,'Fuel economy adjusted factor'!$A$2:$L$52,5,FALSE)*m2k))/'TCO Inputs'!$AZ$84</f>
        <v>175.51935197325309</v>
      </c>
      <c r="BI194" s="98" cm="1">
        <f t="array" ref="BI194">SUMPRODUCT(INDEX(AG194:BH194,,'TCO Inputs'!$AZ$12-2023+_xlfn.SEQUENCE('TCO Inputs'!$AZ$13))*INDEX('VKT US'!C86:AA86,,_xlfn.SEQUENCE('TCO Inputs'!$AZ$13)))*m2k*CONVERT(0.9072,"g","ton")</f>
        <v>74.0840251713405</v>
      </c>
    </row>
    <row r="195" spans="1:61" x14ac:dyDescent="0.25">
      <c r="A195" s="123" t="s">
        <v>206</v>
      </c>
      <c r="B195" s="125">
        <f>B83/293.07*(1/(VLOOKUP($A195,'Fuel economy adjusted factor'!$A$2:$L$52,5,FALSE)*m2k))/'TCO Inputs'!$AZ$84</f>
        <v>249.44690398778212</v>
      </c>
      <c r="C195" s="125">
        <f>C83/293.07*(1/(VLOOKUP($A195,'Fuel economy adjusted factor'!$A$2:$L$52,5,FALSE)*m2k))/'TCO Inputs'!$AZ$84</f>
        <v>249.44690398778212</v>
      </c>
      <c r="D195" s="125">
        <f>D83/293.07*(1/(VLOOKUP($A195,'Fuel economy adjusted factor'!$A$2:$L$52,5,FALSE)*m2k))/'TCO Inputs'!$AZ$84</f>
        <v>249.44690398778212</v>
      </c>
      <c r="E195" s="125">
        <f>E83/293.07*(1/(VLOOKUP($A195,'Fuel economy adjusted factor'!$A$2:$L$52,5,FALSE)*m2k))/'TCO Inputs'!$AZ$84</f>
        <v>249.44690398778212</v>
      </c>
      <c r="F195" s="125">
        <f>F83/293.07*(1/(VLOOKUP($A195,'Fuel economy adjusted factor'!$A$2:$L$52,5,FALSE)*m2k))/'TCO Inputs'!$AZ$84</f>
        <v>249.44690398778212</v>
      </c>
      <c r="G195" s="125">
        <f>G83/293.07*(1/(VLOOKUP($A195,'Fuel economy adjusted factor'!$A$2:$L$52,5,FALSE)*m2k))/'TCO Inputs'!$AZ$84</f>
        <v>249.44690398778212</v>
      </c>
      <c r="H195" s="125">
        <f>H83/293.07*(1/(VLOOKUP($A195,'Fuel economy adjusted factor'!$A$2:$L$52,5,FALSE)*m2k))/'TCO Inputs'!$AZ$84</f>
        <v>249.44690398778212</v>
      </c>
      <c r="I195" s="125">
        <f>I83/293.07*(1/(VLOOKUP($A195,'Fuel economy adjusted factor'!$A$2:$L$52,5,FALSE)*m2k))/'TCO Inputs'!$AZ$84</f>
        <v>249.44690398778212</v>
      </c>
      <c r="J195" s="125">
        <f>J83/293.07*(1/(VLOOKUP($A195,'Fuel economy adjusted factor'!$A$2:$L$52,5,FALSE)*m2k))/'TCO Inputs'!$AZ$84</f>
        <v>249.44690398778212</v>
      </c>
      <c r="K195" s="125">
        <f>K83/293.07*(1/(VLOOKUP($A195,'Fuel economy adjusted factor'!$A$2:$L$52,5,FALSE)*m2k))/'TCO Inputs'!$AZ$84</f>
        <v>249.44690398778212</v>
      </c>
      <c r="L195" s="125">
        <f>L83/293.07*(1/(VLOOKUP($A195,'Fuel economy adjusted factor'!$A$2:$L$52,5,FALSE)*m2k))/'TCO Inputs'!$AZ$84</f>
        <v>249.44690398778212</v>
      </c>
      <c r="M195" s="125">
        <f>M83/293.07*(1/(VLOOKUP($A195,'Fuel economy adjusted factor'!$A$2:$L$52,5,FALSE)*m2k))/'TCO Inputs'!$AZ$84</f>
        <v>249.44690398778212</v>
      </c>
      <c r="N195" s="125">
        <f>N83/293.07*(1/(VLOOKUP($A195,'Fuel economy adjusted factor'!$A$2:$L$52,5,FALSE)*m2k))/'TCO Inputs'!$AZ$84</f>
        <v>249.44690398778212</v>
      </c>
      <c r="O195" s="125">
        <f>O83/293.07*(1/(VLOOKUP($A195,'Fuel economy adjusted factor'!$A$2:$L$52,5,FALSE)*m2k))/'TCO Inputs'!$AZ$84</f>
        <v>249.44690398778212</v>
      </c>
      <c r="P195" s="125">
        <f>P83/293.07*(1/(VLOOKUP($A195,'Fuel economy adjusted factor'!$A$2:$L$52,5,FALSE)*m2k))/'TCO Inputs'!$AZ$84</f>
        <v>249.44690398778212</v>
      </c>
      <c r="Q195" s="125">
        <f>Q83/293.07*(1/(VLOOKUP($A195,'Fuel economy adjusted factor'!$A$2:$L$52,5,FALSE)*m2k))/'TCO Inputs'!$AZ$84</f>
        <v>249.44690398778212</v>
      </c>
      <c r="R195" s="125">
        <f>R83/293.07*(1/(VLOOKUP($A195,'Fuel economy adjusted factor'!$A$2:$L$52,5,FALSE)*m2k))/'TCO Inputs'!$AZ$84</f>
        <v>249.44690398778212</v>
      </c>
      <c r="S195" s="125">
        <f>S83/293.07*(1/(VLOOKUP($A195,'Fuel economy adjusted factor'!$A$2:$L$52,5,FALSE)*m2k))/'TCO Inputs'!$AZ$84</f>
        <v>249.44690398778212</v>
      </c>
      <c r="T195" s="125">
        <f>T83/293.07*(1/(VLOOKUP($A195,'Fuel economy adjusted factor'!$A$2:$L$52,5,FALSE)*m2k))/'TCO Inputs'!$AZ$84</f>
        <v>249.44690398778212</v>
      </c>
      <c r="U195" s="125">
        <f>U83/293.07*(1/(VLOOKUP($A195,'Fuel economy adjusted factor'!$A$2:$L$52,5,FALSE)*m2k))/'TCO Inputs'!$AZ$84</f>
        <v>249.44690398778212</v>
      </c>
      <c r="V195" s="125">
        <f>V83/293.07*(1/(VLOOKUP($A195,'Fuel economy adjusted factor'!$A$2:$L$52,5,FALSE)*m2k))/'TCO Inputs'!$AZ$84</f>
        <v>249.44690398778212</v>
      </c>
      <c r="W195" s="125">
        <f>W83/293.07*(1/(VLOOKUP($A195,'Fuel economy adjusted factor'!$A$2:$L$52,5,FALSE)*m2k))/'TCO Inputs'!$AZ$84</f>
        <v>249.44690398778212</v>
      </c>
      <c r="X195" s="125">
        <f>X83/293.07*(1/(VLOOKUP($A195,'Fuel economy adjusted factor'!$A$2:$L$52,5,FALSE)*m2k))/'TCO Inputs'!$AZ$84</f>
        <v>249.44690398778212</v>
      </c>
      <c r="Y195" s="125">
        <f>Y83/293.07*(1/(VLOOKUP($A195,'Fuel economy adjusted factor'!$A$2:$L$52,5,FALSE)*m2k))/'TCO Inputs'!$AZ$84</f>
        <v>249.44690398778212</v>
      </c>
      <c r="Z195" s="125">
        <f>Z83/293.07*(1/(VLOOKUP($A195,'Fuel economy adjusted factor'!$A$2:$L$52,5,FALSE)*m2k))/'TCO Inputs'!$AZ$84</f>
        <v>249.44690398778212</v>
      </c>
      <c r="AA195" s="125">
        <f>AA83/293.07*(1/(VLOOKUP($A195,'Fuel economy adjusted factor'!$A$2:$L$52,5,FALSE)*m2k))/'TCO Inputs'!$AZ$84</f>
        <v>249.44690398778212</v>
      </c>
      <c r="AB195" s="125">
        <f>AB83/293.07*(1/(VLOOKUP($A195,'Fuel economy adjusted factor'!$A$2:$L$52,5,FALSE)*m2k))/'TCO Inputs'!$AZ$84</f>
        <v>249.44690398778212</v>
      </c>
      <c r="AC195" s="125">
        <f>AC83/293.07*(1/(VLOOKUP($A195,'Fuel economy adjusted factor'!$A$2:$L$52,5,FALSE)*m2k))/'TCO Inputs'!$AZ$84</f>
        <v>249.44690398778212</v>
      </c>
      <c r="AD195" s="98" cm="1">
        <f t="array" ref="AD195">SUMPRODUCT(INDEX(B195:AC195,,'TCO Inputs'!$AZ$12-2023+_xlfn.SEQUENCE('TCO Inputs'!$AZ$13))*INDEX('VKT US'!C87:AA87,,_xlfn.SEQUENCE('TCO Inputs'!$AZ$13)))*m2k*CONVERT(0.9072,"g","ton")</f>
        <v>97.66771941166752</v>
      </c>
      <c r="AF195" s="123" t="s">
        <v>206</v>
      </c>
      <c r="AG195" s="125">
        <f>AG83/293.07*(1/(VLOOKUP($AF195,'Fuel economy adjusted factor'!$A$2:$L$52,5,FALSE)*m2k))/'TCO Inputs'!$AZ$84</f>
        <v>288.96937384157042</v>
      </c>
      <c r="AH195" s="125">
        <f>AH83/293.07*(1/(VLOOKUP($AF195,'Fuel economy adjusted factor'!$A$2:$L$52,5,FALSE)*m2k))/'TCO Inputs'!$AZ$84</f>
        <v>288.96937384157042</v>
      </c>
      <c r="AI195" s="125">
        <f>AI83/293.07*(1/(VLOOKUP($AF195,'Fuel economy adjusted factor'!$A$2:$L$52,5,FALSE)*m2k))/'TCO Inputs'!$AZ$84</f>
        <v>288.96937384157042</v>
      </c>
      <c r="AJ195" s="125">
        <f>AJ83/293.07*(1/(VLOOKUP($AF195,'Fuel economy adjusted factor'!$A$2:$L$52,5,FALSE)*m2k))/'TCO Inputs'!$AZ$84</f>
        <v>288.96937384157042</v>
      </c>
      <c r="AK195" s="125">
        <f>AK83/293.07*(1/(VLOOKUP($AF195,'Fuel economy adjusted factor'!$A$2:$L$52,5,FALSE)*m2k))/'TCO Inputs'!$AZ$84</f>
        <v>288.96937384157042</v>
      </c>
      <c r="AL195" s="125">
        <f>AL83/293.07*(1/(VLOOKUP($AF195,'Fuel economy adjusted factor'!$A$2:$L$52,5,FALSE)*m2k))/'TCO Inputs'!$AZ$84</f>
        <v>288.96937384157042</v>
      </c>
      <c r="AM195" s="125">
        <f>AM83/293.07*(1/(VLOOKUP($AF195,'Fuel economy adjusted factor'!$A$2:$L$52,5,FALSE)*m2k))/'TCO Inputs'!$AZ$84</f>
        <v>288.96937384157042</v>
      </c>
      <c r="AN195" s="125">
        <f>AN83/293.07*(1/(VLOOKUP($AF195,'Fuel economy adjusted factor'!$A$2:$L$52,5,FALSE)*m2k))/'TCO Inputs'!$AZ$84</f>
        <v>288.96937384157042</v>
      </c>
      <c r="AO195" s="125">
        <f>AO83/293.07*(1/(VLOOKUP($AF195,'Fuel economy adjusted factor'!$A$2:$L$52,5,FALSE)*m2k))/'TCO Inputs'!$AZ$84</f>
        <v>288.96937384157042</v>
      </c>
      <c r="AP195" s="125">
        <f>AP83/293.07*(1/(VLOOKUP($AF195,'Fuel economy adjusted factor'!$A$2:$L$52,5,FALSE)*m2k))/'TCO Inputs'!$AZ$84</f>
        <v>288.96937384157042</v>
      </c>
      <c r="AQ195" s="125">
        <f>AQ83/293.07*(1/(VLOOKUP($AF195,'Fuel economy adjusted factor'!$A$2:$L$52,5,FALSE)*m2k))/'TCO Inputs'!$AZ$84</f>
        <v>288.96937384157042</v>
      </c>
      <c r="AR195" s="125">
        <f>AR83/293.07*(1/(VLOOKUP($AF195,'Fuel economy adjusted factor'!$A$2:$L$52,5,FALSE)*m2k))/'TCO Inputs'!$AZ$84</f>
        <v>288.96937384157042</v>
      </c>
      <c r="AS195" s="125">
        <f>AS83/293.07*(1/(VLOOKUP($AF195,'Fuel economy adjusted factor'!$A$2:$L$52,5,FALSE)*m2k))/'TCO Inputs'!$AZ$84</f>
        <v>288.96937384157042</v>
      </c>
      <c r="AT195" s="125">
        <f>AT83/293.07*(1/(VLOOKUP($AF195,'Fuel economy adjusted factor'!$A$2:$L$52,5,FALSE)*m2k))/'TCO Inputs'!$AZ$84</f>
        <v>288.96937384157042</v>
      </c>
      <c r="AU195" s="125">
        <f>AU83/293.07*(1/(VLOOKUP($AF195,'Fuel economy adjusted factor'!$A$2:$L$52,5,FALSE)*m2k))/'TCO Inputs'!$AZ$84</f>
        <v>288.96937384157042</v>
      </c>
      <c r="AV195" s="125">
        <f>AV83/293.07*(1/(VLOOKUP($AF195,'Fuel economy adjusted factor'!$A$2:$L$52,5,FALSE)*m2k))/'TCO Inputs'!$AZ$84</f>
        <v>288.96937384157042</v>
      </c>
      <c r="AW195" s="125">
        <f>AW83/293.07*(1/(VLOOKUP($AF195,'Fuel economy adjusted factor'!$A$2:$L$52,5,FALSE)*m2k))/'TCO Inputs'!$AZ$84</f>
        <v>288.96937384157042</v>
      </c>
      <c r="AX195" s="125">
        <f>AX83/293.07*(1/(VLOOKUP($AF195,'Fuel economy adjusted factor'!$A$2:$L$52,5,FALSE)*m2k))/'TCO Inputs'!$AZ$84</f>
        <v>288.96937384157042</v>
      </c>
      <c r="AY195" s="125">
        <f>AY83/293.07*(1/(VLOOKUP($AF195,'Fuel economy adjusted factor'!$A$2:$L$52,5,FALSE)*m2k))/'TCO Inputs'!$AZ$84</f>
        <v>288.96937384157042</v>
      </c>
      <c r="AZ195" s="125">
        <f>AZ83/293.07*(1/(VLOOKUP($AF195,'Fuel economy adjusted factor'!$A$2:$L$52,5,FALSE)*m2k))/'TCO Inputs'!$AZ$84</f>
        <v>288.96937384157042</v>
      </c>
      <c r="BA195" s="125">
        <f>BA83/293.07*(1/(VLOOKUP($AF195,'Fuel economy adjusted factor'!$A$2:$L$52,5,FALSE)*m2k))/'TCO Inputs'!$AZ$84</f>
        <v>288.96937384157042</v>
      </c>
      <c r="BB195" s="125">
        <f>BB83/293.07*(1/(VLOOKUP($AF195,'Fuel economy adjusted factor'!$A$2:$L$52,5,FALSE)*m2k))/'TCO Inputs'!$AZ$84</f>
        <v>288.96937384157042</v>
      </c>
      <c r="BC195" s="125">
        <f>BC83/293.07*(1/(VLOOKUP($AF195,'Fuel economy adjusted factor'!$A$2:$L$52,5,FALSE)*m2k))/'TCO Inputs'!$AZ$84</f>
        <v>288.96937384157042</v>
      </c>
      <c r="BD195" s="125">
        <f>BD83/293.07*(1/(VLOOKUP($AF195,'Fuel economy adjusted factor'!$A$2:$L$52,5,FALSE)*m2k))/'TCO Inputs'!$AZ$84</f>
        <v>288.96937384157042</v>
      </c>
      <c r="BE195" s="125">
        <f>BE83/293.07*(1/(VLOOKUP($AF195,'Fuel economy adjusted factor'!$A$2:$L$52,5,FALSE)*m2k))/'TCO Inputs'!$AZ$84</f>
        <v>288.96937384157042</v>
      </c>
      <c r="BF195" s="125">
        <f>BF83/293.07*(1/(VLOOKUP($AF195,'Fuel economy adjusted factor'!$A$2:$L$52,5,FALSE)*m2k))/'TCO Inputs'!$AZ$84</f>
        <v>288.96937384157042</v>
      </c>
      <c r="BG195" s="125">
        <f>BG83/293.07*(1/(VLOOKUP($AF195,'Fuel economy adjusted factor'!$A$2:$L$52,5,FALSE)*m2k))/'TCO Inputs'!$AZ$84</f>
        <v>288.96937384157042</v>
      </c>
      <c r="BH195" s="125">
        <f>BH83/293.07*(1/(VLOOKUP($AF195,'Fuel economy adjusted factor'!$A$2:$L$52,5,FALSE)*m2k))/'TCO Inputs'!$AZ$84</f>
        <v>288.96937384157042</v>
      </c>
      <c r="BI195" s="98" cm="1">
        <f t="array" ref="BI195">SUMPRODUCT(INDEX(AG195:BH195,,'TCO Inputs'!$AZ$12-2023+_xlfn.SEQUENCE('TCO Inputs'!$AZ$13))*INDEX('VKT US'!C87:AA87,,_xlfn.SEQUENCE('TCO Inputs'!$AZ$13)))*m2k*CONVERT(0.9072,"g","ton")</f>
        <v>113.14223296315639</v>
      </c>
    </row>
    <row r="196" spans="1:61" x14ac:dyDescent="0.25">
      <c r="A196" s="123" t="s">
        <v>208</v>
      </c>
      <c r="B196" s="125">
        <f>B84/293.07*(1/(VLOOKUP($A196,'Fuel economy adjusted factor'!$A$2:$L$52,5,FALSE)*m2k))/'TCO Inputs'!$AZ$84</f>
        <v>204.68875116327735</v>
      </c>
      <c r="C196" s="125">
        <f>C84/293.07*(1/(VLOOKUP($A196,'Fuel economy adjusted factor'!$A$2:$L$52,5,FALSE)*m2k))/'TCO Inputs'!$AZ$84</f>
        <v>204.68875116327735</v>
      </c>
      <c r="D196" s="125">
        <f>D84/293.07*(1/(VLOOKUP($A196,'Fuel economy adjusted factor'!$A$2:$L$52,5,FALSE)*m2k))/'TCO Inputs'!$AZ$84</f>
        <v>204.68875116327735</v>
      </c>
      <c r="E196" s="125">
        <f>E84/293.07*(1/(VLOOKUP($A196,'Fuel economy adjusted factor'!$A$2:$L$52,5,FALSE)*m2k))/'TCO Inputs'!$AZ$84</f>
        <v>204.68875116327735</v>
      </c>
      <c r="F196" s="125">
        <f>F84/293.07*(1/(VLOOKUP($A196,'Fuel economy adjusted factor'!$A$2:$L$52,5,FALSE)*m2k))/'TCO Inputs'!$AZ$84</f>
        <v>204.68875116327735</v>
      </c>
      <c r="G196" s="125">
        <f>G84/293.07*(1/(VLOOKUP($A196,'Fuel economy adjusted factor'!$A$2:$L$52,5,FALSE)*m2k))/'TCO Inputs'!$AZ$84</f>
        <v>204.68875116327735</v>
      </c>
      <c r="H196" s="125">
        <f>H84/293.07*(1/(VLOOKUP($A196,'Fuel economy adjusted factor'!$A$2:$L$52,5,FALSE)*m2k))/'TCO Inputs'!$AZ$84</f>
        <v>204.68875116327735</v>
      </c>
      <c r="I196" s="125">
        <f>I84/293.07*(1/(VLOOKUP($A196,'Fuel economy adjusted factor'!$A$2:$L$52,5,FALSE)*m2k))/'TCO Inputs'!$AZ$84</f>
        <v>204.68875116327735</v>
      </c>
      <c r="J196" s="125">
        <f>J84/293.07*(1/(VLOOKUP($A196,'Fuel economy adjusted factor'!$A$2:$L$52,5,FALSE)*m2k))/'TCO Inputs'!$AZ$84</f>
        <v>204.68875116327735</v>
      </c>
      <c r="K196" s="125">
        <f>K84/293.07*(1/(VLOOKUP($A196,'Fuel economy adjusted factor'!$A$2:$L$52,5,FALSE)*m2k))/'TCO Inputs'!$AZ$84</f>
        <v>204.68875116327735</v>
      </c>
      <c r="L196" s="125">
        <f>L84/293.07*(1/(VLOOKUP($A196,'Fuel economy adjusted factor'!$A$2:$L$52,5,FALSE)*m2k))/'TCO Inputs'!$AZ$84</f>
        <v>204.68875116327735</v>
      </c>
      <c r="M196" s="125">
        <f>M84/293.07*(1/(VLOOKUP($A196,'Fuel economy adjusted factor'!$A$2:$L$52,5,FALSE)*m2k))/'TCO Inputs'!$AZ$84</f>
        <v>204.68875116327735</v>
      </c>
      <c r="N196" s="125">
        <f>N84/293.07*(1/(VLOOKUP($A196,'Fuel economy adjusted factor'!$A$2:$L$52,5,FALSE)*m2k))/'TCO Inputs'!$AZ$84</f>
        <v>204.68875116327735</v>
      </c>
      <c r="O196" s="125">
        <f>O84/293.07*(1/(VLOOKUP($A196,'Fuel economy adjusted factor'!$A$2:$L$52,5,FALSE)*m2k))/'TCO Inputs'!$AZ$84</f>
        <v>204.68875116327735</v>
      </c>
      <c r="P196" s="125">
        <f>P84/293.07*(1/(VLOOKUP($A196,'Fuel economy adjusted factor'!$A$2:$L$52,5,FALSE)*m2k))/'TCO Inputs'!$AZ$84</f>
        <v>204.68875116327735</v>
      </c>
      <c r="Q196" s="125">
        <f>Q84/293.07*(1/(VLOOKUP($A196,'Fuel economy adjusted factor'!$A$2:$L$52,5,FALSE)*m2k))/'TCO Inputs'!$AZ$84</f>
        <v>204.68875116327735</v>
      </c>
      <c r="R196" s="125">
        <f>R84/293.07*(1/(VLOOKUP($A196,'Fuel economy adjusted factor'!$A$2:$L$52,5,FALSE)*m2k))/'TCO Inputs'!$AZ$84</f>
        <v>204.68875116327735</v>
      </c>
      <c r="S196" s="125">
        <f>S84/293.07*(1/(VLOOKUP($A196,'Fuel economy adjusted factor'!$A$2:$L$52,5,FALSE)*m2k))/'TCO Inputs'!$AZ$84</f>
        <v>204.68875116327735</v>
      </c>
      <c r="T196" s="125">
        <f>T84/293.07*(1/(VLOOKUP($A196,'Fuel economy adjusted factor'!$A$2:$L$52,5,FALSE)*m2k))/'TCO Inputs'!$AZ$84</f>
        <v>204.68875116327735</v>
      </c>
      <c r="U196" s="125">
        <f>U84/293.07*(1/(VLOOKUP($A196,'Fuel economy adjusted factor'!$A$2:$L$52,5,FALSE)*m2k))/'TCO Inputs'!$AZ$84</f>
        <v>204.68875116327735</v>
      </c>
      <c r="V196" s="125">
        <f>V84/293.07*(1/(VLOOKUP($A196,'Fuel economy adjusted factor'!$A$2:$L$52,5,FALSE)*m2k))/'TCO Inputs'!$AZ$84</f>
        <v>204.68875116327735</v>
      </c>
      <c r="W196" s="125">
        <f>W84/293.07*(1/(VLOOKUP($A196,'Fuel economy adjusted factor'!$A$2:$L$52,5,FALSE)*m2k))/'TCO Inputs'!$AZ$84</f>
        <v>204.68875116327735</v>
      </c>
      <c r="X196" s="125">
        <f>X84/293.07*(1/(VLOOKUP($A196,'Fuel economy adjusted factor'!$A$2:$L$52,5,FALSE)*m2k))/'TCO Inputs'!$AZ$84</f>
        <v>204.68875116327735</v>
      </c>
      <c r="Y196" s="125">
        <f>Y84/293.07*(1/(VLOOKUP($A196,'Fuel economy adjusted factor'!$A$2:$L$52,5,FALSE)*m2k))/'TCO Inputs'!$AZ$84</f>
        <v>204.68875116327735</v>
      </c>
      <c r="Z196" s="125">
        <f>Z84/293.07*(1/(VLOOKUP($A196,'Fuel economy adjusted factor'!$A$2:$L$52,5,FALSE)*m2k))/'TCO Inputs'!$AZ$84</f>
        <v>204.68875116327735</v>
      </c>
      <c r="AA196" s="125">
        <f>AA84/293.07*(1/(VLOOKUP($A196,'Fuel economy adjusted factor'!$A$2:$L$52,5,FALSE)*m2k))/'TCO Inputs'!$AZ$84</f>
        <v>204.68875116327735</v>
      </c>
      <c r="AB196" s="125">
        <f>AB84/293.07*(1/(VLOOKUP($A196,'Fuel economy adjusted factor'!$A$2:$L$52,5,FALSE)*m2k))/'TCO Inputs'!$AZ$84</f>
        <v>204.68875116327735</v>
      </c>
      <c r="AC196" s="125">
        <f>AC84/293.07*(1/(VLOOKUP($A196,'Fuel economy adjusted factor'!$A$2:$L$52,5,FALSE)*m2k))/'TCO Inputs'!$AZ$84</f>
        <v>204.68875116327735</v>
      </c>
      <c r="AD196" s="98" cm="1">
        <f t="array" ref="AD196">SUMPRODUCT(INDEX(B196:AC196,,'TCO Inputs'!$AZ$12-2023+_xlfn.SEQUENCE('TCO Inputs'!$AZ$13))*INDEX('VKT US'!C88:AA88,,_xlfn.SEQUENCE('TCO Inputs'!$AZ$13)))*m2k*CONVERT(0.9072,"g","ton")</f>
        <v>68.715224774660939</v>
      </c>
      <c r="AF196" s="123" t="s">
        <v>208</v>
      </c>
      <c r="AG196" s="125">
        <f>AG84/293.07*(1/(VLOOKUP($AF196,'Fuel economy adjusted factor'!$A$2:$L$52,5,FALSE)*m2k))/'TCO Inputs'!$AZ$84</f>
        <v>237.11972091248083</v>
      </c>
      <c r="AH196" s="125">
        <f>AH84/293.07*(1/(VLOOKUP($AF196,'Fuel economy adjusted factor'!$A$2:$L$52,5,FALSE)*m2k))/'TCO Inputs'!$AZ$84</f>
        <v>237.11972091248083</v>
      </c>
      <c r="AI196" s="125">
        <f>AI84/293.07*(1/(VLOOKUP($AF196,'Fuel economy adjusted factor'!$A$2:$L$52,5,FALSE)*m2k))/'TCO Inputs'!$AZ$84</f>
        <v>237.11972091248083</v>
      </c>
      <c r="AJ196" s="125">
        <f>AJ84/293.07*(1/(VLOOKUP($AF196,'Fuel economy adjusted factor'!$A$2:$L$52,5,FALSE)*m2k))/'TCO Inputs'!$AZ$84</f>
        <v>237.11972091248083</v>
      </c>
      <c r="AK196" s="125">
        <f>AK84/293.07*(1/(VLOOKUP($AF196,'Fuel economy adjusted factor'!$A$2:$L$52,5,FALSE)*m2k))/'TCO Inputs'!$AZ$84</f>
        <v>237.11972091248083</v>
      </c>
      <c r="AL196" s="125">
        <f>AL84/293.07*(1/(VLOOKUP($AF196,'Fuel economy adjusted factor'!$A$2:$L$52,5,FALSE)*m2k))/'TCO Inputs'!$AZ$84</f>
        <v>237.11972091248083</v>
      </c>
      <c r="AM196" s="125">
        <f>AM84/293.07*(1/(VLOOKUP($AF196,'Fuel economy adjusted factor'!$A$2:$L$52,5,FALSE)*m2k))/'TCO Inputs'!$AZ$84</f>
        <v>237.11972091248083</v>
      </c>
      <c r="AN196" s="125">
        <f>AN84/293.07*(1/(VLOOKUP($AF196,'Fuel economy adjusted factor'!$A$2:$L$52,5,FALSE)*m2k))/'TCO Inputs'!$AZ$84</f>
        <v>237.11972091248083</v>
      </c>
      <c r="AO196" s="125">
        <f>AO84/293.07*(1/(VLOOKUP($AF196,'Fuel economy adjusted factor'!$A$2:$L$52,5,FALSE)*m2k))/'TCO Inputs'!$AZ$84</f>
        <v>237.11972091248083</v>
      </c>
      <c r="AP196" s="125">
        <f>AP84/293.07*(1/(VLOOKUP($AF196,'Fuel economy adjusted factor'!$A$2:$L$52,5,FALSE)*m2k))/'TCO Inputs'!$AZ$84</f>
        <v>237.11972091248083</v>
      </c>
      <c r="AQ196" s="125">
        <f>AQ84/293.07*(1/(VLOOKUP($AF196,'Fuel economy adjusted factor'!$A$2:$L$52,5,FALSE)*m2k))/'TCO Inputs'!$AZ$84</f>
        <v>237.11972091248083</v>
      </c>
      <c r="AR196" s="125">
        <f>AR84/293.07*(1/(VLOOKUP($AF196,'Fuel economy adjusted factor'!$A$2:$L$52,5,FALSE)*m2k))/'TCO Inputs'!$AZ$84</f>
        <v>237.11972091248083</v>
      </c>
      <c r="AS196" s="125">
        <f>AS84/293.07*(1/(VLOOKUP($AF196,'Fuel economy adjusted factor'!$A$2:$L$52,5,FALSE)*m2k))/'TCO Inputs'!$AZ$84</f>
        <v>237.11972091248083</v>
      </c>
      <c r="AT196" s="125">
        <f>AT84/293.07*(1/(VLOOKUP($AF196,'Fuel economy adjusted factor'!$A$2:$L$52,5,FALSE)*m2k))/'TCO Inputs'!$AZ$84</f>
        <v>237.11972091248083</v>
      </c>
      <c r="AU196" s="125">
        <f>AU84/293.07*(1/(VLOOKUP($AF196,'Fuel economy adjusted factor'!$A$2:$L$52,5,FALSE)*m2k))/'TCO Inputs'!$AZ$84</f>
        <v>237.11972091248083</v>
      </c>
      <c r="AV196" s="125">
        <f>AV84/293.07*(1/(VLOOKUP($AF196,'Fuel economy adjusted factor'!$A$2:$L$52,5,FALSE)*m2k))/'TCO Inputs'!$AZ$84</f>
        <v>237.11972091248083</v>
      </c>
      <c r="AW196" s="125">
        <f>AW84/293.07*(1/(VLOOKUP($AF196,'Fuel economy adjusted factor'!$A$2:$L$52,5,FALSE)*m2k))/'TCO Inputs'!$AZ$84</f>
        <v>237.11972091248083</v>
      </c>
      <c r="AX196" s="125">
        <f>AX84/293.07*(1/(VLOOKUP($AF196,'Fuel economy adjusted factor'!$A$2:$L$52,5,FALSE)*m2k))/'TCO Inputs'!$AZ$84</f>
        <v>237.11972091248083</v>
      </c>
      <c r="AY196" s="125">
        <f>AY84/293.07*(1/(VLOOKUP($AF196,'Fuel economy adjusted factor'!$A$2:$L$52,5,FALSE)*m2k))/'TCO Inputs'!$AZ$84</f>
        <v>237.11972091248083</v>
      </c>
      <c r="AZ196" s="125">
        <f>AZ84/293.07*(1/(VLOOKUP($AF196,'Fuel economy adjusted factor'!$A$2:$L$52,5,FALSE)*m2k))/'TCO Inputs'!$AZ$84</f>
        <v>237.11972091248083</v>
      </c>
      <c r="BA196" s="125">
        <f>BA84/293.07*(1/(VLOOKUP($AF196,'Fuel economy adjusted factor'!$A$2:$L$52,5,FALSE)*m2k))/'TCO Inputs'!$AZ$84</f>
        <v>237.11972091248083</v>
      </c>
      <c r="BB196" s="125">
        <f>BB84/293.07*(1/(VLOOKUP($AF196,'Fuel economy adjusted factor'!$A$2:$L$52,5,FALSE)*m2k))/'TCO Inputs'!$AZ$84</f>
        <v>237.11972091248083</v>
      </c>
      <c r="BC196" s="125">
        <f>BC84/293.07*(1/(VLOOKUP($AF196,'Fuel economy adjusted factor'!$A$2:$L$52,5,FALSE)*m2k))/'TCO Inputs'!$AZ$84</f>
        <v>237.11972091248083</v>
      </c>
      <c r="BD196" s="125">
        <f>BD84/293.07*(1/(VLOOKUP($AF196,'Fuel economy adjusted factor'!$A$2:$L$52,5,FALSE)*m2k))/'TCO Inputs'!$AZ$84</f>
        <v>237.11972091248083</v>
      </c>
      <c r="BE196" s="125">
        <f>BE84/293.07*(1/(VLOOKUP($AF196,'Fuel economy adjusted factor'!$A$2:$L$52,5,FALSE)*m2k))/'TCO Inputs'!$AZ$84</f>
        <v>237.11972091248083</v>
      </c>
      <c r="BF196" s="125">
        <f>BF84/293.07*(1/(VLOOKUP($AF196,'Fuel economy adjusted factor'!$A$2:$L$52,5,FALSE)*m2k))/'TCO Inputs'!$AZ$84</f>
        <v>237.11972091248083</v>
      </c>
      <c r="BG196" s="125">
        <f>BG84/293.07*(1/(VLOOKUP($AF196,'Fuel economy adjusted factor'!$A$2:$L$52,5,FALSE)*m2k))/'TCO Inputs'!$AZ$84</f>
        <v>237.11972091248083</v>
      </c>
      <c r="BH196" s="125">
        <f>BH84/293.07*(1/(VLOOKUP($AF196,'Fuel economy adjusted factor'!$A$2:$L$52,5,FALSE)*m2k))/'TCO Inputs'!$AZ$84</f>
        <v>237.11972091248083</v>
      </c>
      <c r="BI196" s="98" cm="1">
        <f t="array" ref="BI196">SUMPRODUCT(INDEX(AG196:BH196,,'TCO Inputs'!$AZ$12-2023+_xlfn.SEQUENCE('TCO Inputs'!$AZ$13))*INDEX('VKT US'!C88:AA88,,_xlfn.SEQUENCE('TCO Inputs'!$AZ$13)))*m2k*CONVERT(0.9072,"g","ton")</f>
        <v>79.602493192255139</v>
      </c>
    </row>
    <row r="197" spans="1:61" x14ac:dyDescent="0.25">
      <c r="A197" s="123" t="s">
        <v>211</v>
      </c>
      <c r="B197" s="125">
        <f>B85/293.07*(1/(VLOOKUP($A197,'Fuel economy adjusted factor'!$A$2:$L$52,5,FALSE)*m2k))/'TCO Inputs'!$AZ$84</f>
        <v>186.00708711785958</v>
      </c>
      <c r="C197" s="125">
        <f>C85/293.07*(1/(VLOOKUP($A197,'Fuel economy adjusted factor'!$A$2:$L$52,5,FALSE)*m2k))/'TCO Inputs'!$AZ$84</f>
        <v>186.00708711785958</v>
      </c>
      <c r="D197" s="125">
        <f>D85/293.07*(1/(VLOOKUP($A197,'Fuel economy adjusted factor'!$A$2:$L$52,5,FALSE)*m2k))/'TCO Inputs'!$AZ$84</f>
        <v>186.00708711785958</v>
      </c>
      <c r="E197" s="125">
        <f>E85/293.07*(1/(VLOOKUP($A197,'Fuel economy adjusted factor'!$A$2:$L$52,5,FALSE)*m2k))/'TCO Inputs'!$AZ$84</f>
        <v>186.00708711785958</v>
      </c>
      <c r="F197" s="125">
        <f>F85/293.07*(1/(VLOOKUP($A197,'Fuel economy adjusted factor'!$A$2:$L$52,5,FALSE)*m2k))/'TCO Inputs'!$AZ$84</f>
        <v>186.00708711785958</v>
      </c>
      <c r="G197" s="125">
        <f>G85/293.07*(1/(VLOOKUP($A197,'Fuel economy adjusted factor'!$A$2:$L$52,5,FALSE)*m2k))/'TCO Inputs'!$AZ$84</f>
        <v>186.00708711785958</v>
      </c>
      <c r="H197" s="125">
        <f>H85/293.07*(1/(VLOOKUP($A197,'Fuel economy adjusted factor'!$A$2:$L$52,5,FALSE)*m2k))/'TCO Inputs'!$AZ$84</f>
        <v>186.00708711785958</v>
      </c>
      <c r="I197" s="125">
        <f>I85/293.07*(1/(VLOOKUP($A197,'Fuel economy adjusted factor'!$A$2:$L$52,5,FALSE)*m2k))/'TCO Inputs'!$AZ$84</f>
        <v>186.00708711785958</v>
      </c>
      <c r="J197" s="125">
        <f>J85/293.07*(1/(VLOOKUP($A197,'Fuel economy adjusted factor'!$A$2:$L$52,5,FALSE)*m2k))/'TCO Inputs'!$AZ$84</f>
        <v>186.00708711785958</v>
      </c>
      <c r="K197" s="125">
        <f>K85/293.07*(1/(VLOOKUP($A197,'Fuel economy adjusted factor'!$A$2:$L$52,5,FALSE)*m2k))/'TCO Inputs'!$AZ$84</f>
        <v>186.00708711785958</v>
      </c>
      <c r="L197" s="125">
        <f>L85/293.07*(1/(VLOOKUP($A197,'Fuel economy adjusted factor'!$A$2:$L$52,5,FALSE)*m2k))/'TCO Inputs'!$AZ$84</f>
        <v>186.00708711785958</v>
      </c>
      <c r="M197" s="125">
        <f>M85/293.07*(1/(VLOOKUP($A197,'Fuel economy adjusted factor'!$A$2:$L$52,5,FALSE)*m2k))/'TCO Inputs'!$AZ$84</f>
        <v>186.00708711785958</v>
      </c>
      <c r="N197" s="125">
        <f>N85/293.07*(1/(VLOOKUP($A197,'Fuel economy adjusted factor'!$A$2:$L$52,5,FALSE)*m2k))/'TCO Inputs'!$AZ$84</f>
        <v>186.00708711785958</v>
      </c>
      <c r="O197" s="125">
        <f>O85/293.07*(1/(VLOOKUP($A197,'Fuel economy adjusted factor'!$A$2:$L$52,5,FALSE)*m2k))/'TCO Inputs'!$AZ$84</f>
        <v>186.00708711785958</v>
      </c>
      <c r="P197" s="125">
        <f>P85/293.07*(1/(VLOOKUP($A197,'Fuel economy adjusted factor'!$A$2:$L$52,5,FALSE)*m2k))/'TCO Inputs'!$AZ$84</f>
        <v>186.00708711785958</v>
      </c>
      <c r="Q197" s="125">
        <f>Q85/293.07*(1/(VLOOKUP($A197,'Fuel economy adjusted factor'!$A$2:$L$52,5,FALSE)*m2k))/'TCO Inputs'!$AZ$84</f>
        <v>186.00708711785958</v>
      </c>
      <c r="R197" s="125">
        <f>R85/293.07*(1/(VLOOKUP($A197,'Fuel economy adjusted factor'!$A$2:$L$52,5,FALSE)*m2k))/'TCO Inputs'!$AZ$84</f>
        <v>186.00708711785958</v>
      </c>
      <c r="S197" s="125">
        <f>S85/293.07*(1/(VLOOKUP($A197,'Fuel economy adjusted factor'!$A$2:$L$52,5,FALSE)*m2k))/'TCO Inputs'!$AZ$84</f>
        <v>186.00708711785958</v>
      </c>
      <c r="T197" s="125">
        <f>T85/293.07*(1/(VLOOKUP($A197,'Fuel economy adjusted factor'!$A$2:$L$52,5,FALSE)*m2k))/'TCO Inputs'!$AZ$84</f>
        <v>186.00708711785958</v>
      </c>
      <c r="U197" s="125">
        <f>U85/293.07*(1/(VLOOKUP($A197,'Fuel economy adjusted factor'!$A$2:$L$52,5,FALSE)*m2k))/'TCO Inputs'!$AZ$84</f>
        <v>186.00708711785958</v>
      </c>
      <c r="V197" s="125">
        <f>V85/293.07*(1/(VLOOKUP($A197,'Fuel economy adjusted factor'!$A$2:$L$52,5,FALSE)*m2k))/'TCO Inputs'!$AZ$84</f>
        <v>186.00708711785958</v>
      </c>
      <c r="W197" s="125">
        <f>W85/293.07*(1/(VLOOKUP($A197,'Fuel economy adjusted factor'!$A$2:$L$52,5,FALSE)*m2k))/'TCO Inputs'!$AZ$84</f>
        <v>186.00708711785958</v>
      </c>
      <c r="X197" s="125">
        <f>X85/293.07*(1/(VLOOKUP($A197,'Fuel economy adjusted factor'!$A$2:$L$52,5,FALSE)*m2k))/'TCO Inputs'!$AZ$84</f>
        <v>186.00708711785958</v>
      </c>
      <c r="Y197" s="125">
        <f>Y85/293.07*(1/(VLOOKUP($A197,'Fuel economy adjusted factor'!$A$2:$L$52,5,FALSE)*m2k))/'TCO Inputs'!$AZ$84</f>
        <v>186.00708711785958</v>
      </c>
      <c r="Z197" s="125">
        <f>Z85/293.07*(1/(VLOOKUP($A197,'Fuel economy adjusted factor'!$A$2:$L$52,5,FALSE)*m2k))/'TCO Inputs'!$AZ$84</f>
        <v>186.00708711785958</v>
      </c>
      <c r="AA197" s="125">
        <f>AA85/293.07*(1/(VLOOKUP($A197,'Fuel economy adjusted factor'!$A$2:$L$52,5,FALSE)*m2k))/'TCO Inputs'!$AZ$84</f>
        <v>186.00708711785958</v>
      </c>
      <c r="AB197" s="125">
        <f>AB85/293.07*(1/(VLOOKUP($A197,'Fuel economy adjusted factor'!$A$2:$L$52,5,FALSE)*m2k))/'TCO Inputs'!$AZ$84</f>
        <v>186.00708711785958</v>
      </c>
      <c r="AC197" s="125">
        <f>AC85/293.07*(1/(VLOOKUP($A197,'Fuel economy adjusted factor'!$A$2:$L$52,5,FALSE)*m2k))/'TCO Inputs'!$AZ$84</f>
        <v>186.00708711785958</v>
      </c>
      <c r="AD197" s="98" cm="1">
        <f t="array" ref="AD197">SUMPRODUCT(INDEX(B197:AC197,,'TCO Inputs'!$AZ$12-2023+_xlfn.SEQUENCE('TCO Inputs'!$AZ$13))*INDEX('VKT US'!C89:AA89,,_xlfn.SEQUENCE('TCO Inputs'!$AZ$13)))*m2k*CONVERT(0.9072,"g","ton")</f>
        <v>58.377762452720738</v>
      </c>
      <c r="AF197" s="123" t="s">
        <v>211</v>
      </c>
      <c r="AG197" s="125">
        <f>AG85/293.07*(1/(VLOOKUP($AF197,'Fuel economy adjusted factor'!$A$2:$L$52,5,FALSE)*m2k))/'TCO Inputs'!$AZ$84</f>
        <v>215.47812634778188</v>
      </c>
      <c r="AH197" s="125">
        <f>AH85/293.07*(1/(VLOOKUP($AF197,'Fuel economy adjusted factor'!$A$2:$L$52,5,FALSE)*m2k))/'TCO Inputs'!$AZ$84</f>
        <v>215.47812634778188</v>
      </c>
      <c r="AI197" s="125">
        <f>AI85/293.07*(1/(VLOOKUP($AF197,'Fuel economy adjusted factor'!$A$2:$L$52,5,FALSE)*m2k))/'TCO Inputs'!$AZ$84</f>
        <v>215.47812634778188</v>
      </c>
      <c r="AJ197" s="125">
        <f>AJ85/293.07*(1/(VLOOKUP($AF197,'Fuel economy adjusted factor'!$A$2:$L$52,5,FALSE)*m2k))/'TCO Inputs'!$AZ$84</f>
        <v>215.47812634778188</v>
      </c>
      <c r="AK197" s="125">
        <f>AK85/293.07*(1/(VLOOKUP($AF197,'Fuel economy adjusted factor'!$A$2:$L$52,5,FALSE)*m2k))/'TCO Inputs'!$AZ$84</f>
        <v>215.47812634778188</v>
      </c>
      <c r="AL197" s="125">
        <f>AL85/293.07*(1/(VLOOKUP($AF197,'Fuel economy adjusted factor'!$A$2:$L$52,5,FALSE)*m2k))/'TCO Inputs'!$AZ$84</f>
        <v>215.47812634778188</v>
      </c>
      <c r="AM197" s="125">
        <f>AM85/293.07*(1/(VLOOKUP($AF197,'Fuel economy adjusted factor'!$A$2:$L$52,5,FALSE)*m2k))/'TCO Inputs'!$AZ$84</f>
        <v>215.47812634778188</v>
      </c>
      <c r="AN197" s="125">
        <f>AN85/293.07*(1/(VLOOKUP($AF197,'Fuel economy adjusted factor'!$A$2:$L$52,5,FALSE)*m2k))/'TCO Inputs'!$AZ$84</f>
        <v>215.47812634778188</v>
      </c>
      <c r="AO197" s="125">
        <f>AO85/293.07*(1/(VLOOKUP($AF197,'Fuel economy adjusted factor'!$A$2:$L$52,5,FALSE)*m2k))/'TCO Inputs'!$AZ$84</f>
        <v>215.47812634778188</v>
      </c>
      <c r="AP197" s="125">
        <f>AP85/293.07*(1/(VLOOKUP($AF197,'Fuel economy adjusted factor'!$A$2:$L$52,5,FALSE)*m2k))/'TCO Inputs'!$AZ$84</f>
        <v>215.47812634778188</v>
      </c>
      <c r="AQ197" s="125">
        <f>AQ85/293.07*(1/(VLOOKUP($AF197,'Fuel economy adjusted factor'!$A$2:$L$52,5,FALSE)*m2k))/'TCO Inputs'!$AZ$84</f>
        <v>215.47812634778188</v>
      </c>
      <c r="AR197" s="125">
        <f>AR85/293.07*(1/(VLOOKUP($AF197,'Fuel economy adjusted factor'!$A$2:$L$52,5,FALSE)*m2k))/'TCO Inputs'!$AZ$84</f>
        <v>215.47812634778188</v>
      </c>
      <c r="AS197" s="125">
        <f>AS85/293.07*(1/(VLOOKUP($AF197,'Fuel economy adjusted factor'!$A$2:$L$52,5,FALSE)*m2k))/'TCO Inputs'!$AZ$84</f>
        <v>215.47812634778188</v>
      </c>
      <c r="AT197" s="125">
        <f>AT85/293.07*(1/(VLOOKUP($AF197,'Fuel economy adjusted factor'!$A$2:$L$52,5,FALSE)*m2k))/'TCO Inputs'!$AZ$84</f>
        <v>215.47812634778188</v>
      </c>
      <c r="AU197" s="125">
        <f>AU85/293.07*(1/(VLOOKUP($AF197,'Fuel economy adjusted factor'!$A$2:$L$52,5,FALSE)*m2k))/'TCO Inputs'!$AZ$84</f>
        <v>215.47812634778188</v>
      </c>
      <c r="AV197" s="125">
        <f>AV85/293.07*(1/(VLOOKUP($AF197,'Fuel economy adjusted factor'!$A$2:$L$52,5,FALSE)*m2k))/'TCO Inputs'!$AZ$84</f>
        <v>215.47812634778188</v>
      </c>
      <c r="AW197" s="125">
        <f>AW85/293.07*(1/(VLOOKUP($AF197,'Fuel economy adjusted factor'!$A$2:$L$52,5,FALSE)*m2k))/'TCO Inputs'!$AZ$84</f>
        <v>215.47812634778188</v>
      </c>
      <c r="AX197" s="125">
        <f>AX85/293.07*(1/(VLOOKUP($AF197,'Fuel economy adjusted factor'!$A$2:$L$52,5,FALSE)*m2k))/'TCO Inputs'!$AZ$84</f>
        <v>215.47812634778188</v>
      </c>
      <c r="AY197" s="125">
        <f>AY85/293.07*(1/(VLOOKUP($AF197,'Fuel economy adjusted factor'!$A$2:$L$52,5,FALSE)*m2k))/'TCO Inputs'!$AZ$84</f>
        <v>215.47812634778188</v>
      </c>
      <c r="AZ197" s="125">
        <f>AZ85/293.07*(1/(VLOOKUP($AF197,'Fuel economy adjusted factor'!$A$2:$L$52,5,FALSE)*m2k))/'TCO Inputs'!$AZ$84</f>
        <v>215.47812634778188</v>
      </c>
      <c r="BA197" s="125">
        <f>BA85/293.07*(1/(VLOOKUP($AF197,'Fuel economy adjusted factor'!$A$2:$L$52,5,FALSE)*m2k))/'TCO Inputs'!$AZ$84</f>
        <v>215.47812634778188</v>
      </c>
      <c r="BB197" s="125">
        <f>BB85/293.07*(1/(VLOOKUP($AF197,'Fuel economy adjusted factor'!$A$2:$L$52,5,FALSE)*m2k))/'TCO Inputs'!$AZ$84</f>
        <v>215.47812634778188</v>
      </c>
      <c r="BC197" s="125">
        <f>BC85/293.07*(1/(VLOOKUP($AF197,'Fuel economy adjusted factor'!$A$2:$L$52,5,FALSE)*m2k))/'TCO Inputs'!$AZ$84</f>
        <v>215.47812634778188</v>
      </c>
      <c r="BD197" s="125">
        <f>BD85/293.07*(1/(VLOOKUP($AF197,'Fuel economy adjusted factor'!$A$2:$L$52,5,FALSE)*m2k))/'TCO Inputs'!$AZ$84</f>
        <v>215.47812634778188</v>
      </c>
      <c r="BE197" s="125">
        <f>BE85/293.07*(1/(VLOOKUP($AF197,'Fuel economy adjusted factor'!$A$2:$L$52,5,FALSE)*m2k))/'TCO Inputs'!$AZ$84</f>
        <v>215.47812634778188</v>
      </c>
      <c r="BF197" s="125">
        <f>BF85/293.07*(1/(VLOOKUP($AF197,'Fuel economy adjusted factor'!$A$2:$L$52,5,FALSE)*m2k))/'TCO Inputs'!$AZ$84</f>
        <v>215.47812634778188</v>
      </c>
      <c r="BG197" s="125">
        <f>BG85/293.07*(1/(VLOOKUP($AF197,'Fuel economy adjusted factor'!$A$2:$L$52,5,FALSE)*m2k))/'TCO Inputs'!$AZ$84</f>
        <v>215.47812634778188</v>
      </c>
      <c r="BH197" s="125">
        <f>BH85/293.07*(1/(VLOOKUP($AF197,'Fuel economy adjusted factor'!$A$2:$L$52,5,FALSE)*m2k))/'TCO Inputs'!$AZ$84</f>
        <v>215.47812634778188</v>
      </c>
      <c r="BI197" s="98" cm="1">
        <f t="array" ref="BI197">SUMPRODUCT(INDEX(AG197:BH197,,'TCO Inputs'!$AZ$12-2023+_xlfn.SEQUENCE('TCO Inputs'!$AZ$13))*INDEX('VKT US'!C89:AA89,,_xlfn.SEQUENCE('TCO Inputs'!$AZ$13)))*m2k*CONVERT(0.9072,"g","ton")</f>
        <v>67.6271590969953</v>
      </c>
    </row>
    <row r="198" spans="1:61" x14ac:dyDescent="0.25">
      <c r="A198" s="123" t="s">
        <v>215</v>
      </c>
      <c r="B198" s="125">
        <f>B86/293.07*(1/(VLOOKUP($A198,'Fuel economy adjusted factor'!$A$2:$L$52,5,FALSE)*m2k))/'TCO Inputs'!$AZ$84</f>
        <v>128.12480410022133</v>
      </c>
      <c r="C198" s="125">
        <f>C86/293.07*(1/(VLOOKUP($A198,'Fuel economy adjusted factor'!$A$2:$L$52,5,FALSE)*m2k))/'TCO Inputs'!$AZ$84</f>
        <v>128.12480410022133</v>
      </c>
      <c r="D198" s="125">
        <f>D86/293.07*(1/(VLOOKUP($A198,'Fuel economy adjusted factor'!$A$2:$L$52,5,FALSE)*m2k))/'TCO Inputs'!$AZ$84</f>
        <v>128.12480410022133</v>
      </c>
      <c r="E198" s="125">
        <f>E86/293.07*(1/(VLOOKUP($A198,'Fuel economy adjusted factor'!$A$2:$L$52,5,FALSE)*m2k))/'TCO Inputs'!$AZ$84</f>
        <v>128.12480410022133</v>
      </c>
      <c r="F198" s="125">
        <f>F86/293.07*(1/(VLOOKUP($A198,'Fuel economy adjusted factor'!$A$2:$L$52,5,FALSE)*m2k))/'TCO Inputs'!$AZ$84</f>
        <v>128.12480410022133</v>
      </c>
      <c r="G198" s="125">
        <f>G86/293.07*(1/(VLOOKUP($A198,'Fuel economy adjusted factor'!$A$2:$L$52,5,FALSE)*m2k))/'TCO Inputs'!$AZ$84</f>
        <v>128.12480410022133</v>
      </c>
      <c r="H198" s="125">
        <f>H86/293.07*(1/(VLOOKUP($A198,'Fuel economy adjusted factor'!$A$2:$L$52,5,FALSE)*m2k))/'TCO Inputs'!$AZ$84</f>
        <v>128.12480410022133</v>
      </c>
      <c r="I198" s="125">
        <f>I86/293.07*(1/(VLOOKUP($A198,'Fuel economy adjusted factor'!$A$2:$L$52,5,FALSE)*m2k))/'TCO Inputs'!$AZ$84</f>
        <v>128.12480410022133</v>
      </c>
      <c r="J198" s="125">
        <f>J86/293.07*(1/(VLOOKUP($A198,'Fuel economy adjusted factor'!$A$2:$L$52,5,FALSE)*m2k))/'TCO Inputs'!$AZ$84</f>
        <v>128.12480410022133</v>
      </c>
      <c r="K198" s="125">
        <f>K86/293.07*(1/(VLOOKUP($A198,'Fuel economy adjusted factor'!$A$2:$L$52,5,FALSE)*m2k))/'TCO Inputs'!$AZ$84</f>
        <v>128.12480410022133</v>
      </c>
      <c r="L198" s="125">
        <f>L86/293.07*(1/(VLOOKUP($A198,'Fuel economy adjusted factor'!$A$2:$L$52,5,FALSE)*m2k))/'TCO Inputs'!$AZ$84</f>
        <v>128.12480410022133</v>
      </c>
      <c r="M198" s="125">
        <f>M86/293.07*(1/(VLOOKUP($A198,'Fuel economy adjusted factor'!$A$2:$L$52,5,FALSE)*m2k))/'TCO Inputs'!$AZ$84</f>
        <v>128.12480410022133</v>
      </c>
      <c r="N198" s="125">
        <f>N86/293.07*(1/(VLOOKUP($A198,'Fuel economy adjusted factor'!$A$2:$L$52,5,FALSE)*m2k))/'TCO Inputs'!$AZ$84</f>
        <v>128.12480410022133</v>
      </c>
      <c r="O198" s="125">
        <f>O86/293.07*(1/(VLOOKUP($A198,'Fuel economy adjusted factor'!$A$2:$L$52,5,FALSE)*m2k))/'TCO Inputs'!$AZ$84</f>
        <v>128.12480410022133</v>
      </c>
      <c r="P198" s="125">
        <f>P86/293.07*(1/(VLOOKUP($A198,'Fuel economy adjusted factor'!$A$2:$L$52,5,FALSE)*m2k))/'TCO Inputs'!$AZ$84</f>
        <v>128.12480410022133</v>
      </c>
      <c r="Q198" s="125">
        <f>Q86/293.07*(1/(VLOOKUP($A198,'Fuel economy adjusted factor'!$A$2:$L$52,5,FALSE)*m2k))/'TCO Inputs'!$AZ$84</f>
        <v>128.12480410022133</v>
      </c>
      <c r="R198" s="125">
        <f>R86/293.07*(1/(VLOOKUP($A198,'Fuel economy adjusted factor'!$A$2:$L$52,5,FALSE)*m2k))/'TCO Inputs'!$AZ$84</f>
        <v>128.12480410022133</v>
      </c>
      <c r="S198" s="125">
        <f>S86/293.07*(1/(VLOOKUP($A198,'Fuel economy adjusted factor'!$A$2:$L$52,5,FALSE)*m2k))/'TCO Inputs'!$AZ$84</f>
        <v>128.12480410022133</v>
      </c>
      <c r="T198" s="125">
        <f>T86/293.07*(1/(VLOOKUP($A198,'Fuel economy adjusted factor'!$A$2:$L$52,5,FALSE)*m2k))/'TCO Inputs'!$AZ$84</f>
        <v>128.12480410022133</v>
      </c>
      <c r="U198" s="125">
        <f>U86/293.07*(1/(VLOOKUP($A198,'Fuel economy adjusted factor'!$A$2:$L$52,5,FALSE)*m2k))/'TCO Inputs'!$AZ$84</f>
        <v>128.12480410022133</v>
      </c>
      <c r="V198" s="125">
        <f>V86/293.07*(1/(VLOOKUP($A198,'Fuel economy adjusted factor'!$A$2:$L$52,5,FALSE)*m2k))/'TCO Inputs'!$AZ$84</f>
        <v>128.12480410022133</v>
      </c>
      <c r="W198" s="125">
        <f>W86/293.07*(1/(VLOOKUP($A198,'Fuel economy adjusted factor'!$A$2:$L$52,5,FALSE)*m2k))/'TCO Inputs'!$AZ$84</f>
        <v>128.12480410022133</v>
      </c>
      <c r="X198" s="125">
        <f>X86/293.07*(1/(VLOOKUP($A198,'Fuel economy adjusted factor'!$A$2:$L$52,5,FALSE)*m2k))/'TCO Inputs'!$AZ$84</f>
        <v>128.12480410022133</v>
      </c>
      <c r="Y198" s="125">
        <f>Y86/293.07*(1/(VLOOKUP($A198,'Fuel economy adjusted factor'!$A$2:$L$52,5,FALSE)*m2k))/'TCO Inputs'!$AZ$84</f>
        <v>128.12480410022133</v>
      </c>
      <c r="Z198" s="125">
        <f>Z86/293.07*(1/(VLOOKUP($A198,'Fuel economy adjusted factor'!$A$2:$L$52,5,FALSE)*m2k))/'TCO Inputs'!$AZ$84</f>
        <v>128.12480410022133</v>
      </c>
      <c r="AA198" s="125">
        <f>AA86/293.07*(1/(VLOOKUP($A198,'Fuel economy adjusted factor'!$A$2:$L$52,5,FALSE)*m2k))/'TCO Inputs'!$AZ$84</f>
        <v>128.12480410022133</v>
      </c>
      <c r="AB198" s="125">
        <f>AB86/293.07*(1/(VLOOKUP($A198,'Fuel economy adjusted factor'!$A$2:$L$52,5,FALSE)*m2k))/'TCO Inputs'!$AZ$84</f>
        <v>128.12480410022133</v>
      </c>
      <c r="AC198" s="125">
        <f>AC86/293.07*(1/(VLOOKUP($A198,'Fuel economy adjusted factor'!$A$2:$L$52,5,FALSE)*m2k))/'TCO Inputs'!$AZ$84</f>
        <v>128.12480410022133</v>
      </c>
      <c r="AD198" s="98" cm="1">
        <f t="array" ref="AD198">SUMPRODUCT(INDEX(B198:AC198,,'TCO Inputs'!$AZ$12-2023+_xlfn.SEQUENCE('TCO Inputs'!$AZ$13))*INDEX('VKT US'!C90:AA90,,_xlfn.SEQUENCE('TCO Inputs'!$AZ$13)))*m2k*CONVERT(0.9072,"g","ton")</f>
        <v>37.963461134323047</v>
      </c>
      <c r="AF198" s="123" t="s">
        <v>215</v>
      </c>
      <c r="AG198" s="125">
        <f>AG86/293.07*(1/(VLOOKUP($AF198,'Fuel economy adjusted factor'!$A$2:$L$52,5,FALSE)*m2k))/'TCO Inputs'!$AZ$84</f>
        <v>148.42495065093399</v>
      </c>
      <c r="AH198" s="125">
        <f>AH86/293.07*(1/(VLOOKUP($AF198,'Fuel economy adjusted factor'!$A$2:$L$52,5,FALSE)*m2k))/'TCO Inputs'!$AZ$84</f>
        <v>148.42495065093399</v>
      </c>
      <c r="AI198" s="125">
        <f>AI86/293.07*(1/(VLOOKUP($AF198,'Fuel economy adjusted factor'!$A$2:$L$52,5,FALSE)*m2k))/'TCO Inputs'!$AZ$84</f>
        <v>148.42495065093399</v>
      </c>
      <c r="AJ198" s="125">
        <f>AJ86/293.07*(1/(VLOOKUP($AF198,'Fuel economy adjusted factor'!$A$2:$L$52,5,FALSE)*m2k))/'TCO Inputs'!$AZ$84</f>
        <v>148.42495065093399</v>
      </c>
      <c r="AK198" s="125">
        <f>AK86/293.07*(1/(VLOOKUP($AF198,'Fuel economy adjusted factor'!$A$2:$L$52,5,FALSE)*m2k))/'TCO Inputs'!$AZ$84</f>
        <v>148.42495065093399</v>
      </c>
      <c r="AL198" s="125">
        <f>AL86/293.07*(1/(VLOOKUP($AF198,'Fuel economy adjusted factor'!$A$2:$L$52,5,FALSE)*m2k))/'TCO Inputs'!$AZ$84</f>
        <v>148.42495065093399</v>
      </c>
      <c r="AM198" s="125">
        <f>AM86/293.07*(1/(VLOOKUP($AF198,'Fuel economy adjusted factor'!$A$2:$L$52,5,FALSE)*m2k))/'TCO Inputs'!$AZ$84</f>
        <v>148.42495065093399</v>
      </c>
      <c r="AN198" s="125">
        <f>AN86/293.07*(1/(VLOOKUP($AF198,'Fuel economy adjusted factor'!$A$2:$L$52,5,FALSE)*m2k))/'TCO Inputs'!$AZ$84</f>
        <v>148.42495065093399</v>
      </c>
      <c r="AO198" s="125">
        <f>AO86/293.07*(1/(VLOOKUP($AF198,'Fuel economy adjusted factor'!$A$2:$L$52,5,FALSE)*m2k))/'TCO Inputs'!$AZ$84</f>
        <v>148.42495065093399</v>
      </c>
      <c r="AP198" s="125">
        <f>AP86/293.07*(1/(VLOOKUP($AF198,'Fuel economy adjusted factor'!$A$2:$L$52,5,FALSE)*m2k))/'TCO Inputs'!$AZ$84</f>
        <v>148.42495065093399</v>
      </c>
      <c r="AQ198" s="125">
        <f>AQ86/293.07*(1/(VLOOKUP($AF198,'Fuel economy adjusted factor'!$A$2:$L$52,5,FALSE)*m2k))/'TCO Inputs'!$AZ$84</f>
        <v>148.42495065093399</v>
      </c>
      <c r="AR198" s="125">
        <f>AR86/293.07*(1/(VLOOKUP($AF198,'Fuel economy adjusted factor'!$A$2:$L$52,5,FALSE)*m2k))/'TCO Inputs'!$AZ$84</f>
        <v>148.42495065093399</v>
      </c>
      <c r="AS198" s="125">
        <f>AS86/293.07*(1/(VLOOKUP($AF198,'Fuel economy adjusted factor'!$A$2:$L$52,5,FALSE)*m2k))/'TCO Inputs'!$AZ$84</f>
        <v>148.42495065093399</v>
      </c>
      <c r="AT198" s="125">
        <f>AT86/293.07*(1/(VLOOKUP($AF198,'Fuel economy adjusted factor'!$A$2:$L$52,5,FALSE)*m2k))/'TCO Inputs'!$AZ$84</f>
        <v>148.42495065093399</v>
      </c>
      <c r="AU198" s="125">
        <f>AU86/293.07*(1/(VLOOKUP($AF198,'Fuel economy adjusted factor'!$A$2:$L$52,5,FALSE)*m2k))/'TCO Inputs'!$AZ$84</f>
        <v>148.42495065093399</v>
      </c>
      <c r="AV198" s="125">
        <f>AV86/293.07*(1/(VLOOKUP($AF198,'Fuel economy adjusted factor'!$A$2:$L$52,5,FALSE)*m2k))/'TCO Inputs'!$AZ$84</f>
        <v>148.42495065093399</v>
      </c>
      <c r="AW198" s="125">
        <f>AW86/293.07*(1/(VLOOKUP($AF198,'Fuel economy adjusted factor'!$A$2:$L$52,5,FALSE)*m2k))/'TCO Inputs'!$AZ$84</f>
        <v>148.42495065093399</v>
      </c>
      <c r="AX198" s="125">
        <f>AX86/293.07*(1/(VLOOKUP($AF198,'Fuel economy adjusted factor'!$A$2:$L$52,5,FALSE)*m2k))/'TCO Inputs'!$AZ$84</f>
        <v>148.42495065093399</v>
      </c>
      <c r="AY198" s="125">
        <f>AY86/293.07*(1/(VLOOKUP($AF198,'Fuel economy adjusted factor'!$A$2:$L$52,5,FALSE)*m2k))/'TCO Inputs'!$AZ$84</f>
        <v>148.42495065093399</v>
      </c>
      <c r="AZ198" s="125">
        <f>AZ86/293.07*(1/(VLOOKUP($AF198,'Fuel economy adjusted factor'!$A$2:$L$52,5,FALSE)*m2k))/'TCO Inputs'!$AZ$84</f>
        <v>148.42495065093399</v>
      </c>
      <c r="BA198" s="125">
        <f>BA86/293.07*(1/(VLOOKUP($AF198,'Fuel economy adjusted factor'!$A$2:$L$52,5,FALSE)*m2k))/'TCO Inputs'!$AZ$84</f>
        <v>148.42495065093399</v>
      </c>
      <c r="BB198" s="125">
        <f>BB86/293.07*(1/(VLOOKUP($AF198,'Fuel economy adjusted factor'!$A$2:$L$52,5,FALSE)*m2k))/'TCO Inputs'!$AZ$84</f>
        <v>148.42495065093399</v>
      </c>
      <c r="BC198" s="125">
        <f>BC86/293.07*(1/(VLOOKUP($AF198,'Fuel economy adjusted factor'!$A$2:$L$52,5,FALSE)*m2k))/'TCO Inputs'!$AZ$84</f>
        <v>148.42495065093399</v>
      </c>
      <c r="BD198" s="125">
        <f>BD86/293.07*(1/(VLOOKUP($AF198,'Fuel economy adjusted factor'!$A$2:$L$52,5,FALSE)*m2k))/'TCO Inputs'!$AZ$84</f>
        <v>148.42495065093399</v>
      </c>
      <c r="BE198" s="125">
        <f>BE86/293.07*(1/(VLOOKUP($AF198,'Fuel economy adjusted factor'!$A$2:$L$52,5,FALSE)*m2k))/'TCO Inputs'!$AZ$84</f>
        <v>148.42495065093399</v>
      </c>
      <c r="BF198" s="125">
        <f>BF86/293.07*(1/(VLOOKUP($AF198,'Fuel economy adjusted factor'!$A$2:$L$52,5,FALSE)*m2k))/'TCO Inputs'!$AZ$84</f>
        <v>148.42495065093399</v>
      </c>
      <c r="BG198" s="125">
        <f>BG86/293.07*(1/(VLOOKUP($AF198,'Fuel economy adjusted factor'!$A$2:$L$52,5,FALSE)*m2k))/'TCO Inputs'!$AZ$84</f>
        <v>148.42495065093399</v>
      </c>
      <c r="BH198" s="125">
        <f>BH86/293.07*(1/(VLOOKUP($AF198,'Fuel economy adjusted factor'!$A$2:$L$52,5,FALSE)*m2k))/'TCO Inputs'!$AZ$84</f>
        <v>148.42495065093399</v>
      </c>
      <c r="BI198" s="98" cm="1">
        <f t="array" ref="BI198">SUMPRODUCT(INDEX(AG198:BH198,,'TCO Inputs'!$AZ$12-2023+_xlfn.SEQUENCE('TCO Inputs'!$AZ$13))*INDEX('VKT US'!C90:AA90,,_xlfn.SEQUENCE('TCO Inputs'!$AZ$13)))*m2k*CONVERT(0.9072,"g","ton")</f>
        <v>43.978407498621237</v>
      </c>
    </row>
    <row r="199" spans="1:61" x14ac:dyDescent="0.25">
      <c r="A199" s="123" t="s">
        <v>212</v>
      </c>
      <c r="B199" s="125">
        <f>B87/293.07*(1/(VLOOKUP($A199,'Fuel economy adjusted factor'!$A$2:$L$52,5,FALSE)*m2k))/'TCO Inputs'!$AZ$84</f>
        <v>56.821471893585667</v>
      </c>
      <c r="C199" s="125">
        <f>C87/293.07*(1/(VLOOKUP($A199,'Fuel economy adjusted factor'!$A$2:$L$52,5,FALSE)*m2k))/'TCO Inputs'!$AZ$84</f>
        <v>56.821471893585667</v>
      </c>
      <c r="D199" s="125">
        <f>D87/293.07*(1/(VLOOKUP($A199,'Fuel economy adjusted factor'!$A$2:$L$52,5,FALSE)*m2k))/'TCO Inputs'!$AZ$84</f>
        <v>56.821471893585667</v>
      </c>
      <c r="E199" s="125">
        <f>E87/293.07*(1/(VLOOKUP($A199,'Fuel economy adjusted factor'!$A$2:$L$52,5,FALSE)*m2k))/'TCO Inputs'!$AZ$84</f>
        <v>56.821471893585667</v>
      </c>
      <c r="F199" s="125">
        <f>F87/293.07*(1/(VLOOKUP($A199,'Fuel economy adjusted factor'!$A$2:$L$52,5,FALSE)*m2k))/'TCO Inputs'!$AZ$84</f>
        <v>56.821471893585667</v>
      </c>
      <c r="G199" s="125">
        <f>G87/293.07*(1/(VLOOKUP($A199,'Fuel economy adjusted factor'!$A$2:$L$52,5,FALSE)*m2k))/'TCO Inputs'!$AZ$84</f>
        <v>56.821471893585667</v>
      </c>
      <c r="H199" s="125">
        <f>H87/293.07*(1/(VLOOKUP($A199,'Fuel economy adjusted factor'!$A$2:$L$52,5,FALSE)*m2k))/'TCO Inputs'!$AZ$84</f>
        <v>56.821471893585667</v>
      </c>
      <c r="I199" s="125">
        <f>I87/293.07*(1/(VLOOKUP($A199,'Fuel economy adjusted factor'!$A$2:$L$52,5,FALSE)*m2k))/'TCO Inputs'!$AZ$84</f>
        <v>56.821471893585667</v>
      </c>
      <c r="J199" s="125">
        <f>J87/293.07*(1/(VLOOKUP($A199,'Fuel economy adjusted factor'!$A$2:$L$52,5,FALSE)*m2k))/'TCO Inputs'!$AZ$84</f>
        <v>56.821471893585667</v>
      </c>
      <c r="K199" s="125">
        <f>K87/293.07*(1/(VLOOKUP($A199,'Fuel economy adjusted factor'!$A$2:$L$52,5,FALSE)*m2k))/'TCO Inputs'!$AZ$84</f>
        <v>56.821471893585667</v>
      </c>
      <c r="L199" s="125">
        <f>L87/293.07*(1/(VLOOKUP($A199,'Fuel economy adjusted factor'!$A$2:$L$52,5,FALSE)*m2k))/'TCO Inputs'!$AZ$84</f>
        <v>56.821471893585667</v>
      </c>
      <c r="M199" s="125">
        <f>M87/293.07*(1/(VLOOKUP($A199,'Fuel economy adjusted factor'!$A$2:$L$52,5,FALSE)*m2k))/'TCO Inputs'!$AZ$84</f>
        <v>56.821471893585667</v>
      </c>
      <c r="N199" s="125">
        <f>N87/293.07*(1/(VLOOKUP($A199,'Fuel economy adjusted factor'!$A$2:$L$52,5,FALSE)*m2k))/'TCO Inputs'!$AZ$84</f>
        <v>56.821471893585667</v>
      </c>
      <c r="O199" s="125">
        <f>O87/293.07*(1/(VLOOKUP($A199,'Fuel economy adjusted factor'!$A$2:$L$52,5,FALSE)*m2k))/'TCO Inputs'!$AZ$84</f>
        <v>56.821471893585667</v>
      </c>
      <c r="P199" s="125">
        <f>P87/293.07*(1/(VLOOKUP($A199,'Fuel economy adjusted factor'!$A$2:$L$52,5,FALSE)*m2k))/'TCO Inputs'!$AZ$84</f>
        <v>56.821471893585667</v>
      </c>
      <c r="Q199" s="125">
        <f>Q87/293.07*(1/(VLOOKUP($A199,'Fuel economy adjusted factor'!$A$2:$L$52,5,FALSE)*m2k))/'TCO Inputs'!$AZ$84</f>
        <v>56.821471893585667</v>
      </c>
      <c r="R199" s="125">
        <f>R87/293.07*(1/(VLOOKUP($A199,'Fuel economy adjusted factor'!$A$2:$L$52,5,FALSE)*m2k))/'TCO Inputs'!$AZ$84</f>
        <v>56.821471893585667</v>
      </c>
      <c r="S199" s="125">
        <f>S87/293.07*(1/(VLOOKUP($A199,'Fuel economy adjusted factor'!$A$2:$L$52,5,FALSE)*m2k))/'TCO Inputs'!$AZ$84</f>
        <v>56.821471893585667</v>
      </c>
      <c r="T199" s="125">
        <f>T87/293.07*(1/(VLOOKUP($A199,'Fuel economy adjusted factor'!$A$2:$L$52,5,FALSE)*m2k))/'TCO Inputs'!$AZ$84</f>
        <v>56.821471893585667</v>
      </c>
      <c r="U199" s="125">
        <f>U87/293.07*(1/(VLOOKUP($A199,'Fuel economy adjusted factor'!$A$2:$L$52,5,FALSE)*m2k))/'TCO Inputs'!$AZ$84</f>
        <v>56.821471893585667</v>
      </c>
      <c r="V199" s="125">
        <f>V87/293.07*(1/(VLOOKUP($A199,'Fuel economy adjusted factor'!$A$2:$L$52,5,FALSE)*m2k))/'TCO Inputs'!$AZ$84</f>
        <v>56.821471893585667</v>
      </c>
      <c r="W199" s="125">
        <f>W87/293.07*(1/(VLOOKUP($A199,'Fuel economy adjusted factor'!$A$2:$L$52,5,FALSE)*m2k))/'TCO Inputs'!$AZ$84</f>
        <v>56.821471893585667</v>
      </c>
      <c r="X199" s="125">
        <f>X87/293.07*(1/(VLOOKUP($A199,'Fuel economy adjusted factor'!$A$2:$L$52,5,FALSE)*m2k))/'TCO Inputs'!$AZ$84</f>
        <v>56.821471893585667</v>
      </c>
      <c r="Y199" s="125">
        <f>Y87/293.07*(1/(VLOOKUP($A199,'Fuel economy adjusted factor'!$A$2:$L$52,5,FALSE)*m2k))/'TCO Inputs'!$AZ$84</f>
        <v>56.821471893585667</v>
      </c>
      <c r="Z199" s="125">
        <f>Z87/293.07*(1/(VLOOKUP($A199,'Fuel economy adjusted factor'!$A$2:$L$52,5,FALSE)*m2k))/'TCO Inputs'!$AZ$84</f>
        <v>56.821471893585667</v>
      </c>
      <c r="AA199" s="125">
        <f>AA87/293.07*(1/(VLOOKUP($A199,'Fuel economy adjusted factor'!$A$2:$L$52,5,FALSE)*m2k))/'TCO Inputs'!$AZ$84</f>
        <v>56.821471893585667</v>
      </c>
      <c r="AB199" s="125">
        <f>AB87/293.07*(1/(VLOOKUP($A199,'Fuel economy adjusted factor'!$A$2:$L$52,5,FALSE)*m2k))/'TCO Inputs'!$AZ$84</f>
        <v>56.821471893585667</v>
      </c>
      <c r="AC199" s="125">
        <f>AC87/293.07*(1/(VLOOKUP($A199,'Fuel economy adjusted factor'!$A$2:$L$52,5,FALSE)*m2k))/'TCO Inputs'!$AZ$84</f>
        <v>56.821471893585667</v>
      </c>
      <c r="AD199" s="98" cm="1">
        <f t="array" ref="AD199">SUMPRODUCT(INDEX(B199:AC199,,'TCO Inputs'!$AZ$12-2023+_xlfn.SEQUENCE('TCO Inputs'!$AZ$13))*INDEX('VKT US'!C91:AA91,,_xlfn.SEQUENCE('TCO Inputs'!$AZ$13)))*m2k*CONVERT(0.9072,"g","ton")</f>
        <v>13.898064901521401</v>
      </c>
      <c r="AF199" s="123" t="s">
        <v>212</v>
      </c>
      <c r="AG199" s="125">
        <f>AG87/293.07*(1/(VLOOKUP($AF199,'Fuel economy adjusted factor'!$A$2:$L$52,5,FALSE)*m2k))/'TCO Inputs'!$AZ$84</f>
        <v>65.82428922288841</v>
      </c>
      <c r="AH199" s="125">
        <f>AH87/293.07*(1/(VLOOKUP($AF199,'Fuel economy adjusted factor'!$A$2:$L$52,5,FALSE)*m2k))/'TCO Inputs'!$AZ$84</f>
        <v>65.82428922288841</v>
      </c>
      <c r="AI199" s="125">
        <f>AI87/293.07*(1/(VLOOKUP($AF199,'Fuel economy adjusted factor'!$A$2:$L$52,5,FALSE)*m2k))/'TCO Inputs'!$AZ$84</f>
        <v>65.82428922288841</v>
      </c>
      <c r="AJ199" s="125">
        <f>AJ87/293.07*(1/(VLOOKUP($AF199,'Fuel economy adjusted factor'!$A$2:$L$52,5,FALSE)*m2k))/'TCO Inputs'!$AZ$84</f>
        <v>65.82428922288841</v>
      </c>
      <c r="AK199" s="125">
        <f>AK87/293.07*(1/(VLOOKUP($AF199,'Fuel economy adjusted factor'!$A$2:$L$52,5,FALSE)*m2k))/'TCO Inputs'!$AZ$84</f>
        <v>65.82428922288841</v>
      </c>
      <c r="AL199" s="125">
        <f>AL87/293.07*(1/(VLOOKUP($AF199,'Fuel economy adjusted factor'!$A$2:$L$52,5,FALSE)*m2k))/'TCO Inputs'!$AZ$84</f>
        <v>65.82428922288841</v>
      </c>
      <c r="AM199" s="125">
        <f>AM87/293.07*(1/(VLOOKUP($AF199,'Fuel economy adjusted factor'!$A$2:$L$52,5,FALSE)*m2k))/'TCO Inputs'!$AZ$84</f>
        <v>65.82428922288841</v>
      </c>
      <c r="AN199" s="125">
        <f>AN87/293.07*(1/(VLOOKUP($AF199,'Fuel economy adjusted factor'!$A$2:$L$52,5,FALSE)*m2k))/'TCO Inputs'!$AZ$84</f>
        <v>65.82428922288841</v>
      </c>
      <c r="AO199" s="125">
        <f>AO87/293.07*(1/(VLOOKUP($AF199,'Fuel economy adjusted factor'!$A$2:$L$52,5,FALSE)*m2k))/'TCO Inputs'!$AZ$84</f>
        <v>65.82428922288841</v>
      </c>
      <c r="AP199" s="125">
        <f>AP87/293.07*(1/(VLOOKUP($AF199,'Fuel economy adjusted factor'!$A$2:$L$52,5,FALSE)*m2k))/'TCO Inputs'!$AZ$84</f>
        <v>65.82428922288841</v>
      </c>
      <c r="AQ199" s="125">
        <f>AQ87/293.07*(1/(VLOOKUP($AF199,'Fuel economy adjusted factor'!$A$2:$L$52,5,FALSE)*m2k))/'TCO Inputs'!$AZ$84</f>
        <v>65.82428922288841</v>
      </c>
      <c r="AR199" s="125">
        <f>AR87/293.07*(1/(VLOOKUP($AF199,'Fuel economy adjusted factor'!$A$2:$L$52,5,FALSE)*m2k))/'TCO Inputs'!$AZ$84</f>
        <v>65.82428922288841</v>
      </c>
      <c r="AS199" s="125">
        <f>AS87/293.07*(1/(VLOOKUP($AF199,'Fuel economy adjusted factor'!$A$2:$L$52,5,FALSE)*m2k))/'TCO Inputs'!$AZ$84</f>
        <v>65.82428922288841</v>
      </c>
      <c r="AT199" s="125">
        <f>AT87/293.07*(1/(VLOOKUP($AF199,'Fuel economy adjusted factor'!$A$2:$L$52,5,FALSE)*m2k))/'TCO Inputs'!$AZ$84</f>
        <v>65.82428922288841</v>
      </c>
      <c r="AU199" s="125">
        <f>AU87/293.07*(1/(VLOOKUP($AF199,'Fuel economy adjusted factor'!$A$2:$L$52,5,FALSE)*m2k))/'TCO Inputs'!$AZ$84</f>
        <v>65.82428922288841</v>
      </c>
      <c r="AV199" s="125">
        <f>AV87/293.07*(1/(VLOOKUP($AF199,'Fuel economy adjusted factor'!$A$2:$L$52,5,FALSE)*m2k))/'TCO Inputs'!$AZ$84</f>
        <v>65.82428922288841</v>
      </c>
      <c r="AW199" s="125">
        <f>AW87/293.07*(1/(VLOOKUP($AF199,'Fuel economy adjusted factor'!$A$2:$L$52,5,FALSE)*m2k))/'TCO Inputs'!$AZ$84</f>
        <v>65.82428922288841</v>
      </c>
      <c r="AX199" s="125">
        <f>AX87/293.07*(1/(VLOOKUP($AF199,'Fuel economy adjusted factor'!$A$2:$L$52,5,FALSE)*m2k))/'TCO Inputs'!$AZ$84</f>
        <v>65.82428922288841</v>
      </c>
      <c r="AY199" s="125">
        <f>AY87/293.07*(1/(VLOOKUP($AF199,'Fuel economy adjusted factor'!$A$2:$L$52,5,FALSE)*m2k))/'TCO Inputs'!$AZ$84</f>
        <v>65.82428922288841</v>
      </c>
      <c r="AZ199" s="125">
        <f>AZ87/293.07*(1/(VLOOKUP($AF199,'Fuel economy adjusted factor'!$A$2:$L$52,5,FALSE)*m2k))/'TCO Inputs'!$AZ$84</f>
        <v>65.82428922288841</v>
      </c>
      <c r="BA199" s="125">
        <f>BA87/293.07*(1/(VLOOKUP($AF199,'Fuel economy adjusted factor'!$A$2:$L$52,5,FALSE)*m2k))/'TCO Inputs'!$AZ$84</f>
        <v>65.82428922288841</v>
      </c>
      <c r="BB199" s="125">
        <f>BB87/293.07*(1/(VLOOKUP($AF199,'Fuel economy adjusted factor'!$A$2:$L$52,5,FALSE)*m2k))/'TCO Inputs'!$AZ$84</f>
        <v>65.82428922288841</v>
      </c>
      <c r="BC199" s="125">
        <f>BC87/293.07*(1/(VLOOKUP($AF199,'Fuel economy adjusted factor'!$A$2:$L$52,5,FALSE)*m2k))/'TCO Inputs'!$AZ$84</f>
        <v>65.82428922288841</v>
      </c>
      <c r="BD199" s="125">
        <f>BD87/293.07*(1/(VLOOKUP($AF199,'Fuel economy adjusted factor'!$A$2:$L$52,5,FALSE)*m2k))/'TCO Inputs'!$AZ$84</f>
        <v>65.82428922288841</v>
      </c>
      <c r="BE199" s="125">
        <f>BE87/293.07*(1/(VLOOKUP($AF199,'Fuel economy adjusted factor'!$A$2:$L$52,5,FALSE)*m2k))/'TCO Inputs'!$AZ$84</f>
        <v>65.82428922288841</v>
      </c>
      <c r="BF199" s="125">
        <f>BF87/293.07*(1/(VLOOKUP($AF199,'Fuel economy adjusted factor'!$A$2:$L$52,5,FALSE)*m2k))/'TCO Inputs'!$AZ$84</f>
        <v>65.82428922288841</v>
      </c>
      <c r="BG199" s="125">
        <f>BG87/293.07*(1/(VLOOKUP($AF199,'Fuel economy adjusted factor'!$A$2:$L$52,5,FALSE)*m2k))/'TCO Inputs'!$AZ$84</f>
        <v>65.82428922288841</v>
      </c>
      <c r="BH199" s="125">
        <f>BH87/293.07*(1/(VLOOKUP($AF199,'Fuel economy adjusted factor'!$A$2:$L$52,5,FALSE)*m2k))/'TCO Inputs'!$AZ$84</f>
        <v>65.82428922288841</v>
      </c>
      <c r="BI199" s="98" cm="1">
        <f t="array" ref="BI199">SUMPRODUCT(INDEX(AG199:BH199,,'TCO Inputs'!$AZ$12-2023+_xlfn.SEQUENCE('TCO Inputs'!$AZ$13))*INDEX('VKT US'!C91:AA91,,_xlfn.SEQUENCE('TCO Inputs'!$AZ$13)))*m2k*CONVERT(0.9072,"g","ton")</f>
        <v>16.100080009006067</v>
      </c>
    </row>
    <row r="200" spans="1:61" x14ac:dyDescent="0.25">
      <c r="A200" s="123" t="s">
        <v>213</v>
      </c>
      <c r="B200" s="125">
        <f>B88/293.07*(1/(VLOOKUP($A200,'Fuel economy adjusted factor'!$A$2:$L$52,5,FALSE)*m2k))/'TCO Inputs'!$AZ$84</f>
        <v>94.558454140777229</v>
      </c>
      <c r="C200" s="125">
        <f>C88/293.07*(1/(VLOOKUP($A200,'Fuel economy adjusted factor'!$A$2:$L$52,5,FALSE)*m2k))/'TCO Inputs'!$AZ$84</f>
        <v>94.558454140777229</v>
      </c>
      <c r="D200" s="125">
        <f>D88/293.07*(1/(VLOOKUP($A200,'Fuel economy adjusted factor'!$A$2:$L$52,5,FALSE)*m2k))/'TCO Inputs'!$AZ$84</f>
        <v>94.558454140777229</v>
      </c>
      <c r="E200" s="125">
        <f>E88/293.07*(1/(VLOOKUP($A200,'Fuel economy adjusted factor'!$A$2:$L$52,5,FALSE)*m2k))/'TCO Inputs'!$AZ$84</f>
        <v>94.558454140777229</v>
      </c>
      <c r="F200" s="125">
        <f>F88/293.07*(1/(VLOOKUP($A200,'Fuel economy adjusted factor'!$A$2:$L$52,5,FALSE)*m2k))/'TCO Inputs'!$AZ$84</f>
        <v>94.558454140777229</v>
      </c>
      <c r="G200" s="125">
        <f>G88/293.07*(1/(VLOOKUP($A200,'Fuel economy adjusted factor'!$A$2:$L$52,5,FALSE)*m2k))/'TCO Inputs'!$AZ$84</f>
        <v>94.558454140777229</v>
      </c>
      <c r="H200" s="125">
        <f>H88/293.07*(1/(VLOOKUP($A200,'Fuel economy adjusted factor'!$A$2:$L$52,5,FALSE)*m2k))/'TCO Inputs'!$AZ$84</f>
        <v>94.558454140777229</v>
      </c>
      <c r="I200" s="125">
        <f>I88/293.07*(1/(VLOOKUP($A200,'Fuel economy adjusted factor'!$A$2:$L$52,5,FALSE)*m2k))/'TCO Inputs'!$AZ$84</f>
        <v>94.558454140777229</v>
      </c>
      <c r="J200" s="125">
        <f>J88/293.07*(1/(VLOOKUP($A200,'Fuel economy adjusted factor'!$A$2:$L$52,5,FALSE)*m2k))/'TCO Inputs'!$AZ$84</f>
        <v>94.558454140777229</v>
      </c>
      <c r="K200" s="125">
        <f>K88/293.07*(1/(VLOOKUP($A200,'Fuel economy adjusted factor'!$A$2:$L$52,5,FALSE)*m2k))/'TCO Inputs'!$AZ$84</f>
        <v>94.558454140777229</v>
      </c>
      <c r="L200" s="125">
        <f>L88/293.07*(1/(VLOOKUP($A200,'Fuel economy adjusted factor'!$A$2:$L$52,5,FALSE)*m2k))/'TCO Inputs'!$AZ$84</f>
        <v>94.558454140777229</v>
      </c>
      <c r="M200" s="125">
        <f>M88/293.07*(1/(VLOOKUP($A200,'Fuel economy adjusted factor'!$A$2:$L$52,5,FALSE)*m2k))/'TCO Inputs'!$AZ$84</f>
        <v>94.558454140777229</v>
      </c>
      <c r="N200" s="125">
        <f>N88/293.07*(1/(VLOOKUP($A200,'Fuel economy adjusted factor'!$A$2:$L$52,5,FALSE)*m2k))/'TCO Inputs'!$AZ$84</f>
        <v>94.558454140777229</v>
      </c>
      <c r="O200" s="125">
        <f>O88/293.07*(1/(VLOOKUP($A200,'Fuel economy adjusted factor'!$A$2:$L$52,5,FALSE)*m2k))/'TCO Inputs'!$AZ$84</f>
        <v>94.558454140777229</v>
      </c>
      <c r="P200" s="125">
        <f>P88/293.07*(1/(VLOOKUP($A200,'Fuel economy adjusted factor'!$A$2:$L$52,5,FALSE)*m2k))/'TCO Inputs'!$AZ$84</f>
        <v>94.558454140777229</v>
      </c>
      <c r="Q200" s="125">
        <f>Q88/293.07*(1/(VLOOKUP($A200,'Fuel economy adjusted factor'!$A$2:$L$52,5,FALSE)*m2k))/'TCO Inputs'!$AZ$84</f>
        <v>94.558454140777229</v>
      </c>
      <c r="R200" s="125">
        <f>R88/293.07*(1/(VLOOKUP($A200,'Fuel economy adjusted factor'!$A$2:$L$52,5,FALSE)*m2k))/'TCO Inputs'!$AZ$84</f>
        <v>94.558454140777229</v>
      </c>
      <c r="S200" s="125">
        <f>S88/293.07*(1/(VLOOKUP($A200,'Fuel economy adjusted factor'!$A$2:$L$52,5,FALSE)*m2k))/'TCO Inputs'!$AZ$84</f>
        <v>94.558454140777229</v>
      </c>
      <c r="T200" s="125">
        <f>T88/293.07*(1/(VLOOKUP($A200,'Fuel economy adjusted factor'!$A$2:$L$52,5,FALSE)*m2k))/'TCO Inputs'!$AZ$84</f>
        <v>94.558454140777229</v>
      </c>
      <c r="U200" s="125">
        <f>U88/293.07*(1/(VLOOKUP($A200,'Fuel economy adjusted factor'!$A$2:$L$52,5,FALSE)*m2k))/'TCO Inputs'!$AZ$84</f>
        <v>94.558454140777229</v>
      </c>
      <c r="V200" s="125">
        <f>V88/293.07*(1/(VLOOKUP($A200,'Fuel economy adjusted factor'!$A$2:$L$52,5,FALSE)*m2k))/'TCO Inputs'!$AZ$84</f>
        <v>94.558454140777229</v>
      </c>
      <c r="W200" s="125">
        <f>W88/293.07*(1/(VLOOKUP($A200,'Fuel economy adjusted factor'!$A$2:$L$52,5,FALSE)*m2k))/'TCO Inputs'!$AZ$84</f>
        <v>94.558454140777229</v>
      </c>
      <c r="X200" s="125">
        <f>X88/293.07*(1/(VLOOKUP($A200,'Fuel economy adjusted factor'!$A$2:$L$52,5,FALSE)*m2k))/'TCO Inputs'!$AZ$84</f>
        <v>94.558454140777229</v>
      </c>
      <c r="Y200" s="125">
        <f>Y88/293.07*(1/(VLOOKUP($A200,'Fuel economy adjusted factor'!$A$2:$L$52,5,FALSE)*m2k))/'TCO Inputs'!$AZ$84</f>
        <v>94.558454140777229</v>
      </c>
      <c r="Z200" s="125">
        <f>Z88/293.07*(1/(VLOOKUP($A200,'Fuel economy adjusted factor'!$A$2:$L$52,5,FALSE)*m2k))/'TCO Inputs'!$AZ$84</f>
        <v>94.558454140777229</v>
      </c>
      <c r="AA200" s="125">
        <f>AA88/293.07*(1/(VLOOKUP($A200,'Fuel economy adjusted factor'!$A$2:$L$52,5,FALSE)*m2k))/'TCO Inputs'!$AZ$84</f>
        <v>94.558454140777229</v>
      </c>
      <c r="AB200" s="125">
        <f>AB88/293.07*(1/(VLOOKUP($A200,'Fuel economy adjusted factor'!$A$2:$L$52,5,FALSE)*m2k))/'TCO Inputs'!$AZ$84</f>
        <v>94.558454140777229</v>
      </c>
      <c r="AC200" s="125">
        <f>AC88/293.07*(1/(VLOOKUP($A200,'Fuel economy adjusted factor'!$A$2:$L$52,5,FALSE)*m2k))/'TCO Inputs'!$AZ$84</f>
        <v>94.558454140777229</v>
      </c>
      <c r="AD200" s="98" cm="1">
        <f t="array" ref="AD200">SUMPRODUCT(INDEX(B200:AC200,,'TCO Inputs'!$AZ$12-2023+_xlfn.SEQUENCE('TCO Inputs'!$AZ$13))*INDEX('VKT US'!C92:AA92,,_xlfn.SEQUENCE('TCO Inputs'!$AZ$13)))*m2k*CONVERT(0.9072,"g","ton")</f>
        <v>24.513514980578517</v>
      </c>
      <c r="AF200" s="123" t="s">
        <v>213</v>
      </c>
      <c r="AG200" s="125">
        <f>AG88/293.07*(1/(VLOOKUP($AF200,'Fuel economy adjusted factor'!$A$2:$L$52,5,FALSE)*m2k))/'TCO Inputs'!$AZ$84</f>
        <v>109.54033442654234</v>
      </c>
      <c r="AH200" s="125">
        <f>AH88/293.07*(1/(VLOOKUP($AF200,'Fuel economy adjusted factor'!$A$2:$L$52,5,FALSE)*m2k))/'TCO Inputs'!$AZ$84</f>
        <v>109.54033442654234</v>
      </c>
      <c r="AI200" s="125">
        <f>AI88/293.07*(1/(VLOOKUP($AF200,'Fuel economy adjusted factor'!$A$2:$L$52,5,FALSE)*m2k))/'TCO Inputs'!$AZ$84</f>
        <v>109.54033442654234</v>
      </c>
      <c r="AJ200" s="125">
        <f>AJ88/293.07*(1/(VLOOKUP($AF200,'Fuel economy adjusted factor'!$A$2:$L$52,5,FALSE)*m2k))/'TCO Inputs'!$AZ$84</f>
        <v>109.54033442654234</v>
      </c>
      <c r="AK200" s="125">
        <f>AK88/293.07*(1/(VLOOKUP($AF200,'Fuel economy adjusted factor'!$A$2:$L$52,5,FALSE)*m2k))/'TCO Inputs'!$AZ$84</f>
        <v>109.54033442654234</v>
      </c>
      <c r="AL200" s="125">
        <f>AL88/293.07*(1/(VLOOKUP($AF200,'Fuel economy adjusted factor'!$A$2:$L$52,5,FALSE)*m2k))/'TCO Inputs'!$AZ$84</f>
        <v>109.54033442654234</v>
      </c>
      <c r="AM200" s="125">
        <f>AM88/293.07*(1/(VLOOKUP($AF200,'Fuel economy adjusted factor'!$A$2:$L$52,5,FALSE)*m2k))/'TCO Inputs'!$AZ$84</f>
        <v>109.54033442654234</v>
      </c>
      <c r="AN200" s="125">
        <f>AN88/293.07*(1/(VLOOKUP($AF200,'Fuel economy adjusted factor'!$A$2:$L$52,5,FALSE)*m2k))/'TCO Inputs'!$AZ$84</f>
        <v>109.54033442654234</v>
      </c>
      <c r="AO200" s="125">
        <f>AO88/293.07*(1/(VLOOKUP($AF200,'Fuel economy adjusted factor'!$A$2:$L$52,5,FALSE)*m2k))/'TCO Inputs'!$AZ$84</f>
        <v>109.54033442654234</v>
      </c>
      <c r="AP200" s="125">
        <f>AP88/293.07*(1/(VLOOKUP($AF200,'Fuel economy adjusted factor'!$A$2:$L$52,5,FALSE)*m2k))/'TCO Inputs'!$AZ$84</f>
        <v>109.54033442654234</v>
      </c>
      <c r="AQ200" s="125">
        <f>AQ88/293.07*(1/(VLOOKUP($AF200,'Fuel economy adjusted factor'!$A$2:$L$52,5,FALSE)*m2k))/'TCO Inputs'!$AZ$84</f>
        <v>109.54033442654234</v>
      </c>
      <c r="AR200" s="125">
        <f>AR88/293.07*(1/(VLOOKUP($AF200,'Fuel economy adjusted factor'!$A$2:$L$52,5,FALSE)*m2k))/'TCO Inputs'!$AZ$84</f>
        <v>109.54033442654234</v>
      </c>
      <c r="AS200" s="125">
        <f>AS88/293.07*(1/(VLOOKUP($AF200,'Fuel economy adjusted factor'!$A$2:$L$52,5,FALSE)*m2k))/'TCO Inputs'!$AZ$84</f>
        <v>109.54033442654234</v>
      </c>
      <c r="AT200" s="125">
        <f>AT88/293.07*(1/(VLOOKUP($AF200,'Fuel economy adjusted factor'!$A$2:$L$52,5,FALSE)*m2k))/'TCO Inputs'!$AZ$84</f>
        <v>109.54033442654234</v>
      </c>
      <c r="AU200" s="125">
        <f>AU88/293.07*(1/(VLOOKUP($AF200,'Fuel economy adjusted factor'!$A$2:$L$52,5,FALSE)*m2k))/'TCO Inputs'!$AZ$84</f>
        <v>109.54033442654234</v>
      </c>
      <c r="AV200" s="125">
        <f>AV88/293.07*(1/(VLOOKUP($AF200,'Fuel economy adjusted factor'!$A$2:$L$52,5,FALSE)*m2k))/'TCO Inputs'!$AZ$84</f>
        <v>109.54033442654234</v>
      </c>
      <c r="AW200" s="125">
        <f>AW88/293.07*(1/(VLOOKUP($AF200,'Fuel economy adjusted factor'!$A$2:$L$52,5,FALSE)*m2k))/'TCO Inputs'!$AZ$84</f>
        <v>109.54033442654234</v>
      </c>
      <c r="AX200" s="125">
        <f>AX88/293.07*(1/(VLOOKUP($AF200,'Fuel economy adjusted factor'!$A$2:$L$52,5,FALSE)*m2k))/'TCO Inputs'!$AZ$84</f>
        <v>109.54033442654234</v>
      </c>
      <c r="AY200" s="125">
        <f>AY88/293.07*(1/(VLOOKUP($AF200,'Fuel economy adjusted factor'!$A$2:$L$52,5,FALSE)*m2k))/'TCO Inputs'!$AZ$84</f>
        <v>109.54033442654234</v>
      </c>
      <c r="AZ200" s="125">
        <f>AZ88/293.07*(1/(VLOOKUP($AF200,'Fuel economy adjusted factor'!$A$2:$L$52,5,FALSE)*m2k))/'TCO Inputs'!$AZ$84</f>
        <v>109.54033442654234</v>
      </c>
      <c r="BA200" s="125">
        <f>BA88/293.07*(1/(VLOOKUP($AF200,'Fuel economy adjusted factor'!$A$2:$L$52,5,FALSE)*m2k))/'TCO Inputs'!$AZ$84</f>
        <v>109.54033442654234</v>
      </c>
      <c r="BB200" s="125">
        <f>BB88/293.07*(1/(VLOOKUP($AF200,'Fuel economy adjusted factor'!$A$2:$L$52,5,FALSE)*m2k))/'TCO Inputs'!$AZ$84</f>
        <v>109.54033442654234</v>
      </c>
      <c r="BC200" s="125">
        <f>BC88/293.07*(1/(VLOOKUP($AF200,'Fuel economy adjusted factor'!$A$2:$L$52,5,FALSE)*m2k))/'TCO Inputs'!$AZ$84</f>
        <v>109.54033442654234</v>
      </c>
      <c r="BD200" s="125">
        <f>BD88/293.07*(1/(VLOOKUP($AF200,'Fuel economy adjusted factor'!$A$2:$L$52,5,FALSE)*m2k))/'TCO Inputs'!$AZ$84</f>
        <v>109.54033442654234</v>
      </c>
      <c r="BE200" s="125">
        <f>BE88/293.07*(1/(VLOOKUP($AF200,'Fuel economy adjusted factor'!$A$2:$L$52,5,FALSE)*m2k))/'TCO Inputs'!$AZ$84</f>
        <v>109.54033442654234</v>
      </c>
      <c r="BF200" s="125">
        <f>BF88/293.07*(1/(VLOOKUP($AF200,'Fuel economy adjusted factor'!$A$2:$L$52,5,FALSE)*m2k))/'TCO Inputs'!$AZ$84</f>
        <v>109.54033442654234</v>
      </c>
      <c r="BG200" s="125">
        <f>BG88/293.07*(1/(VLOOKUP($AF200,'Fuel economy adjusted factor'!$A$2:$L$52,5,FALSE)*m2k))/'TCO Inputs'!$AZ$84</f>
        <v>109.54033442654234</v>
      </c>
      <c r="BH200" s="125">
        <f>BH88/293.07*(1/(VLOOKUP($AF200,'Fuel economy adjusted factor'!$A$2:$L$52,5,FALSE)*m2k))/'TCO Inputs'!$AZ$84</f>
        <v>109.54033442654234</v>
      </c>
      <c r="BI200" s="98" cm="1">
        <f t="array" ref="BI200">SUMPRODUCT(INDEX(AG200:BH200,,'TCO Inputs'!$AZ$12-2023+_xlfn.SEQUENCE('TCO Inputs'!$AZ$13))*INDEX('VKT US'!C92:AA92,,_xlfn.SEQUENCE('TCO Inputs'!$AZ$13)))*m2k*CONVERT(0.9072,"g","ton")</f>
        <v>28.397446355721009</v>
      </c>
    </row>
    <row r="201" spans="1:61" x14ac:dyDescent="0.25">
      <c r="A201" s="123" t="s">
        <v>214</v>
      </c>
      <c r="B201" s="125">
        <f>B89/293.07*(1/(VLOOKUP($A201,'Fuel economy adjusted factor'!$A$2:$L$52,5,FALSE)*m2k))/'TCO Inputs'!$AZ$84</f>
        <v>136.08137363616771</v>
      </c>
      <c r="C201" s="125">
        <f>C89/293.07*(1/(VLOOKUP($A201,'Fuel economy adjusted factor'!$A$2:$L$52,5,FALSE)*m2k))/'TCO Inputs'!$AZ$84</f>
        <v>136.08137363616771</v>
      </c>
      <c r="D201" s="125">
        <f>D89/293.07*(1/(VLOOKUP($A201,'Fuel economy adjusted factor'!$A$2:$L$52,5,FALSE)*m2k))/'TCO Inputs'!$AZ$84</f>
        <v>136.08137363616771</v>
      </c>
      <c r="E201" s="125">
        <f>E89/293.07*(1/(VLOOKUP($A201,'Fuel economy adjusted factor'!$A$2:$L$52,5,FALSE)*m2k))/'TCO Inputs'!$AZ$84</f>
        <v>136.08137363616771</v>
      </c>
      <c r="F201" s="125">
        <f>F89/293.07*(1/(VLOOKUP($A201,'Fuel economy adjusted factor'!$A$2:$L$52,5,FALSE)*m2k))/'TCO Inputs'!$AZ$84</f>
        <v>136.08137363616771</v>
      </c>
      <c r="G201" s="125">
        <f>G89/293.07*(1/(VLOOKUP($A201,'Fuel economy adjusted factor'!$A$2:$L$52,5,FALSE)*m2k))/'TCO Inputs'!$AZ$84</f>
        <v>136.08137363616771</v>
      </c>
      <c r="H201" s="125">
        <f>H89/293.07*(1/(VLOOKUP($A201,'Fuel economy adjusted factor'!$A$2:$L$52,5,FALSE)*m2k))/'TCO Inputs'!$AZ$84</f>
        <v>136.08137363616771</v>
      </c>
      <c r="I201" s="125">
        <f>I89/293.07*(1/(VLOOKUP($A201,'Fuel economy adjusted factor'!$A$2:$L$52,5,FALSE)*m2k))/'TCO Inputs'!$AZ$84</f>
        <v>136.08137363616771</v>
      </c>
      <c r="J201" s="125">
        <f>J89/293.07*(1/(VLOOKUP($A201,'Fuel economy adjusted factor'!$A$2:$L$52,5,FALSE)*m2k))/'TCO Inputs'!$AZ$84</f>
        <v>136.08137363616771</v>
      </c>
      <c r="K201" s="125">
        <f>K89/293.07*(1/(VLOOKUP($A201,'Fuel economy adjusted factor'!$A$2:$L$52,5,FALSE)*m2k))/'TCO Inputs'!$AZ$84</f>
        <v>136.08137363616771</v>
      </c>
      <c r="L201" s="125">
        <f>L89/293.07*(1/(VLOOKUP($A201,'Fuel economy adjusted factor'!$A$2:$L$52,5,FALSE)*m2k))/'TCO Inputs'!$AZ$84</f>
        <v>136.08137363616771</v>
      </c>
      <c r="M201" s="125">
        <f>M89/293.07*(1/(VLOOKUP($A201,'Fuel economy adjusted factor'!$A$2:$L$52,5,FALSE)*m2k))/'TCO Inputs'!$AZ$84</f>
        <v>136.08137363616771</v>
      </c>
      <c r="N201" s="125">
        <f>N89/293.07*(1/(VLOOKUP($A201,'Fuel economy adjusted factor'!$A$2:$L$52,5,FALSE)*m2k))/'TCO Inputs'!$AZ$84</f>
        <v>136.08137363616771</v>
      </c>
      <c r="O201" s="125">
        <f>O89/293.07*(1/(VLOOKUP($A201,'Fuel economy adjusted factor'!$A$2:$L$52,5,FALSE)*m2k))/'TCO Inputs'!$AZ$84</f>
        <v>136.08137363616771</v>
      </c>
      <c r="P201" s="125">
        <f>P89/293.07*(1/(VLOOKUP($A201,'Fuel economy adjusted factor'!$A$2:$L$52,5,FALSE)*m2k))/'TCO Inputs'!$AZ$84</f>
        <v>136.08137363616771</v>
      </c>
      <c r="Q201" s="125">
        <f>Q89/293.07*(1/(VLOOKUP($A201,'Fuel economy adjusted factor'!$A$2:$L$52,5,FALSE)*m2k))/'TCO Inputs'!$AZ$84</f>
        <v>136.08137363616771</v>
      </c>
      <c r="R201" s="125">
        <f>R89/293.07*(1/(VLOOKUP($A201,'Fuel economy adjusted factor'!$A$2:$L$52,5,FALSE)*m2k))/'TCO Inputs'!$AZ$84</f>
        <v>136.08137363616771</v>
      </c>
      <c r="S201" s="125">
        <f>S89/293.07*(1/(VLOOKUP($A201,'Fuel economy adjusted factor'!$A$2:$L$52,5,FALSE)*m2k))/'TCO Inputs'!$AZ$84</f>
        <v>136.08137363616771</v>
      </c>
      <c r="T201" s="125">
        <f>T89/293.07*(1/(VLOOKUP($A201,'Fuel economy adjusted factor'!$A$2:$L$52,5,FALSE)*m2k))/'TCO Inputs'!$AZ$84</f>
        <v>136.08137363616771</v>
      </c>
      <c r="U201" s="125">
        <f>U89/293.07*(1/(VLOOKUP($A201,'Fuel economy adjusted factor'!$A$2:$L$52,5,FALSE)*m2k))/'TCO Inputs'!$AZ$84</f>
        <v>136.08137363616771</v>
      </c>
      <c r="V201" s="125">
        <f>V89/293.07*(1/(VLOOKUP($A201,'Fuel economy adjusted factor'!$A$2:$L$52,5,FALSE)*m2k))/'TCO Inputs'!$AZ$84</f>
        <v>136.08137363616771</v>
      </c>
      <c r="W201" s="125">
        <f>W89/293.07*(1/(VLOOKUP($A201,'Fuel economy adjusted factor'!$A$2:$L$52,5,FALSE)*m2k))/'TCO Inputs'!$AZ$84</f>
        <v>136.08137363616771</v>
      </c>
      <c r="X201" s="125">
        <f>X89/293.07*(1/(VLOOKUP($A201,'Fuel economy adjusted factor'!$A$2:$L$52,5,FALSE)*m2k))/'TCO Inputs'!$AZ$84</f>
        <v>136.08137363616771</v>
      </c>
      <c r="Y201" s="125">
        <f>Y89/293.07*(1/(VLOOKUP($A201,'Fuel economy adjusted factor'!$A$2:$L$52,5,FALSE)*m2k))/'TCO Inputs'!$AZ$84</f>
        <v>136.08137363616771</v>
      </c>
      <c r="Z201" s="125">
        <f>Z89/293.07*(1/(VLOOKUP($A201,'Fuel economy adjusted factor'!$A$2:$L$52,5,FALSE)*m2k))/'TCO Inputs'!$AZ$84</f>
        <v>136.08137363616771</v>
      </c>
      <c r="AA201" s="125">
        <f>AA89/293.07*(1/(VLOOKUP($A201,'Fuel economy adjusted factor'!$A$2:$L$52,5,FALSE)*m2k))/'TCO Inputs'!$AZ$84</f>
        <v>136.08137363616771</v>
      </c>
      <c r="AB201" s="125">
        <f>AB89/293.07*(1/(VLOOKUP($A201,'Fuel economy adjusted factor'!$A$2:$L$52,5,FALSE)*m2k))/'TCO Inputs'!$AZ$84</f>
        <v>136.08137363616771</v>
      </c>
      <c r="AC201" s="125">
        <f>AC89/293.07*(1/(VLOOKUP($A201,'Fuel economy adjusted factor'!$A$2:$L$52,5,FALSE)*m2k))/'TCO Inputs'!$AZ$84</f>
        <v>136.08137363616771</v>
      </c>
      <c r="AD201" s="98" cm="1">
        <f t="array" ref="AD201">SUMPRODUCT(INDEX(B201:AC201,,'TCO Inputs'!$AZ$12-2023+_xlfn.SEQUENCE('TCO Inputs'!$AZ$13))*INDEX('VKT US'!C93:AA93,,_xlfn.SEQUENCE('TCO Inputs'!$AZ$13)))*m2k*CONVERT(0.9072,"g","ton")</f>
        <v>55.110541815837948</v>
      </c>
      <c r="AF201" s="123" t="s">
        <v>214</v>
      </c>
      <c r="AG201" s="125">
        <f>AG89/293.07*(1/(VLOOKUP($AF201,'Fuel economy adjusted factor'!$A$2:$L$52,5,FALSE)*m2k))/'TCO Inputs'!$AZ$84</f>
        <v>157.64216232994505</v>
      </c>
      <c r="AH201" s="125">
        <f>AH89/293.07*(1/(VLOOKUP($AF201,'Fuel economy adjusted factor'!$A$2:$L$52,5,FALSE)*m2k))/'TCO Inputs'!$AZ$84</f>
        <v>157.64216232994505</v>
      </c>
      <c r="AI201" s="125">
        <f>AI89/293.07*(1/(VLOOKUP($AF201,'Fuel economy adjusted factor'!$A$2:$L$52,5,FALSE)*m2k))/'TCO Inputs'!$AZ$84</f>
        <v>157.64216232994505</v>
      </c>
      <c r="AJ201" s="125">
        <f>AJ89/293.07*(1/(VLOOKUP($AF201,'Fuel economy adjusted factor'!$A$2:$L$52,5,FALSE)*m2k))/'TCO Inputs'!$AZ$84</f>
        <v>157.64216232994505</v>
      </c>
      <c r="AK201" s="125">
        <f>AK89/293.07*(1/(VLOOKUP($AF201,'Fuel economy adjusted factor'!$A$2:$L$52,5,FALSE)*m2k))/'TCO Inputs'!$AZ$84</f>
        <v>157.64216232994505</v>
      </c>
      <c r="AL201" s="125">
        <f>AL89/293.07*(1/(VLOOKUP($AF201,'Fuel economy adjusted factor'!$A$2:$L$52,5,FALSE)*m2k))/'TCO Inputs'!$AZ$84</f>
        <v>157.64216232994505</v>
      </c>
      <c r="AM201" s="125">
        <f>AM89/293.07*(1/(VLOOKUP($AF201,'Fuel economy adjusted factor'!$A$2:$L$52,5,FALSE)*m2k))/'TCO Inputs'!$AZ$84</f>
        <v>157.64216232994505</v>
      </c>
      <c r="AN201" s="125">
        <f>AN89/293.07*(1/(VLOOKUP($AF201,'Fuel economy adjusted factor'!$A$2:$L$52,5,FALSE)*m2k))/'TCO Inputs'!$AZ$84</f>
        <v>157.64216232994505</v>
      </c>
      <c r="AO201" s="125">
        <f>AO89/293.07*(1/(VLOOKUP($AF201,'Fuel economy adjusted factor'!$A$2:$L$52,5,FALSE)*m2k))/'TCO Inputs'!$AZ$84</f>
        <v>157.64216232994505</v>
      </c>
      <c r="AP201" s="125">
        <f>AP89/293.07*(1/(VLOOKUP($AF201,'Fuel economy adjusted factor'!$A$2:$L$52,5,FALSE)*m2k))/'TCO Inputs'!$AZ$84</f>
        <v>157.64216232994505</v>
      </c>
      <c r="AQ201" s="125">
        <f>AQ89/293.07*(1/(VLOOKUP($AF201,'Fuel economy adjusted factor'!$A$2:$L$52,5,FALSE)*m2k))/'TCO Inputs'!$AZ$84</f>
        <v>157.64216232994505</v>
      </c>
      <c r="AR201" s="125">
        <f>AR89/293.07*(1/(VLOOKUP($AF201,'Fuel economy adjusted factor'!$A$2:$L$52,5,FALSE)*m2k))/'TCO Inputs'!$AZ$84</f>
        <v>157.64216232994505</v>
      </c>
      <c r="AS201" s="125">
        <f>AS89/293.07*(1/(VLOOKUP($AF201,'Fuel economy adjusted factor'!$A$2:$L$52,5,FALSE)*m2k))/'TCO Inputs'!$AZ$84</f>
        <v>157.64216232994505</v>
      </c>
      <c r="AT201" s="125">
        <f>AT89/293.07*(1/(VLOOKUP($AF201,'Fuel economy adjusted factor'!$A$2:$L$52,5,FALSE)*m2k))/'TCO Inputs'!$AZ$84</f>
        <v>157.64216232994505</v>
      </c>
      <c r="AU201" s="125">
        <f>AU89/293.07*(1/(VLOOKUP($AF201,'Fuel economy adjusted factor'!$A$2:$L$52,5,FALSE)*m2k))/'TCO Inputs'!$AZ$84</f>
        <v>157.64216232994505</v>
      </c>
      <c r="AV201" s="125">
        <f>AV89/293.07*(1/(VLOOKUP($AF201,'Fuel economy adjusted factor'!$A$2:$L$52,5,FALSE)*m2k))/'TCO Inputs'!$AZ$84</f>
        <v>157.64216232994505</v>
      </c>
      <c r="AW201" s="125">
        <f>AW89/293.07*(1/(VLOOKUP($AF201,'Fuel economy adjusted factor'!$A$2:$L$52,5,FALSE)*m2k))/'TCO Inputs'!$AZ$84</f>
        <v>157.64216232994505</v>
      </c>
      <c r="AX201" s="125">
        <f>AX89/293.07*(1/(VLOOKUP($AF201,'Fuel economy adjusted factor'!$A$2:$L$52,5,FALSE)*m2k))/'TCO Inputs'!$AZ$84</f>
        <v>157.64216232994505</v>
      </c>
      <c r="AY201" s="125">
        <f>AY89/293.07*(1/(VLOOKUP($AF201,'Fuel economy adjusted factor'!$A$2:$L$52,5,FALSE)*m2k))/'TCO Inputs'!$AZ$84</f>
        <v>157.64216232994505</v>
      </c>
      <c r="AZ201" s="125">
        <f>AZ89/293.07*(1/(VLOOKUP($AF201,'Fuel economy adjusted factor'!$A$2:$L$52,5,FALSE)*m2k))/'TCO Inputs'!$AZ$84</f>
        <v>157.64216232994505</v>
      </c>
      <c r="BA201" s="125">
        <f>BA89/293.07*(1/(VLOOKUP($AF201,'Fuel economy adjusted factor'!$A$2:$L$52,5,FALSE)*m2k))/'TCO Inputs'!$AZ$84</f>
        <v>157.64216232994505</v>
      </c>
      <c r="BB201" s="125">
        <f>BB89/293.07*(1/(VLOOKUP($AF201,'Fuel economy adjusted factor'!$A$2:$L$52,5,FALSE)*m2k))/'TCO Inputs'!$AZ$84</f>
        <v>157.64216232994505</v>
      </c>
      <c r="BC201" s="125">
        <f>BC89/293.07*(1/(VLOOKUP($AF201,'Fuel economy adjusted factor'!$A$2:$L$52,5,FALSE)*m2k))/'TCO Inputs'!$AZ$84</f>
        <v>157.64216232994505</v>
      </c>
      <c r="BD201" s="125">
        <f>BD89/293.07*(1/(VLOOKUP($AF201,'Fuel economy adjusted factor'!$A$2:$L$52,5,FALSE)*m2k))/'TCO Inputs'!$AZ$84</f>
        <v>157.64216232994505</v>
      </c>
      <c r="BE201" s="125">
        <f>BE89/293.07*(1/(VLOOKUP($AF201,'Fuel economy adjusted factor'!$A$2:$L$52,5,FALSE)*m2k))/'TCO Inputs'!$AZ$84</f>
        <v>157.64216232994505</v>
      </c>
      <c r="BF201" s="125">
        <f>BF89/293.07*(1/(VLOOKUP($AF201,'Fuel economy adjusted factor'!$A$2:$L$52,5,FALSE)*m2k))/'TCO Inputs'!$AZ$84</f>
        <v>157.64216232994505</v>
      </c>
      <c r="BG201" s="125">
        <f>BG89/293.07*(1/(VLOOKUP($AF201,'Fuel economy adjusted factor'!$A$2:$L$52,5,FALSE)*m2k))/'TCO Inputs'!$AZ$84</f>
        <v>157.64216232994505</v>
      </c>
      <c r="BH201" s="125">
        <f>BH89/293.07*(1/(VLOOKUP($AF201,'Fuel economy adjusted factor'!$A$2:$L$52,5,FALSE)*m2k))/'TCO Inputs'!$AZ$84</f>
        <v>157.64216232994505</v>
      </c>
      <c r="BI201" s="98" cm="1">
        <f t="array" ref="BI201">SUMPRODUCT(INDEX(AG201:BH201,,'TCO Inputs'!$AZ$12-2023+_xlfn.SEQUENCE('TCO Inputs'!$AZ$13))*INDEX('VKT US'!C93:AA93,,_xlfn.SEQUENCE('TCO Inputs'!$AZ$13)))*m2k*CONVERT(0.9072,"g","ton")</f>
        <v>63.842278681367773</v>
      </c>
    </row>
    <row r="202" spans="1:61" x14ac:dyDescent="0.25">
      <c r="A202" s="123" t="s">
        <v>216</v>
      </c>
      <c r="B202" s="125">
        <f>B90/293.07*(1/(VLOOKUP($A202,'Fuel economy adjusted factor'!$A$2:$L$52,5,FALSE)*m2k))/'TCO Inputs'!$AZ$84</f>
        <v>94.024510895761324</v>
      </c>
      <c r="C202" s="125">
        <f>C90/293.07*(1/(VLOOKUP($A202,'Fuel economy adjusted factor'!$A$2:$L$52,5,FALSE)*m2k))/'TCO Inputs'!$AZ$84</f>
        <v>94.024510895761324</v>
      </c>
      <c r="D202" s="125">
        <f>D90/293.07*(1/(VLOOKUP($A202,'Fuel economy adjusted factor'!$A$2:$L$52,5,FALSE)*m2k))/'TCO Inputs'!$AZ$84</f>
        <v>94.024510895761324</v>
      </c>
      <c r="E202" s="125">
        <f>E90/293.07*(1/(VLOOKUP($A202,'Fuel economy adjusted factor'!$A$2:$L$52,5,FALSE)*m2k))/'TCO Inputs'!$AZ$84</f>
        <v>94.024510895761324</v>
      </c>
      <c r="F202" s="125">
        <f>F90/293.07*(1/(VLOOKUP($A202,'Fuel economy adjusted factor'!$A$2:$L$52,5,FALSE)*m2k))/'TCO Inputs'!$AZ$84</f>
        <v>94.024510895761324</v>
      </c>
      <c r="G202" s="125">
        <f>G90/293.07*(1/(VLOOKUP($A202,'Fuel economy adjusted factor'!$A$2:$L$52,5,FALSE)*m2k))/'TCO Inputs'!$AZ$84</f>
        <v>94.024510895761324</v>
      </c>
      <c r="H202" s="125">
        <f>H90/293.07*(1/(VLOOKUP($A202,'Fuel economy adjusted factor'!$A$2:$L$52,5,FALSE)*m2k))/'TCO Inputs'!$AZ$84</f>
        <v>94.024510895761324</v>
      </c>
      <c r="I202" s="125">
        <f>I90/293.07*(1/(VLOOKUP($A202,'Fuel economy adjusted factor'!$A$2:$L$52,5,FALSE)*m2k))/'TCO Inputs'!$AZ$84</f>
        <v>94.024510895761324</v>
      </c>
      <c r="J202" s="125">
        <f>J90/293.07*(1/(VLOOKUP($A202,'Fuel economy adjusted factor'!$A$2:$L$52,5,FALSE)*m2k))/'TCO Inputs'!$AZ$84</f>
        <v>94.024510895761324</v>
      </c>
      <c r="K202" s="125">
        <f>K90/293.07*(1/(VLOOKUP($A202,'Fuel economy adjusted factor'!$A$2:$L$52,5,FALSE)*m2k))/'TCO Inputs'!$AZ$84</f>
        <v>94.024510895761324</v>
      </c>
      <c r="L202" s="125">
        <f>L90/293.07*(1/(VLOOKUP($A202,'Fuel economy adjusted factor'!$A$2:$L$52,5,FALSE)*m2k))/'TCO Inputs'!$AZ$84</f>
        <v>94.024510895761324</v>
      </c>
      <c r="M202" s="125">
        <f>M90/293.07*(1/(VLOOKUP($A202,'Fuel economy adjusted factor'!$A$2:$L$52,5,FALSE)*m2k))/'TCO Inputs'!$AZ$84</f>
        <v>94.024510895761324</v>
      </c>
      <c r="N202" s="125">
        <f>N90/293.07*(1/(VLOOKUP($A202,'Fuel economy adjusted factor'!$A$2:$L$52,5,FALSE)*m2k))/'TCO Inputs'!$AZ$84</f>
        <v>94.024510895761324</v>
      </c>
      <c r="O202" s="125">
        <f>O90/293.07*(1/(VLOOKUP($A202,'Fuel economy adjusted factor'!$A$2:$L$52,5,FALSE)*m2k))/'TCO Inputs'!$AZ$84</f>
        <v>94.024510895761324</v>
      </c>
      <c r="P202" s="125">
        <f>P90/293.07*(1/(VLOOKUP($A202,'Fuel economy adjusted factor'!$A$2:$L$52,5,FALSE)*m2k))/'TCO Inputs'!$AZ$84</f>
        <v>94.024510895761324</v>
      </c>
      <c r="Q202" s="125">
        <f>Q90/293.07*(1/(VLOOKUP($A202,'Fuel economy adjusted factor'!$A$2:$L$52,5,FALSE)*m2k))/'TCO Inputs'!$AZ$84</f>
        <v>94.024510895761324</v>
      </c>
      <c r="R202" s="125">
        <f>R90/293.07*(1/(VLOOKUP($A202,'Fuel economy adjusted factor'!$A$2:$L$52,5,FALSE)*m2k))/'TCO Inputs'!$AZ$84</f>
        <v>94.024510895761324</v>
      </c>
      <c r="S202" s="125">
        <f>S90/293.07*(1/(VLOOKUP($A202,'Fuel economy adjusted factor'!$A$2:$L$52,5,FALSE)*m2k))/'TCO Inputs'!$AZ$84</f>
        <v>94.024510895761324</v>
      </c>
      <c r="T202" s="125">
        <f>T90/293.07*(1/(VLOOKUP($A202,'Fuel economy adjusted factor'!$A$2:$L$52,5,FALSE)*m2k))/'TCO Inputs'!$AZ$84</f>
        <v>94.024510895761324</v>
      </c>
      <c r="U202" s="125">
        <f>U90/293.07*(1/(VLOOKUP($A202,'Fuel economy adjusted factor'!$A$2:$L$52,5,FALSE)*m2k))/'TCO Inputs'!$AZ$84</f>
        <v>94.024510895761324</v>
      </c>
      <c r="V202" s="125">
        <f>V90/293.07*(1/(VLOOKUP($A202,'Fuel economy adjusted factor'!$A$2:$L$52,5,FALSE)*m2k))/'TCO Inputs'!$AZ$84</f>
        <v>94.024510895761324</v>
      </c>
      <c r="W202" s="125">
        <f>W90/293.07*(1/(VLOOKUP($A202,'Fuel economy adjusted factor'!$A$2:$L$52,5,FALSE)*m2k))/'TCO Inputs'!$AZ$84</f>
        <v>94.024510895761324</v>
      </c>
      <c r="X202" s="125">
        <f>X90/293.07*(1/(VLOOKUP($A202,'Fuel economy adjusted factor'!$A$2:$L$52,5,FALSE)*m2k))/'TCO Inputs'!$AZ$84</f>
        <v>94.024510895761324</v>
      </c>
      <c r="Y202" s="125">
        <f>Y90/293.07*(1/(VLOOKUP($A202,'Fuel economy adjusted factor'!$A$2:$L$52,5,FALSE)*m2k))/'TCO Inputs'!$AZ$84</f>
        <v>94.024510895761324</v>
      </c>
      <c r="Z202" s="125">
        <f>Z90/293.07*(1/(VLOOKUP($A202,'Fuel economy adjusted factor'!$A$2:$L$52,5,FALSE)*m2k))/'TCO Inputs'!$AZ$84</f>
        <v>94.024510895761324</v>
      </c>
      <c r="AA202" s="125">
        <f>AA90/293.07*(1/(VLOOKUP($A202,'Fuel economy adjusted factor'!$A$2:$L$52,5,FALSE)*m2k))/'TCO Inputs'!$AZ$84</f>
        <v>94.024510895761324</v>
      </c>
      <c r="AB202" s="125">
        <f>AB90/293.07*(1/(VLOOKUP($A202,'Fuel economy adjusted factor'!$A$2:$L$52,5,FALSE)*m2k))/'TCO Inputs'!$AZ$84</f>
        <v>94.024510895761324</v>
      </c>
      <c r="AC202" s="125">
        <f>AC90/293.07*(1/(VLOOKUP($A202,'Fuel economy adjusted factor'!$A$2:$L$52,5,FALSE)*m2k))/'TCO Inputs'!$AZ$84</f>
        <v>94.024510895761324</v>
      </c>
      <c r="AD202" s="98" cm="1">
        <f t="array" ref="AD202">SUMPRODUCT(INDEX(B202:AC202,,'TCO Inputs'!$AZ$12-2023+_xlfn.SEQUENCE('TCO Inputs'!$AZ$13))*INDEX('VKT US'!C94:AA94,,_xlfn.SEQUENCE('TCO Inputs'!$AZ$13)))*m2k*CONVERT(0.9072,"g","ton")</f>
        <v>20.208887375147626</v>
      </c>
      <c r="AF202" s="123" t="s">
        <v>216</v>
      </c>
      <c r="AG202" s="125">
        <f>AG90/293.07*(1/(VLOOKUP($AF202,'Fuel economy adjusted factor'!$A$2:$L$52,5,FALSE)*m2k))/'TCO Inputs'!$AZ$84</f>
        <v>108.92179299462808</v>
      </c>
      <c r="AH202" s="125">
        <f>AH90/293.07*(1/(VLOOKUP($AF202,'Fuel economy adjusted factor'!$A$2:$L$52,5,FALSE)*m2k))/'TCO Inputs'!$AZ$84</f>
        <v>108.92179299462808</v>
      </c>
      <c r="AI202" s="125">
        <f>AI90/293.07*(1/(VLOOKUP($AF202,'Fuel economy adjusted factor'!$A$2:$L$52,5,FALSE)*m2k))/'TCO Inputs'!$AZ$84</f>
        <v>108.92179299462808</v>
      </c>
      <c r="AJ202" s="125">
        <f>AJ90/293.07*(1/(VLOOKUP($AF202,'Fuel economy adjusted factor'!$A$2:$L$52,5,FALSE)*m2k))/'TCO Inputs'!$AZ$84</f>
        <v>108.92179299462808</v>
      </c>
      <c r="AK202" s="125">
        <f>AK90/293.07*(1/(VLOOKUP($AF202,'Fuel economy adjusted factor'!$A$2:$L$52,5,FALSE)*m2k))/'TCO Inputs'!$AZ$84</f>
        <v>108.92179299462808</v>
      </c>
      <c r="AL202" s="125">
        <f>AL90/293.07*(1/(VLOOKUP($AF202,'Fuel economy adjusted factor'!$A$2:$L$52,5,FALSE)*m2k))/'TCO Inputs'!$AZ$84</f>
        <v>108.92179299462808</v>
      </c>
      <c r="AM202" s="125">
        <f>AM90/293.07*(1/(VLOOKUP($AF202,'Fuel economy adjusted factor'!$A$2:$L$52,5,FALSE)*m2k))/'TCO Inputs'!$AZ$84</f>
        <v>108.92179299462808</v>
      </c>
      <c r="AN202" s="125">
        <f>AN90/293.07*(1/(VLOOKUP($AF202,'Fuel economy adjusted factor'!$A$2:$L$52,5,FALSE)*m2k))/'TCO Inputs'!$AZ$84</f>
        <v>108.92179299462808</v>
      </c>
      <c r="AO202" s="125">
        <f>AO90/293.07*(1/(VLOOKUP($AF202,'Fuel economy adjusted factor'!$A$2:$L$52,5,FALSE)*m2k))/'TCO Inputs'!$AZ$84</f>
        <v>108.92179299462808</v>
      </c>
      <c r="AP202" s="125">
        <f>AP90/293.07*(1/(VLOOKUP($AF202,'Fuel economy adjusted factor'!$A$2:$L$52,5,FALSE)*m2k))/'TCO Inputs'!$AZ$84</f>
        <v>108.92179299462808</v>
      </c>
      <c r="AQ202" s="125">
        <f>AQ90/293.07*(1/(VLOOKUP($AF202,'Fuel economy adjusted factor'!$A$2:$L$52,5,FALSE)*m2k))/'TCO Inputs'!$AZ$84</f>
        <v>108.92179299462808</v>
      </c>
      <c r="AR202" s="125">
        <f>AR90/293.07*(1/(VLOOKUP($AF202,'Fuel economy adjusted factor'!$A$2:$L$52,5,FALSE)*m2k))/'TCO Inputs'!$AZ$84</f>
        <v>108.92179299462808</v>
      </c>
      <c r="AS202" s="125">
        <f>AS90/293.07*(1/(VLOOKUP($AF202,'Fuel economy adjusted factor'!$A$2:$L$52,5,FALSE)*m2k))/'TCO Inputs'!$AZ$84</f>
        <v>108.92179299462808</v>
      </c>
      <c r="AT202" s="125">
        <f>AT90/293.07*(1/(VLOOKUP($AF202,'Fuel economy adjusted factor'!$A$2:$L$52,5,FALSE)*m2k))/'TCO Inputs'!$AZ$84</f>
        <v>108.92179299462808</v>
      </c>
      <c r="AU202" s="125">
        <f>AU90/293.07*(1/(VLOOKUP($AF202,'Fuel economy adjusted factor'!$A$2:$L$52,5,FALSE)*m2k))/'TCO Inputs'!$AZ$84</f>
        <v>108.92179299462808</v>
      </c>
      <c r="AV202" s="125">
        <f>AV90/293.07*(1/(VLOOKUP($AF202,'Fuel economy adjusted factor'!$A$2:$L$52,5,FALSE)*m2k))/'TCO Inputs'!$AZ$84</f>
        <v>108.92179299462808</v>
      </c>
      <c r="AW202" s="125">
        <f>AW90/293.07*(1/(VLOOKUP($AF202,'Fuel economy adjusted factor'!$A$2:$L$52,5,FALSE)*m2k))/'TCO Inputs'!$AZ$84</f>
        <v>108.92179299462808</v>
      </c>
      <c r="AX202" s="125">
        <f>AX90/293.07*(1/(VLOOKUP($AF202,'Fuel economy adjusted factor'!$A$2:$L$52,5,FALSE)*m2k))/'TCO Inputs'!$AZ$84</f>
        <v>108.92179299462808</v>
      </c>
      <c r="AY202" s="125">
        <f>AY90/293.07*(1/(VLOOKUP($AF202,'Fuel economy adjusted factor'!$A$2:$L$52,5,FALSE)*m2k))/'TCO Inputs'!$AZ$84</f>
        <v>108.92179299462808</v>
      </c>
      <c r="AZ202" s="125">
        <f>AZ90/293.07*(1/(VLOOKUP($AF202,'Fuel economy adjusted factor'!$A$2:$L$52,5,FALSE)*m2k))/'TCO Inputs'!$AZ$84</f>
        <v>108.92179299462808</v>
      </c>
      <c r="BA202" s="125">
        <f>BA90/293.07*(1/(VLOOKUP($AF202,'Fuel economy adjusted factor'!$A$2:$L$52,5,FALSE)*m2k))/'TCO Inputs'!$AZ$84</f>
        <v>108.92179299462808</v>
      </c>
      <c r="BB202" s="125">
        <f>BB90/293.07*(1/(VLOOKUP($AF202,'Fuel economy adjusted factor'!$A$2:$L$52,5,FALSE)*m2k))/'TCO Inputs'!$AZ$84</f>
        <v>108.92179299462808</v>
      </c>
      <c r="BC202" s="125">
        <f>BC90/293.07*(1/(VLOOKUP($AF202,'Fuel economy adjusted factor'!$A$2:$L$52,5,FALSE)*m2k))/'TCO Inputs'!$AZ$84</f>
        <v>108.92179299462808</v>
      </c>
      <c r="BD202" s="125">
        <f>BD90/293.07*(1/(VLOOKUP($AF202,'Fuel economy adjusted factor'!$A$2:$L$52,5,FALSE)*m2k))/'TCO Inputs'!$AZ$84</f>
        <v>108.92179299462808</v>
      </c>
      <c r="BE202" s="125">
        <f>BE90/293.07*(1/(VLOOKUP($AF202,'Fuel economy adjusted factor'!$A$2:$L$52,5,FALSE)*m2k))/'TCO Inputs'!$AZ$84</f>
        <v>108.92179299462808</v>
      </c>
      <c r="BF202" s="125">
        <f>BF90/293.07*(1/(VLOOKUP($AF202,'Fuel economy adjusted factor'!$A$2:$L$52,5,FALSE)*m2k))/'TCO Inputs'!$AZ$84</f>
        <v>108.92179299462808</v>
      </c>
      <c r="BG202" s="125">
        <f>BG90/293.07*(1/(VLOOKUP($AF202,'Fuel economy adjusted factor'!$A$2:$L$52,5,FALSE)*m2k))/'TCO Inputs'!$AZ$84</f>
        <v>108.92179299462808</v>
      </c>
      <c r="BH202" s="125">
        <f>BH90/293.07*(1/(VLOOKUP($AF202,'Fuel economy adjusted factor'!$A$2:$L$52,5,FALSE)*m2k))/'TCO Inputs'!$AZ$84</f>
        <v>108.92179299462808</v>
      </c>
      <c r="BI202" s="98" cm="1">
        <f t="array" ref="BI202">SUMPRODUCT(INDEX(AG202:BH202,,'TCO Inputs'!$AZ$12-2023+_xlfn.SEQUENCE('TCO Inputs'!$AZ$13))*INDEX('VKT US'!C94:AA94,,_xlfn.SEQUENCE('TCO Inputs'!$AZ$13)))*m2k*CONVERT(0.9072,"g","ton")</f>
        <v>23.410791785642925</v>
      </c>
    </row>
    <row r="203" spans="1:61" x14ac:dyDescent="0.25">
      <c r="A203" s="123" t="s">
        <v>209</v>
      </c>
      <c r="B203" s="125">
        <f>B91/293.07*(1/(VLOOKUP($A203,'Fuel economy adjusted factor'!$A$2:$L$52,5,FALSE)*m2k))/'TCO Inputs'!$AZ$84</f>
        <v>112.63858940148064</v>
      </c>
      <c r="C203" s="125">
        <f>C91/293.07*(1/(VLOOKUP($A203,'Fuel economy adjusted factor'!$A$2:$L$52,5,FALSE)*m2k))/'TCO Inputs'!$AZ$84</f>
        <v>112.63858940148064</v>
      </c>
      <c r="D203" s="125">
        <f>D91/293.07*(1/(VLOOKUP($A203,'Fuel economy adjusted factor'!$A$2:$L$52,5,FALSE)*m2k))/'TCO Inputs'!$AZ$84</f>
        <v>112.63858940148064</v>
      </c>
      <c r="E203" s="125">
        <f>E91/293.07*(1/(VLOOKUP($A203,'Fuel economy adjusted factor'!$A$2:$L$52,5,FALSE)*m2k))/'TCO Inputs'!$AZ$84</f>
        <v>112.63858940148064</v>
      </c>
      <c r="F203" s="125">
        <f>F91/293.07*(1/(VLOOKUP($A203,'Fuel economy adjusted factor'!$A$2:$L$52,5,FALSE)*m2k))/'TCO Inputs'!$AZ$84</f>
        <v>112.63858940148064</v>
      </c>
      <c r="G203" s="125">
        <f>G91/293.07*(1/(VLOOKUP($A203,'Fuel economy adjusted factor'!$A$2:$L$52,5,FALSE)*m2k))/'TCO Inputs'!$AZ$84</f>
        <v>112.63858940148064</v>
      </c>
      <c r="H203" s="125">
        <f>H91/293.07*(1/(VLOOKUP($A203,'Fuel economy adjusted factor'!$A$2:$L$52,5,FALSE)*m2k))/'TCO Inputs'!$AZ$84</f>
        <v>112.63858940148064</v>
      </c>
      <c r="I203" s="125">
        <f>I91/293.07*(1/(VLOOKUP($A203,'Fuel economy adjusted factor'!$A$2:$L$52,5,FALSE)*m2k))/'TCO Inputs'!$AZ$84</f>
        <v>112.63858940148064</v>
      </c>
      <c r="J203" s="125">
        <f>J91/293.07*(1/(VLOOKUP($A203,'Fuel economy adjusted factor'!$A$2:$L$52,5,FALSE)*m2k))/'TCO Inputs'!$AZ$84</f>
        <v>112.63858940148064</v>
      </c>
      <c r="K203" s="125">
        <f>K91/293.07*(1/(VLOOKUP($A203,'Fuel economy adjusted factor'!$A$2:$L$52,5,FALSE)*m2k))/'TCO Inputs'!$AZ$84</f>
        <v>112.63858940148064</v>
      </c>
      <c r="L203" s="125">
        <f>L91/293.07*(1/(VLOOKUP($A203,'Fuel economy adjusted factor'!$A$2:$L$52,5,FALSE)*m2k))/'TCO Inputs'!$AZ$84</f>
        <v>112.63858940148064</v>
      </c>
      <c r="M203" s="125">
        <f>M91/293.07*(1/(VLOOKUP($A203,'Fuel economy adjusted factor'!$A$2:$L$52,5,FALSE)*m2k))/'TCO Inputs'!$AZ$84</f>
        <v>112.63858940148064</v>
      </c>
      <c r="N203" s="125">
        <f>N91/293.07*(1/(VLOOKUP($A203,'Fuel economy adjusted factor'!$A$2:$L$52,5,FALSE)*m2k))/'TCO Inputs'!$AZ$84</f>
        <v>112.63858940148064</v>
      </c>
      <c r="O203" s="125">
        <f>O91/293.07*(1/(VLOOKUP($A203,'Fuel economy adjusted factor'!$A$2:$L$52,5,FALSE)*m2k))/'TCO Inputs'!$AZ$84</f>
        <v>112.63858940148064</v>
      </c>
      <c r="P203" s="125">
        <f>P91/293.07*(1/(VLOOKUP($A203,'Fuel economy adjusted factor'!$A$2:$L$52,5,FALSE)*m2k))/'TCO Inputs'!$AZ$84</f>
        <v>112.63858940148064</v>
      </c>
      <c r="Q203" s="125">
        <f>Q91/293.07*(1/(VLOOKUP($A203,'Fuel economy adjusted factor'!$A$2:$L$52,5,FALSE)*m2k))/'TCO Inputs'!$AZ$84</f>
        <v>112.63858940148064</v>
      </c>
      <c r="R203" s="125">
        <f>R91/293.07*(1/(VLOOKUP($A203,'Fuel economy adjusted factor'!$A$2:$L$52,5,FALSE)*m2k))/'TCO Inputs'!$AZ$84</f>
        <v>112.63858940148064</v>
      </c>
      <c r="S203" s="125">
        <f>S91/293.07*(1/(VLOOKUP($A203,'Fuel economy adjusted factor'!$A$2:$L$52,5,FALSE)*m2k))/'TCO Inputs'!$AZ$84</f>
        <v>112.63858940148064</v>
      </c>
      <c r="T203" s="125">
        <f>T91/293.07*(1/(VLOOKUP($A203,'Fuel economy adjusted factor'!$A$2:$L$52,5,FALSE)*m2k))/'TCO Inputs'!$AZ$84</f>
        <v>112.63858940148064</v>
      </c>
      <c r="U203" s="125">
        <f>U91/293.07*(1/(VLOOKUP($A203,'Fuel economy adjusted factor'!$A$2:$L$52,5,FALSE)*m2k))/'TCO Inputs'!$AZ$84</f>
        <v>112.63858940148064</v>
      </c>
      <c r="V203" s="125">
        <f>V91/293.07*(1/(VLOOKUP($A203,'Fuel economy adjusted factor'!$A$2:$L$52,5,FALSE)*m2k))/'TCO Inputs'!$AZ$84</f>
        <v>112.63858940148064</v>
      </c>
      <c r="W203" s="125">
        <f>W91/293.07*(1/(VLOOKUP($A203,'Fuel economy adjusted factor'!$A$2:$L$52,5,FALSE)*m2k))/'TCO Inputs'!$AZ$84</f>
        <v>112.63858940148064</v>
      </c>
      <c r="X203" s="125">
        <f>X91/293.07*(1/(VLOOKUP($A203,'Fuel economy adjusted factor'!$A$2:$L$52,5,FALSE)*m2k))/'TCO Inputs'!$AZ$84</f>
        <v>112.63858940148064</v>
      </c>
      <c r="Y203" s="125">
        <f>Y91/293.07*(1/(VLOOKUP($A203,'Fuel economy adjusted factor'!$A$2:$L$52,5,FALSE)*m2k))/'TCO Inputs'!$AZ$84</f>
        <v>112.63858940148064</v>
      </c>
      <c r="Z203" s="125">
        <f>Z91/293.07*(1/(VLOOKUP($A203,'Fuel economy adjusted factor'!$A$2:$L$52,5,FALSE)*m2k))/'TCO Inputs'!$AZ$84</f>
        <v>112.63858940148064</v>
      </c>
      <c r="AA203" s="125">
        <f>AA91/293.07*(1/(VLOOKUP($A203,'Fuel economy adjusted factor'!$A$2:$L$52,5,FALSE)*m2k))/'TCO Inputs'!$AZ$84</f>
        <v>112.63858940148064</v>
      </c>
      <c r="AB203" s="125">
        <f>AB91/293.07*(1/(VLOOKUP($A203,'Fuel economy adjusted factor'!$A$2:$L$52,5,FALSE)*m2k))/'TCO Inputs'!$AZ$84</f>
        <v>112.63858940148064</v>
      </c>
      <c r="AC203" s="125">
        <f>AC91/293.07*(1/(VLOOKUP($A203,'Fuel economy adjusted factor'!$A$2:$L$52,5,FALSE)*m2k))/'TCO Inputs'!$AZ$84</f>
        <v>112.63858940148064</v>
      </c>
      <c r="AD203" s="98" cm="1">
        <f t="array" ref="AD203">SUMPRODUCT(INDEX(B203:AC203,,'TCO Inputs'!$AZ$12-2023+_xlfn.SEQUENCE('TCO Inputs'!$AZ$13))*INDEX('VKT US'!C95:AA95,,_xlfn.SEQUENCE('TCO Inputs'!$AZ$13)))*m2k*CONVERT(0.9072,"g","ton")</f>
        <v>38.273012286890356</v>
      </c>
      <c r="AF203" s="123" t="s">
        <v>209</v>
      </c>
      <c r="AG203" s="125">
        <f>AG91/293.07*(1/(VLOOKUP($AF203,'Fuel economy adjusted factor'!$A$2:$L$52,5,FALSE)*m2k))/'TCO Inputs'!$AZ$84</f>
        <v>130.48509373897809</v>
      </c>
      <c r="AH203" s="125">
        <f>AH91/293.07*(1/(VLOOKUP($AF203,'Fuel economy adjusted factor'!$A$2:$L$52,5,FALSE)*m2k))/'TCO Inputs'!$AZ$84</f>
        <v>130.48509373897809</v>
      </c>
      <c r="AI203" s="125">
        <f>AI91/293.07*(1/(VLOOKUP($AF203,'Fuel economy adjusted factor'!$A$2:$L$52,5,FALSE)*m2k))/'TCO Inputs'!$AZ$84</f>
        <v>130.48509373897809</v>
      </c>
      <c r="AJ203" s="125">
        <f>AJ91/293.07*(1/(VLOOKUP($AF203,'Fuel economy adjusted factor'!$A$2:$L$52,5,FALSE)*m2k))/'TCO Inputs'!$AZ$84</f>
        <v>130.48509373897809</v>
      </c>
      <c r="AK203" s="125">
        <f>AK91/293.07*(1/(VLOOKUP($AF203,'Fuel economy adjusted factor'!$A$2:$L$52,5,FALSE)*m2k))/'TCO Inputs'!$AZ$84</f>
        <v>130.48509373897809</v>
      </c>
      <c r="AL203" s="125">
        <f>AL91/293.07*(1/(VLOOKUP($AF203,'Fuel economy adjusted factor'!$A$2:$L$52,5,FALSE)*m2k))/'TCO Inputs'!$AZ$84</f>
        <v>130.48509373897809</v>
      </c>
      <c r="AM203" s="125">
        <f>AM91/293.07*(1/(VLOOKUP($AF203,'Fuel economy adjusted factor'!$A$2:$L$52,5,FALSE)*m2k))/'TCO Inputs'!$AZ$84</f>
        <v>130.48509373897809</v>
      </c>
      <c r="AN203" s="125">
        <f>AN91/293.07*(1/(VLOOKUP($AF203,'Fuel economy adjusted factor'!$A$2:$L$52,5,FALSE)*m2k))/'TCO Inputs'!$AZ$84</f>
        <v>130.48509373897809</v>
      </c>
      <c r="AO203" s="125">
        <f>AO91/293.07*(1/(VLOOKUP($AF203,'Fuel economy adjusted factor'!$A$2:$L$52,5,FALSE)*m2k))/'TCO Inputs'!$AZ$84</f>
        <v>130.48509373897809</v>
      </c>
      <c r="AP203" s="125">
        <f>AP91/293.07*(1/(VLOOKUP($AF203,'Fuel economy adjusted factor'!$A$2:$L$52,5,FALSE)*m2k))/'TCO Inputs'!$AZ$84</f>
        <v>130.48509373897809</v>
      </c>
      <c r="AQ203" s="125">
        <f>AQ91/293.07*(1/(VLOOKUP($AF203,'Fuel economy adjusted factor'!$A$2:$L$52,5,FALSE)*m2k))/'TCO Inputs'!$AZ$84</f>
        <v>130.48509373897809</v>
      </c>
      <c r="AR203" s="125">
        <f>AR91/293.07*(1/(VLOOKUP($AF203,'Fuel economy adjusted factor'!$A$2:$L$52,5,FALSE)*m2k))/'TCO Inputs'!$AZ$84</f>
        <v>130.48509373897809</v>
      </c>
      <c r="AS203" s="125">
        <f>AS91/293.07*(1/(VLOOKUP($AF203,'Fuel economy adjusted factor'!$A$2:$L$52,5,FALSE)*m2k))/'TCO Inputs'!$AZ$84</f>
        <v>130.48509373897809</v>
      </c>
      <c r="AT203" s="125">
        <f>AT91/293.07*(1/(VLOOKUP($AF203,'Fuel economy adjusted factor'!$A$2:$L$52,5,FALSE)*m2k))/'TCO Inputs'!$AZ$84</f>
        <v>130.48509373897809</v>
      </c>
      <c r="AU203" s="125">
        <f>AU91/293.07*(1/(VLOOKUP($AF203,'Fuel economy adjusted factor'!$A$2:$L$52,5,FALSE)*m2k))/'TCO Inputs'!$AZ$84</f>
        <v>130.48509373897809</v>
      </c>
      <c r="AV203" s="125">
        <f>AV91/293.07*(1/(VLOOKUP($AF203,'Fuel economy adjusted factor'!$A$2:$L$52,5,FALSE)*m2k))/'TCO Inputs'!$AZ$84</f>
        <v>130.48509373897809</v>
      </c>
      <c r="AW203" s="125">
        <f>AW91/293.07*(1/(VLOOKUP($AF203,'Fuel economy adjusted factor'!$A$2:$L$52,5,FALSE)*m2k))/'TCO Inputs'!$AZ$84</f>
        <v>130.48509373897809</v>
      </c>
      <c r="AX203" s="125">
        <f>AX91/293.07*(1/(VLOOKUP($AF203,'Fuel economy adjusted factor'!$A$2:$L$52,5,FALSE)*m2k))/'TCO Inputs'!$AZ$84</f>
        <v>130.48509373897809</v>
      </c>
      <c r="AY203" s="125">
        <f>AY91/293.07*(1/(VLOOKUP($AF203,'Fuel economy adjusted factor'!$A$2:$L$52,5,FALSE)*m2k))/'TCO Inputs'!$AZ$84</f>
        <v>130.48509373897809</v>
      </c>
      <c r="AZ203" s="125">
        <f>AZ91/293.07*(1/(VLOOKUP($AF203,'Fuel economy adjusted factor'!$A$2:$L$52,5,FALSE)*m2k))/'TCO Inputs'!$AZ$84</f>
        <v>130.48509373897809</v>
      </c>
      <c r="BA203" s="125">
        <f>BA91/293.07*(1/(VLOOKUP($AF203,'Fuel economy adjusted factor'!$A$2:$L$52,5,FALSE)*m2k))/'TCO Inputs'!$AZ$84</f>
        <v>130.48509373897809</v>
      </c>
      <c r="BB203" s="125">
        <f>BB91/293.07*(1/(VLOOKUP($AF203,'Fuel economy adjusted factor'!$A$2:$L$52,5,FALSE)*m2k))/'TCO Inputs'!$AZ$84</f>
        <v>130.48509373897809</v>
      </c>
      <c r="BC203" s="125">
        <f>BC91/293.07*(1/(VLOOKUP($AF203,'Fuel economy adjusted factor'!$A$2:$L$52,5,FALSE)*m2k))/'TCO Inputs'!$AZ$84</f>
        <v>130.48509373897809</v>
      </c>
      <c r="BD203" s="125">
        <f>BD91/293.07*(1/(VLOOKUP($AF203,'Fuel economy adjusted factor'!$A$2:$L$52,5,FALSE)*m2k))/'TCO Inputs'!$AZ$84</f>
        <v>130.48509373897809</v>
      </c>
      <c r="BE203" s="125">
        <f>BE91/293.07*(1/(VLOOKUP($AF203,'Fuel economy adjusted factor'!$A$2:$L$52,5,FALSE)*m2k))/'TCO Inputs'!$AZ$84</f>
        <v>130.48509373897809</v>
      </c>
      <c r="BF203" s="125">
        <f>BF91/293.07*(1/(VLOOKUP($AF203,'Fuel economy adjusted factor'!$A$2:$L$52,5,FALSE)*m2k))/'TCO Inputs'!$AZ$84</f>
        <v>130.48509373897809</v>
      </c>
      <c r="BG203" s="125">
        <f>BG91/293.07*(1/(VLOOKUP($AF203,'Fuel economy adjusted factor'!$A$2:$L$52,5,FALSE)*m2k))/'TCO Inputs'!$AZ$84</f>
        <v>130.48509373897809</v>
      </c>
      <c r="BH203" s="125">
        <f>BH91/293.07*(1/(VLOOKUP($AF203,'Fuel economy adjusted factor'!$A$2:$L$52,5,FALSE)*m2k))/'TCO Inputs'!$AZ$84</f>
        <v>130.48509373897809</v>
      </c>
      <c r="BI203" s="98" cm="1">
        <f t="array" ref="BI203">SUMPRODUCT(INDEX(AG203:BH203,,'TCO Inputs'!$AZ$12-2023+_xlfn.SEQUENCE('TCO Inputs'!$AZ$13))*INDEX('VKT US'!C95:AA95,,_xlfn.SEQUENCE('TCO Inputs'!$AZ$13)))*m2k*CONVERT(0.9072,"g","ton")</f>
        <v>44.337004062857169</v>
      </c>
    </row>
    <row r="204" spans="1:61" x14ac:dyDescent="0.25">
      <c r="A204" s="123" t="s">
        <v>210</v>
      </c>
      <c r="B204" s="125">
        <f>B92/293.07*(1/(VLOOKUP($A204,'Fuel economy adjusted factor'!$A$2:$L$52,5,FALSE)*m2k))/'TCO Inputs'!$AZ$84</f>
        <v>244.88040287777361</v>
      </c>
      <c r="C204" s="125">
        <f>C92/293.07*(1/(VLOOKUP($A204,'Fuel economy adjusted factor'!$A$2:$L$52,5,FALSE)*m2k))/'TCO Inputs'!$AZ$84</f>
        <v>244.88040287777361</v>
      </c>
      <c r="D204" s="125">
        <f>D92/293.07*(1/(VLOOKUP($A204,'Fuel economy adjusted factor'!$A$2:$L$52,5,FALSE)*m2k))/'TCO Inputs'!$AZ$84</f>
        <v>244.88040287777361</v>
      </c>
      <c r="E204" s="125">
        <f>E92/293.07*(1/(VLOOKUP($A204,'Fuel economy adjusted factor'!$A$2:$L$52,5,FALSE)*m2k))/'TCO Inputs'!$AZ$84</f>
        <v>244.88040287777361</v>
      </c>
      <c r="F204" s="125">
        <f>F92/293.07*(1/(VLOOKUP($A204,'Fuel economy adjusted factor'!$A$2:$L$52,5,FALSE)*m2k))/'TCO Inputs'!$AZ$84</f>
        <v>244.88040287777361</v>
      </c>
      <c r="G204" s="125">
        <f>G92/293.07*(1/(VLOOKUP($A204,'Fuel economy adjusted factor'!$A$2:$L$52,5,FALSE)*m2k))/'TCO Inputs'!$AZ$84</f>
        <v>244.88040287777361</v>
      </c>
      <c r="H204" s="125">
        <f>H92/293.07*(1/(VLOOKUP($A204,'Fuel economy adjusted factor'!$A$2:$L$52,5,FALSE)*m2k))/'TCO Inputs'!$AZ$84</f>
        <v>244.88040287777361</v>
      </c>
      <c r="I204" s="125">
        <f>I92/293.07*(1/(VLOOKUP($A204,'Fuel economy adjusted factor'!$A$2:$L$52,5,FALSE)*m2k))/'TCO Inputs'!$AZ$84</f>
        <v>244.88040287777361</v>
      </c>
      <c r="J204" s="125">
        <f>J92/293.07*(1/(VLOOKUP($A204,'Fuel economy adjusted factor'!$A$2:$L$52,5,FALSE)*m2k))/'TCO Inputs'!$AZ$84</f>
        <v>244.88040287777361</v>
      </c>
      <c r="K204" s="125">
        <f>K92/293.07*(1/(VLOOKUP($A204,'Fuel economy adjusted factor'!$A$2:$L$52,5,FALSE)*m2k))/'TCO Inputs'!$AZ$84</f>
        <v>244.88040287777361</v>
      </c>
      <c r="L204" s="125">
        <f>L92/293.07*(1/(VLOOKUP($A204,'Fuel economy adjusted factor'!$A$2:$L$52,5,FALSE)*m2k))/'TCO Inputs'!$AZ$84</f>
        <v>244.88040287777361</v>
      </c>
      <c r="M204" s="125">
        <f>M92/293.07*(1/(VLOOKUP($A204,'Fuel economy adjusted factor'!$A$2:$L$52,5,FALSE)*m2k))/'TCO Inputs'!$AZ$84</f>
        <v>244.88040287777361</v>
      </c>
      <c r="N204" s="125">
        <f>N92/293.07*(1/(VLOOKUP($A204,'Fuel economy adjusted factor'!$A$2:$L$52,5,FALSE)*m2k))/'TCO Inputs'!$AZ$84</f>
        <v>244.88040287777361</v>
      </c>
      <c r="O204" s="125">
        <f>O92/293.07*(1/(VLOOKUP($A204,'Fuel economy adjusted factor'!$A$2:$L$52,5,FALSE)*m2k))/'TCO Inputs'!$AZ$84</f>
        <v>244.88040287777361</v>
      </c>
      <c r="P204" s="125">
        <f>P92/293.07*(1/(VLOOKUP($A204,'Fuel economy adjusted factor'!$A$2:$L$52,5,FALSE)*m2k))/'TCO Inputs'!$AZ$84</f>
        <v>244.88040287777361</v>
      </c>
      <c r="Q204" s="125">
        <f>Q92/293.07*(1/(VLOOKUP($A204,'Fuel economy adjusted factor'!$A$2:$L$52,5,FALSE)*m2k))/'TCO Inputs'!$AZ$84</f>
        <v>244.88040287777361</v>
      </c>
      <c r="R204" s="125">
        <f>R92/293.07*(1/(VLOOKUP($A204,'Fuel economy adjusted factor'!$A$2:$L$52,5,FALSE)*m2k))/'TCO Inputs'!$AZ$84</f>
        <v>244.88040287777361</v>
      </c>
      <c r="S204" s="125">
        <f>S92/293.07*(1/(VLOOKUP($A204,'Fuel economy adjusted factor'!$A$2:$L$52,5,FALSE)*m2k))/'TCO Inputs'!$AZ$84</f>
        <v>244.88040287777361</v>
      </c>
      <c r="T204" s="125">
        <f>T92/293.07*(1/(VLOOKUP($A204,'Fuel economy adjusted factor'!$A$2:$L$52,5,FALSE)*m2k))/'TCO Inputs'!$AZ$84</f>
        <v>244.88040287777361</v>
      </c>
      <c r="U204" s="125">
        <f>U92/293.07*(1/(VLOOKUP($A204,'Fuel economy adjusted factor'!$A$2:$L$52,5,FALSE)*m2k))/'TCO Inputs'!$AZ$84</f>
        <v>244.88040287777361</v>
      </c>
      <c r="V204" s="125">
        <f>V92/293.07*(1/(VLOOKUP($A204,'Fuel economy adjusted factor'!$A$2:$L$52,5,FALSE)*m2k))/'TCO Inputs'!$AZ$84</f>
        <v>244.88040287777361</v>
      </c>
      <c r="W204" s="125">
        <f>W92/293.07*(1/(VLOOKUP($A204,'Fuel economy adjusted factor'!$A$2:$L$52,5,FALSE)*m2k))/'TCO Inputs'!$AZ$84</f>
        <v>244.88040287777361</v>
      </c>
      <c r="X204" s="125">
        <f>X92/293.07*(1/(VLOOKUP($A204,'Fuel economy adjusted factor'!$A$2:$L$52,5,FALSE)*m2k))/'TCO Inputs'!$AZ$84</f>
        <v>244.88040287777361</v>
      </c>
      <c r="Y204" s="125">
        <f>Y92/293.07*(1/(VLOOKUP($A204,'Fuel economy adjusted factor'!$A$2:$L$52,5,FALSE)*m2k))/'TCO Inputs'!$AZ$84</f>
        <v>244.88040287777361</v>
      </c>
      <c r="Z204" s="125">
        <f>Z92/293.07*(1/(VLOOKUP($A204,'Fuel economy adjusted factor'!$A$2:$L$52,5,FALSE)*m2k))/'TCO Inputs'!$AZ$84</f>
        <v>244.88040287777361</v>
      </c>
      <c r="AA204" s="125">
        <f>AA92/293.07*(1/(VLOOKUP($A204,'Fuel economy adjusted factor'!$A$2:$L$52,5,FALSE)*m2k))/'TCO Inputs'!$AZ$84</f>
        <v>244.88040287777361</v>
      </c>
      <c r="AB204" s="125">
        <f>AB92/293.07*(1/(VLOOKUP($A204,'Fuel economy adjusted factor'!$A$2:$L$52,5,FALSE)*m2k))/'TCO Inputs'!$AZ$84</f>
        <v>244.88040287777361</v>
      </c>
      <c r="AC204" s="125">
        <f>AC92/293.07*(1/(VLOOKUP($A204,'Fuel economy adjusted factor'!$A$2:$L$52,5,FALSE)*m2k))/'TCO Inputs'!$AZ$84</f>
        <v>244.88040287777361</v>
      </c>
      <c r="AD204" s="98" cm="1">
        <f t="array" ref="AD204">SUMPRODUCT(INDEX(B204:AC204,,'TCO Inputs'!$AZ$12-2023+_xlfn.SEQUENCE('TCO Inputs'!$AZ$13))*INDEX('VKT US'!C96:AA96,,_xlfn.SEQUENCE('TCO Inputs'!$AZ$13)))*m2k*CONVERT(0.9072,"g","ton")</f>
        <v>91.479473208915522</v>
      </c>
      <c r="AF204" s="123" t="s">
        <v>210</v>
      </c>
      <c r="AG204" s="125">
        <f>AG92/293.07*(1/(VLOOKUP($AF204,'Fuel economy adjusted factor'!$A$2:$L$52,5,FALSE)*m2k))/'TCO Inputs'!$AZ$84</f>
        <v>283.67935442136297</v>
      </c>
      <c r="AH204" s="125">
        <f>AH92/293.07*(1/(VLOOKUP($AF204,'Fuel economy adjusted factor'!$A$2:$L$52,5,FALSE)*m2k))/'TCO Inputs'!$AZ$84</f>
        <v>283.67935442136297</v>
      </c>
      <c r="AI204" s="125">
        <f>AI92/293.07*(1/(VLOOKUP($AF204,'Fuel economy adjusted factor'!$A$2:$L$52,5,FALSE)*m2k))/'TCO Inputs'!$AZ$84</f>
        <v>283.67935442136297</v>
      </c>
      <c r="AJ204" s="125">
        <f>AJ92/293.07*(1/(VLOOKUP($AF204,'Fuel economy adjusted factor'!$A$2:$L$52,5,FALSE)*m2k))/'TCO Inputs'!$AZ$84</f>
        <v>283.67935442136297</v>
      </c>
      <c r="AK204" s="125">
        <f>AK92/293.07*(1/(VLOOKUP($AF204,'Fuel economy adjusted factor'!$A$2:$L$52,5,FALSE)*m2k))/'TCO Inputs'!$AZ$84</f>
        <v>283.67935442136297</v>
      </c>
      <c r="AL204" s="125">
        <f>AL92/293.07*(1/(VLOOKUP($AF204,'Fuel economy adjusted factor'!$A$2:$L$52,5,FALSE)*m2k))/'TCO Inputs'!$AZ$84</f>
        <v>283.67935442136297</v>
      </c>
      <c r="AM204" s="125">
        <f>AM92/293.07*(1/(VLOOKUP($AF204,'Fuel economy adjusted factor'!$A$2:$L$52,5,FALSE)*m2k))/'TCO Inputs'!$AZ$84</f>
        <v>283.67935442136297</v>
      </c>
      <c r="AN204" s="125">
        <f>AN92/293.07*(1/(VLOOKUP($AF204,'Fuel economy adjusted factor'!$A$2:$L$52,5,FALSE)*m2k))/'TCO Inputs'!$AZ$84</f>
        <v>283.67935442136297</v>
      </c>
      <c r="AO204" s="125">
        <f>AO92/293.07*(1/(VLOOKUP($AF204,'Fuel economy adjusted factor'!$A$2:$L$52,5,FALSE)*m2k))/'TCO Inputs'!$AZ$84</f>
        <v>283.67935442136297</v>
      </c>
      <c r="AP204" s="125">
        <f>AP92/293.07*(1/(VLOOKUP($AF204,'Fuel economy adjusted factor'!$A$2:$L$52,5,FALSE)*m2k))/'TCO Inputs'!$AZ$84</f>
        <v>283.67935442136297</v>
      </c>
      <c r="AQ204" s="125">
        <f>AQ92/293.07*(1/(VLOOKUP($AF204,'Fuel economy adjusted factor'!$A$2:$L$52,5,FALSE)*m2k))/'TCO Inputs'!$AZ$84</f>
        <v>283.67935442136297</v>
      </c>
      <c r="AR204" s="125">
        <f>AR92/293.07*(1/(VLOOKUP($AF204,'Fuel economy adjusted factor'!$A$2:$L$52,5,FALSE)*m2k))/'TCO Inputs'!$AZ$84</f>
        <v>283.67935442136297</v>
      </c>
      <c r="AS204" s="125">
        <f>AS92/293.07*(1/(VLOOKUP($AF204,'Fuel economy adjusted factor'!$A$2:$L$52,5,FALSE)*m2k))/'TCO Inputs'!$AZ$84</f>
        <v>283.67935442136297</v>
      </c>
      <c r="AT204" s="125">
        <f>AT92/293.07*(1/(VLOOKUP($AF204,'Fuel economy adjusted factor'!$A$2:$L$52,5,FALSE)*m2k))/'TCO Inputs'!$AZ$84</f>
        <v>283.67935442136297</v>
      </c>
      <c r="AU204" s="125">
        <f>AU92/293.07*(1/(VLOOKUP($AF204,'Fuel economy adjusted factor'!$A$2:$L$52,5,FALSE)*m2k))/'TCO Inputs'!$AZ$84</f>
        <v>283.67935442136297</v>
      </c>
      <c r="AV204" s="125">
        <f>AV92/293.07*(1/(VLOOKUP($AF204,'Fuel economy adjusted factor'!$A$2:$L$52,5,FALSE)*m2k))/'TCO Inputs'!$AZ$84</f>
        <v>283.67935442136297</v>
      </c>
      <c r="AW204" s="125">
        <f>AW92/293.07*(1/(VLOOKUP($AF204,'Fuel economy adjusted factor'!$A$2:$L$52,5,FALSE)*m2k))/'TCO Inputs'!$AZ$84</f>
        <v>283.67935442136297</v>
      </c>
      <c r="AX204" s="125">
        <f>AX92/293.07*(1/(VLOOKUP($AF204,'Fuel economy adjusted factor'!$A$2:$L$52,5,FALSE)*m2k))/'TCO Inputs'!$AZ$84</f>
        <v>283.67935442136297</v>
      </c>
      <c r="AY204" s="125">
        <f>AY92/293.07*(1/(VLOOKUP($AF204,'Fuel economy adjusted factor'!$A$2:$L$52,5,FALSE)*m2k))/'TCO Inputs'!$AZ$84</f>
        <v>283.67935442136297</v>
      </c>
      <c r="AZ204" s="125">
        <f>AZ92/293.07*(1/(VLOOKUP($AF204,'Fuel economy adjusted factor'!$A$2:$L$52,5,FALSE)*m2k))/'TCO Inputs'!$AZ$84</f>
        <v>283.67935442136297</v>
      </c>
      <c r="BA204" s="125">
        <f>BA92/293.07*(1/(VLOOKUP($AF204,'Fuel economy adjusted factor'!$A$2:$L$52,5,FALSE)*m2k))/'TCO Inputs'!$AZ$84</f>
        <v>283.67935442136297</v>
      </c>
      <c r="BB204" s="125">
        <f>BB92/293.07*(1/(VLOOKUP($AF204,'Fuel economy adjusted factor'!$A$2:$L$52,5,FALSE)*m2k))/'TCO Inputs'!$AZ$84</f>
        <v>283.67935442136297</v>
      </c>
      <c r="BC204" s="125">
        <f>BC92/293.07*(1/(VLOOKUP($AF204,'Fuel economy adjusted factor'!$A$2:$L$52,5,FALSE)*m2k))/'TCO Inputs'!$AZ$84</f>
        <v>283.67935442136297</v>
      </c>
      <c r="BD204" s="125">
        <f>BD92/293.07*(1/(VLOOKUP($AF204,'Fuel economy adjusted factor'!$A$2:$L$52,5,FALSE)*m2k))/'TCO Inputs'!$AZ$84</f>
        <v>283.67935442136297</v>
      </c>
      <c r="BE204" s="125">
        <f>BE92/293.07*(1/(VLOOKUP($AF204,'Fuel economy adjusted factor'!$A$2:$L$52,5,FALSE)*m2k))/'TCO Inputs'!$AZ$84</f>
        <v>283.67935442136297</v>
      </c>
      <c r="BF204" s="125">
        <f>BF92/293.07*(1/(VLOOKUP($AF204,'Fuel economy adjusted factor'!$A$2:$L$52,5,FALSE)*m2k))/'TCO Inputs'!$AZ$84</f>
        <v>283.67935442136297</v>
      </c>
      <c r="BG204" s="125">
        <f>BG92/293.07*(1/(VLOOKUP($AF204,'Fuel economy adjusted factor'!$A$2:$L$52,5,FALSE)*m2k))/'TCO Inputs'!$AZ$84</f>
        <v>283.67935442136297</v>
      </c>
      <c r="BH204" s="125">
        <f>BH92/293.07*(1/(VLOOKUP($AF204,'Fuel economy adjusted factor'!$A$2:$L$52,5,FALSE)*m2k))/'TCO Inputs'!$AZ$84</f>
        <v>283.67935442136297</v>
      </c>
      <c r="BI204" s="98" cm="1">
        <f t="array" ref="BI204">SUMPRODUCT(INDEX(AG204:BH204,,'TCO Inputs'!$AZ$12-2023+_xlfn.SEQUENCE('TCO Inputs'!$AZ$13))*INDEX('VKT US'!C96:AA96,,_xlfn.SEQUENCE('TCO Inputs'!$AZ$13)))*m2k*CONVERT(0.9072,"g","ton")</f>
        <v>105.97351849206281</v>
      </c>
    </row>
    <row r="205" spans="1:61" x14ac:dyDescent="0.25">
      <c r="A205" s="123" t="s">
        <v>217</v>
      </c>
      <c r="B205" s="125">
        <f>B93/293.07*(1/(VLOOKUP($A205,'Fuel economy adjusted factor'!$A$2:$L$52,5,FALSE)*m2k))/'TCO Inputs'!$AZ$84</f>
        <v>204.22786176205213</v>
      </c>
      <c r="C205" s="125">
        <f>C93/293.07*(1/(VLOOKUP($A205,'Fuel economy adjusted factor'!$A$2:$L$52,5,FALSE)*m2k))/'TCO Inputs'!$AZ$84</f>
        <v>204.22786176205213</v>
      </c>
      <c r="D205" s="125">
        <f>D93/293.07*(1/(VLOOKUP($A205,'Fuel economy adjusted factor'!$A$2:$L$52,5,FALSE)*m2k))/'TCO Inputs'!$AZ$84</f>
        <v>204.22786176205213</v>
      </c>
      <c r="E205" s="125">
        <f>E93/293.07*(1/(VLOOKUP($A205,'Fuel economy adjusted factor'!$A$2:$L$52,5,FALSE)*m2k))/'TCO Inputs'!$AZ$84</f>
        <v>204.22786176205213</v>
      </c>
      <c r="F205" s="125">
        <f>F93/293.07*(1/(VLOOKUP($A205,'Fuel economy adjusted factor'!$A$2:$L$52,5,FALSE)*m2k))/'TCO Inputs'!$AZ$84</f>
        <v>204.22786176205213</v>
      </c>
      <c r="G205" s="125">
        <f>G93/293.07*(1/(VLOOKUP($A205,'Fuel economy adjusted factor'!$A$2:$L$52,5,FALSE)*m2k))/'TCO Inputs'!$AZ$84</f>
        <v>204.22786176205213</v>
      </c>
      <c r="H205" s="125">
        <f>H93/293.07*(1/(VLOOKUP($A205,'Fuel economy adjusted factor'!$A$2:$L$52,5,FALSE)*m2k))/'TCO Inputs'!$AZ$84</f>
        <v>204.22786176205213</v>
      </c>
      <c r="I205" s="125">
        <f>I93/293.07*(1/(VLOOKUP($A205,'Fuel economy adjusted factor'!$A$2:$L$52,5,FALSE)*m2k))/'TCO Inputs'!$AZ$84</f>
        <v>204.22786176205213</v>
      </c>
      <c r="J205" s="125">
        <f>J93/293.07*(1/(VLOOKUP($A205,'Fuel economy adjusted factor'!$A$2:$L$52,5,FALSE)*m2k))/'TCO Inputs'!$AZ$84</f>
        <v>204.22786176205213</v>
      </c>
      <c r="K205" s="125">
        <f>K93/293.07*(1/(VLOOKUP($A205,'Fuel economy adjusted factor'!$A$2:$L$52,5,FALSE)*m2k))/'TCO Inputs'!$AZ$84</f>
        <v>204.22786176205213</v>
      </c>
      <c r="L205" s="125">
        <f>L93/293.07*(1/(VLOOKUP($A205,'Fuel economy adjusted factor'!$A$2:$L$52,5,FALSE)*m2k))/'TCO Inputs'!$AZ$84</f>
        <v>204.22786176205213</v>
      </c>
      <c r="M205" s="125">
        <f>M93/293.07*(1/(VLOOKUP($A205,'Fuel economy adjusted factor'!$A$2:$L$52,5,FALSE)*m2k))/'TCO Inputs'!$AZ$84</f>
        <v>204.22786176205213</v>
      </c>
      <c r="N205" s="125">
        <f>N93/293.07*(1/(VLOOKUP($A205,'Fuel economy adjusted factor'!$A$2:$L$52,5,FALSE)*m2k))/'TCO Inputs'!$AZ$84</f>
        <v>204.22786176205213</v>
      </c>
      <c r="O205" s="125">
        <f>O93/293.07*(1/(VLOOKUP($A205,'Fuel economy adjusted factor'!$A$2:$L$52,5,FALSE)*m2k))/'TCO Inputs'!$AZ$84</f>
        <v>204.22786176205213</v>
      </c>
      <c r="P205" s="125">
        <f>P93/293.07*(1/(VLOOKUP($A205,'Fuel economy adjusted factor'!$A$2:$L$52,5,FALSE)*m2k))/'TCO Inputs'!$AZ$84</f>
        <v>204.22786176205213</v>
      </c>
      <c r="Q205" s="125">
        <f>Q93/293.07*(1/(VLOOKUP($A205,'Fuel economy adjusted factor'!$A$2:$L$52,5,FALSE)*m2k))/'TCO Inputs'!$AZ$84</f>
        <v>204.22786176205213</v>
      </c>
      <c r="R205" s="125">
        <f>R93/293.07*(1/(VLOOKUP($A205,'Fuel economy adjusted factor'!$A$2:$L$52,5,FALSE)*m2k))/'TCO Inputs'!$AZ$84</f>
        <v>204.22786176205213</v>
      </c>
      <c r="S205" s="125">
        <f>S93/293.07*(1/(VLOOKUP($A205,'Fuel economy adjusted factor'!$A$2:$L$52,5,FALSE)*m2k))/'TCO Inputs'!$AZ$84</f>
        <v>204.22786176205213</v>
      </c>
      <c r="T205" s="125">
        <f>T93/293.07*(1/(VLOOKUP($A205,'Fuel economy adjusted factor'!$A$2:$L$52,5,FALSE)*m2k))/'TCO Inputs'!$AZ$84</f>
        <v>204.22786176205213</v>
      </c>
      <c r="U205" s="125">
        <f>U93/293.07*(1/(VLOOKUP($A205,'Fuel economy adjusted factor'!$A$2:$L$52,5,FALSE)*m2k))/'TCO Inputs'!$AZ$84</f>
        <v>204.22786176205213</v>
      </c>
      <c r="V205" s="125">
        <f>V93/293.07*(1/(VLOOKUP($A205,'Fuel economy adjusted factor'!$A$2:$L$52,5,FALSE)*m2k))/'TCO Inputs'!$AZ$84</f>
        <v>204.22786176205213</v>
      </c>
      <c r="W205" s="125">
        <f>W93/293.07*(1/(VLOOKUP($A205,'Fuel economy adjusted factor'!$A$2:$L$52,5,FALSE)*m2k))/'TCO Inputs'!$AZ$84</f>
        <v>204.22786176205213</v>
      </c>
      <c r="X205" s="125">
        <f>X93/293.07*(1/(VLOOKUP($A205,'Fuel economy adjusted factor'!$A$2:$L$52,5,FALSE)*m2k))/'TCO Inputs'!$AZ$84</f>
        <v>204.22786176205213</v>
      </c>
      <c r="Y205" s="125">
        <f>Y93/293.07*(1/(VLOOKUP($A205,'Fuel economy adjusted factor'!$A$2:$L$52,5,FALSE)*m2k))/'TCO Inputs'!$AZ$84</f>
        <v>204.22786176205213</v>
      </c>
      <c r="Z205" s="125">
        <f>Z93/293.07*(1/(VLOOKUP($A205,'Fuel economy adjusted factor'!$A$2:$L$52,5,FALSE)*m2k))/'TCO Inputs'!$AZ$84</f>
        <v>204.22786176205213</v>
      </c>
      <c r="AA205" s="125">
        <f>AA93/293.07*(1/(VLOOKUP($A205,'Fuel economy adjusted factor'!$A$2:$L$52,5,FALSE)*m2k))/'TCO Inputs'!$AZ$84</f>
        <v>204.22786176205213</v>
      </c>
      <c r="AB205" s="125">
        <f>AB93/293.07*(1/(VLOOKUP($A205,'Fuel economy adjusted factor'!$A$2:$L$52,5,FALSE)*m2k))/'TCO Inputs'!$AZ$84</f>
        <v>204.22786176205213</v>
      </c>
      <c r="AC205" s="125">
        <f>AC93/293.07*(1/(VLOOKUP($A205,'Fuel economy adjusted factor'!$A$2:$L$52,5,FALSE)*m2k))/'TCO Inputs'!$AZ$84</f>
        <v>204.22786176205213</v>
      </c>
      <c r="AD205" s="98" cm="1">
        <f t="array" ref="AD205">SUMPRODUCT(INDEX(B205:AC205,,'TCO Inputs'!$AZ$12-2023+_xlfn.SEQUENCE('TCO Inputs'!$AZ$13))*INDEX('VKT US'!C97:AA97,,_xlfn.SEQUENCE('TCO Inputs'!$AZ$13)))*m2k*CONVERT(0.9072,"g","ton")</f>
        <v>61.644007561256053</v>
      </c>
      <c r="AF205" s="123" t="s">
        <v>217</v>
      </c>
      <c r="AG205" s="125">
        <f>AG93/293.07*(1/(VLOOKUP($AF205,'Fuel economy adjusted factor'!$A$2:$L$52,5,FALSE)*m2k))/'TCO Inputs'!$AZ$84</f>
        <v>236.5858080053525</v>
      </c>
      <c r="AH205" s="125">
        <f>AH93/293.07*(1/(VLOOKUP($AF205,'Fuel economy adjusted factor'!$A$2:$L$52,5,FALSE)*m2k))/'TCO Inputs'!$AZ$84</f>
        <v>236.5858080053525</v>
      </c>
      <c r="AI205" s="125">
        <f>AI93/293.07*(1/(VLOOKUP($AF205,'Fuel economy adjusted factor'!$A$2:$L$52,5,FALSE)*m2k))/'TCO Inputs'!$AZ$84</f>
        <v>236.5858080053525</v>
      </c>
      <c r="AJ205" s="125">
        <f>AJ93/293.07*(1/(VLOOKUP($AF205,'Fuel economy adjusted factor'!$A$2:$L$52,5,FALSE)*m2k))/'TCO Inputs'!$AZ$84</f>
        <v>236.5858080053525</v>
      </c>
      <c r="AK205" s="125">
        <f>AK93/293.07*(1/(VLOOKUP($AF205,'Fuel economy adjusted factor'!$A$2:$L$52,5,FALSE)*m2k))/'TCO Inputs'!$AZ$84</f>
        <v>236.5858080053525</v>
      </c>
      <c r="AL205" s="125">
        <f>AL93/293.07*(1/(VLOOKUP($AF205,'Fuel economy adjusted factor'!$A$2:$L$52,5,FALSE)*m2k))/'TCO Inputs'!$AZ$84</f>
        <v>236.5858080053525</v>
      </c>
      <c r="AM205" s="125">
        <f>AM93/293.07*(1/(VLOOKUP($AF205,'Fuel economy adjusted factor'!$A$2:$L$52,5,FALSE)*m2k))/'TCO Inputs'!$AZ$84</f>
        <v>236.5858080053525</v>
      </c>
      <c r="AN205" s="125">
        <f>AN93/293.07*(1/(VLOOKUP($AF205,'Fuel economy adjusted factor'!$A$2:$L$52,5,FALSE)*m2k))/'TCO Inputs'!$AZ$84</f>
        <v>236.5858080053525</v>
      </c>
      <c r="AO205" s="125">
        <f>AO93/293.07*(1/(VLOOKUP($AF205,'Fuel economy adjusted factor'!$A$2:$L$52,5,FALSE)*m2k))/'TCO Inputs'!$AZ$84</f>
        <v>236.5858080053525</v>
      </c>
      <c r="AP205" s="125">
        <f>AP93/293.07*(1/(VLOOKUP($AF205,'Fuel economy adjusted factor'!$A$2:$L$52,5,FALSE)*m2k))/'TCO Inputs'!$AZ$84</f>
        <v>236.5858080053525</v>
      </c>
      <c r="AQ205" s="125">
        <f>AQ93/293.07*(1/(VLOOKUP($AF205,'Fuel economy adjusted factor'!$A$2:$L$52,5,FALSE)*m2k))/'TCO Inputs'!$AZ$84</f>
        <v>236.5858080053525</v>
      </c>
      <c r="AR205" s="125">
        <f>AR93/293.07*(1/(VLOOKUP($AF205,'Fuel economy adjusted factor'!$A$2:$L$52,5,FALSE)*m2k))/'TCO Inputs'!$AZ$84</f>
        <v>236.5858080053525</v>
      </c>
      <c r="AS205" s="125">
        <f>AS93/293.07*(1/(VLOOKUP($AF205,'Fuel economy adjusted factor'!$A$2:$L$52,5,FALSE)*m2k))/'TCO Inputs'!$AZ$84</f>
        <v>236.5858080053525</v>
      </c>
      <c r="AT205" s="125">
        <f>AT93/293.07*(1/(VLOOKUP($AF205,'Fuel economy adjusted factor'!$A$2:$L$52,5,FALSE)*m2k))/'TCO Inputs'!$AZ$84</f>
        <v>236.5858080053525</v>
      </c>
      <c r="AU205" s="125">
        <f>AU93/293.07*(1/(VLOOKUP($AF205,'Fuel economy adjusted factor'!$A$2:$L$52,5,FALSE)*m2k))/'TCO Inputs'!$AZ$84</f>
        <v>236.5858080053525</v>
      </c>
      <c r="AV205" s="125">
        <f>AV93/293.07*(1/(VLOOKUP($AF205,'Fuel economy adjusted factor'!$A$2:$L$52,5,FALSE)*m2k))/'TCO Inputs'!$AZ$84</f>
        <v>236.5858080053525</v>
      </c>
      <c r="AW205" s="125">
        <f>AW93/293.07*(1/(VLOOKUP($AF205,'Fuel economy adjusted factor'!$A$2:$L$52,5,FALSE)*m2k))/'TCO Inputs'!$AZ$84</f>
        <v>236.5858080053525</v>
      </c>
      <c r="AX205" s="125">
        <f>AX93/293.07*(1/(VLOOKUP($AF205,'Fuel economy adjusted factor'!$A$2:$L$52,5,FALSE)*m2k))/'TCO Inputs'!$AZ$84</f>
        <v>236.5858080053525</v>
      </c>
      <c r="AY205" s="125">
        <f>AY93/293.07*(1/(VLOOKUP($AF205,'Fuel economy adjusted factor'!$A$2:$L$52,5,FALSE)*m2k))/'TCO Inputs'!$AZ$84</f>
        <v>236.5858080053525</v>
      </c>
      <c r="AZ205" s="125">
        <f>AZ93/293.07*(1/(VLOOKUP($AF205,'Fuel economy adjusted factor'!$A$2:$L$52,5,FALSE)*m2k))/'TCO Inputs'!$AZ$84</f>
        <v>236.5858080053525</v>
      </c>
      <c r="BA205" s="125">
        <f>BA93/293.07*(1/(VLOOKUP($AF205,'Fuel economy adjusted factor'!$A$2:$L$52,5,FALSE)*m2k))/'TCO Inputs'!$AZ$84</f>
        <v>236.5858080053525</v>
      </c>
      <c r="BB205" s="125">
        <f>BB93/293.07*(1/(VLOOKUP($AF205,'Fuel economy adjusted factor'!$A$2:$L$52,5,FALSE)*m2k))/'TCO Inputs'!$AZ$84</f>
        <v>236.5858080053525</v>
      </c>
      <c r="BC205" s="125">
        <f>BC93/293.07*(1/(VLOOKUP($AF205,'Fuel economy adjusted factor'!$A$2:$L$52,5,FALSE)*m2k))/'TCO Inputs'!$AZ$84</f>
        <v>236.5858080053525</v>
      </c>
      <c r="BD205" s="125">
        <f>BD93/293.07*(1/(VLOOKUP($AF205,'Fuel economy adjusted factor'!$A$2:$L$52,5,FALSE)*m2k))/'TCO Inputs'!$AZ$84</f>
        <v>236.5858080053525</v>
      </c>
      <c r="BE205" s="125">
        <f>BE93/293.07*(1/(VLOOKUP($AF205,'Fuel economy adjusted factor'!$A$2:$L$52,5,FALSE)*m2k))/'TCO Inputs'!$AZ$84</f>
        <v>236.5858080053525</v>
      </c>
      <c r="BF205" s="125">
        <f>BF93/293.07*(1/(VLOOKUP($AF205,'Fuel economy adjusted factor'!$A$2:$L$52,5,FALSE)*m2k))/'TCO Inputs'!$AZ$84</f>
        <v>236.5858080053525</v>
      </c>
      <c r="BG205" s="125">
        <f>BG93/293.07*(1/(VLOOKUP($AF205,'Fuel economy adjusted factor'!$A$2:$L$52,5,FALSE)*m2k))/'TCO Inputs'!$AZ$84</f>
        <v>236.5858080053525</v>
      </c>
      <c r="BH205" s="125">
        <f>BH93/293.07*(1/(VLOOKUP($AF205,'Fuel economy adjusted factor'!$A$2:$L$52,5,FALSE)*m2k))/'TCO Inputs'!$AZ$84</f>
        <v>236.5858080053525</v>
      </c>
      <c r="BI205" s="98" cm="1">
        <f t="array" ref="BI205">SUMPRODUCT(INDEX(AG205:BH205,,'TCO Inputs'!$AZ$12-2023+_xlfn.SEQUENCE('TCO Inputs'!$AZ$13))*INDEX('VKT US'!C97:AA97,,_xlfn.SEQUENCE('TCO Inputs'!$AZ$13)))*m2k*CONVERT(0.9072,"g","ton")</f>
        <v>71.410909421163581</v>
      </c>
    </row>
    <row r="206" spans="1:61" x14ac:dyDescent="0.25">
      <c r="A206" s="123" t="s">
        <v>218</v>
      </c>
      <c r="B206" s="125">
        <f>B94/293.07*(1/(VLOOKUP($A206,'Fuel economy adjusted factor'!$A$2:$L$52,5,FALSE)*m2k))/'TCO Inputs'!$AZ$84</f>
        <v>111.91437289150504</v>
      </c>
      <c r="C206" s="125">
        <f>C94/293.07*(1/(VLOOKUP($A206,'Fuel economy adjusted factor'!$A$2:$L$52,5,FALSE)*m2k))/'TCO Inputs'!$AZ$84</f>
        <v>111.91437289150504</v>
      </c>
      <c r="D206" s="125">
        <f>D94/293.07*(1/(VLOOKUP($A206,'Fuel economy adjusted factor'!$A$2:$L$52,5,FALSE)*m2k))/'TCO Inputs'!$AZ$84</f>
        <v>111.91437289150504</v>
      </c>
      <c r="E206" s="125">
        <f>E94/293.07*(1/(VLOOKUP($A206,'Fuel economy adjusted factor'!$A$2:$L$52,5,FALSE)*m2k))/'TCO Inputs'!$AZ$84</f>
        <v>111.91437289150504</v>
      </c>
      <c r="F206" s="125">
        <f>F94/293.07*(1/(VLOOKUP($A206,'Fuel economy adjusted factor'!$A$2:$L$52,5,FALSE)*m2k))/'TCO Inputs'!$AZ$84</f>
        <v>111.91437289150504</v>
      </c>
      <c r="G206" s="125">
        <f>G94/293.07*(1/(VLOOKUP($A206,'Fuel economy adjusted factor'!$A$2:$L$52,5,FALSE)*m2k))/'TCO Inputs'!$AZ$84</f>
        <v>111.91437289150504</v>
      </c>
      <c r="H206" s="125">
        <f>H94/293.07*(1/(VLOOKUP($A206,'Fuel economy adjusted factor'!$A$2:$L$52,5,FALSE)*m2k))/'TCO Inputs'!$AZ$84</f>
        <v>111.91437289150504</v>
      </c>
      <c r="I206" s="125">
        <f>I94/293.07*(1/(VLOOKUP($A206,'Fuel economy adjusted factor'!$A$2:$L$52,5,FALSE)*m2k))/'TCO Inputs'!$AZ$84</f>
        <v>111.91437289150504</v>
      </c>
      <c r="J206" s="125">
        <f>J94/293.07*(1/(VLOOKUP($A206,'Fuel economy adjusted factor'!$A$2:$L$52,5,FALSE)*m2k))/'TCO Inputs'!$AZ$84</f>
        <v>111.91437289150504</v>
      </c>
      <c r="K206" s="125">
        <f>K94/293.07*(1/(VLOOKUP($A206,'Fuel economy adjusted factor'!$A$2:$L$52,5,FALSE)*m2k))/'TCO Inputs'!$AZ$84</f>
        <v>111.91437289150504</v>
      </c>
      <c r="L206" s="125">
        <f>L94/293.07*(1/(VLOOKUP($A206,'Fuel economy adjusted factor'!$A$2:$L$52,5,FALSE)*m2k))/'TCO Inputs'!$AZ$84</f>
        <v>111.91437289150504</v>
      </c>
      <c r="M206" s="125">
        <f>M94/293.07*(1/(VLOOKUP($A206,'Fuel economy adjusted factor'!$A$2:$L$52,5,FALSE)*m2k))/'TCO Inputs'!$AZ$84</f>
        <v>111.91437289150504</v>
      </c>
      <c r="N206" s="125">
        <f>N94/293.07*(1/(VLOOKUP($A206,'Fuel economy adjusted factor'!$A$2:$L$52,5,FALSE)*m2k))/'TCO Inputs'!$AZ$84</f>
        <v>111.91437289150504</v>
      </c>
      <c r="O206" s="125">
        <f>O94/293.07*(1/(VLOOKUP($A206,'Fuel economy adjusted factor'!$A$2:$L$52,5,FALSE)*m2k))/'TCO Inputs'!$AZ$84</f>
        <v>111.91437289150504</v>
      </c>
      <c r="P206" s="125">
        <f>P94/293.07*(1/(VLOOKUP($A206,'Fuel economy adjusted factor'!$A$2:$L$52,5,FALSE)*m2k))/'TCO Inputs'!$AZ$84</f>
        <v>111.91437289150504</v>
      </c>
      <c r="Q206" s="125">
        <f>Q94/293.07*(1/(VLOOKUP($A206,'Fuel economy adjusted factor'!$A$2:$L$52,5,FALSE)*m2k))/'TCO Inputs'!$AZ$84</f>
        <v>111.91437289150504</v>
      </c>
      <c r="R206" s="125">
        <f>R94/293.07*(1/(VLOOKUP($A206,'Fuel economy adjusted factor'!$A$2:$L$52,5,FALSE)*m2k))/'TCO Inputs'!$AZ$84</f>
        <v>111.91437289150504</v>
      </c>
      <c r="S206" s="125">
        <f>S94/293.07*(1/(VLOOKUP($A206,'Fuel economy adjusted factor'!$A$2:$L$52,5,FALSE)*m2k))/'TCO Inputs'!$AZ$84</f>
        <v>111.91437289150504</v>
      </c>
      <c r="T206" s="125">
        <f>T94/293.07*(1/(VLOOKUP($A206,'Fuel economy adjusted factor'!$A$2:$L$52,5,FALSE)*m2k))/'TCO Inputs'!$AZ$84</f>
        <v>111.91437289150504</v>
      </c>
      <c r="U206" s="125">
        <f>U94/293.07*(1/(VLOOKUP($A206,'Fuel economy adjusted factor'!$A$2:$L$52,5,FALSE)*m2k))/'TCO Inputs'!$AZ$84</f>
        <v>111.91437289150504</v>
      </c>
      <c r="V206" s="125">
        <f>V94/293.07*(1/(VLOOKUP($A206,'Fuel economy adjusted factor'!$A$2:$L$52,5,FALSE)*m2k))/'TCO Inputs'!$AZ$84</f>
        <v>111.91437289150504</v>
      </c>
      <c r="W206" s="125">
        <f>W94/293.07*(1/(VLOOKUP($A206,'Fuel economy adjusted factor'!$A$2:$L$52,5,FALSE)*m2k))/'TCO Inputs'!$AZ$84</f>
        <v>111.91437289150504</v>
      </c>
      <c r="X206" s="125">
        <f>X94/293.07*(1/(VLOOKUP($A206,'Fuel economy adjusted factor'!$A$2:$L$52,5,FALSE)*m2k))/'TCO Inputs'!$AZ$84</f>
        <v>111.91437289150504</v>
      </c>
      <c r="Y206" s="125">
        <f>Y94/293.07*(1/(VLOOKUP($A206,'Fuel economy adjusted factor'!$A$2:$L$52,5,FALSE)*m2k))/'TCO Inputs'!$AZ$84</f>
        <v>111.91437289150504</v>
      </c>
      <c r="Z206" s="125">
        <f>Z94/293.07*(1/(VLOOKUP($A206,'Fuel economy adjusted factor'!$A$2:$L$52,5,FALSE)*m2k))/'TCO Inputs'!$AZ$84</f>
        <v>111.91437289150504</v>
      </c>
      <c r="AA206" s="125">
        <f>AA94/293.07*(1/(VLOOKUP($A206,'Fuel economy adjusted factor'!$A$2:$L$52,5,FALSE)*m2k))/'TCO Inputs'!$AZ$84</f>
        <v>111.91437289150504</v>
      </c>
      <c r="AB206" s="125">
        <f>AB94/293.07*(1/(VLOOKUP($A206,'Fuel economy adjusted factor'!$A$2:$L$52,5,FALSE)*m2k))/'TCO Inputs'!$AZ$84</f>
        <v>111.91437289150504</v>
      </c>
      <c r="AC206" s="125">
        <f>AC94/293.07*(1/(VLOOKUP($A206,'Fuel economy adjusted factor'!$A$2:$L$52,5,FALSE)*m2k))/'TCO Inputs'!$AZ$84</f>
        <v>111.91437289150504</v>
      </c>
      <c r="AD206" s="98" cm="1">
        <f t="array" ref="AD206">SUMPRODUCT(INDEX(B206:AC206,,'TCO Inputs'!$AZ$12-2023+_xlfn.SEQUENCE('TCO Inputs'!$AZ$13))*INDEX('VKT US'!C98:AA98,,_xlfn.SEQUENCE('TCO Inputs'!$AZ$13)))*m2k*CONVERT(0.9072,"g","ton")</f>
        <v>41.873869169870858</v>
      </c>
      <c r="AF206" s="123" t="s">
        <v>218</v>
      </c>
      <c r="AG206" s="125">
        <f>AG94/293.07*(1/(VLOOKUP($AF206,'Fuel economy adjusted factor'!$A$2:$L$52,5,FALSE)*m2k))/'TCO Inputs'!$AZ$84</f>
        <v>129.64613206790585</v>
      </c>
      <c r="AH206" s="125">
        <f>AH94/293.07*(1/(VLOOKUP($AF206,'Fuel economy adjusted factor'!$A$2:$L$52,5,FALSE)*m2k))/'TCO Inputs'!$AZ$84</f>
        <v>129.64613206790585</v>
      </c>
      <c r="AI206" s="125">
        <f>AI94/293.07*(1/(VLOOKUP($AF206,'Fuel economy adjusted factor'!$A$2:$L$52,5,FALSE)*m2k))/'TCO Inputs'!$AZ$84</f>
        <v>129.64613206790585</v>
      </c>
      <c r="AJ206" s="125">
        <f>AJ94/293.07*(1/(VLOOKUP($AF206,'Fuel economy adjusted factor'!$A$2:$L$52,5,FALSE)*m2k))/'TCO Inputs'!$AZ$84</f>
        <v>129.64613206790585</v>
      </c>
      <c r="AK206" s="125">
        <f>AK94/293.07*(1/(VLOOKUP($AF206,'Fuel economy adjusted factor'!$A$2:$L$52,5,FALSE)*m2k))/'TCO Inputs'!$AZ$84</f>
        <v>129.64613206790585</v>
      </c>
      <c r="AL206" s="125">
        <f>AL94/293.07*(1/(VLOOKUP($AF206,'Fuel economy adjusted factor'!$A$2:$L$52,5,FALSE)*m2k))/'TCO Inputs'!$AZ$84</f>
        <v>129.64613206790585</v>
      </c>
      <c r="AM206" s="125">
        <f>AM94/293.07*(1/(VLOOKUP($AF206,'Fuel economy adjusted factor'!$A$2:$L$52,5,FALSE)*m2k))/'TCO Inputs'!$AZ$84</f>
        <v>129.64613206790585</v>
      </c>
      <c r="AN206" s="125">
        <f>AN94/293.07*(1/(VLOOKUP($AF206,'Fuel economy adjusted factor'!$A$2:$L$52,5,FALSE)*m2k))/'TCO Inputs'!$AZ$84</f>
        <v>129.64613206790585</v>
      </c>
      <c r="AO206" s="125">
        <f>AO94/293.07*(1/(VLOOKUP($AF206,'Fuel economy adjusted factor'!$A$2:$L$52,5,FALSE)*m2k))/'TCO Inputs'!$AZ$84</f>
        <v>129.64613206790585</v>
      </c>
      <c r="AP206" s="125">
        <f>AP94/293.07*(1/(VLOOKUP($AF206,'Fuel economy adjusted factor'!$A$2:$L$52,5,FALSE)*m2k))/'TCO Inputs'!$AZ$84</f>
        <v>129.64613206790585</v>
      </c>
      <c r="AQ206" s="125">
        <f>AQ94/293.07*(1/(VLOOKUP($AF206,'Fuel economy adjusted factor'!$A$2:$L$52,5,FALSE)*m2k))/'TCO Inputs'!$AZ$84</f>
        <v>129.64613206790585</v>
      </c>
      <c r="AR206" s="125">
        <f>AR94/293.07*(1/(VLOOKUP($AF206,'Fuel economy adjusted factor'!$A$2:$L$52,5,FALSE)*m2k))/'TCO Inputs'!$AZ$84</f>
        <v>129.64613206790585</v>
      </c>
      <c r="AS206" s="125">
        <f>AS94/293.07*(1/(VLOOKUP($AF206,'Fuel economy adjusted factor'!$A$2:$L$52,5,FALSE)*m2k))/'TCO Inputs'!$AZ$84</f>
        <v>129.64613206790585</v>
      </c>
      <c r="AT206" s="125">
        <f>AT94/293.07*(1/(VLOOKUP($AF206,'Fuel economy adjusted factor'!$A$2:$L$52,5,FALSE)*m2k))/'TCO Inputs'!$AZ$84</f>
        <v>129.64613206790585</v>
      </c>
      <c r="AU206" s="125">
        <f>AU94/293.07*(1/(VLOOKUP($AF206,'Fuel economy adjusted factor'!$A$2:$L$52,5,FALSE)*m2k))/'TCO Inputs'!$AZ$84</f>
        <v>129.64613206790585</v>
      </c>
      <c r="AV206" s="125">
        <f>AV94/293.07*(1/(VLOOKUP($AF206,'Fuel economy adjusted factor'!$A$2:$L$52,5,FALSE)*m2k))/'TCO Inputs'!$AZ$84</f>
        <v>129.64613206790585</v>
      </c>
      <c r="AW206" s="125">
        <f>AW94/293.07*(1/(VLOOKUP($AF206,'Fuel economy adjusted factor'!$A$2:$L$52,5,FALSE)*m2k))/'TCO Inputs'!$AZ$84</f>
        <v>129.64613206790585</v>
      </c>
      <c r="AX206" s="125">
        <f>AX94/293.07*(1/(VLOOKUP($AF206,'Fuel economy adjusted factor'!$A$2:$L$52,5,FALSE)*m2k))/'TCO Inputs'!$AZ$84</f>
        <v>129.64613206790585</v>
      </c>
      <c r="AY206" s="125">
        <f>AY94/293.07*(1/(VLOOKUP($AF206,'Fuel economy adjusted factor'!$A$2:$L$52,5,FALSE)*m2k))/'TCO Inputs'!$AZ$84</f>
        <v>129.64613206790585</v>
      </c>
      <c r="AZ206" s="125">
        <f>AZ94/293.07*(1/(VLOOKUP($AF206,'Fuel economy adjusted factor'!$A$2:$L$52,5,FALSE)*m2k))/'TCO Inputs'!$AZ$84</f>
        <v>129.64613206790585</v>
      </c>
      <c r="BA206" s="125">
        <f>BA94/293.07*(1/(VLOOKUP($AF206,'Fuel economy adjusted factor'!$A$2:$L$52,5,FALSE)*m2k))/'TCO Inputs'!$AZ$84</f>
        <v>129.64613206790585</v>
      </c>
      <c r="BB206" s="125">
        <f>BB94/293.07*(1/(VLOOKUP($AF206,'Fuel economy adjusted factor'!$A$2:$L$52,5,FALSE)*m2k))/'TCO Inputs'!$AZ$84</f>
        <v>129.64613206790585</v>
      </c>
      <c r="BC206" s="125">
        <f>BC94/293.07*(1/(VLOOKUP($AF206,'Fuel economy adjusted factor'!$A$2:$L$52,5,FALSE)*m2k))/'TCO Inputs'!$AZ$84</f>
        <v>129.64613206790585</v>
      </c>
      <c r="BD206" s="125">
        <f>BD94/293.07*(1/(VLOOKUP($AF206,'Fuel economy adjusted factor'!$A$2:$L$52,5,FALSE)*m2k))/'TCO Inputs'!$AZ$84</f>
        <v>129.64613206790585</v>
      </c>
      <c r="BE206" s="125">
        <f>BE94/293.07*(1/(VLOOKUP($AF206,'Fuel economy adjusted factor'!$A$2:$L$52,5,FALSE)*m2k))/'TCO Inputs'!$AZ$84</f>
        <v>129.64613206790585</v>
      </c>
      <c r="BF206" s="125">
        <f>BF94/293.07*(1/(VLOOKUP($AF206,'Fuel economy adjusted factor'!$A$2:$L$52,5,FALSE)*m2k))/'TCO Inputs'!$AZ$84</f>
        <v>129.64613206790585</v>
      </c>
      <c r="BG206" s="125">
        <f>BG94/293.07*(1/(VLOOKUP($AF206,'Fuel economy adjusted factor'!$A$2:$L$52,5,FALSE)*m2k))/'TCO Inputs'!$AZ$84</f>
        <v>129.64613206790585</v>
      </c>
      <c r="BH206" s="125">
        <f>BH94/293.07*(1/(VLOOKUP($AF206,'Fuel economy adjusted factor'!$A$2:$L$52,5,FALSE)*m2k))/'TCO Inputs'!$AZ$84</f>
        <v>129.64613206790585</v>
      </c>
      <c r="BI206" s="98" cm="1">
        <f t="array" ref="BI206">SUMPRODUCT(INDEX(AG206:BH206,,'TCO Inputs'!$AZ$12-2023+_xlfn.SEQUENCE('TCO Inputs'!$AZ$13))*INDEX('VKT US'!C98:AA98,,_xlfn.SEQUENCE('TCO Inputs'!$AZ$13)))*m2k*CONVERT(0.9072,"g","ton")</f>
        <v>48.50838218835576</v>
      </c>
    </row>
    <row r="207" spans="1:61" x14ac:dyDescent="0.25">
      <c r="A207" s="123" t="s">
        <v>219</v>
      </c>
      <c r="B207" s="125">
        <f>B95/293.07*(1/(VLOOKUP($A207,'Fuel economy adjusted factor'!$A$2:$L$52,5,FALSE)*m2k))/'TCO Inputs'!$AZ$84</f>
        <v>74.696724142875254</v>
      </c>
      <c r="C207" s="125">
        <f>C95/293.07*(1/(VLOOKUP($A207,'Fuel economy adjusted factor'!$A$2:$L$52,5,FALSE)*m2k))/'TCO Inputs'!$AZ$84</f>
        <v>74.696724142875254</v>
      </c>
      <c r="D207" s="125">
        <f>D95/293.07*(1/(VLOOKUP($A207,'Fuel economy adjusted factor'!$A$2:$L$52,5,FALSE)*m2k))/'TCO Inputs'!$AZ$84</f>
        <v>74.696724142875254</v>
      </c>
      <c r="E207" s="125">
        <f>E95/293.07*(1/(VLOOKUP($A207,'Fuel economy adjusted factor'!$A$2:$L$52,5,FALSE)*m2k))/'TCO Inputs'!$AZ$84</f>
        <v>74.696724142875254</v>
      </c>
      <c r="F207" s="125">
        <f>F95/293.07*(1/(VLOOKUP($A207,'Fuel economy adjusted factor'!$A$2:$L$52,5,FALSE)*m2k))/'TCO Inputs'!$AZ$84</f>
        <v>74.696724142875254</v>
      </c>
      <c r="G207" s="125">
        <f>G95/293.07*(1/(VLOOKUP($A207,'Fuel economy adjusted factor'!$A$2:$L$52,5,FALSE)*m2k))/'TCO Inputs'!$AZ$84</f>
        <v>74.696724142875254</v>
      </c>
      <c r="H207" s="125">
        <f>H95/293.07*(1/(VLOOKUP($A207,'Fuel economy adjusted factor'!$A$2:$L$52,5,FALSE)*m2k))/'TCO Inputs'!$AZ$84</f>
        <v>74.696724142875254</v>
      </c>
      <c r="I207" s="125">
        <f>I95/293.07*(1/(VLOOKUP($A207,'Fuel economy adjusted factor'!$A$2:$L$52,5,FALSE)*m2k))/'TCO Inputs'!$AZ$84</f>
        <v>74.696724142875254</v>
      </c>
      <c r="J207" s="125">
        <f>J95/293.07*(1/(VLOOKUP($A207,'Fuel economy adjusted factor'!$A$2:$L$52,5,FALSE)*m2k))/'TCO Inputs'!$AZ$84</f>
        <v>74.696724142875254</v>
      </c>
      <c r="K207" s="125">
        <f>K95/293.07*(1/(VLOOKUP($A207,'Fuel economy adjusted factor'!$A$2:$L$52,5,FALSE)*m2k))/'TCO Inputs'!$AZ$84</f>
        <v>74.696724142875254</v>
      </c>
      <c r="L207" s="125">
        <f>L95/293.07*(1/(VLOOKUP($A207,'Fuel economy adjusted factor'!$A$2:$L$52,5,FALSE)*m2k))/'TCO Inputs'!$AZ$84</f>
        <v>74.696724142875254</v>
      </c>
      <c r="M207" s="125">
        <f>M95/293.07*(1/(VLOOKUP($A207,'Fuel economy adjusted factor'!$A$2:$L$52,5,FALSE)*m2k))/'TCO Inputs'!$AZ$84</f>
        <v>74.696724142875254</v>
      </c>
      <c r="N207" s="125">
        <f>N95/293.07*(1/(VLOOKUP($A207,'Fuel economy adjusted factor'!$A$2:$L$52,5,FALSE)*m2k))/'TCO Inputs'!$AZ$84</f>
        <v>74.696724142875254</v>
      </c>
      <c r="O207" s="125">
        <f>O95/293.07*(1/(VLOOKUP($A207,'Fuel economy adjusted factor'!$A$2:$L$52,5,FALSE)*m2k))/'TCO Inputs'!$AZ$84</f>
        <v>74.696724142875254</v>
      </c>
      <c r="P207" s="125">
        <f>P95/293.07*(1/(VLOOKUP($A207,'Fuel economy adjusted factor'!$A$2:$L$52,5,FALSE)*m2k))/'TCO Inputs'!$AZ$84</f>
        <v>74.696724142875254</v>
      </c>
      <c r="Q207" s="125">
        <f>Q95/293.07*(1/(VLOOKUP($A207,'Fuel economy adjusted factor'!$A$2:$L$52,5,FALSE)*m2k))/'TCO Inputs'!$AZ$84</f>
        <v>74.696724142875254</v>
      </c>
      <c r="R207" s="125">
        <f>R95/293.07*(1/(VLOOKUP($A207,'Fuel economy adjusted factor'!$A$2:$L$52,5,FALSE)*m2k))/'TCO Inputs'!$AZ$84</f>
        <v>74.696724142875254</v>
      </c>
      <c r="S207" s="125">
        <f>S95/293.07*(1/(VLOOKUP($A207,'Fuel economy adjusted factor'!$A$2:$L$52,5,FALSE)*m2k))/'TCO Inputs'!$AZ$84</f>
        <v>74.696724142875254</v>
      </c>
      <c r="T207" s="125">
        <f>T95/293.07*(1/(VLOOKUP($A207,'Fuel economy adjusted factor'!$A$2:$L$52,5,FALSE)*m2k))/'TCO Inputs'!$AZ$84</f>
        <v>74.696724142875254</v>
      </c>
      <c r="U207" s="125">
        <f>U95/293.07*(1/(VLOOKUP($A207,'Fuel economy adjusted factor'!$A$2:$L$52,5,FALSE)*m2k))/'TCO Inputs'!$AZ$84</f>
        <v>74.696724142875254</v>
      </c>
      <c r="V207" s="125">
        <f>V95/293.07*(1/(VLOOKUP($A207,'Fuel economy adjusted factor'!$A$2:$L$52,5,FALSE)*m2k))/'TCO Inputs'!$AZ$84</f>
        <v>74.696724142875254</v>
      </c>
      <c r="W207" s="125">
        <f>W95/293.07*(1/(VLOOKUP($A207,'Fuel economy adjusted factor'!$A$2:$L$52,5,FALSE)*m2k))/'TCO Inputs'!$AZ$84</f>
        <v>74.696724142875254</v>
      </c>
      <c r="X207" s="125">
        <f>X95/293.07*(1/(VLOOKUP($A207,'Fuel economy adjusted factor'!$A$2:$L$52,5,FALSE)*m2k))/'TCO Inputs'!$AZ$84</f>
        <v>74.696724142875254</v>
      </c>
      <c r="Y207" s="125">
        <f>Y95/293.07*(1/(VLOOKUP($A207,'Fuel economy adjusted factor'!$A$2:$L$52,5,FALSE)*m2k))/'TCO Inputs'!$AZ$84</f>
        <v>74.696724142875254</v>
      </c>
      <c r="Z207" s="125">
        <f>Z95/293.07*(1/(VLOOKUP($A207,'Fuel economy adjusted factor'!$A$2:$L$52,5,FALSE)*m2k))/'TCO Inputs'!$AZ$84</f>
        <v>74.696724142875254</v>
      </c>
      <c r="AA207" s="125">
        <f>AA95/293.07*(1/(VLOOKUP($A207,'Fuel economy adjusted factor'!$A$2:$L$52,5,FALSE)*m2k))/'TCO Inputs'!$AZ$84</f>
        <v>74.696724142875254</v>
      </c>
      <c r="AB207" s="125">
        <f>AB95/293.07*(1/(VLOOKUP($A207,'Fuel economy adjusted factor'!$A$2:$L$52,5,FALSE)*m2k))/'TCO Inputs'!$AZ$84</f>
        <v>74.696724142875254</v>
      </c>
      <c r="AC207" s="125">
        <f>AC95/293.07*(1/(VLOOKUP($A207,'Fuel economy adjusted factor'!$A$2:$L$52,5,FALSE)*m2k))/'TCO Inputs'!$AZ$84</f>
        <v>74.696724142875254</v>
      </c>
      <c r="AD207" s="98" cm="1">
        <f t="array" ref="AD207">SUMPRODUCT(INDEX(B207:AC207,,'TCO Inputs'!$AZ$12-2023+_xlfn.SEQUENCE('TCO Inputs'!$AZ$13))*INDEX('VKT US'!C99:AA99,,_xlfn.SEQUENCE('TCO Inputs'!$AZ$13)))*m2k*CONVERT(0.9072,"g","ton")</f>
        <v>19.293462439612732</v>
      </c>
      <c r="AF207" s="123" t="s">
        <v>219</v>
      </c>
      <c r="AG207" s="125">
        <f>AG95/293.07*(1/(VLOOKUP($AF207,'Fuel economy adjusted factor'!$A$2:$L$52,5,FALSE)*m2k))/'TCO Inputs'!$AZ$84</f>
        <v>86.531703775487301</v>
      </c>
      <c r="AH207" s="125">
        <f>AH95/293.07*(1/(VLOOKUP($AF207,'Fuel economy adjusted factor'!$A$2:$L$52,5,FALSE)*m2k))/'TCO Inputs'!$AZ$84</f>
        <v>86.531703775487301</v>
      </c>
      <c r="AI207" s="125">
        <f>AI95/293.07*(1/(VLOOKUP($AF207,'Fuel economy adjusted factor'!$A$2:$L$52,5,FALSE)*m2k))/'TCO Inputs'!$AZ$84</f>
        <v>86.531703775487301</v>
      </c>
      <c r="AJ207" s="125">
        <f>AJ95/293.07*(1/(VLOOKUP($AF207,'Fuel economy adjusted factor'!$A$2:$L$52,5,FALSE)*m2k))/'TCO Inputs'!$AZ$84</f>
        <v>86.531703775487301</v>
      </c>
      <c r="AK207" s="125">
        <f>AK95/293.07*(1/(VLOOKUP($AF207,'Fuel economy adjusted factor'!$A$2:$L$52,5,FALSE)*m2k))/'TCO Inputs'!$AZ$84</f>
        <v>86.531703775487301</v>
      </c>
      <c r="AL207" s="125">
        <f>AL95/293.07*(1/(VLOOKUP($AF207,'Fuel economy adjusted factor'!$A$2:$L$52,5,FALSE)*m2k))/'TCO Inputs'!$AZ$84</f>
        <v>86.531703775487301</v>
      </c>
      <c r="AM207" s="125">
        <f>AM95/293.07*(1/(VLOOKUP($AF207,'Fuel economy adjusted factor'!$A$2:$L$52,5,FALSE)*m2k))/'TCO Inputs'!$AZ$84</f>
        <v>86.531703775487301</v>
      </c>
      <c r="AN207" s="125">
        <f>AN95/293.07*(1/(VLOOKUP($AF207,'Fuel economy adjusted factor'!$A$2:$L$52,5,FALSE)*m2k))/'TCO Inputs'!$AZ$84</f>
        <v>86.531703775487301</v>
      </c>
      <c r="AO207" s="125">
        <f>AO95/293.07*(1/(VLOOKUP($AF207,'Fuel economy adjusted factor'!$A$2:$L$52,5,FALSE)*m2k))/'TCO Inputs'!$AZ$84</f>
        <v>86.531703775487301</v>
      </c>
      <c r="AP207" s="125">
        <f>AP95/293.07*(1/(VLOOKUP($AF207,'Fuel economy adjusted factor'!$A$2:$L$52,5,FALSE)*m2k))/'TCO Inputs'!$AZ$84</f>
        <v>86.531703775487301</v>
      </c>
      <c r="AQ207" s="125">
        <f>AQ95/293.07*(1/(VLOOKUP($AF207,'Fuel economy adjusted factor'!$A$2:$L$52,5,FALSE)*m2k))/'TCO Inputs'!$AZ$84</f>
        <v>86.531703775487301</v>
      </c>
      <c r="AR207" s="125">
        <f>AR95/293.07*(1/(VLOOKUP($AF207,'Fuel economy adjusted factor'!$A$2:$L$52,5,FALSE)*m2k))/'TCO Inputs'!$AZ$84</f>
        <v>86.531703775487301</v>
      </c>
      <c r="AS207" s="125">
        <f>AS95/293.07*(1/(VLOOKUP($AF207,'Fuel economy adjusted factor'!$A$2:$L$52,5,FALSE)*m2k))/'TCO Inputs'!$AZ$84</f>
        <v>86.531703775487301</v>
      </c>
      <c r="AT207" s="125">
        <f>AT95/293.07*(1/(VLOOKUP($AF207,'Fuel economy adjusted factor'!$A$2:$L$52,5,FALSE)*m2k))/'TCO Inputs'!$AZ$84</f>
        <v>86.531703775487301</v>
      </c>
      <c r="AU207" s="125">
        <f>AU95/293.07*(1/(VLOOKUP($AF207,'Fuel economy adjusted factor'!$A$2:$L$52,5,FALSE)*m2k))/'TCO Inputs'!$AZ$84</f>
        <v>86.531703775487301</v>
      </c>
      <c r="AV207" s="125">
        <f>AV95/293.07*(1/(VLOOKUP($AF207,'Fuel economy adjusted factor'!$A$2:$L$52,5,FALSE)*m2k))/'TCO Inputs'!$AZ$84</f>
        <v>86.531703775487301</v>
      </c>
      <c r="AW207" s="125">
        <f>AW95/293.07*(1/(VLOOKUP($AF207,'Fuel economy adjusted factor'!$A$2:$L$52,5,FALSE)*m2k))/'TCO Inputs'!$AZ$84</f>
        <v>86.531703775487301</v>
      </c>
      <c r="AX207" s="125">
        <f>AX95/293.07*(1/(VLOOKUP($AF207,'Fuel economy adjusted factor'!$A$2:$L$52,5,FALSE)*m2k))/'TCO Inputs'!$AZ$84</f>
        <v>86.531703775487301</v>
      </c>
      <c r="AY207" s="125">
        <f>AY95/293.07*(1/(VLOOKUP($AF207,'Fuel economy adjusted factor'!$A$2:$L$52,5,FALSE)*m2k))/'TCO Inputs'!$AZ$84</f>
        <v>86.531703775487301</v>
      </c>
      <c r="AZ207" s="125">
        <f>AZ95/293.07*(1/(VLOOKUP($AF207,'Fuel economy adjusted factor'!$A$2:$L$52,5,FALSE)*m2k))/'TCO Inputs'!$AZ$84</f>
        <v>86.531703775487301</v>
      </c>
      <c r="BA207" s="125">
        <f>BA95/293.07*(1/(VLOOKUP($AF207,'Fuel economy adjusted factor'!$A$2:$L$52,5,FALSE)*m2k))/'TCO Inputs'!$AZ$84</f>
        <v>86.531703775487301</v>
      </c>
      <c r="BB207" s="125">
        <f>BB95/293.07*(1/(VLOOKUP($AF207,'Fuel economy adjusted factor'!$A$2:$L$52,5,FALSE)*m2k))/'TCO Inputs'!$AZ$84</f>
        <v>86.531703775487301</v>
      </c>
      <c r="BC207" s="125">
        <f>BC95/293.07*(1/(VLOOKUP($AF207,'Fuel economy adjusted factor'!$A$2:$L$52,5,FALSE)*m2k))/'TCO Inputs'!$AZ$84</f>
        <v>86.531703775487301</v>
      </c>
      <c r="BD207" s="125">
        <f>BD95/293.07*(1/(VLOOKUP($AF207,'Fuel economy adjusted factor'!$A$2:$L$52,5,FALSE)*m2k))/'TCO Inputs'!$AZ$84</f>
        <v>86.531703775487301</v>
      </c>
      <c r="BE207" s="125">
        <f>BE95/293.07*(1/(VLOOKUP($AF207,'Fuel economy adjusted factor'!$A$2:$L$52,5,FALSE)*m2k))/'TCO Inputs'!$AZ$84</f>
        <v>86.531703775487301</v>
      </c>
      <c r="BF207" s="125">
        <f>BF95/293.07*(1/(VLOOKUP($AF207,'Fuel economy adjusted factor'!$A$2:$L$52,5,FALSE)*m2k))/'TCO Inputs'!$AZ$84</f>
        <v>86.531703775487301</v>
      </c>
      <c r="BG207" s="125">
        <f>BG95/293.07*(1/(VLOOKUP($AF207,'Fuel economy adjusted factor'!$A$2:$L$52,5,FALSE)*m2k))/'TCO Inputs'!$AZ$84</f>
        <v>86.531703775487301</v>
      </c>
      <c r="BH207" s="125">
        <f>BH95/293.07*(1/(VLOOKUP($AF207,'Fuel economy adjusted factor'!$A$2:$L$52,5,FALSE)*m2k))/'TCO Inputs'!$AZ$84</f>
        <v>86.531703775487301</v>
      </c>
      <c r="BI207" s="98" cm="1">
        <f t="array" ref="BI207">SUMPRODUCT(INDEX(AG207:BH207,,'TCO Inputs'!$AZ$12-2023+_xlfn.SEQUENCE('TCO Inputs'!$AZ$13))*INDEX('VKT US'!C99:AA99,,_xlfn.SEQUENCE('TCO Inputs'!$AZ$13)))*m2k*CONVERT(0.9072,"g","ton")</f>
        <v>22.350326547583943</v>
      </c>
    </row>
    <row r="208" spans="1:61" x14ac:dyDescent="0.25">
      <c r="A208" s="123" t="s">
        <v>220</v>
      </c>
      <c r="B208" s="125">
        <f>B96/293.07*(1/(VLOOKUP($A208,'Fuel economy adjusted factor'!$A$2:$L$52,5,FALSE)*m2k))/'TCO Inputs'!$AZ$84</f>
        <v>129.68007402192447</v>
      </c>
      <c r="C208" s="125">
        <f>C96/293.07*(1/(VLOOKUP($A208,'Fuel economy adjusted factor'!$A$2:$L$52,5,FALSE)*m2k))/'TCO Inputs'!$AZ$84</f>
        <v>129.68007402192447</v>
      </c>
      <c r="D208" s="125">
        <f>D96/293.07*(1/(VLOOKUP($A208,'Fuel economy adjusted factor'!$A$2:$L$52,5,FALSE)*m2k))/'TCO Inputs'!$AZ$84</f>
        <v>129.68007402192447</v>
      </c>
      <c r="E208" s="125">
        <f>E96/293.07*(1/(VLOOKUP($A208,'Fuel economy adjusted factor'!$A$2:$L$52,5,FALSE)*m2k))/'TCO Inputs'!$AZ$84</f>
        <v>129.68007402192447</v>
      </c>
      <c r="F208" s="125">
        <f>F96/293.07*(1/(VLOOKUP($A208,'Fuel economy adjusted factor'!$A$2:$L$52,5,FALSE)*m2k))/'TCO Inputs'!$AZ$84</f>
        <v>129.68007402192447</v>
      </c>
      <c r="G208" s="125">
        <f>G96/293.07*(1/(VLOOKUP($A208,'Fuel economy adjusted factor'!$A$2:$L$52,5,FALSE)*m2k))/'TCO Inputs'!$AZ$84</f>
        <v>129.68007402192447</v>
      </c>
      <c r="H208" s="125">
        <f>H96/293.07*(1/(VLOOKUP($A208,'Fuel economy adjusted factor'!$A$2:$L$52,5,FALSE)*m2k))/'TCO Inputs'!$AZ$84</f>
        <v>129.68007402192447</v>
      </c>
      <c r="I208" s="125">
        <f>I96/293.07*(1/(VLOOKUP($A208,'Fuel economy adjusted factor'!$A$2:$L$52,5,FALSE)*m2k))/'TCO Inputs'!$AZ$84</f>
        <v>129.68007402192447</v>
      </c>
      <c r="J208" s="125">
        <f>J96/293.07*(1/(VLOOKUP($A208,'Fuel economy adjusted factor'!$A$2:$L$52,5,FALSE)*m2k))/'TCO Inputs'!$AZ$84</f>
        <v>129.68007402192447</v>
      </c>
      <c r="K208" s="125">
        <f>K96/293.07*(1/(VLOOKUP($A208,'Fuel economy adjusted factor'!$A$2:$L$52,5,FALSE)*m2k))/'TCO Inputs'!$AZ$84</f>
        <v>129.68007402192447</v>
      </c>
      <c r="L208" s="125">
        <f>L96/293.07*(1/(VLOOKUP($A208,'Fuel economy adjusted factor'!$A$2:$L$52,5,FALSE)*m2k))/'TCO Inputs'!$AZ$84</f>
        <v>129.68007402192447</v>
      </c>
      <c r="M208" s="125">
        <f>M96/293.07*(1/(VLOOKUP($A208,'Fuel economy adjusted factor'!$A$2:$L$52,5,FALSE)*m2k))/'TCO Inputs'!$AZ$84</f>
        <v>129.68007402192447</v>
      </c>
      <c r="N208" s="125">
        <f>N96/293.07*(1/(VLOOKUP($A208,'Fuel economy adjusted factor'!$A$2:$L$52,5,FALSE)*m2k))/'TCO Inputs'!$AZ$84</f>
        <v>129.68007402192447</v>
      </c>
      <c r="O208" s="125">
        <f>O96/293.07*(1/(VLOOKUP($A208,'Fuel economy adjusted factor'!$A$2:$L$52,5,FALSE)*m2k))/'TCO Inputs'!$AZ$84</f>
        <v>129.68007402192447</v>
      </c>
      <c r="P208" s="125">
        <f>P96/293.07*(1/(VLOOKUP($A208,'Fuel economy adjusted factor'!$A$2:$L$52,5,FALSE)*m2k))/'TCO Inputs'!$AZ$84</f>
        <v>129.68007402192447</v>
      </c>
      <c r="Q208" s="125">
        <f>Q96/293.07*(1/(VLOOKUP($A208,'Fuel economy adjusted factor'!$A$2:$L$52,5,FALSE)*m2k))/'TCO Inputs'!$AZ$84</f>
        <v>129.68007402192447</v>
      </c>
      <c r="R208" s="125">
        <f>R96/293.07*(1/(VLOOKUP($A208,'Fuel economy adjusted factor'!$A$2:$L$52,5,FALSE)*m2k))/'TCO Inputs'!$AZ$84</f>
        <v>129.68007402192447</v>
      </c>
      <c r="S208" s="125">
        <f>S96/293.07*(1/(VLOOKUP($A208,'Fuel economy adjusted factor'!$A$2:$L$52,5,FALSE)*m2k))/'TCO Inputs'!$AZ$84</f>
        <v>129.68007402192447</v>
      </c>
      <c r="T208" s="125">
        <f>T96/293.07*(1/(VLOOKUP($A208,'Fuel economy adjusted factor'!$A$2:$L$52,5,FALSE)*m2k))/'TCO Inputs'!$AZ$84</f>
        <v>129.68007402192447</v>
      </c>
      <c r="U208" s="125">
        <f>U96/293.07*(1/(VLOOKUP($A208,'Fuel economy adjusted factor'!$A$2:$L$52,5,FALSE)*m2k))/'TCO Inputs'!$AZ$84</f>
        <v>129.68007402192447</v>
      </c>
      <c r="V208" s="125">
        <f>V96/293.07*(1/(VLOOKUP($A208,'Fuel economy adjusted factor'!$A$2:$L$52,5,FALSE)*m2k))/'TCO Inputs'!$AZ$84</f>
        <v>129.68007402192447</v>
      </c>
      <c r="W208" s="125">
        <f>W96/293.07*(1/(VLOOKUP($A208,'Fuel economy adjusted factor'!$A$2:$L$52,5,FALSE)*m2k))/'TCO Inputs'!$AZ$84</f>
        <v>129.68007402192447</v>
      </c>
      <c r="X208" s="125">
        <f>X96/293.07*(1/(VLOOKUP($A208,'Fuel economy adjusted factor'!$A$2:$L$52,5,FALSE)*m2k))/'TCO Inputs'!$AZ$84</f>
        <v>129.68007402192447</v>
      </c>
      <c r="Y208" s="125">
        <f>Y96/293.07*(1/(VLOOKUP($A208,'Fuel economy adjusted factor'!$A$2:$L$52,5,FALSE)*m2k))/'TCO Inputs'!$AZ$84</f>
        <v>129.68007402192447</v>
      </c>
      <c r="Z208" s="125">
        <f>Z96/293.07*(1/(VLOOKUP($A208,'Fuel economy adjusted factor'!$A$2:$L$52,5,FALSE)*m2k))/'TCO Inputs'!$AZ$84</f>
        <v>129.68007402192447</v>
      </c>
      <c r="AA208" s="125">
        <f>AA96/293.07*(1/(VLOOKUP($A208,'Fuel economy adjusted factor'!$A$2:$L$52,5,FALSE)*m2k))/'TCO Inputs'!$AZ$84</f>
        <v>129.68007402192447</v>
      </c>
      <c r="AB208" s="125">
        <f>AB96/293.07*(1/(VLOOKUP($A208,'Fuel economy adjusted factor'!$A$2:$L$52,5,FALSE)*m2k))/'TCO Inputs'!$AZ$84</f>
        <v>129.68007402192447</v>
      </c>
      <c r="AC208" s="125">
        <f>AC96/293.07*(1/(VLOOKUP($A208,'Fuel economy adjusted factor'!$A$2:$L$52,5,FALSE)*m2k))/'TCO Inputs'!$AZ$84</f>
        <v>129.68007402192447</v>
      </c>
      <c r="AD208" s="98" cm="1">
        <f t="array" ref="AD208">SUMPRODUCT(INDEX(B208:AC208,,'TCO Inputs'!$AZ$12-2023+_xlfn.SEQUENCE('TCO Inputs'!$AZ$13))*INDEX('VKT US'!C100:AA100,,_xlfn.SEQUENCE('TCO Inputs'!$AZ$13)))*m2k*CONVERT(0.9072,"g","ton")</f>
        <v>31.375997650419375</v>
      </c>
      <c r="AF208" s="123" t="s">
        <v>220</v>
      </c>
      <c r="AG208" s="125">
        <f>AG96/293.07*(1/(VLOOKUP($AF208,'Fuel economy adjusted factor'!$A$2:$L$52,5,FALSE)*m2k))/'TCO Inputs'!$AZ$84</f>
        <v>150.22663817739533</v>
      </c>
      <c r="AH208" s="125">
        <f>AH96/293.07*(1/(VLOOKUP($AF208,'Fuel economy adjusted factor'!$A$2:$L$52,5,FALSE)*m2k))/'TCO Inputs'!$AZ$84</f>
        <v>150.22663817739533</v>
      </c>
      <c r="AI208" s="125">
        <f>AI96/293.07*(1/(VLOOKUP($AF208,'Fuel economy adjusted factor'!$A$2:$L$52,5,FALSE)*m2k))/'TCO Inputs'!$AZ$84</f>
        <v>150.22663817739533</v>
      </c>
      <c r="AJ208" s="125">
        <f>AJ96/293.07*(1/(VLOOKUP($AF208,'Fuel economy adjusted factor'!$A$2:$L$52,5,FALSE)*m2k))/'TCO Inputs'!$AZ$84</f>
        <v>150.22663817739533</v>
      </c>
      <c r="AK208" s="125">
        <f>AK96/293.07*(1/(VLOOKUP($AF208,'Fuel economy adjusted factor'!$A$2:$L$52,5,FALSE)*m2k))/'TCO Inputs'!$AZ$84</f>
        <v>150.22663817739533</v>
      </c>
      <c r="AL208" s="125">
        <f>AL96/293.07*(1/(VLOOKUP($AF208,'Fuel economy adjusted factor'!$A$2:$L$52,5,FALSE)*m2k))/'TCO Inputs'!$AZ$84</f>
        <v>150.22663817739533</v>
      </c>
      <c r="AM208" s="125">
        <f>AM96/293.07*(1/(VLOOKUP($AF208,'Fuel economy adjusted factor'!$A$2:$L$52,5,FALSE)*m2k))/'TCO Inputs'!$AZ$84</f>
        <v>150.22663817739533</v>
      </c>
      <c r="AN208" s="125">
        <f>AN96/293.07*(1/(VLOOKUP($AF208,'Fuel economy adjusted factor'!$A$2:$L$52,5,FALSE)*m2k))/'TCO Inputs'!$AZ$84</f>
        <v>150.22663817739533</v>
      </c>
      <c r="AO208" s="125">
        <f>AO96/293.07*(1/(VLOOKUP($AF208,'Fuel economy adjusted factor'!$A$2:$L$52,5,FALSE)*m2k))/'TCO Inputs'!$AZ$84</f>
        <v>150.22663817739533</v>
      </c>
      <c r="AP208" s="125">
        <f>AP96/293.07*(1/(VLOOKUP($AF208,'Fuel economy adjusted factor'!$A$2:$L$52,5,FALSE)*m2k))/'TCO Inputs'!$AZ$84</f>
        <v>150.22663817739533</v>
      </c>
      <c r="AQ208" s="125">
        <f>AQ96/293.07*(1/(VLOOKUP($AF208,'Fuel economy adjusted factor'!$A$2:$L$52,5,FALSE)*m2k))/'TCO Inputs'!$AZ$84</f>
        <v>150.22663817739533</v>
      </c>
      <c r="AR208" s="125">
        <f>AR96/293.07*(1/(VLOOKUP($AF208,'Fuel economy adjusted factor'!$A$2:$L$52,5,FALSE)*m2k))/'TCO Inputs'!$AZ$84</f>
        <v>150.22663817739533</v>
      </c>
      <c r="AS208" s="125">
        <f>AS96/293.07*(1/(VLOOKUP($AF208,'Fuel economy adjusted factor'!$A$2:$L$52,5,FALSE)*m2k))/'TCO Inputs'!$AZ$84</f>
        <v>150.22663817739533</v>
      </c>
      <c r="AT208" s="125">
        <f>AT96/293.07*(1/(VLOOKUP($AF208,'Fuel economy adjusted factor'!$A$2:$L$52,5,FALSE)*m2k))/'TCO Inputs'!$AZ$84</f>
        <v>150.22663817739533</v>
      </c>
      <c r="AU208" s="125">
        <f>AU96/293.07*(1/(VLOOKUP($AF208,'Fuel economy adjusted factor'!$A$2:$L$52,5,FALSE)*m2k))/'TCO Inputs'!$AZ$84</f>
        <v>150.22663817739533</v>
      </c>
      <c r="AV208" s="125">
        <f>AV96/293.07*(1/(VLOOKUP($AF208,'Fuel economy adjusted factor'!$A$2:$L$52,5,FALSE)*m2k))/'TCO Inputs'!$AZ$84</f>
        <v>150.22663817739533</v>
      </c>
      <c r="AW208" s="125">
        <f>AW96/293.07*(1/(VLOOKUP($AF208,'Fuel economy adjusted factor'!$A$2:$L$52,5,FALSE)*m2k))/'TCO Inputs'!$AZ$84</f>
        <v>150.22663817739533</v>
      </c>
      <c r="AX208" s="125">
        <f>AX96/293.07*(1/(VLOOKUP($AF208,'Fuel economy adjusted factor'!$A$2:$L$52,5,FALSE)*m2k))/'TCO Inputs'!$AZ$84</f>
        <v>150.22663817739533</v>
      </c>
      <c r="AY208" s="125">
        <f>AY96/293.07*(1/(VLOOKUP($AF208,'Fuel economy adjusted factor'!$A$2:$L$52,5,FALSE)*m2k))/'TCO Inputs'!$AZ$84</f>
        <v>150.22663817739533</v>
      </c>
      <c r="AZ208" s="125">
        <f>AZ96/293.07*(1/(VLOOKUP($AF208,'Fuel economy adjusted factor'!$A$2:$L$52,5,FALSE)*m2k))/'TCO Inputs'!$AZ$84</f>
        <v>150.22663817739533</v>
      </c>
      <c r="BA208" s="125">
        <f>BA96/293.07*(1/(VLOOKUP($AF208,'Fuel economy adjusted factor'!$A$2:$L$52,5,FALSE)*m2k))/'TCO Inputs'!$AZ$84</f>
        <v>150.22663817739533</v>
      </c>
      <c r="BB208" s="125">
        <f>BB96/293.07*(1/(VLOOKUP($AF208,'Fuel economy adjusted factor'!$A$2:$L$52,5,FALSE)*m2k))/'TCO Inputs'!$AZ$84</f>
        <v>150.22663817739533</v>
      </c>
      <c r="BC208" s="125">
        <f>BC96/293.07*(1/(VLOOKUP($AF208,'Fuel economy adjusted factor'!$A$2:$L$52,5,FALSE)*m2k))/'TCO Inputs'!$AZ$84</f>
        <v>150.22663817739533</v>
      </c>
      <c r="BD208" s="125">
        <f>BD96/293.07*(1/(VLOOKUP($AF208,'Fuel economy adjusted factor'!$A$2:$L$52,5,FALSE)*m2k))/'TCO Inputs'!$AZ$84</f>
        <v>150.22663817739533</v>
      </c>
      <c r="BE208" s="125">
        <f>BE96/293.07*(1/(VLOOKUP($AF208,'Fuel economy adjusted factor'!$A$2:$L$52,5,FALSE)*m2k))/'TCO Inputs'!$AZ$84</f>
        <v>150.22663817739533</v>
      </c>
      <c r="BF208" s="125">
        <f>BF96/293.07*(1/(VLOOKUP($AF208,'Fuel economy adjusted factor'!$A$2:$L$52,5,FALSE)*m2k))/'TCO Inputs'!$AZ$84</f>
        <v>150.22663817739533</v>
      </c>
      <c r="BG208" s="125">
        <f>BG96/293.07*(1/(VLOOKUP($AF208,'Fuel economy adjusted factor'!$A$2:$L$52,5,FALSE)*m2k))/'TCO Inputs'!$AZ$84</f>
        <v>150.22663817739533</v>
      </c>
      <c r="BH208" s="125">
        <f>BH96/293.07*(1/(VLOOKUP($AF208,'Fuel economy adjusted factor'!$A$2:$L$52,5,FALSE)*m2k))/'TCO Inputs'!$AZ$84</f>
        <v>150.22663817739533</v>
      </c>
      <c r="BI208" s="98" cm="1">
        <f t="array" ref="BI208">SUMPRODUCT(INDEX(AG208:BH208,,'TCO Inputs'!$AZ$12-2023+_xlfn.SEQUENCE('TCO Inputs'!$AZ$13))*INDEX('VKT US'!C100:AA100,,_xlfn.SEQUENCE('TCO Inputs'!$AZ$13)))*m2k*CONVERT(0.9072,"g","ton")</f>
        <v>36.347223596490721</v>
      </c>
    </row>
    <row r="209" spans="1:61" x14ac:dyDescent="0.25">
      <c r="A209" s="123" t="s">
        <v>221</v>
      </c>
      <c r="B209" s="125">
        <f>B97/293.07*(1/(VLOOKUP($A209,'Fuel economy adjusted factor'!$A$2:$L$52,5,FALSE)*m2k))/'TCO Inputs'!$AZ$84</f>
        <v>164.54958760301776</v>
      </c>
      <c r="C209" s="125">
        <f>C97/293.07*(1/(VLOOKUP($A209,'Fuel economy adjusted factor'!$A$2:$L$52,5,FALSE)*m2k))/'TCO Inputs'!$AZ$84</f>
        <v>164.54958760301776</v>
      </c>
      <c r="D209" s="125">
        <f>D97/293.07*(1/(VLOOKUP($A209,'Fuel economy adjusted factor'!$A$2:$L$52,5,FALSE)*m2k))/'TCO Inputs'!$AZ$84</f>
        <v>164.54958760301776</v>
      </c>
      <c r="E209" s="125">
        <f>E97/293.07*(1/(VLOOKUP($A209,'Fuel economy adjusted factor'!$A$2:$L$52,5,FALSE)*m2k))/'TCO Inputs'!$AZ$84</f>
        <v>164.54958760301776</v>
      </c>
      <c r="F209" s="125">
        <f>F97/293.07*(1/(VLOOKUP($A209,'Fuel economy adjusted factor'!$A$2:$L$52,5,FALSE)*m2k))/'TCO Inputs'!$AZ$84</f>
        <v>164.54958760301776</v>
      </c>
      <c r="G209" s="125">
        <f>G97/293.07*(1/(VLOOKUP($A209,'Fuel economy adjusted factor'!$A$2:$L$52,5,FALSE)*m2k))/'TCO Inputs'!$AZ$84</f>
        <v>164.54958760301776</v>
      </c>
      <c r="H209" s="125">
        <f>H97/293.07*(1/(VLOOKUP($A209,'Fuel economy adjusted factor'!$A$2:$L$52,5,FALSE)*m2k))/'TCO Inputs'!$AZ$84</f>
        <v>164.54958760301776</v>
      </c>
      <c r="I209" s="125">
        <f>I97/293.07*(1/(VLOOKUP($A209,'Fuel economy adjusted factor'!$A$2:$L$52,5,FALSE)*m2k))/'TCO Inputs'!$AZ$84</f>
        <v>164.54958760301776</v>
      </c>
      <c r="J209" s="125">
        <f>J97/293.07*(1/(VLOOKUP($A209,'Fuel economy adjusted factor'!$A$2:$L$52,5,FALSE)*m2k))/'TCO Inputs'!$AZ$84</f>
        <v>164.54958760301776</v>
      </c>
      <c r="K209" s="125">
        <f>K97/293.07*(1/(VLOOKUP($A209,'Fuel economy adjusted factor'!$A$2:$L$52,5,FALSE)*m2k))/'TCO Inputs'!$AZ$84</f>
        <v>164.54958760301776</v>
      </c>
      <c r="L209" s="125">
        <f>L97/293.07*(1/(VLOOKUP($A209,'Fuel economy adjusted factor'!$A$2:$L$52,5,FALSE)*m2k))/'TCO Inputs'!$AZ$84</f>
        <v>164.54958760301776</v>
      </c>
      <c r="M209" s="125">
        <f>M97/293.07*(1/(VLOOKUP($A209,'Fuel economy adjusted factor'!$A$2:$L$52,5,FALSE)*m2k))/'TCO Inputs'!$AZ$84</f>
        <v>164.54958760301776</v>
      </c>
      <c r="N209" s="125">
        <f>N97/293.07*(1/(VLOOKUP($A209,'Fuel economy adjusted factor'!$A$2:$L$52,5,FALSE)*m2k))/'TCO Inputs'!$AZ$84</f>
        <v>164.54958760301776</v>
      </c>
      <c r="O209" s="125">
        <f>O97/293.07*(1/(VLOOKUP($A209,'Fuel economy adjusted factor'!$A$2:$L$52,5,FALSE)*m2k))/'TCO Inputs'!$AZ$84</f>
        <v>164.54958760301776</v>
      </c>
      <c r="P209" s="125">
        <f>P97/293.07*(1/(VLOOKUP($A209,'Fuel economy adjusted factor'!$A$2:$L$52,5,FALSE)*m2k))/'TCO Inputs'!$AZ$84</f>
        <v>164.54958760301776</v>
      </c>
      <c r="Q209" s="125">
        <f>Q97/293.07*(1/(VLOOKUP($A209,'Fuel economy adjusted factor'!$A$2:$L$52,5,FALSE)*m2k))/'TCO Inputs'!$AZ$84</f>
        <v>164.54958760301776</v>
      </c>
      <c r="R209" s="125">
        <f>R97/293.07*(1/(VLOOKUP($A209,'Fuel economy adjusted factor'!$A$2:$L$52,5,FALSE)*m2k))/'TCO Inputs'!$AZ$84</f>
        <v>164.54958760301776</v>
      </c>
      <c r="S209" s="125">
        <f>S97/293.07*(1/(VLOOKUP($A209,'Fuel economy adjusted factor'!$A$2:$L$52,5,FALSE)*m2k))/'TCO Inputs'!$AZ$84</f>
        <v>164.54958760301776</v>
      </c>
      <c r="T209" s="125">
        <f>T97/293.07*(1/(VLOOKUP($A209,'Fuel economy adjusted factor'!$A$2:$L$52,5,FALSE)*m2k))/'TCO Inputs'!$AZ$84</f>
        <v>164.54958760301776</v>
      </c>
      <c r="U209" s="125">
        <f>U97/293.07*(1/(VLOOKUP($A209,'Fuel economy adjusted factor'!$A$2:$L$52,5,FALSE)*m2k))/'TCO Inputs'!$AZ$84</f>
        <v>164.54958760301776</v>
      </c>
      <c r="V209" s="125">
        <f>V97/293.07*(1/(VLOOKUP($A209,'Fuel economy adjusted factor'!$A$2:$L$52,5,FALSE)*m2k))/'TCO Inputs'!$AZ$84</f>
        <v>164.54958760301776</v>
      </c>
      <c r="W209" s="125">
        <f>W97/293.07*(1/(VLOOKUP($A209,'Fuel economy adjusted factor'!$A$2:$L$52,5,FALSE)*m2k))/'TCO Inputs'!$AZ$84</f>
        <v>164.54958760301776</v>
      </c>
      <c r="X209" s="125">
        <f>X97/293.07*(1/(VLOOKUP($A209,'Fuel economy adjusted factor'!$A$2:$L$52,5,FALSE)*m2k))/'TCO Inputs'!$AZ$84</f>
        <v>164.54958760301776</v>
      </c>
      <c r="Y209" s="125">
        <f>Y97/293.07*(1/(VLOOKUP($A209,'Fuel economy adjusted factor'!$A$2:$L$52,5,FALSE)*m2k))/'TCO Inputs'!$AZ$84</f>
        <v>164.54958760301776</v>
      </c>
      <c r="Z209" s="125">
        <f>Z97/293.07*(1/(VLOOKUP($A209,'Fuel economy adjusted factor'!$A$2:$L$52,5,FALSE)*m2k))/'TCO Inputs'!$AZ$84</f>
        <v>164.54958760301776</v>
      </c>
      <c r="AA209" s="125">
        <f>AA97/293.07*(1/(VLOOKUP($A209,'Fuel economy adjusted factor'!$A$2:$L$52,5,FALSE)*m2k))/'TCO Inputs'!$AZ$84</f>
        <v>164.54958760301776</v>
      </c>
      <c r="AB209" s="125">
        <f>AB97/293.07*(1/(VLOOKUP($A209,'Fuel economy adjusted factor'!$A$2:$L$52,5,FALSE)*m2k))/'TCO Inputs'!$AZ$84</f>
        <v>164.54958760301776</v>
      </c>
      <c r="AC209" s="125">
        <f>AC97/293.07*(1/(VLOOKUP($A209,'Fuel economy adjusted factor'!$A$2:$L$52,5,FALSE)*m2k))/'TCO Inputs'!$AZ$84</f>
        <v>164.54958760301776</v>
      </c>
      <c r="AD209" s="98" cm="1">
        <f t="array" ref="AD209">SUMPRODUCT(INDEX(B209:AC209,,'TCO Inputs'!$AZ$12-2023+_xlfn.SEQUENCE('TCO Inputs'!$AZ$13))*INDEX('VKT US'!C101:AA101,,_xlfn.SEQUENCE('TCO Inputs'!$AZ$13)))*m2k*CONVERT(0.9072,"g","ton")</f>
        <v>34.650398637917768</v>
      </c>
      <c r="AF209" s="123" t="s">
        <v>221</v>
      </c>
      <c r="AG209" s="125">
        <f>AG97/293.07*(1/(VLOOKUP($AF209,'Fuel economy adjusted factor'!$A$2:$L$52,5,FALSE)*m2k))/'TCO Inputs'!$AZ$84</f>
        <v>190.62089180253633</v>
      </c>
      <c r="AH209" s="125">
        <f>AH97/293.07*(1/(VLOOKUP($AF209,'Fuel economy adjusted factor'!$A$2:$L$52,5,FALSE)*m2k))/'TCO Inputs'!$AZ$84</f>
        <v>190.62089180253633</v>
      </c>
      <c r="AI209" s="125">
        <f>AI97/293.07*(1/(VLOOKUP($AF209,'Fuel economy adjusted factor'!$A$2:$L$52,5,FALSE)*m2k))/'TCO Inputs'!$AZ$84</f>
        <v>190.62089180253633</v>
      </c>
      <c r="AJ209" s="125">
        <f>AJ97/293.07*(1/(VLOOKUP($AF209,'Fuel economy adjusted factor'!$A$2:$L$52,5,FALSE)*m2k))/'TCO Inputs'!$AZ$84</f>
        <v>190.62089180253633</v>
      </c>
      <c r="AK209" s="125">
        <f>AK97/293.07*(1/(VLOOKUP($AF209,'Fuel economy adjusted factor'!$A$2:$L$52,5,FALSE)*m2k))/'TCO Inputs'!$AZ$84</f>
        <v>190.62089180253633</v>
      </c>
      <c r="AL209" s="125">
        <f>AL97/293.07*(1/(VLOOKUP($AF209,'Fuel economy adjusted factor'!$A$2:$L$52,5,FALSE)*m2k))/'TCO Inputs'!$AZ$84</f>
        <v>190.62089180253633</v>
      </c>
      <c r="AM209" s="125">
        <f>AM97/293.07*(1/(VLOOKUP($AF209,'Fuel economy adjusted factor'!$A$2:$L$52,5,FALSE)*m2k))/'TCO Inputs'!$AZ$84</f>
        <v>190.62089180253633</v>
      </c>
      <c r="AN209" s="125">
        <f>AN97/293.07*(1/(VLOOKUP($AF209,'Fuel economy adjusted factor'!$A$2:$L$52,5,FALSE)*m2k))/'TCO Inputs'!$AZ$84</f>
        <v>190.62089180253633</v>
      </c>
      <c r="AO209" s="125">
        <f>AO97/293.07*(1/(VLOOKUP($AF209,'Fuel economy adjusted factor'!$A$2:$L$52,5,FALSE)*m2k))/'TCO Inputs'!$AZ$84</f>
        <v>190.62089180253633</v>
      </c>
      <c r="AP209" s="125">
        <f>AP97/293.07*(1/(VLOOKUP($AF209,'Fuel economy adjusted factor'!$A$2:$L$52,5,FALSE)*m2k))/'TCO Inputs'!$AZ$84</f>
        <v>190.62089180253633</v>
      </c>
      <c r="AQ209" s="125">
        <f>AQ97/293.07*(1/(VLOOKUP($AF209,'Fuel economy adjusted factor'!$A$2:$L$52,5,FALSE)*m2k))/'TCO Inputs'!$AZ$84</f>
        <v>190.62089180253633</v>
      </c>
      <c r="AR209" s="125">
        <f>AR97/293.07*(1/(VLOOKUP($AF209,'Fuel economy adjusted factor'!$A$2:$L$52,5,FALSE)*m2k))/'TCO Inputs'!$AZ$84</f>
        <v>190.62089180253633</v>
      </c>
      <c r="AS209" s="125">
        <f>AS97/293.07*(1/(VLOOKUP($AF209,'Fuel economy adjusted factor'!$A$2:$L$52,5,FALSE)*m2k))/'TCO Inputs'!$AZ$84</f>
        <v>190.62089180253633</v>
      </c>
      <c r="AT209" s="125">
        <f>AT97/293.07*(1/(VLOOKUP($AF209,'Fuel economy adjusted factor'!$A$2:$L$52,5,FALSE)*m2k))/'TCO Inputs'!$AZ$84</f>
        <v>190.62089180253633</v>
      </c>
      <c r="AU209" s="125">
        <f>AU97/293.07*(1/(VLOOKUP($AF209,'Fuel economy adjusted factor'!$A$2:$L$52,5,FALSE)*m2k))/'TCO Inputs'!$AZ$84</f>
        <v>190.62089180253633</v>
      </c>
      <c r="AV209" s="125">
        <f>AV97/293.07*(1/(VLOOKUP($AF209,'Fuel economy adjusted factor'!$A$2:$L$52,5,FALSE)*m2k))/'TCO Inputs'!$AZ$84</f>
        <v>190.62089180253633</v>
      </c>
      <c r="AW209" s="125">
        <f>AW97/293.07*(1/(VLOOKUP($AF209,'Fuel economy adjusted factor'!$A$2:$L$52,5,FALSE)*m2k))/'TCO Inputs'!$AZ$84</f>
        <v>190.62089180253633</v>
      </c>
      <c r="AX209" s="125">
        <f>AX97/293.07*(1/(VLOOKUP($AF209,'Fuel economy adjusted factor'!$A$2:$L$52,5,FALSE)*m2k))/'TCO Inputs'!$AZ$84</f>
        <v>190.62089180253633</v>
      </c>
      <c r="AY209" s="125">
        <f>AY97/293.07*(1/(VLOOKUP($AF209,'Fuel economy adjusted factor'!$A$2:$L$52,5,FALSE)*m2k))/'TCO Inputs'!$AZ$84</f>
        <v>190.62089180253633</v>
      </c>
      <c r="AZ209" s="125">
        <f>AZ97/293.07*(1/(VLOOKUP($AF209,'Fuel economy adjusted factor'!$A$2:$L$52,5,FALSE)*m2k))/'TCO Inputs'!$AZ$84</f>
        <v>190.62089180253633</v>
      </c>
      <c r="BA209" s="125">
        <f>BA97/293.07*(1/(VLOOKUP($AF209,'Fuel economy adjusted factor'!$A$2:$L$52,5,FALSE)*m2k))/'TCO Inputs'!$AZ$84</f>
        <v>190.62089180253633</v>
      </c>
      <c r="BB209" s="125">
        <f>BB97/293.07*(1/(VLOOKUP($AF209,'Fuel economy adjusted factor'!$A$2:$L$52,5,FALSE)*m2k))/'TCO Inputs'!$AZ$84</f>
        <v>190.62089180253633</v>
      </c>
      <c r="BC209" s="125">
        <f>BC97/293.07*(1/(VLOOKUP($AF209,'Fuel economy adjusted factor'!$A$2:$L$52,5,FALSE)*m2k))/'TCO Inputs'!$AZ$84</f>
        <v>190.62089180253633</v>
      </c>
      <c r="BD209" s="125">
        <f>BD97/293.07*(1/(VLOOKUP($AF209,'Fuel economy adjusted factor'!$A$2:$L$52,5,FALSE)*m2k))/'TCO Inputs'!$AZ$84</f>
        <v>190.62089180253633</v>
      </c>
      <c r="BE209" s="125">
        <f>BE97/293.07*(1/(VLOOKUP($AF209,'Fuel economy adjusted factor'!$A$2:$L$52,5,FALSE)*m2k))/'TCO Inputs'!$AZ$84</f>
        <v>190.62089180253633</v>
      </c>
      <c r="BF209" s="125">
        <f>BF97/293.07*(1/(VLOOKUP($AF209,'Fuel economy adjusted factor'!$A$2:$L$52,5,FALSE)*m2k))/'TCO Inputs'!$AZ$84</f>
        <v>190.62089180253633</v>
      </c>
      <c r="BG209" s="125">
        <f>BG97/293.07*(1/(VLOOKUP($AF209,'Fuel economy adjusted factor'!$A$2:$L$52,5,FALSE)*m2k))/'TCO Inputs'!$AZ$84</f>
        <v>190.62089180253633</v>
      </c>
      <c r="BH209" s="125">
        <f>BH97/293.07*(1/(VLOOKUP($AF209,'Fuel economy adjusted factor'!$A$2:$L$52,5,FALSE)*m2k))/'TCO Inputs'!$AZ$84</f>
        <v>190.62089180253633</v>
      </c>
      <c r="BI209" s="98" cm="1">
        <f t="array" ref="BI209">SUMPRODUCT(INDEX(AG209:BH209,,'TCO Inputs'!$AZ$12-2023+_xlfn.SEQUENCE('TCO Inputs'!$AZ$13))*INDEX('VKT US'!C101:AA101,,_xlfn.SEQUENCE('TCO Inputs'!$AZ$13)))*m2k*CONVERT(0.9072,"g","ton")</f>
        <v>40.140422020432595</v>
      </c>
    </row>
    <row r="210" spans="1:61" x14ac:dyDescent="0.25">
      <c r="A210" s="123" t="s">
        <v>222</v>
      </c>
      <c r="B210" s="125">
        <f>B98/293.07*(1/(VLOOKUP($A210,'Fuel economy adjusted factor'!$A$2:$L$52,5,FALSE)*m2k))/'TCO Inputs'!$AZ$84</f>
        <v>93.908336269279644</v>
      </c>
      <c r="C210" s="125">
        <f>C98/293.07*(1/(VLOOKUP($A210,'Fuel economy adjusted factor'!$A$2:$L$52,5,FALSE)*m2k))/'TCO Inputs'!$AZ$84</f>
        <v>93.908336269279644</v>
      </c>
      <c r="D210" s="125">
        <f>D98/293.07*(1/(VLOOKUP($A210,'Fuel economy adjusted factor'!$A$2:$L$52,5,FALSE)*m2k))/'TCO Inputs'!$AZ$84</f>
        <v>93.908336269279644</v>
      </c>
      <c r="E210" s="125">
        <f>E98/293.07*(1/(VLOOKUP($A210,'Fuel economy adjusted factor'!$A$2:$L$52,5,FALSE)*m2k))/'TCO Inputs'!$AZ$84</f>
        <v>93.908336269279644</v>
      </c>
      <c r="F210" s="125">
        <f>F98/293.07*(1/(VLOOKUP($A210,'Fuel economy adjusted factor'!$A$2:$L$52,5,FALSE)*m2k))/'TCO Inputs'!$AZ$84</f>
        <v>93.908336269279644</v>
      </c>
      <c r="G210" s="125">
        <f>G98/293.07*(1/(VLOOKUP($A210,'Fuel economy adjusted factor'!$A$2:$L$52,5,FALSE)*m2k))/'TCO Inputs'!$AZ$84</f>
        <v>93.908336269279644</v>
      </c>
      <c r="H210" s="125">
        <f>H98/293.07*(1/(VLOOKUP($A210,'Fuel economy adjusted factor'!$A$2:$L$52,5,FALSE)*m2k))/'TCO Inputs'!$AZ$84</f>
        <v>93.908336269279644</v>
      </c>
      <c r="I210" s="125">
        <f>I98/293.07*(1/(VLOOKUP($A210,'Fuel economy adjusted factor'!$A$2:$L$52,5,FALSE)*m2k))/'TCO Inputs'!$AZ$84</f>
        <v>93.908336269279644</v>
      </c>
      <c r="J210" s="125">
        <f>J98/293.07*(1/(VLOOKUP($A210,'Fuel economy adjusted factor'!$A$2:$L$52,5,FALSE)*m2k))/'TCO Inputs'!$AZ$84</f>
        <v>93.908336269279644</v>
      </c>
      <c r="K210" s="125">
        <f>K98/293.07*(1/(VLOOKUP($A210,'Fuel economy adjusted factor'!$A$2:$L$52,5,FALSE)*m2k))/'TCO Inputs'!$AZ$84</f>
        <v>93.908336269279644</v>
      </c>
      <c r="L210" s="125">
        <f>L98/293.07*(1/(VLOOKUP($A210,'Fuel economy adjusted factor'!$A$2:$L$52,5,FALSE)*m2k))/'TCO Inputs'!$AZ$84</f>
        <v>93.908336269279644</v>
      </c>
      <c r="M210" s="125">
        <f>M98/293.07*(1/(VLOOKUP($A210,'Fuel economy adjusted factor'!$A$2:$L$52,5,FALSE)*m2k))/'TCO Inputs'!$AZ$84</f>
        <v>93.908336269279644</v>
      </c>
      <c r="N210" s="125">
        <f>N98/293.07*(1/(VLOOKUP($A210,'Fuel economy adjusted factor'!$A$2:$L$52,5,FALSE)*m2k))/'TCO Inputs'!$AZ$84</f>
        <v>93.908336269279644</v>
      </c>
      <c r="O210" s="125">
        <f>O98/293.07*(1/(VLOOKUP($A210,'Fuel economy adjusted factor'!$A$2:$L$52,5,FALSE)*m2k))/'TCO Inputs'!$AZ$84</f>
        <v>93.908336269279644</v>
      </c>
      <c r="P210" s="125">
        <f>P98/293.07*(1/(VLOOKUP($A210,'Fuel economy adjusted factor'!$A$2:$L$52,5,FALSE)*m2k))/'TCO Inputs'!$AZ$84</f>
        <v>93.908336269279644</v>
      </c>
      <c r="Q210" s="125">
        <f>Q98/293.07*(1/(VLOOKUP($A210,'Fuel economy adjusted factor'!$A$2:$L$52,5,FALSE)*m2k))/'TCO Inputs'!$AZ$84</f>
        <v>93.908336269279644</v>
      </c>
      <c r="R210" s="125">
        <f>R98/293.07*(1/(VLOOKUP($A210,'Fuel economy adjusted factor'!$A$2:$L$52,5,FALSE)*m2k))/'TCO Inputs'!$AZ$84</f>
        <v>93.908336269279644</v>
      </c>
      <c r="S210" s="125">
        <f>S98/293.07*(1/(VLOOKUP($A210,'Fuel economy adjusted factor'!$A$2:$L$52,5,FALSE)*m2k))/'TCO Inputs'!$AZ$84</f>
        <v>93.908336269279644</v>
      </c>
      <c r="T210" s="125">
        <f>T98/293.07*(1/(VLOOKUP($A210,'Fuel economy adjusted factor'!$A$2:$L$52,5,FALSE)*m2k))/'TCO Inputs'!$AZ$84</f>
        <v>93.908336269279644</v>
      </c>
      <c r="U210" s="125">
        <f>U98/293.07*(1/(VLOOKUP($A210,'Fuel economy adjusted factor'!$A$2:$L$52,5,FALSE)*m2k))/'TCO Inputs'!$AZ$84</f>
        <v>93.908336269279644</v>
      </c>
      <c r="V210" s="125">
        <f>V98/293.07*(1/(VLOOKUP($A210,'Fuel economy adjusted factor'!$A$2:$L$52,5,FALSE)*m2k))/'TCO Inputs'!$AZ$84</f>
        <v>93.908336269279644</v>
      </c>
      <c r="W210" s="125">
        <f>W98/293.07*(1/(VLOOKUP($A210,'Fuel economy adjusted factor'!$A$2:$L$52,5,FALSE)*m2k))/'TCO Inputs'!$AZ$84</f>
        <v>93.908336269279644</v>
      </c>
      <c r="X210" s="125">
        <f>X98/293.07*(1/(VLOOKUP($A210,'Fuel economy adjusted factor'!$A$2:$L$52,5,FALSE)*m2k))/'TCO Inputs'!$AZ$84</f>
        <v>93.908336269279644</v>
      </c>
      <c r="Y210" s="125">
        <f>Y98/293.07*(1/(VLOOKUP($A210,'Fuel economy adjusted factor'!$A$2:$L$52,5,FALSE)*m2k))/'TCO Inputs'!$AZ$84</f>
        <v>93.908336269279644</v>
      </c>
      <c r="Z210" s="125">
        <f>Z98/293.07*(1/(VLOOKUP($A210,'Fuel economy adjusted factor'!$A$2:$L$52,5,FALSE)*m2k))/'TCO Inputs'!$AZ$84</f>
        <v>93.908336269279644</v>
      </c>
      <c r="AA210" s="125">
        <f>AA98/293.07*(1/(VLOOKUP($A210,'Fuel economy adjusted factor'!$A$2:$L$52,5,FALSE)*m2k))/'TCO Inputs'!$AZ$84</f>
        <v>93.908336269279644</v>
      </c>
      <c r="AB210" s="125">
        <f>AB98/293.07*(1/(VLOOKUP($A210,'Fuel economy adjusted factor'!$A$2:$L$52,5,FALSE)*m2k))/'TCO Inputs'!$AZ$84</f>
        <v>93.908336269279644</v>
      </c>
      <c r="AC210" s="125">
        <f>AC98/293.07*(1/(VLOOKUP($A210,'Fuel economy adjusted factor'!$A$2:$L$52,5,FALSE)*m2k))/'TCO Inputs'!$AZ$84</f>
        <v>93.908336269279644</v>
      </c>
      <c r="AD210" s="98" cm="1">
        <f t="array" ref="AD210">SUMPRODUCT(INDEX(B210:AC210,,'TCO Inputs'!$AZ$12-2023+_xlfn.SEQUENCE('TCO Inputs'!$AZ$13))*INDEX('VKT US'!C102:AA102,,_xlfn.SEQUENCE('TCO Inputs'!$AZ$13)))*m2k*CONVERT(0.9072,"g","ton")</f>
        <v>29.661445323310016</v>
      </c>
      <c r="AF210" s="123" t="s">
        <v>222</v>
      </c>
      <c r="AG210" s="125">
        <f>AG98/293.07*(1/(VLOOKUP($AF210,'Fuel economy adjusted factor'!$A$2:$L$52,5,FALSE)*m2k))/'TCO Inputs'!$AZ$84</f>
        <v>108.78721161264252</v>
      </c>
      <c r="AH210" s="125">
        <f>AH98/293.07*(1/(VLOOKUP($AF210,'Fuel economy adjusted factor'!$A$2:$L$52,5,FALSE)*m2k))/'TCO Inputs'!$AZ$84</f>
        <v>108.78721161264252</v>
      </c>
      <c r="AI210" s="125">
        <f>AI98/293.07*(1/(VLOOKUP($AF210,'Fuel economy adjusted factor'!$A$2:$L$52,5,FALSE)*m2k))/'TCO Inputs'!$AZ$84</f>
        <v>108.78721161264252</v>
      </c>
      <c r="AJ210" s="125">
        <f>AJ98/293.07*(1/(VLOOKUP($AF210,'Fuel economy adjusted factor'!$A$2:$L$52,5,FALSE)*m2k))/'TCO Inputs'!$AZ$84</f>
        <v>108.78721161264252</v>
      </c>
      <c r="AK210" s="125">
        <f>AK98/293.07*(1/(VLOOKUP($AF210,'Fuel economy adjusted factor'!$A$2:$L$52,5,FALSE)*m2k))/'TCO Inputs'!$AZ$84</f>
        <v>108.78721161264252</v>
      </c>
      <c r="AL210" s="125">
        <f>AL98/293.07*(1/(VLOOKUP($AF210,'Fuel economy adjusted factor'!$A$2:$L$52,5,FALSE)*m2k))/'TCO Inputs'!$AZ$84</f>
        <v>108.78721161264252</v>
      </c>
      <c r="AM210" s="125">
        <f>AM98/293.07*(1/(VLOOKUP($AF210,'Fuel economy adjusted factor'!$A$2:$L$52,5,FALSE)*m2k))/'TCO Inputs'!$AZ$84</f>
        <v>108.78721161264252</v>
      </c>
      <c r="AN210" s="125">
        <f>AN98/293.07*(1/(VLOOKUP($AF210,'Fuel economy adjusted factor'!$A$2:$L$52,5,FALSE)*m2k))/'TCO Inputs'!$AZ$84</f>
        <v>108.78721161264252</v>
      </c>
      <c r="AO210" s="125">
        <f>AO98/293.07*(1/(VLOOKUP($AF210,'Fuel economy adjusted factor'!$A$2:$L$52,5,FALSE)*m2k))/'TCO Inputs'!$AZ$84</f>
        <v>108.78721161264252</v>
      </c>
      <c r="AP210" s="125">
        <f>AP98/293.07*(1/(VLOOKUP($AF210,'Fuel economy adjusted factor'!$A$2:$L$52,5,FALSE)*m2k))/'TCO Inputs'!$AZ$84</f>
        <v>108.78721161264252</v>
      </c>
      <c r="AQ210" s="125">
        <f>AQ98/293.07*(1/(VLOOKUP($AF210,'Fuel economy adjusted factor'!$A$2:$L$52,5,FALSE)*m2k))/'TCO Inputs'!$AZ$84</f>
        <v>108.78721161264252</v>
      </c>
      <c r="AR210" s="125">
        <f>AR98/293.07*(1/(VLOOKUP($AF210,'Fuel economy adjusted factor'!$A$2:$L$52,5,FALSE)*m2k))/'TCO Inputs'!$AZ$84</f>
        <v>108.78721161264252</v>
      </c>
      <c r="AS210" s="125">
        <f>AS98/293.07*(1/(VLOOKUP($AF210,'Fuel economy adjusted factor'!$A$2:$L$52,5,FALSE)*m2k))/'TCO Inputs'!$AZ$84</f>
        <v>108.78721161264252</v>
      </c>
      <c r="AT210" s="125">
        <f>AT98/293.07*(1/(VLOOKUP($AF210,'Fuel economy adjusted factor'!$A$2:$L$52,5,FALSE)*m2k))/'TCO Inputs'!$AZ$84</f>
        <v>108.78721161264252</v>
      </c>
      <c r="AU210" s="125">
        <f>AU98/293.07*(1/(VLOOKUP($AF210,'Fuel economy adjusted factor'!$A$2:$L$52,5,FALSE)*m2k))/'TCO Inputs'!$AZ$84</f>
        <v>108.78721161264252</v>
      </c>
      <c r="AV210" s="125">
        <f>AV98/293.07*(1/(VLOOKUP($AF210,'Fuel economy adjusted factor'!$A$2:$L$52,5,FALSE)*m2k))/'TCO Inputs'!$AZ$84</f>
        <v>108.78721161264252</v>
      </c>
      <c r="AW210" s="125">
        <f>AW98/293.07*(1/(VLOOKUP($AF210,'Fuel economy adjusted factor'!$A$2:$L$52,5,FALSE)*m2k))/'TCO Inputs'!$AZ$84</f>
        <v>108.78721161264252</v>
      </c>
      <c r="AX210" s="125">
        <f>AX98/293.07*(1/(VLOOKUP($AF210,'Fuel economy adjusted factor'!$A$2:$L$52,5,FALSE)*m2k))/'TCO Inputs'!$AZ$84</f>
        <v>108.78721161264252</v>
      </c>
      <c r="AY210" s="125">
        <f>AY98/293.07*(1/(VLOOKUP($AF210,'Fuel economy adjusted factor'!$A$2:$L$52,5,FALSE)*m2k))/'TCO Inputs'!$AZ$84</f>
        <v>108.78721161264252</v>
      </c>
      <c r="AZ210" s="125">
        <f>AZ98/293.07*(1/(VLOOKUP($AF210,'Fuel economy adjusted factor'!$A$2:$L$52,5,FALSE)*m2k))/'TCO Inputs'!$AZ$84</f>
        <v>108.78721161264252</v>
      </c>
      <c r="BA210" s="125">
        <f>BA98/293.07*(1/(VLOOKUP($AF210,'Fuel economy adjusted factor'!$A$2:$L$52,5,FALSE)*m2k))/'TCO Inputs'!$AZ$84</f>
        <v>108.78721161264252</v>
      </c>
      <c r="BB210" s="125">
        <f>BB98/293.07*(1/(VLOOKUP($AF210,'Fuel economy adjusted factor'!$A$2:$L$52,5,FALSE)*m2k))/'TCO Inputs'!$AZ$84</f>
        <v>108.78721161264252</v>
      </c>
      <c r="BC210" s="125">
        <f>BC98/293.07*(1/(VLOOKUP($AF210,'Fuel economy adjusted factor'!$A$2:$L$52,5,FALSE)*m2k))/'TCO Inputs'!$AZ$84</f>
        <v>108.78721161264252</v>
      </c>
      <c r="BD210" s="125">
        <f>BD98/293.07*(1/(VLOOKUP($AF210,'Fuel economy adjusted factor'!$A$2:$L$52,5,FALSE)*m2k))/'TCO Inputs'!$AZ$84</f>
        <v>108.78721161264252</v>
      </c>
      <c r="BE210" s="125">
        <f>BE98/293.07*(1/(VLOOKUP($AF210,'Fuel economy adjusted factor'!$A$2:$L$52,5,FALSE)*m2k))/'TCO Inputs'!$AZ$84</f>
        <v>108.78721161264252</v>
      </c>
      <c r="BF210" s="125">
        <f>BF98/293.07*(1/(VLOOKUP($AF210,'Fuel economy adjusted factor'!$A$2:$L$52,5,FALSE)*m2k))/'TCO Inputs'!$AZ$84</f>
        <v>108.78721161264252</v>
      </c>
      <c r="BG210" s="125">
        <f>BG98/293.07*(1/(VLOOKUP($AF210,'Fuel economy adjusted factor'!$A$2:$L$52,5,FALSE)*m2k))/'TCO Inputs'!$AZ$84</f>
        <v>108.78721161264252</v>
      </c>
      <c r="BH210" s="125">
        <f>BH98/293.07*(1/(VLOOKUP($AF210,'Fuel economy adjusted factor'!$A$2:$L$52,5,FALSE)*m2k))/'TCO Inputs'!$AZ$84</f>
        <v>108.78721161264252</v>
      </c>
      <c r="BI210" s="98" cm="1">
        <f t="array" ref="BI210">SUMPRODUCT(INDEX(AG210:BH210,,'TCO Inputs'!$AZ$12-2023+_xlfn.SEQUENCE('TCO Inputs'!$AZ$13))*INDEX('VKT US'!C102:AA102,,_xlfn.SEQUENCE('TCO Inputs'!$AZ$13)))*m2k*CONVERT(0.9072,"g","ton")</f>
        <v>34.361016894932838</v>
      </c>
    </row>
    <row r="211" spans="1:61" x14ac:dyDescent="0.25">
      <c r="A211" s="123" t="s">
        <v>223</v>
      </c>
      <c r="B211" s="125">
        <f>B99/293.07*(1/(VLOOKUP($A211,'Fuel economy adjusted factor'!$A$2:$L$52,5,FALSE)*m2k))/'TCO Inputs'!$AZ$84</f>
        <v>67.275088464520124</v>
      </c>
      <c r="C211" s="125">
        <f>C99/293.07*(1/(VLOOKUP($A211,'Fuel economy adjusted factor'!$A$2:$L$52,5,FALSE)*m2k))/'TCO Inputs'!$AZ$84</f>
        <v>67.275088464520124</v>
      </c>
      <c r="D211" s="125">
        <f>D99/293.07*(1/(VLOOKUP($A211,'Fuel economy adjusted factor'!$A$2:$L$52,5,FALSE)*m2k))/'TCO Inputs'!$AZ$84</f>
        <v>67.275088464520124</v>
      </c>
      <c r="E211" s="125">
        <f>E99/293.07*(1/(VLOOKUP($A211,'Fuel economy adjusted factor'!$A$2:$L$52,5,FALSE)*m2k))/'TCO Inputs'!$AZ$84</f>
        <v>67.275088464520124</v>
      </c>
      <c r="F211" s="125">
        <f>F99/293.07*(1/(VLOOKUP($A211,'Fuel economy adjusted factor'!$A$2:$L$52,5,FALSE)*m2k))/'TCO Inputs'!$AZ$84</f>
        <v>67.275088464520124</v>
      </c>
      <c r="G211" s="125">
        <f>G99/293.07*(1/(VLOOKUP($A211,'Fuel economy adjusted factor'!$A$2:$L$52,5,FALSE)*m2k))/'TCO Inputs'!$AZ$84</f>
        <v>67.275088464520124</v>
      </c>
      <c r="H211" s="125">
        <f>H99/293.07*(1/(VLOOKUP($A211,'Fuel economy adjusted factor'!$A$2:$L$52,5,FALSE)*m2k))/'TCO Inputs'!$AZ$84</f>
        <v>67.275088464520124</v>
      </c>
      <c r="I211" s="125">
        <f>I99/293.07*(1/(VLOOKUP($A211,'Fuel economy adjusted factor'!$A$2:$L$52,5,FALSE)*m2k))/'TCO Inputs'!$AZ$84</f>
        <v>67.275088464520124</v>
      </c>
      <c r="J211" s="125">
        <f>J99/293.07*(1/(VLOOKUP($A211,'Fuel economy adjusted factor'!$A$2:$L$52,5,FALSE)*m2k))/'TCO Inputs'!$AZ$84</f>
        <v>67.275088464520124</v>
      </c>
      <c r="K211" s="125">
        <f>K99/293.07*(1/(VLOOKUP($A211,'Fuel economy adjusted factor'!$A$2:$L$52,5,FALSE)*m2k))/'TCO Inputs'!$AZ$84</f>
        <v>67.275088464520124</v>
      </c>
      <c r="L211" s="125">
        <f>L99/293.07*(1/(VLOOKUP($A211,'Fuel economy adjusted factor'!$A$2:$L$52,5,FALSE)*m2k))/'TCO Inputs'!$AZ$84</f>
        <v>67.275088464520124</v>
      </c>
      <c r="M211" s="125">
        <f>M99/293.07*(1/(VLOOKUP($A211,'Fuel economy adjusted factor'!$A$2:$L$52,5,FALSE)*m2k))/'TCO Inputs'!$AZ$84</f>
        <v>67.275088464520124</v>
      </c>
      <c r="N211" s="125">
        <f>N99/293.07*(1/(VLOOKUP($A211,'Fuel economy adjusted factor'!$A$2:$L$52,5,FALSE)*m2k))/'TCO Inputs'!$AZ$84</f>
        <v>67.275088464520124</v>
      </c>
      <c r="O211" s="125">
        <f>O99/293.07*(1/(VLOOKUP($A211,'Fuel economy adjusted factor'!$A$2:$L$52,5,FALSE)*m2k))/'TCO Inputs'!$AZ$84</f>
        <v>67.275088464520124</v>
      </c>
      <c r="P211" s="125">
        <f>P99/293.07*(1/(VLOOKUP($A211,'Fuel economy adjusted factor'!$A$2:$L$52,5,FALSE)*m2k))/'TCO Inputs'!$AZ$84</f>
        <v>67.275088464520124</v>
      </c>
      <c r="Q211" s="125">
        <f>Q99/293.07*(1/(VLOOKUP($A211,'Fuel economy adjusted factor'!$A$2:$L$52,5,FALSE)*m2k))/'TCO Inputs'!$AZ$84</f>
        <v>67.275088464520124</v>
      </c>
      <c r="R211" s="125">
        <f>R99/293.07*(1/(VLOOKUP($A211,'Fuel economy adjusted factor'!$A$2:$L$52,5,FALSE)*m2k))/'TCO Inputs'!$AZ$84</f>
        <v>67.275088464520124</v>
      </c>
      <c r="S211" s="125">
        <f>S99/293.07*(1/(VLOOKUP($A211,'Fuel economy adjusted factor'!$A$2:$L$52,5,FALSE)*m2k))/'TCO Inputs'!$AZ$84</f>
        <v>67.275088464520124</v>
      </c>
      <c r="T211" s="125">
        <f>T99/293.07*(1/(VLOOKUP($A211,'Fuel economy adjusted factor'!$A$2:$L$52,5,FALSE)*m2k))/'TCO Inputs'!$AZ$84</f>
        <v>67.275088464520124</v>
      </c>
      <c r="U211" s="125">
        <f>U99/293.07*(1/(VLOOKUP($A211,'Fuel economy adjusted factor'!$A$2:$L$52,5,FALSE)*m2k))/'TCO Inputs'!$AZ$84</f>
        <v>67.275088464520124</v>
      </c>
      <c r="V211" s="125">
        <f>V99/293.07*(1/(VLOOKUP($A211,'Fuel economy adjusted factor'!$A$2:$L$52,5,FALSE)*m2k))/'TCO Inputs'!$AZ$84</f>
        <v>67.275088464520124</v>
      </c>
      <c r="W211" s="125">
        <f>W99/293.07*(1/(VLOOKUP($A211,'Fuel economy adjusted factor'!$A$2:$L$52,5,FALSE)*m2k))/'TCO Inputs'!$AZ$84</f>
        <v>67.275088464520124</v>
      </c>
      <c r="X211" s="125">
        <f>X99/293.07*(1/(VLOOKUP($A211,'Fuel economy adjusted factor'!$A$2:$L$52,5,FALSE)*m2k))/'TCO Inputs'!$AZ$84</f>
        <v>67.275088464520124</v>
      </c>
      <c r="Y211" s="125">
        <f>Y99/293.07*(1/(VLOOKUP($A211,'Fuel economy adjusted factor'!$A$2:$L$52,5,FALSE)*m2k))/'TCO Inputs'!$AZ$84</f>
        <v>67.275088464520124</v>
      </c>
      <c r="Z211" s="125">
        <f>Z99/293.07*(1/(VLOOKUP($A211,'Fuel economy adjusted factor'!$A$2:$L$52,5,FALSE)*m2k))/'TCO Inputs'!$AZ$84</f>
        <v>67.275088464520124</v>
      </c>
      <c r="AA211" s="125">
        <f>AA99/293.07*(1/(VLOOKUP($A211,'Fuel economy adjusted factor'!$A$2:$L$52,5,FALSE)*m2k))/'TCO Inputs'!$AZ$84</f>
        <v>67.275088464520124</v>
      </c>
      <c r="AB211" s="125">
        <f>AB99/293.07*(1/(VLOOKUP($A211,'Fuel economy adjusted factor'!$A$2:$L$52,5,FALSE)*m2k))/'TCO Inputs'!$AZ$84</f>
        <v>67.275088464520124</v>
      </c>
      <c r="AC211" s="125">
        <f>AC99/293.07*(1/(VLOOKUP($A211,'Fuel economy adjusted factor'!$A$2:$L$52,5,FALSE)*m2k))/'TCO Inputs'!$AZ$84</f>
        <v>67.275088464520124</v>
      </c>
      <c r="AD211" s="98" cm="1">
        <f t="array" ref="AD211">SUMPRODUCT(INDEX(B211:AC211,,'TCO Inputs'!$AZ$12-2023+_xlfn.SEQUENCE('TCO Inputs'!$AZ$13))*INDEX('VKT US'!C103:AA103,,_xlfn.SEQUENCE('TCO Inputs'!$AZ$13)))*m2k*CONVERT(0.9072,"g","ton")</f>
        <v>22.102517088544491</v>
      </c>
      <c r="AF211" s="123" t="s">
        <v>223</v>
      </c>
      <c r="AG211" s="125">
        <f>AG99/293.07*(1/(VLOOKUP($AF211,'Fuel economy adjusted factor'!$A$2:$L$52,5,FALSE)*m2k))/'TCO Inputs'!$AZ$84</f>
        <v>77.934181094028858</v>
      </c>
      <c r="AH211" s="125">
        <f>AH99/293.07*(1/(VLOOKUP($AF211,'Fuel economy adjusted factor'!$A$2:$L$52,5,FALSE)*m2k))/'TCO Inputs'!$AZ$84</f>
        <v>77.934181094028858</v>
      </c>
      <c r="AI211" s="125">
        <f>AI99/293.07*(1/(VLOOKUP($AF211,'Fuel economy adjusted factor'!$A$2:$L$52,5,FALSE)*m2k))/'TCO Inputs'!$AZ$84</f>
        <v>77.934181094028858</v>
      </c>
      <c r="AJ211" s="125">
        <f>AJ99/293.07*(1/(VLOOKUP($AF211,'Fuel economy adjusted factor'!$A$2:$L$52,5,FALSE)*m2k))/'TCO Inputs'!$AZ$84</f>
        <v>77.934181094028858</v>
      </c>
      <c r="AK211" s="125">
        <f>AK99/293.07*(1/(VLOOKUP($AF211,'Fuel economy adjusted factor'!$A$2:$L$52,5,FALSE)*m2k))/'TCO Inputs'!$AZ$84</f>
        <v>77.934181094028858</v>
      </c>
      <c r="AL211" s="125">
        <f>AL99/293.07*(1/(VLOOKUP($AF211,'Fuel economy adjusted factor'!$A$2:$L$52,5,FALSE)*m2k))/'TCO Inputs'!$AZ$84</f>
        <v>77.934181094028858</v>
      </c>
      <c r="AM211" s="125">
        <f>AM99/293.07*(1/(VLOOKUP($AF211,'Fuel economy adjusted factor'!$A$2:$L$52,5,FALSE)*m2k))/'TCO Inputs'!$AZ$84</f>
        <v>77.934181094028858</v>
      </c>
      <c r="AN211" s="125">
        <f>AN99/293.07*(1/(VLOOKUP($AF211,'Fuel economy adjusted factor'!$A$2:$L$52,5,FALSE)*m2k))/'TCO Inputs'!$AZ$84</f>
        <v>77.934181094028858</v>
      </c>
      <c r="AO211" s="125">
        <f>AO99/293.07*(1/(VLOOKUP($AF211,'Fuel economy adjusted factor'!$A$2:$L$52,5,FALSE)*m2k))/'TCO Inputs'!$AZ$84</f>
        <v>77.934181094028858</v>
      </c>
      <c r="AP211" s="125">
        <f>AP99/293.07*(1/(VLOOKUP($AF211,'Fuel economy adjusted factor'!$A$2:$L$52,5,FALSE)*m2k))/'TCO Inputs'!$AZ$84</f>
        <v>77.934181094028858</v>
      </c>
      <c r="AQ211" s="125">
        <f>AQ99/293.07*(1/(VLOOKUP($AF211,'Fuel economy adjusted factor'!$A$2:$L$52,5,FALSE)*m2k))/'TCO Inputs'!$AZ$84</f>
        <v>77.934181094028858</v>
      </c>
      <c r="AR211" s="125">
        <f>AR99/293.07*(1/(VLOOKUP($AF211,'Fuel economy adjusted factor'!$A$2:$L$52,5,FALSE)*m2k))/'TCO Inputs'!$AZ$84</f>
        <v>77.934181094028858</v>
      </c>
      <c r="AS211" s="125">
        <f>AS99/293.07*(1/(VLOOKUP($AF211,'Fuel economy adjusted factor'!$A$2:$L$52,5,FALSE)*m2k))/'TCO Inputs'!$AZ$84</f>
        <v>77.934181094028858</v>
      </c>
      <c r="AT211" s="125">
        <f>AT99/293.07*(1/(VLOOKUP($AF211,'Fuel economy adjusted factor'!$A$2:$L$52,5,FALSE)*m2k))/'TCO Inputs'!$AZ$84</f>
        <v>77.934181094028858</v>
      </c>
      <c r="AU211" s="125">
        <f>AU99/293.07*(1/(VLOOKUP($AF211,'Fuel economy adjusted factor'!$A$2:$L$52,5,FALSE)*m2k))/'TCO Inputs'!$AZ$84</f>
        <v>77.934181094028858</v>
      </c>
      <c r="AV211" s="125">
        <f>AV99/293.07*(1/(VLOOKUP($AF211,'Fuel economy adjusted factor'!$A$2:$L$52,5,FALSE)*m2k))/'TCO Inputs'!$AZ$84</f>
        <v>77.934181094028858</v>
      </c>
      <c r="AW211" s="125">
        <f>AW99/293.07*(1/(VLOOKUP($AF211,'Fuel economy adjusted factor'!$A$2:$L$52,5,FALSE)*m2k))/'TCO Inputs'!$AZ$84</f>
        <v>77.934181094028858</v>
      </c>
      <c r="AX211" s="125">
        <f>AX99/293.07*(1/(VLOOKUP($AF211,'Fuel economy adjusted factor'!$A$2:$L$52,5,FALSE)*m2k))/'TCO Inputs'!$AZ$84</f>
        <v>77.934181094028858</v>
      </c>
      <c r="AY211" s="125">
        <f>AY99/293.07*(1/(VLOOKUP($AF211,'Fuel economy adjusted factor'!$A$2:$L$52,5,FALSE)*m2k))/'TCO Inputs'!$AZ$84</f>
        <v>77.934181094028858</v>
      </c>
      <c r="AZ211" s="125">
        <f>AZ99/293.07*(1/(VLOOKUP($AF211,'Fuel economy adjusted factor'!$A$2:$L$52,5,FALSE)*m2k))/'TCO Inputs'!$AZ$84</f>
        <v>77.934181094028858</v>
      </c>
      <c r="BA211" s="125">
        <f>BA99/293.07*(1/(VLOOKUP($AF211,'Fuel economy adjusted factor'!$A$2:$L$52,5,FALSE)*m2k))/'TCO Inputs'!$AZ$84</f>
        <v>77.934181094028858</v>
      </c>
      <c r="BB211" s="125">
        <f>BB99/293.07*(1/(VLOOKUP($AF211,'Fuel economy adjusted factor'!$A$2:$L$52,5,FALSE)*m2k))/'TCO Inputs'!$AZ$84</f>
        <v>77.934181094028858</v>
      </c>
      <c r="BC211" s="125">
        <f>BC99/293.07*(1/(VLOOKUP($AF211,'Fuel economy adjusted factor'!$A$2:$L$52,5,FALSE)*m2k))/'TCO Inputs'!$AZ$84</f>
        <v>77.934181094028858</v>
      </c>
      <c r="BD211" s="125">
        <f>BD99/293.07*(1/(VLOOKUP($AF211,'Fuel economy adjusted factor'!$A$2:$L$52,5,FALSE)*m2k))/'TCO Inputs'!$AZ$84</f>
        <v>77.934181094028858</v>
      </c>
      <c r="BE211" s="125">
        <f>BE99/293.07*(1/(VLOOKUP($AF211,'Fuel economy adjusted factor'!$A$2:$L$52,5,FALSE)*m2k))/'TCO Inputs'!$AZ$84</f>
        <v>77.934181094028858</v>
      </c>
      <c r="BF211" s="125">
        <f>BF99/293.07*(1/(VLOOKUP($AF211,'Fuel economy adjusted factor'!$A$2:$L$52,5,FALSE)*m2k))/'TCO Inputs'!$AZ$84</f>
        <v>77.934181094028858</v>
      </c>
      <c r="BG211" s="125">
        <f>BG99/293.07*(1/(VLOOKUP($AF211,'Fuel economy adjusted factor'!$A$2:$L$52,5,FALSE)*m2k))/'TCO Inputs'!$AZ$84</f>
        <v>77.934181094028858</v>
      </c>
      <c r="BH211" s="125">
        <f>BH99/293.07*(1/(VLOOKUP($AF211,'Fuel economy adjusted factor'!$A$2:$L$52,5,FALSE)*m2k))/'TCO Inputs'!$AZ$84</f>
        <v>77.934181094028858</v>
      </c>
      <c r="BI211" s="98" cm="1">
        <f t="array" ref="BI211">SUMPRODUCT(INDEX(AG211:BH211,,'TCO Inputs'!$AZ$12-2023+_xlfn.SEQUENCE('TCO Inputs'!$AZ$13))*INDEX('VKT US'!C103:AA103,,_xlfn.SEQUENCE('TCO Inputs'!$AZ$13)))*m2k*CONVERT(0.9072,"g","ton")</f>
        <v>25.604448968074372</v>
      </c>
    </row>
    <row r="212" spans="1:61" x14ac:dyDescent="0.25">
      <c r="A212" s="123" t="s">
        <v>224</v>
      </c>
      <c r="B212" s="125">
        <f>B100/293.07*(1/(VLOOKUP($A212,'Fuel economy adjusted factor'!$A$2:$L$52,5,FALSE)*m2k))/'TCO Inputs'!$AZ$84</f>
        <v>104.99037742084631</v>
      </c>
      <c r="C212" s="125">
        <f>C100/293.07*(1/(VLOOKUP($A212,'Fuel economy adjusted factor'!$A$2:$L$52,5,FALSE)*m2k))/'TCO Inputs'!$AZ$84</f>
        <v>104.99037742084631</v>
      </c>
      <c r="D212" s="125">
        <f>D100/293.07*(1/(VLOOKUP($A212,'Fuel economy adjusted factor'!$A$2:$L$52,5,FALSE)*m2k))/'TCO Inputs'!$AZ$84</f>
        <v>104.99037742084631</v>
      </c>
      <c r="E212" s="125">
        <f>E100/293.07*(1/(VLOOKUP($A212,'Fuel economy adjusted factor'!$A$2:$L$52,5,FALSE)*m2k))/'TCO Inputs'!$AZ$84</f>
        <v>104.99037742084631</v>
      </c>
      <c r="F212" s="125">
        <f>F100/293.07*(1/(VLOOKUP($A212,'Fuel economy adjusted factor'!$A$2:$L$52,5,FALSE)*m2k))/'TCO Inputs'!$AZ$84</f>
        <v>104.99037742084631</v>
      </c>
      <c r="G212" s="125">
        <f>G100/293.07*(1/(VLOOKUP($A212,'Fuel economy adjusted factor'!$A$2:$L$52,5,FALSE)*m2k))/'TCO Inputs'!$AZ$84</f>
        <v>104.99037742084631</v>
      </c>
      <c r="H212" s="125">
        <f>H100/293.07*(1/(VLOOKUP($A212,'Fuel economy adjusted factor'!$A$2:$L$52,5,FALSE)*m2k))/'TCO Inputs'!$AZ$84</f>
        <v>104.99037742084631</v>
      </c>
      <c r="I212" s="125">
        <f>I100/293.07*(1/(VLOOKUP($A212,'Fuel economy adjusted factor'!$A$2:$L$52,5,FALSE)*m2k))/'TCO Inputs'!$AZ$84</f>
        <v>104.99037742084631</v>
      </c>
      <c r="J212" s="125">
        <f>J100/293.07*(1/(VLOOKUP($A212,'Fuel economy adjusted factor'!$A$2:$L$52,5,FALSE)*m2k))/'TCO Inputs'!$AZ$84</f>
        <v>104.99037742084631</v>
      </c>
      <c r="K212" s="125">
        <f>K100/293.07*(1/(VLOOKUP($A212,'Fuel economy adjusted factor'!$A$2:$L$52,5,FALSE)*m2k))/'TCO Inputs'!$AZ$84</f>
        <v>104.99037742084631</v>
      </c>
      <c r="L212" s="125">
        <f>L100/293.07*(1/(VLOOKUP($A212,'Fuel economy adjusted factor'!$A$2:$L$52,5,FALSE)*m2k))/'TCO Inputs'!$AZ$84</f>
        <v>104.99037742084631</v>
      </c>
      <c r="M212" s="125">
        <f>M100/293.07*(1/(VLOOKUP($A212,'Fuel economy adjusted factor'!$A$2:$L$52,5,FALSE)*m2k))/'TCO Inputs'!$AZ$84</f>
        <v>104.99037742084631</v>
      </c>
      <c r="N212" s="125">
        <f>N100/293.07*(1/(VLOOKUP($A212,'Fuel economy adjusted factor'!$A$2:$L$52,5,FALSE)*m2k))/'TCO Inputs'!$AZ$84</f>
        <v>104.99037742084631</v>
      </c>
      <c r="O212" s="125">
        <f>O100/293.07*(1/(VLOOKUP($A212,'Fuel economy adjusted factor'!$A$2:$L$52,5,FALSE)*m2k))/'TCO Inputs'!$AZ$84</f>
        <v>104.99037742084631</v>
      </c>
      <c r="P212" s="125">
        <f>P100/293.07*(1/(VLOOKUP($A212,'Fuel economy adjusted factor'!$A$2:$L$52,5,FALSE)*m2k))/'TCO Inputs'!$AZ$84</f>
        <v>104.99037742084631</v>
      </c>
      <c r="Q212" s="125">
        <f>Q100/293.07*(1/(VLOOKUP($A212,'Fuel economy adjusted factor'!$A$2:$L$52,5,FALSE)*m2k))/'TCO Inputs'!$AZ$84</f>
        <v>104.99037742084631</v>
      </c>
      <c r="R212" s="125">
        <f>R100/293.07*(1/(VLOOKUP($A212,'Fuel economy adjusted factor'!$A$2:$L$52,5,FALSE)*m2k))/'TCO Inputs'!$AZ$84</f>
        <v>104.99037742084631</v>
      </c>
      <c r="S212" s="125">
        <f>S100/293.07*(1/(VLOOKUP($A212,'Fuel economy adjusted factor'!$A$2:$L$52,5,FALSE)*m2k))/'TCO Inputs'!$AZ$84</f>
        <v>104.99037742084631</v>
      </c>
      <c r="T212" s="125">
        <f>T100/293.07*(1/(VLOOKUP($A212,'Fuel economy adjusted factor'!$A$2:$L$52,5,FALSE)*m2k))/'TCO Inputs'!$AZ$84</f>
        <v>104.99037742084631</v>
      </c>
      <c r="U212" s="125">
        <f>U100/293.07*(1/(VLOOKUP($A212,'Fuel economy adjusted factor'!$A$2:$L$52,5,FALSE)*m2k))/'TCO Inputs'!$AZ$84</f>
        <v>104.99037742084631</v>
      </c>
      <c r="V212" s="125">
        <f>V100/293.07*(1/(VLOOKUP($A212,'Fuel economy adjusted factor'!$A$2:$L$52,5,FALSE)*m2k))/'TCO Inputs'!$AZ$84</f>
        <v>104.99037742084631</v>
      </c>
      <c r="W212" s="125">
        <f>W100/293.07*(1/(VLOOKUP($A212,'Fuel economy adjusted factor'!$A$2:$L$52,5,FALSE)*m2k))/'TCO Inputs'!$AZ$84</f>
        <v>104.99037742084631</v>
      </c>
      <c r="X212" s="125">
        <f>X100/293.07*(1/(VLOOKUP($A212,'Fuel economy adjusted factor'!$A$2:$L$52,5,FALSE)*m2k))/'TCO Inputs'!$AZ$84</f>
        <v>104.99037742084631</v>
      </c>
      <c r="Y212" s="125">
        <f>Y100/293.07*(1/(VLOOKUP($A212,'Fuel economy adjusted factor'!$A$2:$L$52,5,FALSE)*m2k))/'TCO Inputs'!$AZ$84</f>
        <v>104.99037742084631</v>
      </c>
      <c r="Z212" s="125">
        <f>Z100/293.07*(1/(VLOOKUP($A212,'Fuel economy adjusted factor'!$A$2:$L$52,5,FALSE)*m2k))/'TCO Inputs'!$AZ$84</f>
        <v>104.99037742084631</v>
      </c>
      <c r="AA212" s="125">
        <f>AA100/293.07*(1/(VLOOKUP($A212,'Fuel economy adjusted factor'!$A$2:$L$52,5,FALSE)*m2k))/'TCO Inputs'!$AZ$84</f>
        <v>104.99037742084631</v>
      </c>
      <c r="AB212" s="125">
        <f>AB100/293.07*(1/(VLOOKUP($A212,'Fuel economy adjusted factor'!$A$2:$L$52,5,FALSE)*m2k))/'TCO Inputs'!$AZ$84</f>
        <v>104.99037742084631</v>
      </c>
      <c r="AC212" s="125">
        <f>AC100/293.07*(1/(VLOOKUP($A212,'Fuel economy adjusted factor'!$A$2:$L$52,5,FALSE)*m2k))/'TCO Inputs'!$AZ$84</f>
        <v>104.99037742084631</v>
      </c>
      <c r="AD212" s="98" cm="1">
        <f t="array" ref="AD212">SUMPRODUCT(INDEX(B212:AC212,,'TCO Inputs'!$AZ$12-2023+_xlfn.SEQUENCE('TCO Inputs'!$AZ$13))*INDEX('VKT US'!C104:AA104,,_xlfn.SEQUENCE('TCO Inputs'!$AZ$13)))*m2k*CONVERT(0.9072,"g","ton")</f>
        <v>33.929718738527136</v>
      </c>
      <c r="AF212" s="123" t="s">
        <v>224</v>
      </c>
      <c r="AG212" s="125">
        <f>AG100/293.07*(1/(VLOOKUP($AF212,'Fuel economy adjusted factor'!$A$2:$L$52,5,FALSE)*m2k))/'TCO Inputs'!$AZ$84</f>
        <v>121.62509591290868</v>
      </c>
      <c r="AH212" s="125">
        <f>AH100/293.07*(1/(VLOOKUP($AF212,'Fuel economy adjusted factor'!$A$2:$L$52,5,FALSE)*m2k))/'TCO Inputs'!$AZ$84</f>
        <v>121.62509591290868</v>
      </c>
      <c r="AI212" s="125">
        <f>AI100/293.07*(1/(VLOOKUP($AF212,'Fuel economy adjusted factor'!$A$2:$L$52,5,FALSE)*m2k))/'TCO Inputs'!$AZ$84</f>
        <v>121.62509591290868</v>
      </c>
      <c r="AJ212" s="125">
        <f>AJ100/293.07*(1/(VLOOKUP($AF212,'Fuel economy adjusted factor'!$A$2:$L$52,5,FALSE)*m2k))/'TCO Inputs'!$AZ$84</f>
        <v>121.62509591290868</v>
      </c>
      <c r="AK212" s="125">
        <f>AK100/293.07*(1/(VLOOKUP($AF212,'Fuel economy adjusted factor'!$A$2:$L$52,5,FALSE)*m2k))/'TCO Inputs'!$AZ$84</f>
        <v>121.62509591290868</v>
      </c>
      <c r="AL212" s="125">
        <f>AL100/293.07*(1/(VLOOKUP($AF212,'Fuel economy adjusted factor'!$A$2:$L$52,5,FALSE)*m2k))/'TCO Inputs'!$AZ$84</f>
        <v>121.62509591290868</v>
      </c>
      <c r="AM212" s="125">
        <f>AM100/293.07*(1/(VLOOKUP($AF212,'Fuel economy adjusted factor'!$A$2:$L$52,5,FALSE)*m2k))/'TCO Inputs'!$AZ$84</f>
        <v>121.62509591290868</v>
      </c>
      <c r="AN212" s="125">
        <f>AN100/293.07*(1/(VLOOKUP($AF212,'Fuel economy adjusted factor'!$A$2:$L$52,5,FALSE)*m2k))/'TCO Inputs'!$AZ$84</f>
        <v>121.62509591290868</v>
      </c>
      <c r="AO212" s="125">
        <f>AO100/293.07*(1/(VLOOKUP($AF212,'Fuel economy adjusted factor'!$A$2:$L$52,5,FALSE)*m2k))/'TCO Inputs'!$AZ$84</f>
        <v>121.62509591290868</v>
      </c>
      <c r="AP212" s="125">
        <f>AP100/293.07*(1/(VLOOKUP($AF212,'Fuel economy adjusted factor'!$A$2:$L$52,5,FALSE)*m2k))/'TCO Inputs'!$AZ$84</f>
        <v>121.62509591290868</v>
      </c>
      <c r="AQ212" s="125">
        <f>AQ100/293.07*(1/(VLOOKUP($AF212,'Fuel economy adjusted factor'!$A$2:$L$52,5,FALSE)*m2k))/'TCO Inputs'!$AZ$84</f>
        <v>121.62509591290868</v>
      </c>
      <c r="AR212" s="125">
        <f>AR100/293.07*(1/(VLOOKUP($AF212,'Fuel economy adjusted factor'!$A$2:$L$52,5,FALSE)*m2k))/'TCO Inputs'!$AZ$84</f>
        <v>121.62509591290868</v>
      </c>
      <c r="AS212" s="125">
        <f>AS100/293.07*(1/(VLOOKUP($AF212,'Fuel economy adjusted factor'!$A$2:$L$52,5,FALSE)*m2k))/'TCO Inputs'!$AZ$84</f>
        <v>121.62509591290868</v>
      </c>
      <c r="AT212" s="125">
        <f>AT100/293.07*(1/(VLOOKUP($AF212,'Fuel economy adjusted factor'!$A$2:$L$52,5,FALSE)*m2k))/'TCO Inputs'!$AZ$84</f>
        <v>121.62509591290868</v>
      </c>
      <c r="AU212" s="125">
        <f>AU100/293.07*(1/(VLOOKUP($AF212,'Fuel economy adjusted factor'!$A$2:$L$52,5,FALSE)*m2k))/'TCO Inputs'!$AZ$84</f>
        <v>121.62509591290868</v>
      </c>
      <c r="AV212" s="125">
        <f>AV100/293.07*(1/(VLOOKUP($AF212,'Fuel economy adjusted factor'!$A$2:$L$52,5,FALSE)*m2k))/'TCO Inputs'!$AZ$84</f>
        <v>121.62509591290868</v>
      </c>
      <c r="AW212" s="125">
        <f>AW100/293.07*(1/(VLOOKUP($AF212,'Fuel economy adjusted factor'!$A$2:$L$52,5,FALSE)*m2k))/'TCO Inputs'!$AZ$84</f>
        <v>121.62509591290868</v>
      </c>
      <c r="AX212" s="125">
        <f>AX100/293.07*(1/(VLOOKUP($AF212,'Fuel economy adjusted factor'!$A$2:$L$52,5,FALSE)*m2k))/'TCO Inputs'!$AZ$84</f>
        <v>121.62509591290868</v>
      </c>
      <c r="AY212" s="125">
        <f>AY100/293.07*(1/(VLOOKUP($AF212,'Fuel economy adjusted factor'!$A$2:$L$52,5,FALSE)*m2k))/'TCO Inputs'!$AZ$84</f>
        <v>121.62509591290868</v>
      </c>
      <c r="AZ212" s="125">
        <f>AZ100/293.07*(1/(VLOOKUP($AF212,'Fuel economy adjusted factor'!$A$2:$L$52,5,FALSE)*m2k))/'TCO Inputs'!$AZ$84</f>
        <v>121.62509591290868</v>
      </c>
      <c r="BA212" s="125">
        <f>BA100/293.07*(1/(VLOOKUP($AF212,'Fuel economy adjusted factor'!$A$2:$L$52,5,FALSE)*m2k))/'TCO Inputs'!$AZ$84</f>
        <v>121.62509591290868</v>
      </c>
      <c r="BB212" s="125">
        <f>BB100/293.07*(1/(VLOOKUP($AF212,'Fuel economy adjusted factor'!$A$2:$L$52,5,FALSE)*m2k))/'TCO Inputs'!$AZ$84</f>
        <v>121.62509591290868</v>
      </c>
      <c r="BC212" s="125">
        <f>BC100/293.07*(1/(VLOOKUP($AF212,'Fuel economy adjusted factor'!$A$2:$L$52,5,FALSE)*m2k))/'TCO Inputs'!$AZ$84</f>
        <v>121.62509591290868</v>
      </c>
      <c r="BD212" s="125">
        <f>BD100/293.07*(1/(VLOOKUP($AF212,'Fuel economy adjusted factor'!$A$2:$L$52,5,FALSE)*m2k))/'TCO Inputs'!$AZ$84</f>
        <v>121.62509591290868</v>
      </c>
      <c r="BE212" s="125">
        <f>BE100/293.07*(1/(VLOOKUP($AF212,'Fuel economy adjusted factor'!$A$2:$L$52,5,FALSE)*m2k))/'TCO Inputs'!$AZ$84</f>
        <v>121.62509591290868</v>
      </c>
      <c r="BF212" s="125">
        <f>BF100/293.07*(1/(VLOOKUP($AF212,'Fuel economy adjusted factor'!$A$2:$L$52,5,FALSE)*m2k))/'TCO Inputs'!$AZ$84</f>
        <v>121.62509591290868</v>
      </c>
      <c r="BG212" s="125">
        <f>BG100/293.07*(1/(VLOOKUP($AF212,'Fuel economy adjusted factor'!$A$2:$L$52,5,FALSE)*m2k))/'TCO Inputs'!$AZ$84</f>
        <v>121.62509591290868</v>
      </c>
      <c r="BH212" s="125">
        <f>BH100/293.07*(1/(VLOOKUP($AF212,'Fuel economy adjusted factor'!$A$2:$L$52,5,FALSE)*m2k))/'TCO Inputs'!$AZ$84</f>
        <v>121.62509591290868</v>
      </c>
      <c r="BI212" s="98" cm="1">
        <f t="array" ref="BI212">SUMPRODUCT(INDEX(AG212:BH212,,'TCO Inputs'!$AZ$12-2023+_xlfn.SEQUENCE('TCO Inputs'!$AZ$13))*INDEX('VKT US'!C104:AA104,,_xlfn.SEQUENCE('TCO Inputs'!$AZ$13)))*m2k*CONVERT(0.9072,"g","ton")</f>
        <v>39.305557301978055</v>
      </c>
    </row>
    <row r="213" spans="1:61" x14ac:dyDescent="0.25">
      <c r="A213" s="123" t="s">
        <v>225</v>
      </c>
      <c r="B213" s="125">
        <f>B101/293.07*(1/(VLOOKUP($A213,'Fuel economy adjusted factor'!$A$2:$L$52,5,FALSE)*m2k))/'TCO Inputs'!$AZ$84</f>
        <v>131.03815172520063</v>
      </c>
      <c r="C213" s="125">
        <f>C101/293.07*(1/(VLOOKUP($A213,'Fuel economy adjusted factor'!$A$2:$L$52,5,FALSE)*m2k))/'TCO Inputs'!$AZ$84</f>
        <v>131.03815172520063</v>
      </c>
      <c r="D213" s="125">
        <f>D101/293.07*(1/(VLOOKUP($A213,'Fuel economy adjusted factor'!$A$2:$L$52,5,FALSE)*m2k))/'TCO Inputs'!$AZ$84</f>
        <v>131.03815172520063</v>
      </c>
      <c r="E213" s="125">
        <f>E101/293.07*(1/(VLOOKUP($A213,'Fuel economy adjusted factor'!$A$2:$L$52,5,FALSE)*m2k))/'TCO Inputs'!$AZ$84</f>
        <v>131.03815172520063</v>
      </c>
      <c r="F213" s="125">
        <f>F101/293.07*(1/(VLOOKUP($A213,'Fuel economy adjusted factor'!$A$2:$L$52,5,FALSE)*m2k))/'TCO Inputs'!$AZ$84</f>
        <v>131.03815172520063</v>
      </c>
      <c r="G213" s="125">
        <f>G101/293.07*(1/(VLOOKUP($A213,'Fuel economy adjusted factor'!$A$2:$L$52,5,FALSE)*m2k))/'TCO Inputs'!$AZ$84</f>
        <v>131.03815172520063</v>
      </c>
      <c r="H213" s="125">
        <f>H101/293.07*(1/(VLOOKUP($A213,'Fuel economy adjusted factor'!$A$2:$L$52,5,FALSE)*m2k))/'TCO Inputs'!$AZ$84</f>
        <v>131.03815172520063</v>
      </c>
      <c r="I213" s="125">
        <f>I101/293.07*(1/(VLOOKUP($A213,'Fuel economy adjusted factor'!$A$2:$L$52,5,FALSE)*m2k))/'TCO Inputs'!$AZ$84</f>
        <v>131.03815172520063</v>
      </c>
      <c r="J213" s="125">
        <f>J101/293.07*(1/(VLOOKUP($A213,'Fuel economy adjusted factor'!$A$2:$L$52,5,FALSE)*m2k))/'TCO Inputs'!$AZ$84</f>
        <v>131.03815172520063</v>
      </c>
      <c r="K213" s="125">
        <f>K101/293.07*(1/(VLOOKUP($A213,'Fuel economy adjusted factor'!$A$2:$L$52,5,FALSE)*m2k))/'TCO Inputs'!$AZ$84</f>
        <v>131.03815172520063</v>
      </c>
      <c r="L213" s="125">
        <f>L101/293.07*(1/(VLOOKUP($A213,'Fuel economy adjusted factor'!$A$2:$L$52,5,FALSE)*m2k))/'TCO Inputs'!$AZ$84</f>
        <v>131.03815172520063</v>
      </c>
      <c r="M213" s="125">
        <f>M101/293.07*(1/(VLOOKUP($A213,'Fuel economy adjusted factor'!$A$2:$L$52,5,FALSE)*m2k))/'TCO Inputs'!$AZ$84</f>
        <v>131.03815172520063</v>
      </c>
      <c r="N213" s="125">
        <f>N101/293.07*(1/(VLOOKUP($A213,'Fuel economy adjusted factor'!$A$2:$L$52,5,FALSE)*m2k))/'TCO Inputs'!$AZ$84</f>
        <v>131.03815172520063</v>
      </c>
      <c r="O213" s="125">
        <f>O101/293.07*(1/(VLOOKUP($A213,'Fuel economy adjusted factor'!$A$2:$L$52,5,FALSE)*m2k))/'TCO Inputs'!$AZ$84</f>
        <v>131.03815172520063</v>
      </c>
      <c r="P213" s="125">
        <f>P101/293.07*(1/(VLOOKUP($A213,'Fuel economy adjusted factor'!$A$2:$L$52,5,FALSE)*m2k))/'TCO Inputs'!$AZ$84</f>
        <v>131.03815172520063</v>
      </c>
      <c r="Q213" s="125">
        <f>Q101/293.07*(1/(VLOOKUP($A213,'Fuel economy adjusted factor'!$A$2:$L$52,5,FALSE)*m2k))/'TCO Inputs'!$AZ$84</f>
        <v>131.03815172520063</v>
      </c>
      <c r="R213" s="125">
        <f>R101/293.07*(1/(VLOOKUP($A213,'Fuel economy adjusted factor'!$A$2:$L$52,5,FALSE)*m2k))/'TCO Inputs'!$AZ$84</f>
        <v>131.03815172520063</v>
      </c>
      <c r="S213" s="125">
        <f>S101/293.07*(1/(VLOOKUP($A213,'Fuel economy adjusted factor'!$A$2:$L$52,5,FALSE)*m2k))/'TCO Inputs'!$AZ$84</f>
        <v>131.03815172520063</v>
      </c>
      <c r="T213" s="125">
        <f>T101/293.07*(1/(VLOOKUP($A213,'Fuel economy adjusted factor'!$A$2:$L$52,5,FALSE)*m2k))/'TCO Inputs'!$AZ$84</f>
        <v>131.03815172520063</v>
      </c>
      <c r="U213" s="125">
        <f>U101/293.07*(1/(VLOOKUP($A213,'Fuel economy adjusted factor'!$A$2:$L$52,5,FALSE)*m2k))/'TCO Inputs'!$AZ$84</f>
        <v>131.03815172520063</v>
      </c>
      <c r="V213" s="125">
        <f>V101/293.07*(1/(VLOOKUP($A213,'Fuel economy adjusted factor'!$A$2:$L$52,5,FALSE)*m2k))/'TCO Inputs'!$AZ$84</f>
        <v>131.03815172520063</v>
      </c>
      <c r="W213" s="125">
        <f>W101/293.07*(1/(VLOOKUP($A213,'Fuel economy adjusted factor'!$A$2:$L$52,5,FALSE)*m2k))/'TCO Inputs'!$AZ$84</f>
        <v>131.03815172520063</v>
      </c>
      <c r="X213" s="125">
        <f>X101/293.07*(1/(VLOOKUP($A213,'Fuel economy adjusted factor'!$A$2:$L$52,5,FALSE)*m2k))/'TCO Inputs'!$AZ$84</f>
        <v>131.03815172520063</v>
      </c>
      <c r="Y213" s="125">
        <f>Y101/293.07*(1/(VLOOKUP($A213,'Fuel economy adjusted factor'!$A$2:$L$52,5,FALSE)*m2k))/'TCO Inputs'!$AZ$84</f>
        <v>131.03815172520063</v>
      </c>
      <c r="Z213" s="125">
        <f>Z101/293.07*(1/(VLOOKUP($A213,'Fuel economy adjusted factor'!$A$2:$L$52,5,FALSE)*m2k))/'TCO Inputs'!$AZ$84</f>
        <v>131.03815172520063</v>
      </c>
      <c r="AA213" s="125">
        <f>AA101/293.07*(1/(VLOOKUP($A213,'Fuel economy adjusted factor'!$A$2:$L$52,5,FALSE)*m2k))/'TCO Inputs'!$AZ$84</f>
        <v>131.03815172520063</v>
      </c>
      <c r="AB213" s="125">
        <f>AB101/293.07*(1/(VLOOKUP($A213,'Fuel economy adjusted factor'!$A$2:$L$52,5,FALSE)*m2k))/'TCO Inputs'!$AZ$84</f>
        <v>131.03815172520063</v>
      </c>
      <c r="AC213" s="125">
        <f>AC101/293.07*(1/(VLOOKUP($A213,'Fuel economy adjusted factor'!$A$2:$L$52,5,FALSE)*m2k))/'TCO Inputs'!$AZ$84</f>
        <v>131.03815172520063</v>
      </c>
      <c r="AD213" s="98" cm="1">
        <f t="array" ref="AD213">SUMPRODUCT(INDEX(B213:AC213,,'TCO Inputs'!$AZ$12-2023+_xlfn.SEQUENCE('TCO Inputs'!$AZ$13))*INDEX('VKT US'!C105:AA105,,_xlfn.SEQUENCE('TCO Inputs'!$AZ$13)))*m2k*CONVERT(0.9072,"g","ton")</f>
        <v>44.79917213208757</v>
      </c>
      <c r="AF213" s="123" t="s">
        <v>225</v>
      </c>
      <c r="AG213" s="125">
        <f>AG101/293.07*(1/(VLOOKUP($AF213,'Fuel economy adjusted factor'!$A$2:$L$52,5,FALSE)*m2k))/'TCO Inputs'!$AZ$84</f>
        <v>151.79989026940422</v>
      </c>
      <c r="AH213" s="125">
        <f>AH101/293.07*(1/(VLOOKUP($AF213,'Fuel economy adjusted factor'!$A$2:$L$52,5,FALSE)*m2k))/'TCO Inputs'!$AZ$84</f>
        <v>151.79989026940422</v>
      </c>
      <c r="AI213" s="125">
        <f>AI101/293.07*(1/(VLOOKUP($AF213,'Fuel economy adjusted factor'!$A$2:$L$52,5,FALSE)*m2k))/'TCO Inputs'!$AZ$84</f>
        <v>151.79989026940422</v>
      </c>
      <c r="AJ213" s="125">
        <f>AJ101/293.07*(1/(VLOOKUP($AF213,'Fuel economy adjusted factor'!$A$2:$L$52,5,FALSE)*m2k))/'TCO Inputs'!$AZ$84</f>
        <v>151.79989026940422</v>
      </c>
      <c r="AK213" s="125">
        <f>AK101/293.07*(1/(VLOOKUP($AF213,'Fuel economy adjusted factor'!$A$2:$L$52,5,FALSE)*m2k))/'TCO Inputs'!$AZ$84</f>
        <v>151.79989026940422</v>
      </c>
      <c r="AL213" s="125">
        <f>AL101/293.07*(1/(VLOOKUP($AF213,'Fuel economy adjusted factor'!$A$2:$L$52,5,FALSE)*m2k))/'TCO Inputs'!$AZ$84</f>
        <v>151.79989026940422</v>
      </c>
      <c r="AM213" s="125">
        <f>AM101/293.07*(1/(VLOOKUP($AF213,'Fuel economy adjusted factor'!$A$2:$L$52,5,FALSE)*m2k))/'TCO Inputs'!$AZ$84</f>
        <v>151.79989026940422</v>
      </c>
      <c r="AN213" s="125">
        <f>AN101/293.07*(1/(VLOOKUP($AF213,'Fuel economy adjusted factor'!$A$2:$L$52,5,FALSE)*m2k))/'TCO Inputs'!$AZ$84</f>
        <v>151.79989026940422</v>
      </c>
      <c r="AO213" s="125">
        <f>AO101/293.07*(1/(VLOOKUP($AF213,'Fuel economy adjusted factor'!$A$2:$L$52,5,FALSE)*m2k))/'TCO Inputs'!$AZ$84</f>
        <v>151.79989026940422</v>
      </c>
      <c r="AP213" s="125">
        <f>AP101/293.07*(1/(VLOOKUP($AF213,'Fuel economy adjusted factor'!$A$2:$L$52,5,FALSE)*m2k))/'TCO Inputs'!$AZ$84</f>
        <v>151.79989026940422</v>
      </c>
      <c r="AQ213" s="125">
        <f>AQ101/293.07*(1/(VLOOKUP($AF213,'Fuel economy adjusted factor'!$A$2:$L$52,5,FALSE)*m2k))/'TCO Inputs'!$AZ$84</f>
        <v>151.79989026940422</v>
      </c>
      <c r="AR213" s="125">
        <f>AR101/293.07*(1/(VLOOKUP($AF213,'Fuel economy adjusted factor'!$A$2:$L$52,5,FALSE)*m2k))/'TCO Inputs'!$AZ$84</f>
        <v>151.79989026940422</v>
      </c>
      <c r="AS213" s="125">
        <f>AS101/293.07*(1/(VLOOKUP($AF213,'Fuel economy adjusted factor'!$A$2:$L$52,5,FALSE)*m2k))/'TCO Inputs'!$AZ$84</f>
        <v>151.79989026940422</v>
      </c>
      <c r="AT213" s="125">
        <f>AT101/293.07*(1/(VLOOKUP($AF213,'Fuel economy adjusted factor'!$A$2:$L$52,5,FALSE)*m2k))/'TCO Inputs'!$AZ$84</f>
        <v>151.79989026940422</v>
      </c>
      <c r="AU213" s="125">
        <f>AU101/293.07*(1/(VLOOKUP($AF213,'Fuel economy adjusted factor'!$A$2:$L$52,5,FALSE)*m2k))/'TCO Inputs'!$AZ$84</f>
        <v>151.79989026940422</v>
      </c>
      <c r="AV213" s="125">
        <f>AV101/293.07*(1/(VLOOKUP($AF213,'Fuel economy adjusted factor'!$A$2:$L$52,5,FALSE)*m2k))/'TCO Inputs'!$AZ$84</f>
        <v>151.79989026940422</v>
      </c>
      <c r="AW213" s="125">
        <f>AW101/293.07*(1/(VLOOKUP($AF213,'Fuel economy adjusted factor'!$A$2:$L$52,5,FALSE)*m2k))/'TCO Inputs'!$AZ$84</f>
        <v>151.79989026940422</v>
      </c>
      <c r="AX213" s="125">
        <f>AX101/293.07*(1/(VLOOKUP($AF213,'Fuel economy adjusted factor'!$A$2:$L$52,5,FALSE)*m2k))/'TCO Inputs'!$AZ$84</f>
        <v>151.79989026940422</v>
      </c>
      <c r="AY213" s="125">
        <f>AY101/293.07*(1/(VLOOKUP($AF213,'Fuel economy adjusted factor'!$A$2:$L$52,5,FALSE)*m2k))/'TCO Inputs'!$AZ$84</f>
        <v>151.79989026940422</v>
      </c>
      <c r="AZ213" s="125">
        <f>AZ101/293.07*(1/(VLOOKUP($AF213,'Fuel economy adjusted factor'!$A$2:$L$52,5,FALSE)*m2k))/'TCO Inputs'!$AZ$84</f>
        <v>151.79989026940422</v>
      </c>
      <c r="BA213" s="125">
        <f>BA101/293.07*(1/(VLOOKUP($AF213,'Fuel economy adjusted factor'!$A$2:$L$52,5,FALSE)*m2k))/'TCO Inputs'!$AZ$84</f>
        <v>151.79989026940422</v>
      </c>
      <c r="BB213" s="125">
        <f>BB101/293.07*(1/(VLOOKUP($AF213,'Fuel economy adjusted factor'!$A$2:$L$52,5,FALSE)*m2k))/'TCO Inputs'!$AZ$84</f>
        <v>151.79989026940422</v>
      </c>
      <c r="BC213" s="125">
        <f>BC101/293.07*(1/(VLOOKUP($AF213,'Fuel economy adjusted factor'!$A$2:$L$52,5,FALSE)*m2k))/'TCO Inputs'!$AZ$84</f>
        <v>151.79989026940422</v>
      </c>
      <c r="BD213" s="125">
        <f>BD101/293.07*(1/(VLOOKUP($AF213,'Fuel economy adjusted factor'!$A$2:$L$52,5,FALSE)*m2k))/'TCO Inputs'!$AZ$84</f>
        <v>151.79989026940422</v>
      </c>
      <c r="BE213" s="125">
        <f>BE101/293.07*(1/(VLOOKUP($AF213,'Fuel economy adjusted factor'!$A$2:$L$52,5,FALSE)*m2k))/'TCO Inputs'!$AZ$84</f>
        <v>151.79989026940422</v>
      </c>
      <c r="BF213" s="125">
        <f>BF101/293.07*(1/(VLOOKUP($AF213,'Fuel economy adjusted factor'!$A$2:$L$52,5,FALSE)*m2k))/'TCO Inputs'!$AZ$84</f>
        <v>151.79989026940422</v>
      </c>
      <c r="BG213" s="125">
        <f>BG101/293.07*(1/(VLOOKUP($AF213,'Fuel economy adjusted factor'!$A$2:$L$52,5,FALSE)*m2k))/'TCO Inputs'!$AZ$84</f>
        <v>151.79989026940422</v>
      </c>
      <c r="BH213" s="125">
        <f>BH101/293.07*(1/(VLOOKUP($AF213,'Fuel economy adjusted factor'!$A$2:$L$52,5,FALSE)*m2k))/'TCO Inputs'!$AZ$84</f>
        <v>151.79989026940422</v>
      </c>
      <c r="BI213" s="98" cm="1">
        <f t="array" ref="BI213">SUMPRODUCT(INDEX(AG213:BH213,,'TCO Inputs'!$AZ$12-2023+_xlfn.SEQUENCE('TCO Inputs'!$AZ$13))*INDEX('VKT US'!C105:AA105,,_xlfn.SEQUENCE('TCO Inputs'!$AZ$13)))*m2k*CONVERT(0.9072,"g","ton")</f>
        <v>51.897171352602378</v>
      </c>
    </row>
    <row r="214" spans="1:61" x14ac:dyDescent="0.25">
      <c r="A214" s="123" t="s">
        <v>226</v>
      </c>
      <c r="B214" s="125">
        <f>B102/293.07*(1/(VLOOKUP($A214,'Fuel economy adjusted factor'!$A$2:$L$52,5,FALSE)*m2k))/'TCO Inputs'!$AZ$84</f>
        <v>254.70453269422057</v>
      </c>
      <c r="C214" s="125">
        <f>C102/293.07*(1/(VLOOKUP($A214,'Fuel economy adjusted factor'!$A$2:$L$52,5,FALSE)*m2k))/'TCO Inputs'!$AZ$84</f>
        <v>254.70453269422057</v>
      </c>
      <c r="D214" s="125">
        <f>D102/293.07*(1/(VLOOKUP($A214,'Fuel economy adjusted factor'!$A$2:$L$52,5,FALSE)*m2k))/'TCO Inputs'!$AZ$84</f>
        <v>254.70453269422057</v>
      </c>
      <c r="E214" s="125">
        <f>E102/293.07*(1/(VLOOKUP($A214,'Fuel economy adjusted factor'!$A$2:$L$52,5,FALSE)*m2k))/'TCO Inputs'!$AZ$84</f>
        <v>254.70453269422057</v>
      </c>
      <c r="F214" s="125">
        <f>F102/293.07*(1/(VLOOKUP($A214,'Fuel economy adjusted factor'!$A$2:$L$52,5,FALSE)*m2k))/'TCO Inputs'!$AZ$84</f>
        <v>254.70453269422057</v>
      </c>
      <c r="G214" s="125">
        <f>G102/293.07*(1/(VLOOKUP($A214,'Fuel economy adjusted factor'!$A$2:$L$52,5,FALSE)*m2k))/'TCO Inputs'!$AZ$84</f>
        <v>254.70453269422057</v>
      </c>
      <c r="H214" s="125">
        <f>H102/293.07*(1/(VLOOKUP($A214,'Fuel economy adjusted factor'!$A$2:$L$52,5,FALSE)*m2k))/'TCO Inputs'!$AZ$84</f>
        <v>254.70453269422057</v>
      </c>
      <c r="I214" s="125">
        <f>I102/293.07*(1/(VLOOKUP($A214,'Fuel economy adjusted factor'!$A$2:$L$52,5,FALSE)*m2k))/'TCO Inputs'!$AZ$84</f>
        <v>254.70453269422057</v>
      </c>
      <c r="J214" s="125">
        <f>J102/293.07*(1/(VLOOKUP($A214,'Fuel economy adjusted factor'!$A$2:$L$52,5,FALSE)*m2k))/'TCO Inputs'!$AZ$84</f>
        <v>254.70453269422057</v>
      </c>
      <c r="K214" s="125">
        <f>K102/293.07*(1/(VLOOKUP($A214,'Fuel economy adjusted factor'!$A$2:$L$52,5,FALSE)*m2k))/'TCO Inputs'!$AZ$84</f>
        <v>254.70453269422057</v>
      </c>
      <c r="L214" s="125">
        <f>L102/293.07*(1/(VLOOKUP($A214,'Fuel economy adjusted factor'!$A$2:$L$52,5,FALSE)*m2k))/'TCO Inputs'!$AZ$84</f>
        <v>254.70453269422057</v>
      </c>
      <c r="M214" s="125">
        <f>M102/293.07*(1/(VLOOKUP($A214,'Fuel economy adjusted factor'!$A$2:$L$52,5,FALSE)*m2k))/'TCO Inputs'!$AZ$84</f>
        <v>254.70453269422057</v>
      </c>
      <c r="N214" s="125">
        <f>N102/293.07*(1/(VLOOKUP($A214,'Fuel economy adjusted factor'!$A$2:$L$52,5,FALSE)*m2k))/'TCO Inputs'!$AZ$84</f>
        <v>254.70453269422057</v>
      </c>
      <c r="O214" s="125">
        <f>O102/293.07*(1/(VLOOKUP($A214,'Fuel economy adjusted factor'!$A$2:$L$52,5,FALSE)*m2k))/'TCO Inputs'!$AZ$84</f>
        <v>254.70453269422057</v>
      </c>
      <c r="P214" s="125">
        <f>P102/293.07*(1/(VLOOKUP($A214,'Fuel economy adjusted factor'!$A$2:$L$52,5,FALSE)*m2k))/'TCO Inputs'!$AZ$84</f>
        <v>254.70453269422057</v>
      </c>
      <c r="Q214" s="125">
        <f>Q102/293.07*(1/(VLOOKUP($A214,'Fuel economy adjusted factor'!$A$2:$L$52,5,FALSE)*m2k))/'TCO Inputs'!$AZ$84</f>
        <v>254.70453269422057</v>
      </c>
      <c r="R214" s="125">
        <f>R102/293.07*(1/(VLOOKUP($A214,'Fuel economy adjusted factor'!$A$2:$L$52,5,FALSE)*m2k))/'TCO Inputs'!$AZ$84</f>
        <v>254.70453269422057</v>
      </c>
      <c r="S214" s="125">
        <f>S102/293.07*(1/(VLOOKUP($A214,'Fuel economy adjusted factor'!$A$2:$L$52,5,FALSE)*m2k))/'TCO Inputs'!$AZ$84</f>
        <v>254.70453269422057</v>
      </c>
      <c r="T214" s="125">
        <f>T102/293.07*(1/(VLOOKUP($A214,'Fuel economy adjusted factor'!$A$2:$L$52,5,FALSE)*m2k))/'TCO Inputs'!$AZ$84</f>
        <v>254.70453269422057</v>
      </c>
      <c r="U214" s="125">
        <f>U102/293.07*(1/(VLOOKUP($A214,'Fuel economy adjusted factor'!$A$2:$L$52,5,FALSE)*m2k))/'TCO Inputs'!$AZ$84</f>
        <v>254.70453269422057</v>
      </c>
      <c r="V214" s="125">
        <f>V102/293.07*(1/(VLOOKUP($A214,'Fuel economy adjusted factor'!$A$2:$L$52,5,FALSE)*m2k))/'TCO Inputs'!$AZ$84</f>
        <v>254.70453269422057</v>
      </c>
      <c r="W214" s="125">
        <f>W102/293.07*(1/(VLOOKUP($A214,'Fuel economy adjusted factor'!$A$2:$L$52,5,FALSE)*m2k))/'TCO Inputs'!$AZ$84</f>
        <v>254.70453269422057</v>
      </c>
      <c r="X214" s="125">
        <f>X102/293.07*(1/(VLOOKUP($A214,'Fuel economy adjusted factor'!$A$2:$L$52,5,FALSE)*m2k))/'TCO Inputs'!$AZ$84</f>
        <v>254.70453269422057</v>
      </c>
      <c r="Y214" s="125">
        <f>Y102/293.07*(1/(VLOOKUP($A214,'Fuel economy adjusted factor'!$A$2:$L$52,5,FALSE)*m2k))/'TCO Inputs'!$AZ$84</f>
        <v>254.70453269422057</v>
      </c>
      <c r="Z214" s="125">
        <f>Z102/293.07*(1/(VLOOKUP($A214,'Fuel economy adjusted factor'!$A$2:$L$52,5,FALSE)*m2k))/'TCO Inputs'!$AZ$84</f>
        <v>254.70453269422057</v>
      </c>
      <c r="AA214" s="125">
        <f>AA102/293.07*(1/(VLOOKUP($A214,'Fuel economy adjusted factor'!$A$2:$L$52,5,FALSE)*m2k))/'TCO Inputs'!$AZ$84</f>
        <v>254.70453269422057</v>
      </c>
      <c r="AB214" s="125">
        <f>AB102/293.07*(1/(VLOOKUP($A214,'Fuel economy adjusted factor'!$A$2:$L$52,5,FALSE)*m2k))/'TCO Inputs'!$AZ$84</f>
        <v>254.70453269422057</v>
      </c>
      <c r="AC214" s="125">
        <f>AC102/293.07*(1/(VLOOKUP($A214,'Fuel economy adjusted factor'!$A$2:$L$52,5,FALSE)*m2k))/'TCO Inputs'!$AZ$84</f>
        <v>254.70453269422057</v>
      </c>
      <c r="AD214" s="98" cm="1">
        <f t="array" ref="AD214">SUMPRODUCT(INDEX(B214:AC214,,'TCO Inputs'!$AZ$12-2023+_xlfn.SEQUENCE('TCO Inputs'!$AZ$13))*INDEX('VKT US'!C106:AA106,,_xlfn.SEQUENCE('TCO Inputs'!$AZ$13)))*m2k*CONVERT(0.9072,"g","ton")</f>
        <v>83.545861495411728</v>
      </c>
      <c r="AF214" s="123" t="s">
        <v>226</v>
      </c>
      <c r="AG214" s="125">
        <f>AG102/293.07*(1/(VLOOKUP($AF214,'Fuel economy adjusted factor'!$A$2:$L$52,5,FALSE)*m2k))/'TCO Inputs'!$AZ$84</f>
        <v>295.06002339826091</v>
      </c>
      <c r="AH214" s="125">
        <f>AH102/293.07*(1/(VLOOKUP($AF214,'Fuel economy adjusted factor'!$A$2:$L$52,5,FALSE)*m2k))/'TCO Inputs'!$AZ$84</f>
        <v>295.06002339826091</v>
      </c>
      <c r="AI214" s="125">
        <f>AI102/293.07*(1/(VLOOKUP($AF214,'Fuel economy adjusted factor'!$A$2:$L$52,5,FALSE)*m2k))/'TCO Inputs'!$AZ$84</f>
        <v>295.06002339826091</v>
      </c>
      <c r="AJ214" s="125">
        <f>AJ102/293.07*(1/(VLOOKUP($AF214,'Fuel economy adjusted factor'!$A$2:$L$52,5,FALSE)*m2k))/'TCO Inputs'!$AZ$84</f>
        <v>295.06002339826091</v>
      </c>
      <c r="AK214" s="125">
        <f>AK102/293.07*(1/(VLOOKUP($AF214,'Fuel economy adjusted factor'!$A$2:$L$52,5,FALSE)*m2k))/'TCO Inputs'!$AZ$84</f>
        <v>295.06002339826091</v>
      </c>
      <c r="AL214" s="125">
        <f>AL102/293.07*(1/(VLOOKUP($AF214,'Fuel economy adjusted factor'!$A$2:$L$52,5,FALSE)*m2k))/'TCO Inputs'!$AZ$84</f>
        <v>295.06002339826091</v>
      </c>
      <c r="AM214" s="125">
        <f>AM102/293.07*(1/(VLOOKUP($AF214,'Fuel economy adjusted factor'!$A$2:$L$52,5,FALSE)*m2k))/'TCO Inputs'!$AZ$84</f>
        <v>295.06002339826091</v>
      </c>
      <c r="AN214" s="125">
        <f>AN102/293.07*(1/(VLOOKUP($AF214,'Fuel economy adjusted factor'!$A$2:$L$52,5,FALSE)*m2k))/'TCO Inputs'!$AZ$84</f>
        <v>295.06002339826091</v>
      </c>
      <c r="AO214" s="125">
        <f>AO102/293.07*(1/(VLOOKUP($AF214,'Fuel economy adjusted factor'!$A$2:$L$52,5,FALSE)*m2k))/'TCO Inputs'!$AZ$84</f>
        <v>295.06002339826091</v>
      </c>
      <c r="AP214" s="125">
        <f>AP102/293.07*(1/(VLOOKUP($AF214,'Fuel economy adjusted factor'!$A$2:$L$52,5,FALSE)*m2k))/'TCO Inputs'!$AZ$84</f>
        <v>295.06002339826091</v>
      </c>
      <c r="AQ214" s="125">
        <f>AQ102/293.07*(1/(VLOOKUP($AF214,'Fuel economy adjusted factor'!$A$2:$L$52,5,FALSE)*m2k))/'TCO Inputs'!$AZ$84</f>
        <v>295.06002339826091</v>
      </c>
      <c r="AR214" s="125">
        <f>AR102/293.07*(1/(VLOOKUP($AF214,'Fuel economy adjusted factor'!$A$2:$L$52,5,FALSE)*m2k))/'TCO Inputs'!$AZ$84</f>
        <v>295.06002339826091</v>
      </c>
      <c r="AS214" s="125">
        <f>AS102/293.07*(1/(VLOOKUP($AF214,'Fuel economy adjusted factor'!$A$2:$L$52,5,FALSE)*m2k))/'TCO Inputs'!$AZ$84</f>
        <v>295.06002339826091</v>
      </c>
      <c r="AT214" s="125">
        <f>AT102/293.07*(1/(VLOOKUP($AF214,'Fuel economy adjusted factor'!$A$2:$L$52,5,FALSE)*m2k))/'TCO Inputs'!$AZ$84</f>
        <v>295.06002339826091</v>
      </c>
      <c r="AU214" s="125">
        <f>AU102/293.07*(1/(VLOOKUP($AF214,'Fuel economy adjusted factor'!$A$2:$L$52,5,FALSE)*m2k))/'TCO Inputs'!$AZ$84</f>
        <v>295.06002339826091</v>
      </c>
      <c r="AV214" s="125">
        <f>AV102/293.07*(1/(VLOOKUP($AF214,'Fuel economy adjusted factor'!$A$2:$L$52,5,FALSE)*m2k))/'TCO Inputs'!$AZ$84</f>
        <v>295.06002339826091</v>
      </c>
      <c r="AW214" s="125">
        <f>AW102/293.07*(1/(VLOOKUP($AF214,'Fuel economy adjusted factor'!$A$2:$L$52,5,FALSE)*m2k))/'TCO Inputs'!$AZ$84</f>
        <v>295.06002339826091</v>
      </c>
      <c r="AX214" s="125">
        <f>AX102/293.07*(1/(VLOOKUP($AF214,'Fuel economy adjusted factor'!$A$2:$L$52,5,FALSE)*m2k))/'TCO Inputs'!$AZ$84</f>
        <v>295.06002339826091</v>
      </c>
      <c r="AY214" s="125">
        <f>AY102/293.07*(1/(VLOOKUP($AF214,'Fuel economy adjusted factor'!$A$2:$L$52,5,FALSE)*m2k))/'TCO Inputs'!$AZ$84</f>
        <v>295.06002339826091</v>
      </c>
      <c r="AZ214" s="125">
        <f>AZ102/293.07*(1/(VLOOKUP($AF214,'Fuel economy adjusted factor'!$A$2:$L$52,5,FALSE)*m2k))/'TCO Inputs'!$AZ$84</f>
        <v>295.06002339826091</v>
      </c>
      <c r="BA214" s="125">
        <f>BA102/293.07*(1/(VLOOKUP($AF214,'Fuel economy adjusted factor'!$A$2:$L$52,5,FALSE)*m2k))/'TCO Inputs'!$AZ$84</f>
        <v>295.06002339826091</v>
      </c>
      <c r="BB214" s="125">
        <f>BB102/293.07*(1/(VLOOKUP($AF214,'Fuel economy adjusted factor'!$A$2:$L$52,5,FALSE)*m2k))/'TCO Inputs'!$AZ$84</f>
        <v>295.06002339826091</v>
      </c>
      <c r="BC214" s="125">
        <f>BC102/293.07*(1/(VLOOKUP($AF214,'Fuel economy adjusted factor'!$A$2:$L$52,5,FALSE)*m2k))/'TCO Inputs'!$AZ$84</f>
        <v>295.06002339826091</v>
      </c>
      <c r="BD214" s="125">
        <f>BD102/293.07*(1/(VLOOKUP($AF214,'Fuel economy adjusted factor'!$A$2:$L$52,5,FALSE)*m2k))/'TCO Inputs'!$AZ$84</f>
        <v>295.06002339826091</v>
      </c>
      <c r="BE214" s="125">
        <f>BE102/293.07*(1/(VLOOKUP($AF214,'Fuel economy adjusted factor'!$A$2:$L$52,5,FALSE)*m2k))/'TCO Inputs'!$AZ$84</f>
        <v>295.06002339826091</v>
      </c>
      <c r="BF214" s="125">
        <f>BF102/293.07*(1/(VLOOKUP($AF214,'Fuel economy adjusted factor'!$A$2:$L$52,5,FALSE)*m2k))/'TCO Inputs'!$AZ$84</f>
        <v>295.06002339826091</v>
      </c>
      <c r="BG214" s="125">
        <f>BG102/293.07*(1/(VLOOKUP($AF214,'Fuel economy adjusted factor'!$A$2:$L$52,5,FALSE)*m2k))/'TCO Inputs'!$AZ$84</f>
        <v>295.06002339826091</v>
      </c>
      <c r="BH214" s="125">
        <f>BH102/293.07*(1/(VLOOKUP($AF214,'Fuel economy adjusted factor'!$A$2:$L$52,5,FALSE)*m2k))/'TCO Inputs'!$AZ$84</f>
        <v>295.06002339826091</v>
      </c>
      <c r="BI214" s="98" cm="1">
        <f t="array" ref="BI214">SUMPRODUCT(INDEX(AG214:BH214,,'TCO Inputs'!$AZ$12-2023+_xlfn.SEQUENCE('TCO Inputs'!$AZ$13))*INDEX('VKT US'!C106:AA106,,_xlfn.SEQUENCE('TCO Inputs'!$AZ$13)))*m2k*CONVERT(0.9072,"g","ton")</f>
        <v>96.782902082305171</v>
      </c>
    </row>
    <row r="215" spans="1:61" x14ac:dyDescent="0.25">
      <c r="A215" s="123" t="s">
        <v>228</v>
      </c>
      <c r="B215" s="125">
        <f>B103/293.07*(1/(VLOOKUP($A215,'Fuel economy adjusted factor'!$A$2:$L$52,5,FALSE)*m2k))/'TCO Inputs'!$AZ$84</f>
        <v>7.9094679014821443</v>
      </c>
      <c r="C215" s="125">
        <f>C103/293.07*(1/(VLOOKUP($A215,'Fuel economy adjusted factor'!$A$2:$L$52,5,FALSE)*m2k))/'TCO Inputs'!$AZ$84</f>
        <v>7.9094679014821443</v>
      </c>
      <c r="D215" s="125">
        <f>D103/293.07*(1/(VLOOKUP($A215,'Fuel economy adjusted factor'!$A$2:$L$52,5,FALSE)*m2k))/'TCO Inputs'!$AZ$84</f>
        <v>7.9094679014821443</v>
      </c>
      <c r="E215" s="125">
        <f>E103/293.07*(1/(VLOOKUP($A215,'Fuel economy adjusted factor'!$A$2:$L$52,5,FALSE)*m2k))/'TCO Inputs'!$AZ$84</f>
        <v>7.9094679014821443</v>
      </c>
      <c r="F215" s="125">
        <f>F103/293.07*(1/(VLOOKUP($A215,'Fuel economy adjusted factor'!$A$2:$L$52,5,FALSE)*m2k))/'TCO Inputs'!$AZ$84</f>
        <v>7.9094679014821443</v>
      </c>
      <c r="G215" s="125">
        <f>G103/293.07*(1/(VLOOKUP($A215,'Fuel economy adjusted factor'!$A$2:$L$52,5,FALSE)*m2k))/'TCO Inputs'!$AZ$84</f>
        <v>7.9094679014821443</v>
      </c>
      <c r="H215" s="125">
        <f>H103/293.07*(1/(VLOOKUP($A215,'Fuel economy adjusted factor'!$A$2:$L$52,5,FALSE)*m2k))/'TCO Inputs'!$AZ$84</f>
        <v>7.9094679014821443</v>
      </c>
      <c r="I215" s="125">
        <f>I103/293.07*(1/(VLOOKUP($A215,'Fuel economy adjusted factor'!$A$2:$L$52,5,FALSE)*m2k))/'TCO Inputs'!$AZ$84</f>
        <v>7.9094679014821443</v>
      </c>
      <c r="J215" s="125">
        <f>J103/293.07*(1/(VLOOKUP($A215,'Fuel economy adjusted factor'!$A$2:$L$52,5,FALSE)*m2k))/'TCO Inputs'!$AZ$84</f>
        <v>7.9094679014821443</v>
      </c>
      <c r="K215" s="125">
        <f>K103/293.07*(1/(VLOOKUP($A215,'Fuel economy adjusted factor'!$A$2:$L$52,5,FALSE)*m2k))/'TCO Inputs'!$AZ$84</f>
        <v>7.9094679014821443</v>
      </c>
      <c r="L215" s="125">
        <f>L103/293.07*(1/(VLOOKUP($A215,'Fuel economy adjusted factor'!$A$2:$L$52,5,FALSE)*m2k))/'TCO Inputs'!$AZ$84</f>
        <v>7.9094679014821443</v>
      </c>
      <c r="M215" s="125">
        <f>M103/293.07*(1/(VLOOKUP($A215,'Fuel economy adjusted factor'!$A$2:$L$52,5,FALSE)*m2k))/'TCO Inputs'!$AZ$84</f>
        <v>7.9094679014821443</v>
      </c>
      <c r="N215" s="125">
        <f>N103/293.07*(1/(VLOOKUP($A215,'Fuel economy adjusted factor'!$A$2:$L$52,5,FALSE)*m2k))/'TCO Inputs'!$AZ$84</f>
        <v>7.9094679014821443</v>
      </c>
      <c r="O215" s="125">
        <f>O103/293.07*(1/(VLOOKUP($A215,'Fuel economy adjusted factor'!$A$2:$L$52,5,FALSE)*m2k))/'TCO Inputs'!$AZ$84</f>
        <v>7.9094679014821443</v>
      </c>
      <c r="P215" s="125">
        <f>P103/293.07*(1/(VLOOKUP($A215,'Fuel economy adjusted factor'!$A$2:$L$52,5,FALSE)*m2k))/'TCO Inputs'!$AZ$84</f>
        <v>7.9094679014821443</v>
      </c>
      <c r="Q215" s="125">
        <f>Q103/293.07*(1/(VLOOKUP($A215,'Fuel economy adjusted factor'!$A$2:$L$52,5,FALSE)*m2k))/'TCO Inputs'!$AZ$84</f>
        <v>7.9094679014821443</v>
      </c>
      <c r="R215" s="125">
        <f>R103/293.07*(1/(VLOOKUP($A215,'Fuel economy adjusted factor'!$A$2:$L$52,5,FALSE)*m2k))/'TCO Inputs'!$AZ$84</f>
        <v>7.9094679014821443</v>
      </c>
      <c r="S215" s="125">
        <f>S103/293.07*(1/(VLOOKUP($A215,'Fuel economy adjusted factor'!$A$2:$L$52,5,FALSE)*m2k))/'TCO Inputs'!$AZ$84</f>
        <v>7.9094679014821443</v>
      </c>
      <c r="T215" s="125">
        <f>T103/293.07*(1/(VLOOKUP($A215,'Fuel economy adjusted factor'!$A$2:$L$52,5,FALSE)*m2k))/'TCO Inputs'!$AZ$84</f>
        <v>7.9094679014821443</v>
      </c>
      <c r="U215" s="125">
        <f>U103/293.07*(1/(VLOOKUP($A215,'Fuel economy adjusted factor'!$A$2:$L$52,5,FALSE)*m2k))/'TCO Inputs'!$AZ$84</f>
        <v>7.9094679014821443</v>
      </c>
      <c r="V215" s="125">
        <f>V103/293.07*(1/(VLOOKUP($A215,'Fuel economy adjusted factor'!$A$2:$L$52,5,FALSE)*m2k))/'TCO Inputs'!$AZ$84</f>
        <v>7.9094679014821443</v>
      </c>
      <c r="W215" s="125">
        <f>W103/293.07*(1/(VLOOKUP($A215,'Fuel economy adjusted factor'!$A$2:$L$52,5,FALSE)*m2k))/'TCO Inputs'!$AZ$84</f>
        <v>7.9094679014821443</v>
      </c>
      <c r="X215" s="125">
        <f>X103/293.07*(1/(VLOOKUP($A215,'Fuel economy adjusted factor'!$A$2:$L$52,5,FALSE)*m2k))/'TCO Inputs'!$AZ$84</f>
        <v>7.9094679014821443</v>
      </c>
      <c r="Y215" s="125">
        <f>Y103/293.07*(1/(VLOOKUP($A215,'Fuel economy adjusted factor'!$A$2:$L$52,5,FALSE)*m2k))/'TCO Inputs'!$AZ$84</f>
        <v>7.9094679014821443</v>
      </c>
      <c r="Z215" s="125">
        <f>Z103/293.07*(1/(VLOOKUP($A215,'Fuel economy adjusted factor'!$A$2:$L$52,5,FALSE)*m2k))/'TCO Inputs'!$AZ$84</f>
        <v>7.9094679014821443</v>
      </c>
      <c r="AA215" s="125">
        <f>AA103/293.07*(1/(VLOOKUP($A215,'Fuel economy adjusted factor'!$A$2:$L$52,5,FALSE)*m2k))/'TCO Inputs'!$AZ$84</f>
        <v>7.9094679014821443</v>
      </c>
      <c r="AB215" s="125">
        <f>AB103/293.07*(1/(VLOOKUP($A215,'Fuel economy adjusted factor'!$A$2:$L$52,5,FALSE)*m2k))/'TCO Inputs'!$AZ$84</f>
        <v>7.9094679014821443</v>
      </c>
      <c r="AC215" s="125">
        <f>AC103/293.07*(1/(VLOOKUP($A215,'Fuel economy adjusted factor'!$A$2:$L$52,5,FALSE)*m2k))/'TCO Inputs'!$AZ$84</f>
        <v>7.9094679014821443</v>
      </c>
      <c r="AD215" s="98" cm="1">
        <f t="array" ref="AD215">SUMPRODUCT(INDEX(B215:AC215,,'TCO Inputs'!$AZ$12-2023+_xlfn.SEQUENCE('TCO Inputs'!$AZ$13))*INDEX('VKT US'!C107:AA107,,_xlfn.SEQUENCE('TCO Inputs'!$AZ$13)))*m2k*CONVERT(0.9072,"g","ton")</f>
        <v>2.1743663870470749</v>
      </c>
      <c r="AF215" s="123" t="s">
        <v>228</v>
      </c>
      <c r="AG215" s="125">
        <f>AG103/293.07*(1/(VLOOKUP($AF215,'Fuel economy adjusted factor'!$A$2:$L$52,5,FALSE)*m2k))/'TCO Inputs'!$AZ$84</f>
        <v>9.1626472422493705</v>
      </c>
      <c r="AH215" s="125">
        <f>AH103/293.07*(1/(VLOOKUP($AF215,'Fuel economy adjusted factor'!$A$2:$L$52,5,FALSE)*m2k))/'TCO Inputs'!$AZ$84</f>
        <v>9.1626472422493705</v>
      </c>
      <c r="AI215" s="125">
        <f>AI103/293.07*(1/(VLOOKUP($AF215,'Fuel economy adjusted factor'!$A$2:$L$52,5,FALSE)*m2k))/'TCO Inputs'!$AZ$84</f>
        <v>9.1626472422493705</v>
      </c>
      <c r="AJ215" s="125">
        <f>AJ103/293.07*(1/(VLOOKUP($AF215,'Fuel economy adjusted factor'!$A$2:$L$52,5,FALSE)*m2k))/'TCO Inputs'!$AZ$84</f>
        <v>9.1626472422493705</v>
      </c>
      <c r="AK215" s="125">
        <f>AK103/293.07*(1/(VLOOKUP($AF215,'Fuel economy adjusted factor'!$A$2:$L$52,5,FALSE)*m2k))/'TCO Inputs'!$AZ$84</f>
        <v>9.1626472422493705</v>
      </c>
      <c r="AL215" s="125">
        <f>AL103/293.07*(1/(VLOOKUP($AF215,'Fuel economy adjusted factor'!$A$2:$L$52,5,FALSE)*m2k))/'TCO Inputs'!$AZ$84</f>
        <v>9.1626472422493705</v>
      </c>
      <c r="AM215" s="125">
        <f>AM103/293.07*(1/(VLOOKUP($AF215,'Fuel economy adjusted factor'!$A$2:$L$52,5,FALSE)*m2k))/'TCO Inputs'!$AZ$84</f>
        <v>9.1626472422493705</v>
      </c>
      <c r="AN215" s="125">
        <f>AN103/293.07*(1/(VLOOKUP($AF215,'Fuel economy adjusted factor'!$A$2:$L$52,5,FALSE)*m2k))/'TCO Inputs'!$AZ$84</f>
        <v>9.1626472422493705</v>
      </c>
      <c r="AO215" s="125">
        <f>AO103/293.07*(1/(VLOOKUP($AF215,'Fuel economy adjusted factor'!$A$2:$L$52,5,FALSE)*m2k))/'TCO Inputs'!$AZ$84</f>
        <v>9.1626472422493705</v>
      </c>
      <c r="AP215" s="125">
        <f>AP103/293.07*(1/(VLOOKUP($AF215,'Fuel economy adjusted factor'!$A$2:$L$52,5,FALSE)*m2k))/'TCO Inputs'!$AZ$84</f>
        <v>9.1626472422493705</v>
      </c>
      <c r="AQ215" s="125">
        <f>AQ103/293.07*(1/(VLOOKUP($AF215,'Fuel economy adjusted factor'!$A$2:$L$52,5,FALSE)*m2k))/'TCO Inputs'!$AZ$84</f>
        <v>9.1626472422493705</v>
      </c>
      <c r="AR215" s="125">
        <f>AR103/293.07*(1/(VLOOKUP($AF215,'Fuel economy adjusted factor'!$A$2:$L$52,5,FALSE)*m2k))/'TCO Inputs'!$AZ$84</f>
        <v>9.1626472422493705</v>
      </c>
      <c r="AS215" s="125">
        <f>AS103/293.07*(1/(VLOOKUP($AF215,'Fuel economy adjusted factor'!$A$2:$L$52,5,FALSE)*m2k))/'TCO Inputs'!$AZ$84</f>
        <v>9.1626472422493705</v>
      </c>
      <c r="AT215" s="125">
        <f>AT103/293.07*(1/(VLOOKUP($AF215,'Fuel economy adjusted factor'!$A$2:$L$52,5,FALSE)*m2k))/'TCO Inputs'!$AZ$84</f>
        <v>9.1626472422493705</v>
      </c>
      <c r="AU215" s="125">
        <f>AU103/293.07*(1/(VLOOKUP($AF215,'Fuel economy adjusted factor'!$A$2:$L$52,5,FALSE)*m2k))/'TCO Inputs'!$AZ$84</f>
        <v>9.1626472422493705</v>
      </c>
      <c r="AV215" s="125">
        <f>AV103/293.07*(1/(VLOOKUP($AF215,'Fuel economy adjusted factor'!$A$2:$L$52,5,FALSE)*m2k))/'TCO Inputs'!$AZ$84</f>
        <v>9.1626472422493705</v>
      </c>
      <c r="AW215" s="125">
        <f>AW103/293.07*(1/(VLOOKUP($AF215,'Fuel economy adjusted factor'!$A$2:$L$52,5,FALSE)*m2k))/'TCO Inputs'!$AZ$84</f>
        <v>9.1626472422493705</v>
      </c>
      <c r="AX215" s="125">
        <f>AX103/293.07*(1/(VLOOKUP($AF215,'Fuel economy adjusted factor'!$A$2:$L$52,5,FALSE)*m2k))/'TCO Inputs'!$AZ$84</f>
        <v>9.1626472422493705</v>
      </c>
      <c r="AY215" s="125">
        <f>AY103/293.07*(1/(VLOOKUP($AF215,'Fuel economy adjusted factor'!$A$2:$L$52,5,FALSE)*m2k))/'TCO Inputs'!$AZ$84</f>
        <v>9.1626472422493705</v>
      </c>
      <c r="AZ215" s="125">
        <f>AZ103/293.07*(1/(VLOOKUP($AF215,'Fuel economy adjusted factor'!$A$2:$L$52,5,FALSE)*m2k))/'TCO Inputs'!$AZ$84</f>
        <v>9.1626472422493705</v>
      </c>
      <c r="BA215" s="125">
        <f>BA103/293.07*(1/(VLOOKUP($AF215,'Fuel economy adjusted factor'!$A$2:$L$52,5,FALSE)*m2k))/'TCO Inputs'!$AZ$84</f>
        <v>9.1626472422493705</v>
      </c>
      <c r="BB215" s="125">
        <f>BB103/293.07*(1/(VLOOKUP($AF215,'Fuel economy adjusted factor'!$A$2:$L$52,5,FALSE)*m2k))/'TCO Inputs'!$AZ$84</f>
        <v>9.1626472422493705</v>
      </c>
      <c r="BC215" s="125">
        <f>BC103/293.07*(1/(VLOOKUP($AF215,'Fuel economy adjusted factor'!$A$2:$L$52,5,FALSE)*m2k))/'TCO Inputs'!$AZ$84</f>
        <v>9.1626472422493705</v>
      </c>
      <c r="BD215" s="125">
        <f>BD103/293.07*(1/(VLOOKUP($AF215,'Fuel economy adjusted factor'!$A$2:$L$52,5,FALSE)*m2k))/'TCO Inputs'!$AZ$84</f>
        <v>9.1626472422493705</v>
      </c>
      <c r="BE215" s="125">
        <f>BE103/293.07*(1/(VLOOKUP($AF215,'Fuel economy adjusted factor'!$A$2:$L$52,5,FALSE)*m2k))/'TCO Inputs'!$AZ$84</f>
        <v>9.1626472422493705</v>
      </c>
      <c r="BF215" s="125">
        <f>BF103/293.07*(1/(VLOOKUP($AF215,'Fuel economy adjusted factor'!$A$2:$L$52,5,FALSE)*m2k))/'TCO Inputs'!$AZ$84</f>
        <v>9.1626472422493705</v>
      </c>
      <c r="BG215" s="125">
        <f>BG103/293.07*(1/(VLOOKUP($AF215,'Fuel economy adjusted factor'!$A$2:$L$52,5,FALSE)*m2k))/'TCO Inputs'!$AZ$84</f>
        <v>9.1626472422493705</v>
      </c>
      <c r="BH215" s="125">
        <f>BH103/293.07*(1/(VLOOKUP($AF215,'Fuel economy adjusted factor'!$A$2:$L$52,5,FALSE)*m2k))/'TCO Inputs'!$AZ$84</f>
        <v>9.1626472422493705</v>
      </c>
      <c r="BI215" s="98" cm="1">
        <f t="array" ref="BI215">SUMPRODUCT(INDEX(AG215:BH215,,'TCO Inputs'!$AZ$12-2023+_xlfn.SEQUENCE('TCO Inputs'!$AZ$13))*INDEX('VKT US'!C107:AA107,,_xlfn.SEQUENCE('TCO Inputs'!$AZ$13)))*m2k*CONVERT(0.9072,"g","ton")</f>
        <v>2.518873889883702</v>
      </c>
    </row>
    <row r="216" spans="1:61" x14ac:dyDescent="0.25">
      <c r="A216" s="123" t="s">
        <v>227</v>
      </c>
      <c r="B216" s="125">
        <f>B104/293.07*(1/(VLOOKUP($A216,'Fuel economy adjusted factor'!$A$2:$L$52,5,FALSE)*m2k))/'TCO Inputs'!$AZ$84</f>
        <v>105.23514460048924</v>
      </c>
      <c r="C216" s="125">
        <f>C104/293.07*(1/(VLOOKUP($A216,'Fuel economy adjusted factor'!$A$2:$L$52,5,FALSE)*m2k))/'TCO Inputs'!$AZ$84</f>
        <v>105.23514460048924</v>
      </c>
      <c r="D216" s="125">
        <f>D104/293.07*(1/(VLOOKUP($A216,'Fuel economy adjusted factor'!$A$2:$L$52,5,FALSE)*m2k))/'TCO Inputs'!$AZ$84</f>
        <v>105.23514460048924</v>
      </c>
      <c r="E216" s="125">
        <f>E104/293.07*(1/(VLOOKUP($A216,'Fuel economy adjusted factor'!$A$2:$L$52,5,FALSE)*m2k))/'TCO Inputs'!$AZ$84</f>
        <v>105.23514460048924</v>
      </c>
      <c r="F216" s="125">
        <f>F104/293.07*(1/(VLOOKUP($A216,'Fuel economy adjusted factor'!$A$2:$L$52,5,FALSE)*m2k))/'TCO Inputs'!$AZ$84</f>
        <v>105.23514460048924</v>
      </c>
      <c r="G216" s="125">
        <f>G104/293.07*(1/(VLOOKUP($A216,'Fuel economy adjusted factor'!$A$2:$L$52,5,FALSE)*m2k))/'TCO Inputs'!$AZ$84</f>
        <v>105.23514460048924</v>
      </c>
      <c r="H216" s="125">
        <f>H104/293.07*(1/(VLOOKUP($A216,'Fuel economy adjusted factor'!$A$2:$L$52,5,FALSE)*m2k))/'TCO Inputs'!$AZ$84</f>
        <v>105.23514460048924</v>
      </c>
      <c r="I216" s="125">
        <f>I104/293.07*(1/(VLOOKUP($A216,'Fuel economy adjusted factor'!$A$2:$L$52,5,FALSE)*m2k))/'TCO Inputs'!$AZ$84</f>
        <v>105.23514460048924</v>
      </c>
      <c r="J216" s="125">
        <f>J104/293.07*(1/(VLOOKUP($A216,'Fuel economy adjusted factor'!$A$2:$L$52,5,FALSE)*m2k))/'TCO Inputs'!$AZ$84</f>
        <v>105.23514460048924</v>
      </c>
      <c r="K216" s="125">
        <f>K104/293.07*(1/(VLOOKUP($A216,'Fuel economy adjusted factor'!$A$2:$L$52,5,FALSE)*m2k))/'TCO Inputs'!$AZ$84</f>
        <v>105.23514460048924</v>
      </c>
      <c r="L216" s="125">
        <f>L104/293.07*(1/(VLOOKUP($A216,'Fuel economy adjusted factor'!$A$2:$L$52,5,FALSE)*m2k))/'TCO Inputs'!$AZ$84</f>
        <v>105.23514460048924</v>
      </c>
      <c r="M216" s="125">
        <f>M104/293.07*(1/(VLOOKUP($A216,'Fuel economy adjusted factor'!$A$2:$L$52,5,FALSE)*m2k))/'TCO Inputs'!$AZ$84</f>
        <v>105.23514460048924</v>
      </c>
      <c r="N216" s="125">
        <f>N104/293.07*(1/(VLOOKUP($A216,'Fuel economy adjusted factor'!$A$2:$L$52,5,FALSE)*m2k))/'TCO Inputs'!$AZ$84</f>
        <v>105.23514460048924</v>
      </c>
      <c r="O216" s="125">
        <f>O104/293.07*(1/(VLOOKUP($A216,'Fuel economy adjusted factor'!$A$2:$L$52,5,FALSE)*m2k))/'TCO Inputs'!$AZ$84</f>
        <v>105.23514460048924</v>
      </c>
      <c r="P216" s="125">
        <f>P104/293.07*(1/(VLOOKUP($A216,'Fuel economy adjusted factor'!$A$2:$L$52,5,FALSE)*m2k))/'TCO Inputs'!$AZ$84</f>
        <v>105.23514460048924</v>
      </c>
      <c r="Q216" s="125">
        <f>Q104/293.07*(1/(VLOOKUP($A216,'Fuel economy adjusted factor'!$A$2:$L$52,5,FALSE)*m2k))/'TCO Inputs'!$AZ$84</f>
        <v>105.23514460048924</v>
      </c>
      <c r="R216" s="125">
        <f>R104/293.07*(1/(VLOOKUP($A216,'Fuel economy adjusted factor'!$A$2:$L$52,5,FALSE)*m2k))/'TCO Inputs'!$AZ$84</f>
        <v>105.23514460048924</v>
      </c>
      <c r="S216" s="125">
        <f>S104/293.07*(1/(VLOOKUP($A216,'Fuel economy adjusted factor'!$A$2:$L$52,5,FALSE)*m2k))/'TCO Inputs'!$AZ$84</f>
        <v>105.23514460048924</v>
      </c>
      <c r="T216" s="125">
        <f>T104/293.07*(1/(VLOOKUP($A216,'Fuel economy adjusted factor'!$A$2:$L$52,5,FALSE)*m2k))/'TCO Inputs'!$AZ$84</f>
        <v>105.23514460048924</v>
      </c>
      <c r="U216" s="125">
        <f>U104/293.07*(1/(VLOOKUP($A216,'Fuel economy adjusted factor'!$A$2:$L$52,5,FALSE)*m2k))/'TCO Inputs'!$AZ$84</f>
        <v>105.23514460048924</v>
      </c>
      <c r="V216" s="125">
        <f>V104/293.07*(1/(VLOOKUP($A216,'Fuel economy adjusted factor'!$A$2:$L$52,5,FALSE)*m2k))/'TCO Inputs'!$AZ$84</f>
        <v>105.23514460048924</v>
      </c>
      <c r="W216" s="125">
        <f>W104/293.07*(1/(VLOOKUP($A216,'Fuel economy adjusted factor'!$A$2:$L$52,5,FALSE)*m2k))/'TCO Inputs'!$AZ$84</f>
        <v>105.23514460048924</v>
      </c>
      <c r="X216" s="125">
        <f>X104/293.07*(1/(VLOOKUP($A216,'Fuel economy adjusted factor'!$A$2:$L$52,5,FALSE)*m2k))/'TCO Inputs'!$AZ$84</f>
        <v>105.23514460048924</v>
      </c>
      <c r="Y216" s="125">
        <f>Y104/293.07*(1/(VLOOKUP($A216,'Fuel economy adjusted factor'!$A$2:$L$52,5,FALSE)*m2k))/'TCO Inputs'!$AZ$84</f>
        <v>105.23514460048924</v>
      </c>
      <c r="Z216" s="125">
        <f>Z104/293.07*(1/(VLOOKUP($A216,'Fuel economy adjusted factor'!$A$2:$L$52,5,FALSE)*m2k))/'TCO Inputs'!$AZ$84</f>
        <v>105.23514460048924</v>
      </c>
      <c r="AA216" s="125">
        <f>AA104/293.07*(1/(VLOOKUP($A216,'Fuel economy adjusted factor'!$A$2:$L$52,5,FALSE)*m2k))/'TCO Inputs'!$AZ$84</f>
        <v>105.23514460048924</v>
      </c>
      <c r="AB216" s="125">
        <f>AB104/293.07*(1/(VLOOKUP($A216,'Fuel economy adjusted factor'!$A$2:$L$52,5,FALSE)*m2k))/'TCO Inputs'!$AZ$84</f>
        <v>105.23514460048924</v>
      </c>
      <c r="AC216" s="125">
        <f>AC104/293.07*(1/(VLOOKUP($A216,'Fuel economy adjusted factor'!$A$2:$L$52,5,FALSE)*m2k))/'TCO Inputs'!$AZ$84</f>
        <v>105.23514460048924</v>
      </c>
      <c r="AD216" s="98" cm="1">
        <f t="array" ref="AD216">SUMPRODUCT(INDEX(B216:AC216,,'TCO Inputs'!$AZ$12-2023+_xlfn.SEQUENCE('TCO Inputs'!$AZ$13))*INDEX('VKT US'!C108:AA108,,_xlfn.SEQUENCE('TCO Inputs'!$AZ$13)))*m2k*CONVERT(0.9072,"g","ton")</f>
        <v>32.278012088610325</v>
      </c>
      <c r="AF216" s="123" t="s">
        <v>227</v>
      </c>
      <c r="AG216" s="125">
        <f>AG104/293.07*(1/(VLOOKUP($AF216,'Fuel economy adjusted factor'!$A$2:$L$52,5,FALSE)*m2k))/'TCO Inputs'!$AZ$84</f>
        <v>121.90864410495936</v>
      </c>
      <c r="AH216" s="125">
        <f>AH104/293.07*(1/(VLOOKUP($AF216,'Fuel economy adjusted factor'!$A$2:$L$52,5,FALSE)*m2k))/'TCO Inputs'!$AZ$84</f>
        <v>121.90864410495936</v>
      </c>
      <c r="AI216" s="125">
        <f>AI104/293.07*(1/(VLOOKUP($AF216,'Fuel economy adjusted factor'!$A$2:$L$52,5,FALSE)*m2k))/'TCO Inputs'!$AZ$84</f>
        <v>121.90864410495936</v>
      </c>
      <c r="AJ216" s="125">
        <f>AJ104/293.07*(1/(VLOOKUP($AF216,'Fuel economy adjusted factor'!$A$2:$L$52,5,FALSE)*m2k))/'TCO Inputs'!$AZ$84</f>
        <v>121.90864410495936</v>
      </c>
      <c r="AK216" s="125">
        <f>AK104/293.07*(1/(VLOOKUP($AF216,'Fuel economy adjusted factor'!$A$2:$L$52,5,FALSE)*m2k))/'TCO Inputs'!$AZ$84</f>
        <v>121.90864410495936</v>
      </c>
      <c r="AL216" s="125">
        <f>AL104/293.07*(1/(VLOOKUP($AF216,'Fuel economy adjusted factor'!$A$2:$L$52,5,FALSE)*m2k))/'TCO Inputs'!$AZ$84</f>
        <v>121.90864410495936</v>
      </c>
      <c r="AM216" s="125">
        <f>AM104/293.07*(1/(VLOOKUP($AF216,'Fuel economy adjusted factor'!$A$2:$L$52,5,FALSE)*m2k))/'TCO Inputs'!$AZ$84</f>
        <v>121.90864410495936</v>
      </c>
      <c r="AN216" s="125">
        <f>AN104/293.07*(1/(VLOOKUP($AF216,'Fuel economy adjusted factor'!$A$2:$L$52,5,FALSE)*m2k))/'TCO Inputs'!$AZ$84</f>
        <v>121.90864410495936</v>
      </c>
      <c r="AO216" s="125">
        <f>AO104/293.07*(1/(VLOOKUP($AF216,'Fuel economy adjusted factor'!$A$2:$L$52,5,FALSE)*m2k))/'TCO Inputs'!$AZ$84</f>
        <v>121.90864410495936</v>
      </c>
      <c r="AP216" s="125">
        <f>AP104/293.07*(1/(VLOOKUP($AF216,'Fuel economy adjusted factor'!$A$2:$L$52,5,FALSE)*m2k))/'TCO Inputs'!$AZ$84</f>
        <v>121.90864410495936</v>
      </c>
      <c r="AQ216" s="125">
        <f>AQ104/293.07*(1/(VLOOKUP($AF216,'Fuel economy adjusted factor'!$A$2:$L$52,5,FALSE)*m2k))/'TCO Inputs'!$AZ$84</f>
        <v>121.90864410495936</v>
      </c>
      <c r="AR216" s="125">
        <f>AR104/293.07*(1/(VLOOKUP($AF216,'Fuel economy adjusted factor'!$A$2:$L$52,5,FALSE)*m2k))/'TCO Inputs'!$AZ$84</f>
        <v>121.90864410495936</v>
      </c>
      <c r="AS216" s="125">
        <f>AS104/293.07*(1/(VLOOKUP($AF216,'Fuel economy adjusted factor'!$A$2:$L$52,5,FALSE)*m2k))/'TCO Inputs'!$AZ$84</f>
        <v>121.90864410495936</v>
      </c>
      <c r="AT216" s="125">
        <f>AT104/293.07*(1/(VLOOKUP($AF216,'Fuel economy adjusted factor'!$A$2:$L$52,5,FALSE)*m2k))/'TCO Inputs'!$AZ$84</f>
        <v>121.90864410495936</v>
      </c>
      <c r="AU216" s="125">
        <f>AU104/293.07*(1/(VLOOKUP($AF216,'Fuel economy adjusted factor'!$A$2:$L$52,5,FALSE)*m2k))/'TCO Inputs'!$AZ$84</f>
        <v>121.90864410495936</v>
      </c>
      <c r="AV216" s="125">
        <f>AV104/293.07*(1/(VLOOKUP($AF216,'Fuel economy adjusted factor'!$A$2:$L$52,5,FALSE)*m2k))/'TCO Inputs'!$AZ$84</f>
        <v>121.90864410495936</v>
      </c>
      <c r="AW216" s="125">
        <f>AW104/293.07*(1/(VLOOKUP($AF216,'Fuel economy adjusted factor'!$A$2:$L$52,5,FALSE)*m2k))/'TCO Inputs'!$AZ$84</f>
        <v>121.90864410495936</v>
      </c>
      <c r="AX216" s="125">
        <f>AX104/293.07*(1/(VLOOKUP($AF216,'Fuel economy adjusted factor'!$A$2:$L$52,5,FALSE)*m2k))/'TCO Inputs'!$AZ$84</f>
        <v>121.90864410495936</v>
      </c>
      <c r="AY216" s="125">
        <f>AY104/293.07*(1/(VLOOKUP($AF216,'Fuel economy adjusted factor'!$A$2:$L$52,5,FALSE)*m2k))/'TCO Inputs'!$AZ$84</f>
        <v>121.90864410495936</v>
      </c>
      <c r="AZ216" s="125">
        <f>AZ104/293.07*(1/(VLOOKUP($AF216,'Fuel economy adjusted factor'!$A$2:$L$52,5,FALSE)*m2k))/'TCO Inputs'!$AZ$84</f>
        <v>121.90864410495936</v>
      </c>
      <c r="BA216" s="125">
        <f>BA104/293.07*(1/(VLOOKUP($AF216,'Fuel economy adjusted factor'!$A$2:$L$52,5,FALSE)*m2k))/'TCO Inputs'!$AZ$84</f>
        <v>121.90864410495936</v>
      </c>
      <c r="BB216" s="125">
        <f>BB104/293.07*(1/(VLOOKUP($AF216,'Fuel economy adjusted factor'!$A$2:$L$52,5,FALSE)*m2k))/'TCO Inputs'!$AZ$84</f>
        <v>121.90864410495936</v>
      </c>
      <c r="BC216" s="125">
        <f>BC104/293.07*(1/(VLOOKUP($AF216,'Fuel economy adjusted factor'!$A$2:$L$52,5,FALSE)*m2k))/'TCO Inputs'!$AZ$84</f>
        <v>121.90864410495936</v>
      </c>
      <c r="BD216" s="125">
        <f>BD104/293.07*(1/(VLOOKUP($AF216,'Fuel economy adjusted factor'!$A$2:$L$52,5,FALSE)*m2k))/'TCO Inputs'!$AZ$84</f>
        <v>121.90864410495936</v>
      </c>
      <c r="BE216" s="125">
        <f>BE104/293.07*(1/(VLOOKUP($AF216,'Fuel economy adjusted factor'!$A$2:$L$52,5,FALSE)*m2k))/'TCO Inputs'!$AZ$84</f>
        <v>121.90864410495936</v>
      </c>
      <c r="BF216" s="125">
        <f>BF104/293.07*(1/(VLOOKUP($AF216,'Fuel economy adjusted factor'!$A$2:$L$52,5,FALSE)*m2k))/'TCO Inputs'!$AZ$84</f>
        <v>121.90864410495936</v>
      </c>
      <c r="BG216" s="125">
        <f>BG104/293.07*(1/(VLOOKUP($AF216,'Fuel economy adjusted factor'!$A$2:$L$52,5,FALSE)*m2k))/'TCO Inputs'!$AZ$84</f>
        <v>121.90864410495936</v>
      </c>
      <c r="BH216" s="125">
        <f>BH104/293.07*(1/(VLOOKUP($AF216,'Fuel economy adjusted factor'!$A$2:$L$52,5,FALSE)*m2k))/'TCO Inputs'!$AZ$84</f>
        <v>121.90864410495936</v>
      </c>
      <c r="BI216" s="98" cm="1">
        <f t="array" ref="BI216">SUMPRODUCT(INDEX(AG216:BH216,,'TCO Inputs'!$AZ$12-2023+_xlfn.SEQUENCE('TCO Inputs'!$AZ$13))*INDEX('VKT US'!C108:AA108,,_xlfn.SEQUENCE('TCO Inputs'!$AZ$13)))*m2k*CONVERT(0.9072,"g","ton")</f>
        <v>37.392153572502224</v>
      </c>
    </row>
    <row r="217" spans="1:61" x14ac:dyDescent="0.25">
      <c r="A217" s="123" t="s">
        <v>229</v>
      </c>
      <c r="B217" s="125">
        <f>B105/293.07*(1/(VLOOKUP($A217,'Fuel economy adjusted factor'!$A$2:$L$52,5,FALSE)*m2k))/'TCO Inputs'!$AZ$84</f>
        <v>51.454134633461209</v>
      </c>
      <c r="C217" s="125">
        <f>C105/293.07*(1/(VLOOKUP($A217,'Fuel economy adjusted factor'!$A$2:$L$52,5,FALSE)*m2k))/'TCO Inputs'!$AZ$84</f>
        <v>51.454134633461209</v>
      </c>
      <c r="D217" s="125">
        <f>D105/293.07*(1/(VLOOKUP($A217,'Fuel economy adjusted factor'!$A$2:$L$52,5,FALSE)*m2k))/'TCO Inputs'!$AZ$84</f>
        <v>51.454134633461209</v>
      </c>
      <c r="E217" s="125">
        <f>E105/293.07*(1/(VLOOKUP($A217,'Fuel economy adjusted factor'!$A$2:$L$52,5,FALSE)*m2k))/'TCO Inputs'!$AZ$84</f>
        <v>51.454134633461209</v>
      </c>
      <c r="F217" s="125">
        <f>F105/293.07*(1/(VLOOKUP($A217,'Fuel economy adjusted factor'!$A$2:$L$52,5,FALSE)*m2k))/'TCO Inputs'!$AZ$84</f>
        <v>51.454134633461209</v>
      </c>
      <c r="G217" s="125">
        <f>G105/293.07*(1/(VLOOKUP($A217,'Fuel economy adjusted factor'!$A$2:$L$52,5,FALSE)*m2k))/'TCO Inputs'!$AZ$84</f>
        <v>51.454134633461209</v>
      </c>
      <c r="H217" s="125">
        <f>H105/293.07*(1/(VLOOKUP($A217,'Fuel economy adjusted factor'!$A$2:$L$52,5,FALSE)*m2k))/'TCO Inputs'!$AZ$84</f>
        <v>51.454134633461209</v>
      </c>
      <c r="I217" s="125">
        <f>I105/293.07*(1/(VLOOKUP($A217,'Fuel economy adjusted factor'!$A$2:$L$52,5,FALSE)*m2k))/'TCO Inputs'!$AZ$84</f>
        <v>51.454134633461209</v>
      </c>
      <c r="J217" s="125">
        <f>J105/293.07*(1/(VLOOKUP($A217,'Fuel economy adjusted factor'!$A$2:$L$52,5,FALSE)*m2k))/'TCO Inputs'!$AZ$84</f>
        <v>51.454134633461209</v>
      </c>
      <c r="K217" s="125">
        <f>K105/293.07*(1/(VLOOKUP($A217,'Fuel economy adjusted factor'!$A$2:$L$52,5,FALSE)*m2k))/'TCO Inputs'!$AZ$84</f>
        <v>51.454134633461209</v>
      </c>
      <c r="L217" s="125">
        <f>L105/293.07*(1/(VLOOKUP($A217,'Fuel economy adjusted factor'!$A$2:$L$52,5,FALSE)*m2k))/'TCO Inputs'!$AZ$84</f>
        <v>51.454134633461209</v>
      </c>
      <c r="M217" s="125">
        <f>M105/293.07*(1/(VLOOKUP($A217,'Fuel economy adjusted factor'!$A$2:$L$52,5,FALSE)*m2k))/'TCO Inputs'!$AZ$84</f>
        <v>51.454134633461209</v>
      </c>
      <c r="N217" s="125">
        <f>N105/293.07*(1/(VLOOKUP($A217,'Fuel economy adjusted factor'!$A$2:$L$52,5,FALSE)*m2k))/'TCO Inputs'!$AZ$84</f>
        <v>51.454134633461209</v>
      </c>
      <c r="O217" s="125">
        <f>O105/293.07*(1/(VLOOKUP($A217,'Fuel economy adjusted factor'!$A$2:$L$52,5,FALSE)*m2k))/'TCO Inputs'!$AZ$84</f>
        <v>51.454134633461209</v>
      </c>
      <c r="P217" s="125">
        <f>P105/293.07*(1/(VLOOKUP($A217,'Fuel economy adjusted factor'!$A$2:$L$52,5,FALSE)*m2k))/'TCO Inputs'!$AZ$84</f>
        <v>51.454134633461209</v>
      </c>
      <c r="Q217" s="125">
        <f>Q105/293.07*(1/(VLOOKUP($A217,'Fuel economy adjusted factor'!$A$2:$L$52,5,FALSE)*m2k))/'TCO Inputs'!$AZ$84</f>
        <v>51.454134633461209</v>
      </c>
      <c r="R217" s="125">
        <f>R105/293.07*(1/(VLOOKUP($A217,'Fuel economy adjusted factor'!$A$2:$L$52,5,FALSE)*m2k))/'TCO Inputs'!$AZ$84</f>
        <v>51.454134633461209</v>
      </c>
      <c r="S217" s="125">
        <f>S105/293.07*(1/(VLOOKUP($A217,'Fuel economy adjusted factor'!$A$2:$L$52,5,FALSE)*m2k))/'TCO Inputs'!$AZ$84</f>
        <v>51.454134633461209</v>
      </c>
      <c r="T217" s="125">
        <f>T105/293.07*(1/(VLOOKUP($A217,'Fuel economy adjusted factor'!$A$2:$L$52,5,FALSE)*m2k))/'TCO Inputs'!$AZ$84</f>
        <v>51.454134633461209</v>
      </c>
      <c r="U217" s="125">
        <f>U105/293.07*(1/(VLOOKUP($A217,'Fuel economy adjusted factor'!$A$2:$L$52,5,FALSE)*m2k))/'TCO Inputs'!$AZ$84</f>
        <v>51.454134633461209</v>
      </c>
      <c r="V217" s="125">
        <f>V105/293.07*(1/(VLOOKUP($A217,'Fuel economy adjusted factor'!$A$2:$L$52,5,FALSE)*m2k))/'TCO Inputs'!$AZ$84</f>
        <v>51.454134633461209</v>
      </c>
      <c r="W217" s="125">
        <f>W105/293.07*(1/(VLOOKUP($A217,'Fuel economy adjusted factor'!$A$2:$L$52,5,FALSE)*m2k))/'TCO Inputs'!$AZ$84</f>
        <v>51.454134633461209</v>
      </c>
      <c r="X217" s="125">
        <f>X105/293.07*(1/(VLOOKUP($A217,'Fuel economy adjusted factor'!$A$2:$L$52,5,FALSE)*m2k))/'TCO Inputs'!$AZ$84</f>
        <v>51.454134633461209</v>
      </c>
      <c r="Y217" s="125">
        <f>Y105/293.07*(1/(VLOOKUP($A217,'Fuel economy adjusted factor'!$A$2:$L$52,5,FALSE)*m2k))/'TCO Inputs'!$AZ$84</f>
        <v>51.454134633461209</v>
      </c>
      <c r="Z217" s="125">
        <f>Z105/293.07*(1/(VLOOKUP($A217,'Fuel economy adjusted factor'!$A$2:$L$52,5,FALSE)*m2k))/'TCO Inputs'!$AZ$84</f>
        <v>51.454134633461209</v>
      </c>
      <c r="AA217" s="125">
        <f>AA105/293.07*(1/(VLOOKUP($A217,'Fuel economy adjusted factor'!$A$2:$L$52,5,FALSE)*m2k))/'TCO Inputs'!$AZ$84</f>
        <v>51.454134633461209</v>
      </c>
      <c r="AB217" s="125">
        <f>AB105/293.07*(1/(VLOOKUP($A217,'Fuel economy adjusted factor'!$A$2:$L$52,5,FALSE)*m2k))/'TCO Inputs'!$AZ$84</f>
        <v>51.454134633461209</v>
      </c>
      <c r="AC217" s="125">
        <f>AC105/293.07*(1/(VLOOKUP($A217,'Fuel economy adjusted factor'!$A$2:$L$52,5,FALSE)*m2k))/'TCO Inputs'!$AZ$84</f>
        <v>51.454134633461209</v>
      </c>
      <c r="AD217" s="98" cm="1">
        <f t="array" ref="AD217">SUMPRODUCT(INDEX(B217:AC217,,'TCO Inputs'!$AZ$12-2023+_xlfn.SEQUENCE('TCO Inputs'!$AZ$13))*INDEX('VKT US'!C109:AA109,,_xlfn.SEQUENCE('TCO Inputs'!$AZ$13)))*m2k*CONVERT(0.9072,"g","ton")</f>
        <v>11.909766074113575</v>
      </c>
      <c r="AF217" s="123" t="s">
        <v>229</v>
      </c>
      <c r="AG217" s="125">
        <f>AG105/293.07*(1/(VLOOKUP($AF217,'Fuel economy adjusted factor'!$A$2:$L$52,5,FALSE)*m2k))/'TCO Inputs'!$AZ$84</f>
        <v>59.60654884423586</v>
      </c>
      <c r="AH217" s="125">
        <f>AH105/293.07*(1/(VLOOKUP($AF217,'Fuel economy adjusted factor'!$A$2:$L$52,5,FALSE)*m2k))/'TCO Inputs'!$AZ$84</f>
        <v>59.60654884423586</v>
      </c>
      <c r="AI217" s="125">
        <f>AI105/293.07*(1/(VLOOKUP($AF217,'Fuel economy adjusted factor'!$A$2:$L$52,5,FALSE)*m2k))/'TCO Inputs'!$AZ$84</f>
        <v>59.60654884423586</v>
      </c>
      <c r="AJ217" s="125">
        <f>AJ105/293.07*(1/(VLOOKUP($AF217,'Fuel economy adjusted factor'!$A$2:$L$52,5,FALSE)*m2k))/'TCO Inputs'!$AZ$84</f>
        <v>59.60654884423586</v>
      </c>
      <c r="AK217" s="125">
        <f>AK105/293.07*(1/(VLOOKUP($AF217,'Fuel economy adjusted factor'!$A$2:$L$52,5,FALSE)*m2k))/'TCO Inputs'!$AZ$84</f>
        <v>59.60654884423586</v>
      </c>
      <c r="AL217" s="125">
        <f>AL105/293.07*(1/(VLOOKUP($AF217,'Fuel economy adjusted factor'!$A$2:$L$52,5,FALSE)*m2k))/'TCO Inputs'!$AZ$84</f>
        <v>59.60654884423586</v>
      </c>
      <c r="AM217" s="125">
        <f>AM105/293.07*(1/(VLOOKUP($AF217,'Fuel economy adjusted factor'!$A$2:$L$52,5,FALSE)*m2k))/'TCO Inputs'!$AZ$84</f>
        <v>59.60654884423586</v>
      </c>
      <c r="AN217" s="125">
        <f>AN105/293.07*(1/(VLOOKUP($AF217,'Fuel economy adjusted factor'!$A$2:$L$52,5,FALSE)*m2k))/'TCO Inputs'!$AZ$84</f>
        <v>59.60654884423586</v>
      </c>
      <c r="AO217" s="125">
        <f>AO105/293.07*(1/(VLOOKUP($AF217,'Fuel economy adjusted factor'!$A$2:$L$52,5,FALSE)*m2k))/'TCO Inputs'!$AZ$84</f>
        <v>59.60654884423586</v>
      </c>
      <c r="AP217" s="125">
        <f>AP105/293.07*(1/(VLOOKUP($AF217,'Fuel economy adjusted factor'!$A$2:$L$52,5,FALSE)*m2k))/'TCO Inputs'!$AZ$84</f>
        <v>59.60654884423586</v>
      </c>
      <c r="AQ217" s="125">
        <f>AQ105/293.07*(1/(VLOOKUP($AF217,'Fuel economy adjusted factor'!$A$2:$L$52,5,FALSE)*m2k))/'TCO Inputs'!$AZ$84</f>
        <v>59.60654884423586</v>
      </c>
      <c r="AR217" s="125">
        <f>AR105/293.07*(1/(VLOOKUP($AF217,'Fuel economy adjusted factor'!$A$2:$L$52,5,FALSE)*m2k))/'TCO Inputs'!$AZ$84</f>
        <v>59.60654884423586</v>
      </c>
      <c r="AS217" s="125">
        <f>AS105/293.07*(1/(VLOOKUP($AF217,'Fuel economy adjusted factor'!$A$2:$L$52,5,FALSE)*m2k))/'TCO Inputs'!$AZ$84</f>
        <v>59.60654884423586</v>
      </c>
      <c r="AT217" s="125">
        <f>AT105/293.07*(1/(VLOOKUP($AF217,'Fuel economy adjusted factor'!$A$2:$L$52,5,FALSE)*m2k))/'TCO Inputs'!$AZ$84</f>
        <v>59.60654884423586</v>
      </c>
      <c r="AU217" s="125">
        <f>AU105/293.07*(1/(VLOOKUP($AF217,'Fuel economy adjusted factor'!$A$2:$L$52,5,FALSE)*m2k))/'TCO Inputs'!$AZ$84</f>
        <v>59.60654884423586</v>
      </c>
      <c r="AV217" s="125">
        <f>AV105/293.07*(1/(VLOOKUP($AF217,'Fuel economy adjusted factor'!$A$2:$L$52,5,FALSE)*m2k))/'TCO Inputs'!$AZ$84</f>
        <v>59.60654884423586</v>
      </c>
      <c r="AW217" s="125">
        <f>AW105/293.07*(1/(VLOOKUP($AF217,'Fuel economy adjusted factor'!$A$2:$L$52,5,FALSE)*m2k))/'TCO Inputs'!$AZ$84</f>
        <v>59.60654884423586</v>
      </c>
      <c r="AX217" s="125">
        <f>AX105/293.07*(1/(VLOOKUP($AF217,'Fuel economy adjusted factor'!$A$2:$L$52,5,FALSE)*m2k))/'TCO Inputs'!$AZ$84</f>
        <v>59.60654884423586</v>
      </c>
      <c r="AY217" s="125">
        <f>AY105/293.07*(1/(VLOOKUP($AF217,'Fuel economy adjusted factor'!$A$2:$L$52,5,FALSE)*m2k))/'TCO Inputs'!$AZ$84</f>
        <v>59.60654884423586</v>
      </c>
      <c r="AZ217" s="125">
        <f>AZ105/293.07*(1/(VLOOKUP($AF217,'Fuel economy adjusted factor'!$A$2:$L$52,5,FALSE)*m2k))/'TCO Inputs'!$AZ$84</f>
        <v>59.60654884423586</v>
      </c>
      <c r="BA217" s="125">
        <f>BA105/293.07*(1/(VLOOKUP($AF217,'Fuel economy adjusted factor'!$A$2:$L$52,5,FALSE)*m2k))/'TCO Inputs'!$AZ$84</f>
        <v>59.60654884423586</v>
      </c>
      <c r="BB217" s="125">
        <f>BB105/293.07*(1/(VLOOKUP($AF217,'Fuel economy adjusted factor'!$A$2:$L$52,5,FALSE)*m2k))/'TCO Inputs'!$AZ$84</f>
        <v>59.60654884423586</v>
      </c>
      <c r="BC217" s="125">
        <f>BC105/293.07*(1/(VLOOKUP($AF217,'Fuel economy adjusted factor'!$A$2:$L$52,5,FALSE)*m2k))/'TCO Inputs'!$AZ$84</f>
        <v>59.60654884423586</v>
      </c>
      <c r="BD217" s="125">
        <f>BD105/293.07*(1/(VLOOKUP($AF217,'Fuel economy adjusted factor'!$A$2:$L$52,5,FALSE)*m2k))/'TCO Inputs'!$AZ$84</f>
        <v>59.60654884423586</v>
      </c>
      <c r="BE217" s="125">
        <f>BE105/293.07*(1/(VLOOKUP($AF217,'Fuel economy adjusted factor'!$A$2:$L$52,5,FALSE)*m2k))/'TCO Inputs'!$AZ$84</f>
        <v>59.60654884423586</v>
      </c>
      <c r="BF217" s="125">
        <f>BF105/293.07*(1/(VLOOKUP($AF217,'Fuel economy adjusted factor'!$A$2:$L$52,5,FALSE)*m2k))/'TCO Inputs'!$AZ$84</f>
        <v>59.60654884423586</v>
      </c>
      <c r="BG217" s="125">
        <f>BG105/293.07*(1/(VLOOKUP($AF217,'Fuel economy adjusted factor'!$A$2:$L$52,5,FALSE)*m2k))/'TCO Inputs'!$AZ$84</f>
        <v>59.60654884423586</v>
      </c>
      <c r="BH217" s="125">
        <f>BH105/293.07*(1/(VLOOKUP($AF217,'Fuel economy adjusted factor'!$A$2:$L$52,5,FALSE)*m2k))/'TCO Inputs'!$AZ$84</f>
        <v>59.60654884423586</v>
      </c>
      <c r="BI217" s="98" cm="1">
        <f t="array" ref="BI217">SUMPRODUCT(INDEX(AG217:BH217,,'TCO Inputs'!$AZ$12-2023+_xlfn.SEQUENCE('TCO Inputs'!$AZ$13))*INDEX('VKT US'!C109:AA109,,_xlfn.SEQUENCE('TCO Inputs'!$AZ$13)))*m2k*CONVERT(0.9072,"g","ton")</f>
        <v>13.796754299282647</v>
      </c>
    </row>
    <row r="218" spans="1:61" x14ac:dyDescent="0.25">
      <c r="A218" s="123" t="s">
        <v>159</v>
      </c>
      <c r="B218" s="125">
        <f>B106/293.07*(1/(VLOOKUP($A218,'Fuel economy adjusted factor'!$A$2:$L$52,5,FALSE)*m2k))/'TCO Inputs'!$AZ$84</f>
        <v>341.65187631110643</v>
      </c>
      <c r="C218" s="125">
        <f>C106/293.07*(1/(VLOOKUP($A218,'Fuel economy adjusted factor'!$A$2:$L$52,5,FALSE)*m2k))/'TCO Inputs'!$AZ$84</f>
        <v>341.65187631110643</v>
      </c>
      <c r="D218" s="125">
        <f>D106/293.07*(1/(VLOOKUP($A218,'Fuel economy adjusted factor'!$A$2:$L$52,5,FALSE)*m2k))/'TCO Inputs'!$AZ$84</f>
        <v>341.65187631110643</v>
      </c>
      <c r="E218" s="125">
        <f>E106/293.07*(1/(VLOOKUP($A218,'Fuel economy adjusted factor'!$A$2:$L$52,5,FALSE)*m2k))/'TCO Inputs'!$AZ$84</f>
        <v>341.65187631110643</v>
      </c>
      <c r="F218" s="125">
        <f>F106/293.07*(1/(VLOOKUP($A218,'Fuel economy adjusted factor'!$A$2:$L$52,5,FALSE)*m2k))/'TCO Inputs'!$AZ$84</f>
        <v>341.65187631110643</v>
      </c>
      <c r="G218" s="125">
        <f>G106/293.07*(1/(VLOOKUP($A218,'Fuel economy adjusted factor'!$A$2:$L$52,5,FALSE)*m2k))/'TCO Inputs'!$AZ$84</f>
        <v>341.65187631110643</v>
      </c>
      <c r="H218" s="125">
        <f>H106/293.07*(1/(VLOOKUP($A218,'Fuel economy adjusted factor'!$A$2:$L$52,5,FALSE)*m2k))/'TCO Inputs'!$AZ$84</f>
        <v>341.65187631110643</v>
      </c>
      <c r="I218" s="125">
        <f>I106/293.07*(1/(VLOOKUP($A218,'Fuel economy adjusted factor'!$A$2:$L$52,5,FALSE)*m2k))/'TCO Inputs'!$AZ$84</f>
        <v>341.65187631110643</v>
      </c>
      <c r="J218" s="125">
        <f>J106/293.07*(1/(VLOOKUP($A218,'Fuel economy adjusted factor'!$A$2:$L$52,5,FALSE)*m2k))/'TCO Inputs'!$AZ$84</f>
        <v>341.65187631110643</v>
      </c>
      <c r="K218" s="125">
        <f>K106/293.07*(1/(VLOOKUP($A218,'Fuel economy adjusted factor'!$A$2:$L$52,5,FALSE)*m2k))/'TCO Inputs'!$AZ$84</f>
        <v>341.65187631110643</v>
      </c>
      <c r="L218" s="125">
        <f>L106/293.07*(1/(VLOOKUP($A218,'Fuel economy adjusted factor'!$A$2:$L$52,5,FALSE)*m2k))/'TCO Inputs'!$AZ$84</f>
        <v>341.65187631110643</v>
      </c>
      <c r="M218" s="125">
        <f>M106/293.07*(1/(VLOOKUP($A218,'Fuel economy adjusted factor'!$A$2:$L$52,5,FALSE)*m2k))/'TCO Inputs'!$AZ$84</f>
        <v>341.65187631110643</v>
      </c>
      <c r="N218" s="125">
        <f>N106/293.07*(1/(VLOOKUP($A218,'Fuel economy adjusted factor'!$A$2:$L$52,5,FALSE)*m2k))/'TCO Inputs'!$AZ$84</f>
        <v>341.65187631110643</v>
      </c>
      <c r="O218" s="125">
        <f>O106/293.07*(1/(VLOOKUP($A218,'Fuel economy adjusted factor'!$A$2:$L$52,5,FALSE)*m2k))/'TCO Inputs'!$AZ$84</f>
        <v>341.65187631110643</v>
      </c>
      <c r="P218" s="125">
        <f>P106/293.07*(1/(VLOOKUP($A218,'Fuel economy adjusted factor'!$A$2:$L$52,5,FALSE)*m2k))/'TCO Inputs'!$AZ$84</f>
        <v>341.65187631110643</v>
      </c>
      <c r="Q218" s="125">
        <f>Q106/293.07*(1/(VLOOKUP($A218,'Fuel economy adjusted factor'!$A$2:$L$52,5,FALSE)*m2k))/'TCO Inputs'!$AZ$84</f>
        <v>341.65187631110643</v>
      </c>
      <c r="R218" s="125">
        <f>R106/293.07*(1/(VLOOKUP($A218,'Fuel economy adjusted factor'!$A$2:$L$52,5,FALSE)*m2k))/'TCO Inputs'!$AZ$84</f>
        <v>341.65187631110643</v>
      </c>
      <c r="S218" s="125">
        <f>S106/293.07*(1/(VLOOKUP($A218,'Fuel economy adjusted factor'!$A$2:$L$52,5,FALSE)*m2k))/'TCO Inputs'!$AZ$84</f>
        <v>341.65187631110643</v>
      </c>
      <c r="T218" s="125">
        <f>T106/293.07*(1/(VLOOKUP($A218,'Fuel economy adjusted factor'!$A$2:$L$52,5,FALSE)*m2k))/'TCO Inputs'!$AZ$84</f>
        <v>341.65187631110643</v>
      </c>
      <c r="U218" s="125">
        <f>U106/293.07*(1/(VLOOKUP($A218,'Fuel economy adjusted factor'!$A$2:$L$52,5,FALSE)*m2k))/'TCO Inputs'!$AZ$84</f>
        <v>341.65187631110643</v>
      </c>
      <c r="V218" s="125">
        <f>V106/293.07*(1/(VLOOKUP($A218,'Fuel economy adjusted factor'!$A$2:$L$52,5,FALSE)*m2k))/'TCO Inputs'!$AZ$84</f>
        <v>341.65187631110643</v>
      </c>
      <c r="W218" s="125">
        <f>W106/293.07*(1/(VLOOKUP($A218,'Fuel economy adjusted factor'!$A$2:$L$52,5,FALSE)*m2k))/'TCO Inputs'!$AZ$84</f>
        <v>341.65187631110643</v>
      </c>
      <c r="X218" s="125">
        <f>X106/293.07*(1/(VLOOKUP($A218,'Fuel economy adjusted factor'!$A$2:$L$52,5,FALSE)*m2k))/'TCO Inputs'!$AZ$84</f>
        <v>341.65187631110643</v>
      </c>
      <c r="Y218" s="125">
        <f>Y106/293.07*(1/(VLOOKUP($A218,'Fuel economy adjusted factor'!$A$2:$L$52,5,FALSE)*m2k))/'TCO Inputs'!$AZ$84</f>
        <v>341.65187631110643</v>
      </c>
      <c r="Z218" s="125">
        <f>Z106/293.07*(1/(VLOOKUP($A218,'Fuel economy adjusted factor'!$A$2:$L$52,5,FALSE)*m2k))/'TCO Inputs'!$AZ$84</f>
        <v>341.65187631110643</v>
      </c>
      <c r="AA218" s="125">
        <f>AA106/293.07*(1/(VLOOKUP($A218,'Fuel economy adjusted factor'!$A$2:$L$52,5,FALSE)*m2k))/'TCO Inputs'!$AZ$84</f>
        <v>341.65187631110643</v>
      </c>
      <c r="AB218" s="125">
        <f>AB106/293.07*(1/(VLOOKUP($A218,'Fuel economy adjusted factor'!$A$2:$L$52,5,FALSE)*m2k))/'TCO Inputs'!$AZ$84</f>
        <v>341.65187631110643</v>
      </c>
      <c r="AC218" s="125">
        <f>AC106/293.07*(1/(VLOOKUP($A218,'Fuel economy adjusted factor'!$A$2:$L$52,5,FALSE)*m2k))/'TCO Inputs'!$AZ$84</f>
        <v>341.65187631110643</v>
      </c>
      <c r="AD218" s="98" cm="1">
        <f t="array" ref="AD218">SUMPRODUCT(INDEX(B218:AC218,,'TCO Inputs'!$AZ$12-2023+_xlfn.SEQUENCE('TCO Inputs'!$AZ$13))*INDEX('VKT US'!C110:AA110,,_xlfn.SEQUENCE('TCO Inputs'!$AZ$13)))*m2k*CONVERT(0.9072,"g","ton")</f>
        <v>121.88824499766694</v>
      </c>
      <c r="AF218" s="123" t="s">
        <v>159</v>
      </c>
      <c r="AG218" s="125">
        <f>AG106/293.07*(1/(VLOOKUP($AF218,'Fuel economy adjusted factor'!$A$2:$L$52,5,FALSE)*m2k))/'TCO Inputs'!$AZ$84</f>
        <v>395.7833398255114</v>
      </c>
      <c r="AH218" s="125">
        <f>AH106/293.07*(1/(VLOOKUP($AF218,'Fuel economy adjusted factor'!$A$2:$L$52,5,FALSE)*m2k))/'TCO Inputs'!$AZ$84</f>
        <v>395.7833398255114</v>
      </c>
      <c r="AI218" s="125">
        <f>AI106/293.07*(1/(VLOOKUP($AF218,'Fuel economy adjusted factor'!$A$2:$L$52,5,FALSE)*m2k))/'TCO Inputs'!$AZ$84</f>
        <v>395.7833398255114</v>
      </c>
      <c r="AJ218" s="125">
        <f>AJ106/293.07*(1/(VLOOKUP($AF218,'Fuel economy adjusted factor'!$A$2:$L$52,5,FALSE)*m2k))/'TCO Inputs'!$AZ$84</f>
        <v>395.7833398255114</v>
      </c>
      <c r="AK218" s="125">
        <f>AK106/293.07*(1/(VLOOKUP($AF218,'Fuel economy adjusted factor'!$A$2:$L$52,5,FALSE)*m2k))/'TCO Inputs'!$AZ$84</f>
        <v>395.7833398255114</v>
      </c>
      <c r="AL218" s="125">
        <f>AL106/293.07*(1/(VLOOKUP($AF218,'Fuel economy adjusted factor'!$A$2:$L$52,5,FALSE)*m2k))/'TCO Inputs'!$AZ$84</f>
        <v>395.7833398255114</v>
      </c>
      <c r="AM218" s="125">
        <f>AM106/293.07*(1/(VLOOKUP($AF218,'Fuel economy adjusted factor'!$A$2:$L$52,5,FALSE)*m2k))/'TCO Inputs'!$AZ$84</f>
        <v>395.7833398255114</v>
      </c>
      <c r="AN218" s="125">
        <f>AN106/293.07*(1/(VLOOKUP($AF218,'Fuel economy adjusted factor'!$A$2:$L$52,5,FALSE)*m2k))/'TCO Inputs'!$AZ$84</f>
        <v>395.7833398255114</v>
      </c>
      <c r="AO218" s="125">
        <f>AO106/293.07*(1/(VLOOKUP($AF218,'Fuel economy adjusted factor'!$A$2:$L$52,5,FALSE)*m2k))/'TCO Inputs'!$AZ$84</f>
        <v>395.7833398255114</v>
      </c>
      <c r="AP218" s="125">
        <f>AP106/293.07*(1/(VLOOKUP($AF218,'Fuel economy adjusted factor'!$A$2:$L$52,5,FALSE)*m2k))/'TCO Inputs'!$AZ$84</f>
        <v>395.7833398255114</v>
      </c>
      <c r="AQ218" s="125">
        <f>AQ106/293.07*(1/(VLOOKUP($AF218,'Fuel economy adjusted factor'!$A$2:$L$52,5,FALSE)*m2k))/'TCO Inputs'!$AZ$84</f>
        <v>395.7833398255114</v>
      </c>
      <c r="AR218" s="125">
        <f>AR106/293.07*(1/(VLOOKUP($AF218,'Fuel economy adjusted factor'!$A$2:$L$52,5,FALSE)*m2k))/'TCO Inputs'!$AZ$84</f>
        <v>395.7833398255114</v>
      </c>
      <c r="AS218" s="125">
        <f>AS106/293.07*(1/(VLOOKUP($AF218,'Fuel economy adjusted factor'!$A$2:$L$52,5,FALSE)*m2k))/'TCO Inputs'!$AZ$84</f>
        <v>395.7833398255114</v>
      </c>
      <c r="AT218" s="125">
        <f>AT106/293.07*(1/(VLOOKUP($AF218,'Fuel economy adjusted factor'!$A$2:$L$52,5,FALSE)*m2k))/'TCO Inputs'!$AZ$84</f>
        <v>395.7833398255114</v>
      </c>
      <c r="AU218" s="125">
        <f>AU106/293.07*(1/(VLOOKUP($AF218,'Fuel economy adjusted factor'!$A$2:$L$52,5,FALSE)*m2k))/'TCO Inputs'!$AZ$84</f>
        <v>395.7833398255114</v>
      </c>
      <c r="AV218" s="125">
        <f>AV106/293.07*(1/(VLOOKUP($AF218,'Fuel economy adjusted factor'!$A$2:$L$52,5,FALSE)*m2k))/'TCO Inputs'!$AZ$84</f>
        <v>395.7833398255114</v>
      </c>
      <c r="AW218" s="125">
        <f>AW106/293.07*(1/(VLOOKUP($AF218,'Fuel economy adjusted factor'!$A$2:$L$52,5,FALSE)*m2k))/'TCO Inputs'!$AZ$84</f>
        <v>395.7833398255114</v>
      </c>
      <c r="AX218" s="125">
        <f>AX106/293.07*(1/(VLOOKUP($AF218,'Fuel economy adjusted factor'!$A$2:$L$52,5,FALSE)*m2k))/'TCO Inputs'!$AZ$84</f>
        <v>395.7833398255114</v>
      </c>
      <c r="AY218" s="125">
        <f>AY106/293.07*(1/(VLOOKUP($AF218,'Fuel economy adjusted factor'!$A$2:$L$52,5,FALSE)*m2k))/'TCO Inputs'!$AZ$84</f>
        <v>395.7833398255114</v>
      </c>
      <c r="AZ218" s="125">
        <f>AZ106/293.07*(1/(VLOOKUP($AF218,'Fuel economy adjusted factor'!$A$2:$L$52,5,FALSE)*m2k))/'TCO Inputs'!$AZ$84</f>
        <v>395.7833398255114</v>
      </c>
      <c r="BA218" s="125">
        <f>BA106/293.07*(1/(VLOOKUP($AF218,'Fuel economy adjusted factor'!$A$2:$L$52,5,FALSE)*m2k))/'TCO Inputs'!$AZ$84</f>
        <v>395.7833398255114</v>
      </c>
      <c r="BB218" s="125">
        <f>BB106/293.07*(1/(VLOOKUP($AF218,'Fuel economy adjusted factor'!$A$2:$L$52,5,FALSE)*m2k))/'TCO Inputs'!$AZ$84</f>
        <v>395.7833398255114</v>
      </c>
      <c r="BC218" s="125">
        <f>BC106/293.07*(1/(VLOOKUP($AF218,'Fuel economy adjusted factor'!$A$2:$L$52,5,FALSE)*m2k))/'TCO Inputs'!$AZ$84</f>
        <v>395.7833398255114</v>
      </c>
      <c r="BD218" s="125">
        <f>BD106/293.07*(1/(VLOOKUP($AF218,'Fuel economy adjusted factor'!$A$2:$L$52,5,FALSE)*m2k))/'TCO Inputs'!$AZ$84</f>
        <v>395.7833398255114</v>
      </c>
      <c r="BE218" s="125">
        <f>BE106/293.07*(1/(VLOOKUP($AF218,'Fuel economy adjusted factor'!$A$2:$L$52,5,FALSE)*m2k))/'TCO Inputs'!$AZ$84</f>
        <v>395.7833398255114</v>
      </c>
      <c r="BF218" s="125">
        <f>BF106/293.07*(1/(VLOOKUP($AF218,'Fuel economy adjusted factor'!$A$2:$L$52,5,FALSE)*m2k))/'TCO Inputs'!$AZ$84</f>
        <v>395.7833398255114</v>
      </c>
      <c r="BG218" s="125">
        <f>BG106/293.07*(1/(VLOOKUP($AF218,'Fuel economy adjusted factor'!$A$2:$L$52,5,FALSE)*m2k))/'TCO Inputs'!$AZ$84</f>
        <v>395.7833398255114</v>
      </c>
      <c r="BH218" s="125">
        <f>BH106/293.07*(1/(VLOOKUP($AF218,'Fuel economy adjusted factor'!$A$2:$L$52,5,FALSE)*m2k))/'TCO Inputs'!$AZ$84</f>
        <v>395.7833398255114</v>
      </c>
      <c r="BI218" s="98" cm="1">
        <f t="array" ref="BI218">SUMPRODUCT(INDEX(AG218:BH218,,'TCO Inputs'!$AZ$12-2023+_xlfn.SEQUENCE('TCO Inputs'!$AZ$13))*INDEX('VKT US'!C110:AA110,,_xlfn.SEQUENCE('TCO Inputs'!$AZ$13)))*m2k*CONVERT(0.9072,"g","ton")</f>
        <v>141.20026856436314</v>
      </c>
    </row>
    <row r="219" spans="1:61" x14ac:dyDescent="0.25">
      <c r="A219" s="123" t="s">
        <v>158</v>
      </c>
      <c r="B219" s="125">
        <f>B107/293.07*(1/(VLOOKUP($A219,'Fuel economy adjusted factor'!$A$2:$L$52,5,FALSE)*m2k))/'TCO Inputs'!$AZ$84</f>
        <v>221.77629773501812</v>
      </c>
      <c r="C219" s="125">
        <f>C107/293.07*(1/(VLOOKUP($A219,'Fuel economy adjusted factor'!$A$2:$L$52,5,FALSE)*m2k))/'TCO Inputs'!$AZ$84</f>
        <v>221.77629773501812</v>
      </c>
      <c r="D219" s="125">
        <f>D107/293.07*(1/(VLOOKUP($A219,'Fuel economy adjusted factor'!$A$2:$L$52,5,FALSE)*m2k))/'TCO Inputs'!$AZ$84</f>
        <v>221.77629773501812</v>
      </c>
      <c r="E219" s="125">
        <f>E107/293.07*(1/(VLOOKUP($A219,'Fuel economy adjusted factor'!$A$2:$L$52,5,FALSE)*m2k))/'TCO Inputs'!$AZ$84</f>
        <v>221.77629773501812</v>
      </c>
      <c r="F219" s="125">
        <f>F107/293.07*(1/(VLOOKUP($A219,'Fuel economy adjusted factor'!$A$2:$L$52,5,FALSE)*m2k))/'TCO Inputs'!$AZ$84</f>
        <v>221.77629773501812</v>
      </c>
      <c r="G219" s="125">
        <f>G107/293.07*(1/(VLOOKUP($A219,'Fuel economy adjusted factor'!$A$2:$L$52,5,FALSE)*m2k))/'TCO Inputs'!$AZ$84</f>
        <v>221.77629773501812</v>
      </c>
      <c r="H219" s="125">
        <f>H107/293.07*(1/(VLOOKUP($A219,'Fuel economy adjusted factor'!$A$2:$L$52,5,FALSE)*m2k))/'TCO Inputs'!$AZ$84</f>
        <v>221.77629773501812</v>
      </c>
      <c r="I219" s="125">
        <f>I107/293.07*(1/(VLOOKUP($A219,'Fuel economy adjusted factor'!$A$2:$L$52,5,FALSE)*m2k))/'TCO Inputs'!$AZ$84</f>
        <v>221.77629773501812</v>
      </c>
      <c r="J219" s="125">
        <f>J107/293.07*(1/(VLOOKUP($A219,'Fuel economy adjusted factor'!$A$2:$L$52,5,FALSE)*m2k))/'TCO Inputs'!$AZ$84</f>
        <v>221.77629773501812</v>
      </c>
      <c r="K219" s="125">
        <f>K107/293.07*(1/(VLOOKUP($A219,'Fuel economy adjusted factor'!$A$2:$L$52,5,FALSE)*m2k))/'TCO Inputs'!$AZ$84</f>
        <v>221.77629773501812</v>
      </c>
      <c r="L219" s="125">
        <f>L107/293.07*(1/(VLOOKUP($A219,'Fuel economy adjusted factor'!$A$2:$L$52,5,FALSE)*m2k))/'TCO Inputs'!$AZ$84</f>
        <v>221.77629773501812</v>
      </c>
      <c r="M219" s="125">
        <f>M107/293.07*(1/(VLOOKUP($A219,'Fuel economy adjusted factor'!$A$2:$L$52,5,FALSE)*m2k))/'TCO Inputs'!$AZ$84</f>
        <v>221.77629773501812</v>
      </c>
      <c r="N219" s="125">
        <f>N107/293.07*(1/(VLOOKUP($A219,'Fuel economy adjusted factor'!$A$2:$L$52,5,FALSE)*m2k))/'TCO Inputs'!$AZ$84</f>
        <v>221.77629773501812</v>
      </c>
      <c r="O219" s="125">
        <f>O107/293.07*(1/(VLOOKUP($A219,'Fuel economy adjusted factor'!$A$2:$L$52,5,FALSE)*m2k))/'TCO Inputs'!$AZ$84</f>
        <v>221.77629773501812</v>
      </c>
      <c r="P219" s="125">
        <f>P107/293.07*(1/(VLOOKUP($A219,'Fuel economy adjusted factor'!$A$2:$L$52,5,FALSE)*m2k))/'TCO Inputs'!$AZ$84</f>
        <v>221.77629773501812</v>
      </c>
      <c r="Q219" s="125">
        <f>Q107/293.07*(1/(VLOOKUP($A219,'Fuel economy adjusted factor'!$A$2:$L$52,5,FALSE)*m2k))/'TCO Inputs'!$AZ$84</f>
        <v>221.77629773501812</v>
      </c>
      <c r="R219" s="125">
        <f>R107/293.07*(1/(VLOOKUP($A219,'Fuel economy adjusted factor'!$A$2:$L$52,5,FALSE)*m2k))/'TCO Inputs'!$AZ$84</f>
        <v>221.77629773501812</v>
      </c>
      <c r="S219" s="125">
        <f>S107/293.07*(1/(VLOOKUP($A219,'Fuel economy adjusted factor'!$A$2:$L$52,5,FALSE)*m2k))/'TCO Inputs'!$AZ$84</f>
        <v>221.77629773501812</v>
      </c>
      <c r="T219" s="125">
        <f>T107/293.07*(1/(VLOOKUP($A219,'Fuel economy adjusted factor'!$A$2:$L$52,5,FALSE)*m2k))/'TCO Inputs'!$AZ$84</f>
        <v>221.77629773501812</v>
      </c>
      <c r="U219" s="125">
        <f>U107/293.07*(1/(VLOOKUP($A219,'Fuel economy adjusted factor'!$A$2:$L$52,5,FALSE)*m2k))/'TCO Inputs'!$AZ$84</f>
        <v>221.77629773501812</v>
      </c>
      <c r="V219" s="125">
        <f>V107/293.07*(1/(VLOOKUP($A219,'Fuel economy adjusted factor'!$A$2:$L$52,5,FALSE)*m2k))/'TCO Inputs'!$AZ$84</f>
        <v>221.77629773501812</v>
      </c>
      <c r="W219" s="125">
        <f>W107/293.07*(1/(VLOOKUP($A219,'Fuel economy adjusted factor'!$A$2:$L$52,5,FALSE)*m2k))/'TCO Inputs'!$AZ$84</f>
        <v>221.77629773501812</v>
      </c>
      <c r="X219" s="125">
        <f>X107/293.07*(1/(VLOOKUP($A219,'Fuel economy adjusted factor'!$A$2:$L$52,5,FALSE)*m2k))/'TCO Inputs'!$AZ$84</f>
        <v>221.77629773501812</v>
      </c>
      <c r="Y219" s="125">
        <f>Y107/293.07*(1/(VLOOKUP($A219,'Fuel economy adjusted factor'!$A$2:$L$52,5,FALSE)*m2k))/'TCO Inputs'!$AZ$84</f>
        <v>221.77629773501812</v>
      </c>
      <c r="Z219" s="125">
        <f>Z107/293.07*(1/(VLOOKUP($A219,'Fuel economy adjusted factor'!$A$2:$L$52,5,FALSE)*m2k))/'TCO Inputs'!$AZ$84</f>
        <v>221.77629773501812</v>
      </c>
      <c r="AA219" s="125">
        <f>AA107/293.07*(1/(VLOOKUP($A219,'Fuel economy adjusted factor'!$A$2:$L$52,5,FALSE)*m2k))/'TCO Inputs'!$AZ$84</f>
        <v>221.77629773501812</v>
      </c>
      <c r="AB219" s="125">
        <f>AB107/293.07*(1/(VLOOKUP($A219,'Fuel economy adjusted factor'!$A$2:$L$52,5,FALSE)*m2k))/'TCO Inputs'!$AZ$84</f>
        <v>221.77629773501812</v>
      </c>
      <c r="AC219" s="125">
        <f>AC107/293.07*(1/(VLOOKUP($A219,'Fuel economy adjusted factor'!$A$2:$L$52,5,FALSE)*m2k))/'TCO Inputs'!$AZ$84</f>
        <v>221.77629773501812</v>
      </c>
      <c r="AD219" s="98" cm="1">
        <f t="array" ref="AD219">SUMPRODUCT(INDEX(B219:AC219,,'TCO Inputs'!$AZ$12-2023+_xlfn.SEQUENCE('TCO Inputs'!$AZ$13))*INDEX('VKT US'!C111:AA111,,_xlfn.SEQUENCE('TCO Inputs'!$AZ$13)))*m2k*CONVERT(0.9072,"g","ton")</f>
        <v>72.398100929572408</v>
      </c>
      <c r="AF219" s="123" t="s">
        <v>158</v>
      </c>
      <c r="AG219" s="125">
        <f>AG107/293.07*(1/(VLOOKUP($AF219,'Fuel economy adjusted factor'!$A$2:$L$52,5,FALSE)*m2k))/'TCO Inputs'!$AZ$84</f>
        <v>256.91462537666467</v>
      </c>
      <c r="AH219" s="125">
        <f>AH107/293.07*(1/(VLOOKUP($AF219,'Fuel economy adjusted factor'!$A$2:$L$52,5,FALSE)*m2k))/'TCO Inputs'!$AZ$84</f>
        <v>256.91462537666467</v>
      </c>
      <c r="AI219" s="125">
        <f>AI107/293.07*(1/(VLOOKUP($AF219,'Fuel economy adjusted factor'!$A$2:$L$52,5,FALSE)*m2k))/'TCO Inputs'!$AZ$84</f>
        <v>256.91462537666467</v>
      </c>
      <c r="AJ219" s="125">
        <f>AJ107/293.07*(1/(VLOOKUP($AF219,'Fuel economy adjusted factor'!$A$2:$L$52,5,FALSE)*m2k))/'TCO Inputs'!$AZ$84</f>
        <v>256.91462537666467</v>
      </c>
      <c r="AK219" s="125">
        <f>AK107/293.07*(1/(VLOOKUP($AF219,'Fuel economy adjusted factor'!$A$2:$L$52,5,FALSE)*m2k))/'TCO Inputs'!$AZ$84</f>
        <v>256.91462537666467</v>
      </c>
      <c r="AL219" s="125">
        <f>AL107/293.07*(1/(VLOOKUP($AF219,'Fuel economy adjusted factor'!$A$2:$L$52,5,FALSE)*m2k))/'TCO Inputs'!$AZ$84</f>
        <v>256.91462537666467</v>
      </c>
      <c r="AM219" s="125">
        <f>AM107/293.07*(1/(VLOOKUP($AF219,'Fuel economy adjusted factor'!$A$2:$L$52,5,FALSE)*m2k))/'TCO Inputs'!$AZ$84</f>
        <v>256.91462537666467</v>
      </c>
      <c r="AN219" s="125">
        <f>AN107/293.07*(1/(VLOOKUP($AF219,'Fuel economy adjusted factor'!$A$2:$L$52,5,FALSE)*m2k))/'TCO Inputs'!$AZ$84</f>
        <v>256.91462537666467</v>
      </c>
      <c r="AO219" s="125">
        <f>AO107/293.07*(1/(VLOOKUP($AF219,'Fuel economy adjusted factor'!$A$2:$L$52,5,FALSE)*m2k))/'TCO Inputs'!$AZ$84</f>
        <v>256.91462537666467</v>
      </c>
      <c r="AP219" s="125">
        <f>AP107/293.07*(1/(VLOOKUP($AF219,'Fuel economy adjusted factor'!$A$2:$L$52,5,FALSE)*m2k))/'TCO Inputs'!$AZ$84</f>
        <v>256.91462537666467</v>
      </c>
      <c r="AQ219" s="125">
        <f>AQ107/293.07*(1/(VLOOKUP($AF219,'Fuel economy adjusted factor'!$A$2:$L$52,5,FALSE)*m2k))/'TCO Inputs'!$AZ$84</f>
        <v>256.91462537666467</v>
      </c>
      <c r="AR219" s="125">
        <f>AR107/293.07*(1/(VLOOKUP($AF219,'Fuel economy adjusted factor'!$A$2:$L$52,5,FALSE)*m2k))/'TCO Inputs'!$AZ$84</f>
        <v>256.91462537666467</v>
      </c>
      <c r="AS219" s="125">
        <f>AS107/293.07*(1/(VLOOKUP($AF219,'Fuel economy adjusted factor'!$A$2:$L$52,5,FALSE)*m2k))/'TCO Inputs'!$AZ$84</f>
        <v>256.91462537666467</v>
      </c>
      <c r="AT219" s="125">
        <f>AT107/293.07*(1/(VLOOKUP($AF219,'Fuel economy adjusted factor'!$A$2:$L$52,5,FALSE)*m2k))/'TCO Inputs'!$AZ$84</f>
        <v>256.91462537666467</v>
      </c>
      <c r="AU219" s="125">
        <f>AU107/293.07*(1/(VLOOKUP($AF219,'Fuel economy adjusted factor'!$A$2:$L$52,5,FALSE)*m2k))/'TCO Inputs'!$AZ$84</f>
        <v>256.91462537666467</v>
      </c>
      <c r="AV219" s="125">
        <f>AV107/293.07*(1/(VLOOKUP($AF219,'Fuel economy adjusted factor'!$A$2:$L$52,5,FALSE)*m2k))/'TCO Inputs'!$AZ$84</f>
        <v>256.91462537666467</v>
      </c>
      <c r="AW219" s="125">
        <f>AW107/293.07*(1/(VLOOKUP($AF219,'Fuel economy adjusted factor'!$A$2:$L$52,5,FALSE)*m2k))/'TCO Inputs'!$AZ$84</f>
        <v>256.91462537666467</v>
      </c>
      <c r="AX219" s="125">
        <f>AX107/293.07*(1/(VLOOKUP($AF219,'Fuel economy adjusted factor'!$A$2:$L$52,5,FALSE)*m2k))/'TCO Inputs'!$AZ$84</f>
        <v>256.91462537666467</v>
      </c>
      <c r="AY219" s="125">
        <f>AY107/293.07*(1/(VLOOKUP($AF219,'Fuel economy adjusted factor'!$A$2:$L$52,5,FALSE)*m2k))/'TCO Inputs'!$AZ$84</f>
        <v>256.91462537666467</v>
      </c>
      <c r="AZ219" s="125">
        <f>AZ107/293.07*(1/(VLOOKUP($AF219,'Fuel economy adjusted factor'!$A$2:$L$52,5,FALSE)*m2k))/'TCO Inputs'!$AZ$84</f>
        <v>256.91462537666467</v>
      </c>
      <c r="BA219" s="125">
        <f>BA107/293.07*(1/(VLOOKUP($AF219,'Fuel economy adjusted factor'!$A$2:$L$52,5,FALSE)*m2k))/'TCO Inputs'!$AZ$84</f>
        <v>256.91462537666467</v>
      </c>
      <c r="BB219" s="125">
        <f>BB107/293.07*(1/(VLOOKUP($AF219,'Fuel economy adjusted factor'!$A$2:$L$52,5,FALSE)*m2k))/'TCO Inputs'!$AZ$84</f>
        <v>256.91462537666467</v>
      </c>
      <c r="BC219" s="125">
        <f>BC107/293.07*(1/(VLOOKUP($AF219,'Fuel economy adjusted factor'!$A$2:$L$52,5,FALSE)*m2k))/'TCO Inputs'!$AZ$84</f>
        <v>256.91462537666467</v>
      </c>
      <c r="BD219" s="125">
        <f>BD107/293.07*(1/(VLOOKUP($AF219,'Fuel economy adjusted factor'!$A$2:$L$52,5,FALSE)*m2k))/'TCO Inputs'!$AZ$84</f>
        <v>256.91462537666467</v>
      </c>
      <c r="BE219" s="125">
        <f>BE107/293.07*(1/(VLOOKUP($AF219,'Fuel economy adjusted factor'!$A$2:$L$52,5,FALSE)*m2k))/'TCO Inputs'!$AZ$84</f>
        <v>256.91462537666467</v>
      </c>
      <c r="BF219" s="125">
        <f>BF107/293.07*(1/(VLOOKUP($AF219,'Fuel economy adjusted factor'!$A$2:$L$52,5,FALSE)*m2k))/'TCO Inputs'!$AZ$84</f>
        <v>256.91462537666467</v>
      </c>
      <c r="BG219" s="125">
        <f>BG107/293.07*(1/(VLOOKUP($AF219,'Fuel economy adjusted factor'!$A$2:$L$52,5,FALSE)*m2k))/'TCO Inputs'!$AZ$84</f>
        <v>256.91462537666467</v>
      </c>
      <c r="BH219" s="125">
        <f>BH107/293.07*(1/(VLOOKUP($AF219,'Fuel economy adjusted factor'!$A$2:$L$52,5,FALSE)*m2k))/'TCO Inputs'!$AZ$84</f>
        <v>256.91462537666467</v>
      </c>
      <c r="BI219" s="98" cm="1">
        <f t="array" ref="BI219">SUMPRODUCT(INDEX(AG219:BH219,,'TCO Inputs'!$AZ$12-2023+_xlfn.SEQUENCE('TCO Inputs'!$AZ$13))*INDEX('VKT US'!C111:AA111,,_xlfn.SEQUENCE('TCO Inputs'!$AZ$13)))*m2k*CONVERT(0.9072,"g","ton")</f>
        <v>83.868885756794384</v>
      </c>
    </row>
    <row r="220" spans="1:61" x14ac:dyDescent="0.25">
      <c r="A220" s="123" t="s">
        <v>160</v>
      </c>
      <c r="B220" s="125">
        <f>B108/293.07*(1/(VLOOKUP($A220,'Fuel economy adjusted factor'!$A$2:$L$52,5,FALSE)*m2k))/'TCO Inputs'!$AZ$84</f>
        <v>312.92071962180972</v>
      </c>
      <c r="C220" s="125">
        <f>C108/293.07*(1/(VLOOKUP($A220,'Fuel economy adjusted factor'!$A$2:$L$52,5,FALSE)*m2k))/'TCO Inputs'!$AZ$84</f>
        <v>312.92071962180972</v>
      </c>
      <c r="D220" s="125">
        <f>D108/293.07*(1/(VLOOKUP($A220,'Fuel economy adjusted factor'!$A$2:$L$52,5,FALSE)*m2k))/'TCO Inputs'!$AZ$84</f>
        <v>312.92071962180972</v>
      </c>
      <c r="E220" s="125">
        <f>E108/293.07*(1/(VLOOKUP($A220,'Fuel economy adjusted factor'!$A$2:$L$52,5,FALSE)*m2k))/'TCO Inputs'!$AZ$84</f>
        <v>312.92071962180972</v>
      </c>
      <c r="F220" s="125">
        <f>F108/293.07*(1/(VLOOKUP($A220,'Fuel economy adjusted factor'!$A$2:$L$52,5,FALSE)*m2k))/'TCO Inputs'!$AZ$84</f>
        <v>312.92071962180972</v>
      </c>
      <c r="G220" s="125">
        <f>G108/293.07*(1/(VLOOKUP($A220,'Fuel economy adjusted factor'!$A$2:$L$52,5,FALSE)*m2k))/'TCO Inputs'!$AZ$84</f>
        <v>312.92071962180972</v>
      </c>
      <c r="H220" s="125">
        <f>H108/293.07*(1/(VLOOKUP($A220,'Fuel economy adjusted factor'!$A$2:$L$52,5,FALSE)*m2k))/'TCO Inputs'!$AZ$84</f>
        <v>312.92071962180972</v>
      </c>
      <c r="I220" s="125">
        <f>I108/293.07*(1/(VLOOKUP($A220,'Fuel economy adjusted factor'!$A$2:$L$52,5,FALSE)*m2k))/'TCO Inputs'!$AZ$84</f>
        <v>312.92071962180972</v>
      </c>
      <c r="J220" s="125">
        <f>J108/293.07*(1/(VLOOKUP($A220,'Fuel economy adjusted factor'!$A$2:$L$52,5,FALSE)*m2k))/'TCO Inputs'!$AZ$84</f>
        <v>312.92071962180972</v>
      </c>
      <c r="K220" s="125">
        <f>K108/293.07*(1/(VLOOKUP($A220,'Fuel economy adjusted factor'!$A$2:$L$52,5,FALSE)*m2k))/'TCO Inputs'!$AZ$84</f>
        <v>312.92071962180972</v>
      </c>
      <c r="L220" s="125">
        <f>L108/293.07*(1/(VLOOKUP($A220,'Fuel economy adjusted factor'!$A$2:$L$52,5,FALSE)*m2k))/'TCO Inputs'!$AZ$84</f>
        <v>312.92071962180972</v>
      </c>
      <c r="M220" s="125">
        <f>M108/293.07*(1/(VLOOKUP($A220,'Fuel economy adjusted factor'!$A$2:$L$52,5,FALSE)*m2k))/'TCO Inputs'!$AZ$84</f>
        <v>312.92071962180972</v>
      </c>
      <c r="N220" s="125">
        <f>N108/293.07*(1/(VLOOKUP($A220,'Fuel economy adjusted factor'!$A$2:$L$52,5,FALSE)*m2k))/'TCO Inputs'!$AZ$84</f>
        <v>312.92071962180972</v>
      </c>
      <c r="O220" s="125">
        <f>O108/293.07*(1/(VLOOKUP($A220,'Fuel economy adjusted factor'!$A$2:$L$52,5,FALSE)*m2k))/'TCO Inputs'!$AZ$84</f>
        <v>312.92071962180972</v>
      </c>
      <c r="P220" s="125">
        <f>P108/293.07*(1/(VLOOKUP($A220,'Fuel economy adjusted factor'!$A$2:$L$52,5,FALSE)*m2k))/'TCO Inputs'!$AZ$84</f>
        <v>312.92071962180972</v>
      </c>
      <c r="Q220" s="125">
        <f>Q108/293.07*(1/(VLOOKUP($A220,'Fuel economy adjusted factor'!$A$2:$L$52,5,FALSE)*m2k))/'TCO Inputs'!$AZ$84</f>
        <v>312.92071962180972</v>
      </c>
      <c r="R220" s="125">
        <f>R108/293.07*(1/(VLOOKUP($A220,'Fuel economy adjusted factor'!$A$2:$L$52,5,FALSE)*m2k))/'TCO Inputs'!$AZ$84</f>
        <v>312.92071962180972</v>
      </c>
      <c r="S220" s="125">
        <f>S108/293.07*(1/(VLOOKUP($A220,'Fuel economy adjusted factor'!$A$2:$L$52,5,FALSE)*m2k))/'TCO Inputs'!$AZ$84</f>
        <v>312.92071962180972</v>
      </c>
      <c r="T220" s="125">
        <f>T108/293.07*(1/(VLOOKUP($A220,'Fuel economy adjusted factor'!$A$2:$L$52,5,FALSE)*m2k))/'TCO Inputs'!$AZ$84</f>
        <v>312.92071962180972</v>
      </c>
      <c r="U220" s="125">
        <f>U108/293.07*(1/(VLOOKUP($A220,'Fuel economy adjusted factor'!$A$2:$L$52,5,FALSE)*m2k))/'TCO Inputs'!$AZ$84</f>
        <v>312.92071962180972</v>
      </c>
      <c r="V220" s="125">
        <f>V108/293.07*(1/(VLOOKUP($A220,'Fuel economy adjusted factor'!$A$2:$L$52,5,FALSE)*m2k))/'TCO Inputs'!$AZ$84</f>
        <v>312.92071962180972</v>
      </c>
      <c r="W220" s="125">
        <f>W108/293.07*(1/(VLOOKUP($A220,'Fuel economy adjusted factor'!$A$2:$L$52,5,FALSE)*m2k))/'TCO Inputs'!$AZ$84</f>
        <v>312.92071962180972</v>
      </c>
      <c r="X220" s="125">
        <f>X108/293.07*(1/(VLOOKUP($A220,'Fuel economy adjusted factor'!$A$2:$L$52,5,FALSE)*m2k))/'TCO Inputs'!$AZ$84</f>
        <v>312.92071962180972</v>
      </c>
      <c r="Y220" s="125">
        <f>Y108/293.07*(1/(VLOOKUP($A220,'Fuel economy adjusted factor'!$A$2:$L$52,5,FALSE)*m2k))/'TCO Inputs'!$AZ$84</f>
        <v>312.92071962180972</v>
      </c>
      <c r="Z220" s="125">
        <f>Z108/293.07*(1/(VLOOKUP($A220,'Fuel economy adjusted factor'!$A$2:$L$52,5,FALSE)*m2k))/'TCO Inputs'!$AZ$84</f>
        <v>312.92071962180972</v>
      </c>
      <c r="AA220" s="125">
        <f>AA108/293.07*(1/(VLOOKUP($A220,'Fuel economy adjusted factor'!$A$2:$L$52,5,FALSE)*m2k))/'TCO Inputs'!$AZ$84</f>
        <v>312.92071962180972</v>
      </c>
      <c r="AB220" s="125">
        <f>AB108/293.07*(1/(VLOOKUP($A220,'Fuel economy adjusted factor'!$A$2:$L$52,5,FALSE)*m2k))/'TCO Inputs'!$AZ$84</f>
        <v>312.92071962180972</v>
      </c>
      <c r="AC220" s="125">
        <f>AC108/293.07*(1/(VLOOKUP($A220,'Fuel economy adjusted factor'!$A$2:$L$52,5,FALSE)*m2k))/'TCO Inputs'!$AZ$84</f>
        <v>312.92071962180972</v>
      </c>
      <c r="AD220" s="98" cm="1">
        <f t="array" ref="AD220">SUMPRODUCT(INDEX(B220:AC220,,'TCO Inputs'!$AZ$12-2023+_xlfn.SEQUENCE('TCO Inputs'!$AZ$13))*INDEX('VKT US'!C112:AA112,,_xlfn.SEQUENCE('TCO Inputs'!$AZ$13)))*m2k*CONVERT(0.9072,"g","ton")</f>
        <v>159.22118957296888</v>
      </c>
      <c r="AF220" s="123" t="s">
        <v>160</v>
      </c>
      <c r="AG220" s="125">
        <f>AG108/293.07*(1/(VLOOKUP($AF220,'Fuel economy adjusted factor'!$A$2:$L$52,5,FALSE)*m2k))/'TCO Inputs'!$AZ$84</f>
        <v>362.50000687760377</v>
      </c>
      <c r="AH220" s="125">
        <f>AH108/293.07*(1/(VLOOKUP($AF220,'Fuel economy adjusted factor'!$A$2:$L$52,5,FALSE)*m2k))/'TCO Inputs'!$AZ$84</f>
        <v>362.50000687760377</v>
      </c>
      <c r="AI220" s="125">
        <f>AI108/293.07*(1/(VLOOKUP($AF220,'Fuel economy adjusted factor'!$A$2:$L$52,5,FALSE)*m2k))/'TCO Inputs'!$AZ$84</f>
        <v>362.50000687760377</v>
      </c>
      <c r="AJ220" s="125">
        <f>AJ108/293.07*(1/(VLOOKUP($AF220,'Fuel economy adjusted factor'!$A$2:$L$52,5,FALSE)*m2k))/'TCO Inputs'!$AZ$84</f>
        <v>362.50000687760377</v>
      </c>
      <c r="AK220" s="125">
        <f>AK108/293.07*(1/(VLOOKUP($AF220,'Fuel economy adjusted factor'!$A$2:$L$52,5,FALSE)*m2k))/'TCO Inputs'!$AZ$84</f>
        <v>362.50000687760377</v>
      </c>
      <c r="AL220" s="125">
        <f>AL108/293.07*(1/(VLOOKUP($AF220,'Fuel economy adjusted factor'!$A$2:$L$52,5,FALSE)*m2k))/'TCO Inputs'!$AZ$84</f>
        <v>362.50000687760377</v>
      </c>
      <c r="AM220" s="125">
        <f>AM108/293.07*(1/(VLOOKUP($AF220,'Fuel economy adjusted factor'!$A$2:$L$52,5,FALSE)*m2k))/'TCO Inputs'!$AZ$84</f>
        <v>362.50000687760377</v>
      </c>
      <c r="AN220" s="125">
        <f>AN108/293.07*(1/(VLOOKUP($AF220,'Fuel economy adjusted factor'!$A$2:$L$52,5,FALSE)*m2k))/'TCO Inputs'!$AZ$84</f>
        <v>362.50000687760377</v>
      </c>
      <c r="AO220" s="125">
        <f>AO108/293.07*(1/(VLOOKUP($AF220,'Fuel economy adjusted factor'!$A$2:$L$52,5,FALSE)*m2k))/'TCO Inputs'!$AZ$84</f>
        <v>362.50000687760377</v>
      </c>
      <c r="AP220" s="125">
        <f>AP108/293.07*(1/(VLOOKUP($AF220,'Fuel economy adjusted factor'!$A$2:$L$52,5,FALSE)*m2k))/'TCO Inputs'!$AZ$84</f>
        <v>362.50000687760377</v>
      </c>
      <c r="AQ220" s="125">
        <f>AQ108/293.07*(1/(VLOOKUP($AF220,'Fuel economy adjusted factor'!$A$2:$L$52,5,FALSE)*m2k))/'TCO Inputs'!$AZ$84</f>
        <v>362.50000687760377</v>
      </c>
      <c r="AR220" s="125">
        <f>AR108/293.07*(1/(VLOOKUP($AF220,'Fuel economy adjusted factor'!$A$2:$L$52,5,FALSE)*m2k))/'TCO Inputs'!$AZ$84</f>
        <v>362.50000687760377</v>
      </c>
      <c r="AS220" s="125">
        <f>AS108/293.07*(1/(VLOOKUP($AF220,'Fuel economy adjusted factor'!$A$2:$L$52,5,FALSE)*m2k))/'TCO Inputs'!$AZ$84</f>
        <v>362.50000687760377</v>
      </c>
      <c r="AT220" s="125">
        <f>AT108/293.07*(1/(VLOOKUP($AF220,'Fuel economy adjusted factor'!$A$2:$L$52,5,FALSE)*m2k))/'TCO Inputs'!$AZ$84</f>
        <v>362.50000687760377</v>
      </c>
      <c r="AU220" s="125">
        <f>AU108/293.07*(1/(VLOOKUP($AF220,'Fuel economy adjusted factor'!$A$2:$L$52,5,FALSE)*m2k))/'TCO Inputs'!$AZ$84</f>
        <v>362.50000687760377</v>
      </c>
      <c r="AV220" s="125">
        <f>AV108/293.07*(1/(VLOOKUP($AF220,'Fuel economy adjusted factor'!$A$2:$L$52,5,FALSE)*m2k))/'TCO Inputs'!$AZ$84</f>
        <v>362.50000687760377</v>
      </c>
      <c r="AW220" s="125">
        <f>AW108/293.07*(1/(VLOOKUP($AF220,'Fuel economy adjusted factor'!$A$2:$L$52,5,FALSE)*m2k))/'TCO Inputs'!$AZ$84</f>
        <v>362.50000687760377</v>
      </c>
      <c r="AX220" s="125">
        <f>AX108/293.07*(1/(VLOOKUP($AF220,'Fuel economy adjusted factor'!$A$2:$L$52,5,FALSE)*m2k))/'TCO Inputs'!$AZ$84</f>
        <v>362.50000687760377</v>
      </c>
      <c r="AY220" s="125">
        <f>AY108/293.07*(1/(VLOOKUP($AF220,'Fuel economy adjusted factor'!$A$2:$L$52,5,FALSE)*m2k))/'TCO Inputs'!$AZ$84</f>
        <v>362.50000687760377</v>
      </c>
      <c r="AZ220" s="125">
        <f>AZ108/293.07*(1/(VLOOKUP($AF220,'Fuel economy adjusted factor'!$A$2:$L$52,5,FALSE)*m2k))/'TCO Inputs'!$AZ$84</f>
        <v>362.50000687760377</v>
      </c>
      <c r="BA220" s="125">
        <f>BA108/293.07*(1/(VLOOKUP($AF220,'Fuel economy adjusted factor'!$A$2:$L$52,5,FALSE)*m2k))/'TCO Inputs'!$AZ$84</f>
        <v>362.50000687760377</v>
      </c>
      <c r="BB220" s="125">
        <f>BB108/293.07*(1/(VLOOKUP($AF220,'Fuel economy adjusted factor'!$A$2:$L$52,5,FALSE)*m2k))/'TCO Inputs'!$AZ$84</f>
        <v>362.50000687760377</v>
      </c>
      <c r="BC220" s="125">
        <f>BC108/293.07*(1/(VLOOKUP($AF220,'Fuel economy adjusted factor'!$A$2:$L$52,5,FALSE)*m2k))/'TCO Inputs'!$AZ$84</f>
        <v>362.50000687760377</v>
      </c>
      <c r="BD220" s="125">
        <f>BD108/293.07*(1/(VLOOKUP($AF220,'Fuel economy adjusted factor'!$A$2:$L$52,5,FALSE)*m2k))/'TCO Inputs'!$AZ$84</f>
        <v>362.50000687760377</v>
      </c>
      <c r="BE220" s="125">
        <f>BE108/293.07*(1/(VLOOKUP($AF220,'Fuel economy adjusted factor'!$A$2:$L$52,5,FALSE)*m2k))/'TCO Inputs'!$AZ$84</f>
        <v>362.50000687760377</v>
      </c>
      <c r="BF220" s="125">
        <f>BF108/293.07*(1/(VLOOKUP($AF220,'Fuel economy adjusted factor'!$A$2:$L$52,5,FALSE)*m2k))/'TCO Inputs'!$AZ$84</f>
        <v>362.50000687760377</v>
      </c>
      <c r="BG220" s="125">
        <f>BG108/293.07*(1/(VLOOKUP($AF220,'Fuel economy adjusted factor'!$A$2:$L$52,5,FALSE)*m2k))/'TCO Inputs'!$AZ$84</f>
        <v>362.50000687760377</v>
      </c>
      <c r="BH220" s="125">
        <f>BH108/293.07*(1/(VLOOKUP($AF220,'Fuel economy adjusted factor'!$A$2:$L$52,5,FALSE)*m2k))/'TCO Inputs'!$AZ$84</f>
        <v>362.50000687760377</v>
      </c>
      <c r="BI220" s="98" cm="1">
        <f t="array" ref="BI220">SUMPRODUCT(INDEX(AG220:BH220,,'TCO Inputs'!$AZ$12-2023+_xlfn.SEQUENCE('TCO Inputs'!$AZ$13))*INDEX('VKT US'!C112:AA112,,_xlfn.SEQUENCE('TCO Inputs'!$AZ$13)))*m2k*CONVERT(0.9072,"g","ton")</f>
        <v>184.44826020155526</v>
      </c>
    </row>
    <row r="221" spans="1:61" x14ac:dyDescent="0.25">
      <c r="A221" s="124" t="s">
        <v>134</v>
      </c>
      <c r="B221" s="125">
        <f>B109/293.07*(1/(VLOOKUP($A221,'Fuel economy adjusted factor'!$A$2:$L$52,5,FALSE)*m2k))/'TCO Inputs'!$AZ$84</f>
        <v>153.21143738142604</v>
      </c>
      <c r="C221" s="125">
        <f>C109/293.07*(1/(VLOOKUP($A221,'Fuel economy adjusted factor'!$A$2:$L$52,5,FALSE)*m2k))/'TCO Inputs'!$AZ$84</f>
        <v>153.21143738142604</v>
      </c>
      <c r="D221" s="125">
        <f>D109/293.07*(1/(VLOOKUP($A221,'Fuel economy adjusted factor'!$A$2:$L$52,5,FALSE)*m2k))/'TCO Inputs'!$AZ$84</f>
        <v>153.21143738142604</v>
      </c>
      <c r="E221" s="125">
        <f>E109/293.07*(1/(VLOOKUP($A221,'Fuel economy adjusted factor'!$A$2:$L$52,5,FALSE)*m2k))/'TCO Inputs'!$AZ$84</f>
        <v>153.21143738142604</v>
      </c>
      <c r="F221" s="125">
        <f>F109/293.07*(1/(VLOOKUP($A221,'Fuel economy adjusted factor'!$A$2:$L$52,5,FALSE)*m2k))/'TCO Inputs'!$AZ$84</f>
        <v>153.21143738142604</v>
      </c>
      <c r="G221" s="125">
        <f>G109/293.07*(1/(VLOOKUP($A221,'Fuel economy adjusted factor'!$A$2:$L$52,5,FALSE)*m2k))/'TCO Inputs'!$AZ$84</f>
        <v>153.21143738142604</v>
      </c>
      <c r="H221" s="125">
        <f>H109/293.07*(1/(VLOOKUP($A221,'Fuel economy adjusted factor'!$A$2:$L$52,5,FALSE)*m2k))/'TCO Inputs'!$AZ$84</f>
        <v>153.21143738142604</v>
      </c>
      <c r="I221" s="125">
        <f>I109/293.07*(1/(VLOOKUP($A221,'Fuel economy adjusted factor'!$A$2:$L$52,5,FALSE)*m2k))/'TCO Inputs'!$AZ$84</f>
        <v>153.21143738142604</v>
      </c>
      <c r="J221" s="125">
        <f>J109/293.07*(1/(VLOOKUP($A221,'Fuel economy adjusted factor'!$A$2:$L$52,5,FALSE)*m2k))/'TCO Inputs'!$AZ$84</f>
        <v>153.21143738142604</v>
      </c>
      <c r="K221" s="125">
        <f>K109/293.07*(1/(VLOOKUP($A221,'Fuel economy adjusted factor'!$A$2:$L$52,5,FALSE)*m2k))/'TCO Inputs'!$AZ$84</f>
        <v>153.21143738142604</v>
      </c>
      <c r="L221" s="125">
        <f>L109/293.07*(1/(VLOOKUP($A221,'Fuel economy adjusted factor'!$A$2:$L$52,5,FALSE)*m2k))/'TCO Inputs'!$AZ$84</f>
        <v>153.21143738142604</v>
      </c>
      <c r="M221" s="125">
        <f>M109/293.07*(1/(VLOOKUP($A221,'Fuel economy adjusted factor'!$A$2:$L$52,5,FALSE)*m2k))/'TCO Inputs'!$AZ$84</f>
        <v>153.21143738142604</v>
      </c>
      <c r="N221" s="125">
        <f>N109/293.07*(1/(VLOOKUP($A221,'Fuel economy adjusted factor'!$A$2:$L$52,5,FALSE)*m2k))/'TCO Inputs'!$AZ$84</f>
        <v>153.21143738142604</v>
      </c>
      <c r="O221" s="125">
        <f>O109/293.07*(1/(VLOOKUP($A221,'Fuel economy adjusted factor'!$A$2:$L$52,5,FALSE)*m2k))/'TCO Inputs'!$AZ$84</f>
        <v>153.21143738142604</v>
      </c>
      <c r="P221" s="125">
        <f>P109/293.07*(1/(VLOOKUP($A221,'Fuel economy adjusted factor'!$A$2:$L$52,5,FALSE)*m2k))/'TCO Inputs'!$AZ$84</f>
        <v>153.21143738142604</v>
      </c>
      <c r="Q221" s="125">
        <f>Q109/293.07*(1/(VLOOKUP($A221,'Fuel economy adjusted factor'!$A$2:$L$52,5,FALSE)*m2k))/'TCO Inputs'!$AZ$84</f>
        <v>153.21143738142604</v>
      </c>
      <c r="R221" s="125">
        <f>R109/293.07*(1/(VLOOKUP($A221,'Fuel economy adjusted factor'!$A$2:$L$52,5,FALSE)*m2k))/'TCO Inputs'!$AZ$84</f>
        <v>153.21143738142604</v>
      </c>
      <c r="S221" s="125">
        <f>S109/293.07*(1/(VLOOKUP($A221,'Fuel economy adjusted factor'!$A$2:$L$52,5,FALSE)*m2k))/'TCO Inputs'!$AZ$84</f>
        <v>153.21143738142604</v>
      </c>
      <c r="T221" s="125">
        <f>T109/293.07*(1/(VLOOKUP($A221,'Fuel economy adjusted factor'!$A$2:$L$52,5,FALSE)*m2k))/'TCO Inputs'!$AZ$84</f>
        <v>153.21143738142604</v>
      </c>
      <c r="U221" s="125">
        <f>U109/293.07*(1/(VLOOKUP($A221,'Fuel economy adjusted factor'!$A$2:$L$52,5,FALSE)*m2k))/'TCO Inputs'!$AZ$84</f>
        <v>153.21143738142604</v>
      </c>
      <c r="V221" s="125">
        <f>V109/293.07*(1/(VLOOKUP($A221,'Fuel economy adjusted factor'!$A$2:$L$52,5,FALSE)*m2k))/'TCO Inputs'!$AZ$84</f>
        <v>153.21143738142604</v>
      </c>
      <c r="W221" s="125">
        <f>W109/293.07*(1/(VLOOKUP($A221,'Fuel economy adjusted factor'!$A$2:$L$52,5,FALSE)*m2k))/'TCO Inputs'!$AZ$84</f>
        <v>153.21143738142604</v>
      </c>
      <c r="X221" s="125">
        <f>X109/293.07*(1/(VLOOKUP($A221,'Fuel economy adjusted factor'!$A$2:$L$52,5,FALSE)*m2k))/'TCO Inputs'!$AZ$84</f>
        <v>153.21143738142604</v>
      </c>
      <c r="Y221" s="125">
        <f>Y109/293.07*(1/(VLOOKUP($A221,'Fuel economy adjusted factor'!$A$2:$L$52,5,FALSE)*m2k))/'TCO Inputs'!$AZ$84</f>
        <v>153.21143738142604</v>
      </c>
      <c r="Z221" s="125">
        <f>Z109/293.07*(1/(VLOOKUP($A221,'Fuel economy adjusted factor'!$A$2:$L$52,5,FALSE)*m2k))/'TCO Inputs'!$AZ$84</f>
        <v>153.21143738142604</v>
      </c>
      <c r="AA221" s="125">
        <f>AA109/293.07*(1/(VLOOKUP($A221,'Fuel economy adjusted factor'!$A$2:$L$52,5,FALSE)*m2k))/'TCO Inputs'!$AZ$84</f>
        <v>153.21143738142604</v>
      </c>
      <c r="AB221" s="125">
        <f>AB109/293.07*(1/(VLOOKUP($A221,'Fuel economy adjusted factor'!$A$2:$L$52,5,FALSE)*m2k))/'TCO Inputs'!$AZ$84</f>
        <v>153.21143738142604</v>
      </c>
      <c r="AC221" s="125">
        <f>AC109/293.07*(1/(VLOOKUP($A221,'Fuel economy adjusted factor'!$A$2:$L$52,5,FALSE)*m2k))/'TCO Inputs'!$AZ$84</f>
        <v>153.21143738142604</v>
      </c>
      <c r="AD221" s="98" cm="1">
        <f t="array" ref="AD221">SUMPRODUCT(INDEX(B221:AC221,,'TCO Inputs'!$AZ$12-2023+_xlfn.SEQUENCE('TCO Inputs'!$AZ$13))*INDEX('VKT US'!C113:AA113,,_xlfn.SEQUENCE('TCO Inputs'!$AZ$13)))*m2k*CONVERT(0.9072,"g","ton")</f>
        <v>46.188778536087035</v>
      </c>
      <c r="AF221" s="124" t="s">
        <v>134</v>
      </c>
      <c r="AG221" s="125">
        <f>AG109/293.07*(1/(VLOOKUP($AF221,'Fuel economy adjusted factor'!$A$2:$L$52,5,FALSE)*m2k))/'TCO Inputs'!$AZ$84</f>
        <v>177.48632040606989</v>
      </c>
      <c r="AH221" s="125">
        <f>AH109/293.07*(1/(VLOOKUP($AF221,'Fuel economy adjusted factor'!$A$2:$L$52,5,FALSE)*m2k))/'TCO Inputs'!$AZ$84</f>
        <v>177.48632040606989</v>
      </c>
      <c r="AI221" s="125">
        <f>AI109/293.07*(1/(VLOOKUP($AF221,'Fuel economy adjusted factor'!$A$2:$L$52,5,FALSE)*m2k))/'TCO Inputs'!$AZ$84</f>
        <v>177.48632040606989</v>
      </c>
      <c r="AJ221" s="125">
        <f>AJ109/293.07*(1/(VLOOKUP($AF221,'Fuel economy adjusted factor'!$A$2:$L$52,5,FALSE)*m2k))/'TCO Inputs'!$AZ$84</f>
        <v>177.48632040606989</v>
      </c>
      <c r="AK221" s="125">
        <f>AK109/293.07*(1/(VLOOKUP($AF221,'Fuel economy adjusted factor'!$A$2:$L$52,5,FALSE)*m2k))/'TCO Inputs'!$AZ$84</f>
        <v>177.48632040606989</v>
      </c>
      <c r="AL221" s="125">
        <f>AL109/293.07*(1/(VLOOKUP($AF221,'Fuel economy adjusted factor'!$A$2:$L$52,5,FALSE)*m2k))/'TCO Inputs'!$AZ$84</f>
        <v>177.48632040606989</v>
      </c>
      <c r="AM221" s="125">
        <f>AM109/293.07*(1/(VLOOKUP($AF221,'Fuel economy adjusted factor'!$A$2:$L$52,5,FALSE)*m2k))/'TCO Inputs'!$AZ$84</f>
        <v>177.48632040606989</v>
      </c>
      <c r="AN221" s="125">
        <f>AN109/293.07*(1/(VLOOKUP($AF221,'Fuel economy adjusted factor'!$A$2:$L$52,5,FALSE)*m2k))/'TCO Inputs'!$AZ$84</f>
        <v>177.48632040606989</v>
      </c>
      <c r="AO221" s="125">
        <f>AO109/293.07*(1/(VLOOKUP($AF221,'Fuel economy adjusted factor'!$A$2:$L$52,5,FALSE)*m2k))/'TCO Inputs'!$AZ$84</f>
        <v>177.48632040606989</v>
      </c>
      <c r="AP221" s="125">
        <f>AP109/293.07*(1/(VLOOKUP($AF221,'Fuel economy adjusted factor'!$A$2:$L$52,5,FALSE)*m2k))/'TCO Inputs'!$AZ$84</f>
        <v>177.48632040606989</v>
      </c>
      <c r="AQ221" s="125">
        <f>AQ109/293.07*(1/(VLOOKUP($AF221,'Fuel economy adjusted factor'!$A$2:$L$52,5,FALSE)*m2k))/'TCO Inputs'!$AZ$84</f>
        <v>177.48632040606989</v>
      </c>
      <c r="AR221" s="125">
        <f>AR109/293.07*(1/(VLOOKUP($AF221,'Fuel economy adjusted factor'!$A$2:$L$52,5,FALSE)*m2k))/'TCO Inputs'!$AZ$84</f>
        <v>177.48632040606989</v>
      </c>
      <c r="AS221" s="125">
        <f>AS109/293.07*(1/(VLOOKUP($AF221,'Fuel economy adjusted factor'!$A$2:$L$52,5,FALSE)*m2k))/'TCO Inputs'!$AZ$84</f>
        <v>177.48632040606989</v>
      </c>
      <c r="AT221" s="125">
        <f>AT109/293.07*(1/(VLOOKUP($AF221,'Fuel economy adjusted factor'!$A$2:$L$52,5,FALSE)*m2k))/'TCO Inputs'!$AZ$84</f>
        <v>177.48632040606989</v>
      </c>
      <c r="AU221" s="125">
        <f>AU109/293.07*(1/(VLOOKUP($AF221,'Fuel economy adjusted factor'!$A$2:$L$52,5,FALSE)*m2k))/'TCO Inputs'!$AZ$84</f>
        <v>177.48632040606989</v>
      </c>
      <c r="AV221" s="125">
        <f>AV109/293.07*(1/(VLOOKUP($AF221,'Fuel economy adjusted factor'!$A$2:$L$52,5,FALSE)*m2k))/'TCO Inputs'!$AZ$84</f>
        <v>177.48632040606989</v>
      </c>
      <c r="AW221" s="125">
        <f>AW109/293.07*(1/(VLOOKUP($AF221,'Fuel economy adjusted factor'!$A$2:$L$52,5,FALSE)*m2k))/'TCO Inputs'!$AZ$84</f>
        <v>177.48632040606989</v>
      </c>
      <c r="AX221" s="125">
        <f>AX109/293.07*(1/(VLOOKUP($AF221,'Fuel economy adjusted factor'!$A$2:$L$52,5,FALSE)*m2k))/'TCO Inputs'!$AZ$84</f>
        <v>177.48632040606989</v>
      </c>
      <c r="AY221" s="125">
        <f>AY109/293.07*(1/(VLOOKUP($AF221,'Fuel economy adjusted factor'!$A$2:$L$52,5,FALSE)*m2k))/'TCO Inputs'!$AZ$84</f>
        <v>177.48632040606989</v>
      </c>
      <c r="AZ221" s="125">
        <f>AZ109/293.07*(1/(VLOOKUP($AF221,'Fuel economy adjusted factor'!$A$2:$L$52,5,FALSE)*m2k))/'TCO Inputs'!$AZ$84</f>
        <v>177.48632040606989</v>
      </c>
      <c r="BA221" s="125">
        <f>BA109/293.07*(1/(VLOOKUP($AF221,'Fuel economy adjusted factor'!$A$2:$L$52,5,FALSE)*m2k))/'TCO Inputs'!$AZ$84</f>
        <v>177.48632040606989</v>
      </c>
      <c r="BB221" s="125">
        <f>BB109/293.07*(1/(VLOOKUP($AF221,'Fuel economy adjusted factor'!$A$2:$L$52,5,FALSE)*m2k))/'TCO Inputs'!$AZ$84</f>
        <v>177.48632040606989</v>
      </c>
      <c r="BC221" s="125">
        <f>BC109/293.07*(1/(VLOOKUP($AF221,'Fuel economy adjusted factor'!$A$2:$L$52,5,FALSE)*m2k))/'TCO Inputs'!$AZ$84</f>
        <v>177.48632040606989</v>
      </c>
      <c r="BD221" s="125">
        <f>BD109/293.07*(1/(VLOOKUP($AF221,'Fuel economy adjusted factor'!$A$2:$L$52,5,FALSE)*m2k))/'TCO Inputs'!$AZ$84</f>
        <v>177.48632040606989</v>
      </c>
      <c r="BE221" s="125">
        <f>BE109/293.07*(1/(VLOOKUP($AF221,'Fuel economy adjusted factor'!$A$2:$L$52,5,FALSE)*m2k))/'TCO Inputs'!$AZ$84</f>
        <v>177.48632040606989</v>
      </c>
      <c r="BF221" s="125">
        <f>BF109/293.07*(1/(VLOOKUP($AF221,'Fuel economy adjusted factor'!$A$2:$L$52,5,FALSE)*m2k))/'TCO Inputs'!$AZ$84</f>
        <v>177.48632040606989</v>
      </c>
      <c r="BG221" s="125">
        <f>BG109/293.07*(1/(VLOOKUP($AF221,'Fuel economy adjusted factor'!$A$2:$L$52,5,FALSE)*m2k))/'TCO Inputs'!$AZ$84</f>
        <v>177.48632040606989</v>
      </c>
      <c r="BH221" s="125">
        <f>BH109/293.07*(1/(VLOOKUP($AF221,'Fuel economy adjusted factor'!$A$2:$L$52,5,FALSE)*m2k))/'TCO Inputs'!$AZ$84</f>
        <v>177.48632040606989</v>
      </c>
      <c r="BI221" s="98" cm="1">
        <f t="array" ref="BI221">SUMPRODUCT(INDEX(AG221:BH221,,'TCO Inputs'!$AZ$12-2023+_xlfn.SEQUENCE('TCO Inputs'!$AZ$13))*INDEX('VKT US'!C113:AA113,,_xlfn.SEQUENCE('TCO Inputs'!$AZ$13)))*m2k*CONVERT(0.9072,"g","ton")</f>
        <v>53.506947565618127</v>
      </c>
    </row>
  </sheetData>
  <mergeCells count="17">
    <mergeCell ref="A57:D57"/>
    <mergeCell ref="E57:L57"/>
    <mergeCell ref="AF57:AI57"/>
    <mergeCell ref="AJ57:AQ57"/>
    <mergeCell ref="A169:D169"/>
    <mergeCell ref="E169:L169"/>
    <mergeCell ref="AF169:AI169"/>
    <mergeCell ref="AJ169:AQ169"/>
    <mergeCell ref="A113:D113"/>
    <mergeCell ref="E113:L113"/>
    <mergeCell ref="AF113:AI113"/>
    <mergeCell ref="AJ113:AQ113"/>
    <mergeCell ref="BL113:BO113"/>
    <mergeCell ref="BP113:BW113"/>
    <mergeCell ref="E2:L2"/>
    <mergeCell ref="AJ2:AQ2"/>
    <mergeCell ref="BP2:BW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theme="8"/>
  </sheetPr>
  <dimension ref="A1:AH120"/>
  <sheetViews>
    <sheetView topLeftCell="B1" zoomScaleNormal="100" workbookViewId="0">
      <pane xSplit="4" ySplit="1" topLeftCell="F70" activePane="bottomRight" state="frozen"/>
      <selection activeCell="B1" sqref="B1"/>
      <selection pane="topRight" activeCell="F1" sqref="F1"/>
      <selection pane="bottomLeft" activeCell="B2" sqref="B2"/>
      <selection pane="bottomRight" activeCell="I64" sqref="I64:I114"/>
    </sheetView>
  </sheetViews>
  <sheetFormatPr defaultRowHeight="15" outlineLevelRow="1" x14ac:dyDescent="0.25"/>
  <cols>
    <col min="3" max="3" width="12" customWidth="1"/>
    <col min="4" max="4" width="26.7109375" customWidth="1"/>
    <col min="5" max="5" width="11.7109375" customWidth="1"/>
    <col min="6" max="6" width="22.5703125" customWidth="1"/>
    <col min="7" max="7" width="17.42578125" customWidth="1"/>
    <col min="8" max="8" width="19.5703125" customWidth="1"/>
    <col min="9" max="9" width="16.7109375" customWidth="1"/>
    <col min="10" max="10" width="17.7109375" customWidth="1"/>
    <col min="11" max="11" width="27.28515625" customWidth="1"/>
    <col min="12" max="12" width="17.5703125" customWidth="1"/>
    <col min="13" max="15" width="18.140625" customWidth="1"/>
    <col min="16" max="16" width="14.5703125" style="5" customWidth="1"/>
    <col min="17" max="17" width="15.140625" style="5" customWidth="1"/>
    <col min="18" max="18" width="13.140625" style="5" customWidth="1"/>
    <col min="19" max="19" width="13.42578125" customWidth="1"/>
    <col min="20" max="21" width="31.7109375" style="5" customWidth="1"/>
    <col min="22" max="22" width="28" style="2" bestFit="1" customWidth="1"/>
    <col min="23" max="25" width="28" style="2" customWidth="1"/>
    <col min="26" max="26" width="22.7109375" bestFit="1" customWidth="1"/>
    <col min="27" max="27" width="13" style="3" customWidth="1"/>
    <col min="28" max="28" width="33.7109375" style="3" customWidth="1"/>
    <col min="29" max="29" width="34.140625" customWidth="1"/>
    <col min="30" max="31" width="13.42578125" bestFit="1" customWidth="1"/>
    <col min="32" max="32" width="18.5703125" bestFit="1" customWidth="1"/>
    <col min="33" max="33" width="27.140625" bestFit="1" customWidth="1"/>
    <col min="36" max="36" width="20.140625" customWidth="1"/>
  </cols>
  <sheetData>
    <row r="1" spans="1:33" s="18" customFormat="1" ht="23.65" customHeight="1" x14ac:dyDescent="0.25">
      <c r="A1" s="16" t="s">
        <v>0</v>
      </c>
      <c r="B1" s="16" t="s">
        <v>1</v>
      </c>
      <c r="C1" s="16" t="s">
        <v>2</v>
      </c>
      <c r="D1" s="16" t="s">
        <v>3</v>
      </c>
      <c r="E1" s="16" t="s">
        <v>4</v>
      </c>
      <c r="F1" s="27" t="s">
        <v>139</v>
      </c>
      <c r="G1" s="27" t="s">
        <v>140</v>
      </c>
      <c r="H1" s="27" t="s">
        <v>141</v>
      </c>
      <c r="I1" s="27" t="s">
        <v>136</v>
      </c>
      <c r="J1" s="27" t="s">
        <v>137</v>
      </c>
      <c r="K1" s="27" t="s">
        <v>138</v>
      </c>
      <c r="L1" s="28" t="s">
        <v>246</v>
      </c>
      <c r="M1" s="28" t="s">
        <v>247</v>
      </c>
      <c r="N1" s="28" t="s">
        <v>531</v>
      </c>
      <c r="O1" s="28" t="s">
        <v>532</v>
      </c>
      <c r="P1" s="17" t="s">
        <v>5</v>
      </c>
      <c r="Q1" s="17" t="s">
        <v>6</v>
      </c>
      <c r="R1" s="17" t="s">
        <v>7</v>
      </c>
      <c r="S1" s="19" t="s">
        <v>248</v>
      </c>
      <c r="T1" s="30" t="s">
        <v>143</v>
      </c>
      <c r="U1" s="76" t="s">
        <v>384</v>
      </c>
      <c r="V1" s="30" t="s">
        <v>142</v>
      </c>
      <c r="W1" s="76" t="s">
        <v>385</v>
      </c>
      <c r="X1" s="30" t="s">
        <v>250</v>
      </c>
      <c r="Y1" s="76" t="s">
        <v>386</v>
      </c>
      <c r="Z1" s="18" t="s">
        <v>251</v>
      </c>
      <c r="AA1" s="18" t="s">
        <v>150</v>
      </c>
      <c r="AB1" s="18" t="s">
        <v>156</v>
      </c>
      <c r="AC1" s="29" t="s">
        <v>441</v>
      </c>
      <c r="AD1" s="18" t="s">
        <v>263</v>
      </c>
      <c r="AE1" s="18" t="s">
        <v>264</v>
      </c>
      <c r="AF1" s="18" t="s">
        <v>265</v>
      </c>
      <c r="AG1" s="29" t="s">
        <v>266</v>
      </c>
    </row>
    <row r="2" spans="1:33" outlineLevel="1" x14ac:dyDescent="0.25">
      <c r="A2" s="6" t="s">
        <v>8</v>
      </c>
      <c r="B2" s="6" t="s">
        <v>9</v>
      </c>
      <c r="C2" s="6" t="s">
        <v>9</v>
      </c>
      <c r="D2" s="6" t="s">
        <v>10</v>
      </c>
      <c r="E2" s="6" t="s">
        <v>11</v>
      </c>
      <c r="F2" s="7">
        <f t="shared" ref="F2:F33" si="0">56.81*1.3/m2k</f>
        <v>45.890240719798186</v>
      </c>
      <c r="G2" s="7">
        <f>41.48*1.3/m2k</f>
        <v>33.506903451104179</v>
      </c>
      <c r="H2" s="7">
        <f t="shared" ref="H2:H33" si="1">40.58*1.3/m2k</f>
        <v>32.779897349223901</v>
      </c>
      <c r="I2" s="6">
        <v>192</v>
      </c>
      <c r="J2" s="6">
        <v>150</v>
      </c>
      <c r="K2" s="6">
        <v>235</v>
      </c>
      <c r="L2" s="13"/>
      <c r="M2" s="13"/>
      <c r="N2" s="13"/>
      <c r="O2" s="13"/>
      <c r="P2" s="8">
        <f>R2+4861</f>
        <v>21661</v>
      </c>
      <c r="Q2" s="8">
        <f>R2+1666.7</f>
        <v>18466.7</v>
      </c>
      <c r="R2" s="8">
        <v>16800</v>
      </c>
      <c r="S2" s="13"/>
      <c r="T2" s="9">
        <f t="shared" ref="T2:T33" si="2">(P2-R2)/(((K2+H2)*AA2*14-(I2+F2)*AA2*14)*CONVERT(1,"g","ton"))</f>
        <v>800.23878799539079</v>
      </c>
      <c r="U2" s="68"/>
      <c r="V2" s="2">
        <f t="shared" ref="V2:V33" si="3">(Q2-R2)/(((K2+H2)*AA2*14-(J2+G2)*AA2*14)*CONVERT(1,"g","ton"))</f>
        <v>97.315925056703321</v>
      </c>
      <c r="Z2" s="10">
        <f t="shared" ref="Z2:Z33" si="4">(J2+G2)-(I2+F2)</f>
        <v>-54.383337268694021</v>
      </c>
      <c r="AA2" s="11">
        <v>13169</v>
      </c>
      <c r="AB2" s="11">
        <v>6910000</v>
      </c>
      <c r="AC2" s="10">
        <f t="shared" ref="AC2:AC33" si="5">AB2*AA2*Z2*0.000000000001*14</f>
        <v>-69.282689059861099</v>
      </c>
      <c r="AD2" s="25">
        <f t="shared" ref="AD2:AD33" si="6">T2-V2</f>
        <v>702.92286293868744</v>
      </c>
      <c r="AE2" s="25">
        <f>IF(AD2&lt;0,-AD2,AD2)</f>
        <v>702.92286293868744</v>
      </c>
      <c r="AF2" s="25">
        <f t="shared" ref="AF2:AF33" si="7">IF(T2&lt;0,ABS(T2-V2),T2-V2)</f>
        <v>702.92286293868744</v>
      </c>
      <c r="AG2" s="25">
        <f>IF(AF2&gt;$AF$4,$AF$4,AF2)</f>
        <v>702.92286293868744</v>
      </c>
    </row>
    <row r="3" spans="1:33" outlineLevel="1" x14ac:dyDescent="0.25">
      <c r="A3" s="6" t="s">
        <v>12</v>
      </c>
      <c r="B3" s="6" t="s">
        <v>13</v>
      </c>
      <c r="C3" s="6" t="s">
        <v>13</v>
      </c>
      <c r="D3" s="6" t="s">
        <v>14</v>
      </c>
      <c r="E3" s="6" t="s">
        <v>15</v>
      </c>
      <c r="F3" s="7">
        <f t="shared" si="0"/>
        <v>45.890240719798186</v>
      </c>
      <c r="G3" s="7">
        <f t="shared" ref="G3:G33" si="8">41.48*1.3/m2k</f>
        <v>33.506903451104179</v>
      </c>
      <c r="H3" s="7">
        <f t="shared" si="1"/>
        <v>32.779897349223901</v>
      </c>
      <c r="I3" s="6">
        <v>230</v>
      </c>
      <c r="J3" s="6">
        <v>150</v>
      </c>
      <c r="K3" s="6">
        <v>235</v>
      </c>
      <c r="L3" s="13"/>
      <c r="M3" s="13"/>
      <c r="N3" s="13"/>
      <c r="O3" s="13"/>
      <c r="P3" s="8">
        <f t="shared" ref="P3:P33" si="9">R3+4861</f>
        <v>21661</v>
      </c>
      <c r="Q3" s="8">
        <f t="shared" ref="Q3:Q33" si="10">R3+1666.7</f>
        <v>18466.7</v>
      </c>
      <c r="R3" s="8">
        <v>16800</v>
      </c>
      <c r="S3" s="13"/>
      <c r="T3" s="9">
        <f t="shared" si="2"/>
        <v>-2183.7363866245805</v>
      </c>
      <c r="U3" s="68"/>
      <c r="V3" s="2">
        <f t="shared" si="3"/>
        <v>72.058106104679524</v>
      </c>
      <c r="Z3" s="10">
        <f t="shared" si="4"/>
        <v>-92.383337268693992</v>
      </c>
      <c r="AA3" s="11">
        <v>17785</v>
      </c>
      <c r="AB3" s="11">
        <v>4110000</v>
      </c>
      <c r="AC3" s="10">
        <f t="shared" si="5"/>
        <v>-94.540386572247002</v>
      </c>
      <c r="AD3" s="25">
        <f t="shared" si="6"/>
        <v>-2255.7944927292601</v>
      </c>
      <c r="AE3" s="25">
        <f t="shared" ref="AE3:AE66" si="11">IF(AD3&lt;0,-AD3,AD3)</f>
        <v>2255.7944927292601</v>
      </c>
      <c r="AF3" s="25">
        <f t="shared" si="7"/>
        <v>2255.7944927292601</v>
      </c>
      <c r="AG3" s="25">
        <f t="shared" ref="AG3:AG66" si="12">IF(AF3&gt;$AF$4,$AF$4,AF3)</f>
        <v>1129.3381142442736</v>
      </c>
    </row>
    <row r="4" spans="1:33" outlineLevel="1" x14ac:dyDescent="0.25">
      <c r="A4" s="6" t="s">
        <v>16</v>
      </c>
      <c r="B4" s="6" t="s">
        <v>17</v>
      </c>
      <c r="C4" s="6" t="s">
        <v>17</v>
      </c>
      <c r="D4" s="6" t="s">
        <v>18</v>
      </c>
      <c r="E4" s="6" t="s">
        <v>19</v>
      </c>
      <c r="F4" s="7">
        <f t="shared" si="0"/>
        <v>45.890240719798186</v>
      </c>
      <c r="G4" s="7">
        <f t="shared" si="8"/>
        <v>33.506903451104179</v>
      </c>
      <c r="H4" s="7">
        <f t="shared" si="1"/>
        <v>32.779897349223901</v>
      </c>
      <c r="I4" s="6">
        <v>235</v>
      </c>
      <c r="J4" s="6">
        <v>150</v>
      </c>
      <c r="K4" s="6">
        <v>234</v>
      </c>
      <c r="L4" s="13"/>
      <c r="M4" s="13"/>
      <c r="N4" s="13"/>
      <c r="O4" s="13"/>
      <c r="P4" s="8">
        <f t="shared" si="9"/>
        <v>21661</v>
      </c>
      <c r="Q4" s="8">
        <f t="shared" si="10"/>
        <v>18466.7</v>
      </c>
      <c r="R4" s="8">
        <v>16800</v>
      </c>
      <c r="S4" s="13"/>
      <c r="T4" s="9">
        <f t="shared" si="2"/>
        <v>-1067.3279205360582</v>
      </c>
      <c r="U4" s="68"/>
      <c r="V4" s="2">
        <f t="shared" si="3"/>
        <v>62.010193708215382</v>
      </c>
      <c r="Z4" s="10">
        <f t="shared" si="4"/>
        <v>-97.383337268693992</v>
      </c>
      <c r="AA4" s="11">
        <v>20915</v>
      </c>
      <c r="AB4" s="11">
        <v>17150000</v>
      </c>
      <c r="AC4" s="10">
        <f t="shared" si="5"/>
        <v>-489.02907700383378</v>
      </c>
      <c r="AD4" s="25">
        <f t="shared" si="6"/>
        <v>-1129.3381142442736</v>
      </c>
      <c r="AE4" s="25">
        <f t="shared" si="11"/>
        <v>1129.3381142442736</v>
      </c>
      <c r="AF4" s="25">
        <f t="shared" si="7"/>
        <v>1129.3381142442736</v>
      </c>
      <c r="AG4" s="25">
        <f t="shared" si="12"/>
        <v>1129.3381142442736</v>
      </c>
    </row>
    <row r="5" spans="1:33" outlineLevel="1" x14ac:dyDescent="0.25">
      <c r="A5" s="6" t="s">
        <v>20</v>
      </c>
      <c r="B5" s="6" t="s">
        <v>21</v>
      </c>
      <c r="C5" s="6" t="s">
        <v>21</v>
      </c>
      <c r="D5" s="6" t="s">
        <v>22</v>
      </c>
      <c r="E5" s="6" t="s">
        <v>23</v>
      </c>
      <c r="F5" s="7">
        <f t="shared" si="0"/>
        <v>45.890240719798186</v>
      </c>
      <c r="G5" s="7">
        <f t="shared" si="8"/>
        <v>33.506903451104179</v>
      </c>
      <c r="H5" s="7">
        <f t="shared" si="1"/>
        <v>32.779897349223901</v>
      </c>
      <c r="I5" s="6">
        <v>243</v>
      </c>
      <c r="J5" s="6">
        <v>151</v>
      </c>
      <c r="K5" s="6">
        <v>235</v>
      </c>
      <c r="L5" s="13"/>
      <c r="M5" s="13"/>
      <c r="N5" s="13"/>
      <c r="O5" s="13"/>
      <c r="P5" s="8">
        <f t="shared" si="9"/>
        <v>21661</v>
      </c>
      <c r="Q5" s="8">
        <f t="shared" si="10"/>
        <v>18466.7</v>
      </c>
      <c r="R5" s="8">
        <v>16800</v>
      </c>
      <c r="S5" s="13"/>
      <c r="T5" s="9">
        <f t="shared" si="2"/>
        <v>-729.06299349401991</v>
      </c>
      <c r="U5" s="68"/>
      <c r="V5" s="2">
        <f t="shared" si="3"/>
        <v>63.370624519071853</v>
      </c>
      <c r="Z5" s="10">
        <f t="shared" si="4"/>
        <v>-104.38333726869399</v>
      </c>
      <c r="AA5" s="11">
        <v>20466</v>
      </c>
      <c r="AB5" s="11">
        <v>7960000</v>
      </c>
      <c r="AC5" s="10">
        <f t="shared" si="5"/>
        <v>-238.07031736749917</v>
      </c>
      <c r="AD5" s="25">
        <f t="shared" si="6"/>
        <v>-792.43361801309175</v>
      </c>
      <c r="AE5" s="25">
        <f t="shared" si="11"/>
        <v>792.43361801309175</v>
      </c>
      <c r="AF5" s="25">
        <f t="shared" si="7"/>
        <v>792.43361801309175</v>
      </c>
      <c r="AG5" s="25">
        <f t="shared" si="12"/>
        <v>792.43361801309175</v>
      </c>
    </row>
    <row r="6" spans="1:33" outlineLevel="1" x14ac:dyDescent="0.25">
      <c r="A6" s="6" t="s">
        <v>24</v>
      </c>
      <c r="B6" s="6" t="s">
        <v>25</v>
      </c>
      <c r="C6" s="6" t="s">
        <v>25</v>
      </c>
      <c r="D6" s="6" t="s">
        <v>26</v>
      </c>
      <c r="E6" s="6" t="s">
        <v>27</v>
      </c>
      <c r="F6" s="7">
        <f t="shared" si="0"/>
        <v>45.890240719798186</v>
      </c>
      <c r="G6" s="7">
        <f t="shared" si="8"/>
        <v>33.506903451104179</v>
      </c>
      <c r="H6" s="7">
        <f t="shared" si="1"/>
        <v>32.779897349223901</v>
      </c>
      <c r="I6" s="6">
        <v>293</v>
      </c>
      <c r="J6" s="6">
        <v>157</v>
      </c>
      <c r="K6" s="6">
        <v>240</v>
      </c>
      <c r="L6" s="13"/>
      <c r="M6" s="13"/>
      <c r="N6" s="13"/>
      <c r="O6" s="13"/>
      <c r="P6" s="8">
        <f t="shared" si="9"/>
        <v>21661</v>
      </c>
      <c r="Q6" s="8">
        <f t="shared" si="10"/>
        <v>18466.7</v>
      </c>
      <c r="R6" s="8">
        <v>16800</v>
      </c>
      <c r="S6" s="13"/>
      <c r="T6" s="9">
        <f t="shared" si="2"/>
        <v>-219.9710138493829</v>
      </c>
      <c r="U6" s="68"/>
      <c r="V6" s="2">
        <f t="shared" si="3"/>
        <v>60.605129309085903</v>
      </c>
      <c r="Z6" s="10">
        <f t="shared" si="4"/>
        <v>-148.38333726869399</v>
      </c>
      <c r="AA6" s="11">
        <v>21660</v>
      </c>
      <c r="AB6" s="11">
        <v>6600000</v>
      </c>
      <c r="AC6" s="10">
        <f t="shared" si="5"/>
        <v>-296.97203707616785</v>
      </c>
      <c r="AD6" s="25">
        <f t="shared" si="6"/>
        <v>-280.57614315846882</v>
      </c>
      <c r="AE6" s="25">
        <f t="shared" si="11"/>
        <v>280.57614315846882</v>
      </c>
      <c r="AF6" s="25">
        <f t="shared" si="7"/>
        <v>280.57614315846882</v>
      </c>
      <c r="AG6" s="25">
        <f t="shared" si="12"/>
        <v>280.57614315846882</v>
      </c>
    </row>
    <row r="7" spans="1:33" outlineLevel="1" x14ac:dyDescent="0.25">
      <c r="A7" s="6" t="s">
        <v>28</v>
      </c>
      <c r="B7" s="6" t="s">
        <v>29</v>
      </c>
      <c r="C7" s="6" t="s">
        <v>29</v>
      </c>
      <c r="D7" s="6" t="s">
        <v>30</v>
      </c>
      <c r="E7" s="6" t="s">
        <v>31</v>
      </c>
      <c r="F7" s="7">
        <f t="shared" si="0"/>
        <v>45.890240719798186</v>
      </c>
      <c r="G7" s="7">
        <f t="shared" si="8"/>
        <v>33.506903451104179</v>
      </c>
      <c r="H7" s="7">
        <f t="shared" si="1"/>
        <v>32.779897349223901</v>
      </c>
      <c r="I7" s="6">
        <v>201</v>
      </c>
      <c r="J7" s="6">
        <v>148</v>
      </c>
      <c r="K7" s="6">
        <v>233</v>
      </c>
      <c r="L7" s="13"/>
      <c r="M7" s="13"/>
      <c r="N7" s="13"/>
      <c r="O7" s="13"/>
      <c r="P7" s="8">
        <f t="shared" si="9"/>
        <v>21661</v>
      </c>
      <c r="Q7" s="8">
        <f t="shared" si="10"/>
        <v>18466.7</v>
      </c>
      <c r="R7" s="8">
        <v>16800</v>
      </c>
      <c r="S7" s="13"/>
      <c r="T7" s="9">
        <f t="shared" si="2"/>
        <v>862.52165423423617</v>
      </c>
      <c r="U7" s="68"/>
      <c r="V7" s="2">
        <f t="shared" si="3"/>
        <v>66.288388613858416</v>
      </c>
      <c r="Z7" s="10">
        <f t="shared" si="4"/>
        <v>-65.383337268694021</v>
      </c>
      <c r="AA7" s="11">
        <v>19333</v>
      </c>
      <c r="AB7" s="11">
        <v>25250000</v>
      </c>
      <c r="AC7" s="10">
        <f t="shared" si="5"/>
        <v>-446.84381700343636</v>
      </c>
      <c r="AD7" s="25">
        <f t="shared" si="6"/>
        <v>796.23326562037778</v>
      </c>
      <c r="AE7" s="25">
        <f t="shared" si="11"/>
        <v>796.23326562037778</v>
      </c>
      <c r="AF7" s="25">
        <f t="shared" si="7"/>
        <v>796.23326562037778</v>
      </c>
      <c r="AG7" s="25">
        <f t="shared" si="12"/>
        <v>796.23326562037778</v>
      </c>
    </row>
    <row r="8" spans="1:33" outlineLevel="1" x14ac:dyDescent="0.25">
      <c r="A8" s="6" t="s">
        <v>32</v>
      </c>
      <c r="B8" s="6" t="s">
        <v>33</v>
      </c>
      <c r="C8" s="6" t="s">
        <v>33</v>
      </c>
      <c r="D8" s="6" t="s">
        <v>34</v>
      </c>
      <c r="E8" s="6" t="s">
        <v>35</v>
      </c>
      <c r="F8" s="7">
        <f t="shared" si="0"/>
        <v>45.890240719798186</v>
      </c>
      <c r="G8" s="7">
        <f t="shared" si="8"/>
        <v>33.506903451104179</v>
      </c>
      <c r="H8" s="7">
        <f t="shared" si="1"/>
        <v>32.779897349223901</v>
      </c>
      <c r="I8" s="6">
        <v>255</v>
      </c>
      <c r="J8" s="6">
        <v>155</v>
      </c>
      <c r="K8" s="6">
        <v>238</v>
      </c>
      <c r="L8" s="13"/>
      <c r="M8" s="13"/>
      <c r="N8" s="13"/>
      <c r="O8" s="13"/>
      <c r="P8" s="8">
        <f t="shared" si="9"/>
        <v>21661</v>
      </c>
      <c r="Q8" s="8">
        <f t="shared" si="10"/>
        <v>18466.7</v>
      </c>
      <c r="R8" s="8">
        <v>16800</v>
      </c>
      <c r="S8" s="13"/>
      <c r="T8" s="9">
        <f t="shared" si="2"/>
        <v>-524.28738833824411</v>
      </c>
      <c r="U8" s="68"/>
      <c r="V8" s="2">
        <f t="shared" si="3"/>
        <v>65.78996145115029</v>
      </c>
      <c r="Z8" s="10">
        <f t="shared" si="4"/>
        <v>-112.38333726869399</v>
      </c>
      <c r="AA8" s="11">
        <v>19953</v>
      </c>
      <c r="AB8" s="11">
        <v>9360000</v>
      </c>
      <c r="AC8" s="10">
        <f t="shared" si="5"/>
        <v>-293.84209482555582</v>
      </c>
      <c r="AD8" s="25">
        <f>T8-V8</f>
        <v>-590.07734978939436</v>
      </c>
      <c r="AE8" s="25">
        <f>IF(AD8&lt;0,-AD8,AD8)</f>
        <v>590.07734978939436</v>
      </c>
      <c r="AF8" s="25">
        <f>IF(T8&lt;0,ABS(T8-V8),T8-V8)</f>
        <v>590.07734978939436</v>
      </c>
      <c r="AG8" s="25">
        <f>IF(AF8&gt;$AF$4,$AF$4,AF8)</f>
        <v>590.07734978939436</v>
      </c>
    </row>
    <row r="9" spans="1:33" outlineLevel="1" x14ac:dyDescent="0.25">
      <c r="A9" s="6" t="s">
        <v>36</v>
      </c>
      <c r="B9" s="6" t="s">
        <v>37</v>
      </c>
      <c r="C9" s="6" t="s">
        <v>37</v>
      </c>
      <c r="D9" s="6" t="s">
        <v>38</v>
      </c>
      <c r="E9" s="6" t="s">
        <v>39</v>
      </c>
      <c r="F9" s="7">
        <f t="shared" si="0"/>
        <v>45.890240719798186</v>
      </c>
      <c r="G9" s="7">
        <f t="shared" si="8"/>
        <v>33.506903451104179</v>
      </c>
      <c r="H9" s="7">
        <f t="shared" si="1"/>
        <v>32.779897349223901</v>
      </c>
      <c r="I9" s="6">
        <v>292</v>
      </c>
      <c r="J9" s="6">
        <v>158</v>
      </c>
      <c r="K9" s="6">
        <v>241</v>
      </c>
      <c r="L9" s="13"/>
      <c r="M9" s="13"/>
      <c r="N9" s="13"/>
      <c r="O9" s="13"/>
      <c r="P9" s="8">
        <f t="shared" si="9"/>
        <v>21661</v>
      </c>
      <c r="Q9" s="8">
        <f t="shared" si="10"/>
        <v>18466.7</v>
      </c>
      <c r="R9" s="8">
        <v>16800</v>
      </c>
      <c r="S9" s="13"/>
      <c r="T9" s="9">
        <f t="shared" si="2"/>
        <v>-219.33967738114868</v>
      </c>
      <c r="U9" s="68"/>
      <c r="V9" s="2">
        <f t="shared" si="3"/>
        <v>58.602995572982202</v>
      </c>
      <c r="Z9" s="10">
        <f t="shared" si="4"/>
        <v>-146.38333726869399</v>
      </c>
      <c r="AA9" s="11">
        <v>22400</v>
      </c>
      <c r="AB9" s="11">
        <v>5210000</v>
      </c>
      <c r="AC9" s="10">
        <f t="shared" si="5"/>
        <v>-239.1692938964793</v>
      </c>
      <c r="AD9" s="25">
        <f t="shared" si="6"/>
        <v>-277.9426729541309</v>
      </c>
      <c r="AE9" s="25">
        <f t="shared" si="11"/>
        <v>277.9426729541309</v>
      </c>
      <c r="AF9" s="25">
        <f t="shared" si="7"/>
        <v>277.9426729541309</v>
      </c>
      <c r="AG9" s="25">
        <f t="shared" si="12"/>
        <v>277.9426729541309</v>
      </c>
    </row>
    <row r="10" spans="1:33" outlineLevel="1" x14ac:dyDescent="0.25">
      <c r="A10" s="6" t="s">
        <v>40</v>
      </c>
      <c r="B10" s="6" t="s">
        <v>41</v>
      </c>
      <c r="C10" s="6" t="s">
        <v>41</v>
      </c>
      <c r="D10" s="6" t="s">
        <v>42</v>
      </c>
      <c r="E10" s="6" t="s">
        <v>43</v>
      </c>
      <c r="F10" s="7">
        <f t="shared" si="0"/>
        <v>45.890240719798186</v>
      </c>
      <c r="G10" s="7">
        <f t="shared" si="8"/>
        <v>33.506903451104179</v>
      </c>
      <c r="H10" s="7">
        <f t="shared" si="1"/>
        <v>32.779897349223901</v>
      </c>
      <c r="I10" s="6">
        <v>276</v>
      </c>
      <c r="J10" s="6">
        <v>160</v>
      </c>
      <c r="K10" s="6">
        <v>242</v>
      </c>
      <c r="L10" s="13"/>
      <c r="M10" s="13"/>
      <c r="N10" s="13"/>
      <c r="O10" s="13"/>
      <c r="P10" s="8">
        <f t="shared" si="9"/>
        <v>21661</v>
      </c>
      <c r="Q10" s="8">
        <f t="shared" si="10"/>
        <v>18466.7</v>
      </c>
      <c r="R10" s="8">
        <v>16800</v>
      </c>
      <c r="S10" s="13"/>
      <c r="T10" s="9">
        <f t="shared" si="2"/>
        <v>-280.93127801897998</v>
      </c>
      <c r="U10" s="68"/>
      <c r="V10" s="2">
        <f t="shared" si="3"/>
        <v>55.834408610350216</v>
      </c>
      <c r="Z10" s="10">
        <f t="shared" si="4"/>
        <v>-128.38333726869399</v>
      </c>
      <c r="AA10" s="11">
        <v>23800</v>
      </c>
      <c r="AB10" s="11">
        <v>6060000</v>
      </c>
      <c r="AC10" s="10">
        <f t="shared" si="5"/>
        <v>-259.23060754624873</v>
      </c>
      <c r="AD10" s="25">
        <f t="shared" si="6"/>
        <v>-336.76568662933022</v>
      </c>
      <c r="AE10" s="25">
        <f t="shared" si="11"/>
        <v>336.76568662933022</v>
      </c>
      <c r="AF10" s="25">
        <f t="shared" si="7"/>
        <v>336.76568662933022</v>
      </c>
      <c r="AG10" s="25">
        <f t="shared" si="12"/>
        <v>336.76568662933022</v>
      </c>
    </row>
    <row r="11" spans="1:33" outlineLevel="1" x14ac:dyDescent="0.25">
      <c r="A11" s="6" t="s">
        <v>44</v>
      </c>
      <c r="B11" s="6" t="s">
        <v>45</v>
      </c>
      <c r="C11" s="6" t="s">
        <v>45</v>
      </c>
      <c r="D11" s="6" t="s">
        <v>46</v>
      </c>
      <c r="E11" s="6" t="s">
        <v>47</v>
      </c>
      <c r="F11" s="7">
        <f t="shared" si="0"/>
        <v>45.890240719798186</v>
      </c>
      <c r="G11" s="7">
        <f t="shared" si="8"/>
        <v>33.506903451104179</v>
      </c>
      <c r="H11" s="7">
        <f t="shared" si="1"/>
        <v>32.779897349223901</v>
      </c>
      <c r="I11" s="6">
        <v>148</v>
      </c>
      <c r="J11" s="6">
        <v>145</v>
      </c>
      <c r="K11" s="6">
        <v>232</v>
      </c>
      <c r="L11" s="13"/>
      <c r="M11" s="13"/>
      <c r="N11" s="13"/>
      <c r="O11" s="13"/>
      <c r="P11" s="8">
        <f t="shared" si="9"/>
        <v>21661</v>
      </c>
      <c r="Q11" s="8">
        <f t="shared" si="10"/>
        <v>18466.7</v>
      </c>
      <c r="R11" s="8">
        <v>16800</v>
      </c>
      <c r="S11" s="13"/>
      <c r="T11" s="9">
        <f t="shared" si="2"/>
        <v>288.73541064283182</v>
      </c>
      <c r="U11" s="68"/>
      <c r="V11" s="2">
        <f t="shared" si="3"/>
        <v>81.346686383364627</v>
      </c>
      <c r="Z11" s="10">
        <f t="shared" si="4"/>
        <v>-15.383337268694021</v>
      </c>
      <c r="AA11" s="11">
        <v>15389</v>
      </c>
      <c r="AB11" s="11">
        <v>7440000</v>
      </c>
      <c r="AC11" s="10">
        <f t="shared" si="5"/>
        <v>-24.658231900061427</v>
      </c>
      <c r="AD11" s="25">
        <f t="shared" si="6"/>
        <v>207.38872425946721</v>
      </c>
      <c r="AE11" s="25">
        <f t="shared" si="11"/>
        <v>207.38872425946721</v>
      </c>
      <c r="AF11" s="25">
        <f t="shared" si="7"/>
        <v>207.38872425946721</v>
      </c>
      <c r="AG11" s="25">
        <f t="shared" si="12"/>
        <v>207.38872425946721</v>
      </c>
    </row>
    <row r="12" spans="1:33" outlineLevel="1" x14ac:dyDescent="0.25">
      <c r="A12" s="6" t="s">
        <v>48</v>
      </c>
      <c r="B12" s="6" t="s">
        <v>49</v>
      </c>
      <c r="C12" s="6" t="s">
        <v>49</v>
      </c>
      <c r="D12" s="6" t="s">
        <v>50</v>
      </c>
      <c r="E12" s="6" t="s">
        <v>51</v>
      </c>
      <c r="F12" s="7">
        <f t="shared" si="0"/>
        <v>45.890240719798186</v>
      </c>
      <c r="G12" s="7">
        <f t="shared" si="8"/>
        <v>33.506903451104179</v>
      </c>
      <c r="H12" s="7">
        <f t="shared" si="1"/>
        <v>32.779897349223901</v>
      </c>
      <c r="I12" s="6">
        <v>180</v>
      </c>
      <c r="J12" s="6">
        <v>146</v>
      </c>
      <c r="K12" s="6">
        <v>232</v>
      </c>
      <c r="L12" s="13"/>
      <c r="M12" s="13"/>
      <c r="N12" s="13"/>
      <c r="O12" s="13"/>
      <c r="P12" s="8">
        <f t="shared" si="9"/>
        <v>21661</v>
      </c>
      <c r="Q12" s="8">
        <f t="shared" si="10"/>
        <v>18466.7</v>
      </c>
      <c r="R12" s="8">
        <v>16800</v>
      </c>
      <c r="S12" s="13"/>
      <c r="T12" s="9">
        <f t="shared" si="2"/>
        <v>421.01667067120371</v>
      </c>
      <c r="U12" s="68"/>
      <c r="V12" s="2">
        <f t="shared" si="3"/>
        <v>65.834524692669007</v>
      </c>
      <c r="Z12" s="10">
        <f t="shared" si="4"/>
        <v>-46.383337268694021</v>
      </c>
      <c r="AA12" s="11">
        <v>19238</v>
      </c>
      <c r="AB12" s="11">
        <v>21930000</v>
      </c>
      <c r="AC12" s="10">
        <f t="shared" si="5"/>
        <v>-273.96089766201408</v>
      </c>
      <c r="AD12" s="25">
        <f t="shared" si="6"/>
        <v>355.18214597853472</v>
      </c>
      <c r="AE12" s="25">
        <f t="shared" si="11"/>
        <v>355.18214597853472</v>
      </c>
      <c r="AF12" s="25">
        <f t="shared" si="7"/>
        <v>355.18214597853472</v>
      </c>
      <c r="AG12" s="25">
        <f t="shared" si="12"/>
        <v>355.18214597853472</v>
      </c>
    </row>
    <row r="13" spans="1:33" outlineLevel="1" x14ac:dyDescent="0.25">
      <c r="A13" s="6" t="s">
        <v>52</v>
      </c>
      <c r="B13" s="6" t="s">
        <v>53</v>
      </c>
      <c r="C13" s="6" t="s">
        <v>53</v>
      </c>
      <c r="D13" s="6" t="s">
        <v>54</v>
      </c>
      <c r="E13" s="6" t="s">
        <v>55</v>
      </c>
      <c r="F13" s="7">
        <f t="shared" si="0"/>
        <v>45.890240719798186</v>
      </c>
      <c r="G13" s="7">
        <f t="shared" si="8"/>
        <v>33.506903451104179</v>
      </c>
      <c r="H13" s="7">
        <f t="shared" si="1"/>
        <v>32.779897349223901</v>
      </c>
      <c r="I13" s="6">
        <v>140</v>
      </c>
      <c r="J13" s="6">
        <v>145</v>
      </c>
      <c r="K13" s="6">
        <v>232</v>
      </c>
      <c r="L13" s="13"/>
      <c r="M13" s="13"/>
      <c r="N13" s="13"/>
      <c r="O13" s="13"/>
      <c r="P13" s="8">
        <f t="shared" si="9"/>
        <v>21661</v>
      </c>
      <c r="Q13" s="8">
        <f t="shared" si="10"/>
        <v>18466.7</v>
      </c>
      <c r="R13" s="8">
        <v>16800</v>
      </c>
      <c r="S13" s="13"/>
      <c r="T13" s="9">
        <f t="shared" si="2"/>
        <v>238.51615637281733</v>
      </c>
      <c r="U13" s="68"/>
      <c r="V13" s="2">
        <f t="shared" si="3"/>
        <v>74.781610319808721</v>
      </c>
      <c r="Z13" s="10">
        <f t="shared" si="4"/>
        <v>-7.3833372686940208</v>
      </c>
      <c r="AA13" s="11">
        <v>16740</v>
      </c>
      <c r="AB13" s="11">
        <v>17890000</v>
      </c>
      <c r="AC13" s="10">
        <f t="shared" si="5"/>
        <v>-30.956121119788328</v>
      </c>
      <c r="AD13" s="25">
        <f t="shared" si="6"/>
        <v>163.73454605300861</v>
      </c>
      <c r="AE13" s="25">
        <f t="shared" si="11"/>
        <v>163.73454605300861</v>
      </c>
      <c r="AF13" s="25">
        <f t="shared" si="7"/>
        <v>163.73454605300861</v>
      </c>
      <c r="AG13" s="25">
        <f t="shared" si="12"/>
        <v>163.73454605300861</v>
      </c>
    </row>
    <row r="14" spans="1:33" outlineLevel="1" x14ac:dyDescent="0.25">
      <c r="A14" s="6" t="s">
        <v>56</v>
      </c>
      <c r="B14" s="6" t="s">
        <v>57</v>
      </c>
      <c r="C14" s="6" t="s">
        <v>57</v>
      </c>
      <c r="D14" s="6" t="s">
        <v>58</v>
      </c>
      <c r="E14" s="6" t="s">
        <v>59</v>
      </c>
      <c r="F14" s="7">
        <f t="shared" si="0"/>
        <v>45.890240719798186</v>
      </c>
      <c r="G14" s="7">
        <f t="shared" si="8"/>
        <v>33.506903451104179</v>
      </c>
      <c r="H14" s="7">
        <f t="shared" si="1"/>
        <v>32.779897349223901</v>
      </c>
      <c r="I14" s="6">
        <v>202</v>
      </c>
      <c r="J14" s="6">
        <v>146</v>
      </c>
      <c r="K14" s="6">
        <v>232</v>
      </c>
      <c r="L14" s="13"/>
      <c r="M14" s="13"/>
      <c r="N14" s="13"/>
      <c r="O14" s="13"/>
      <c r="P14" s="8">
        <f t="shared" si="9"/>
        <v>21661</v>
      </c>
      <c r="Q14" s="8">
        <f t="shared" si="10"/>
        <v>18466.7</v>
      </c>
      <c r="R14" s="8">
        <v>16800</v>
      </c>
      <c r="S14" s="13"/>
      <c r="T14" s="9">
        <f t="shared" si="2"/>
        <v>839.73740204320268</v>
      </c>
      <c r="U14" s="68"/>
      <c r="V14" s="2">
        <f t="shared" si="3"/>
        <v>57.027537756655711</v>
      </c>
      <c r="Z14" s="10">
        <f t="shared" si="4"/>
        <v>-68.383337268694021</v>
      </c>
      <c r="AA14" s="11">
        <v>22209</v>
      </c>
      <c r="AB14" s="11">
        <v>10650000</v>
      </c>
      <c r="AC14" s="10">
        <f t="shared" si="5"/>
        <v>-226.44197762640346</v>
      </c>
      <c r="AD14" s="25">
        <f t="shared" si="6"/>
        <v>782.70986428654692</v>
      </c>
      <c r="AE14" s="25">
        <f t="shared" si="11"/>
        <v>782.70986428654692</v>
      </c>
      <c r="AF14" s="25">
        <f t="shared" si="7"/>
        <v>782.70986428654692</v>
      </c>
      <c r="AG14" s="25">
        <f t="shared" si="12"/>
        <v>782.70986428654692</v>
      </c>
    </row>
    <row r="15" spans="1:33" outlineLevel="1" x14ac:dyDescent="0.25">
      <c r="A15" s="6" t="s">
        <v>60</v>
      </c>
      <c r="B15" s="6" t="s">
        <v>61</v>
      </c>
      <c r="C15" s="6" t="s">
        <v>61</v>
      </c>
      <c r="D15" s="6" t="s">
        <v>62</v>
      </c>
      <c r="E15" s="6" t="s">
        <v>63</v>
      </c>
      <c r="F15" s="7">
        <f t="shared" si="0"/>
        <v>45.890240719798186</v>
      </c>
      <c r="G15" s="7">
        <f t="shared" si="8"/>
        <v>33.506903451104179</v>
      </c>
      <c r="H15" s="7">
        <f t="shared" si="1"/>
        <v>32.779897349223901</v>
      </c>
      <c r="I15" s="6">
        <v>107</v>
      </c>
      <c r="J15" s="6">
        <v>143</v>
      </c>
      <c r="K15" s="6">
        <v>230</v>
      </c>
      <c r="L15" s="13"/>
      <c r="M15" s="13"/>
      <c r="N15" s="13"/>
      <c r="O15" s="13"/>
      <c r="P15" s="8">
        <f t="shared" si="9"/>
        <v>21661</v>
      </c>
      <c r="Q15" s="8">
        <f t="shared" si="10"/>
        <v>18466.7</v>
      </c>
      <c r="R15" s="8">
        <v>16800</v>
      </c>
      <c r="S15" s="13"/>
      <c r="T15" s="9">
        <f t="shared" si="2"/>
        <v>171.37379449321864</v>
      </c>
      <c r="U15" s="68"/>
      <c r="V15" s="2">
        <f t="shared" si="3"/>
        <v>74.844204038837574</v>
      </c>
      <c r="Z15" s="10">
        <f t="shared" si="4"/>
        <v>23.616662731305979</v>
      </c>
      <c r="AA15" s="11">
        <v>16726</v>
      </c>
      <c r="AB15" s="11">
        <v>9930000</v>
      </c>
      <c r="AC15" s="10">
        <f t="shared" si="5"/>
        <v>54.91461006330838</v>
      </c>
      <c r="AD15" s="25">
        <f t="shared" si="6"/>
        <v>96.529590454381065</v>
      </c>
      <c r="AE15" s="25">
        <f t="shared" si="11"/>
        <v>96.529590454381065</v>
      </c>
      <c r="AF15" s="25">
        <f t="shared" si="7"/>
        <v>96.529590454381065</v>
      </c>
      <c r="AG15" s="25">
        <f t="shared" si="12"/>
        <v>96.529590454381065</v>
      </c>
    </row>
    <row r="16" spans="1:33" outlineLevel="1" x14ac:dyDescent="0.25">
      <c r="A16" s="6" t="s">
        <v>64</v>
      </c>
      <c r="B16" s="6" t="s">
        <v>65</v>
      </c>
      <c r="C16" s="6" t="s">
        <v>65</v>
      </c>
      <c r="D16" s="6" t="s">
        <v>66</v>
      </c>
      <c r="E16" s="6" t="s">
        <v>67</v>
      </c>
      <c r="F16" s="7">
        <f t="shared" si="0"/>
        <v>45.890240719798186</v>
      </c>
      <c r="G16" s="7">
        <f t="shared" si="8"/>
        <v>33.506903451104179</v>
      </c>
      <c r="H16" s="7">
        <f t="shared" si="1"/>
        <v>32.779897349223901</v>
      </c>
      <c r="I16" s="6">
        <v>164</v>
      </c>
      <c r="J16" s="6">
        <v>145</v>
      </c>
      <c r="K16" s="6">
        <v>232</v>
      </c>
      <c r="L16" s="13"/>
      <c r="M16" s="13"/>
      <c r="N16" s="13"/>
      <c r="O16" s="13"/>
      <c r="P16" s="8">
        <f t="shared" si="9"/>
        <v>21661</v>
      </c>
      <c r="Q16" s="8">
        <f t="shared" si="10"/>
        <v>18466.7</v>
      </c>
      <c r="R16" s="8">
        <v>16800</v>
      </c>
      <c r="S16" s="13"/>
      <c r="T16" s="9">
        <f t="shared" si="2"/>
        <v>281.21917206960484</v>
      </c>
      <c r="U16" s="68"/>
      <c r="V16" s="2">
        <f t="shared" si="3"/>
        <v>61.346866448769873</v>
      </c>
      <c r="Z16" s="10">
        <f t="shared" si="4"/>
        <v>-31.383337268694021</v>
      </c>
      <c r="AA16" s="11">
        <v>20406</v>
      </c>
      <c r="AB16" s="11">
        <v>7070000</v>
      </c>
      <c r="AC16" s="10">
        <f t="shared" si="5"/>
        <v>-63.387621482585956</v>
      </c>
      <c r="AD16" s="25">
        <f t="shared" si="6"/>
        <v>219.87230562083496</v>
      </c>
      <c r="AE16" s="25">
        <f t="shared" si="11"/>
        <v>219.87230562083496</v>
      </c>
      <c r="AF16" s="25">
        <f t="shared" si="7"/>
        <v>219.87230562083496</v>
      </c>
      <c r="AG16" s="25">
        <f t="shared" si="12"/>
        <v>219.87230562083496</v>
      </c>
    </row>
    <row r="17" spans="1:33" outlineLevel="1" x14ac:dyDescent="0.25">
      <c r="A17" s="6" t="s">
        <v>68</v>
      </c>
      <c r="B17" s="6" t="s">
        <v>69</v>
      </c>
      <c r="C17" s="6" t="s">
        <v>69</v>
      </c>
      <c r="D17" s="6" t="s">
        <v>70</v>
      </c>
      <c r="E17" s="6" t="s">
        <v>71</v>
      </c>
      <c r="F17" s="7">
        <f t="shared" si="0"/>
        <v>45.890240719798186</v>
      </c>
      <c r="G17" s="7">
        <f t="shared" si="8"/>
        <v>33.506903451104179</v>
      </c>
      <c r="H17" s="7">
        <f t="shared" si="1"/>
        <v>32.779897349223901</v>
      </c>
      <c r="I17" s="6">
        <v>219</v>
      </c>
      <c r="J17" s="6">
        <v>147</v>
      </c>
      <c r="K17" s="6">
        <v>233</v>
      </c>
      <c r="L17" s="13"/>
      <c r="M17" s="13"/>
      <c r="N17" s="13"/>
      <c r="O17" s="13"/>
      <c r="P17" s="8">
        <f t="shared" si="9"/>
        <v>21661</v>
      </c>
      <c r="Q17" s="8">
        <f t="shared" si="10"/>
        <v>18466.7</v>
      </c>
      <c r="R17" s="8">
        <v>16800</v>
      </c>
      <c r="S17" s="13"/>
      <c r="T17" s="9">
        <f t="shared" si="2"/>
        <v>17918.67700318903</v>
      </c>
      <c r="U17" s="68"/>
      <c r="V17" s="2">
        <f t="shared" si="3"/>
        <v>64.098617644494453</v>
      </c>
      <c r="Z17" s="10">
        <f t="shared" si="4"/>
        <v>-84.383337268693992</v>
      </c>
      <c r="AA17" s="11">
        <v>19759</v>
      </c>
      <c r="AB17" s="11">
        <v>17650000</v>
      </c>
      <c r="AC17" s="10">
        <f t="shared" si="5"/>
        <v>-411.99733222586394</v>
      </c>
      <c r="AD17" s="25">
        <f t="shared" si="6"/>
        <v>17854.578385544537</v>
      </c>
      <c r="AE17" s="25">
        <f t="shared" si="11"/>
        <v>17854.578385544537</v>
      </c>
      <c r="AF17" s="25">
        <f t="shared" si="7"/>
        <v>17854.578385544537</v>
      </c>
      <c r="AG17" s="25">
        <f t="shared" si="12"/>
        <v>1129.3381142442736</v>
      </c>
    </row>
    <row r="18" spans="1:33" outlineLevel="1" x14ac:dyDescent="0.25">
      <c r="A18" s="6" t="s">
        <v>72</v>
      </c>
      <c r="B18" s="6" t="s">
        <v>73</v>
      </c>
      <c r="C18" s="6" t="s">
        <v>73</v>
      </c>
      <c r="D18" s="6" t="s">
        <v>74</v>
      </c>
      <c r="E18" s="6" t="s">
        <v>75</v>
      </c>
      <c r="F18" s="7">
        <f t="shared" si="0"/>
        <v>45.890240719798186</v>
      </c>
      <c r="G18" s="7">
        <f t="shared" si="8"/>
        <v>33.506903451104179</v>
      </c>
      <c r="H18" s="7">
        <f t="shared" si="1"/>
        <v>32.779897349223901</v>
      </c>
      <c r="I18" s="6">
        <v>85</v>
      </c>
      <c r="J18" s="6">
        <v>146</v>
      </c>
      <c r="K18" s="6">
        <v>232</v>
      </c>
      <c r="L18" s="13"/>
      <c r="M18" s="13"/>
      <c r="N18" s="13"/>
      <c r="O18" s="13"/>
      <c r="P18" s="8">
        <f t="shared" si="9"/>
        <v>21661</v>
      </c>
      <c r="Q18" s="8">
        <f t="shared" si="10"/>
        <v>18466.7</v>
      </c>
      <c r="R18" s="8">
        <v>16800</v>
      </c>
      <c r="S18" s="13"/>
      <c r="T18" s="9">
        <f t="shared" si="2"/>
        <v>121.81381740718355</v>
      </c>
      <c r="U18" s="68"/>
      <c r="V18" s="2">
        <f t="shared" si="3"/>
        <v>65.578863254676463</v>
      </c>
      <c r="Z18" s="10">
        <f t="shared" si="4"/>
        <v>48.616662731305979</v>
      </c>
      <c r="AA18" s="11">
        <v>19313</v>
      </c>
      <c r="AB18" s="11">
        <v>11260000</v>
      </c>
      <c r="AC18" s="10">
        <f t="shared" si="5"/>
        <v>148.01349385945585</v>
      </c>
      <c r="AD18" s="25">
        <f t="shared" si="6"/>
        <v>56.234954152507086</v>
      </c>
      <c r="AE18" s="25">
        <f t="shared" si="11"/>
        <v>56.234954152507086</v>
      </c>
      <c r="AF18" s="25">
        <f t="shared" si="7"/>
        <v>56.234954152507086</v>
      </c>
      <c r="AG18" s="25">
        <f t="shared" si="12"/>
        <v>56.234954152507086</v>
      </c>
    </row>
    <row r="19" spans="1:33" outlineLevel="1" x14ac:dyDescent="0.25">
      <c r="A19" s="6" t="s">
        <v>76</v>
      </c>
      <c r="B19" s="6" t="s">
        <v>77</v>
      </c>
      <c r="C19" s="6" t="s">
        <v>77</v>
      </c>
      <c r="D19" s="6" t="s">
        <v>78</v>
      </c>
      <c r="E19" s="6" t="s">
        <v>79</v>
      </c>
      <c r="F19" s="7">
        <f t="shared" si="0"/>
        <v>45.890240719798186</v>
      </c>
      <c r="G19" s="7">
        <f t="shared" si="8"/>
        <v>33.506903451104179</v>
      </c>
      <c r="H19" s="7">
        <f t="shared" si="1"/>
        <v>32.779897349223901</v>
      </c>
      <c r="I19" s="6">
        <v>121</v>
      </c>
      <c r="J19" s="6">
        <v>145</v>
      </c>
      <c r="K19" s="6">
        <v>232</v>
      </c>
      <c r="L19" s="13"/>
      <c r="M19" s="13"/>
      <c r="N19" s="13"/>
      <c r="O19" s="13"/>
      <c r="P19" s="8">
        <f t="shared" si="9"/>
        <v>21661</v>
      </c>
      <c r="Q19" s="8">
        <f t="shared" si="10"/>
        <v>18466.7</v>
      </c>
      <c r="R19" s="8">
        <v>16800</v>
      </c>
      <c r="S19" s="13"/>
      <c r="T19" s="9">
        <f t="shared" si="2"/>
        <v>164.81157797348007</v>
      </c>
      <c r="U19" s="68"/>
      <c r="V19" s="2">
        <f t="shared" si="3"/>
        <v>64.118221509608574</v>
      </c>
      <c r="Z19" s="10">
        <f t="shared" si="4"/>
        <v>11.616662731305979</v>
      </c>
      <c r="AA19" s="11">
        <v>19524</v>
      </c>
      <c r="AB19" s="11">
        <v>11590000</v>
      </c>
      <c r="AC19" s="10">
        <f t="shared" si="5"/>
        <v>36.801172120918075</v>
      </c>
      <c r="AD19" s="25">
        <f t="shared" si="6"/>
        <v>100.6933564638715</v>
      </c>
      <c r="AE19" s="25">
        <f t="shared" si="11"/>
        <v>100.6933564638715</v>
      </c>
      <c r="AF19" s="25">
        <f t="shared" si="7"/>
        <v>100.6933564638715</v>
      </c>
      <c r="AG19" s="25">
        <f t="shared" si="12"/>
        <v>100.6933564638715</v>
      </c>
    </row>
    <row r="20" spans="1:33" outlineLevel="1" x14ac:dyDescent="0.25">
      <c r="A20" s="6" t="s">
        <v>80</v>
      </c>
      <c r="B20" s="6" t="s">
        <v>81</v>
      </c>
      <c r="C20" s="6" t="s">
        <v>81</v>
      </c>
      <c r="D20" s="6" t="s">
        <v>82</v>
      </c>
      <c r="E20" s="6" t="s">
        <v>83</v>
      </c>
      <c r="F20" s="7">
        <f t="shared" si="0"/>
        <v>45.890240719798186</v>
      </c>
      <c r="G20" s="7">
        <f t="shared" si="8"/>
        <v>33.506903451104179</v>
      </c>
      <c r="H20" s="7">
        <f t="shared" si="1"/>
        <v>32.779897349223901</v>
      </c>
      <c r="I20" s="6">
        <v>106</v>
      </c>
      <c r="J20" s="6">
        <v>144</v>
      </c>
      <c r="K20" s="6">
        <v>230</v>
      </c>
      <c r="L20" s="13"/>
      <c r="M20" s="13"/>
      <c r="N20" s="13"/>
      <c r="O20" s="13"/>
      <c r="P20" s="8">
        <f t="shared" si="9"/>
        <v>21661</v>
      </c>
      <c r="Q20" s="8">
        <f t="shared" si="10"/>
        <v>18466.7</v>
      </c>
      <c r="R20" s="8">
        <v>16800</v>
      </c>
      <c r="S20" s="13"/>
      <c r="T20" s="9">
        <f t="shared" si="2"/>
        <v>145.45286416699344</v>
      </c>
      <c r="U20" s="68"/>
      <c r="V20" s="2">
        <f t="shared" si="3"/>
        <v>64.853529931771533</v>
      </c>
      <c r="Z20" s="10">
        <f t="shared" si="4"/>
        <v>25.616662731305979</v>
      </c>
      <c r="AA20" s="11">
        <v>19529</v>
      </c>
      <c r="AB20" s="11">
        <v>6930000</v>
      </c>
      <c r="AC20" s="10">
        <f t="shared" si="5"/>
        <v>48.535982584658015</v>
      </c>
      <c r="AD20" s="25">
        <f t="shared" si="6"/>
        <v>80.599334235221903</v>
      </c>
      <c r="AE20" s="25">
        <f t="shared" si="11"/>
        <v>80.599334235221903</v>
      </c>
      <c r="AF20" s="25">
        <f t="shared" si="7"/>
        <v>80.599334235221903</v>
      </c>
      <c r="AG20" s="25">
        <f t="shared" si="12"/>
        <v>80.599334235221903</v>
      </c>
    </row>
    <row r="21" spans="1:33" outlineLevel="1" x14ac:dyDescent="0.25">
      <c r="A21" s="6" t="s">
        <v>84</v>
      </c>
      <c r="B21" s="6" t="s">
        <v>85</v>
      </c>
      <c r="C21" s="6" t="s">
        <v>85</v>
      </c>
      <c r="D21" s="6" t="s">
        <v>86</v>
      </c>
      <c r="E21" s="6" t="s">
        <v>87</v>
      </c>
      <c r="F21" s="7">
        <f t="shared" si="0"/>
        <v>45.890240719798186</v>
      </c>
      <c r="G21" s="7">
        <f t="shared" si="8"/>
        <v>33.506903451104179</v>
      </c>
      <c r="H21" s="7">
        <f t="shared" si="1"/>
        <v>32.779897349223901</v>
      </c>
      <c r="I21" s="6">
        <v>30</v>
      </c>
      <c r="J21" s="6">
        <v>144</v>
      </c>
      <c r="K21" s="6">
        <v>229</v>
      </c>
      <c r="L21" s="13"/>
      <c r="M21" s="13"/>
      <c r="N21" s="13"/>
      <c r="O21" s="13"/>
      <c r="P21" s="8">
        <f t="shared" si="9"/>
        <v>21661</v>
      </c>
      <c r="Q21" s="8">
        <f t="shared" si="10"/>
        <v>18466.7</v>
      </c>
      <c r="R21" s="8">
        <v>16800</v>
      </c>
      <c r="S21" s="13"/>
      <c r="T21" s="9">
        <f t="shared" si="2"/>
        <v>84.219007688972994</v>
      </c>
      <c r="U21" s="68"/>
      <c r="V21" s="2">
        <f t="shared" si="3"/>
        <v>63.69549786638796</v>
      </c>
      <c r="Z21" s="10">
        <f t="shared" si="4"/>
        <v>101.61666273130598</v>
      </c>
      <c r="AA21" s="11">
        <v>20120</v>
      </c>
      <c r="AB21" s="11">
        <v>14330000</v>
      </c>
      <c r="AC21" s="10">
        <f t="shared" si="5"/>
        <v>410.17305772835067</v>
      </c>
      <c r="AD21" s="25">
        <f t="shared" si="6"/>
        <v>20.523509822585034</v>
      </c>
      <c r="AE21" s="25">
        <f t="shared" si="11"/>
        <v>20.523509822585034</v>
      </c>
      <c r="AF21" s="25">
        <f t="shared" si="7"/>
        <v>20.523509822585034</v>
      </c>
      <c r="AG21" s="25">
        <f t="shared" si="12"/>
        <v>20.523509822585034</v>
      </c>
    </row>
    <row r="22" spans="1:33" outlineLevel="1" x14ac:dyDescent="0.25">
      <c r="A22" s="6" t="s">
        <v>88</v>
      </c>
      <c r="B22" s="6" t="s">
        <v>89</v>
      </c>
      <c r="C22" s="6" t="s">
        <v>89</v>
      </c>
      <c r="D22" s="6" t="s">
        <v>90</v>
      </c>
      <c r="E22" s="6" t="s">
        <v>91</v>
      </c>
      <c r="F22" s="7">
        <f t="shared" si="0"/>
        <v>45.890240719798186</v>
      </c>
      <c r="G22" s="7">
        <f t="shared" si="8"/>
        <v>33.506903451104179</v>
      </c>
      <c r="H22" s="7">
        <f t="shared" si="1"/>
        <v>32.779897349223901</v>
      </c>
      <c r="I22" s="6">
        <v>114</v>
      </c>
      <c r="J22" s="6">
        <v>143</v>
      </c>
      <c r="K22" s="6">
        <v>230</v>
      </c>
      <c r="L22" s="13"/>
      <c r="M22" s="13"/>
      <c r="N22" s="13"/>
      <c r="O22" s="13"/>
      <c r="P22" s="8">
        <f t="shared" si="9"/>
        <v>21661</v>
      </c>
      <c r="Q22" s="8">
        <f t="shared" si="10"/>
        <v>18466.7</v>
      </c>
      <c r="R22" s="8">
        <v>16800</v>
      </c>
      <c r="S22" s="13"/>
      <c r="T22" s="9">
        <f t="shared" si="2"/>
        <v>174.90777330907187</v>
      </c>
      <c r="U22" s="68"/>
      <c r="V22" s="2">
        <f t="shared" si="3"/>
        <v>71.521690953185058</v>
      </c>
      <c r="Z22" s="10">
        <f t="shared" si="4"/>
        <v>16.616662731305979</v>
      </c>
      <c r="AA22" s="11">
        <v>17503</v>
      </c>
      <c r="AB22" s="11">
        <v>30610000</v>
      </c>
      <c r="AC22" s="10">
        <f t="shared" si="5"/>
        <v>124.63719403423323</v>
      </c>
      <c r="AD22" s="25">
        <f t="shared" si="6"/>
        <v>103.38608235588681</v>
      </c>
      <c r="AE22" s="25">
        <f t="shared" si="11"/>
        <v>103.38608235588681</v>
      </c>
      <c r="AF22" s="25">
        <f t="shared" si="7"/>
        <v>103.38608235588681</v>
      </c>
      <c r="AG22" s="25">
        <f t="shared" si="12"/>
        <v>103.38608235588681</v>
      </c>
    </row>
    <row r="23" spans="1:33" outlineLevel="1" x14ac:dyDescent="0.25">
      <c r="A23" s="6" t="s">
        <v>92</v>
      </c>
      <c r="B23" s="6" t="s">
        <v>93</v>
      </c>
      <c r="C23" s="6" t="s">
        <v>93</v>
      </c>
      <c r="D23" s="6" t="s">
        <v>94</v>
      </c>
      <c r="E23" s="6" t="s">
        <v>95</v>
      </c>
      <c r="F23" s="7">
        <f t="shared" si="0"/>
        <v>45.890240719798186</v>
      </c>
      <c r="G23" s="7">
        <f t="shared" si="8"/>
        <v>33.506903451104179</v>
      </c>
      <c r="H23" s="7">
        <f t="shared" si="1"/>
        <v>32.779897349223901</v>
      </c>
      <c r="I23" s="6">
        <v>96</v>
      </c>
      <c r="J23" s="6">
        <v>142</v>
      </c>
      <c r="K23" s="6">
        <v>230</v>
      </c>
      <c r="L23" s="13"/>
      <c r="M23" s="13"/>
      <c r="N23" s="13"/>
      <c r="O23" s="13"/>
      <c r="P23" s="8">
        <f t="shared" si="9"/>
        <v>21661</v>
      </c>
      <c r="Q23" s="8">
        <f t="shared" si="10"/>
        <v>18466.7</v>
      </c>
      <c r="R23" s="8">
        <v>16800</v>
      </c>
      <c r="S23" s="13"/>
      <c r="T23" s="9">
        <f t="shared" si="2"/>
        <v>128.66419404829799</v>
      </c>
      <c r="U23" s="68"/>
      <c r="V23" s="2">
        <f t="shared" si="3"/>
        <v>61.108100980013184</v>
      </c>
      <c r="Z23" s="10">
        <f t="shared" si="4"/>
        <v>33.616662731305979</v>
      </c>
      <c r="AA23" s="11">
        <v>20251</v>
      </c>
      <c r="AB23" s="11">
        <v>7680000</v>
      </c>
      <c r="AC23" s="10">
        <f t="shared" si="5"/>
        <v>73.196501895194757</v>
      </c>
      <c r="AD23" s="25">
        <f t="shared" si="6"/>
        <v>67.55609306828481</v>
      </c>
      <c r="AE23" s="25">
        <f t="shared" si="11"/>
        <v>67.55609306828481</v>
      </c>
      <c r="AF23" s="25">
        <f t="shared" si="7"/>
        <v>67.55609306828481</v>
      </c>
      <c r="AG23" s="25">
        <f t="shared" si="12"/>
        <v>67.55609306828481</v>
      </c>
    </row>
    <row r="24" spans="1:33" outlineLevel="1" x14ac:dyDescent="0.25">
      <c r="A24" s="6" t="s">
        <v>96</v>
      </c>
      <c r="B24" s="6" t="s">
        <v>97</v>
      </c>
      <c r="C24" s="6" t="s">
        <v>97</v>
      </c>
      <c r="D24" s="6" t="s">
        <v>98</v>
      </c>
      <c r="E24" s="6" t="s">
        <v>99</v>
      </c>
      <c r="F24" s="7">
        <f t="shared" si="0"/>
        <v>45.890240719798186</v>
      </c>
      <c r="G24" s="7">
        <f t="shared" si="8"/>
        <v>33.506903451104179</v>
      </c>
      <c r="H24" s="7">
        <f t="shared" si="1"/>
        <v>32.779897349223901</v>
      </c>
      <c r="I24" s="6">
        <v>144</v>
      </c>
      <c r="J24" s="6">
        <v>143</v>
      </c>
      <c r="K24" s="6">
        <v>231</v>
      </c>
      <c r="L24" s="13"/>
      <c r="M24" s="13"/>
      <c r="N24" s="13"/>
      <c r="O24" s="13"/>
      <c r="P24" s="8">
        <f t="shared" si="9"/>
        <v>21661</v>
      </c>
      <c r="Q24" s="8">
        <f t="shared" si="10"/>
        <v>18466.7</v>
      </c>
      <c r="R24" s="8">
        <v>16800</v>
      </c>
      <c r="S24" s="13"/>
      <c r="T24" s="9">
        <f t="shared" si="2"/>
        <v>251.63475876451054</v>
      </c>
      <c r="U24" s="68"/>
      <c r="V24" s="2">
        <f t="shared" si="3"/>
        <v>73.047644941045178</v>
      </c>
      <c r="Z24" s="10">
        <f t="shared" si="4"/>
        <v>-13.383337268694021</v>
      </c>
      <c r="AA24" s="11">
        <v>16941</v>
      </c>
      <c r="AB24" s="11">
        <v>2100000</v>
      </c>
      <c r="AC24" s="10">
        <f t="shared" si="5"/>
        <v>-6.6657772300669942</v>
      </c>
      <c r="AD24" s="25">
        <f t="shared" si="6"/>
        <v>178.58711382346536</v>
      </c>
      <c r="AE24" s="25">
        <f t="shared" si="11"/>
        <v>178.58711382346536</v>
      </c>
      <c r="AF24" s="25">
        <f t="shared" si="7"/>
        <v>178.58711382346536</v>
      </c>
      <c r="AG24" s="25">
        <f t="shared" si="12"/>
        <v>178.58711382346536</v>
      </c>
    </row>
    <row r="25" spans="1:33" outlineLevel="1" x14ac:dyDescent="0.25">
      <c r="A25" s="6" t="s">
        <v>100</v>
      </c>
      <c r="B25" s="6" t="s">
        <v>101</v>
      </c>
      <c r="C25" s="6" t="s">
        <v>101</v>
      </c>
      <c r="D25" s="6" t="s">
        <v>102</v>
      </c>
      <c r="E25" s="6" t="s">
        <v>103</v>
      </c>
      <c r="F25" s="7">
        <f t="shared" si="0"/>
        <v>45.890240719798186</v>
      </c>
      <c r="G25" s="7">
        <f t="shared" si="8"/>
        <v>33.506903451104179</v>
      </c>
      <c r="H25" s="7">
        <f t="shared" si="1"/>
        <v>32.779897349223901</v>
      </c>
      <c r="I25" s="6">
        <v>111</v>
      </c>
      <c r="J25" s="6">
        <v>144</v>
      </c>
      <c r="K25" s="6">
        <v>229</v>
      </c>
      <c r="L25" s="13"/>
      <c r="M25" s="13"/>
      <c r="N25" s="13"/>
      <c r="O25" s="13"/>
      <c r="P25" s="8">
        <f t="shared" si="9"/>
        <v>21661</v>
      </c>
      <c r="Q25" s="8">
        <f t="shared" si="10"/>
        <v>18466.7</v>
      </c>
      <c r="R25" s="8">
        <v>16800</v>
      </c>
      <c r="S25" s="13"/>
      <c r="T25" s="9">
        <f t="shared" si="2"/>
        <v>136.59480672550507</v>
      </c>
      <c r="U25" s="68"/>
      <c r="V25" s="2">
        <f t="shared" si="3"/>
        <v>58.292172711927471</v>
      </c>
      <c r="Z25" s="10">
        <f t="shared" si="4"/>
        <v>20.616662731305979</v>
      </c>
      <c r="AA25" s="11">
        <v>21985</v>
      </c>
      <c r="AB25" s="11">
        <v>5960000</v>
      </c>
      <c r="AC25" s="10">
        <f t="shared" si="5"/>
        <v>37.819791627529256</v>
      </c>
      <c r="AD25" s="25">
        <f t="shared" si="6"/>
        <v>78.302634013577602</v>
      </c>
      <c r="AE25" s="25">
        <f t="shared" si="11"/>
        <v>78.302634013577602</v>
      </c>
      <c r="AF25" s="25">
        <f t="shared" si="7"/>
        <v>78.302634013577602</v>
      </c>
      <c r="AG25" s="25">
        <f t="shared" si="12"/>
        <v>78.302634013577602</v>
      </c>
    </row>
    <row r="26" spans="1:33" outlineLevel="1" x14ac:dyDescent="0.25">
      <c r="A26" s="6" t="s">
        <v>104</v>
      </c>
      <c r="B26" s="6" t="s">
        <v>105</v>
      </c>
      <c r="C26" s="6" t="s">
        <v>105</v>
      </c>
      <c r="D26" s="6" t="s">
        <v>106</v>
      </c>
      <c r="E26" s="6" t="s">
        <v>107</v>
      </c>
      <c r="F26" s="7">
        <f t="shared" si="0"/>
        <v>45.890240719798186</v>
      </c>
      <c r="G26" s="7">
        <f t="shared" si="8"/>
        <v>33.506903451104179</v>
      </c>
      <c r="H26" s="7">
        <f t="shared" si="1"/>
        <v>32.779897349223901</v>
      </c>
      <c r="I26" s="6">
        <v>23</v>
      </c>
      <c r="J26" s="6">
        <v>141</v>
      </c>
      <c r="K26" s="6">
        <v>227</v>
      </c>
      <c r="L26" s="13"/>
      <c r="M26" s="13"/>
      <c r="N26" s="13"/>
      <c r="O26" s="13"/>
      <c r="P26" s="8">
        <f t="shared" si="9"/>
        <v>21661</v>
      </c>
      <c r="Q26" s="8">
        <f t="shared" si="10"/>
        <v>18466.7</v>
      </c>
      <c r="R26" s="8">
        <v>16800</v>
      </c>
      <c r="S26" s="13"/>
      <c r="T26" s="9">
        <f t="shared" si="2"/>
        <v>88.672282758731185</v>
      </c>
      <c r="U26" s="68"/>
      <c r="V26" s="2">
        <f t="shared" si="3"/>
        <v>68.059787524185381</v>
      </c>
      <c r="Z26" s="10">
        <f t="shared" si="4"/>
        <v>105.61666273130598</v>
      </c>
      <c r="AA26" s="11">
        <v>18609</v>
      </c>
      <c r="AB26" s="11">
        <v>8350000</v>
      </c>
      <c r="AC26" s="10">
        <f t="shared" si="5"/>
        <v>229.75765373404744</v>
      </c>
      <c r="AD26" s="25">
        <f t="shared" si="6"/>
        <v>20.612495234545804</v>
      </c>
      <c r="AE26" s="25">
        <f t="shared" si="11"/>
        <v>20.612495234545804</v>
      </c>
      <c r="AF26" s="25">
        <f t="shared" si="7"/>
        <v>20.612495234545804</v>
      </c>
      <c r="AG26" s="25">
        <f t="shared" si="12"/>
        <v>20.612495234545804</v>
      </c>
    </row>
    <row r="27" spans="1:33" outlineLevel="1" x14ac:dyDescent="0.25">
      <c r="A27" s="6" t="s">
        <v>108</v>
      </c>
      <c r="B27" s="6" t="s">
        <v>109</v>
      </c>
      <c r="C27" s="6" t="s">
        <v>109</v>
      </c>
      <c r="D27" s="6" t="s">
        <v>110</v>
      </c>
      <c r="E27" s="6" t="s">
        <v>111</v>
      </c>
      <c r="F27" s="7">
        <f t="shared" si="0"/>
        <v>45.890240719798186</v>
      </c>
      <c r="G27" s="7">
        <f t="shared" si="8"/>
        <v>33.506903451104179</v>
      </c>
      <c r="H27" s="7">
        <f t="shared" si="1"/>
        <v>32.779897349223901</v>
      </c>
      <c r="I27" s="6">
        <v>22</v>
      </c>
      <c r="J27" s="6">
        <v>155</v>
      </c>
      <c r="K27" s="6">
        <v>238</v>
      </c>
      <c r="L27" s="13"/>
      <c r="M27" s="13"/>
      <c r="N27" s="13"/>
      <c r="O27" s="13"/>
      <c r="P27" s="8">
        <f t="shared" si="9"/>
        <v>21661</v>
      </c>
      <c r="Q27" s="8">
        <f t="shared" si="10"/>
        <v>18466.7</v>
      </c>
      <c r="R27" s="8">
        <v>16800</v>
      </c>
      <c r="S27" s="13"/>
      <c r="T27" s="9">
        <f t="shared" si="2"/>
        <v>67.465081466395006</v>
      </c>
      <c r="U27" s="68"/>
      <c r="V27" s="2">
        <f t="shared" si="3"/>
        <v>57.044459448757209</v>
      </c>
      <c r="Z27" s="10">
        <f t="shared" si="4"/>
        <v>120.61666273130598</v>
      </c>
      <c r="AA27" s="11">
        <v>23012</v>
      </c>
      <c r="AB27" s="11">
        <v>1160000</v>
      </c>
      <c r="AC27" s="10">
        <f t="shared" si="5"/>
        <v>45.076241638630492</v>
      </c>
      <c r="AD27" s="25">
        <f t="shared" si="6"/>
        <v>10.420622017637797</v>
      </c>
      <c r="AE27" s="25">
        <f t="shared" si="11"/>
        <v>10.420622017637797</v>
      </c>
      <c r="AF27" s="25">
        <f t="shared" si="7"/>
        <v>10.420622017637797</v>
      </c>
      <c r="AG27" s="25">
        <f t="shared" si="12"/>
        <v>10.420622017637797</v>
      </c>
    </row>
    <row r="28" spans="1:33" outlineLevel="1" x14ac:dyDescent="0.25">
      <c r="A28" s="6" t="s">
        <v>112</v>
      </c>
      <c r="B28" s="6" t="s">
        <v>113</v>
      </c>
      <c r="C28" s="6" t="s">
        <v>113</v>
      </c>
      <c r="D28" s="6" t="s">
        <v>114</v>
      </c>
      <c r="E28" s="6" t="s">
        <v>115</v>
      </c>
      <c r="F28" s="7">
        <f t="shared" si="0"/>
        <v>45.890240719798186</v>
      </c>
      <c r="G28" s="7">
        <f t="shared" si="8"/>
        <v>33.506903451104179</v>
      </c>
      <c r="H28" s="7">
        <f t="shared" si="1"/>
        <v>32.779897349223901</v>
      </c>
      <c r="I28" s="6">
        <v>165</v>
      </c>
      <c r="J28" s="6">
        <v>148</v>
      </c>
      <c r="K28" s="6">
        <v>233</v>
      </c>
      <c r="L28" s="13"/>
      <c r="M28" s="13"/>
      <c r="N28" s="13"/>
      <c r="O28" s="13"/>
      <c r="P28" s="8">
        <f t="shared" si="9"/>
        <v>21661</v>
      </c>
      <c r="Q28" s="8">
        <f t="shared" si="10"/>
        <v>18466.7</v>
      </c>
      <c r="R28" s="8">
        <v>16800</v>
      </c>
      <c r="S28" s="13"/>
      <c r="T28" s="9">
        <f t="shared" si="2"/>
        <v>288.86330540885729</v>
      </c>
      <c r="U28" s="68"/>
      <c r="V28" s="2">
        <f t="shared" si="3"/>
        <v>64.509887097137124</v>
      </c>
      <c r="Z28" s="10">
        <f t="shared" si="4"/>
        <v>-29.383337268694021</v>
      </c>
      <c r="AA28" s="11">
        <v>19866</v>
      </c>
      <c r="AB28" s="11">
        <v>7410000</v>
      </c>
      <c r="AC28" s="10">
        <f t="shared" si="5"/>
        <v>-60.556085692380279</v>
      </c>
      <c r="AD28" s="25">
        <f t="shared" si="6"/>
        <v>224.35341831172016</v>
      </c>
      <c r="AE28" s="25">
        <f t="shared" si="11"/>
        <v>224.35341831172016</v>
      </c>
      <c r="AF28" s="25">
        <f t="shared" si="7"/>
        <v>224.35341831172016</v>
      </c>
      <c r="AG28" s="25">
        <f t="shared" si="12"/>
        <v>224.35341831172016</v>
      </c>
    </row>
    <row r="29" spans="1:33" outlineLevel="1" x14ac:dyDescent="0.25">
      <c r="A29" s="6" t="s">
        <v>116</v>
      </c>
      <c r="B29" s="6" t="s">
        <v>117</v>
      </c>
      <c r="C29" s="6" t="s">
        <v>117</v>
      </c>
      <c r="D29" s="6" t="s">
        <v>118</v>
      </c>
      <c r="E29" s="6" t="s">
        <v>119</v>
      </c>
      <c r="F29" s="7">
        <f t="shared" si="0"/>
        <v>45.890240719798186</v>
      </c>
      <c r="G29" s="7">
        <f t="shared" si="8"/>
        <v>33.506903451104179</v>
      </c>
      <c r="H29" s="7">
        <f t="shared" si="1"/>
        <v>32.779897349223901</v>
      </c>
      <c r="I29" s="6">
        <v>144</v>
      </c>
      <c r="J29" s="6">
        <v>154</v>
      </c>
      <c r="K29" s="6">
        <v>238</v>
      </c>
      <c r="L29" s="13"/>
      <c r="M29" s="13"/>
      <c r="N29" s="13"/>
      <c r="O29" s="13"/>
      <c r="P29" s="8">
        <f t="shared" si="9"/>
        <v>21661</v>
      </c>
      <c r="Q29" s="8">
        <f t="shared" si="10"/>
        <v>18466.7</v>
      </c>
      <c r="R29" s="8">
        <v>16800</v>
      </c>
      <c r="S29" s="13"/>
      <c r="T29" s="9">
        <f t="shared" si="2"/>
        <v>152.94734074801818</v>
      </c>
      <c r="U29" s="68"/>
      <c r="V29" s="2">
        <f t="shared" si="3"/>
        <v>50.940424250091304</v>
      </c>
      <c r="Z29" s="10">
        <f t="shared" si="4"/>
        <v>-2.3833372686940208</v>
      </c>
      <c r="AA29" s="11">
        <v>25460</v>
      </c>
      <c r="AB29" s="11">
        <v>4330000</v>
      </c>
      <c r="AC29" s="10">
        <f t="shared" si="5"/>
        <v>-3.6784074671107749</v>
      </c>
      <c r="AD29" s="25">
        <f t="shared" si="6"/>
        <v>102.00691649792688</v>
      </c>
      <c r="AE29" s="25">
        <f t="shared" si="11"/>
        <v>102.00691649792688</v>
      </c>
      <c r="AF29" s="25">
        <f t="shared" si="7"/>
        <v>102.00691649792688</v>
      </c>
      <c r="AG29" s="25">
        <f t="shared" si="12"/>
        <v>102.00691649792688</v>
      </c>
    </row>
    <row r="30" spans="1:33" outlineLevel="1" x14ac:dyDescent="0.25">
      <c r="A30" s="6" t="s">
        <v>120</v>
      </c>
      <c r="B30" s="6" t="s">
        <v>121</v>
      </c>
      <c r="C30" s="6" t="s">
        <v>121</v>
      </c>
      <c r="D30" s="6" t="s">
        <v>122</v>
      </c>
      <c r="E30" s="6" t="s">
        <v>123</v>
      </c>
      <c r="F30" s="7">
        <f t="shared" si="0"/>
        <v>45.890240719798186</v>
      </c>
      <c r="G30" s="7">
        <f t="shared" si="8"/>
        <v>33.506903451104179</v>
      </c>
      <c r="H30" s="7">
        <f t="shared" si="1"/>
        <v>32.779897349223901</v>
      </c>
      <c r="I30" s="6">
        <v>77</v>
      </c>
      <c r="J30" s="6">
        <v>155</v>
      </c>
      <c r="K30" s="6">
        <v>239</v>
      </c>
      <c r="L30" s="13"/>
      <c r="M30" s="13"/>
      <c r="N30" s="13"/>
      <c r="O30" s="13"/>
      <c r="P30" s="8">
        <f t="shared" si="9"/>
        <v>21661</v>
      </c>
      <c r="Q30" s="8">
        <f t="shared" si="10"/>
        <v>18466.7</v>
      </c>
      <c r="R30" s="8">
        <v>16800</v>
      </c>
      <c r="S30" s="13"/>
      <c r="T30" s="9">
        <f t="shared" si="2"/>
        <v>94.075808778395583</v>
      </c>
      <c r="U30" s="68"/>
      <c r="V30" s="2">
        <f t="shared" si="3"/>
        <v>57.672678824587543</v>
      </c>
      <c r="Z30" s="10">
        <f t="shared" si="4"/>
        <v>65.616662731305979</v>
      </c>
      <c r="AA30" s="11">
        <v>22488</v>
      </c>
      <c r="AB30" s="11">
        <v>1890000</v>
      </c>
      <c r="AC30" s="10">
        <f t="shared" si="5"/>
        <v>39.044045554332563</v>
      </c>
      <c r="AD30" s="25">
        <f t="shared" si="6"/>
        <v>36.40312995380804</v>
      </c>
      <c r="AE30" s="25">
        <f t="shared" si="11"/>
        <v>36.40312995380804</v>
      </c>
      <c r="AF30" s="25">
        <f t="shared" si="7"/>
        <v>36.40312995380804</v>
      </c>
      <c r="AG30" s="25">
        <f t="shared" si="12"/>
        <v>36.40312995380804</v>
      </c>
    </row>
    <row r="31" spans="1:33" outlineLevel="1" x14ac:dyDescent="0.25">
      <c r="A31" s="6" t="s">
        <v>124</v>
      </c>
      <c r="B31" s="6" t="s">
        <v>125</v>
      </c>
      <c r="C31" s="6" t="s">
        <v>125</v>
      </c>
      <c r="D31" s="6" t="s">
        <v>126</v>
      </c>
      <c r="E31" s="6" t="s">
        <v>127</v>
      </c>
      <c r="F31" s="7">
        <f t="shared" si="0"/>
        <v>45.890240719798186</v>
      </c>
      <c r="G31" s="7">
        <f t="shared" si="8"/>
        <v>33.506903451104179</v>
      </c>
      <c r="H31" s="7">
        <f t="shared" si="1"/>
        <v>32.779897349223901</v>
      </c>
      <c r="I31" s="6">
        <v>220</v>
      </c>
      <c r="J31" s="6">
        <v>152</v>
      </c>
      <c r="K31" s="6">
        <v>236</v>
      </c>
      <c r="L31" s="13"/>
      <c r="M31" s="13"/>
      <c r="N31" s="13"/>
      <c r="O31" s="13"/>
      <c r="P31" s="8">
        <f t="shared" si="9"/>
        <v>21661</v>
      </c>
      <c r="Q31" s="8">
        <f t="shared" si="10"/>
        <v>18466.7</v>
      </c>
      <c r="R31" s="8">
        <v>16800</v>
      </c>
      <c r="S31" s="13"/>
      <c r="T31" s="9">
        <f>(P31-R31)/(((K31+H31)*AA31*14-(I31+F31)*AA31*14)*CONVERT(1,"g","ton"))</f>
        <v>4477.5176144616025</v>
      </c>
      <c r="U31" s="68"/>
      <c r="V31" s="2">
        <f t="shared" si="3"/>
        <v>53.273493588306629</v>
      </c>
      <c r="Z31" s="10">
        <f t="shared" si="4"/>
        <v>-80.383337268693992</v>
      </c>
      <c r="AA31" s="11">
        <v>24345</v>
      </c>
      <c r="AB31" s="11">
        <v>2280000</v>
      </c>
      <c r="AC31" s="10">
        <f t="shared" si="5"/>
        <v>-62.465280478138858</v>
      </c>
      <c r="AD31" s="25">
        <f t="shared" si="6"/>
        <v>4424.2441208732962</v>
      </c>
      <c r="AE31" s="25">
        <f t="shared" si="11"/>
        <v>4424.2441208732962</v>
      </c>
      <c r="AF31" s="25">
        <f t="shared" si="7"/>
        <v>4424.2441208732962</v>
      </c>
      <c r="AG31" s="25">
        <f>IF(AF31&gt;$AF$4,$AF$4,AF31)</f>
        <v>1129.3381142442736</v>
      </c>
    </row>
    <row r="32" spans="1:33" outlineLevel="1" x14ac:dyDescent="0.25">
      <c r="A32" s="6" t="s">
        <v>128</v>
      </c>
      <c r="B32" s="6" t="s">
        <v>129</v>
      </c>
      <c r="C32" s="6" t="s">
        <v>129</v>
      </c>
      <c r="D32" s="6" t="s">
        <v>130</v>
      </c>
      <c r="E32" s="6" t="s">
        <v>131</v>
      </c>
      <c r="F32" s="7">
        <f t="shared" si="0"/>
        <v>45.890240719798186</v>
      </c>
      <c r="G32" s="7">
        <f t="shared" si="8"/>
        <v>33.506903451104179</v>
      </c>
      <c r="H32" s="7">
        <f t="shared" si="1"/>
        <v>32.779897349223901</v>
      </c>
      <c r="I32" s="6">
        <v>247</v>
      </c>
      <c r="J32" s="6">
        <v>164</v>
      </c>
      <c r="K32" s="6">
        <v>245</v>
      </c>
      <c r="L32" s="13"/>
      <c r="M32" s="13"/>
      <c r="N32" s="13"/>
      <c r="O32" s="13"/>
      <c r="P32" s="8">
        <f t="shared" si="9"/>
        <v>21661</v>
      </c>
      <c r="Q32" s="8">
        <f t="shared" si="10"/>
        <v>18466.7</v>
      </c>
      <c r="R32" s="8">
        <v>16800</v>
      </c>
      <c r="S32" s="13"/>
      <c r="T32" s="9">
        <f t="shared" si="2"/>
        <v>-910.25807735756769</v>
      </c>
      <c r="U32" s="68"/>
      <c r="V32" s="2">
        <f t="shared" si="3"/>
        <v>58.749101409743083</v>
      </c>
      <c r="Z32" s="10">
        <f t="shared" si="4"/>
        <v>-95.383337268693992</v>
      </c>
      <c r="AA32" s="11">
        <v>22901</v>
      </c>
      <c r="AB32" s="11">
        <v>5070000</v>
      </c>
      <c r="AC32" s="10">
        <f t="shared" si="5"/>
        <v>-155.04685280597982</v>
      </c>
      <c r="AD32" s="25">
        <f t="shared" si="6"/>
        <v>-969.00717876731073</v>
      </c>
      <c r="AE32" s="25">
        <f t="shared" si="11"/>
        <v>969.00717876731073</v>
      </c>
      <c r="AF32" s="25">
        <f t="shared" si="7"/>
        <v>969.00717876731073</v>
      </c>
      <c r="AG32" s="25">
        <f t="shared" si="12"/>
        <v>969.00717876731073</v>
      </c>
    </row>
    <row r="33" spans="1:33" s="3" customFormat="1" ht="15.75" customHeight="1" outlineLevel="1" x14ac:dyDescent="0.25">
      <c r="A33" s="12" t="s">
        <v>132</v>
      </c>
      <c r="B33" s="12" t="s">
        <v>133</v>
      </c>
      <c r="C33" s="12" t="s">
        <v>133</v>
      </c>
      <c r="D33" s="12" t="s">
        <v>134</v>
      </c>
      <c r="E33" s="12" t="s">
        <v>135</v>
      </c>
      <c r="F33" s="7">
        <f t="shared" si="0"/>
        <v>45.890240719798186</v>
      </c>
      <c r="G33" s="7">
        <f t="shared" si="8"/>
        <v>33.506903451104179</v>
      </c>
      <c r="H33" s="7">
        <f t="shared" si="1"/>
        <v>32.779897349223901</v>
      </c>
      <c r="I33" s="12">
        <v>159</v>
      </c>
      <c r="J33" s="12">
        <v>147</v>
      </c>
      <c r="K33" s="12">
        <v>232</v>
      </c>
      <c r="L33" s="14"/>
      <c r="M33" s="14"/>
      <c r="N33" s="14"/>
      <c r="O33" s="14"/>
      <c r="P33" s="8">
        <f t="shared" si="9"/>
        <v>21661</v>
      </c>
      <c r="Q33" s="8">
        <f t="shared" si="10"/>
        <v>18466.7</v>
      </c>
      <c r="R33" s="4">
        <v>16800</v>
      </c>
      <c r="S33" s="14"/>
      <c r="T33" s="9">
        <f t="shared" si="2"/>
        <v>228.55310889306003</v>
      </c>
      <c r="U33" s="68"/>
      <c r="V33" s="2">
        <f t="shared" si="3"/>
        <v>55.690657790358316</v>
      </c>
      <c r="W33" s="2"/>
      <c r="X33" s="2"/>
      <c r="Y33" s="2"/>
      <c r="Z33" s="11">
        <f t="shared" si="4"/>
        <v>-24.383337268694021</v>
      </c>
      <c r="AA33" s="11">
        <v>23012</v>
      </c>
      <c r="AB33" s="21">
        <v>302120000</v>
      </c>
      <c r="AC33" s="10">
        <f t="shared" si="5"/>
        <v>-2373.3130260766875</v>
      </c>
      <c r="AD33" s="25">
        <f t="shared" si="6"/>
        <v>172.8624511027017</v>
      </c>
      <c r="AE33" s="25">
        <f t="shared" si="11"/>
        <v>172.8624511027017</v>
      </c>
      <c r="AF33" s="25">
        <f t="shared" si="7"/>
        <v>172.8624511027017</v>
      </c>
      <c r="AG33" s="25">
        <f t="shared" si="12"/>
        <v>172.8624511027017</v>
      </c>
    </row>
    <row r="34" spans="1:33" outlineLevel="1" x14ac:dyDescent="0.25">
      <c r="B34" s="13" t="s">
        <v>144</v>
      </c>
      <c r="C34" s="13" t="s">
        <v>144</v>
      </c>
      <c r="D34" s="6" t="s">
        <v>134</v>
      </c>
      <c r="E34" s="6" t="s">
        <v>11</v>
      </c>
      <c r="F34" s="7">
        <f t="shared" ref="F34:F63" si="13">56.81*1.3/m2k</f>
        <v>45.890240719798186</v>
      </c>
      <c r="G34" s="7">
        <f t="shared" ref="G34:G63" si="14">41.48*1.3/m2k</f>
        <v>33.506903451104179</v>
      </c>
      <c r="H34" s="7">
        <f t="shared" ref="H34:H63" si="15">40.58*1.3/m2k</f>
        <v>32.779897349223901</v>
      </c>
      <c r="I34">
        <v>175</v>
      </c>
      <c r="J34" s="14">
        <v>163.35</v>
      </c>
      <c r="K34">
        <v>242</v>
      </c>
      <c r="P34" s="8">
        <v>24081.360000000001</v>
      </c>
      <c r="Q34" s="8">
        <v>18060.560000000001</v>
      </c>
      <c r="R34" s="8">
        <v>16375.2</v>
      </c>
      <c r="T34" s="9">
        <f t="shared" ref="T34:T65" si="16">(P34-R34)/(((K34+H34)*AA34*14-(I34+F34)*AA34*14)*CONVERT(1,"g","ton"))</f>
        <v>454.09050788934917</v>
      </c>
      <c r="U34" s="68"/>
      <c r="V34" s="2">
        <f t="shared" ref="V34:V65" si="17">(Q34-R34)/(((K34+H34)*AA34*14-(J34+G34)*AA34*14)*CONVERT(1,"g","ton"))</f>
        <v>68.681041159030258</v>
      </c>
      <c r="Z34" s="11">
        <f t="shared" ref="Z34:Z65" si="18">(J34+G34)-(I34+F34)</f>
        <v>-24.033337268693998</v>
      </c>
      <c r="AA34" s="11">
        <v>20406</v>
      </c>
      <c r="AB34" s="21">
        <f>SUM(AB35:AB63)</f>
        <v>311787000</v>
      </c>
      <c r="AC34" s="10">
        <f t="shared" ref="AC34:AC65" si="19">AB34*AA34*Z34*0.000000000001*14</f>
        <v>-2140.7108111682383</v>
      </c>
      <c r="AD34" s="25">
        <f t="shared" ref="AD34:AD65" si="20">T34-V34</f>
        <v>385.40946673031891</v>
      </c>
      <c r="AE34" s="25">
        <f t="shared" si="11"/>
        <v>385.40946673031891</v>
      </c>
      <c r="AF34" s="25">
        <f t="shared" ref="AF34:AF65" si="21">IF(T34&lt;0,ABS(T34-V34),T34-V34)</f>
        <v>385.40946673031891</v>
      </c>
      <c r="AG34" s="25">
        <f t="shared" si="12"/>
        <v>385.40946673031891</v>
      </c>
    </row>
    <row r="35" spans="1:33" outlineLevel="1" x14ac:dyDescent="0.25">
      <c r="B35" s="13" t="s">
        <v>144</v>
      </c>
      <c r="C35" s="13" t="s">
        <v>144</v>
      </c>
      <c r="D35" t="s">
        <v>161</v>
      </c>
      <c r="E35" s="6" t="s">
        <v>11</v>
      </c>
      <c r="F35" s="7">
        <f t="shared" si="13"/>
        <v>45.890240719798186</v>
      </c>
      <c r="G35" s="7">
        <f t="shared" si="14"/>
        <v>33.506903451104179</v>
      </c>
      <c r="H35" s="7">
        <f t="shared" si="15"/>
        <v>32.779897349223901</v>
      </c>
      <c r="I35">
        <v>172</v>
      </c>
      <c r="J35" s="13">
        <v>163.35</v>
      </c>
      <c r="K35" s="13">
        <v>242</v>
      </c>
      <c r="L35" s="13"/>
      <c r="M35" s="13"/>
      <c r="N35" s="13"/>
      <c r="O35" s="13"/>
      <c r="P35" s="8">
        <v>24081.360000000001</v>
      </c>
      <c r="Q35" s="8">
        <v>18060.560000000001</v>
      </c>
      <c r="R35" s="8">
        <v>16375.2</v>
      </c>
      <c r="T35" s="9">
        <f t="shared" si="16"/>
        <v>696.62950532735601</v>
      </c>
      <c r="U35" s="68"/>
      <c r="V35" s="2">
        <f t="shared" si="17"/>
        <v>111.23058141993423</v>
      </c>
      <c r="Z35" s="11">
        <f t="shared" si="18"/>
        <v>-21.033337268693998</v>
      </c>
      <c r="AA35" s="11">
        <v>12600</v>
      </c>
      <c r="AB35" s="11">
        <v>13108000</v>
      </c>
      <c r="AC35" s="10">
        <f t="shared" si="19"/>
        <v>-48.634359339542428</v>
      </c>
      <c r="AD35" s="25">
        <f t="shared" si="20"/>
        <v>585.39892390742182</v>
      </c>
      <c r="AE35" s="25">
        <f t="shared" si="11"/>
        <v>585.39892390742182</v>
      </c>
      <c r="AF35" s="25">
        <f t="shared" si="21"/>
        <v>585.39892390742182</v>
      </c>
      <c r="AG35" s="25">
        <f t="shared" si="12"/>
        <v>585.39892390742182</v>
      </c>
    </row>
    <row r="36" spans="1:33" outlineLevel="1" x14ac:dyDescent="0.25">
      <c r="B36" s="13" t="s">
        <v>144</v>
      </c>
      <c r="C36" s="13" t="s">
        <v>144</v>
      </c>
      <c r="D36" t="s">
        <v>168</v>
      </c>
      <c r="E36" s="6" t="s">
        <v>11</v>
      </c>
      <c r="F36" s="7">
        <f t="shared" si="13"/>
        <v>45.890240719798186</v>
      </c>
      <c r="G36" s="7">
        <f t="shared" si="14"/>
        <v>33.506903451104179</v>
      </c>
      <c r="H36" s="7">
        <f t="shared" si="15"/>
        <v>32.779897349223901</v>
      </c>
      <c r="I36">
        <v>172</v>
      </c>
      <c r="J36" s="13">
        <v>163.35</v>
      </c>
      <c r="K36" s="13">
        <v>242</v>
      </c>
      <c r="L36" s="13"/>
      <c r="M36" s="13"/>
      <c r="N36" s="13"/>
      <c r="O36" s="13"/>
      <c r="P36" s="8">
        <v>24081.360000000001</v>
      </c>
      <c r="Q36" s="8">
        <v>18060.560000000001</v>
      </c>
      <c r="R36" s="8">
        <v>16375.2</v>
      </c>
      <c r="T36" s="9">
        <f t="shared" si="16"/>
        <v>696.62950532735601</v>
      </c>
      <c r="U36" s="68"/>
      <c r="V36" s="2">
        <f t="shared" si="17"/>
        <v>111.23058141993423</v>
      </c>
      <c r="Z36" s="11">
        <f t="shared" si="18"/>
        <v>-21.033337268693998</v>
      </c>
      <c r="AA36" s="11">
        <v>12600</v>
      </c>
      <c r="AB36" s="11">
        <v>26118000</v>
      </c>
      <c r="AC36" s="10">
        <f t="shared" si="19"/>
        <v>-96.905111171053463</v>
      </c>
      <c r="AD36" s="25">
        <f t="shared" si="20"/>
        <v>585.39892390742182</v>
      </c>
      <c r="AE36" s="25">
        <f t="shared" si="11"/>
        <v>585.39892390742182</v>
      </c>
      <c r="AF36" s="25">
        <f t="shared" si="21"/>
        <v>585.39892390742182</v>
      </c>
      <c r="AG36" s="25">
        <f t="shared" si="12"/>
        <v>585.39892390742182</v>
      </c>
    </row>
    <row r="37" spans="1:33" outlineLevel="1" x14ac:dyDescent="0.25">
      <c r="B37" s="13" t="s">
        <v>144</v>
      </c>
      <c r="C37" s="13" t="s">
        <v>144</v>
      </c>
      <c r="D37" t="s">
        <v>169</v>
      </c>
      <c r="E37" s="6" t="s">
        <v>11</v>
      </c>
      <c r="F37" s="7">
        <f t="shared" si="13"/>
        <v>45.890240719798186</v>
      </c>
      <c r="G37" s="7">
        <f t="shared" si="14"/>
        <v>33.506903451104179</v>
      </c>
      <c r="H37" s="7">
        <f t="shared" si="15"/>
        <v>32.779897349223901</v>
      </c>
      <c r="I37">
        <v>172</v>
      </c>
      <c r="J37" s="13">
        <v>163.35</v>
      </c>
      <c r="K37" s="13">
        <v>242</v>
      </c>
      <c r="L37" s="13"/>
      <c r="M37" s="13"/>
      <c r="N37" s="13"/>
      <c r="O37" s="13"/>
      <c r="P37" s="8">
        <v>24081.360000000001</v>
      </c>
      <c r="Q37" s="8">
        <v>18060.560000000001</v>
      </c>
      <c r="R37" s="8">
        <v>16375.2</v>
      </c>
      <c r="T37" s="9">
        <f t="shared" si="16"/>
        <v>696.62950532735601</v>
      </c>
      <c r="U37" s="68"/>
      <c r="V37" s="2">
        <f t="shared" si="17"/>
        <v>111.23058141993423</v>
      </c>
      <c r="Z37" s="11">
        <f t="shared" si="18"/>
        <v>-21.033337268693998</v>
      </c>
      <c r="AA37" s="11">
        <v>12600</v>
      </c>
      <c r="AB37" s="11">
        <v>14184000</v>
      </c>
      <c r="AC37" s="10">
        <f t="shared" si="19"/>
        <v>-52.626621366499059</v>
      </c>
      <c r="AD37" s="25">
        <f t="shared" si="20"/>
        <v>585.39892390742182</v>
      </c>
      <c r="AE37" s="25">
        <f t="shared" si="11"/>
        <v>585.39892390742182</v>
      </c>
      <c r="AF37" s="25">
        <f t="shared" si="21"/>
        <v>585.39892390742182</v>
      </c>
      <c r="AG37" s="25">
        <f t="shared" si="12"/>
        <v>585.39892390742182</v>
      </c>
    </row>
    <row r="38" spans="1:33" outlineLevel="1" x14ac:dyDescent="0.25">
      <c r="B38" s="13" t="s">
        <v>144</v>
      </c>
      <c r="C38" s="13" t="s">
        <v>144</v>
      </c>
      <c r="D38" t="s">
        <v>180</v>
      </c>
      <c r="E38" s="6" t="s">
        <v>11</v>
      </c>
      <c r="F38" s="7">
        <f t="shared" si="13"/>
        <v>45.890240719798186</v>
      </c>
      <c r="G38" s="7">
        <f t="shared" si="14"/>
        <v>33.506903451104179</v>
      </c>
      <c r="H38" s="7">
        <f t="shared" si="15"/>
        <v>32.779897349223901</v>
      </c>
      <c r="I38">
        <v>172</v>
      </c>
      <c r="J38" s="13">
        <v>163.35</v>
      </c>
      <c r="K38" s="13">
        <v>242</v>
      </c>
      <c r="L38" s="13"/>
      <c r="M38" s="13"/>
      <c r="N38" s="13"/>
      <c r="O38" s="13"/>
      <c r="P38" s="8">
        <v>24081.360000000001</v>
      </c>
      <c r="Q38" s="8">
        <v>18060.560000000001</v>
      </c>
      <c r="R38" s="8">
        <v>16375.2</v>
      </c>
      <c r="T38" s="9">
        <f t="shared" si="16"/>
        <v>696.62950532735601</v>
      </c>
      <c r="U38" s="68"/>
      <c r="V38" s="2">
        <f t="shared" si="17"/>
        <v>111.23058141993423</v>
      </c>
      <c r="Z38" s="11">
        <f t="shared" si="18"/>
        <v>-21.033337268693998</v>
      </c>
      <c r="AA38" s="11">
        <v>12600</v>
      </c>
      <c r="AB38" s="11">
        <v>32095000</v>
      </c>
      <c r="AC38" s="10">
        <f t="shared" si="19"/>
        <v>-119.08145888027265</v>
      </c>
      <c r="AD38" s="25">
        <f t="shared" si="20"/>
        <v>585.39892390742182</v>
      </c>
      <c r="AE38" s="25">
        <f t="shared" si="11"/>
        <v>585.39892390742182</v>
      </c>
      <c r="AF38" s="25">
        <f t="shared" si="21"/>
        <v>585.39892390742182</v>
      </c>
      <c r="AG38" s="25">
        <f t="shared" si="12"/>
        <v>585.39892390742182</v>
      </c>
    </row>
    <row r="39" spans="1:33" outlineLevel="1" x14ac:dyDescent="0.25">
      <c r="B39" s="13" t="s">
        <v>144</v>
      </c>
      <c r="C39" s="13" t="s">
        <v>144</v>
      </c>
      <c r="D39" t="s">
        <v>181</v>
      </c>
      <c r="E39" s="6" t="s">
        <v>11</v>
      </c>
      <c r="F39" s="7">
        <f t="shared" si="13"/>
        <v>45.890240719798186</v>
      </c>
      <c r="G39" s="7">
        <f t="shared" si="14"/>
        <v>33.506903451104179</v>
      </c>
      <c r="H39" s="7">
        <f t="shared" si="15"/>
        <v>32.779897349223901</v>
      </c>
      <c r="I39">
        <v>172</v>
      </c>
      <c r="J39" s="13">
        <v>163.35</v>
      </c>
      <c r="K39" s="13">
        <v>242</v>
      </c>
      <c r="L39" s="13"/>
      <c r="M39" s="13"/>
      <c r="N39" s="13"/>
      <c r="O39" s="13"/>
      <c r="P39" s="8">
        <v>24081.360000000001</v>
      </c>
      <c r="Q39" s="8">
        <v>18060.560000000001</v>
      </c>
      <c r="R39" s="8">
        <v>16375.2</v>
      </c>
      <c r="T39" s="9">
        <f t="shared" si="16"/>
        <v>696.62950532735601</v>
      </c>
      <c r="U39" s="68"/>
      <c r="V39" s="2">
        <f t="shared" si="17"/>
        <v>111.23058141993423</v>
      </c>
      <c r="Z39" s="11">
        <f t="shared" si="18"/>
        <v>-21.033337268693998</v>
      </c>
      <c r="AA39" s="11">
        <v>12600</v>
      </c>
      <c r="AB39" s="11">
        <v>12906000</v>
      </c>
      <c r="AC39" s="10">
        <f t="shared" si="19"/>
        <v>-47.884882639314498</v>
      </c>
      <c r="AD39" s="25">
        <f t="shared" si="20"/>
        <v>585.39892390742182</v>
      </c>
      <c r="AE39" s="25">
        <f t="shared" si="11"/>
        <v>585.39892390742182</v>
      </c>
      <c r="AF39" s="25">
        <f t="shared" si="21"/>
        <v>585.39892390742182</v>
      </c>
      <c r="AG39" s="25">
        <f t="shared" si="12"/>
        <v>585.39892390742182</v>
      </c>
    </row>
    <row r="40" spans="1:33" outlineLevel="1" x14ac:dyDescent="0.25">
      <c r="B40" s="13" t="s">
        <v>144</v>
      </c>
      <c r="C40" s="13" t="s">
        <v>144</v>
      </c>
      <c r="D40" t="s">
        <v>162</v>
      </c>
      <c r="E40" s="6" t="s">
        <v>11</v>
      </c>
      <c r="F40" s="7">
        <f t="shared" si="13"/>
        <v>45.890240719798186</v>
      </c>
      <c r="G40" s="7">
        <f t="shared" si="14"/>
        <v>33.506903451104179</v>
      </c>
      <c r="H40" s="7">
        <f t="shared" si="15"/>
        <v>32.779897349223901</v>
      </c>
      <c r="I40">
        <v>118</v>
      </c>
      <c r="J40" s="13">
        <v>163.35</v>
      </c>
      <c r="K40" s="13">
        <v>242</v>
      </c>
      <c r="L40" s="13"/>
      <c r="M40" s="13"/>
      <c r="N40" s="13"/>
      <c r="O40" s="13"/>
      <c r="P40" s="8">
        <v>24081.360000000001</v>
      </c>
      <c r="Q40" s="8">
        <v>18060.560000000001</v>
      </c>
      <c r="R40" s="8">
        <v>16375.2</v>
      </c>
      <c r="T40" s="9">
        <f t="shared" si="16"/>
        <v>357.39143361621245</v>
      </c>
      <c r="U40" s="68"/>
      <c r="V40" s="2">
        <f t="shared" si="17"/>
        <v>111.23058141993423</v>
      </c>
      <c r="Z40" s="11">
        <f t="shared" si="18"/>
        <v>32.966662731306002</v>
      </c>
      <c r="AA40" s="11">
        <v>12600</v>
      </c>
      <c r="AB40" s="11">
        <v>230000</v>
      </c>
      <c r="AC40" s="10">
        <f t="shared" si="19"/>
        <v>1.3375234403345471</v>
      </c>
      <c r="AD40" s="25">
        <f t="shared" si="20"/>
        <v>246.16085219627823</v>
      </c>
      <c r="AE40" s="25">
        <f t="shared" si="11"/>
        <v>246.16085219627823</v>
      </c>
      <c r="AF40" s="25">
        <f t="shared" si="21"/>
        <v>246.16085219627823</v>
      </c>
      <c r="AG40" s="25">
        <f t="shared" si="12"/>
        <v>246.16085219627823</v>
      </c>
    </row>
    <row r="41" spans="1:33" outlineLevel="1" x14ac:dyDescent="0.25">
      <c r="B41" s="13" t="s">
        <v>144</v>
      </c>
      <c r="C41" s="13" t="s">
        <v>144</v>
      </c>
      <c r="D41" t="s">
        <v>163</v>
      </c>
      <c r="E41" s="6" t="s">
        <v>11</v>
      </c>
      <c r="F41" s="7">
        <f t="shared" si="13"/>
        <v>45.890240719798186</v>
      </c>
      <c r="G41" s="7">
        <f t="shared" si="14"/>
        <v>33.506903451104179</v>
      </c>
      <c r="H41" s="7">
        <f t="shared" si="15"/>
        <v>32.779897349223901</v>
      </c>
      <c r="I41">
        <v>118</v>
      </c>
      <c r="J41" s="13">
        <v>163.35</v>
      </c>
      <c r="K41" s="13">
        <v>242</v>
      </c>
      <c r="L41" s="13"/>
      <c r="M41" s="13"/>
      <c r="N41" s="13"/>
      <c r="O41" s="13"/>
      <c r="P41" s="8">
        <v>24081.360000000001</v>
      </c>
      <c r="Q41" s="8">
        <v>18060.560000000001</v>
      </c>
      <c r="R41" s="8">
        <v>16375.2</v>
      </c>
      <c r="T41" s="9">
        <f t="shared" si="16"/>
        <v>357.39143361621245</v>
      </c>
      <c r="U41" s="68"/>
      <c r="V41" s="2">
        <f t="shared" si="17"/>
        <v>111.23058141993423</v>
      </c>
      <c r="Z41" s="11">
        <f t="shared" si="18"/>
        <v>32.966662731306002</v>
      </c>
      <c r="AA41" s="11">
        <v>12600</v>
      </c>
      <c r="AB41" s="11">
        <v>4359000</v>
      </c>
      <c r="AC41" s="10">
        <f t="shared" si="19"/>
        <v>25.348976853992568</v>
      </c>
      <c r="AD41" s="25">
        <f t="shared" si="20"/>
        <v>246.16085219627823</v>
      </c>
      <c r="AE41" s="25">
        <f t="shared" si="11"/>
        <v>246.16085219627823</v>
      </c>
      <c r="AF41" s="25">
        <f t="shared" si="21"/>
        <v>246.16085219627823</v>
      </c>
      <c r="AG41" s="25">
        <f t="shared" si="12"/>
        <v>246.16085219627823</v>
      </c>
    </row>
    <row r="42" spans="1:33" outlineLevel="1" x14ac:dyDescent="0.25">
      <c r="B42" s="13" t="s">
        <v>144</v>
      </c>
      <c r="C42" s="13" t="s">
        <v>144</v>
      </c>
      <c r="D42" t="s">
        <v>172</v>
      </c>
      <c r="E42" s="6" t="s">
        <v>11</v>
      </c>
      <c r="F42" s="7">
        <f t="shared" si="13"/>
        <v>45.890240719798186</v>
      </c>
      <c r="G42" s="7">
        <f t="shared" si="14"/>
        <v>33.506903451104179</v>
      </c>
      <c r="H42" s="7">
        <f t="shared" si="15"/>
        <v>32.779897349223901</v>
      </c>
      <c r="I42">
        <v>118</v>
      </c>
      <c r="J42" s="13">
        <v>163.35</v>
      </c>
      <c r="K42" s="13">
        <v>242</v>
      </c>
      <c r="L42" s="13"/>
      <c r="M42" s="13"/>
      <c r="N42" s="13"/>
      <c r="O42" s="13"/>
      <c r="P42" s="8">
        <v>24081.360000000001</v>
      </c>
      <c r="Q42" s="8">
        <v>18060.560000000001</v>
      </c>
      <c r="R42" s="8">
        <v>16375.2</v>
      </c>
      <c r="T42" s="9">
        <f t="shared" si="16"/>
        <v>357.39143361621245</v>
      </c>
      <c r="U42" s="68"/>
      <c r="V42" s="2">
        <f t="shared" si="17"/>
        <v>111.23058141993423</v>
      </c>
      <c r="Z42" s="11">
        <f t="shared" si="18"/>
        <v>32.966662731306002</v>
      </c>
      <c r="AA42" s="11">
        <v>12600</v>
      </c>
      <c r="AB42" s="11">
        <v>362000</v>
      </c>
      <c r="AC42" s="10">
        <f t="shared" si="19"/>
        <v>2.1051455887004606</v>
      </c>
      <c r="AD42" s="25">
        <f t="shared" si="20"/>
        <v>246.16085219627823</v>
      </c>
      <c r="AE42" s="25">
        <f t="shared" si="11"/>
        <v>246.16085219627823</v>
      </c>
      <c r="AF42" s="25">
        <f t="shared" si="21"/>
        <v>246.16085219627823</v>
      </c>
      <c r="AG42" s="25">
        <f t="shared" si="12"/>
        <v>246.16085219627823</v>
      </c>
    </row>
    <row r="43" spans="1:33" outlineLevel="1" x14ac:dyDescent="0.25">
      <c r="B43" s="13" t="s">
        <v>144</v>
      </c>
      <c r="C43" s="13" t="s">
        <v>144</v>
      </c>
      <c r="D43" t="s">
        <v>173</v>
      </c>
      <c r="E43" s="6" t="s">
        <v>11</v>
      </c>
      <c r="F43" s="7">
        <f t="shared" si="13"/>
        <v>45.890240719798186</v>
      </c>
      <c r="G43" s="7">
        <f t="shared" si="14"/>
        <v>33.506903451104179</v>
      </c>
      <c r="H43" s="7">
        <f t="shared" si="15"/>
        <v>32.779897349223901</v>
      </c>
      <c r="I43">
        <v>118</v>
      </c>
      <c r="J43" s="13">
        <v>163.35</v>
      </c>
      <c r="K43" s="13">
        <v>242</v>
      </c>
      <c r="L43" s="13"/>
      <c r="M43" s="13"/>
      <c r="N43" s="13"/>
      <c r="O43" s="13"/>
      <c r="P43" s="8">
        <v>24081.360000000001</v>
      </c>
      <c r="Q43" s="8">
        <v>18060.560000000001</v>
      </c>
      <c r="R43" s="8">
        <v>16375.2</v>
      </c>
      <c r="T43" s="9">
        <f t="shared" si="16"/>
        <v>357.39143361621245</v>
      </c>
      <c r="U43" s="68"/>
      <c r="V43" s="2">
        <f t="shared" si="17"/>
        <v>111.23058141993423</v>
      </c>
      <c r="Z43" s="11">
        <f t="shared" si="18"/>
        <v>32.966662731306002</v>
      </c>
      <c r="AA43" s="11">
        <v>12600</v>
      </c>
      <c r="AB43" s="11">
        <v>366000</v>
      </c>
      <c r="AC43" s="10">
        <f t="shared" si="19"/>
        <v>2.1284068659236706</v>
      </c>
      <c r="AD43" s="25">
        <f t="shared" si="20"/>
        <v>246.16085219627823</v>
      </c>
      <c r="AE43" s="25">
        <f t="shared" si="11"/>
        <v>246.16085219627823</v>
      </c>
      <c r="AF43" s="25">
        <f t="shared" si="21"/>
        <v>246.16085219627823</v>
      </c>
      <c r="AG43" s="25">
        <f t="shared" si="12"/>
        <v>246.16085219627823</v>
      </c>
    </row>
    <row r="44" spans="1:33" outlineLevel="1" x14ac:dyDescent="0.25">
      <c r="B44" s="13" t="s">
        <v>144</v>
      </c>
      <c r="C44" s="13" t="s">
        <v>144</v>
      </c>
      <c r="D44" t="s">
        <v>174</v>
      </c>
      <c r="E44" s="6" t="s">
        <v>11</v>
      </c>
      <c r="F44" s="7">
        <f t="shared" si="13"/>
        <v>45.890240719798186</v>
      </c>
      <c r="G44" s="7">
        <f t="shared" si="14"/>
        <v>33.506903451104179</v>
      </c>
      <c r="H44" s="7">
        <f t="shared" si="15"/>
        <v>32.779897349223901</v>
      </c>
      <c r="I44">
        <v>118</v>
      </c>
      <c r="J44" s="13">
        <v>163.35</v>
      </c>
      <c r="K44" s="13">
        <v>242</v>
      </c>
      <c r="L44" s="13"/>
      <c r="M44" s="13"/>
      <c r="N44" s="13"/>
      <c r="O44" s="13"/>
      <c r="P44" s="8">
        <v>24081.360000000001</v>
      </c>
      <c r="Q44" s="8">
        <v>18060.560000000001</v>
      </c>
      <c r="R44" s="8">
        <v>16375.2</v>
      </c>
      <c r="T44" s="9">
        <f t="shared" si="16"/>
        <v>357.39143361621245</v>
      </c>
      <c r="U44" s="68"/>
      <c r="V44" s="2">
        <f t="shared" si="17"/>
        <v>111.23058141993423</v>
      </c>
      <c r="Z44" s="11">
        <f t="shared" si="18"/>
        <v>32.966662731306002</v>
      </c>
      <c r="AA44" s="11">
        <v>12600</v>
      </c>
      <c r="AB44" s="11">
        <v>267000</v>
      </c>
      <c r="AC44" s="10">
        <f t="shared" si="19"/>
        <v>1.5526902546492352</v>
      </c>
      <c r="AD44" s="25">
        <f t="shared" si="20"/>
        <v>246.16085219627823</v>
      </c>
      <c r="AE44" s="25">
        <f t="shared" si="11"/>
        <v>246.16085219627823</v>
      </c>
      <c r="AF44" s="25">
        <f t="shared" si="21"/>
        <v>246.16085219627823</v>
      </c>
      <c r="AG44" s="25">
        <f t="shared" si="12"/>
        <v>246.16085219627823</v>
      </c>
    </row>
    <row r="45" spans="1:33" outlineLevel="1" x14ac:dyDescent="0.25">
      <c r="B45" s="13" t="s">
        <v>144</v>
      </c>
      <c r="C45" s="13" t="s">
        <v>144</v>
      </c>
      <c r="D45" t="s">
        <v>175</v>
      </c>
      <c r="E45" s="6" t="s">
        <v>11</v>
      </c>
      <c r="F45" s="7">
        <f t="shared" si="13"/>
        <v>45.890240719798186</v>
      </c>
      <c r="G45" s="7">
        <f t="shared" si="14"/>
        <v>33.506903451104179</v>
      </c>
      <c r="H45" s="7">
        <f t="shared" si="15"/>
        <v>32.779897349223901</v>
      </c>
      <c r="I45">
        <v>118</v>
      </c>
      <c r="J45" s="13">
        <v>163.35</v>
      </c>
      <c r="K45" s="13">
        <v>242</v>
      </c>
      <c r="L45" s="13"/>
      <c r="M45" s="13"/>
      <c r="N45" s="13"/>
      <c r="O45" s="13"/>
      <c r="P45" s="8">
        <v>24081.360000000001</v>
      </c>
      <c r="Q45" s="8">
        <v>18060.560000000001</v>
      </c>
      <c r="R45" s="8">
        <v>16375.2</v>
      </c>
      <c r="T45" s="9">
        <f t="shared" si="16"/>
        <v>357.39143361621245</v>
      </c>
      <c r="U45" s="68"/>
      <c r="V45" s="2">
        <f t="shared" si="17"/>
        <v>111.23058141993423</v>
      </c>
      <c r="Z45" s="11">
        <f t="shared" si="18"/>
        <v>32.966662731306002</v>
      </c>
      <c r="AA45" s="11">
        <v>12600</v>
      </c>
      <c r="AB45" s="11">
        <v>520000</v>
      </c>
      <c r="AC45" s="10">
        <f t="shared" si="19"/>
        <v>3.0239660390172372</v>
      </c>
      <c r="AD45" s="25">
        <f t="shared" si="20"/>
        <v>246.16085219627823</v>
      </c>
      <c r="AE45" s="25">
        <f t="shared" si="11"/>
        <v>246.16085219627823</v>
      </c>
      <c r="AF45" s="25">
        <f t="shared" si="21"/>
        <v>246.16085219627823</v>
      </c>
      <c r="AG45" s="25">
        <f t="shared" si="12"/>
        <v>246.16085219627823</v>
      </c>
    </row>
    <row r="46" spans="1:33" outlineLevel="1" x14ac:dyDescent="0.25">
      <c r="B46" s="13" t="s">
        <v>144</v>
      </c>
      <c r="C46" s="13" t="s">
        <v>144</v>
      </c>
      <c r="D46" t="s">
        <v>182</v>
      </c>
      <c r="E46" s="6" t="s">
        <v>11</v>
      </c>
      <c r="F46" s="7">
        <f t="shared" si="13"/>
        <v>45.890240719798186</v>
      </c>
      <c r="G46" s="7">
        <f t="shared" si="14"/>
        <v>33.506903451104179</v>
      </c>
      <c r="H46" s="7">
        <f t="shared" si="15"/>
        <v>32.779897349223901</v>
      </c>
      <c r="I46">
        <v>118</v>
      </c>
      <c r="J46" s="13">
        <v>163.35</v>
      </c>
      <c r="K46" s="13">
        <v>242</v>
      </c>
      <c r="L46" s="13"/>
      <c r="M46" s="13"/>
      <c r="N46" s="13"/>
      <c r="O46" s="13"/>
      <c r="P46" s="8">
        <v>24081.360000000001</v>
      </c>
      <c r="Q46" s="8">
        <v>18060.560000000001</v>
      </c>
      <c r="R46" s="8">
        <v>16375.2</v>
      </c>
      <c r="T46" s="9">
        <f t="shared" si="16"/>
        <v>357.39143361621245</v>
      </c>
      <c r="U46" s="68"/>
      <c r="V46" s="2">
        <f t="shared" si="17"/>
        <v>111.23058141993423</v>
      </c>
      <c r="Z46" s="11">
        <f t="shared" si="18"/>
        <v>32.966662731306002</v>
      </c>
      <c r="AA46" s="11">
        <v>12600</v>
      </c>
      <c r="AB46" s="11">
        <v>551000</v>
      </c>
      <c r="AC46" s="10">
        <f t="shared" si="19"/>
        <v>3.2042409374971106</v>
      </c>
      <c r="AD46" s="25">
        <f t="shared" si="20"/>
        <v>246.16085219627823</v>
      </c>
      <c r="AE46" s="25">
        <f t="shared" si="11"/>
        <v>246.16085219627823</v>
      </c>
      <c r="AF46" s="25">
        <f t="shared" si="21"/>
        <v>246.16085219627823</v>
      </c>
      <c r="AG46" s="25">
        <f t="shared" si="12"/>
        <v>246.16085219627823</v>
      </c>
    </row>
    <row r="47" spans="1:33" outlineLevel="1" x14ac:dyDescent="0.25">
      <c r="B47" s="13" t="s">
        <v>144</v>
      </c>
      <c r="C47" s="13" t="s">
        <v>144</v>
      </c>
      <c r="D47" t="s">
        <v>165</v>
      </c>
      <c r="E47" s="6" t="s">
        <v>11</v>
      </c>
      <c r="F47" s="7">
        <f t="shared" si="13"/>
        <v>45.890240719798186</v>
      </c>
      <c r="G47" s="7">
        <f t="shared" si="14"/>
        <v>33.506903451104179</v>
      </c>
      <c r="H47" s="7">
        <f t="shared" si="15"/>
        <v>32.779897349223901</v>
      </c>
      <c r="I47">
        <v>215</v>
      </c>
      <c r="J47" s="13">
        <v>163.35</v>
      </c>
      <c r="K47" s="13">
        <v>242</v>
      </c>
      <c r="L47" s="13"/>
      <c r="M47" s="13"/>
      <c r="N47" s="13"/>
      <c r="O47" s="13"/>
      <c r="P47" s="8">
        <v>24081.360000000001</v>
      </c>
      <c r="Q47" s="8">
        <v>18060.560000000001</v>
      </c>
      <c r="R47" s="8">
        <v>16375.2</v>
      </c>
      <c r="T47" s="9">
        <f t="shared" si="16"/>
        <v>2853.27524022734</v>
      </c>
      <c r="U47" s="68"/>
      <c r="V47" s="2">
        <f t="shared" si="17"/>
        <v>111.23058141993423</v>
      </c>
      <c r="Z47" s="11">
        <f t="shared" si="18"/>
        <v>-64.03333726869397</v>
      </c>
      <c r="AA47" s="11">
        <v>12600</v>
      </c>
      <c r="AB47" s="11">
        <v>6986000</v>
      </c>
      <c r="AC47" s="10">
        <f t="shared" si="19"/>
        <v>-78.910228129664546</v>
      </c>
      <c r="AD47" s="25">
        <f t="shared" si="20"/>
        <v>2742.0446588074055</v>
      </c>
      <c r="AE47" s="25">
        <f t="shared" si="11"/>
        <v>2742.0446588074055</v>
      </c>
      <c r="AF47" s="25">
        <f t="shared" si="21"/>
        <v>2742.0446588074055</v>
      </c>
      <c r="AG47" s="25">
        <f t="shared" si="12"/>
        <v>1129.3381142442736</v>
      </c>
    </row>
    <row r="48" spans="1:33" outlineLevel="1" x14ac:dyDescent="0.25">
      <c r="B48" s="13" t="s">
        <v>144</v>
      </c>
      <c r="C48" s="13" t="s">
        <v>144</v>
      </c>
      <c r="D48" t="s">
        <v>166</v>
      </c>
      <c r="E48" s="6" t="s">
        <v>11</v>
      </c>
      <c r="F48" s="7">
        <f t="shared" si="13"/>
        <v>45.890240719798186</v>
      </c>
      <c r="G48" s="7">
        <f t="shared" si="14"/>
        <v>33.506903451104179</v>
      </c>
      <c r="H48" s="7">
        <f t="shared" si="15"/>
        <v>32.779897349223901</v>
      </c>
      <c r="I48">
        <v>215</v>
      </c>
      <c r="J48" s="13">
        <v>163.35</v>
      </c>
      <c r="K48" s="13">
        <v>242</v>
      </c>
      <c r="L48" s="13"/>
      <c r="M48" s="13"/>
      <c r="N48" s="13"/>
      <c r="O48" s="13"/>
      <c r="P48" s="8">
        <v>24081.360000000001</v>
      </c>
      <c r="Q48" s="8">
        <v>18060.560000000001</v>
      </c>
      <c r="R48" s="8">
        <v>16375.2</v>
      </c>
      <c r="T48" s="9">
        <f t="shared" si="16"/>
        <v>2853.27524022734</v>
      </c>
      <c r="U48" s="68"/>
      <c r="V48" s="2">
        <f t="shared" si="17"/>
        <v>111.23058141993423</v>
      </c>
      <c r="Z48" s="11">
        <f t="shared" si="18"/>
        <v>-64.03333726869397</v>
      </c>
      <c r="AA48" s="11">
        <v>12600</v>
      </c>
      <c r="AB48" s="11">
        <v>1458000</v>
      </c>
      <c r="AC48" s="10">
        <f t="shared" si="19"/>
        <v>-16.468810852140123</v>
      </c>
      <c r="AD48" s="25">
        <f t="shared" si="20"/>
        <v>2742.0446588074055</v>
      </c>
      <c r="AE48" s="25">
        <f t="shared" si="11"/>
        <v>2742.0446588074055</v>
      </c>
      <c r="AF48" s="25">
        <f t="shared" si="21"/>
        <v>2742.0446588074055</v>
      </c>
      <c r="AG48" s="25">
        <f t="shared" si="12"/>
        <v>1129.3381142442736</v>
      </c>
    </row>
    <row r="49" spans="2:34" outlineLevel="1" x14ac:dyDescent="0.25">
      <c r="B49" s="13" t="s">
        <v>144</v>
      </c>
      <c r="C49" s="13" t="s">
        <v>144</v>
      </c>
      <c r="D49" t="s">
        <v>147</v>
      </c>
      <c r="E49" s="6" t="s">
        <v>11</v>
      </c>
      <c r="F49" s="7">
        <f t="shared" si="13"/>
        <v>45.890240719798186</v>
      </c>
      <c r="G49" s="7">
        <f t="shared" si="14"/>
        <v>33.506903451104179</v>
      </c>
      <c r="H49" s="7">
        <f t="shared" si="15"/>
        <v>32.779897349223901</v>
      </c>
      <c r="I49">
        <v>215</v>
      </c>
      <c r="J49" s="13">
        <v>163.35</v>
      </c>
      <c r="K49" s="13">
        <v>242</v>
      </c>
      <c r="L49" s="13"/>
      <c r="M49" s="13"/>
      <c r="N49" s="13"/>
      <c r="O49" s="13"/>
      <c r="P49" s="8">
        <v>24081.360000000001</v>
      </c>
      <c r="Q49" s="8">
        <v>18060.560000000001</v>
      </c>
      <c r="R49" s="8">
        <v>16375.2</v>
      </c>
      <c r="T49" s="9">
        <f t="shared" si="16"/>
        <v>2853.27524022734</v>
      </c>
      <c r="U49" s="68"/>
      <c r="V49" s="2">
        <f t="shared" si="17"/>
        <v>111.23058141993423</v>
      </c>
      <c r="Z49" s="11">
        <f t="shared" si="18"/>
        <v>-64.03333726869397</v>
      </c>
      <c r="AA49" s="11">
        <v>12600</v>
      </c>
      <c r="AB49" s="11">
        <v>26837000</v>
      </c>
      <c r="AC49" s="10">
        <f t="shared" si="19"/>
        <v>-303.13681539018148</v>
      </c>
      <c r="AD49" s="25">
        <f t="shared" si="20"/>
        <v>2742.0446588074055</v>
      </c>
      <c r="AE49" s="25">
        <f t="shared" si="11"/>
        <v>2742.0446588074055</v>
      </c>
      <c r="AF49" s="25">
        <f t="shared" si="21"/>
        <v>2742.0446588074055</v>
      </c>
      <c r="AG49" s="25">
        <f t="shared" si="12"/>
        <v>1129.3381142442736</v>
      </c>
    </row>
    <row r="50" spans="2:34" outlineLevel="1" x14ac:dyDescent="0.25">
      <c r="B50" s="13" t="s">
        <v>144</v>
      </c>
      <c r="C50" s="13" t="s">
        <v>144</v>
      </c>
      <c r="D50" t="s">
        <v>170</v>
      </c>
      <c r="E50" s="6" t="s">
        <v>11</v>
      </c>
      <c r="F50" s="7">
        <f t="shared" si="13"/>
        <v>45.890240719798186</v>
      </c>
      <c r="G50" s="7">
        <f t="shared" si="14"/>
        <v>33.506903451104179</v>
      </c>
      <c r="H50" s="7">
        <f t="shared" si="15"/>
        <v>32.779897349223901</v>
      </c>
      <c r="I50">
        <v>215</v>
      </c>
      <c r="J50" s="13">
        <v>163.35</v>
      </c>
      <c r="K50" s="13">
        <v>242</v>
      </c>
      <c r="L50" s="13"/>
      <c r="M50" s="13"/>
      <c r="N50" s="13"/>
      <c r="O50" s="13"/>
      <c r="P50" s="8">
        <v>24081.360000000001</v>
      </c>
      <c r="Q50" s="8">
        <v>18060.560000000001</v>
      </c>
      <c r="R50" s="8">
        <v>16375.2</v>
      </c>
      <c r="T50" s="9">
        <f t="shared" si="16"/>
        <v>2853.27524022734</v>
      </c>
      <c r="U50" s="68"/>
      <c r="V50" s="2">
        <f t="shared" si="17"/>
        <v>111.23058141993423</v>
      </c>
      <c r="Z50" s="11">
        <f t="shared" si="18"/>
        <v>-64.03333726869397</v>
      </c>
      <c r="AA50" s="11">
        <v>12600</v>
      </c>
      <c r="AB50" s="11">
        <v>17923000</v>
      </c>
      <c r="AC50" s="10">
        <f t="shared" si="19"/>
        <v>-202.44890048210388</v>
      </c>
      <c r="AD50" s="25">
        <f t="shared" si="20"/>
        <v>2742.0446588074055</v>
      </c>
      <c r="AE50" s="25">
        <f t="shared" si="11"/>
        <v>2742.0446588074055</v>
      </c>
      <c r="AF50" s="25">
        <f t="shared" si="21"/>
        <v>2742.0446588074055</v>
      </c>
      <c r="AG50" s="25">
        <f t="shared" si="12"/>
        <v>1129.3381142442736</v>
      </c>
    </row>
    <row r="51" spans="2:34" outlineLevel="1" x14ac:dyDescent="0.25">
      <c r="B51" s="13" t="s">
        <v>144</v>
      </c>
      <c r="C51" s="13" t="s">
        <v>144</v>
      </c>
      <c r="D51" t="s">
        <v>171</v>
      </c>
      <c r="E51" s="6" t="s">
        <v>11</v>
      </c>
      <c r="F51" s="7">
        <f t="shared" si="13"/>
        <v>45.890240719798186</v>
      </c>
      <c r="G51" s="7">
        <f t="shared" si="14"/>
        <v>33.506903451104179</v>
      </c>
      <c r="H51" s="7">
        <f t="shared" si="15"/>
        <v>32.779897349223901</v>
      </c>
      <c r="I51">
        <v>215</v>
      </c>
      <c r="J51" s="13">
        <v>163.35</v>
      </c>
      <c r="K51" s="13">
        <v>242</v>
      </c>
      <c r="L51" s="13"/>
      <c r="M51" s="13"/>
      <c r="N51" s="13"/>
      <c r="O51" s="13"/>
      <c r="P51" s="8">
        <v>24081.360000000001</v>
      </c>
      <c r="Q51" s="8">
        <v>18060.560000000001</v>
      </c>
      <c r="R51" s="8">
        <v>16375.2</v>
      </c>
      <c r="T51" s="9">
        <f t="shared" si="16"/>
        <v>2853.27524022734</v>
      </c>
      <c r="U51" s="68"/>
      <c r="V51" s="2">
        <f t="shared" si="17"/>
        <v>111.23058141993423</v>
      </c>
      <c r="Z51" s="11">
        <f t="shared" si="18"/>
        <v>-64.03333726869397</v>
      </c>
      <c r="AA51" s="11">
        <v>12600</v>
      </c>
      <c r="AB51" s="11">
        <v>37786000</v>
      </c>
      <c r="AC51" s="10">
        <f t="shared" si="19"/>
        <v>-426.81103351095112</v>
      </c>
      <c r="AD51" s="25">
        <f t="shared" si="20"/>
        <v>2742.0446588074055</v>
      </c>
      <c r="AE51" s="25">
        <f t="shared" si="11"/>
        <v>2742.0446588074055</v>
      </c>
      <c r="AF51" s="25">
        <f t="shared" si="21"/>
        <v>2742.0446588074055</v>
      </c>
      <c r="AG51" s="25">
        <f t="shared" si="12"/>
        <v>1129.3381142442736</v>
      </c>
    </row>
    <row r="52" spans="2:34" outlineLevel="1" x14ac:dyDescent="0.25">
      <c r="B52" s="13" t="s">
        <v>144</v>
      </c>
      <c r="C52" s="13" t="s">
        <v>144</v>
      </c>
      <c r="D52" t="s">
        <v>167</v>
      </c>
      <c r="E52" s="6" t="s">
        <v>11</v>
      </c>
      <c r="F52" s="7">
        <f t="shared" si="13"/>
        <v>45.890240719798186</v>
      </c>
      <c r="G52" s="7">
        <f t="shared" si="14"/>
        <v>33.506903451104179</v>
      </c>
      <c r="H52" s="7">
        <f t="shared" si="15"/>
        <v>32.779897349223901</v>
      </c>
      <c r="I52">
        <v>174</v>
      </c>
      <c r="J52" s="13">
        <v>163.35</v>
      </c>
      <c r="K52" s="13">
        <v>242</v>
      </c>
      <c r="L52" s="13"/>
      <c r="M52" s="13"/>
      <c r="N52" s="13"/>
      <c r="O52" s="13"/>
      <c r="P52" s="8">
        <v>24081.360000000001</v>
      </c>
      <c r="Q52" s="8">
        <v>18060.560000000001</v>
      </c>
      <c r="R52" s="8">
        <v>16375.2</v>
      </c>
      <c r="T52" s="9">
        <f t="shared" si="16"/>
        <v>722.01241161990163</v>
      </c>
      <c r="U52" s="68"/>
      <c r="V52" s="2">
        <f t="shared" si="17"/>
        <v>111.23058141993423</v>
      </c>
      <c r="Z52" s="11">
        <f t="shared" si="18"/>
        <v>-23.033337268693998</v>
      </c>
      <c r="AA52" s="11">
        <v>12600</v>
      </c>
      <c r="AB52" s="11">
        <v>8600000</v>
      </c>
      <c r="AC52" s="10">
        <f t="shared" si="19"/>
        <v>-34.942493970099541</v>
      </c>
      <c r="AD52" s="25">
        <f t="shared" si="20"/>
        <v>610.78183019996743</v>
      </c>
      <c r="AE52" s="25">
        <f t="shared" si="11"/>
        <v>610.78183019996743</v>
      </c>
      <c r="AF52" s="25">
        <f t="shared" si="21"/>
        <v>610.78183019996743</v>
      </c>
      <c r="AG52" s="25">
        <f t="shared" si="12"/>
        <v>610.78183019996743</v>
      </c>
    </row>
    <row r="53" spans="2:34" outlineLevel="1" x14ac:dyDescent="0.25">
      <c r="B53" s="13" t="s">
        <v>144</v>
      </c>
      <c r="C53" s="13" t="s">
        <v>144</v>
      </c>
      <c r="D53" t="s">
        <v>146</v>
      </c>
      <c r="E53" s="6" t="s">
        <v>11</v>
      </c>
      <c r="F53" s="7">
        <f t="shared" si="13"/>
        <v>45.890240719798186</v>
      </c>
      <c r="G53" s="7">
        <f t="shared" si="14"/>
        <v>33.506903451104179</v>
      </c>
      <c r="H53" s="7">
        <f t="shared" si="15"/>
        <v>32.779897349223901</v>
      </c>
      <c r="I53">
        <v>174</v>
      </c>
      <c r="J53" s="13">
        <v>163.35</v>
      </c>
      <c r="K53" s="13">
        <v>242</v>
      </c>
      <c r="L53" s="13"/>
      <c r="M53" s="13"/>
      <c r="N53" s="13"/>
      <c r="O53" s="13"/>
      <c r="P53" s="8">
        <v>24081.360000000001</v>
      </c>
      <c r="Q53" s="8">
        <v>18060.560000000001</v>
      </c>
      <c r="R53" s="8">
        <v>16375.2</v>
      </c>
      <c r="T53" s="9">
        <f t="shared" si="16"/>
        <v>722.01241161990163</v>
      </c>
      <c r="U53" s="68"/>
      <c r="V53" s="2">
        <f t="shared" si="17"/>
        <v>111.23058141993423</v>
      </c>
      <c r="Z53" s="11">
        <f t="shared" si="18"/>
        <v>-23.033337268693998</v>
      </c>
      <c r="AA53" s="11">
        <v>12600</v>
      </c>
      <c r="AB53" s="11">
        <v>1712000</v>
      </c>
      <c r="AC53" s="10">
        <f t="shared" si="19"/>
        <v>-6.9559941484663277</v>
      </c>
      <c r="AD53" s="25">
        <f t="shared" si="20"/>
        <v>610.78183019996743</v>
      </c>
      <c r="AE53" s="25">
        <f t="shared" si="11"/>
        <v>610.78183019996743</v>
      </c>
      <c r="AF53" s="25">
        <f t="shared" si="21"/>
        <v>610.78183019996743</v>
      </c>
      <c r="AG53" s="25">
        <f t="shared" si="12"/>
        <v>610.78183019996743</v>
      </c>
    </row>
    <row r="54" spans="2:34" outlineLevel="1" x14ac:dyDescent="0.25">
      <c r="B54" s="13" t="s">
        <v>144</v>
      </c>
      <c r="C54" s="13" t="s">
        <v>144</v>
      </c>
      <c r="D54" t="s">
        <v>186</v>
      </c>
      <c r="E54" s="6" t="s">
        <v>11</v>
      </c>
      <c r="F54" s="7">
        <f t="shared" si="13"/>
        <v>45.890240719798186</v>
      </c>
      <c r="G54" s="7">
        <f t="shared" si="14"/>
        <v>33.506903451104179</v>
      </c>
      <c r="H54" s="7">
        <f t="shared" si="15"/>
        <v>32.779897349223901</v>
      </c>
      <c r="I54">
        <v>174</v>
      </c>
      <c r="J54" s="13">
        <v>163.35</v>
      </c>
      <c r="K54" s="13">
        <v>242</v>
      </c>
      <c r="L54" s="13"/>
      <c r="M54" s="13"/>
      <c r="N54" s="13"/>
      <c r="O54" s="13"/>
      <c r="P54" s="8">
        <v>24081.360000000001</v>
      </c>
      <c r="Q54" s="8">
        <v>18060.560000000001</v>
      </c>
      <c r="R54" s="8">
        <v>16375.2</v>
      </c>
      <c r="T54" s="9">
        <f t="shared" si="16"/>
        <v>722.01241161990163</v>
      </c>
      <c r="U54" s="68"/>
      <c r="V54" s="2">
        <f t="shared" si="17"/>
        <v>111.23058141993423</v>
      </c>
      <c r="Z54" s="11">
        <f t="shared" si="18"/>
        <v>-23.033337268693998</v>
      </c>
      <c r="AA54" s="11">
        <v>12600</v>
      </c>
      <c r="AB54" s="11">
        <v>1968000</v>
      </c>
      <c r="AC54" s="10">
        <f t="shared" si="19"/>
        <v>-7.9961428061809183</v>
      </c>
      <c r="AD54" s="25">
        <f t="shared" si="20"/>
        <v>610.78183019996743</v>
      </c>
      <c r="AE54" s="25">
        <f t="shared" si="11"/>
        <v>610.78183019996743</v>
      </c>
      <c r="AF54" s="25">
        <f t="shared" si="21"/>
        <v>610.78183019996743</v>
      </c>
      <c r="AG54" s="25">
        <f t="shared" si="12"/>
        <v>610.78183019996743</v>
      </c>
    </row>
    <row r="55" spans="2:34" outlineLevel="1" x14ac:dyDescent="0.25">
      <c r="B55" s="13" t="s">
        <v>144</v>
      </c>
      <c r="C55" s="13" t="s">
        <v>144</v>
      </c>
      <c r="D55" t="s">
        <v>177</v>
      </c>
      <c r="E55" s="6" t="s">
        <v>11</v>
      </c>
      <c r="F55" s="7">
        <f t="shared" si="13"/>
        <v>45.890240719798186</v>
      </c>
      <c r="G55" s="7">
        <f t="shared" si="14"/>
        <v>33.506903451104179</v>
      </c>
      <c r="H55" s="7">
        <f t="shared" si="15"/>
        <v>32.779897349223901</v>
      </c>
      <c r="I55">
        <v>174</v>
      </c>
      <c r="J55" s="13">
        <v>163.35</v>
      </c>
      <c r="K55" s="13">
        <v>242</v>
      </c>
      <c r="L55" s="13"/>
      <c r="M55" s="13"/>
      <c r="N55" s="13"/>
      <c r="O55" s="13"/>
      <c r="P55" s="8">
        <v>24081.360000000001</v>
      </c>
      <c r="Q55" s="8">
        <v>18060.560000000001</v>
      </c>
      <c r="R55" s="8">
        <v>16375.2</v>
      </c>
      <c r="T55" s="9">
        <f t="shared" si="16"/>
        <v>722.01241161990163</v>
      </c>
      <c r="U55" s="68"/>
      <c r="V55" s="2">
        <f t="shared" si="17"/>
        <v>111.23058141993423</v>
      </c>
      <c r="Z55" s="11">
        <f t="shared" si="18"/>
        <v>-23.033337268693998</v>
      </c>
      <c r="AA55" s="11">
        <v>12600</v>
      </c>
      <c r="AB55" s="11">
        <v>11336000</v>
      </c>
      <c r="AC55" s="10">
        <f t="shared" si="19"/>
        <v>-46.059082749424228</v>
      </c>
      <c r="AD55" s="25">
        <f t="shared" si="20"/>
        <v>610.78183019996743</v>
      </c>
      <c r="AE55" s="25">
        <f t="shared" si="11"/>
        <v>610.78183019996743</v>
      </c>
      <c r="AF55" s="25">
        <f t="shared" si="21"/>
        <v>610.78183019996743</v>
      </c>
      <c r="AG55" s="25">
        <f t="shared" si="12"/>
        <v>610.78183019996743</v>
      </c>
    </row>
    <row r="56" spans="2:34" outlineLevel="1" x14ac:dyDescent="0.25">
      <c r="B56" s="13" t="s">
        <v>144</v>
      </c>
      <c r="C56" s="13" t="s">
        <v>144</v>
      </c>
      <c r="D56" t="s">
        <v>178</v>
      </c>
      <c r="E56" s="6" t="s">
        <v>11</v>
      </c>
      <c r="F56" s="7">
        <f t="shared" si="13"/>
        <v>45.890240719798186</v>
      </c>
      <c r="G56" s="7">
        <f t="shared" si="14"/>
        <v>33.506903451104179</v>
      </c>
      <c r="H56" s="7">
        <f t="shared" si="15"/>
        <v>32.779897349223901</v>
      </c>
      <c r="I56">
        <v>174</v>
      </c>
      <c r="J56" s="13">
        <v>163.35</v>
      </c>
      <c r="K56" s="13">
        <v>242</v>
      </c>
      <c r="L56" s="13"/>
      <c r="M56" s="13"/>
      <c r="N56" s="13"/>
      <c r="O56" s="13"/>
      <c r="P56" s="8">
        <v>24081.360000000001</v>
      </c>
      <c r="Q56" s="8">
        <v>18060.560000000001</v>
      </c>
      <c r="R56" s="8">
        <v>16375.2</v>
      </c>
      <c r="T56" s="9">
        <f t="shared" si="16"/>
        <v>722.01241161990163</v>
      </c>
      <c r="U56" s="68"/>
      <c r="V56" s="2">
        <f t="shared" si="17"/>
        <v>111.23058141993423</v>
      </c>
      <c r="Z56" s="11">
        <f t="shared" si="18"/>
        <v>-23.033337268693998</v>
      </c>
      <c r="AA56" s="11">
        <v>12600</v>
      </c>
      <c r="AB56" s="11">
        <v>19236000</v>
      </c>
      <c r="AC56" s="10">
        <f t="shared" si="19"/>
        <v>-78.157420233585427</v>
      </c>
      <c r="AD56" s="25">
        <f t="shared" si="20"/>
        <v>610.78183019996743</v>
      </c>
      <c r="AE56" s="25">
        <f t="shared" si="11"/>
        <v>610.78183019996743</v>
      </c>
      <c r="AF56" s="25">
        <f t="shared" si="21"/>
        <v>610.78183019996743</v>
      </c>
      <c r="AG56" s="25">
        <f t="shared" si="12"/>
        <v>610.78183019996743</v>
      </c>
    </row>
    <row r="57" spans="2:34" outlineLevel="1" x14ac:dyDescent="0.25">
      <c r="B57" s="13" t="s">
        <v>144</v>
      </c>
      <c r="C57" s="13" t="s">
        <v>144</v>
      </c>
      <c r="D57" t="s">
        <v>183</v>
      </c>
      <c r="E57" s="6" t="s">
        <v>11</v>
      </c>
      <c r="F57" s="7">
        <f t="shared" si="13"/>
        <v>45.890240719798186</v>
      </c>
      <c r="G57" s="7">
        <f t="shared" si="14"/>
        <v>33.506903451104179</v>
      </c>
      <c r="H57" s="7">
        <f t="shared" si="15"/>
        <v>32.779897349223901</v>
      </c>
      <c r="I57">
        <v>174</v>
      </c>
      <c r="J57" s="13">
        <v>163.35</v>
      </c>
      <c r="K57" s="13">
        <v>242</v>
      </c>
      <c r="L57" s="13"/>
      <c r="M57" s="13"/>
      <c r="N57" s="13"/>
      <c r="O57" s="13"/>
      <c r="P57" s="8">
        <v>24081.360000000001</v>
      </c>
      <c r="Q57" s="8">
        <v>18060.560000000001</v>
      </c>
      <c r="R57" s="8">
        <v>16375.2</v>
      </c>
      <c r="T57" s="9">
        <f t="shared" si="16"/>
        <v>722.01241161990163</v>
      </c>
      <c r="U57" s="68"/>
      <c r="V57" s="2">
        <f t="shared" si="17"/>
        <v>111.23058141993423</v>
      </c>
      <c r="Z57" s="11">
        <f t="shared" si="18"/>
        <v>-23.033337268693998</v>
      </c>
      <c r="AA57" s="11">
        <v>12600</v>
      </c>
      <c r="AB57" s="11">
        <v>34925000</v>
      </c>
      <c r="AC57" s="10">
        <f t="shared" si="19"/>
        <v>-141.9030932448519</v>
      </c>
      <c r="AD57" s="25">
        <f t="shared" si="20"/>
        <v>610.78183019996743</v>
      </c>
      <c r="AE57" s="25">
        <f t="shared" si="11"/>
        <v>610.78183019996743</v>
      </c>
      <c r="AF57" s="25">
        <f t="shared" si="21"/>
        <v>610.78183019996743</v>
      </c>
      <c r="AG57" s="25">
        <f t="shared" si="12"/>
        <v>610.78183019996743</v>
      </c>
      <c r="AH57" s="20"/>
    </row>
    <row r="58" spans="2:34" outlineLevel="1" x14ac:dyDescent="0.25">
      <c r="B58" s="13" t="s">
        <v>144</v>
      </c>
      <c r="C58" s="13" t="s">
        <v>144</v>
      </c>
      <c r="D58" t="s">
        <v>184</v>
      </c>
      <c r="E58" s="6" t="s">
        <v>11</v>
      </c>
      <c r="F58" s="7">
        <f t="shared" si="13"/>
        <v>45.890240719798186</v>
      </c>
      <c r="G58" s="7">
        <f t="shared" si="14"/>
        <v>33.506903451104179</v>
      </c>
      <c r="H58" s="7">
        <f t="shared" si="15"/>
        <v>32.779897349223901</v>
      </c>
      <c r="I58">
        <v>174</v>
      </c>
      <c r="J58" s="13">
        <v>163.35</v>
      </c>
      <c r="K58" s="13">
        <v>242</v>
      </c>
      <c r="L58" s="13"/>
      <c r="M58" s="13"/>
      <c r="N58" s="13"/>
      <c r="O58" s="13"/>
      <c r="P58" s="8">
        <v>24081.360000000001</v>
      </c>
      <c r="Q58" s="8">
        <v>18060.560000000001</v>
      </c>
      <c r="R58" s="8">
        <v>16375.2</v>
      </c>
      <c r="T58" s="9">
        <f t="shared" si="16"/>
        <v>722.01241161990163</v>
      </c>
      <c r="U58" s="68"/>
      <c r="V58" s="2">
        <f t="shared" si="17"/>
        <v>111.23058141993423</v>
      </c>
      <c r="Z58" s="11">
        <f t="shared" si="18"/>
        <v>-23.033337268693998</v>
      </c>
      <c r="AA58" s="11">
        <v>12600</v>
      </c>
      <c r="AB58" s="11">
        <v>2899000</v>
      </c>
      <c r="AC58" s="10">
        <f t="shared" si="19"/>
        <v>-11.778870932478902</v>
      </c>
      <c r="AD58" s="25">
        <f t="shared" si="20"/>
        <v>610.78183019996743</v>
      </c>
      <c r="AE58" s="25">
        <f t="shared" si="11"/>
        <v>610.78183019996743</v>
      </c>
      <c r="AF58" s="25">
        <f t="shared" si="21"/>
        <v>610.78183019996743</v>
      </c>
      <c r="AG58" s="25">
        <f t="shared" si="12"/>
        <v>610.78183019996743</v>
      </c>
      <c r="AH58" s="20"/>
    </row>
    <row r="59" spans="2:34" outlineLevel="1" x14ac:dyDescent="0.25">
      <c r="B59" s="13" t="s">
        <v>144</v>
      </c>
      <c r="C59" s="13" t="s">
        <v>144</v>
      </c>
      <c r="D59" t="s">
        <v>164</v>
      </c>
      <c r="E59" s="6" t="s">
        <v>11</v>
      </c>
      <c r="F59" s="7">
        <f t="shared" si="13"/>
        <v>45.890240719798186</v>
      </c>
      <c r="G59" s="7">
        <f t="shared" si="14"/>
        <v>33.506903451104179</v>
      </c>
      <c r="H59" s="7">
        <f t="shared" si="15"/>
        <v>32.779897349223901</v>
      </c>
      <c r="I59">
        <v>221</v>
      </c>
      <c r="J59" s="13">
        <v>163.35</v>
      </c>
      <c r="K59" s="13">
        <v>242</v>
      </c>
      <c r="L59" s="13"/>
      <c r="M59" s="13"/>
      <c r="N59" s="13"/>
      <c r="O59" s="13"/>
      <c r="P59" s="8">
        <v>24081.360000000001</v>
      </c>
      <c r="Q59" s="8">
        <v>18060.560000000001</v>
      </c>
      <c r="R59" s="8">
        <v>16375.2</v>
      </c>
      <c r="T59" s="9">
        <f t="shared" si="16"/>
        <v>5023.1607302388502</v>
      </c>
      <c r="U59" s="68"/>
      <c r="V59" s="2">
        <f t="shared" si="17"/>
        <v>111.23058141993423</v>
      </c>
      <c r="Z59" s="11">
        <f t="shared" si="18"/>
        <v>-70.03333726869397</v>
      </c>
      <c r="AA59" s="11">
        <v>12600</v>
      </c>
      <c r="AB59" s="11">
        <v>9904000</v>
      </c>
      <c r="AC59" s="10">
        <f t="shared" si="19"/>
        <v>-122.35283439533318</v>
      </c>
      <c r="AD59" s="25">
        <f t="shared" si="20"/>
        <v>4911.9301488189158</v>
      </c>
      <c r="AE59" s="25">
        <f t="shared" si="11"/>
        <v>4911.9301488189158</v>
      </c>
      <c r="AF59" s="25">
        <f t="shared" si="21"/>
        <v>4911.9301488189158</v>
      </c>
      <c r="AG59" s="25">
        <f t="shared" si="12"/>
        <v>1129.3381142442736</v>
      </c>
      <c r="AH59" s="20"/>
    </row>
    <row r="60" spans="2:34" outlineLevel="1" x14ac:dyDescent="0.25">
      <c r="B60" s="13" t="s">
        <v>144</v>
      </c>
      <c r="C60" s="13" t="s">
        <v>144</v>
      </c>
      <c r="D60" t="s">
        <v>145</v>
      </c>
      <c r="E60" s="6" t="s">
        <v>11</v>
      </c>
      <c r="F60" s="7">
        <f t="shared" si="13"/>
        <v>45.890240719798186</v>
      </c>
      <c r="G60" s="7">
        <f t="shared" si="14"/>
        <v>33.506903451104179</v>
      </c>
      <c r="H60" s="7">
        <f t="shared" si="15"/>
        <v>32.779897349223901</v>
      </c>
      <c r="I60">
        <v>221</v>
      </c>
      <c r="J60" s="13">
        <v>163.35</v>
      </c>
      <c r="K60" s="13">
        <v>242</v>
      </c>
      <c r="L60" s="13"/>
      <c r="M60" s="13"/>
      <c r="N60" s="13"/>
      <c r="O60" s="13"/>
      <c r="P60" s="8">
        <v>24081.360000000001</v>
      </c>
      <c r="Q60" s="8">
        <v>18060.560000000001</v>
      </c>
      <c r="R60" s="8">
        <v>16375.2</v>
      </c>
      <c r="T60" s="9">
        <f t="shared" si="16"/>
        <v>5023.1607302388502</v>
      </c>
      <c r="U60" s="68"/>
      <c r="V60" s="2">
        <f t="shared" si="17"/>
        <v>111.23058141993423</v>
      </c>
      <c r="Z60" s="11">
        <f t="shared" si="18"/>
        <v>-70.03333726869397</v>
      </c>
      <c r="AA60" s="11">
        <v>12600</v>
      </c>
      <c r="AB60" s="11">
        <v>5065000</v>
      </c>
      <c r="AC60" s="10">
        <f t="shared" si="19"/>
        <v>-62.572405716110922</v>
      </c>
      <c r="AD60" s="25">
        <f t="shared" si="20"/>
        <v>4911.9301488189158</v>
      </c>
      <c r="AE60" s="25">
        <f t="shared" si="11"/>
        <v>4911.9301488189158</v>
      </c>
      <c r="AF60" s="25">
        <f t="shared" si="21"/>
        <v>4911.9301488189158</v>
      </c>
      <c r="AG60" s="25">
        <f t="shared" si="12"/>
        <v>1129.3381142442736</v>
      </c>
      <c r="AH60" s="20"/>
    </row>
    <row r="61" spans="2:34" outlineLevel="1" x14ac:dyDescent="0.25">
      <c r="B61" s="13" t="s">
        <v>144</v>
      </c>
      <c r="C61" s="13" t="s">
        <v>144</v>
      </c>
      <c r="D61" t="s">
        <v>176</v>
      </c>
      <c r="E61" s="6" t="s">
        <v>11</v>
      </c>
      <c r="F61" s="7">
        <f t="shared" si="13"/>
        <v>45.890240719798186</v>
      </c>
      <c r="G61" s="7">
        <f t="shared" si="14"/>
        <v>33.506903451104179</v>
      </c>
      <c r="H61" s="7">
        <f t="shared" si="15"/>
        <v>32.779897349223901</v>
      </c>
      <c r="I61">
        <v>221</v>
      </c>
      <c r="J61" s="13">
        <v>163.35</v>
      </c>
      <c r="K61" s="13">
        <v>242</v>
      </c>
      <c r="L61" s="13"/>
      <c r="M61" s="13"/>
      <c r="N61" s="13"/>
      <c r="O61" s="13"/>
      <c r="P61" s="8">
        <v>24081.360000000001</v>
      </c>
      <c r="Q61" s="8">
        <v>18060.560000000001</v>
      </c>
      <c r="R61" s="8">
        <v>16375.2</v>
      </c>
      <c r="T61" s="9">
        <f t="shared" si="16"/>
        <v>5023.1607302388502</v>
      </c>
      <c r="U61" s="68"/>
      <c r="V61" s="2">
        <f t="shared" si="17"/>
        <v>111.23058141993423</v>
      </c>
      <c r="Z61" s="11">
        <f t="shared" si="18"/>
        <v>-70.03333726869397</v>
      </c>
      <c r="AA61" s="11">
        <v>12600</v>
      </c>
      <c r="AB61" s="11">
        <v>9116000</v>
      </c>
      <c r="AC61" s="10">
        <f t="shared" si="19"/>
        <v>-112.61797640830547</v>
      </c>
      <c r="AD61" s="25">
        <f t="shared" si="20"/>
        <v>4911.9301488189158</v>
      </c>
      <c r="AE61" s="25">
        <f t="shared" si="11"/>
        <v>4911.9301488189158</v>
      </c>
      <c r="AF61" s="25">
        <f t="shared" si="21"/>
        <v>4911.9301488189158</v>
      </c>
      <c r="AG61" s="25">
        <f t="shared" si="12"/>
        <v>1129.3381142442736</v>
      </c>
      <c r="AH61" s="20"/>
    </row>
    <row r="62" spans="2:34" outlineLevel="1" x14ac:dyDescent="0.25">
      <c r="B62" s="13" t="s">
        <v>144</v>
      </c>
      <c r="C62" s="13" t="s">
        <v>144</v>
      </c>
      <c r="D62" t="s">
        <v>179</v>
      </c>
      <c r="E62" s="6" t="s">
        <v>11</v>
      </c>
      <c r="F62" s="7">
        <f t="shared" si="13"/>
        <v>45.890240719798186</v>
      </c>
      <c r="G62" s="7">
        <f t="shared" si="14"/>
        <v>33.506903451104179</v>
      </c>
      <c r="H62" s="7">
        <f t="shared" si="15"/>
        <v>32.779897349223901</v>
      </c>
      <c r="I62">
        <v>221</v>
      </c>
      <c r="J62" s="13">
        <v>163.35</v>
      </c>
      <c r="K62" s="13">
        <v>242</v>
      </c>
      <c r="L62" s="13"/>
      <c r="M62" s="13"/>
      <c r="N62" s="13"/>
      <c r="O62" s="13"/>
      <c r="P62" s="8">
        <v>24081.360000000001</v>
      </c>
      <c r="Q62" s="8">
        <v>18060.560000000001</v>
      </c>
      <c r="R62" s="8">
        <v>16375.2</v>
      </c>
      <c r="T62" s="9">
        <f t="shared" si="16"/>
        <v>5023.1607302388502</v>
      </c>
      <c r="U62" s="68"/>
      <c r="V62" s="2">
        <f t="shared" si="17"/>
        <v>111.23058141993423</v>
      </c>
      <c r="Z62" s="11">
        <f t="shared" si="18"/>
        <v>-70.03333726869397</v>
      </c>
      <c r="AA62" s="11">
        <v>12600</v>
      </c>
      <c r="AB62" s="11">
        <v>54000</v>
      </c>
      <c r="AC62" s="10">
        <f t="shared" si="19"/>
        <v>-0.66710955748667122</v>
      </c>
      <c r="AD62" s="25">
        <f t="shared" si="20"/>
        <v>4911.9301488189158</v>
      </c>
      <c r="AE62" s="25">
        <f t="shared" si="11"/>
        <v>4911.9301488189158</v>
      </c>
      <c r="AF62" s="25">
        <f t="shared" si="21"/>
        <v>4911.9301488189158</v>
      </c>
      <c r="AG62" s="25">
        <f t="shared" si="12"/>
        <v>1129.3381142442736</v>
      </c>
      <c r="AH62" s="20"/>
    </row>
    <row r="63" spans="2:34" outlineLevel="1" x14ac:dyDescent="0.25">
      <c r="B63" s="13" t="s">
        <v>144</v>
      </c>
      <c r="C63" s="13" t="s">
        <v>144</v>
      </c>
      <c r="D63" t="s">
        <v>185</v>
      </c>
      <c r="E63" s="6" t="s">
        <v>11</v>
      </c>
      <c r="F63" s="7">
        <f t="shared" si="13"/>
        <v>45.890240719798186</v>
      </c>
      <c r="G63" s="7">
        <f t="shared" si="14"/>
        <v>33.506903451104179</v>
      </c>
      <c r="H63" s="7">
        <f t="shared" si="15"/>
        <v>32.779897349223901</v>
      </c>
      <c r="I63">
        <v>221</v>
      </c>
      <c r="J63" s="13">
        <v>163.35</v>
      </c>
      <c r="K63" s="13">
        <v>242</v>
      </c>
      <c r="L63" s="13"/>
      <c r="M63" s="13"/>
      <c r="N63" s="13"/>
      <c r="O63" s="13"/>
      <c r="P63" s="8">
        <v>24081.360000000001</v>
      </c>
      <c r="Q63" s="8">
        <v>18060.560000000001</v>
      </c>
      <c r="R63" s="8">
        <v>16375.2</v>
      </c>
      <c r="T63" s="9">
        <f t="shared" si="16"/>
        <v>5023.1607302388502</v>
      </c>
      <c r="U63" s="68"/>
      <c r="V63" s="2">
        <f t="shared" si="17"/>
        <v>111.23058141993423</v>
      </c>
      <c r="Z63" s="11">
        <f t="shared" si="18"/>
        <v>-70.03333726869397</v>
      </c>
      <c r="AA63" s="11">
        <v>12600</v>
      </c>
      <c r="AB63" s="11">
        <v>10916000</v>
      </c>
      <c r="AC63" s="10">
        <f t="shared" si="19"/>
        <v>-134.85496165786117</v>
      </c>
      <c r="AD63" s="25">
        <f t="shared" si="20"/>
        <v>4911.9301488189158</v>
      </c>
      <c r="AE63" s="25">
        <f t="shared" si="11"/>
        <v>4911.9301488189158</v>
      </c>
      <c r="AF63" s="25">
        <f t="shared" si="21"/>
        <v>4911.9301488189158</v>
      </c>
      <c r="AG63" s="25">
        <f t="shared" si="12"/>
        <v>1129.3381142442736</v>
      </c>
      <c r="AH63" s="20"/>
    </row>
    <row r="64" spans="2:34" x14ac:dyDescent="0.25">
      <c r="B64" s="13" t="s">
        <v>148</v>
      </c>
      <c r="C64" s="13" t="s">
        <v>148</v>
      </c>
      <c r="D64" s="6" t="s">
        <v>134</v>
      </c>
      <c r="E64" s="6" t="s">
        <v>11</v>
      </c>
      <c r="F64" s="10">
        <f t="shared" ref="F64:F95" si="22">56.81/m2k</f>
        <v>35.300185169075526</v>
      </c>
      <c r="G64" s="10">
        <f t="shared" ref="G64:G95" si="23">41.48/m2k</f>
        <v>25.774541116233983</v>
      </c>
      <c r="H64" s="10">
        <f t="shared" ref="H64:H95" si="24">40.58/m2k</f>
        <v>25.215305653249157</v>
      </c>
      <c r="I64" s="11">
        <f>VLOOKUP($D64,_xlfn.IFS('Scenario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105.865870006077</v>
      </c>
      <c r="J64" s="11">
        <f>VLOOKUP($D64,'Fuel economy adjusted factor'!$A$2:$AD$52,9,FALSE)</f>
        <v>133.08719182079997</v>
      </c>
      <c r="K64" s="10">
        <f>VLOOKUP($D64,'Fuel economy adjusted factor'!$A$2:$AD$52,8,FALSE)</f>
        <v>215.75693739599998</v>
      </c>
      <c r="L64" s="10">
        <f t="shared" ref="L64:L95" si="25">42.58/m2k</f>
        <v>26.458051126548771</v>
      </c>
      <c r="M64" s="10">
        <v>84.75524127903364</v>
      </c>
      <c r="N64" s="10">
        <f>G64</f>
        <v>25.774541116233983</v>
      </c>
      <c r="O64" s="10">
        <f>VLOOKUP($D64,'Fuel economy adjusted factor'!$A$2:$L$52,12,FALSE)*(1-'TCO Inputs'!$BD$9)+VLOOKUP($D64,'US Grid mix, emissions&amp;prices'!$H$169:$AJ$219,'TCO Inputs'!$AZ$12-2021,FALSE)*'TCO Inputs'!$BD$9</f>
        <v>118.78153237244004</v>
      </c>
      <c r="P64" s="31">
        <f>'TCO Inputs'!BA29</f>
        <v>43070</v>
      </c>
      <c r="Q64" s="31">
        <f>'TCO Inputs'!BB30</f>
        <v>25392.400000000001</v>
      </c>
      <c r="R64" s="82">
        <f>'TCO Inputs'!AZ29</f>
        <v>27690</v>
      </c>
      <c r="S64" s="31">
        <f>'TCO Inputs'!BC29</f>
        <v>32586</v>
      </c>
      <c r="T64" s="5">
        <f t="shared" si="16"/>
        <v>435.09287250825497</v>
      </c>
      <c r="U64" s="5">
        <f>(VLOOKUP($D64,'TCO Inputs'!$A$3:$AG$53,31,FALSE)-VLOOKUP($D64,'TCO Inputs'!$A$3:$AG$53,30,FALSE))/(((K64+H64)*AA64*'TCO Inputs'!$AZ$13-(I64+F64)*AA64*'TCO Inputs'!$AZ$13)*CONVERT(1,"g","ton"))</f>
        <v>262.83920664576561</v>
      </c>
      <c r="V64" s="5">
        <f t="shared" si="17"/>
        <v>-79.005763381931914</v>
      </c>
      <c r="W64" s="5">
        <f>(VLOOKUP($D64,'TCO Inputs'!$A$3:$AG$53,32,FALSE)-VLOOKUP($D64,'TCO Inputs'!$A$3:$AG$53,30,FALSE))/(((K64+H64)*AA64*'TCO Inputs'!$AZ$13-(J64+G64)*AA64*'TCO Inputs'!$AZ$13)*CONVERT(1,"g","ton"))</f>
        <v>-234.784776770582</v>
      </c>
      <c r="X64" s="31">
        <f>(S64-R64)/(((K64+H64)*AA64*14-(M64+L64)*AA64*14)*CONVERT(1,"g","ton"))</f>
        <v>106.53374294809016</v>
      </c>
      <c r="Y64" s="31">
        <f>(VLOOKUP($D64,'TCO Inputs'!$A$3:$AG$53,33,FALSE)-VLOOKUP($D64,'TCO Inputs'!$A$3:$AG$53,30,FALSE))/(((K64+H64)*AA64*'TCO Inputs'!$AZ$13-(L64+M64)*AA64*'TCO Inputs'!$AZ$13)*CONVERT(1,"g","ton"))</f>
        <v>37.853119704577573</v>
      </c>
      <c r="Z64" s="11">
        <f t="shared" si="18"/>
        <v>17.695677761881427</v>
      </c>
      <c r="AA64" s="26">
        <f>VLOOKUP(D64, 'VKT US'!$B$3:$D$54, 3,FALSE)</f>
        <v>22950.100895779997</v>
      </c>
      <c r="AB64" s="21">
        <f>SUM(AB65:AB112)</f>
        <v>285144500</v>
      </c>
      <c r="AC64" s="10">
        <f>AB64*AA64*Z64*0.000000000001*14</f>
        <v>1621.2307602016924</v>
      </c>
      <c r="AD64" s="25">
        <f t="shared" si="20"/>
        <v>514.09863589018687</v>
      </c>
      <c r="AE64" s="25">
        <f t="shared" si="11"/>
        <v>514.09863589018687</v>
      </c>
      <c r="AF64" s="25">
        <f t="shared" si="21"/>
        <v>514.09863589018687</v>
      </c>
      <c r="AG64" s="25">
        <f t="shared" si="12"/>
        <v>514.09863589018687</v>
      </c>
      <c r="AH64" s="20"/>
    </row>
    <row r="65" spans="2:34" x14ac:dyDescent="0.25">
      <c r="B65" s="13" t="s">
        <v>148</v>
      </c>
      <c r="C65" s="13" t="s">
        <v>148</v>
      </c>
      <c r="D65" s="13" t="s">
        <v>149</v>
      </c>
      <c r="E65" s="6" t="s">
        <v>11</v>
      </c>
      <c r="F65" s="10">
        <f t="shared" si="22"/>
        <v>35.300185169075526</v>
      </c>
      <c r="G65" s="10">
        <f t="shared" si="23"/>
        <v>25.774541116233983</v>
      </c>
      <c r="H65" s="10">
        <f t="shared" si="24"/>
        <v>25.215305653249157</v>
      </c>
      <c r="I65" s="11">
        <f>VLOOKUP($D65,_xlfn.IFS('Scenario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50.687137895759335</v>
      </c>
      <c r="J65" s="11">
        <f>VLOOKUP($D65,'Fuel economy adjusted factor'!$A$2:$AD$52,9,FALSE)</f>
        <v>130.44260208</v>
      </c>
      <c r="K65" s="10">
        <f>VLOOKUP($D65,'Fuel economy adjusted factor'!$A$2:$AD$52,8,FALSE)</f>
        <v>211.46960835000002</v>
      </c>
      <c r="L65" s="10">
        <f t="shared" si="25"/>
        <v>26.458051126548771</v>
      </c>
      <c r="M65" s="10">
        <v>84.75524127903364</v>
      </c>
      <c r="N65" s="10">
        <f t="shared" ref="N65:N114" si="26">G65</f>
        <v>25.774541116233983</v>
      </c>
      <c r="O65" s="10">
        <f>VLOOKUP($D65,'Fuel economy adjusted factor'!$A$2:$L$52,12,FALSE)*(1-'TCO Inputs'!$BD$9)+VLOOKUP($D65,'US Grid mix, emissions&amp;prices'!$H$169:$AJ$219,'TCO Inputs'!$AZ$12-2021,FALSE)*'TCO Inputs'!$BD$9</f>
        <v>88.822180633794858</v>
      </c>
      <c r="P65" s="5">
        <v>43070</v>
      </c>
      <c r="Q65" s="5">
        <f>$Q$64</f>
        <v>25392.400000000001</v>
      </c>
      <c r="R65" s="15">
        <f>$R$64</f>
        <v>27690</v>
      </c>
      <c r="S65" s="5">
        <f>$S$64</f>
        <v>32586</v>
      </c>
      <c r="T65" s="5">
        <f t="shared" si="16"/>
        <v>328.11558679428856</v>
      </c>
      <c r="U65" s="5">
        <f>(VLOOKUP($D65,'TCO Inputs'!$A$3:$AG$53,31,FALSE)-VLOOKUP($D65,'TCO Inputs'!$A$3:$AG$53,30,FALSE))/(((K65+H65)*AA65*'TCO Inputs'!$AZ$13-(I65+F65)*AA65*'TCO Inputs'!$AZ$13)*CONVERT(1,"g","ton"))</f>
        <v>268.56907691755413</v>
      </c>
      <c r="V65" s="5">
        <f t="shared" si="17"/>
        <v>-91.797169052782806</v>
      </c>
      <c r="W65" s="5">
        <f>(VLOOKUP($D65,'TCO Inputs'!$A$3:$AG$53,32,FALSE)-VLOOKUP($D65,'TCO Inputs'!$A$3:$AG$53,30,FALSE))/(((K65+H65)*AA65*'TCO Inputs'!$AZ$13-(J65+G65)*AA65*'TCO Inputs'!$AZ$13)*CONVERT(1,"g","ton"))</f>
        <v>-288.31460769816351</v>
      </c>
      <c r="X65" s="31">
        <f t="shared" ref="X65:X112" si="27">(S65-R65)/(((K65+H65)*AA65*14-(M65+L65)*AA65*14)*CONVERT(1,"g","ton"))</f>
        <v>125.4505974958772</v>
      </c>
      <c r="Y65" s="31">
        <f>(VLOOKUP($D65,'TCO Inputs'!$A$3:$AG$53,33,FALSE)-VLOOKUP($D65,'TCO Inputs'!$A$3:$AG$53,30,FALSE))/(((K65+H65)*AA65*'TCO Inputs'!$AZ$13-(L65+M65)*AA65*'TCO Inputs'!$AZ$13)*CONVERT(1,"g","ton"))</f>
        <v>-57.360431984673511</v>
      </c>
      <c r="Z65" s="11">
        <f t="shared" si="18"/>
        <v>70.229820131399123</v>
      </c>
      <c r="AA65" s="26">
        <f>VLOOKUP(D65, 'VKT US'!$B$3:$D$54, 3,FALSE)</f>
        <v>20155.374159999999</v>
      </c>
      <c r="AB65" s="11">
        <f>VLOOKUP($D65,'VKT US'!$F$5:$S$55,14,FALSE)</f>
        <v>36850300</v>
      </c>
      <c r="AC65" s="10">
        <f t="shared" si="19"/>
        <v>730.26667810460469</v>
      </c>
      <c r="AD65" s="25">
        <f t="shared" si="20"/>
        <v>419.91275584707137</v>
      </c>
      <c r="AE65" s="25">
        <f t="shared" si="11"/>
        <v>419.91275584707137</v>
      </c>
      <c r="AF65" s="25">
        <f t="shared" si="21"/>
        <v>419.91275584707137</v>
      </c>
      <c r="AG65" s="25">
        <f t="shared" si="12"/>
        <v>419.91275584707137</v>
      </c>
      <c r="AH65" s="20"/>
    </row>
    <row r="66" spans="2:34" x14ac:dyDescent="0.25">
      <c r="B66" s="13" t="s">
        <v>148</v>
      </c>
      <c r="C66" s="13" t="s">
        <v>148</v>
      </c>
      <c r="D66" s="14" t="s">
        <v>157</v>
      </c>
      <c r="E66" s="6" t="s">
        <v>11</v>
      </c>
      <c r="F66" s="10">
        <f t="shared" si="22"/>
        <v>35.300185169075526</v>
      </c>
      <c r="G66" s="10">
        <f t="shared" si="23"/>
        <v>25.774541116233983</v>
      </c>
      <c r="H66" s="10">
        <f t="shared" si="24"/>
        <v>25.215305653249157</v>
      </c>
      <c r="I66" s="11">
        <f>VLOOKUP($D66,_xlfn.IFS('Scenario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204.0364321282176</v>
      </c>
      <c r="J66" s="11">
        <f>VLOOKUP($D66,'Fuel economy adjusted factor'!$A$2:$AD$52,9,FALSE)</f>
        <v>131.33604455999998</v>
      </c>
      <c r="K66" s="10">
        <f>VLOOKUP($D66,'Fuel economy adjusted factor'!$A$2:$AD$52,8,FALSE)</f>
        <v>212.91803032499999</v>
      </c>
      <c r="L66" s="10">
        <f t="shared" si="25"/>
        <v>26.458051126548771</v>
      </c>
      <c r="M66" s="10">
        <v>84.75524127903364</v>
      </c>
      <c r="N66" s="10">
        <f t="shared" si="26"/>
        <v>25.774541116233983</v>
      </c>
      <c r="O66" s="10">
        <f>VLOOKUP($D66,'Fuel economy adjusted factor'!$A$2:$L$52,12,FALSE)*(1-'TCO Inputs'!$BD$9)+VLOOKUP($D66,'US Grid mix, emissions&amp;prices'!$H$169:$AJ$219,'TCO Inputs'!$AZ$12-2021,FALSE)*'TCO Inputs'!$BD$9</f>
        <v>168.99165520267314</v>
      </c>
      <c r="P66" s="5">
        <f>$P$65</f>
        <v>43070</v>
      </c>
      <c r="Q66" s="5">
        <f t="shared" ref="Q66:Q114" si="28">$Q$64</f>
        <v>25392.400000000001</v>
      </c>
      <c r="R66" s="15">
        <f t="shared" ref="R66:R114" si="29">$R$64</f>
        <v>27690</v>
      </c>
      <c r="S66" s="5">
        <f t="shared" ref="S66:S114" si="30">$S$64</f>
        <v>32586</v>
      </c>
      <c r="T66" s="5">
        <f t="shared" ref="T66:T97" si="31">(P66-R66)/(((K66+H66)*AA66*14-(I66+F66)*AA66*14)*CONVERT(1,"g","ton"))</f>
        <v>-31563.725134770339</v>
      </c>
      <c r="U66" s="5">
        <f>(VLOOKUP($D66,'TCO Inputs'!$A$3:$AG$53,31,FALSE)-VLOOKUP($D66,'TCO Inputs'!$A$3:$AG$53,30,FALSE))/(((K66+H66)*AA66*'TCO Inputs'!$AZ$13-(I66+F66)*AA66*'TCO Inputs'!$AZ$13)*CONVERT(1,"g","ton"))</f>
        <v>-14516.039117165539</v>
      </c>
      <c r="V66" s="5">
        <f t="shared" ref="V66:V97" si="32">(Q66-R66)/(((K66+H66)*AA66*14-(J66+G66)*AA66*14)*CONVERT(1,"g","ton"))</f>
        <v>-70.027163138735858</v>
      </c>
      <c r="W66" s="5">
        <f>(VLOOKUP($D66,'TCO Inputs'!$A$3:$AG$53,32,FALSE)-VLOOKUP($D66,'TCO Inputs'!$A$3:$AG$53,30,FALSE))/(((K66+H66)*AA66*'TCO Inputs'!$AZ$13-(J66+G66)*AA66*'TCO Inputs'!$AZ$13)*CONVERT(1,"g","ton"))</f>
        <v>-224.16010810418106</v>
      </c>
      <c r="X66" s="31">
        <f t="shared" si="27"/>
        <v>95.259936625785684</v>
      </c>
      <c r="Y66" s="31">
        <f>(VLOOKUP($D66,'TCO Inputs'!$A$3:$AG$53,33,FALSE)-VLOOKUP($D66,'TCO Inputs'!$A$3:$AG$53,30,FALSE))/(((K66+H66)*AA66*'TCO Inputs'!$AZ$13-(L66+M66)*AA66*'TCO Inputs'!$AZ$13)*CONVERT(1,"g","ton"))</f>
        <v>48.914580261851754</v>
      </c>
      <c r="Z66" s="11">
        <f t="shared" ref="Z66:Z97" si="33">(J66+G66)-(I66+F66)</f>
        <v>-82.22603162105915</v>
      </c>
      <c r="AA66" s="26">
        <f>VLOOKUP(D66, 'VKT US'!$B$3:$D$54, 3,FALSE)</f>
        <v>26240.288700000001</v>
      </c>
      <c r="AB66" s="11">
        <f>VLOOKUP($D66,'VKT US'!$F$5:$S$55,14,FALSE)</f>
        <v>4039700</v>
      </c>
      <c r="AC66" s="10">
        <f t="shared" ref="AC66:AC97" si="34">AB66*AA66*Z66*0.000000000001*14</f>
        <v>-122.02676269645181</v>
      </c>
      <c r="AD66" s="25">
        <f t="shared" ref="AD66:AD97" si="35">T66-V66</f>
        <v>-31493.697971631602</v>
      </c>
      <c r="AE66" s="25">
        <f t="shared" si="11"/>
        <v>31493.697971631602</v>
      </c>
      <c r="AF66" s="25">
        <f t="shared" ref="AF66:AF97" si="36">IF(T66&lt;0,ABS(T66-V66),T66-V66)</f>
        <v>31493.697971631602</v>
      </c>
      <c r="AG66" s="25">
        <f t="shared" si="12"/>
        <v>1129.3381142442736</v>
      </c>
      <c r="AH66" s="20"/>
    </row>
    <row r="67" spans="2:34" x14ac:dyDescent="0.25">
      <c r="B67" s="13" t="s">
        <v>148</v>
      </c>
      <c r="C67" s="13" t="s">
        <v>148</v>
      </c>
      <c r="D67" s="14" t="s">
        <v>158</v>
      </c>
      <c r="E67" s="6" t="s">
        <v>11</v>
      </c>
      <c r="F67" s="10">
        <f t="shared" si="22"/>
        <v>35.300185169075526</v>
      </c>
      <c r="G67" s="10">
        <f t="shared" si="23"/>
        <v>25.774541116233983</v>
      </c>
      <c r="H67" s="10">
        <f t="shared" si="24"/>
        <v>25.215305653249157</v>
      </c>
      <c r="I67" s="11">
        <f>VLOOKUP($D67,_xlfn.IFS('Scenario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153.24274158458348</v>
      </c>
      <c r="J67" s="11">
        <f>VLOOKUP($D67,'Fuel economy adjusted factor'!$A$2:$AD$52,9,FALSE)</f>
        <v>135.54798768000001</v>
      </c>
      <c r="K67" s="10">
        <f>VLOOKUP($D67,'Fuel economy adjusted factor'!$A$2:$AD$52,8,FALSE)</f>
        <v>219.74630535000003</v>
      </c>
      <c r="L67" s="10">
        <f t="shared" si="25"/>
        <v>26.458051126548771</v>
      </c>
      <c r="M67" s="10">
        <v>84.75524127903364</v>
      </c>
      <c r="N67" s="10">
        <f t="shared" si="26"/>
        <v>25.774541116233983</v>
      </c>
      <c r="O67" s="10">
        <f>VLOOKUP($D67,'Fuel economy adjusted factor'!$A$2:$L$52,12,FALSE)*(1-'TCO Inputs'!$BD$9)+VLOOKUP($D67,'US Grid mix, emissions&amp;prices'!$H$169:$AJ$219,'TCO Inputs'!$AZ$12-2021,FALSE)*'TCO Inputs'!$BD$9</f>
        <v>144.59590351198344</v>
      </c>
      <c r="P67" s="5">
        <f t="shared" ref="P67:P114" si="37">$P$65</f>
        <v>43070</v>
      </c>
      <c r="Q67" s="5">
        <f t="shared" si="28"/>
        <v>25392.400000000001</v>
      </c>
      <c r="R67" s="15">
        <f t="shared" si="29"/>
        <v>27690</v>
      </c>
      <c r="S67" s="5">
        <f t="shared" si="30"/>
        <v>32586</v>
      </c>
      <c r="T67" s="5">
        <f t="shared" si="31"/>
        <v>710.80377961603153</v>
      </c>
      <c r="U67" s="5">
        <f>(VLOOKUP($D67,'TCO Inputs'!$A$3:$AG$53,31,FALSE)-VLOOKUP($D67,'TCO Inputs'!$A$3:$AG$53,30,FALSE))/(((K67+H67)*AA67*'TCO Inputs'!$AZ$13-(I67+F67)*AA67*'TCO Inputs'!$AZ$13)*CONVERT(1,"g","ton"))</f>
        <v>330.50309959531069</v>
      </c>
      <c r="V67" s="5">
        <f t="shared" si="32"/>
        <v>-71.627783239363197</v>
      </c>
      <c r="W67" s="5">
        <f>(VLOOKUP($D67,'TCO Inputs'!$A$3:$AG$53,32,FALSE)-VLOOKUP($D67,'TCO Inputs'!$A$3:$AG$53,30,FALSE))/(((K67+H67)*AA67*'TCO Inputs'!$AZ$13-(J67+G67)*AA67*'TCO Inputs'!$AZ$13)*CONVERT(1,"g","ton"))</f>
        <v>-240.1782467224337</v>
      </c>
      <c r="X67" s="31">
        <f t="shared" si="27"/>
        <v>95.448569676957717</v>
      </c>
      <c r="Y67" s="31">
        <f>(VLOOKUP($D67,'TCO Inputs'!$A$3:$AG$53,33,FALSE)-VLOOKUP($D67,'TCO Inputs'!$A$3:$AG$53,30,FALSE))/(((K67+H67)*AA67*'TCO Inputs'!$AZ$13-(L67+M67)*AA67*'TCO Inputs'!$AZ$13)*CONVERT(1,"g","ton"))</f>
        <v>38.663010179036029</v>
      </c>
      <c r="Z67" s="11">
        <f t="shared" si="33"/>
        <v>-27.220397957425007</v>
      </c>
      <c r="AA67" s="26">
        <f>VLOOKUP(D67, 'VKT US'!$B$3:$D$54, 3,FALSE)</f>
        <v>24851.42828</v>
      </c>
      <c r="AB67" s="11">
        <f>VLOOKUP($D67,'VKT US'!$F$5:$S$55,14,FALSE)</f>
        <v>5529000</v>
      </c>
      <c r="AC67" s="10">
        <f t="shared" si="34"/>
        <v>-52.362509206226818</v>
      </c>
      <c r="AD67" s="25">
        <f t="shared" si="35"/>
        <v>782.43156285539476</v>
      </c>
      <c r="AE67" s="25">
        <f t="shared" ref="AE67:AE112" si="38">IF(AD67&lt;0,-AD67,AD67)</f>
        <v>782.43156285539476</v>
      </c>
      <c r="AF67" s="25">
        <f t="shared" si="36"/>
        <v>782.43156285539476</v>
      </c>
      <c r="AG67" s="25">
        <f t="shared" ref="AG67:AG112" si="39">IF(AF67&gt;$AF$4,$AF$4,AF67)</f>
        <v>782.43156285539476</v>
      </c>
      <c r="AH67" s="20"/>
    </row>
    <row r="68" spans="2:34" x14ac:dyDescent="0.25">
      <c r="B68" s="13" t="s">
        <v>148</v>
      </c>
      <c r="C68" s="13" t="s">
        <v>148</v>
      </c>
      <c r="D68" s="14" t="s">
        <v>160</v>
      </c>
      <c r="E68" s="6" t="s">
        <v>11</v>
      </c>
      <c r="F68" s="10">
        <f t="shared" si="22"/>
        <v>35.300185169075526</v>
      </c>
      <c r="G68" s="10">
        <f t="shared" si="23"/>
        <v>25.774541116233983</v>
      </c>
      <c r="H68" s="10">
        <f t="shared" si="24"/>
        <v>25.215305653249157</v>
      </c>
      <c r="I68" s="11">
        <f>VLOOKUP($D68,_xlfn.IFS('Scenario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216.22161368552423</v>
      </c>
      <c r="J68" s="11">
        <f>VLOOKUP($D68,'Fuel economy adjusted factor'!$A$2:$AD$52,9,FALSE)</f>
        <v>135.9308916</v>
      </c>
      <c r="K68" s="10">
        <f>VLOOKUP($D68,'Fuel economy adjusted factor'!$A$2:$AD$52,8,FALSE)</f>
        <v>220.367057625</v>
      </c>
      <c r="L68" s="10">
        <f t="shared" si="25"/>
        <v>26.458051126548771</v>
      </c>
      <c r="M68" s="10">
        <v>84.75524127903364</v>
      </c>
      <c r="N68" s="10">
        <f t="shared" si="26"/>
        <v>25.774541116233983</v>
      </c>
      <c r="O68" s="10">
        <f>VLOOKUP($D68,'Fuel economy adjusted factor'!$A$2:$L$52,12,FALSE)*(1-'TCO Inputs'!$BD$9)+VLOOKUP($D68,'US Grid mix, emissions&amp;prices'!$H$169:$AJ$219,'TCO Inputs'!$AZ$12-2021,FALSE)*'TCO Inputs'!$BD$9</f>
        <v>177.52827767647261</v>
      </c>
      <c r="P68" s="5">
        <f t="shared" si="37"/>
        <v>43070</v>
      </c>
      <c r="Q68" s="5">
        <f t="shared" si="28"/>
        <v>25392.400000000001</v>
      </c>
      <c r="R68" s="15">
        <f t="shared" si="29"/>
        <v>27690</v>
      </c>
      <c r="S68" s="5">
        <f t="shared" si="30"/>
        <v>32586</v>
      </c>
      <c r="T68" s="5">
        <f t="shared" si="31"/>
        <v>-4331.8459855137735</v>
      </c>
      <c r="U68" s="5">
        <f>(VLOOKUP($D68,'TCO Inputs'!$A$3:$AG$53,31,FALSE)-VLOOKUP($D68,'TCO Inputs'!$A$3:$AG$53,30,FALSE))/(((K68+H68)*AA68*'TCO Inputs'!$AZ$13-(I68+F68)*AA68*'TCO Inputs'!$AZ$13)*CONVERT(1,"g","ton"))</f>
        <v>2002.8623861791702</v>
      </c>
      <c r="V68" s="5">
        <f t="shared" si="32"/>
        <v>-45.824078592111199</v>
      </c>
      <c r="W68" s="5">
        <f>(VLOOKUP($D68,'TCO Inputs'!$A$3:$AG$53,32,FALSE)-VLOOKUP($D68,'TCO Inputs'!$A$3:$AG$53,30,FALSE))/(((K68+H68)*AA68*'TCO Inputs'!$AZ$13-(J68+G68)*AA68*'TCO Inputs'!$AZ$13)*CONVERT(1,"g","ton"))</f>
        <v>-280.40541848571587</v>
      </c>
      <c r="X68" s="31">
        <f t="shared" si="27"/>
        <v>60.954243110232255</v>
      </c>
      <c r="Y68" s="31">
        <f>(VLOOKUP($D68,'TCO Inputs'!$A$3:$AG$53,33,FALSE)-VLOOKUP($D68,'TCO Inputs'!$A$3:$AG$53,30,FALSE))/(((K68+H68)*AA68*'TCO Inputs'!$AZ$13-(L68+M68)*AA68*'TCO Inputs'!$AZ$13)*CONVERT(1,"g","ton"))</f>
        <v>-28.4825658242362</v>
      </c>
      <c r="Z68" s="11">
        <f t="shared" si="33"/>
        <v>-89.816366138365765</v>
      </c>
      <c r="AA68" s="26">
        <f>VLOOKUP(D68, 'VKT US'!$B$3:$D$54, 3,FALSE)</f>
        <v>38735.204460000001</v>
      </c>
      <c r="AB68" s="11">
        <f>VLOOKUP($D68,'VKT US'!$F$5:$S$55,14,FALSE)</f>
        <v>652900</v>
      </c>
      <c r="AC68" s="10">
        <f t="shared" si="34"/>
        <v>-31.800652932069436</v>
      </c>
      <c r="AD68" s="25">
        <f t="shared" si="35"/>
        <v>-4286.0219069216619</v>
      </c>
      <c r="AE68" s="25">
        <f t="shared" si="38"/>
        <v>4286.0219069216619</v>
      </c>
      <c r="AF68" s="25">
        <f t="shared" si="36"/>
        <v>4286.0219069216619</v>
      </c>
      <c r="AG68" s="25">
        <f t="shared" si="39"/>
        <v>1129.3381142442736</v>
      </c>
      <c r="AH68" s="20"/>
    </row>
    <row r="69" spans="2:34" x14ac:dyDescent="0.25">
      <c r="B69" s="13" t="s">
        <v>148</v>
      </c>
      <c r="C69" s="13" t="s">
        <v>148</v>
      </c>
      <c r="D69" s="14" t="s">
        <v>159</v>
      </c>
      <c r="E69" s="6" t="s">
        <v>11</v>
      </c>
      <c r="F69" s="10">
        <f t="shared" si="22"/>
        <v>35.300185169075526</v>
      </c>
      <c r="G69" s="10">
        <f t="shared" si="23"/>
        <v>25.774541116233983</v>
      </c>
      <c r="H69" s="10">
        <f t="shared" si="24"/>
        <v>25.215305653249157</v>
      </c>
      <c r="I69" s="11">
        <f>VLOOKUP($D69,_xlfn.IFS('Scenario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236.07423664356753</v>
      </c>
      <c r="J69" s="11">
        <f>VLOOKUP($D69,'Fuel economy adjusted factor'!$A$2:$AD$52,9,FALSE)</f>
        <v>131.97421775999999</v>
      </c>
      <c r="K69" s="10">
        <f>VLOOKUP($D69,'Fuel economy adjusted factor'!$A$2:$AD$52,8,FALSE)</f>
        <v>213.95261745000002</v>
      </c>
      <c r="L69" s="10">
        <f t="shared" si="25"/>
        <v>26.458051126548771</v>
      </c>
      <c r="M69" s="10">
        <v>84.75524127903364</v>
      </c>
      <c r="N69" s="10">
        <f t="shared" si="26"/>
        <v>25.774541116233983</v>
      </c>
      <c r="O69" s="10">
        <f>VLOOKUP($D69,'Fuel economy adjusted factor'!$A$2:$L$52,12,FALSE)*(1-'TCO Inputs'!$BD$9)+VLOOKUP($D69,'US Grid mix, emissions&amp;prices'!$H$169:$AJ$219,'TCO Inputs'!$AZ$12-2021,FALSE)*'TCO Inputs'!$BD$9</f>
        <v>185.95691467065512</v>
      </c>
      <c r="P69" s="5">
        <f t="shared" si="37"/>
        <v>43070</v>
      </c>
      <c r="Q69" s="5">
        <f t="shared" si="28"/>
        <v>25392.400000000001</v>
      </c>
      <c r="R69" s="15">
        <f t="shared" si="29"/>
        <v>27690</v>
      </c>
      <c r="S69" s="5">
        <f t="shared" si="30"/>
        <v>32586</v>
      </c>
      <c r="T69" s="5">
        <f t="shared" si="31"/>
        <v>-1139.3658543569386</v>
      </c>
      <c r="U69" s="5">
        <f>(VLOOKUP($D69,'TCO Inputs'!$A$3:$AG$53,31,FALSE)-VLOOKUP($D69,'TCO Inputs'!$A$3:$AG$53,30,FALSE))/(((K69+H69)*AA69*'TCO Inputs'!$AZ$13-(I69+F69)*AA69*'TCO Inputs'!$AZ$13)*CONVERT(1,"g","ton"))</f>
        <v>-534.34011473237342</v>
      </c>
      <c r="V69" s="5">
        <f t="shared" si="32"/>
        <v>-67.328379328514657</v>
      </c>
      <c r="W69" s="5">
        <f>(VLOOKUP($D69,'TCO Inputs'!$A$3:$AG$53,32,FALSE)-VLOOKUP($D69,'TCO Inputs'!$A$3:$AG$53,30,FALSE))/(((K69+H69)*AA69*'TCO Inputs'!$AZ$13-(J69+G69)*AA69*'TCO Inputs'!$AZ$13)*CONVERT(1,"g","ton"))</f>
        <v>-230.35704294727469</v>
      </c>
      <c r="X69" s="31">
        <f t="shared" si="27"/>
        <v>91.292642802304243</v>
      </c>
      <c r="Y69" s="31">
        <f>(VLOOKUP($D69,'TCO Inputs'!$A$3:$AG$53,33,FALSE)-VLOOKUP($D69,'TCO Inputs'!$A$3:$AG$53,30,FALSE))/(((K69+H69)*AA69*'TCO Inputs'!$AZ$13-(L69+M69)*AA69*'TCO Inputs'!$AZ$13)*CONVERT(1,"g","ton"))</f>
        <v>48.614457300402549</v>
      </c>
      <c r="Z69" s="11">
        <f t="shared" si="33"/>
        <v>-113.62566293640907</v>
      </c>
      <c r="AA69" s="26">
        <f>VLOOKUP(D69, 'VKT US'!$B$3:$D$54, 3,FALSE)</f>
        <v>27159.221839999998</v>
      </c>
      <c r="AB69" s="11">
        <f>VLOOKUP($D69,'VKT US'!$F$5:$S$55,14,FALSE)</f>
        <v>1510900</v>
      </c>
      <c r="AC69" s="10">
        <f t="shared" si="34"/>
        <v>-65.276597562432698</v>
      </c>
      <c r="AD69" s="25">
        <f t="shared" si="35"/>
        <v>-1072.0374750284238</v>
      </c>
      <c r="AE69" s="25">
        <f t="shared" si="38"/>
        <v>1072.0374750284238</v>
      </c>
      <c r="AF69" s="25">
        <f t="shared" si="36"/>
        <v>1072.0374750284238</v>
      </c>
      <c r="AG69" s="25">
        <f t="shared" si="39"/>
        <v>1072.0374750284238</v>
      </c>
      <c r="AH69" s="20"/>
    </row>
    <row r="70" spans="2:34" x14ac:dyDescent="0.25">
      <c r="B70" s="13" t="s">
        <v>148</v>
      </c>
      <c r="C70" s="13" t="s">
        <v>148</v>
      </c>
      <c r="D70" s="14" t="s">
        <v>187</v>
      </c>
      <c r="E70" s="6" t="s">
        <v>11</v>
      </c>
      <c r="F70" s="10">
        <f t="shared" si="22"/>
        <v>35.300185169075526</v>
      </c>
      <c r="G70" s="10">
        <f t="shared" si="23"/>
        <v>25.774541116233983</v>
      </c>
      <c r="H70" s="10">
        <f t="shared" si="24"/>
        <v>25.215305653249157</v>
      </c>
      <c r="I70" s="11">
        <f>VLOOKUP($D70,_xlfn.IFS('Scenario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85.858921522144314</v>
      </c>
      <c r="J70" s="11">
        <f>VLOOKUP($D70,'Fuel economy adjusted factor'!$A$2:$AD$52,9,FALSE)</f>
        <v>129.93206351999999</v>
      </c>
      <c r="K70" s="10">
        <f>VLOOKUP($D70,'Fuel economy adjusted factor'!$A$2:$AD$52,8,FALSE)</f>
        <v>210.64193865000001</v>
      </c>
      <c r="L70" s="10">
        <f t="shared" si="25"/>
        <v>26.458051126548771</v>
      </c>
      <c r="M70" s="10">
        <v>84.75524127903364</v>
      </c>
      <c r="N70" s="10">
        <f t="shared" si="26"/>
        <v>25.774541116233983</v>
      </c>
      <c r="O70" s="10">
        <f>VLOOKUP($D70,'Fuel economy adjusted factor'!$A$2:$L$52,12,FALSE)*(1-'TCO Inputs'!$BD$9)+VLOOKUP($D70,'US Grid mix, emissions&amp;prices'!$H$169:$AJ$219,'TCO Inputs'!$AZ$12-2021,FALSE)*'TCO Inputs'!$BD$9</f>
        <v>106.86702722351504</v>
      </c>
      <c r="P70" s="5">
        <f t="shared" si="37"/>
        <v>43070</v>
      </c>
      <c r="Q70" s="5">
        <f t="shared" si="28"/>
        <v>25392.400000000001</v>
      </c>
      <c r="R70" s="15">
        <f t="shared" si="29"/>
        <v>27690</v>
      </c>
      <c r="S70" s="5">
        <f t="shared" si="30"/>
        <v>32586</v>
      </c>
      <c r="T70" s="5">
        <f t="shared" si="31"/>
        <v>303.02976153033842</v>
      </c>
      <c r="U70" s="5">
        <f>(VLOOKUP($D70,'TCO Inputs'!$A$3:$AG$53,31,FALSE)-VLOOKUP($D70,'TCO Inputs'!$A$3:$AG$53,30,FALSE))/(((K70+H70)*AA70*'TCO Inputs'!$AZ$13-(I70+F70)*AA70*'TCO Inputs'!$AZ$13)*CONVERT(1,"g","ton"))</f>
        <v>101.27484843806826</v>
      </c>
      <c r="V70" s="5">
        <f t="shared" si="32"/>
        <v>-64.781760270129482</v>
      </c>
      <c r="W70" s="5">
        <f>(VLOOKUP($D70,'TCO Inputs'!$A$3:$AG$53,32,FALSE)-VLOOKUP($D70,'TCO Inputs'!$A$3:$AG$53,30,FALSE))/(((K70+H70)*AA70*'TCO Inputs'!$AZ$13-(J70+G70)*AA70*'TCO Inputs'!$AZ$13)*CONVERT(1,"g","ton"))</f>
        <v>-220.5074409729188</v>
      </c>
      <c r="X70" s="31">
        <f t="shared" si="27"/>
        <v>88.767811710005859</v>
      </c>
      <c r="Y70" s="31">
        <f>(VLOOKUP($D70,'TCO Inputs'!$A$3:$AG$53,33,FALSE)-VLOOKUP($D70,'TCO Inputs'!$A$3:$AG$53,30,FALSE))/(((K70+H70)*AA70*'TCO Inputs'!$AZ$13-(L70+M70)*AA70*'TCO Inputs'!$AZ$13)*CONVERT(1,"g","ton"))</f>
        <v>64.664963469617206</v>
      </c>
      <c r="Z70" s="11">
        <f t="shared" si="33"/>
        <v>34.547497945014129</v>
      </c>
      <c r="AA70" s="26">
        <f>VLOOKUP(D70, 'VKT US'!$B$3:$D$54, 3,FALSE)</f>
        <v>28673.610779999999</v>
      </c>
      <c r="AB70" s="11">
        <f>VLOOKUP($D70,'VKT US'!$F$5:$S$55,14,FALSE)</f>
        <v>4835900</v>
      </c>
      <c r="AC70" s="10">
        <f t="shared" si="34"/>
        <v>67.066297756951826</v>
      </c>
      <c r="AD70" s="25">
        <f t="shared" si="35"/>
        <v>367.81152180046791</v>
      </c>
      <c r="AE70" s="25">
        <f t="shared" si="38"/>
        <v>367.81152180046791</v>
      </c>
      <c r="AF70" s="25">
        <f t="shared" si="36"/>
        <v>367.81152180046791</v>
      </c>
      <c r="AG70" s="25">
        <f t="shared" si="39"/>
        <v>367.81152180046791</v>
      </c>
      <c r="AH70" s="20"/>
    </row>
    <row r="71" spans="2:34" x14ac:dyDescent="0.25">
      <c r="B71" s="13" t="s">
        <v>148</v>
      </c>
      <c r="C71" s="13" t="s">
        <v>148</v>
      </c>
      <c r="D71" s="14" t="s">
        <v>188</v>
      </c>
      <c r="E71" s="6" t="s">
        <v>11</v>
      </c>
      <c r="F71" s="10">
        <f t="shared" si="22"/>
        <v>35.300185169075526</v>
      </c>
      <c r="G71" s="10">
        <f t="shared" si="23"/>
        <v>25.774541116233983</v>
      </c>
      <c r="H71" s="10">
        <f t="shared" si="24"/>
        <v>25.215305653249157</v>
      </c>
      <c r="I71" s="11">
        <f>VLOOKUP($D71,_xlfn.IFS('Scenario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117.45189357990263</v>
      </c>
      <c r="J71" s="11">
        <f>VLOOKUP($D71,'Fuel economy adjusted factor'!$A$2:$AD$52,9,FALSE)</f>
        <v>130.69787135999999</v>
      </c>
      <c r="K71" s="10">
        <f>VLOOKUP($D71,'Fuel economy adjusted factor'!$A$2:$AD$52,8,FALSE)</f>
        <v>211.88344320000002</v>
      </c>
      <c r="L71" s="10">
        <f t="shared" si="25"/>
        <v>26.458051126548771</v>
      </c>
      <c r="M71" s="10">
        <v>84.75524127903364</v>
      </c>
      <c r="N71" s="10">
        <f t="shared" si="26"/>
        <v>25.774541116233983</v>
      </c>
      <c r="O71" s="10">
        <f>VLOOKUP($D71,'Fuel economy adjusted factor'!$A$2:$L$52,12,FALSE)*(1-'TCO Inputs'!$BD$9)+VLOOKUP($D71,'US Grid mix, emissions&amp;prices'!$H$169:$AJ$219,'TCO Inputs'!$AZ$12-2021,FALSE)*'TCO Inputs'!$BD$9</f>
        <v>123.66209403754937</v>
      </c>
      <c r="P71" s="5">
        <f t="shared" si="37"/>
        <v>43070</v>
      </c>
      <c r="Q71" s="5">
        <f t="shared" si="28"/>
        <v>25392.400000000001</v>
      </c>
      <c r="R71" s="15">
        <f t="shared" si="29"/>
        <v>27690</v>
      </c>
      <c r="S71" s="5">
        <f t="shared" si="30"/>
        <v>32586</v>
      </c>
      <c r="T71" s="5">
        <f t="shared" si="31"/>
        <v>426.25969665131288</v>
      </c>
      <c r="U71" s="5">
        <f>(VLOOKUP($D71,'TCO Inputs'!$A$3:$AG$53,31,FALSE)-VLOOKUP($D71,'TCO Inputs'!$A$3:$AG$53,30,FALSE))/(((K71+H71)*AA71*'TCO Inputs'!$AZ$13-(I71+F71)*AA71*'TCO Inputs'!$AZ$13)*CONVERT(1,"g","ton"))</f>
        <v>238.12777415758484</v>
      </c>
      <c r="V71" s="5">
        <f t="shared" si="32"/>
        <v>-66.616739763422501</v>
      </c>
      <c r="W71" s="5">
        <f>(VLOOKUP($D71,'TCO Inputs'!$A$3:$AG$53,32,FALSE)-VLOOKUP($D71,'TCO Inputs'!$A$3:$AG$53,30,FALSE))/(((K71+H71)*AA71*'TCO Inputs'!$AZ$13-(J71+G71)*AA71*'TCO Inputs'!$AZ$13)*CONVERT(1,"g","ton"))</f>
        <v>-215.13367711643295</v>
      </c>
      <c r="X71" s="31">
        <f t="shared" si="27"/>
        <v>90.918388242250799</v>
      </c>
      <c r="Y71" s="31">
        <f>(VLOOKUP($D71,'TCO Inputs'!$A$3:$AG$53,33,FALSE)-VLOOKUP($D71,'TCO Inputs'!$A$3:$AG$53,30,FALSE))/(((K71+H71)*AA71*'TCO Inputs'!$AZ$13-(L71+M71)*AA71*'TCO Inputs'!$AZ$13)*CONVERT(1,"g","ton"))</f>
        <v>72.665865969692035</v>
      </c>
      <c r="Z71" s="11">
        <f t="shared" si="33"/>
        <v>3.7203337272558201</v>
      </c>
      <c r="AA71" s="26">
        <f>VLOOKUP(D71, 'VKT US'!$B$3:$D$54, 3,FALSE)</f>
        <v>27719.27216</v>
      </c>
      <c r="AB71" s="11">
        <f>VLOOKUP($D71,'VKT US'!$F$5:$S$55,14,FALSE)</f>
        <v>2708300</v>
      </c>
      <c r="AC71" s="10">
        <f t="shared" si="34"/>
        <v>3.9101059680168175</v>
      </c>
      <c r="AD71" s="25">
        <f t="shared" si="35"/>
        <v>492.87643641473539</v>
      </c>
      <c r="AE71" s="25">
        <f t="shared" si="38"/>
        <v>492.87643641473539</v>
      </c>
      <c r="AF71" s="25">
        <f t="shared" si="36"/>
        <v>492.87643641473539</v>
      </c>
      <c r="AG71" s="25">
        <f t="shared" si="39"/>
        <v>492.87643641473539</v>
      </c>
      <c r="AH71" s="20"/>
    </row>
    <row r="72" spans="2:34" x14ac:dyDescent="0.25">
      <c r="B72" s="13" t="s">
        <v>148</v>
      </c>
      <c r="C72" s="13" t="s">
        <v>148</v>
      </c>
      <c r="D72" s="14" t="s">
        <v>189</v>
      </c>
      <c r="E72" s="6" t="s">
        <v>11</v>
      </c>
      <c r="F72" s="10">
        <f t="shared" si="22"/>
        <v>35.300185169075526</v>
      </c>
      <c r="G72" s="10">
        <f t="shared" si="23"/>
        <v>25.774541116233983</v>
      </c>
      <c r="H72" s="10">
        <f t="shared" si="24"/>
        <v>25.215305653249157</v>
      </c>
      <c r="I72" s="11">
        <f>VLOOKUP($D72,_xlfn.IFS('Scenario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84.713928938854053</v>
      </c>
      <c r="J72" s="11">
        <f>VLOOKUP($D72,'Fuel economy adjusted factor'!$A$2:$AD$52,9,FALSE)</f>
        <v>131.4636792</v>
      </c>
      <c r="K72" s="10">
        <f>VLOOKUP($D72,'Fuel economy adjusted factor'!$A$2:$AD$52,8,FALSE)</f>
        <v>213.12494775000002</v>
      </c>
      <c r="L72" s="10">
        <f t="shared" si="25"/>
        <v>26.458051126548771</v>
      </c>
      <c r="M72" s="10">
        <v>84.75524127903364</v>
      </c>
      <c r="N72" s="10">
        <f t="shared" si="26"/>
        <v>25.774541116233983</v>
      </c>
      <c r="O72" s="10">
        <f>VLOOKUP($D72,'Fuel economy adjusted factor'!$A$2:$L$52,12,FALSE)*(1-'TCO Inputs'!$BD$9)+VLOOKUP($D72,'US Grid mix, emissions&amp;prices'!$H$169:$AJ$219,'TCO Inputs'!$AZ$12-2021,FALSE)*'TCO Inputs'!$BD$9</f>
        <v>107.00507376820411</v>
      </c>
      <c r="P72" s="5">
        <f t="shared" si="37"/>
        <v>43070</v>
      </c>
      <c r="Q72" s="5">
        <f t="shared" si="28"/>
        <v>25392.400000000001</v>
      </c>
      <c r="R72" s="15">
        <f t="shared" si="29"/>
        <v>27690</v>
      </c>
      <c r="S72" s="5">
        <f t="shared" si="30"/>
        <v>32586</v>
      </c>
      <c r="T72" s="5">
        <f t="shared" si="31"/>
        <v>399.81205893673263</v>
      </c>
      <c r="U72" s="5">
        <f>(VLOOKUP($D72,'TCO Inputs'!$A$3:$AG$53,31,FALSE)-VLOOKUP($D72,'TCO Inputs'!$A$3:$AG$53,30,FALSE))/(((K72+H72)*AA72*'TCO Inputs'!$AZ$13-(I72+F72)*AA72*'TCO Inputs'!$AZ$13)*CONVERT(1,"g","ton"))</f>
        <v>81.90265749128011</v>
      </c>
      <c r="V72" s="5">
        <f t="shared" si="32"/>
        <v>-87.141078252077548</v>
      </c>
      <c r="W72" s="5">
        <f>(VLOOKUP($D72,'TCO Inputs'!$A$3:$AG$53,32,FALSE)-VLOOKUP($D72,'TCO Inputs'!$A$3:$AG$53,30,FALSE))/(((K72+H72)*AA72*'TCO Inputs'!$AZ$13-(J72+G72)*AA72*'TCO Inputs'!$AZ$13)*CONVERT(1,"g","ton"))</f>
        <v>-300.46108294379769</v>
      </c>
      <c r="X72" s="31">
        <f t="shared" si="27"/>
        <v>118.46334519137628</v>
      </c>
      <c r="Y72" s="31">
        <f>(VLOOKUP($D72,'TCO Inputs'!$A$3:$AG$53,33,FALSE)-VLOOKUP($D72,'TCO Inputs'!$A$3:$AG$53,30,FALSE))/(((K72+H72)*AA72*'TCO Inputs'!$AZ$13-(L72+M72)*AA72*'TCO Inputs'!$AZ$13)*CONVERT(1,"g","ton"))</f>
        <v>-70.862892841477958</v>
      </c>
      <c r="Z72" s="11">
        <f t="shared" si="33"/>
        <v>37.22410620830442</v>
      </c>
      <c r="AA72" s="26">
        <f>VLOOKUP(D72, 'VKT US'!$B$3:$D$54, 3,FALSE)</f>
        <v>21066.260600000001</v>
      </c>
      <c r="AB72" s="11">
        <f>VLOOKUP($D72,'VKT US'!$F$5:$S$55,14,FALSE)</f>
        <v>6529000</v>
      </c>
      <c r="AC72" s="10">
        <f t="shared" si="34"/>
        <v>71.678091825872329</v>
      </c>
      <c r="AD72" s="25">
        <f t="shared" si="35"/>
        <v>486.95313718881016</v>
      </c>
      <c r="AE72" s="25">
        <f t="shared" si="38"/>
        <v>486.95313718881016</v>
      </c>
      <c r="AF72" s="25">
        <f t="shared" si="36"/>
        <v>486.95313718881016</v>
      </c>
      <c r="AG72" s="25">
        <f t="shared" si="39"/>
        <v>486.95313718881016</v>
      </c>
      <c r="AH72" s="20"/>
    </row>
    <row r="73" spans="2:34" x14ac:dyDescent="0.25">
      <c r="B73" s="13" t="s">
        <v>148</v>
      </c>
      <c r="C73" s="13" t="s">
        <v>148</v>
      </c>
      <c r="D73" s="14" t="s">
        <v>190</v>
      </c>
      <c r="E73" s="6" t="s">
        <v>11</v>
      </c>
      <c r="F73" s="10">
        <f t="shared" si="22"/>
        <v>35.300185169075526</v>
      </c>
      <c r="G73" s="10">
        <f t="shared" si="23"/>
        <v>25.774541116233983</v>
      </c>
      <c r="H73" s="10">
        <f t="shared" si="24"/>
        <v>25.215305653249157</v>
      </c>
      <c r="I73" s="11">
        <f>VLOOKUP($D73,_xlfn.IFS('Scenario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131.09602579926135</v>
      </c>
      <c r="J73" s="11">
        <f>VLOOKUP($D73,'Fuel economy adjusted factor'!$A$2:$AD$52,9,FALSE)</f>
        <v>134.27164127999998</v>
      </c>
      <c r="K73" s="10">
        <f>VLOOKUP($D73,'Fuel economy adjusted factor'!$A$2:$AD$52,8,FALSE)</f>
        <v>217.67713110000003</v>
      </c>
      <c r="L73" s="10">
        <f t="shared" si="25"/>
        <v>26.458051126548771</v>
      </c>
      <c r="M73" s="10">
        <v>84.75524127903364</v>
      </c>
      <c r="N73" s="10">
        <f t="shared" si="26"/>
        <v>25.774541116233983</v>
      </c>
      <c r="O73" s="10">
        <f>VLOOKUP($D73,'Fuel economy adjusted factor'!$A$2:$L$52,12,FALSE)*(1-'TCO Inputs'!$BD$9)+VLOOKUP($D73,'US Grid mix, emissions&amp;prices'!$H$169:$AJ$219,'TCO Inputs'!$AZ$12-2021,FALSE)*'TCO Inputs'!$BD$9</f>
        <v>132.46840906361592</v>
      </c>
      <c r="P73" s="5">
        <f t="shared" si="37"/>
        <v>43070</v>
      </c>
      <c r="Q73" s="5">
        <f t="shared" si="28"/>
        <v>25392.400000000001</v>
      </c>
      <c r="R73" s="15">
        <f t="shared" si="29"/>
        <v>27690</v>
      </c>
      <c r="S73" s="5">
        <f t="shared" si="30"/>
        <v>32586</v>
      </c>
      <c r="T73" s="5">
        <f t="shared" si="31"/>
        <v>627.59601783773121</v>
      </c>
      <c r="U73" s="5">
        <f>(VLOOKUP($D73,'TCO Inputs'!$A$3:$AG$53,31,FALSE)-VLOOKUP($D73,'TCO Inputs'!$A$3:$AG$53,30,FALSE))/(((K73+H73)*AA73*'TCO Inputs'!$AZ$13-(I73+F73)*AA73*'TCO Inputs'!$AZ$13)*CONVERT(1,"g","ton"))</f>
        <v>426.63270915874318</v>
      </c>
      <c r="V73" s="5">
        <f t="shared" si="32"/>
        <v>-86.569597181595441</v>
      </c>
      <c r="W73" s="5">
        <f>(VLOOKUP($D73,'TCO Inputs'!$A$3:$AG$53,32,FALSE)-VLOOKUP($D73,'TCO Inputs'!$A$3:$AG$53,30,FALSE))/(((K73+H73)*AA73*'TCO Inputs'!$AZ$13-(J73+G73)*AA73*'TCO Inputs'!$AZ$13)*CONVERT(1,"g","ton"))</f>
        <v>-228.52826862576393</v>
      </c>
      <c r="X73" s="31">
        <f t="shared" si="27"/>
        <v>116.06152302762807</v>
      </c>
      <c r="Y73" s="31">
        <f>(VLOOKUP($D73,'TCO Inputs'!$A$3:$AG$53,33,FALSE)-VLOOKUP($D73,'TCO Inputs'!$A$3:$AG$53,30,FALSE))/(((K73+H73)*AA73*'TCO Inputs'!$AZ$13-(L73+M73)*AA73*'TCO Inputs'!$AZ$13)*CONVERT(1,"g","ton"))</f>
        <v>40.99042018867501</v>
      </c>
      <c r="Z73" s="11">
        <f t="shared" si="33"/>
        <v>-6.3500285721029002</v>
      </c>
      <c r="AA73" s="26">
        <f>VLOOKUP(D73, 'VKT US'!$B$3:$D$54, 3,FALSE)</f>
        <v>20758.876660000002</v>
      </c>
      <c r="AB73" s="11">
        <f>VLOOKUP($D73,'VKT US'!$F$5:$S$55,14,FALSE)</f>
        <v>5441800</v>
      </c>
      <c r="AC73" s="10">
        <f t="shared" si="34"/>
        <v>-10.042691917574162</v>
      </c>
      <c r="AD73" s="25">
        <f t="shared" si="35"/>
        <v>714.16561501932665</v>
      </c>
      <c r="AE73" s="25">
        <f t="shared" si="38"/>
        <v>714.16561501932665</v>
      </c>
      <c r="AF73" s="25">
        <f t="shared" si="36"/>
        <v>714.16561501932665</v>
      </c>
      <c r="AG73" s="25">
        <f t="shared" si="39"/>
        <v>714.16561501932665</v>
      </c>
      <c r="AH73" s="20"/>
    </row>
    <row r="74" spans="2:34" x14ac:dyDescent="0.25">
      <c r="B74" s="13" t="s">
        <v>148</v>
      </c>
      <c r="C74" s="13" t="s">
        <v>148</v>
      </c>
      <c r="D74" s="14" t="s">
        <v>191</v>
      </c>
      <c r="E74" s="6" t="s">
        <v>11</v>
      </c>
      <c r="F74" s="10">
        <f t="shared" si="22"/>
        <v>35.300185169075526</v>
      </c>
      <c r="G74" s="10">
        <f t="shared" si="23"/>
        <v>25.774541116233983</v>
      </c>
      <c r="H74" s="10">
        <f t="shared" si="24"/>
        <v>25.215305653249157</v>
      </c>
      <c r="I74" s="11">
        <f>VLOOKUP($D74,_xlfn.IFS('Scenario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77.242686790273993</v>
      </c>
      <c r="J74" s="11">
        <f>VLOOKUP($D74,'Fuel economy adjusted factor'!$A$2:$AD$52,9,FALSE)</f>
        <v>132.86766023999996</v>
      </c>
      <c r="K74" s="10">
        <f>VLOOKUP($D74,'Fuel economy adjusted factor'!$A$2:$AD$52,8,FALSE)</f>
        <v>215.40103942499999</v>
      </c>
      <c r="L74" s="10">
        <f t="shared" si="25"/>
        <v>26.458051126548771</v>
      </c>
      <c r="M74" s="10">
        <v>84.75524127903364</v>
      </c>
      <c r="N74" s="10">
        <f t="shared" si="26"/>
        <v>25.774541116233983</v>
      </c>
      <c r="O74" s="10">
        <f>VLOOKUP($D74,'Fuel economy adjusted factor'!$A$2:$L$52,12,FALSE)*(1-'TCO Inputs'!$BD$9)+VLOOKUP($D74,'US Grid mix, emissions&amp;prices'!$H$169:$AJ$219,'TCO Inputs'!$AZ$12-2021,FALSE)*'TCO Inputs'!$BD$9</f>
        <v>103.79235031494247</v>
      </c>
      <c r="P74" s="5">
        <f t="shared" si="37"/>
        <v>43070</v>
      </c>
      <c r="Q74" s="5">
        <f t="shared" si="28"/>
        <v>25392.400000000001</v>
      </c>
      <c r="R74" s="15">
        <f t="shared" si="29"/>
        <v>27690</v>
      </c>
      <c r="S74" s="5">
        <f t="shared" si="30"/>
        <v>32586</v>
      </c>
      <c r="T74" s="5">
        <f t="shared" si="31"/>
        <v>399.04505686883294</v>
      </c>
      <c r="U74" s="5">
        <f>(VLOOKUP($D74,'TCO Inputs'!$A$3:$AG$53,31,FALSE)-VLOOKUP($D74,'TCO Inputs'!$A$3:$AG$53,30,FALSE))/(((K74+H74)*AA74*'TCO Inputs'!$AZ$13-(I74+F74)*AA74*'TCO Inputs'!$AZ$13)*CONVERT(1,"g","ton"))</f>
        <v>560.97732426794744</v>
      </c>
      <c r="V74" s="5">
        <f t="shared" si="32"/>
        <v>-93.137016227947157</v>
      </c>
      <c r="W74" s="5">
        <f>(VLOOKUP($D74,'TCO Inputs'!$A$3:$AG$53,32,FALSE)-VLOOKUP($D74,'TCO Inputs'!$A$3:$AG$53,30,FALSE))/(((K74+H74)*AA74*'TCO Inputs'!$AZ$13-(J74+G74)*AA74*'TCO Inputs'!$AZ$13)*CONVERT(1,"g","ton"))</f>
        <v>-210.72635856970626</v>
      </c>
      <c r="X74" s="31">
        <f t="shared" si="27"/>
        <v>125.72500871095332</v>
      </c>
      <c r="Y74" s="31">
        <f>(VLOOKUP($D74,'TCO Inputs'!$A$3:$AG$53,33,FALSE)-VLOOKUP($D74,'TCO Inputs'!$A$3:$AG$53,30,FALSE))/(((K74+H74)*AA74*'TCO Inputs'!$AZ$13-(L74+M74)*AA74*'TCO Inputs'!$AZ$13)*CONVERT(1,"g","ton"))</f>
        <v>71.533770743748661</v>
      </c>
      <c r="Z74" s="11">
        <f t="shared" si="33"/>
        <v>46.099329396884428</v>
      </c>
      <c r="AA74" s="26">
        <f>VLOOKUP(D74, 'VKT US'!$B$3:$D$54, 3,FALSE)</f>
        <v>19500.372780000002</v>
      </c>
      <c r="AB74" s="11">
        <f>VLOOKUP($D74,'VKT US'!$F$5:$S$55,14,FALSE)</f>
        <v>2945700</v>
      </c>
      <c r="AC74" s="10">
        <f t="shared" si="34"/>
        <v>37.072687629171327</v>
      </c>
      <c r="AD74" s="25">
        <f t="shared" si="35"/>
        <v>492.18207309678007</v>
      </c>
      <c r="AE74" s="25">
        <f t="shared" si="38"/>
        <v>492.18207309678007</v>
      </c>
      <c r="AF74" s="25">
        <f t="shared" si="36"/>
        <v>492.18207309678007</v>
      </c>
      <c r="AG74" s="25">
        <f t="shared" si="39"/>
        <v>492.18207309678007</v>
      </c>
      <c r="AH74" s="20"/>
    </row>
    <row r="75" spans="2:34" x14ac:dyDescent="0.25">
      <c r="B75" s="13" t="s">
        <v>148</v>
      </c>
      <c r="C75" s="13" t="s">
        <v>148</v>
      </c>
      <c r="D75" s="14" t="s">
        <v>192</v>
      </c>
      <c r="E75" s="6" t="s">
        <v>11</v>
      </c>
      <c r="F75" s="10">
        <f t="shared" si="22"/>
        <v>35.300185169075526</v>
      </c>
      <c r="G75" s="10">
        <f t="shared" si="23"/>
        <v>25.774541116233983</v>
      </c>
      <c r="H75" s="10">
        <f t="shared" si="24"/>
        <v>25.215305653249157</v>
      </c>
      <c r="I75" s="11">
        <f>VLOOKUP($D75,_xlfn.IFS('Scenario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115.37945831803361</v>
      </c>
      <c r="J75" s="11">
        <f>VLOOKUP($D75,'Fuel economy adjusted factor'!$A$2:$AD$52,9,FALSE)</f>
        <v>131.4636792</v>
      </c>
      <c r="K75" s="10">
        <f>VLOOKUP($D75,'Fuel economy adjusted factor'!$A$2:$AD$52,8,FALSE)</f>
        <v>213.12494775000002</v>
      </c>
      <c r="L75" s="10">
        <f t="shared" si="25"/>
        <v>26.458051126548771</v>
      </c>
      <c r="M75" s="10">
        <v>84.75524127903364</v>
      </c>
      <c r="N75" s="10">
        <f t="shared" si="26"/>
        <v>25.774541116233983</v>
      </c>
      <c r="O75" s="10">
        <f>VLOOKUP($D75,'Fuel economy adjusted factor'!$A$2:$L$52,12,FALSE)*(1-'TCO Inputs'!$BD$9)+VLOOKUP($D75,'US Grid mix, emissions&amp;prices'!$H$169:$AJ$219,'TCO Inputs'!$AZ$12-2021,FALSE)*'TCO Inputs'!$BD$9</f>
        <v>122.95114904537749</v>
      </c>
      <c r="P75" s="5">
        <f t="shared" si="37"/>
        <v>43070</v>
      </c>
      <c r="Q75" s="5">
        <f t="shared" si="28"/>
        <v>25392.400000000001</v>
      </c>
      <c r="R75" s="15">
        <f t="shared" si="29"/>
        <v>27690</v>
      </c>
      <c r="S75" s="5">
        <f t="shared" si="30"/>
        <v>32586</v>
      </c>
      <c r="T75" s="5">
        <f t="shared" si="31"/>
        <v>560.2619100006757</v>
      </c>
      <c r="U75" s="5">
        <f>(VLOOKUP($D75,'TCO Inputs'!$A$3:$AG$53,31,FALSE)-VLOOKUP($D75,'TCO Inputs'!$A$3:$AG$53,30,FALSE))/(((K75+H75)*AA75*'TCO Inputs'!$AZ$13-(I75+F75)*AA75*'TCO Inputs'!$AZ$13)*CONVERT(1,"g","ton"))</f>
        <v>334.51585884823351</v>
      </c>
      <c r="V75" s="5">
        <f t="shared" si="32"/>
        <v>-90.465279904805641</v>
      </c>
      <c r="W75" s="5">
        <f>(VLOOKUP($D75,'TCO Inputs'!$A$3:$AG$53,32,FALSE)-VLOOKUP($D75,'TCO Inputs'!$A$3:$AG$53,30,FALSE))/(((K75+H75)*AA75*'TCO Inputs'!$AZ$13-(J75+G75)*AA75*'TCO Inputs'!$AZ$13)*CONVERT(1,"g","ton"))</f>
        <v>-219.56140656800088</v>
      </c>
      <c r="X75" s="31">
        <f t="shared" si="27"/>
        <v>122.9824084824423</v>
      </c>
      <c r="Y75" s="31">
        <f>(VLOOKUP($D75,'TCO Inputs'!$A$3:$AG$53,33,FALSE)-VLOOKUP($D75,'TCO Inputs'!$A$3:$AG$53,30,FALSE))/(((K75+H75)*AA75*'TCO Inputs'!$AZ$13-(L75+M75)*AA75*'TCO Inputs'!$AZ$13)*CONVERT(1,"g","ton"))</f>
        <v>50.901314401742532</v>
      </c>
      <c r="Z75" s="11">
        <f t="shared" si="33"/>
        <v>6.5585768291248598</v>
      </c>
      <c r="AA75" s="26">
        <f>VLOOKUP(D75, 'VKT US'!$B$3:$D$54, 3,FALSE)</f>
        <v>20292.16806</v>
      </c>
      <c r="AB75" s="11">
        <f>VLOOKUP($D75,'VKT US'!$F$5:$S$55,14,FALSE)</f>
        <v>914700</v>
      </c>
      <c r="AC75" s="10">
        <f t="shared" si="34"/>
        <v>1.7042950225239573</v>
      </c>
      <c r="AD75" s="25">
        <f t="shared" si="35"/>
        <v>650.72718990548128</v>
      </c>
      <c r="AE75" s="25">
        <f t="shared" si="38"/>
        <v>650.72718990548128</v>
      </c>
      <c r="AF75" s="25">
        <f t="shared" si="36"/>
        <v>650.72718990548128</v>
      </c>
      <c r="AG75" s="25">
        <f t="shared" si="39"/>
        <v>650.72718990548128</v>
      </c>
      <c r="AH75" s="20"/>
    </row>
    <row r="76" spans="2:34" x14ac:dyDescent="0.25">
      <c r="B76" s="13" t="s">
        <v>148</v>
      </c>
      <c r="C76" s="13" t="s">
        <v>148</v>
      </c>
      <c r="D76" s="14" t="s">
        <v>193</v>
      </c>
      <c r="E76" s="6" t="s">
        <v>11</v>
      </c>
      <c r="F76" s="10">
        <f t="shared" si="22"/>
        <v>35.300185169075526</v>
      </c>
      <c r="G76" s="10">
        <f t="shared" si="23"/>
        <v>25.774541116233983</v>
      </c>
      <c r="H76" s="10">
        <f t="shared" si="24"/>
        <v>25.215305653249157</v>
      </c>
      <c r="I76" s="11">
        <f>VLOOKUP($D76,_xlfn.IFS('Scenario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100.54080141423853</v>
      </c>
      <c r="J76" s="11">
        <f>VLOOKUP($D76,'Fuel economy adjusted factor'!$A$2:$AD$52,9,FALSE)</f>
        <v>130.05969815999998</v>
      </c>
      <c r="K76" s="10">
        <f>VLOOKUP($D76,'Fuel economy adjusted factor'!$A$2:$AD$52,8,FALSE)</f>
        <v>210.84885607499999</v>
      </c>
      <c r="L76" s="10">
        <f t="shared" si="25"/>
        <v>26.458051126548771</v>
      </c>
      <c r="M76" s="10">
        <v>84.75524127903364</v>
      </c>
      <c r="N76" s="10">
        <f t="shared" si="26"/>
        <v>25.774541116233983</v>
      </c>
      <c r="O76" s="10">
        <f>VLOOKUP($D76,'Fuel economy adjusted factor'!$A$2:$L$52,12,FALSE)*(1-'TCO Inputs'!$BD$9)+VLOOKUP($D76,'US Grid mix, emissions&amp;prices'!$H$169:$AJ$219,'TCO Inputs'!$AZ$12-2021,FALSE)*'TCO Inputs'!$BD$9</f>
        <v>114.56272499140404</v>
      </c>
      <c r="P76" s="5">
        <f t="shared" si="37"/>
        <v>43070</v>
      </c>
      <c r="Q76" s="5">
        <f t="shared" si="28"/>
        <v>25392.400000000001</v>
      </c>
      <c r="R76" s="15">
        <f t="shared" si="29"/>
        <v>27690</v>
      </c>
      <c r="S76" s="5">
        <f t="shared" si="30"/>
        <v>32586</v>
      </c>
      <c r="T76" s="5">
        <f t="shared" si="31"/>
        <v>424.45943422016597</v>
      </c>
      <c r="U76" s="5">
        <f>(VLOOKUP($D76,'TCO Inputs'!$A$3:$AG$53,31,FALSE)-VLOOKUP($D76,'TCO Inputs'!$A$3:$AG$53,30,FALSE))/(((K76+H76)*AA76*'TCO Inputs'!$AZ$13-(I76+F76)*AA76*'TCO Inputs'!$AZ$13)*CONVERT(1,"g","ton"))</f>
        <v>416.33040754420858</v>
      </c>
      <c r="V76" s="5">
        <f t="shared" si="32"/>
        <v>-79.211103384722847</v>
      </c>
      <c r="W76" s="5">
        <f>(VLOOKUP($D76,'TCO Inputs'!$A$3:$AG$53,32,FALSE)-VLOOKUP($D76,'TCO Inputs'!$A$3:$AG$53,30,FALSE))/(((K76+H76)*AA76*'TCO Inputs'!$AZ$13-(J76+G76)*AA76*'TCO Inputs'!$AZ$13)*CONVERT(1,"g","ton"))</f>
        <v>-197.77384507311336</v>
      </c>
      <c r="X76" s="31">
        <f t="shared" si="27"/>
        <v>108.46705563130865</v>
      </c>
      <c r="Y76" s="31">
        <f>(VLOOKUP($D76,'TCO Inputs'!$A$3:$AG$53,33,FALSE)-VLOOKUP($D76,'TCO Inputs'!$A$3:$AG$53,30,FALSE))/(((K76+H76)*AA76*'TCO Inputs'!$AZ$13-(L76+M76)*AA76*'TCO Inputs'!$AZ$13)*CONVERT(1,"g","ton"))</f>
        <v>81.620675009223845</v>
      </c>
      <c r="Z76" s="11">
        <f t="shared" si="33"/>
        <v>19.993252692919924</v>
      </c>
      <c r="AA76" s="26">
        <f>VLOOKUP(D76, 'VKT US'!$B$3:$D$54, 3,FALSE)</f>
        <v>23427.162380000002</v>
      </c>
      <c r="AB76" s="11">
        <f>VLOOKUP($D76,'VKT US'!$F$5:$S$55,14,FALSE)</f>
        <v>18583200</v>
      </c>
      <c r="AC76" s="10">
        <f t="shared" si="34"/>
        <v>121.85733598599178</v>
      </c>
      <c r="AD76" s="25">
        <f t="shared" si="35"/>
        <v>503.67053760488881</v>
      </c>
      <c r="AE76" s="25">
        <f t="shared" si="38"/>
        <v>503.67053760488881</v>
      </c>
      <c r="AF76" s="25">
        <f t="shared" si="36"/>
        <v>503.67053760488881</v>
      </c>
      <c r="AG76" s="25">
        <f t="shared" si="39"/>
        <v>503.67053760488881</v>
      </c>
      <c r="AH76" s="20"/>
    </row>
    <row r="77" spans="2:34" x14ac:dyDescent="0.25">
      <c r="B77" s="13" t="s">
        <v>148</v>
      </c>
      <c r="C77" s="13" t="s">
        <v>148</v>
      </c>
      <c r="D77" s="14" t="s">
        <v>194</v>
      </c>
      <c r="E77" s="6" t="s">
        <v>11</v>
      </c>
      <c r="F77" s="10">
        <f t="shared" si="22"/>
        <v>35.300185169075526</v>
      </c>
      <c r="G77" s="10">
        <f t="shared" si="23"/>
        <v>25.774541116233983</v>
      </c>
      <c r="H77" s="10">
        <f t="shared" si="24"/>
        <v>25.215305653249157</v>
      </c>
      <c r="I77" s="11">
        <f>VLOOKUP($D77,_xlfn.IFS('Scenario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87.782037136713427</v>
      </c>
      <c r="J77" s="11">
        <f>VLOOKUP($D77,'Fuel economy adjusted factor'!$A$2:$AD$52,9,FALSE)</f>
        <v>129.80442887999999</v>
      </c>
      <c r="K77" s="10">
        <f>VLOOKUP($D77,'Fuel economy adjusted factor'!$A$2:$AD$52,8,FALSE)</f>
        <v>210.43502122499999</v>
      </c>
      <c r="L77" s="10">
        <f t="shared" si="25"/>
        <v>26.458051126548771</v>
      </c>
      <c r="M77" s="10">
        <v>84.75524127903364</v>
      </c>
      <c r="N77" s="10">
        <f t="shared" si="26"/>
        <v>25.774541116233983</v>
      </c>
      <c r="O77" s="10">
        <f>VLOOKUP($D77,'Fuel economy adjusted factor'!$A$2:$L$52,12,FALSE)*(1-'TCO Inputs'!$BD$9)+VLOOKUP($D77,'US Grid mix, emissions&amp;prices'!$H$169:$AJ$219,'TCO Inputs'!$AZ$12-2021,FALSE)*'TCO Inputs'!$BD$9</f>
        <v>107.80592711909097</v>
      </c>
      <c r="P77" s="5">
        <f t="shared" si="37"/>
        <v>43070</v>
      </c>
      <c r="Q77" s="5">
        <f t="shared" si="28"/>
        <v>25392.400000000001</v>
      </c>
      <c r="R77" s="15">
        <f t="shared" si="29"/>
        <v>27690</v>
      </c>
      <c r="S77" s="5">
        <f t="shared" si="30"/>
        <v>32586</v>
      </c>
      <c r="T77" s="5">
        <f t="shared" si="31"/>
        <v>300.05692187207075</v>
      </c>
      <c r="U77" s="5">
        <f>(VLOOKUP($D77,'TCO Inputs'!$A$3:$AG$53,31,FALSE)-VLOOKUP($D77,'TCO Inputs'!$A$3:$AG$53,30,FALSE))/(((K77+H77)*AA77*'TCO Inputs'!$AZ$13-(I77+F77)*AA77*'TCO Inputs'!$AZ$13)*CONVERT(1,"g","ton"))</f>
        <v>34.742805271357327</v>
      </c>
      <c r="V77" s="5">
        <f t="shared" si="32"/>
        <v>-63.017316036326008</v>
      </c>
      <c r="W77" s="5">
        <f>(VLOOKUP($D77,'TCO Inputs'!$A$3:$AG$53,32,FALSE)-VLOOKUP($D77,'TCO Inputs'!$A$3:$AG$53,30,FALSE))/(((K77+H77)*AA77*'TCO Inputs'!$AZ$13-(J77+G77)*AA77*'TCO Inputs'!$AZ$13)*CONVERT(1,"g","ton"))</f>
        <v>-236.04708428283917</v>
      </c>
      <c r="X77" s="31">
        <f t="shared" si="27"/>
        <v>86.408093747617926</v>
      </c>
      <c r="Y77" s="31">
        <f>(VLOOKUP($D77,'TCO Inputs'!$A$3:$AG$53,33,FALSE)-VLOOKUP($D77,'TCO Inputs'!$A$3:$AG$53,30,FALSE))/(((K77+H77)*AA77*'TCO Inputs'!$AZ$13-(L77+M77)*AA77*'TCO Inputs'!$AZ$13)*CONVERT(1,"g","ton"))</f>
        <v>41.968742359692349</v>
      </c>
      <c r="Z77" s="11">
        <f t="shared" si="33"/>
        <v>32.496747690445034</v>
      </c>
      <c r="AA77" s="26">
        <f>VLOOKUP(D77, 'VKT US'!$B$3:$D$54, 3,FALSE)</f>
        <v>29505.63956</v>
      </c>
      <c r="AB77" s="11">
        <f>VLOOKUP($D77,'VKT US'!$F$5:$S$55,14,FALSE)</f>
        <v>9642400</v>
      </c>
      <c r="AC77" s="10">
        <f t="shared" si="34"/>
        <v>129.43690221170701</v>
      </c>
      <c r="AD77" s="25">
        <f t="shared" si="35"/>
        <v>363.07423790839675</v>
      </c>
      <c r="AE77" s="25">
        <f t="shared" si="38"/>
        <v>363.07423790839675</v>
      </c>
      <c r="AF77" s="25">
        <f t="shared" si="36"/>
        <v>363.07423790839675</v>
      </c>
      <c r="AG77" s="25">
        <f t="shared" si="39"/>
        <v>363.07423790839675</v>
      </c>
      <c r="AH77" s="20"/>
    </row>
    <row r="78" spans="2:34" x14ac:dyDescent="0.25">
      <c r="B78" s="13" t="s">
        <v>148</v>
      </c>
      <c r="C78" s="13" t="s">
        <v>148</v>
      </c>
      <c r="D78" s="14" t="s">
        <v>195</v>
      </c>
      <c r="E78" s="6" t="s">
        <v>11</v>
      </c>
      <c r="F78" s="10">
        <f t="shared" si="22"/>
        <v>35.300185169075526</v>
      </c>
      <c r="G78" s="10">
        <f t="shared" si="23"/>
        <v>25.774541116233983</v>
      </c>
      <c r="H78" s="10">
        <f t="shared" si="24"/>
        <v>25.215305653249157</v>
      </c>
      <c r="I78" s="11">
        <f>VLOOKUP($D78,_xlfn.IFS('Scenario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81.345623148974411</v>
      </c>
      <c r="J78" s="11">
        <f>VLOOKUP($D78,'Fuel economy adjusted factor'!$A$2:$AD$52,9,FALSE)</f>
        <v>134.14400663999999</v>
      </c>
      <c r="K78" s="10">
        <f>VLOOKUP($D78,'Fuel economy adjusted factor'!$A$2:$AD$52,8,FALSE)</f>
        <v>217.470213675</v>
      </c>
      <c r="L78" s="10">
        <f t="shared" si="25"/>
        <v>26.458051126548771</v>
      </c>
      <c r="M78" s="10">
        <v>84.75524127903364</v>
      </c>
      <c r="N78" s="10">
        <f t="shared" si="26"/>
        <v>25.774541116233983</v>
      </c>
      <c r="O78" s="10">
        <f>VLOOKUP($D78,'Fuel economy adjusted factor'!$A$2:$L$52,12,FALSE)*(1-'TCO Inputs'!$BD$9)+VLOOKUP($D78,'US Grid mix, emissions&amp;prices'!$H$169:$AJ$219,'TCO Inputs'!$AZ$12-2021,FALSE)*'TCO Inputs'!$BD$9</f>
        <v>106.53707946146667</v>
      </c>
      <c r="P78" s="5">
        <f t="shared" si="37"/>
        <v>43070</v>
      </c>
      <c r="Q78" s="5">
        <f t="shared" si="28"/>
        <v>25392.400000000001</v>
      </c>
      <c r="R78" s="15">
        <f t="shared" si="29"/>
        <v>27690</v>
      </c>
      <c r="S78" s="5">
        <f t="shared" si="30"/>
        <v>32586</v>
      </c>
      <c r="T78" s="5">
        <f t="shared" si="31"/>
        <v>333.21462500995807</v>
      </c>
      <c r="U78" s="5">
        <f>(VLOOKUP($D78,'TCO Inputs'!$A$3:$AG$53,31,FALSE)-VLOOKUP($D78,'TCO Inputs'!$A$3:$AG$53,30,FALSE))/(((K78+H78)*AA78*'TCO Inputs'!$AZ$13-(I78+F78)*AA78*'TCO Inputs'!$AZ$13)*CONVERT(1,"g","ton"))</f>
        <v>152.78643363093283</v>
      </c>
      <c r="V78" s="5">
        <f t="shared" si="32"/>
        <v>-75.804061575349394</v>
      </c>
      <c r="W78" s="5">
        <f>(VLOOKUP($D78,'TCO Inputs'!$A$3:$AG$53,32,FALSE)-VLOOKUP($D78,'TCO Inputs'!$A$3:$AG$53,30,FALSE))/(((K78+H78)*AA78*'TCO Inputs'!$AZ$13-(J78+G78)*AA78*'TCO Inputs'!$AZ$13)*CONVERT(1,"g","ton"))</f>
        <v>-235.30775851105193</v>
      </c>
      <c r="X78" s="31">
        <f t="shared" si="27"/>
        <v>101.69099759272113</v>
      </c>
      <c r="Y78" s="31">
        <f>(VLOOKUP($D78,'TCO Inputs'!$A$3:$AG$53,33,FALSE)-VLOOKUP($D78,'TCO Inputs'!$A$3:$AG$53,30,FALSE))/(((K78+H78)*AA78*'TCO Inputs'!$AZ$13-(L78+M78)*AA78*'TCO Inputs'!$AZ$13)*CONVERT(1,"g","ton"))</f>
        <v>45.939326069124384</v>
      </c>
      <c r="Z78" s="11">
        <f t="shared" si="33"/>
        <v>43.272739438184033</v>
      </c>
      <c r="AA78" s="26">
        <f>VLOOKUP(D78, 'VKT US'!$B$3:$D$54, 3,FALSE)</f>
        <v>23729.7183</v>
      </c>
      <c r="AB78" s="11">
        <f>VLOOKUP($D78,'VKT US'!$F$5:$S$55,14,FALSE)</f>
        <v>3153300</v>
      </c>
      <c r="AC78" s="10">
        <f t="shared" si="34"/>
        <v>45.33152180310217</v>
      </c>
      <c r="AD78" s="25">
        <f t="shared" si="35"/>
        <v>409.01868658530748</v>
      </c>
      <c r="AE78" s="25">
        <f t="shared" si="38"/>
        <v>409.01868658530748</v>
      </c>
      <c r="AF78" s="25">
        <f t="shared" si="36"/>
        <v>409.01868658530748</v>
      </c>
      <c r="AG78" s="25">
        <f t="shared" si="39"/>
        <v>409.01868658530748</v>
      </c>
      <c r="AH78" s="20"/>
    </row>
    <row r="79" spans="2:34" x14ac:dyDescent="0.25">
      <c r="B79" s="13" t="s">
        <v>148</v>
      </c>
      <c r="C79" s="13" t="s">
        <v>148</v>
      </c>
      <c r="D79" s="14" t="s">
        <v>196</v>
      </c>
      <c r="E79" s="6" t="s">
        <v>11</v>
      </c>
      <c r="F79" s="10">
        <f t="shared" si="22"/>
        <v>35.300185169075526</v>
      </c>
      <c r="G79" s="10">
        <f t="shared" si="23"/>
        <v>25.774541116233983</v>
      </c>
      <c r="H79" s="10">
        <f t="shared" si="24"/>
        <v>25.215305653249157</v>
      </c>
      <c r="I79" s="11">
        <f>VLOOKUP($D79,_xlfn.IFS('Scenario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46.126445665456032</v>
      </c>
      <c r="J79" s="11">
        <f>VLOOKUP($D79,'Fuel economy adjusted factor'!$A$2:$AD$52,9,FALSE)</f>
        <v>135.16508375999999</v>
      </c>
      <c r="K79" s="10">
        <f>VLOOKUP($D79,'Fuel economy adjusted factor'!$A$2:$AD$52,8,FALSE)</f>
        <v>219.125553075</v>
      </c>
      <c r="L79" s="10">
        <f t="shared" si="25"/>
        <v>26.458051126548771</v>
      </c>
      <c r="M79" s="10">
        <v>84.75524127903364</v>
      </c>
      <c r="N79" s="10">
        <f t="shared" si="26"/>
        <v>25.774541116233983</v>
      </c>
      <c r="O79" s="10">
        <f>VLOOKUP($D79,'Fuel economy adjusted factor'!$A$2:$L$52,12,FALSE)*(1-'TCO Inputs'!$BD$9)+VLOOKUP($D79,'US Grid mix, emissions&amp;prices'!$H$169:$AJ$219,'TCO Inputs'!$AZ$12-2021,FALSE)*'TCO Inputs'!$BD$9</f>
        <v>88.712068962037137</v>
      </c>
      <c r="P79" s="5">
        <f t="shared" si="37"/>
        <v>43070</v>
      </c>
      <c r="Q79" s="5">
        <f t="shared" si="28"/>
        <v>25392.400000000001</v>
      </c>
      <c r="R79" s="15">
        <f t="shared" si="29"/>
        <v>27690</v>
      </c>
      <c r="S79" s="5">
        <f t="shared" si="30"/>
        <v>32586</v>
      </c>
      <c r="T79" s="5">
        <f t="shared" si="31"/>
        <v>263.65882803374183</v>
      </c>
      <c r="U79" s="5">
        <f>(VLOOKUP($D79,'TCO Inputs'!$A$3:$AG$53,31,FALSE)-VLOOKUP($D79,'TCO Inputs'!$A$3:$AG$53,30,FALSE))/(((K79+H79)*AA79*'TCO Inputs'!$AZ$13-(I79+F79)*AA79*'TCO Inputs'!$AZ$13)*CONVERT(1,"g","ton"))</f>
        <v>48.345428037360399</v>
      </c>
      <c r="V79" s="5">
        <f t="shared" si="32"/>
        <v>-76.939071895649718</v>
      </c>
      <c r="W79" s="5">
        <f>(VLOOKUP($D79,'TCO Inputs'!$A$3:$AG$53,32,FALSE)-VLOOKUP($D79,'TCO Inputs'!$A$3:$AG$53,30,FALSE))/(((K79+H79)*AA79*'TCO Inputs'!$AZ$13-(J79+G79)*AA79*'TCO Inputs'!$AZ$13)*CONVERT(1,"g","ton"))</f>
        <v>-252.87580871516295</v>
      </c>
      <c r="X79" s="31">
        <f t="shared" si="27"/>
        <v>102.71134412671005</v>
      </c>
      <c r="Y79" s="31">
        <f>(VLOOKUP($D79,'TCO Inputs'!$A$3:$AG$53,33,FALSE)-VLOOKUP($D79,'TCO Inputs'!$A$3:$AG$53,30,FALSE))/(((K79+H79)*AA79*'TCO Inputs'!$AZ$13-(L79+M79)*AA79*'TCO Inputs'!$AZ$13)*CONVERT(1,"g","ton"))</f>
        <v>19.143539365955519</v>
      </c>
      <c r="Z79" s="11">
        <f t="shared" si="33"/>
        <v>79.512994041702427</v>
      </c>
      <c r="AA79" s="26">
        <f>VLOOKUP(D79, 'VKT US'!$B$3:$D$54, 3,FALSE)</f>
        <v>23201.854780000001</v>
      </c>
      <c r="AB79" s="11">
        <f>VLOOKUP($D79,'VKT US'!$F$5:$S$55,14,FALSE)</f>
        <v>1974600</v>
      </c>
      <c r="AC79" s="10">
        <f t="shared" si="34"/>
        <v>50.999742061223962</v>
      </c>
      <c r="AD79" s="25">
        <f t="shared" si="35"/>
        <v>340.59789992939153</v>
      </c>
      <c r="AE79" s="25">
        <f t="shared" si="38"/>
        <v>340.59789992939153</v>
      </c>
      <c r="AF79" s="25">
        <f t="shared" si="36"/>
        <v>340.59789992939153</v>
      </c>
      <c r="AG79" s="25">
        <f t="shared" si="39"/>
        <v>340.59789992939153</v>
      </c>
      <c r="AH79" s="20"/>
    </row>
    <row r="80" spans="2:34" x14ac:dyDescent="0.25">
      <c r="B80" s="13" t="s">
        <v>148</v>
      </c>
      <c r="C80" s="13" t="s">
        <v>148</v>
      </c>
      <c r="D80" s="14" t="s">
        <v>197</v>
      </c>
      <c r="E80" s="6" t="s">
        <v>11</v>
      </c>
      <c r="F80" s="10">
        <f t="shared" si="22"/>
        <v>35.300185169075526</v>
      </c>
      <c r="G80" s="10">
        <f t="shared" si="23"/>
        <v>25.774541116233983</v>
      </c>
      <c r="H80" s="10">
        <f t="shared" si="24"/>
        <v>25.215305653249157</v>
      </c>
      <c r="I80" s="11">
        <f>VLOOKUP($D80,_xlfn.IFS('Scenario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59.666139463676075</v>
      </c>
      <c r="J80" s="11">
        <f>VLOOKUP($D80,'Fuel economy adjusted factor'!$A$2:$AD$52,9,FALSE)</f>
        <v>132.7400256</v>
      </c>
      <c r="K80" s="10">
        <f>VLOOKUP($D80,'Fuel economy adjusted factor'!$A$2:$AD$52,8,FALSE)</f>
        <v>215.19412200000002</v>
      </c>
      <c r="L80" s="10">
        <f t="shared" si="25"/>
        <v>26.458051126548771</v>
      </c>
      <c r="M80" s="10">
        <v>84.75524127903364</v>
      </c>
      <c r="N80" s="10">
        <f t="shared" si="26"/>
        <v>25.774541116233983</v>
      </c>
      <c r="O80" s="10">
        <f>VLOOKUP($D80,'Fuel economy adjusted factor'!$A$2:$L$52,12,FALSE)*(1-'TCO Inputs'!$BD$9)+VLOOKUP($D80,'US Grid mix, emissions&amp;prices'!$H$169:$AJ$219,'TCO Inputs'!$AZ$12-2021,FALSE)*'TCO Inputs'!$BD$9</f>
        <v>94.591425481111571</v>
      </c>
      <c r="P80" s="5">
        <f t="shared" si="37"/>
        <v>43070</v>
      </c>
      <c r="Q80" s="5">
        <f t="shared" si="28"/>
        <v>25392.400000000001</v>
      </c>
      <c r="R80" s="15">
        <f t="shared" si="29"/>
        <v>27690</v>
      </c>
      <c r="S80" s="5">
        <f t="shared" si="30"/>
        <v>32586</v>
      </c>
      <c r="T80" s="5">
        <f t="shared" si="31"/>
        <v>338.4292848890629</v>
      </c>
      <c r="U80" s="5">
        <f>(VLOOKUP($D80,'TCO Inputs'!$A$3:$AG$53,31,FALSE)-VLOOKUP($D80,'TCO Inputs'!$A$3:$AG$53,30,FALSE))/(((K80+H80)*AA80*'TCO Inputs'!$AZ$13-(I80+F80)*AA80*'TCO Inputs'!$AZ$13)*CONVERT(1,"g","ton"))</f>
        <v>228.84464743312293</v>
      </c>
      <c r="V80" s="5">
        <f t="shared" si="32"/>
        <v>-89.788869843021786</v>
      </c>
      <c r="W80" s="5">
        <f>(VLOOKUP($D80,'TCO Inputs'!$A$3:$AG$53,32,FALSE)-VLOOKUP($D80,'TCO Inputs'!$A$3:$AG$53,30,FALSE))/(((K80+H80)*AA80*'TCO Inputs'!$AZ$13-(J80+G80)*AA80*'TCO Inputs'!$AZ$13)*CONVERT(1,"g","ton"))</f>
        <v>-216.4030127180408</v>
      </c>
      <c r="X80" s="31">
        <f t="shared" si="27"/>
        <v>121.28207513555581</v>
      </c>
      <c r="Y80" s="31">
        <f>(VLOOKUP($D80,'TCO Inputs'!$A$3:$AG$53,33,FALSE)-VLOOKUP($D80,'TCO Inputs'!$A$3:$AG$53,30,FALSE))/(((K80+H80)*AA80*'TCO Inputs'!$AZ$13-(L80+M80)*AA80*'TCO Inputs'!$AZ$13)*CONVERT(1,"g","ton"))</f>
        <v>73.620239224333176</v>
      </c>
      <c r="Z80" s="11">
        <f t="shared" si="33"/>
        <v>63.548242083482393</v>
      </c>
      <c r="AA80" s="26">
        <f>VLOOKUP(D80, 'VKT US'!$B$3:$D$54, 3,FALSE)</f>
        <v>20247.106540000001</v>
      </c>
      <c r="AB80" s="11">
        <f>VLOOKUP($D80,'VKT US'!$F$5:$S$55,14,FALSE)</f>
        <v>10043200</v>
      </c>
      <c r="AC80" s="10">
        <f t="shared" si="34"/>
        <v>180.91170072842741</v>
      </c>
      <c r="AD80" s="25">
        <f t="shared" si="35"/>
        <v>428.21815473208471</v>
      </c>
      <c r="AE80" s="25">
        <f t="shared" si="38"/>
        <v>428.21815473208471</v>
      </c>
      <c r="AF80" s="25">
        <f t="shared" si="36"/>
        <v>428.21815473208471</v>
      </c>
      <c r="AG80" s="25">
        <f t="shared" si="39"/>
        <v>428.21815473208471</v>
      </c>
      <c r="AH80" s="20"/>
    </row>
    <row r="81" spans="2:34" x14ac:dyDescent="0.25">
      <c r="B81" s="13" t="s">
        <v>148</v>
      </c>
      <c r="C81" s="13" t="s">
        <v>148</v>
      </c>
      <c r="D81" s="14" t="s">
        <v>198</v>
      </c>
      <c r="E81" s="6" t="s">
        <v>11</v>
      </c>
      <c r="F81" s="10">
        <f t="shared" si="22"/>
        <v>35.300185169075526</v>
      </c>
      <c r="G81" s="10">
        <f t="shared" si="23"/>
        <v>25.774541116233983</v>
      </c>
      <c r="H81" s="10">
        <f t="shared" si="24"/>
        <v>25.215305653249157</v>
      </c>
      <c r="I81" s="11">
        <f>VLOOKUP($D81,_xlfn.IFS('Scenario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175.04457916662338</v>
      </c>
      <c r="J81" s="11">
        <f>VLOOKUP($D81,'Fuel economy adjusted factor'!$A$2:$AD$52,9,FALSE)</f>
        <v>132.48475632</v>
      </c>
      <c r="K81" s="10">
        <f>VLOOKUP($D81,'Fuel economy adjusted factor'!$A$2:$AD$52,8,FALSE)</f>
        <v>214.78028715000002</v>
      </c>
      <c r="L81" s="10">
        <f t="shared" si="25"/>
        <v>26.458051126548771</v>
      </c>
      <c r="M81" s="10">
        <v>84.75524127903364</v>
      </c>
      <c r="N81" s="10">
        <f t="shared" si="26"/>
        <v>25.774541116233983</v>
      </c>
      <c r="O81" s="10">
        <f>VLOOKUP($D81,'Fuel economy adjusted factor'!$A$2:$L$52,12,FALSE)*(1-'TCO Inputs'!$BD$9)+VLOOKUP($D81,'US Grid mix, emissions&amp;prices'!$H$169:$AJ$219,'TCO Inputs'!$AZ$12-2021,FALSE)*'TCO Inputs'!$BD$9</f>
        <v>154.46597367864416</v>
      </c>
      <c r="P81" s="5">
        <f t="shared" si="37"/>
        <v>43070</v>
      </c>
      <c r="Q81" s="5">
        <f t="shared" si="28"/>
        <v>25392.400000000001</v>
      </c>
      <c r="R81" s="15">
        <f t="shared" si="29"/>
        <v>27690</v>
      </c>
      <c r="S81" s="5">
        <f t="shared" si="30"/>
        <v>32586</v>
      </c>
      <c r="T81" s="5">
        <f t="shared" si="31"/>
        <v>1158.7459230550205</v>
      </c>
      <c r="U81" s="5">
        <f>(VLOOKUP($D81,'TCO Inputs'!$A$3:$AG$53,31,FALSE)-VLOOKUP($D81,'TCO Inputs'!$A$3:$AG$53,30,FALSE))/(((K81+H81)*AA81*'TCO Inputs'!$AZ$13-(I81+F81)*AA81*'TCO Inputs'!$AZ$13)*CONVERT(1,"g","ton"))</f>
        <v>293.03543053498328</v>
      </c>
      <c r="V81" s="5">
        <f t="shared" si="32"/>
        <v>-62.795451715490657</v>
      </c>
      <c r="W81" s="5">
        <f>(VLOOKUP($D81,'TCO Inputs'!$A$3:$AG$53,32,FALSE)-VLOOKUP($D81,'TCO Inputs'!$A$3:$AG$53,30,FALSE))/(((K81+H81)*AA81*'TCO Inputs'!$AZ$13-(J81+G81)*AA81*'TCO Inputs'!$AZ$13)*CONVERT(1,"g","ton"))</f>
        <v>-248.4104956884062</v>
      </c>
      <c r="X81" s="31">
        <f t="shared" si="27"/>
        <v>84.928596414606929</v>
      </c>
      <c r="Y81" s="31">
        <f>(VLOOKUP($D81,'TCO Inputs'!$A$3:$AG$53,33,FALSE)-VLOOKUP($D81,'TCO Inputs'!$A$3:$AG$53,30,FALSE))/(((K81+H81)*AA81*'TCO Inputs'!$AZ$13-(L81+M81)*AA81*'TCO Inputs'!$AZ$13)*CONVERT(1,"g","ton"))</f>
        <v>26.92325150728167</v>
      </c>
      <c r="Z81" s="11">
        <f t="shared" si="33"/>
        <v>-52.085466899464905</v>
      </c>
      <c r="AA81" s="26">
        <f>VLOOKUP(D81, 'VKT US'!$B$3:$D$54, 3,FALSE)</f>
        <v>29006.744159999998</v>
      </c>
      <c r="AB81" s="11">
        <f>VLOOKUP($D81,'VKT US'!$F$5:$S$55,14,FALSE)</f>
        <v>6172100</v>
      </c>
      <c r="AC81" s="10">
        <f t="shared" si="34"/>
        <v>-130.54989762675888</v>
      </c>
      <c r="AD81" s="25">
        <f t="shared" si="35"/>
        <v>1221.5413747705111</v>
      </c>
      <c r="AE81" s="25">
        <f t="shared" si="38"/>
        <v>1221.5413747705111</v>
      </c>
      <c r="AF81" s="25">
        <f t="shared" si="36"/>
        <v>1221.5413747705111</v>
      </c>
      <c r="AG81" s="25">
        <f t="shared" si="39"/>
        <v>1129.3381142442736</v>
      </c>
      <c r="AH81" s="20"/>
    </row>
    <row r="82" spans="2:34" x14ac:dyDescent="0.25">
      <c r="B82" s="13" t="s">
        <v>148</v>
      </c>
      <c r="C82" s="13" t="s">
        <v>148</v>
      </c>
      <c r="D82" s="14" t="s">
        <v>199</v>
      </c>
      <c r="E82" s="6" t="s">
        <v>11</v>
      </c>
      <c r="F82" s="10">
        <f t="shared" si="22"/>
        <v>35.300185169075526</v>
      </c>
      <c r="G82" s="10">
        <f t="shared" si="23"/>
        <v>25.774541116233983</v>
      </c>
      <c r="H82" s="10">
        <f t="shared" si="24"/>
        <v>25.215305653249157</v>
      </c>
      <c r="I82" s="11">
        <f>VLOOKUP($D82,_xlfn.IFS('Scenario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85.076437942371697</v>
      </c>
      <c r="J82" s="11">
        <f>VLOOKUP($D82,'Fuel economy adjusted factor'!$A$2:$AD$52,9,FALSE)</f>
        <v>132.61239095999997</v>
      </c>
      <c r="K82" s="10">
        <f>VLOOKUP($D82,'Fuel economy adjusted factor'!$A$2:$AD$52,8,FALSE)</f>
        <v>214.98720457499999</v>
      </c>
      <c r="L82" s="10">
        <f t="shared" si="25"/>
        <v>26.458051126548771</v>
      </c>
      <c r="M82" s="10">
        <v>84.75524127903364</v>
      </c>
      <c r="N82" s="10">
        <f t="shared" si="26"/>
        <v>25.774541116233983</v>
      </c>
      <c r="O82" s="10">
        <f>VLOOKUP($D82,'Fuel economy adjusted factor'!$A$2:$L$52,12,FALSE)*(1-'TCO Inputs'!$BD$9)+VLOOKUP($D82,'US Grid mix, emissions&amp;prices'!$H$169:$AJ$219,'TCO Inputs'!$AZ$12-2021,FALSE)*'TCO Inputs'!$BD$9</f>
        <v>107.74366046603328</v>
      </c>
      <c r="P82" s="5">
        <f t="shared" si="37"/>
        <v>43070</v>
      </c>
      <c r="Q82" s="5">
        <f t="shared" si="28"/>
        <v>25392.400000000001</v>
      </c>
      <c r="R82" s="15">
        <f t="shared" si="29"/>
        <v>27690</v>
      </c>
      <c r="S82" s="5">
        <f t="shared" si="30"/>
        <v>32586</v>
      </c>
      <c r="T82" s="5">
        <f t="shared" si="31"/>
        <v>349.64052230341264</v>
      </c>
      <c r="U82" s="5">
        <f>(VLOOKUP($D82,'TCO Inputs'!$A$3:$AG$53,31,FALSE)-VLOOKUP($D82,'TCO Inputs'!$A$3:$AG$53,30,FALSE))/(((K82+H82)*AA82*'TCO Inputs'!$AZ$13-(I82+F82)*AA82*'TCO Inputs'!$AZ$13)*CONVERT(1,"g","ton"))</f>
        <v>210.07468380846717</v>
      </c>
      <c r="V82" s="5">
        <f t="shared" si="32"/>
        <v>-76.498777809563578</v>
      </c>
      <c r="W82" s="5">
        <f>(VLOOKUP($D82,'TCO Inputs'!$A$3:$AG$53,32,FALSE)-VLOOKUP($D82,'TCO Inputs'!$A$3:$AG$53,30,FALSE))/(((K82+H82)*AA82*'TCO Inputs'!$AZ$13-(J82+G82)*AA82*'TCO Inputs'!$AZ$13)*CONVERT(1,"g","ton"))</f>
        <v>-224.32516052533765</v>
      </c>
      <c r="X82" s="31">
        <f t="shared" si="27"/>
        <v>103.39608089972219</v>
      </c>
      <c r="Y82" s="31">
        <f>(VLOOKUP($D82,'TCO Inputs'!$A$3:$AG$53,33,FALSE)-VLOOKUP($D82,'TCO Inputs'!$A$3:$AG$53,30,FALSE))/(((K82+H82)*AA82*'TCO Inputs'!$AZ$13-(L82+M82)*AA82*'TCO Inputs'!$AZ$13)*CONVERT(1,"g","ton"))</f>
        <v>55.103756163277573</v>
      </c>
      <c r="Z82" s="11">
        <f t="shared" si="33"/>
        <v>38.010308964786731</v>
      </c>
      <c r="AA82" s="26">
        <f>VLOOKUP(D82, 'VKT US'!$B$3:$D$54, 3,FALSE)</f>
        <v>23787.65454</v>
      </c>
      <c r="AB82" s="11">
        <f>VLOOKUP($D82,'VKT US'!$F$5:$S$55,14,FALSE)</f>
        <v>2621100</v>
      </c>
      <c r="AC82" s="10">
        <f t="shared" si="34"/>
        <v>33.179103609043906</v>
      </c>
      <c r="AD82" s="25">
        <f t="shared" si="35"/>
        <v>426.13930011297623</v>
      </c>
      <c r="AE82" s="25">
        <f t="shared" si="38"/>
        <v>426.13930011297623</v>
      </c>
      <c r="AF82" s="25">
        <f t="shared" si="36"/>
        <v>426.13930011297623</v>
      </c>
      <c r="AG82" s="25">
        <f t="shared" si="39"/>
        <v>426.13930011297623</v>
      </c>
      <c r="AH82" s="20"/>
    </row>
    <row r="83" spans="2:34" x14ac:dyDescent="0.25">
      <c r="B83" s="13" t="s">
        <v>148</v>
      </c>
      <c r="C83" s="13" t="s">
        <v>148</v>
      </c>
      <c r="D83" s="14" t="s">
        <v>200</v>
      </c>
      <c r="E83" s="6" t="s">
        <v>11</v>
      </c>
      <c r="F83" s="10">
        <f t="shared" si="22"/>
        <v>35.300185169075526</v>
      </c>
      <c r="G83" s="10">
        <f t="shared" si="23"/>
        <v>25.774541116233983</v>
      </c>
      <c r="H83" s="10">
        <f t="shared" si="24"/>
        <v>25.215305653249157</v>
      </c>
      <c r="I83" s="11">
        <f>VLOOKUP($D83,_xlfn.IFS('Scenario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103.03341751838546</v>
      </c>
      <c r="J83" s="11">
        <f>VLOOKUP($D83,'Fuel economy adjusted factor'!$A$2:$AD$52,9,FALSE)</f>
        <v>130.05969815999998</v>
      </c>
      <c r="K83" s="10">
        <f>VLOOKUP($D83,'Fuel economy adjusted factor'!$A$2:$AD$52,8,FALSE)</f>
        <v>210.84885607499999</v>
      </c>
      <c r="L83" s="10">
        <f t="shared" si="25"/>
        <v>26.458051126548771</v>
      </c>
      <c r="M83" s="10">
        <v>84.75524127903364</v>
      </c>
      <c r="N83" s="10">
        <f t="shared" si="26"/>
        <v>25.774541116233983</v>
      </c>
      <c r="O83" s="10">
        <f>VLOOKUP($D83,'Fuel economy adjusted factor'!$A$2:$L$52,12,FALSE)*(1-'TCO Inputs'!$BD$9)+VLOOKUP($D83,'US Grid mix, emissions&amp;prices'!$H$169:$AJ$219,'TCO Inputs'!$AZ$12-2021,FALSE)*'TCO Inputs'!$BD$9</f>
        <v>115.85888536556044</v>
      </c>
      <c r="P83" s="5">
        <f t="shared" si="37"/>
        <v>43070</v>
      </c>
      <c r="Q83" s="5">
        <f t="shared" si="28"/>
        <v>25392.400000000001</v>
      </c>
      <c r="R83" s="15">
        <f t="shared" si="29"/>
        <v>27690</v>
      </c>
      <c r="S83" s="5">
        <f t="shared" si="30"/>
        <v>32586</v>
      </c>
      <c r="T83" s="5">
        <f t="shared" si="31"/>
        <v>423.81429949478587</v>
      </c>
      <c r="U83" s="5">
        <f>(VLOOKUP($D83,'TCO Inputs'!$A$3:$AG$53,31,FALSE)-VLOOKUP($D83,'TCO Inputs'!$A$3:$AG$53,30,FALSE))/(((K83+H83)*AA83*'TCO Inputs'!$AZ$13-(I83+F83)*AA83*'TCO Inputs'!$AZ$13)*CONVERT(1,"g","ton"))</f>
        <v>314.13424312424229</v>
      </c>
      <c r="V83" s="5">
        <f t="shared" si="32"/>
        <v>-77.123672795894009</v>
      </c>
      <c r="W83" s="5">
        <f>(VLOOKUP($D83,'TCO Inputs'!$A$3:$AG$53,32,FALSE)-VLOOKUP($D83,'TCO Inputs'!$A$3:$AG$53,30,FALSE))/(((K83+H83)*AA83*'TCO Inputs'!$AZ$13-(J83+G83)*AA83*'TCO Inputs'!$AZ$13)*CONVERT(1,"g","ton"))</f>
        <v>-187.90775452351329</v>
      </c>
      <c r="X83" s="31">
        <f t="shared" si="27"/>
        <v>105.60865017891518</v>
      </c>
      <c r="Y83" s="31">
        <f>(VLOOKUP($D83,'TCO Inputs'!$A$3:$AG$53,33,FALSE)-VLOOKUP($D83,'TCO Inputs'!$A$3:$AG$53,30,FALSE))/(((K83+H83)*AA83*'TCO Inputs'!$AZ$13-(L83+M83)*AA83*'TCO Inputs'!$AZ$13)*CONVERT(1,"g","ton"))</f>
        <v>99.047196567606107</v>
      </c>
      <c r="Z83" s="11">
        <f t="shared" si="33"/>
        <v>17.500636588772977</v>
      </c>
      <c r="AA83" s="26">
        <f>VLOOKUP(D83, 'VKT US'!$B$3:$D$54, 3,FALSE)</f>
        <v>24061.242340000001</v>
      </c>
      <c r="AB83" s="11">
        <f>VLOOKUP($D83,'VKT US'!$F$5:$S$55,14,FALSE)</f>
        <v>3774200</v>
      </c>
      <c r="AC83" s="10">
        <f t="shared" si="34"/>
        <v>22.249734843776732</v>
      </c>
      <c r="AD83" s="25">
        <f t="shared" si="35"/>
        <v>500.93797229067991</v>
      </c>
      <c r="AE83" s="25">
        <f t="shared" si="38"/>
        <v>500.93797229067991</v>
      </c>
      <c r="AF83" s="25">
        <f t="shared" si="36"/>
        <v>500.93797229067991</v>
      </c>
      <c r="AG83" s="25">
        <f t="shared" si="39"/>
        <v>500.93797229067991</v>
      </c>
      <c r="AH83" s="20"/>
    </row>
    <row r="84" spans="2:34" x14ac:dyDescent="0.25">
      <c r="B84" s="13" t="s">
        <v>148</v>
      </c>
      <c r="C84" s="13" t="s">
        <v>148</v>
      </c>
      <c r="D84" s="14" t="s">
        <v>201</v>
      </c>
      <c r="E84" s="6" t="s">
        <v>11</v>
      </c>
      <c r="F84" s="10">
        <f t="shared" si="22"/>
        <v>35.300185169075526</v>
      </c>
      <c r="G84" s="10">
        <f t="shared" si="23"/>
        <v>25.774541116233983</v>
      </c>
      <c r="H84" s="10">
        <f t="shared" si="24"/>
        <v>25.215305653249157</v>
      </c>
      <c r="I84" s="11">
        <f>VLOOKUP($D84,_xlfn.IFS('Scenario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103.12775102356734</v>
      </c>
      <c r="J84" s="11">
        <f>VLOOKUP($D84,'Fuel economy adjusted factor'!$A$2:$AD$52,9,FALSE)</f>
        <v>133.12292951999999</v>
      </c>
      <c r="K84" s="10">
        <f>VLOOKUP($D84,'Fuel economy adjusted factor'!$A$2:$AD$52,8,FALSE)</f>
        <v>215.81487427499999</v>
      </c>
      <c r="L84" s="10">
        <f t="shared" si="25"/>
        <v>26.458051126548771</v>
      </c>
      <c r="M84" s="10">
        <v>84.75524127903364</v>
      </c>
      <c r="N84" s="10">
        <f t="shared" si="26"/>
        <v>25.774541116233983</v>
      </c>
      <c r="O84" s="10">
        <f>VLOOKUP($D84,'Fuel economy adjusted factor'!$A$2:$L$52,12,FALSE)*(1-'TCO Inputs'!$BD$9)+VLOOKUP($D84,'US Grid mix, emissions&amp;prices'!$H$169:$AJ$219,'TCO Inputs'!$AZ$12-2021,FALSE)*'TCO Inputs'!$BD$9</f>
        <v>117.37482416425502</v>
      </c>
      <c r="P84" s="5">
        <f t="shared" si="37"/>
        <v>43070</v>
      </c>
      <c r="Q84" s="5">
        <f t="shared" si="28"/>
        <v>25392.400000000001</v>
      </c>
      <c r="R84" s="15">
        <f t="shared" si="29"/>
        <v>27690</v>
      </c>
      <c r="S84" s="5">
        <f t="shared" si="30"/>
        <v>32586</v>
      </c>
      <c r="T84" s="5">
        <f t="shared" si="31"/>
        <v>460.41536513909955</v>
      </c>
      <c r="U84" s="5">
        <f>(VLOOKUP($D84,'TCO Inputs'!$A$3:$AG$53,31,FALSE)-VLOOKUP($D84,'TCO Inputs'!$A$3:$AG$53,30,FALSE))/(((K84+H84)*AA84*'TCO Inputs'!$AZ$13-(I84+F84)*AA84*'TCO Inputs'!$AZ$13)*CONVERT(1,"g","ton"))</f>
        <v>474.15444675886295</v>
      </c>
      <c r="V84" s="5">
        <f t="shared" si="32"/>
        <v>-85.922836351022653</v>
      </c>
      <c r="W84" s="5">
        <f>(VLOOKUP($D84,'TCO Inputs'!$A$3:$AG$53,32,FALSE)-VLOOKUP($D84,'TCO Inputs'!$A$3:$AG$53,30,FALSE))/(((K84+H84)*AA84*'TCO Inputs'!$AZ$13-(J84+G84)*AA84*'TCO Inputs'!$AZ$13)*CONVERT(1,"g","ton"))</f>
        <v>-224.48818262471923</v>
      </c>
      <c r="X84" s="31">
        <f t="shared" si="27"/>
        <v>115.84053327293228</v>
      </c>
      <c r="Y84" s="31">
        <f>(VLOOKUP($D84,'TCO Inputs'!$A$3:$AG$53,33,FALSE)-VLOOKUP($D84,'TCO Inputs'!$A$3:$AG$53,30,FALSE))/(((K84+H84)*AA84*'TCO Inputs'!$AZ$13-(L84+M84)*AA84*'TCO Inputs'!$AZ$13)*CONVERT(1,"g","ton"))</f>
        <v>55.702898116014012</v>
      </c>
      <c r="Z84" s="11">
        <f t="shared" si="33"/>
        <v>20.469534443591101</v>
      </c>
      <c r="AA84" s="26">
        <f>VLOOKUP(D84, 'VKT US'!$B$3:$D$54, 3,FALSE)</f>
        <v>21096.838059999998</v>
      </c>
      <c r="AB84" s="11">
        <f>VLOOKUP($D84,'VKT US'!$F$5:$S$55,14,FALSE)</f>
        <v>5491100</v>
      </c>
      <c r="AC84" s="10">
        <f t="shared" si="34"/>
        <v>33.198061335958919</v>
      </c>
      <c r="AD84" s="25">
        <f t="shared" si="35"/>
        <v>546.33820149012217</v>
      </c>
      <c r="AE84" s="25">
        <f t="shared" si="38"/>
        <v>546.33820149012217</v>
      </c>
      <c r="AF84" s="25">
        <f t="shared" si="36"/>
        <v>546.33820149012217</v>
      </c>
      <c r="AG84" s="25">
        <f t="shared" si="39"/>
        <v>546.33820149012217</v>
      </c>
      <c r="AH84" s="20"/>
    </row>
    <row r="85" spans="2:34" x14ac:dyDescent="0.25">
      <c r="B85" s="13" t="s">
        <v>148</v>
      </c>
      <c r="C85" s="13" t="s">
        <v>148</v>
      </c>
      <c r="D85" s="14" t="s">
        <v>202</v>
      </c>
      <c r="E85" s="6" t="s">
        <v>11</v>
      </c>
      <c r="F85" s="10">
        <f t="shared" si="22"/>
        <v>35.300185169075526</v>
      </c>
      <c r="G85" s="10">
        <f t="shared" si="23"/>
        <v>25.774541116233983</v>
      </c>
      <c r="H85" s="10">
        <f t="shared" si="24"/>
        <v>25.215305653249157</v>
      </c>
      <c r="I85" s="11">
        <f>VLOOKUP($D85,_xlfn.IFS('Scenario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65.173645718960458</v>
      </c>
      <c r="J85" s="11">
        <f>VLOOKUP($D85,'Fuel economy adjusted factor'!$A$2:$AD$52,9,FALSE)</f>
        <v>131.59131383999997</v>
      </c>
      <c r="K85" s="10">
        <f>VLOOKUP($D85,'Fuel economy adjusted factor'!$A$2:$AD$52,8,FALSE)</f>
        <v>213.33186517499999</v>
      </c>
      <c r="L85" s="10">
        <f t="shared" si="25"/>
        <v>26.458051126548771</v>
      </c>
      <c r="M85" s="10">
        <v>84.75524127903364</v>
      </c>
      <c r="N85" s="10">
        <f t="shared" si="26"/>
        <v>25.774541116233983</v>
      </c>
      <c r="O85" s="10">
        <f>VLOOKUP($D85,'Fuel economy adjusted factor'!$A$2:$L$52,12,FALSE)*(1-'TCO Inputs'!$BD$9)+VLOOKUP($D85,'US Grid mix, emissions&amp;prices'!$H$169:$AJ$219,'TCO Inputs'!$AZ$12-2021,FALSE)*'TCO Inputs'!$BD$9</f>
        <v>96.905246717859427</v>
      </c>
      <c r="P85" s="5">
        <f t="shared" si="37"/>
        <v>43070</v>
      </c>
      <c r="Q85" s="5">
        <f t="shared" si="28"/>
        <v>25392.400000000001</v>
      </c>
      <c r="R85" s="15">
        <f t="shared" si="29"/>
        <v>27690</v>
      </c>
      <c r="S85" s="5">
        <f t="shared" si="30"/>
        <v>32586</v>
      </c>
      <c r="T85" s="5">
        <f t="shared" si="31"/>
        <v>332.47152095949679</v>
      </c>
      <c r="U85" s="5">
        <f>(VLOOKUP($D85,'TCO Inputs'!$A$3:$AG$53,31,FALSE)-VLOOKUP($D85,'TCO Inputs'!$A$3:$AG$53,30,FALSE))/(((K85+H85)*AA85*'TCO Inputs'!$AZ$13-(I85+F85)*AA85*'TCO Inputs'!$AZ$13)*CONVERT(1,"g","ton"))</f>
        <v>213.40794380050579</v>
      </c>
      <c r="V85" s="5">
        <f t="shared" si="32"/>
        <v>-84.474626672864218</v>
      </c>
      <c r="W85" s="5">
        <f>(VLOOKUP($D85,'TCO Inputs'!$A$3:$AG$53,32,FALSE)-VLOOKUP($D85,'TCO Inputs'!$A$3:$AG$53,30,FALSE))/(((K85+H85)*AA85*'TCO Inputs'!$AZ$13-(J85+G85)*AA85*'TCO Inputs'!$AZ$13)*CONVERT(1,"g","ton"))</f>
        <v>-227.52209297821608</v>
      </c>
      <c r="X85" s="31">
        <f t="shared" si="27"/>
        <v>114.76392340071557</v>
      </c>
      <c r="Y85" s="31">
        <f>(VLOOKUP($D85,'TCO Inputs'!$A$3:$AG$53,33,FALSE)-VLOOKUP($D85,'TCO Inputs'!$A$3:$AG$53,30,FALSE))/(((K85+H85)*AA85*'TCO Inputs'!$AZ$13-(L85+M85)*AA85*'TCO Inputs'!$AZ$13)*CONVERT(1,"g","ton"))</f>
        <v>45.622672034470185</v>
      </c>
      <c r="Z85" s="11">
        <f t="shared" si="33"/>
        <v>56.892024068197969</v>
      </c>
      <c r="AA85" s="26">
        <f>VLOOKUP(D85, 'VKT US'!$B$3:$D$54, 3,FALSE)</f>
        <v>21709.996599999999</v>
      </c>
      <c r="AB85" s="11">
        <f>VLOOKUP($D85,'VKT US'!$F$5:$S$55,14,FALSE)</f>
        <v>5060000</v>
      </c>
      <c r="AC85" s="10">
        <f t="shared" si="34"/>
        <v>87.496300981372386</v>
      </c>
      <c r="AD85" s="25">
        <f t="shared" si="35"/>
        <v>416.94614763236098</v>
      </c>
      <c r="AE85" s="25">
        <f t="shared" si="38"/>
        <v>416.94614763236098</v>
      </c>
      <c r="AF85" s="25">
        <f t="shared" si="36"/>
        <v>416.94614763236098</v>
      </c>
      <c r="AG85" s="25">
        <f t="shared" si="39"/>
        <v>416.94614763236098</v>
      </c>
      <c r="AH85" s="20"/>
    </row>
    <row r="86" spans="2:34" x14ac:dyDescent="0.25">
      <c r="B86" s="13" t="s">
        <v>148</v>
      </c>
      <c r="C86" s="13" t="s">
        <v>148</v>
      </c>
      <c r="D86" s="14" t="s">
        <v>203</v>
      </c>
      <c r="E86" s="6" t="s">
        <v>11</v>
      </c>
      <c r="F86" s="10">
        <f t="shared" si="22"/>
        <v>35.300185169075526</v>
      </c>
      <c r="G86" s="10">
        <f t="shared" si="23"/>
        <v>25.774541116233983</v>
      </c>
      <c r="H86" s="10">
        <f t="shared" si="24"/>
        <v>25.215305653249157</v>
      </c>
      <c r="I86" s="11">
        <f>VLOOKUP($D86,_xlfn.IFS('Scenario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47.719474893599724</v>
      </c>
      <c r="J86" s="11">
        <f>VLOOKUP($D86,'Fuel economy adjusted factor'!$A$2:$AD$52,9,FALSE)</f>
        <v>135.67562232</v>
      </c>
      <c r="K86" s="10">
        <f>VLOOKUP($D86,'Fuel economy adjusted factor'!$A$2:$AD$52,8,FALSE)</f>
        <v>219.953222775</v>
      </c>
      <c r="L86" s="10">
        <f t="shared" si="25"/>
        <v>26.458051126548771</v>
      </c>
      <c r="M86" s="10">
        <v>84.75524127903364</v>
      </c>
      <c r="N86" s="10">
        <f t="shared" si="26"/>
        <v>25.774541116233983</v>
      </c>
      <c r="O86" s="10">
        <f>VLOOKUP($D86,'Fuel economy adjusted factor'!$A$2:$L$52,12,FALSE)*(1-'TCO Inputs'!$BD$9)+VLOOKUP($D86,'US Grid mix, emissions&amp;prices'!$H$169:$AJ$219,'TCO Inputs'!$AZ$12-2021,FALSE)*'TCO Inputs'!$BD$9</f>
        <v>89.784925056671852</v>
      </c>
      <c r="P86" s="5">
        <f t="shared" si="37"/>
        <v>43070</v>
      </c>
      <c r="Q86" s="5">
        <f t="shared" si="28"/>
        <v>25392.400000000001</v>
      </c>
      <c r="R86" s="15">
        <f t="shared" si="29"/>
        <v>27690</v>
      </c>
      <c r="S86" s="5">
        <f t="shared" si="30"/>
        <v>32586</v>
      </c>
      <c r="T86" s="5">
        <f t="shared" si="31"/>
        <v>268.66769176449628</v>
      </c>
      <c r="U86" s="5">
        <f>(VLOOKUP($D86,'TCO Inputs'!$A$3:$AG$53,31,FALSE)-VLOOKUP($D86,'TCO Inputs'!$A$3:$AG$53,30,FALSE))/(((K86+H86)*AA86*'TCO Inputs'!$AZ$13-(I86+F86)*AA86*'TCO Inputs'!$AZ$13)*CONVERT(1,"g","ton"))</f>
        <v>228.61910261932479</v>
      </c>
      <c r="V86" s="5">
        <f t="shared" si="32"/>
        <v>-77.736810050201129</v>
      </c>
      <c r="W86" s="5">
        <f>(VLOOKUP($D86,'TCO Inputs'!$A$3:$AG$53,32,FALSE)-VLOOKUP($D86,'TCO Inputs'!$A$3:$AG$53,30,FALSE))/(((K86+H86)*AA86*'TCO Inputs'!$AZ$13-(J86+G86)*AA86*'TCO Inputs'!$AZ$13)*CONVERT(1,"g","ton"))</f>
        <v>-241.58520280277088</v>
      </c>
      <c r="X86" s="31">
        <f t="shared" si="27"/>
        <v>103.52726620959571</v>
      </c>
      <c r="Y86" s="31">
        <f>(VLOOKUP($D86,'TCO Inputs'!$A$3:$AG$53,33,FALSE)-VLOOKUP($D86,'TCO Inputs'!$A$3:$AG$53,30,FALSE))/(((K86+H86)*AA86*'TCO Inputs'!$AZ$13-(L86+M86)*AA86*'TCO Inputs'!$AZ$13)*CONVERT(1,"g","ton"))</f>
        <v>35.957494812299593</v>
      </c>
      <c r="Z86" s="11">
        <f t="shared" si="33"/>
        <v>78.430503373558736</v>
      </c>
      <c r="AA86" s="26">
        <f>VLOOKUP(D86, 'VKT US'!$B$3:$D$54, 3,FALSE)</f>
        <v>22876.768100000001</v>
      </c>
      <c r="AB86" s="11">
        <f>VLOOKUP($D86,'VKT US'!$F$5:$S$55,14,FALSE)</f>
        <v>1236000</v>
      </c>
      <c r="AC86" s="10">
        <f t="shared" si="34"/>
        <v>31.047467316977432</v>
      </c>
      <c r="AD86" s="25">
        <f t="shared" si="35"/>
        <v>346.40450181469743</v>
      </c>
      <c r="AE86" s="25">
        <f t="shared" si="38"/>
        <v>346.40450181469743</v>
      </c>
      <c r="AF86" s="25">
        <f t="shared" si="36"/>
        <v>346.40450181469743</v>
      </c>
      <c r="AG86" s="25">
        <f t="shared" si="39"/>
        <v>346.40450181469743</v>
      </c>
      <c r="AH86" s="20"/>
    </row>
    <row r="87" spans="2:34" x14ac:dyDescent="0.25">
      <c r="B87" s="13" t="s">
        <v>148</v>
      </c>
      <c r="C87" s="13" t="s">
        <v>148</v>
      </c>
      <c r="D87" s="14" t="s">
        <v>204</v>
      </c>
      <c r="E87" s="6" t="s">
        <v>11</v>
      </c>
      <c r="F87" s="10">
        <f t="shared" si="22"/>
        <v>35.300185169075526</v>
      </c>
      <c r="G87" s="10">
        <f t="shared" si="23"/>
        <v>25.774541116233983</v>
      </c>
      <c r="H87" s="10">
        <f t="shared" si="24"/>
        <v>25.215305653249157</v>
      </c>
      <c r="I87" s="11">
        <f>VLOOKUP($D87,_xlfn.IFS('Scenario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119.8230352434679</v>
      </c>
      <c r="J87" s="11">
        <f>VLOOKUP($D87,'Fuel economy adjusted factor'!$A$2:$AD$52,9,FALSE)</f>
        <v>134.78217984</v>
      </c>
      <c r="K87" s="10">
        <f>VLOOKUP($D87,'Fuel economy adjusted factor'!$A$2:$AD$52,8,FALSE)</f>
        <v>218.50480080000003</v>
      </c>
      <c r="L87" s="10">
        <f t="shared" si="25"/>
        <v>26.458051126548771</v>
      </c>
      <c r="M87" s="10">
        <v>84.75524127903364</v>
      </c>
      <c r="N87" s="10">
        <f t="shared" si="26"/>
        <v>25.774541116233983</v>
      </c>
      <c r="O87" s="10">
        <f>VLOOKUP($D87,'Fuel economy adjusted factor'!$A$2:$L$52,12,FALSE)*(1-'TCO Inputs'!$BD$9)+VLOOKUP($D87,'US Grid mix, emissions&amp;prices'!$H$169:$AJ$219,'TCO Inputs'!$AZ$12-2021,FALSE)*'TCO Inputs'!$BD$9</f>
        <v>126.85093487060331</v>
      </c>
      <c r="P87" s="5">
        <f t="shared" si="37"/>
        <v>43070</v>
      </c>
      <c r="Q87" s="5">
        <f t="shared" si="28"/>
        <v>25392.400000000001</v>
      </c>
      <c r="R87" s="15">
        <f t="shared" si="29"/>
        <v>27690</v>
      </c>
      <c r="S87" s="5">
        <f t="shared" si="30"/>
        <v>32586</v>
      </c>
      <c r="T87" s="5">
        <f t="shared" si="31"/>
        <v>488.55019987930945</v>
      </c>
      <c r="U87" s="5">
        <f>(VLOOKUP($D87,'TCO Inputs'!$A$3:$AG$53,31,FALSE)-VLOOKUP($D87,'TCO Inputs'!$A$3:$AG$53,30,FALSE))/(((K87+H87)*AA87*'TCO Inputs'!$AZ$13-(I87+F87)*AA87*'TCO Inputs'!$AZ$13)*CONVERT(1,"g","ton"))</f>
        <v>436.06883584152627</v>
      </c>
      <c r="V87" s="5">
        <f t="shared" si="32"/>
        <v>-77.752359917445474</v>
      </c>
      <c r="W87" s="5">
        <f>(VLOOKUP($D87,'TCO Inputs'!$A$3:$AG$53,32,FALSE)-VLOOKUP($D87,'TCO Inputs'!$A$3:$AG$53,30,FALSE))/(((K87+H87)*AA87*'TCO Inputs'!$AZ$13-(J87+G87)*AA87*'TCO Inputs'!$AZ$13)*CONVERT(1,"g","ton"))</f>
        <v>-208.8802923416861</v>
      </c>
      <c r="X87" s="31">
        <f t="shared" si="27"/>
        <v>103.98591429501292</v>
      </c>
      <c r="Y87" s="31">
        <f>(VLOOKUP($D87,'TCO Inputs'!$A$3:$AG$53,33,FALSE)-VLOOKUP($D87,'TCO Inputs'!$A$3:$AG$53,30,FALSE))/(((K87+H87)*AA87*'TCO Inputs'!$AZ$13-(L87+M87)*AA87*'TCO Inputs'!$AZ$13)*CONVERT(1,"g","ton"))</f>
        <v>65.007314208497434</v>
      </c>
      <c r="Z87" s="11">
        <f t="shared" si="33"/>
        <v>5.4335005436905703</v>
      </c>
      <c r="AA87" s="26">
        <f>VLOOKUP(D87, 'VKT US'!$B$3:$D$54, 3,FALSE)</f>
        <v>23024.827379999999</v>
      </c>
      <c r="AB87" s="11">
        <f>VLOOKUP($D87,'VKT US'!$F$5:$S$55,14,FALSE)</f>
        <v>8525400</v>
      </c>
      <c r="AC87" s="10">
        <f t="shared" si="34"/>
        <v>14.932031522964124</v>
      </c>
      <c r="AD87" s="25">
        <f t="shared" si="35"/>
        <v>566.30255979675496</v>
      </c>
      <c r="AE87" s="25">
        <f t="shared" si="38"/>
        <v>566.30255979675496</v>
      </c>
      <c r="AF87" s="25">
        <f t="shared" si="36"/>
        <v>566.30255979675496</v>
      </c>
      <c r="AG87" s="25">
        <f t="shared" si="39"/>
        <v>566.30255979675496</v>
      </c>
      <c r="AH87" s="20"/>
    </row>
    <row r="88" spans="2:34" x14ac:dyDescent="0.25">
      <c r="B88" s="13" t="s">
        <v>148</v>
      </c>
      <c r="C88" s="13" t="s">
        <v>148</v>
      </c>
      <c r="D88" s="14" t="s">
        <v>205</v>
      </c>
      <c r="E88" s="6" t="s">
        <v>11</v>
      </c>
      <c r="F88" s="10">
        <f t="shared" si="22"/>
        <v>35.300185169075526</v>
      </c>
      <c r="G88" s="10">
        <f t="shared" si="23"/>
        <v>25.774541116233983</v>
      </c>
      <c r="H88" s="10">
        <f t="shared" si="24"/>
        <v>25.215305653249157</v>
      </c>
      <c r="I88" s="11">
        <f>VLOOKUP($D88,_xlfn.IFS('Scenario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102.39088049050333</v>
      </c>
      <c r="J88" s="11">
        <f>VLOOKUP($D88,'Fuel economy adjusted factor'!$A$2:$AD$52,9,FALSE)</f>
        <v>136.56906479999998</v>
      </c>
      <c r="K88" s="10">
        <f>VLOOKUP($D88,'Fuel economy adjusted factor'!$A$2:$AD$52,8,FALSE)</f>
        <v>221.40164475</v>
      </c>
      <c r="L88" s="10">
        <f t="shared" si="25"/>
        <v>26.458051126548771</v>
      </c>
      <c r="M88" s="10">
        <v>84.75524127903364</v>
      </c>
      <c r="N88" s="10">
        <f t="shared" si="26"/>
        <v>25.774541116233983</v>
      </c>
      <c r="O88" s="10">
        <f>VLOOKUP($D88,'Fuel economy adjusted factor'!$A$2:$L$52,12,FALSE)*(1-'TCO Inputs'!$BD$9)+VLOOKUP($D88,'US Grid mix, emissions&amp;prices'!$H$169:$AJ$219,'TCO Inputs'!$AZ$12-2021,FALSE)*'TCO Inputs'!$BD$9</f>
        <v>118.64189753506173</v>
      </c>
      <c r="P88" s="5">
        <f t="shared" si="37"/>
        <v>43070</v>
      </c>
      <c r="Q88" s="5">
        <f t="shared" si="28"/>
        <v>25392.400000000001</v>
      </c>
      <c r="R88" s="15">
        <f t="shared" si="29"/>
        <v>27690</v>
      </c>
      <c r="S88" s="5">
        <f t="shared" si="30"/>
        <v>32586</v>
      </c>
      <c r="T88" s="5">
        <f t="shared" si="31"/>
        <v>317.4488788807044</v>
      </c>
      <c r="U88" s="5">
        <f>(VLOOKUP($D88,'TCO Inputs'!$A$3:$AG$53,31,FALSE)-VLOOKUP($D88,'TCO Inputs'!$A$3:$AG$53,30,FALSE))/(((K88+H88)*AA88*'TCO Inputs'!$AZ$13-(I88+F88)*AA88*'TCO Inputs'!$AZ$13)*CONVERT(1,"g","ton"))</f>
        <v>95.62930144036288</v>
      </c>
      <c r="V88" s="5">
        <f t="shared" si="32"/>
        <v>-61.296087011504575</v>
      </c>
      <c r="W88" s="5">
        <f>(VLOOKUP($D88,'TCO Inputs'!$A$3:$AG$53,32,FALSE)-VLOOKUP($D88,'TCO Inputs'!$A$3:$AG$53,30,FALSE))/(((K88+H88)*AA88*'TCO Inputs'!$AZ$13-(J88+G88)*AA88*'TCO Inputs'!$AZ$13)*CONVERT(1,"g","ton"))</f>
        <v>-245.59104867789625</v>
      </c>
      <c r="X88" s="31">
        <f t="shared" si="27"/>
        <v>81.294201620708918</v>
      </c>
      <c r="Y88" s="31">
        <f>(VLOOKUP($D88,'TCO Inputs'!$A$3:$AG$53,33,FALSE)-VLOOKUP($D88,'TCO Inputs'!$A$3:$AG$53,30,FALSE))/(((K88+H88)*AA88*'TCO Inputs'!$AZ$13-(L88+M88)*AA88*'TCO Inputs'!$AZ$13)*CONVERT(1,"g","ton"))</f>
        <v>26.627556182671196</v>
      </c>
      <c r="Z88" s="11">
        <f t="shared" si="33"/>
        <v>24.652540256655101</v>
      </c>
      <c r="AA88" s="26">
        <f>VLOOKUP(D88, 'VKT US'!$B$3:$D$54, 3,FALSE)</f>
        <v>28821.67006</v>
      </c>
      <c r="AB88" s="11">
        <f>VLOOKUP($D88,'VKT US'!$F$5:$S$55,14,FALSE)</f>
        <v>5118500</v>
      </c>
      <c r="AC88" s="10">
        <f t="shared" si="34"/>
        <v>50.915681625045437</v>
      </c>
      <c r="AD88" s="25">
        <f t="shared" si="35"/>
        <v>378.744965892209</v>
      </c>
      <c r="AE88" s="25">
        <f t="shared" si="38"/>
        <v>378.744965892209</v>
      </c>
      <c r="AF88" s="25">
        <f t="shared" si="36"/>
        <v>378.744965892209</v>
      </c>
      <c r="AG88" s="25">
        <f t="shared" si="39"/>
        <v>378.744965892209</v>
      </c>
      <c r="AH88" s="20"/>
    </row>
    <row r="89" spans="2:34" x14ac:dyDescent="0.25">
      <c r="B89" s="13" t="s">
        <v>148</v>
      </c>
      <c r="C89" s="13" t="s">
        <v>148</v>
      </c>
      <c r="D89" s="14" t="s">
        <v>206</v>
      </c>
      <c r="E89" s="6" t="s">
        <v>11</v>
      </c>
      <c r="F89" s="10">
        <f t="shared" si="22"/>
        <v>35.300185169075526</v>
      </c>
      <c r="G89" s="10">
        <f t="shared" si="23"/>
        <v>25.774541116233983</v>
      </c>
      <c r="H89" s="10">
        <f t="shared" si="24"/>
        <v>25.215305653249157</v>
      </c>
      <c r="I89" s="11">
        <f>VLOOKUP($D89,_xlfn.IFS('Scenario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172.36254657180297</v>
      </c>
      <c r="J89" s="11">
        <f>VLOOKUP($D89,'Fuel economy adjusted factor'!$A$2:$AD$52,9,FALSE)</f>
        <v>132.10185239999998</v>
      </c>
      <c r="K89" s="10">
        <f>VLOOKUP($D89,'Fuel economy adjusted factor'!$A$2:$AD$52,8,FALSE)</f>
        <v>214.15953487499999</v>
      </c>
      <c r="L89" s="10">
        <f t="shared" si="25"/>
        <v>26.458051126548771</v>
      </c>
      <c r="M89" s="10">
        <v>84.75524127903364</v>
      </c>
      <c r="N89" s="10">
        <f t="shared" si="26"/>
        <v>25.774541116233983</v>
      </c>
      <c r="O89" s="10">
        <f>VLOOKUP($D89,'Fuel economy adjusted factor'!$A$2:$L$52,12,FALSE)*(1-'TCO Inputs'!$BD$9)+VLOOKUP($D89,'US Grid mix, emissions&amp;prices'!$H$169:$AJ$219,'TCO Inputs'!$AZ$12-2021,FALSE)*'TCO Inputs'!$BD$9</f>
        <v>152.88795605733753</v>
      </c>
      <c r="P89" s="5">
        <f t="shared" si="37"/>
        <v>43070</v>
      </c>
      <c r="Q89" s="5">
        <f t="shared" si="28"/>
        <v>25392.400000000001</v>
      </c>
      <c r="R89" s="15">
        <f t="shared" si="29"/>
        <v>27690</v>
      </c>
      <c r="S89" s="5">
        <f t="shared" si="30"/>
        <v>32586</v>
      </c>
      <c r="T89" s="5">
        <f t="shared" si="31"/>
        <v>1054.35454834501</v>
      </c>
      <c r="U89" s="5">
        <f>(VLOOKUP($D89,'TCO Inputs'!$A$3:$AG$53,31,FALSE)-VLOOKUP($D89,'TCO Inputs'!$A$3:$AG$53,30,FALSE))/(((K89+H89)*AA89*'TCO Inputs'!$AZ$13-(I89+F89)*AA89*'TCO Inputs'!$AZ$13)*CONVERT(1,"g","ton"))</f>
        <v>292.87866424085422</v>
      </c>
      <c r="V89" s="5">
        <f t="shared" si="32"/>
        <v>-61.288720160857693</v>
      </c>
      <c r="W89" s="5">
        <f>(VLOOKUP($D89,'TCO Inputs'!$A$3:$AG$53,32,FALSE)-VLOOKUP($D89,'TCO Inputs'!$A$3:$AG$53,30,FALSE))/(((K89+H89)*AA89*'TCO Inputs'!$AZ$13-(J89+G89)*AA89*'TCO Inputs'!$AZ$13)*CONVERT(1,"g","ton"))</f>
        <v>-244.44187360216608</v>
      </c>
      <c r="X89" s="31">
        <f t="shared" si="27"/>
        <v>83.049902582798566</v>
      </c>
      <c r="Y89" s="31">
        <f>(VLOOKUP($D89,'TCO Inputs'!$A$3:$AG$53,33,FALSE)-VLOOKUP($D89,'TCO Inputs'!$A$3:$AG$53,30,FALSE))/(((K89+H89)*AA89*'TCO Inputs'!$AZ$13-(L89+M89)*AA89*'TCO Inputs'!$AZ$13)*CONVERT(1,"g","ton"))</f>
        <v>26.280131610371757</v>
      </c>
      <c r="Z89" s="11">
        <f t="shared" si="33"/>
        <v>-49.78633822464451</v>
      </c>
      <c r="AA89" s="26">
        <f>VLOOKUP(D89, 'VKT US'!$B$3:$D$54, 3,FALSE)</f>
        <v>29806.586139999999</v>
      </c>
      <c r="AB89" s="11">
        <f>VLOOKUP($D89,'VKT US'!$F$5:$S$55,14,FALSE)</f>
        <v>5626000</v>
      </c>
      <c r="AC89" s="10">
        <f t="shared" si="34"/>
        <v>-116.88268678833767</v>
      </c>
      <c r="AD89" s="25">
        <f t="shared" si="35"/>
        <v>1115.6432685058678</v>
      </c>
      <c r="AE89" s="25">
        <f t="shared" si="38"/>
        <v>1115.6432685058678</v>
      </c>
      <c r="AF89" s="25">
        <f t="shared" si="36"/>
        <v>1115.6432685058678</v>
      </c>
      <c r="AG89" s="25">
        <f t="shared" si="39"/>
        <v>1115.6432685058678</v>
      </c>
      <c r="AH89" s="20"/>
    </row>
    <row r="90" spans="2:34" x14ac:dyDescent="0.25">
      <c r="B90" s="13" t="s">
        <v>148</v>
      </c>
      <c r="C90" s="13" t="s">
        <v>148</v>
      </c>
      <c r="D90" s="14" t="s">
        <v>207</v>
      </c>
      <c r="E90" s="6" t="s">
        <v>11</v>
      </c>
      <c r="F90" s="10">
        <f t="shared" si="22"/>
        <v>35.300185169075526</v>
      </c>
      <c r="G90" s="10">
        <f t="shared" si="23"/>
        <v>25.774541116233983</v>
      </c>
      <c r="H90" s="10">
        <f t="shared" si="24"/>
        <v>25.215305653249157</v>
      </c>
      <c r="I90" s="11">
        <f>VLOOKUP($D90,_xlfn.IFS('Scenario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104.69262564595832</v>
      </c>
      <c r="J90" s="11">
        <f>VLOOKUP($D90,'Fuel economy adjusted factor'!$A$2:$AD$52,9,FALSE)</f>
        <v>130.05969815999998</v>
      </c>
      <c r="K90" s="10">
        <f>VLOOKUP($D90,'Fuel economy adjusted factor'!$A$2:$AD$52,8,FALSE)</f>
        <v>210.84885607499999</v>
      </c>
      <c r="L90" s="10">
        <f t="shared" si="25"/>
        <v>26.458051126548771</v>
      </c>
      <c r="M90" s="10">
        <v>84.75524127903364</v>
      </c>
      <c r="N90" s="10">
        <f t="shared" si="26"/>
        <v>25.774541116233983</v>
      </c>
      <c r="O90" s="10">
        <f>VLOOKUP($D90,'Fuel economy adjusted factor'!$A$2:$L$52,12,FALSE)*(1-'TCO Inputs'!$BD$9)+VLOOKUP($D90,'US Grid mix, emissions&amp;prices'!$H$169:$AJ$219,'TCO Inputs'!$AZ$12-2021,FALSE)*'TCO Inputs'!$BD$9</f>
        <v>116.72167359189834</v>
      </c>
      <c r="P90" s="5">
        <f t="shared" si="37"/>
        <v>43070</v>
      </c>
      <c r="Q90" s="5">
        <f t="shared" si="28"/>
        <v>25392.400000000001</v>
      </c>
      <c r="R90" s="15">
        <f t="shared" si="29"/>
        <v>27690</v>
      </c>
      <c r="S90" s="5">
        <f t="shared" si="30"/>
        <v>32586</v>
      </c>
      <c r="T90" s="5">
        <f t="shared" si="31"/>
        <v>322.84291938287078</v>
      </c>
      <c r="U90" s="5">
        <f>(VLOOKUP($D90,'TCO Inputs'!$A$3:$AG$53,31,FALSE)-VLOOKUP($D90,'TCO Inputs'!$A$3:$AG$53,30,FALSE))/(((K90+H90)*AA90*'TCO Inputs'!$AZ$13-(I90+F90)*AA90*'TCO Inputs'!$AZ$13)*CONVERT(1,"g","ton"))</f>
        <v>213.64272479714316</v>
      </c>
      <c r="V90" s="5">
        <f t="shared" si="32"/>
        <v>-57.751979964510234</v>
      </c>
      <c r="W90" s="5">
        <f>(VLOOKUP($D90,'TCO Inputs'!$A$3:$AG$53,32,FALSE)-VLOOKUP($D90,'TCO Inputs'!$A$3:$AG$53,30,FALSE))/(((K90+H90)*AA90*'TCO Inputs'!$AZ$13-(J90+G90)*AA90*'TCO Inputs'!$AZ$13)*CONVERT(1,"g","ton"))</f>
        <v>-228.24768051955533</v>
      </c>
      <c r="X90" s="31">
        <f t="shared" si="27"/>
        <v>79.082186157716151</v>
      </c>
      <c r="Y90" s="31">
        <f>(VLOOKUP($D90,'TCO Inputs'!$A$3:$AG$53,33,FALSE)-VLOOKUP($D90,'TCO Inputs'!$A$3:$AG$53,30,FALSE))/(((K90+H90)*AA90*'TCO Inputs'!$AZ$13-(L90+M90)*AA90*'TCO Inputs'!$AZ$13)*CONVERT(1,"g","ton"))</f>
        <v>54.900982556443488</v>
      </c>
      <c r="Z90" s="11">
        <f t="shared" si="33"/>
        <v>15.841428461200138</v>
      </c>
      <c r="AA90" s="26">
        <f>VLOOKUP(D90, 'VKT US'!$B$3:$D$54, 3,FALSE)</f>
        <v>32132.082439999998</v>
      </c>
      <c r="AB90" s="11">
        <f>VLOOKUP($D90,'VKT US'!$F$5:$S$55,14,FALSE)</f>
        <v>2723300</v>
      </c>
      <c r="AC90" s="10">
        <f t="shared" si="34"/>
        <v>19.406925323103188</v>
      </c>
      <c r="AD90" s="25">
        <f t="shared" si="35"/>
        <v>380.59489934738099</v>
      </c>
      <c r="AE90" s="25">
        <f t="shared" si="38"/>
        <v>380.59489934738099</v>
      </c>
      <c r="AF90" s="25">
        <f t="shared" si="36"/>
        <v>380.59489934738099</v>
      </c>
      <c r="AG90" s="25">
        <f t="shared" si="39"/>
        <v>380.59489934738099</v>
      </c>
      <c r="AH90" s="20"/>
    </row>
    <row r="91" spans="2:34" x14ac:dyDescent="0.25">
      <c r="B91" s="13" t="s">
        <v>148</v>
      </c>
      <c r="C91" s="13" t="s">
        <v>148</v>
      </c>
      <c r="D91" s="14" t="s">
        <v>208</v>
      </c>
      <c r="E91" s="6" t="s">
        <v>11</v>
      </c>
      <c r="F91" s="10">
        <f t="shared" si="22"/>
        <v>35.300185169075526</v>
      </c>
      <c r="G91" s="10">
        <f t="shared" si="23"/>
        <v>25.774541116233983</v>
      </c>
      <c r="H91" s="10">
        <f t="shared" si="24"/>
        <v>25.215305653249157</v>
      </c>
      <c r="I91" s="11">
        <f>VLOOKUP($D91,_xlfn.IFS('Scenario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141.43560750239914</v>
      </c>
      <c r="J91" s="11">
        <f>VLOOKUP($D91,'Fuel economy adjusted factor'!$A$2:$AD$52,9,FALSE)</f>
        <v>135.67562232</v>
      </c>
      <c r="K91" s="10">
        <f>VLOOKUP($D91,'Fuel economy adjusted factor'!$A$2:$AD$52,8,FALSE)</f>
        <v>219.953222775</v>
      </c>
      <c r="L91" s="10">
        <f t="shared" si="25"/>
        <v>26.458051126548771</v>
      </c>
      <c r="M91" s="10">
        <v>84.75524127903364</v>
      </c>
      <c r="N91" s="10">
        <f t="shared" si="26"/>
        <v>25.774541116233983</v>
      </c>
      <c r="O91" s="10">
        <f>VLOOKUP($D91,'Fuel economy adjusted factor'!$A$2:$L$52,12,FALSE)*(1-'TCO Inputs'!$BD$9)+VLOOKUP($D91,'US Grid mix, emissions&amp;prices'!$H$169:$AJ$219,'TCO Inputs'!$AZ$12-2021,FALSE)*'TCO Inputs'!$BD$9</f>
        <v>138.51731401324756</v>
      </c>
      <c r="P91" s="5">
        <f t="shared" si="37"/>
        <v>43070</v>
      </c>
      <c r="Q91" s="5">
        <f t="shared" si="28"/>
        <v>25392.400000000001</v>
      </c>
      <c r="R91" s="15">
        <f t="shared" si="29"/>
        <v>27690</v>
      </c>
      <c r="S91" s="5">
        <f t="shared" si="30"/>
        <v>32586</v>
      </c>
      <c r="T91" s="5">
        <f t="shared" si="31"/>
        <v>569.85167594989241</v>
      </c>
      <c r="U91" s="5">
        <f>(VLOOKUP($D91,'TCO Inputs'!$A$3:$AG$53,31,FALSE)-VLOOKUP($D91,'TCO Inputs'!$A$3:$AG$53,30,FALSE))/(((K91+H91)*AA91*'TCO Inputs'!$AZ$13-(I91+F91)*AA91*'TCO Inputs'!$AZ$13)*CONVERT(1,"g","ton"))</f>
        <v>197.93360355694429</v>
      </c>
      <c r="V91" s="5">
        <f t="shared" si="32"/>
        <v>-69.586193631209639</v>
      </c>
      <c r="W91" s="5">
        <f>(VLOOKUP($D91,'TCO Inputs'!$A$3:$AG$53,32,FALSE)-VLOOKUP($D91,'TCO Inputs'!$A$3:$AG$53,30,FALSE))/(((K91+H91)*AA91*'TCO Inputs'!$AZ$13-(J91+G91)*AA91*'TCO Inputs'!$AZ$13)*CONVERT(1,"g","ton"))</f>
        <v>-252.32974546572206</v>
      </c>
      <c r="X91" s="31">
        <f t="shared" si="27"/>
        <v>92.672549695806225</v>
      </c>
      <c r="Y91" s="31">
        <f>(VLOOKUP($D91,'TCO Inputs'!$A$3:$AG$53,33,FALSE)-VLOOKUP($D91,'TCO Inputs'!$A$3:$AG$53,30,FALSE))/(((K91+H91)*AA91*'TCO Inputs'!$AZ$13-(L91+M91)*AA91*'TCO Inputs'!$AZ$13)*CONVERT(1,"g","ton"))</f>
        <v>8.2336845971073576</v>
      </c>
      <c r="Z91" s="11">
        <f t="shared" si="33"/>
        <v>-15.285629235240663</v>
      </c>
      <c r="AA91" s="26">
        <f>VLOOKUP(D91, 'VKT US'!$B$3:$D$54, 3,FALSE)</f>
        <v>25556.319199999998</v>
      </c>
      <c r="AB91" s="11">
        <f>VLOOKUP($D91,'VKT US'!$F$5:$S$55,14,FALSE)</f>
        <v>1021700</v>
      </c>
      <c r="AC91" s="10">
        <f t="shared" si="34"/>
        <v>-5.5876996534895236</v>
      </c>
      <c r="AD91" s="25">
        <f t="shared" si="35"/>
        <v>639.43786958110206</v>
      </c>
      <c r="AE91" s="25">
        <f t="shared" si="38"/>
        <v>639.43786958110206</v>
      </c>
      <c r="AF91" s="25">
        <f t="shared" si="36"/>
        <v>639.43786958110206</v>
      </c>
      <c r="AG91" s="25">
        <f t="shared" si="39"/>
        <v>639.43786958110206</v>
      </c>
      <c r="AH91" s="20"/>
    </row>
    <row r="92" spans="2:34" x14ac:dyDescent="0.25">
      <c r="B92" s="13" t="s">
        <v>148</v>
      </c>
      <c r="C92" s="13" t="s">
        <v>148</v>
      </c>
      <c r="D92" s="14" t="s">
        <v>209</v>
      </c>
      <c r="E92" s="6" t="s">
        <v>11</v>
      </c>
      <c r="F92" s="10">
        <f t="shared" si="22"/>
        <v>35.300185169075526</v>
      </c>
      <c r="G92" s="10">
        <f t="shared" si="23"/>
        <v>25.774541116233983</v>
      </c>
      <c r="H92" s="10">
        <f t="shared" si="24"/>
        <v>25.215305653249157</v>
      </c>
      <c r="I92" s="11">
        <f>VLOOKUP($D92,_xlfn.IFS('Scenario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77.830888261679249</v>
      </c>
      <c r="J92" s="11">
        <f>VLOOKUP($D92,'Fuel economy adjusted factor'!$A$2:$AD$52,9,FALSE)</f>
        <v>130.31496743999998</v>
      </c>
      <c r="K92" s="10">
        <f>VLOOKUP($D92,'Fuel economy adjusted factor'!$A$2:$AD$52,8,FALSE)</f>
        <v>211.26269092499999</v>
      </c>
      <c r="L92" s="10">
        <f t="shared" si="25"/>
        <v>26.458051126548771</v>
      </c>
      <c r="M92" s="10">
        <v>84.75524127903364</v>
      </c>
      <c r="N92" s="10">
        <f t="shared" si="26"/>
        <v>25.774541116233983</v>
      </c>
      <c r="O92" s="10">
        <f>VLOOKUP($D92,'Fuel economy adjusted factor'!$A$2:$L$52,12,FALSE)*(1-'TCO Inputs'!$BD$9)+VLOOKUP($D92,'US Grid mix, emissions&amp;prices'!$H$169:$AJ$219,'TCO Inputs'!$AZ$12-2021,FALSE)*'TCO Inputs'!$BD$9</f>
        <v>102.87581060007321</v>
      </c>
      <c r="P92" s="5">
        <f t="shared" si="37"/>
        <v>43070</v>
      </c>
      <c r="Q92" s="5">
        <f t="shared" si="28"/>
        <v>25392.400000000001</v>
      </c>
      <c r="R92" s="15">
        <f t="shared" si="29"/>
        <v>27690</v>
      </c>
      <c r="S92" s="5">
        <f t="shared" si="30"/>
        <v>32586</v>
      </c>
      <c r="T92" s="5">
        <f t="shared" si="31"/>
        <v>312.35679997073601</v>
      </c>
      <c r="U92" s="5">
        <f>(VLOOKUP($D92,'TCO Inputs'!$A$3:$AG$53,31,FALSE)-VLOOKUP($D92,'TCO Inputs'!$A$3:$AG$53,30,FALSE))/(((K92+H92)*AA92*'TCO Inputs'!$AZ$13-(I92+F92)*AA92*'TCO Inputs'!$AZ$13)*CONVERT(1,"g","ton"))</f>
        <v>26.197192118498737</v>
      </c>
      <c r="V92" s="5">
        <f t="shared" si="32"/>
        <v>-71.598432144808683</v>
      </c>
      <c r="W92" s="5">
        <f>(VLOOKUP($D92,'TCO Inputs'!$A$3:$AG$53,32,FALSE)-VLOOKUP($D92,'TCO Inputs'!$A$3:$AG$53,30,FALSE))/(((K92+H92)*AA92*'TCO Inputs'!$AZ$13-(J92+G92)*AA92*'TCO Inputs'!$AZ$13)*CONVERT(1,"g","ton"))</f>
        <v>-240.43455540202041</v>
      </c>
      <c r="X92" s="31">
        <f t="shared" si="27"/>
        <v>97.911936948127973</v>
      </c>
      <c r="Y92" s="31">
        <f>(VLOOKUP($D92,'TCO Inputs'!$A$3:$AG$53,33,FALSE)-VLOOKUP($D92,'TCO Inputs'!$A$3:$AG$53,30,FALSE))/(((K92+H92)*AA92*'TCO Inputs'!$AZ$13-(L92+M92)*AA92*'TCO Inputs'!$AZ$13)*CONVERT(1,"g","ton"))</f>
        <v>44.489169458415148</v>
      </c>
      <c r="Z92" s="11">
        <f t="shared" si="33"/>
        <v>42.958435125479184</v>
      </c>
      <c r="AA92" s="26">
        <f>VLOOKUP(D92, 'VKT US'!$B$3:$D$54, 3,FALSE)</f>
        <v>25866.92182</v>
      </c>
      <c r="AB92" s="11">
        <f>VLOOKUP($D92,'VKT US'!$F$5:$S$55,14,FALSE)</f>
        <v>9085500</v>
      </c>
      <c r="AC92" s="10">
        <f t="shared" si="34"/>
        <v>141.34162221747096</v>
      </c>
      <c r="AD92" s="25">
        <f t="shared" si="35"/>
        <v>383.95523211554467</v>
      </c>
      <c r="AE92" s="25">
        <f t="shared" si="38"/>
        <v>383.95523211554467</v>
      </c>
      <c r="AF92" s="25">
        <f t="shared" si="36"/>
        <v>383.95523211554467</v>
      </c>
      <c r="AG92" s="25">
        <f t="shared" si="39"/>
        <v>383.95523211554467</v>
      </c>
      <c r="AH92" s="20"/>
    </row>
    <row r="93" spans="2:34" x14ac:dyDescent="0.25">
      <c r="B93" s="13" t="s">
        <v>148</v>
      </c>
      <c r="C93" s="13" t="s">
        <v>148</v>
      </c>
      <c r="D93" s="14" t="s">
        <v>210</v>
      </c>
      <c r="E93" s="6" t="s">
        <v>11</v>
      </c>
      <c r="F93" s="10">
        <f t="shared" si="22"/>
        <v>35.300185169075526</v>
      </c>
      <c r="G93" s="10">
        <f t="shared" si="23"/>
        <v>25.774541116233983</v>
      </c>
      <c r="H93" s="10">
        <f t="shared" si="24"/>
        <v>25.215305653249157</v>
      </c>
      <c r="I93" s="11">
        <f>VLOOKUP($D93,_xlfn.IFS('Scenario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169.20719067176509</v>
      </c>
      <c r="J93" s="11">
        <f>VLOOKUP($D93,'Fuel economy adjusted factor'!$A$2:$AD$52,9,FALSE)</f>
        <v>136.69669943999997</v>
      </c>
      <c r="K93" s="10">
        <f>VLOOKUP($D93,'Fuel economy adjusted factor'!$A$2:$AD$52,8,FALSE)</f>
        <v>221.608562175</v>
      </c>
      <c r="L93" s="10">
        <f t="shared" si="25"/>
        <v>26.458051126548771</v>
      </c>
      <c r="M93" s="10">
        <v>84.75524127903364</v>
      </c>
      <c r="N93" s="10">
        <f t="shared" si="26"/>
        <v>25.774541116233983</v>
      </c>
      <c r="O93" s="10">
        <f>VLOOKUP($D93,'Fuel economy adjusted factor'!$A$2:$L$52,12,FALSE)*(1-'TCO Inputs'!$BD$9)+VLOOKUP($D93,'US Grid mix, emissions&amp;prices'!$H$169:$AJ$219,'TCO Inputs'!$AZ$12-2021,FALSE)*'TCO Inputs'!$BD$9</f>
        <v>153.44749905331784</v>
      </c>
      <c r="P93" s="5">
        <f t="shared" si="37"/>
        <v>43070</v>
      </c>
      <c r="Q93" s="5">
        <f t="shared" si="28"/>
        <v>25392.400000000001</v>
      </c>
      <c r="R93" s="15">
        <f t="shared" si="29"/>
        <v>27690</v>
      </c>
      <c r="S93" s="5">
        <f t="shared" si="30"/>
        <v>32586</v>
      </c>
      <c r="T93" s="5">
        <f t="shared" si="31"/>
        <v>828.14321038769936</v>
      </c>
      <c r="U93" s="5">
        <f>(VLOOKUP($D93,'TCO Inputs'!$A$3:$AG$53,31,FALSE)-VLOOKUP($D93,'TCO Inputs'!$A$3:$AG$53,30,FALSE))/(((K93+H93)*AA93*'TCO Inputs'!$AZ$13-(I93+F93)*AA93*'TCO Inputs'!$AZ$13)*CONVERT(1,"g","ton"))</f>
        <v>141.12965793683853</v>
      </c>
      <c r="V93" s="5">
        <f t="shared" si="32"/>
        <v>-62.06325894315804</v>
      </c>
      <c r="W93" s="5">
        <f>(VLOOKUP($D93,'TCO Inputs'!$A$3:$AG$53,32,FALSE)-VLOOKUP($D93,'TCO Inputs'!$A$3:$AG$53,30,FALSE))/(((K93+H93)*AA93*'TCO Inputs'!$AZ$13-(J93+G93)*AA93*'TCO Inputs'!$AZ$13)*CONVERT(1,"g","ton"))</f>
        <v>-244.48730985022479</v>
      </c>
      <c r="X93" s="31">
        <f t="shared" si="27"/>
        <v>82.263393000851707</v>
      </c>
      <c r="Y93" s="31">
        <f>(VLOOKUP($D93,'TCO Inputs'!$A$3:$AG$53,33,FALSE)-VLOOKUP($D93,'TCO Inputs'!$A$3:$AG$53,30,FALSE))/(((K93+H93)*AA93*'TCO Inputs'!$AZ$13-(L93+M93)*AA93*'TCO Inputs'!$AZ$13)*CONVERT(1,"g","ton"))</f>
        <v>26.849306973865055</v>
      </c>
      <c r="Z93" s="11">
        <f t="shared" si="33"/>
        <v>-42.036135284606644</v>
      </c>
      <c r="AA93" s="26">
        <f>VLOOKUP(D93, 'VKT US'!$B$3:$D$54, 3,FALSE)</f>
        <v>28438.647140000001</v>
      </c>
      <c r="AB93" s="11">
        <f>VLOOKUP($D93,'VKT US'!$F$5:$S$55,14,FALSE)</f>
        <v>797400</v>
      </c>
      <c r="AC93" s="10">
        <f t="shared" si="34"/>
        <v>-13.345534757275225</v>
      </c>
      <c r="AD93" s="25">
        <f t="shared" si="35"/>
        <v>890.20646933085743</v>
      </c>
      <c r="AE93" s="25">
        <f t="shared" si="38"/>
        <v>890.20646933085743</v>
      </c>
      <c r="AF93" s="25">
        <f t="shared" si="36"/>
        <v>890.20646933085743</v>
      </c>
      <c r="AG93" s="25">
        <f t="shared" si="39"/>
        <v>890.20646933085743</v>
      </c>
      <c r="AH93" s="20"/>
    </row>
    <row r="94" spans="2:34" x14ac:dyDescent="0.25">
      <c r="B94" s="13" t="s">
        <v>148</v>
      </c>
      <c r="C94" s="13" t="s">
        <v>148</v>
      </c>
      <c r="D94" s="14" t="s">
        <v>211</v>
      </c>
      <c r="E94" s="6" t="s">
        <v>11</v>
      </c>
      <c r="F94" s="10">
        <f t="shared" si="22"/>
        <v>35.300185169075526</v>
      </c>
      <c r="G94" s="10">
        <f t="shared" si="23"/>
        <v>25.774541116233983</v>
      </c>
      <c r="H94" s="10">
        <f t="shared" si="24"/>
        <v>25.215305653249157</v>
      </c>
      <c r="I94" s="11">
        <f>VLOOKUP($D94,_xlfn.IFS('Scenario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128.52697188660164</v>
      </c>
      <c r="J94" s="11">
        <f>VLOOKUP($D94,'Fuel economy adjusted factor'!$A$2:$AD$52,9,FALSE)</f>
        <v>133.63346807999997</v>
      </c>
      <c r="K94" s="10">
        <f>VLOOKUP($D94,'Fuel economy adjusted factor'!$A$2:$AD$52,8,FALSE)</f>
        <v>216.642543975</v>
      </c>
      <c r="L94" s="10">
        <f t="shared" si="25"/>
        <v>26.458051126548771</v>
      </c>
      <c r="M94" s="10">
        <v>84.75524127903364</v>
      </c>
      <c r="N94" s="10">
        <f t="shared" si="26"/>
        <v>25.774541116233983</v>
      </c>
      <c r="O94" s="10">
        <f>VLOOKUP($D94,'Fuel economy adjusted factor'!$A$2:$L$52,12,FALSE)*(1-'TCO Inputs'!$BD$9)+VLOOKUP($D94,'US Grid mix, emissions&amp;prices'!$H$169:$AJ$219,'TCO Inputs'!$AZ$12-2021,FALSE)*'TCO Inputs'!$BD$9</f>
        <v>130.82689990903285</v>
      </c>
      <c r="P94" s="5">
        <f t="shared" si="37"/>
        <v>43070</v>
      </c>
      <c r="Q94" s="5">
        <f t="shared" si="28"/>
        <v>25392.400000000001</v>
      </c>
      <c r="R94" s="15">
        <f t="shared" si="29"/>
        <v>27690</v>
      </c>
      <c r="S94" s="5">
        <f t="shared" si="30"/>
        <v>32586</v>
      </c>
      <c r="T94" s="5">
        <f t="shared" si="31"/>
        <v>534.56597487101601</v>
      </c>
      <c r="U94" s="5">
        <f>(VLOOKUP($D94,'TCO Inputs'!$A$3:$AG$53,31,FALSE)-VLOOKUP($D94,'TCO Inputs'!$A$3:$AG$53,30,FALSE))/(((K94+H94)*AA94*'TCO Inputs'!$AZ$13-(I94+F94)*AA94*'TCO Inputs'!$AZ$13)*CONVERT(1,"g","ton"))</f>
        <v>277.43056606418514</v>
      </c>
      <c r="V94" s="5">
        <f t="shared" si="32"/>
        <v>-75.577938487796771</v>
      </c>
      <c r="W94" s="5">
        <f>(VLOOKUP($D94,'TCO Inputs'!$A$3:$AG$53,32,FALSE)-VLOOKUP($D94,'TCO Inputs'!$A$3:$AG$53,30,FALSE))/(((K94+H94)*AA94*'TCO Inputs'!$AZ$13-(J94+G94)*AA94*'TCO Inputs'!$AZ$13)*CONVERT(1,"g","ton"))</f>
        <v>-221.85652565501627</v>
      </c>
      <c r="X94" s="31">
        <f t="shared" si="27"/>
        <v>101.63903344237372</v>
      </c>
      <c r="Y94" s="31">
        <f>(VLOOKUP($D94,'TCO Inputs'!$A$3:$AG$53,33,FALSE)-VLOOKUP($D94,'TCO Inputs'!$A$3:$AG$53,30,FALSE))/(((K94+H94)*AA94*'TCO Inputs'!$AZ$13-(L94+M94)*AA94*'TCO Inputs'!$AZ$13)*CONVERT(1,"g","ton"))</f>
        <v>54.71876141228438</v>
      </c>
      <c r="Z94" s="11">
        <f t="shared" si="33"/>
        <v>-4.4191478594431999</v>
      </c>
      <c r="AA94" s="26">
        <f>VLOOKUP(D94, 'VKT US'!$B$3:$D$54, 3,FALSE)</f>
        <v>23892.261640000001</v>
      </c>
      <c r="AB94" s="11">
        <f>VLOOKUP($D94,'VKT US'!$F$5:$S$55,14,FALSE)</f>
        <v>1971200</v>
      </c>
      <c r="AC94" s="10">
        <f t="shared" si="34"/>
        <v>-2.9137649909910674</v>
      </c>
      <c r="AD94" s="25">
        <f t="shared" si="35"/>
        <v>610.14391335881282</v>
      </c>
      <c r="AE94" s="25">
        <f t="shared" si="38"/>
        <v>610.14391335881282</v>
      </c>
      <c r="AF94" s="25">
        <f t="shared" si="36"/>
        <v>610.14391335881282</v>
      </c>
      <c r="AG94" s="25">
        <f t="shared" si="39"/>
        <v>610.14391335881282</v>
      </c>
      <c r="AH94" s="20"/>
    </row>
    <row r="95" spans="2:34" x14ac:dyDescent="0.25">
      <c r="B95" s="13" t="s">
        <v>148</v>
      </c>
      <c r="C95" s="13" t="s">
        <v>148</v>
      </c>
      <c r="D95" s="14" t="s">
        <v>212</v>
      </c>
      <c r="E95" s="6" t="s">
        <v>11</v>
      </c>
      <c r="F95" s="10">
        <f t="shared" si="22"/>
        <v>35.300185169075526</v>
      </c>
      <c r="G95" s="10">
        <f t="shared" si="23"/>
        <v>25.774541116233983</v>
      </c>
      <c r="H95" s="10">
        <f t="shared" si="24"/>
        <v>25.215305653249157</v>
      </c>
      <c r="I95" s="11">
        <f>VLOOKUP($D95,_xlfn.IFS('Scenario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39.262437973638903</v>
      </c>
      <c r="J95" s="11">
        <f>VLOOKUP($D95,'Fuel economy adjusted factor'!$A$2:$AD$52,9,FALSE)</f>
        <v>134.78217984</v>
      </c>
      <c r="K95" s="10">
        <f>VLOOKUP($D95,'Fuel economy adjusted factor'!$A$2:$AD$52,8,FALSE)</f>
        <v>218.50480080000003</v>
      </c>
      <c r="L95" s="10">
        <f t="shared" si="25"/>
        <v>26.458051126548771</v>
      </c>
      <c r="M95" s="10">
        <v>84.75524127903364</v>
      </c>
      <c r="N95" s="10">
        <f t="shared" si="26"/>
        <v>25.774541116233983</v>
      </c>
      <c r="O95" s="10">
        <f>VLOOKUP($D95,'Fuel economy adjusted factor'!$A$2:$L$52,12,FALSE)*(1-'TCO Inputs'!$BD$9)+VLOOKUP($D95,'US Grid mix, emissions&amp;prices'!$H$169:$AJ$219,'TCO Inputs'!$AZ$12-2021,FALSE)*'TCO Inputs'!$BD$9</f>
        <v>84.959424290292233</v>
      </c>
      <c r="P95" s="5">
        <f t="shared" si="37"/>
        <v>43070</v>
      </c>
      <c r="Q95" s="5">
        <f t="shared" si="28"/>
        <v>25392.400000000001</v>
      </c>
      <c r="R95" s="15">
        <f t="shared" si="29"/>
        <v>27690</v>
      </c>
      <c r="S95" s="5">
        <f t="shared" si="30"/>
        <v>32586</v>
      </c>
      <c r="T95" s="5">
        <f t="shared" si="31"/>
        <v>316.41106033617518</v>
      </c>
      <c r="U95" s="5">
        <f>(VLOOKUP($D95,'TCO Inputs'!$A$3:$AG$53,31,FALSE)-VLOOKUP($D95,'TCO Inputs'!$A$3:$AG$53,30,FALSE))/(((K95+H95)*AA95*'TCO Inputs'!$AZ$13-(I95+F95)*AA95*'TCO Inputs'!$AZ$13)*CONVERT(1,"g","ton"))</f>
        <v>344.56878468205491</v>
      </c>
      <c r="V95" s="5">
        <f t="shared" si="32"/>
        <v>-96.145463555651929</v>
      </c>
      <c r="W95" s="5">
        <f>(VLOOKUP($D95,'TCO Inputs'!$A$3:$AG$53,32,FALSE)-VLOOKUP($D95,'TCO Inputs'!$A$3:$AG$53,30,FALSE))/(((K95+H95)*AA95*'TCO Inputs'!$AZ$13-(J95+G95)*AA95*'TCO Inputs'!$AZ$13)*CONVERT(1,"g","ton"))</f>
        <v>-223.42242130205469</v>
      </c>
      <c r="X95" s="31">
        <f t="shared" si="27"/>
        <v>128.58482937067845</v>
      </c>
      <c r="Y95" s="31">
        <f>(VLOOKUP($D95,'TCO Inputs'!$A$3:$AG$53,33,FALSE)-VLOOKUP($D95,'TCO Inputs'!$A$3:$AG$53,30,FALSE))/(((K95+H95)*AA95*'TCO Inputs'!$AZ$13-(L95+M95)*AA95*'TCO Inputs'!$AZ$13)*CONVERT(1,"g","ton"))</f>
        <v>59.542760545111655</v>
      </c>
      <c r="Z95" s="11">
        <f t="shared" si="33"/>
        <v>85.994097813519559</v>
      </c>
      <c r="AA95" s="26">
        <f>VLOOKUP(D95, 'VKT US'!$B$3:$D$54, 3,FALSE)</f>
        <v>18620.0638</v>
      </c>
      <c r="AB95" s="11">
        <f>VLOOKUP($D95,'VKT US'!$F$5:$S$55,14,FALSE)</f>
        <v>1383700</v>
      </c>
      <c r="AC95" s="10">
        <f t="shared" si="34"/>
        <v>31.018428122023334</v>
      </c>
      <c r="AD95" s="25">
        <f t="shared" si="35"/>
        <v>412.55652389182711</v>
      </c>
      <c r="AE95" s="25">
        <f t="shared" si="38"/>
        <v>412.55652389182711</v>
      </c>
      <c r="AF95" s="25">
        <f t="shared" si="36"/>
        <v>412.55652389182711</v>
      </c>
      <c r="AG95" s="25">
        <f t="shared" si="39"/>
        <v>412.55652389182711</v>
      </c>
      <c r="AH95" s="20"/>
    </row>
    <row r="96" spans="2:34" x14ac:dyDescent="0.25">
      <c r="B96" s="13" t="s">
        <v>148</v>
      </c>
      <c r="C96" s="13" t="s">
        <v>148</v>
      </c>
      <c r="D96" s="14" t="s">
        <v>213</v>
      </c>
      <c r="E96" s="6" t="s">
        <v>11</v>
      </c>
      <c r="F96" s="10">
        <f t="shared" ref="F96:F114" si="40">56.81/m2k</f>
        <v>35.300185169075526</v>
      </c>
      <c r="G96" s="10">
        <f t="shared" ref="G96:G114" si="41">41.48/m2k</f>
        <v>25.774541116233983</v>
      </c>
      <c r="H96" s="10">
        <f t="shared" ref="H96:H114" si="42">40.58/m2k</f>
        <v>25.215305653249157</v>
      </c>
      <c r="I96" s="11">
        <f>VLOOKUP($D96,_xlfn.IFS('Scenario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65.337896342043607</v>
      </c>
      <c r="J96" s="11">
        <f>VLOOKUP($D96,'Fuel economy adjusted factor'!$A$2:$AD$52,9,FALSE)</f>
        <v>131.97421775999999</v>
      </c>
      <c r="K96" s="10">
        <f>VLOOKUP($D96,'Fuel economy adjusted factor'!$A$2:$AD$52,8,FALSE)</f>
        <v>213.95261745000002</v>
      </c>
      <c r="L96" s="10">
        <f t="shared" ref="L96:L114" si="43">42.58/m2k</f>
        <v>26.458051126548771</v>
      </c>
      <c r="M96" s="10">
        <v>84.75524127903364</v>
      </c>
      <c r="N96" s="10">
        <f t="shared" si="26"/>
        <v>25.774541116233983</v>
      </c>
      <c r="O96" s="10">
        <f>VLOOKUP($D96,'Fuel economy adjusted factor'!$A$2:$L$52,12,FALSE)*(1-'TCO Inputs'!$BD$9)+VLOOKUP($D96,'US Grid mix, emissions&amp;prices'!$H$169:$AJ$219,'TCO Inputs'!$AZ$12-2021,FALSE)*'TCO Inputs'!$BD$9</f>
        <v>97.174017713862682</v>
      </c>
      <c r="P96" s="5">
        <f t="shared" si="37"/>
        <v>43070</v>
      </c>
      <c r="Q96" s="5">
        <f t="shared" si="28"/>
        <v>25392.400000000001</v>
      </c>
      <c r="R96" s="15">
        <f t="shared" si="29"/>
        <v>27690</v>
      </c>
      <c r="S96" s="5">
        <f t="shared" si="30"/>
        <v>32586</v>
      </c>
      <c r="T96" s="5">
        <f t="shared" si="31"/>
        <v>364.53242474565326</v>
      </c>
      <c r="U96" s="5">
        <f>(VLOOKUP($D96,'TCO Inputs'!$A$3:$AG$53,31,FALSE)-VLOOKUP($D96,'TCO Inputs'!$A$3:$AG$53,30,FALSE))/(((K96+H96)*AA96*'TCO Inputs'!$AZ$13-(I96+F96)*AA96*'TCO Inputs'!$AZ$13)*CONVERT(1,"g","ton"))</f>
        <v>257.56303595945417</v>
      </c>
      <c r="V96" s="5">
        <f t="shared" si="32"/>
        <v>-92.655445612657047</v>
      </c>
      <c r="W96" s="5">
        <f>(VLOOKUP($D96,'TCO Inputs'!$A$3:$AG$53,32,FALSE)-VLOOKUP($D96,'TCO Inputs'!$A$3:$AG$53,30,FALSE))/(((K96+H96)*AA96*'TCO Inputs'!$AZ$13-(J96+G96)*AA96*'TCO Inputs'!$AZ$13)*CONVERT(1,"g","ton"))</f>
        <v>-209.76602390407092</v>
      </c>
      <c r="X96" s="31">
        <f t="shared" si="27"/>
        <v>125.63439940729724</v>
      </c>
      <c r="Y96" s="31">
        <f>(VLOOKUP($D96,'TCO Inputs'!$A$3:$AG$53,33,FALSE)-VLOOKUP($D96,'TCO Inputs'!$A$3:$AG$53,30,FALSE))/(((K96+H96)*AA96*'TCO Inputs'!$AZ$13-(L96+M96)*AA96*'TCO Inputs'!$AZ$13)*CONVERT(1,"g","ton"))</f>
        <v>65.323960387546123</v>
      </c>
      <c r="Z96" s="11">
        <f t="shared" si="33"/>
        <v>57.110677365114839</v>
      </c>
      <c r="AA96" s="26">
        <f>VLOOKUP(D96, 'VKT US'!$B$3:$D$54, 3,FALSE)</f>
        <v>19735.33642</v>
      </c>
      <c r="AB96" s="11">
        <f>VLOOKUP($D96,'VKT US'!$F$5:$S$55,14,FALSE)</f>
        <v>7324100</v>
      </c>
      <c r="AC96" s="10">
        <f t="shared" si="34"/>
        <v>115.56974265621704</v>
      </c>
      <c r="AD96" s="25">
        <f t="shared" si="35"/>
        <v>457.18787035831031</v>
      </c>
      <c r="AE96" s="25">
        <f t="shared" si="38"/>
        <v>457.18787035831031</v>
      </c>
      <c r="AF96" s="25">
        <f t="shared" si="36"/>
        <v>457.18787035831031</v>
      </c>
      <c r="AG96" s="25">
        <f t="shared" si="39"/>
        <v>457.18787035831031</v>
      </c>
      <c r="AH96" s="20"/>
    </row>
    <row r="97" spans="2:34" x14ac:dyDescent="0.25">
      <c r="B97" s="13" t="s">
        <v>148</v>
      </c>
      <c r="C97" s="13" t="s">
        <v>148</v>
      </c>
      <c r="D97" s="14" t="s">
        <v>214</v>
      </c>
      <c r="E97" s="6" t="s">
        <v>11</v>
      </c>
      <c r="F97" s="10">
        <f t="shared" si="40"/>
        <v>35.300185169075526</v>
      </c>
      <c r="G97" s="10">
        <f t="shared" si="41"/>
        <v>25.774541116233983</v>
      </c>
      <c r="H97" s="10">
        <f t="shared" si="42"/>
        <v>25.215305653249157</v>
      </c>
      <c r="I97" s="11">
        <f>VLOOKUP($D97,_xlfn.IFS('Scenario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94.02935745423288</v>
      </c>
      <c r="J97" s="11">
        <f>VLOOKUP($D97,'Fuel economy adjusted factor'!$A$2:$AD$52,9,FALSE)</f>
        <v>131.71894847999999</v>
      </c>
      <c r="K97" s="10">
        <f>VLOOKUP($D97,'Fuel economy adjusted factor'!$A$2:$AD$52,8,FALSE)</f>
        <v>213.53878260000002</v>
      </c>
      <c r="L97" s="10">
        <f t="shared" si="43"/>
        <v>26.458051126548771</v>
      </c>
      <c r="M97" s="10">
        <v>84.75524127903364</v>
      </c>
      <c r="N97" s="10">
        <f t="shared" si="26"/>
        <v>25.774541116233983</v>
      </c>
      <c r="O97" s="10">
        <f>VLOOKUP($D97,'Fuel economy adjusted factor'!$A$2:$L$52,12,FALSE)*(1-'TCO Inputs'!$BD$9)+VLOOKUP($D97,'US Grid mix, emissions&amp;prices'!$H$169:$AJ$219,'TCO Inputs'!$AZ$12-2021,FALSE)*'TCO Inputs'!$BD$9</f>
        <v>111.97133704420111</v>
      </c>
      <c r="P97" s="5">
        <f t="shared" si="37"/>
        <v>43070</v>
      </c>
      <c r="Q97" s="5">
        <f t="shared" si="28"/>
        <v>25392.400000000001</v>
      </c>
      <c r="R97" s="15">
        <f t="shared" si="29"/>
        <v>27690</v>
      </c>
      <c r="S97" s="5">
        <f t="shared" si="30"/>
        <v>32586</v>
      </c>
      <c r="T97" s="5">
        <f t="shared" si="31"/>
        <v>295.41597664529536</v>
      </c>
      <c r="U97" s="5">
        <f>(VLOOKUP($D97,'TCO Inputs'!$A$3:$AG$53,31,FALSE)-VLOOKUP($D97,'TCO Inputs'!$A$3:$AG$53,30,FALSE))/(((K97+H97)*AA97*'TCO Inputs'!$AZ$13-(I97+F97)*AA97*'TCO Inputs'!$AZ$13)*CONVERT(1,"g","ton"))</f>
        <v>73.33267806688599</v>
      </c>
      <c r="V97" s="5">
        <f t="shared" si="32"/>
        <v>-59.427409672054189</v>
      </c>
      <c r="W97" s="5">
        <f>(VLOOKUP($D97,'TCO Inputs'!$A$3:$AG$53,32,FALSE)-VLOOKUP($D97,'TCO Inputs'!$A$3:$AG$53,30,FALSE))/(((K97+H97)*AA97*'TCO Inputs'!$AZ$13-(J97+G97)*AA97*'TCO Inputs'!$AZ$13)*CONVERT(1,"g","ton"))</f>
        <v>-229.21045656543868</v>
      </c>
      <c r="X97" s="31">
        <f t="shared" si="27"/>
        <v>80.683491207174399</v>
      </c>
      <c r="Y97" s="31">
        <f>(VLOOKUP($D97,'TCO Inputs'!$A$3:$AG$53,33,FALSE)-VLOOKUP($D97,'TCO Inputs'!$A$3:$AG$53,30,FALSE))/(((K97+H97)*AA97*'TCO Inputs'!$AZ$13-(L97+M97)*AA97*'TCO Inputs'!$AZ$13)*CONVERT(1,"g","ton"))</f>
        <v>54.793187418730092</v>
      </c>
      <c r="Z97" s="11">
        <f t="shared" si="33"/>
        <v>28.163946972925572</v>
      </c>
      <c r="AA97" s="26">
        <f>VLOOKUP(D97, 'VKT US'!$B$3:$D$54, 3,FALSE)</f>
        <v>30830.126380000002</v>
      </c>
      <c r="AB97" s="11">
        <f>VLOOKUP($D97,'VKT US'!$F$5:$S$55,14,FALSE)</f>
        <v>1952400</v>
      </c>
      <c r="AC97" s="10">
        <f t="shared" si="34"/>
        <v>23.733711430099522</v>
      </c>
      <c r="AD97" s="25">
        <f t="shared" si="35"/>
        <v>354.84338631734954</v>
      </c>
      <c r="AE97" s="25">
        <f t="shared" si="38"/>
        <v>354.84338631734954</v>
      </c>
      <c r="AF97" s="25">
        <f t="shared" si="36"/>
        <v>354.84338631734954</v>
      </c>
      <c r="AG97" s="25">
        <f t="shared" si="39"/>
        <v>354.84338631734954</v>
      </c>
      <c r="AH97" s="20"/>
    </row>
    <row r="98" spans="2:34" x14ac:dyDescent="0.25">
      <c r="B98" s="13" t="s">
        <v>148</v>
      </c>
      <c r="C98" s="13" t="s">
        <v>148</v>
      </c>
      <c r="D98" s="14" t="s">
        <v>215</v>
      </c>
      <c r="E98" s="6" t="s">
        <v>11</v>
      </c>
      <c r="F98" s="10">
        <f t="shared" si="40"/>
        <v>35.300185169075526</v>
      </c>
      <c r="G98" s="10">
        <f t="shared" si="41"/>
        <v>25.774541116233983</v>
      </c>
      <c r="H98" s="10">
        <f t="shared" si="42"/>
        <v>25.215305653249157</v>
      </c>
      <c r="I98" s="11">
        <f>VLOOKUP($D98,_xlfn.IFS('Scenario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88.531535812563945</v>
      </c>
      <c r="J98" s="11">
        <f>VLOOKUP($D98,'Fuel economy adjusted factor'!$A$2:$AD$52,9,FALSE)</f>
        <v>132.61239095999997</v>
      </c>
      <c r="K98" s="10">
        <f>VLOOKUP($D98,'Fuel economy adjusted factor'!$A$2:$AD$52,8,FALSE)</f>
        <v>214.98720457499999</v>
      </c>
      <c r="L98" s="10">
        <f t="shared" si="43"/>
        <v>26.458051126548771</v>
      </c>
      <c r="M98" s="10">
        <v>84.75524127903364</v>
      </c>
      <c r="N98" s="10">
        <f t="shared" si="26"/>
        <v>25.774541116233983</v>
      </c>
      <c r="O98" s="10">
        <f>VLOOKUP($D98,'Fuel economy adjusted factor'!$A$2:$L$52,12,FALSE)*(1-'TCO Inputs'!$BD$9)+VLOOKUP($D98,'US Grid mix, emissions&amp;prices'!$H$169:$AJ$219,'TCO Inputs'!$AZ$12-2021,FALSE)*'TCO Inputs'!$BD$9</f>
        <v>109.54031135853324</v>
      </c>
      <c r="P98" s="5">
        <f t="shared" si="37"/>
        <v>43070</v>
      </c>
      <c r="Q98" s="5">
        <f t="shared" si="28"/>
        <v>25392.400000000001</v>
      </c>
      <c r="R98" s="15">
        <f t="shared" si="29"/>
        <v>27690</v>
      </c>
      <c r="S98" s="5">
        <f t="shared" si="30"/>
        <v>32586</v>
      </c>
      <c r="T98" s="5">
        <f t="shared" ref="T98:T111" si="44">(P98-R98)/(((K98+H98)*AA98*14-(I98+F98)*AA98*14)*CONVERT(1,"g","ton"))</f>
        <v>379.67164296781192</v>
      </c>
      <c r="U98" s="5">
        <f>(VLOOKUP($D98,'TCO Inputs'!$A$3:$AG$53,31,FALSE)-VLOOKUP($D98,'TCO Inputs'!$A$3:$AG$53,30,FALSE))/(((K98+H98)*AA98*'TCO Inputs'!$AZ$13-(I98+F98)*AA98*'TCO Inputs'!$AZ$13)*CONVERT(1,"g","ton"))</f>
        <v>113.09197154240535</v>
      </c>
      <c r="V98" s="5">
        <f t="shared" ref="V98:V114" si="45">(Q98-R98)/(((K98+H98)*AA98*14-(J98+G98)*AA98*14)*CONVERT(1,"g","ton"))</f>
        <v>-80.674117779905757</v>
      </c>
      <c r="W98" s="5">
        <f>(VLOOKUP($D98,'TCO Inputs'!$A$3:$AG$53,32,FALSE)-VLOOKUP($D98,'TCO Inputs'!$A$3:$AG$53,30,FALSE))/(((K98+H98)*AA98*'TCO Inputs'!$AZ$13-(J98+G98)*AA98*'TCO Inputs'!$AZ$13)*CONVERT(1,"g","ton"))</f>
        <v>-295.41311413276907</v>
      </c>
      <c r="X98" s="31">
        <f t="shared" si="27"/>
        <v>109.03948856869249</v>
      </c>
      <c r="Y98" s="31">
        <f>(VLOOKUP($D98,'TCO Inputs'!$A$3:$AG$53,33,FALSE)-VLOOKUP($D98,'TCO Inputs'!$A$3:$AG$53,30,FALSE))/(((K98+H98)*AA98*'TCO Inputs'!$AZ$13-(L98+M98)*AA98*'TCO Inputs'!$AZ$13)*CONVERT(1,"g","ton"))</f>
        <v>-71.243337351667847</v>
      </c>
      <c r="Z98" s="11">
        <f t="shared" ref="Z98:Z112" si="46">(J98+G98)-(I98+F98)</f>
        <v>34.555211094594483</v>
      </c>
      <c r="AA98" s="26">
        <f>VLOOKUP(D98, 'VKT US'!$B$3:$D$54, 3,FALSE)</f>
        <v>22556.509440000002</v>
      </c>
      <c r="AB98" s="11">
        <f>VLOOKUP($D98,'VKT US'!$F$5:$S$55,14,FALSE)</f>
        <v>2556100</v>
      </c>
      <c r="AC98" s="10">
        <f t="shared" ref="AC98:AC112" si="47">AB98*AA98*Z98*0.000000000001*14</f>
        <v>27.89274914397885</v>
      </c>
      <c r="AD98" s="25">
        <f t="shared" ref="AD98:AD112" si="48">T98-V98</f>
        <v>460.34576074771769</v>
      </c>
      <c r="AE98" s="25">
        <f t="shared" si="38"/>
        <v>460.34576074771769</v>
      </c>
      <c r="AF98" s="25">
        <f t="shared" ref="AF98:AF112" si="49">IF(T98&lt;0,ABS(T98-V98),T98-V98)</f>
        <v>460.34576074771769</v>
      </c>
      <c r="AG98" s="25">
        <f t="shared" si="39"/>
        <v>460.34576074771769</v>
      </c>
      <c r="AH98" s="20"/>
    </row>
    <row r="99" spans="2:34" x14ac:dyDescent="0.25">
      <c r="B99" s="13" t="s">
        <v>148</v>
      </c>
      <c r="C99" s="13" t="s">
        <v>148</v>
      </c>
      <c r="D99" s="14" t="s">
        <v>216</v>
      </c>
      <c r="E99" s="6" t="s">
        <v>11</v>
      </c>
      <c r="F99" s="10">
        <f t="shared" si="40"/>
        <v>35.300185169075526</v>
      </c>
      <c r="G99" s="10">
        <f t="shared" si="41"/>
        <v>25.774541116233983</v>
      </c>
      <c r="H99" s="10">
        <f t="shared" si="42"/>
        <v>25.215305653249157</v>
      </c>
      <c r="I99" s="11">
        <f>VLOOKUP($D99,_xlfn.IFS('Scenario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64.968952827554205</v>
      </c>
      <c r="J99" s="11">
        <f>VLOOKUP($D99,'Fuel economy adjusted factor'!$A$2:$AD$52,9,FALSE)</f>
        <v>134.14400663999999</v>
      </c>
      <c r="K99" s="10">
        <f>VLOOKUP($D99,'Fuel economy adjusted factor'!$A$2:$AD$52,8,FALSE)</f>
        <v>217.470213675</v>
      </c>
      <c r="L99" s="10">
        <f t="shared" si="43"/>
        <v>26.458051126548771</v>
      </c>
      <c r="M99" s="10">
        <v>84.75524127903364</v>
      </c>
      <c r="N99" s="10">
        <f t="shared" si="26"/>
        <v>25.774541116233983</v>
      </c>
      <c r="O99" s="10">
        <f>VLOOKUP($D99,'Fuel economy adjusted factor'!$A$2:$L$52,12,FALSE)*(1-'TCO Inputs'!$BD$9)+VLOOKUP($D99,'US Grid mix, emissions&amp;prices'!$H$169:$AJ$219,'TCO Inputs'!$AZ$12-2021,FALSE)*'TCO Inputs'!$BD$9</f>
        <v>98.021210894328163</v>
      </c>
      <c r="P99" s="5">
        <f t="shared" si="37"/>
        <v>43070</v>
      </c>
      <c r="Q99" s="5">
        <f t="shared" si="28"/>
        <v>25392.400000000001</v>
      </c>
      <c r="R99" s="15">
        <f t="shared" si="29"/>
        <v>27690</v>
      </c>
      <c r="S99" s="5">
        <f t="shared" si="30"/>
        <v>32586</v>
      </c>
      <c r="T99" s="5">
        <f t="shared" si="44"/>
        <v>427.68444992308542</v>
      </c>
      <c r="U99" s="5">
        <f>(VLOOKUP($D99,'TCO Inputs'!$A$3:$AG$53,31,FALSE)-VLOOKUP($D99,'TCO Inputs'!$A$3:$AG$53,30,FALSE))/(((K99+H99)*AA99*'TCO Inputs'!$AZ$13-(I99+F99)*AA99*'TCO Inputs'!$AZ$13)*CONVERT(1,"g","ton"))</f>
        <v>382.58584076757404</v>
      </c>
      <c r="V99" s="5">
        <f t="shared" si="45"/>
        <v>-109.93713857859025</v>
      </c>
      <c r="W99" s="5">
        <f>(VLOOKUP($D99,'TCO Inputs'!$A$3:$AG$53,32,FALSE)-VLOOKUP($D99,'TCO Inputs'!$A$3:$AG$53,30,FALSE))/(((K99+H99)*AA99*'TCO Inputs'!$AZ$13-(J99+G99)*AA99*'TCO Inputs'!$AZ$13)*CONVERT(1,"g","ton"))</f>
        <v>-186.12998794630695</v>
      </c>
      <c r="X99" s="31">
        <f t="shared" si="27"/>
        <v>147.48045239546309</v>
      </c>
      <c r="Y99" s="31">
        <f>(VLOOKUP($D99,'TCO Inputs'!$A$3:$AG$53,33,FALSE)-VLOOKUP($D99,'TCO Inputs'!$A$3:$AG$53,30,FALSE))/(((K99+H99)*AA99*'TCO Inputs'!$AZ$13-(L99+M99)*AA99*'TCO Inputs'!$AZ$13)*CONVERT(1,"g","ton"))</f>
        <v>93.142349716270587</v>
      </c>
      <c r="Z99" s="11">
        <f t="shared" si="46"/>
        <v>59.649409759604254</v>
      </c>
      <c r="AA99" s="26">
        <f>VLOOKUP(D99, 'VKT US'!$B$3:$D$54, 3,FALSE)</f>
        <v>16362.15978</v>
      </c>
      <c r="AB99" s="11">
        <f>VLOOKUP($D99,'VKT US'!$F$5:$S$55,14,FALSE)</f>
        <v>11318600</v>
      </c>
      <c r="AC99" s="10">
        <f t="shared" si="47"/>
        <v>154.6562686335283</v>
      </c>
      <c r="AD99" s="25">
        <f t="shared" si="48"/>
        <v>537.62158850167566</v>
      </c>
      <c r="AE99" s="25">
        <f t="shared" si="38"/>
        <v>537.62158850167566</v>
      </c>
      <c r="AF99" s="25">
        <f t="shared" si="49"/>
        <v>537.62158850167566</v>
      </c>
      <c r="AG99" s="25">
        <f t="shared" si="39"/>
        <v>537.62158850167566</v>
      </c>
      <c r="AH99" s="20"/>
    </row>
    <row r="100" spans="2:34" x14ac:dyDescent="0.25">
      <c r="B100" s="13" t="s">
        <v>148</v>
      </c>
      <c r="C100" s="13" t="s">
        <v>148</v>
      </c>
      <c r="D100" s="14" t="s">
        <v>217</v>
      </c>
      <c r="E100" s="6" t="s">
        <v>11</v>
      </c>
      <c r="F100" s="10">
        <f t="shared" si="40"/>
        <v>35.300185169075526</v>
      </c>
      <c r="G100" s="10">
        <f t="shared" si="41"/>
        <v>25.774541116233983</v>
      </c>
      <c r="H100" s="10">
        <f t="shared" si="42"/>
        <v>25.215305653249157</v>
      </c>
      <c r="I100" s="11">
        <f>VLOOKUP($D100,_xlfn.IFS('Scenario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141.11714265231214</v>
      </c>
      <c r="J100" s="11">
        <f>VLOOKUP($D100,'Fuel economy adjusted factor'!$A$2:$AD$52,9,FALSE)</f>
        <v>132.61239095999997</v>
      </c>
      <c r="K100" s="10">
        <f>VLOOKUP($D100,'Fuel economy adjusted factor'!$A$2:$AD$52,8,FALSE)</f>
        <v>214.98720457499999</v>
      </c>
      <c r="L100" s="10">
        <f t="shared" si="43"/>
        <v>26.458051126548771</v>
      </c>
      <c r="M100" s="10">
        <v>84.75524127903364</v>
      </c>
      <c r="N100" s="10">
        <f t="shared" si="26"/>
        <v>25.774541116233983</v>
      </c>
      <c r="O100" s="10">
        <f>VLOOKUP($D100,'Fuel economy adjusted factor'!$A$2:$L$52,12,FALSE)*(1-'TCO Inputs'!$BD$9)+VLOOKUP($D100,'US Grid mix, emissions&amp;prices'!$H$169:$AJ$219,'TCO Inputs'!$AZ$12-2021,FALSE)*'TCO Inputs'!$BD$9</f>
        <v>136.88482691520232</v>
      </c>
      <c r="P100" s="5">
        <f t="shared" si="37"/>
        <v>43070</v>
      </c>
      <c r="Q100" s="5">
        <f t="shared" si="28"/>
        <v>25392.400000000001</v>
      </c>
      <c r="R100" s="15">
        <f t="shared" si="29"/>
        <v>27690</v>
      </c>
      <c r="S100" s="5">
        <f t="shared" si="30"/>
        <v>32586</v>
      </c>
      <c r="T100" s="5">
        <f t="shared" si="44"/>
        <v>679.96890177977025</v>
      </c>
      <c r="U100" s="5">
        <f>(VLOOKUP($D100,'TCO Inputs'!$A$3:$AG$53,31,FALSE)-VLOOKUP($D100,'TCO Inputs'!$A$3:$AG$53,30,FALSE))/(((K100+H100)*AA100*'TCO Inputs'!$AZ$13-(I100+F100)*AA100*'TCO Inputs'!$AZ$13)*CONVERT(1,"g","ton"))</f>
        <v>294.62201796085367</v>
      </c>
      <c r="V100" s="5">
        <f t="shared" si="45"/>
        <v>-79.193755063955678</v>
      </c>
      <c r="W100" s="5">
        <f>(VLOOKUP($D100,'TCO Inputs'!$A$3:$AG$53,32,FALSE)-VLOOKUP($D100,'TCO Inputs'!$A$3:$AG$53,30,FALSE))/(((K100+H100)*AA100*'TCO Inputs'!$AZ$13-(J100+G100)*AA100*'TCO Inputs'!$AZ$13)*CONVERT(1,"g","ton"))</f>
        <v>-236.00059673010659</v>
      </c>
      <c r="X100" s="31">
        <f t="shared" si="27"/>
        <v>107.03862388141151</v>
      </c>
      <c r="Y100" s="31">
        <f>(VLOOKUP($D100,'TCO Inputs'!$A$3:$AG$53,33,FALSE)-VLOOKUP($D100,'TCO Inputs'!$A$3:$AG$53,30,FALSE))/(((K100+H100)*AA100*'TCO Inputs'!$AZ$13-(L100+M100)*AA100*'TCO Inputs'!$AZ$13)*CONVERT(1,"g","ton"))</f>
        <v>49.691292595259242</v>
      </c>
      <c r="Z100" s="11">
        <f t="shared" si="46"/>
        <v>-18.030395745153697</v>
      </c>
      <c r="AA100" s="26">
        <f>VLOOKUP(D100, 'VKT US'!$B$3:$D$54, 3,FALSE)</f>
        <v>22978.15652</v>
      </c>
      <c r="AB100" s="11">
        <f>VLOOKUP($D100,'VKT US'!$F$5:$S$55,14,FALSE)</f>
        <v>10317300</v>
      </c>
      <c r="AC100" s="10">
        <f t="shared" si="47"/>
        <v>-59.843162583158517</v>
      </c>
      <c r="AD100" s="25">
        <f t="shared" si="48"/>
        <v>759.16265684372593</v>
      </c>
      <c r="AE100" s="25">
        <f t="shared" si="38"/>
        <v>759.16265684372593</v>
      </c>
      <c r="AF100" s="25">
        <f t="shared" si="49"/>
        <v>759.16265684372593</v>
      </c>
      <c r="AG100" s="25">
        <f t="shared" si="39"/>
        <v>759.16265684372593</v>
      </c>
      <c r="AH100" s="20"/>
    </row>
    <row r="101" spans="2:34" x14ac:dyDescent="0.25">
      <c r="B101" s="13" t="s">
        <v>148</v>
      </c>
      <c r="C101" s="13" t="s">
        <v>148</v>
      </c>
      <c r="D101" s="14" t="s">
        <v>218</v>
      </c>
      <c r="E101" s="6" t="s">
        <v>11</v>
      </c>
      <c r="F101" s="10">
        <f t="shared" si="40"/>
        <v>35.300185169075526</v>
      </c>
      <c r="G101" s="10">
        <f t="shared" si="41"/>
        <v>25.774541116233983</v>
      </c>
      <c r="H101" s="10">
        <f t="shared" si="42"/>
        <v>25.215305653249157</v>
      </c>
      <c r="I101" s="11">
        <f>VLOOKUP($D101,_xlfn.IFS('Scenario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77.330469936443791</v>
      </c>
      <c r="J101" s="11">
        <f>VLOOKUP($D101,'Fuel economy adjusted factor'!$A$2:$AD$52,9,FALSE)</f>
        <v>131.4636792</v>
      </c>
      <c r="K101" s="10">
        <f>VLOOKUP($D101,'Fuel economy adjusted factor'!$A$2:$AD$52,8,FALSE)</f>
        <v>213.12494775000002</v>
      </c>
      <c r="L101" s="10">
        <f t="shared" si="43"/>
        <v>26.458051126548771</v>
      </c>
      <c r="M101" s="10">
        <v>84.75524127903364</v>
      </c>
      <c r="N101" s="10">
        <f t="shared" si="26"/>
        <v>25.774541116233983</v>
      </c>
      <c r="O101" s="10">
        <f>VLOOKUP($D101,'Fuel economy adjusted factor'!$A$2:$L$52,12,FALSE)*(1-'TCO Inputs'!$BD$9)+VLOOKUP($D101,'US Grid mix, emissions&amp;prices'!$H$169:$AJ$219,'TCO Inputs'!$AZ$12-2021,FALSE)*'TCO Inputs'!$BD$9</f>
        <v>103.16567508695078</v>
      </c>
      <c r="P101" s="5">
        <f t="shared" si="37"/>
        <v>43070</v>
      </c>
      <c r="Q101" s="5">
        <f t="shared" si="28"/>
        <v>25392.400000000001</v>
      </c>
      <c r="R101" s="15">
        <f t="shared" si="29"/>
        <v>27690</v>
      </c>
      <c r="S101" s="5">
        <f t="shared" si="30"/>
        <v>32586</v>
      </c>
      <c r="T101" s="5">
        <f t="shared" si="44"/>
        <v>278.32938653424486</v>
      </c>
      <c r="U101" s="5">
        <f>(VLOOKUP($D101,'TCO Inputs'!$A$3:$AG$53,31,FALSE)-VLOOKUP($D101,'TCO Inputs'!$A$3:$AG$53,30,FALSE))/(((K101+H101)*AA101*'TCO Inputs'!$AZ$13-(I101+F101)*AA101*'TCO Inputs'!$AZ$13)*CONVERT(1,"g","ton"))</f>
        <v>44.846215648398598</v>
      </c>
      <c r="V101" s="5">
        <f t="shared" si="45"/>
        <v>-64.448653275309056</v>
      </c>
      <c r="W101" s="5">
        <f>(VLOOKUP($D101,'TCO Inputs'!$A$3:$AG$53,32,FALSE)-VLOOKUP($D101,'TCO Inputs'!$A$3:$AG$53,30,FALSE))/(((K101+H101)*AA101*'TCO Inputs'!$AZ$13-(J101+G101)*AA101*'TCO Inputs'!$AZ$13)*CONVERT(1,"g","ton"))</f>
        <v>-237.98152253271715</v>
      </c>
      <c r="X101" s="31">
        <f t="shared" si="27"/>
        <v>87.614282646201232</v>
      </c>
      <c r="Y101" s="31">
        <f>(VLOOKUP($D101,'TCO Inputs'!$A$3:$AG$53,33,FALSE)-VLOOKUP($D101,'TCO Inputs'!$A$3:$AG$53,30,FALSE))/(((K101+H101)*AA101*'TCO Inputs'!$AZ$13-(L101+M101)*AA101*'TCO Inputs'!$AZ$13)*CONVERT(1,"g","ton"))</f>
        <v>32.834043177657009</v>
      </c>
      <c r="Z101" s="11">
        <f t="shared" si="46"/>
        <v>44.607565210714682</v>
      </c>
      <c r="AA101" s="26">
        <f>VLOOKUP(D101, 'VKT US'!$B$3:$D$54, 3,FALSE)</f>
        <v>28483.70866</v>
      </c>
      <c r="AB101" s="11">
        <f>VLOOKUP($D101,'VKT US'!$F$5:$S$55,14,FALSE)</f>
        <v>4287900</v>
      </c>
      <c r="AC101" s="10">
        <f t="shared" si="47"/>
        <v>76.274213509716631</v>
      </c>
      <c r="AD101" s="25">
        <f t="shared" si="48"/>
        <v>342.77803980955389</v>
      </c>
      <c r="AE101" s="25">
        <f t="shared" si="38"/>
        <v>342.77803980955389</v>
      </c>
      <c r="AF101" s="25">
        <f t="shared" si="49"/>
        <v>342.77803980955389</v>
      </c>
      <c r="AG101" s="25">
        <f t="shared" si="39"/>
        <v>342.77803980955389</v>
      </c>
      <c r="AH101" s="20"/>
    </row>
    <row r="102" spans="2:34" x14ac:dyDescent="0.25">
      <c r="B102" s="13" t="s">
        <v>148</v>
      </c>
      <c r="C102" s="13" t="s">
        <v>148</v>
      </c>
      <c r="D102" s="14" t="s">
        <v>219</v>
      </c>
      <c r="E102" s="6" t="s">
        <v>11</v>
      </c>
      <c r="F102" s="10">
        <f t="shared" si="40"/>
        <v>35.300185169075526</v>
      </c>
      <c r="G102" s="10">
        <f t="shared" si="41"/>
        <v>25.774541116233983</v>
      </c>
      <c r="H102" s="10">
        <f t="shared" si="42"/>
        <v>25.215305653249157</v>
      </c>
      <c r="I102" s="11">
        <f>VLOOKUP($D102,_xlfn.IFS('Scenario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51.61386005603849</v>
      </c>
      <c r="J102" s="11">
        <f>VLOOKUP($D102,'Fuel economy adjusted factor'!$A$2:$AD$52,9,FALSE)</f>
        <v>133.25056416000001</v>
      </c>
      <c r="K102" s="10">
        <f>VLOOKUP($D102,'Fuel economy adjusted factor'!$A$2:$AD$52,8,FALSE)</f>
        <v>216.02179170000002</v>
      </c>
      <c r="L102" s="10">
        <f t="shared" si="43"/>
        <v>26.458051126548771</v>
      </c>
      <c r="M102" s="10">
        <v>84.75524127903364</v>
      </c>
      <c r="N102" s="10">
        <f t="shared" si="26"/>
        <v>25.774541116233983</v>
      </c>
      <c r="O102" s="10">
        <f>VLOOKUP($D102,'Fuel economy adjusted factor'!$A$2:$L$52,12,FALSE)*(1-'TCO Inputs'!$BD$9)+VLOOKUP($D102,'US Grid mix, emissions&amp;prices'!$H$169:$AJ$219,'TCO Inputs'!$AZ$12-2021,FALSE)*'TCO Inputs'!$BD$9</f>
        <v>90.648721085140011</v>
      </c>
      <c r="P102" s="5">
        <f t="shared" si="37"/>
        <v>43070</v>
      </c>
      <c r="Q102" s="5">
        <f t="shared" si="28"/>
        <v>25392.400000000001</v>
      </c>
      <c r="R102" s="15">
        <f t="shared" si="29"/>
        <v>27690</v>
      </c>
      <c r="S102" s="5">
        <f t="shared" si="30"/>
        <v>32586</v>
      </c>
      <c r="T102" s="5">
        <f t="shared" si="44"/>
        <v>328.43187936920907</v>
      </c>
      <c r="U102" s="5">
        <f>(VLOOKUP($D102,'TCO Inputs'!$A$3:$AG$53,31,FALSE)-VLOOKUP($D102,'TCO Inputs'!$A$3:$AG$53,30,FALSE))/(((K102+H102)*AA102*'TCO Inputs'!$AZ$13-(I102+F102)*AA102*'TCO Inputs'!$AZ$13)*CONVERT(1,"g","ton"))</f>
        <v>40.015625998741569</v>
      </c>
      <c r="V102" s="5">
        <f t="shared" si="45"/>
        <v>-92.099871621655595</v>
      </c>
      <c r="W102" s="5">
        <f>(VLOOKUP($D102,'TCO Inputs'!$A$3:$AG$53,32,FALSE)-VLOOKUP($D102,'TCO Inputs'!$A$3:$AG$53,30,FALSE))/(((K102+H102)*AA102*'TCO Inputs'!$AZ$13-(J102+G102)*AA102*'TCO Inputs'!$AZ$13)*CONVERT(1,"g","ton"))</f>
        <v>-302.38784700462469</v>
      </c>
      <c r="X102" s="31">
        <f t="shared" si="27"/>
        <v>124.09043650873087</v>
      </c>
      <c r="Y102" s="31">
        <f>(VLOOKUP($D102,'TCO Inputs'!$A$3:$AG$53,33,FALSE)-VLOOKUP($D102,'TCO Inputs'!$A$3:$AG$53,30,FALSE))/(((K102+H102)*AA102*'TCO Inputs'!$AZ$13-(L102+M102)*AA102*'TCO Inputs'!$AZ$13)*CONVERT(1,"g","ton"))</f>
        <v>-72.017527511835013</v>
      </c>
      <c r="Z102" s="11">
        <f t="shared" si="46"/>
        <v>72.111060051119978</v>
      </c>
      <c r="AA102" s="26">
        <f>VLOOKUP(D102, 'VKT US'!$B$3:$D$54, 3,FALSE)</f>
        <v>19662.916120000002</v>
      </c>
      <c r="AB102" s="11">
        <f>VLOOKUP($D102,'VKT US'!$F$5:$S$55,14,FALSE)</f>
        <v>3832700</v>
      </c>
      <c r="AC102" s="10">
        <f t="shared" si="47"/>
        <v>76.082131079178126</v>
      </c>
      <c r="AD102" s="25">
        <f t="shared" si="48"/>
        <v>420.53175099086468</v>
      </c>
      <c r="AE102" s="25">
        <f t="shared" si="38"/>
        <v>420.53175099086468</v>
      </c>
      <c r="AF102" s="25">
        <f t="shared" si="49"/>
        <v>420.53175099086468</v>
      </c>
      <c r="AG102" s="25">
        <f t="shared" si="39"/>
        <v>420.53175099086468</v>
      </c>
      <c r="AH102" s="20"/>
    </row>
    <row r="103" spans="2:34" x14ac:dyDescent="0.25">
      <c r="B103" s="13" t="s">
        <v>148</v>
      </c>
      <c r="C103" s="13" t="s">
        <v>148</v>
      </c>
      <c r="D103" s="14" t="s">
        <v>220</v>
      </c>
      <c r="E103" s="6" t="s">
        <v>11</v>
      </c>
      <c r="F103" s="10">
        <f t="shared" si="40"/>
        <v>35.300185169075526</v>
      </c>
      <c r="G103" s="10">
        <f t="shared" si="41"/>
        <v>25.774541116233983</v>
      </c>
      <c r="H103" s="10">
        <f t="shared" si="42"/>
        <v>25.215305653249157</v>
      </c>
      <c r="I103" s="11">
        <f>VLOOKUP($D103,_xlfn.IFS('Scenario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89.606194507563885</v>
      </c>
      <c r="J103" s="11">
        <f>VLOOKUP($D103,'Fuel economy adjusted factor'!$A$2:$AD$52,9,FALSE)</f>
        <v>132.99529487999999</v>
      </c>
      <c r="K103" s="10">
        <f>VLOOKUP($D103,'Fuel economy adjusted factor'!$A$2:$AD$52,8,FALSE)</f>
        <v>215.60795685000002</v>
      </c>
      <c r="L103" s="10">
        <f t="shared" si="43"/>
        <v>26.458051126548771</v>
      </c>
      <c r="M103" s="10">
        <v>84.75524127903364</v>
      </c>
      <c r="N103" s="10">
        <f t="shared" si="26"/>
        <v>25.774541116233983</v>
      </c>
      <c r="O103" s="10">
        <f>VLOOKUP($D103,'Fuel economy adjusted factor'!$A$2:$L$52,12,FALSE)*(1-'TCO Inputs'!$BD$9)+VLOOKUP($D103,'US Grid mix, emissions&amp;prices'!$H$169:$AJ$219,'TCO Inputs'!$AZ$12-2021,FALSE)*'TCO Inputs'!$BD$9</f>
        <v>110.28249455193323</v>
      </c>
      <c r="P103" s="5">
        <f t="shared" si="37"/>
        <v>43070</v>
      </c>
      <c r="Q103" s="5">
        <f t="shared" si="28"/>
        <v>25392.400000000001</v>
      </c>
      <c r="R103" s="15">
        <f t="shared" si="29"/>
        <v>27690</v>
      </c>
      <c r="S103" s="5">
        <f t="shared" si="30"/>
        <v>32586</v>
      </c>
      <c r="T103" s="5">
        <f t="shared" si="44"/>
        <v>466.78161193851145</v>
      </c>
      <c r="U103" s="5">
        <f>(VLOOKUP($D103,'TCO Inputs'!$A$3:$AG$53,31,FALSE)-VLOOKUP($D103,'TCO Inputs'!$A$3:$AG$53,30,FALSE))/(((K103+H103)*AA103*'TCO Inputs'!$AZ$13-(I103+F103)*AA103*'TCO Inputs'!$AZ$13)*CONVERT(1,"g","ton"))</f>
        <v>368.98544040588968</v>
      </c>
      <c r="V103" s="5">
        <f t="shared" si="45"/>
        <v>-98.51033561225438</v>
      </c>
      <c r="W103" s="5">
        <f>(VLOOKUP($D103,'TCO Inputs'!$A$3:$AG$53,32,FALSE)-VLOOKUP($D103,'TCO Inputs'!$A$3:$AG$53,30,FALSE))/(((K103+H103)*AA103*'TCO Inputs'!$AZ$13-(J103+G103)*AA103*'TCO Inputs'!$AZ$13)*CONVERT(1,"g","ton"))</f>
        <v>-212.82689919251493</v>
      </c>
      <c r="X103" s="31">
        <f t="shared" si="27"/>
        <v>132.89452722578974</v>
      </c>
      <c r="Y103" s="31">
        <f>(VLOOKUP($D103,'TCO Inputs'!$A$3:$AG$53,33,FALSE)-VLOOKUP($D103,'TCO Inputs'!$A$3:$AG$53,30,FALSE))/(((K103+H103)*AA103*'TCO Inputs'!$AZ$13-(L103+M103)*AA103*'TCO Inputs'!$AZ$13)*CONVERT(1,"g","ton"))</f>
        <v>68.066666747385227</v>
      </c>
      <c r="Z103" s="11">
        <f t="shared" si="46"/>
        <v>33.863456319594576</v>
      </c>
      <c r="AA103" s="26">
        <f>VLOOKUP(D103, 'VKT US'!$B$3:$D$54, 3,FALSE)</f>
        <v>18418.8963</v>
      </c>
      <c r="AB103" s="11">
        <f>VLOOKUP($D103,'VKT US'!$F$5:$S$55,14,FALSE)</f>
        <v>10211000</v>
      </c>
      <c r="AC103" s="10">
        <f t="shared" si="47"/>
        <v>89.164339649803225</v>
      </c>
      <c r="AD103" s="25">
        <f t="shared" si="48"/>
        <v>565.29194755076583</v>
      </c>
      <c r="AE103" s="25">
        <f t="shared" si="38"/>
        <v>565.29194755076583</v>
      </c>
      <c r="AF103" s="25">
        <f t="shared" si="49"/>
        <v>565.29194755076583</v>
      </c>
      <c r="AG103" s="25">
        <f t="shared" si="39"/>
        <v>565.29194755076583</v>
      </c>
      <c r="AH103" s="20"/>
    </row>
    <row r="104" spans="2:34" x14ac:dyDescent="0.25">
      <c r="B104" s="13" t="s">
        <v>148</v>
      </c>
      <c r="C104" s="13" t="s">
        <v>148</v>
      </c>
      <c r="D104" s="14" t="s">
        <v>221</v>
      </c>
      <c r="E104" s="6" t="s">
        <v>11</v>
      </c>
      <c r="F104" s="10">
        <f t="shared" si="40"/>
        <v>35.300185169075526</v>
      </c>
      <c r="G104" s="10">
        <f t="shared" si="41"/>
        <v>25.774541116233983</v>
      </c>
      <c r="H104" s="10">
        <f t="shared" si="42"/>
        <v>25.215305653249157</v>
      </c>
      <c r="I104" s="11">
        <f>VLOOKUP($D104,_xlfn.IFS('Scenario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113.7002925399519</v>
      </c>
      <c r="J104" s="11">
        <f>VLOOKUP($D104,'Fuel economy adjusted factor'!$A$2:$AD$52,9,FALSE)</f>
        <v>132.48475632</v>
      </c>
      <c r="K104" s="10">
        <f>VLOOKUP($D104,'Fuel economy adjusted factor'!$A$2:$AD$52,8,FALSE)</f>
        <v>214.78028715000002</v>
      </c>
      <c r="L104" s="10">
        <f t="shared" si="43"/>
        <v>26.458051126548771</v>
      </c>
      <c r="M104" s="10">
        <v>84.75524127903364</v>
      </c>
      <c r="N104" s="10">
        <f t="shared" si="26"/>
        <v>25.774541116233983</v>
      </c>
      <c r="O104" s="10">
        <f>VLOOKUP($D104,'Fuel economy adjusted factor'!$A$2:$L$52,12,FALSE)*(1-'TCO Inputs'!$BD$9)+VLOOKUP($D104,'US Grid mix, emissions&amp;prices'!$H$169:$AJ$219,'TCO Inputs'!$AZ$12-2021,FALSE)*'TCO Inputs'!$BD$9</f>
        <v>122.56694463277499</v>
      </c>
      <c r="P104" s="5">
        <f t="shared" si="37"/>
        <v>43070</v>
      </c>
      <c r="Q104" s="5">
        <f t="shared" si="28"/>
        <v>25392.400000000001</v>
      </c>
      <c r="R104" s="15">
        <f t="shared" si="29"/>
        <v>27690</v>
      </c>
      <c r="S104" s="5">
        <f t="shared" si="30"/>
        <v>32586</v>
      </c>
      <c r="T104" s="5">
        <f t="shared" si="44"/>
        <v>683.21156858550034</v>
      </c>
      <c r="U104" s="5">
        <f>(VLOOKUP($D104,'TCO Inputs'!$A$3:$AG$53,31,FALSE)-VLOOKUP($D104,'TCO Inputs'!$A$3:$AG$53,30,FALSE))/(((K104+H104)*AA104*'TCO Inputs'!$AZ$13-(I104+F104)*AA104*'TCO Inputs'!$AZ$13)*CONVERT(1,"g","ton"))</f>
        <v>906.66020383880948</v>
      </c>
      <c r="V104" s="5">
        <f t="shared" si="45"/>
        <v>-113.62566225479409</v>
      </c>
      <c r="W104" s="5">
        <f>(VLOOKUP($D104,'TCO Inputs'!$A$3:$AG$53,32,FALSE)-VLOOKUP($D104,'TCO Inputs'!$A$3:$AG$53,30,FALSE))/(((K104+H104)*AA104*'TCO Inputs'!$AZ$13-(J104+G104)*AA104*'TCO Inputs'!$AZ$13)*CONVERT(1,"g","ton"))</f>
        <v>-181.49458940272368</v>
      </c>
      <c r="X104" s="31">
        <f t="shared" si="27"/>
        <v>153.6746332473522</v>
      </c>
      <c r="Y104" s="31">
        <f>(VLOOKUP($D104,'TCO Inputs'!$A$3:$AG$53,33,FALSE)-VLOOKUP($D104,'TCO Inputs'!$A$3:$AG$53,30,FALSE))/(((K104+H104)*AA104*'TCO Inputs'!$AZ$13-(L104+M104)*AA104*'TCO Inputs'!$AZ$13)*CONVERT(1,"g","ton"))</f>
        <v>110.77067217030364</v>
      </c>
      <c r="Z104" s="11">
        <f t="shared" si="46"/>
        <v>9.2588197272065713</v>
      </c>
      <c r="AA104" s="26">
        <f>VLOOKUP(D104, 'VKT US'!$B$3:$D$54, 3,FALSE)</f>
        <v>16030.63574</v>
      </c>
      <c r="AB104" s="11">
        <f>VLOOKUP($D104,'VKT US'!$F$5:$S$55,14,FALSE)</f>
        <v>877600</v>
      </c>
      <c r="AC104" s="10">
        <f t="shared" si="47"/>
        <v>1.8236060502554121</v>
      </c>
      <c r="AD104" s="25">
        <f t="shared" si="48"/>
        <v>796.83723084029441</v>
      </c>
      <c r="AE104" s="25">
        <f t="shared" si="38"/>
        <v>796.83723084029441</v>
      </c>
      <c r="AF104" s="25">
        <f t="shared" si="49"/>
        <v>796.83723084029441</v>
      </c>
      <c r="AG104" s="25">
        <f t="shared" si="39"/>
        <v>796.83723084029441</v>
      </c>
      <c r="AH104" s="20"/>
    </row>
    <row r="105" spans="2:34" x14ac:dyDescent="0.25">
      <c r="B105" s="13" t="s">
        <v>148</v>
      </c>
      <c r="C105" s="13" t="s">
        <v>148</v>
      </c>
      <c r="D105" s="14" t="s">
        <v>222</v>
      </c>
      <c r="E105" s="6" t="s">
        <v>11</v>
      </c>
      <c r="F105" s="10">
        <f t="shared" si="40"/>
        <v>35.300185169075526</v>
      </c>
      <c r="G105" s="10">
        <f t="shared" si="41"/>
        <v>25.774541116233983</v>
      </c>
      <c r="H105" s="10">
        <f t="shared" si="42"/>
        <v>25.215305653249157</v>
      </c>
      <c r="I105" s="11">
        <f>VLOOKUP($D105,_xlfn.IFS('Scenario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64.888678612291173</v>
      </c>
      <c r="J105" s="11">
        <f>VLOOKUP($D105,'Fuel economy adjusted factor'!$A$2:$AD$52,9,FALSE)</f>
        <v>129.93206351999999</v>
      </c>
      <c r="K105" s="10">
        <f>VLOOKUP($D105,'Fuel economy adjusted factor'!$A$2:$AD$52,8,FALSE)</f>
        <v>210.64193865000001</v>
      </c>
      <c r="L105" s="10">
        <f t="shared" si="43"/>
        <v>26.458051126548771</v>
      </c>
      <c r="M105" s="10">
        <v>84.75524127903364</v>
      </c>
      <c r="N105" s="10">
        <f t="shared" si="26"/>
        <v>25.774541116233983</v>
      </c>
      <c r="O105" s="10">
        <f>VLOOKUP($D105,'Fuel economy adjusted factor'!$A$2:$L$52,12,FALSE)*(1-'TCO Inputs'!$BD$9)+VLOOKUP($D105,'US Grid mix, emissions&amp;prices'!$H$169:$AJ$219,'TCO Inputs'!$AZ$12-2021,FALSE)*'TCO Inputs'!$BD$9</f>
        <v>95.962500910391412</v>
      </c>
      <c r="P105" s="5">
        <f t="shared" si="37"/>
        <v>43070</v>
      </c>
      <c r="Q105" s="5">
        <f t="shared" si="28"/>
        <v>25392.400000000001</v>
      </c>
      <c r="R105" s="15">
        <f t="shared" si="29"/>
        <v>27690</v>
      </c>
      <c r="S105" s="5">
        <f t="shared" si="30"/>
        <v>32586</v>
      </c>
      <c r="T105" s="5">
        <f t="shared" si="44"/>
        <v>305.50471946563226</v>
      </c>
      <c r="U105" s="5">
        <f>(VLOOKUP($D105,'TCO Inputs'!$A$3:$AG$53,31,FALSE)-VLOOKUP($D105,'TCO Inputs'!$A$3:$AG$53,30,FALSE))/(((K105+H105)*AA105*'TCO Inputs'!$AZ$13-(I105+F105)*AA105*'TCO Inputs'!$AZ$13)*CONVERT(1,"g","ton"))</f>
        <v>149.64288334546589</v>
      </c>
      <c r="V105" s="5">
        <f t="shared" si="45"/>
        <v>-77.251631265169479</v>
      </c>
      <c r="W105" s="5">
        <f>(VLOOKUP($D105,'TCO Inputs'!$A$3:$AG$53,32,FALSE)-VLOOKUP($D105,'TCO Inputs'!$A$3:$AG$53,30,FALSE))/(((K105+H105)*AA105*'TCO Inputs'!$AZ$13-(J105+G105)*AA105*'TCO Inputs'!$AZ$13)*CONVERT(1,"g","ton"))</f>
        <v>-215.38979469670576</v>
      </c>
      <c r="X105" s="31">
        <f t="shared" si="27"/>
        <v>105.85476883991529</v>
      </c>
      <c r="Y105" s="31">
        <f>(VLOOKUP($D105,'TCO Inputs'!$A$3:$AG$53,33,FALSE)-VLOOKUP($D105,'TCO Inputs'!$A$3:$AG$53,30,FALSE))/(((K105+H105)*AA105*'TCO Inputs'!$AZ$13-(L105+M105)*AA105*'TCO Inputs'!$AZ$13)*CONVERT(1,"g","ton"))</f>
        <v>67.632077705998654</v>
      </c>
      <c r="Z105" s="11">
        <f t="shared" si="46"/>
        <v>55.51774085486727</v>
      </c>
      <c r="AA105" s="26">
        <f>VLOOKUP(D105, 'VKT US'!$B$3:$D$54, 3,FALSE)</f>
        <v>24045.148939999999</v>
      </c>
      <c r="AB105" s="11">
        <f>VLOOKUP($D105,'VKT US'!$F$5:$S$55,14,FALSE)</f>
        <v>5042400</v>
      </c>
      <c r="AC105" s="10">
        <f t="shared" si="47"/>
        <v>94.23768017830794</v>
      </c>
      <c r="AD105" s="25">
        <f t="shared" si="48"/>
        <v>382.75635073080173</v>
      </c>
      <c r="AE105" s="25">
        <f t="shared" si="38"/>
        <v>382.75635073080173</v>
      </c>
      <c r="AF105" s="25">
        <f t="shared" si="49"/>
        <v>382.75635073080173</v>
      </c>
      <c r="AG105" s="25">
        <f t="shared" si="39"/>
        <v>382.75635073080173</v>
      </c>
    </row>
    <row r="106" spans="2:34" x14ac:dyDescent="0.25">
      <c r="B106" s="13" t="s">
        <v>148</v>
      </c>
      <c r="C106" s="13" t="s">
        <v>148</v>
      </c>
      <c r="D106" s="14" t="s">
        <v>223</v>
      </c>
      <c r="E106" s="6" t="s">
        <v>11</v>
      </c>
      <c r="F106" s="10">
        <f t="shared" si="40"/>
        <v>35.300185169075526</v>
      </c>
      <c r="G106" s="10">
        <f t="shared" si="41"/>
        <v>25.774541116233983</v>
      </c>
      <c r="H106" s="10">
        <f t="shared" si="42"/>
        <v>25.215305653249157</v>
      </c>
      <c r="I106" s="11">
        <f>VLOOKUP($D106,_xlfn.IFS('Scenario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46.485666421243593</v>
      </c>
      <c r="J106" s="11">
        <f>VLOOKUP($D106,'Fuel economy adjusted factor'!$A$2:$AD$52,9,FALSE)</f>
        <v>135.03744911999999</v>
      </c>
      <c r="K106" s="10">
        <f>VLOOKUP($D106,'Fuel economy adjusted factor'!$A$2:$AD$52,8,FALSE)</f>
        <v>218.91863565000003</v>
      </c>
      <c r="L106" s="10">
        <f t="shared" si="43"/>
        <v>26.458051126548771</v>
      </c>
      <c r="M106" s="10">
        <v>84.75524127903364</v>
      </c>
      <c r="N106" s="10">
        <f t="shared" si="26"/>
        <v>25.774541116233983</v>
      </c>
      <c r="O106" s="10">
        <f>VLOOKUP($D106,'Fuel economy adjusted factor'!$A$2:$L$52,12,FALSE)*(1-'TCO Inputs'!$BD$9)+VLOOKUP($D106,'US Grid mix, emissions&amp;prices'!$H$169:$AJ$219,'TCO Inputs'!$AZ$12-2021,FALSE)*'TCO Inputs'!$BD$9</f>
        <v>88.837743531046669</v>
      </c>
      <c r="P106" s="5">
        <f t="shared" si="37"/>
        <v>43070</v>
      </c>
      <c r="Q106" s="5">
        <f t="shared" si="28"/>
        <v>25392.400000000001</v>
      </c>
      <c r="R106" s="15">
        <f t="shared" si="29"/>
        <v>27690</v>
      </c>
      <c r="S106" s="5">
        <f t="shared" si="30"/>
        <v>32586</v>
      </c>
      <c r="T106" s="5">
        <f t="shared" si="44"/>
        <v>245.44268147368825</v>
      </c>
      <c r="U106" s="5">
        <f>(VLOOKUP($D106,'TCO Inputs'!$A$3:$AG$53,31,FALSE)-VLOOKUP($D106,'TCO Inputs'!$A$3:$AG$53,30,FALSE))/(((K106+H106)*AA106*'TCO Inputs'!$AZ$13-(I106+F106)*AA106*'TCO Inputs'!$AZ$13)*CONVERT(1,"g","ton"))</f>
        <v>94.926486428526218</v>
      </c>
      <c r="V106" s="5">
        <f t="shared" si="45"/>
        <v>-71.442381981558</v>
      </c>
      <c r="W106" s="5">
        <f>(VLOOKUP($D106,'TCO Inputs'!$A$3:$AG$53,32,FALSE)-VLOOKUP($D106,'TCO Inputs'!$A$3:$AG$53,30,FALSE))/(((K106+H106)*AA106*'TCO Inputs'!$AZ$13-(J106+G106)*AA106*'TCO Inputs'!$AZ$13)*CONVERT(1,"g","ton"))</f>
        <v>-231.88633326396081</v>
      </c>
      <c r="X106" s="31">
        <f t="shared" si="27"/>
        <v>95.431091406437119</v>
      </c>
      <c r="Y106" s="31">
        <f>(VLOOKUP($D106,'TCO Inputs'!$A$3:$AG$53,33,FALSE)-VLOOKUP($D106,'TCO Inputs'!$A$3:$AG$53,30,FALSE))/(((K106+H106)*AA106*'TCO Inputs'!$AZ$13-(L106+M106)*AA106*'TCO Inputs'!$AZ$13)*CONVERT(1,"g","ton"))</f>
        <v>43.055653518328263</v>
      </c>
      <c r="Z106" s="11">
        <f t="shared" si="46"/>
        <v>79.02613864591487</v>
      </c>
      <c r="AA106" s="26">
        <f>VLOOKUP(D106, 'VKT US'!$B$3:$D$54, 3,FALSE)</f>
        <v>25010.752939999998</v>
      </c>
      <c r="AB106" s="11">
        <f>VLOOKUP($D106,'VKT US'!$F$5:$S$55,14,FALSE)</f>
        <v>918000</v>
      </c>
      <c r="AC106" s="10">
        <f t="shared" si="47"/>
        <v>25.402019505214792</v>
      </c>
      <c r="AD106" s="25">
        <f t="shared" si="48"/>
        <v>316.88506345524627</v>
      </c>
      <c r="AE106" s="25">
        <f t="shared" si="38"/>
        <v>316.88506345524627</v>
      </c>
      <c r="AF106" s="25">
        <f t="shared" si="49"/>
        <v>316.88506345524627</v>
      </c>
      <c r="AG106" s="25">
        <f t="shared" si="39"/>
        <v>316.88506345524627</v>
      </c>
    </row>
    <row r="107" spans="2:34" x14ac:dyDescent="0.25">
      <c r="B107" s="13" t="s">
        <v>148</v>
      </c>
      <c r="C107" s="13" t="s">
        <v>148</v>
      </c>
      <c r="D107" s="14" t="s">
        <v>224</v>
      </c>
      <c r="E107" s="6" t="s">
        <v>11</v>
      </c>
      <c r="F107" s="10">
        <f t="shared" si="40"/>
        <v>35.300185169075526</v>
      </c>
      <c r="G107" s="10">
        <f t="shared" si="41"/>
        <v>25.774541116233983</v>
      </c>
      <c r="H107" s="10">
        <f t="shared" si="42"/>
        <v>25.215305653249157</v>
      </c>
      <c r="I107" s="11">
        <f>VLOOKUP($D107,_xlfn.IFS('Scenario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72.546135183454339</v>
      </c>
      <c r="J107" s="11">
        <f>VLOOKUP($D107,'Fuel economy adjusted factor'!$A$2:$AD$52,9,FALSE)</f>
        <v>130.82550599999999</v>
      </c>
      <c r="K107" s="10">
        <f>VLOOKUP($D107,'Fuel economy adjusted factor'!$A$2:$AD$52,8,FALSE)</f>
        <v>212.09036062499999</v>
      </c>
      <c r="L107" s="10">
        <f t="shared" si="43"/>
        <v>26.458051126548771</v>
      </c>
      <c r="M107" s="10">
        <v>84.75524127903364</v>
      </c>
      <c r="N107" s="10">
        <f t="shared" si="26"/>
        <v>25.774541116233983</v>
      </c>
      <c r="O107" s="10">
        <f>VLOOKUP($D107,'Fuel economy adjusted factor'!$A$2:$L$52,12,FALSE)*(1-'TCO Inputs'!$BD$9)+VLOOKUP($D107,'US Grid mix, emissions&amp;prices'!$H$169:$AJ$219,'TCO Inputs'!$AZ$12-2021,FALSE)*'TCO Inputs'!$BD$9</f>
        <v>100.37221989539626</v>
      </c>
      <c r="P107" s="5">
        <f t="shared" si="37"/>
        <v>43070</v>
      </c>
      <c r="Q107" s="5">
        <f t="shared" si="28"/>
        <v>25392.400000000001</v>
      </c>
      <c r="R107" s="15">
        <f t="shared" si="29"/>
        <v>27690</v>
      </c>
      <c r="S107" s="5">
        <f t="shared" si="30"/>
        <v>32586</v>
      </c>
      <c r="T107" s="5">
        <f t="shared" si="44"/>
        <v>312.91080235711053</v>
      </c>
      <c r="U107" s="5">
        <f>(VLOOKUP($D107,'TCO Inputs'!$A$3:$AG$53,31,FALSE)-VLOOKUP($D107,'TCO Inputs'!$A$3:$AG$53,30,FALSE))/(((K107+H107)*AA107*'TCO Inputs'!$AZ$13-(I107+F107)*AA107*'TCO Inputs'!$AZ$13)*CONVERT(1,"g","ton"))</f>
        <v>137.84505453416529</v>
      </c>
      <c r="V107" s="5">
        <f t="shared" si="45"/>
        <v>-74.983943720556169</v>
      </c>
      <c r="W107" s="5">
        <f>(VLOOKUP($D107,'TCO Inputs'!$A$3:$AG$53,32,FALSE)-VLOOKUP($D107,'TCO Inputs'!$A$3:$AG$53,30,FALSE))/(((K107+H107)*AA107*'TCO Inputs'!$AZ$13-(J107+G107)*AA107*'TCO Inputs'!$AZ$13)*CONVERT(1,"g","ton"))</f>
        <v>-234.68251059021335</v>
      </c>
      <c r="X107" s="31">
        <f t="shared" si="27"/>
        <v>102.27046187325949</v>
      </c>
      <c r="Y107" s="31">
        <f>(VLOOKUP($D107,'TCO Inputs'!$A$3:$AG$53,33,FALSE)-VLOOKUP($D107,'TCO Inputs'!$A$3:$AG$53,30,FALSE))/(((K107+H107)*AA107*'TCO Inputs'!$AZ$13-(L107+M107)*AA107*'TCO Inputs'!$AZ$13)*CONVERT(1,"g","ton"))</f>
        <v>47.899555647270766</v>
      </c>
      <c r="Z107" s="11">
        <f t="shared" si="46"/>
        <v>48.753726763704123</v>
      </c>
      <c r="AA107" s="26">
        <f>VLOOKUP(D107, 'VKT US'!$B$3:$D$54, 3,FALSE)</f>
        <v>24601.980579999999</v>
      </c>
      <c r="AB107" s="11">
        <f>VLOOKUP($D107,'VKT US'!$F$5:$S$55,14,FALSE)</f>
        <v>6538800</v>
      </c>
      <c r="AC107" s="10">
        <f t="shared" si="47"/>
        <v>109.80041460438633</v>
      </c>
      <c r="AD107" s="25">
        <f t="shared" si="48"/>
        <v>387.8947460776667</v>
      </c>
      <c r="AE107" s="25">
        <f t="shared" si="38"/>
        <v>387.8947460776667</v>
      </c>
      <c r="AF107" s="25">
        <f t="shared" si="49"/>
        <v>387.8947460776667</v>
      </c>
      <c r="AG107" s="25">
        <f t="shared" si="39"/>
        <v>387.8947460776667</v>
      </c>
    </row>
    <row r="108" spans="2:34" x14ac:dyDescent="0.25">
      <c r="B108" s="13" t="s">
        <v>148</v>
      </c>
      <c r="C108" s="13" t="s">
        <v>148</v>
      </c>
      <c r="D108" s="14" t="s">
        <v>225</v>
      </c>
      <c r="E108" s="6" t="s">
        <v>11</v>
      </c>
      <c r="F108" s="10">
        <f t="shared" si="40"/>
        <v>35.300185169075526</v>
      </c>
      <c r="G108" s="10">
        <f t="shared" si="41"/>
        <v>25.774541116233983</v>
      </c>
      <c r="H108" s="10">
        <f t="shared" si="42"/>
        <v>25.215305653249157</v>
      </c>
      <c r="I108" s="11">
        <f>VLOOKUP($D108,_xlfn.IFS('Scenario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90.544597540982679</v>
      </c>
      <c r="J108" s="11">
        <f>VLOOKUP($D108,'Fuel economy adjusted factor'!$A$2:$AD$52,9,FALSE)</f>
        <v>130.69787135999999</v>
      </c>
      <c r="K108" s="10">
        <f>VLOOKUP($D108,'Fuel economy adjusted factor'!$A$2:$AD$52,8,FALSE)</f>
        <v>211.88344320000002</v>
      </c>
      <c r="L108" s="10">
        <f t="shared" si="43"/>
        <v>26.458051126548771</v>
      </c>
      <c r="M108" s="10">
        <v>84.75524127903364</v>
      </c>
      <c r="N108" s="10">
        <f t="shared" si="26"/>
        <v>25.774541116233983</v>
      </c>
      <c r="O108" s="10">
        <f>VLOOKUP($D108,'Fuel economy adjusted factor'!$A$2:$L$52,12,FALSE)*(1-'TCO Inputs'!$BD$9)+VLOOKUP($D108,'US Grid mix, emissions&amp;prices'!$H$169:$AJ$219,'TCO Inputs'!$AZ$12-2021,FALSE)*'TCO Inputs'!$BD$9</f>
        <v>109.67030009731099</v>
      </c>
      <c r="P108" s="5">
        <f t="shared" si="37"/>
        <v>43070</v>
      </c>
      <c r="Q108" s="5">
        <f t="shared" si="28"/>
        <v>25392.400000000001</v>
      </c>
      <c r="R108" s="15">
        <f t="shared" si="29"/>
        <v>27690</v>
      </c>
      <c r="S108" s="5">
        <f t="shared" si="30"/>
        <v>32586</v>
      </c>
      <c r="T108" s="5">
        <f t="shared" si="44"/>
        <v>344.18900695621363</v>
      </c>
      <c r="U108" s="5">
        <f>(VLOOKUP($D108,'TCO Inputs'!$A$3:$AG$53,31,FALSE)-VLOOKUP($D108,'TCO Inputs'!$A$3:$AG$53,30,FALSE))/(((K108+H108)*AA108*'TCO Inputs'!$AZ$13-(I108+F108)*AA108*'TCO Inputs'!$AZ$13)*CONVERT(1,"g","ton"))</f>
        <v>138.00965257903033</v>
      </c>
      <c r="V108" s="5">
        <f t="shared" si="45"/>
        <v>-70.950205644644413</v>
      </c>
      <c r="W108" s="5">
        <f>(VLOOKUP($D108,'TCO Inputs'!$A$3:$AG$53,32,FALSE)-VLOOKUP($D108,'TCO Inputs'!$A$3:$AG$53,30,FALSE))/(((K108+H108)*AA108*'TCO Inputs'!$AZ$13-(J108+G108)*AA108*'TCO Inputs'!$AZ$13)*CONVERT(1,"g","ton"))</f>
        <v>-210.22858302096193</v>
      </c>
      <c r="X108" s="31">
        <f t="shared" si="27"/>
        <v>96.832693487789257</v>
      </c>
      <c r="Y108" s="31">
        <f>(VLOOKUP($D108,'TCO Inputs'!$A$3:$AG$53,33,FALSE)-VLOOKUP($D108,'TCO Inputs'!$A$3:$AG$53,30,FALSE))/(((K108+H108)*AA108*'TCO Inputs'!$AZ$13-(L108+M108)*AA108*'TCO Inputs'!$AZ$13)*CONVERT(1,"g","ton"))</f>
        <v>79.852361024333021</v>
      </c>
      <c r="Z108" s="11">
        <f t="shared" si="46"/>
        <v>30.627629766175772</v>
      </c>
      <c r="AA108" s="26">
        <f>VLOOKUP(D108, 'VKT US'!$B$3:$D$54, 3,FALSE)</f>
        <v>26026.246480000002</v>
      </c>
      <c r="AB108" s="11">
        <f>VLOOKUP($D108,'VKT US'!$F$5:$S$55,14,FALSE)</f>
        <v>25796600</v>
      </c>
      <c r="AC108" s="10">
        <f t="shared" si="47"/>
        <v>287.88261057234411</v>
      </c>
      <c r="AD108" s="25">
        <f t="shared" si="48"/>
        <v>415.13921260085806</v>
      </c>
      <c r="AE108" s="25">
        <f t="shared" si="38"/>
        <v>415.13921260085806</v>
      </c>
      <c r="AF108" s="25">
        <f t="shared" si="49"/>
        <v>415.13921260085806</v>
      </c>
      <c r="AG108" s="25">
        <f t="shared" si="39"/>
        <v>415.13921260085806</v>
      </c>
    </row>
    <row r="109" spans="2:34" x14ac:dyDescent="0.25">
      <c r="B109" s="13" t="s">
        <v>148</v>
      </c>
      <c r="C109" s="13" t="s">
        <v>148</v>
      </c>
      <c r="D109" s="14" t="s">
        <v>226</v>
      </c>
      <c r="E109" s="6" t="s">
        <v>11</v>
      </c>
      <c r="F109" s="10">
        <f t="shared" si="40"/>
        <v>35.300185169075526</v>
      </c>
      <c r="G109" s="10">
        <f t="shared" si="41"/>
        <v>25.774541116233983</v>
      </c>
      <c r="H109" s="10">
        <f t="shared" si="42"/>
        <v>25.215305653249157</v>
      </c>
      <c r="I109" s="11">
        <f>VLOOKUP($D109,_xlfn.IFS('Scenario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175.99545705609239</v>
      </c>
      <c r="J109" s="11">
        <f>VLOOKUP($D109,'Fuel economy adjusted factor'!$A$2:$AD$52,9,FALSE)</f>
        <v>133.50583344</v>
      </c>
      <c r="K109" s="10">
        <f>VLOOKUP($D109,'Fuel economy adjusted factor'!$A$2:$AD$52,8,FALSE)</f>
        <v>216.43562655000002</v>
      </c>
      <c r="L109" s="10">
        <f t="shared" si="43"/>
        <v>26.458051126548771</v>
      </c>
      <c r="M109" s="10">
        <v>84.75524127903364</v>
      </c>
      <c r="N109" s="10">
        <f t="shared" si="26"/>
        <v>25.774541116233983</v>
      </c>
      <c r="O109" s="10">
        <f>VLOOKUP($D109,'Fuel economy adjusted factor'!$A$2:$L$52,12,FALSE)*(1-'TCO Inputs'!$BD$9)+VLOOKUP($D109,'US Grid mix, emissions&amp;prices'!$H$169:$AJ$219,'TCO Inputs'!$AZ$12-2021,FALSE)*'TCO Inputs'!$BD$9</f>
        <v>155.44939197316808</v>
      </c>
      <c r="P109" s="5">
        <f t="shared" si="37"/>
        <v>43070</v>
      </c>
      <c r="Q109" s="5">
        <f t="shared" si="28"/>
        <v>25392.400000000001</v>
      </c>
      <c r="R109" s="15">
        <f t="shared" si="29"/>
        <v>27690</v>
      </c>
      <c r="S109" s="5">
        <f t="shared" si="30"/>
        <v>32586</v>
      </c>
      <c r="T109" s="5">
        <f t="shared" si="44"/>
        <v>1314.8071991151342</v>
      </c>
      <c r="U109" s="5">
        <f>(VLOOKUP($D109,'TCO Inputs'!$A$3:$AG$53,31,FALSE)-VLOOKUP($D109,'TCO Inputs'!$A$3:$AG$53,30,FALSE))/(((K109+H109)*AA109*'TCO Inputs'!$AZ$13-(I109+F109)*AA109*'TCO Inputs'!$AZ$13)*CONVERT(1,"g","ton"))</f>
        <v>324.26008005038904</v>
      </c>
      <c r="V109" s="5">
        <f t="shared" si="45"/>
        <v>-72.383993557465431</v>
      </c>
      <c r="W109" s="5">
        <f>(VLOOKUP($D109,'TCO Inputs'!$A$3:$AG$53,32,FALSE)-VLOOKUP($D109,'TCO Inputs'!$A$3:$AG$53,30,FALSE))/(((K109+H109)*AA109*'TCO Inputs'!$AZ$13-(J109+G109)*AA109*'TCO Inputs'!$AZ$13)*CONVERT(1,"g","ton"))</f>
        <v>-250.30021923139688</v>
      </c>
      <c r="X109" s="31">
        <f t="shared" si="27"/>
        <v>97.404405748818363</v>
      </c>
      <c r="Y109" s="31">
        <f>(VLOOKUP($D109,'TCO Inputs'!$A$3:$AG$53,33,FALSE)-VLOOKUP($D109,'TCO Inputs'!$A$3:$AG$53,30,FALSE))/(((K109+H109)*AA109*'TCO Inputs'!$AZ$13-(L109+M109)*AA109*'TCO Inputs'!$AZ$13)*CONVERT(1,"g","ton"))</f>
        <v>17.203055026446933</v>
      </c>
      <c r="Z109" s="11">
        <f t="shared" si="46"/>
        <v>-52.015267668933916</v>
      </c>
      <c r="AA109" s="26">
        <f>VLOOKUP(D109, 'VKT US'!$B$3:$D$54, 3,FALSE)</f>
        <v>24970.51944</v>
      </c>
      <c r="AB109" s="11">
        <f>VLOOKUP($D109,'VKT US'!$F$5:$S$55,14,FALSE)</f>
        <v>3076200</v>
      </c>
      <c r="AC109" s="10">
        <f t="shared" si="47"/>
        <v>-55.937237920935729</v>
      </c>
      <c r="AD109" s="25">
        <f t="shared" si="48"/>
        <v>1387.1911926725995</v>
      </c>
      <c r="AE109" s="25">
        <f t="shared" si="38"/>
        <v>1387.1911926725995</v>
      </c>
      <c r="AF109" s="25">
        <f t="shared" si="49"/>
        <v>1387.1911926725995</v>
      </c>
      <c r="AG109" s="25">
        <f t="shared" si="39"/>
        <v>1129.3381142442736</v>
      </c>
    </row>
    <row r="110" spans="2:34" x14ac:dyDescent="0.25">
      <c r="B110" s="13" t="s">
        <v>148</v>
      </c>
      <c r="C110" s="13" t="s">
        <v>148</v>
      </c>
      <c r="D110" s="14" t="s">
        <v>227</v>
      </c>
      <c r="E110" s="6" t="s">
        <v>11</v>
      </c>
      <c r="F110" s="10">
        <f t="shared" si="40"/>
        <v>35.300185169075526</v>
      </c>
      <c r="G110" s="10">
        <f t="shared" si="41"/>
        <v>25.774541116233983</v>
      </c>
      <c r="H110" s="10">
        <f t="shared" si="42"/>
        <v>25.215305653249157</v>
      </c>
      <c r="I110" s="11">
        <f>VLOOKUP($D110,_xlfn.IFS('Scenario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72.715264139260171</v>
      </c>
      <c r="J110" s="11">
        <f>VLOOKUP($D110,'Fuel economy adjusted factor'!$A$2:$AD$52,9,FALSE)</f>
        <v>131.08077527999998</v>
      </c>
      <c r="K110" s="10">
        <f>VLOOKUP($D110,'Fuel economy adjusted factor'!$A$2:$AD$52,8,FALSE)</f>
        <v>212.50419547499999</v>
      </c>
      <c r="L110" s="10">
        <f t="shared" si="43"/>
        <v>26.458051126548771</v>
      </c>
      <c r="M110" s="10">
        <v>84.75524127903364</v>
      </c>
      <c r="N110" s="10">
        <f t="shared" si="26"/>
        <v>25.774541116233983</v>
      </c>
      <c r="O110" s="10">
        <f>VLOOKUP($D110,'Fuel economy adjusted factor'!$A$2:$L$52,12,FALSE)*(1-'TCO Inputs'!$BD$9)+VLOOKUP($D110,'US Grid mix, emissions&amp;prices'!$H$169:$AJ$219,'TCO Inputs'!$AZ$12-2021,FALSE)*'TCO Inputs'!$BD$9</f>
        <v>100.58240740041528</v>
      </c>
      <c r="P110" s="5">
        <f t="shared" si="37"/>
        <v>43070</v>
      </c>
      <c r="Q110" s="5">
        <f t="shared" si="28"/>
        <v>25392.400000000001</v>
      </c>
      <c r="R110" s="15">
        <f t="shared" si="29"/>
        <v>27690</v>
      </c>
      <c r="S110" s="5">
        <f t="shared" si="30"/>
        <v>32586</v>
      </c>
      <c r="T110" s="5">
        <f t="shared" si="44"/>
        <v>329.06766256850341</v>
      </c>
      <c r="U110" s="5">
        <f>(VLOOKUP($D110,'TCO Inputs'!$A$3:$AG$53,31,FALSE)-VLOOKUP($D110,'TCO Inputs'!$A$3:$AG$53,30,FALSE))/(((K110+H110)*AA110*'TCO Inputs'!$AZ$13-(I110+F110)*AA110*'TCO Inputs'!$AZ$13)*CONVERT(1,"g","ton"))</f>
        <v>268.36834634406489</v>
      </c>
      <c r="V110" s="5">
        <f t="shared" si="45"/>
        <v>-78.84980511448147</v>
      </c>
      <c r="W110" s="5">
        <f>(VLOOKUP($D110,'TCO Inputs'!$A$3:$AG$53,32,FALSE)-VLOOKUP($D110,'TCO Inputs'!$A$3:$AG$53,30,FALSE))/(((K110+H110)*AA110*'TCO Inputs'!$AZ$13-(J110+G110)*AA110*'TCO Inputs'!$AZ$13)*CONVERT(1,"g","ton"))</f>
        <v>-233.78622285895378</v>
      </c>
      <c r="X110" s="31">
        <f t="shared" si="27"/>
        <v>107.40190453867405</v>
      </c>
      <c r="Y110" s="31">
        <f>(VLOOKUP($D110,'TCO Inputs'!$A$3:$AG$53,33,FALSE)-VLOOKUP($D110,'TCO Inputs'!$A$3:$AG$53,30,FALSE))/(((K110+H110)*AA110*'TCO Inputs'!$AZ$13-(L110+M110)*AA110*'TCO Inputs'!$AZ$13)*CONVERT(1,"g","ton"))</f>
        <v>47.124473794107054</v>
      </c>
      <c r="Z110" s="11">
        <f t="shared" si="46"/>
        <v>48.839867087898284</v>
      </c>
      <c r="AA110" s="26">
        <f>VLOOKUP(D110, 'VKT US'!$B$3:$D$54, 3,FALSE)</f>
        <v>23349.914059999999</v>
      </c>
      <c r="AB110" s="11">
        <f>VLOOKUP($D110,'VKT US'!$F$5:$S$55,14,FALSE)</f>
        <v>7723500</v>
      </c>
      <c r="AC110" s="10">
        <f t="shared" si="47"/>
        <v>123.31103597825607</v>
      </c>
      <c r="AD110" s="25">
        <f t="shared" si="48"/>
        <v>407.91746768298486</v>
      </c>
      <c r="AE110" s="25">
        <f t="shared" si="38"/>
        <v>407.91746768298486</v>
      </c>
      <c r="AF110" s="25">
        <f t="shared" si="49"/>
        <v>407.91746768298486</v>
      </c>
      <c r="AG110" s="25">
        <f t="shared" si="39"/>
        <v>407.91746768298486</v>
      </c>
    </row>
    <row r="111" spans="2:34" x14ac:dyDescent="0.25">
      <c r="B111" s="13" t="s">
        <v>148</v>
      </c>
      <c r="C111" s="13" t="s">
        <v>148</v>
      </c>
      <c r="D111" s="14" t="s">
        <v>228</v>
      </c>
      <c r="E111" s="6" t="s">
        <v>11</v>
      </c>
      <c r="F111" s="10">
        <f t="shared" si="40"/>
        <v>35.300185169075526</v>
      </c>
      <c r="G111" s="10">
        <f t="shared" si="41"/>
        <v>25.774541116233983</v>
      </c>
      <c r="H111" s="10">
        <f t="shared" si="42"/>
        <v>25.215305653249157</v>
      </c>
      <c r="I111" s="11">
        <f>VLOOKUP($D111,_xlfn.IFS('Scenario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5.4652754062410454</v>
      </c>
      <c r="J111" s="11">
        <f>VLOOKUP($D111,'Fuel economy adjusted factor'!$A$2:$AD$52,9,FALSE)</f>
        <v>135.16508375999999</v>
      </c>
      <c r="K111" s="10">
        <f>VLOOKUP($D111,'Fuel economy adjusted factor'!$A$2:$AD$52,8,FALSE)</f>
        <v>219.125553075</v>
      </c>
      <c r="L111" s="10">
        <f t="shared" si="43"/>
        <v>26.458051126548771</v>
      </c>
      <c r="M111" s="10">
        <v>84.75524127903364</v>
      </c>
      <c r="N111" s="10">
        <f t="shared" si="26"/>
        <v>25.774541116233983</v>
      </c>
      <c r="O111" s="10">
        <f>VLOOKUP($D111,'Fuel economy adjusted factor'!$A$2:$L$52,12,FALSE)*(1-'TCO Inputs'!$BD$9)+VLOOKUP($D111,'US Grid mix, emissions&amp;prices'!$H$169:$AJ$219,'TCO Inputs'!$AZ$12-2021,FALSE)*'TCO Inputs'!$BD$9</f>
        <v>67.568260427245349</v>
      </c>
      <c r="P111" s="5">
        <f t="shared" si="37"/>
        <v>43070</v>
      </c>
      <c r="Q111" s="5">
        <f t="shared" si="28"/>
        <v>25392.400000000001</v>
      </c>
      <c r="R111" s="15">
        <f t="shared" si="29"/>
        <v>27690</v>
      </c>
      <c r="S111" s="5">
        <f t="shared" si="30"/>
        <v>32586</v>
      </c>
      <c r="T111" s="5">
        <f t="shared" si="44"/>
        <v>233.92356638766088</v>
      </c>
      <c r="U111" s="5">
        <f>(VLOOKUP($D111,'TCO Inputs'!$A$3:$AG$53,31,FALSE)-VLOOKUP($D111,'TCO Inputs'!$A$3:$AG$53,30,FALSE))/(((K111+H111)*AA111*'TCO Inputs'!$AZ$13-(I111+F111)*AA111*'TCO Inputs'!$AZ$13)*CONVERT(1,"g","ton"))</f>
        <v>197.32809457575175</v>
      </c>
      <c r="V111" s="5">
        <f t="shared" si="45"/>
        <v>-85.299184829251146</v>
      </c>
      <c r="W111" s="5">
        <f>(VLOOKUP($D111,'TCO Inputs'!$A$3:$AG$53,32,FALSE)-VLOOKUP($D111,'TCO Inputs'!$A$3:$AG$53,30,FALSE))/(((K111+H111)*AA111*'TCO Inputs'!$AZ$13-(J111+G111)*AA111*'TCO Inputs'!$AZ$13)*CONVERT(1,"g","ton"))</f>
        <v>-233.0798013568045</v>
      </c>
      <c r="X111" s="31">
        <f t="shared" si="27"/>
        <v>113.87184314632256</v>
      </c>
      <c r="Y111" s="31">
        <f>(VLOOKUP($D111,'TCO Inputs'!$A$3:$AG$53,33,FALSE)-VLOOKUP($D111,'TCO Inputs'!$A$3:$AG$53,30,FALSE))/(((K111+H111)*AA111*'TCO Inputs'!$AZ$13-(L111+M111)*AA111*'TCO Inputs'!$AZ$13)*CONVERT(1,"g","ton"))</f>
        <v>48.951685363373635</v>
      </c>
      <c r="Z111" s="11">
        <f t="shared" si="46"/>
        <v>120.1741643009174</v>
      </c>
      <c r="AA111" s="26">
        <f>VLOOKUP(D111, 'VKT US'!$B$3:$D$54, 3,FALSE)</f>
        <v>20927.857359999998</v>
      </c>
      <c r="AB111" s="11">
        <f>VLOOKUP($D111,'VKT US'!$F$5:$S$55,14,FALSE)</f>
        <v>593100</v>
      </c>
      <c r="AC111" s="10">
        <f t="shared" si="47"/>
        <v>20.882949439842545</v>
      </c>
      <c r="AD111" s="25">
        <f t="shared" si="48"/>
        <v>319.222751216912</v>
      </c>
      <c r="AE111" s="25">
        <f t="shared" si="38"/>
        <v>319.222751216912</v>
      </c>
      <c r="AF111" s="25">
        <f t="shared" si="49"/>
        <v>319.222751216912</v>
      </c>
      <c r="AG111" s="25">
        <f t="shared" si="39"/>
        <v>319.222751216912</v>
      </c>
    </row>
    <row r="112" spans="2:34" x14ac:dyDescent="0.25">
      <c r="B112" s="13" t="s">
        <v>148</v>
      </c>
      <c r="C112" s="13" t="s">
        <v>148</v>
      </c>
      <c r="D112" s="14" t="s">
        <v>229</v>
      </c>
      <c r="E112" s="6" t="s">
        <v>11</v>
      </c>
      <c r="F112" s="10">
        <f t="shared" si="40"/>
        <v>35.300185169075526</v>
      </c>
      <c r="G112" s="10">
        <f t="shared" si="41"/>
        <v>25.774541116233983</v>
      </c>
      <c r="H112" s="10">
        <f t="shared" si="42"/>
        <v>25.215305653249157</v>
      </c>
      <c r="I112" s="11">
        <f>VLOOKUP($D112,_xlfn.IFS('Scenario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35.553721193934599</v>
      </c>
      <c r="J112" s="11">
        <f>VLOOKUP($D112,'Fuel economy adjusted factor'!$A$2:$AD$52,9,FALSE)</f>
        <v>133.50583344</v>
      </c>
      <c r="K112" s="10">
        <f>VLOOKUP($D112,'Fuel economy adjusted factor'!$A$2:$AD$52,8,FALSE)</f>
        <v>216.43562655000002</v>
      </c>
      <c r="L112" s="10">
        <f t="shared" si="43"/>
        <v>26.458051126548771</v>
      </c>
      <c r="M112" s="10">
        <v>84.75524127903364</v>
      </c>
      <c r="N112" s="10">
        <f t="shared" si="26"/>
        <v>25.774541116233983</v>
      </c>
      <c r="O112" s="10">
        <f>VLOOKUP($D112,'Fuel economy adjusted factor'!$A$2:$L$52,12,FALSE)*(1-'TCO Inputs'!$BD$9)+VLOOKUP($D112,'US Grid mix, emissions&amp;prices'!$H$169:$AJ$219,'TCO Inputs'!$AZ$12-2021,FALSE)*'TCO Inputs'!$BD$9</f>
        <v>82.419689324846004</v>
      </c>
      <c r="P112" s="5">
        <f t="shared" si="37"/>
        <v>43070</v>
      </c>
      <c r="Q112" s="5">
        <f t="shared" si="28"/>
        <v>25392.400000000001</v>
      </c>
      <c r="R112" s="15">
        <f t="shared" si="29"/>
        <v>27690</v>
      </c>
      <c r="S112" s="5">
        <f t="shared" si="30"/>
        <v>32586</v>
      </c>
      <c r="T112" s="5">
        <f>(P112-R112)/(((K112+H112)*AA112*14-(I112+F112)*AA112*14)*CONVERT(1,"g","ton"))</f>
        <v>331.14749231528361</v>
      </c>
      <c r="U112" s="5">
        <f>(VLOOKUP($D112,'TCO Inputs'!$A$3:$AG$53,31,FALSE)-VLOOKUP($D112,'TCO Inputs'!$A$3:$AG$53,30,FALSE))/(((K112+H112)*AA112*'TCO Inputs'!$AZ$13-(I112+F112)*AA112*'TCO Inputs'!$AZ$13)*CONVERT(1,"g","ton"))</f>
        <v>124.91941087566103</v>
      </c>
      <c r="V112" s="5">
        <f t="shared" si="45"/>
        <v>-102.57649502581367</v>
      </c>
      <c r="W112" s="5">
        <f>(VLOOKUP($D112,'TCO Inputs'!$A$3:$AG$53,32,FALSE)-VLOOKUP($D112,'TCO Inputs'!$A$3:$AG$53,30,FALSE))/(((K112+H112)*AA112*'TCO Inputs'!$AZ$13-(J112+G112)*AA112*'TCO Inputs'!$AZ$13)*CONVERT(1,"g","ton"))</f>
        <v>-281.20778096404962</v>
      </c>
      <c r="X112" s="31">
        <f t="shared" si="27"/>
        <v>138.03331442128652</v>
      </c>
      <c r="Y112" s="31">
        <f>(VLOOKUP($D112,'TCO Inputs'!$A$3:$AG$53,33,FALSE)-VLOOKUP($D112,'TCO Inputs'!$A$3:$AG$53,30,FALSE))/(((K112+H112)*AA112*'TCO Inputs'!$AZ$13-(L112+M112)*AA112*'TCO Inputs'!$AZ$13)*CONVERT(1,"g","ton"))</f>
        <v>-42.332330217702456</v>
      </c>
      <c r="Z112" s="11">
        <f t="shared" si="46"/>
        <v>88.426468193223869</v>
      </c>
      <c r="AA112" s="26">
        <f>VLOOKUP(D112, 'VKT US'!$B$3:$D$54, 3,FALSE)</f>
        <v>17620.663659999998</v>
      </c>
      <c r="AB112" s="11">
        <f>VLOOKUP($D112,'VKT US'!$F$5:$S$55,14,FALSE)</f>
        <v>6816100</v>
      </c>
      <c r="AC112" s="10">
        <f t="shared" si="47"/>
        <v>148.68546999553467</v>
      </c>
      <c r="AD112" s="25">
        <f t="shared" si="48"/>
        <v>433.72398734109731</v>
      </c>
      <c r="AE112" s="25">
        <f t="shared" si="38"/>
        <v>433.72398734109731</v>
      </c>
      <c r="AF112" s="25">
        <f t="shared" si="49"/>
        <v>433.72398734109731</v>
      </c>
      <c r="AG112" s="25">
        <f t="shared" si="39"/>
        <v>433.72398734109731</v>
      </c>
    </row>
    <row r="113" spans="2:33" x14ac:dyDescent="0.25">
      <c r="B113" s="13" t="s">
        <v>148</v>
      </c>
      <c r="C113" s="13" t="s">
        <v>148</v>
      </c>
      <c r="D113" s="14" t="s">
        <v>231</v>
      </c>
      <c r="E113" s="6" t="s">
        <v>11</v>
      </c>
      <c r="F113" s="10">
        <f t="shared" si="40"/>
        <v>35.300185169075526</v>
      </c>
      <c r="G113" s="10">
        <f t="shared" si="41"/>
        <v>25.774541116233983</v>
      </c>
      <c r="H113" s="10">
        <f t="shared" si="42"/>
        <v>25.215305653249157</v>
      </c>
      <c r="I113" s="11">
        <f>VLOOKUP($D113,_xlfn.IFS('Scenario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204.93193394801827</v>
      </c>
      <c r="J113" s="11">
        <f>VLOOKUP($D113,'Fuel economy adjusted factor'!$A$2:$AD$52,9,FALSE)</f>
        <v>153.16156799999999</v>
      </c>
      <c r="K113" s="10">
        <f>VLOOKUP($D113,'Fuel economy adjusted factor'!$A$2:$AD$52,8,FALSE)</f>
        <v>248.30090999999999</v>
      </c>
      <c r="L113" s="10">
        <f t="shared" si="43"/>
        <v>26.458051126548771</v>
      </c>
      <c r="M113" s="10">
        <v>84.75524127903364</v>
      </c>
      <c r="N113" s="10">
        <f t="shared" si="26"/>
        <v>25.774541116233983</v>
      </c>
      <c r="O113" s="10">
        <f>VLOOKUP($D113,'Fuel economy adjusted factor'!$A$2:$L$52,12,FALSE)*(1-'TCO Inputs'!$BD$9)+VLOOKUP($D113,'US Grid mix, emissions&amp;prices'!$H$169:$AJ$219,'TCO Inputs'!$AZ$12-2021,FALSE)*'TCO Inputs'!$BD$9</f>
        <v>179.90887445296948</v>
      </c>
      <c r="P113" s="5">
        <f t="shared" si="37"/>
        <v>43070</v>
      </c>
      <c r="Q113" s="5">
        <f t="shared" si="28"/>
        <v>25392.400000000001</v>
      </c>
      <c r="R113" s="15">
        <f t="shared" si="29"/>
        <v>27690</v>
      </c>
      <c r="S113" s="5">
        <f t="shared" si="30"/>
        <v>32586</v>
      </c>
      <c r="T113" s="5">
        <f>(P113-R113)/(((K113+H113)*AA113*14-(I113+F113)*AA113*14)*CONVERT(1,"g","ton"))</f>
        <v>1674.5044641907011</v>
      </c>
      <c r="U113" s="5">
        <f>(VLOOKUP($D113,'TCO Inputs'!$A$3:$AG$53,31,FALSE)-VLOOKUP($D113,'TCO Inputs'!$A$3:$AG$53,30,FALSE))/(((K113+H113)*AA113*'TCO Inputs'!$AZ$13-(I113+F113)*AA113*'TCO Inputs'!$AZ$13)*CONVERT(1,"g","ton"))</f>
        <v>1773.1659212493616</v>
      </c>
      <c r="V113" s="5">
        <f t="shared" si="45"/>
        <v>-88.03216259886085</v>
      </c>
      <c r="W113" s="5">
        <f>(VLOOKUP($D113,'TCO Inputs'!$A$3:$AG$53,32,FALSE)-VLOOKUP($D113,'TCO Inputs'!$A$3:$AG$53,30,FALSE))/(((K113+H113)*AA113*'TCO Inputs'!$AZ$13-(J113+G113)*AA113*'TCO Inputs'!$AZ$13)*CONVERT(1,"g","ton"))</f>
        <v>-298.50477599450255</v>
      </c>
      <c r="X113" s="31">
        <f>(S113-R113)/(((K113+H113)*AA113*14-(M113+L113)*AA113*14)*CONVERT(1,"g","ton"))</f>
        <v>109.31551731120612</v>
      </c>
      <c r="Y113" s="31">
        <f>(VLOOKUP($D113,'TCO Inputs'!$A$3:$AG$53,33,FALSE)-VLOOKUP($D113,'TCO Inputs'!$A$3:$AG$53,30,FALSE))/(((K113+H113)*AA113*'TCO Inputs'!$AZ$13-(L113+M113)*AA113*'TCO Inputs'!$AZ$13)*CONVERT(1,"g","ton"))</f>
        <v>-67.503124643926682</v>
      </c>
      <c r="Z113" s="11"/>
      <c r="AA113" s="26">
        <f>VLOOKUP(D113, 'VKT US'!$B$3:$D$54, 3,FALSE)</f>
        <v>17881.37674</v>
      </c>
      <c r="AB113" s="11">
        <f>VLOOKUP($D113,'VKT US'!$F$5:$S$55,14,FALSE)</f>
        <v>559800</v>
      </c>
      <c r="AC113" s="10"/>
      <c r="AD113" s="25"/>
      <c r="AE113" s="25"/>
      <c r="AF113" s="25"/>
      <c r="AG113" s="25"/>
    </row>
    <row r="114" spans="2:33" x14ac:dyDescent="0.25">
      <c r="B114" s="13" t="s">
        <v>148</v>
      </c>
      <c r="C114" s="13" t="s">
        <v>148</v>
      </c>
      <c r="D114" s="14" t="s">
        <v>233</v>
      </c>
      <c r="E114" s="6" t="s">
        <v>11</v>
      </c>
      <c r="F114" s="10">
        <f t="shared" si="40"/>
        <v>35.300185169075526</v>
      </c>
      <c r="G114" s="10">
        <f t="shared" si="41"/>
        <v>25.774541116233983</v>
      </c>
      <c r="H114" s="10">
        <f t="shared" si="42"/>
        <v>25.215305653249157</v>
      </c>
      <c r="I114" s="11">
        <f>VLOOKUP($D114,_xlfn.IFS('Scenario analysis'!$A$4="Reference",'US Grid mix, emissions&amp;prices'!$H$169:$AK$219,'Scenario analysis'!$A$4="HighNG &amp; LowRNW",'Scenario analysis'!$Z$117:$BC$167,'Scenario analysis'!$A$4="LowNG &amp; HighRNW",'Scenario analysis'!$Z$173:$BC$223,'Scenario analysis'!$A$4="MaxNG",'Scenario analysis'!$BM$117:$CP$167,'Scenario analysis'!$A$4="MaxRNW",'Scenario analysis'!$BM$173:$CP$223,'Scenario analysis'!$A$4="100%NG",'Scenario analysis'!$CR$117:$DU$167,'Scenario analysis'!$A$4="100%RNW",'Scenario analysis'!$CR$173:$DU$223,'Scenario analysis'!$A$4="100%Coal",'Scenario analysis'!$GH$173:$HK$223),'TCO Inputs'!$AZ$12-2021,FALSE)</f>
        <v>189.22375909220003</v>
      </c>
      <c r="J114" s="11">
        <f>VLOOKUP($D114,'Fuel economy adjusted factor'!$A$2:$AD$52,9,FALSE)</f>
        <v>130.18733280000001</v>
      </c>
      <c r="K114" s="10">
        <f>VLOOKUP($D114,'Fuel economy adjusted factor'!$A$2:$AD$52,8,FALSE)</f>
        <v>211.05577350000002</v>
      </c>
      <c r="L114" s="10">
        <f t="shared" si="43"/>
        <v>26.458051126548771</v>
      </c>
      <c r="M114" s="10">
        <v>84.75524127903364</v>
      </c>
      <c r="N114" s="10">
        <f t="shared" si="26"/>
        <v>25.774541116233983</v>
      </c>
      <c r="O114" s="10">
        <f>VLOOKUP($D114,'Fuel economy adjusted factor'!$A$2:$L$52,12,FALSE)*(1-'TCO Inputs'!$BD$9)+VLOOKUP($D114,'US Grid mix, emissions&amp;prices'!$H$169:$AJ$219,'TCO Inputs'!$AZ$12-2021,FALSE)*'TCO Inputs'!$BD$9</f>
        <v>160.73898320794402</v>
      </c>
      <c r="P114" s="5">
        <f t="shared" si="37"/>
        <v>43070</v>
      </c>
      <c r="Q114" s="5">
        <f t="shared" si="28"/>
        <v>25392.400000000001</v>
      </c>
      <c r="R114" s="15">
        <f t="shared" si="29"/>
        <v>27690</v>
      </c>
      <c r="S114" s="5">
        <f t="shared" si="30"/>
        <v>32586</v>
      </c>
      <c r="T114" s="5">
        <f>(P114-R114)/(((K114+H114)*AA114*14-(I114+F114)*AA114*14)*CONVERT(1,"g","ton"))</f>
        <v>4510.2858952882398</v>
      </c>
      <c r="U114" s="5">
        <f>(VLOOKUP($D114,'TCO Inputs'!$A$3:$AG$53,31,FALSE)-VLOOKUP($D114,'TCO Inputs'!$A$3:$AG$53,30,FALSE))/(((K114+H114)*AA114*'TCO Inputs'!$AZ$13-(I114+F114)*AA114*'TCO Inputs'!$AZ$13)*CONVERT(1,"g","ton"))</f>
        <v>4140.06394731617</v>
      </c>
      <c r="V114" s="5">
        <f t="shared" si="45"/>
        <v>-98.55729750479118</v>
      </c>
      <c r="W114" s="5">
        <f>(VLOOKUP($D114,'TCO Inputs'!$A$3:$AG$53,32,FALSE)-VLOOKUP($D114,'TCO Inputs'!$A$3:$AG$53,30,FALSE))/(((K114+H114)*AA114*'TCO Inputs'!$AZ$13-(J114+G114)*AA114*'TCO Inputs'!$AZ$13)*CONVERT(1,"g","ton"))</f>
        <v>-302.77321733487423</v>
      </c>
      <c r="X114" s="31">
        <f>(S114-R114)/(((K114+H114)*AA114*14-(M114+L114)*AA114*14)*CONVERT(1,"g","ton"))</f>
        <v>134.8684488588992</v>
      </c>
      <c r="Y114" s="31">
        <f>(VLOOKUP($D114,'TCO Inputs'!$A$3:$AG$53,33,FALSE)-VLOOKUP($D114,'TCO Inputs'!$A$3:$AG$53,30,FALSE))/(((K114+H114)*AA114*'TCO Inputs'!$AZ$13-(L114+M114)*AA114*'TCO Inputs'!$AZ$13)*CONVERT(1,"g","ton"))</f>
        <v>-63.393371221013638</v>
      </c>
      <c r="Z114" s="11"/>
      <c r="AA114" s="26">
        <f>VLOOKUP(D114, 'VKT US'!$B$3:$D$54, 3,FALSE)</f>
        <v>18809.965919999999</v>
      </c>
      <c r="AB114" s="11">
        <f>VLOOKUP($D114,'VKT US'!$F$5:$S$55,14,FALSE)</f>
        <v>1080100</v>
      </c>
      <c r="AC114" s="10"/>
      <c r="AD114" s="25"/>
      <c r="AE114" s="25"/>
      <c r="AF114" s="25"/>
      <c r="AG114" s="25"/>
    </row>
    <row r="116" spans="2:33" x14ac:dyDescent="0.25">
      <c r="P116" s="5">
        <f>R116+14271</f>
        <v>48068</v>
      </c>
      <c r="Q116" s="5">
        <f>R116+1250</f>
        <v>35047</v>
      </c>
      <c r="R116" s="5">
        <v>33797</v>
      </c>
      <c r="S116" s="5">
        <f>R116+6647</f>
        <v>40444</v>
      </c>
    </row>
    <row r="117" spans="2:33" x14ac:dyDescent="0.25">
      <c r="C117" t="s">
        <v>390</v>
      </c>
      <c r="D117" t="s">
        <v>391</v>
      </c>
      <c r="E117" t="s">
        <v>392</v>
      </c>
      <c r="F117" t="s">
        <v>393</v>
      </c>
      <c r="G117" t="s">
        <v>394</v>
      </c>
    </row>
    <row r="118" spans="2:33" x14ac:dyDescent="0.25">
      <c r="B118" t="s">
        <v>255</v>
      </c>
      <c r="C118" s="53">
        <f>MAX(US_Results!R3,US_Results!R5:R12,US_Results!R14:R52)</f>
        <v>21621.195648783643</v>
      </c>
      <c r="D118" s="53">
        <f>MIN(US_Results!R3,US_Results!R5:R12,US_Results!R14:R52)</f>
        <v>-7111.0615664656798</v>
      </c>
      <c r="E118" s="10">
        <f>C118-D118</f>
        <v>28732.257215249323</v>
      </c>
      <c r="F118" s="10" cm="1">
        <f t="array" ref="F118">_xlfn.IFS(D118&gt;=0,E118,AND(D118&lt;0,C118&gt;0),C118,AND(D118&lt;0,C118&lt;0),-E118,AND(D118&gt;=0,C118&gt;=0),E118)</f>
        <v>21621.195648783643</v>
      </c>
      <c r="G118" s="10">
        <f>IF(AND(C118&lt;0,D118&lt;0),C118,D118)</f>
        <v>-7111.0615664656798</v>
      </c>
      <c r="H118" s="10" cm="1">
        <f t="array" ref="H118">_xlfn.IFS(F118&gt;=0,G118,AND(F118&lt;0,E118&gt;0),E118,AND(F118&lt;0,E118&lt;0),-G118,AND(F118&gt;=0,E118&gt;=0),G118)</f>
        <v>-7111.0615664656798</v>
      </c>
    </row>
    <row r="119" spans="2:33" x14ac:dyDescent="0.25">
      <c r="B119" t="s">
        <v>254</v>
      </c>
      <c r="C119" s="53">
        <f>MAX(US_Results!AA3,US_Results!AA5:AA12,US_Results!AA14:AA52)</f>
        <v>-3669.9629321113462</v>
      </c>
      <c r="D119" s="53">
        <f>MIN(US_Results!AA3,US_Results!AA5:AA12,US_Results!AA14:AA52)</f>
        <v>-14059.40957913101</v>
      </c>
      <c r="E119" s="10">
        <f>C119-D119</f>
        <v>10389.446647019664</v>
      </c>
      <c r="F119" s="10" cm="1">
        <f t="array" ref="F119">_xlfn.IFS(D119&gt;=0,E119,AND(D119&lt;0,C119&gt;0),C119,AND(D119&lt;0,C119&lt;0),-E119,AND(D119&gt;=0,C119&gt;=0),E119)</f>
        <v>-10389.446647019664</v>
      </c>
      <c r="G119" s="10">
        <f>IF(AND(C119&lt;0,D119&lt;0),C119,D119)</f>
        <v>-3669.9629321113462</v>
      </c>
      <c r="H119" s="10" cm="1">
        <f t="array" ref="H119">_xlfn.IFS(F119&gt;=0,G119,AND(F119&lt;0,E119&gt;0),E119,AND(F119&lt;0,E119&lt;0),-G119,AND(F119&gt;=0,E119&gt;=0),G119)</f>
        <v>10389.446647019664</v>
      </c>
    </row>
    <row r="120" spans="2:33" x14ac:dyDescent="0.25">
      <c r="B120" t="s">
        <v>389</v>
      </c>
      <c r="C120" s="10">
        <f>MAX(Y65:Y112)</f>
        <v>110.77067217030364</v>
      </c>
      <c r="D120" s="10">
        <f>MIN(Y65:Y112)</f>
        <v>-72.017527511835013</v>
      </c>
      <c r="E120" s="10">
        <f>C120-D120</f>
        <v>182.78819968213867</v>
      </c>
      <c r="F120" s="10" cm="1">
        <f t="array" ref="F120">_xlfn.IFS(D120&gt;=0,E120,AND(D120&lt;0,C120&gt;0),C120,AND(D120&lt;0,C120&lt;0),-E120,AND(D120&gt;=0,C120&gt;=0),E120)</f>
        <v>110.77067217030364</v>
      </c>
      <c r="G120" s="10">
        <f>IF(AND(C120&lt;0,D120&lt;0),C120,D120)</f>
        <v>-72.017527511835013</v>
      </c>
      <c r="H120" s="10" cm="1">
        <f t="array" ref="H120">_xlfn.IFS(F120&gt;=0,G120,AND(F120&lt;0,E120&gt;0),E120,AND(F120&lt;0,E120&lt;0),-G120,AND(F120&gt;=0,E120&gt;=0),G120)</f>
        <v>-72.017527511835013</v>
      </c>
    </row>
  </sheetData>
  <pageMargins left="0.7" right="0.7" top="0.75" bottom="0.75" header="0.3" footer="0.3"/>
  <headerFooter>
    <oddFooter>&amp;C_x000D_&amp;1#&amp;"Calibri"&amp;14&amp;K008000 Classification: General Use</oddFooter>
  </headerFooter>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tabColor theme="8"/>
  </sheetPr>
  <dimension ref="A1:S80"/>
  <sheetViews>
    <sheetView workbookViewId="0">
      <selection activeCell="I38" sqref="I38"/>
    </sheetView>
  </sheetViews>
  <sheetFormatPr defaultRowHeight="15" x14ac:dyDescent="0.25"/>
  <cols>
    <col min="1" max="1" width="17" customWidth="1"/>
    <col min="2" max="2" width="20.140625" customWidth="1"/>
    <col min="3" max="3" width="23" customWidth="1"/>
    <col min="4" max="4" width="24.7109375" customWidth="1"/>
    <col min="5" max="6" width="27.7109375" customWidth="1"/>
    <col min="7" max="7" width="27" customWidth="1"/>
    <col min="8" max="8" width="24.42578125" customWidth="1"/>
    <col min="9" max="9" width="30" customWidth="1"/>
    <col min="10" max="10" width="22.85546875" customWidth="1"/>
    <col min="11" max="11" width="26.5703125" customWidth="1"/>
    <col min="16" max="16" width="19.7109375" customWidth="1"/>
    <col min="17" max="18" width="11.5703125" customWidth="1"/>
    <col min="19" max="19" width="11.140625" customWidth="1"/>
  </cols>
  <sheetData>
    <row r="1" spans="1:7" x14ac:dyDescent="0.25">
      <c r="B1" s="33" t="s">
        <v>291</v>
      </c>
      <c r="C1" s="33" t="s">
        <v>292</v>
      </c>
      <c r="D1" s="33" t="s">
        <v>295</v>
      </c>
      <c r="E1" s="33"/>
      <c r="F1" s="33"/>
      <c r="G1" s="33"/>
    </row>
    <row r="2" spans="1:7" x14ac:dyDescent="0.25">
      <c r="A2">
        <v>1</v>
      </c>
      <c r="B2" t="s">
        <v>267</v>
      </c>
      <c r="C2" s="32">
        <v>248</v>
      </c>
      <c r="D2" s="32">
        <f>C2*12</f>
        <v>2976</v>
      </c>
    </row>
    <row r="3" spans="1:7" x14ac:dyDescent="0.25">
      <c r="A3">
        <v>2</v>
      </c>
      <c r="B3" t="s">
        <v>268</v>
      </c>
      <c r="C3" s="32">
        <v>231</v>
      </c>
      <c r="D3" s="32">
        <f t="shared" ref="D3:D25" si="0">C3*12</f>
        <v>2772</v>
      </c>
    </row>
    <row r="4" spans="1:7" x14ac:dyDescent="0.25">
      <c r="A4">
        <v>3</v>
      </c>
      <c r="B4" t="s">
        <v>269</v>
      </c>
      <c r="C4" s="32">
        <v>177</v>
      </c>
      <c r="D4" s="32">
        <f t="shared" si="0"/>
        <v>2124</v>
      </c>
    </row>
    <row r="5" spans="1:7" x14ac:dyDescent="0.25">
      <c r="A5">
        <v>4</v>
      </c>
      <c r="B5" t="s">
        <v>270</v>
      </c>
      <c r="C5" s="32">
        <v>176</v>
      </c>
      <c r="D5" s="32">
        <f t="shared" si="0"/>
        <v>2112</v>
      </c>
    </row>
    <row r="6" spans="1:7" x14ac:dyDescent="0.25">
      <c r="A6">
        <v>5</v>
      </c>
      <c r="B6" t="s">
        <v>271</v>
      </c>
      <c r="C6" s="32">
        <v>174</v>
      </c>
      <c r="D6" s="32">
        <f t="shared" si="0"/>
        <v>2088</v>
      </c>
    </row>
    <row r="7" spans="1:7" x14ac:dyDescent="0.25">
      <c r="A7">
        <v>6</v>
      </c>
      <c r="B7" t="s">
        <v>272</v>
      </c>
      <c r="C7" s="32">
        <v>174</v>
      </c>
      <c r="D7" s="32">
        <f t="shared" si="0"/>
        <v>2088</v>
      </c>
      <c r="E7" s="54"/>
      <c r="F7" s="54"/>
      <c r="G7" s="54"/>
    </row>
    <row r="8" spans="1:7" x14ac:dyDescent="0.25">
      <c r="A8">
        <v>7</v>
      </c>
      <c r="B8" t="s">
        <v>273</v>
      </c>
      <c r="C8" s="32">
        <v>174</v>
      </c>
      <c r="D8" s="32">
        <f t="shared" si="0"/>
        <v>2088</v>
      </c>
    </row>
    <row r="9" spans="1:7" x14ac:dyDescent="0.25">
      <c r="A9">
        <v>8</v>
      </c>
      <c r="B9" t="s">
        <v>274</v>
      </c>
      <c r="C9" s="32">
        <v>174</v>
      </c>
      <c r="D9" s="32">
        <f t="shared" si="0"/>
        <v>2088</v>
      </c>
    </row>
    <row r="10" spans="1:7" x14ac:dyDescent="0.25">
      <c r="A10">
        <v>9</v>
      </c>
      <c r="B10" t="s">
        <v>275</v>
      </c>
      <c r="C10" s="32">
        <v>170</v>
      </c>
      <c r="D10" s="32">
        <f t="shared" si="0"/>
        <v>2040</v>
      </c>
    </row>
    <row r="11" spans="1:7" x14ac:dyDescent="0.25">
      <c r="A11">
        <v>10</v>
      </c>
      <c r="B11" t="s">
        <v>276</v>
      </c>
      <c r="C11" s="32">
        <v>167</v>
      </c>
      <c r="D11" s="32">
        <f t="shared" si="0"/>
        <v>2004</v>
      </c>
    </row>
    <row r="12" spans="1:7" x14ac:dyDescent="0.25">
      <c r="A12">
        <v>11</v>
      </c>
      <c r="B12" t="s">
        <v>277</v>
      </c>
      <c r="C12" s="32">
        <v>164</v>
      </c>
      <c r="D12" s="32">
        <f t="shared" si="0"/>
        <v>1968</v>
      </c>
    </row>
    <row r="13" spans="1:7" x14ac:dyDescent="0.25">
      <c r="A13">
        <v>12</v>
      </c>
      <c r="B13" t="s">
        <v>278</v>
      </c>
      <c r="C13" s="32">
        <v>162</v>
      </c>
      <c r="D13" s="32">
        <f t="shared" si="0"/>
        <v>1944</v>
      </c>
    </row>
    <row r="14" spans="1:7" x14ac:dyDescent="0.25">
      <c r="A14">
        <v>13</v>
      </c>
      <c r="B14" t="s">
        <v>279</v>
      </c>
      <c r="C14" s="32">
        <v>161</v>
      </c>
      <c r="D14" s="32">
        <f t="shared" si="0"/>
        <v>1932</v>
      </c>
    </row>
    <row r="15" spans="1:7" x14ac:dyDescent="0.25">
      <c r="A15">
        <v>14</v>
      </c>
      <c r="B15" t="s">
        <v>280</v>
      </c>
      <c r="C15" s="32">
        <v>160</v>
      </c>
      <c r="D15" s="32">
        <f t="shared" si="0"/>
        <v>1920</v>
      </c>
    </row>
    <row r="16" spans="1:7" x14ac:dyDescent="0.25">
      <c r="A16">
        <v>15</v>
      </c>
      <c r="B16" t="s">
        <v>281</v>
      </c>
      <c r="C16" s="32">
        <v>160</v>
      </c>
      <c r="D16" s="32">
        <f t="shared" si="0"/>
        <v>1920</v>
      </c>
    </row>
    <row r="17" spans="1:19" x14ac:dyDescent="0.25">
      <c r="A17">
        <v>16</v>
      </c>
      <c r="B17" t="s">
        <v>282</v>
      </c>
      <c r="C17" s="32">
        <v>157</v>
      </c>
      <c r="D17" s="32">
        <f t="shared" si="0"/>
        <v>1884</v>
      </c>
    </row>
    <row r="18" spans="1:19" x14ac:dyDescent="0.25">
      <c r="A18">
        <v>17</v>
      </c>
      <c r="B18" t="s">
        <v>283</v>
      </c>
      <c r="C18" s="32">
        <v>156</v>
      </c>
      <c r="D18" s="32">
        <f t="shared" si="0"/>
        <v>1872</v>
      </c>
    </row>
    <row r="19" spans="1:19" x14ac:dyDescent="0.25">
      <c r="A19">
        <v>18</v>
      </c>
      <c r="B19" t="s">
        <v>284</v>
      </c>
      <c r="C19" s="32">
        <v>155</v>
      </c>
      <c r="D19" s="32">
        <f t="shared" si="0"/>
        <v>1860</v>
      </c>
    </row>
    <row r="20" spans="1:19" x14ac:dyDescent="0.25">
      <c r="A20">
        <v>19</v>
      </c>
      <c r="B20" t="s">
        <v>285</v>
      </c>
      <c r="C20" s="32">
        <v>153</v>
      </c>
      <c r="D20" s="32">
        <f t="shared" si="0"/>
        <v>1836</v>
      </c>
    </row>
    <row r="21" spans="1:19" x14ac:dyDescent="0.25">
      <c r="A21">
        <v>20</v>
      </c>
      <c r="B21" t="s">
        <v>286</v>
      </c>
      <c r="C21" s="32">
        <v>152</v>
      </c>
      <c r="D21" s="32">
        <f t="shared" si="0"/>
        <v>1824</v>
      </c>
    </row>
    <row r="22" spans="1:19" x14ac:dyDescent="0.25">
      <c r="A22">
        <v>21</v>
      </c>
      <c r="B22" t="s">
        <v>287</v>
      </c>
      <c r="C22" s="32">
        <v>152</v>
      </c>
      <c r="D22" s="32">
        <f t="shared" si="0"/>
        <v>1824</v>
      </c>
    </row>
    <row r="23" spans="1:19" x14ac:dyDescent="0.25">
      <c r="A23">
        <v>22</v>
      </c>
      <c r="B23" t="s">
        <v>288</v>
      </c>
      <c r="C23" s="32">
        <v>151</v>
      </c>
      <c r="D23" s="32">
        <f t="shared" si="0"/>
        <v>1812</v>
      </c>
    </row>
    <row r="24" spans="1:19" x14ac:dyDescent="0.25">
      <c r="A24">
        <v>23</v>
      </c>
      <c r="B24" t="s">
        <v>289</v>
      </c>
      <c r="C24" s="32">
        <v>148</v>
      </c>
      <c r="D24" s="32">
        <f t="shared" si="0"/>
        <v>1776</v>
      </c>
    </row>
    <row r="25" spans="1:19" x14ac:dyDescent="0.25">
      <c r="A25">
        <v>24</v>
      </c>
      <c r="B25" t="s">
        <v>290</v>
      </c>
      <c r="C25" s="32">
        <v>146</v>
      </c>
      <c r="D25" s="32">
        <f t="shared" si="0"/>
        <v>1752</v>
      </c>
    </row>
    <row r="28" spans="1:19" x14ac:dyDescent="0.25">
      <c r="A28" s="33" t="s">
        <v>3</v>
      </c>
      <c r="B28" s="33" t="s">
        <v>294</v>
      </c>
      <c r="C28" s="33" t="s">
        <v>293</v>
      </c>
      <c r="D28" s="33" t="s">
        <v>361</v>
      </c>
      <c r="E28" s="33" t="s">
        <v>362</v>
      </c>
      <c r="F28" s="33" t="s">
        <v>364</v>
      </c>
      <c r="G28" s="33" t="s">
        <v>359</v>
      </c>
      <c r="H28" s="33" t="s">
        <v>358</v>
      </c>
      <c r="I28" s="33" t="s">
        <v>363</v>
      </c>
      <c r="J28" s="33" t="s">
        <v>360</v>
      </c>
      <c r="K28" s="33" t="s">
        <v>296</v>
      </c>
      <c r="Q28" s="33" t="s">
        <v>308</v>
      </c>
      <c r="R28" s="33" t="s">
        <v>255</v>
      </c>
      <c r="S28" s="33" t="s">
        <v>254</v>
      </c>
    </row>
    <row r="29" spans="1:19" x14ac:dyDescent="0.25">
      <c r="A29" t="s">
        <v>187</v>
      </c>
      <c r="B29" s="32">
        <v>195</v>
      </c>
      <c r="C29" s="32">
        <v>33</v>
      </c>
      <c r="D29" s="32">
        <f>B29-C29</f>
        <v>162</v>
      </c>
      <c r="E29" s="32">
        <f>D29+($C$7-$D$80)</f>
        <v>184.74509803921569</v>
      </c>
      <c r="F29" s="32">
        <f>E29*12</f>
        <v>2216.9411764705883</v>
      </c>
      <c r="G29" s="32">
        <f>E29+C29</f>
        <v>217.74509803921569</v>
      </c>
      <c r="H29" s="32">
        <f>G29*12</f>
        <v>2612.9411764705883</v>
      </c>
      <c r="I29" s="54">
        <f>E29*12/'TCO Inputs'!$AZ$29</f>
        <v>8.006288105708155E-2</v>
      </c>
      <c r="J29" s="32">
        <f>'TCO Inputs'!$BB$29*I29</f>
        <v>2310.214432902088</v>
      </c>
      <c r="K29" s="34">
        <v>0.02</v>
      </c>
      <c r="P29" s="3" t="s">
        <v>401</v>
      </c>
      <c r="Q29">
        <f>600+(0.0089*'TCO Inputs'!$AZ$29+221.42)*1.19</f>
        <v>1156.75459</v>
      </c>
      <c r="R29">
        <f>600+(0.0074*'TCO Inputs'!$BA$29+258.11)*1.19</f>
        <v>1286.4253199999998</v>
      </c>
      <c r="S29">
        <f>600+(0.0103*'TCO Inputs'!$BB$29+182.77)*1.19</f>
        <v>1171.1720350000001</v>
      </c>
    </row>
    <row r="30" spans="1:19" x14ac:dyDescent="0.25">
      <c r="A30" t="s">
        <v>231</v>
      </c>
      <c r="B30" s="32">
        <v>162</v>
      </c>
      <c r="C30" s="32">
        <v>39</v>
      </c>
      <c r="D30" s="32">
        <f t="shared" ref="D30:D79" si="1">B30-C30</f>
        <v>123</v>
      </c>
      <c r="E30" s="32">
        <f t="shared" ref="E30:E79" si="2">D30+($C$7-$D$80)</f>
        <v>145.74509803921569</v>
      </c>
      <c r="F30" s="32">
        <f t="shared" ref="F30:F79" si="3">E30*12</f>
        <v>1748.9411764705883</v>
      </c>
      <c r="G30" s="32">
        <f t="shared" ref="G30:G80" si="4">E30+C30</f>
        <v>184.74509803921569</v>
      </c>
      <c r="H30" s="32">
        <f t="shared" ref="H30:H79" si="5">G30*12</f>
        <v>2216.9411764705883</v>
      </c>
      <c r="I30" s="54">
        <f>E30*12/'TCO Inputs'!$AZ$29</f>
        <v>6.3161472606377334E-2</v>
      </c>
      <c r="J30" s="32">
        <f>'TCO Inputs'!$BB$29*I30</f>
        <v>1822.5242920570179</v>
      </c>
      <c r="K30" s="34">
        <v>0</v>
      </c>
    </row>
    <row r="31" spans="1:19" x14ac:dyDescent="0.25">
      <c r="A31" t="s">
        <v>189</v>
      </c>
      <c r="B31" s="32">
        <v>182</v>
      </c>
      <c r="C31" s="32">
        <v>34</v>
      </c>
      <c r="D31" s="32">
        <f t="shared" si="1"/>
        <v>148</v>
      </c>
      <c r="E31" s="32">
        <f t="shared" si="2"/>
        <v>170.74509803921569</v>
      </c>
      <c r="F31" s="32">
        <f t="shared" si="3"/>
        <v>2048.9411764705883</v>
      </c>
      <c r="G31" s="32">
        <f t="shared" si="4"/>
        <v>204.74509803921569</v>
      </c>
      <c r="H31" s="32">
        <f t="shared" si="5"/>
        <v>2456.9411764705883</v>
      </c>
      <c r="I31" s="54">
        <f>E31*12/'TCO Inputs'!$AZ$29</f>
        <v>7.3995708792726198E-2</v>
      </c>
      <c r="J31" s="32">
        <f>'TCO Inputs'!$BB$29*I31</f>
        <v>2135.1461772141142</v>
      </c>
      <c r="K31" s="34">
        <v>5.6000000000000001E-2</v>
      </c>
    </row>
    <row r="32" spans="1:19" x14ac:dyDescent="0.25">
      <c r="A32" t="s">
        <v>188</v>
      </c>
      <c r="B32" s="32">
        <v>223</v>
      </c>
      <c r="C32" s="32">
        <v>55</v>
      </c>
      <c r="D32" s="32">
        <f t="shared" si="1"/>
        <v>168</v>
      </c>
      <c r="E32" s="32">
        <f t="shared" si="2"/>
        <v>190.74509803921569</v>
      </c>
      <c r="F32" s="32">
        <f t="shared" si="3"/>
        <v>2288.9411764705883</v>
      </c>
      <c r="G32" s="32">
        <f t="shared" si="4"/>
        <v>245.74509803921569</v>
      </c>
      <c r="H32" s="32">
        <f t="shared" si="5"/>
        <v>2948.9411764705883</v>
      </c>
      <c r="I32" s="54">
        <f>E32*12/'TCO Inputs'!$AZ$29</f>
        <v>8.2663097741805289E-2</v>
      </c>
      <c r="J32" s="32">
        <f>'TCO Inputs'!$BB$29*I32</f>
        <v>2385.2436853397917</v>
      </c>
      <c r="K32" s="34">
        <v>6.5000000000000002E-2</v>
      </c>
    </row>
    <row r="33" spans="1:11" x14ac:dyDescent="0.25">
      <c r="A33" t="s">
        <v>149</v>
      </c>
      <c r="B33" s="32">
        <v>217</v>
      </c>
      <c r="C33" s="32">
        <v>46</v>
      </c>
      <c r="D33" s="32">
        <f t="shared" si="1"/>
        <v>171</v>
      </c>
      <c r="E33" s="32">
        <f t="shared" si="2"/>
        <v>193.74509803921569</v>
      </c>
      <c r="F33" s="32">
        <f t="shared" si="3"/>
        <v>2324.9411764705883</v>
      </c>
      <c r="G33" s="32">
        <f t="shared" si="4"/>
        <v>239.74509803921569</v>
      </c>
      <c r="H33" s="32">
        <f t="shared" si="5"/>
        <v>2876.9411764705883</v>
      </c>
      <c r="I33" s="54">
        <f>E33*12/'TCO Inputs'!$AZ$29</f>
        <v>8.3963206084167144E-2</v>
      </c>
      <c r="J33" s="32">
        <f>'TCO Inputs'!$BB$29*I33</f>
        <v>2422.7583115586431</v>
      </c>
      <c r="K33" s="34">
        <v>7.2499999999999995E-2</v>
      </c>
    </row>
    <row r="34" spans="1:11" x14ac:dyDescent="0.25">
      <c r="A34" t="s">
        <v>190</v>
      </c>
      <c r="B34" s="32">
        <v>210</v>
      </c>
      <c r="C34" s="32">
        <v>46</v>
      </c>
      <c r="D34" s="32">
        <f t="shared" si="1"/>
        <v>164</v>
      </c>
      <c r="E34" s="32">
        <f t="shared" si="2"/>
        <v>186.74509803921569</v>
      </c>
      <c r="F34" s="32">
        <f t="shared" si="3"/>
        <v>2240.9411764705883</v>
      </c>
      <c r="G34" s="32">
        <f t="shared" si="4"/>
        <v>232.74509803921569</v>
      </c>
      <c r="H34" s="32">
        <f t="shared" si="5"/>
        <v>2792.9411764705883</v>
      </c>
      <c r="I34" s="54">
        <f>E34*12/'TCO Inputs'!$AZ$29</f>
        <v>8.0929619951989468E-2</v>
      </c>
      <c r="J34" s="32">
        <f>'TCO Inputs'!$BB$29*I34</f>
        <v>2335.2241837146562</v>
      </c>
      <c r="K34" s="34">
        <v>2.9000000000000001E-2</v>
      </c>
    </row>
    <row r="35" spans="1:11" x14ac:dyDescent="0.25">
      <c r="A35" t="s">
        <v>191</v>
      </c>
      <c r="B35" s="32">
        <v>224</v>
      </c>
      <c r="C35" s="32">
        <v>62</v>
      </c>
      <c r="D35" s="32">
        <f t="shared" si="1"/>
        <v>162</v>
      </c>
      <c r="E35" s="32">
        <f t="shared" si="2"/>
        <v>184.74509803921569</v>
      </c>
      <c r="F35" s="32">
        <f t="shared" si="3"/>
        <v>2216.9411764705883</v>
      </c>
      <c r="G35" s="32">
        <f t="shared" si="4"/>
        <v>246.74509803921569</v>
      </c>
      <c r="H35" s="32">
        <f t="shared" si="5"/>
        <v>2960.9411764705883</v>
      </c>
      <c r="I35" s="54">
        <f>E35*12/'TCO Inputs'!$AZ$29</f>
        <v>8.006288105708155E-2</v>
      </c>
      <c r="J35" s="32">
        <f>'TCO Inputs'!$BB$29*I35</f>
        <v>2310.214432902088</v>
      </c>
      <c r="K35" s="34">
        <v>6.3500000000000001E-2</v>
      </c>
    </row>
    <row r="36" spans="1:11" x14ac:dyDescent="0.25">
      <c r="A36" t="s">
        <v>192</v>
      </c>
      <c r="B36" s="32">
        <v>219</v>
      </c>
      <c r="C36" s="32">
        <v>39</v>
      </c>
      <c r="D36" s="32">
        <f t="shared" si="1"/>
        <v>180</v>
      </c>
      <c r="E36" s="32">
        <f t="shared" si="2"/>
        <v>202.74509803921569</v>
      </c>
      <c r="F36" s="32">
        <f t="shared" si="3"/>
        <v>2432.9411764705883</v>
      </c>
      <c r="G36" s="32">
        <f t="shared" si="4"/>
        <v>241.74509803921569</v>
      </c>
      <c r="H36" s="32">
        <f t="shared" si="5"/>
        <v>2900.9411764705883</v>
      </c>
      <c r="I36" s="54">
        <f>E36*12/'TCO Inputs'!$AZ$29</f>
        <v>8.7863531111252738E-2</v>
      </c>
      <c r="J36" s="32">
        <f>'TCO Inputs'!$BB$29*I36</f>
        <v>2535.3021902151977</v>
      </c>
      <c r="K36" s="34">
        <v>0</v>
      </c>
    </row>
    <row r="37" spans="1:11" x14ac:dyDescent="0.25">
      <c r="A37" t="s">
        <v>232</v>
      </c>
      <c r="B37" s="32">
        <v>224</v>
      </c>
      <c r="C37" s="32">
        <v>62</v>
      </c>
      <c r="D37" s="32">
        <f t="shared" si="1"/>
        <v>162</v>
      </c>
      <c r="E37" s="32">
        <f t="shared" si="2"/>
        <v>184.74509803921569</v>
      </c>
      <c r="F37" s="32">
        <f t="shared" si="3"/>
        <v>2216.9411764705883</v>
      </c>
      <c r="G37" s="32">
        <f t="shared" si="4"/>
        <v>246.74509803921569</v>
      </c>
      <c r="H37" s="32">
        <f t="shared" si="5"/>
        <v>2960.9411764705883</v>
      </c>
      <c r="I37" s="54">
        <f>E37*12/'TCO Inputs'!$AZ$29</f>
        <v>8.006288105708155E-2</v>
      </c>
      <c r="J37" s="32">
        <f>'TCO Inputs'!$BB$29*I37</f>
        <v>2310.214432902088</v>
      </c>
      <c r="K37" s="34">
        <v>0.06</v>
      </c>
    </row>
    <row r="38" spans="1:11" x14ac:dyDescent="0.25">
      <c r="A38" t="s">
        <v>193</v>
      </c>
      <c r="B38" s="32">
        <v>313</v>
      </c>
      <c r="C38" s="32">
        <v>78</v>
      </c>
      <c r="D38" s="32">
        <f t="shared" si="1"/>
        <v>235</v>
      </c>
      <c r="E38" s="32">
        <f t="shared" si="2"/>
        <v>257.74509803921569</v>
      </c>
      <c r="F38" s="32">
        <f t="shared" si="3"/>
        <v>3092.9411764705883</v>
      </c>
      <c r="G38" s="32">
        <f t="shared" si="4"/>
        <v>335.74509803921569</v>
      </c>
      <c r="H38" s="32">
        <f t="shared" si="5"/>
        <v>4028.9411764705883</v>
      </c>
      <c r="I38" s="54">
        <f>E38*12/'TCO Inputs'!$AZ$29</f>
        <v>0.11169885072122024</v>
      </c>
      <c r="J38" s="32">
        <f>'TCO Inputs'!$BB$29*I38</f>
        <v>3223.07033756081</v>
      </c>
      <c r="K38" s="34">
        <v>0.06</v>
      </c>
    </row>
    <row r="39" spans="1:11" x14ac:dyDescent="0.25">
      <c r="A39" t="s">
        <v>194</v>
      </c>
      <c r="B39" s="32">
        <v>181</v>
      </c>
      <c r="C39" s="32">
        <v>24</v>
      </c>
      <c r="D39" s="32">
        <f t="shared" si="1"/>
        <v>157</v>
      </c>
      <c r="E39" s="32">
        <f t="shared" si="2"/>
        <v>179.74509803921569</v>
      </c>
      <c r="F39" s="32">
        <f t="shared" si="3"/>
        <v>2156.9411764705883</v>
      </c>
      <c r="G39" s="32">
        <f t="shared" si="4"/>
        <v>203.74509803921569</v>
      </c>
      <c r="H39" s="32">
        <f t="shared" si="5"/>
        <v>2444.9411764705883</v>
      </c>
      <c r="I39" s="54">
        <f>E39*12/'TCO Inputs'!$AZ$29</f>
        <v>7.7896033819811777E-2</v>
      </c>
      <c r="J39" s="32">
        <f>'TCO Inputs'!$BB$29*I39</f>
        <v>2247.6900558706689</v>
      </c>
      <c r="K39" s="34">
        <v>7.0000000000000007E-2</v>
      </c>
    </row>
    <row r="40" spans="1:11" x14ac:dyDescent="0.25">
      <c r="A40" t="s">
        <v>233</v>
      </c>
      <c r="B40" s="32">
        <v>121</v>
      </c>
      <c r="C40" s="32">
        <v>21</v>
      </c>
      <c r="D40" s="32">
        <f t="shared" si="1"/>
        <v>100</v>
      </c>
      <c r="E40" s="32">
        <f t="shared" si="2"/>
        <v>122.74509803921569</v>
      </c>
      <c r="F40" s="32">
        <f t="shared" si="3"/>
        <v>1472.9411764705883</v>
      </c>
      <c r="G40" s="32">
        <f t="shared" si="4"/>
        <v>143.74509803921569</v>
      </c>
      <c r="H40" s="32">
        <f t="shared" si="5"/>
        <v>1724.9411764705883</v>
      </c>
      <c r="I40" s="54">
        <f>E40*12/'TCO Inputs'!$AZ$29</f>
        <v>5.319397531493638E-2</v>
      </c>
      <c r="J40" s="32">
        <f>'TCO Inputs'!$BB$29*I40</f>
        <v>1534.9121577124893</v>
      </c>
      <c r="K40" s="34">
        <v>0.04</v>
      </c>
    </row>
    <row r="41" spans="1:11" x14ac:dyDescent="0.25">
      <c r="A41" t="s">
        <v>196</v>
      </c>
      <c r="B41" s="32">
        <v>122</v>
      </c>
      <c r="C41" s="32">
        <v>19</v>
      </c>
      <c r="D41" s="32">
        <f t="shared" si="1"/>
        <v>103</v>
      </c>
      <c r="E41" s="32">
        <f t="shared" si="2"/>
        <v>125.74509803921569</v>
      </c>
      <c r="F41" s="32">
        <f t="shared" si="3"/>
        <v>1508.9411764705883</v>
      </c>
      <c r="G41" s="32">
        <f t="shared" si="4"/>
        <v>144.74509803921569</v>
      </c>
      <c r="H41" s="32">
        <f t="shared" si="5"/>
        <v>1736.9411764705883</v>
      </c>
      <c r="I41" s="54">
        <f>E41*12/'TCO Inputs'!$AZ$29</f>
        <v>5.4494083657298242E-2</v>
      </c>
      <c r="J41" s="32">
        <f>'TCO Inputs'!$BB$29*I41</f>
        <v>1572.4267839313409</v>
      </c>
      <c r="K41" s="34">
        <v>0.06</v>
      </c>
    </row>
    <row r="42" spans="1:11" x14ac:dyDescent="0.25">
      <c r="A42" t="s">
        <v>197</v>
      </c>
      <c r="B42" s="32">
        <v>158</v>
      </c>
      <c r="C42" s="32">
        <v>32</v>
      </c>
      <c r="D42" s="32">
        <f t="shared" si="1"/>
        <v>126</v>
      </c>
      <c r="E42" s="32">
        <f t="shared" si="2"/>
        <v>148.74509803921569</v>
      </c>
      <c r="F42" s="32">
        <f t="shared" si="3"/>
        <v>1784.9411764705883</v>
      </c>
      <c r="G42" s="32">
        <f t="shared" si="4"/>
        <v>180.74509803921569</v>
      </c>
      <c r="H42" s="32">
        <f t="shared" si="5"/>
        <v>2168.9411764705883</v>
      </c>
      <c r="I42" s="54">
        <f>E42*12/'TCO Inputs'!$AZ$29</f>
        <v>6.4461580948739189E-2</v>
      </c>
      <c r="J42" s="32">
        <f>'TCO Inputs'!$BB$29*I42</f>
        <v>1860.0389182758693</v>
      </c>
      <c r="K42" s="34">
        <v>7.2499999999999995E-2</v>
      </c>
    </row>
    <row r="43" spans="1:11" x14ac:dyDescent="0.25">
      <c r="A43" t="s">
        <v>198</v>
      </c>
      <c r="B43" s="32">
        <v>147</v>
      </c>
      <c r="C43" s="32">
        <v>28</v>
      </c>
      <c r="D43" s="32">
        <f t="shared" si="1"/>
        <v>119</v>
      </c>
      <c r="E43" s="32">
        <f t="shared" si="2"/>
        <v>141.74509803921569</v>
      </c>
      <c r="F43" s="32">
        <f t="shared" si="3"/>
        <v>1700.9411764705883</v>
      </c>
      <c r="G43" s="32">
        <f t="shared" si="4"/>
        <v>169.74509803921569</v>
      </c>
      <c r="H43" s="32">
        <f t="shared" si="5"/>
        <v>2036.9411764705883</v>
      </c>
      <c r="I43" s="54">
        <f>E43*12/'TCO Inputs'!$AZ$29</f>
        <v>6.1427994816561513E-2</v>
      </c>
      <c r="J43" s="32">
        <f>'TCO Inputs'!$BB$29*I43</f>
        <v>1772.5047904318824</v>
      </c>
      <c r="K43" s="34">
        <v>7.0000000000000007E-2</v>
      </c>
    </row>
    <row r="44" spans="1:11" x14ac:dyDescent="0.25">
      <c r="A44" t="s">
        <v>195</v>
      </c>
      <c r="B44" s="32">
        <v>145</v>
      </c>
      <c r="C44" s="32">
        <v>32</v>
      </c>
      <c r="D44" s="32">
        <f t="shared" si="1"/>
        <v>113</v>
      </c>
      <c r="E44" s="32">
        <f t="shared" si="2"/>
        <v>135.74509803921569</v>
      </c>
      <c r="F44" s="32">
        <f t="shared" si="3"/>
        <v>1628.9411764705883</v>
      </c>
      <c r="G44" s="32">
        <f t="shared" si="4"/>
        <v>167.74509803921569</v>
      </c>
      <c r="H44" s="32">
        <f t="shared" si="5"/>
        <v>2012.9411764705883</v>
      </c>
      <c r="I44" s="54">
        <f>E44*12/'TCO Inputs'!$AZ$29</f>
        <v>5.8827778131837788E-2</v>
      </c>
      <c r="J44" s="32">
        <f>'TCO Inputs'!$BB$29*I44</f>
        <v>1697.4755379941794</v>
      </c>
      <c r="K44" s="34">
        <v>0.05</v>
      </c>
    </row>
    <row r="45" spans="1:11" x14ac:dyDescent="0.25">
      <c r="A45" t="s">
        <v>199</v>
      </c>
      <c r="B45" s="32">
        <v>203</v>
      </c>
      <c r="C45" s="32">
        <v>45</v>
      </c>
      <c r="D45" s="32">
        <f t="shared" si="1"/>
        <v>158</v>
      </c>
      <c r="E45" s="32">
        <f t="shared" si="2"/>
        <v>180.74509803921569</v>
      </c>
      <c r="F45" s="32">
        <f t="shared" si="3"/>
        <v>2168.9411764705883</v>
      </c>
      <c r="G45" s="32">
        <f t="shared" si="4"/>
        <v>225.74509803921569</v>
      </c>
      <c r="H45" s="32">
        <f t="shared" si="5"/>
        <v>2708.9411764705883</v>
      </c>
      <c r="I45" s="54">
        <f>E45*12/'TCO Inputs'!$AZ$29</f>
        <v>7.8329403267265743E-2</v>
      </c>
      <c r="J45" s="32">
        <f>'TCO Inputs'!$BB$29*I45</f>
        <v>2260.194931276953</v>
      </c>
      <c r="K45" s="34">
        <v>6.5000000000000002E-2</v>
      </c>
    </row>
    <row r="46" spans="1:11" x14ac:dyDescent="0.25">
      <c r="A46" t="s">
        <v>157</v>
      </c>
      <c r="B46" s="32">
        <v>247</v>
      </c>
      <c r="C46" s="32">
        <v>47</v>
      </c>
      <c r="D46" s="32">
        <f t="shared" si="1"/>
        <v>200</v>
      </c>
      <c r="E46" s="32">
        <f t="shared" si="2"/>
        <v>222.74509803921569</v>
      </c>
      <c r="F46" s="32">
        <f t="shared" si="3"/>
        <v>2672.9411764705883</v>
      </c>
      <c r="G46" s="32">
        <f t="shared" si="4"/>
        <v>269.74509803921569</v>
      </c>
      <c r="H46" s="32">
        <f t="shared" si="5"/>
        <v>3236.9411764705883</v>
      </c>
      <c r="I46" s="54">
        <f>E46*12/'TCO Inputs'!$AZ$29</f>
        <v>9.6530920060331829E-2</v>
      </c>
      <c r="J46" s="32">
        <f>'TCO Inputs'!$BB$29*I46</f>
        <v>2785.3996983408751</v>
      </c>
      <c r="K46" s="34">
        <v>0.06</v>
      </c>
    </row>
    <row r="47" spans="1:11" x14ac:dyDescent="0.25">
      <c r="A47" t="s">
        <v>200</v>
      </c>
      <c r="B47" s="32">
        <v>295</v>
      </c>
      <c r="C47" s="32">
        <v>62</v>
      </c>
      <c r="D47" s="32">
        <f t="shared" si="1"/>
        <v>233</v>
      </c>
      <c r="E47" s="32">
        <f t="shared" si="2"/>
        <v>255.74509803921569</v>
      </c>
      <c r="F47" s="32">
        <f t="shared" si="3"/>
        <v>3068.9411764705883</v>
      </c>
      <c r="G47" s="32">
        <f t="shared" si="4"/>
        <v>317.74509803921569</v>
      </c>
      <c r="H47" s="32">
        <f t="shared" si="5"/>
        <v>3812.9411764705883</v>
      </c>
      <c r="I47" s="54">
        <f>E47*12/'TCO Inputs'!$AZ$29</f>
        <v>0.11083211182631232</v>
      </c>
      <c r="J47" s="32">
        <f>'TCO Inputs'!$BB$29*I47</f>
        <v>3198.0605867482418</v>
      </c>
      <c r="K47" s="34">
        <v>4.4499999999999998E-2</v>
      </c>
    </row>
    <row r="48" spans="1:11" x14ac:dyDescent="0.25">
      <c r="A48" t="s">
        <v>203</v>
      </c>
      <c r="B48" s="32">
        <v>130</v>
      </c>
      <c r="C48" s="32">
        <v>23</v>
      </c>
      <c r="D48" s="32">
        <f t="shared" si="1"/>
        <v>107</v>
      </c>
      <c r="E48" s="32">
        <f t="shared" si="2"/>
        <v>129.74509803921569</v>
      </c>
      <c r="F48" s="32">
        <f t="shared" si="3"/>
        <v>1556.9411764705883</v>
      </c>
      <c r="G48" s="32">
        <f t="shared" si="4"/>
        <v>152.74509803921569</v>
      </c>
      <c r="H48" s="32">
        <f t="shared" si="5"/>
        <v>1832.9411764705883</v>
      </c>
      <c r="I48" s="54">
        <f>E48*12/'TCO Inputs'!$AZ$29</f>
        <v>5.6227561447114056E-2</v>
      </c>
      <c r="J48" s="32">
        <f>'TCO Inputs'!$BB$29*I48</f>
        <v>1622.4462855564761</v>
      </c>
      <c r="K48" s="34">
        <v>5.5E-2</v>
      </c>
    </row>
    <row r="49" spans="1:11" x14ac:dyDescent="0.25">
      <c r="A49" t="s">
        <v>202</v>
      </c>
      <c r="B49" s="32">
        <v>209</v>
      </c>
      <c r="C49" s="32">
        <v>41</v>
      </c>
      <c r="D49" s="32">
        <f t="shared" si="1"/>
        <v>168</v>
      </c>
      <c r="E49" s="32">
        <f t="shared" si="2"/>
        <v>190.74509803921569</v>
      </c>
      <c r="F49" s="32">
        <f t="shared" si="3"/>
        <v>2288.9411764705883</v>
      </c>
      <c r="G49" s="32">
        <f t="shared" si="4"/>
        <v>231.74509803921569</v>
      </c>
      <c r="H49" s="32">
        <f t="shared" si="5"/>
        <v>2780.9411764705883</v>
      </c>
      <c r="I49" s="54">
        <f>E49*12/'TCO Inputs'!$AZ$29</f>
        <v>8.2663097741805289E-2</v>
      </c>
      <c r="J49" s="32">
        <f>'TCO Inputs'!$BB$29*I49</f>
        <v>2385.2436853397917</v>
      </c>
      <c r="K49" s="34">
        <v>0.06</v>
      </c>
    </row>
    <row r="50" spans="1:11" x14ac:dyDescent="0.25">
      <c r="A50" t="s">
        <v>201</v>
      </c>
      <c r="B50" s="32">
        <v>174</v>
      </c>
      <c r="C50" s="32">
        <v>31</v>
      </c>
      <c r="D50" s="32">
        <f t="shared" si="1"/>
        <v>143</v>
      </c>
      <c r="E50" s="32">
        <f t="shared" si="2"/>
        <v>165.74509803921569</v>
      </c>
      <c r="F50" s="32">
        <f t="shared" si="3"/>
        <v>1988.9411764705883</v>
      </c>
      <c r="G50" s="32">
        <f t="shared" si="4"/>
        <v>196.74509803921569</v>
      </c>
      <c r="H50" s="32">
        <f t="shared" si="5"/>
        <v>2360.9411764705883</v>
      </c>
      <c r="I50" s="54">
        <f>E50*12/'TCO Inputs'!$AZ$29</f>
        <v>7.1828861555456425E-2</v>
      </c>
      <c r="J50" s="32">
        <f>'TCO Inputs'!$BB$29*I50</f>
        <v>2072.6218001826951</v>
      </c>
      <c r="K50" s="34">
        <v>6.25E-2</v>
      </c>
    </row>
    <row r="51" spans="1:11" x14ac:dyDescent="0.25">
      <c r="A51" t="s">
        <v>204</v>
      </c>
      <c r="B51" s="32">
        <v>264</v>
      </c>
      <c r="C51" s="32">
        <v>51</v>
      </c>
      <c r="D51" s="32">
        <f t="shared" si="1"/>
        <v>213</v>
      </c>
      <c r="E51" s="32">
        <f t="shared" si="2"/>
        <v>235.74509803921569</v>
      </c>
      <c r="F51" s="32">
        <f t="shared" si="3"/>
        <v>2828.9411764705883</v>
      </c>
      <c r="G51" s="32">
        <f t="shared" si="4"/>
        <v>286.74509803921569</v>
      </c>
      <c r="H51" s="32">
        <f t="shared" si="5"/>
        <v>3440.9411764705883</v>
      </c>
      <c r="I51" s="54">
        <f>E51*12/'TCO Inputs'!$AZ$29</f>
        <v>0.10216472287723323</v>
      </c>
      <c r="J51" s="32">
        <f>'TCO Inputs'!$BB$29*I51</f>
        <v>2947.9630786225648</v>
      </c>
      <c r="K51" s="34">
        <v>0.06</v>
      </c>
    </row>
    <row r="52" spans="1:11" x14ac:dyDescent="0.25">
      <c r="A52" t="s">
        <v>205</v>
      </c>
      <c r="B52" s="32">
        <v>160</v>
      </c>
      <c r="C52" s="32">
        <v>28</v>
      </c>
      <c r="D52" s="32">
        <f t="shared" si="1"/>
        <v>132</v>
      </c>
      <c r="E52" s="32">
        <f t="shared" si="2"/>
        <v>154.74509803921569</v>
      </c>
      <c r="F52" s="32">
        <f t="shared" si="3"/>
        <v>1856.9411764705883</v>
      </c>
      <c r="G52" s="32">
        <f t="shared" si="4"/>
        <v>182.74509803921569</v>
      </c>
      <c r="H52" s="32">
        <f t="shared" si="5"/>
        <v>2192.9411764705883</v>
      </c>
      <c r="I52" s="54">
        <f>E52*12/'TCO Inputs'!$AZ$29</f>
        <v>6.7061797633462927E-2</v>
      </c>
      <c r="J52" s="32">
        <f>'TCO Inputs'!$BB$29*I52</f>
        <v>1935.0681707135727</v>
      </c>
      <c r="K52" s="34">
        <v>6.88E-2</v>
      </c>
    </row>
    <row r="53" spans="1:11" x14ac:dyDescent="0.25">
      <c r="A53" t="s">
        <v>207</v>
      </c>
      <c r="B53" s="32">
        <v>240</v>
      </c>
      <c r="C53" s="32">
        <v>79</v>
      </c>
      <c r="D53" s="32">
        <f t="shared" si="1"/>
        <v>161</v>
      </c>
      <c r="E53" s="32">
        <f t="shared" si="2"/>
        <v>183.74509803921569</v>
      </c>
      <c r="F53" s="32">
        <f t="shared" si="3"/>
        <v>2204.9411764705883</v>
      </c>
      <c r="G53" s="32">
        <f t="shared" si="4"/>
        <v>262.74509803921569</v>
      </c>
      <c r="H53" s="32">
        <f t="shared" si="5"/>
        <v>3152.9411764705883</v>
      </c>
      <c r="I53" s="54">
        <f>E53*12/'TCO Inputs'!$AZ$29</f>
        <v>7.9629511609627598E-2</v>
      </c>
      <c r="J53" s="32">
        <f>'TCO Inputs'!$BB$29*I53</f>
        <v>2297.7095574958043</v>
      </c>
      <c r="K53" s="34">
        <v>0.05</v>
      </c>
    </row>
    <row r="54" spans="1:11" x14ac:dyDescent="0.25">
      <c r="A54" t="s">
        <v>206</v>
      </c>
      <c r="B54" s="32">
        <v>202</v>
      </c>
      <c r="C54" s="32">
        <v>47</v>
      </c>
      <c r="D54" s="32">
        <f t="shared" si="1"/>
        <v>155</v>
      </c>
      <c r="E54" s="32">
        <f t="shared" si="2"/>
        <v>177.74509803921569</v>
      </c>
      <c r="F54" s="32">
        <f t="shared" si="3"/>
        <v>2132.9411764705883</v>
      </c>
      <c r="G54" s="32">
        <f t="shared" si="4"/>
        <v>224.74509803921569</v>
      </c>
      <c r="H54" s="32">
        <f t="shared" si="5"/>
        <v>2696.9411764705883</v>
      </c>
      <c r="I54" s="54">
        <f>E54*12/'TCO Inputs'!$AZ$29</f>
        <v>7.7029294924903874E-2</v>
      </c>
      <c r="J54" s="32">
        <f>'TCO Inputs'!$BB$29*I54</f>
        <v>2222.6803050581011</v>
      </c>
      <c r="K54" s="34">
        <v>4.2299999999999997E-2</v>
      </c>
    </row>
    <row r="55" spans="1:11" x14ac:dyDescent="0.25">
      <c r="A55" t="s">
        <v>208</v>
      </c>
      <c r="B55" s="32">
        <v>194</v>
      </c>
      <c r="C55" s="32">
        <v>43</v>
      </c>
      <c r="D55" s="32">
        <f t="shared" si="1"/>
        <v>151</v>
      </c>
      <c r="E55" s="32">
        <f t="shared" si="2"/>
        <v>173.74509803921569</v>
      </c>
      <c r="F55" s="32">
        <f t="shared" si="3"/>
        <v>2084.9411764705883</v>
      </c>
      <c r="G55" s="32">
        <f t="shared" si="4"/>
        <v>216.74509803921569</v>
      </c>
      <c r="H55" s="32">
        <f t="shared" si="5"/>
        <v>2600.9411764705883</v>
      </c>
      <c r="I55" s="54">
        <f>E55*12/'TCO Inputs'!$AZ$29</f>
        <v>7.5295817135088053E-2</v>
      </c>
      <c r="J55" s="32">
        <f>'TCO Inputs'!$BB$29*I55</f>
        <v>2172.6608034329656</v>
      </c>
      <c r="K55" s="34">
        <v>0</v>
      </c>
    </row>
    <row r="56" spans="1:11" x14ac:dyDescent="0.25">
      <c r="A56" t="s">
        <v>211</v>
      </c>
      <c r="B56" s="32">
        <v>218</v>
      </c>
      <c r="C56" s="32">
        <v>45</v>
      </c>
      <c r="D56" s="32">
        <f t="shared" si="1"/>
        <v>173</v>
      </c>
      <c r="E56" s="32">
        <f t="shared" si="2"/>
        <v>195.74509803921569</v>
      </c>
      <c r="F56" s="32">
        <f t="shared" si="3"/>
        <v>2348.9411764705883</v>
      </c>
      <c r="G56" s="32">
        <f t="shared" si="4"/>
        <v>240.74509803921569</v>
      </c>
      <c r="H56" s="32">
        <f t="shared" si="5"/>
        <v>2888.9411764705883</v>
      </c>
      <c r="I56" s="54">
        <f>E56*12/'TCO Inputs'!$AZ$29</f>
        <v>8.4829944979075061E-2</v>
      </c>
      <c r="J56" s="32">
        <f>'TCO Inputs'!$BB$29*I56</f>
        <v>2447.7680623712108</v>
      </c>
      <c r="K56" s="34">
        <v>5.5E-2</v>
      </c>
    </row>
    <row r="57" spans="1:11" x14ac:dyDescent="0.25">
      <c r="A57" t="s">
        <v>215</v>
      </c>
      <c r="B57" s="32">
        <v>235</v>
      </c>
      <c r="C57" s="32">
        <v>42</v>
      </c>
      <c r="D57" s="32">
        <f t="shared" si="1"/>
        <v>193</v>
      </c>
      <c r="E57" s="32">
        <f t="shared" si="2"/>
        <v>215.74509803921569</v>
      </c>
      <c r="F57" s="32">
        <f t="shared" si="3"/>
        <v>2588.9411764705883</v>
      </c>
      <c r="G57" s="32">
        <f t="shared" si="4"/>
        <v>257.74509803921569</v>
      </c>
      <c r="H57" s="32">
        <f t="shared" si="5"/>
        <v>3092.9411764705883</v>
      </c>
      <c r="I57" s="54">
        <f>E57*12/'TCO Inputs'!$AZ$29</f>
        <v>9.3497333928154139E-2</v>
      </c>
      <c r="J57" s="32">
        <f>'TCO Inputs'!$BB$29*I57</f>
        <v>2697.8655704968878</v>
      </c>
      <c r="K57" s="34">
        <v>8.2500000000000004E-2</v>
      </c>
    </row>
    <row r="58" spans="1:11" x14ac:dyDescent="0.25">
      <c r="A58" t="s">
        <v>212</v>
      </c>
      <c r="B58" s="32">
        <v>150</v>
      </c>
      <c r="C58" s="32">
        <v>37</v>
      </c>
      <c r="D58" s="32">
        <f t="shared" si="1"/>
        <v>113</v>
      </c>
      <c r="E58" s="32">
        <f t="shared" si="2"/>
        <v>135.74509803921569</v>
      </c>
      <c r="F58" s="32">
        <f t="shared" si="3"/>
        <v>1628.9411764705883</v>
      </c>
      <c r="G58" s="32">
        <f t="shared" si="4"/>
        <v>172.74509803921569</v>
      </c>
      <c r="H58" s="32">
        <f t="shared" si="5"/>
        <v>2072.9411764705883</v>
      </c>
      <c r="I58" s="54">
        <f>E58*12/'TCO Inputs'!$AZ$29</f>
        <v>5.8827778131837788E-2</v>
      </c>
      <c r="J58" s="32">
        <f>'TCO Inputs'!$BB$29*I58</f>
        <v>1697.4755379941794</v>
      </c>
      <c r="K58" s="34">
        <v>0</v>
      </c>
    </row>
    <row r="59" spans="1:11" x14ac:dyDescent="0.25">
      <c r="A59" t="s">
        <v>213</v>
      </c>
      <c r="B59" s="32">
        <v>226</v>
      </c>
      <c r="C59" s="32">
        <v>33</v>
      </c>
      <c r="D59" s="32">
        <f t="shared" si="1"/>
        <v>193</v>
      </c>
      <c r="E59" s="32">
        <f t="shared" si="2"/>
        <v>215.74509803921569</v>
      </c>
      <c r="F59" s="32">
        <f t="shared" si="3"/>
        <v>2588.9411764705883</v>
      </c>
      <c r="G59" s="32">
        <f t="shared" si="4"/>
        <v>248.74509803921569</v>
      </c>
      <c r="H59" s="32">
        <f t="shared" si="5"/>
        <v>2984.9411764705883</v>
      </c>
      <c r="I59" s="54">
        <f>E59*12/'TCO Inputs'!$AZ$29</f>
        <v>9.3497333928154139E-2</v>
      </c>
      <c r="J59" s="32">
        <f>'TCO Inputs'!$BB$29*I59</f>
        <v>2697.8655704968878</v>
      </c>
      <c r="K59" s="34">
        <v>6.6299999999999998E-2</v>
      </c>
    </row>
    <row r="60" spans="1:11" x14ac:dyDescent="0.25">
      <c r="A60" t="s">
        <v>214</v>
      </c>
      <c r="B60" s="32">
        <v>172</v>
      </c>
      <c r="C60" s="32">
        <v>31</v>
      </c>
      <c r="D60" s="32">
        <f t="shared" si="1"/>
        <v>141</v>
      </c>
      <c r="E60" s="32">
        <f t="shared" si="2"/>
        <v>163.74509803921569</v>
      </c>
      <c r="F60" s="32">
        <f t="shared" si="3"/>
        <v>1964.9411764705883</v>
      </c>
      <c r="G60" s="32">
        <f t="shared" si="4"/>
        <v>194.74509803921569</v>
      </c>
      <c r="H60" s="32">
        <f t="shared" si="5"/>
        <v>2336.9411764705883</v>
      </c>
      <c r="I60" s="54">
        <f>E60*12/'TCO Inputs'!$AZ$29</f>
        <v>7.0962122660548507E-2</v>
      </c>
      <c r="J60" s="32">
        <f>'TCO Inputs'!$BB$29*I60</f>
        <v>2047.6120493701271</v>
      </c>
      <c r="K60" s="34">
        <v>0.04</v>
      </c>
    </row>
    <row r="61" spans="1:11" x14ac:dyDescent="0.25">
      <c r="A61" t="s">
        <v>216</v>
      </c>
      <c r="B61" s="32">
        <v>223</v>
      </c>
      <c r="C61" s="32">
        <v>27</v>
      </c>
      <c r="D61" s="32">
        <f t="shared" si="1"/>
        <v>196</v>
      </c>
      <c r="E61" s="32">
        <f t="shared" si="2"/>
        <v>218.74509803921569</v>
      </c>
      <c r="F61" s="32">
        <f t="shared" si="3"/>
        <v>2624.9411764705883</v>
      </c>
      <c r="G61" s="32">
        <f t="shared" si="4"/>
        <v>245.74509803921569</v>
      </c>
      <c r="H61" s="32">
        <f t="shared" si="5"/>
        <v>2948.9411764705883</v>
      </c>
      <c r="I61" s="54">
        <f>E61*12/'TCO Inputs'!$AZ$29</f>
        <v>9.4797442270516008E-2</v>
      </c>
      <c r="J61" s="32">
        <f>'TCO Inputs'!$BB$29*I61</f>
        <v>2735.3801967157392</v>
      </c>
      <c r="K61" s="34">
        <v>0.04</v>
      </c>
    </row>
    <row r="62" spans="1:11" x14ac:dyDescent="0.25">
      <c r="A62" t="s">
        <v>209</v>
      </c>
      <c r="B62" s="32">
        <v>105</v>
      </c>
      <c r="C62" s="32">
        <v>11</v>
      </c>
      <c r="D62" s="32">
        <f t="shared" si="1"/>
        <v>94</v>
      </c>
      <c r="E62" s="32">
        <f t="shared" si="2"/>
        <v>116.74509803921569</v>
      </c>
      <c r="F62" s="32">
        <f t="shared" si="3"/>
        <v>1400.9411764705883</v>
      </c>
      <c r="G62" s="32">
        <f t="shared" si="4"/>
        <v>127.74509803921569</v>
      </c>
      <c r="H62" s="32">
        <f t="shared" si="5"/>
        <v>1532.9411764705883</v>
      </c>
      <c r="I62" s="54">
        <f>E62*12/'TCO Inputs'!$AZ$29</f>
        <v>5.0593758630212649E-2</v>
      </c>
      <c r="J62" s="32">
        <f>'TCO Inputs'!$BB$29*I62</f>
        <v>1459.882905274786</v>
      </c>
      <c r="K62" s="34">
        <v>0.03</v>
      </c>
    </row>
    <row r="63" spans="1:11" x14ac:dyDescent="0.25">
      <c r="A63" t="s">
        <v>210</v>
      </c>
      <c r="B63" s="32">
        <v>167</v>
      </c>
      <c r="C63" s="32">
        <v>31</v>
      </c>
      <c r="D63" s="32">
        <f t="shared" si="1"/>
        <v>136</v>
      </c>
      <c r="E63" s="32">
        <f t="shared" si="2"/>
        <v>158.74509803921569</v>
      </c>
      <c r="F63" s="32">
        <f t="shared" si="3"/>
        <v>1904.9411764705883</v>
      </c>
      <c r="G63" s="32">
        <f t="shared" si="4"/>
        <v>189.74509803921569</v>
      </c>
      <c r="H63" s="32">
        <f t="shared" si="5"/>
        <v>2276.9411764705883</v>
      </c>
      <c r="I63" s="54">
        <f>E63*12/'TCO Inputs'!$AZ$29</f>
        <v>6.8795275423278734E-2</v>
      </c>
      <c r="J63" s="32">
        <f>'TCO Inputs'!$BB$29*I63</f>
        <v>1985.087672338708</v>
      </c>
      <c r="K63" s="34">
        <v>0.05</v>
      </c>
    </row>
    <row r="64" spans="1:11" x14ac:dyDescent="0.25">
      <c r="A64" t="s">
        <v>217</v>
      </c>
      <c r="B64" s="32">
        <v>119</v>
      </c>
      <c r="C64" s="32">
        <v>22</v>
      </c>
      <c r="D64" s="32">
        <f t="shared" si="1"/>
        <v>97</v>
      </c>
      <c r="E64" s="32">
        <f t="shared" si="2"/>
        <v>119.74509803921569</v>
      </c>
      <c r="F64" s="32">
        <f t="shared" si="3"/>
        <v>1436.9411764705883</v>
      </c>
      <c r="G64" s="32">
        <f t="shared" si="4"/>
        <v>141.74509803921569</v>
      </c>
      <c r="H64" s="32">
        <f t="shared" si="5"/>
        <v>1700.9411764705883</v>
      </c>
      <c r="I64" s="54">
        <f>E64*12/'TCO Inputs'!$AZ$29</f>
        <v>5.1893866972574511E-2</v>
      </c>
      <c r="J64" s="32">
        <f>'TCO Inputs'!$BB$29*I64</f>
        <v>1497.3975314936374</v>
      </c>
      <c r="K64" s="34">
        <v>5.7500000000000002E-2</v>
      </c>
    </row>
    <row r="65" spans="1:11" x14ac:dyDescent="0.25">
      <c r="A65" t="s">
        <v>218</v>
      </c>
      <c r="B65" s="32">
        <v>208</v>
      </c>
      <c r="C65" s="32">
        <v>36</v>
      </c>
      <c r="D65" s="32">
        <f t="shared" si="1"/>
        <v>172</v>
      </c>
      <c r="E65" s="32">
        <f t="shared" si="2"/>
        <v>194.74509803921569</v>
      </c>
      <c r="F65" s="32">
        <f t="shared" si="3"/>
        <v>2336.9411764705883</v>
      </c>
      <c r="G65" s="32">
        <f t="shared" si="4"/>
        <v>230.74509803921569</v>
      </c>
      <c r="H65" s="32">
        <f t="shared" si="5"/>
        <v>2768.9411764705883</v>
      </c>
      <c r="I65" s="54">
        <f>E65*12/'TCO Inputs'!$AZ$29</f>
        <v>8.4396575531621096E-2</v>
      </c>
      <c r="J65" s="32">
        <f>'TCO Inputs'!$BB$29*I65</f>
        <v>2435.2631869649267</v>
      </c>
      <c r="K65" s="34">
        <v>3.2500000000000001E-2</v>
      </c>
    </row>
    <row r="66" spans="1:11" x14ac:dyDescent="0.25">
      <c r="A66" t="s">
        <v>219</v>
      </c>
      <c r="B66" s="32">
        <v>151</v>
      </c>
      <c r="C66" s="32">
        <v>25</v>
      </c>
      <c r="D66" s="32">
        <f t="shared" si="1"/>
        <v>126</v>
      </c>
      <c r="E66" s="32">
        <f t="shared" si="2"/>
        <v>148.74509803921569</v>
      </c>
      <c r="F66" s="32">
        <f t="shared" si="3"/>
        <v>1784.9411764705883</v>
      </c>
      <c r="G66" s="32">
        <f t="shared" si="4"/>
        <v>173.74509803921569</v>
      </c>
      <c r="H66" s="32">
        <f t="shared" si="5"/>
        <v>2084.9411764705883</v>
      </c>
      <c r="I66" s="54">
        <f>E66*12/'TCO Inputs'!$AZ$29</f>
        <v>6.4461580948739189E-2</v>
      </c>
      <c r="J66" s="32">
        <f>'TCO Inputs'!$BB$29*I66</f>
        <v>1860.0389182758693</v>
      </c>
      <c r="K66" s="34">
        <v>0</v>
      </c>
    </row>
    <row r="67" spans="1:11" x14ac:dyDescent="0.25">
      <c r="A67" t="s">
        <v>220</v>
      </c>
      <c r="B67" s="32">
        <v>193</v>
      </c>
      <c r="C67" s="32">
        <v>37</v>
      </c>
      <c r="D67" s="32">
        <f t="shared" si="1"/>
        <v>156</v>
      </c>
      <c r="E67" s="32">
        <f t="shared" si="2"/>
        <v>178.74509803921569</v>
      </c>
      <c r="F67" s="32">
        <f t="shared" si="3"/>
        <v>2144.9411764705883</v>
      </c>
      <c r="G67" s="32">
        <f t="shared" si="4"/>
        <v>215.74509803921569</v>
      </c>
      <c r="H67" s="32">
        <f t="shared" si="5"/>
        <v>2588.9411764705883</v>
      </c>
      <c r="I67" s="54">
        <f>E67*12/'TCO Inputs'!$AZ$29</f>
        <v>7.7462664372357826E-2</v>
      </c>
      <c r="J67" s="32">
        <f>'TCO Inputs'!$BB$29*I67</f>
        <v>2235.1851804643852</v>
      </c>
      <c r="K67" s="34">
        <v>0.06</v>
      </c>
    </row>
    <row r="68" spans="1:11" x14ac:dyDescent="0.25">
      <c r="A68" t="s">
        <v>221</v>
      </c>
      <c r="B68" s="32">
        <v>224</v>
      </c>
      <c r="C68" s="32">
        <v>51</v>
      </c>
      <c r="D68" s="32">
        <f t="shared" si="1"/>
        <v>173</v>
      </c>
      <c r="E68" s="32">
        <f t="shared" si="2"/>
        <v>195.74509803921569</v>
      </c>
      <c r="F68" s="32">
        <f t="shared" si="3"/>
        <v>2348.9411764705883</v>
      </c>
      <c r="G68" s="32">
        <f t="shared" si="4"/>
        <v>246.74509803921569</v>
      </c>
      <c r="H68" s="32">
        <f t="shared" si="5"/>
        <v>2960.9411764705883</v>
      </c>
      <c r="I68" s="54">
        <f>E68*12/'TCO Inputs'!$AZ$29</f>
        <v>8.4829944979075061E-2</v>
      </c>
      <c r="J68" s="32">
        <f>'TCO Inputs'!$BB$29*I68</f>
        <v>2447.7680623712108</v>
      </c>
      <c r="K68" s="34">
        <v>7.0000000000000007E-2</v>
      </c>
    </row>
    <row r="69" spans="1:11" x14ac:dyDescent="0.25">
      <c r="A69" t="s">
        <v>222</v>
      </c>
      <c r="B69" s="32">
        <v>210</v>
      </c>
      <c r="C69" s="32">
        <v>36</v>
      </c>
      <c r="D69" s="32">
        <f t="shared" si="1"/>
        <v>174</v>
      </c>
      <c r="E69" s="32">
        <f t="shared" si="2"/>
        <v>196.74509803921569</v>
      </c>
      <c r="F69" s="32">
        <f t="shared" si="3"/>
        <v>2360.9411764705883</v>
      </c>
      <c r="G69" s="32">
        <f t="shared" si="4"/>
        <v>232.74509803921569</v>
      </c>
      <c r="H69" s="32">
        <f t="shared" si="5"/>
        <v>2792.9411764705883</v>
      </c>
      <c r="I69" s="54">
        <f>E69*12/'TCO Inputs'!$AZ$29</f>
        <v>8.5263314426529013E-2</v>
      </c>
      <c r="J69" s="32">
        <f>'TCO Inputs'!$BB$29*I69</f>
        <v>2460.2729377774945</v>
      </c>
      <c r="K69" s="34">
        <v>0.05</v>
      </c>
    </row>
    <row r="70" spans="1:11" x14ac:dyDescent="0.25">
      <c r="A70" t="s">
        <v>223</v>
      </c>
      <c r="B70" s="32">
        <v>184</v>
      </c>
      <c r="C70" s="32">
        <v>34</v>
      </c>
      <c r="D70" s="32">
        <f t="shared" si="1"/>
        <v>150</v>
      </c>
      <c r="E70" s="32">
        <f t="shared" si="2"/>
        <v>172.74509803921569</v>
      </c>
      <c r="F70" s="32">
        <f t="shared" si="3"/>
        <v>2072.9411764705883</v>
      </c>
      <c r="G70" s="32">
        <f t="shared" si="4"/>
        <v>206.74509803921569</v>
      </c>
      <c r="H70" s="32">
        <f t="shared" si="5"/>
        <v>2480.9411764705883</v>
      </c>
      <c r="I70" s="54">
        <f>E70*12/'TCO Inputs'!$AZ$29</f>
        <v>7.4862447687634101E-2</v>
      </c>
      <c r="J70" s="32">
        <f>'TCO Inputs'!$BB$29*I70</f>
        <v>2160.155928026682</v>
      </c>
      <c r="K70" s="34">
        <v>0.04</v>
      </c>
    </row>
    <row r="71" spans="1:11" x14ac:dyDescent="0.25">
      <c r="A71" t="s">
        <v>224</v>
      </c>
      <c r="B71" s="32">
        <v>162</v>
      </c>
      <c r="C71" s="32">
        <v>38</v>
      </c>
      <c r="D71" s="32">
        <f t="shared" si="1"/>
        <v>124</v>
      </c>
      <c r="E71" s="32">
        <f t="shared" si="2"/>
        <v>146.74509803921569</v>
      </c>
      <c r="F71" s="32">
        <f t="shared" si="3"/>
        <v>1760.9411764705883</v>
      </c>
      <c r="G71" s="32">
        <f t="shared" si="4"/>
        <v>184.74509803921569</v>
      </c>
      <c r="H71" s="32">
        <f t="shared" si="5"/>
        <v>2216.9411764705883</v>
      </c>
      <c r="I71" s="54">
        <f>E71*12/'TCO Inputs'!$AZ$29</f>
        <v>6.3594842053831285E-2</v>
      </c>
      <c r="J71" s="32">
        <f>'TCO Inputs'!$BB$29*I71</f>
        <v>1835.0291674633017</v>
      </c>
      <c r="K71" s="34">
        <v>7.0000000000000007E-2</v>
      </c>
    </row>
    <row r="72" spans="1:11" x14ac:dyDescent="0.25">
      <c r="A72" t="s">
        <v>225</v>
      </c>
      <c r="B72" s="32">
        <v>196</v>
      </c>
      <c r="C72" s="32">
        <v>30</v>
      </c>
      <c r="D72" s="32">
        <f t="shared" si="1"/>
        <v>166</v>
      </c>
      <c r="E72" s="32">
        <f t="shared" si="2"/>
        <v>188.74509803921569</v>
      </c>
      <c r="F72" s="32">
        <f t="shared" si="3"/>
        <v>2264.9411764705883</v>
      </c>
      <c r="G72" s="32">
        <f t="shared" si="4"/>
        <v>218.74509803921569</v>
      </c>
      <c r="H72" s="32">
        <f t="shared" si="5"/>
        <v>2624.9411764705883</v>
      </c>
      <c r="I72" s="54">
        <f>E72*12/'TCO Inputs'!$AZ$29</f>
        <v>8.1796358846897371E-2</v>
      </c>
      <c r="J72" s="32">
        <f>'TCO Inputs'!$BB$29*I72</f>
        <v>2360.2339345272235</v>
      </c>
      <c r="K72" s="34">
        <v>6.25E-2</v>
      </c>
    </row>
    <row r="73" spans="1:11" x14ac:dyDescent="0.25">
      <c r="A73" t="s">
        <v>226</v>
      </c>
      <c r="B73" s="32">
        <v>172</v>
      </c>
      <c r="C73" s="32">
        <v>33</v>
      </c>
      <c r="D73" s="32">
        <f t="shared" si="1"/>
        <v>139</v>
      </c>
      <c r="E73" s="32">
        <f t="shared" si="2"/>
        <v>161.74509803921569</v>
      </c>
      <c r="F73" s="32">
        <f t="shared" si="3"/>
        <v>1940.9411764705883</v>
      </c>
      <c r="G73" s="32">
        <f t="shared" si="4"/>
        <v>194.74509803921569</v>
      </c>
      <c r="H73" s="32">
        <f t="shared" si="5"/>
        <v>2336.9411764705883</v>
      </c>
      <c r="I73" s="54">
        <f>E73*12/'TCO Inputs'!$AZ$29</f>
        <v>7.0095383765640604E-2</v>
      </c>
      <c r="J73" s="32">
        <f>'TCO Inputs'!$BB$29*I73</f>
        <v>2022.6022985575596</v>
      </c>
      <c r="K73" s="34">
        <v>6.8500000000000005E-2</v>
      </c>
    </row>
    <row r="74" spans="1:11" x14ac:dyDescent="0.25">
      <c r="A74" t="s">
        <v>228</v>
      </c>
      <c r="B74" s="32">
        <v>141</v>
      </c>
      <c r="C74" s="32">
        <v>32</v>
      </c>
      <c r="D74" s="32">
        <f t="shared" si="1"/>
        <v>109</v>
      </c>
      <c r="E74" s="32">
        <f t="shared" si="2"/>
        <v>131.74509803921569</v>
      </c>
      <c r="F74" s="32">
        <f t="shared" si="3"/>
        <v>1580.9411764705883</v>
      </c>
      <c r="G74" s="32">
        <f t="shared" si="4"/>
        <v>163.74509803921569</v>
      </c>
      <c r="H74" s="32">
        <f t="shared" si="5"/>
        <v>1964.9411764705883</v>
      </c>
      <c r="I74" s="54">
        <f>E74*12/'TCO Inputs'!$AZ$29</f>
        <v>5.7094300342021967E-2</v>
      </c>
      <c r="J74" s="32">
        <f>'TCO Inputs'!$BB$29*I74</f>
        <v>1647.4560363690439</v>
      </c>
      <c r="K74" s="34">
        <v>0.06</v>
      </c>
    </row>
    <row r="75" spans="1:11" x14ac:dyDescent="0.25">
      <c r="A75" t="s">
        <v>227</v>
      </c>
      <c r="B75" s="32">
        <v>193</v>
      </c>
      <c r="C75" s="32">
        <v>68</v>
      </c>
      <c r="D75" s="32">
        <f t="shared" si="1"/>
        <v>125</v>
      </c>
      <c r="E75" s="32">
        <f t="shared" si="2"/>
        <v>147.74509803921569</v>
      </c>
      <c r="F75" s="32">
        <f t="shared" si="3"/>
        <v>1772.9411764705883</v>
      </c>
      <c r="G75" s="32">
        <f t="shared" si="4"/>
        <v>215.74509803921569</v>
      </c>
      <c r="H75" s="32">
        <f t="shared" si="5"/>
        <v>2588.9411764705883</v>
      </c>
      <c r="I75" s="54">
        <f>E75*12/'TCO Inputs'!$AZ$29</f>
        <v>6.4028211501285237E-2</v>
      </c>
      <c r="J75" s="32">
        <f>'TCO Inputs'!$BB$29*I75</f>
        <v>1847.5340428695856</v>
      </c>
      <c r="K75" s="34">
        <v>4.1500000000000002E-2</v>
      </c>
    </row>
    <row r="76" spans="1:11" x14ac:dyDescent="0.25">
      <c r="A76" t="s">
        <v>229</v>
      </c>
      <c r="B76" s="32">
        <v>180</v>
      </c>
      <c r="C76" s="32">
        <v>34</v>
      </c>
      <c r="D76" s="32">
        <f t="shared" si="1"/>
        <v>146</v>
      </c>
      <c r="E76" s="32">
        <f t="shared" si="2"/>
        <v>168.74509803921569</v>
      </c>
      <c r="F76" s="32">
        <f t="shared" si="3"/>
        <v>2024.9411764705883</v>
      </c>
      <c r="G76" s="32">
        <f t="shared" si="4"/>
        <v>202.74509803921569</v>
      </c>
      <c r="H76" s="32">
        <f t="shared" si="5"/>
        <v>2432.9411764705883</v>
      </c>
      <c r="I76" s="54">
        <f>E76*12/'TCO Inputs'!$AZ$29</f>
        <v>7.312896989781828E-2</v>
      </c>
      <c r="J76" s="32">
        <f>'TCO Inputs'!$BB$29*I76</f>
        <v>2110.1364264015465</v>
      </c>
      <c r="K76" s="34">
        <v>6.5000000000000002E-2</v>
      </c>
    </row>
    <row r="77" spans="1:11" x14ac:dyDescent="0.25">
      <c r="A77" t="s">
        <v>159</v>
      </c>
      <c r="B77" s="32">
        <v>199</v>
      </c>
      <c r="C77" s="32">
        <v>44</v>
      </c>
      <c r="D77" s="32">
        <f t="shared" si="1"/>
        <v>155</v>
      </c>
      <c r="E77" s="32">
        <f t="shared" si="2"/>
        <v>177.74509803921569</v>
      </c>
      <c r="F77" s="32">
        <f t="shared" si="3"/>
        <v>2132.9411764705883</v>
      </c>
      <c r="G77" s="32">
        <f t="shared" si="4"/>
        <v>221.74509803921569</v>
      </c>
      <c r="H77" s="32">
        <f t="shared" si="5"/>
        <v>2660.9411764705883</v>
      </c>
      <c r="I77" s="54">
        <f>E77*12/'TCO Inputs'!$AZ$29</f>
        <v>7.7029294924903874E-2</v>
      </c>
      <c r="J77" s="32">
        <f>'TCO Inputs'!$BB$29*I77</f>
        <v>2222.6803050581011</v>
      </c>
      <c r="K77" s="34">
        <v>0.06</v>
      </c>
    </row>
    <row r="78" spans="1:11" x14ac:dyDescent="0.25">
      <c r="A78" t="s">
        <v>158</v>
      </c>
      <c r="B78" s="32">
        <v>132</v>
      </c>
      <c r="C78" s="32">
        <v>24</v>
      </c>
      <c r="D78" s="32">
        <f t="shared" si="1"/>
        <v>108</v>
      </c>
      <c r="E78" s="32">
        <f t="shared" si="2"/>
        <v>130.74509803921569</v>
      </c>
      <c r="F78" s="32">
        <f t="shared" si="3"/>
        <v>1568.9411764705883</v>
      </c>
      <c r="G78" s="32">
        <f t="shared" si="4"/>
        <v>154.74509803921569</v>
      </c>
      <c r="H78" s="32">
        <f t="shared" si="5"/>
        <v>1856.9411764705883</v>
      </c>
      <c r="I78" s="54">
        <f>E78*12/'TCO Inputs'!$AZ$29</f>
        <v>5.6660930894568015E-2</v>
      </c>
      <c r="J78" s="32">
        <f>'TCO Inputs'!$BB$29*I78</f>
        <v>1634.95116096276</v>
      </c>
      <c r="K78" s="34">
        <v>0.05</v>
      </c>
    </row>
    <row r="79" spans="1:11" x14ac:dyDescent="0.25">
      <c r="A79" t="s">
        <v>160</v>
      </c>
      <c r="B79" s="32">
        <v>170</v>
      </c>
      <c r="C79" s="32">
        <v>29</v>
      </c>
      <c r="D79" s="32">
        <f t="shared" si="1"/>
        <v>141</v>
      </c>
      <c r="E79" s="32">
        <f t="shared" si="2"/>
        <v>163.74509803921569</v>
      </c>
      <c r="F79" s="32">
        <f t="shared" si="3"/>
        <v>1964.9411764705883</v>
      </c>
      <c r="G79" s="32">
        <f t="shared" si="4"/>
        <v>192.74509803921569</v>
      </c>
      <c r="H79" s="32">
        <f t="shared" si="5"/>
        <v>2312.9411764705883</v>
      </c>
      <c r="I79" s="54">
        <f>E79*12/'TCO Inputs'!$AZ$29</f>
        <v>7.0962122660548507E-2</v>
      </c>
      <c r="J79" s="32">
        <f>'TCO Inputs'!$BB$29*I79</f>
        <v>2047.6120493701271</v>
      </c>
      <c r="K79" s="34">
        <v>0.04</v>
      </c>
    </row>
    <row r="80" spans="1:11" x14ac:dyDescent="0.25">
      <c r="A80" t="s">
        <v>134</v>
      </c>
      <c r="B80" s="32">
        <f>AVERAGE(B29:B79)</f>
        <v>190.01960784313727</v>
      </c>
      <c r="C80" s="32">
        <f>AVERAGE(C29:C79)</f>
        <v>38.764705882352942</v>
      </c>
      <c r="D80" s="32">
        <f>AVERAGE(D29:D79)</f>
        <v>151.25490196078431</v>
      </c>
      <c r="E80" s="32">
        <f t="shared" ref="E80:K80" si="6">AVERAGE(E29:E79)</f>
        <v>174.00000000000011</v>
      </c>
      <c r="F80" s="32">
        <f t="shared" si="6"/>
        <v>2087.9999999999995</v>
      </c>
      <c r="G80" s="32">
        <f t="shared" si="4"/>
        <v>212.76470588235304</v>
      </c>
      <c r="H80" s="32">
        <f t="shared" si="6"/>
        <v>2553.1764705882347</v>
      </c>
      <c r="I80" s="54">
        <f t="shared" si="6"/>
        <v>7.5406283856988068E-2</v>
      </c>
      <c r="J80" s="32">
        <f t="shared" si="6"/>
        <v>2175.8483206933906</v>
      </c>
      <c r="K80" s="69">
        <f t="shared" si="6"/>
        <v>4.9958823529411778E-2</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8"/>
  </sheetPr>
  <dimension ref="B2:AB119"/>
  <sheetViews>
    <sheetView topLeftCell="A19" zoomScale="115" zoomScaleNormal="115" workbookViewId="0">
      <selection activeCell="S56" sqref="S56"/>
    </sheetView>
  </sheetViews>
  <sheetFormatPr defaultRowHeight="15" x14ac:dyDescent="0.25"/>
  <cols>
    <col min="2" max="2" width="16.42578125" bestFit="1" customWidth="1"/>
    <col min="3" max="3" width="21.140625" bestFit="1" customWidth="1"/>
    <col min="4" max="5" width="11.7109375" bestFit="1" customWidth="1"/>
    <col min="6" max="6" width="24.140625" customWidth="1"/>
    <col min="7" max="7" width="21" customWidth="1"/>
    <col min="8" max="8" width="28.140625" customWidth="1"/>
    <col min="9" max="9" width="23" customWidth="1"/>
    <col min="10" max="10" width="16" customWidth="1"/>
    <col min="11" max="11" width="24" customWidth="1"/>
    <col min="12" max="12" width="22.42578125" customWidth="1"/>
    <col min="13" max="13" width="11.7109375" customWidth="1"/>
    <col min="14" max="14" width="14.85546875" customWidth="1"/>
    <col min="15" max="15" width="11.7109375" bestFit="1" customWidth="1"/>
    <col min="16" max="16" width="16.7109375" customWidth="1"/>
    <col min="17" max="17" width="12.85546875" customWidth="1"/>
    <col min="18" max="18" width="16.85546875" customWidth="1"/>
    <col min="19" max="19" width="15.5703125" customWidth="1"/>
    <col min="20" max="20" width="11.7109375" bestFit="1" customWidth="1"/>
    <col min="21" max="21" width="14.140625" bestFit="1" customWidth="1"/>
    <col min="22" max="22" width="11.28515625" customWidth="1"/>
    <col min="23" max="23" width="12.140625" bestFit="1" customWidth="1"/>
    <col min="24" max="27" width="11.7109375" bestFit="1" customWidth="1"/>
    <col min="28" max="28" width="27.5703125" customWidth="1"/>
  </cols>
  <sheetData>
    <row r="2" spans="2:23" x14ac:dyDescent="0.25">
      <c r="B2" t="s">
        <v>3</v>
      </c>
      <c r="C2" t="s">
        <v>230</v>
      </c>
      <c r="D2" t="s">
        <v>450</v>
      </c>
    </row>
    <row r="3" spans="2:23" x14ac:dyDescent="0.25">
      <c r="B3" t="s">
        <v>187</v>
      </c>
      <c r="C3" s="20">
        <v>17817</v>
      </c>
      <c r="D3">
        <f t="shared" ref="D3:D34" si="0">C3*m2k</f>
        <v>28673.610779999999</v>
      </c>
      <c r="F3" s="3" t="s">
        <v>439</v>
      </c>
    </row>
    <row r="4" spans="2:23" x14ac:dyDescent="0.25">
      <c r="B4" t="s">
        <v>231</v>
      </c>
      <c r="C4" s="20">
        <v>11111</v>
      </c>
      <c r="D4">
        <f t="shared" si="0"/>
        <v>17881.37674</v>
      </c>
      <c r="F4" t="s">
        <v>3</v>
      </c>
      <c r="G4" t="s">
        <v>234</v>
      </c>
      <c r="H4" t="s">
        <v>235</v>
      </c>
      <c r="I4" t="s">
        <v>236</v>
      </c>
      <c r="J4" t="s">
        <v>237</v>
      </c>
      <c r="K4" t="s">
        <v>238</v>
      </c>
      <c r="L4" t="s">
        <v>239</v>
      </c>
      <c r="M4" t="s">
        <v>240</v>
      </c>
      <c r="N4" t="s">
        <v>241</v>
      </c>
      <c r="O4" t="s">
        <v>242</v>
      </c>
      <c r="P4" t="s">
        <v>243</v>
      </c>
      <c r="Q4" t="s">
        <v>244</v>
      </c>
      <c r="R4" t="s">
        <v>245</v>
      </c>
      <c r="V4" t="s">
        <v>249</v>
      </c>
      <c r="W4" t="s">
        <v>150</v>
      </c>
    </row>
    <row r="5" spans="2:23" x14ac:dyDescent="0.25">
      <c r="B5" t="s">
        <v>189</v>
      </c>
      <c r="C5" s="20">
        <v>13090</v>
      </c>
      <c r="D5">
        <f t="shared" si="0"/>
        <v>21066.260600000001</v>
      </c>
      <c r="F5" t="s">
        <v>187</v>
      </c>
      <c r="G5" s="20">
        <v>13000</v>
      </c>
      <c r="H5" s="20">
        <v>5800</v>
      </c>
      <c r="I5" s="20">
        <v>63300</v>
      </c>
      <c r="J5" s="20">
        <v>54200</v>
      </c>
      <c r="K5" s="20">
        <v>441200</v>
      </c>
      <c r="L5">
        <v>100</v>
      </c>
      <c r="M5">
        <v>100</v>
      </c>
      <c r="N5">
        <v>0</v>
      </c>
      <c r="O5">
        <v>0</v>
      </c>
      <c r="P5" s="20">
        <v>4102200</v>
      </c>
      <c r="Q5" s="20">
        <v>127000</v>
      </c>
      <c r="R5" s="20">
        <v>29000</v>
      </c>
      <c r="S5" s="20">
        <f>SUM(G5:R5)</f>
        <v>4835900</v>
      </c>
      <c r="U5" t="s">
        <v>149</v>
      </c>
      <c r="V5">
        <f>VLOOKUP(U5,$F$5:$S$55,14,FALSE)</f>
        <v>36850300</v>
      </c>
      <c r="W5">
        <f>VLOOKUP(U5,$B$3:$D$53,3,FALSE)</f>
        <v>20155.374159999999</v>
      </c>
    </row>
    <row r="6" spans="2:23" x14ac:dyDescent="0.25">
      <c r="B6" t="s">
        <v>188</v>
      </c>
      <c r="C6" s="20">
        <v>17224</v>
      </c>
      <c r="D6">
        <f t="shared" si="0"/>
        <v>27719.27216</v>
      </c>
      <c r="F6" t="s">
        <v>231</v>
      </c>
      <c r="G6" s="20">
        <v>2700</v>
      </c>
      <c r="H6">
        <v>900</v>
      </c>
      <c r="I6" s="20">
        <v>10600</v>
      </c>
      <c r="J6" s="20">
        <v>9600</v>
      </c>
      <c r="K6" s="20">
        <v>46800</v>
      </c>
      <c r="L6">
        <v>0</v>
      </c>
      <c r="M6">
        <v>0</v>
      </c>
      <c r="N6">
        <v>0</v>
      </c>
      <c r="O6">
        <v>0</v>
      </c>
      <c r="P6" s="20">
        <v>454300</v>
      </c>
      <c r="Q6" s="20">
        <v>29800</v>
      </c>
      <c r="R6" s="20">
        <v>5100</v>
      </c>
      <c r="S6" s="20">
        <f t="shared" ref="S6:S56" si="1">SUM(G6:R6)</f>
        <v>559800</v>
      </c>
      <c r="U6" t="s">
        <v>157</v>
      </c>
      <c r="V6">
        <f t="shared" ref="V6:V52" si="2">VLOOKUP(U6,$F$5:$S$55,14,FALSE)</f>
        <v>4039700</v>
      </c>
      <c r="W6">
        <f t="shared" ref="W6:W52" si="3">VLOOKUP(U6,$B$3:$D$53,3,FALSE)</f>
        <v>26240.288700000001</v>
      </c>
    </row>
    <row r="7" spans="2:23" x14ac:dyDescent="0.25">
      <c r="B7" t="s">
        <v>149</v>
      </c>
      <c r="C7" s="20">
        <v>12524</v>
      </c>
      <c r="D7">
        <f t="shared" si="0"/>
        <v>20155.374159999999</v>
      </c>
      <c r="F7" t="s">
        <v>189</v>
      </c>
      <c r="G7" s="20">
        <v>89800</v>
      </c>
      <c r="H7" s="20">
        <v>25600</v>
      </c>
      <c r="I7" s="20">
        <v>175700</v>
      </c>
      <c r="J7" s="20">
        <v>68600</v>
      </c>
      <c r="K7" s="20">
        <v>437100</v>
      </c>
      <c r="L7">
        <v>600</v>
      </c>
      <c r="M7">
        <v>700</v>
      </c>
      <c r="N7">
        <v>0</v>
      </c>
      <c r="O7">
        <v>0</v>
      </c>
      <c r="P7" s="20">
        <v>5469000</v>
      </c>
      <c r="Q7" s="20">
        <v>197700</v>
      </c>
      <c r="R7" s="20">
        <v>64200</v>
      </c>
      <c r="S7" s="20">
        <f t="shared" si="1"/>
        <v>6529000</v>
      </c>
      <c r="U7" t="s">
        <v>158</v>
      </c>
      <c r="V7">
        <f t="shared" si="2"/>
        <v>5529000</v>
      </c>
      <c r="W7">
        <f t="shared" si="3"/>
        <v>24851.42828</v>
      </c>
    </row>
    <row r="8" spans="2:23" x14ac:dyDescent="0.25">
      <c r="B8" t="s">
        <v>190</v>
      </c>
      <c r="C8" s="20">
        <v>12899</v>
      </c>
      <c r="D8">
        <f t="shared" si="0"/>
        <v>20758.876660000002</v>
      </c>
      <c r="F8" t="s">
        <v>188</v>
      </c>
      <c r="G8" s="20">
        <v>7100</v>
      </c>
      <c r="H8" s="20">
        <v>3200</v>
      </c>
      <c r="I8" s="20">
        <v>37000</v>
      </c>
      <c r="J8" s="20">
        <v>37000</v>
      </c>
      <c r="K8" s="20">
        <v>276700</v>
      </c>
      <c r="L8">
        <v>200</v>
      </c>
      <c r="M8">
        <v>0</v>
      </c>
      <c r="N8">
        <v>0</v>
      </c>
      <c r="O8">
        <v>0</v>
      </c>
      <c r="P8" s="20">
        <v>2246100</v>
      </c>
      <c r="Q8" s="20">
        <v>90700</v>
      </c>
      <c r="R8" s="20">
        <v>10300</v>
      </c>
      <c r="S8" s="20">
        <f t="shared" si="1"/>
        <v>2708300</v>
      </c>
      <c r="U8" t="s">
        <v>160</v>
      </c>
      <c r="V8">
        <f t="shared" si="2"/>
        <v>652900</v>
      </c>
      <c r="W8">
        <f t="shared" si="3"/>
        <v>38735.204460000001</v>
      </c>
    </row>
    <row r="9" spans="2:23" x14ac:dyDescent="0.25">
      <c r="B9" t="s">
        <v>191</v>
      </c>
      <c r="C9" s="20">
        <v>12117</v>
      </c>
      <c r="D9">
        <f t="shared" si="0"/>
        <v>19500.372780000002</v>
      </c>
      <c r="F9" t="s">
        <v>149</v>
      </c>
      <c r="G9" s="20">
        <v>1256600</v>
      </c>
      <c r="H9" s="20">
        <v>410700</v>
      </c>
      <c r="I9" s="20">
        <v>1703200</v>
      </c>
      <c r="J9" s="20">
        <v>201600</v>
      </c>
      <c r="K9" s="20">
        <v>1314600</v>
      </c>
      <c r="L9" s="20">
        <v>10100</v>
      </c>
      <c r="M9" s="20">
        <v>1500</v>
      </c>
      <c r="N9" s="20">
        <v>16900</v>
      </c>
      <c r="O9">
        <v>0</v>
      </c>
      <c r="P9" s="20">
        <v>31191900</v>
      </c>
      <c r="Q9" s="20">
        <v>735300</v>
      </c>
      <c r="R9" s="20">
        <v>7900</v>
      </c>
      <c r="S9" s="20">
        <f t="shared" si="1"/>
        <v>36850300</v>
      </c>
      <c r="U9" t="s">
        <v>159</v>
      </c>
      <c r="V9">
        <f t="shared" si="2"/>
        <v>1510900</v>
      </c>
      <c r="W9">
        <f t="shared" si="3"/>
        <v>27159.221839999998</v>
      </c>
    </row>
    <row r="10" spans="2:23" x14ac:dyDescent="0.25">
      <c r="B10" t="s">
        <v>192</v>
      </c>
      <c r="C10" s="20">
        <v>12609</v>
      </c>
      <c r="D10">
        <f t="shared" si="0"/>
        <v>20292.16806</v>
      </c>
      <c r="F10" t="s">
        <v>190</v>
      </c>
      <c r="G10" s="20">
        <v>90100</v>
      </c>
      <c r="H10" s="20">
        <v>37500</v>
      </c>
      <c r="I10" s="20">
        <v>152700</v>
      </c>
      <c r="J10" s="20">
        <v>68100</v>
      </c>
      <c r="K10" s="20">
        <v>334300</v>
      </c>
      <c r="L10">
        <v>300</v>
      </c>
      <c r="M10">
        <v>100</v>
      </c>
      <c r="N10">
        <v>0</v>
      </c>
      <c r="O10">
        <v>0</v>
      </c>
      <c r="P10" s="20">
        <v>4508800</v>
      </c>
      <c r="Q10" s="20">
        <v>203400</v>
      </c>
      <c r="R10" s="20">
        <v>46500</v>
      </c>
      <c r="S10" s="20">
        <f t="shared" si="1"/>
        <v>5441800</v>
      </c>
      <c r="U10" t="s">
        <v>187</v>
      </c>
      <c r="V10">
        <f t="shared" si="2"/>
        <v>4835900</v>
      </c>
      <c r="W10">
        <f t="shared" si="3"/>
        <v>28673.610779999999</v>
      </c>
    </row>
    <row r="11" spans="2:23" x14ac:dyDescent="0.25">
      <c r="B11" t="s">
        <v>232</v>
      </c>
      <c r="C11" s="20">
        <v>7013</v>
      </c>
      <c r="D11">
        <f t="shared" si="0"/>
        <v>11286.30142</v>
      </c>
      <c r="F11" t="s">
        <v>191</v>
      </c>
      <c r="G11" s="20">
        <v>31600</v>
      </c>
      <c r="H11" s="20">
        <v>18400</v>
      </c>
      <c r="I11" s="20">
        <v>75300</v>
      </c>
      <c r="J11" s="20">
        <v>10900</v>
      </c>
      <c r="K11" s="20">
        <v>133600</v>
      </c>
      <c r="L11">
        <v>100</v>
      </c>
      <c r="M11">
        <v>0</v>
      </c>
      <c r="N11">
        <v>0</v>
      </c>
      <c r="O11">
        <v>0</v>
      </c>
      <c r="P11" s="20">
        <v>2612600</v>
      </c>
      <c r="Q11" s="20">
        <v>42300</v>
      </c>
      <c r="R11" s="20">
        <v>20900</v>
      </c>
      <c r="S11" s="20">
        <f t="shared" si="1"/>
        <v>2945700</v>
      </c>
      <c r="U11" t="s">
        <v>188</v>
      </c>
      <c r="V11">
        <f t="shared" si="2"/>
        <v>2708300</v>
      </c>
      <c r="W11">
        <f t="shared" si="3"/>
        <v>27719.27216</v>
      </c>
    </row>
    <row r="12" spans="2:23" x14ac:dyDescent="0.25">
      <c r="B12" t="s">
        <v>193</v>
      </c>
      <c r="C12" s="20">
        <v>14557</v>
      </c>
      <c r="D12">
        <f t="shared" si="0"/>
        <v>23427.162380000002</v>
      </c>
      <c r="F12" t="s">
        <v>192</v>
      </c>
      <c r="G12" s="20">
        <v>8400</v>
      </c>
      <c r="H12" s="20">
        <v>3800</v>
      </c>
      <c r="I12" s="20">
        <v>22900</v>
      </c>
      <c r="J12" s="20">
        <v>5100</v>
      </c>
      <c r="K12" s="20">
        <v>63900</v>
      </c>
      <c r="L12">
        <v>0</v>
      </c>
      <c r="M12">
        <v>0</v>
      </c>
      <c r="N12">
        <v>0</v>
      </c>
      <c r="O12">
        <v>0</v>
      </c>
      <c r="P12" s="20">
        <v>791300</v>
      </c>
      <c r="Q12" s="20">
        <v>14200</v>
      </c>
      <c r="R12" s="20">
        <v>5100</v>
      </c>
      <c r="S12" s="20">
        <f t="shared" si="1"/>
        <v>914700</v>
      </c>
      <c r="U12" t="s">
        <v>189</v>
      </c>
      <c r="V12">
        <f t="shared" si="2"/>
        <v>6529000</v>
      </c>
      <c r="W12">
        <f t="shared" si="3"/>
        <v>21066.260600000001</v>
      </c>
    </row>
    <row r="13" spans="2:23" x14ac:dyDescent="0.25">
      <c r="B13" t="s">
        <v>194</v>
      </c>
      <c r="C13" s="20">
        <v>18334</v>
      </c>
      <c r="D13">
        <f t="shared" si="0"/>
        <v>29505.63956</v>
      </c>
      <c r="F13" t="s">
        <v>232</v>
      </c>
      <c r="G13" s="20">
        <v>8100</v>
      </c>
      <c r="H13" s="20">
        <v>3700</v>
      </c>
      <c r="I13" s="20">
        <v>18100</v>
      </c>
      <c r="J13">
        <v>400</v>
      </c>
      <c r="K13" s="20">
        <v>16800</v>
      </c>
      <c r="L13">
        <v>100</v>
      </c>
      <c r="M13">
        <v>0</v>
      </c>
      <c r="N13">
        <v>0</v>
      </c>
      <c r="O13">
        <v>0</v>
      </c>
      <c r="P13" s="20">
        <v>262500</v>
      </c>
      <c r="Q13" s="20">
        <v>1800</v>
      </c>
      <c r="R13">
        <v>600</v>
      </c>
      <c r="S13" s="20">
        <f t="shared" si="1"/>
        <v>312100</v>
      </c>
      <c r="U13" t="s">
        <v>190</v>
      </c>
      <c r="V13">
        <f t="shared" si="2"/>
        <v>5441800</v>
      </c>
      <c r="W13">
        <f t="shared" si="3"/>
        <v>20758.876660000002</v>
      </c>
    </row>
    <row r="14" spans="2:23" x14ac:dyDescent="0.25">
      <c r="B14" t="s">
        <v>233</v>
      </c>
      <c r="C14" s="20">
        <v>11688</v>
      </c>
      <c r="D14">
        <f t="shared" si="0"/>
        <v>18809.965919999999</v>
      </c>
      <c r="F14" t="s">
        <v>193</v>
      </c>
      <c r="G14" s="20">
        <v>254900</v>
      </c>
      <c r="H14" s="20">
        <v>57300</v>
      </c>
      <c r="I14" s="20">
        <v>414500</v>
      </c>
      <c r="J14" s="20">
        <v>170500</v>
      </c>
      <c r="K14" s="20">
        <v>1101100</v>
      </c>
      <c r="L14">
        <v>400</v>
      </c>
      <c r="M14">
        <v>100</v>
      </c>
      <c r="N14">
        <v>0</v>
      </c>
      <c r="O14">
        <v>0</v>
      </c>
      <c r="P14" s="20">
        <v>16136500</v>
      </c>
      <c r="Q14" s="20">
        <v>351800</v>
      </c>
      <c r="R14" s="20">
        <v>96100</v>
      </c>
      <c r="S14" s="20">
        <f t="shared" si="1"/>
        <v>18583200</v>
      </c>
      <c r="U14" t="s">
        <v>191</v>
      </c>
      <c r="V14">
        <f t="shared" si="2"/>
        <v>2945700</v>
      </c>
      <c r="W14">
        <f t="shared" si="3"/>
        <v>19500.372780000002</v>
      </c>
    </row>
    <row r="15" spans="2:23" x14ac:dyDescent="0.25">
      <c r="B15" t="s">
        <v>196</v>
      </c>
      <c r="C15" s="20">
        <v>14417</v>
      </c>
      <c r="D15">
        <f t="shared" si="0"/>
        <v>23201.854780000001</v>
      </c>
      <c r="F15" t="s">
        <v>194</v>
      </c>
      <c r="G15" s="20">
        <v>92400</v>
      </c>
      <c r="H15" s="20">
        <v>22700</v>
      </c>
      <c r="I15" s="20">
        <v>175300</v>
      </c>
      <c r="J15" s="20">
        <v>92500</v>
      </c>
      <c r="K15" s="20">
        <v>719400</v>
      </c>
      <c r="L15">
        <v>300</v>
      </c>
      <c r="M15">
        <v>200</v>
      </c>
      <c r="N15">
        <v>0</v>
      </c>
      <c r="O15">
        <v>0</v>
      </c>
      <c r="P15" s="20">
        <v>8256400</v>
      </c>
      <c r="Q15" s="20">
        <v>206300</v>
      </c>
      <c r="R15" s="20">
        <v>76900</v>
      </c>
      <c r="S15" s="20">
        <f t="shared" si="1"/>
        <v>9642400</v>
      </c>
      <c r="U15" t="s">
        <v>192</v>
      </c>
      <c r="V15">
        <f t="shared" si="2"/>
        <v>914700</v>
      </c>
      <c r="W15">
        <f t="shared" si="3"/>
        <v>20292.16806</v>
      </c>
    </row>
    <row r="16" spans="2:23" x14ac:dyDescent="0.25">
      <c r="B16" t="s">
        <v>197</v>
      </c>
      <c r="C16" s="20">
        <v>12581</v>
      </c>
      <c r="D16">
        <f t="shared" si="0"/>
        <v>20247.106540000001</v>
      </c>
      <c r="F16" t="s">
        <v>233</v>
      </c>
      <c r="G16" s="20">
        <v>25600</v>
      </c>
      <c r="H16" s="20">
        <v>7300</v>
      </c>
      <c r="I16" s="20">
        <v>36400</v>
      </c>
      <c r="J16" s="20">
        <v>3400</v>
      </c>
      <c r="K16" s="20">
        <v>37300</v>
      </c>
      <c r="L16">
        <v>0</v>
      </c>
      <c r="M16">
        <v>0</v>
      </c>
      <c r="N16">
        <v>0</v>
      </c>
      <c r="O16">
        <v>0</v>
      </c>
      <c r="P16" s="20">
        <v>951000</v>
      </c>
      <c r="Q16" s="20">
        <v>15400</v>
      </c>
      <c r="R16" s="20">
        <v>3700</v>
      </c>
      <c r="S16" s="20">
        <f t="shared" si="1"/>
        <v>1080100</v>
      </c>
      <c r="U16" t="s">
        <v>193</v>
      </c>
      <c r="V16">
        <f t="shared" si="2"/>
        <v>18583200</v>
      </c>
      <c r="W16">
        <f t="shared" si="3"/>
        <v>23427.162380000002</v>
      </c>
    </row>
    <row r="17" spans="2:23" x14ac:dyDescent="0.25">
      <c r="B17" t="s">
        <v>198</v>
      </c>
      <c r="C17" s="20">
        <v>18024</v>
      </c>
      <c r="D17">
        <f t="shared" si="0"/>
        <v>29006.744159999998</v>
      </c>
      <c r="F17" t="s">
        <v>196</v>
      </c>
      <c r="G17" s="20">
        <v>8500</v>
      </c>
      <c r="H17" s="20">
        <v>4600</v>
      </c>
      <c r="I17" s="20">
        <v>43700</v>
      </c>
      <c r="J17" s="20">
        <v>45900</v>
      </c>
      <c r="K17" s="20">
        <v>132900</v>
      </c>
      <c r="L17">
        <v>100</v>
      </c>
      <c r="M17">
        <v>100</v>
      </c>
      <c r="N17">
        <v>0</v>
      </c>
      <c r="O17">
        <v>0</v>
      </c>
      <c r="P17" s="20">
        <v>1568600</v>
      </c>
      <c r="Q17" s="20">
        <v>138600</v>
      </c>
      <c r="R17" s="20">
        <v>31600</v>
      </c>
      <c r="S17" s="20">
        <f t="shared" si="1"/>
        <v>1974600</v>
      </c>
      <c r="U17" t="s">
        <v>194</v>
      </c>
      <c r="V17">
        <f t="shared" si="2"/>
        <v>9642400</v>
      </c>
      <c r="W17">
        <f t="shared" si="3"/>
        <v>29505.63956</v>
      </c>
    </row>
    <row r="18" spans="2:23" x14ac:dyDescent="0.25">
      <c r="B18" t="s">
        <v>195</v>
      </c>
      <c r="C18" s="20">
        <v>14745</v>
      </c>
      <c r="D18">
        <f t="shared" si="0"/>
        <v>23729.7183</v>
      </c>
      <c r="F18" t="s">
        <v>197</v>
      </c>
      <c r="G18" s="20">
        <v>99600</v>
      </c>
      <c r="H18" s="20">
        <v>33400</v>
      </c>
      <c r="I18" s="20">
        <v>285400</v>
      </c>
      <c r="J18" s="20">
        <v>61500</v>
      </c>
      <c r="K18" s="20">
        <v>772900</v>
      </c>
      <c r="L18">
        <v>300</v>
      </c>
      <c r="M18">
        <v>0</v>
      </c>
      <c r="N18">
        <v>0</v>
      </c>
      <c r="O18">
        <v>0</v>
      </c>
      <c r="P18" s="20">
        <v>8560300</v>
      </c>
      <c r="Q18" s="20">
        <v>170200</v>
      </c>
      <c r="R18" s="20">
        <v>59600</v>
      </c>
      <c r="S18" s="20">
        <f t="shared" si="1"/>
        <v>10043200</v>
      </c>
      <c r="U18" t="s">
        <v>195</v>
      </c>
      <c r="V18">
        <f t="shared" si="2"/>
        <v>3153300</v>
      </c>
      <c r="W18">
        <f t="shared" si="3"/>
        <v>23729.7183</v>
      </c>
    </row>
    <row r="19" spans="2:23" x14ac:dyDescent="0.25">
      <c r="B19" t="s">
        <v>199</v>
      </c>
      <c r="C19" s="20">
        <v>14781</v>
      </c>
      <c r="D19">
        <f t="shared" si="0"/>
        <v>23787.65454</v>
      </c>
      <c r="F19" t="s">
        <v>198</v>
      </c>
      <c r="G19" s="20">
        <v>26100</v>
      </c>
      <c r="H19" s="20">
        <v>12900</v>
      </c>
      <c r="I19" s="20">
        <v>119100</v>
      </c>
      <c r="J19" s="20">
        <v>56300</v>
      </c>
      <c r="K19" s="20">
        <v>576300</v>
      </c>
      <c r="L19">
        <v>300</v>
      </c>
      <c r="M19">
        <v>0</v>
      </c>
      <c r="N19">
        <v>0</v>
      </c>
      <c r="O19">
        <v>0</v>
      </c>
      <c r="P19" s="20">
        <v>5166200</v>
      </c>
      <c r="Q19" s="20">
        <v>156400</v>
      </c>
      <c r="R19" s="20">
        <v>58500</v>
      </c>
      <c r="S19" s="20">
        <f t="shared" si="1"/>
        <v>6172100</v>
      </c>
      <c r="U19" t="s">
        <v>196</v>
      </c>
      <c r="V19">
        <f t="shared" si="2"/>
        <v>1974600</v>
      </c>
      <c r="W19">
        <f t="shared" si="3"/>
        <v>23201.854780000001</v>
      </c>
    </row>
    <row r="20" spans="2:23" x14ac:dyDescent="0.25">
      <c r="B20" t="s">
        <v>157</v>
      </c>
      <c r="C20" s="20">
        <v>16305</v>
      </c>
      <c r="D20">
        <f t="shared" si="0"/>
        <v>26240.288700000001</v>
      </c>
      <c r="F20" t="s">
        <v>195</v>
      </c>
      <c r="G20" s="20">
        <v>9000</v>
      </c>
      <c r="H20" s="20">
        <v>6100</v>
      </c>
      <c r="I20" s="20">
        <v>57200</v>
      </c>
      <c r="J20" s="20">
        <v>41700</v>
      </c>
      <c r="K20" s="20">
        <v>331300</v>
      </c>
      <c r="L20">
        <v>100</v>
      </c>
      <c r="M20">
        <v>0</v>
      </c>
      <c r="N20">
        <v>0</v>
      </c>
      <c r="O20">
        <v>0</v>
      </c>
      <c r="P20" s="20">
        <v>2545400</v>
      </c>
      <c r="Q20" s="20">
        <v>105000</v>
      </c>
      <c r="R20" s="20">
        <v>57500</v>
      </c>
      <c r="S20" s="20">
        <f t="shared" si="1"/>
        <v>3153300</v>
      </c>
      <c r="U20" t="s">
        <v>197</v>
      </c>
      <c r="V20">
        <f t="shared" si="2"/>
        <v>10043200</v>
      </c>
      <c r="W20">
        <f t="shared" si="3"/>
        <v>20247.106540000001</v>
      </c>
    </row>
    <row r="21" spans="2:23" x14ac:dyDescent="0.25">
      <c r="B21" t="s">
        <v>200</v>
      </c>
      <c r="C21" s="20">
        <v>14951</v>
      </c>
      <c r="D21">
        <f t="shared" si="0"/>
        <v>24061.242340000001</v>
      </c>
      <c r="F21" t="s">
        <v>199</v>
      </c>
      <c r="G21" s="20">
        <v>11300</v>
      </c>
      <c r="H21" s="20">
        <v>5600</v>
      </c>
      <c r="I21" s="20">
        <v>50400</v>
      </c>
      <c r="J21" s="20">
        <v>27900</v>
      </c>
      <c r="K21" s="20">
        <v>253500</v>
      </c>
      <c r="L21">
        <v>200</v>
      </c>
      <c r="M21">
        <v>100</v>
      </c>
      <c r="N21">
        <v>0</v>
      </c>
      <c r="O21">
        <v>0</v>
      </c>
      <c r="P21" s="20">
        <v>2168600</v>
      </c>
      <c r="Q21" s="20">
        <v>87400</v>
      </c>
      <c r="R21" s="20">
        <v>16100</v>
      </c>
      <c r="S21" s="20">
        <f t="shared" si="1"/>
        <v>2621100</v>
      </c>
      <c r="U21" t="s">
        <v>198</v>
      </c>
      <c r="V21">
        <f t="shared" si="2"/>
        <v>6172100</v>
      </c>
      <c r="W21">
        <f t="shared" si="3"/>
        <v>29006.744159999998</v>
      </c>
    </row>
    <row r="22" spans="2:23" x14ac:dyDescent="0.25">
      <c r="B22" t="s">
        <v>203</v>
      </c>
      <c r="C22" s="20">
        <v>14215</v>
      </c>
      <c r="D22">
        <f t="shared" si="0"/>
        <v>22876.768100000001</v>
      </c>
      <c r="F22" t="s">
        <v>157</v>
      </c>
      <c r="G22" s="20">
        <v>11600</v>
      </c>
      <c r="H22" s="20">
        <v>5600</v>
      </c>
      <c r="I22" s="20">
        <v>67100</v>
      </c>
      <c r="J22" s="20">
        <v>36900</v>
      </c>
      <c r="K22" s="20">
        <v>361200</v>
      </c>
      <c r="L22">
        <v>300</v>
      </c>
      <c r="M22">
        <v>0</v>
      </c>
      <c r="N22">
        <v>0</v>
      </c>
      <c r="O22">
        <v>0</v>
      </c>
      <c r="P22" s="20">
        <v>3415000</v>
      </c>
      <c r="Q22" s="20">
        <v>117600</v>
      </c>
      <c r="R22" s="20">
        <v>24400</v>
      </c>
      <c r="S22" s="20">
        <f t="shared" si="1"/>
        <v>4039700</v>
      </c>
      <c r="U22" t="s">
        <v>199</v>
      </c>
      <c r="V22">
        <f t="shared" si="2"/>
        <v>2621100</v>
      </c>
      <c r="W22">
        <f t="shared" si="3"/>
        <v>23787.65454</v>
      </c>
    </row>
    <row r="23" spans="2:23" x14ac:dyDescent="0.25">
      <c r="B23" t="s">
        <v>202</v>
      </c>
      <c r="C23" s="20">
        <v>13490</v>
      </c>
      <c r="D23">
        <f t="shared" si="0"/>
        <v>21709.996599999999</v>
      </c>
      <c r="F23" t="s">
        <v>200</v>
      </c>
      <c r="G23" s="20">
        <v>8200</v>
      </c>
      <c r="H23" s="20">
        <v>4000</v>
      </c>
      <c r="I23" s="20">
        <v>40200</v>
      </c>
      <c r="J23" s="20">
        <v>64200</v>
      </c>
      <c r="K23" s="20">
        <v>380100</v>
      </c>
      <c r="L23">
        <v>100</v>
      </c>
      <c r="M23">
        <v>0</v>
      </c>
      <c r="N23">
        <v>0</v>
      </c>
      <c r="O23">
        <v>0</v>
      </c>
      <c r="P23" s="20">
        <v>3142800</v>
      </c>
      <c r="Q23" s="20">
        <v>115500</v>
      </c>
      <c r="R23" s="20">
        <v>19100</v>
      </c>
      <c r="S23" s="20">
        <f t="shared" si="1"/>
        <v>3774200</v>
      </c>
      <c r="U23" t="s">
        <v>200</v>
      </c>
      <c r="V23">
        <f t="shared" si="2"/>
        <v>3774200</v>
      </c>
      <c r="W23">
        <f t="shared" si="3"/>
        <v>24061.242340000001</v>
      </c>
    </row>
    <row r="24" spans="2:23" x14ac:dyDescent="0.25">
      <c r="B24" t="s">
        <v>201</v>
      </c>
      <c r="C24" s="20">
        <v>13109</v>
      </c>
      <c r="D24">
        <f t="shared" si="0"/>
        <v>21096.838059999998</v>
      </c>
      <c r="F24" t="s">
        <v>203</v>
      </c>
      <c r="G24" s="20">
        <v>7400</v>
      </c>
      <c r="H24" s="20">
        <v>7600</v>
      </c>
      <c r="I24" s="20">
        <v>33600</v>
      </c>
      <c r="J24" s="20">
        <v>12000</v>
      </c>
      <c r="K24" s="20">
        <v>104500</v>
      </c>
      <c r="L24">
        <v>0</v>
      </c>
      <c r="M24">
        <v>0</v>
      </c>
      <c r="N24">
        <v>0</v>
      </c>
      <c r="O24">
        <v>0</v>
      </c>
      <c r="P24" s="20">
        <v>1036100</v>
      </c>
      <c r="Q24" s="20">
        <v>26900</v>
      </c>
      <c r="R24" s="20">
        <v>7900</v>
      </c>
      <c r="S24" s="20">
        <f t="shared" si="1"/>
        <v>1236000</v>
      </c>
      <c r="U24" t="s">
        <v>201</v>
      </c>
      <c r="V24">
        <f t="shared" si="2"/>
        <v>5491100</v>
      </c>
      <c r="W24">
        <f t="shared" si="3"/>
        <v>21096.838059999998</v>
      </c>
    </row>
    <row r="25" spans="2:23" x14ac:dyDescent="0.25">
      <c r="B25" t="s">
        <v>204</v>
      </c>
      <c r="C25" s="20">
        <v>14307</v>
      </c>
      <c r="D25">
        <f t="shared" si="0"/>
        <v>23024.827379999999</v>
      </c>
      <c r="F25" t="s">
        <v>202</v>
      </c>
      <c r="G25" s="20">
        <v>72100</v>
      </c>
      <c r="H25" s="20">
        <v>31300</v>
      </c>
      <c r="I25" s="20">
        <v>168700</v>
      </c>
      <c r="J25" s="20">
        <v>32100</v>
      </c>
      <c r="K25" s="20">
        <v>309300</v>
      </c>
      <c r="L25">
        <v>300</v>
      </c>
      <c r="M25">
        <v>0</v>
      </c>
      <c r="N25">
        <v>0</v>
      </c>
      <c r="O25">
        <v>0</v>
      </c>
      <c r="P25" s="20">
        <v>4327800</v>
      </c>
      <c r="Q25" s="20">
        <v>86900</v>
      </c>
      <c r="R25" s="20">
        <v>31500</v>
      </c>
      <c r="S25" s="20">
        <f t="shared" si="1"/>
        <v>5060000</v>
      </c>
      <c r="U25" t="s">
        <v>202</v>
      </c>
      <c r="V25">
        <f t="shared" si="2"/>
        <v>5060000</v>
      </c>
      <c r="W25">
        <f t="shared" si="3"/>
        <v>21709.996599999999</v>
      </c>
    </row>
    <row r="26" spans="2:23" x14ac:dyDescent="0.25">
      <c r="B26" t="s">
        <v>205</v>
      </c>
      <c r="C26" s="20">
        <v>17909</v>
      </c>
      <c r="D26">
        <f t="shared" si="0"/>
        <v>28821.67006</v>
      </c>
      <c r="F26" t="s">
        <v>201</v>
      </c>
      <c r="G26" s="20">
        <v>73800</v>
      </c>
      <c r="H26" s="20">
        <v>43800</v>
      </c>
      <c r="I26" s="20">
        <v>187300</v>
      </c>
      <c r="J26" s="20">
        <v>21300</v>
      </c>
      <c r="K26" s="20">
        <v>285000</v>
      </c>
      <c r="L26">
        <v>200</v>
      </c>
      <c r="M26">
        <v>0</v>
      </c>
      <c r="N26">
        <v>0</v>
      </c>
      <c r="O26">
        <v>0</v>
      </c>
      <c r="P26" s="20">
        <v>4791300</v>
      </c>
      <c r="Q26" s="20">
        <v>58400</v>
      </c>
      <c r="R26" s="20">
        <v>30000</v>
      </c>
      <c r="S26" s="20">
        <f t="shared" si="1"/>
        <v>5491100</v>
      </c>
      <c r="U26" t="s">
        <v>203</v>
      </c>
      <c r="V26">
        <f t="shared" si="2"/>
        <v>1236000</v>
      </c>
      <c r="W26">
        <f t="shared" si="3"/>
        <v>22876.768100000001</v>
      </c>
    </row>
    <row r="27" spans="2:23" x14ac:dyDescent="0.25">
      <c r="B27" t="s">
        <v>207</v>
      </c>
      <c r="C27" s="20">
        <v>19966</v>
      </c>
      <c r="D27">
        <f t="shared" si="0"/>
        <v>32132.082439999998</v>
      </c>
      <c r="F27" t="s">
        <v>204</v>
      </c>
      <c r="G27" s="20">
        <v>50300</v>
      </c>
      <c r="H27" s="20">
        <v>29100</v>
      </c>
      <c r="I27" s="20">
        <v>148100</v>
      </c>
      <c r="J27" s="20">
        <v>70400</v>
      </c>
      <c r="K27" s="20">
        <v>873700</v>
      </c>
      <c r="L27">
        <v>300</v>
      </c>
      <c r="M27">
        <v>0</v>
      </c>
      <c r="N27">
        <v>0</v>
      </c>
      <c r="O27">
        <v>0</v>
      </c>
      <c r="P27" s="20">
        <v>7129600</v>
      </c>
      <c r="Q27" s="20">
        <v>174500</v>
      </c>
      <c r="R27" s="20">
        <v>49400</v>
      </c>
      <c r="S27" s="20">
        <f t="shared" si="1"/>
        <v>8525400</v>
      </c>
      <c r="U27" t="s">
        <v>204</v>
      </c>
      <c r="V27">
        <f t="shared" si="2"/>
        <v>8525400</v>
      </c>
      <c r="W27">
        <f t="shared" si="3"/>
        <v>23024.827379999999</v>
      </c>
    </row>
    <row r="28" spans="2:23" x14ac:dyDescent="0.25">
      <c r="B28" t="s">
        <v>206</v>
      </c>
      <c r="C28" s="20">
        <v>18521</v>
      </c>
      <c r="D28">
        <f t="shared" si="0"/>
        <v>29806.586139999999</v>
      </c>
      <c r="F28" t="s">
        <v>205</v>
      </c>
      <c r="G28" s="20">
        <v>37100</v>
      </c>
      <c r="H28" s="20">
        <v>16100</v>
      </c>
      <c r="I28" s="20">
        <v>124500</v>
      </c>
      <c r="J28" s="20">
        <v>52700</v>
      </c>
      <c r="K28" s="20">
        <v>516400</v>
      </c>
      <c r="L28">
        <v>100</v>
      </c>
      <c r="M28">
        <v>0</v>
      </c>
      <c r="N28">
        <v>0</v>
      </c>
      <c r="O28">
        <v>0</v>
      </c>
      <c r="P28" s="20">
        <v>4219200</v>
      </c>
      <c r="Q28" s="20">
        <v>127900</v>
      </c>
      <c r="R28" s="20">
        <v>24500</v>
      </c>
      <c r="S28" s="20">
        <f t="shared" si="1"/>
        <v>5118500</v>
      </c>
      <c r="U28" t="s">
        <v>205</v>
      </c>
      <c r="V28">
        <f t="shared" si="2"/>
        <v>5118500</v>
      </c>
      <c r="W28">
        <f t="shared" si="3"/>
        <v>28821.67006</v>
      </c>
    </row>
    <row r="29" spans="2:23" x14ac:dyDescent="0.25">
      <c r="B29" t="s">
        <v>208</v>
      </c>
      <c r="C29" s="20">
        <v>15880</v>
      </c>
      <c r="D29">
        <f t="shared" si="0"/>
        <v>25556.319199999998</v>
      </c>
      <c r="F29" t="s">
        <v>207</v>
      </c>
      <c r="G29" s="20">
        <v>3600</v>
      </c>
      <c r="H29" s="20">
        <v>2000</v>
      </c>
      <c r="I29" s="20">
        <v>28200</v>
      </c>
      <c r="J29" s="20">
        <v>34900</v>
      </c>
      <c r="K29" s="20">
        <v>295200</v>
      </c>
      <c r="L29">
        <v>100</v>
      </c>
      <c r="M29">
        <v>0</v>
      </c>
      <c r="N29">
        <v>0</v>
      </c>
      <c r="O29">
        <v>0</v>
      </c>
      <c r="P29" s="20">
        <v>2275600</v>
      </c>
      <c r="Q29" s="20">
        <v>75200</v>
      </c>
      <c r="R29" s="20">
        <v>8500</v>
      </c>
      <c r="S29" s="20">
        <f t="shared" si="1"/>
        <v>2723300</v>
      </c>
      <c r="U29" t="s">
        <v>206</v>
      </c>
      <c r="V29">
        <f t="shared" si="2"/>
        <v>5626000</v>
      </c>
      <c r="W29">
        <f t="shared" si="3"/>
        <v>29806.586139999999</v>
      </c>
    </row>
    <row r="30" spans="2:23" x14ac:dyDescent="0.25">
      <c r="B30" t="s">
        <v>211</v>
      </c>
      <c r="C30" s="20">
        <v>14846</v>
      </c>
      <c r="D30">
        <f t="shared" si="0"/>
        <v>23892.261640000001</v>
      </c>
      <c r="F30" t="s">
        <v>206</v>
      </c>
      <c r="G30" s="20">
        <v>26900</v>
      </c>
      <c r="H30" s="20">
        <v>13900</v>
      </c>
      <c r="I30" s="20">
        <v>113900</v>
      </c>
      <c r="J30" s="20">
        <v>70400</v>
      </c>
      <c r="K30" s="20">
        <v>575500</v>
      </c>
      <c r="L30" s="20">
        <v>900</v>
      </c>
      <c r="M30">
        <v>100</v>
      </c>
      <c r="N30">
        <v>0</v>
      </c>
      <c r="O30">
        <v>0</v>
      </c>
      <c r="P30" s="20">
        <v>4608600</v>
      </c>
      <c r="Q30" s="20">
        <v>178200</v>
      </c>
      <c r="R30" s="20">
        <v>37600</v>
      </c>
      <c r="S30" s="20">
        <f t="shared" si="1"/>
        <v>5626000</v>
      </c>
      <c r="U30" t="s">
        <v>207</v>
      </c>
      <c r="V30">
        <f t="shared" si="2"/>
        <v>2723300</v>
      </c>
      <c r="W30">
        <f t="shared" si="3"/>
        <v>32132.082439999998</v>
      </c>
    </row>
    <row r="31" spans="2:23" x14ac:dyDescent="0.25">
      <c r="B31" t="s">
        <v>215</v>
      </c>
      <c r="C31" s="20">
        <v>14016</v>
      </c>
      <c r="D31">
        <f t="shared" si="0"/>
        <v>22556.509440000002</v>
      </c>
      <c r="F31" t="s">
        <v>208</v>
      </c>
      <c r="G31" s="20">
        <v>4600</v>
      </c>
      <c r="H31" s="20">
        <v>2500</v>
      </c>
      <c r="I31" s="20">
        <v>21100</v>
      </c>
      <c r="J31" s="20">
        <v>37900</v>
      </c>
      <c r="K31" s="20">
        <v>94500</v>
      </c>
      <c r="L31">
        <v>0</v>
      </c>
      <c r="M31">
        <v>0</v>
      </c>
      <c r="N31">
        <v>0</v>
      </c>
      <c r="O31">
        <v>0</v>
      </c>
      <c r="P31" s="20">
        <v>780700</v>
      </c>
      <c r="Q31" s="20">
        <v>69600</v>
      </c>
      <c r="R31" s="20">
        <v>10800</v>
      </c>
      <c r="S31" s="20">
        <f t="shared" si="1"/>
        <v>1021700</v>
      </c>
      <c r="U31" t="s">
        <v>208</v>
      </c>
      <c r="V31">
        <f t="shared" si="2"/>
        <v>1021700</v>
      </c>
      <c r="W31">
        <f t="shared" si="3"/>
        <v>25556.319199999998</v>
      </c>
    </row>
    <row r="32" spans="2:23" x14ac:dyDescent="0.25">
      <c r="B32" t="s">
        <v>212</v>
      </c>
      <c r="C32" s="20">
        <v>11570</v>
      </c>
      <c r="D32">
        <f t="shared" si="0"/>
        <v>18620.0638</v>
      </c>
      <c r="F32" t="s">
        <v>211</v>
      </c>
      <c r="G32" s="20">
        <v>6900</v>
      </c>
      <c r="H32" s="20">
        <v>3800</v>
      </c>
      <c r="I32" s="20">
        <v>32600</v>
      </c>
      <c r="J32" s="20">
        <v>28900</v>
      </c>
      <c r="K32" s="20">
        <v>197100</v>
      </c>
      <c r="L32">
        <v>100</v>
      </c>
      <c r="M32">
        <v>0</v>
      </c>
      <c r="N32">
        <v>0</v>
      </c>
      <c r="O32">
        <v>0</v>
      </c>
      <c r="P32" s="20">
        <v>1600400</v>
      </c>
      <c r="Q32" s="20">
        <v>76100</v>
      </c>
      <c r="R32" s="20">
        <v>25300</v>
      </c>
      <c r="S32" s="20">
        <f t="shared" si="1"/>
        <v>1971200</v>
      </c>
      <c r="U32" t="s">
        <v>209</v>
      </c>
      <c r="V32">
        <f t="shared" si="2"/>
        <v>9085500</v>
      </c>
      <c r="W32">
        <f t="shared" si="3"/>
        <v>25866.92182</v>
      </c>
    </row>
    <row r="33" spans="2:23" x14ac:dyDescent="0.25">
      <c r="B33" t="s">
        <v>213</v>
      </c>
      <c r="C33" s="20">
        <v>12263</v>
      </c>
      <c r="D33">
        <f t="shared" si="0"/>
        <v>19735.33642</v>
      </c>
      <c r="F33" t="s">
        <v>215</v>
      </c>
      <c r="G33" s="20">
        <v>47400</v>
      </c>
      <c r="H33" s="20">
        <v>10600</v>
      </c>
      <c r="I33" s="20">
        <v>69600</v>
      </c>
      <c r="J33" s="20">
        <v>27200</v>
      </c>
      <c r="K33" s="20">
        <v>125600</v>
      </c>
      <c r="L33">
        <v>200</v>
      </c>
      <c r="M33">
        <v>100</v>
      </c>
      <c r="N33">
        <v>0</v>
      </c>
      <c r="O33">
        <v>0</v>
      </c>
      <c r="P33" s="20">
        <v>2169300</v>
      </c>
      <c r="Q33" s="20">
        <v>85800</v>
      </c>
      <c r="R33" s="20">
        <v>20300</v>
      </c>
      <c r="S33" s="20">
        <f t="shared" si="1"/>
        <v>2556100</v>
      </c>
      <c r="U33" t="s">
        <v>210</v>
      </c>
      <c r="V33">
        <f t="shared" si="2"/>
        <v>797400</v>
      </c>
      <c r="W33">
        <f t="shared" si="3"/>
        <v>28438.647140000001</v>
      </c>
    </row>
    <row r="34" spans="2:23" x14ac:dyDescent="0.25">
      <c r="B34" t="s">
        <v>214</v>
      </c>
      <c r="C34" s="20">
        <v>19157</v>
      </c>
      <c r="D34">
        <f t="shared" si="0"/>
        <v>30830.126380000002</v>
      </c>
      <c r="F34" t="s">
        <v>212</v>
      </c>
      <c r="G34" s="20">
        <v>9900</v>
      </c>
      <c r="H34" s="20">
        <v>6600</v>
      </c>
      <c r="I34" s="20">
        <v>36800</v>
      </c>
      <c r="J34" s="20">
        <v>13900</v>
      </c>
      <c r="K34" s="20">
        <v>89600</v>
      </c>
      <c r="L34">
        <v>100</v>
      </c>
      <c r="M34">
        <v>0</v>
      </c>
      <c r="N34">
        <v>0</v>
      </c>
      <c r="O34">
        <v>0</v>
      </c>
      <c r="P34" s="20">
        <v>1185300</v>
      </c>
      <c r="Q34" s="20">
        <v>29200</v>
      </c>
      <c r="R34" s="20">
        <v>12300</v>
      </c>
      <c r="S34" s="20">
        <f t="shared" si="1"/>
        <v>1383700</v>
      </c>
      <c r="U34" t="s">
        <v>211</v>
      </c>
      <c r="V34">
        <f t="shared" si="2"/>
        <v>1971200</v>
      </c>
      <c r="W34">
        <f t="shared" si="3"/>
        <v>23892.261640000001</v>
      </c>
    </row>
    <row r="35" spans="2:23" x14ac:dyDescent="0.25">
      <c r="B35" t="s">
        <v>216</v>
      </c>
      <c r="C35" s="20">
        <v>10167</v>
      </c>
      <c r="D35">
        <f t="shared" ref="D35:D54" si="4">C35*m2k</f>
        <v>16362.15978</v>
      </c>
      <c r="F35" t="s">
        <v>213</v>
      </c>
      <c r="G35" s="20">
        <v>134800</v>
      </c>
      <c r="H35" s="20">
        <v>40900</v>
      </c>
      <c r="I35" s="20">
        <v>174200</v>
      </c>
      <c r="J35" s="20">
        <v>27800</v>
      </c>
      <c r="K35" s="20">
        <v>392100</v>
      </c>
      <c r="L35">
        <v>300</v>
      </c>
      <c r="M35">
        <v>0</v>
      </c>
      <c r="N35">
        <v>0</v>
      </c>
      <c r="O35">
        <v>0</v>
      </c>
      <c r="P35" s="20">
        <v>6433000</v>
      </c>
      <c r="Q35" s="20">
        <v>84600</v>
      </c>
      <c r="R35" s="20">
        <v>36400</v>
      </c>
      <c r="S35" s="20">
        <f t="shared" si="1"/>
        <v>7324100</v>
      </c>
      <c r="U35" t="s">
        <v>212</v>
      </c>
      <c r="V35">
        <f t="shared" si="2"/>
        <v>1383700</v>
      </c>
      <c r="W35">
        <f t="shared" si="3"/>
        <v>18620.0638</v>
      </c>
    </row>
    <row r="36" spans="2:23" x14ac:dyDescent="0.25">
      <c r="B36" t="s">
        <v>209</v>
      </c>
      <c r="C36" s="20">
        <v>16073</v>
      </c>
      <c r="D36">
        <f t="shared" si="4"/>
        <v>25866.92182</v>
      </c>
      <c r="F36" t="s">
        <v>214</v>
      </c>
      <c r="G36" s="20">
        <v>10300</v>
      </c>
      <c r="H36" s="20">
        <v>4900</v>
      </c>
      <c r="I36" s="20">
        <v>44300</v>
      </c>
      <c r="J36" s="20">
        <v>32100</v>
      </c>
      <c r="K36" s="20">
        <v>151600</v>
      </c>
      <c r="L36">
        <v>100</v>
      </c>
      <c r="M36">
        <v>100</v>
      </c>
      <c r="N36">
        <v>0</v>
      </c>
      <c r="O36">
        <v>0</v>
      </c>
      <c r="P36" s="20">
        <v>1597600</v>
      </c>
      <c r="Q36" s="20">
        <v>88500</v>
      </c>
      <c r="R36" s="20">
        <v>22900</v>
      </c>
      <c r="S36" s="20">
        <f t="shared" si="1"/>
        <v>1952400</v>
      </c>
      <c r="U36" t="s">
        <v>213</v>
      </c>
      <c r="V36">
        <f t="shared" si="2"/>
        <v>7324100</v>
      </c>
      <c r="W36">
        <f t="shared" si="3"/>
        <v>19735.33642</v>
      </c>
    </row>
    <row r="37" spans="2:23" x14ac:dyDescent="0.25">
      <c r="B37" t="s">
        <v>210</v>
      </c>
      <c r="C37" s="20">
        <v>17671</v>
      </c>
      <c r="D37">
        <f t="shared" si="4"/>
        <v>28438.647140000001</v>
      </c>
      <c r="F37" t="s">
        <v>216</v>
      </c>
      <c r="G37" s="20">
        <v>131300</v>
      </c>
      <c r="H37" s="20">
        <v>92300</v>
      </c>
      <c r="I37" s="20">
        <v>314000</v>
      </c>
      <c r="J37" s="20">
        <v>54300</v>
      </c>
      <c r="K37" s="20">
        <v>591100</v>
      </c>
      <c r="L37">
        <v>400</v>
      </c>
      <c r="M37">
        <v>100</v>
      </c>
      <c r="N37">
        <v>0</v>
      </c>
      <c r="O37">
        <v>0</v>
      </c>
      <c r="P37" s="20">
        <v>9905500</v>
      </c>
      <c r="Q37" s="20">
        <v>150500</v>
      </c>
      <c r="R37" s="20">
        <v>79100</v>
      </c>
      <c r="S37" s="20">
        <f t="shared" si="1"/>
        <v>11318600</v>
      </c>
      <c r="U37" t="s">
        <v>214</v>
      </c>
      <c r="V37">
        <f t="shared" si="2"/>
        <v>1952400</v>
      </c>
      <c r="W37">
        <f t="shared" si="3"/>
        <v>30830.126380000002</v>
      </c>
    </row>
    <row r="38" spans="2:23" x14ac:dyDescent="0.25">
      <c r="B38" t="s">
        <v>217</v>
      </c>
      <c r="C38" s="20">
        <v>14278</v>
      </c>
      <c r="D38">
        <f t="shared" si="4"/>
        <v>22978.15652</v>
      </c>
      <c r="F38" t="s">
        <v>209</v>
      </c>
      <c r="G38" s="20">
        <v>70200</v>
      </c>
      <c r="H38" s="20">
        <v>23700</v>
      </c>
      <c r="I38" s="20">
        <v>210600</v>
      </c>
      <c r="J38" s="20">
        <v>80200</v>
      </c>
      <c r="K38" s="20">
        <v>655000</v>
      </c>
      <c r="L38">
        <v>300</v>
      </c>
      <c r="M38">
        <v>100</v>
      </c>
      <c r="N38">
        <v>0</v>
      </c>
      <c r="O38">
        <v>0</v>
      </c>
      <c r="P38" s="20">
        <v>7764000</v>
      </c>
      <c r="Q38" s="20">
        <v>209700</v>
      </c>
      <c r="R38" s="20">
        <v>71700</v>
      </c>
      <c r="S38" s="20">
        <f t="shared" si="1"/>
        <v>9085500</v>
      </c>
      <c r="U38" t="s">
        <v>215</v>
      </c>
      <c r="V38">
        <f t="shared" si="2"/>
        <v>2556100</v>
      </c>
      <c r="W38">
        <f t="shared" si="3"/>
        <v>22556.509440000002</v>
      </c>
    </row>
    <row r="39" spans="2:23" x14ac:dyDescent="0.25">
      <c r="B39" t="s">
        <v>218</v>
      </c>
      <c r="C39" s="20">
        <v>17699</v>
      </c>
      <c r="D39">
        <f t="shared" si="4"/>
        <v>28483.70866</v>
      </c>
      <c r="F39" t="s">
        <v>210</v>
      </c>
      <c r="G39" s="20">
        <v>1000</v>
      </c>
      <c r="H39">
        <v>800</v>
      </c>
      <c r="I39" s="20">
        <v>8200</v>
      </c>
      <c r="J39" s="20">
        <v>20400</v>
      </c>
      <c r="K39" s="20">
        <v>89900</v>
      </c>
      <c r="L39">
        <v>0</v>
      </c>
      <c r="M39">
        <v>0</v>
      </c>
      <c r="N39">
        <v>0</v>
      </c>
      <c r="O39">
        <v>0</v>
      </c>
      <c r="P39" s="20">
        <v>625300</v>
      </c>
      <c r="Q39" s="20">
        <v>44600</v>
      </c>
      <c r="R39" s="20">
        <v>7200</v>
      </c>
      <c r="S39" s="20">
        <f t="shared" si="1"/>
        <v>797400</v>
      </c>
      <c r="U39" t="s">
        <v>216</v>
      </c>
      <c r="V39">
        <f t="shared" si="2"/>
        <v>11318600</v>
      </c>
      <c r="W39">
        <f t="shared" si="3"/>
        <v>16362.15978</v>
      </c>
    </row>
    <row r="40" spans="2:23" x14ac:dyDescent="0.25">
      <c r="B40" t="s">
        <v>219</v>
      </c>
      <c r="C40" s="20">
        <v>12218</v>
      </c>
      <c r="D40">
        <f t="shared" si="4"/>
        <v>19662.916120000002</v>
      </c>
      <c r="F40" t="s">
        <v>217</v>
      </c>
      <c r="G40" s="20">
        <v>50400</v>
      </c>
      <c r="H40" s="20">
        <v>24000</v>
      </c>
      <c r="I40" s="20">
        <v>199800</v>
      </c>
      <c r="J40" s="20">
        <v>70300</v>
      </c>
      <c r="K40" s="20">
        <v>833500</v>
      </c>
      <c r="L40">
        <v>700</v>
      </c>
      <c r="M40">
        <v>100</v>
      </c>
      <c r="N40">
        <v>0</v>
      </c>
      <c r="O40">
        <v>0</v>
      </c>
      <c r="P40" s="20">
        <v>8881400</v>
      </c>
      <c r="Q40" s="20">
        <v>196200</v>
      </c>
      <c r="R40" s="20">
        <v>60900</v>
      </c>
      <c r="S40" s="20">
        <f t="shared" si="1"/>
        <v>10317300</v>
      </c>
      <c r="U40" t="s">
        <v>217</v>
      </c>
      <c r="V40">
        <f t="shared" si="2"/>
        <v>10317300</v>
      </c>
      <c r="W40">
        <f t="shared" si="3"/>
        <v>22978.15652</v>
      </c>
    </row>
    <row r="41" spans="2:23" x14ac:dyDescent="0.25">
      <c r="B41" t="s">
        <v>220</v>
      </c>
      <c r="C41" s="20">
        <v>11445</v>
      </c>
      <c r="D41">
        <f t="shared" si="4"/>
        <v>18418.8963</v>
      </c>
      <c r="F41" t="s">
        <v>218</v>
      </c>
      <c r="G41" s="20">
        <v>22800</v>
      </c>
      <c r="H41" s="20">
        <v>33000</v>
      </c>
      <c r="I41" s="20">
        <v>56400</v>
      </c>
      <c r="J41" s="20">
        <v>63100</v>
      </c>
      <c r="K41" s="20">
        <v>352400</v>
      </c>
      <c r="L41" s="20">
        <v>1800</v>
      </c>
      <c r="M41">
        <v>200</v>
      </c>
      <c r="N41">
        <v>0</v>
      </c>
      <c r="O41">
        <v>0</v>
      </c>
      <c r="P41" s="20">
        <v>3567500</v>
      </c>
      <c r="Q41" s="20">
        <v>145700</v>
      </c>
      <c r="R41" s="20">
        <v>45000</v>
      </c>
      <c r="S41" s="20">
        <f t="shared" si="1"/>
        <v>4287900</v>
      </c>
      <c r="U41" t="s">
        <v>218</v>
      </c>
      <c r="V41">
        <f t="shared" si="2"/>
        <v>4287900</v>
      </c>
      <c r="W41">
        <f t="shared" si="3"/>
        <v>28483.70866</v>
      </c>
    </row>
    <row r="42" spans="2:23" x14ac:dyDescent="0.25">
      <c r="B42" t="s">
        <v>221</v>
      </c>
      <c r="C42" s="20">
        <v>9961</v>
      </c>
      <c r="D42">
        <f t="shared" si="4"/>
        <v>16030.63574</v>
      </c>
      <c r="F42" t="s">
        <v>219</v>
      </c>
      <c r="G42" s="20">
        <v>64400</v>
      </c>
      <c r="H42" s="20">
        <v>28800</v>
      </c>
      <c r="I42" s="20">
        <v>156900</v>
      </c>
      <c r="J42" s="20">
        <v>55500</v>
      </c>
      <c r="K42" s="20">
        <v>184600</v>
      </c>
      <c r="L42">
        <v>100</v>
      </c>
      <c r="M42">
        <v>100</v>
      </c>
      <c r="N42">
        <v>0</v>
      </c>
      <c r="O42">
        <v>0</v>
      </c>
      <c r="P42" s="20">
        <v>3074300</v>
      </c>
      <c r="Q42" s="20">
        <v>217000</v>
      </c>
      <c r="R42" s="20">
        <v>51000</v>
      </c>
      <c r="S42" s="20">
        <f t="shared" si="1"/>
        <v>3832700</v>
      </c>
      <c r="U42" t="s">
        <v>219</v>
      </c>
      <c r="V42">
        <f t="shared" si="2"/>
        <v>3832700</v>
      </c>
      <c r="W42">
        <f t="shared" si="3"/>
        <v>19662.916120000002</v>
      </c>
    </row>
    <row r="43" spans="2:23" x14ac:dyDescent="0.25">
      <c r="B43" t="s">
        <v>222</v>
      </c>
      <c r="C43" s="20">
        <v>14941</v>
      </c>
      <c r="D43">
        <f t="shared" si="4"/>
        <v>24045.148939999999</v>
      </c>
      <c r="F43" t="s">
        <v>220</v>
      </c>
      <c r="G43" s="20">
        <v>70200</v>
      </c>
      <c r="H43" s="20">
        <v>38900</v>
      </c>
      <c r="I43" s="20">
        <v>245400</v>
      </c>
      <c r="J43" s="20">
        <v>73900</v>
      </c>
      <c r="K43" s="20">
        <v>661700</v>
      </c>
      <c r="L43">
        <v>500</v>
      </c>
      <c r="M43">
        <v>100</v>
      </c>
      <c r="N43">
        <v>0</v>
      </c>
      <c r="O43">
        <v>0</v>
      </c>
      <c r="P43" s="20">
        <v>8886400</v>
      </c>
      <c r="Q43" s="20">
        <v>192100</v>
      </c>
      <c r="R43" s="20">
        <v>41800</v>
      </c>
      <c r="S43" s="20">
        <f t="shared" si="1"/>
        <v>10211000</v>
      </c>
      <c r="U43" t="s">
        <v>220</v>
      </c>
      <c r="V43">
        <f t="shared" si="2"/>
        <v>10211000</v>
      </c>
      <c r="W43">
        <f t="shared" si="3"/>
        <v>18418.8963</v>
      </c>
    </row>
    <row r="44" spans="2:23" x14ac:dyDescent="0.25">
      <c r="B44" t="s">
        <v>223</v>
      </c>
      <c r="C44" s="20">
        <v>15541</v>
      </c>
      <c r="D44">
        <f t="shared" si="4"/>
        <v>25010.752939999998</v>
      </c>
      <c r="F44" t="s">
        <v>221</v>
      </c>
      <c r="G44" s="20">
        <v>6400</v>
      </c>
      <c r="H44" s="20">
        <v>5100</v>
      </c>
      <c r="I44" s="20">
        <v>22100</v>
      </c>
      <c r="J44" s="20">
        <v>3100</v>
      </c>
      <c r="K44" s="20">
        <v>41900</v>
      </c>
      <c r="L44">
        <v>0</v>
      </c>
      <c r="M44">
        <v>0</v>
      </c>
      <c r="N44">
        <v>0</v>
      </c>
      <c r="O44">
        <v>0</v>
      </c>
      <c r="P44" s="20">
        <v>782000</v>
      </c>
      <c r="Q44" s="20">
        <v>11000</v>
      </c>
      <c r="R44" s="20">
        <v>6000</v>
      </c>
      <c r="S44" s="20">
        <f t="shared" si="1"/>
        <v>877600</v>
      </c>
      <c r="U44" t="s">
        <v>221</v>
      </c>
      <c r="V44">
        <f t="shared" si="2"/>
        <v>877600</v>
      </c>
      <c r="W44">
        <f t="shared" si="3"/>
        <v>16030.63574</v>
      </c>
    </row>
    <row r="45" spans="2:23" x14ac:dyDescent="0.25">
      <c r="B45" t="s">
        <v>224</v>
      </c>
      <c r="C45" s="20">
        <v>15287</v>
      </c>
      <c r="D45">
        <f t="shared" si="4"/>
        <v>24601.980579999999</v>
      </c>
      <c r="F45" t="s">
        <v>222</v>
      </c>
      <c r="G45" s="20">
        <v>20900</v>
      </c>
      <c r="H45" s="20">
        <v>9000</v>
      </c>
      <c r="I45" s="20">
        <v>83100</v>
      </c>
      <c r="J45" s="20">
        <v>44600</v>
      </c>
      <c r="K45" s="20">
        <v>404600</v>
      </c>
      <c r="L45">
        <v>100</v>
      </c>
      <c r="M45">
        <v>100</v>
      </c>
      <c r="N45">
        <v>0</v>
      </c>
      <c r="O45">
        <v>0</v>
      </c>
      <c r="P45" s="20">
        <v>4325000</v>
      </c>
      <c r="Q45" s="20">
        <v>110100</v>
      </c>
      <c r="R45" s="20">
        <v>44900</v>
      </c>
      <c r="S45" s="20">
        <f t="shared" si="1"/>
        <v>5042400</v>
      </c>
      <c r="U45" t="s">
        <v>222</v>
      </c>
      <c r="V45">
        <f t="shared" si="2"/>
        <v>5042400</v>
      </c>
      <c r="W45">
        <f t="shared" si="3"/>
        <v>24045.148939999999</v>
      </c>
    </row>
    <row r="46" spans="2:23" x14ac:dyDescent="0.25">
      <c r="B46" t="s">
        <v>225</v>
      </c>
      <c r="C46" s="20">
        <v>16172</v>
      </c>
      <c r="D46">
        <f t="shared" si="4"/>
        <v>26026.246480000002</v>
      </c>
      <c r="F46" t="s">
        <v>223</v>
      </c>
      <c r="G46" s="20">
        <v>1700</v>
      </c>
      <c r="H46" s="20">
        <v>1300</v>
      </c>
      <c r="I46" s="20">
        <v>11900</v>
      </c>
      <c r="J46" s="20">
        <v>21500</v>
      </c>
      <c r="K46" s="20">
        <v>98800</v>
      </c>
      <c r="L46">
        <v>0</v>
      </c>
      <c r="M46">
        <v>0</v>
      </c>
      <c r="N46">
        <v>0</v>
      </c>
      <c r="O46">
        <v>0</v>
      </c>
      <c r="P46" s="20">
        <v>718300</v>
      </c>
      <c r="Q46" s="20">
        <v>51200</v>
      </c>
      <c r="R46" s="20">
        <v>13300</v>
      </c>
      <c r="S46" s="20">
        <f t="shared" si="1"/>
        <v>918000</v>
      </c>
      <c r="U46" t="s">
        <v>223</v>
      </c>
      <c r="V46">
        <f t="shared" si="2"/>
        <v>918000</v>
      </c>
      <c r="W46">
        <f t="shared" si="3"/>
        <v>25010.752939999998</v>
      </c>
    </row>
    <row r="47" spans="2:23" x14ac:dyDescent="0.25">
      <c r="B47" t="s">
        <v>226</v>
      </c>
      <c r="C47" s="20">
        <v>15516</v>
      </c>
      <c r="D47">
        <f t="shared" si="4"/>
        <v>24970.51944</v>
      </c>
      <c r="F47" t="s">
        <v>224</v>
      </c>
      <c r="G47" s="20">
        <v>33200</v>
      </c>
      <c r="H47" s="20">
        <v>11000</v>
      </c>
      <c r="I47" s="20">
        <v>113300</v>
      </c>
      <c r="J47" s="20">
        <v>53100</v>
      </c>
      <c r="K47" s="20">
        <v>509000</v>
      </c>
      <c r="L47">
        <v>200</v>
      </c>
      <c r="M47">
        <v>100</v>
      </c>
      <c r="N47">
        <v>0</v>
      </c>
      <c r="O47">
        <v>0</v>
      </c>
      <c r="P47" s="20">
        <v>5620500</v>
      </c>
      <c r="Q47" s="20">
        <v>160700</v>
      </c>
      <c r="R47" s="20">
        <v>37700</v>
      </c>
      <c r="S47" s="20">
        <f t="shared" si="1"/>
        <v>6538800</v>
      </c>
      <c r="U47" t="s">
        <v>224</v>
      </c>
      <c r="V47">
        <f t="shared" si="2"/>
        <v>6538800</v>
      </c>
      <c r="W47">
        <f t="shared" si="3"/>
        <v>24601.980579999999</v>
      </c>
    </row>
    <row r="48" spans="2:23" x14ac:dyDescent="0.25">
      <c r="B48" t="s">
        <v>228</v>
      </c>
      <c r="C48" s="20">
        <v>13004</v>
      </c>
      <c r="D48">
        <f t="shared" si="4"/>
        <v>20927.857359999998</v>
      </c>
      <c r="F48" t="s">
        <v>225</v>
      </c>
      <c r="G48" s="20">
        <v>230100</v>
      </c>
      <c r="H48" s="20">
        <v>55300</v>
      </c>
      <c r="I48" s="20">
        <v>445100</v>
      </c>
      <c r="J48" s="20">
        <v>460700</v>
      </c>
      <c r="K48" s="20">
        <v>2315400</v>
      </c>
      <c r="L48" s="20">
        <v>1300</v>
      </c>
      <c r="M48" s="20">
        <v>1300</v>
      </c>
      <c r="N48">
        <v>0</v>
      </c>
      <c r="O48">
        <v>0</v>
      </c>
      <c r="P48" s="20">
        <v>21392800</v>
      </c>
      <c r="Q48" s="20">
        <v>772800</v>
      </c>
      <c r="R48" s="20">
        <v>121800</v>
      </c>
      <c r="S48" s="20">
        <f t="shared" si="1"/>
        <v>25796600</v>
      </c>
      <c r="U48" t="s">
        <v>225</v>
      </c>
      <c r="V48">
        <f t="shared" si="2"/>
        <v>25796600</v>
      </c>
      <c r="W48">
        <f t="shared" si="3"/>
        <v>26026.246480000002</v>
      </c>
    </row>
    <row r="49" spans="2:28" x14ac:dyDescent="0.25">
      <c r="B49" t="s">
        <v>227</v>
      </c>
      <c r="C49" s="20">
        <v>14509</v>
      </c>
      <c r="D49">
        <f t="shared" si="4"/>
        <v>23349.914059999999</v>
      </c>
      <c r="F49" t="s">
        <v>226</v>
      </c>
      <c r="G49" s="20">
        <v>40000</v>
      </c>
      <c r="H49" s="20">
        <v>13000</v>
      </c>
      <c r="I49" s="20">
        <v>83200</v>
      </c>
      <c r="J49" s="20">
        <v>68500</v>
      </c>
      <c r="K49" s="20">
        <v>185200</v>
      </c>
      <c r="L49" s="20">
        <v>2200</v>
      </c>
      <c r="M49">
        <v>500</v>
      </c>
      <c r="N49">
        <v>0</v>
      </c>
      <c r="O49">
        <v>0</v>
      </c>
      <c r="P49" s="20">
        <v>2499600</v>
      </c>
      <c r="Q49" s="20">
        <v>158000</v>
      </c>
      <c r="R49" s="20">
        <v>26000</v>
      </c>
      <c r="S49" s="20">
        <f t="shared" si="1"/>
        <v>3076200</v>
      </c>
      <c r="U49" t="s">
        <v>226</v>
      </c>
      <c r="V49">
        <f t="shared" si="2"/>
        <v>3076200</v>
      </c>
      <c r="W49">
        <f t="shared" si="3"/>
        <v>24970.51944</v>
      </c>
    </row>
    <row r="50" spans="2:28" x14ac:dyDescent="0.25">
      <c r="B50" t="s">
        <v>229</v>
      </c>
      <c r="C50" s="20">
        <v>10949</v>
      </c>
      <c r="D50">
        <f t="shared" si="4"/>
        <v>17620.663659999998</v>
      </c>
      <c r="F50" t="s">
        <v>228</v>
      </c>
      <c r="G50" s="20">
        <v>7800</v>
      </c>
      <c r="H50" s="20">
        <v>5700</v>
      </c>
      <c r="I50" s="20">
        <v>20300</v>
      </c>
      <c r="J50" s="20">
        <v>7000</v>
      </c>
      <c r="K50" s="20">
        <v>36600</v>
      </c>
      <c r="L50">
        <v>0</v>
      </c>
      <c r="M50">
        <v>0</v>
      </c>
      <c r="N50">
        <v>0</v>
      </c>
      <c r="O50">
        <v>0</v>
      </c>
      <c r="P50" s="20">
        <v>496000</v>
      </c>
      <c r="Q50" s="20">
        <v>14700</v>
      </c>
      <c r="R50" s="20">
        <v>5000</v>
      </c>
      <c r="S50" s="20">
        <f t="shared" si="1"/>
        <v>593100</v>
      </c>
      <c r="U50" t="s">
        <v>227</v>
      </c>
      <c r="V50">
        <f t="shared" si="2"/>
        <v>7723500</v>
      </c>
      <c r="W50">
        <f t="shared" si="3"/>
        <v>23349.914059999999</v>
      </c>
    </row>
    <row r="51" spans="2:28" x14ac:dyDescent="0.25">
      <c r="B51" t="s">
        <v>159</v>
      </c>
      <c r="C51" s="20">
        <v>16876</v>
      </c>
      <c r="D51">
        <f t="shared" si="4"/>
        <v>27159.221839999998</v>
      </c>
      <c r="F51" t="s">
        <v>227</v>
      </c>
      <c r="G51" s="20">
        <v>84900</v>
      </c>
      <c r="H51" s="20">
        <v>26800</v>
      </c>
      <c r="I51" s="20">
        <v>229400</v>
      </c>
      <c r="J51" s="20">
        <v>44300</v>
      </c>
      <c r="K51" s="20">
        <v>484800</v>
      </c>
      <c r="L51">
        <v>300</v>
      </c>
      <c r="M51">
        <v>0</v>
      </c>
      <c r="N51">
        <v>0</v>
      </c>
      <c r="O51">
        <v>0</v>
      </c>
      <c r="P51" s="20">
        <v>6670000</v>
      </c>
      <c r="Q51" s="20">
        <v>152800</v>
      </c>
      <c r="R51" s="20">
        <v>30200</v>
      </c>
      <c r="S51" s="20">
        <f t="shared" si="1"/>
        <v>7723500</v>
      </c>
      <c r="U51" t="s">
        <v>228</v>
      </c>
      <c r="V51">
        <f t="shared" si="2"/>
        <v>593100</v>
      </c>
      <c r="W51">
        <f t="shared" si="3"/>
        <v>20927.857359999998</v>
      </c>
    </row>
    <row r="52" spans="2:28" x14ac:dyDescent="0.25">
      <c r="B52" t="s">
        <v>158</v>
      </c>
      <c r="C52" s="20">
        <v>15442</v>
      </c>
      <c r="D52">
        <f t="shared" si="4"/>
        <v>24851.42828</v>
      </c>
      <c r="F52" t="s">
        <v>229</v>
      </c>
      <c r="G52" s="20">
        <v>152100</v>
      </c>
      <c r="H52" s="20">
        <v>41200</v>
      </c>
      <c r="I52" s="20">
        <v>307200</v>
      </c>
      <c r="J52" s="20">
        <v>73800</v>
      </c>
      <c r="K52" s="20">
        <v>337700</v>
      </c>
      <c r="L52">
        <v>100</v>
      </c>
      <c r="M52">
        <v>100</v>
      </c>
      <c r="N52">
        <v>0</v>
      </c>
      <c r="O52">
        <v>0</v>
      </c>
      <c r="P52" s="20">
        <v>5583000</v>
      </c>
      <c r="Q52" s="20">
        <v>274200</v>
      </c>
      <c r="R52" s="20">
        <v>46700</v>
      </c>
      <c r="S52" s="20">
        <f t="shared" si="1"/>
        <v>6816100</v>
      </c>
      <c r="U52" t="s">
        <v>229</v>
      </c>
      <c r="V52">
        <f t="shared" si="2"/>
        <v>6816100</v>
      </c>
      <c r="W52">
        <f t="shared" si="3"/>
        <v>17620.663659999998</v>
      </c>
    </row>
    <row r="53" spans="2:28" x14ac:dyDescent="0.25">
      <c r="B53" t="s">
        <v>160</v>
      </c>
      <c r="C53" s="20">
        <v>24069</v>
      </c>
      <c r="D53">
        <f t="shared" si="4"/>
        <v>38735.204460000001</v>
      </c>
      <c r="F53" t="s">
        <v>159</v>
      </c>
      <c r="G53" s="20">
        <v>2800</v>
      </c>
      <c r="H53" s="20">
        <v>1800</v>
      </c>
      <c r="I53" s="20">
        <v>22400</v>
      </c>
      <c r="J53" s="20">
        <v>17300</v>
      </c>
      <c r="K53" s="20">
        <v>123400</v>
      </c>
      <c r="L53">
        <v>100</v>
      </c>
      <c r="M53">
        <v>0</v>
      </c>
      <c r="N53">
        <v>0</v>
      </c>
      <c r="O53">
        <v>0</v>
      </c>
      <c r="P53" s="20">
        <v>1281500</v>
      </c>
      <c r="Q53" s="20">
        <v>46400</v>
      </c>
      <c r="R53" s="20">
        <v>15200</v>
      </c>
      <c r="S53" s="20">
        <f t="shared" si="1"/>
        <v>1510900</v>
      </c>
    </row>
    <row r="54" spans="2:28" x14ac:dyDescent="0.25">
      <c r="B54" s="6" t="s">
        <v>134</v>
      </c>
      <c r="C54" s="20">
        <f>8863*1.609</f>
        <v>14260.566999999999</v>
      </c>
      <c r="D54">
        <f t="shared" si="4"/>
        <v>22950.100895779997</v>
      </c>
      <c r="F54" t="s">
        <v>158</v>
      </c>
      <c r="G54" s="20">
        <v>24900</v>
      </c>
      <c r="H54" s="20">
        <v>12500</v>
      </c>
      <c r="I54" s="20">
        <v>123600</v>
      </c>
      <c r="J54" s="20">
        <v>52900</v>
      </c>
      <c r="K54" s="20">
        <v>536200</v>
      </c>
      <c r="L54">
        <v>300</v>
      </c>
      <c r="M54">
        <v>0</v>
      </c>
      <c r="N54">
        <v>0</v>
      </c>
      <c r="O54">
        <v>0</v>
      </c>
      <c r="P54" s="20">
        <v>4604700</v>
      </c>
      <c r="Q54" s="20">
        <v>147500</v>
      </c>
      <c r="R54" s="20">
        <v>26400</v>
      </c>
      <c r="S54" s="20">
        <f t="shared" si="1"/>
        <v>5529000</v>
      </c>
    </row>
    <row r="55" spans="2:28" x14ac:dyDescent="0.25">
      <c r="F55" t="s">
        <v>160</v>
      </c>
      <c r="G55" s="20">
        <v>1100</v>
      </c>
      <c r="H55">
        <v>800</v>
      </c>
      <c r="I55" s="20">
        <v>8400</v>
      </c>
      <c r="J55" s="20">
        <v>21200</v>
      </c>
      <c r="K55" s="20">
        <v>57700</v>
      </c>
      <c r="L55">
        <v>0</v>
      </c>
      <c r="M55">
        <v>0</v>
      </c>
      <c r="N55">
        <v>0</v>
      </c>
      <c r="O55">
        <v>0</v>
      </c>
      <c r="P55" s="20">
        <v>489100</v>
      </c>
      <c r="Q55" s="20">
        <v>60900</v>
      </c>
      <c r="R55" s="20">
        <v>13700</v>
      </c>
      <c r="S55" s="20">
        <f t="shared" si="1"/>
        <v>652900</v>
      </c>
    </row>
    <row r="56" spans="2:28" x14ac:dyDescent="0.25">
      <c r="F56" t="s">
        <v>134</v>
      </c>
      <c r="G56" s="20">
        <v>3555900</v>
      </c>
      <c r="H56" s="20">
        <v>1307200</v>
      </c>
      <c r="I56" s="20">
        <v>7392300</v>
      </c>
      <c r="J56" s="20">
        <v>2803600</v>
      </c>
      <c r="K56" s="20">
        <v>20240600</v>
      </c>
      <c r="L56" s="20">
        <v>24700</v>
      </c>
      <c r="M56" s="20">
        <v>6000</v>
      </c>
      <c r="N56" s="20">
        <v>16900</v>
      </c>
      <c r="O56">
        <v>0</v>
      </c>
      <c r="P56" s="20">
        <v>242870900</v>
      </c>
      <c r="Q56" s="20">
        <v>7184300</v>
      </c>
      <c r="R56" s="20">
        <v>1694100</v>
      </c>
      <c r="S56" s="20">
        <f t="shared" si="1"/>
        <v>287096500</v>
      </c>
    </row>
    <row r="60" spans="2:28" x14ac:dyDescent="0.25">
      <c r="C60" t="s">
        <v>230</v>
      </c>
    </row>
    <row r="61" spans="2:28" x14ac:dyDescent="0.25">
      <c r="B61" s="214" t="s">
        <v>3</v>
      </c>
      <c r="C61" s="213" t="s">
        <v>317</v>
      </c>
      <c r="D61" s="213"/>
      <c r="E61" s="213"/>
      <c r="F61" s="213"/>
      <c r="G61" s="213"/>
      <c r="H61" s="213"/>
      <c r="I61" s="213"/>
      <c r="J61" s="213"/>
      <c r="K61" s="213"/>
      <c r="L61" s="213"/>
      <c r="M61" s="213"/>
      <c r="N61" s="213"/>
      <c r="O61" s="213"/>
      <c r="P61" s="213"/>
      <c r="Q61" s="213"/>
      <c r="R61" s="213"/>
      <c r="S61" s="213"/>
      <c r="T61" s="213"/>
      <c r="U61" s="213"/>
      <c r="V61" s="213"/>
      <c r="W61" s="213"/>
      <c r="X61" s="213"/>
      <c r="Y61" s="213"/>
      <c r="Z61" s="213"/>
      <c r="AA61" s="213"/>
      <c r="AB61" s="213" t="s">
        <v>452</v>
      </c>
    </row>
    <row r="62" spans="2:28" x14ac:dyDescent="0.25">
      <c r="B62" s="215"/>
      <c r="C62" s="73">
        <v>1</v>
      </c>
      <c r="D62" s="73">
        <v>2</v>
      </c>
      <c r="E62" s="73">
        <v>3</v>
      </c>
      <c r="F62" s="73">
        <v>4</v>
      </c>
      <c r="G62" s="73">
        <v>5</v>
      </c>
      <c r="H62" s="73">
        <v>6</v>
      </c>
      <c r="I62" s="73">
        <v>7</v>
      </c>
      <c r="J62" s="73">
        <v>8</v>
      </c>
      <c r="K62" s="73">
        <v>9</v>
      </c>
      <c r="L62" s="73">
        <v>10</v>
      </c>
      <c r="M62" s="73">
        <v>11</v>
      </c>
      <c r="N62" s="73">
        <v>12</v>
      </c>
      <c r="O62" s="73">
        <v>13</v>
      </c>
      <c r="P62" s="73">
        <v>14</v>
      </c>
      <c r="Q62" s="73">
        <v>15</v>
      </c>
      <c r="R62" s="73">
        <v>16</v>
      </c>
      <c r="S62" s="73">
        <v>17</v>
      </c>
      <c r="T62" s="73">
        <v>18</v>
      </c>
      <c r="U62" s="73">
        <v>19</v>
      </c>
      <c r="V62" s="73">
        <v>20</v>
      </c>
      <c r="W62" s="73">
        <v>21</v>
      </c>
      <c r="X62" s="73">
        <v>22</v>
      </c>
      <c r="Y62" s="73">
        <v>23</v>
      </c>
      <c r="Z62" s="73">
        <v>24</v>
      </c>
      <c r="AA62" s="73">
        <v>25</v>
      </c>
      <c r="AB62" s="213"/>
    </row>
    <row r="63" spans="2:28" x14ac:dyDescent="0.25">
      <c r="B63" t="s">
        <v>187</v>
      </c>
      <c r="C63" s="10">
        <f t="shared" ref="C63:L72" si="5">VLOOKUP($B63,$B$3:$C$54,2,FALSE)*C$119</f>
        <v>20091.263757733639</v>
      </c>
      <c r="D63" s="10">
        <f t="shared" si="5"/>
        <v>19493.689352002606</v>
      </c>
      <c r="E63" s="10">
        <f t="shared" si="5"/>
        <v>18914.970449365028</v>
      </c>
      <c r="F63" s="10">
        <f t="shared" si="5"/>
        <v>18356.557473135788</v>
      </c>
      <c r="G63" s="10">
        <f t="shared" si="5"/>
        <v>17817</v>
      </c>
      <c r="H63" s="10">
        <f t="shared" si="5"/>
        <v>17299.19887658743</v>
      </c>
      <c r="I63" s="10">
        <f t="shared" si="5"/>
        <v>16798.802832953439</v>
      </c>
      <c r="J63" s="10">
        <f t="shared" si="5"/>
        <v>16318.712715727777</v>
      </c>
      <c r="K63" s="10">
        <f t="shared" si="5"/>
        <v>15858.928524910454</v>
      </c>
      <c r="L63" s="10">
        <f t="shared" si="5"/>
        <v>15419.450260501468</v>
      </c>
      <c r="M63" s="10">
        <f t="shared" ref="M63:AA72" si="6">VLOOKUP($B63,$B$3:$C$54,2,FALSE)*M$119</f>
        <v>14998.827499185934</v>
      </c>
      <c r="N63" s="10">
        <f t="shared" si="6"/>
        <v>14598.510664278738</v>
      </c>
      <c r="O63" s="10">
        <f t="shared" si="6"/>
        <v>14217.049332464996</v>
      </c>
      <c r="P63" s="10">
        <f t="shared" si="6"/>
        <v>13855.893927059591</v>
      </c>
      <c r="Q63" s="10">
        <f t="shared" si="6"/>
        <v>13513.594024747639</v>
      </c>
      <c r="R63" s="10">
        <f t="shared" si="6"/>
        <v>13193.050472158906</v>
      </c>
      <c r="S63" s="10">
        <f t="shared" si="6"/>
        <v>12889.911999348746</v>
      </c>
      <c r="T63" s="10">
        <f t="shared" si="6"/>
        <v>12608.529876261804</v>
      </c>
      <c r="U63" s="10">
        <f t="shared" si="6"/>
        <v>12344.552832953435</v>
      </c>
      <c r="V63" s="10">
        <f t="shared" si="6"/>
        <v>12102.332139368284</v>
      </c>
      <c r="W63" s="10">
        <f t="shared" si="6"/>
        <v>11878.966948876589</v>
      </c>
      <c r="X63" s="10">
        <f t="shared" si="6"/>
        <v>11675.907684793227</v>
      </c>
      <c r="Y63" s="10">
        <f t="shared" si="6"/>
        <v>11491.703923803323</v>
      </c>
      <c r="Z63" s="10">
        <f t="shared" si="6"/>
        <v>11327.806089221751</v>
      </c>
      <c r="AA63" s="10">
        <f t="shared" si="6"/>
        <v>11184.214181048521</v>
      </c>
      <c r="AB63" s="10" cm="1">
        <f t="array" ref="AB63">SUMPRODUCT(INDEX(C63:AA63,,_xlfn.SEQUENCE('TCO Inputs'!$AZ$13)))</f>
        <v>234038.85566590686</v>
      </c>
    </row>
    <row r="64" spans="2:28" x14ac:dyDescent="0.25">
      <c r="B64" t="s">
        <v>231</v>
      </c>
      <c r="C64" s="10">
        <f t="shared" si="5"/>
        <v>12529.271572777599</v>
      </c>
      <c r="D64" s="10">
        <f t="shared" si="5"/>
        <v>12156.613480950831</v>
      </c>
      <c r="E64" s="10">
        <f t="shared" si="5"/>
        <v>11795.714018235103</v>
      </c>
      <c r="F64" s="10">
        <f t="shared" si="5"/>
        <v>11447.477694562032</v>
      </c>
      <c r="G64" s="10">
        <f t="shared" si="5"/>
        <v>11111</v>
      </c>
      <c r="H64" s="10">
        <f t="shared" si="5"/>
        <v>10788.089954412244</v>
      </c>
      <c r="I64" s="10">
        <f t="shared" si="5"/>
        <v>10476.034028003909</v>
      </c>
      <c r="J64" s="10">
        <f t="shared" si="5"/>
        <v>10176.64124063823</v>
      </c>
      <c r="K64" s="10">
        <f t="shared" si="5"/>
        <v>9889.9115923152076</v>
      </c>
      <c r="L64" s="10">
        <f t="shared" si="5"/>
        <v>9615.8450830348429</v>
      </c>
      <c r="M64" s="10">
        <f t="shared" si="6"/>
        <v>9353.5372028655165</v>
      </c>
      <c r="N64" s="10">
        <f t="shared" si="6"/>
        <v>9103.8924617388475</v>
      </c>
      <c r="O64" s="10">
        <f t="shared" si="6"/>
        <v>8866.0063497232186</v>
      </c>
      <c r="P64" s="10">
        <f t="shared" si="6"/>
        <v>8640.7833767502452</v>
      </c>
      <c r="Q64" s="10">
        <f t="shared" si="6"/>
        <v>8427.3190328883102</v>
      </c>
      <c r="R64" s="10">
        <f t="shared" si="6"/>
        <v>8227.4223380006515</v>
      </c>
      <c r="S64" s="10">
        <f t="shared" si="6"/>
        <v>8038.3797622924121</v>
      </c>
      <c r="T64" s="10">
        <f t="shared" si="6"/>
        <v>7862.90483555845</v>
      </c>
      <c r="U64" s="10">
        <f t="shared" si="6"/>
        <v>7698.2840280039072</v>
      </c>
      <c r="V64" s="10">
        <f t="shared" si="6"/>
        <v>7547.2308694236399</v>
      </c>
      <c r="W64" s="10">
        <f t="shared" si="6"/>
        <v>7407.9363399544127</v>
      </c>
      <c r="X64" s="10">
        <f t="shared" si="6"/>
        <v>7281.304949527841</v>
      </c>
      <c r="Y64" s="10">
        <f t="shared" si="6"/>
        <v>7166.4321882123095</v>
      </c>
      <c r="Z64" s="10">
        <f t="shared" si="6"/>
        <v>7064.2225659394335</v>
      </c>
      <c r="AA64" s="10">
        <f t="shared" si="6"/>
        <v>6974.6760827092166</v>
      </c>
      <c r="AB64" s="10" cm="1">
        <f t="array" ref="AB64">SUMPRODUCT(INDEX(C64:AA64,,_xlfn.SEQUENCE('TCO Inputs'!$AZ$13)))</f>
        <v>145950.81805600785</v>
      </c>
    </row>
    <row r="65" spans="2:28" x14ac:dyDescent="0.25">
      <c r="B65" t="s">
        <v>189</v>
      </c>
      <c r="C65" s="10">
        <f t="shared" si="5"/>
        <v>14760.882448713775</v>
      </c>
      <c r="D65" s="10">
        <f t="shared" si="5"/>
        <v>14321.849560403778</v>
      </c>
      <c r="E65" s="10">
        <f t="shared" si="5"/>
        <v>13896.669651579292</v>
      </c>
      <c r="F65" s="10">
        <f t="shared" si="5"/>
        <v>13486.40833604689</v>
      </c>
      <c r="G65" s="10">
        <f t="shared" si="5"/>
        <v>13090</v>
      </c>
      <c r="H65" s="10">
        <f t="shared" si="5"/>
        <v>12709.575871051775</v>
      </c>
      <c r="I65" s="10">
        <f t="shared" si="5"/>
        <v>12341.939107782482</v>
      </c>
      <c r="J65" s="10">
        <f t="shared" si="5"/>
        <v>11989.220937805278</v>
      </c>
      <c r="K65" s="10">
        <f t="shared" si="5"/>
        <v>11651.421361120158</v>
      </c>
      <c r="L65" s="10">
        <f t="shared" si="5"/>
        <v>11328.540377727126</v>
      </c>
      <c r="M65" s="10">
        <f t="shared" si="6"/>
        <v>11019.512373819603</v>
      </c>
      <c r="N65" s="10">
        <f t="shared" si="6"/>
        <v>10725.402963204169</v>
      </c>
      <c r="O65" s="10">
        <f t="shared" si="6"/>
        <v>10445.146532074245</v>
      </c>
      <c r="P65" s="10">
        <f t="shared" si="6"/>
        <v>10179.808694236406</v>
      </c>
      <c r="Q65" s="10">
        <f t="shared" si="6"/>
        <v>9928.3238358840772</v>
      </c>
      <c r="R65" s="10">
        <f t="shared" si="6"/>
        <v>9692.8231846304134</v>
      </c>
      <c r="S65" s="10">
        <f t="shared" si="6"/>
        <v>9470.109899055682</v>
      </c>
      <c r="T65" s="10">
        <f t="shared" si="6"/>
        <v>9263.3808205796158</v>
      </c>
      <c r="U65" s="10">
        <f t="shared" si="6"/>
        <v>9069.4391077824821</v>
      </c>
      <c r="V65" s="10">
        <f t="shared" si="6"/>
        <v>8891.4816020840117</v>
      </c>
      <c r="W65" s="10">
        <f t="shared" si="6"/>
        <v>8727.3770758710525</v>
      </c>
      <c r="X65" s="10">
        <f t="shared" si="6"/>
        <v>8578.1911429501797</v>
      </c>
      <c r="Y65" s="10">
        <f t="shared" si="6"/>
        <v>8442.8581895148163</v>
      </c>
      <c r="Z65" s="10">
        <f t="shared" si="6"/>
        <v>8322.4438293715393</v>
      </c>
      <c r="AA65" s="10">
        <f t="shared" si="6"/>
        <v>8216.9480625203523</v>
      </c>
      <c r="AB65" s="10" cm="1">
        <f t="array" ref="AB65">SUMPRODUCT(INDEX(C65:AA65,,_xlfn.SEQUENCE('TCO Inputs'!$AZ$13)))</f>
        <v>171946.378215565</v>
      </c>
    </row>
    <row r="66" spans="2:28" x14ac:dyDescent="0.25">
      <c r="B66" t="s">
        <v>188</v>
      </c>
      <c r="C66" s="10">
        <f t="shared" si="5"/>
        <v>19422.569846955394</v>
      </c>
      <c r="D66" s="10">
        <f t="shared" si="5"/>
        <v>18844.884402474763</v>
      </c>
      <c r="E66" s="10">
        <f t="shared" si="5"/>
        <v>18285.426896776295</v>
      </c>
      <c r="F66" s="10">
        <f t="shared" si="5"/>
        <v>17745.599478997072</v>
      </c>
      <c r="G66" s="10">
        <f t="shared" si="5"/>
        <v>17224</v>
      </c>
      <c r="H66" s="10">
        <f t="shared" si="5"/>
        <v>16723.432758059265</v>
      </c>
      <c r="I66" s="10">
        <f t="shared" si="5"/>
        <v>16239.691305763597</v>
      </c>
      <c r="J66" s="10">
        <f t="shared" si="5"/>
        <v>15775.579941387172</v>
      </c>
      <c r="K66" s="10">
        <f t="shared" si="5"/>
        <v>15331.09866492999</v>
      </c>
      <c r="L66" s="10">
        <f t="shared" si="5"/>
        <v>14906.247476392056</v>
      </c>
      <c r="M66" s="10">
        <f t="shared" si="6"/>
        <v>14499.624226636275</v>
      </c>
      <c r="N66" s="10">
        <f t="shared" si="6"/>
        <v>14112.63106479974</v>
      </c>
      <c r="O66" s="10">
        <f t="shared" si="6"/>
        <v>13743.865841745361</v>
      </c>
      <c r="P66" s="10">
        <f t="shared" si="6"/>
        <v>13394.730706610226</v>
      </c>
      <c r="Q66" s="10">
        <f t="shared" si="6"/>
        <v>13063.823510257245</v>
      </c>
      <c r="R66" s="10">
        <f t="shared" si="6"/>
        <v>12753.948550960598</v>
      </c>
      <c r="S66" s="10">
        <f t="shared" si="6"/>
        <v>12460.899381309018</v>
      </c>
      <c r="T66" s="10">
        <f t="shared" si="6"/>
        <v>12188.882448713774</v>
      </c>
      <c r="U66" s="10">
        <f t="shared" si="6"/>
        <v>11933.691305763596</v>
      </c>
      <c r="V66" s="10">
        <f t="shared" si="6"/>
        <v>11699.532399869749</v>
      </c>
      <c r="W66" s="10">
        <f t="shared" si="6"/>
        <v>11483.60143275806</v>
      </c>
      <c r="X66" s="10">
        <f t="shared" si="6"/>
        <v>11287.300553565614</v>
      </c>
      <c r="Y66" s="10">
        <f t="shared" si="6"/>
        <v>11109.227613155326</v>
      </c>
      <c r="Z66" s="10">
        <f t="shared" si="6"/>
        <v>10950.784760664279</v>
      </c>
      <c r="AA66" s="10">
        <f t="shared" si="6"/>
        <v>10811.971996092479</v>
      </c>
      <c r="AB66" s="10" cm="1">
        <f t="array" ref="AB66">SUMPRODUCT(INDEX(C66:AA66,,_xlfn.SEQUENCE('TCO Inputs'!$AZ$13)))</f>
        <v>226249.38261152719</v>
      </c>
    </row>
    <row r="67" spans="2:28" x14ac:dyDescent="0.25">
      <c r="B67" t="s">
        <v>149</v>
      </c>
      <c r="C67" s="10">
        <f t="shared" si="5"/>
        <v>14122.634972321721</v>
      </c>
      <c r="D67" s="10">
        <f t="shared" si="5"/>
        <v>13702.585477043309</v>
      </c>
      <c r="E67" s="10">
        <f t="shared" si="5"/>
        <v>13295.789970693586</v>
      </c>
      <c r="F67" s="10">
        <f t="shared" si="5"/>
        <v>12903.267990882448</v>
      </c>
      <c r="G67" s="10">
        <f t="shared" si="5"/>
        <v>12524</v>
      </c>
      <c r="H67" s="10">
        <f t="shared" si="5"/>
        <v>12160.025073266037</v>
      </c>
      <c r="I67" s="10">
        <f t="shared" si="5"/>
        <v>11808.284597850865</v>
      </c>
      <c r="J67" s="10">
        <f t="shared" si="5"/>
        <v>11470.817648974276</v>
      </c>
      <c r="K67" s="10">
        <f t="shared" si="5"/>
        <v>11147.624226636275</v>
      </c>
      <c r="L67" s="10">
        <f t="shared" si="5"/>
        <v>10838.704330836863</v>
      </c>
      <c r="M67" s="10">
        <f t="shared" si="6"/>
        <v>10543.038423966136</v>
      </c>
      <c r="N67" s="10">
        <f t="shared" si="6"/>
        <v>10261.646043633997</v>
      </c>
      <c r="O67" s="10">
        <f t="shared" si="6"/>
        <v>9993.5076522305444</v>
      </c>
      <c r="P67" s="10">
        <f t="shared" si="6"/>
        <v>9739.6427873656794</v>
      </c>
      <c r="Q67" s="10">
        <f t="shared" si="6"/>
        <v>9499.0319114295016</v>
      </c>
      <c r="R67" s="10">
        <f t="shared" si="6"/>
        <v>9273.7140996418111</v>
      </c>
      <c r="S67" s="10">
        <f t="shared" si="6"/>
        <v>9060.6307391729079</v>
      </c>
      <c r="T67" s="10">
        <f t="shared" si="6"/>
        <v>8862.8404428524918</v>
      </c>
      <c r="U67" s="10">
        <f t="shared" si="6"/>
        <v>8677.2845978508631</v>
      </c>
      <c r="V67" s="10">
        <f t="shared" si="6"/>
        <v>8507.0218169977197</v>
      </c>
      <c r="W67" s="10">
        <f t="shared" si="6"/>
        <v>8350.0130250732673</v>
      </c>
      <c r="X67" s="10">
        <f t="shared" si="6"/>
        <v>8207.2777596873984</v>
      </c>
      <c r="Y67" s="10">
        <f t="shared" si="6"/>
        <v>8077.7964832302196</v>
      </c>
      <c r="Z67" s="10">
        <f t="shared" si="6"/>
        <v>7962.5887333116243</v>
      </c>
      <c r="AA67" s="10">
        <f t="shared" si="6"/>
        <v>7861.6545099316199</v>
      </c>
      <c r="AB67" s="10" cm="1">
        <f t="array" ref="AB67">SUMPRODUCT(INDEX(C67:AA67,,_xlfn.SEQUENCE('TCO Inputs'!$AZ$13)))</f>
        <v>164511.56919570174</v>
      </c>
    </row>
    <row r="68" spans="2:28" x14ac:dyDescent="0.25">
      <c r="B68" t="s">
        <v>190</v>
      </c>
      <c r="C68" s="10">
        <f t="shared" si="5"/>
        <v>14545.502116574407</v>
      </c>
      <c r="D68" s="10">
        <f t="shared" si="5"/>
        <v>14112.875284923479</v>
      </c>
      <c r="E68" s="10">
        <f t="shared" si="5"/>
        <v>13693.899299902312</v>
      </c>
      <c r="F68" s="10">
        <f t="shared" si="5"/>
        <v>13289.624226636275</v>
      </c>
      <c r="G68" s="10">
        <f t="shared" si="5"/>
        <v>12899</v>
      </c>
      <c r="H68" s="10">
        <f t="shared" si="5"/>
        <v>12524.126750244221</v>
      </c>
      <c r="I68" s="10">
        <f t="shared" si="5"/>
        <v>12161.854281992837</v>
      </c>
      <c r="J68" s="10">
        <f t="shared" si="5"/>
        <v>11814.282725496583</v>
      </c>
      <c r="K68" s="10">
        <f t="shared" si="5"/>
        <v>11481.412080755455</v>
      </c>
      <c r="L68" s="10">
        <f t="shared" si="5"/>
        <v>11163.242347769457</v>
      </c>
      <c r="M68" s="10">
        <f t="shared" si="6"/>
        <v>10858.723461413221</v>
      </c>
      <c r="N68" s="10">
        <f t="shared" si="6"/>
        <v>10568.905486812113</v>
      </c>
      <c r="O68" s="10">
        <f t="shared" si="6"/>
        <v>10292.73835884077</v>
      </c>
      <c r="P68" s="10">
        <f t="shared" si="6"/>
        <v>10031.272142624553</v>
      </c>
      <c r="Q68" s="10">
        <f t="shared" si="6"/>
        <v>9783.4567730380986</v>
      </c>
      <c r="R68" s="10">
        <f t="shared" si="6"/>
        <v>9551.3923803321395</v>
      </c>
      <c r="S68" s="10">
        <f t="shared" si="6"/>
        <v>9331.9287691305763</v>
      </c>
      <c r="T68" s="10">
        <f t="shared" si="6"/>
        <v>9128.2161348095087</v>
      </c>
      <c r="U68" s="10">
        <f t="shared" si="6"/>
        <v>8937.1042819928371</v>
      </c>
      <c r="V68" s="10">
        <f t="shared" si="6"/>
        <v>8761.7434060566593</v>
      </c>
      <c r="W68" s="10">
        <f t="shared" si="6"/>
        <v>8600.0333767502452</v>
      </c>
      <c r="X68" s="10">
        <f t="shared" si="6"/>
        <v>8453.024259198959</v>
      </c>
      <c r="Y68" s="10">
        <f t="shared" si="6"/>
        <v>8319.6659882774347</v>
      </c>
      <c r="Z68" s="10">
        <f t="shared" si="6"/>
        <v>8201.0086291110383</v>
      </c>
      <c r="AA68" s="10">
        <f t="shared" si="6"/>
        <v>8097.0521816997734</v>
      </c>
      <c r="AB68" s="10" cm="1">
        <f t="array" ref="AB68">SUMPRODUCT(INDEX(C68:AA68,,_xlfn.SEQUENCE('TCO Inputs'!$AZ$13)))</f>
        <v>169437.45856398568</v>
      </c>
    </row>
    <row r="69" spans="2:28" x14ac:dyDescent="0.25">
      <c r="B69" t="s">
        <v>191</v>
      </c>
      <c r="C69" s="10">
        <f t="shared" si="5"/>
        <v>13663.683165092805</v>
      </c>
      <c r="D69" s="10">
        <f t="shared" si="5"/>
        <v>13257.284272224031</v>
      </c>
      <c r="E69" s="10">
        <f t="shared" si="5"/>
        <v>12863.70864539238</v>
      </c>
      <c r="F69" s="10">
        <f t="shared" si="5"/>
        <v>12483.942689677629</v>
      </c>
      <c r="G69" s="10">
        <f t="shared" si="5"/>
        <v>12117</v>
      </c>
      <c r="H69" s="10">
        <f t="shared" si="5"/>
        <v>11764.853386519049</v>
      </c>
      <c r="I69" s="10">
        <f t="shared" si="5"/>
        <v>11424.543633995443</v>
      </c>
      <c r="J69" s="10">
        <f t="shared" si="5"/>
        <v>11098.043552588735</v>
      </c>
      <c r="K69" s="10">
        <f t="shared" si="5"/>
        <v>10785.353142298925</v>
      </c>
      <c r="L69" s="10">
        <f t="shared" si="5"/>
        <v>10486.472403126019</v>
      </c>
      <c r="M69" s="10">
        <f t="shared" si="6"/>
        <v>10200.414929990231</v>
      </c>
      <c r="N69" s="10">
        <f t="shared" si="6"/>
        <v>9928.1671279713446</v>
      </c>
      <c r="O69" s="10">
        <f t="shared" si="6"/>
        <v>9668.7425919895813</v>
      </c>
      <c r="P69" s="10">
        <f t="shared" si="6"/>
        <v>9423.1277271247163</v>
      </c>
      <c r="Q69" s="10">
        <f t="shared" si="6"/>
        <v>9190.3361282969727</v>
      </c>
      <c r="R69" s="10">
        <f t="shared" si="6"/>
        <v>8972.340605665906</v>
      </c>
      <c r="S69" s="10">
        <f t="shared" si="6"/>
        <v>8766.1819439921837</v>
      </c>
      <c r="T69" s="10">
        <f t="shared" si="6"/>
        <v>8574.8193585151421</v>
      </c>
      <c r="U69" s="10">
        <f t="shared" si="6"/>
        <v>8395.2936339954413</v>
      </c>
      <c r="V69" s="10">
        <f t="shared" si="6"/>
        <v>8230.5639856724192</v>
      </c>
      <c r="W69" s="10">
        <f t="shared" si="6"/>
        <v>8078.6576033865194</v>
      </c>
      <c r="X69" s="10">
        <f t="shared" si="6"/>
        <v>7940.5608922175188</v>
      </c>
      <c r="Y69" s="10">
        <f t="shared" si="6"/>
        <v>7815.2874470856414</v>
      </c>
      <c r="Z69" s="10">
        <f t="shared" si="6"/>
        <v>7703.8236730706603</v>
      </c>
      <c r="AA69" s="10">
        <f t="shared" si="6"/>
        <v>7606.1695701725839</v>
      </c>
      <c r="AB69" s="10" cm="1">
        <f t="array" ref="AB69">SUMPRODUCT(INDEX(C69:AA69,,_xlfn.SEQUENCE('TCO Inputs'!$AZ$13)))</f>
        <v>159165.33726799089</v>
      </c>
    </row>
    <row r="70" spans="2:28" x14ac:dyDescent="0.25">
      <c r="B70" t="s">
        <v>192</v>
      </c>
      <c r="C70" s="10">
        <f t="shared" si="5"/>
        <v>14218.484858352331</v>
      </c>
      <c r="D70" s="10">
        <f t="shared" si="5"/>
        <v>13795.584500162813</v>
      </c>
      <c r="E70" s="10">
        <f t="shared" si="5"/>
        <v>13386.02808531423</v>
      </c>
      <c r="F70" s="10">
        <f t="shared" si="5"/>
        <v>12990.84207098665</v>
      </c>
      <c r="G70" s="10">
        <f t="shared" si="5"/>
        <v>12609</v>
      </c>
      <c r="H70" s="10">
        <f t="shared" si="5"/>
        <v>12242.554786714425</v>
      </c>
      <c r="I70" s="10">
        <f t="shared" si="5"/>
        <v>11888.427059589712</v>
      </c>
      <c r="J70" s="10">
        <f t="shared" si="5"/>
        <v>11548.669732986</v>
      </c>
      <c r="K70" s="10">
        <f t="shared" si="5"/>
        <v>11223.282806903289</v>
      </c>
      <c r="L70" s="10">
        <f t="shared" si="5"/>
        <v>10912.266281341585</v>
      </c>
      <c r="M70" s="10">
        <f t="shared" si="6"/>
        <v>10614.593699120809</v>
      </c>
      <c r="N70" s="10">
        <f t="shared" si="6"/>
        <v>10331.291517421036</v>
      </c>
      <c r="O70" s="10">
        <f t="shared" si="6"/>
        <v>10061.333279062195</v>
      </c>
      <c r="P70" s="10">
        <f t="shared" si="6"/>
        <v>9805.7454412243587</v>
      </c>
      <c r="Q70" s="10">
        <f t="shared" si="6"/>
        <v>9563.5015467274516</v>
      </c>
      <c r="R70" s="10">
        <f t="shared" si="6"/>
        <v>9336.654509931619</v>
      </c>
      <c r="S70" s="10">
        <f t="shared" si="6"/>
        <v>9122.1249592966451</v>
      </c>
      <c r="T70" s="10">
        <f t="shared" si="6"/>
        <v>8922.9922663627494</v>
      </c>
      <c r="U70" s="10">
        <f t="shared" si="6"/>
        <v>8736.1770595897106</v>
      </c>
      <c r="V70" s="10">
        <f t="shared" si="6"/>
        <v>8564.7587105177463</v>
      </c>
      <c r="W70" s="10">
        <f t="shared" si="6"/>
        <v>8406.6843047867151</v>
      </c>
      <c r="X70" s="10">
        <f t="shared" si="6"/>
        <v>8262.9802995766859</v>
      </c>
      <c r="Y70" s="10">
        <f t="shared" si="6"/>
        <v>8132.6202377075879</v>
      </c>
      <c r="Z70" s="10">
        <f t="shared" si="6"/>
        <v>8016.6305763594919</v>
      </c>
      <c r="AA70" s="10">
        <f t="shared" si="6"/>
        <v>7915.0113155324016</v>
      </c>
      <c r="AB70" s="10" cm="1">
        <f t="array" ref="AB70">SUMPRODUCT(INDEX(C70:AA70,,_xlfn.SEQUENCE('TCO Inputs'!$AZ$13)))</f>
        <v>165628.10411917945</v>
      </c>
    </row>
    <row r="71" spans="2:28" x14ac:dyDescent="0.25">
      <c r="B71" t="s">
        <v>193</v>
      </c>
      <c r="C71" s="10">
        <f t="shared" si="5"/>
        <v>16415.138717030284</v>
      </c>
      <c r="D71" s="10">
        <f t="shared" si="5"/>
        <v>15926.903288830999</v>
      </c>
      <c r="E71" s="10">
        <f t="shared" si="5"/>
        <v>15454.073347443831</v>
      </c>
      <c r="F71" s="10">
        <f t="shared" si="5"/>
        <v>14997.833930315859</v>
      </c>
      <c r="G71" s="10">
        <f t="shared" si="5"/>
        <v>14557</v>
      </c>
      <c r="H71" s="10">
        <f t="shared" si="5"/>
        <v>14133.941631390428</v>
      </c>
      <c r="I71" s="10">
        <f t="shared" si="5"/>
        <v>13725.103712145883</v>
      </c>
      <c r="J71" s="10">
        <f t="shared" si="5"/>
        <v>13332.856317160536</v>
      </c>
      <c r="K71" s="10">
        <f t="shared" si="5"/>
        <v>12957.199446434386</v>
      </c>
      <c r="L71" s="10">
        <f t="shared" si="5"/>
        <v>12598.133099967439</v>
      </c>
      <c r="M71" s="10">
        <f t="shared" si="6"/>
        <v>12254.472240312603</v>
      </c>
      <c r="N71" s="10">
        <f t="shared" si="6"/>
        <v>11927.401904916966</v>
      </c>
      <c r="O71" s="10">
        <f t="shared" si="6"/>
        <v>11615.737056333443</v>
      </c>
      <c r="P71" s="10">
        <f t="shared" si="6"/>
        <v>11320.662732009119</v>
      </c>
      <c r="Q71" s="10">
        <f t="shared" si="6"/>
        <v>11040.993894496907</v>
      </c>
      <c r="R71" s="10">
        <f t="shared" si="6"/>
        <v>10779.10061869098</v>
      </c>
      <c r="S71" s="10">
        <f t="shared" si="6"/>
        <v>10531.427792250081</v>
      </c>
      <c r="T71" s="10">
        <f t="shared" si="6"/>
        <v>10301.530527515468</v>
      </c>
      <c r="U71" s="10">
        <f t="shared" si="6"/>
        <v>10085.853712145881</v>
      </c>
      <c r="V71" s="10">
        <f t="shared" si="6"/>
        <v>9887.9524584825795</v>
      </c>
      <c r="W71" s="10">
        <f t="shared" si="6"/>
        <v>9705.4566916313906</v>
      </c>
      <c r="X71" s="10">
        <f t="shared" si="6"/>
        <v>9539.5514490394016</v>
      </c>
      <c r="Y71" s="10">
        <f t="shared" si="6"/>
        <v>9389.0516932595256</v>
      </c>
      <c r="Z71" s="10">
        <f t="shared" si="6"/>
        <v>9255.1424617388475</v>
      </c>
      <c r="AA71" s="10">
        <f t="shared" si="6"/>
        <v>9137.823754477371</v>
      </c>
      <c r="AB71" s="10" cm="1">
        <f t="array" ref="AB71">SUMPRODUCT(INDEX(C71:AA71,,_xlfn.SEQUENCE('TCO Inputs'!$AZ$13)))</f>
        <v>191216.45742429176</v>
      </c>
    </row>
    <row r="72" spans="2:28" x14ac:dyDescent="0.25">
      <c r="B72" t="s">
        <v>194</v>
      </c>
      <c r="C72" s="10">
        <f t="shared" si="5"/>
        <v>20674.256593943344</v>
      </c>
      <c r="D72" s="10">
        <f t="shared" si="5"/>
        <v>20059.342233800064</v>
      </c>
      <c r="E72" s="10">
        <f t="shared" si="5"/>
        <v>19463.830511234126</v>
      </c>
      <c r="F72" s="10">
        <f t="shared" si="5"/>
        <v>18889.213936828397</v>
      </c>
      <c r="G72" s="10">
        <f t="shared" si="5"/>
        <v>18334</v>
      </c>
      <c r="H72" s="10">
        <f t="shared" si="5"/>
        <v>17801.173721914685</v>
      </c>
      <c r="I72" s="10">
        <f t="shared" si="5"/>
        <v>17286.257570823836</v>
      </c>
      <c r="J72" s="10">
        <f t="shared" si="5"/>
        <v>16792.236567893196</v>
      </c>
      <c r="K72" s="10">
        <f t="shared" si="5"/>
        <v>16319.110713122762</v>
      </c>
      <c r="L72" s="10">
        <f t="shared" si="5"/>
        <v>15866.88000651254</v>
      </c>
      <c r="M72" s="10">
        <f t="shared" si="6"/>
        <v>15434.051937479649</v>
      </c>
      <c r="N72" s="10">
        <f t="shared" si="6"/>
        <v>15022.119016606968</v>
      </c>
      <c r="O72" s="10">
        <f t="shared" si="6"/>
        <v>14629.588733311626</v>
      </c>
      <c r="P72" s="10">
        <f t="shared" si="6"/>
        <v>14257.953598176491</v>
      </c>
      <c r="Q72" s="10">
        <f t="shared" si="6"/>
        <v>13905.721100618692</v>
      </c>
      <c r="R72" s="10">
        <f t="shared" si="6"/>
        <v>13575.876261803973</v>
      </c>
      <c r="S72" s="10">
        <f t="shared" si="6"/>
        <v>13263.941549983718</v>
      </c>
      <c r="T72" s="10">
        <f t="shared" si="6"/>
        <v>12974.394496906545</v>
      </c>
      <c r="U72" s="10">
        <f t="shared" si="6"/>
        <v>12702.757570823836</v>
      </c>
      <c r="V72" s="10">
        <f t="shared" si="6"/>
        <v>12453.508303484206</v>
      </c>
      <c r="W72" s="10">
        <f t="shared" si="6"/>
        <v>12223.661673721916</v>
      </c>
      <c r="X72" s="10">
        <f t="shared" si="6"/>
        <v>12014.710192119832</v>
      </c>
      <c r="Y72" s="10">
        <f t="shared" si="6"/>
        <v>11825.161348095085</v>
      </c>
      <c r="Z72" s="10">
        <f t="shared" si="6"/>
        <v>11656.507652230543</v>
      </c>
      <c r="AA72" s="10">
        <f t="shared" si="6"/>
        <v>11508.749104526216</v>
      </c>
      <c r="AB72" s="10" cm="1">
        <f t="array" ref="AB72">SUMPRODUCT(INDEX(C72:AA72,,_xlfn.SEQUENCE('TCO Inputs'!$AZ$13)))</f>
        <v>240830.01514164766</v>
      </c>
    </row>
    <row r="73" spans="2:28" x14ac:dyDescent="0.25">
      <c r="B73" t="s">
        <v>233</v>
      </c>
      <c r="C73" s="10">
        <f t="shared" ref="C73:L82" si="7">VLOOKUP($B73,$B$3:$C$54,2,FALSE)*C$119</f>
        <v>13179.923152067733</v>
      </c>
      <c r="D73" s="10">
        <f t="shared" si="7"/>
        <v>12787.912732009117</v>
      </c>
      <c r="E73" s="10">
        <f t="shared" si="7"/>
        <v>12408.271572777598</v>
      </c>
      <c r="F73" s="10">
        <f t="shared" si="7"/>
        <v>12041.951155975254</v>
      </c>
      <c r="G73" s="10">
        <f t="shared" si="7"/>
        <v>11688</v>
      </c>
      <c r="H73" s="10">
        <f t="shared" si="7"/>
        <v>11348.321068056008</v>
      </c>
      <c r="I73" s="10">
        <f t="shared" si="7"/>
        <v>11020.059915337026</v>
      </c>
      <c r="J73" s="10">
        <f t="shared" si="7"/>
        <v>10705.119505047218</v>
      </c>
      <c r="K73" s="10">
        <f t="shared" si="7"/>
        <v>10403.499837186584</v>
      </c>
      <c r="L73" s="10">
        <f t="shared" si="7"/>
        <v>10115.20091175513</v>
      </c>
      <c r="M73" s="10">
        <f t="shared" ref="M73:AA82" si="8">VLOOKUP($B73,$B$3:$C$54,2,FALSE)*M$119</f>
        <v>9839.2712471507657</v>
      </c>
      <c r="N73" s="10">
        <f t="shared" si="8"/>
        <v>9576.6623249755776</v>
      </c>
      <c r="O73" s="10">
        <f t="shared" si="8"/>
        <v>9326.4226636274834</v>
      </c>
      <c r="P73" s="10">
        <f t="shared" si="8"/>
        <v>9089.5037447085651</v>
      </c>
      <c r="Q73" s="10">
        <f t="shared" si="8"/>
        <v>8864.9540866167372</v>
      </c>
      <c r="R73" s="10">
        <f t="shared" si="8"/>
        <v>8654.6766525561707</v>
      </c>
      <c r="S73" s="10">
        <f t="shared" si="8"/>
        <v>8455.8169977206126</v>
      </c>
      <c r="T73" s="10">
        <f t="shared" si="8"/>
        <v>8271.2295669163141</v>
      </c>
      <c r="U73" s="10">
        <f t="shared" si="8"/>
        <v>8098.059915337024</v>
      </c>
      <c r="V73" s="10">
        <f t="shared" si="8"/>
        <v>7939.1624877889935</v>
      </c>
      <c r="W73" s="10">
        <f t="shared" si="8"/>
        <v>7792.6343210680561</v>
      </c>
      <c r="X73" s="10">
        <f t="shared" si="8"/>
        <v>7659.4268967762946</v>
      </c>
      <c r="Y73" s="10">
        <f t="shared" si="8"/>
        <v>7538.5887333116261</v>
      </c>
      <c r="Z73" s="10">
        <f t="shared" si="8"/>
        <v>7431.0713122761308</v>
      </c>
      <c r="AA73" s="10">
        <f t="shared" si="8"/>
        <v>7336.8746336698159</v>
      </c>
      <c r="AB73" s="10" cm="1">
        <f t="array" ref="AB73">SUMPRODUCT(INDEX(C73:AA73,,_xlfn.SEQUENCE('TCO Inputs'!$AZ$13)))</f>
        <v>153530.11983067406</v>
      </c>
    </row>
    <row r="74" spans="2:28" x14ac:dyDescent="0.25">
      <c r="B74" t="s">
        <v>196</v>
      </c>
      <c r="C74" s="10">
        <f t="shared" si="7"/>
        <v>16257.268316509282</v>
      </c>
      <c r="D74" s="10">
        <f t="shared" si="7"/>
        <v>15773.728427222404</v>
      </c>
      <c r="E74" s="10">
        <f t="shared" si="7"/>
        <v>15305.445864539239</v>
      </c>
      <c r="F74" s="10">
        <f t="shared" si="7"/>
        <v>14853.594268967763</v>
      </c>
      <c r="G74" s="10">
        <f t="shared" si="7"/>
        <v>14417</v>
      </c>
      <c r="H74" s="10">
        <f t="shared" si="7"/>
        <v>13998.010338651906</v>
      </c>
      <c r="I74" s="10">
        <f t="shared" si="7"/>
        <v>13593.104363399545</v>
      </c>
      <c r="J74" s="10">
        <f t="shared" si="7"/>
        <v>13204.629355258876</v>
      </c>
      <c r="K74" s="10">
        <f t="shared" si="7"/>
        <v>12832.585314229893</v>
      </c>
      <c r="L74" s="10">
        <f t="shared" si="7"/>
        <v>12476.972240312603</v>
      </c>
      <c r="M74" s="10">
        <f t="shared" si="8"/>
        <v>12136.616492999025</v>
      </c>
      <c r="N74" s="10">
        <f t="shared" si="8"/>
        <v>11812.691712797136</v>
      </c>
      <c r="O74" s="10">
        <f t="shared" si="8"/>
        <v>11504.024259198959</v>
      </c>
      <c r="P74" s="10">
        <f t="shared" si="8"/>
        <v>11211.787772712472</v>
      </c>
      <c r="Q74" s="10">
        <f t="shared" si="8"/>
        <v>10934.808612829698</v>
      </c>
      <c r="R74" s="10">
        <f t="shared" si="8"/>
        <v>10675.434060566591</v>
      </c>
      <c r="S74" s="10">
        <f t="shared" si="8"/>
        <v>10430.143194399217</v>
      </c>
      <c r="T74" s="10">
        <f t="shared" si="8"/>
        <v>10202.456935851515</v>
      </c>
      <c r="U74" s="10">
        <f t="shared" si="8"/>
        <v>9988.854363399545</v>
      </c>
      <c r="V74" s="10">
        <f t="shared" si="8"/>
        <v>9792.8563985672408</v>
      </c>
      <c r="W74" s="10">
        <f t="shared" si="8"/>
        <v>9612.1157603386528</v>
      </c>
      <c r="X74" s="10">
        <f t="shared" si="8"/>
        <v>9447.8060892217527</v>
      </c>
      <c r="Y74" s="10">
        <f t="shared" si="8"/>
        <v>9298.7537447085651</v>
      </c>
      <c r="Z74" s="10">
        <f t="shared" si="8"/>
        <v>9166.1323673070656</v>
      </c>
      <c r="AA74" s="10">
        <f t="shared" si="8"/>
        <v>9049.9419570172595</v>
      </c>
      <c r="AB74" s="10" cm="1">
        <f t="array" ref="AB74">SUMPRODUCT(INDEX(C74:AA74,,_xlfn.SEQUENCE('TCO Inputs'!$AZ$13)))</f>
        <v>189377.45872679906</v>
      </c>
    </row>
    <row r="75" spans="2:28" x14ac:dyDescent="0.25">
      <c r="B75" t="s">
        <v>197</v>
      </c>
      <c r="C75" s="10">
        <f t="shared" si="7"/>
        <v>14186.91077824813</v>
      </c>
      <c r="D75" s="10">
        <f t="shared" si="7"/>
        <v>13764.949527841094</v>
      </c>
      <c r="E75" s="10">
        <f t="shared" si="7"/>
        <v>13356.302588733313</v>
      </c>
      <c r="F75" s="10">
        <f t="shared" si="7"/>
        <v>12961.994138717031</v>
      </c>
      <c r="G75" s="10">
        <f t="shared" si="7"/>
        <v>12581</v>
      </c>
      <c r="H75" s="10">
        <f t="shared" si="7"/>
        <v>12215.368528166722</v>
      </c>
      <c r="I75" s="10">
        <f t="shared" si="7"/>
        <v>11862.027189840444</v>
      </c>
      <c r="J75" s="10">
        <f t="shared" si="7"/>
        <v>11523.024340605667</v>
      </c>
      <c r="K75" s="10">
        <f t="shared" si="7"/>
        <v>11198.35998046239</v>
      </c>
      <c r="L75" s="10">
        <f t="shared" si="7"/>
        <v>10888.034109410617</v>
      </c>
      <c r="M75" s="10">
        <f t="shared" si="8"/>
        <v>10591.022549658093</v>
      </c>
      <c r="N75" s="10">
        <f t="shared" si="8"/>
        <v>10308.34947899707</v>
      </c>
      <c r="O75" s="10">
        <f t="shared" si="8"/>
        <v>10038.9907196353</v>
      </c>
      <c r="P75" s="10">
        <f t="shared" si="8"/>
        <v>9783.9704493650279</v>
      </c>
      <c r="Q75" s="10">
        <f t="shared" si="8"/>
        <v>9542.264490394009</v>
      </c>
      <c r="R75" s="10">
        <f t="shared" si="8"/>
        <v>9315.9211983067398</v>
      </c>
      <c r="S75" s="10">
        <f t="shared" si="8"/>
        <v>9101.8680397264725</v>
      </c>
      <c r="T75" s="10">
        <f t="shared" si="8"/>
        <v>8903.1775480299584</v>
      </c>
      <c r="U75" s="10">
        <f t="shared" si="8"/>
        <v>8716.7771898404426</v>
      </c>
      <c r="V75" s="10">
        <f t="shared" si="8"/>
        <v>8545.7394985346782</v>
      </c>
      <c r="W75" s="10">
        <f t="shared" si="8"/>
        <v>8388.0161185281668</v>
      </c>
      <c r="X75" s="10">
        <f t="shared" si="8"/>
        <v>8244.6312276131557</v>
      </c>
      <c r="Y75" s="10">
        <f t="shared" si="8"/>
        <v>8114.5606479973958</v>
      </c>
      <c r="Z75" s="10">
        <f t="shared" si="8"/>
        <v>7998.8285574731353</v>
      </c>
      <c r="AA75" s="10">
        <f t="shared" si="8"/>
        <v>7897.4349560403789</v>
      </c>
      <c r="AB75" s="10" cm="1">
        <f t="array" ref="AB75">SUMPRODUCT(INDEX(C75:AA75,,_xlfn.SEQUENCE('TCO Inputs'!$AZ$13)))</f>
        <v>165260.30437968092</v>
      </c>
    </row>
    <row r="76" spans="2:28" x14ac:dyDescent="0.25">
      <c r="B76" t="s">
        <v>198</v>
      </c>
      <c r="C76" s="10">
        <f t="shared" si="7"/>
        <v>20324.686421361122</v>
      </c>
      <c r="D76" s="10">
        <f t="shared" si="7"/>
        <v>19720.169325952458</v>
      </c>
      <c r="E76" s="10">
        <f t="shared" si="7"/>
        <v>19134.726799088246</v>
      </c>
      <c r="F76" s="10">
        <f t="shared" si="7"/>
        <v>18569.826115271899</v>
      </c>
      <c r="G76" s="10">
        <f t="shared" si="7"/>
        <v>18024</v>
      </c>
      <c r="H76" s="10">
        <f t="shared" si="7"/>
        <v>17500.183002279387</v>
      </c>
      <c r="I76" s="10">
        <f t="shared" si="7"/>
        <v>16993.973298599805</v>
      </c>
      <c r="J76" s="10">
        <f t="shared" si="7"/>
        <v>16508.305437968091</v>
      </c>
      <c r="K76" s="10">
        <f t="shared" si="7"/>
        <v>16043.17942038424</v>
      </c>
      <c r="L76" s="10">
        <f t="shared" si="7"/>
        <v>15598.595245848261</v>
      </c>
      <c r="M76" s="10">
        <f t="shared" si="8"/>
        <v>15173.085639856725</v>
      </c>
      <c r="N76" s="10">
        <f t="shared" si="8"/>
        <v>14768.117876913058</v>
      </c>
      <c r="O76" s="10">
        <f t="shared" si="8"/>
        <v>14382.224682513841</v>
      </c>
      <c r="P76" s="10">
        <f t="shared" si="8"/>
        <v>14016.873331162489</v>
      </c>
      <c r="Q76" s="10">
        <f t="shared" si="8"/>
        <v>13670.596548355585</v>
      </c>
      <c r="R76" s="10">
        <f t="shared" si="8"/>
        <v>13346.328883099966</v>
      </c>
      <c r="S76" s="10">
        <f t="shared" si="8"/>
        <v>13039.668511885378</v>
      </c>
      <c r="T76" s="10">
        <f t="shared" si="8"/>
        <v>12755.017258222078</v>
      </c>
      <c r="U76" s="10">
        <f t="shared" si="8"/>
        <v>12487.973298599805</v>
      </c>
      <c r="V76" s="10">
        <f t="shared" si="8"/>
        <v>12242.938456528818</v>
      </c>
      <c r="W76" s="10">
        <f t="shared" si="8"/>
        <v>12016.97818300228</v>
      </c>
      <c r="X76" s="10">
        <f t="shared" si="8"/>
        <v>11811.559752523608</v>
      </c>
      <c r="Y76" s="10">
        <f t="shared" si="8"/>
        <v>11625.215890589387</v>
      </c>
      <c r="Z76" s="10">
        <f t="shared" si="8"/>
        <v>11459.413871703027</v>
      </c>
      <c r="AA76" s="10">
        <f t="shared" si="8"/>
        <v>11314.153695864541</v>
      </c>
      <c r="AB76" s="10" cm="1">
        <f t="array" ref="AB76">SUMPRODUCT(INDEX(C76:AA76,,_xlfn.SEQUENCE('TCO Inputs'!$AZ$13)))</f>
        <v>236757.9465971996</v>
      </c>
    </row>
    <row r="77" spans="2:28" x14ac:dyDescent="0.25">
      <c r="B77" t="s">
        <v>195</v>
      </c>
      <c r="C77" s="10">
        <f t="shared" si="7"/>
        <v>16627.136112015633</v>
      </c>
      <c r="D77" s="10">
        <f t="shared" si="7"/>
        <v>16132.595245848259</v>
      </c>
      <c r="E77" s="10">
        <f t="shared" si="7"/>
        <v>15653.658824487138</v>
      </c>
      <c r="F77" s="10">
        <f t="shared" si="7"/>
        <v>15191.527189840444</v>
      </c>
      <c r="G77" s="10">
        <f t="shared" si="7"/>
        <v>14745</v>
      </c>
      <c r="H77" s="10">
        <f t="shared" si="7"/>
        <v>14316.477938782156</v>
      </c>
      <c r="I77" s="10">
        <f t="shared" si="7"/>
        <v>13902.359980462392</v>
      </c>
      <c r="J77" s="10">
        <f t="shared" si="7"/>
        <v>13505.046808857052</v>
      </c>
      <c r="K77" s="10">
        <f t="shared" si="7"/>
        <v>13124.538423966136</v>
      </c>
      <c r="L77" s="10">
        <f t="shared" si="7"/>
        <v>12760.834825789647</v>
      </c>
      <c r="M77" s="10">
        <f t="shared" si="8"/>
        <v>12412.735672419409</v>
      </c>
      <c r="N77" s="10">
        <f t="shared" si="8"/>
        <v>12081.441305763596</v>
      </c>
      <c r="O77" s="10">
        <f t="shared" si="8"/>
        <v>11765.751383914036</v>
      </c>
      <c r="P77" s="10">
        <f t="shared" si="8"/>
        <v>11466.866248778901</v>
      </c>
      <c r="Q77" s="10">
        <f t="shared" si="8"/>
        <v>11183.585558450017</v>
      </c>
      <c r="R77" s="10">
        <f t="shared" si="8"/>
        <v>10918.309996743732</v>
      </c>
      <c r="S77" s="10">
        <f t="shared" si="8"/>
        <v>10667.438537935524</v>
      </c>
      <c r="T77" s="10">
        <f t="shared" si="8"/>
        <v>10434.572207749919</v>
      </c>
      <c r="U77" s="10">
        <f t="shared" si="8"/>
        <v>10216.10998046239</v>
      </c>
      <c r="V77" s="10">
        <f t="shared" si="8"/>
        <v>10015.652881797459</v>
      </c>
      <c r="W77" s="10">
        <f t="shared" si="8"/>
        <v>9830.800227938782</v>
      </c>
      <c r="X77" s="10">
        <f t="shared" si="8"/>
        <v>9662.7523607945295</v>
      </c>
      <c r="Y77" s="10">
        <f t="shared" si="8"/>
        <v>9510.3089384565301</v>
      </c>
      <c r="Z77" s="10">
        <f t="shared" si="8"/>
        <v>9374.6703028329539</v>
      </c>
      <c r="AA77" s="10">
        <f t="shared" si="8"/>
        <v>9255.8364539238046</v>
      </c>
      <c r="AB77" s="10" cm="1">
        <f t="array" ref="AB77">SUMPRODUCT(INDEX(C77:AA77,,_xlfn.SEQUENCE('TCO Inputs'!$AZ$13)))</f>
        <v>193685.96996092476</v>
      </c>
    </row>
    <row r="78" spans="2:28" x14ac:dyDescent="0.25">
      <c r="B78" t="s">
        <v>199</v>
      </c>
      <c r="C78" s="10">
        <f t="shared" si="7"/>
        <v>16667.73135786389</v>
      </c>
      <c r="D78" s="10">
        <f t="shared" si="7"/>
        <v>16171.983067404755</v>
      </c>
      <c r="E78" s="10">
        <f t="shared" si="7"/>
        <v>15691.877320091176</v>
      </c>
      <c r="F78" s="10">
        <f t="shared" si="7"/>
        <v>15228.61738847281</v>
      </c>
      <c r="G78" s="10">
        <f t="shared" si="7"/>
        <v>14781</v>
      </c>
      <c r="H78" s="10">
        <f t="shared" si="7"/>
        <v>14351.431699772062</v>
      </c>
      <c r="I78" s="10">
        <f t="shared" si="7"/>
        <v>13936.302670140021</v>
      </c>
      <c r="J78" s="10">
        <f t="shared" si="7"/>
        <v>13538.019456203194</v>
      </c>
      <c r="K78" s="10">
        <f t="shared" si="7"/>
        <v>13156.582057961577</v>
      </c>
      <c r="L78" s="10">
        <f t="shared" si="7"/>
        <v>12791.990475415176</v>
      </c>
      <c r="M78" s="10">
        <f t="shared" si="8"/>
        <v>12443.041436014328</v>
      </c>
      <c r="N78" s="10">
        <f t="shared" si="8"/>
        <v>12110.938212308694</v>
      </c>
      <c r="O78" s="10">
        <f t="shared" si="8"/>
        <v>11794.477531748618</v>
      </c>
      <c r="P78" s="10">
        <f t="shared" si="8"/>
        <v>11494.862666883753</v>
      </c>
      <c r="Q78" s="10">
        <f t="shared" si="8"/>
        <v>11210.890345164442</v>
      </c>
      <c r="R78" s="10">
        <f t="shared" si="8"/>
        <v>10944.967111690003</v>
      </c>
      <c r="S78" s="10">
        <f t="shared" si="8"/>
        <v>10693.483148811461</v>
      </c>
      <c r="T78" s="10">
        <f t="shared" si="8"/>
        <v>10460.048274177792</v>
      </c>
      <c r="U78" s="10">
        <f t="shared" si="8"/>
        <v>10241.052670140019</v>
      </c>
      <c r="V78" s="10">
        <f t="shared" si="8"/>
        <v>10040.106154347119</v>
      </c>
      <c r="W78" s="10">
        <f t="shared" si="8"/>
        <v>9854.8021816997734</v>
      </c>
      <c r="X78" s="10">
        <f t="shared" si="8"/>
        <v>9686.3440247476392</v>
      </c>
      <c r="Y78" s="10">
        <f t="shared" si="8"/>
        <v>9533.5284109410622</v>
      </c>
      <c r="Z78" s="10">
        <f t="shared" si="8"/>
        <v>9397.5586128296964</v>
      </c>
      <c r="AA78" s="10">
        <f t="shared" si="8"/>
        <v>9278.434630413547</v>
      </c>
      <c r="AB78" s="10" cm="1">
        <f t="array" ref="AB78">SUMPRODUCT(INDEX(C78:AA78,,_xlfn.SEQUENCE('TCO Inputs'!$AZ$13)))</f>
        <v>194158.85534028005</v>
      </c>
    </row>
    <row r="79" spans="2:28" x14ac:dyDescent="0.25">
      <c r="B79" t="s">
        <v>157</v>
      </c>
      <c r="C79" s="10">
        <f t="shared" si="7"/>
        <v>18386.263432106807</v>
      </c>
      <c r="D79" s="10">
        <f t="shared" si="7"/>
        <v>17839.400846629764</v>
      </c>
      <c r="E79" s="10">
        <f t="shared" si="7"/>
        <v>17309.793633995443</v>
      </c>
      <c r="F79" s="10">
        <f t="shared" si="7"/>
        <v>16798.769130576362</v>
      </c>
      <c r="G79" s="10">
        <f t="shared" si="7"/>
        <v>16305</v>
      </c>
      <c r="H79" s="10">
        <f t="shared" si="7"/>
        <v>15831.140915011398</v>
      </c>
      <c r="I79" s="10">
        <f t="shared" si="7"/>
        <v>15373.209866493002</v>
      </c>
      <c r="J79" s="10">
        <f t="shared" si="7"/>
        <v>14933.861527189842</v>
      </c>
      <c r="K79" s="10">
        <f t="shared" si="7"/>
        <v>14513.095897101923</v>
      </c>
      <c r="L79" s="10">
        <f t="shared" si="7"/>
        <v>14110.912976229243</v>
      </c>
      <c r="M79" s="10">
        <f t="shared" si="8"/>
        <v>13725.985428199285</v>
      </c>
      <c r="N79" s="10">
        <f t="shared" si="8"/>
        <v>13359.640589384566</v>
      </c>
      <c r="O79" s="10">
        <f t="shared" si="8"/>
        <v>13010.551123412572</v>
      </c>
      <c r="P79" s="10">
        <f t="shared" si="8"/>
        <v>12680.044366655813</v>
      </c>
      <c r="Q79" s="10">
        <f t="shared" si="8"/>
        <v>12366.792982741779</v>
      </c>
      <c r="R79" s="10">
        <f t="shared" si="8"/>
        <v>12073.4516444155</v>
      </c>
      <c r="S79" s="10">
        <f t="shared" si="8"/>
        <v>11796.038342559426</v>
      </c>
      <c r="T79" s="10">
        <f t="shared" si="8"/>
        <v>11538.535086291111</v>
      </c>
      <c r="U79" s="10">
        <f t="shared" si="8"/>
        <v>11296.959866493</v>
      </c>
      <c r="V79" s="10">
        <f t="shared" si="8"/>
        <v>11075.294692282643</v>
      </c>
      <c r="W79" s="10">
        <f t="shared" si="8"/>
        <v>10870.884890915013</v>
      </c>
      <c r="X79" s="10">
        <f t="shared" si="8"/>
        <v>10685.057798762618</v>
      </c>
      <c r="Y79" s="10">
        <f t="shared" si="8"/>
        <v>10516.486079452949</v>
      </c>
      <c r="Z79" s="10">
        <f t="shared" si="8"/>
        <v>10366.497069358515</v>
      </c>
      <c r="AA79" s="10">
        <f t="shared" si="8"/>
        <v>10235.090768479324</v>
      </c>
      <c r="AB79" s="10" cm="1">
        <f t="array" ref="AB79">SUMPRODUCT(INDEX(C79:AA79,,_xlfn.SEQUENCE('TCO Inputs'!$AZ$13)))</f>
        <v>214177.66973298602</v>
      </c>
    </row>
    <row r="80" spans="2:28" x14ac:dyDescent="0.25">
      <c r="B80" t="s">
        <v>200</v>
      </c>
      <c r="C80" s="10">
        <f t="shared" si="7"/>
        <v>16859.431129925109</v>
      </c>
      <c r="D80" s="10">
        <f t="shared" si="7"/>
        <v>16357.981113643764</v>
      </c>
      <c r="E80" s="10">
        <f t="shared" si="7"/>
        <v>15872.353549332465</v>
      </c>
      <c r="F80" s="10">
        <f t="shared" si="7"/>
        <v>15403.765548681213</v>
      </c>
      <c r="G80" s="10">
        <f t="shared" si="7"/>
        <v>14951</v>
      </c>
      <c r="H80" s="10">
        <f t="shared" si="7"/>
        <v>14516.491126668838</v>
      </c>
      <c r="I80" s="10">
        <f t="shared" si="7"/>
        <v>14096.587593617716</v>
      </c>
      <c r="J80" s="10">
        <f t="shared" si="7"/>
        <v>13693.723624226639</v>
      </c>
      <c r="K80" s="10">
        <f t="shared" si="7"/>
        <v>13307.899218495604</v>
      </c>
      <c r="L80" s="10">
        <f t="shared" si="7"/>
        <v>12939.114376424619</v>
      </c>
      <c r="M80" s="10">
        <f t="shared" si="8"/>
        <v>12586.151986323674</v>
      </c>
      <c r="N80" s="10">
        <f t="shared" si="8"/>
        <v>12250.229159882774</v>
      </c>
      <c r="O80" s="10">
        <f t="shared" si="8"/>
        <v>11930.12878541192</v>
      </c>
      <c r="P80" s="10">
        <f t="shared" si="8"/>
        <v>11627.067974601108</v>
      </c>
      <c r="Q80" s="10">
        <f t="shared" si="8"/>
        <v>11339.82961576034</v>
      </c>
      <c r="R80" s="10">
        <f t="shared" si="8"/>
        <v>11070.847932269618</v>
      </c>
      <c r="S80" s="10">
        <f t="shared" si="8"/>
        <v>10816.471589058938</v>
      </c>
      <c r="T80" s="10">
        <f t="shared" si="8"/>
        <v>10580.351921198308</v>
      </c>
      <c r="U80" s="10">
        <f t="shared" si="8"/>
        <v>10358.837593617714</v>
      </c>
      <c r="V80" s="10">
        <f t="shared" si="8"/>
        <v>10155.57994138717</v>
      </c>
      <c r="W80" s="10">
        <f t="shared" si="8"/>
        <v>9968.144741126669</v>
      </c>
      <c r="X80" s="10">
        <f t="shared" si="8"/>
        <v>9797.7491045262141</v>
      </c>
      <c r="Y80" s="10">
        <f t="shared" si="8"/>
        <v>9643.1759198958007</v>
      </c>
      <c r="Z80" s="10">
        <f t="shared" si="8"/>
        <v>9505.6422989254315</v>
      </c>
      <c r="AA80" s="10">
        <f t="shared" si="8"/>
        <v>9385.1482416151102</v>
      </c>
      <c r="AB80" s="10" cm="1">
        <f t="array" ref="AB80">SUMPRODUCT(INDEX(C80:AA80,,_xlfn.SEQUENCE('TCO Inputs'!$AZ$13)))</f>
        <v>196391.92518723547</v>
      </c>
    </row>
    <row r="81" spans="2:28" x14ac:dyDescent="0.25">
      <c r="B81" t="s">
        <v>203</v>
      </c>
      <c r="C81" s="10">
        <f t="shared" si="7"/>
        <v>16029.483881471835</v>
      </c>
      <c r="D81" s="10">
        <f t="shared" si="7"/>
        <v>15552.718984044286</v>
      </c>
      <c r="E81" s="10">
        <f t="shared" si="7"/>
        <v>15090.997639205472</v>
      </c>
      <c r="F81" s="10">
        <f t="shared" si="7"/>
        <v>14645.477043308369</v>
      </c>
      <c r="G81" s="10">
        <f t="shared" si="7"/>
        <v>14215</v>
      </c>
      <c r="H81" s="10">
        <f t="shared" si="7"/>
        <v>13801.880901986324</v>
      </c>
      <c r="I81" s="10">
        <f t="shared" si="7"/>
        <v>13402.648160208402</v>
      </c>
      <c r="J81" s="10">
        <f t="shared" si="7"/>
        <v>13019.616167372193</v>
      </c>
      <c r="K81" s="10">
        <f t="shared" si="7"/>
        <v>12652.784923477695</v>
      </c>
      <c r="L81" s="10">
        <f t="shared" si="7"/>
        <v>12302.154428524913</v>
      </c>
      <c r="M81" s="10">
        <f t="shared" si="8"/>
        <v>11966.56748616086</v>
      </c>
      <c r="N81" s="10">
        <f t="shared" si="8"/>
        <v>11647.181292738522</v>
      </c>
      <c r="O81" s="10">
        <f t="shared" si="8"/>
        <v>11342.838651904918</v>
      </c>
      <c r="P81" s="10">
        <f t="shared" si="8"/>
        <v>11054.696760013027</v>
      </c>
      <c r="Q81" s="10">
        <f t="shared" si="8"/>
        <v>10781.598420709866</v>
      </c>
      <c r="R81" s="10">
        <f t="shared" si="8"/>
        <v>10525.8580267014</v>
      </c>
      <c r="S81" s="10">
        <f t="shared" si="8"/>
        <v>10284.003988928687</v>
      </c>
      <c r="T81" s="10">
        <f t="shared" si="8"/>
        <v>10059.507896450668</v>
      </c>
      <c r="U81" s="10">
        <f t="shared" si="8"/>
        <v>9848.8981602084023</v>
      </c>
      <c r="V81" s="10">
        <f t="shared" si="8"/>
        <v>9655.6463692608268</v>
      </c>
      <c r="W81" s="10">
        <f t="shared" si="8"/>
        <v>9477.4381309019864</v>
      </c>
      <c r="X81" s="10">
        <f t="shared" si="8"/>
        <v>9315.4306414848579</v>
      </c>
      <c r="Y81" s="10">
        <f t="shared" si="8"/>
        <v>9168.4667046564646</v>
      </c>
      <c r="Z81" s="10">
        <f t="shared" si="8"/>
        <v>9037.7035167697813</v>
      </c>
      <c r="AA81" s="10">
        <f t="shared" si="8"/>
        <v>8923.1410778248137</v>
      </c>
      <c r="AB81" s="10" cm="1">
        <f t="array" ref="AB81">SUMPRODUCT(INDEX(C81:AA81,,_xlfn.SEQUENCE('TCO Inputs'!$AZ$13)))</f>
        <v>186724.04632041685</v>
      </c>
    </row>
    <row r="82" spans="2:28" x14ac:dyDescent="0.25">
      <c r="B82" t="s">
        <v>202</v>
      </c>
      <c r="C82" s="10">
        <f t="shared" si="7"/>
        <v>15211.940735916642</v>
      </c>
      <c r="D82" s="10">
        <f t="shared" si="7"/>
        <v>14759.492022142626</v>
      </c>
      <c r="E82" s="10">
        <f t="shared" si="7"/>
        <v>14321.319602735266</v>
      </c>
      <c r="F82" s="10">
        <f t="shared" si="7"/>
        <v>13898.521654184306</v>
      </c>
      <c r="G82" s="10">
        <f t="shared" si="7"/>
        <v>13490</v>
      </c>
      <c r="H82" s="10">
        <f t="shared" si="7"/>
        <v>13097.950993161838</v>
      </c>
      <c r="I82" s="10">
        <f t="shared" si="7"/>
        <v>12719.080104200588</v>
      </c>
      <c r="J82" s="10">
        <f t="shared" si="7"/>
        <v>12355.583686095735</v>
      </c>
      <c r="K82" s="10">
        <f t="shared" si="7"/>
        <v>12007.461738847282</v>
      </c>
      <c r="L82" s="10">
        <f t="shared" si="7"/>
        <v>11674.714262455227</v>
      </c>
      <c r="M82" s="10">
        <f t="shared" si="8"/>
        <v>11356.243080429827</v>
      </c>
      <c r="N82" s="10">
        <f t="shared" si="8"/>
        <v>11053.146369260827</v>
      </c>
      <c r="O82" s="10">
        <f t="shared" si="8"/>
        <v>10764.325952458485</v>
      </c>
      <c r="P82" s="10">
        <f t="shared" si="8"/>
        <v>10490.880006512538</v>
      </c>
      <c r="Q82" s="10">
        <f t="shared" si="8"/>
        <v>10231.710354933248</v>
      </c>
      <c r="R82" s="10">
        <f t="shared" si="8"/>
        <v>9989.0133507000974</v>
      </c>
      <c r="S82" s="10">
        <f t="shared" si="8"/>
        <v>9759.4944643438612</v>
      </c>
      <c r="T82" s="10">
        <f t="shared" si="8"/>
        <v>9546.4482253337683</v>
      </c>
      <c r="U82" s="10">
        <f t="shared" si="8"/>
        <v>9346.580104200586</v>
      </c>
      <c r="V82" s="10">
        <f t="shared" si="8"/>
        <v>9163.1846304135452</v>
      </c>
      <c r="W82" s="10">
        <f t="shared" si="8"/>
        <v>8994.0654509931628</v>
      </c>
      <c r="X82" s="10">
        <f t="shared" si="8"/>
        <v>8840.3207424291759</v>
      </c>
      <c r="Y82" s="10">
        <f t="shared" si="8"/>
        <v>8700.8523282318474</v>
      </c>
      <c r="Z82" s="10">
        <f t="shared" si="8"/>
        <v>8576.7583848909144</v>
      </c>
      <c r="AA82" s="10">
        <f t="shared" si="8"/>
        <v>8468.038912406384</v>
      </c>
      <c r="AB82" s="10" cm="1">
        <f t="array" ref="AB82">SUMPRODUCT(INDEX(C82:AA82,,_xlfn.SEQUENCE('TCO Inputs'!$AZ$13)))</f>
        <v>177200.66020840118</v>
      </c>
    </row>
    <row r="83" spans="2:28" x14ac:dyDescent="0.25">
      <c r="B83" t="s">
        <v>201</v>
      </c>
      <c r="C83" s="10">
        <f t="shared" ref="C83:L92" si="9">VLOOKUP($B83,$B$3:$C$54,2,FALSE)*C$119</f>
        <v>14782.307717355912</v>
      </c>
      <c r="D83" s="10">
        <f t="shared" si="9"/>
        <v>14342.637577336372</v>
      </c>
      <c r="E83" s="10">
        <f t="shared" si="9"/>
        <v>13916.8405242592</v>
      </c>
      <c r="F83" s="10">
        <f t="shared" si="9"/>
        <v>13505.983718658417</v>
      </c>
      <c r="G83" s="10">
        <f t="shared" si="9"/>
        <v>13109</v>
      </c>
      <c r="H83" s="10">
        <f t="shared" si="9"/>
        <v>12728.023689352003</v>
      </c>
      <c r="I83" s="10">
        <f t="shared" si="9"/>
        <v>12359.853305112343</v>
      </c>
      <c r="J83" s="10">
        <f t="shared" si="9"/>
        <v>12006.623168349073</v>
      </c>
      <c r="K83" s="10">
        <f t="shared" si="9"/>
        <v>11668.333279062195</v>
      </c>
      <c r="L83" s="10">
        <f t="shared" si="9"/>
        <v>11344.983637251711</v>
      </c>
      <c r="M83" s="10">
        <f t="shared" ref="M83:AA92" si="10">VLOOKUP($B83,$B$3:$C$54,2,FALSE)*M$119</f>
        <v>11035.507082383589</v>
      </c>
      <c r="N83" s="10">
        <f t="shared" si="10"/>
        <v>10740.97077499186</v>
      </c>
      <c r="O83" s="10">
        <f t="shared" si="10"/>
        <v>10460.307554542496</v>
      </c>
      <c r="P83" s="10">
        <f t="shared" si="10"/>
        <v>10194.584581569523</v>
      </c>
      <c r="Q83" s="10">
        <f t="shared" si="10"/>
        <v>9942.734695538913</v>
      </c>
      <c r="R83" s="10">
        <f t="shared" si="10"/>
        <v>9706.8922175187236</v>
      </c>
      <c r="S83" s="10">
        <f t="shared" si="10"/>
        <v>9483.8556659068709</v>
      </c>
      <c r="T83" s="10">
        <f t="shared" si="10"/>
        <v>9276.8265223054386</v>
      </c>
      <c r="U83" s="10">
        <f t="shared" si="10"/>
        <v>9082.6033051123413</v>
      </c>
      <c r="V83" s="10">
        <f t="shared" si="10"/>
        <v>8904.3874959296645</v>
      </c>
      <c r="W83" s="10">
        <f t="shared" si="10"/>
        <v>8740.044773689353</v>
      </c>
      <c r="X83" s="10">
        <f t="shared" si="10"/>
        <v>8590.6422989254315</v>
      </c>
      <c r="Y83" s="10">
        <f t="shared" si="10"/>
        <v>8455.1129111038754</v>
      </c>
      <c r="Z83" s="10">
        <f t="shared" si="10"/>
        <v>8334.5237707587094</v>
      </c>
      <c r="AA83" s="10">
        <f t="shared" si="10"/>
        <v>8228.8748778899389</v>
      </c>
      <c r="AB83" s="10" cm="1">
        <f t="array" ref="AB83">SUMPRODUCT(INDEX(C83:AA83,,_xlfn.SEQUENCE('TCO Inputs'!$AZ$13)))</f>
        <v>172195.95661022473</v>
      </c>
    </row>
    <row r="84" spans="2:28" x14ac:dyDescent="0.25">
      <c r="B84" t="s">
        <v>204</v>
      </c>
      <c r="C84" s="10">
        <f t="shared" si="9"/>
        <v>16133.227287528494</v>
      </c>
      <c r="D84" s="10">
        <f t="shared" si="9"/>
        <v>15653.376750244221</v>
      </c>
      <c r="E84" s="10">
        <f t="shared" si="9"/>
        <v>15188.667127971346</v>
      </c>
      <c r="F84" s="10">
        <f t="shared" si="9"/>
        <v>14740.263106479975</v>
      </c>
      <c r="G84" s="10">
        <f t="shared" si="9"/>
        <v>14307</v>
      </c>
      <c r="H84" s="10">
        <f t="shared" si="9"/>
        <v>13891.207180071639</v>
      </c>
      <c r="I84" s="10">
        <f t="shared" si="9"/>
        <v>13489.390589384568</v>
      </c>
      <c r="J84" s="10">
        <f t="shared" si="9"/>
        <v>13103.879599478998</v>
      </c>
      <c r="K84" s="10">
        <f t="shared" si="9"/>
        <v>12734.674210354933</v>
      </c>
      <c r="L84" s="10">
        <f t="shared" si="9"/>
        <v>12381.774422012375</v>
      </c>
      <c r="M84" s="10">
        <f t="shared" si="10"/>
        <v>12044.015548681213</v>
      </c>
      <c r="N84" s="10">
        <f t="shared" si="10"/>
        <v>11722.562276131554</v>
      </c>
      <c r="O84" s="10">
        <f t="shared" si="10"/>
        <v>11416.249918593294</v>
      </c>
      <c r="P84" s="10">
        <f t="shared" si="10"/>
        <v>11126.243161836537</v>
      </c>
      <c r="Q84" s="10">
        <f t="shared" si="10"/>
        <v>10851.377320091176</v>
      </c>
      <c r="R84" s="10">
        <f t="shared" si="10"/>
        <v>10593.981764897428</v>
      </c>
      <c r="S84" s="10">
        <f t="shared" si="10"/>
        <v>10350.562438944968</v>
      </c>
      <c r="T84" s="10">
        <f t="shared" si="10"/>
        <v>10124.613399544123</v>
      </c>
      <c r="U84" s="10">
        <f t="shared" si="10"/>
        <v>9912.6405893845658</v>
      </c>
      <c r="V84" s="10">
        <f t="shared" si="10"/>
        <v>9718.1380657766204</v>
      </c>
      <c r="W84" s="10">
        <f t="shared" si="10"/>
        <v>9538.7764571800726</v>
      </c>
      <c r="X84" s="10">
        <f t="shared" si="10"/>
        <v>9375.7204493650279</v>
      </c>
      <c r="Y84" s="10">
        <f t="shared" si="10"/>
        <v>9227.8053565613827</v>
      </c>
      <c r="Z84" s="10">
        <f t="shared" si="10"/>
        <v>9096.1958645392369</v>
      </c>
      <c r="AA84" s="10">
        <f t="shared" si="10"/>
        <v>8980.8919732986014</v>
      </c>
      <c r="AB84" s="10" cm="1">
        <f t="array" ref="AB84">SUMPRODUCT(INDEX(C84:AA84,,_xlfn.SEQUENCE('TCO Inputs'!$AZ$13)))</f>
        <v>187932.53117876913</v>
      </c>
    </row>
    <row r="85" spans="2:28" x14ac:dyDescent="0.25">
      <c r="B85" t="s">
        <v>205</v>
      </c>
      <c r="C85" s="10">
        <f t="shared" si="9"/>
        <v>20195.007163790298</v>
      </c>
      <c r="D85" s="10">
        <f t="shared" si="9"/>
        <v>19594.347118202539</v>
      </c>
      <c r="E85" s="10">
        <f t="shared" si="9"/>
        <v>19012.639938130902</v>
      </c>
      <c r="F85" s="10">
        <f t="shared" si="9"/>
        <v>18451.343536307391</v>
      </c>
      <c r="G85" s="10">
        <f t="shared" si="9"/>
        <v>17909</v>
      </c>
      <c r="H85" s="10">
        <f t="shared" si="9"/>
        <v>17388.525154672745</v>
      </c>
      <c r="I85" s="10">
        <f t="shared" si="9"/>
        <v>16885.545262129603</v>
      </c>
      <c r="J85" s="10">
        <f t="shared" si="9"/>
        <v>16402.976147834583</v>
      </c>
      <c r="K85" s="10">
        <f t="shared" si="9"/>
        <v>15940.817811787692</v>
      </c>
      <c r="L85" s="10">
        <f t="shared" si="9"/>
        <v>15499.070253988932</v>
      </c>
      <c r="M85" s="10">
        <f t="shared" si="10"/>
        <v>15076.275561706285</v>
      </c>
      <c r="N85" s="10">
        <f t="shared" si="10"/>
        <v>14673.89164767177</v>
      </c>
      <c r="O85" s="10">
        <f t="shared" si="10"/>
        <v>14290.460599153372</v>
      </c>
      <c r="P85" s="10">
        <f t="shared" si="10"/>
        <v>13927.440328883102</v>
      </c>
      <c r="Q85" s="10">
        <f t="shared" si="10"/>
        <v>13583.372924128949</v>
      </c>
      <c r="R85" s="10">
        <f t="shared" si="10"/>
        <v>13261.174210354933</v>
      </c>
      <c r="S85" s="10">
        <f t="shared" si="10"/>
        <v>12956.470449365026</v>
      </c>
      <c r="T85" s="10">
        <f t="shared" si="10"/>
        <v>12673.635379355259</v>
      </c>
      <c r="U85" s="10">
        <f t="shared" si="10"/>
        <v>12408.295262129599</v>
      </c>
      <c r="V85" s="10">
        <f t="shared" si="10"/>
        <v>12164.823835884077</v>
      </c>
      <c r="W85" s="10">
        <f t="shared" si="10"/>
        <v>11940.305275154673</v>
      </c>
      <c r="X85" s="10">
        <f t="shared" si="10"/>
        <v>11736.197492673396</v>
      </c>
      <c r="Y85" s="10">
        <f t="shared" si="10"/>
        <v>11551.042575708239</v>
      </c>
      <c r="Z85" s="10">
        <f t="shared" si="10"/>
        <v>11386.298436991208</v>
      </c>
      <c r="AA85" s="10">
        <f t="shared" si="10"/>
        <v>11241.965076522307</v>
      </c>
      <c r="AB85" s="10" cm="1">
        <f t="array" ref="AB85">SUMPRODUCT(INDEX(C85:AA85,,_xlfn.SEQUENCE('TCO Inputs'!$AZ$13)))</f>
        <v>235247.34052425917</v>
      </c>
    </row>
    <row r="86" spans="2:28" x14ac:dyDescent="0.25">
      <c r="B86" t="s">
        <v>207</v>
      </c>
      <c r="C86" s="10">
        <f t="shared" si="9"/>
        <v>22514.574405731037</v>
      </c>
      <c r="D86" s="10">
        <f t="shared" si="9"/>
        <v>21844.923477694563</v>
      </c>
      <c r="E86" s="10">
        <f t="shared" si="9"/>
        <v>21196.402311950507</v>
      </c>
      <c r="F86" s="10">
        <f t="shared" si="9"/>
        <v>20570.636274829048</v>
      </c>
      <c r="G86" s="10">
        <f t="shared" si="9"/>
        <v>19966</v>
      </c>
      <c r="H86" s="10">
        <f t="shared" si="9"/>
        <v>19385.744220123739</v>
      </c>
      <c r="I86" s="10">
        <f t="shared" si="9"/>
        <v>18824.992836209705</v>
      </c>
      <c r="J86" s="10">
        <f t="shared" si="9"/>
        <v>18286.996580918269</v>
      </c>
      <c r="K86" s="10">
        <f t="shared" si="9"/>
        <v>17771.755454249433</v>
      </c>
      <c r="L86" s="10">
        <f t="shared" si="9"/>
        <v>17279.269456203194</v>
      </c>
      <c r="M86" s="10">
        <f t="shared" si="10"/>
        <v>16807.913220449365</v>
      </c>
      <c r="N86" s="10">
        <f t="shared" si="10"/>
        <v>16359.312113318138</v>
      </c>
      <c r="O86" s="10">
        <f t="shared" si="10"/>
        <v>15931.840768479324</v>
      </c>
      <c r="P86" s="10">
        <f t="shared" si="10"/>
        <v>15527.124552263109</v>
      </c>
      <c r="Q86" s="10">
        <f t="shared" si="10"/>
        <v>15143.538098339304</v>
      </c>
      <c r="R86" s="10">
        <f t="shared" si="10"/>
        <v>14784.332139368284</v>
      </c>
      <c r="S86" s="10">
        <f t="shared" si="10"/>
        <v>14444.630576359492</v>
      </c>
      <c r="T86" s="10">
        <f t="shared" si="10"/>
        <v>14129.309508303484</v>
      </c>
      <c r="U86" s="10">
        <f t="shared" si="10"/>
        <v>13833.492836209703</v>
      </c>
      <c r="V86" s="10">
        <f t="shared" si="10"/>
        <v>13562.056659068707</v>
      </c>
      <c r="W86" s="10">
        <f t="shared" si="10"/>
        <v>13311.750244220124</v>
      </c>
      <c r="X86" s="10">
        <f t="shared" si="10"/>
        <v>13084.198957994138</v>
      </c>
      <c r="Y86" s="10">
        <f t="shared" si="10"/>
        <v>12877.777434060568</v>
      </c>
      <c r="Z86" s="10">
        <f t="shared" si="10"/>
        <v>12694.111038749592</v>
      </c>
      <c r="AA86" s="10">
        <f t="shared" si="10"/>
        <v>12533.19977206122</v>
      </c>
      <c r="AB86" s="10" cm="1">
        <f t="array" ref="AB86">SUMPRODUCT(INDEX(C86:AA86,,_xlfn.SEQUENCE('TCO Inputs'!$AZ$13)))</f>
        <v>262267.48567241943</v>
      </c>
    </row>
    <row r="87" spans="2:28" x14ac:dyDescent="0.25">
      <c r="B87" t="s">
        <v>206</v>
      </c>
      <c r="C87" s="10">
        <f t="shared" si="9"/>
        <v>20885.126343210683</v>
      </c>
      <c r="D87" s="10">
        <f t="shared" si="9"/>
        <v>20263.940084662976</v>
      </c>
      <c r="E87" s="10">
        <f t="shared" si="9"/>
        <v>19662.354363399547</v>
      </c>
      <c r="F87" s="10">
        <f t="shared" si="9"/>
        <v>19081.876913057637</v>
      </c>
      <c r="G87" s="10">
        <f t="shared" si="9"/>
        <v>18521</v>
      </c>
      <c r="H87" s="10">
        <f t="shared" si="9"/>
        <v>17982.739091501142</v>
      </c>
      <c r="I87" s="10">
        <f t="shared" si="9"/>
        <v>17462.570986649302</v>
      </c>
      <c r="J87" s="10">
        <f t="shared" si="9"/>
        <v>16963.511152718987</v>
      </c>
      <c r="K87" s="10">
        <f t="shared" si="9"/>
        <v>16485.559589710192</v>
      </c>
      <c r="L87" s="10">
        <f t="shared" si="9"/>
        <v>16028.716297622927</v>
      </c>
      <c r="M87" s="10">
        <f t="shared" si="10"/>
        <v>15591.473542819929</v>
      </c>
      <c r="N87" s="10">
        <f t="shared" si="10"/>
        <v>15175.339058938456</v>
      </c>
      <c r="O87" s="10">
        <f t="shared" si="10"/>
        <v>14778.805112341259</v>
      </c>
      <c r="P87" s="10">
        <f t="shared" si="10"/>
        <v>14403.379436665582</v>
      </c>
      <c r="Q87" s="10">
        <f t="shared" si="10"/>
        <v>14047.554298274179</v>
      </c>
      <c r="R87" s="10">
        <f t="shared" si="10"/>
        <v>13714.345164441549</v>
      </c>
      <c r="S87" s="10">
        <f t="shared" si="10"/>
        <v>13399.228834255942</v>
      </c>
      <c r="T87" s="10">
        <f t="shared" si="10"/>
        <v>13106.728508629112</v>
      </c>
      <c r="U87" s="10">
        <f t="shared" si="10"/>
        <v>12832.3209866493</v>
      </c>
      <c r="V87" s="10">
        <f t="shared" si="10"/>
        <v>12580.529469228264</v>
      </c>
      <c r="W87" s="10">
        <f t="shared" si="10"/>
        <v>12348.338489091502</v>
      </c>
      <c r="X87" s="10">
        <f t="shared" si="10"/>
        <v>12137.255779876263</v>
      </c>
      <c r="Y87" s="10">
        <f t="shared" si="10"/>
        <v>11945.773607945297</v>
      </c>
      <c r="Z87" s="10">
        <f t="shared" si="10"/>
        <v>11775.39970693585</v>
      </c>
      <c r="AA87" s="10">
        <f t="shared" si="10"/>
        <v>11626.134076847935</v>
      </c>
      <c r="AB87" s="10" cm="1">
        <f t="array" ref="AB87">SUMPRODUCT(INDEX(C87:AA87,,_xlfn.SEQUENCE('TCO Inputs'!$AZ$13)))</f>
        <v>243286.39197329865</v>
      </c>
    </row>
    <row r="88" spans="2:28" x14ac:dyDescent="0.25">
      <c r="B88" t="s">
        <v>208</v>
      </c>
      <c r="C88" s="10">
        <f t="shared" si="9"/>
        <v>17907.014001953765</v>
      </c>
      <c r="D88" s="10">
        <f t="shared" si="9"/>
        <v>17374.405731032239</v>
      </c>
      <c r="E88" s="10">
        <f t="shared" si="9"/>
        <v>16858.603060892219</v>
      </c>
      <c r="F88" s="10">
        <f t="shared" si="9"/>
        <v>16360.898730055358</v>
      </c>
      <c r="G88" s="10">
        <f t="shared" si="9"/>
        <v>15880</v>
      </c>
      <c r="H88" s="10">
        <f t="shared" si="9"/>
        <v>15418.492347769457</v>
      </c>
      <c r="I88" s="10">
        <f t="shared" si="9"/>
        <v>14972.497557798764</v>
      </c>
      <c r="J88" s="10">
        <f t="shared" si="9"/>
        <v>14544.60110713123</v>
      </c>
      <c r="K88" s="10">
        <f t="shared" si="9"/>
        <v>14134.802995766851</v>
      </c>
      <c r="L88" s="10">
        <f t="shared" si="9"/>
        <v>13743.103223705635</v>
      </c>
      <c r="M88" s="10">
        <f t="shared" si="10"/>
        <v>13368.20905242592</v>
      </c>
      <c r="N88" s="10">
        <f t="shared" si="10"/>
        <v>13011.413220449365</v>
      </c>
      <c r="O88" s="10">
        <f t="shared" si="10"/>
        <v>12671.422989254315</v>
      </c>
      <c r="P88" s="10">
        <f t="shared" si="10"/>
        <v>12349.531097362424</v>
      </c>
      <c r="Q88" s="10">
        <f t="shared" si="10"/>
        <v>12044.444806252035</v>
      </c>
      <c r="R88" s="10">
        <f t="shared" si="10"/>
        <v>11758.74959296646</v>
      </c>
      <c r="S88" s="10">
        <f t="shared" si="10"/>
        <v>11488.567241940735</v>
      </c>
      <c r="T88" s="10">
        <f t="shared" si="10"/>
        <v>11237.775968739825</v>
      </c>
      <c r="U88" s="10">
        <f t="shared" si="10"/>
        <v>11002.497557798763</v>
      </c>
      <c r="V88" s="10">
        <f t="shared" si="10"/>
        <v>10786.610224682514</v>
      </c>
      <c r="W88" s="10">
        <f t="shared" si="10"/>
        <v>10587.52849234777</v>
      </c>
      <c r="X88" s="10">
        <f t="shared" si="10"/>
        <v>10406.545099316185</v>
      </c>
      <c r="Y88" s="10">
        <f t="shared" si="10"/>
        <v>10242.367307066104</v>
      </c>
      <c r="Z88" s="10">
        <f t="shared" si="10"/>
        <v>10096.287854119179</v>
      </c>
      <c r="AA88" s="10">
        <f t="shared" si="10"/>
        <v>9968.3067404754165</v>
      </c>
      <c r="AB88" s="10" cm="1">
        <f t="array" ref="AB88">SUMPRODUCT(INDEX(C88:AA88,,_xlfn.SEQUENCE('TCO Inputs'!$AZ$13)))</f>
        <v>208594.99511559756</v>
      </c>
    </row>
    <row r="89" spans="2:28" x14ac:dyDescent="0.25">
      <c r="B89" t="s">
        <v>211</v>
      </c>
      <c r="C89" s="10">
        <f t="shared" si="9"/>
        <v>16741.028329534354</v>
      </c>
      <c r="D89" s="10">
        <f t="shared" si="9"/>
        <v>16243.099967437318</v>
      </c>
      <c r="E89" s="10">
        <f t="shared" si="9"/>
        <v>15760.882937154023</v>
      </c>
      <c r="F89" s="10">
        <f t="shared" si="9"/>
        <v>15295.585802670141</v>
      </c>
      <c r="G89" s="10">
        <f t="shared" si="9"/>
        <v>14846</v>
      </c>
      <c r="H89" s="10">
        <f t="shared" si="9"/>
        <v>14414.542657114947</v>
      </c>
      <c r="I89" s="10">
        <f t="shared" si="9"/>
        <v>13997.588082057964</v>
      </c>
      <c r="J89" s="10">
        <f t="shared" si="9"/>
        <v>13597.553402800393</v>
      </c>
      <c r="K89" s="10">
        <f t="shared" si="9"/>
        <v>13214.438619342234</v>
      </c>
      <c r="L89" s="10">
        <f t="shared" si="9"/>
        <v>12848.243731683493</v>
      </c>
      <c r="M89" s="10">
        <f t="shared" si="10"/>
        <v>12497.76017583849</v>
      </c>
      <c r="N89" s="10">
        <f t="shared" si="10"/>
        <v>12164.196515792903</v>
      </c>
      <c r="O89" s="10">
        <f t="shared" si="10"/>
        <v>11846.344187561057</v>
      </c>
      <c r="P89" s="10">
        <f t="shared" si="10"/>
        <v>11545.411755128624</v>
      </c>
      <c r="Q89" s="10">
        <f t="shared" si="10"/>
        <v>11260.190654509932</v>
      </c>
      <c r="R89" s="10">
        <f t="shared" si="10"/>
        <v>10993.098013676326</v>
      </c>
      <c r="S89" s="10">
        <f t="shared" si="10"/>
        <v>10740.50814067079</v>
      </c>
      <c r="T89" s="10">
        <f t="shared" si="10"/>
        <v>10506.046727450343</v>
      </c>
      <c r="U89" s="10">
        <f t="shared" si="10"/>
        <v>10286.088082057962</v>
      </c>
      <c r="V89" s="10">
        <f t="shared" si="10"/>
        <v>10084.257896450667</v>
      </c>
      <c r="W89" s="10">
        <f t="shared" si="10"/>
        <v>9898.1390426571161</v>
      </c>
      <c r="X89" s="10">
        <f t="shared" si="10"/>
        <v>9728.940084662976</v>
      </c>
      <c r="Y89" s="10">
        <f t="shared" si="10"/>
        <v>9575.4524584825795</v>
      </c>
      <c r="Z89" s="10">
        <f t="shared" si="10"/>
        <v>9438.8847281015951</v>
      </c>
      <c r="AA89" s="10">
        <f t="shared" si="10"/>
        <v>9319.2368935200284</v>
      </c>
      <c r="AB89" s="10" cm="1">
        <f t="array" ref="AB89">SUMPRODUCT(INDEX(C89:AA89,,_xlfn.SEQUENCE('TCO Inputs'!$AZ$13)))</f>
        <v>195012.6761641159</v>
      </c>
    </row>
    <row r="90" spans="2:28" x14ac:dyDescent="0.25">
      <c r="B90" t="s">
        <v>215</v>
      </c>
      <c r="C90" s="10">
        <f t="shared" si="9"/>
        <v>15805.082383588409</v>
      </c>
      <c r="D90" s="10">
        <f t="shared" si="9"/>
        <v>15334.99185932921</v>
      </c>
      <c r="E90" s="10">
        <f t="shared" si="9"/>
        <v>14879.734288505373</v>
      </c>
      <c r="F90" s="10">
        <f t="shared" si="9"/>
        <v>14440.450667535006</v>
      </c>
      <c r="G90" s="10">
        <f t="shared" si="9"/>
        <v>14016</v>
      </c>
      <c r="H90" s="10">
        <f t="shared" si="9"/>
        <v>13608.664278736569</v>
      </c>
      <c r="I90" s="10">
        <f t="shared" si="9"/>
        <v>13215.020514490396</v>
      </c>
      <c r="J90" s="10">
        <f t="shared" si="9"/>
        <v>12837.35070009769</v>
      </c>
      <c r="K90" s="10">
        <f t="shared" si="9"/>
        <v>12475.654835558451</v>
      </c>
      <c r="L90" s="10">
        <f t="shared" si="9"/>
        <v>12129.932920872681</v>
      </c>
      <c r="M90" s="10">
        <f t="shared" si="10"/>
        <v>11799.043959622273</v>
      </c>
      <c r="N90" s="10">
        <f t="shared" si="10"/>
        <v>11484.128948225334</v>
      </c>
      <c r="O90" s="10">
        <f t="shared" si="10"/>
        <v>11184.046890263759</v>
      </c>
      <c r="P90" s="10">
        <f t="shared" si="10"/>
        <v>10899.93878215565</v>
      </c>
      <c r="Q90" s="10">
        <f t="shared" si="10"/>
        <v>10630.663627482905</v>
      </c>
      <c r="R90" s="10">
        <f t="shared" si="10"/>
        <v>10378.503419081731</v>
      </c>
      <c r="S90" s="10">
        <f t="shared" si="10"/>
        <v>10140.035167697817</v>
      </c>
      <c r="T90" s="10">
        <f t="shared" si="10"/>
        <v>9918.6818625854776</v>
      </c>
      <c r="U90" s="10">
        <f t="shared" si="10"/>
        <v>9711.0205144903939</v>
      </c>
      <c r="V90" s="10">
        <f t="shared" si="10"/>
        <v>9520.4741126668832</v>
      </c>
      <c r="W90" s="10">
        <f t="shared" si="10"/>
        <v>9344.7606642787377</v>
      </c>
      <c r="X90" s="10">
        <f t="shared" si="10"/>
        <v>9185.0211657440577</v>
      </c>
      <c r="Y90" s="10">
        <f t="shared" si="10"/>
        <v>9040.1146206447429</v>
      </c>
      <c r="Z90" s="10">
        <f t="shared" si="10"/>
        <v>8911.1820253988917</v>
      </c>
      <c r="AA90" s="10">
        <f t="shared" si="10"/>
        <v>8798.2233800065133</v>
      </c>
      <c r="AB90" s="10" cm="1">
        <f t="array" ref="AB90">SUMPRODUCT(INDEX(C90:AA90,,_xlfn.SEQUENCE('TCO Inputs'!$AZ$13)))</f>
        <v>184110.04102898081</v>
      </c>
    </row>
    <row r="91" spans="2:28" x14ac:dyDescent="0.25">
      <c r="B91" t="s">
        <v>212</v>
      </c>
      <c r="C91" s="10">
        <f t="shared" si="9"/>
        <v>13046.860957342888</v>
      </c>
      <c r="D91" s="10">
        <f t="shared" si="9"/>
        <v>12658.808205796158</v>
      </c>
      <c r="E91" s="10">
        <f t="shared" si="9"/>
        <v>12282.999837186586</v>
      </c>
      <c r="F91" s="10">
        <f t="shared" si="9"/>
        <v>11920.377727124716</v>
      </c>
      <c r="G91" s="10">
        <f t="shared" si="9"/>
        <v>11570</v>
      </c>
      <c r="H91" s="10">
        <f t="shared" si="9"/>
        <v>11233.75040703354</v>
      </c>
      <c r="I91" s="10">
        <f t="shared" si="9"/>
        <v>10908.803321393685</v>
      </c>
      <c r="J91" s="10">
        <f t="shared" si="9"/>
        <v>10597.042494301531</v>
      </c>
      <c r="K91" s="10">
        <f t="shared" si="9"/>
        <v>10298.467925757082</v>
      </c>
      <c r="L91" s="10">
        <f t="shared" si="9"/>
        <v>10013.07961576034</v>
      </c>
      <c r="M91" s="10">
        <f t="shared" si="10"/>
        <v>9739.9356887007489</v>
      </c>
      <c r="N91" s="10">
        <f t="shared" si="10"/>
        <v>9479.9780201888643</v>
      </c>
      <c r="O91" s="10">
        <f t="shared" si="10"/>
        <v>9232.264734614133</v>
      </c>
      <c r="P91" s="10">
        <f t="shared" si="10"/>
        <v>8997.7377075871063</v>
      </c>
      <c r="Q91" s="10">
        <f t="shared" si="10"/>
        <v>8775.4550634972329</v>
      </c>
      <c r="R91" s="10">
        <f t="shared" si="10"/>
        <v>8567.3005535656139</v>
      </c>
      <c r="S91" s="10">
        <f t="shared" si="10"/>
        <v>8370.4485509605984</v>
      </c>
      <c r="T91" s="10">
        <f t="shared" si="10"/>
        <v>8187.7246825138391</v>
      </c>
      <c r="U91" s="10">
        <f t="shared" si="10"/>
        <v>8016.3033213936833</v>
      </c>
      <c r="V91" s="10">
        <f t="shared" si="10"/>
        <v>7859.010094431781</v>
      </c>
      <c r="W91" s="10">
        <f t="shared" si="10"/>
        <v>7713.9612504070337</v>
      </c>
      <c r="X91" s="10">
        <f t="shared" si="10"/>
        <v>7582.0986649299903</v>
      </c>
      <c r="Y91" s="10">
        <f t="shared" si="10"/>
        <v>7462.4804623901018</v>
      </c>
      <c r="Z91" s="10">
        <f t="shared" si="10"/>
        <v>7356.0485183979154</v>
      </c>
      <c r="AA91" s="10">
        <f t="shared" si="10"/>
        <v>7262.8028329534363</v>
      </c>
      <c r="AB91" s="10" cm="1">
        <f t="array" ref="AB91">SUMPRODUCT(INDEX(C91:AA91,,_xlfn.SEQUENCE('TCO Inputs'!$AZ$13)))</f>
        <v>151980.1066427874</v>
      </c>
    </row>
    <row r="92" spans="2:28" x14ac:dyDescent="0.25">
      <c r="B92" t="s">
        <v>213</v>
      </c>
      <c r="C92" s="10">
        <f t="shared" si="9"/>
        <v>13828.319439921852</v>
      </c>
      <c r="D92" s="10">
        <f t="shared" si="9"/>
        <v>13417.023770758711</v>
      </c>
      <c r="E92" s="10">
        <f t="shared" si="9"/>
        <v>13018.705877564313</v>
      </c>
      <c r="F92" s="10">
        <f t="shared" si="9"/>
        <v>12634.364050797787</v>
      </c>
      <c r="G92" s="10">
        <f t="shared" si="9"/>
        <v>12263</v>
      </c>
      <c r="H92" s="10">
        <f t="shared" si="9"/>
        <v>11906.610306089222</v>
      </c>
      <c r="I92" s="10">
        <f t="shared" si="9"/>
        <v>11562.200097688052</v>
      </c>
      <c r="J92" s="10">
        <f t="shared" si="9"/>
        <v>11231.765955714753</v>
      </c>
      <c r="K92" s="10">
        <f t="shared" si="9"/>
        <v>10915.307880169326</v>
      </c>
      <c r="L92" s="10">
        <f t="shared" si="9"/>
        <v>10612.825871051777</v>
      </c>
      <c r="M92" s="10">
        <f t="shared" si="10"/>
        <v>10323.321637902964</v>
      </c>
      <c r="N92" s="10">
        <f t="shared" si="10"/>
        <v>10047.793471182025</v>
      </c>
      <c r="O92" s="10">
        <f t="shared" si="10"/>
        <v>9785.2430804298292</v>
      </c>
      <c r="P92" s="10">
        <f t="shared" si="10"/>
        <v>9536.6687561055041</v>
      </c>
      <c r="Q92" s="10">
        <f t="shared" si="10"/>
        <v>9301.0722077499195</v>
      </c>
      <c r="R92" s="10">
        <f t="shared" si="10"/>
        <v>9080.450016281342</v>
      </c>
      <c r="S92" s="10">
        <f t="shared" si="10"/>
        <v>8871.8073103223705</v>
      </c>
      <c r="T92" s="10">
        <f t="shared" si="10"/>
        <v>8678.1389612504081</v>
      </c>
      <c r="U92" s="10">
        <f t="shared" si="10"/>
        <v>8496.4500976880499</v>
      </c>
      <c r="V92" s="10">
        <f t="shared" si="10"/>
        <v>8329.7355910126989</v>
      </c>
      <c r="W92" s="10">
        <f t="shared" si="10"/>
        <v>8175.9988603060901</v>
      </c>
      <c r="X92" s="10">
        <f t="shared" si="10"/>
        <v>8036.2381960273533</v>
      </c>
      <c r="Y92" s="10">
        <f t="shared" si="10"/>
        <v>7909.4553077173568</v>
      </c>
      <c r="Z92" s="10">
        <f t="shared" si="10"/>
        <v>7796.6484858352323</v>
      </c>
      <c r="AA92" s="10">
        <f t="shared" si="10"/>
        <v>7697.8177303809844</v>
      </c>
      <c r="AB92" s="10" cm="1">
        <f t="array" ref="AB92">SUMPRODUCT(INDEX(C92:AA92,,_xlfn.SEQUENCE('TCO Inputs'!$AZ$13)))</f>
        <v>161083.1501953761</v>
      </c>
    </row>
    <row r="93" spans="2:28" x14ac:dyDescent="0.25">
      <c r="B93" t="s">
        <v>214</v>
      </c>
      <c r="C93" s="10">
        <f t="shared" ref="C93:L102" si="11">VLOOKUP($B93,$B$3:$C$54,2,FALSE)*C$119</f>
        <v>21602.309019863242</v>
      </c>
      <c r="D93" s="10">
        <f t="shared" si="11"/>
        <v>20959.791598827745</v>
      </c>
      <c r="E93" s="10">
        <f t="shared" si="11"/>
        <v>20337.547785737544</v>
      </c>
      <c r="F93" s="10">
        <f t="shared" si="11"/>
        <v>19737.137088896125</v>
      </c>
      <c r="G93" s="10">
        <f t="shared" si="11"/>
        <v>19157</v>
      </c>
      <c r="H93" s="10">
        <f t="shared" si="11"/>
        <v>18600.255535656139</v>
      </c>
      <c r="I93" s="10">
        <f t="shared" si="11"/>
        <v>18062.225170954091</v>
      </c>
      <c r="J93" s="10">
        <f t="shared" si="11"/>
        <v>17546.027922500816</v>
      </c>
      <c r="K93" s="10">
        <f t="shared" si="11"/>
        <v>17051.663790296323</v>
      </c>
      <c r="L93" s="10">
        <f t="shared" si="11"/>
        <v>16579.132774340607</v>
      </c>
      <c r="M93" s="10">
        <f t="shared" ref="M93:AA102" si="12">VLOOKUP($B93,$B$3:$C$54,2,FALSE)*M$119</f>
        <v>16126.875366330187</v>
      </c>
      <c r="N93" s="10">
        <f t="shared" si="12"/>
        <v>15696.451074568546</v>
      </c>
      <c r="O93" s="10">
        <f t="shared" si="12"/>
        <v>15286.3003907522</v>
      </c>
      <c r="P93" s="10">
        <f t="shared" si="12"/>
        <v>14897.982823184631</v>
      </c>
      <c r="Q93" s="10">
        <f t="shared" si="12"/>
        <v>14529.938863562358</v>
      </c>
      <c r="R93" s="10">
        <f t="shared" si="12"/>
        <v>14185.287528492347</v>
      </c>
      <c r="S93" s="10">
        <f t="shared" si="12"/>
        <v>13859.350293064148</v>
      </c>
      <c r="T93" s="10">
        <f t="shared" si="12"/>
        <v>13556.805682188213</v>
      </c>
      <c r="U93" s="10">
        <f t="shared" si="12"/>
        <v>13272.975170954087</v>
      </c>
      <c r="V93" s="10">
        <f t="shared" si="12"/>
        <v>13012.537284272224</v>
      </c>
      <c r="W93" s="10">
        <f t="shared" si="12"/>
        <v>12772.373005535657</v>
      </c>
      <c r="X93" s="10">
        <f t="shared" si="12"/>
        <v>12554.041843047868</v>
      </c>
      <c r="Y93" s="10">
        <f t="shared" si="12"/>
        <v>12355.984288505375</v>
      </c>
      <c r="Z93" s="10">
        <f t="shared" si="12"/>
        <v>12179.759850211656</v>
      </c>
      <c r="AA93" s="10">
        <f t="shared" si="12"/>
        <v>12025.368528166724</v>
      </c>
      <c r="AB93" s="10" cm="1">
        <f t="array" ref="AB93">SUMPRODUCT(INDEX(C93:AA93,,_xlfn.SEQUENCE('TCO Inputs'!$AZ$13)))</f>
        <v>251640.7003419082</v>
      </c>
    </row>
    <row r="94" spans="2:28" x14ac:dyDescent="0.25">
      <c r="B94" t="s">
        <v>216</v>
      </c>
      <c r="C94" s="10">
        <f t="shared" si="11"/>
        <v>11464.774014978835</v>
      </c>
      <c r="D94" s="10">
        <f t="shared" si="11"/>
        <v>11123.777271247151</v>
      </c>
      <c r="E94" s="10">
        <f t="shared" si="11"/>
        <v>10793.540133507002</v>
      </c>
      <c r="F94" s="10">
        <f t="shared" si="11"/>
        <v>10474.890263757734</v>
      </c>
      <c r="G94" s="10">
        <f t="shared" si="11"/>
        <v>10167</v>
      </c>
      <c r="H94" s="10">
        <f t="shared" si="11"/>
        <v>9871.5246662324989</v>
      </c>
      <c r="I94" s="10">
        <f t="shared" si="11"/>
        <v>9585.9812764571816</v>
      </c>
      <c r="J94" s="10">
        <f t="shared" si="11"/>
        <v>9312.0251546727468</v>
      </c>
      <c r="K94" s="10">
        <f t="shared" si="11"/>
        <v>9049.6563008791927</v>
      </c>
      <c r="L94" s="10">
        <f t="shared" si="11"/>
        <v>8798.874715076523</v>
      </c>
      <c r="M94" s="10">
        <f t="shared" si="12"/>
        <v>8558.8527352653873</v>
      </c>
      <c r="N94" s="10">
        <f t="shared" si="12"/>
        <v>8330.4180234451323</v>
      </c>
      <c r="O94" s="10">
        <f t="shared" si="12"/>
        <v>8112.7429176164123</v>
      </c>
      <c r="P94" s="10">
        <f t="shared" si="12"/>
        <v>7906.6550797785749</v>
      </c>
      <c r="Q94" s="10">
        <f t="shared" si="12"/>
        <v>7711.3268479322696</v>
      </c>
      <c r="R94" s="10">
        <f t="shared" si="12"/>
        <v>7528.4135460761963</v>
      </c>
      <c r="S94" s="10">
        <f t="shared" si="12"/>
        <v>7355.4321882123086</v>
      </c>
      <c r="T94" s="10">
        <f t="shared" si="12"/>
        <v>7194.8657603386519</v>
      </c>
      <c r="U94" s="10">
        <f t="shared" si="12"/>
        <v>7044.2312764571798</v>
      </c>
      <c r="V94" s="10">
        <f t="shared" si="12"/>
        <v>6906.0117225659396</v>
      </c>
      <c r="W94" s="10">
        <f t="shared" si="12"/>
        <v>6778.5517746662326</v>
      </c>
      <c r="X94" s="10">
        <f t="shared" si="12"/>
        <v>6662.6790947574082</v>
      </c>
      <c r="Y94" s="10">
        <f t="shared" si="12"/>
        <v>6557.5660208401177</v>
      </c>
      <c r="Z94" s="10">
        <f t="shared" si="12"/>
        <v>6464.040214913709</v>
      </c>
      <c r="AA94" s="10">
        <f t="shared" si="12"/>
        <v>6382.1016769781845</v>
      </c>
      <c r="AB94" s="10" cm="1">
        <f t="array" ref="AB94">SUMPRODUCT(INDEX(C94:AA94,,_xlfn.SEQUENCE('TCO Inputs'!$AZ$13)))</f>
        <v>133550.7125529144</v>
      </c>
    </row>
    <row r="95" spans="2:28" x14ac:dyDescent="0.25">
      <c r="B95" t="s">
        <v>209</v>
      </c>
      <c r="C95" s="10">
        <f t="shared" si="11"/>
        <v>18124.649625529146</v>
      </c>
      <c r="D95" s="10">
        <f t="shared" si="11"/>
        <v>17585.56821882123</v>
      </c>
      <c r="E95" s="10">
        <f t="shared" si="11"/>
        <v>17063.496662324978</v>
      </c>
      <c r="F95" s="10">
        <f t="shared" si="11"/>
        <v>16559.743406056659</v>
      </c>
      <c r="G95" s="10">
        <f t="shared" si="11"/>
        <v>16073</v>
      </c>
      <c r="H95" s="10">
        <f t="shared" si="11"/>
        <v>15605.883344187561</v>
      </c>
      <c r="I95" s="10">
        <f t="shared" si="11"/>
        <v>15154.4680885705</v>
      </c>
      <c r="J95" s="10">
        <f t="shared" si="11"/>
        <v>14721.371133181376</v>
      </c>
      <c r="K95" s="10">
        <f t="shared" si="11"/>
        <v>14306.592478020189</v>
      </c>
      <c r="L95" s="10">
        <f t="shared" si="11"/>
        <v>13910.132123086943</v>
      </c>
      <c r="M95" s="10">
        <f t="shared" si="12"/>
        <v>13530.681618365354</v>
      </c>
      <c r="N95" s="10">
        <f t="shared" si="12"/>
        <v>13169.549413871704</v>
      </c>
      <c r="O95" s="10">
        <f t="shared" si="12"/>
        <v>12825.427059589712</v>
      </c>
      <c r="P95" s="10">
        <f t="shared" si="12"/>
        <v>12499.623005535657</v>
      </c>
      <c r="Q95" s="10">
        <f t="shared" si="12"/>
        <v>12190.82880169326</v>
      </c>
      <c r="R95" s="10">
        <f t="shared" si="12"/>
        <v>11901.661348095084</v>
      </c>
      <c r="S95" s="10">
        <f t="shared" si="12"/>
        <v>11628.195294692281</v>
      </c>
      <c r="T95" s="10">
        <f t="shared" si="12"/>
        <v>11374.355991533703</v>
      </c>
      <c r="U95" s="10">
        <f t="shared" si="12"/>
        <v>11136.218088570498</v>
      </c>
      <c r="V95" s="10">
        <f t="shared" si="12"/>
        <v>10917.706935851515</v>
      </c>
      <c r="W95" s="10">
        <f t="shared" si="12"/>
        <v>10716.205633344189</v>
      </c>
      <c r="X95" s="10">
        <f t="shared" si="12"/>
        <v>10533.022631064799</v>
      </c>
      <c r="Y95" s="10">
        <f t="shared" si="12"/>
        <v>10366.84947899707</v>
      </c>
      <c r="Z95" s="10">
        <f t="shared" si="12"/>
        <v>10218.994627157277</v>
      </c>
      <c r="AA95" s="10">
        <f t="shared" si="12"/>
        <v>10089.458075545426</v>
      </c>
      <c r="AB95" s="10" cm="1">
        <f t="array" ref="AB95">SUMPRODUCT(INDEX(C95:AA95,,_xlfn.SEQUENCE('TCO Inputs'!$AZ$13)))</f>
        <v>211130.186177141</v>
      </c>
    </row>
    <row r="96" spans="2:28" x14ac:dyDescent="0.25">
      <c r="B96" t="s">
        <v>210</v>
      </c>
      <c r="C96" s="10">
        <f t="shared" si="11"/>
        <v>19926.627482904594</v>
      </c>
      <c r="D96" s="10">
        <f t="shared" si="11"/>
        <v>19333.949853467926</v>
      </c>
      <c r="E96" s="10">
        <f t="shared" si="11"/>
        <v>18759.973217193099</v>
      </c>
      <c r="F96" s="10">
        <f t="shared" si="11"/>
        <v>18206.136112015633</v>
      </c>
      <c r="G96" s="10">
        <f t="shared" si="11"/>
        <v>17671</v>
      </c>
      <c r="H96" s="10">
        <f t="shared" si="11"/>
        <v>17157.441957017258</v>
      </c>
      <c r="I96" s="10">
        <f t="shared" si="11"/>
        <v>16661.14636926083</v>
      </c>
      <c r="J96" s="10">
        <f t="shared" si="11"/>
        <v>16184.99031260176</v>
      </c>
      <c r="K96" s="10">
        <f t="shared" si="11"/>
        <v>15728.973787040053</v>
      </c>
      <c r="L96" s="10">
        <f t="shared" si="11"/>
        <v>15293.09679257571</v>
      </c>
      <c r="M96" s="10">
        <f t="shared" si="12"/>
        <v>14875.920791273202</v>
      </c>
      <c r="N96" s="10">
        <f t="shared" si="12"/>
        <v>14478.884321068057</v>
      </c>
      <c r="O96" s="10">
        <f t="shared" si="12"/>
        <v>14100.54884402475</v>
      </c>
      <c r="P96" s="10">
        <f t="shared" si="12"/>
        <v>13742.352898078803</v>
      </c>
      <c r="Q96" s="10">
        <f t="shared" si="12"/>
        <v>13402.857945294692</v>
      </c>
      <c r="R96" s="10">
        <f t="shared" si="12"/>
        <v>13084.941061543472</v>
      </c>
      <c r="S96" s="10">
        <f t="shared" si="12"/>
        <v>12784.286633018561</v>
      </c>
      <c r="T96" s="10">
        <f t="shared" si="12"/>
        <v>12505.21027352654</v>
      </c>
      <c r="U96" s="10">
        <f t="shared" si="12"/>
        <v>12243.396369260827</v>
      </c>
      <c r="V96" s="10">
        <f t="shared" si="12"/>
        <v>12003.160534028004</v>
      </c>
      <c r="W96" s="10">
        <f t="shared" si="12"/>
        <v>11781.625691957019</v>
      </c>
      <c r="X96" s="10">
        <f t="shared" si="12"/>
        <v>11580.230380983394</v>
      </c>
      <c r="Y96" s="10">
        <f t="shared" si="12"/>
        <v>11397.536063171607</v>
      </c>
      <c r="Z96" s="10">
        <f t="shared" si="12"/>
        <v>11234.98127645718</v>
      </c>
      <c r="AA96" s="10">
        <f t="shared" si="12"/>
        <v>11092.566020840119</v>
      </c>
      <c r="AB96" s="10" cm="1">
        <f t="array" ref="AB96">SUMPRODUCT(INDEX(C96:AA96,,_xlfn.SEQUENCE('TCO Inputs'!$AZ$13)))</f>
        <v>232121.04273852165</v>
      </c>
    </row>
    <row r="97" spans="2:28" x14ac:dyDescent="0.25">
      <c r="B97" t="s">
        <v>217</v>
      </c>
      <c r="C97" s="10">
        <f t="shared" si="11"/>
        <v>16100.525561706287</v>
      </c>
      <c r="D97" s="10">
        <f t="shared" si="11"/>
        <v>15621.647671768154</v>
      </c>
      <c r="E97" s="10">
        <f t="shared" si="11"/>
        <v>15157.880006512538</v>
      </c>
      <c r="F97" s="10">
        <f t="shared" si="11"/>
        <v>14710.384890915013</v>
      </c>
      <c r="G97" s="10">
        <f t="shared" si="11"/>
        <v>14278</v>
      </c>
      <c r="H97" s="10">
        <f t="shared" si="11"/>
        <v>13863.04998371866</v>
      </c>
      <c r="I97" s="10">
        <f t="shared" si="11"/>
        <v>13462.047867144254</v>
      </c>
      <c r="J97" s="10">
        <f t="shared" si="11"/>
        <v>13077.31830022794</v>
      </c>
      <c r="K97" s="10">
        <f t="shared" si="11"/>
        <v>12708.861282969718</v>
      </c>
      <c r="L97" s="10">
        <f t="shared" si="11"/>
        <v>12356.676815369588</v>
      </c>
      <c r="M97" s="10">
        <f t="shared" si="12"/>
        <v>12019.602572451971</v>
      </c>
      <c r="N97" s="10">
        <f t="shared" si="12"/>
        <v>11698.800879192446</v>
      </c>
      <c r="O97" s="10">
        <f t="shared" si="12"/>
        <v>11393.109410615436</v>
      </c>
      <c r="P97" s="10">
        <f t="shared" si="12"/>
        <v>11103.690491696518</v>
      </c>
      <c r="Q97" s="10">
        <f t="shared" si="12"/>
        <v>10829.381797460112</v>
      </c>
      <c r="R97" s="10">
        <f t="shared" si="12"/>
        <v>10572.507977857374</v>
      </c>
      <c r="S97" s="10">
        <f t="shared" si="12"/>
        <v>10329.582057961576</v>
      </c>
      <c r="T97" s="10">
        <f t="shared" si="12"/>
        <v>10104.091012699448</v>
      </c>
      <c r="U97" s="10">
        <f t="shared" si="12"/>
        <v>9892.5478671442525</v>
      </c>
      <c r="V97" s="10">
        <f t="shared" si="12"/>
        <v>9698.4395962227281</v>
      </c>
      <c r="W97" s="10">
        <f t="shared" si="12"/>
        <v>9519.4415499837196</v>
      </c>
      <c r="X97" s="10">
        <f t="shared" si="12"/>
        <v>9356.7160534028008</v>
      </c>
      <c r="Y97" s="10">
        <f t="shared" si="12"/>
        <v>9209.1007815043977</v>
      </c>
      <c r="Z97" s="10">
        <f t="shared" si="12"/>
        <v>9077.7580592640825</v>
      </c>
      <c r="AA97" s="10">
        <f t="shared" si="12"/>
        <v>8962.6878866818643</v>
      </c>
      <c r="AB97" s="10" cm="1">
        <f t="array" ref="AB97">SUMPRODUCT(INDEX(C97:AA97,,_xlfn.SEQUENCE('TCO Inputs'!$AZ$13)))</f>
        <v>187551.59573428857</v>
      </c>
    </row>
    <row r="98" spans="2:28" x14ac:dyDescent="0.25">
      <c r="B98" t="s">
        <v>218</v>
      </c>
      <c r="C98" s="10">
        <f t="shared" si="11"/>
        <v>19958.201563008795</v>
      </c>
      <c r="D98" s="10">
        <f t="shared" si="11"/>
        <v>19364.584825789647</v>
      </c>
      <c r="E98" s="10">
        <f t="shared" si="11"/>
        <v>18789.698713774018</v>
      </c>
      <c r="F98" s="10">
        <f t="shared" si="11"/>
        <v>18234.984044285251</v>
      </c>
      <c r="G98" s="10">
        <f t="shared" si="11"/>
        <v>17699</v>
      </c>
      <c r="H98" s="10">
        <f t="shared" si="11"/>
        <v>17184.628215564964</v>
      </c>
      <c r="I98" s="10">
        <f t="shared" si="11"/>
        <v>16687.546239010098</v>
      </c>
      <c r="J98" s="10">
        <f t="shared" si="11"/>
        <v>16210.635704982093</v>
      </c>
      <c r="K98" s="10">
        <f t="shared" si="11"/>
        <v>15753.896613480953</v>
      </c>
      <c r="L98" s="10">
        <f t="shared" si="11"/>
        <v>15317.328964506678</v>
      </c>
      <c r="M98" s="10">
        <f t="shared" si="12"/>
        <v>14899.491940735918</v>
      </c>
      <c r="N98" s="10">
        <f t="shared" si="12"/>
        <v>14501.826359492023</v>
      </c>
      <c r="O98" s="10">
        <f t="shared" si="12"/>
        <v>14122.891403451646</v>
      </c>
      <c r="P98" s="10">
        <f t="shared" si="12"/>
        <v>13764.127889938132</v>
      </c>
      <c r="Q98" s="10">
        <f t="shared" si="12"/>
        <v>13424.095001628135</v>
      </c>
      <c r="R98" s="10">
        <f t="shared" si="12"/>
        <v>13105.674373168349</v>
      </c>
      <c r="S98" s="10">
        <f t="shared" si="12"/>
        <v>12804.543552588733</v>
      </c>
      <c r="T98" s="10">
        <f t="shared" si="12"/>
        <v>12525.024991859329</v>
      </c>
      <c r="U98" s="10">
        <f t="shared" si="12"/>
        <v>12262.796239010095</v>
      </c>
      <c r="V98" s="10">
        <f t="shared" si="12"/>
        <v>12022.17974601107</v>
      </c>
      <c r="W98" s="10">
        <f t="shared" si="12"/>
        <v>11800.293878215565</v>
      </c>
      <c r="X98" s="10">
        <f t="shared" si="12"/>
        <v>11598.579452946924</v>
      </c>
      <c r="Y98" s="10">
        <f t="shared" si="12"/>
        <v>11415.595652881799</v>
      </c>
      <c r="Z98" s="10">
        <f t="shared" si="12"/>
        <v>11252.783295343535</v>
      </c>
      <c r="AA98" s="10">
        <f t="shared" si="12"/>
        <v>11110.142380332141</v>
      </c>
      <c r="AB98" s="10" cm="1">
        <f t="array" ref="AB98">SUMPRODUCT(INDEX(C98:AA98,,_xlfn.SEQUENCE('TCO Inputs'!$AZ$13)))</f>
        <v>232488.84247802023</v>
      </c>
    </row>
    <row r="99" spans="2:28" x14ac:dyDescent="0.25">
      <c r="B99" t="s">
        <v>219</v>
      </c>
      <c r="C99" s="10">
        <f t="shared" si="11"/>
        <v>13777.575382611529</v>
      </c>
      <c r="D99" s="10">
        <f t="shared" si="11"/>
        <v>13367.78899381309</v>
      </c>
      <c r="E99" s="10">
        <f t="shared" si="11"/>
        <v>12970.932758059265</v>
      </c>
      <c r="F99" s="10">
        <f t="shared" si="11"/>
        <v>12588.001302507328</v>
      </c>
      <c r="G99" s="10">
        <f t="shared" si="11"/>
        <v>12218</v>
      </c>
      <c r="H99" s="10">
        <f t="shared" si="11"/>
        <v>11862.91810485184</v>
      </c>
      <c r="I99" s="10">
        <f t="shared" si="11"/>
        <v>11519.771735591014</v>
      </c>
      <c r="J99" s="10">
        <f t="shared" si="11"/>
        <v>11190.550146532076</v>
      </c>
      <c r="K99" s="10">
        <f t="shared" si="11"/>
        <v>10875.253337675025</v>
      </c>
      <c r="L99" s="10">
        <f t="shared" si="11"/>
        <v>10573.881309019866</v>
      </c>
      <c r="M99" s="10">
        <f t="shared" si="12"/>
        <v>10285.439433409314</v>
      </c>
      <c r="N99" s="10">
        <f t="shared" si="12"/>
        <v>10010.922338000652</v>
      </c>
      <c r="O99" s="10">
        <f t="shared" si="12"/>
        <v>9749.3353956366009</v>
      </c>
      <c r="P99" s="10">
        <f t="shared" si="12"/>
        <v>9501.6732334744393</v>
      </c>
      <c r="Q99" s="10">
        <f t="shared" si="12"/>
        <v>9266.9412243568877</v>
      </c>
      <c r="R99" s="10">
        <f t="shared" si="12"/>
        <v>9047.1286225985023</v>
      </c>
      <c r="S99" s="10">
        <f t="shared" si="12"/>
        <v>8839.2515467274497</v>
      </c>
      <c r="T99" s="10">
        <f t="shared" si="12"/>
        <v>8646.2938782155652</v>
      </c>
      <c r="U99" s="10">
        <f t="shared" si="12"/>
        <v>8465.2717355910136</v>
      </c>
      <c r="V99" s="10">
        <f t="shared" si="12"/>
        <v>8299.1690003256263</v>
      </c>
      <c r="W99" s="10">
        <f t="shared" si="12"/>
        <v>8145.9964181048526</v>
      </c>
      <c r="X99" s="10">
        <f t="shared" si="12"/>
        <v>8006.7486160859653</v>
      </c>
      <c r="Y99" s="10">
        <f t="shared" si="12"/>
        <v>7880.4309671116907</v>
      </c>
      <c r="Z99" s="10">
        <f t="shared" si="12"/>
        <v>7768.0380983393025</v>
      </c>
      <c r="AA99" s="10">
        <f t="shared" si="12"/>
        <v>7669.5700097688059</v>
      </c>
      <c r="AB99" s="10" cm="1">
        <f t="array" ref="AB99">SUMPRODUCT(INDEX(C99:AA99,,_xlfn.SEQUENCE('TCO Inputs'!$AZ$13)))</f>
        <v>160492.043471182</v>
      </c>
    </row>
    <row r="100" spans="2:28" x14ac:dyDescent="0.25">
      <c r="B100" t="s">
        <v>220</v>
      </c>
      <c r="C100" s="10">
        <f t="shared" si="11"/>
        <v>12905.905242591991</v>
      </c>
      <c r="D100" s="10">
        <f t="shared" si="11"/>
        <v>12522.044936502769</v>
      </c>
      <c r="E100" s="10">
        <f t="shared" si="11"/>
        <v>12150.296727450343</v>
      </c>
      <c r="F100" s="10">
        <f t="shared" si="11"/>
        <v>11791.592315206773</v>
      </c>
      <c r="G100" s="10">
        <f t="shared" si="11"/>
        <v>11445</v>
      </c>
      <c r="H100" s="10">
        <f t="shared" si="11"/>
        <v>11112.383181374145</v>
      </c>
      <c r="I100" s="10">
        <f t="shared" si="11"/>
        <v>10790.946760013027</v>
      </c>
      <c r="J100" s="10">
        <f t="shared" si="11"/>
        <v>10482.554135460763</v>
      </c>
      <c r="K100" s="10">
        <f t="shared" si="11"/>
        <v>10187.205307717357</v>
      </c>
      <c r="L100" s="10">
        <f t="shared" si="11"/>
        <v>9904.9002767828079</v>
      </c>
      <c r="M100" s="10">
        <f t="shared" si="12"/>
        <v>9634.7073428850545</v>
      </c>
      <c r="N100" s="10">
        <f t="shared" si="12"/>
        <v>9377.5582057961583</v>
      </c>
      <c r="O100" s="10">
        <f t="shared" si="12"/>
        <v>9132.5211657440577</v>
      </c>
      <c r="P100" s="10">
        <f t="shared" si="12"/>
        <v>8900.5279225008144</v>
      </c>
      <c r="Q100" s="10">
        <f t="shared" si="12"/>
        <v>8680.6467762943666</v>
      </c>
      <c r="R100" s="10">
        <f t="shared" si="12"/>
        <v>8474.7411266688378</v>
      </c>
      <c r="S100" s="10">
        <f t="shared" si="12"/>
        <v>8280.0158743080428</v>
      </c>
      <c r="T100" s="10">
        <f t="shared" si="12"/>
        <v>8099.2661185281668</v>
      </c>
      <c r="U100" s="10">
        <f t="shared" si="12"/>
        <v>7929.6967600130256</v>
      </c>
      <c r="V100" s="10">
        <f t="shared" si="12"/>
        <v>7774.1028980788014</v>
      </c>
      <c r="W100" s="10">
        <f t="shared" si="12"/>
        <v>7630.6211331813747</v>
      </c>
      <c r="X100" s="10">
        <f t="shared" si="12"/>
        <v>7500.1831650928043</v>
      </c>
      <c r="Y100" s="10">
        <f t="shared" si="12"/>
        <v>7381.8572940410304</v>
      </c>
      <c r="Z100" s="10">
        <f t="shared" si="12"/>
        <v>7276.575219798111</v>
      </c>
      <c r="AA100" s="10">
        <f t="shared" si="12"/>
        <v>7184.3369423640524</v>
      </c>
      <c r="AB100" s="10" cm="1">
        <f t="array" ref="AB100">SUMPRODUCT(INDEX(C100:AA100,,_xlfn.SEQUENCE('TCO Inputs'!$AZ$13)))</f>
        <v>150338.14352002606</v>
      </c>
    </row>
    <row r="101" spans="2:28" x14ac:dyDescent="0.25">
      <c r="B101" t="s">
        <v>221</v>
      </c>
      <c r="C101" s="10">
        <f t="shared" si="11"/>
        <v>11232.47899706936</v>
      </c>
      <c r="D101" s="10">
        <f t="shared" si="11"/>
        <v>10898.391403451644</v>
      </c>
      <c r="E101" s="10">
        <f t="shared" si="11"/>
        <v>10574.845408661675</v>
      </c>
      <c r="F101" s="10">
        <f t="shared" si="11"/>
        <v>10262.651904916966</v>
      </c>
      <c r="G101" s="10">
        <f t="shared" si="11"/>
        <v>9961</v>
      </c>
      <c r="H101" s="10">
        <f t="shared" si="11"/>
        <v>9671.5114783458157</v>
      </c>
      <c r="I101" s="10">
        <f t="shared" si="11"/>
        <v>9391.7536633018572</v>
      </c>
      <c r="J101" s="10">
        <f t="shared" si="11"/>
        <v>9123.3483393031602</v>
      </c>
      <c r="K101" s="10">
        <f t="shared" si="11"/>
        <v>8866.2955063497229</v>
      </c>
      <c r="L101" s="10">
        <f t="shared" si="11"/>
        <v>8620.5951644415509</v>
      </c>
      <c r="M101" s="10">
        <f t="shared" si="12"/>
        <v>8385.4364213611207</v>
      </c>
      <c r="N101" s="10">
        <f t="shared" si="12"/>
        <v>8161.6301693259529</v>
      </c>
      <c r="O101" s="10">
        <f t="shared" si="12"/>
        <v>7948.3655161185288</v>
      </c>
      <c r="P101" s="10">
        <f t="shared" si="12"/>
        <v>7746.4533539563672</v>
      </c>
      <c r="Q101" s="10">
        <f t="shared" si="12"/>
        <v>7555.0827906219474</v>
      </c>
      <c r="R101" s="10">
        <f t="shared" si="12"/>
        <v>7375.8756105503089</v>
      </c>
      <c r="S101" s="10">
        <f t="shared" si="12"/>
        <v>7206.3991370888953</v>
      </c>
      <c r="T101" s="10">
        <f t="shared" si="12"/>
        <v>7049.0860468902638</v>
      </c>
      <c r="U101" s="10">
        <f t="shared" si="12"/>
        <v>6901.5036633018562</v>
      </c>
      <c r="V101" s="10">
        <f t="shared" si="12"/>
        <v>6766.0846629762291</v>
      </c>
      <c r="W101" s="10">
        <f t="shared" si="12"/>
        <v>6641.2072614783465</v>
      </c>
      <c r="X101" s="10">
        <f t="shared" si="12"/>
        <v>6527.6823510257245</v>
      </c>
      <c r="Y101" s="10">
        <f t="shared" si="12"/>
        <v>6424.6990394008471</v>
      </c>
      <c r="Z101" s="10">
        <f t="shared" si="12"/>
        <v>6333.0682188212304</v>
      </c>
      <c r="AA101" s="10">
        <f t="shared" si="12"/>
        <v>6252.789889286878</v>
      </c>
      <c r="AB101" s="10" cm="1">
        <f t="array" ref="AB101">SUMPRODUCT(INDEX(C101:AA101,,_xlfn.SEQUENCE('TCO Inputs'!$AZ$13)))</f>
        <v>130844.75732660374</v>
      </c>
    </row>
    <row r="102" spans="2:28" x14ac:dyDescent="0.25">
      <c r="B102" t="s">
        <v>222</v>
      </c>
      <c r="C102" s="10">
        <f t="shared" si="11"/>
        <v>16848.154672745037</v>
      </c>
      <c r="D102" s="10">
        <f t="shared" si="11"/>
        <v>16347.040052100294</v>
      </c>
      <c r="E102" s="10">
        <f t="shared" si="11"/>
        <v>15861.737300553566</v>
      </c>
      <c r="F102" s="10">
        <f t="shared" si="11"/>
        <v>15393.462715727777</v>
      </c>
      <c r="G102" s="10">
        <f t="shared" si="11"/>
        <v>14941</v>
      </c>
      <c r="H102" s="10">
        <f t="shared" si="11"/>
        <v>14506.781748616087</v>
      </c>
      <c r="I102" s="10">
        <f t="shared" si="11"/>
        <v>14087.159068707264</v>
      </c>
      <c r="J102" s="10">
        <f t="shared" si="11"/>
        <v>13684.564555519377</v>
      </c>
      <c r="K102" s="10">
        <f t="shared" si="11"/>
        <v>13298.998209052426</v>
      </c>
      <c r="L102" s="10">
        <f t="shared" si="11"/>
        <v>12930.460029306416</v>
      </c>
      <c r="M102" s="10">
        <f t="shared" si="12"/>
        <v>12577.733718658419</v>
      </c>
      <c r="N102" s="10">
        <f t="shared" si="12"/>
        <v>12242.035574731359</v>
      </c>
      <c r="O102" s="10">
        <f t="shared" si="12"/>
        <v>11922.149299902314</v>
      </c>
      <c r="P102" s="10">
        <f t="shared" si="12"/>
        <v>11619.291191794206</v>
      </c>
      <c r="Q102" s="10">
        <f t="shared" si="12"/>
        <v>11332.244952784111</v>
      </c>
      <c r="R102" s="10">
        <f t="shared" si="12"/>
        <v>11063.443178117877</v>
      </c>
      <c r="S102" s="10">
        <f t="shared" si="12"/>
        <v>10809.236974926733</v>
      </c>
      <c r="T102" s="10">
        <f t="shared" si="12"/>
        <v>10573.275236079453</v>
      </c>
      <c r="U102" s="10">
        <f t="shared" si="12"/>
        <v>10351.909068707262</v>
      </c>
      <c r="V102" s="10">
        <f t="shared" si="12"/>
        <v>10148.787365678932</v>
      </c>
      <c r="W102" s="10">
        <f t="shared" si="12"/>
        <v>9961.4775317486165</v>
      </c>
      <c r="X102" s="10">
        <f t="shared" si="12"/>
        <v>9791.1958645392388</v>
      </c>
      <c r="Y102" s="10">
        <f t="shared" si="12"/>
        <v>9636.7260664278747</v>
      </c>
      <c r="Z102" s="10">
        <f t="shared" si="12"/>
        <v>9499.2844350374471</v>
      </c>
      <c r="AA102" s="10">
        <f t="shared" si="12"/>
        <v>9378.8709703679597</v>
      </c>
      <c r="AB102" s="10" cm="1">
        <f t="array" ref="AB102">SUMPRODUCT(INDEX(C102:AA102,,_xlfn.SEQUENCE('TCO Inputs'!$AZ$13)))</f>
        <v>196260.56813741455</v>
      </c>
    </row>
    <row r="103" spans="2:28" x14ac:dyDescent="0.25">
      <c r="B103" t="s">
        <v>223</v>
      </c>
      <c r="C103" s="10">
        <f t="shared" ref="C103:L113" si="13">VLOOKUP($B103,$B$3:$C$54,2,FALSE)*C$119</f>
        <v>17524.742103549335</v>
      </c>
      <c r="D103" s="10">
        <f t="shared" si="13"/>
        <v>17003.503744708563</v>
      </c>
      <c r="E103" s="10">
        <f t="shared" si="13"/>
        <v>16498.712227287531</v>
      </c>
      <c r="F103" s="10">
        <f t="shared" si="13"/>
        <v>16011.632692933899</v>
      </c>
      <c r="G103" s="10">
        <f t="shared" si="13"/>
        <v>15541</v>
      </c>
      <c r="H103" s="10">
        <f t="shared" si="13"/>
        <v>15089.344431781179</v>
      </c>
      <c r="I103" s="10">
        <f t="shared" si="13"/>
        <v>14652.87056333442</v>
      </c>
      <c r="J103" s="10">
        <f t="shared" si="13"/>
        <v>14234.108677955066</v>
      </c>
      <c r="K103" s="10">
        <f t="shared" si="13"/>
        <v>13833.058775643114</v>
      </c>
      <c r="L103" s="10">
        <f t="shared" si="13"/>
        <v>13449.72085639857</v>
      </c>
      <c r="M103" s="10">
        <f t="shared" ref="M103:AA113" si="14">VLOOKUP($B103,$B$3:$C$54,2,FALSE)*M$119</f>
        <v>13082.829778573756</v>
      </c>
      <c r="N103" s="10">
        <f t="shared" si="14"/>
        <v>12733.650683816348</v>
      </c>
      <c r="O103" s="10">
        <f t="shared" si="14"/>
        <v>12400.918430478672</v>
      </c>
      <c r="P103" s="10">
        <f t="shared" si="14"/>
        <v>12085.898160208402</v>
      </c>
      <c r="Q103" s="10">
        <f t="shared" si="14"/>
        <v>11787.324731357865</v>
      </c>
      <c r="R103" s="10">
        <f t="shared" si="14"/>
        <v>11507.728427222402</v>
      </c>
      <c r="S103" s="10">
        <f t="shared" si="14"/>
        <v>11243.313822859003</v>
      </c>
      <c r="T103" s="10">
        <f t="shared" si="14"/>
        <v>10997.876343210681</v>
      </c>
      <c r="U103" s="10">
        <f t="shared" si="14"/>
        <v>10767.62056333442</v>
      </c>
      <c r="V103" s="10">
        <f t="shared" si="14"/>
        <v>10556.341908173234</v>
      </c>
      <c r="W103" s="10">
        <f t="shared" si="14"/>
        <v>10361.510094431782</v>
      </c>
      <c r="X103" s="10">
        <f t="shared" si="14"/>
        <v>10184.390263757734</v>
      </c>
      <c r="Y103" s="10">
        <f t="shared" si="14"/>
        <v>10023.71727450342</v>
      </c>
      <c r="Z103" s="10">
        <f t="shared" si="14"/>
        <v>9880.7562683165088</v>
      </c>
      <c r="AA103" s="10">
        <f t="shared" si="14"/>
        <v>9755.5072451970063</v>
      </c>
      <c r="AB103" s="10" cm="1">
        <f t="array" ref="AB103">SUMPRODUCT(INDEX(C103:AA103,,_xlfn.SEQUENCE('TCO Inputs'!$AZ$13)))</f>
        <v>204141.99112666884</v>
      </c>
    </row>
    <row r="104" spans="2:28" x14ac:dyDescent="0.25">
      <c r="B104" t="s">
        <v>224</v>
      </c>
      <c r="C104" s="10">
        <f t="shared" si="13"/>
        <v>17238.320091175516</v>
      </c>
      <c r="D104" s="10">
        <f t="shared" si="13"/>
        <v>16725.600781504396</v>
      </c>
      <c r="E104" s="10">
        <f t="shared" si="13"/>
        <v>16229.059508303486</v>
      </c>
      <c r="F104" s="10">
        <f t="shared" si="13"/>
        <v>15749.94073591664</v>
      </c>
      <c r="G104" s="10">
        <f t="shared" si="13"/>
        <v>15287</v>
      </c>
      <c r="H104" s="10">
        <f t="shared" si="13"/>
        <v>14842.726229241291</v>
      </c>
      <c r="I104" s="10">
        <f t="shared" si="13"/>
        <v>14413.386030608925</v>
      </c>
      <c r="J104" s="10">
        <f t="shared" si="13"/>
        <v>14001.468332790624</v>
      </c>
      <c r="K104" s="10">
        <f t="shared" si="13"/>
        <v>13606.973135786389</v>
      </c>
      <c r="L104" s="10">
        <f t="shared" si="13"/>
        <v>13229.900439596224</v>
      </c>
      <c r="M104" s="10">
        <f t="shared" si="14"/>
        <v>12869.005779876263</v>
      </c>
      <c r="N104" s="10">
        <f t="shared" si="14"/>
        <v>12525.533620970369</v>
      </c>
      <c r="O104" s="10">
        <f t="shared" si="14"/>
        <v>12198.23949853468</v>
      </c>
      <c r="P104" s="10">
        <f t="shared" si="14"/>
        <v>11888.367876913058</v>
      </c>
      <c r="Q104" s="10">
        <f t="shared" si="14"/>
        <v>11594.674291761641</v>
      </c>
      <c r="R104" s="10">
        <f t="shared" si="14"/>
        <v>11319.647671768153</v>
      </c>
      <c r="S104" s="10">
        <f t="shared" si="14"/>
        <v>11059.554623901009</v>
      </c>
      <c r="T104" s="10">
        <f t="shared" si="14"/>
        <v>10818.128541191794</v>
      </c>
      <c r="U104" s="10">
        <f t="shared" si="14"/>
        <v>10591.636030608923</v>
      </c>
      <c r="V104" s="10">
        <f t="shared" si="14"/>
        <v>10383.810485183978</v>
      </c>
      <c r="W104" s="10">
        <f t="shared" si="14"/>
        <v>10192.162976229241</v>
      </c>
      <c r="X104" s="10">
        <f t="shared" si="14"/>
        <v>10017.93796808857</v>
      </c>
      <c r="Y104" s="10">
        <f t="shared" si="14"/>
        <v>9859.8909964181057</v>
      </c>
      <c r="Z104" s="10">
        <f t="shared" si="14"/>
        <v>9719.2665255617067</v>
      </c>
      <c r="AA104" s="10">
        <f t="shared" si="14"/>
        <v>9596.0645555193769</v>
      </c>
      <c r="AB104" s="10" cm="1">
        <f t="array" ref="AB104">SUMPRODUCT(INDEX(C104:AA104,,_xlfn.SEQUENCE('TCO Inputs'!$AZ$13)))</f>
        <v>200805.52206121784</v>
      </c>
    </row>
    <row r="105" spans="2:28" x14ac:dyDescent="0.25">
      <c r="B105" t="s">
        <v>225</v>
      </c>
      <c r="C105" s="10">
        <f t="shared" si="13"/>
        <v>18236.286551611855</v>
      </c>
      <c r="D105" s="10">
        <f t="shared" si="13"/>
        <v>17693.884728101595</v>
      </c>
      <c r="E105" s="10">
        <f t="shared" si="13"/>
        <v>17168.59752523608</v>
      </c>
      <c r="F105" s="10">
        <f t="shared" si="13"/>
        <v>16661.741452295671</v>
      </c>
      <c r="G105" s="10">
        <f t="shared" si="13"/>
        <v>16172</v>
      </c>
      <c r="H105" s="10">
        <f t="shared" si="13"/>
        <v>15702.006186909803</v>
      </c>
      <c r="I105" s="10">
        <f t="shared" si="13"/>
        <v>15247.810485183982</v>
      </c>
      <c r="J105" s="10">
        <f t="shared" si="13"/>
        <v>14812.045913383265</v>
      </c>
      <c r="K105" s="10">
        <f t="shared" si="13"/>
        <v>14394.712471507653</v>
      </c>
      <c r="L105" s="10">
        <f t="shared" si="13"/>
        <v>13995.81015955715</v>
      </c>
      <c r="M105" s="10">
        <f t="shared" si="14"/>
        <v>13614.022468251385</v>
      </c>
      <c r="N105" s="10">
        <f t="shared" si="14"/>
        <v>13250.665906870727</v>
      </c>
      <c r="O105" s="10">
        <f t="shared" si="14"/>
        <v>12904.423966134811</v>
      </c>
      <c r="P105" s="10">
        <f t="shared" si="14"/>
        <v>12576.613155323999</v>
      </c>
      <c r="Q105" s="10">
        <f t="shared" si="14"/>
        <v>12265.91696515793</v>
      </c>
      <c r="R105" s="10">
        <f t="shared" si="14"/>
        <v>11974.96841419733</v>
      </c>
      <c r="S105" s="10">
        <f t="shared" si="14"/>
        <v>11699.817974601106</v>
      </c>
      <c r="T105" s="10">
        <f t="shared" si="14"/>
        <v>11444.415174210355</v>
      </c>
      <c r="U105" s="10">
        <f t="shared" si="14"/>
        <v>11204.81048518398</v>
      </c>
      <c r="V105" s="10">
        <f t="shared" si="14"/>
        <v>10984.953435363073</v>
      </c>
      <c r="W105" s="10">
        <f t="shared" si="14"/>
        <v>10782.21100618691</v>
      </c>
      <c r="X105" s="10">
        <f t="shared" si="14"/>
        <v>10597.899706935852</v>
      </c>
      <c r="Y105" s="10">
        <f t="shared" si="14"/>
        <v>10430.703028329535</v>
      </c>
      <c r="Z105" s="10">
        <f t="shared" si="14"/>
        <v>10281.937479648323</v>
      </c>
      <c r="AA105" s="10">
        <f t="shared" si="14"/>
        <v>10151.603060892219</v>
      </c>
      <c r="AB105" s="10" cm="1">
        <f t="array" ref="AB105">SUMPRODUCT(INDEX(C105:AA105,,_xlfn.SEQUENCE('TCO Inputs'!$AZ$13)))</f>
        <v>212430.62097036801</v>
      </c>
    </row>
    <row r="106" spans="2:28" x14ac:dyDescent="0.25">
      <c r="B106" t="s">
        <v>226</v>
      </c>
      <c r="C106" s="10">
        <f t="shared" si="13"/>
        <v>17496.550960599157</v>
      </c>
      <c r="D106" s="10">
        <f t="shared" si="13"/>
        <v>16976.151090849886</v>
      </c>
      <c r="E106" s="10">
        <f t="shared" si="13"/>
        <v>16472.171605340282</v>
      </c>
      <c r="F106" s="10">
        <f t="shared" si="13"/>
        <v>15985.875610550311</v>
      </c>
      <c r="G106" s="10">
        <f t="shared" si="13"/>
        <v>15516</v>
      </c>
      <c r="H106" s="10">
        <f t="shared" si="13"/>
        <v>15065.0709866493</v>
      </c>
      <c r="I106" s="10">
        <f t="shared" si="13"/>
        <v>14629.29925105829</v>
      </c>
      <c r="J106" s="10">
        <f t="shared" si="13"/>
        <v>14211.211006186912</v>
      </c>
      <c r="K106" s="10">
        <f t="shared" si="13"/>
        <v>13810.806252035169</v>
      </c>
      <c r="L106" s="10">
        <f t="shared" si="13"/>
        <v>13428.084988603063</v>
      </c>
      <c r="M106" s="10">
        <f t="shared" si="14"/>
        <v>13061.784109410617</v>
      </c>
      <c r="N106" s="10">
        <f t="shared" si="14"/>
        <v>12713.166720937807</v>
      </c>
      <c r="O106" s="10">
        <f t="shared" si="14"/>
        <v>12380.969716704658</v>
      </c>
      <c r="P106" s="10">
        <f t="shared" si="14"/>
        <v>12066.456203191145</v>
      </c>
      <c r="Q106" s="10">
        <f t="shared" si="14"/>
        <v>11768.363073917291</v>
      </c>
      <c r="R106" s="10">
        <f t="shared" si="14"/>
        <v>11489.216541843047</v>
      </c>
      <c r="S106" s="10">
        <f t="shared" si="14"/>
        <v>11225.227287528493</v>
      </c>
      <c r="T106" s="10">
        <f t="shared" si="14"/>
        <v>10980.184630413547</v>
      </c>
      <c r="U106" s="10">
        <f t="shared" si="14"/>
        <v>10750.299251058288</v>
      </c>
      <c r="V106" s="10">
        <f t="shared" si="14"/>
        <v>10539.360468902638</v>
      </c>
      <c r="W106" s="10">
        <f t="shared" si="14"/>
        <v>10344.84207098665</v>
      </c>
      <c r="X106" s="10">
        <f t="shared" si="14"/>
        <v>10168.007163790297</v>
      </c>
      <c r="Y106" s="10">
        <f t="shared" si="14"/>
        <v>10007.592640833605</v>
      </c>
      <c r="Z106" s="10">
        <f t="shared" si="14"/>
        <v>9864.8616085965477</v>
      </c>
      <c r="AA106" s="10">
        <f t="shared" si="14"/>
        <v>9739.814067079129</v>
      </c>
      <c r="AB106" s="10" cm="1">
        <f t="array" ref="AB106">SUMPRODUCT(INDEX(C106:AA106,,_xlfn.SEQUENCE('TCO Inputs'!$AZ$13)))</f>
        <v>203813.5985021166</v>
      </c>
    </row>
    <row r="107" spans="2:28" x14ac:dyDescent="0.25">
      <c r="B107" t="s">
        <v>228</v>
      </c>
      <c r="C107" s="10">
        <f t="shared" si="13"/>
        <v>14663.904916965161</v>
      </c>
      <c r="D107" s="10">
        <f t="shared" si="13"/>
        <v>14227.756431129925</v>
      </c>
      <c r="E107" s="10">
        <f t="shared" si="13"/>
        <v>13805.369912080756</v>
      </c>
      <c r="F107" s="10">
        <f t="shared" si="13"/>
        <v>13397.803972647347</v>
      </c>
      <c r="G107" s="10">
        <f t="shared" si="13"/>
        <v>13004</v>
      </c>
      <c r="H107" s="10">
        <f t="shared" si="13"/>
        <v>12626.075219798113</v>
      </c>
      <c r="I107" s="10">
        <f t="shared" si="13"/>
        <v>12260.853793552591</v>
      </c>
      <c r="J107" s="10">
        <f t="shared" si="13"/>
        <v>11910.452946922827</v>
      </c>
      <c r="K107" s="10">
        <f t="shared" si="13"/>
        <v>11574.872679908825</v>
      </c>
      <c r="L107" s="10">
        <f t="shared" si="13"/>
        <v>11254.112992510585</v>
      </c>
      <c r="M107" s="10">
        <f t="shared" si="14"/>
        <v>10947.115271898405</v>
      </c>
      <c r="N107" s="10">
        <f t="shared" si="14"/>
        <v>10654.938130901986</v>
      </c>
      <c r="O107" s="10">
        <f t="shared" si="14"/>
        <v>10376.522956691633</v>
      </c>
      <c r="P107" s="10">
        <f t="shared" si="14"/>
        <v>10112.928362097038</v>
      </c>
      <c r="Q107" s="10">
        <f t="shared" si="14"/>
        <v>9863.0957342885067</v>
      </c>
      <c r="R107" s="10">
        <f t="shared" si="14"/>
        <v>9629.1422989254315</v>
      </c>
      <c r="S107" s="10">
        <f t="shared" si="14"/>
        <v>9407.8922175187236</v>
      </c>
      <c r="T107" s="10">
        <f t="shared" si="14"/>
        <v>9202.5213285574737</v>
      </c>
      <c r="U107" s="10">
        <f t="shared" si="14"/>
        <v>9009.8537935525892</v>
      </c>
      <c r="V107" s="10">
        <f t="shared" si="14"/>
        <v>8833.065450993161</v>
      </c>
      <c r="W107" s="10">
        <f t="shared" si="14"/>
        <v>8670.0390752197982</v>
      </c>
      <c r="X107" s="10">
        <f t="shared" si="14"/>
        <v>8521.8332790621953</v>
      </c>
      <c r="Y107" s="10">
        <f t="shared" si="14"/>
        <v>8387.389449690656</v>
      </c>
      <c r="Z107" s="10">
        <f t="shared" si="14"/>
        <v>8267.7661999348747</v>
      </c>
      <c r="AA107" s="10">
        <f t="shared" si="14"/>
        <v>8162.9635297948562</v>
      </c>
      <c r="AB107" s="10" cm="1">
        <f t="array" ref="AB107">SUMPRODUCT(INDEX(C107:AA107,,_xlfn.SEQUENCE('TCO Inputs'!$AZ$13)))</f>
        <v>170816.70758710516</v>
      </c>
    </row>
    <row r="108" spans="2:28" x14ac:dyDescent="0.25">
      <c r="B108" t="s">
        <v>227</v>
      </c>
      <c r="C108" s="10">
        <f t="shared" si="13"/>
        <v>16361.011722565941</v>
      </c>
      <c r="D108" s="10">
        <f t="shared" si="13"/>
        <v>15874.386193422339</v>
      </c>
      <c r="E108" s="10">
        <f t="shared" si="13"/>
        <v>15403.115353305113</v>
      </c>
      <c r="F108" s="10">
        <f t="shared" si="13"/>
        <v>14948.38033213937</v>
      </c>
      <c r="G108" s="10">
        <f t="shared" si="13"/>
        <v>14509</v>
      </c>
      <c r="H108" s="10">
        <f t="shared" si="13"/>
        <v>14087.336616737221</v>
      </c>
      <c r="I108" s="10">
        <f t="shared" si="13"/>
        <v>13679.84679257571</v>
      </c>
      <c r="J108" s="10">
        <f t="shared" si="13"/>
        <v>13288.892787365681</v>
      </c>
      <c r="K108" s="10">
        <f t="shared" si="13"/>
        <v>12914.474601107131</v>
      </c>
      <c r="L108" s="10">
        <f t="shared" si="13"/>
        <v>12556.592233800067</v>
      </c>
      <c r="M108" s="10">
        <f t="shared" si="14"/>
        <v>12214.064555519375</v>
      </c>
      <c r="N108" s="10">
        <f t="shared" si="14"/>
        <v>11888.072696190167</v>
      </c>
      <c r="O108" s="10">
        <f t="shared" si="14"/>
        <v>11577.435525887335</v>
      </c>
      <c r="P108" s="10">
        <f t="shared" si="14"/>
        <v>11283.334174535983</v>
      </c>
      <c r="Q108" s="10">
        <f t="shared" si="14"/>
        <v>11004.587512211006</v>
      </c>
      <c r="R108" s="10">
        <f t="shared" si="14"/>
        <v>10743.557798762618</v>
      </c>
      <c r="S108" s="10">
        <f t="shared" si="14"/>
        <v>10496.7016444155</v>
      </c>
      <c r="T108" s="10">
        <f t="shared" si="14"/>
        <v>10267.562438944969</v>
      </c>
      <c r="U108" s="10">
        <f t="shared" si="14"/>
        <v>10052.596792575709</v>
      </c>
      <c r="V108" s="10">
        <f t="shared" si="14"/>
        <v>9855.3480950830344</v>
      </c>
      <c r="W108" s="10">
        <f t="shared" si="14"/>
        <v>9673.4540866167372</v>
      </c>
      <c r="X108" s="10">
        <f t="shared" si="14"/>
        <v>9508.0958971019209</v>
      </c>
      <c r="Y108" s="10">
        <f t="shared" si="14"/>
        <v>9358.0923966134815</v>
      </c>
      <c r="Z108" s="10">
        <f t="shared" si="14"/>
        <v>9224.6247150765212</v>
      </c>
      <c r="AA108" s="10">
        <f t="shared" si="14"/>
        <v>9107.6928524910472</v>
      </c>
      <c r="AB108" s="10" cm="1">
        <f t="array" ref="AB108">SUMPRODUCT(INDEX(C108:AA108,,_xlfn.SEQUENCE('TCO Inputs'!$AZ$13)))</f>
        <v>190585.94358515143</v>
      </c>
    </row>
    <row r="109" spans="2:28" x14ac:dyDescent="0.25">
      <c r="B109" t="s">
        <v>229</v>
      </c>
      <c r="C109" s="10">
        <f t="shared" si="13"/>
        <v>12346.592966460437</v>
      </c>
      <c r="D109" s="10">
        <f t="shared" si="13"/>
        <v>11979.368283946598</v>
      </c>
      <c r="E109" s="10">
        <f t="shared" si="13"/>
        <v>11623.730788016934</v>
      </c>
      <c r="F109" s="10">
        <f t="shared" si="13"/>
        <v>11280.57180071638</v>
      </c>
      <c r="G109" s="10">
        <f t="shared" si="13"/>
        <v>10949</v>
      </c>
      <c r="H109" s="10">
        <f t="shared" si="13"/>
        <v>10630.798029957668</v>
      </c>
      <c r="I109" s="10">
        <f t="shared" si="13"/>
        <v>10323.291924454576</v>
      </c>
      <c r="J109" s="10">
        <f t="shared" si="13"/>
        <v>10028.264327580595</v>
      </c>
      <c r="K109" s="10">
        <f t="shared" si="13"/>
        <v>9745.715239335721</v>
      </c>
      <c r="L109" s="10">
        <f t="shared" si="13"/>
        <v>9475.6446597199629</v>
      </c>
      <c r="M109" s="10">
        <f t="shared" si="14"/>
        <v>9217.1612666883757</v>
      </c>
      <c r="N109" s="10">
        <f t="shared" si="14"/>
        <v>8971.1563822859007</v>
      </c>
      <c r="O109" s="10">
        <f t="shared" si="14"/>
        <v>8736.7386844676003</v>
      </c>
      <c r="P109" s="10">
        <f t="shared" si="14"/>
        <v>8514.799495278412</v>
      </c>
      <c r="Q109" s="10">
        <f t="shared" si="14"/>
        <v>8304.4474926733965</v>
      </c>
      <c r="R109" s="10">
        <f t="shared" si="14"/>
        <v>8107.465320742429</v>
      </c>
      <c r="S109" s="10">
        <f t="shared" si="14"/>
        <v>7921.1790133506993</v>
      </c>
      <c r="T109" s="10">
        <f t="shared" si="14"/>
        <v>7748.2625366330185</v>
      </c>
      <c r="U109" s="10">
        <f t="shared" si="14"/>
        <v>7586.0419244545756</v>
      </c>
      <c r="V109" s="10">
        <f t="shared" si="14"/>
        <v>7437.1911429501788</v>
      </c>
      <c r="W109" s="10">
        <f t="shared" si="14"/>
        <v>7299.9275480299584</v>
      </c>
      <c r="X109" s="10">
        <f t="shared" si="14"/>
        <v>7175.1424617388475</v>
      </c>
      <c r="Y109" s="10">
        <f t="shared" si="14"/>
        <v>7061.944562031912</v>
      </c>
      <c r="Z109" s="10">
        <f t="shared" si="14"/>
        <v>6961.225170954086</v>
      </c>
      <c r="AA109" s="10">
        <f t="shared" si="14"/>
        <v>6872.984288505374</v>
      </c>
      <c r="AB109" s="10" cm="1">
        <f t="array" ref="AB109">SUMPRODUCT(INDEX(C109:AA109,,_xlfn.SEQUENCE('TCO Inputs'!$AZ$13)))</f>
        <v>143822.83384890918</v>
      </c>
    </row>
    <row r="110" spans="2:28" x14ac:dyDescent="0.25">
      <c r="B110" t="s">
        <v>159</v>
      </c>
      <c r="C110" s="10">
        <f t="shared" si="13"/>
        <v>19030.149137088898</v>
      </c>
      <c r="D110" s="10">
        <f t="shared" si="13"/>
        <v>18464.135460761969</v>
      </c>
      <c r="E110" s="10">
        <f t="shared" si="13"/>
        <v>17915.981439270596</v>
      </c>
      <c r="F110" s="10">
        <f t="shared" si="13"/>
        <v>17387.06089221752</v>
      </c>
      <c r="G110" s="10">
        <f t="shared" si="13"/>
        <v>16876</v>
      </c>
      <c r="H110" s="10">
        <f t="shared" si="13"/>
        <v>16385.546401823511</v>
      </c>
      <c r="I110" s="10">
        <f t="shared" si="13"/>
        <v>15911.578638879846</v>
      </c>
      <c r="J110" s="10">
        <f t="shared" si="13"/>
        <v>15456.844350374473</v>
      </c>
      <c r="K110" s="10">
        <f t="shared" si="13"/>
        <v>15021.343536307393</v>
      </c>
      <c r="L110" s="10">
        <f t="shared" si="13"/>
        <v>14605.076196678609</v>
      </c>
      <c r="M110" s="10">
        <f t="shared" si="14"/>
        <v>14206.66851188538</v>
      </c>
      <c r="N110" s="10">
        <f t="shared" si="14"/>
        <v>13827.494301530447</v>
      </c>
      <c r="O110" s="10">
        <f t="shared" si="14"/>
        <v>13466.179746011072</v>
      </c>
      <c r="P110" s="10">
        <f t="shared" si="14"/>
        <v>13124.098664929992</v>
      </c>
      <c r="Q110" s="10">
        <f t="shared" si="14"/>
        <v>12799.877238684468</v>
      </c>
      <c r="R110" s="10">
        <f t="shared" si="14"/>
        <v>12496.263106479973</v>
      </c>
      <c r="S110" s="10">
        <f t="shared" si="14"/>
        <v>12209.134809508303</v>
      </c>
      <c r="T110" s="10">
        <f t="shared" si="14"/>
        <v>11942.613806577663</v>
      </c>
      <c r="U110" s="10">
        <f t="shared" si="14"/>
        <v>11692.578638879844</v>
      </c>
      <c r="V110" s="10">
        <f t="shared" si="14"/>
        <v>11463.150765223054</v>
      </c>
      <c r="W110" s="10">
        <f t="shared" si="14"/>
        <v>11251.582546401823</v>
      </c>
      <c r="X110" s="10">
        <f t="shared" si="14"/>
        <v>11059.247802018886</v>
      </c>
      <c r="Y110" s="10">
        <f t="shared" si="14"/>
        <v>10884.772712471509</v>
      </c>
      <c r="Z110" s="10">
        <f t="shared" si="14"/>
        <v>10729.531097362422</v>
      </c>
      <c r="AA110" s="10">
        <f t="shared" si="14"/>
        <v>10593.522956691633</v>
      </c>
      <c r="AB110" s="10" cm="1">
        <f t="array" ref="AB110">SUMPRODUCT(INDEX(C110:AA110,,_xlfn.SEQUENCE('TCO Inputs'!$AZ$13)))</f>
        <v>221678.15727775972</v>
      </c>
    </row>
    <row r="111" spans="2:28" x14ac:dyDescent="0.25">
      <c r="B111" t="s">
        <v>158</v>
      </c>
      <c r="C111" s="10">
        <f t="shared" si="13"/>
        <v>17413.105177466627</v>
      </c>
      <c r="D111" s="10">
        <f t="shared" si="13"/>
        <v>16895.187235428199</v>
      </c>
      <c r="E111" s="10">
        <f t="shared" si="13"/>
        <v>16393.611364376426</v>
      </c>
      <c r="F111" s="10">
        <f t="shared" si="13"/>
        <v>15909.634646694889</v>
      </c>
      <c r="G111" s="10">
        <f t="shared" si="13"/>
        <v>15442</v>
      </c>
      <c r="H111" s="10">
        <f t="shared" si="13"/>
        <v>14993.22158905894</v>
      </c>
      <c r="I111" s="10">
        <f t="shared" si="13"/>
        <v>14559.52816672094</v>
      </c>
      <c r="J111" s="10">
        <f t="shared" si="13"/>
        <v>14143.433897753177</v>
      </c>
      <c r="K111" s="10">
        <f t="shared" si="13"/>
        <v>13744.93878215565</v>
      </c>
      <c r="L111" s="10">
        <f t="shared" si="13"/>
        <v>13364.042819928363</v>
      </c>
      <c r="M111" s="10">
        <f t="shared" si="14"/>
        <v>12999.488928687724</v>
      </c>
      <c r="N111" s="10">
        <f t="shared" si="14"/>
        <v>12652.534190817323</v>
      </c>
      <c r="O111" s="10">
        <f t="shared" si="14"/>
        <v>12321.921523933574</v>
      </c>
      <c r="P111" s="10">
        <f t="shared" si="14"/>
        <v>12008.90801042006</v>
      </c>
      <c r="Q111" s="10">
        <f t="shared" si="14"/>
        <v>11712.236567893195</v>
      </c>
      <c r="R111" s="10">
        <f t="shared" si="14"/>
        <v>11434.421361120156</v>
      </c>
      <c r="S111" s="10">
        <f t="shared" si="14"/>
        <v>11171.691142950178</v>
      </c>
      <c r="T111" s="10">
        <f t="shared" si="14"/>
        <v>10927.817160534029</v>
      </c>
      <c r="U111" s="10">
        <f t="shared" si="14"/>
        <v>10699.028166720938</v>
      </c>
      <c r="V111" s="10">
        <f t="shared" si="14"/>
        <v>10489.095408661673</v>
      </c>
      <c r="W111" s="10">
        <f t="shared" si="14"/>
        <v>10295.504721589059</v>
      </c>
      <c r="X111" s="10">
        <f t="shared" si="14"/>
        <v>10119.513187886681</v>
      </c>
      <c r="Y111" s="10">
        <f t="shared" si="14"/>
        <v>9959.8637251709551</v>
      </c>
      <c r="Z111" s="10">
        <f t="shared" si="14"/>
        <v>9817.8134158254634</v>
      </c>
      <c r="AA111" s="10">
        <f t="shared" si="14"/>
        <v>9693.3622598502134</v>
      </c>
      <c r="AB111" s="10" cm="1">
        <f t="array" ref="AB111">SUMPRODUCT(INDEX(C111:AA111,,_xlfn.SEQUENCE('TCO Inputs'!$AZ$13)))</f>
        <v>202841.5563334419</v>
      </c>
    </row>
    <row r="112" spans="2:28" x14ac:dyDescent="0.25">
      <c r="B112" t="s">
        <v>160</v>
      </c>
      <c r="C112" s="10">
        <f t="shared" si="13"/>
        <v>27141.304786714431</v>
      </c>
      <c r="D112" s="10">
        <f t="shared" si="13"/>
        <v>26334.041028980788</v>
      </c>
      <c r="E112" s="10">
        <f t="shared" si="13"/>
        <v>25552.249185932924</v>
      </c>
      <c r="F112" s="10">
        <f t="shared" si="13"/>
        <v>24797.888635623578</v>
      </c>
      <c r="G112" s="10">
        <f t="shared" si="13"/>
        <v>24069</v>
      </c>
      <c r="H112" s="10">
        <f t="shared" si="13"/>
        <v>23369.502035167698</v>
      </c>
      <c r="I112" s="10">
        <f t="shared" si="13"/>
        <v>22693.516606968416</v>
      </c>
      <c r="J112" s="10">
        <f t="shared" si="13"/>
        <v>22044.962471507657</v>
      </c>
      <c r="K112" s="10">
        <f t="shared" si="13"/>
        <v>21423.839628785412</v>
      </c>
      <c r="L112" s="10">
        <f t="shared" si="13"/>
        <v>20830.148078801696</v>
      </c>
      <c r="M112" s="10">
        <f t="shared" si="14"/>
        <v>20261.928443503744</v>
      </c>
      <c r="N112" s="10">
        <f t="shared" si="14"/>
        <v>19721.140100944318</v>
      </c>
      <c r="O112" s="10">
        <f t="shared" si="14"/>
        <v>19205.823673070663</v>
      </c>
      <c r="P112" s="10">
        <f t="shared" si="14"/>
        <v>18717.938537935526</v>
      </c>
      <c r="Q112" s="10">
        <f t="shared" si="14"/>
        <v>18255.525317486161</v>
      </c>
      <c r="R112" s="10">
        <f t="shared" si="14"/>
        <v>17822.502767828068</v>
      </c>
      <c r="S112" s="10">
        <f t="shared" si="14"/>
        <v>17412.992754802995</v>
      </c>
      <c r="T112" s="10">
        <f t="shared" si="14"/>
        <v>17032.873412569195</v>
      </c>
      <c r="U112" s="10">
        <f t="shared" si="14"/>
        <v>16676.266606968413</v>
      </c>
      <c r="V112" s="10">
        <f t="shared" si="14"/>
        <v>16349.050472158906</v>
      </c>
      <c r="W112" s="10">
        <f t="shared" si="14"/>
        <v>16047.306252035169</v>
      </c>
      <c r="X112" s="10">
        <f t="shared" si="14"/>
        <v>15772.993324649951</v>
      </c>
      <c r="Y112" s="10">
        <f t="shared" si="14"/>
        <v>15524.152311950507</v>
      </c>
      <c r="Z112" s="10">
        <f t="shared" si="14"/>
        <v>15302.74259198958</v>
      </c>
      <c r="AA112" s="10">
        <f t="shared" si="14"/>
        <v>15108.764164767179</v>
      </c>
      <c r="AB112" s="10" cm="1">
        <f t="array" ref="AB112">SUMPRODUCT(INDEX(C112:AA112,,_xlfn.SEQUENCE('TCO Inputs'!$AZ$13)))</f>
        <v>316163.28321393684</v>
      </c>
    </row>
    <row r="113" spans="2:28" x14ac:dyDescent="0.25">
      <c r="B113" t="s">
        <v>134</v>
      </c>
      <c r="C113" s="10">
        <f t="shared" si="13"/>
        <v>16080.867313904268</v>
      </c>
      <c r="D113" s="10">
        <f t="shared" si="13"/>
        <v>15602.57411917942</v>
      </c>
      <c r="E113" s="10">
        <f t="shared" si="13"/>
        <v>15139.372700016282</v>
      </c>
      <c r="F113" s="10">
        <f t="shared" si="13"/>
        <v>14692.423962227287</v>
      </c>
      <c r="G113" s="10">
        <f t="shared" si="13"/>
        <v>14260.566999999999</v>
      </c>
      <c r="H113" s="10">
        <f t="shared" si="13"/>
        <v>13846.123624959297</v>
      </c>
      <c r="I113" s="10">
        <f t="shared" si="13"/>
        <v>13445.611119667861</v>
      </c>
      <c r="J113" s="10">
        <f t="shared" si="13"/>
        <v>13061.35129575057</v>
      </c>
      <c r="K113" s="10">
        <f t="shared" si="13"/>
        <v>12693.344153207425</v>
      </c>
      <c r="L113" s="10">
        <f t="shared" si="13"/>
        <v>12341.589692038426</v>
      </c>
      <c r="M113" s="10">
        <f t="shared" si="14"/>
        <v>12004.927006431129</v>
      </c>
      <c r="N113" s="10">
        <f t="shared" si="14"/>
        <v>11684.517002197981</v>
      </c>
      <c r="O113" s="10">
        <f t="shared" si="14"/>
        <v>11379.198773526539</v>
      </c>
      <c r="P113" s="10">
        <f t="shared" si="14"/>
        <v>11090.133226229242</v>
      </c>
      <c r="Q113" s="10">
        <f t="shared" si="14"/>
        <v>10816.159454493651</v>
      </c>
      <c r="R113" s="10">
        <f t="shared" si="14"/>
        <v>10559.599269944643</v>
      </c>
      <c r="S113" s="10">
        <f t="shared" si="14"/>
        <v>10316.969955144903</v>
      </c>
      <c r="T113" s="10">
        <f t="shared" si="14"/>
        <v>10091.754227531748</v>
      </c>
      <c r="U113" s="10">
        <f t="shared" si="14"/>
        <v>9880.4693696678605</v>
      </c>
      <c r="V113" s="10">
        <f t="shared" si="14"/>
        <v>9686.5980989905565</v>
      </c>
      <c r="W113" s="10">
        <f t="shared" si="14"/>
        <v>9507.8186038749591</v>
      </c>
      <c r="X113" s="10">
        <f t="shared" si="14"/>
        <v>9345.2917901335059</v>
      </c>
      <c r="Y113" s="10">
        <f t="shared" si="14"/>
        <v>9197.856751953761</v>
      </c>
      <c r="Z113" s="10">
        <f t="shared" si="14"/>
        <v>9066.6743951481585</v>
      </c>
      <c r="AA113" s="10">
        <f t="shared" si="14"/>
        <v>8951.7447197167057</v>
      </c>
      <c r="AB113" s="10" cm="1">
        <f t="array" ref="AB113">SUMPRODUCT(INDEX(C113:AA113,,_xlfn.SEQUENCE('TCO Inputs'!$AZ$13)))</f>
        <v>187322.60098933568</v>
      </c>
    </row>
    <row r="117" spans="2:28" x14ac:dyDescent="0.25">
      <c r="C117" s="20">
        <v>13852</v>
      </c>
      <c r="D117" s="20">
        <v>13440</v>
      </c>
      <c r="E117" s="20">
        <v>13041</v>
      </c>
      <c r="F117" s="20">
        <v>12656</v>
      </c>
      <c r="G117" s="20">
        <v>12284</v>
      </c>
      <c r="H117" s="20">
        <v>11927</v>
      </c>
      <c r="I117" s="20">
        <v>11582</v>
      </c>
      <c r="J117" s="20">
        <v>11251</v>
      </c>
      <c r="K117" s="20">
        <v>10934</v>
      </c>
      <c r="L117" s="20">
        <v>10631</v>
      </c>
      <c r="M117" s="20">
        <v>10341</v>
      </c>
      <c r="N117" s="20">
        <v>10065</v>
      </c>
      <c r="O117" s="20">
        <v>9802</v>
      </c>
      <c r="P117" s="20">
        <v>9553</v>
      </c>
      <c r="Q117" s="20">
        <v>9317</v>
      </c>
      <c r="R117" s="20">
        <v>9096</v>
      </c>
      <c r="S117" s="20">
        <v>8887</v>
      </c>
      <c r="T117" s="20">
        <v>8693</v>
      </c>
      <c r="U117" s="20">
        <v>8511</v>
      </c>
      <c r="V117" s="20">
        <v>8344</v>
      </c>
      <c r="W117" s="20">
        <v>8190</v>
      </c>
      <c r="X117" s="20">
        <v>8050</v>
      </c>
      <c r="Y117" s="20">
        <v>7923</v>
      </c>
      <c r="Z117" s="20">
        <v>7810</v>
      </c>
      <c r="AA117" s="20">
        <v>7711</v>
      </c>
    </row>
    <row r="118" spans="2:28" x14ac:dyDescent="0.25">
      <c r="B118" t="s">
        <v>451</v>
      </c>
      <c r="C118" s="54">
        <f>C117/$C$117</f>
        <v>1</v>
      </c>
      <c r="D118" s="54">
        <f>D117/$C$117</f>
        <v>0.97025700259890268</v>
      </c>
      <c r="E118" s="54">
        <f t="shared" ref="E118:AA118" si="15">E117/$C$117</f>
        <v>0.94145249783424778</v>
      </c>
      <c r="F118" s="54">
        <f t="shared" si="15"/>
        <v>0.9136586774473</v>
      </c>
      <c r="G118" s="54">
        <f t="shared" si="15"/>
        <v>0.88680334969679464</v>
      </c>
      <c r="H118" s="54">
        <f t="shared" si="15"/>
        <v>0.86103089806526134</v>
      </c>
      <c r="I118" s="54">
        <f t="shared" si="15"/>
        <v>0.83612474732890563</v>
      </c>
      <c r="J118" s="54">
        <f t="shared" si="15"/>
        <v>0.81222928097025704</v>
      </c>
      <c r="K118" s="54">
        <f t="shared" si="15"/>
        <v>0.78934449898931558</v>
      </c>
      <c r="L118" s="54">
        <f t="shared" si="15"/>
        <v>0.76747040138608147</v>
      </c>
      <c r="M118" s="54">
        <f t="shared" si="15"/>
        <v>0.74653479641928966</v>
      </c>
      <c r="N118" s="54">
        <f t="shared" si="15"/>
        <v>0.72660987583020498</v>
      </c>
      <c r="O118" s="54">
        <f t="shared" si="15"/>
        <v>0.70762344787756282</v>
      </c>
      <c r="P118" s="54">
        <f t="shared" si="15"/>
        <v>0.68964770430262778</v>
      </c>
      <c r="Q118" s="54">
        <f t="shared" si="15"/>
        <v>0.67261045336413516</v>
      </c>
      <c r="R118" s="54">
        <f t="shared" si="15"/>
        <v>0.6566560785446145</v>
      </c>
      <c r="S118" s="54">
        <f t="shared" si="15"/>
        <v>0.64156800462027141</v>
      </c>
      <c r="T118" s="54">
        <f t="shared" si="15"/>
        <v>0.6275628068149004</v>
      </c>
      <c r="U118" s="54">
        <f t="shared" si="15"/>
        <v>0.61442390990470686</v>
      </c>
      <c r="V118" s="54">
        <f t="shared" si="15"/>
        <v>0.60236788911348538</v>
      </c>
      <c r="W118" s="54">
        <f t="shared" si="15"/>
        <v>0.59125036095870631</v>
      </c>
      <c r="X118" s="54">
        <f t="shared" si="15"/>
        <v>0.58114351718163437</v>
      </c>
      <c r="Y118" s="54">
        <f t="shared" si="15"/>
        <v>0.57197516604100496</v>
      </c>
      <c r="Z118" s="54">
        <f t="shared" si="15"/>
        <v>0.56381749927808256</v>
      </c>
      <c r="AA118" s="54">
        <f t="shared" si="15"/>
        <v>0.55667051689286751</v>
      </c>
    </row>
    <row r="119" spans="2:28" x14ac:dyDescent="0.25">
      <c r="C119" s="22">
        <f t="shared" ref="C119:AA119" si="16">C118/$G$118</f>
        <v>1.127645718007164</v>
      </c>
      <c r="D119" s="22">
        <f t="shared" si="16"/>
        <v>1.0941061543471182</v>
      </c>
      <c r="E119" s="22">
        <f t="shared" si="16"/>
        <v>1.0616248778899382</v>
      </c>
      <c r="F119" s="22">
        <f t="shared" si="16"/>
        <v>1.0302832953435364</v>
      </c>
      <c r="G119" s="22">
        <f t="shared" si="16"/>
        <v>1</v>
      </c>
      <c r="H119" s="22">
        <f t="shared" si="16"/>
        <v>0.97093780527515472</v>
      </c>
      <c r="I119" s="22">
        <f t="shared" si="16"/>
        <v>0.94285249104526225</v>
      </c>
      <c r="J119" s="22">
        <f t="shared" si="16"/>
        <v>0.91590687072614796</v>
      </c>
      <c r="K119" s="22">
        <f t="shared" si="16"/>
        <v>0.89010094431781184</v>
      </c>
      <c r="L119" s="22">
        <f t="shared" si="16"/>
        <v>0.86543471182025411</v>
      </c>
      <c r="M119" s="22">
        <f t="shared" si="16"/>
        <v>0.84182676652556176</v>
      </c>
      <c r="N119" s="22">
        <f t="shared" si="16"/>
        <v>0.8193585151416477</v>
      </c>
      <c r="O119" s="22">
        <f t="shared" si="16"/>
        <v>0.79794855096059925</v>
      </c>
      <c r="P119" s="22">
        <f t="shared" si="16"/>
        <v>0.77767828069032896</v>
      </c>
      <c r="Q119" s="22">
        <f t="shared" si="16"/>
        <v>0.75846629762292417</v>
      </c>
      <c r="R119" s="22">
        <f t="shared" si="16"/>
        <v>0.74047541517421034</v>
      </c>
      <c r="S119" s="22">
        <f t="shared" si="16"/>
        <v>0.72346141322044932</v>
      </c>
      <c r="T119" s="22">
        <f t="shared" si="16"/>
        <v>0.70766851188537938</v>
      </c>
      <c r="U119" s="22">
        <f t="shared" si="16"/>
        <v>0.69285249104526214</v>
      </c>
      <c r="V119" s="22">
        <f t="shared" si="16"/>
        <v>0.67925757082383587</v>
      </c>
      <c r="W119" s="22">
        <f t="shared" si="16"/>
        <v>0.66672093780527519</v>
      </c>
      <c r="X119" s="22">
        <f t="shared" si="16"/>
        <v>0.65532399869749269</v>
      </c>
      <c r="Y119" s="22">
        <f t="shared" si="16"/>
        <v>0.6449853467925758</v>
      </c>
      <c r="Z119" s="22">
        <f t="shared" si="16"/>
        <v>0.63578638879843696</v>
      </c>
      <c r="AA119" s="22">
        <f t="shared" si="16"/>
        <v>0.62772712471507663</v>
      </c>
    </row>
  </sheetData>
  <mergeCells count="3">
    <mergeCell ref="C61:AA61"/>
    <mergeCell ref="AB61:AB62"/>
    <mergeCell ref="B61:B62"/>
  </mergeCells>
  <pageMargins left="0.7" right="0.7" top="0.75" bottom="0.75" header="0.3" footer="0.3"/>
  <pageSetup orientation="portrait" r:id="rId1"/>
  <headerFooter>
    <oddFooter>&amp;C_x000D_&amp;1#&amp;"Calibri"&amp;14&amp;K008000 Classification: General Use</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8"/>
  </sheetPr>
  <dimension ref="B2:I50"/>
  <sheetViews>
    <sheetView workbookViewId="0">
      <selection activeCell="B2" sqref="B2"/>
    </sheetView>
  </sheetViews>
  <sheetFormatPr defaultRowHeight="15" x14ac:dyDescent="0.25"/>
  <cols>
    <col min="7" max="7" width="13.28515625" bestFit="1" customWidth="1"/>
  </cols>
  <sheetData>
    <row r="2" spans="2:9" x14ac:dyDescent="0.25">
      <c r="B2">
        <v>1.60934</v>
      </c>
      <c r="D2" t="s">
        <v>187</v>
      </c>
      <c r="E2">
        <v>155.40122075369388</v>
      </c>
      <c r="G2" t="s">
        <v>134</v>
      </c>
      <c r="H2">
        <f>VLOOKUP(G2,$D$2:$E$50,2, FALSE)</f>
        <v>152.39339089070495</v>
      </c>
      <c r="I2">
        <f t="shared" ref="I2:I33" si="0">H2*m2k</f>
        <v>245.2527796960471</v>
      </c>
    </row>
    <row r="3" spans="2:9" x14ac:dyDescent="0.25">
      <c r="D3" t="s">
        <v>188</v>
      </c>
      <c r="E3">
        <v>165.27065196466407</v>
      </c>
      <c r="G3" t="s">
        <v>149</v>
      </c>
      <c r="H3">
        <f t="shared" ref="H3:H50" si="1">VLOOKUP(G3,$D$2:$E$50,2, FALSE)</f>
        <v>130.69688938181156</v>
      </c>
      <c r="I3">
        <f t="shared" si="0"/>
        <v>210.33573195772462</v>
      </c>
    </row>
    <row r="4" spans="2:9" x14ac:dyDescent="0.25">
      <c r="D4" t="s">
        <v>189</v>
      </c>
      <c r="E4">
        <v>141.21653998414735</v>
      </c>
      <c r="G4" t="s">
        <v>157</v>
      </c>
      <c r="H4">
        <f t="shared" si="1"/>
        <v>226.70757516044398</v>
      </c>
      <c r="I4">
        <f t="shared" si="0"/>
        <v>364.8495690087089</v>
      </c>
    </row>
    <row r="5" spans="2:9" x14ac:dyDescent="0.25">
      <c r="D5" t="s">
        <v>149</v>
      </c>
      <c r="E5">
        <v>130.69688938181156</v>
      </c>
      <c r="G5" t="s">
        <v>158</v>
      </c>
      <c r="H5">
        <f t="shared" si="1"/>
        <v>190.53525195396205</v>
      </c>
      <c r="I5">
        <f t="shared" si="0"/>
        <v>306.63600237958929</v>
      </c>
    </row>
    <row r="6" spans="2:9" x14ac:dyDescent="0.25">
      <c r="D6" t="s">
        <v>190</v>
      </c>
      <c r="E6">
        <v>172.57114817691365</v>
      </c>
      <c r="G6" t="s">
        <v>160</v>
      </c>
      <c r="H6">
        <f t="shared" si="1"/>
        <v>204.97729429584217</v>
      </c>
      <c r="I6">
        <f t="shared" si="0"/>
        <v>329.87815880207063</v>
      </c>
    </row>
    <row r="7" spans="2:9" x14ac:dyDescent="0.25">
      <c r="D7" t="s">
        <v>191</v>
      </c>
      <c r="E7">
        <v>133.12270881382784</v>
      </c>
      <c r="G7" t="s">
        <v>159</v>
      </c>
      <c r="H7">
        <f t="shared" si="1"/>
        <v>201.71652877790666</v>
      </c>
      <c r="I7">
        <f t="shared" si="0"/>
        <v>324.63047842343633</v>
      </c>
    </row>
    <row r="8" spans="2:9" x14ac:dyDescent="0.25">
      <c r="D8" t="s">
        <v>192</v>
      </c>
      <c r="E8">
        <v>169.72631876292982</v>
      </c>
      <c r="G8" t="s">
        <v>187</v>
      </c>
      <c r="H8">
        <f t="shared" si="1"/>
        <v>155.40122075369388</v>
      </c>
      <c r="I8">
        <f t="shared" si="0"/>
        <v>250.09340060774971</v>
      </c>
    </row>
    <row r="9" spans="2:9" x14ac:dyDescent="0.25">
      <c r="D9" t="s">
        <v>193</v>
      </c>
      <c r="E9">
        <v>161.95669710644827</v>
      </c>
      <c r="G9" t="s">
        <v>188</v>
      </c>
      <c r="H9">
        <f t="shared" si="1"/>
        <v>165.27065196466407</v>
      </c>
      <c r="I9">
        <f t="shared" si="0"/>
        <v>265.97667103281248</v>
      </c>
    </row>
    <row r="10" spans="2:9" x14ac:dyDescent="0.25">
      <c r="D10" t="s">
        <v>194</v>
      </c>
      <c r="E10">
        <v>148.80143331572066</v>
      </c>
      <c r="G10" t="s">
        <v>189</v>
      </c>
      <c r="H10">
        <f t="shared" si="1"/>
        <v>141.21653998414735</v>
      </c>
      <c r="I10">
        <f t="shared" si="0"/>
        <v>227.26542645808769</v>
      </c>
    </row>
    <row r="11" spans="2:9" x14ac:dyDescent="0.25">
      <c r="D11" t="s">
        <v>195</v>
      </c>
      <c r="E11">
        <v>160.60698977144474</v>
      </c>
      <c r="G11" t="s">
        <v>190</v>
      </c>
      <c r="H11">
        <f t="shared" si="1"/>
        <v>172.57114817691365</v>
      </c>
      <c r="I11">
        <f t="shared" si="0"/>
        <v>277.72565160703419</v>
      </c>
    </row>
    <row r="12" spans="2:9" x14ac:dyDescent="0.25">
      <c r="D12" t="s">
        <v>196</v>
      </c>
      <c r="E12">
        <v>106.8389939014817</v>
      </c>
      <c r="G12" t="s">
        <v>191</v>
      </c>
      <c r="H12">
        <f t="shared" si="1"/>
        <v>133.12270881382784</v>
      </c>
      <c r="I12">
        <f t="shared" si="0"/>
        <v>214.2397002024457</v>
      </c>
    </row>
    <row r="13" spans="2:9" x14ac:dyDescent="0.25">
      <c r="D13" t="s">
        <v>197</v>
      </c>
      <c r="E13">
        <v>134.06422507191496</v>
      </c>
      <c r="G13" t="s">
        <v>192</v>
      </c>
      <c r="H13">
        <f t="shared" si="1"/>
        <v>169.72631876292982</v>
      </c>
      <c r="I13">
        <f t="shared" si="0"/>
        <v>273.14735383793345</v>
      </c>
    </row>
    <row r="14" spans="2:9" x14ac:dyDescent="0.25">
      <c r="D14" t="s">
        <v>198</v>
      </c>
      <c r="E14">
        <v>213.16930275676833</v>
      </c>
      <c r="G14" t="s">
        <v>193</v>
      </c>
      <c r="H14">
        <f t="shared" si="1"/>
        <v>161.95669710644827</v>
      </c>
      <c r="I14">
        <f t="shared" si="0"/>
        <v>260.64339092129148</v>
      </c>
    </row>
    <row r="15" spans="2:9" x14ac:dyDescent="0.25">
      <c r="D15" t="s">
        <v>199</v>
      </c>
      <c r="E15">
        <v>143.5893169807253</v>
      </c>
      <c r="G15" t="s">
        <v>194</v>
      </c>
      <c r="H15">
        <f t="shared" si="1"/>
        <v>148.80143331572066</v>
      </c>
      <c r="I15">
        <f t="shared" si="0"/>
        <v>239.47209869232188</v>
      </c>
    </row>
    <row r="16" spans="2:9" x14ac:dyDescent="0.25">
      <c r="D16" t="s">
        <v>157</v>
      </c>
      <c r="E16">
        <v>226.70757516044398</v>
      </c>
      <c r="G16" t="s">
        <v>195</v>
      </c>
      <c r="H16">
        <f t="shared" si="1"/>
        <v>160.60698977144474</v>
      </c>
      <c r="I16">
        <f t="shared" si="0"/>
        <v>258.47125291877688</v>
      </c>
    </row>
    <row r="17" spans="4:9" x14ac:dyDescent="0.25">
      <c r="D17" t="s">
        <v>200</v>
      </c>
      <c r="E17">
        <v>172.31901456478059</v>
      </c>
      <c r="G17" t="s">
        <v>196</v>
      </c>
      <c r="H17">
        <f t="shared" si="1"/>
        <v>106.8389939014817</v>
      </c>
      <c r="I17">
        <f t="shared" si="0"/>
        <v>171.94026644541057</v>
      </c>
    </row>
    <row r="18" spans="4:9" x14ac:dyDescent="0.25">
      <c r="D18" t="s">
        <v>201</v>
      </c>
      <c r="E18">
        <v>137.85146694214322</v>
      </c>
      <c r="G18" t="s">
        <v>197</v>
      </c>
      <c r="H18">
        <f t="shared" si="1"/>
        <v>134.06422507191496</v>
      </c>
      <c r="I18">
        <f t="shared" si="0"/>
        <v>215.75491997723563</v>
      </c>
    </row>
    <row r="19" spans="4:9" x14ac:dyDescent="0.25">
      <c r="D19" t="s">
        <v>202</v>
      </c>
      <c r="E19">
        <v>124.41158831798793</v>
      </c>
      <c r="G19" t="s">
        <v>198</v>
      </c>
      <c r="H19">
        <f t="shared" si="1"/>
        <v>213.16930275676833</v>
      </c>
      <c r="I19">
        <f t="shared" si="0"/>
        <v>343.06188569857756</v>
      </c>
    </row>
    <row r="20" spans="4:9" x14ac:dyDescent="0.25">
      <c r="D20" t="s">
        <v>203</v>
      </c>
      <c r="E20">
        <v>110.81134462184977</v>
      </c>
      <c r="G20" t="s">
        <v>199</v>
      </c>
      <c r="H20">
        <f t="shared" si="1"/>
        <v>143.5893169807253</v>
      </c>
      <c r="I20">
        <f t="shared" si="0"/>
        <v>231.08403138976044</v>
      </c>
    </row>
    <row r="21" spans="4:9" x14ac:dyDescent="0.25">
      <c r="D21" t="s">
        <v>204</v>
      </c>
      <c r="E21">
        <v>171.1747481176217</v>
      </c>
      <c r="G21" t="s">
        <v>200</v>
      </c>
      <c r="H21">
        <f t="shared" si="1"/>
        <v>172.31901456478059</v>
      </c>
      <c r="I21">
        <f t="shared" si="0"/>
        <v>277.31988289968399</v>
      </c>
    </row>
    <row r="22" spans="4:9" x14ac:dyDescent="0.25">
      <c r="D22" t="s">
        <v>205</v>
      </c>
      <c r="E22">
        <v>144.01212530998734</v>
      </c>
      <c r="G22" t="s">
        <v>201</v>
      </c>
      <c r="H22">
        <f t="shared" si="1"/>
        <v>137.85146694214322</v>
      </c>
      <c r="I22">
        <f t="shared" si="0"/>
        <v>221.84987980866876</v>
      </c>
    </row>
    <row r="23" spans="4:9" x14ac:dyDescent="0.25">
      <c r="D23" t="s">
        <v>206</v>
      </c>
      <c r="E23">
        <v>208.8182943199381</v>
      </c>
      <c r="G23" t="s">
        <v>202</v>
      </c>
      <c r="H23">
        <f t="shared" si="1"/>
        <v>124.41158831798793</v>
      </c>
      <c r="I23">
        <f t="shared" si="0"/>
        <v>200.22054554367071</v>
      </c>
    </row>
    <row r="24" spans="4:9" x14ac:dyDescent="0.25">
      <c r="D24" t="s">
        <v>207</v>
      </c>
      <c r="E24">
        <v>162.81675934806512</v>
      </c>
      <c r="G24" t="s">
        <v>203</v>
      </c>
      <c r="H24">
        <f t="shared" si="1"/>
        <v>110.81134462184977</v>
      </c>
      <c r="I24">
        <f t="shared" si="0"/>
        <v>178.33312935372771</v>
      </c>
    </row>
    <row r="25" spans="4:9" x14ac:dyDescent="0.25">
      <c r="D25" t="s">
        <v>208</v>
      </c>
      <c r="E25">
        <v>99.082206429275487</v>
      </c>
      <c r="G25" t="s">
        <v>204</v>
      </c>
      <c r="H25">
        <f t="shared" si="1"/>
        <v>171.1747481176217</v>
      </c>
      <c r="I25">
        <f t="shared" si="0"/>
        <v>275.47836913561332</v>
      </c>
    </row>
    <row r="26" spans="4:9" x14ac:dyDescent="0.25">
      <c r="D26" t="s">
        <v>209</v>
      </c>
      <c r="E26">
        <v>154.33360349043144</v>
      </c>
      <c r="G26" t="s">
        <v>205</v>
      </c>
      <c r="H26">
        <f t="shared" si="1"/>
        <v>144.01212530998734</v>
      </c>
      <c r="I26">
        <f t="shared" si="0"/>
        <v>231.76447374637502</v>
      </c>
    </row>
    <row r="27" spans="4:9" x14ac:dyDescent="0.25">
      <c r="D27" t="s">
        <v>210</v>
      </c>
      <c r="E27">
        <v>150.30518063286613</v>
      </c>
      <c r="G27" t="s">
        <v>206</v>
      </c>
      <c r="H27">
        <f t="shared" si="1"/>
        <v>208.8182943199381</v>
      </c>
      <c r="I27">
        <f t="shared" si="0"/>
        <v>336.0596337808492</v>
      </c>
    </row>
    <row r="28" spans="4:9" x14ac:dyDescent="0.25">
      <c r="D28" t="s">
        <v>211</v>
      </c>
      <c r="E28">
        <v>144.4559299028073</v>
      </c>
      <c r="G28" t="s">
        <v>207</v>
      </c>
      <c r="H28">
        <f t="shared" si="1"/>
        <v>162.81675934806512</v>
      </c>
      <c r="I28">
        <f t="shared" si="0"/>
        <v>262.02752348921513</v>
      </c>
    </row>
    <row r="29" spans="4:9" x14ac:dyDescent="0.25">
      <c r="D29" t="s">
        <v>212</v>
      </c>
      <c r="E29">
        <v>95.762536377227207</v>
      </c>
      <c r="G29" t="s">
        <v>208</v>
      </c>
      <c r="H29">
        <f t="shared" si="1"/>
        <v>99.082206429275487</v>
      </c>
      <c r="I29">
        <f t="shared" si="0"/>
        <v>159.45695809489021</v>
      </c>
    </row>
    <row r="30" spans="4:9" x14ac:dyDescent="0.25">
      <c r="D30" t="s">
        <v>213</v>
      </c>
      <c r="E30">
        <v>141.07856973222047</v>
      </c>
      <c r="G30" t="s">
        <v>209</v>
      </c>
      <c r="H30">
        <f t="shared" si="1"/>
        <v>154.33360349043144</v>
      </c>
      <c r="I30">
        <f t="shared" si="0"/>
        <v>248.37524144129094</v>
      </c>
    </row>
    <row r="31" spans="4:9" x14ac:dyDescent="0.25">
      <c r="D31" t="s">
        <v>214</v>
      </c>
      <c r="E31">
        <v>173.41429633299015</v>
      </c>
      <c r="G31" t="s">
        <v>210</v>
      </c>
      <c r="H31">
        <f t="shared" si="1"/>
        <v>150.30518063286613</v>
      </c>
      <c r="I31">
        <f t="shared" si="0"/>
        <v>241.89213939969676</v>
      </c>
    </row>
    <row r="32" spans="4:9" x14ac:dyDescent="0.25">
      <c r="D32" t="s">
        <v>215</v>
      </c>
      <c r="E32">
        <v>144.21845500276228</v>
      </c>
      <c r="G32" t="s">
        <v>211</v>
      </c>
      <c r="H32">
        <f t="shared" si="1"/>
        <v>144.4559299028073</v>
      </c>
      <c r="I32">
        <f t="shared" si="0"/>
        <v>232.47870622978391</v>
      </c>
    </row>
    <row r="33" spans="4:9" x14ac:dyDescent="0.25">
      <c r="D33" t="s">
        <v>216</v>
      </c>
      <c r="E33">
        <v>127.66711409518575</v>
      </c>
      <c r="G33" t="s">
        <v>212</v>
      </c>
      <c r="H33">
        <f t="shared" si="1"/>
        <v>95.762536377227207</v>
      </c>
      <c r="I33">
        <f t="shared" si="0"/>
        <v>154.11448029332684</v>
      </c>
    </row>
    <row r="34" spans="4:9" x14ac:dyDescent="0.25">
      <c r="D34" t="s">
        <v>217</v>
      </c>
      <c r="E34">
        <v>190.34705641871744</v>
      </c>
      <c r="G34" t="s">
        <v>213</v>
      </c>
      <c r="H34">
        <f t="shared" si="1"/>
        <v>141.07856973222047</v>
      </c>
      <c r="I34">
        <f t="shared" ref="I34:I50" si="2">H34*m2k</f>
        <v>227.04338541285171</v>
      </c>
    </row>
    <row r="35" spans="4:9" x14ac:dyDescent="0.25">
      <c r="D35" t="s">
        <v>218</v>
      </c>
      <c r="E35">
        <v>147.06854471216892</v>
      </c>
      <c r="G35" t="s">
        <v>214</v>
      </c>
      <c r="H35">
        <f t="shared" si="1"/>
        <v>173.41429633299015</v>
      </c>
      <c r="I35">
        <f t="shared" si="2"/>
        <v>279.08256366053439</v>
      </c>
    </row>
    <row r="36" spans="4:9" x14ac:dyDescent="0.25">
      <c r="D36" t="s">
        <v>219</v>
      </c>
      <c r="E36">
        <v>116.37441680697449</v>
      </c>
      <c r="G36" t="s">
        <v>215</v>
      </c>
      <c r="H36">
        <f t="shared" si="1"/>
        <v>144.21845500276228</v>
      </c>
      <c r="I36">
        <f t="shared" si="2"/>
        <v>232.09652837414546</v>
      </c>
    </row>
    <row r="37" spans="4:9" x14ac:dyDescent="0.25">
      <c r="D37" t="s">
        <v>220</v>
      </c>
      <c r="E37">
        <v>153.64759457105276</v>
      </c>
      <c r="G37" t="s">
        <v>216</v>
      </c>
      <c r="H37">
        <f t="shared" si="1"/>
        <v>127.66711409518575</v>
      </c>
      <c r="I37">
        <f t="shared" si="2"/>
        <v>205.45979339794624</v>
      </c>
    </row>
    <row r="38" spans="4:9" x14ac:dyDescent="0.25">
      <c r="D38" t="s">
        <v>221</v>
      </c>
      <c r="E38">
        <v>148.20332053722029</v>
      </c>
      <c r="G38" t="s">
        <v>217</v>
      </c>
      <c r="H38">
        <f t="shared" si="1"/>
        <v>190.34705641871744</v>
      </c>
      <c r="I38">
        <f t="shared" si="2"/>
        <v>306.33313177689871</v>
      </c>
    </row>
    <row r="39" spans="4:9" x14ac:dyDescent="0.25">
      <c r="D39" t="s">
        <v>222</v>
      </c>
      <c r="E39">
        <v>130.69546819469608</v>
      </c>
      <c r="G39" t="s">
        <v>218</v>
      </c>
      <c r="H39">
        <f t="shared" si="1"/>
        <v>147.06854471216892</v>
      </c>
      <c r="I39">
        <f t="shared" si="2"/>
        <v>236.68329174708191</v>
      </c>
    </row>
    <row r="40" spans="4:9" x14ac:dyDescent="0.25">
      <c r="D40" t="s">
        <v>223</v>
      </c>
      <c r="E40">
        <v>114.29835266310778</v>
      </c>
      <c r="G40" t="s">
        <v>219</v>
      </c>
      <c r="H40">
        <f t="shared" si="1"/>
        <v>116.37441680697449</v>
      </c>
      <c r="I40">
        <f t="shared" si="2"/>
        <v>187.28600394413633</v>
      </c>
    </row>
    <row r="41" spans="4:9" x14ac:dyDescent="0.25">
      <c r="D41" t="s">
        <v>224</v>
      </c>
      <c r="E41">
        <v>149.68698080260714</v>
      </c>
      <c r="G41" t="s">
        <v>220</v>
      </c>
      <c r="H41">
        <f t="shared" si="1"/>
        <v>153.64759457105276</v>
      </c>
      <c r="I41">
        <f t="shared" si="2"/>
        <v>247.27121984697806</v>
      </c>
    </row>
    <row r="42" spans="4:9" x14ac:dyDescent="0.25">
      <c r="D42" t="s">
        <v>225</v>
      </c>
      <c r="E42">
        <v>151.94829941725388</v>
      </c>
      <c r="G42" t="s">
        <v>221</v>
      </c>
      <c r="H42">
        <f t="shared" si="1"/>
        <v>148.20332053722029</v>
      </c>
      <c r="I42">
        <f t="shared" si="2"/>
        <v>238.50953187337009</v>
      </c>
    </row>
    <row r="43" spans="4:9" x14ac:dyDescent="0.25">
      <c r="D43" t="s">
        <v>226</v>
      </c>
      <c r="E43">
        <v>203.1842872935853</v>
      </c>
      <c r="G43" t="s">
        <v>222</v>
      </c>
      <c r="H43">
        <f t="shared" si="1"/>
        <v>130.69546819469608</v>
      </c>
      <c r="I43">
        <f t="shared" si="2"/>
        <v>210.33344478445218</v>
      </c>
    </row>
    <row r="44" spans="4:9" x14ac:dyDescent="0.25">
      <c r="D44" t="s">
        <v>227</v>
      </c>
      <c r="E44">
        <v>146.95320455824407</v>
      </c>
      <c r="G44" t="s">
        <v>223</v>
      </c>
      <c r="H44">
        <f t="shared" si="1"/>
        <v>114.29835266310778</v>
      </c>
      <c r="I44">
        <f t="shared" si="2"/>
        <v>183.94491087484587</v>
      </c>
    </row>
    <row r="45" spans="4:9" x14ac:dyDescent="0.25">
      <c r="D45" t="s">
        <v>228</v>
      </c>
      <c r="E45">
        <v>94.134590982262949</v>
      </c>
      <c r="G45" t="s">
        <v>224</v>
      </c>
      <c r="H45">
        <f t="shared" si="1"/>
        <v>149.68698080260714</v>
      </c>
      <c r="I45">
        <f t="shared" si="2"/>
        <v>240.89724568486778</v>
      </c>
    </row>
    <row r="46" spans="4:9" x14ac:dyDescent="0.25">
      <c r="D46" t="s">
        <v>229</v>
      </c>
      <c r="E46">
        <v>101.28404222590839</v>
      </c>
      <c r="G46" t="s">
        <v>225</v>
      </c>
      <c r="H46">
        <f t="shared" si="1"/>
        <v>151.94829941725388</v>
      </c>
      <c r="I46">
        <f t="shared" si="2"/>
        <v>244.53647618416335</v>
      </c>
    </row>
    <row r="47" spans="4:9" x14ac:dyDescent="0.25">
      <c r="D47" t="s">
        <v>158</v>
      </c>
      <c r="E47">
        <v>190.53525195396205</v>
      </c>
      <c r="G47" t="s">
        <v>226</v>
      </c>
      <c r="H47">
        <f t="shared" si="1"/>
        <v>203.1842872935853</v>
      </c>
      <c r="I47">
        <f t="shared" si="2"/>
        <v>326.99260091305854</v>
      </c>
    </row>
    <row r="48" spans="4:9" x14ac:dyDescent="0.25">
      <c r="D48" t="s">
        <v>159</v>
      </c>
      <c r="E48">
        <v>201.71652877790666</v>
      </c>
      <c r="G48" t="s">
        <v>227</v>
      </c>
      <c r="H48">
        <f t="shared" si="1"/>
        <v>146.95320455824407</v>
      </c>
      <c r="I48">
        <f t="shared" si="2"/>
        <v>236.49767022376452</v>
      </c>
    </row>
    <row r="49" spans="4:9" x14ac:dyDescent="0.25">
      <c r="D49" t="s">
        <v>160</v>
      </c>
      <c r="E49">
        <v>204.97729429584217</v>
      </c>
      <c r="G49" t="s">
        <v>228</v>
      </c>
      <c r="H49">
        <f t="shared" si="1"/>
        <v>94.134590982262949</v>
      </c>
      <c r="I49">
        <f t="shared" si="2"/>
        <v>151.49456265139506</v>
      </c>
    </row>
    <row r="50" spans="4:9" x14ac:dyDescent="0.25">
      <c r="D50" t="s">
        <v>134</v>
      </c>
      <c r="E50">
        <v>152.39339089070495</v>
      </c>
      <c r="G50" t="s">
        <v>229</v>
      </c>
      <c r="H50">
        <f t="shared" si="1"/>
        <v>101.28404222590839</v>
      </c>
      <c r="I50">
        <f t="shared" si="2"/>
        <v>163.0004605158434</v>
      </c>
    </row>
  </sheetData>
  <pageMargins left="0.7" right="0.7" top="0.75" bottom="0.75" header="0.3" footer="0.3"/>
  <headerFooter>
    <oddFooter>&amp;C_x000D_&amp;1#&amp;"Calibri"&amp;14&amp;K008000 Classification: General Use</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1E5DB-02AD-4E9A-94FE-D215550812FA}">
  <sheetPr codeName="Sheet111">
    <tabColor theme="8"/>
  </sheetPr>
  <dimension ref="A1:R52"/>
  <sheetViews>
    <sheetView topLeftCell="A34" workbookViewId="0">
      <selection activeCell="E52" sqref="E52"/>
    </sheetView>
  </sheetViews>
  <sheetFormatPr defaultRowHeight="15" x14ac:dyDescent="0.25"/>
  <cols>
    <col min="1" max="1" width="15.28515625" customWidth="1"/>
    <col min="2" max="2" width="18" customWidth="1"/>
    <col min="3" max="3" width="21" customWidth="1"/>
    <col min="4" max="4" width="39.5703125" customWidth="1"/>
    <col min="5" max="5" width="40" customWidth="1"/>
    <col min="6" max="6" width="36.28515625" customWidth="1"/>
    <col min="7" max="7" width="39.5703125" customWidth="1"/>
    <col min="8" max="8" width="41.140625" customWidth="1"/>
    <col min="9" max="9" width="33.85546875" customWidth="1"/>
    <col min="10" max="10" width="37.28515625" customWidth="1"/>
    <col min="11" max="11" width="38.140625" customWidth="1"/>
    <col min="12" max="12" width="32" customWidth="1"/>
    <col min="17" max="17" width="13.42578125" customWidth="1"/>
    <col min="18" max="18" width="12.28515625" customWidth="1"/>
    <col min="29" max="29" width="13.42578125" customWidth="1"/>
    <col min="30" max="30" width="14" customWidth="1"/>
  </cols>
  <sheetData>
    <row r="1" spans="1:18" x14ac:dyDescent="0.25">
      <c r="A1" s="37" t="s">
        <v>3</v>
      </c>
      <c r="B1" s="52" t="s">
        <v>308</v>
      </c>
      <c r="C1" s="52" t="s">
        <v>255</v>
      </c>
      <c r="D1" s="52" t="s">
        <v>442</v>
      </c>
      <c r="E1" s="52" t="s">
        <v>443</v>
      </c>
      <c r="F1" s="52" t="s">
        <v>444</v>
      </c>
      <c r="G1" s="101" t="s">
        <v>447</v>
      </c>
      <c r="H1" s="52" t="s">
        <v>445</v>
      </c>
      <c r="I1" s="52" t="s">
        <v>446</v>
      </c>
      <c r="J1" s="185" t="s">
        <v>527</v>
      </c>
      <c r="K1" s="52" t="s">
        <v>528</v>
      </c>
      <c r="L1" s="52" t="s">
        <v>529</v>
      </c>
    </row>
    <row r="2" spans="1:18" x14ac:dyDescent="0.25">
      <c r="A2" s="35" t="s">
        <v>187</v>
      </c>
      <c r="B2" s="99">
        <v>1.018</v>
      </c>
      <c r="C2" s="99">
        <v>1.052</v>
      </c>
      <c r="D2" s="79">
        <f>('TCO Inputs'!$AZ$58)/B2</f>
        <v>31.43418467583497</v>
      </c>
      <c r="E2" s="79">
        <f>('TCO Inputs'!$BA$60)/C2</f>
        <v>3.356613374552921</v>
      </c>
      <c r="F2" s="79">
        <f>('TCO Inputs'!$BB$59)/B2</f>
        <v>51.080550098231825</v>
      </c>
      <c r="G2" s="95">
        <f>('TCO Inputs'!$BC$61)/B2</f>
        <v>51.080550098231825</v>
      </c>
      <c r="H2" s="10">
        <f>$R$4*$Q$4/$D2</f>
        <v>210.64193865000001</v>
      </c>
      <c r="I2" s="118">
        <f>$R$5*$Q$5/$F2</f>
        <v>129.93206351999999</v>
      </c>
      <c r="J2" s="99">
        <f>('TCO Inputs'!$BD$62)/B2</f>
        <v>51.080550098231825</v>
      </c>
      <c r="K2" s="99">
        <f>('TCO Inputs'!$BD$63)/C2</f>
        <v>3.356613374552921</v>
      </c>
      <c r="L2" s="165">
        <f>$R$4*$Q$4/J2</f>
        <v>129.62580840000001</v>
      </c>
      <c r="Q2" s="213" t="s">
        <v>508</v>
      </c>
      <c r="R2" s="213"/>
    </row>
    <row r="3" spans="1:18" x14ac:dyDescent="0.25">
      <c r="A3" s="35" t="s">
        <v>231</v>
      </c>
      <c r="B3" s="99">
        <v>1.2</v>
      </c>
      <c r="C3" s="99">
        <v>1.8</v>
      </c>
      <c r="D3" s="79">
        <f>('TCO Inputs'!$AZ$58)/B3</f>
        <v>26.666666666666668</v>
      </c>
      <c r="E3" s="79">
        <f>('TCO Inputs'!$BA$60)/C3</f>
        <v>1.961754038905374</v>
      </c>
      <c r="F3" s="79">
        <f>('TCO Inputs'!$BB$59)/B3</f>
        <v>43.333333333333336</v>
      </c>
      <c r="G3" s="95">
        <f>('TCO Inputs'!$BC$61)/B3</f>
        <v>43.333333333333336</v>
      </c>
      <c r="H3" s="10">
        <f t="shared" ref="H3:H52" si="0">$R$4*$Q$4/$D3</f>
        <v>248.30090999999999</v>
      </c>
      <c r="I3" s="118">
        <f t="shared" ref="I3:I52" si="1">$R$5*$Q$5/$F3</f>
        <v>153.16156799999999</v>
      </c>
      <c r="J3" s="99">
        <f>('TCO Inputs'!$BD$62)/B3</f>
        <v>43.333333333333336</v>
      </c>
      <c r="K3" s="99">
        <f>('TCO Inputs'!$BD$63)/C3</f>
        <v>1.961754038905374</v>
      </c>
      <c r="L3" s="96">
        <f t="shared" ref="L3:L52" si="2">$R$4*$Q$4/J3</f>
        <v>152.80055999999999</v>
      </c>
      <c r="Q3" s="35" t="s">
        <v>493</v>
      </c>
      <c r="R3" s="35" t="s">
        <v>509</v>
      </c>
    </row>
    <row r="4" spans="1:18" x14ac:dyDescent="0.25">
      <c r="A4" s="35" t="s">
        <v>189</v>
      </c>
      <c r="B4" s="99">
        <v>1.03</v>
      </c>
      <c r="C4" s="99">
        <v>1.0900000000000001</v>
      </c>
      <c r="D4" s="79">
        <f>('TCO Inputs'!$AZ$58)/B4</f>
        <v>31.067961165048544</v>
      </c>
      <c r="E4" s="79">
        <f>('TCO Inputs'!$BA$60)/C4</f>
        <v>3.2395938257152963</v>
      </c>
      <c r="F4" s="79">
        <f>('TCO Inputs'!$BB$59)/B4</f>
        <v>50.485436893203882</v>
      </c>
      <c r="G4" s="95">
        <f>('TCO Inputs'!$BC$61)/B4</f>
        <v>50.485436893203882</v>
      </c>
      <c r="H4" s="10">
        <f t="shared" si="0"/>
        <v>213.12494775000002</v>
      </c>
      <c r="I4" s="118">
        <f t="shared" si="1"/>
        <v>131.4636792</v>
      </c>
      <c r="J4" s="99">
        <f>('TCO Inputs'!$BD$62)/B4</f>
        <v>50.485436893203882</v>
      </c>
      <c r="K4" s="99">
        <f>('TCO Inputs'!$BD$63)/C4</f>
        <v>3.2395938257152963</v>
      </c>
      <c r="L4" s="96">
        <f t="shared" si="2"/>
        <v>131.15381400000001</v>
      </c>
      <c r="P4" s="51" t="s">
        <v>308</v>
      </c>
      <c r="Q4" s="35">
        <v>26.16</v>
      </c>
      <c r="R4" s="35">
        <v>253.11</v>
      </c>
    </row>
    <row r="5" spans="1:18" x14ac:dyDescent="0.25">
      <c r="A5" s="35" t="s">
        <v>188</v>
      </c>
      <c r="B5" s="99">
        <v>1.024</v>
      </c>
      <c r="C5" s="99">
        <v>1.077</v>
      </c>
      <c r="D5" s="79">
        <f>('TCO Inputs'!$AZ$58)/B5</f>
        <v>31.25</v>
      </c>
      <c r="E5" s="79">
        <f>('TCO Inputs'!$BA$60)/C5</f>
        <v>3.2786975580591209</v>
      </c>
      <c r="F5" s="79">
        <f>('TCO Inputs'!$BB$59)/B5</f>
        <v>50.78125</v>
      </c>
      <c r="G5" s="95">
        <f>('TCO Inputs'!$BC$61)/B5</f>
        <v>50.78125</v>
      </c>
      <c r="H5" s="10">
        <f t="shared" si="0"/>
        <v>211.88344320000002</v>
      </c>
      <c r="I5" s="118">
        <f t="shared" si="1"/>
        <v>130.69787135999999</v>
      </c>
      <c r="J5" s="99">
        <f>('TCO Inputs'!$BD$62)/B5</f>
        <v>50.78125</v>
      </c>
      <c r="K5" s="99">
        <f>('TCO Inputs'!$BD$63)/C5</f>
        <v>3.2786975580591209</v>
      </c>
      <c r="L5" s="96">
        <f t="shared" si="2"/>
        <v>130.3898112</v>
      </c>
      <c r="P5" s="51" t="s">
        <v>254</v>
      </c>
      <c r="Q5" s="35">
        <f>Q4*1.394</f>
        <v>36.467039999999997</v>
      </c>
      <c r="R5" s="35">
        <v>182</v>
      </c>
    </row>
    <row r="6" spans="1:18" x14ac:dyDescent="0.25">
      <c r="A6" s="35" t="s">
        <v>149</v>
      </c>
      <c r="B6" s="99">
        <v>1.022</v>
      </c>
      <c r="C6" s="99">
        <v>1.077</v>
      </c>
      <c r="D6" s="79">
        <f>('TCO Inputs'!$AZ$58)/B6</f>
        <v>31.31115459882583</v>
      </c>
      <c r="E6" s="79">
        <f>('TCO Inputs'!$BA$60)/C6</f>
        <v>3.2786975580591209</v>
      </c>
      <c r="F6" s="79">
        <f>('TCO Inputs'!$BB$59)/B6</f>
        <v>50.880626223091973</v>
      </c>
      <c r="G6" s="95">
        <f>('TCO Inputs'!$BC$61)/B6</f>
        <v>50.880626223091973</v>
      </c>
      <c r="H6" s="10">
        <f t="shared" si="0"/>
        <v>211.46960835000002</v>
      </c>
      <c r="I6" s="118">
        <f t="shared" si="1"/>
        <v>130.44260208</v>
      </c>
      <c r="J6" s="99">
        <f>('TCO Inputs'!$BD$62)/B6</f>
        <v>50.880626223091973</v>
      </c>
      <c r="K6" s="99">
        <f>('TCO Inputs'!$BD$63)/C6</f>
        <v>3.2786975580591209</v>
      </c>
      <c r="L6" s="96">
        <f t="shared" si="2"/>
        <v>130.13514360000002</v>
      </c>
    </row>
    <row r="7" spans="1:18" x14ac:dyDescent="0.25">
      <c r="A7" s="35" t="s">
        <v>190</v>
      </c>
      <c r="B7" s="99">
        <v>1.052</v>
      </c>
      <c r="C7" s="99">
        <v>1.198</v>
      </c>
      <c r="D7" s="79">
        <f>('TCO Inputs'!$AZ$58)/B7</f>
        <v>30.418250950570339</v>
      </c>
      <c r="E7" s="79">
        <f>('TCO Inputs'!$BA$60)/C7</f>
        <v>2.9475436310765222</v>
      </c>
      <c r="F7" s="79">
        <f>('TCO Inputs'!$BB$59)/B7</f>
        <v>49.429657794676807</v>
      </c>
      <c r="G7" s="95">
        <f>('TCO Inputs'!$BC$61)/B7</f>
        <v>49.429657794676807</v>
      </c>
      <c r="H7" s="10">
        <f t="shared" si="0"/>
        <v>217.67713110000003</v>
      </c>
      <c r="I7" s="118">
        <f t="shared" si="1"/>
        <v>134.27164127999998</v>
      </c>
      <c r="J7" s="99">
        <f>('TCO Inputs'!$BD$62)/B7</f>
        <v>49.429657794676807</v>
      </c>
      <c r="K7" s="99">
        <f>('TCO Inputs'!$BD$63)/C7</f>
        <v>2.9475436310765222</v>
      </c>
      <c r="L7" s="96">
        <f t="shared" si="2"/>
        <v>133.95515760000001</v>
      </c>
    </row>
    <row r="8" spans="1:18" x14ac:dyDescent="0.25">
      <c r="A8" s="35" t="s">
        <v>191</v>
      </c>
      <c r="B8" s="99">
        <v>1.0409999999999999</v>
      </c>
      <c r="C8" s="99">
        <v>1.1539999999999999</v>
      </c>
      <c r="D8" s="79">
        <f>('TCO Inputs'!$AZ$58)/B8</f>
        <v>30.739673390970225</v>
      </c>
      <c r="E8" s="79">
        <f>('TCO Inputs'!$BA$60)/C8</f>
        <v>3.0599283102510166</v>
      </c>
      <c r="F8" s="79">
        <f>('TCO Inputs'!$BB$59)/B8</f>
        <v>49.951969260326614</v>
      </c>
      <c r="G8" s="95">
        <f>('TCO Inputs'!$BC$61)/B8</f>
        <v>49.951969260326614</v>
      </c>
      <c r="H8" s="10">
        <f t="shared" si="0"/>
        <v>215.40103942499999</v>
      </c>
      <c r="I8" s="118">
        <f t="shared" si="1"/>
        <v>132.86766023999996</v>
      </c>
      <c r="J8" s="99">
        <f>('TCO Inputs'!$BD$62)/B8</f>
        <v>49.951969260326614</v>
      </c>
      <c r="K8" s="99">
        <f>('TCO Inputs'!$BD$63)/C8</f>
        <v>3.0599283102510166</v>
      </c>
      <c r="L8" s="96">
        <f t="shared" si="2"/>
        <v>132.55448579999998</v>
      </c>
    </row>
    <row r="9" spans="1:18" x14ac:dyDescent="0.25">
      <c r="A9" s="35" t="s">
        <v>192</v>
      </c>
      <c r="B9" s="99">
        <v>1.03</v>
      </c>
      <c r="C9" s="99">
        <v>1.101</v>
      </c>
      <c r="D9" s="79">
        <f>('TCO Inputs'!$AZ$58)/B9</f>
        <v>31.067961165048544</v>
      </c>
      <c r="E9" s="79">
        <f>('TCO Inputs'!$BA$60)/C9</f>
        <v>3.2072273115619194</v>
      </c>
      <c r="F9" s="79">
        <f>('TCO Inputs'!$BB$59)/B9</f>
        <v>50.485436893203882</v>
      </c>
      <c r="G9" s="95">
        <f>('TCO Inputs'!$BC$61)/B9</f>
        <v>50.485436893203882</v>
      </c>
      <c r="H9" s="10">
        <f t="shared" si="0"/>
        <v>213.12494775000002</v>
      </c>
      <c r="I9" s="118">
        <f t="shared" si="1"/>
        <v>131.4636792</v>
      </c>
      <c r="J9" s="99">
        <f>('TCO Inputs'!$BD$62)/B9</f>
        <v>50.485436893203882</v>
      </c>
      <c r="K9" s="99">
        <f>('TCO Inputs'!$BD$63)/C9</f>
        <v>3.2072273115619194</v>
      </c>
      <c r="L9" s="96">
        <f t="shared" si="2"/>
        <v>131.15381400000001</v>
      </c>
    </row>
    <row r="10" spans="1:18" x14ac:dyDescent="0.25">
      <c r="A10" s="35" t="s">
        <v>193</v>
      </c>
      <c r="B10" s="99">
        <v>1.0189999999999999</v>
      </c>
      <c r="C10" s="99">
        <v>1.032</v>
      </c>
      <c r="D10" s="79">
        <f>('TCO Inputs'!$AZ$58)/B10</f>
        <v>31.403336604514234</v>
      </c>
      <c r="E10" s="79">
        <f>('TCO Inputs'!$BA$60)/C10</f>
        <v>3.4216640213465825</v>
      </c>
      <c r="F10" s="79">
        <f>('TCO Inputs'!$BB$59)/B10</f>
        <v>51.030421982335625</v>
      </c>
      <c r="G10" s="95">
        <f>('TCO Inputs'!$BC$61)/B10</f>
        <v>51.030421982335625</v>
      </c>
      <c r="H10" s="10">
        <f t="shared" si="0"/>
        <v>210.84885607499999</v>
      </c>
      <c r="I10" s="118">
        <f t="shared" si="1"/>
        <v>130.05969815999998</v>
      </c>
      <c r="J10" s="99">
        <f>('TCO Inputs'!$BD$62)/B10</f>
        <v>51.030421982335625</v>
      </c>
      <c r="K10" s="99">
        <f>('TCO Inputs'!$BD$63)/C10</f>
        <v>3.4216640213465825</v>
      </c>
      <c r="L10" s="96">
        <f t="shared" si="2"/>
        <v>129.75314220000001</v>
      </c>
    </row>
    <row r="11" spans="1:18" x14ac:dyDescent="0.25">
      <c r="A11" s="35" t="s">
        <v>194</v>
      </c>
      <c r="B11" s="99">
        <v>1.0169999999999999</v>
      </c>
      <c r="C11" s="99">
        <v>1.0469999999999999</v>
      </c>
      <c r="D11" s="79">
        <f>('TCO Inputs'!$AZ$58)/B11</f>
        <v>31.465093411996069</v>
      </c>
      <c r="E11" s="79">
        <f>('TCO Inputs'!$BA$60)/C11</f>
        <v>3.3726430468287236</v>
      </c>
      <c r="F11" s="79">
        <f>('TCO Inputs'!$BB$59)/B11</f>
        <v>51.130776794493613</v>
      </c>
      <c r="G11" s="95">
        <f>('TCO Inputs'!$BC$61)/B11</f>
        <v>51.130776794493613</v>
      </c>
      <c r="H11" s="10">
        <f t="shared" si="0"/>
        <v>210.43502122499999</v>
      </c>
      <c r="I11" s="118">
        <f t="shared" si="1"/>
        <v>129.80442887999999</v>
      </c>
      <c r="J11" s="99">
        <f>('TCO Inputs'!$BD$62)/B11</f>
        <v>51.130776794493613</v>
      </c>
      <c r="K11" s="99">
        <f>('TCO Inputs'!$BD$63)/C11</f>
        <v>3.3726430468287236</v>
      </c>
      <c r="L11" s="96">
        <f t="shared" si="2"/>
        <v>129.49847459999998</v>
      </c>
    </row>
    <row r="12" spans="1:18" x14ac:dyDescent="0.25">
      <c r="A12" s="35" t="s">
        <v>233</v>
      </c>
      <c r="B12" s="99">
        <v>1.02</v>
      </c>
      <c r="C12" s="99">
        <v>1.03</v>
      </c>
      <c r="D12" s="79">
        <f>('TCO Inputs'!$AZ$58)/B12</f>
        <v>31.372549019607842</v>
      </c>
      <c r="E12" s="79">
        <f>('TCO Inputs'!$BA$60)/C12</f>
        <v>3.4283080291550223</v>
      </c>
      <c r="F12" s="79">
        <f>('TCO Inputs'!$BB$59)/B12</f>
        <v>50.980392156862742</v>
      </c>
      <c r="G12" s="95">
        <f>('TCO Inputs'!$BC$61)/B12</f>
        <v>50.980392156862742</v>
      </c>
      <c r="H12" s="10">
        <f t="shared" si="0"/>
        <v>211.05577350000002</v>
      </c>
      <c r="I12" s="118">
        <f t="shared" si="1"/>
        <v>130.18733280000001</v>
      </c>
      <c r="J12" s="99">
        <f>('TCO Inputs'!$BD$62)/B12</f>
        <v>50.980392156862742</v>
      </c>
      <c r="K12" s="99">
        <f>('TCO Inputs'!$BD$63)/C12</f>
        <v>3.4283080291550223</v>
      </c>
      <c r="L12" s="96">
        <f t="shared" si="2"/>
        <v>129.88047600000002</v>
      </c>
    </row>
    <row r="13" spans="1:18" x14ac:dyDescent="0.25">
      <c r="A13" s="35" t="s">
        <v>196</v>
      </c>
      <c r="B13" s="99">
        <v>1.0589999999999999</v>
      </c>
      <c r="C13" s="99">
        <v>1.222</v>
      </c>
      <c r="D13" s="79">
        <f>('TCO Inputs'!$AZ$58)/B13</f>
        <v>30.217186024551467</v>
      </c>
      <c r="E13" s="79">
        <f>('TCO Inputs'!$BA$60)/C13</f>
        <v>2.8896540671273923</v>
      </c>
      <c r="F13" s="79">
        <f>('TCO Inputs'!$BB$59)/B13</f>
        <v>49.10292728989613</v>
      </c>
      <c r="G13" s="95">
        <f>('TCO Inputs'!$BC$61)/B13</f>
        <v>49.10292728989613</v>
      </c>
      <c r="H13" s="10">
        <f t="shared" si="0"/>
        <v>219.125553075</v>
      </c>
      <c r="I13" s="118">
        <f t="shared" si="1"/>
        <v>135.16508375999999</v>
      </c>
      <c r="J13" s="99">
        <f>('TCO Inputs'!$BD$62)/B13</f>
        <v>49.10292728989613</v>
      </c>
      <c r="K13" s="99">
        <f>('TCO Inputs'!$BD$63)/C13</f>
        <v>2.8896540671273923</v>
      </c>
      <c r="L13" s="96">
        <f t="shared" si="2"/>
        <v>134.8464942</v>
      </c>
    </row>
    <row r="14" spans="1:18" x14ac:dyDescent="0.25">
      <c r="A14" s="35" t="s">
        <v>197</v>
      </c>
      <c r="B14" s="99">
        <v>1.04</v>
      </c>
      <c r="C14" s="99">
        <v>1.147</v>
      </c>
      <c r="D14" s="79">
        <f>('TCO Inputs'!$AZ$58)/B14</f>
        <v>30.769230769230766</v>
      </c>
      <c r="E14" s="79">
        <f>('TCO Inputs'!$BA$60)/C14</f>
        <v>3.0786026765733854</v>
      </c>
      <c r="F14" s="79">
        <f>('TCO Inputs'!$BB$59)/B14</f>
        <v>50</v>
      </c>
      <c r="G14" s="95">
        <f>('TCO Inputs'!$BC$61)/B14</f>
        <v>50</v>
      </c>
      <c r="H14" s="10">
        <f t="shared" si="0"/>
        <v>215.19412200000002</v>
      </c>
      <c r="I14" s="118">
        <f t="shared" si="1"/>
        <v>132.7400256</v>
      </c>
      <c r="J14" s="99">
        <f>('TCO Inputs'!$BD$62)/B14</f>
        <v>50</v>
      </c>
      <c r="K14" s="99">
        <f>('TCO Inputs'!$BD$63)/C14</f>
        <v>3.0786026765733854</v>
      </c>
      <c r="L14" s="96">
        <f t="shared" si="2"/>
        <v>132.42715200000001</v>
      </c>
    </row>
    <row r="15" spans="1:18" x14ac:dyDescent="0.25">
      <c r="A15" s="35" t="s">
        <v>198</v>
      </c>
      <c r="B15" s="99">
        <v>1.038</v>
      </c>
      <c r="C15" s="99">
        <v>1.1419999999999999</v>
      </c>
      <c r="D15" s="79">
        <f>('TCO Inputs'!$AZ$58)/B15</f>
        <v>30.828516377649326</v>
      </c>
      <c r="E15" s="79">
        <f>('TCO Inputs'!$BA$60)/C15</f>
        <v>3.0920816725303619</v>
      </c>
      <c r="F15" s="79">
        <f>('TCO Inputs'!$BB$59)/B15</f>
        <v>50.096339113680152</v>
      </c>
      <c r="G15" s="95">
        <f>('TCO Inputs'!$BC$61)/B15</f>
        <v>50.096339113680152</v>
      </c>
      <c r="H15" s="10">
        <f t="shared" si="0"/>
        <v>214.78028715000002</v>
      </c>
      <c r="I15" s="118">
        <f t="shared" si="1"/>
        <v>132.48475632</v>
      </c>
      <c r="J15" s="99">
        <f>('TCO Inputs'!$BD$62)/B15</f>
        <v>50.096339113680152</v>
      </c>
      <c r="K15" s="99">
        <f>('TCO Inputs'!$BD$63)/C15</f>
        <v>3.0920816725303619</v>
      </c>
      <c r="L15" s="96">
        <f t="shared" si="2"/>
        <v>132.1724844</v>
      </c>
    </row>
    <row r="16" spans="1:18" x14ac:dyDescent="0.25">
      <c r="A16" s="35" t="s">
        <v>195</v>
      </c>
      <c r="B16" s="99">
        <v>1.0509999999999999</v>
      </c>
      <c r="C16" s="99">
        <v>1.1919999999999999</v>
      </c>
      <c r="D16" s="79">
        <f>('TCO Inputs'!$AZ$58)/B16</f>
        <v>30.447193149381544</v>
      </c>
      <c r="E16" s="79">
        <f>('TCO Inputs'!$BA$60)/C16</f>
        <v>2.9623802600920079</v>
      </c>
      <c r="F16" s="79">
        <f>('TCO Inputs'!$BB$59)/B16</f>
        <v>49.476688867745011</v>
      </c>
      <c r="G16" s="95">
        <f>('TCO Inputs'!$BC$61)/B16</f>
        <v>49.476688867745011</v>
      </c>
      <c r="H16" s="10">
        <f t="shared" si="0"/>
        <v>217.470213675</v>
      </c>
      <c r="I16" s="118">
        <f t="shared" si="1"/>
        <v>134.14400663999999</v>
      </c>
      <c r="J16" s="99">
        <f>('TCO Inputs'!$BD$62)/B16</f>
        <v>49.476688867745011</v>
      </c>
      <c r="K16" s="99">
        <f>('TCO Inputs'!$BD$63)/C16</f>
        <v>2.9623802600920079</v>
      </c>
      <c r="L16" s="96">
        <f t="shared" si="2"/>
        <v>133.82782379999998</v>
      </c>
    </row>
    <row r="17" spans="1:12" x14ac:dyDescent="0.25">
      <c r="A17" s="35" t="s">
        <v>199</v>
      </c>
      <c r="B17" s="99">
        <v>1.0389999999999999</v>
      </c>
      <c r="C17" s="99">
        <v>1.135</v>
      </c>
      <c r="D17" s="79">
        <f>('TCO Inputs'!$AZ$58)/B17</f>
        <v>30.798845043310877</v>
      </c>
      <c r="E17" s="79">
        <f>('TCO Inputs'!$BA$60)/C17</f>
        <v>3.1111517797618267</v>
      </c>
      <c r="F17" s="79">
        <f>('TCO Inputs'!$BB$59)/B17</f>
        <v>50.048123195380178</v>
      </c>
      <c r="G17" s="95">
        <f>('TCO Inputs'!$BC$61)/B17</f>
        <v>50.048123195380178</v>
      </c>
      <c r="H17" s="10">
        <f t="shared" si="0"/>
        <v>214.98720457499999</v>
      </c>
      <c r="I17" s="118">
        <f t="shared" si="1"/>
        <v>132.61239095999997</v>
      </c>
      <c r="J17" s="99">
        <f>('TCO Inputs'!$BD$62)/B17</f>
        <v>50.048123195380178</v>
      </c>
      <c r="K17" s="99">
        <f>('TCO Inputs'!$BD$63)/C17</f>
        <v>3.1111517797618267</v>
      </c>
      <c r="L17" s="96">
        <f t="shared" si="2"/>
        <v>132.2998182</v>
      </c>
    </row>
    <row r="18" spans="1:12" x14ac:dyDescent="0.25">
      <c r="A18" s="35" t="s">
        <v>157</v>
      </c>
      <c r="B18" s="99">
        <v>1.0289999999999999</v>
      </c>
      <c r="C18" s="99">
        <v>1.105</v>
      </c>
      <c r="D18" s="79">
        <f>('TCO Inputs'!$AZ$58)/B18</f>
        <v>31.098153547133141</v>
      </c>
      <c r="E18" s="79">
        <f>('TCO Inputs'!$BA$60)/C18</f>
        <v>3.1956174389408809</v>
      </c>
      <c r="F18" s="79">
        <f>('TCO Inputs'!$BB$59)/B18</f>
        <v>50.534499514091358</v>
      </c>
      <c r="G18" s="95">
        <f>('TCO Inputs'!$BC$61)/B18</f>
        <v>50.534499514091358</v>
      </c>
      <c r="H18" s="10">
        <f t="shared" si="0"/>
        <v>212.91803032499999</v>
      </c>
      <c r="I18" s="118">
        <f t="shared" si="1"/>
        <v>131.33604455999998</v>
      </c>
      <c r="J18" s="99">
        <f>('TCO Inputs'!$BD$62)/B18</f>
        <v>50.534499514091358</v>
      </c>
      <c r="K18" s="99">
        <f>('TCO Inputs'!$BD$63)/C18</f>
        <v>3.1956174389408809</v>
      </c>
      <c r="L18" s="96">
        <f t="shared" si="2"/>
        <v>131.02648019999998</v>
      </c>
    </row>
    <row r="19" spans="1:12" x14ac:dyDescent="0.25">
      <c r="A19" s="35" t="s">
        <v>200</v>
      </c>
      <c r="B19" s="99">
        <v>1.0189999999999999</v>
      </c>
      <c r="C19" s="99">
        <v>1.0449999999999999</v>
      </c>
      <c r="D19" s="79">
        <f>('TCO Inputs'!$AZ$58)/B19</f>
        <v>31.403336604514234</v>
      </c>
      <c r="E19" s="79">
        <f>('TCO Inputs'!$BA$60)/C19</f>
        <v>3.3790978660571036</v>
      </c>
      <c r="F19" s="79">
        <f>('TCO Inputs'!$BB$59)/B19</f>
        <v>51.030421982335625</v>
      </c>
      <c r="G19" s="95">
        <f>('TCO Inputs'!$BC$61)/B19</f>
        <v>51.030421982335625</v>
      </c>
      <c r="H19" s="10">
        <f t="shared" si="0"/>
        <v>210.84885607499999</v>
      </c>
      <c r="I19" s="118">
        <f t="shared" si="1"/>
        <v>130.05969815999998</v>
      </c>
      <c r="J19" s="99">
        <f>('TCO Inputs'!$BD$62)/B19</f>
        <v>51.030421982335625</v>
      </c>
      <c r="K19" s="99">
        <f>('TCO Inputs'!$BD$63)/C19</f>
        <v>3.3790978660571036</v>
      </c>
      <c r="L19" s="96">
        <f t="shared" si="2"/>
        <v>129.75314220000001</v>
      </c>
    </row>
    <row r="20" spans="1:12" x14ac:dyDescent="0.25">
      <c r="A20" s="35" t="s">
        <v>203</v>
      </c>
      <c r="B20" s="99">
        <v>1.0629999999999999</v>
      </c>
      <c r="C20" s="99">
        <v>1.24</v>
      </c>
      <c r="D20" s="79">
        <f>('TCO Inputs'!$AZ$58)/B20</f>
        <v>30.103480714957669</v>
      </c>
      <c r="E20" s="79">
        <f>('TCO Inputs'!$BA$60)/C20</f>
        <v>2.8477074758303815</v>
      </c>
      <c r="F20" s="79">
        <f>('TCO Inputs'!$BB$59)/B20</f>
        <v>48.918156161806209</v>
      </c>
      <c r="G20" s="95">
        <f>('TCO Inputs'!$BC$61)/B20</f>
        <v>48.918156161806209</v>
      </c>
      <c r="H20" s="10">
        <f t="shared" si="0"/>
        <v>219.953222775</v>
      </c>
      <c r="I20" s="118">
        <f t="shared" si="1"/>
        <v>135.67562232</v>
      </c>
      <c r="J20" s="99">
        <f>('TCO Inputs'!$BD$62)/B20</f>
        <v>48.918156161806209</v>
      </c>
      <c r="K20" s="99">
        <f>('TCO Inputs'!$BD$63)/C20</f>
        <v>2.8477074758303815</v>
      </c>
      <c r="L20" s="96">
        <f t="shared" si="2"/>
        <v>135.3558294</v>
      </c>
    </row>
    <row r="21" spans="1:12" x14ac:dyDescent="0.25">
      <c r="A21" s="35" t="s">
        <v>202</v>
      </c>
      <c r="B21" s="99">
        <v>1.0309999999999999</v>
      </c>
      <c r="C21" s="99">
        <v>1.107</v>
      </c>
      <c r="D21" s="79">
        <f>('TCO Inputs'!$AZ$58)/B21</f>
        <v>31.037827352085358</v>
      </c>
      <c r="E21" s="79">
        <f>('TCO Inputs'!$BA$60)/C21</f>
        <v>3.189843965699795</v>
      </c>
      <c r="F21" s="79">
        <f>('TCO Inputs'!$BB$59)/B21</f>
        <v>50.436469447138705</v>
      </c>
      <c r="G21" s="95">
        <f>('TCO Inputs'!$BC$61)/B21</f>
        <v>50.436469447138705</v>
      </c>
      <c r="H21" s="10">
        <f t="shared" si="0"/>
        <v>213.33186517499999</v>
      </c>
      <c r="I21" s="118">
        <f t="shared" si="1"/>
        <v>131.59131383999997</v>
      </c>
      <c r="J21" s="99">
        <f>('TCO Inputs'!$BD$62)/B21</f>
        <v>50.436469447138705</v>
      </c>
      <c r="K21" s="99">
        <f>('TCO Inputs'!$BD$63)/C21</f>
        <v>3.189843965699795</v>
      </c>
      <c r="L21" s="96">
        <f t="shared" si="2"/>
        <v>131.28114779999999</v>
      </c>
    </row>
    <row r="22" spans="1:12" x14ac:dyDescent="0.25">
      <c r="A22" s="35" t="s">
        <v>201</v>
      </c>
      <c r="B22" s="99">
        <v>1.0429999999999999</v>
      </c>
      <c r="C22" s="99">
        <v>1.163</v>
      </c>
      <c r="D22" s="79">
        <f>('TCO Inputs'!$AZ$58)/B22</f>
        <v>30.68072866730585</v>
      </c>
      <c r="E22" s="79">
        <f>('TCO Inputs'!$BA$60)/C22</f>
        <v>3.0362487274545771</v>
      </c>
      <c r="F22" s="79">
        <f>('TCO Inputs'!$BB$59)/B22</f>
        <v>49.856184084372011</v>
      </c>
      <c r="G22" s="95">
        <f>('TCO Inputs'!$BC$61)/B22</f>
        <v>49.856184084372011</v>
      </c>
      <c r="H22" s="10">
        <f t="shared" si="0"/>
        <v>215.81487427499999</v>
      </c>
      <c r="I22" s="118">
        <f t="shared" si="1"/>
        <v>133.12292951999999</v>
      </c>
      <c r="J22" s="99">
        <f>('TCO Inputs'!$BD$62)/B22</f>
        <v>49.856184084372011</v>
      </c>
      <c r="K22" s="99">
        <f>('TCO Inputs'!$BD$63)/C22</f>
        <v>3.0362487274545771</v>
      </c>
      <c r="L22" s="96">
        <f t="shared" si="2"/>
        <v>132.80915339999999</v>
      </c>
    </row>
    <row r="23" spans="1:12" x14ac:dyDescent="0.25">
      <c r="A23" s="35" t="s">
        <v>204</v>
      </c>
      <c r="B23" s="99">
        <v>1.056</v>
      </c>
      <c r="C23" s="99">
        <v>1.2110000000000001</v>
      </c>
      <c r="D23" s="79">
        <f>('TCO Inputs'!$AZ$58)/B23</f>
        <v>30.303030303030301</v>
      </c>
      <c r="E23" s="79">
        <f>('TCO Inputs'!$BA$60)/C23</f>
        <v>2.9159019570847837</v>
      </c>
      <c r="F23" s="79">
        <f>('TCO Inputs'!$BB$59)/B23</f>
        <v>49.242424242424242</v>
      </c>
      <c r="G23" s="95">
        <f>('TCO Inputs'!$BC$61)/B23</f>
        <v>49.242424242424242</v>
      </c>
      <c r="H23" s="10">
        <f t="shared" si="0"/>
        <v>218.50480080000003</v>
      </c>
      <c r="I23" s="118">
        <f t="shared" si="1"/>
        <v>134.78217984</v>
      </c>
      <c r="J23" s="99">
        <f>('TCO Inputs'!$BD$62)/B23</f>
        <v>49.242424242424242</v>
      </c>
      <c r="K23" s="99">
        <f>('TCO Inputs'!$BD$63)/C23</f>
        <v>2.9159019570847837</v>
      </c>
      <c r="L23" s="96">
        <f t="shared" si="2"/>
        <v>134.46449280000002</v>
      </c>
    </row>
    <row r="24" spans="1:12" x14ac:dyDescent="0.25">
      <c r="A24" s="35" t="s">
        <v>205</v>
      </c>
      <c r="B24" s="99">
        <v>1.07</v>
      </c>
      <c r="C24" s="99">
        <v>1.266</v>
      </c>
      <c r="D24" s="79">
        <f>('TCO Inputs'!$AZ$58)/B24</f>
        <v>29.906542056074766</v>
      </c>
      <c r="E24" s="79">
        <f>('TCO Inputs'!$BA$60)/C24</f>
        <v>2.7892237519981622</v>
      </c>
      <c r="F24" s="79">
        <f>('TCO Inputs'!$BB$59)/B24</f>
        <v>48.598130841121495</v>
      </c>
      <c r="G24" s="95">
        <f>('TCO Inputs'!$BC$61)/B24</f>
        <v>48.598130841121495</v>
      </c>
      <c r="H24" s="10">
        <f t="shared" si="0"/>
        <v>221.40164475</v>
      </c>
      <c r="I24" s="118">
        <f t="shared" si="1"/>
        <v>136.56906479999998</v>
      </c>
      <c r="J24" s="99">
        <f>('TCO Inputs'!$BD$62)/B24</f>
        <v>48.598130841121495</v>
      </c>
      <c r="K24" s="99">
        <f>('TCO Inputs'!$BD$63)/C24</f>
        <v>2.7892237519981622</v>
      </c>
      <c r="L24" s="96">
        <f t="shared" si="2"/>
        <v>136.24716599999999</v>
      </c>
    </row>
    <row r="25" spans="1:12" x14ac:dyDescent="0.25">
      <c r="A25" s="35" t="s">
        <v>207</v>
      </c>
      <c r="B25" s="99">
        <v>1.0189999999999999</v>
      </c>
      <c r="C25" s="99">
        <v>1.052</v>
      </c>
      <c r="D25" s="79">
        <f>('TCO Inputs'!$AZ$58)/B25</f>
        <v>31.403336604514234</v>
      </c>
      <c r="E25" s="79">
        <f>('TCO Inputs'!$BA$60)/C25</f>
        <v>3.356613374552921</v>
      </c>
      <c r="F25" s="79">
        <f>('TCO Inputs'!$BB$59)/B25</f>
        <v>51.030421982335625</v>
      </c>
      <c r="G25" s="95">
        <f>('TCO Inputs'!$BC$61)/B25</f>
        <v>51.030421982335625</v>
      </c>
      <c r="H25" s="10">
        <f t="shared" si="0"/>
        <v>210.84885607499999</v>
      </c>
      <c r="I25" s="118">
        <f t="shared" si="1"/>
        <v>130.05969815999998</v>
      </c>
      <c r="J25" s="99">
        <f>('TCO Inputs'!$BD$62)/B25</f>
        <v>51.030421982335625</v>
      </c>
      <c r="K25" s="99">
        <f>('TCO Inputs'!$BD$63)/C25</f>
        <v>3.356613374552921</v>
      </c>
      <c r="L25" s="96">
        <f t="shared" si="2"/>
        <v>129.75314220000001</v>
      </c>
    </row>
    <row r="26" spans="1:12" x14ac:dyDescent="0.25">
      <c r="A26" s="35" t="s">
        <v>206</v>
      </c>
      <c r="B26" s="99">
        <v>1.0349999999999999</v>
      </c>
      <c r="C26" s="99">
        <v>1.125</v>
      </c>
      <c r="D26" s="79">
        <f>('TCO Inputs'!$AZ$58)/B26</f>
        <v>30.917874396135268</v>
      </c>
      <c r="E26" s="79">
        <f>('TCO Inputs'!$BA$60)/C26</f>
        <v>3.1388064622485983</v>
      </c>
      <c r="F26" s="79">
        <f>('TCO Inputs'!$BB$59)/B26</f>
        <v>50.24154589371981</v>
      </c>
      <c r="G26" s="95">
        <f>('TCO Inputs'!$BC$61)/B26</f>
        <v>50.24154589371981</v>
      </c>
      <c r="H26" s="10">
        <f t="shared" si="0"/>
        <v>214.15953487499999</v>
      </c>
      <c r="I26" s="118">
        <f t="shared" si="1"/>
        <v>132.10185239999998</v>
      </c>
      <c r="J26" s="99">
        <f>('TCO Inputs'!$BD$62)/B26</f>
        <v>50.24154589371981</v>
      </c>
      <c r="K26" s="99">
        <f>('TCO Inputs'!$BD$63)/C26</f>
        <v>3.1388064622485983</v>
      </c>
      <c r="L26" s="96">
        <f t="shared" si="2"/>
        <v>131.79048299999999</v>
      </c>
    </row>
    <row r="27" spans="1:12" x14ac:dyDescent="0.25">
      <c r="A27" s="35" t="s">
        <v>208</v>
      </c>
      <c r="B27" s="99">
        <v>1.0629999999999999</v>
      </c>
      <c r="C27" s="99">
        <v>1.238</v>
      </c>
      <c r="D27" s="79">
        <f>('TCO Inputs'!$AZ$58)/B27</f>
        <v>30.103480714957669</v>
      </c>
      <c r="E27" s="79">
        <f>('TCO Inputs'!$BA$60)/C27</f>
        <v>2.8523079725603178</v>
      </c>
      <c r="F27" s="79">
        <f>('TCO Inputs'!$BB$59)/B27</f>
        <v>48.918156161806209</v>
      </c>
      <c r="G27" s="95">
        <f>('TCO Inputs'!$BC$61)/B27</f>
        <v>48.918156161806209</v>
      </c>
      <c r="H27" s="10">
        <f t="shared" si="0"/>
        <v>219.953222775</v>
      </c>
      <c r="I27" s="118">
        <f t="shared" si="1"/>
        <v>135.67562232</v>
      </c>
      <c r="J27" s="99">
        <f>('TCO Inputs'!$BD$62)/B27</f>
        <v>48.918156161806209</v>
      </c>
      <c r="K27" s="99">
        <f>('TCO Inputs'!$BD$63)/C27</f>
        <v>2.8523079725603178</v>
      </c>
      <c r="L27" s="96">
        <f t="shared" si="2"/>
        <v>135.3558294</v>
      </c>
    </row>
    <row r="28" spans="1:12" x14ac:dyDescent="0.25">
      <c r="A28" s="35" t="s">
        <v>211</v>
      </c>
      <c r="B28" s="99">
        <v>1.0469999999999999</v>
      </c>
      <c r="C28" s="99">
        <v>1.177</v>
      </c>
      <c r="D28" s="79">
        <f>('TCO Inputs'!$AZ$58)/B28</f>
        <v>30.563514804202484</v>
      </c>
      <c r="E28" s="79">
        <f>('TCO Inputs'!$BA$60)/C28</f>
        <v>3.0001336193964936</v>
      </c>
      <c r="F28" s="79">
        <f>('TCO Inputs'!$BB$59)/B28</f>
        <v>49.665711556829038</v>
      </c>
      <c r="G28" s="95">
        <f>('TCO Inputs'!$BC$61)/B28</f>
        <v>49.665711556829038</v>
      </c>
      <c r="H28" s="10">
        <f t="shared" si="0"/>
        <v>216.642543975</v>
      </c>
      <c r="I28" s="118">
        <f t="shared" si="1"/>
        <v>133.63346807999997</v>
      </c>
      <c r="J28" s="99">
        <f>('TCO Inputs'!$BD$62)/B28</f>
        <v>49.665711556829038</v>
      </c>
      <c r="K28" s="99">
        <f>('TCO Inputs'!$BD$63)/C28</f>
        <v>3.0001336193964936</v>
      </c>
      <c r="L28" s="96">
        <f t="shared" si="2"/>
        <v>133.31848859999999</v>
      </c>
    </row>
    <row r="29" spans="1:12" x14ac:dyDescent="0.25">
      <c r="A29" s="35" t="s">
        <v>215</v>
      </c>
      <c r="B29" s="99">
        <v>1.0389999999999999</v>
      </c>
      <c r="C29" s="99">
        <v>1.1479999999999999</v>
      </c>
      <c r="D29" s="79">
        <f>('TCO Inputs'!$AZ$58)/B29</f>
        <v>30.798845043310877</v>
      </c>
      <c r="E29" s="79">
        <f>('TCO Inputs'!$BA$60)/C29</f>
        <v>3.0759209669248024</v>
      </c>
      <c r="F29" s="79">
        <f>('TCO Inputs'!$BB$59)/B29</f>
        <v>50.048123195380178</v>
      </c>
      <c r="G29" s="95">
        <f>('TCO Inputs'!$BC$61)/B29</f>
        <v>50.048123195380178</v>
      </c>
      <c r="H29" s="10">
        <f t="shared" si="0"/>
        <v>214.98720457499999</v>
      </c>
      <c r="I29" s="118">
        <f t="shared" si="1"/>
        <v>132.61239095999997</v>
      </c>
      <c r="J29" s="99">
        <f>('TCO Inputs'!$BD$62)/B29</f>
        <v>50.048123195380178</v>
      </c>
      <c r="K29" s="99">
        <f>('TCO Inputs'!$BD$63)/C29</f>
        <v>3.0759209669248024</v>
      </c>
      <c r="L29" s="96">
        <f t="shared" si="2"/>
        <v>132.2998182</v>
      </c>
    </row>
    <row r="30" spans="1:12" x14ac:dyDescent="0.25">
      <c r="A30" s="35" t="s">
        <v>212</v>
      </c>
      <c r="B30" s="99">
        <v>1.056</v>
      </c>
      <c r="C30" s="99">
        <v>1.214</v>
      </c>
      <c r="D30" s="79">
        <f>('TCO Inputs'!$AZ$58)/B30</f>
        <v>30.303030303030301</v>
      </c>
      <c r="E30" s="79">
        <f>('TCO Inputs'!$BA$60)/C30</f>
        <v>2.9086962685582152</v>
      </c>
      <c r="F30" s="79">
        <f>('TCO Inputs'!$BB$59)/B30</f>
        <v>49.242424242424242</v>
      </c>
      <c r="G30" s="95">
        <f>('TCO Inputs'!$BC$61)/B30</f>
        <v>49.242424242424242</v>
      </c>
      <c r="H30" s="10">
        <f t="shared" si="0"/>
        <v>218.50480080000003</v>
      </c>
      <c r="I30" s="118">
        <f t="shared" si="1"/>
        <v>134.78217984</v>
      </c>
      <c r="J30" s="99">
        <f>('TCO Inputs'!$BD$62)/B30</f>
        <v>49.242424242424242</v>
      </c>
      <c r="K30" s="99">
        <f>('TCO Inputs'!$BD$63)/C30</f>
        <v>2.9086962685582152</v>
      </c>
      <c r="L30" s="96">
        <f t="shared" si="2"/>
        <v>134.46449280000002</v>
      </c>
    </row>
    <row r="31" spans="1:12" x14ac:dyDescent="0.25">
      <c r="A31" s="35" t="s">
        <v>213</v>
      </c>
      <c r="B31" s="99">
        <v>1.034</v>
      </c>
      <c r="C31" s="99">
        <v>1.1220000000000001</v>
      </c>
      <c r="D31" s="79">
        <f>('TCO Inputs'!$AZ$58)/B31</f>
        <v>30.94777562862669</v>
      </c>
      <c r="E31" s="79">
        <f>('TCO Inputs'!$BA$60)/C31</f>
        <v>3.1471989928963215</v>
      </c>
      <c r="F31" s="79">
        <f>('TCO Inputs'!$BB$59)/B31</f>
        <v>50.290135396518373</v>
      </c>
      <c r="G31" s="95">
        <f>('TCO Inputs'!$BC$61)/B31</f>
        <v>50.290135396518373</v>
      </c>
      <c r="H31" s="10">
        <f t="shared" si="0"/>
        <v>213.95261745000002</v>
      </c>
      <c r="I31" s="118">
        <f t="shared" si="1"/>
        <v>131.97421775999999</v>
      </c>
      <c r="J31" s="99">
        <f>('TCO Inputs'!$BD$62)/B31</f>
        <v>50.290135396518373</v>
      </c>
      <c r="K31" s="99">
        <f>('TCO Inputs'!$BD$63)/C31</f>
        <v>3.1471989928963215</v>
      </c>
      <c r="L31" s="96">
        <f t="shared" si="2"/>
        <v>131.66314920000002</v>
      </c>
    </row>
    <row r="32" spans="1:12" x14ac:dyDescent="0.25">
      <c r="A32" s="35" t="s">
        <v>214</v>
      </c>
      <c r="B32" s="99">
        <v>1.032</v>
      </c>
      <c r="C32" s="99">
        <v>1.1180000000000001</v>
      </c>
      <c r="D32" s="79">
        <f>('TCO Inputs'!$AZ$58)/B32</f>
        <v>31.007751937984494</v>
      </c>
      <c r="E32" s="79">
        <f>('TCO Inputs'!$BA$60)/C32</f>
        <v>3.1584590966276145</v>
      </c>
      <c r="F32" s="79">
        <f>('TCO Inputs'!$BB$59)/B32</f>
        <v>50.387596899224803</v>
      </c>
      <c r="G32" s="95">
        <f>('TCO Inputs'!$BC$61)/B32</f>
        <v>50.387596899224803</v>
      </c>
      <c r="H32" s="10">
        <f t="shared" si="0"/>
        <v>213.53878260000002</v>
      </c>
      <c r="I32" s="118">
        <f t="shared" si="1"/>
        <v>131.71894847999999</v>
      </c>
      <c r="J32" s="99">
        <f>('TCO Inputs'!$BD$62)/B32</f>
        <v>50.387596899224803</v>
      </c>
      <c r="K32" s="99">
        <f>('TCO Inputs'!$BD$63)/C32</f>
        <v>3.1584590966276145</v>
      </c>
      <c r="L32" s="96">
        <f t="shared" si="2"/>
        <v>131.40848160000002</v>
      </c>
    </row>
    <row r="33" spans="1:12" x14ac:dyDescent="0.25">
      <c r="A33" s="35" t="s">
        <v>216</v>
      </c>
      <c r="B33" s="99">
        <v>1.0509999999999999</v>
      </c>
      <c r="C33" s="99">
        <v>1.1930000000000001</v>
      </c>
      <c r="D33" s="79">
        <f>('TCO Inputs'!$AZ$58)/B33</f>
        <v>30.447193149381544</v>
      </c>
      <c r="E33" s="79">
        <f>('TCO Inputs'!$BA$60)/C33</f>
        <v>2.9598971249200945</v>
      </c>
      <c r="F33" s="79">
        <f>('TCO Inputs'!$BB$59)/B33</f>
        <v>49.476688867745011</v>
      </c>
      <c r="G33" s="95">
        <f>('TCO Inputs'!$BC$61)/B33</f>
        <v>49.476688867745011</v>
      </c>
      <c r="H33" s="10">
        <f t="shared" si="0"/>
        <v>217.470213675</v>
      </c>
      <c r="I33" s="118">
        <f t="shared" si="1"/>
        <v>134.14400663999999</v>
      </c>
      <c r="J33" s="99">
        <f>('TCO Inputs'!$BD$62)/B33</f>
        <v>49.476688867745011</v>
      </c>
      <c r="K33" s="99">
        <f>('TCO Inputs'!$BD$63)/C33</f>
        <v>2.9598971249200945</v>
      </c>
      <c r="L33" s="96">
        <f t="shared" si="2"/>
        <v>133.82782379999998</v>
      </c>
    </row>
    <row r="34" spans="1:12" x14ac:dyDescent="0.25">
      <c r="A34" s="35" t="s">
        <v>209</v>
      </c>
      <c r="B34" s="99">
        <v>1.0209999999999999</v>
      </c>
      <c r="C34" s="99">
        <v>1.07</v>
      </c>
      <c r="D34" s="79">
        <f>('TCO Inputs'!$AZ$58)/B34</f>
        <v>31.341821743388838</v>
      </c>
      <c r="E34" s="79">
        <f>('TCO Inputs'!$BA$60)/C34</f>
        <v>3.3001469813361428</v>
      </c>
      <c r="F34" s="79">
        <f>('TCO Inputs'!$BB$59)/B34</f>
        <v>50.930460333006863</v>
      </c>
      <c r="G34" s="95">
        <f>('TCO Inputs'!$BC$61)/B34</f>
        <v>50.930460333006863</v>
      </c>
      <c r="H34" s="10">
        <f t="shared" si="0"/>
        <v>211.26269092499999</v>
      </c>
      <c r="I34" s="118">
        <f t="shared" si="1"/>
        <v>130.31496743999998</v>
      </c>
      <c r="J34" s="99">
        <f>('TCO Inputs'!$BD$62)/B34</f>
        <v>50.930460333006863</v>
      </c>
      <c r="K34" s="99">
        <f>('TCO Inputs'!$BD$63)/C34</f>
        <v>3.3001469813361428</v>
      </c>
      <c r="L34" s="96">
        <f t="shared" si="2"/>
        <v>130.00780979999999</v>
      </c>
    </row>
    <row r="35" spans="1:12" x14ac:dyDescent="0.25">
      <c r="A35" s="35" t="s">
        <v>210</v>
      </c>
      <c r="B35" s="99">
        <v>1.071</v>
      </c>
      <c r="C35" s="99">
        <v>1.2669999999999999</v>
      </c>
      <c r="D35" s="79">
        <f>('TCO Inputs'!$AZ$58)/B35</f>
        <v>29.878618113912232</v>
      </c>
      <c r="E35" s="79">
        <f>('TCO Inputs'!$BA$60)/C35</f>
        <v>2.7870223125727493</v>
      </c>
      <c r="F35" s="79">
        <f>('TCO Inputs'!$BB$59)/B35</f>
        <v>48.552754435107381</v>
      </c>
      <c r="G35" s="95">
        <f>('TCO Inputs'!$BC$61)/B35</f>
        <v>48.552754435107381</v>
      </c>
      <c r="H35" s="10">
        <f t="shared" si="0"/>
        <v>221.608562175</v>
      </c>
      <c r="I35" s="118">
        <f t="shared" si="1"/>
        <v>136.69669943999997</v>
      </c>
      <c r="J35" s="99">
        <f>('TCO Inputs'!$BD$62)/B35</f>
        <v>48.552754435107381</v>
      </c>
      <c r="K35" s="99">
        <f>('TCO Inputs'!$BD$63)/C35</f>
        <v>2.7870223125727493</v>
      </c>
      <c r="L35" s="96">
        <f t="shared" si="2"/>
        <v>136.3744998</v>
      </c>
    </row>
    <row r="36" spans="1:12" x14ac:dyDescent="0.25">
      <c r="A36" s="35" t="s">
        <v>217</v>
      </c>
      <c r="B36" s="99">
        <v>1.0389999999999999</v>
      </c>
      <c r="C36" s="99">
        <v>1.1439999999999999</v>
      </c>
      <c r="D36" s="79">
        <f>('TCO Inputs'!$AZ$58)/B36</f>
        <v>30.798845043310877</v>
      </c>
      <c r="E36" s="79">
        <f>('TCO Inputs'!$BA$60)/C36</f>
        <v>3.0866759353406237</v>
      </c>
      <c r="F36" s="79">
        <f>('TCO Inputs'!$BB$59)/B36</f>
        <v>50.048123195380178</v>
      </c>
      <c r="G36" s="95">
        <f>('TCO Inputs'!$BC$61)/B36</f>
        <v>50.048123195380178</v>
      </c>
      <c r="H36" s="10">
        <f t="shared" si="0"/>
        <v>214.98720457499999</v>
      </c>
      <c r="I36" s="118">
        <f t="shared" si="1"/>
        <v>132.61239095999997</v>
      </c>
      <c r="J36" s="99">
        <f>('TCO Inputs'!$BD$62)/B36</f>
        <v>50.048123195380178</v>
      </c>
      <c r="K36" s="99">
        <f>('TCO Inputs'!$BD$63)/C36</f>
        <v>3.0866759353406237</v>
      </c>
      <c r="L36" s="96">
        <f t="shared" si="2"/>
        <v>132.2998182</v>
      </c>
    </row>
    <row r="37" spans="1:12" x14ac:dyDescent="0.25">
      <c r="A37" s="35" t="s">
        <v>218</v>
      </c>
      <c r="B37" s="99">
        <v>1.03</v>
      </c>
      <c r="C37" s="99">
        <v>1.093</v>
      </c>
      <c r="D37" s="79">
        <f>('TCO Inputs'!$AZ$58)/B37</f>
        <v>31.067961165048544</v>
      </c>
      <c r="E37" s="79">
        <f>('TCO Inputs'!$BA$60)/C37</f>
        <v>3.230701985388539</v>
      </c>
      <c r="F37" s="79">
        <f>('TCO Inputs'!$BB$59)/B37</f>
        <v>50.485436893203882</v>
      </c>
      <c r="G37" s="95">
        <f>('TCO Inputs'!$BC$61)/B37</f>
        <v>50.485436893203882</v>
      </c>
      <c r="H37" s="10">
        <f t="shared" si="0"/>
        <v>213.12494775000002</v>
      </c>
      <c r="I37" s="118">
        <f t="shared" si="1"/>
        <v>131.4636792</v>
      </c>
      <c r="J37" s="99">
        <f>('TCO Inputs'!$BD$62)/B37</f>
        <v>50.485436893203882</v>
      </c>
      <c r="K37" s="99">
        <f>('TCO Inputs'!$BD$63)/C37</f>
        <v>3.230701985388539</v>
      </c>
      <c r="L37" s="96">
        <f t="shared" si="2"/>
        <v>131.15381400000001</v>
      </c>
    </row>
    <row r="38" spans="1:12" x14ac:dyDescent="0.25">
      <c r="A38" s="35" t="s">
        <v>219</v>
      </c>
      <c r="B38" s="99">
        <v>1.044</v>
      </c>
      <c r="C38" s="99">
        <v>1.167</v>
      </c>
      <c r="D38" s="79">
        <f>('TCO Inputs'!$AZ$58)/B38</f>
        <v>30.651340996168582</v>
      </c>
      <c r="E38" s="79">
        <f>('TCO Inputs'!$BA$60)/C38</f>
        <v>3.0258417052525046</v>
      </c>
      <c r="F38" s="79">
        <f>('TCO Inputs'!$BB$59)/B38</f>
        <v>49.808429118773944</v>
      </c>
      <c r="G38" s="95">
        <f>('TCO Inputs'!$BC$61)/B38</f>
        <v>49.808429118773944</v>
      </c>
      <c r="H38" s="10">
        <f t="shared" si="0"/>
        <v>216.02179170000002</v>
      </c>
      <c r="I38" s="118">
        <f t="shared" si="1"/>
        <v>133.25056416000001</v>
      </c>
      <c r="J38" s="99">
        <f>('TCO Inputs'!$BD$62)/B38</f>
        <v>49.808429118773944</v>
      </c>
      <c r="K38" s="99">
        <f>('TCO Inputs'!$BD$63)/C38</f>
        <v>3.0258417052525046</v>
      </c>
      <c r="L38" s="96">
        <f t="shared" si="2"/>
        <v>132.93648720000002</v>
      </c>
    </row>
    <row r="39" spans="1:12" x14ac:dyDescent="0.25">
      <c r="A39" s="35" t="s">
        <v>220</v>
      </c>
      <c r="B39" s="99">
        <v>1.042</v>
      </c>
      <c r="C39" s="99">
        <v>1.1579999999999999</v>
      </c>
      <c r="D39" s="79">
        <f>('TCO Inputs'!$AZ$58)/B39</f>
        <v>30.710172744721689</v>
      </c>
      <c r="E39" s="79">
        <f>('TCO Inputs'!$BA$60)/C39</f>
        <v>3.0493586096974727</v>
      </c>
      <c r="F39" s="79">
        <f>('TCO Inputs'!$BB$59)/B39</f>
        <v>49.904030710172741</v>
      </c>
      <c r="G39" s="95">
        <f>('TCO Inputs'!$BC$61)/B39</f>
        <v>49.904030710172741</v>
      </c>
      <c r="H39" s="10">
        <f t="shared" si="0"/>
        <v>215.60795685000002</v>
      </c>
      <c r="I39" s="118">
        <f t="shared" si="1"/>
        <v>132.99529487999999</v>
      </c>
      <c r="J39" s="99">
        <f>('TCO Inputs'!$BD$62)/B39</f>
        <v>49.904030710172741</v>
      </c>
      <c r="K39" s="99">
        <f>('TCO Inputs'!$BD$63)/C39</f>
        <v>3.0493586096974727</v>
      </c>
      <c r="L39" s="96">
        <f t="shared" si="2"/>
        <v>132.68181960000001</v>
      </c>
    </row>
    <row r="40" spans="1:12" x14ac:dyDescent="0.25">
      <c r="A40" s="35" t="s">
        <v>221</v>
      </c>
      <c r="B40" s="99">
        <v>1.038</v>
      </c>
      <c r="C40" s="99">
        <v>1.143</v>
      </c>
      <c r="D40" s="79">
        <f>('TCO Inputs'!$AZ$58)/B40</f>
        <v>30.828516377649326</v>
      </c>
      <c r="E40" s="79">
        <f>('TCO Inputs'!$BA$60)/C40</f>
        <v>3.0893764392210614</v>
      </c>
      <c r="F40" s="79">
        <f>('TCO Inputs'!$BB$59)/B40</f>
        <v>50.096339113680152</v>
      </c>
      <c r="G40" s="95">
        <f>('TCO Inputs'!$BC$61)/B40</f>
        <v>50.096339113680152</v>
      </c>
      <c r="H40" s="10">
        <f t="shared" si="0"/>
        <v>214.78028715000002</v>
      </c>
      <c r="I40" s="118">
        <f t="shared" si="1"/>
        <v>132.48475632</v>
      </c>
      <c r="J40" s="99">
        <f>('TCO Inputs'!$BD$62)/B40</f>
        <v>50.096339113680152</v>
      </c>
      <c r="K40" s="99">
        <f>('TCO Inputs'!$BD$63)/C40</f>
        <v>3.0893764392210614</v>
      </c>
      <c r="L40" s="96">
        <f t="shared" si="2"/>
        <v>132.1724844</v>
      </c>
    </row>
    <row r="41" spans="1:12" x14ac:dyDescent="0.25">
      <c r="A41" s="35" t="s">
        <v>222</v>
      </c>
      <c r="B41" s="99">
        <v>1.018</v>
      </c>
      <c r="C41" s="99">
        <v>1.0509999999999999</v>
      </c>
      <c r="D41" s="79">
        <f>('TCO Inputs'!$AZ$58)/B41</f>
        <v>31.43418467583497</v>
      </c>
      <c r="E41" s="79">
        <f>('TCO Inputs'!$BA$60)/C41</f>
        <v>3.3598071075448841</v>
      </c>
      <c r="F41" s="79">
        <f>('TCO Inputs'!$BB$59)/B41</f>
        <v>51.080550098231825</v>
      </c>
      <c r="G41" s="95">
        <f>('TCO Inputs'!$BC$61)/B41</f>
        <v>51.080550098231825</v>
      </c>
      <c r="H41" s="10">
        <f t="shared" si="0"/>
        <v>210.64193865000001</v>
      </c>
      <c r="I41" s="118">
        <f t="shared" si="1"/>
        <v>129.93206351999999</v>
      </c>
      <c r="J41" s="99">
        <f>('TCO Inputs'!$BD$62)/B41</f>
        <v>51.080550098231825</v>
      </c>
      <c r="K41" s="99">
        <f>('TCO Inputs'!$BD$63)/C41</f>
        <v>3.3598071075448841</v>
      </c>
      <c r="L41" s="96">
        <f t="shared" si="2"/>
        <v>129.62580840000001</v>
      </c>
    </row>
    <row r="42" spans="1:12" x14ac:dyDescent="0.25">
      <c r="A42" s="35" t="s">
        <v>223</v>
      </c>
      <c r="B42" s="99">
        <v>1.0580000000000001</v>
      </c>
      <c r="C42" s="99">
        <v>1.218</v>
      </c>
      <c r="D42" s="79">
        <f>('TCO Inputs'!$AZ$58)/B42</f>
        <v>30.245746691871453</v>
      </c>
      <c r="E42" s="79">
        <f>('TCO Inputs'!$BA$60)/C42</f>
        <v>2.8991438998601589</v>
      </c>
      <c r="F42" s="79">
        <f>('TCO Inputs'!$BB$59)/B42</f>
        <v>49.149338374291112</v>
      </c>
      <c r="G42" s="95">
        <f>('TCO Inputs'!$BC$61)/B42</f>
        <v>49.149338374291112</v>
      </c>
      <c r="H42" s="10">
        <f t="shared" si="0"/>
        <v>218.91863565000003</v>
      </c>
      <c r="I42" s="118">
        <f t="shared" si="1"/>
        <v>135.03744911999999</v>
      </c>
      <c r="J42" s="99">
        <f>('TCO Inputs'!$BD$62)/B42</f>
        <v>49.149338374291112</v>
      </c>
      <c r="K42" s="99">
        <f>('TCO Inputs'!$BD$63)/C42</f>
        <v>2.8991438998601589</v>
      </c>
      <c r="L42" s="96">
        <f t="shared" si="2"/>
        <v>134.71916040000002</v>
      </c>
    </row>
    <row r="43" spans="1:12" x14ac:dyDescent="0.25">
      <c r="A43" s="35" t="s">
        <v>224</v>
      </c>
      <c r="B43" s="99">
        <v>1.0249999999999999</v>
      </c>
      <c r="C43" s="99">
        <v>1.0860000000000001</v>
      </c>
      <c r="D43" s="79">
        <f>('TCO Inputs'!$AZ$58)/B43</f>
        <v>31.219512195121954</v>
      </c>
      <c r="E43" s="79">
        <f>('TCO Inputs'!$BA$60)/C43</f>
        <v>3.2515260313348739</v>
      </c>
      <c r="F43" s="79">
        <f>('TCO Inputs'!$BB$59)/B43</f>
        <v>50.731707317073173</v>
      </c>
      <c r="G43" s="95">
        <f>('TCO Inputs'!$BC$61)/B43</f>
        <v>50.731707317073173</v>
      </c>
      <c r="H43" s="10">
        <f t="shared" si="0"/>
        <v>212.09036062499999</v>
      </c>
      <c r="I43" s="118">
        <f t="shared" si="1"/>
        <v>130.82550599999999</v>
      </c>
      <c r="J43" s="99">
        <f>('TCO Inputs'!$BD$62)/B43</f>
        <v>50.731707317073173</v>
      </c>
      <c r="K43" s="99">
        <f>('TCO Inputs'!$BD$63)/C43</f>
        <v>3.2515260313348739</v>
      </c>
      <c r="L43" s="96">
        <f t="shared" si="2"/>
        <v>130.517145</v>
      </c>
    </row>
    <row r="44" spans="1:12" x14ac:dyDescent="0.25">
      <c r="A44" s="35" t="s">
        <v>225</v>
      </c>
      <c r="B44" s="99">
        <v>1.024</v>
      </c>
      <c r="C44" s="99">
        <v>1.0589999999999999</v>
      </c>
      <c r="D44" s="79">
        <f>('TCO Inputs'!$AZ$58)/B44</f>
        <v>31.25</v>
      </c>
      <c r="E44" s="79">
        <f>('TCO Inputs'!$BA$60)/C44</f>
        <v>3.3344261284510606</v>
      </c>
      <c r="F44" s="79">
        <f>('TCO Inputs'!$BB$59)/B44</f>
        <v>50.78125</v>
      </c>
      <c r="G44" s="95">
        <f>('TCO Inputs'!$BC$61)/B44</f>
        <v>50.78125</v>
      </c>
      <c r="H44" s="10">
        <f t="shared" si="0"/>
        <v>211.88344320000002</v>
      </c>
      <c r="I44" s="118">
        <f t="shared" si="1"/>
        <v>130.69787135999999</v>
      </c>
      <c r="J44" s="99">
        <f>('TCO Inputs'!$BD$62)/B44</f>
        <v>50.78125</v>
      </c>
      <c r="K44" s="99">
        <f>('TCO Inputs'!$BD$63)/C44</f>
        <v>3.3344261284510606</v>
      </c>
      <c r="L44" s="96">
        <f t="shared" si="2"/>
        <v>130.3898112</v>
      </c>
    </row>
    <row r="45" spans="1:12" x14ac:dyDescent="0.25">
      <c r="A45" s="35" t="s">
        <v>226</v>
      </c>
      <c r="B45" s="99">
        <v>1.046</v>
      </c>
      <c r="C45" s="99">
        <v>1.173</v>
      </c>
      <c r="D45" s="79">
        <f>('TCO Inputs'!$AZ$58)/B45</f>
        <v>30.592734225621413</v>
      </c>
      <c r="E45" s="79">
        <f>('TCO Inputs'!$BA$60)/C45</f>
        <v>3.0103642540747426</v>
      </c>
      <c r="F45" s="79">
        <f>('TCO Inputs'!$BB$59)/B45</f>
        <v>49.713193116634798</v>
      </c>
      <c r="G45" s="95">
        <f>('TCO Inputs'!$BC$61)/B45</f>
        <v>49.713193116634798</v>
      </c>
      <c r="H45" s="10">
        <f t="shared" si="0"/>
        <v>216.43562655000002</v>
      </c>
      <c r="I45" s="118">
        <f t="shared" si="1"/>
        <v>133.50583344</v>
      </c>
      <c r="J45" s="99">
        <f>('TCO Inputs'!$BD$62)/B45</f>
        <v>49.713193116634798</v>
      </c>
      <c r="K45" s="99">
        <f>('TCO Inputs'!$BD$63)/C45</f>
        <v>3.0103642540747426</v>
      </c>
      <c r="L45" s="96">
        <f t="shared" si="2"/>
        <v>133.19115480000002</v>
      </c>
    </row>
    <row r="46" spans="1:12" x14ac:dyDescent="0.25">
      <c r="A46" s="35" t="s">
        <v>228</v>
      </c>
      <c r="B46" s="99">
        <v>1.0589999999999999</v>
      </c>
      <c r="C46" s="99">
        <v>1.224</v>
      </c>
      <c r="D46" s="79">
        <f>('TCO Inputs'!$AZ$58)/B46</f>
        <v>30.217186024551467</v>
      </c>
      <c r="E46" s="79">
        <f>('TCO Inputs'!$BA$60)/C46</f>
        <v>2.8849324101549616</v>
      </c>
      <c r="F46" s="79">
        <f>('TCO Inputs'!$BB$59)/B46</f>
        <v>49.10292728989613</v>
      </c>
      <c r="G46" s="95">
        <f>('TCO Inputs'!$BC$61)/B46</f>
        <v>49.10292728989613</v>
      </c>
      <c r="H46" s="10">
        <f t="shared" si="0"/>
        <v>219.125553075</v>
      </c>
      <c r="I46" s="118">
        <f t="shared" si="1"/>
        <v>135.16508375999999</v>
      </c>
      <c r="J46" s="99">
        <f>('TCO Inputs'!$BD$62)/B46</f>
        <v>49.10292728989613</v>
      </c>
      <c r="K46" s="99">
        <f>('TCO Inputs'!$BD$63)/C46</f>
        <v>2.8849324101549616</v>
      </c>
      <c r="L46" s="96">
        <f t="shared" si="2"/>
        <v>134.8464942</v>
      </c>
    </row>
    <row r="47" spans="1:12" x14ac:dyDescent="0.25">
      <c r="A47" s="35" t="s">
        <v>227</v>
      </c>
      <c r="B47" s="99">
        <v>1.0269999999999999</v>
      </c>
      <c r="C47" s="99">
        <v>1.097</v>
      </c>
      <c r="D47" s="79">
        <f>('TCO Inputs'!$AZ$58)/B47</f>
        <v>31.158714703018504</v>
      </c>
      <c r="E47" s="79">
        <f>('TCO Inputs'!$BA$60)/C47</f>
        <v>3.218921850528417</v>
      </c>
      <c r="F47" s="79">
        <f>('TCO Inputs'!$BB$59)/B47</f>
        <v>50.63291139240507</v>
      </c>
      <c r="G47" s="95">
        <f>('TCO Inputs'!$BC$61)/B47</f>
        <v>50.63291139240507</v>
      </c>
      <c r="H47" s="10">
        <f t="shared" si="0"/>
        <v>212.50419547499999</v>
      </c>
      <c r="I47" s="118">
        <f t="shared" si="1"/>
        <v>131.08077527999998</v>
      </c>
      <c r="J47" s="99">
        <f>('TCO Inputs'!$BD$62)/B47</f>
        <v>50.63291139240507</v>
      </c>
      <c r="K47" s="99">
        <f>('TCO Inputs'!$BD$63)/C47</f>
        <v>3.218921850528417</v>
      </c>
      <c r="L47" s="96">
        <f t="shared" si="2"/>
        <v>130.77181259999998</v>
      </c>
    </row>
    <row r="48" spans="1:12" x14ac:dyDescent="0.25">
      <c r="A48" s="35" t="s">
        <v>229</v>
      </c>
      <c r="B48" s="99">
        <v>1.046</v>
      </c>
      <c r="C48" s="99">
        <v>1.1719999999999999</v>
      </c>
      <c r="D48" s="79">
        <f>('TCO Inputs'!$AZ$58)/B48</f>
        <v>30.592734225621413</v>
      </c>
      <c r="E48" s="79">
        <f>('TCO Inputs'!$BA$60)/C48</f>
        <v>3.0129328242574003</v>
      </c>
      <c r="F48" s="79">
        <f>('TCO Inputs'!$BB$59)/B48</f>
        <v>49.713193116634798</v>
      </c>
      <c r="G48" s="95">
        <f>('TCO Inputs'!$BC$61)/B48</f>
        <v>49.713193116634798</v>
      </c>
      <c r="H48" s="10">
        <f t="shared" si="0"/>
        <v>216.43562655000002</v>
      </c>
      <c r="I48" s="118">
        <f t="shared" si="1"/>
        <v>133.50583344</v>
      </c>
      <c r="J48" s="99">
        <f>('TCO Inputs'!$BD$62)/B48</f>
        <v>49.713193116634798</v>
      </c>
      <c r="K48" s="99">
        <f>('TCO Inputs'!$BD$63)/C48</f>
        <v>3.0129328242574003</v>
      </c>
      <c r="L48" s="96">
        <f t="shared" si="2"/>
        <v>133.19115480000002</v>
      </c>
    </row>
    <row r="49" spans="1:12" x14ac:dyDescent="0.25">
      <c r="A49" s="35" t="s">
        <v>159</v>
      </c>
      <c r="B49" s="99">
        <v>1.034</v>
      </c>
      <c r="C49" s="99">
        <v>1.1259999999999999</v>
      </c>
      <c r="D49" s="79">
        <f>('TCO Inputs'!$AZ$58)/B49</f>
        <v>30.94777562862669</v>
      </c>
      <c r="E49" s="79">
        <f>('TCO Inputs'!$BA$60)/C49</f>
        <v>3.1360188899020192</v>
      </c>
      <c r="F49" s="79">
        <f>('TCO Inputs'!$BB$59)/B49</f>
        <v>50.290135396518373</v>
      </c>
      <c r="G49" s="95">
        <f>('TCO Inputs'!$BC$61)/B49</f>
        <v>50.290135396518373</v>
      </c>
      <c r="H49" s="10">
        <f t="shared" si="0"/>
        <v>213.95261745000002</v>
      </c>
      <c r="I49" s="118">
        <f t="shared" si="1"/>
        <v>131.97421775999999</v>
      </c>
      <c r="J49" s="99">
        <f>('TCO Inputs'!$BD$62)/B49</f>
        <v>50.290135396518373</v>
      </c>
      <c r="K49" s="99">
        <f>('TCO Inputs'!$BD$63)/C49</f>
        <v>3.1360188899020192</v>
      </c>
      <c r="L49" s="96">
        <f t="shared" si="2"/>
        <v>131.66314920000002</v>
      </c>
    </row>
    <row r="50" spans="1:12" x14ac:dyDescent="0.25">
      <c r="A50" s="35" t="s">
        <v>158</v>
      </c>
      <c r="B50" s="99">
        <v>1.0620000000000001</v>
      </c>
      <c r="C50" s="99">
        <v>1.2330000000000001</v>
      </c>
      <c r="D50" s="79">
        <f>('TCO Inputs'!$AZ$58)/B50</f>
        <v>30.131826741996232</v>
      </c>
      <c r="E50" s="79">
        <f>('TCO Inputs'!$BA$60)/C50</f>
        <v>2.8638745093509108</v>
      </c>
      <c r="F50" s="79">
        <f>('TCO Inputs'!$BB$59)/B50</f>
        <v>48.964218455743875</v>
      </c>
      <c r="G50" s="95">
        <f>('TCO Inputs'!$BC$61)/B50</f>
        <v>48.964218455743875</v>
      </c>
      <c r="H50" s="10">
        <f t="shared" si="0"/>
        <v>219.74630535000003</v>
      </c>
      <c r="I50" s="118">
        <f t="shared" si="1"/>
        <v>135.54798768000001</v>
      </c>
      <c r="J50" s="99">
        <f>('TCO Inputs'!$BD$62)/B50</f>
        <v>48.964218455743875</v>
      </c>
      <c r="K50" s="99">
        <f>('TCO Inputs'!$BD$63)/C50</f>
        <v>2.8638745093509108</v>
      </c>
      <c r="L50" s="96">
        <f t="shared" si="2"/>
        <v>135.22849560000003</v>
      </c>
    </row>
    <row r="51" spans="1:12" x14ac:dyDescent="0.25">
      <c r="A51" s="35" t="s">
        <v>160</v>
      </c>
      <c r="B51" s="99">
        <v>1.0649999999999999</v>
      </c>
      <c r="C51" s="99">
        <v>1.2470000000000001</v>
      </c>
      <c r="D51" s="79">
        <f>('TCO Inputs'!$AZ$58)/B51</f>
        <v>30.046948356807512</v>
      </c>
      <c r="E51" s="79">
        <f>('TCO Inputs'!$BA$60)/C51</f>
        <v>2.8317219487006198</v>
      </c>
      <c r="F51" s="79">
        <f>('TCO Inputs'!$BB$59)/B51</f>
        <v>48.826291079812208</v>
      </c>
      <c r="G51" s="95">
        <f>('TCO Inputs'!$BC$61)/B51</f>
        <v>48.826291079812208</v>
      </c>
      <c r="H51" s="10">
        <f t="shared" si="0"/>
        <v>220.367057625</v>
      </c>
      <c r="I51" s="118">
        <f t="shared" si="1"/>
        <v>135.9308916</v>
      </c>
      <c r="J51" s="99">
        <f>('TCO Inputs'!$BD$62)/B51</f>
        <v>48.826291079812208</v>
      </c>
      <c r="K51" s="99">
        <f>('TCO Inputs'!$BD$63)/C51</f>
        <v>2.8317219487006198</v>
      </c>
      <c r="L51" s="96">
        <f t="shared" si="2"/>
        <v>135.61049700000001</v>
      </c>
    </row>
    <row r="52" spans="1:12" x14ac:dyDescent="0.25">
      <c r="A52" s="35" t="s">
        <v>134</v>
      </c>
      <c r="B52" s="108">
        <f>AVERAGE(B2:B51)</f>
        <v>1.0427199999999999</v>
      </c>
      <c r="C52" s="108">
        <f>AVERAGE(C2:C51)</f>
        <v>1.1549599999999998</v>
      </c>
      <c r="D52" s="160">
        <f>('TCO Inputs'!$AZ$58)/B52</f>
        <v>30.688967316249812</v>
      </c>
      <c r="E52" s="160">
        <f>('TCO Inputs'!$BA$60)/C52</f>
        <v>3.0573849051306312</v>
      </c>
      <c r="F52" s="160">
        <f>('TCO Inputs'!$BB$59)/B52</f>
        <v>49.869571888905945</v>
      </c>
      <c r="G52" s="160">
        <f>('TCO Inputs'!$BC$61)/B52</f>
        <v>49.869571888905945</v>
      </c>
      <c r="H52" s="162">
        <f t="shared" si="0"/>
        <v>215.75693739599998</v>
      </c>
      <c r="I52" s="163">
        <f t="shared" si="1"/>
        <v>133.08719182079997</v>
      </c>
      <c r="J52" s="107">
        <f>('TCO Inputs'!$BD$62)/B52</f>
        <v>49.869571888905945</v>
      </c>
      <c r="K52" s="108">
        <f>('TCO Inputs'!$BD$63)/C52</f>
        <v>3.0573849051306312</v>
      </c>
      <c r="L52" s="126">
        <f t="shared" si="2"/>
        <v>132.77349993599998</v>
      </c>
    </row>
  </sheetData>
  <mergeCells count="1">
    <mergeCell ref="Q2:R2"/>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0000"/>
  </sheetPr>
  <dimension ref="B1:AF36"/>
  <sheetViews>
    <sheetView workbookViewId="0">
      <selection activeCell="B36" sqref="B36:AF36"/>
    </sheetView>
  </sheetViews>
  <sheetFormatPr defaultRowHeight="15" x14ac:dyDescent="0.25"/>
  <cols>
    <col min="2" max="2" width="12.7109375" bestFit="1" customWidth="1"/>
    <col min="3" max="3" width="15.85546875" bestFit="1" customWidth="1"/>
    <col min="5" max="5" width="2.85546875" customWidth="1"/>
    <col min="14" max="14" width="12.7109375" bestFit="1" customWidth="1"/>
  </cols>
  <sheetData>
    <row r="1" spans="2:15" x14ac:dyDescent="0.25">
      <c r="C1" s="3" t="s">
        <v>152</v>
      </c>
    </row>
    <row r="2" spans="2:15" x14ac:dyDescent="0.25">
      <c r="B2" s="3" t="s">
        <v>10</v>
      </c>
      <c r="C2">
        <v>2645</v>
      </c>
      <c r="D2">
        <v>13169</v>
      </c>
      <c r="E2" t="s">
        <v>151</v>
      </c>
      <c r="F2">
        <v>7741</v>
      </c>
      <c r="H2" s="1" t="s">
        <v>10</v>
      </c>
      <c r="I2">
        <f>VLOOKUP(H2,$N$3:$O$33,2,FALSE)</f>
        <v>691</v>
      </c>
      <c r="J2">
        <v>13169</v>
      </c>
      <c r="M2" t="s">
        <v>153</v>
      </c>
      <c r="N2" t="s">
        <v>154</v>
      </c>
      <c r="O2" t="s">
        <v>155</v>
      </c>
    </row>
    <row r="3" spans="2:15" x14ac:dyDescent="0.25">
      <c r="B3" t="s">
        <v>46</v>
      </c>
      <c r="C3">
        <v>3833</v>
      </c>
      <c r="D3">
        <v>15389</v>
      </c>
      <c r="E3" t="s">
        <v>151</v>
      </c>
      <c r="F3">
        <v>8972</v>
      </c>
      <c r="H3" s="1" t="s">
        <v>14</v>
      </c>
      <c r="I3">
        <f t="shared" ref="I3:I32" si="0">VLOOKUP(H3,$N$3:$O$33,2,FALSE)</f>
        <v>411</v>
      </c>
      <c r="J3">
        <v>17785</v>
      </c>
      <c r="M3">
        <v>1</v>
      </c>
      <c r="N3" t="s">
        <v>90</v>
      </c>
      <c r="O3">
        <v>3061</v>
      </c>
    </row>
    <row r="4" spans="2:15" x14ac:dyDescent="0.25">
      <c r="B4" t="s">
        <v>98</v>
      </c>
      <c r="C4">
        <v>581</v>
      </c>
      <c r="D4">
        <v>16941</v>
      </c>
      <c r="E4" t="s">
        <v>151</v>
      </c>
      <c r="F4">
        <v>9508</v>
      </c>
      <c r="H4" s="1" t="s">
        <v>18</v>
      </c>
      <c r="I4">
        <f t="shared" si="0"/>
        <v>1715</v>
      </c>
      <c r="J4">
        <v>20915</v>
      </c>
      <c r="M4">
        <v>2</v>
      </c>
      <c r="N4" t="s">
        <v>30</v>
      </c>
      <c r="O4">
        <v>2525</v>
      </c>
    </row>
    <row r="5" spans="2:15" x14ac:dyDescent="0.25">
      <c r="B5" t="s">
        <v>54</v>
      </c>
      <c r="C5">
        <v>6356</v>
      </c>
      <c r="D5">
        <v>16740</v>
      </c>
      <c r="E5" t="s">
        <v>151</v>
      </c>
      <c r="F5">
        <v>8897</v>
      </c>
      <c r="H5" s="1" t="s">
        <v>22</v>
      </c>
      <c r="I5">
        <f t="shared" si="0"/>
        <v>796</v>
      </c>
      <c r="J5">
        <v>20466</v>
      </c>
      <c r="M5">
        <v>3</v>
      </c>
      <c r="N5" t="s">
        <v>50</v>
      </c>
      <c r="O5">
        <v>2193</v>
      </c>
    </row>
    <row r="6" spans="2:15" x14ac:dyDescent="0.25">
      <c r="B6" t="s">
        <v>62</v>
      </c>
      <c r="C6">
        <v>3059</v>
      </c>
      <c r="D6">
        <v>16726</v>
      </c>
      <c r="E6" t="s">
        <v>151</v>
      </c>
      <c r="F6">
        <v>8784</v>
      </c>
      <c r="H6" s="1" t="s">
        <v>26</v>
      </c>
      <c r="I6">
        <f t="shared" si="0"/>
        <v>660</v>
      </c>
      <c r="J6">
        <v>21660</v>
      </c>
      <c r="M6">
        <v>4</v>
      </c>
      <c r="N6" t="s">
        <v>54</v>
      </c>
      <c r="O6">
        <v>1789</v>
      </c>
    </row>
    <row r="7" spans="2:15" x14ac:dyDescent="0.25">
      <c r="B7" t="s">
        <v>14</v>
      </c>
      <c r="C7">
        <v>772</v>
      </c>
      <c r="D7">
        <v>17785</v>
      </c>
      <c r="E7" t="s">
        <v>151</v>
      </c>
      <c r="F7">
        <v>10308</v>
      </c>
      <c r="H7" s="1" t="s">
        <v>30</v>
      </c>
      <c r="I7">
        <f t="shared" si="0"/>
        <v>2525</v>
      </c>
      <c r="J7">
        <v>19333</v>
      </c>
      <c r="M7">
        <v>5</v>
      </c>
      <c r="N7" t="s">
        <v>70</v>
      </c>
      <c r="O7">
        <v>1765</v>
      </c>
    </row>
    <row r="8" spans="2:15" x14ac:dyDescent="0.25">
      <c r="B8" t="s">
        <v>106</v>
      </c>
      <c r="C8">
        <v>1370</v>
      </c>
      <c r="D8">
        <v>18609</v>
      </c>
      <c r="E8" t="s">
        <v>151</v>
      </c>
      <c r="F8">
        <v>10307</v>
      </c>
      <c r="H8" s="1" t="s">
        <v>34</v>
      </c>
      <c r="I8">
        <f t="shared" si="0"/>
        <v>936</v>
      </c>
      <c r="J8">
        <v>19953</v>
      </c>
      <c r="M8">
        <v>6</v>
      </c>
      <c r="N8" t="s">
        <v>18</v>
      </c>
      <c r="O8">
        <v>1715</v>
      </c>
    </row>
    <row r="9" spans="2:15" x14ac:dyDescent="0.25">
      <c r="B9" t="s">
        <v>90</v>
      </c>
      <c r="C9">
        <v>16553</v>
      </c>
      <c r="D9">
        <v>17503</v>
      </c>
      <c r="E9" t="s">
        <v>151</v>
      </c>
      <c r="F9">
        <v>8952</v>
      </c>
      <c r="H9" s="1" t="s">
        <v>38</v>
      </c>
      <c r="I9">
        <f t="shared" si="0"/>
        <v>521</v>
      </c>
      <c r="J9">
        <v>22400</v>
      </c>
      <c r="M9">
        <v>7</v>
      </c>
      <c r="N9" t="s">
        <v>86</v>
      </c>
      <c r="O9">
        <v>1433</v>
      </c>
    </row>
    <row r="10" spans="2:15" x14ac:dyDescent="0.25">
      <c r="B10" t="s">
        <v>114</v>
      </c>
      <c r="C10">
        <v>1766</v>
      </c>
      <c r="D10">
        <v>19866</v>
      </c>
      <c r="E10" t="s">
        <v>151</v>
      </c>
      <c r="F10">
        <v>10964</v>
      </c>
      <c r="H10" s="1" t="s">
        <v>42</v>
      </c>
      <c r="I10">
        <f t="shared" si="0"/>
        <v>606</v>
      </c>
      <c r="J10">
        <v>23800</v>
      </c>
      <c r="M10">
        <v>8</v>
      </c>
      <c r="N10" t="s">
        <v>78</v>
      </c>
      <c r="O10">
        <v>1159</v>
      </c>
    </row>
    <row r="11" spans="2:15" x14ac:dyDescent="0.25">
      <c r="B11" t="s">
        <v>22</v>
      </c>
      <c r="C11">
        <v>1225</v>
      </c>
      <c r="D11">
        <v>20466</v>
      </c>
      <c r="E11" t="s">
        <v>151</v>
      </c>
      <c r="F11">
        <v>12131</v>
      </c>
      <c r="H11" s="1" t="s">
        <v>46</v>
      </c>
      <c r="I11">
        <f t="shared" si="0"/>
        <v>744</v>
      </c>
      <c r="J11">
        <v>15389</v>
      </c>
      <c r="M11">
        <v>9</v>
      </c>
      <c r="N11" t="s">
        <v>74</v>
      </c>
      <c r="O11">
        <v>1126</v>
      </c>
    </row>
    <row r="12" spans="2:15" x14ac:dyDescent="0.25">
      <c r="B12" t="s">
        <v>74</v>
      </c>
      <c r="C12">
        <v>976</v>
      </c>
      <c r="D12">
        <v>19313</v>
      </c>
      <c r="E12" t="s">
        <v>151</v>
      </c>
      <c r="F12">
        <v>9669</v>
      </c>
      <c r="H12" s="1" t="s">
        <v>50</v>
      </c>
      <c r="I12">
        <f t="shared" si="0"/>
        <v>2193</v>
      </c>
      <c r="J12">
        <v>19238</v>
      </c>
      <c r="M12">
        <v>10</v>
      </c>
      <c r="N12" t="s">
        <v>58</v>
      </c>
      <c r="O12">
        <v>1065</v>
      </c>
    </row>
    <row r="13" spans="2:15" x14ac:dyDescent="0.25">
      <c r="B13" t="s">
        <v>78</v>
      </c>
      <c r="C13">
        <v>1320</v>
      </c>
      <c r="D13">
        <v>19524</v>
      </c>
      <c r="E13" t="s">
        <v>151</v>
      </c>
      <c r="F13">
        <v>10545</v>
      </c>
      <c r="H13" s="1" t="s">
        <v>54</v>
      </c>
      <c r="I13">
        <f t="shared" si="0"/>
        <v>1789</v>
      </c>
      <c r="J13">
        <v>16740</v>
      </c>
      <c r="M13">
        <v>11</v>
      </c>
      <c r="N13" t="s">
        <v>62</v>
      </c>
      <c r="O13">
        <v>993</v>
      </c>
    </row>
    <row r="14" spans="2:15" x14ac:dyDescent="0.25">
      <c r="B14" t="s">
        <v>94</v>
      </c>
      <c r="C14">
        <v>1086</v>
      </c>
      <c r="D14">
        <v>20251</v>
      </c>
      <c r="E14" t="s">
        <v>151</v>
      </c>
      <c r="F14">
        <v>11231</v>
      </c>
      <c r="H14" s="1" t="s">
        <v>58</v>
      </c>
      <c r="I14">
        <f t="shared" si="0"/>
        <v>1065</v>
      </c>
      <c r="J14">
        <v>22209</v>
      </c>
      <c r="M14">
        <v>12</v>
      </c>
      <c r="N14" t="s">
        <v>34</v>
      </c>
      <c r="O14">
        <v>936</v>
      </c>
    </row>
    <row r="15" spans="2:15" x14ac:dyDescent="0.25">
      <c r="B15" t="s">
        <v>82</v>
      </c>
      <c r="C15">
        <v>1279</v>
      </c>
      <c r="D15">
        <v>19529</v>
      </c>
      <c r="E15" t="s">
        <v>151</v>
      </c>
      <c r="F15">
        <v>1022</v>
      </c>
      <c r="H15" s="1" t="s">
        <v>62</v>
      </c>
      <c r="I15">
        <f t="shared" si="0"/>
        <v>993</v>
      </c>
      <c r="J15">
        <v>16726</v>
      </c>
      <c r="M15">
        <v>13</v>
      </c>
      <c r="N15" t="s">
        <v>106</v>
      </c>
      <c r="O15">
        <v>835</v>
      </c>
    </row>
    <row r="16" spans="2:15" x14ac:dyDescent="0.25">
      <c r="B16" t="s">
        <v>66</v>
      </c>
      <c r="C16">
        <v>903</v>
      </c>
      <c r="D16">
        <v>20406</v>
      </c>
      <c r="E16" t="s">
        <v>151</v>
      </c>
      <c r="F16">
        <v>10982</v>
      </c>
      <c r="H16" s="1" t="s">
        <v>66</v>
      </c>
      <c r="I16">
        <f>VLOOKUP(H16,$N$3:$O$33,2,FALSE)</f>
        <v>707</v>
      </c>
      <c r="J16">
        <v>20406</v>
      </c>
      <c r="M16">
        <v>14</v>
      </c>
      <c r="N16" t="s">
        <v>22</v>
      </c>
      <c r="O16">
        <v>796</v>
      </c>
    </row>
    <row r="17" spans="2:15" x14ac:dyDescent="0.25">
      <c r="B17" t="s">
        <v>58</v>
      </c>
      <c r="C17">
        <v>1007</v>
      </c>
      <c r="D17">
        <v>22209</v>
      </c>
      <c r="E17" t="s">
        <v>151</v>
      </c>
      <c r="F17">
        <v>11744</v>
      </c>
      <c r="H17" s="1" t="s">
        <v>70</v>
      </c>
      <c r="I17">
        <f t="shared" si="0"/>
        <v>1765</v>
      </c>
      <c r="J17">
        <v>19759</v>
      </c>
      <c r="M17">
        <v>15</v>
      </c>
      <c r="N17" s="1" t="s">
        <v>94</v>
      </c>
      <c r="O17">
        <v>768</v>
      </c>
    </row>
    <row r="18" spans="2:15" x14ac:dyDescent="0.25">
      <c r="B18" t="s">
        <v>30</v>
      </c>
      <c r="C18">
        <v>2449</v>
      </c>
      <c r="D18">
        <v>19333</v>
      </c>
      <c r="E18" t="s">
        <v>151</v>
      </c>
      <c r="F18">
        <v>10420</v>
      </c>
      <c r="H18" s="1" t="s">
        <v>74</v>
      </c>
      <c r="I18">
        <f t="shared" si="0"/>
        <v>1126</v>
      </c>
      <c r="J18">
        <v>19313</v>
      </c>
      <c r="M18">
        <v>16</v>
      </c>
      <c r="N18" t="s">
        <v>46</v>
      </c>
      <c r="O18">
        <v>744</v>
      </c>
    </row>
    <row r="19" spans="2:15" x14ac:dyDescent="0.25">
      <c r="B19" t="s">
        <v>86</v>
      </c>
      <c r="C19">
        <v>1984</v>
      </c>
      <c r="D19">
        <v>20120</v>
      </c>
      <c r="E19" t="s">
        <v>151</v>
      </c>
      <c r="F19">
        <v>10959</v>
      </c>
      <c r="H19" s="1" t="s">
        <v>78</v>
      </c>
      <c r="I19">
        <f t="shared" si="0"/>
        <v>1159</v>
      </c>
      <c r="J19">
        <v>19524</v>
      </c>
      <c r="M19">
        <v>17</v>
      </c>
      <c r="N19" t="s">
        <v>114</v>
      </c>
      <c r="O19">
        <v>741</v>
      </c>
    </row>
    <row r="20" spans="2:15" x14ac:dyDescent="0.25">
      <c r="B20" t="s">
        <v>50</v>
      </c>
      <c r="C20">
        <v>5066</v>
      </c>
      <c r="D20">
        <v>19238</v>
      </c>
      <c r="E20" t="s">
        <v>151</v>
      </c>
      <c r="F20">
        <v>10331</v>
      </c>
      <c r="H20" s="1" t="s">
        <v>82</v>
      </c>
      <c r="I20">
        <f>VLOOKUP(H20,$N$3:$O$33,2,FALSE)</f>
        <v>693</v>
      </c>
      <c r="J20">
        <v>19529</v>
      </c>
      <c r="M20">
        <v>18</v>
      </c>
      <c r="N20" s="1" t="s">
        <v>66</v>
      </c>
      <c r="O20">
        <v>707</v>
      </c>
    </row>
    <row r="21" spans="2:15" x14ac:dyDescent="0.25">
      <c r="B21" t="s">
        <v>18</v>
      </c>
      <c r="C21">
        <v>2933</v>
      </c>
      <c r="D21">
        <v>20915</v>
      </c>
      <c r="E21" t="s">
        <v>151</v>
      </c>
      <c r="F21">
        <v>11594</v>
      </c>
      <c r="H21" s="1" t="s">
        <v>86</v>
      </c>
      <c r="I21">
        <f t="shared" si="0"/>
        <v>1433</v>
      </c>
      <c r="J21">
        <v>20120</v>
      </c>
      <c r="M21">
        <v>19</v>
      </c>
      <c r="N21" t="s">
        <v>82</v>
      </c>
      <c r="O21">
        <v>693</v>
      </c>
    </row>
    <row r="22" spans="2:15" x14ac:dyDescent="0.25">
      <c r="B22" t="s">
        <v>70</v>
      </c>
      <c r="C22">
        <v>1818</v>
      </c>
      <c r="D22">
        <v>19759</v>
      </c>
      <c r="E22" t="s">
        <v>151</v>
      </c>
      <c r="F22">
        <v>10693</v>
      </c>
      <c r="H22" s="1" t="s">
        <v>90</v>
      </c>
      <c r="I22">
        <f t="shared" si="0"/>
        <v>3061</v>
      </c>
      <c r="J22">
        <v>17503</v>
      </c>
      <c r="M22">
        <v>20</v>
      </c>
      <c r="N22" t="s">
        <v>10</v>
      </c>
      <c r="O22">
        <v>691</v>
      </c>
    </row>
    <row r="23" spans="2:15" x14ac:dyDescent="0.25">
      <c r="B23" t="s">
        <v>102</v>
      </c>
      <c r="C23">
        <v>746</v>
      </c>
      <c r="D23">
        <v>21985</v>
      </c>
      <c r="E23" t="s">
        <v>151</v>
      </c>
      <c r="F23">
        <v>11800</v>
      </c>
      <c r="H23" s="1" t="s">
        <v>94</v>
      </c>
      <c r="I23">
        <f>VLOOKUP(H23,$N$3:$O$33,2,FALSE)</f>
        <v>768</v>
      </c>
      <c r="J23">
        <v>20251</v>
      </c>
      <c r="M23">
        <v>21</v>
      </c>
      <c r="N23" t="s">
        <v>26</v>
      </c>
      <c r="O23">
        <v>660</v>
      </c>
    </row>
    <row r="24" spans="2:15" x14ac:dyDescent="0.25">
      <c r="B24" s="1" t="s">
        <v>26</v>
      </c>
      <c r="C24">
        <v>2322</v>
      </c>
      <c r="D24">
        <v>21660</v>
      </c>
      <c r="E24" t="s">
        <v>151</v>
      </c>
      <c r="F24">
        <v>12118</v>
      </c>
      <c r="H24" s="1" t="s">
        <v>98</v>
      </c>
      <c r="I24">
        <f t="shared" si="0"/>
        <v>210</v>
      </c>
      <c r="J24">
        <v>16941</v>
      </c>
      <c r="M24">
        <v>22</v>
      </c>
      <c r="N24" t="s">
        <v>42</v>
      </c>
      <c r="O24">
        <v>606</v>
      </c>
    </row>
    <row r="25" spans="2:15" x14ac:dyDescent="0.25">
      <c r="B25" t="s">
        <v>130</v>
      </c>
      <c r="C25">
        <v>991</v>
      </c>
      <c r="D25">
        <v>22901</v>
      </c>
      <c r="E25" t="s">
        <v>151</v>
      </c>
      <c r="F25">
        <v>12122</v>
      </c>
      <c r="H25" s="1" t="s">
        <v>102</v>
      </c>
      <c r="I25">
        <f t="shared" si="0"/>
        <v>596</v>
      </c>
      <c r="J25">
        <v>21985</v>
      </c>
      <c r="M25">
        <v>23</v>
      </c>
      <c r="N25" t="s">
        <v>102</v>
      </c>
      <c r="O25">
        <v>596</v>
      </c>
    </row>
    <row r="26" spans="2:15" x14ac:dyDescent="0.25">
      <c r="B26" t="s">
        <v>34</v>
      </c>
      <c r="C26">
        <v>4049</v>
      </c>
      <c r="D26">
        <v>19953</v>
      </c>
      <c r="E26" t="s">
        <v>151</v>
      </c>
      <c r="F26">
        <v>11365</v>
      </c>
      <c r="H26" s="1" t="s">
        <v>106</v>
      </c>
      <c r="I26">
        <f t="shared" si="0"/>
        <v>835</v>
      </c>
      <c r="J26">
        <v>18609</v>
      </c>
      <c r="M26">
        <v>24</v>
      </c>
      <c r="N26" t="s">
        <v>38</v>
      </c>
      <c r="O26">
        <v>521</v>
      </c>
    </row>
    <row r="27" spans="2:15" x14ac:dyDescent="0.25">
      <c r="B27" t="s">
        <v>38</v>
      </c>
      <c r="C27">
        <v>1386</v>
      </c>
      <c r="D27">
        <v>22400</v>
      </c>
      <c r="E27" t="s">
        <v>151</v>
      </c>
      <c r="F27">
        <v>12630</v>
      </c>
      <c r="H27" s="1" t="s">
        <v>110</v>
      </c>
      <c r="I27">
        <f t="shared" si="0"/>
        <v>116</v>
      </c>
      <c r="J27">
        <v>23012</v>
      </c>
      <c r="M27">
        <v>25</v>
      </c>
      <c r="N27" t="s">
        <v>130</v>
      </c>
      <c r="O27">
        <v>507</v>
      </c>
    </row>
    <row r="28" spans="2:15" x14ac:dyDescent="0.25">
      <c r="B28" t="s">
        <v>126</v>
      </c>
      <c r="C28">
        <v>418</v>
      </c>
      <c r="D28">
        <v>24345</v>
      </c>
      <c r="E28" t="s">
        <v>151</v>
      </c>
      <c r="F28">
        <v>12810</v>
      </c>
      <c r="H28" s="1" t="s">
        <v>114</v>
      </c>
      <c r="I28">
        <f t="shared" si="0"/>
        <v>741</v>
      </c>
      <c r="J28">
        <v>19866</v>
      </c>
      <c r="M28">
        <v>26</v>
      </c>
      <c r="N28" t="s">
        <v>118</v>
      </c>
      <c r="O28">
        <v>433</v>
      </c>
    </row>
    <row r="29" spans="2:15" x14ac:dyDescent="0.25">
      <c r="B29" t="s">
        <v>122</v>
      </c>
      <c r="C29">
        <v>171</v>
      </c>
      <c r="D29">
        <v>22488</v>
      </c>
      <c r="E29" t="s">
        <v>151</v>
      </c>
      <c r="F29">
        <v>12265</v>
      </c>
      <c r="H29" s="1" t="s">
        <v>118</v>
      </c>
      <c r="I29">
        <f t="shared" si="0"/>
        <v>433</v>
      </c>
      <c r="J29">
        <v>25460</v>
      </c>
      <c r="M29">
        <v>27</v>
      </c>
      <c r="N29" t="s">
        <v>14</v>
      </c>
      <c r="O29">
        <v>411</v>
      </c>
    </row>
    <row r="30" spans="2:15" x14ac:dyDescent="0.25">
      <c r="B30" t="s">
        <v>42</v>
      </c>
      <c r="C30">
        <v>1552</v>
      </c>
      <c r="D30">
        <v>23800</v>
      </c>
      <c r="E30" t="s">
        <v>151</v>
      </c>
      <c r="F30">
        <v>13102</v>
      </c>
      <c r="H30" s="1" t="s">
        <v>122</v>
      </c>
      <c r="I30">
        <f t="shared" si="0"/>
        <v>189</v>
      </c>
      <c r="J30">
        <v>22488</v>
      </c>
      <c r="M30">
        <v>28</v>
      </c>
      <c r="N30" t="s">
        <v>126</v>
      </c>
      <c r="O30">
        <v>228</v>
      </c>
    </row>
    <row r="31" spans="2:15" x14ac:dyDescent="0.25">
      <c r="B31" t="s">
        <v>118</v>
      </c>
      <c r="C31">
        <v>443</v>
      </c>
      <c r="D31">
        <v>25460</v>
      </c>
      <c r="E31" t="s">
        <v>151</v>
      </c>
      <c r="F31">
        <v>12659</v>
      </c>
      <c r="H31" s="1" t="s">
        <v>126</v>
      </c>
      <c r="I31">
        <f t="shared" si="0"/>
        <v>228</v>
      </c>
      <c r="J31">
        <v>24345</v>
      </c>
      <c r="M31">
        <v>29</v>
      </c>
      <c r="N31" t="s">
        <v>98</v>
      </c>
      <c r="O31">
        <v>210</v>
      </c>
    </row>
    <row r="32" spans="2:15" x14ac:dyDescent="0.25">
      <c r="H32" s="1" t="s">
        <v>130</v>
      </c>
      <c r="I32">
        <f t="shared" si="0"/>
        <v>507</v>
      </c>
      <c r="J32">
        <v>22901</v>
      </c>
      <c r="M32">
        <v>30</v>
      </c>
      <c r="N32" t="s">
        <v>122</v>
      </c>
      <c r="O32">
        <v>189</v>
      </c>
    </row>
    <row r="33" spans="2:32" x14ac:dyDescent="0.25">
      <c r="M33">
        <v>31</v>
      </c>
      <c r="N33" t="s">
        <v>110</v>
      </c>
      <c r="O33">
        <v>116</v>
      </c>
    </row>
    <row r="36" spans="2:32" x14ac:dyDescent="0.25">
      <c r="B36">
        <v>1</v>
      </c>
      <c r="C36">
        <v>0.98</v>
      </c>
      <c r="D36">
        <v>0.95</v>
      </c>
      <c r="E36">
        <v>0.93</v>
      </c>
      <c r="F36">
        <v>0.9</v>
      </c>
      <c r="G36">
        <v>0.85</v>
      </c>
      <c r="H36">
        <v>0.8</v>
      </c>
      <c r="I36">
        <v>0.67</v>
      </c>
      <c r="J36">
        <v>0.52</v>
      </c>
      <c r="K36">
        <v>0.45</v>
      </c>
      <c r="L36">
        <v>0.4</v>
      </c>
      <c r="M36">
        <v>0.37</v>
      </c>
      <c r="N36">
        <v>0.35</v>
      </c>
      <c r="O36">
        <v>0.35</v>
      </c>
      <c r="P36">
        <v>0.35</v>
      </c>
      <c r="Q36">
        <v>0.35</v>
      </c>
      <c r="R36">
        <v>0.35</v>
      </c>
      <c r="S36">
        <v>0.35</v>
      </c>
      <c r="T36">
        <v>0.35</v>
      </c>
      <c r="U36">
        <v>0.35</v>
      </c>
      <c r="V36">
        <v>0.35</v>
      </c>
      <c r="W36">
        <v>0.35</v>
      </c>
      <c r="X36">
        <v>0.35</v>
      </c>
      <c r="Y36">
        <v>0.35</v>
      </c>
      <c r="Z36">
        <v>0.35</v>
      </c>
      <c r="AA36">
        <v>0.35</v>
      </c>
      <c r="AB36">
        <v>0.35</v>
      </c>
      <c r="AC36">
        <v>0.35</v>
      </c>
      <c r="AD36">
        <v>0.35</v>
      </c>
      <c r="AE36">
        <v>0.35</v>
      </c>
      <c r="AF36">
        <v>0.35</v>
      </c>
    </row>
  </sheetData>
  <pageMargins left="0.7" right="0.7" top="0.75" bottom="0.75" header="0.3" footer="0.3"/>
  <headerFooter>
    <oddFooter>&amp;C_x000D_&amp;1#&amp;"Calibri"&amp;14&amp;K008000 Classification: General Use</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8"/>
  </sheetPr>
  <dimension ref="B1:AY274"/>
  <sheetViews>
    <sheetView topLeftCell="K1" zoomScaleNormal="100" workbookViewId="0">
      <selection activeCell="AE23" sqref="AE23"/>
    </sheetView>
  </sheetViews>
  <sheetFormatPr defaultRowHeight="15" x14ac:dyDescent="0.25"/>
  <cols>
    <col min="2" max="2" width="20.42578125" customWidth="1"/>
    <col min="8" max="8" width="15" customWidth="1"/>
    <col min="9" max="9" width="10.5703125" customWidth="1"/>
    <col min="10" max="10" width="14.140625" customWidth="1"/>
    <col min="11" max="11" width="16.7109375" customWidth="1"/>
    <col min="12" max="12" width="12.7109375" customWidth="1"/>
    <col min="13" max="13" width="13" customWidth="1"/>
    <col min="14" max="14" width="21.5703125" customWidth="1"/>
    <col min="15" max="15" width="19.5703125" customWidth="1"/>
    <col min="16" max="16" width="15.42578125" customWidth="1"/>
    <col min="17" max="17" width="13.5703125" bestFit="1" customWidth="1"/>
    <col min="18" max="18" width="11.7109375" bestFit="1" customWidth="1"/>
    <col min="19" max="19" width="11.140625" customWidth="1"/>
    <col min="20" max="20" width="17.42578125" customWidth="1"/>
    <col min="21" max="21" width="19.28515625" customWidth="1"/>
    <col min="22" max="30" width="10.5703125" bestFit="1" customWidth="1"/>
    <col min="31" max="31" width="12.140625" customWidth="1"/>
    <col min="32" max="32" width="24.85546875" customWidth="1"/>
    <col min="33" max="33" width="27" customWidth="1"/>
    <col min="34" max="34" width="26.28515625" customWidth="1"/>
    <col min="35" max="35" width="22.85546875" customWidth="1"/>
    <col min="36" max="36" width="15.85546875" customWidth="1"/>
    <col min="37" max="37" width="24.42578125" customWidth="1"/>
    <col min="38" max="38" width="23.85546875" customWidth="1"/>
    <col min="39" max="39" width="22.28515625" customWidth="1"/>
    <col min="40" max="40" width="16.5703125" customWidth="1"/>
    <col min="41" max="41" width="14.85546875" customWidth="1"/>
    <col min="42" max="42" width="15.5703125" customWidth="1"/>
    <col min="43" max="43" width="14.42578125" customWidth="1"/>
    <col min="44" max="44" width="25.7109375" customWidth="1"/>
    <col min="45" max="45" width="15" customWidth="1"/>
    <col min="46" max="46" width="21.28515625" customWidth="1"/>
    <col min="47" max="47" width="19.7109375" customWidth="1"/>
    <col min="48" max="48" width="20.28515625" customWidth="1"/>
    <col min="50" max="50" width="13.42578125" customWidth="1"/>
  </cols>
  <sheetData>
    <row r="1" spans="2:48" x14ac:dyDescent="0.25">
      <c r="C1" t="s">
        <v>252</v>
      </c>
      <c r="D1" t="s">
        <v>253</v>
      </c>
      <c r="E1" t="s">
        <v>254</v>
      </c>
      <c r="F1" t="s">
        <v>255</v>
      </c>
      <c r="G1" t="s">
        <v>256</v>
      </c>
      <c r="I1" t="s">
        <v>257</v>
      </c>
      <c r="J1" t="s">
        <v>258</v>
      </c>
      <c r="K1" t="s">
        <v>259</v>
      </c>
      <c r="L1" t="s">
        <v>260</v>
      </c>
      <c r="M1" t="s">
        <v>261</v>
      </c>
      <c r="N1" t="s">
        <v>262</v>
      </c>
      <c r="R1" t="s">
        <v>252</v>
      </c>
      <c r="S1" t="s">
        <v>253</v>
      </c>
      <c r="T1" t="s">
        <v>254</v>
      </c>
      <c r="U1" t="s">
        <v>255</v>
      </c>
      <c r="V1" t="s">
        <v>256</v>
      </c>
      <c r="X1" t="s">
        <v>252</v>
      </c>
      <c r="Y1" t="s">
        <v>253</v>
      </c>
      <c r="Z1" t="s">
        <v>254</v>
      </c>
      <c r="AA1" t="s">
        <v>255</v>
      </c>
      <c r="AB1" t="s">
        <v>256</v>
      </c>
      <c r="AF1" t="s">
        <v>404</v>
      </c>
      <c r="AG1" s="3" t="s">
        <v>436</v>
      </c>
      <c r="AH1" t="s">
        <v>406</v>
      </c>
      <c r="AI1" t="s">
        <v>378</v>
      </c>
      <c r="AK1" t="s">
        <v>426</v>
      </c>
      <c r="AL1" t="s">
        <v>405</v>
      </c>
      <c r="AM1" t="s">
        <v>427</v>
      </c>
      <c r="AN1" t="s">
        <v>428</v>
      </c>
      <c r="AO1" s="3" t="s">
        <v>429</v>
      </c>
      <c r="AT1" s="3" t="s">
        <v>432</v>
      </c>
      <c r="AU1">
        <v>1.19</v>
      </c>
    </row>
    <row r="2" spans="2:48" x14ac:dyDescent="0.25">
      <c r="B2" t="s">
        <v>187</v>
      </c>
      <c r="C2" s="10">
        <v>357.74910146191235</v>
      </c>
      <c r="D2" s="10">
        <v>304.0954497226104</v>
      </c>
      <c r="E2" s="10">
        <v>269.98609658836045</v>
      </c>
      <c r="F2" s="10">
        <v>118.01323726623707</v>
      </c>
      <c r="G2" s="10">
        <v>172.23130553344396</v>
      </c>
      <c r="I2" s="22">
        <v>0.02</v>
      </c>
      <c r="J2" s="22">
        <v>0.5</v>
      </c>
      <c r="K2" s="22">
        <v>0.11</v>
      </c>
      <c r="L2" s="22">
        <v>0.31</v>
      </c>
      <c r="M2" s="22">
        <v>0</v>
      </c>
      <c r="N2" s="22">
        <v>0.06</v>
      </c>
      <c r="Q2" t="s">
        <v>134</v>
      </c>
      <c r="R2">
        <f>VLOOKUP(Q2,$B$2:$G$50,2,FALSE)</f>
        <v>357.41583445834522</v>
      </c>
      <c r="S2">
        <v>136.4</v>
      </c>
      <c r="T2">
        <f>VLOOKUP(Q2,$B$2:$G$50,4,FALSE)</f>
        <v>269.73477078023274</v>
      </c>
      <c r="U2">
        <f>VLOOKUP(Q2,$B$2:$G$50,5,FALSE)</f>
        <v>124</v>
      </c>
      <c r="V2">
        <f>VLOOKUP(Q2,$B$2:$G$50,6,FALSE)</f>
        <v>177</v>
      </c>
      <c r="X2" s="10">
        <f t="shared" ref="X2:X33" si="0">R2/m2k</f>
        <v>222.08845517935626</v>
      </c>
      <c r="Y2" s="10">
        <f t="shared" ref="Y2:Y33" si="1">S2/m2k</f>
        <v>84.75524127903364</v>
      </c>
      <c r="Z2" s="10">
        <f t="shared" ref="Z2:Z33" si="2">T2/m2k</f>
        <v>167.60583268932155</v>
      </c>
      <c r="AA2" s="10">
        <f t="shared" ref="AA2:AA33" si="3">U2/m2k</f>
        <v>77.050219344576035</v>
      </c>
      <c r="AB2" s="10">
        <f t="shared" ref="AB2:AB33" si="4">V2/m2k</f>
        <v>109.9829743870158</v>
      </c>
      <c r="AE2" t="s">
        <v>187</v>
      </c>
      <c r="AF2" s="58">
        <f>INDEX('Year data'!$B$111:$AC$161,MATCH($AE2,'Year data'!$A$111:$A$161,0),MATCH('TCO Inputs'!$AZ$12,'Year data'!$B$110:$AC$110,0))</f>
        <v>3.0905000000000005</v>
      </c>
      <c r="AG2" s="79">
        <f>$AU$3*100+AL2</f>
        <v>18.685013881995122</v>
      </c>
      <c r="AH2" s="79">
        <f>$AU$4*100+AN2</f>
        <v>24.935078045735693</v>
      </c>
      <c r="AI2">
        <f>'TCO Inputs'!$AZ$16</f>
        <v>5</v>
      </c>
      <c r="AK2">
        <v>12.53</v>
      </c>
      <c r="AL2" s="79">
        <f>INDEX('Year data'!$B$3:$AC$53,MATCH($AE2,'Year data'!$A$3:$A$53,0),MATCH('TCO Inputs'!$AZ$12,'Year data'!$B$2:$AC$2,0))</f>
        <v>14.58</v>
      </c>
      <c r="AM2">
        <v>11.52</v>
      </c>
      <c r="AN2" s="79">
        <f>INDEX('Year data'!$B$57:$AC$161,MATCH($AE2,'Year data'!$A$3:$A$53,0),MATCH('TCO Inputs'!$AZ$12,'Year data'!$B$2:$AC$2,0))</f>
        <v>11.52</v>
      </c>
      <c r="AO2">
        <f>AL2-AK2</f>
        <v>2.0500000000000007</v>
      </c>
      <c r="AQ2" s="35"/>
      <c r="AR2" s="97" t="s">
        <v>433</v>
      </c>
      <c r="AS2" s="97" t="s">
        <v>431</v>
      </c>
      <c r="AT2" s="97" t="s">
        <v>434</v>
      </c>
      <c r="AU2" s="97" t="s">
        <v>435</v>
      </c>
      <c r="AV2" s="3"/>
    </row>
    <row r="3" spans="2:48" x14ac:dyDescent="0.25">
      <c r="B3" t="s">
        <v>188</v>
      </c>
      <c r="C3" s="10">
        <v>358.98191723314591</v>
      </c>
      <c r="D3" s="10">
        <v>310.21740219012082</v>
      </c>
      <c r="E3" s="10">
        <v>270.9157968486968</v>
      </c>
      <c r="F3" s="10">
        <v>136.9079713161654</v>
      </c>
      <c r="G3" s="10">
        <v>175.71650898585261</v>
      </c>
      <c r="I3" s="22">
        <v>0.03</v>
      </c>
      <c r="J3" s="22">
        <v>0.52</v>
      </c>
      <c r="K3" s="22">
        <v>0.15</v>
      </c>
      <c r="L3" s="22">
        <v>0.25</v>
      </c>
      <c r="M3" s="22">
        <v>0</v>
      </c>
      <c r="N3" s="22">
        <v>0.06</v>
      </c>
      <c r="Q3" t="s">
        <v>149</v>
      </c>
      <c r="R3">
        <f t="shared" ref="R3:R50" si="5">VLOOKUP(Q3,$B$2:$G$50,2,FALSE)</f>
        <v>354.75529047815041</v>
      </c>
      <c r="S3">
        <v>136.4</v>
      </c>
      <c r="T3">
        <f t="shared" ref="T3:T50" si="6">VLOOKUP(Q3,$B$2:$G$50,4,FALSE)</f>
        <v>267.72838143257849</v>
      </c>
      <c r="U3">
        <f t="shared" ref="U3:U50" si="7">VLOOKUP(Q3,$B$2:$G$50,5,FALSE)</f>
        <v>72.128634363028041</v>
      </c>
      <c r="V3">
        <f t="shared" ref="V3:V50" si="8">VLOOKUP(Q3,$B$2:$G$50,6,FALSE)</f>
        <v>163.76772112803894</v>
      </c>
      <c r="X3" s="10">
        <f t="shared" si="0"/>
        <v>220.43526568540545</v>
      </c>
      <c r="Y3" s="10">
        <f t="shared" si="1"/>
        <v>84.75524127903364</v>
      </c>
      <c r="Z3" s="10">
        <f t="shared" si="2"/>
        <v>166.3591170495846</v>
      </c>
      <c r="AA3" s="10">
        <f t="shared" si="3"/>
        <v>44.818766924968024</v>
      </c>
      <c r="AB3" s="10">
        <f t="shared" si="4"/>
        <v>101.76079705223194</v>
      </c>
      <c r="AE3" t="s">
        <v>231</v>
      </c>
      <c r="AF3" s="58">
        <f>INDEX('Year data'!$B$111:$AC$161,MATCH($AE3,'Year data'!$A$111:$A$161,0),MATCH('TCO Inputs'!$AZ$12,'Year data'!$B$110:$AC$110,0))</f>
        <v>4.5133653846153869</v>
      </c>
      <c r="AG3" s="79">
        <f t="shared" ref="AG3:AG52" si="9">$AU$3*100+AL3</f>
        <v>27.995013881995121</v>
      </c>
      <c r="AH3" s="79">
        <f t="shared" ref="AH3:AH52" si="10">$AU$4*100+AN3</f>
        <v>33.215078045735694</v>
      </c>
      <c r="AI3">
        <f>'TCO Inputs'!$AZ$16</f>
        <v>5</v>
      </c>
      <c r="AK3">
        <v>22.92</v>
      </c>
      <c r="AL3" s="79">
        <f>INDEX('Year data'!$B$3:$AC$53,MATCH($AE3,'Year data'!$A$3:$A$53,0),MATCH('TCO Inputs'!$AZ$12,'Year data'!$B$2:$AC$2,0))</f>
        <v>23.89</v>
      </c>
      <c r="AM3">
        <v>19.8</v>
      </c>
      <c r="AN3" s="79">
        <f>INDEX('Year data'!$B$57:$AC$161,MATCH($AE3,'Year data'!$A$3:$A$53,0),MATCH('TCO Inputs'!$AZ$12,'Year data'!$B$2:$AC$2,0))</f>
        <v>19.8</v>
      </c>
      <c r="AO3">
        <f t="shared" ref="AO3:AO52" si="11">AL3-AK3</f>
        <v>0.96999999999999886</v>
      </c>
      <c r="AQ3" s="97" t="s">
        <v>430</v>
      </c>
      <c r="AR3" s="35">
        <f>(550+1286)*AU1</f>
        <v>2184.8399999999997</v>
      </c>
      <c r="AS3" s="35">
        <f>AR3*0.01</f>
        <v>21.848399999999998</v>
      </c>
      <c r="AT3" s="98">
        <f>'VKT US'!C54*15*(1/'TCO Inputs'!BA60)</f>
        <v>60577.450575630253</v>
      </c>
      <c r="AU3" s="98">
        <f>(AR3+AS3*'TCO Inputs'!$AZ$78)/AT3</f>
        <v>4.1050138819951211E-2</v>
      </c>
    </row>
    <row r="4" spans="2:48" x14ac:dyDescent="0.25">
      <c r="B4" t="s">
        <v>189</v>
      </c>
      <c r="C4" s="10">
        <v>356.00648152009319</v>
      </c>
      <c r="D4" s="10">
        <v>295.44189671146773</v>
      </c>
      <c r="E4" s="10">
        <v>268.67193898965019</v>
      </c>
      <c r="F4" s="10">
        <v>91.304996130091851</v>
      </c>
      <c r="G4" s="10">
        <v>167.30487185234418</v>
      </c>
      <c r="I4" s="22">
        <v>0</v>
      </c>
      <c r="J4" s="22">
        <v>0.28000000000000003</v>
      </c>
      <c r="K4" s="22">
        <v>0.15</v>
      </c>
      <c r="L4" s="22">
        <v>0.38</v>
      </c>
      <c r="M4" s="22">
        <v>0</v>
      </c>
      <c r="N4" s="22">
        <v>0.19</v>
      </c>
      <c r="Q4" t="s">
        <v>157</v>
      </c>
      <c r="R4">
        <f t="shared" si="5"/>
        <v>366.65273442953185</v>
      </c>
      <c r="S4">
        <v>136.4</v>
      </c>
      <c r="T4">
        <f t="shared" si="6"/>
        <v>276.70057094948254</v>
      </c>
      <c r="U4">
        <f t="shared" si="7"/>
        <v>254.47464471719269</v>
      </c>
      <c r="V4">
        <f t="shared" si="8"/>
        <v>197.4021159349364</v>
      </c>
      <c r="X4" s="10">
        <f t="shared" si="0"/>
        <v>227.82801299261303</v>
      </c>
      <c r="Y4" s="10">
        <f t="shared" si="1"/>
        <v>84.75524127903364</v>
      </c>
      <c r="Z4" s="10">
        <f t="shared" si="2"/>
        <v>171.93419100344397</v>
      </c>
      <c r="AA4" s="10">
        <f t="shared" si="3"/>
        <v>158.12360639590932</v>
      </c>
      <c r="AB4" s="10">
        <f t="shared" si="4"/>
        <v>122.66029299895386</v>
      </c>
      <c r="AE4" t="s">
        <v>188</v>
      </c>
      <c r="AF4" s="58">
        <f>INDEX('Year data'!$B$111:$AC$161,MATCH($AE4,'Year data'!$A$111:$A$161,0),MATCH('TCO Inputs'!$AZ$12,'Year data'!$B$110:$AC$110,0))</f>
        <v>3.0905000000000005</v>
      </c>
      <c r="AG4" s="79">
        <f t="shared" si="9"/>
        <v>16.33501388199512</v>
      </c>
      <c r="AH4" s="79">
        <f t="shared" si="10"/>
        <v>22.195078045735691</v>
      </c>
      <c r="AI4">
        <f>'TCO Inputs'!$AZ$16</f>
        <v>5</v>
      </c>
      <c r="AK4">
        <v>9.8000000000000007</v>
      </c>
      <c r="AL4" s="79">
        <f>INDEX('Year data'!$B$3:$AC$53,MATCH($AE4,'Year data'!$A$3:$A$53,0),MATCH('TCO Inputs'!$AZ$12,'Year data'!$B$2:$AC$2,0))</f>
        <v>12.23</v>
      </c>
      <c r="AM4">
        <v>8.7799999999999994</v>
      </c>
      <c r="AN4" s="79">
        <f>INDEX('Year data'!$B$57:$AC$161,MATCH($AE4,'Year data'!$A$3:$A$53,0),MATCH('TCO Inputs'!$AZ$12,'Year data'!$B$2:$AC$2,0))</f>
        <v>8.7799999999999994</v>
      </c>
      <c r="AO4">
        <f t="shared" si="11"/>
        <v>2.4299999999999997</v>
      </c>
      <c r="AQ4" s="97" t="s">
        <v>357</v>
      </c>
      <c r="AR4" s="35">
        <f>(3500+2500)*AU1</f>
        <v>7140</v>
      </c>
      <c r="AS4" s="35">
        <f>AR4*0.01</f>
        <v>71.400000000000006</v>
      </c>
      <c r="AT4" s="98">
        <f>AT3</f>
        <v>60577.450575630253</v>
      </c>
      <c r="AU4" s="98">
        <f>(AR4+AS4*'TCO Inputs'!$AZ$78)/AT4</f>
        <v>0.13415078045735693</v>
      </c>
    </row>
    <row r="5" spans="2:48" x14ac:dyDescent="0.25">
      <c r="B5" t="s">
        <v>149</v>
      </c>
      <c r="C5" s="10">
        <v>354.75529047815041</v>
      </c>
      <c r="D5" s="10">
        <v>289.22869599010062</v>
      </c>
      <c r="E5" s="10">
        <v>267.72838143257849</v>
      </c>
      <c r="F5" s="10">
        <v>72.128634363028041</v>
      </c>
      <c r="G5" s="10">
        <v>163.76772112803894</v>
      </c>
      <c r="I5" s="22">
        <v>0</v>
      </c>
      <c r="J5" s="22">
        <v>0.46</v>
      </c>
      <c r="K5" s="22">
        <v>0</v>
      </c>
      <c r="L5" s="22">
        <v>7.0000000000000007E-2</v>
      </c>
      <c r="M5" s="22">
        <v>0</v>
      </c>
      <c r="N5" s="22">
        <v>0.47</v>
      </c>
      <c r="Q5" t="s">
        <v>158</v>
      </c>
      <c r="R5">
        <f t="shared" si="5"/>
        <v>362.13832881811959</v>
      </c>
      <c r="S5">
        <v>136.4</v>
      </c>
      <c r="T5">
        <f t="shared" si="6"/>
        <v>273.2961335873664</v>
      </c>
      <c r="U5">
        <f t="shared" si="7"/>
        <v>185.28466965350646</v>
      </c>
      <c r="V5">
        <f t="shared" si="8"/>
        <v>184.63976959438219</v>
      </c>
      <c r="X5" s="10">
        <f t="shared" si="0"/>
        <v>225.02288442350255</v>
      </c>
      <c r="Y5" s="10">
        <f t="shared" si="1"/>
        <v>84.75524127903364</v>
      </c>
      <c r="Z5" s="10">
        <f t="shared" si="2"/>
        <v>169.81876644299302</v>
      </c>
      <c r="AA5" s="10">
        <f t="shared" si="3"/>
        <v>115.13084224185471</v>
      </c>
      <c r="AB5" s="10">
        <f t="shared" si="4"/>
        <v>114.73011892725104</v>
      </c>
      <c r="AE5" t="s">
        <v>189</v>
      </c>
      <c r="AF5" s="58">
        <f>INDEX('Year data'!$B$111:$AC$161,MATCH($AE5,'Year data'!$A$111:$A$161,0),MATCH('TCO Inputs'!$AZ$12,'Year data'!$B$110:$AC$110,0))</f>
        <v>4.5133653846153869</v>
      </c>
      <c r="AG5" s="79">
        <f t="shared" si="9"/>
        <v>18.115013881995122</v>
      </c>
      <c r="AH5" s="79">
        <f t="shared" si="10"/>
        <v>23.66507804573569</v>
      </c>
      <c r="AI5">
        <f>'TCO Inputs'!$AZ$16</f>
        <v>5</v>
      </c>
      <c r="AK5">
        <v>12.43</v>
      </c>
      <c r="AL5" s="79">
        <f>INDEX('Year data'!$B$3:$AC$53,MATCH($AE5,'Year data'!$A$3:$A$53,0),MATCH('TCO Inputs'!$AZ$12,'Year data'!$B$2:$AC$2,0))</f>
        <v>14.01</v>
      </c>
      <c r="AM5">
        <v>10.25</v>
      </c>
      <c r="AN5" s="79">
        <f>INDEX('Year data'!$B$57:$AC$161,MATCH($AE5,'Year data'!$A$3:$A$53,0),MATCH('TCO Inputs'!$AZ$12,'Year data'!$B$2:$AC$2,0))</f>
        <v>10.25</v>
      </c>
      <c r="AO5">
        <f t="shared" si="11"/>
        <v>1.58</v>
      </c>
    </row>
    <row r="6" spans="2:48" x14ac:dyDescent="0.25">
      <c r="B6" t="s">
        <v>190</v>
      </c>
      <c r="C6" s="10">
        <v>359.96210164253301</v>
      </c>
      <c r="D6" s="10">
        <v>315.08483027182126</v>
      </c>
      <c r="E6" s="10">
        <v>271.65498085481391</v>
      </c>
      <c r="F6" s="10">
        <v>151.93075360793833</v>
      </c>
      <c r="G6" s="10">
        <v>178.48751664145303</v>
      </c>
      <c r="I6" s="22">
        <v>0</v>
      </c>
      <c r="J6" s="22">
        <v>0.3</v>
      </c>
      <c r="K6" s="23">
        <v>0.33</v>
      </c>
      <c r="L6" s="22">
        <v>0</v>
      </c>
      <c r="M6" s="22">
        <v>0</v>
      </c>
      <c r="N6" s="22">
        <v>0.37</v>
      </c>
      <c r="Q6" t="s">
        <v>160</v>
      </c>
      <c r="R6">
        <f t="shared" si="5"/>
        <v>363.9979265281749</v>
      </c>
      <c r="S6">
        <v>136.4</v>
      </c>
      <c r="T6">
        <f t="shared" si="6"/>
        <v>274.69850733655136</v>
      </c>
      <c r="U6">
        <f t="shared" si="7"/>
        <v>213.78576749392707</v>
      </c>
      <c r="V6">
        <f t="shared" si="8"/>
        <v>189.89690231296024</v>
      </c>
      <c r="X6" s="10">
        <f t="shared" si="0"/>
        <v>226.17838774166734</v>
      </c>
      <c r="Y6" s="10">
        <f t="shared" si="1"/>
        <v>84.75524127903364</v>
      </c>
      <c r="Z6" s="10">
        <f t="shared" si="2"/>
        <v>170.69016325732994</v>
      </c>
      <c r="AA6" s="10">
        <f t="shared" si="3"/>
        <v>132.84064740448076</v>
      </c>
      <c r="AB6" s="10">
        <f t="shared" si="4"/>
        <v>117.99675787152512</v>
      </c>
      <c r="AE6" t="s">
        <v>149</v>
      </c>
      <c r="AF6" s="58">
        <f>INDEX('Year data'!$B$111:$AC$161,MATCH($AE6,'Year data'!$A$111:$A$161,0),MATCH('TCO Inputs'!$AZ$12,'Year data'!$B$110:$AC$110,0))</f>
        <v>4.5133653846153869</v>
      </c>
      <c r="AG6" s="79">
        <f t="shared" si="9"/>
        <v>33.025013881995122</v>
      </c>
      <c r="AH6" s="79">
        <f t="shared" si="10"/>
        <v>30.085078045735692</v>
      </c>
      <c r="AI6">
        <f>'TCO Inputs'!$AZ$16</f>
        <v>5</v>
      </c>
      <c r="AK6">
        <v>19.149999999999999</v>
      </c>
      <c r="AL6" s="79">
        <f>INDEX('Year data'!$B$3:$AC$53,MATCH($AE6,'Year data'!$A$3:$A$53,0),MATCH('TCO Inputs'!$AZ$12,'Year data'!$B$2:$AC$2,0))</f>
        <v>28.92</v>
      </c>
      <c r="AM6">
        <v>16.670000000000002</v>
      </c>
      <c r="AN6" s="79">
        <f>INDEX('Year data'!$B$57:$AC$161,MATCH($AE6,'Year data'!$A$3:$A$53,0),MATCH('TCO Inputs'!$AZ$12,'Year data'!$B$2:$AC$2,0))</f>
        <v>16.670000000000002</v>
      </c>
      <c r="AO6">
        <f t="shared" si="11"/>
        <v>9.7700000000000031</v>
      </c>
    </row>
    <row r="7" spans="2:48" x14ac:dyDescent="0.25">
      <c r="B7" t="s">
        <v>191</v>
      </c>
      <c r="C7" s="10">
        <v>354.97759995975861</v>
      </c>
      <c r="D7" s="10">
        <v>290.33264686847764</v>
      </c>
      <c r="E7" s="10">
        <v>267.89603112343173</v>
      </c>
      <c r="F7" s="10">
        <v>75.535857526345453</v>
      </c>
      <c r="G7" s="10">
        <v>164.39619601950994</v>
      </c>
      <c r="I7" s="22">
        <v>0</v>
      </c>
      <c r="J7" s="22">
        <v>0.49</v>
      </c>
      <c r="K7" s="22">
        <v>0</v>
      </c>
      <c r="L7" s="22">
        <v>0.4</v>
      </c>
      <c r="M7" s="22">
        <v>0</v>
      </c>
      <c r="N7" s="22">
        <v>0.11</v>
      </c>
      <c r="Q7" t="s">
        <v>159</v>
      </c>
      <c r="R7">
        <f t="shared" si="5"/>
        <v>363.59750028699079</v>
      </c>
      <c r="S7">
        <v>136.4</v>
      </c>
      <c r="T7">
        <f t="shared" si="6"/>
        <v>274.39653490128489</v>
      </c>
      <c r="U7">
        <f t="shared" si="7"/>
        <v>207.64864018175638</v>
      </c>
      <c r="V7">
        <f t="shared" si="8"/>
        <v>188.76488652275262</v>
      </c>
      <c r="X7" s="10">
        <f t="shared" si="0"/>
        <v>225.92957379235636</v>
      </c>
      <c r="Y7" s="10">
        <f t="shared" si="1"/>
        <v>84.75524127903364</v>
      </c>
      <c r="Z7" s="10">
        <f t="shared" si="2"/>
        <v>170.50252581883561</v>
      </c>
      <c r="AA7" s="10">
        <f t="shared" si="3"/>
        <v>129.02720381134898</v>
      </c>
      <c r="AB7" s="10">
        <f t="shared" si="4"/>
        <v>117.29335412203302</v>
      </c>
      <c r="AE7" t="s">
        <v>190</v>
      </c>
      <c r="AF7" s="58">
        <f>INDEX('Year data'!$B$111:$AC$161,MATCH($AE7,'Year data'!$A$111:$A$161,0),MATCH('TCO Inputs'!$AZ$12,'Year data'!$B$110:$AC$110,0))</f>
        <v>3.5969230769230762</v>
      </c>
      <c r="AG7" s="79">
        <f t="shared" si="9"/>
        <v>18.42501388199512</v>
      </c>
      <c r="AH7" s="79">
        <f t="shared" si="10"/>
        <v>23.84507804573569</v>
      </c>
      <c r="AI7">
        <f>'TCO Inputs'!$AZ$16</f>
        <v>5</v>
      </c>
      <c r="AK7">
        <v>12.18</v>
      </c>
      <c r="AL7" s="79">
        <f>INDEX('Year data'!$B$3:$AC$53,MATCH($AE7,'Year data'!$A$3:$A$53,0),MATCH('TCO Inputs'!$AZ$12,'Year data'!$B$2:$AC$2,0))</f>
        <v>14.32</v>
      </c>
      <c r="AM7">
        <v>10.43</v>
      </c>
      <c r="AN7" s="79">
        <f>INDEX('Year data'!$B$57:$AC$161,MATCH($AE7,'Year data'!$A$3:$A$53,0),MATCH('TCO Inputs'!$AZ$12,'Year data'!$B$2:$AC$2,0))</f>
        <v>10.43</v>
      </c>
      <c r="AO7">
        <f t="shared" si="11"/>
        <v>2.1400000000000006</v>
      </c>
    </row>
    <row r="8" spans="2:48" x14ac:dyDescent="0.25">
      <c r="B8" t="s">
        <v>192</v>
      </c>
      <c r="C8" s="10">
        <v>359.534303626059</v>
      </c>
      <c r="D8" s="10">
        <v>312.96045889910982</v>
      </c>
      <c r="E8" s="10">
        <v>271.33236661141461</v>
      </c>
      <c r="F8" s="10">
        <v>145.37411463623218</v>
      </c>
      <c r="G8" s="10">
        <v>177.27812037748907</v>
      </c>
      <c r="I8" s="22">
        <v>0</v>
      </c>
      <c r="J8" s="22">
        <v>0.95</v>
      </c>
      <c r="K8" s="22">
        <v>0</v>
      </c>
      <c r="L8" s="22">
        <v>0</v>
      </c>
      <c r="M8" s="22">
        <v>0</v>
      </c>
      <c r="N8" s="22">
        <v>0.05</v>
      </c>
      <c r="Q8" t="s">
        <v>187</v>
      </c>
      <c r="R8">
        <f t="shared" si="5"/>
        <v>357.74910146191235</v>
      </c>
      <c r="S8">
        <v>136.4</v>
      </c>
      <c r="T8">
        <f t="shared" si="6"/>
        <v>269.98609658836045</v>
      </c>
      <c r="U8">
        <f t="shared" si="7"/>
        <v>118.01323726623707</v>
      </c>
      <c r="V8">
        <f t="shared" si="8"/>
        <v>172.23130553344396</v>
      </c>
      <c r="X8" s="10">
        <f t="shared" si="0"/>
        <v>222.29553820939785</v>
      </c>
      <c r="Y8" s="10">
        <f t="shared" si="1"/>
        <v>84.75524127903364</v>
      </c>
      <c r="Z8" s="10">
        <f t="shared" si="2"/>
        <v>167.7619996945086</v>
      </c>
      <c r="AA8" s="10">
        <f t="shared" si="3"/>
        <v>73.330208201024689</v>
      </c>
      <c r="AB8" s="10">
        <f t="shared" si="4"/>
        <v>107.01983765608507</v>
      </c>
      <c r="AE8" t="s">
        <v>191</v>
      </c>
      <c r="AF8" s="58">
        <f>INDEX('Year data'!$B$111:$AC$161,MATCH($AE8,'Year data'!$A$111:$A$161,0),MATCH('TCO Inputs'!$AZ$12,'Year data'!$B$110:$AC$110,0))</f>
        <v>3.4698076923076924</v>
      </c>
      <c r="AG8" s="79">
        <f t="shared" si="9"/>
        <v>33.96501388199512</v>
      </c>
      <c r="AH8" s="79">
        <f t="shared" si="10"/>
        <v>30.16507804573569</v>
      </c>
      <c r="AI8">
        <f>'TCO Inputs'!$AZ$16</f>
        <v>5</v>
      </c>
      <c r="AK8">
        <v>21.87</v>
      </c>
      <c r="AL8" s="79">
        <f>INDEX('Year data'!$B$3:$AC$53,MATCH($AE8,'Year data'!$A$3:$A$53,0),MATCH('TCO Inputs'!$AZ$12,'Year data'!$B$2:$AC$2,0))</f>
        <v>29.86</v>
      </c>
      <c r="AM8">
        <v>16.75</v>
      </c>
      <c r="AN8" s="79">
        <f>INDEX('Year data'!$B$57:$AC$161,MATCH($AE8,'Year data'!$A$3:$A$53,0),MATCH('TCO Inputs'!$AZ$12,'Year data'!$B$2:$AC$2,0))</f>
        <v>16.75</v>
      </c>
      <c r="AO8">
        <f t="shared" si="11"/>
        <v>7.9899999999999984</v>
      </c>
    </row>
    <row r="9" spans="2:48" x14ac:dyDescent="0.25">
      <c r="B9" t="s">
        <v>193</v>
      </c>
      <c r="C9" s="10">
        <v>358.56654941598248</v>
      </c>
      <c r="D9" s="10">
        <v>308.15475675519201</v>
      </c>
      <c r="E9" s="10">
        <v>270.60255656027499</v>
      </c>
      <c r="F9" s="10">
        <v>130.54184267558691</v>
      </c>
      <c r="G9" s="10">
        <v>174.54225305540234</v>
      </c>
      <c r="I9" s="22">
        <v>0</v>
      </c>
      <c r="J9" s="22">
        <v>0.79</v>
      </c>
      <c r="K9" s="22">
        <v>0.03</v>
      </c>
      <c r="L9" s="22">
        <v>0.12</v>
      </c>
      <c r="M9" s="22">
        <v>0</v>
      </c>
      <c r="N9" s="22">
        <v>0.06</v>
      </c>
      <c r="Q9" t="s">
        <v>188</v>
      </c>
      <c r="R9">
        <f t="shared" si="5"/>
        <v>358.98191723314591</v>
      </c>
      <c r="S9">
        <v>136.4</v>
      </c>
      <c r="T9">
        <f t="shared" si="6"/>
        <v>270.9157968486968</v>
      </c>
      <c r="U9">
        <f t="shared" si="7"/>
        <v>136.9079713161654</v>
      </c>
      <c r="V9">
        <f t="shared" si="8"/>
        <v>175.71650898585261</v>
      </c>
      <c r="X9" s="10">
        <f t="shared" si="0"/>
        <v>223.06157631895431</v>
      </c>
      <c r="Y9" s="10">
        <f t="shared" si="1"/>
        <v>84.75524127903364</v>
      </c>
      <c r="Z9" s="10">
        <f t="shared" si="2"/>
        <v>168.33969008953781</v>
      </c>
      <c r="AA9" s="10">
        <f t="shared" si="3"/>
        <v>85.070880805898938</v>
      </c>
      <c r="AB9" s="10">
        <f t="shared" si="4"/>
        <v>109.18544806308959</v>
      </c>
      <c r="AE9" t="s">
        <v>192</v>
      </c>
      <c r="AF9" s="58">
        <f>INDEX('Year data'!$B$111:$AC$161,MATCH($AE9,'Year data'!$A$111:$A$161,0),MATCH('TCO Inputs'!$AZ$12,'Year data'!$B$110:$AC$110,0))</f>
        <v>3.561634615384615</v>
      </c>
      <c r="AG9" s="79">
        <f t="shared" si="9"/>
        <v>19.85501388199512</v>
      </c>
      <c r="AH9" s="79">
        <f t="shared" si="10"/>
        <v>22.945078045735691</v>
      </c>
      <c r="AI9">
        <f>'TCO Inputs'!$AZ$16</f>
        <v>5</v>
      </c>
      <c r="AK9">
        <v>12.55</v>
      </c>
      <c r="AL9" s="79">
        <f>INDEX('Year data'!$B$3:$AC$53,MATCH($AE9,'Year data'!$A$3:$A$53,0),MATCH('TCO Inputs'!$AZ$12,'Year data'!$B$2:$AC$2,0))</f>
        <v>15.75</v>
      </c>
      <c r="AM9">
        <v>9.5299999999999994</v>
      </c>
      <c r="AN9" s="79">
        <f>INDEX('Year data'!$B$57:$AC$161,MATCH($AE9,'Year data'!$A$3:$A$53,0),MATCH('TCO Inputs'!$AZ$12,'Year data'!$B$2:$AC$2,0))</f>
        <v>9.5299999999999994</v>
      </c>
      <c r="AO9">
        <f t="shared" si="11"/>
        <v>3.1999999999999993</v>
      </c>
    </row>
    <row r="10" spans="2:48" x14ac:dyDescent="0.25">
      <c r="B10" t="s">
        <v>194</v>
      </c>
      <c r="C10" s="10">
        <v>356.93765268490159</v>
      </c>
      <c r="D10" s="10">
        <v>300.06593374407419</v>
      </c>
      <c r="E10" s="10">
        <v>269.37416076076994</v>
      </c>
      <c r="F10" s="10">
        <v>105.57657867272053</v>
      </c>
      <c r="G10" s="10">
        <v>169.93731794133822</v>
      </c>
      <c r="I10" s="22">
        <v>0</v>
      </c>
      <c r="J10" s="22">
        <v>0.5</v>
      </c>
      <c r="K10" s="22">
        <v>0.09</v>
      </c>
      <c r="L10" s="22">
        <v>0.28999999999999998</v>
      </c>
      <c r="M10" s="22">
        <v>0</v>
      </c>
      <c r="N10" s="22">
        <v>0.12</v>
      </c>
      <c r="Q10" t="s">
        <v>189</v>
      </c>
      <c r="R10">
        <f t="shared" si="5"/>
        <v>356.00648152009319</v>
      </c>
      <c r="S10">
        <v>136.4</v>
      </c>
      <c r="T10">
        <f t="shared" si="6"/>
        <v>268.67193898965019</v>
      </c>
      <c r="U10">
        <f t="shared" si="7"/>
        <v>91.304996130091851</v>
      </c>
      <c r="V10">
        <f t="shared" si="8"/>
        <v>167.30487185234418</v>
      </c>
      <c r="X10" s="10">
        <f t="shared" si="0"/>
        <v>221.21272168720915</v>
      </c>
      <c r="Y10" s="10">
        <f t="shared" si="1"/>
        <v>84.75524127903364</v>
      </c>
      <c r="Z10" s="10">
        <f t="shared" si="2"/>
        <v>166.94541799100887</v>
      </c>
      <c r="AA10" s="10">
        <f t="shared" si="3"/>
        <v>56.734435315155189</v>
      </c>
      <c r="AB10" s="10">
        <f t="shared" si="4"/>
        <v>103.95868607773633</v>
      </c>
      <c r="AE10" t="s">
        <v>193</v>
      </c>
      <c r="AF10" s="58">
        <f>INDEX('Year data'!$B$111:$AC$161,MATCH($AE10,'Year data'!$A$111:$A$161,0),MATCH('TCO Inputs'!$AZ$12,'Year data'!$B$110:$AC$110,0))</f>
        <v>3.2785000000000006</v>
      </c>
      <c r="AG10" s="79">
        <f t="shared" si="9"/>
        <v>19.345013881995122</v>
      </c>
      <c r="AH10" s="79">
        <f t="shared" si="10"/>
        <v>22.685078045735693</v>
      </c>
      <c r="AI10">
        <f>'TCO Inputs'!$AZ$16</f>
        <v>5</v>
      </c>
      <c r="AK10">
        <v>11.7</v>
      </c>
      <c r="AL10" s="79">
        <f>INDEX('Year data'!$B$3:$AC$53,MATCH($AE10,'Year data'!$A$3:$A$53,0),MATCH('TCO Inputs'!$AZ$12,'Year data'!$B$2:$AC$2,0))</f>
        <v>15.24</v>
      </c>
      <c r="AM10">
        <v>9.27</v>
      </c>
      <c r="AN10" s="79">
        <f>INDEX('Year data'!$B$57:$AC$161,MATCH($AE10,'Year data'!$A$3:$A$53,0),MATCH('TCO Inputs'!$AZ$12,'Year data'!$B$2:$AC$2,0))</f>
        <v>9.27</v>
      </c>
      <c r="AO10">
        <f t="shared" si="11"/>
        <v>3.5400000000000009</v>
      </c>
    </row>
    <row r="11" spans="2:48" x14ac:dyDescent="0.25">
      <c r="B11" t="s">
        <v>195</v>
      </c>
      <c r="C11" s="10">
        <v>358.5018924232146</v>
      </c>
      <c r="D11" s="10">
        <v>307.8336807341509</v>
      </c>
      <c r="E11" s="10">
        <v>270.55379694475783</v>
      </c>
      <c r="F11" s="10">
        <v>129.55087679658257</v>
      </c>
      <c r="G11" s="10">
        <v>174.3594657399247</v>
      </c>
      <c r="I11" s="22">
        <v>0</v>
      </c>
      <c r="J11" s="22">
        <v>0.15</v>
      </c>
      <c r="K11" s="22">
        <v>0.33</v>
      </c>
      <c r="L11" s="22">
        <v>0</v>
      </c>
      <c r="M11" s="22">
        <v>0</v>
      </c>
      <c r="N11" s="22">
        <v>0.52</v>
      </c>
      <c r="Q11" t="s">
        <v>190</v>
      </c>
      <c r="R11">
        <f t="shared" si="5"/>
        <v>359.96210164253301</v>
      </c>
      <c r="S11">
        <v>136.4</v>
      </c>
      <c r="T11">
        <f t="shared" si="6"/>
        <v>271.65498085481391</v>
      </c>
      <c r="U11">
        <f t="shared" si="7"/>
        <v>151.93075360793833</v>
      </c>
      <c r="V11">
        <f t="shared" si="8"/>
        <v>178.48751664145303</v>
      </c>
      <c r="X11" s="10">
        <f t="shared" si="0"/>
        <v>223.67063618783664</v>
      </c>
      <c r="Y11" s="10">
        <f t="shared" si="1"/>
        <v>84.75524127903364</v>
      </c>
      <c r="Z11" s="10">
        <f t="shared" si="2"/>
        <v>168.79899887830658</v>
      </c>
      <c r="AA11" s="10">
        <f t="shared" si="3"/>
        <v>94.40562815063214</v>
      </c>
      <c r="AB11" s="10">
        <f t="shared" si="4"/>
        <v>110.90727667332759</v>
      </c>
      <c r="AE11" t="s">
        <v>194</v>
      </c>
      <c r="AF11" s="58">
        <f>INDEX('Year data'!$B$111:$AC$161,MATCH($AE11,'Year data'!$A$111:$A$161,0),MATCH('TCO Inputs'!$AZ$12,'Year data'!$B$110:$AC$110,0))</f>
        <v>3.2785000000000006</v>
      </c>
      <c r="AG11" s="79">
        <f t="shared" si="9"/>
        <v>17.83501388199512</v>
      </c>
      <c r="AH11" s="79">
        <f t="shared" si="10"/>
        <v>23.435078045735693</v>
      </c>
      <c r="AI11">
        <f>'TCO Inputs'!$AZ$16</f>
        <v>5</v>
      </c>
      <c r="AK11">
        <v>11.76</v>
      </c>
      <c r="AL11" s="79">
        <f>INDEX('Year data'!$B$3:$AC$53,MATCH($AE11,'Year data'!$A$3:$A$53,0),MATCH('TCO Inputs'!$AZ$12,'Year data'!$B$2:$AC$2,0))</f>
        <v>13.73</v>
      </c>
      <c r="AM11">
        <v>10.02</v>
      </c>
      <c r="AN11" s="79">
        <f>INDEX('Year data'!$B$57:$AC$161,MATCH($AE11,'Year data'!$A$3:$A$53,0),MATCH('TCO Inputs'!$AZ$12,'Year data'!$B$2:$AC$2,0))</f>
        <v>10.02</v>
      </c>
      <c r="AO11">
        <f t="shared" si="11"/>
        <v>1.9700000000000006</v>
      </c>
    </row>
    <row r="12" spans="2:48" x14ac:dyDescent="0.25">
      <c r="B12" t="s">
        <v>196</v>
      </c>
      <c r="C12" s="10">
        <v>351.85916415710841</v>
      </c>
      <c r="D12" s="10">
        <v>274.84702742619356</v>
      </c>
      <c r="E12" s="10">
        <v>265.54433296607851</v>
      </c>
      <c r="F12" s="10">
        <v>27.74119356758353</v>
      </c>
      <c r="G12" s="10">
        <v>155.58029380051039</v>
      </c>
      <c r="I12" s="22">
        <v>0</v>
      </c>
      <c r="J12" s="22">
        <v>0.16</v>
      </c>
      <c r="K12" s="22">
        <v>0</v>
      </c>
      <c r="L12" s="22">
        <v>0</v>
      </c>
      <c r="M12" s="22">
        <v>0</v>
      </c>
      <c r="N12" s="22">
        <v>0.84</v>
      </c>
      <c r="Q12" t="s">
        <v>191</v>
      </c>
      <c r="R12">
        <f t="shared" si="5"/>
        <v>354.97759995975861</v>
      </c>
      <c r="S12">
        <v>136.4</v>
      </c>
      <c r="T12">
        <f t="shared" si="6"/>
        <v>267.89603112343173</v>
      </c>
      <c r="U12">
        <f t="shared" si="7"/>
        <v>75.535857526345453</v>
      </c>
      <c r="V12">
        <f t="shared" si="8"/>
        <v>164.39619601950994</v>
      </c>
      <c r="X12" s="10">
        <f t="shared" si="0"/>
        <v>220.57340273637553</v>
      </c>
      <c r="Y12" s="10">
        <f t="shared" si="1"/>
        <v>84.75524127903364</v>
      </c>
      <c r="Z12" s="10">
        <f t="shared" si="2"/>
        <v>166.46328999678857</v>
      </c>
      <c r="AA12" s="10">
        <f t="shared" si="3"/>
        <v>46.935922506335174</v>
      </c>
      <c r="AB12" s="10">
        <f t="shared" si="4"/>
        <v>102.15131421546096</v>
      </c>
      <c r="AE12" t="s">
        <v>233</v>
      </c>
      <c r="AF12" s="58">
        <f>INDEX('Year data'!$B$111:$AC$161,MATCH($AE12,'Year data'!$A$111:$A$161,0),MATCH('TCO Inputs'!$AZ$12,'Year data'!$B$110:$AC$110,0))</f>
        <v>4.5133653846153869</v>
      </c>
      <c r="AG12" s="79">
        <f t="shared" si="9"/>
        <v>46.46501388199512</v>
      </c>
      <c r="AH12" s="79">
        <f t="shared" si="10"/>
        <v>42.645078045735694</v>
      </c>
      <c r="AI12">
        <f>'TCO Inputs'!$AZ$16</f>
        <v>5</v>
      </c>
      <c r="AK12">
        <v>32.06</v>
      </c>
      <c r="AL12" s="79">
        <f>INDEX('Year data'!$B$3:$AC$53,MATCH($AE12,'Year data'!$A$3:$A$53,0),MATCH('TCO Inputs'!$AZ$12,'Year data'!$B$2:$AC$2,0))</f>
        <v>42.36</v>
      </c>
      <c r="AM12">
        <v>29.23</v>
      </c>
      <c r="AN12" s="79">
        <f>INDEX('Year data'!$B$57:$AC$161,MATCH($AE12,'Year data'!$A$3:$A$53,0),MATCH('TCO Inputs'!$AZ$12,'Year data'!$B$2:$AC$2,0))</f>
        <v>29.23</v>
      </c>
      <c r="AO12">
        <f t="shared" si="11"/>
        <v>10.299999999999997</v>
      </c>
    </row>
    <row r="13" spans="2:48" x14ac:dyDescent="0.25">
      <c r="B13" t="s">
        <v>197</v>
      </c>
      <c r="C13" s="10">
        <v>355.09551422804282</v>
      </c>
      <c r="D13" s="10">
        <v>290.91818874232376</v>
      </c>
      <c r="E13" s="10">
        <v>267.98495351433485</v>
      </c>
      <c r="F13" s="10">
        <v>77.343068224286569</v>
      </c>
      <c r="G13" s="10">
        <v>164.72954270442602</v>
      </c>
      <c r="I13" s="22">
        <v>0</v>
      </c>
      <c r="J13" s="22">
        <v>0.19</v>
      </c>
      <c r="K13" s="22">
        <v>0.15</v>
      </c>
      <c r="L13" s="22">
        <v>0.54</v>
      </c>
      <c r="M13" s="22">
        <v>0</v>
      </c>
      <c r="N13" s="22">
        <v>0.11</v>
      </c>
      <c r="Q13" t="s">
        <v>192</v>
      </c>
      <c r="R13">
        <f t="shared" si="5"/>
        <v>359.534303626059</v>
      </c>
      <c r="S13">
        <v>136.4</v>
      </c>
      <c r="T13">
        <f t="shared" si="6"/>
        <v>271.33236661141461</v>
      </c>
      <c r="U13">
        <f t="shared" si="7"/>
        <v>145.37411463623218</v>
      </c>
      <c r="V13">
        <f t="shared" si="8"/>
        <v>177.27812037748907</v>
      </c>
      <c r="X13" s="10">
        <f t="shared" si="0"/>
        <v>223.40481416360683</v>
      </c>
      <c r="Y13" s="10">
        <f t="shared" si="1"/>
        <v>84.75524127903364</v>
      </c>
      <c r="Z13" s="10">
        <f t="shared" si="2"/>
        <v>168.59853518300335</v>
      </c>
      <c r="AA13" s="10">
        <f t="shared" si="3"/>
        <v>90.33151144955832</v>
      </c>
      <c r="AB13" s="10">
        <f t="shared" si="4"/>
        <v>110.15579080709426</v>
      </c>
      <c r="AE13" t="s">
        <v>195</v>
      </c>
      <c r="AF13" s="58">
        <f>INDEX('Year data'!$B$111:$AC$161,MATCH($AE13,'Year data'!$A$111:$A$161,0),MATCH('TCO Inputs'!$AZ$12,'Year data'!$B$110:$AC$110,0))</f>
        <v>3.3631923076923078</v>
      </c>
      <c r="AG13" s="79">
        <f t="shared" si="9"/>
        <v>17.315013881995121</v>
      </c>
      <c r="AH13" s="79">
        <f t="shared" si="10"/>
        <v>23.405078045735692</v>
      </c>
      <c r="AI13">
        <f>'TCO Inputs'!$AZ$16</f>
        <v>5</v>
      </c>
      <c r="AK13">
        <v>12.46</v>
      </c>
      <c r="AL13" s="79">
        <f>INDEX('Year data'!$B$3:$AC$53,MATCH($AE13,'Year data'!$A$3:$A$53,0),MATCH('TCO Inputs'!$AZ$12,'Year data'!$B$2:$AC$2,0))</f>
        <v>13.21</v>
      </c>
      <c r="AM13">
        <v>9.99</v>
      </c>
      <c r="AN13" s="79">
        <f>INDEX('Year data'!$B$57:$AC$161,MATCH($AE13,'Year data'!$A$3:$A$53,0),MATCH('TCO Inputs'!$AZ$12,'Year data'!$B$2:$AC$2,0))</f>
        <v>9.99</v>
      </c>
      <c r="AO13">
        <f t="shared" si="11"/>
        <v>0.75</v>
      </c>
    </row>
    <row r="14" spans="2:48" x14ac:dyDescent="0.25">
      <c r="B14" t="s">
        <v>198</v>
      </c>
      <c r="C14" s="10">
        <v>364.9768369562434</v>
      </c>
      <c r="D14" s="10">
        <v>339.98714888161999</v>
      </c>
      <c r="E14" s="10">
        <v>275.43673059833731</v>
      </c>
      <c r="F14" s="10">
        <v>228.78902551702538</v>
      </c>
      <c r="G14" s="10">
        <v>192.6643086457112</v>
      </c>
      <c r="I14" s="22">
        <v>0.03</v>
      </c>
      <c r="J14" s="22">
        <v>0.33</v>
      </c>
      <c r="K14" s="23">
        <v>0.53</v>
      </c>
      <c r="L14" s="22">
        <v>0</v>
      </c>
      <c r="M14" s="22">
        <v>0</v>
      </c>
      <c r="N14" s="22">
        <v>0.12</v>
      </c>
      <c r="Q14" t="s">
        <v>193</v>
      </c>
      <c r="R14">
        <f t="shared" si="5"/>
        <v>358.56654941598248</v>
      </c>
      <c r="S14">
        <v>136.4</v>
      </c>
      <c r="T14">
        <f t="shared" si="6"/>
        <v>270.60255656027499</v>
      </c>
      <c r="U14">
        <f t="shared" si="7"/>
        <v>130.54184267558691</v>
      </c>
      <c r="V14">
        <f t="shared" si="8"/>
        <v>174.54225305540234</v>
      </c>
      <c r="X14" s="10">
        <f t="shared" si="0"/>
        <v>222.80347808168719</v>
      </c>
      <c r="Y14" s="10">
        <f t="shared" si="1"/>
        <v>84.75524127903364</v>
      </c>
      <c r="Z14" s="10">
        <f t="shared" si="2"/>
        <v>168.14505111429219</v>
      </c>
      <c r="AA14" s="10">
        <f t="shared" si="3"/>
        <v>81.115142030637969</v>
      </c>
      <c r="AB14" s="10">
        <f t="shared" si="4"/>
        <v>108.45579744205845</v>
      </c>
      <c r="AE14" t="s">
        <v>196</v>
      </c>
      <c r="AF14" s="58">
        <f>INDEX('Year data'!$B$111:$AC$161,MATCH($AE14,'Year data'!$A$111:$A$161,0),MATCH('TCO Inputs'!$AZ$12,'Year data'!$B$110:$AC$110,0))</f>
        <v>3.5969230769230762</v>
      </c>
      <c r="AG14" s="79">
        <f t="shared" si="9"/>
        <v>15.225013881995121</v>
      </c>
      <c r="AH14" s="79">
        <f t="shared" si="10"/>
        <v>21.085078045735692</v>
      </c>
      <c r="AI14">
        <f>'TCO Inputs'!$AZ$16</f>
        <v>5</v>
      </c>
      <c r="AK14">
        <v>9.89</v>
      </c>
      <c r="AL14" s="79">
        <f>INDEX('Year data'!$B$3:$AC$53,MATCH($AE14,'Year data'!$A$3:$A$53,0),MATCH('TCO Inputs'!$AZ$12,'Year data'!$B$2:$AC$2,0))</f>
        <v>11.12</v>
      </c>
      <c r="AM14">
        <v>7.67</v>
      </c>
      <c r="AN14" s="79">
        <f>INDEX('Year data'!$B$57:$AC$161,MATCH($AE14,'Year data'!$A$3:$A$53,0),MATCH('TCO Inputs'!$AZ$12,'Year data'!$B$2:$AC$2,0))</f>
        <v>7.67</v>
      </c>
      <c r="AO14">
        <f t="shared" si="11"/>
        <v>1.2299999999999986</v>
      </c>
    </row>
    <row r="15" spans="2:48" x14ac:dyDescent="0.25">
      <c r="B15" t="s">
        <v>199</v>
      </c>
      <c r="C15" s="10">
        <v>356.37026791130063</v>
      </c>
      <c r="D15" s="10">
        <v>297.24839760764775</v>
      </c>
      <c r="E15" s="10">
        <v>268.94628030690473</v>
      </c>
      <c r="F15" s="10">
        <v>96.880562778549958</v>
      </c>
      <c r="G15" s="10">
        <v>168.3333057047073</v>
      </c>
      <c r="I15" s="22">
        <v>0</v>
      </c>
      <c r="J15" s="22">
        <v>0.04</v>
      </c>
      <c r="K15" s="22">
        <v>0.28000000000000003</v>
      </c>
      <c r="L15" s="22">
        <v>0.19</v>
      </c>
      <c r="M15" s="22">
        <v>0</v>
      </c>
      <c r="N15" s="22">
        <v>0.49</v>
      </c>
      <c r="Q15" t="s">
        <v>194</v>
      </c>
      <c r="R15">
        <f t="shared" si="5"/>
        <v>356.93765268490159</v>
      </c>
      <c r="S15">
        <v>136.4</v>
      </c>
      <c r="T15">
        <f t="shared" si="6"/>
        <v>269.37416076076994</v>
      </c>
      <c r="U15">
        <f t="shared" si="7"/>
        <v>105.57657867272053</v>
      </c>
      <c r="V15">
        <f t="shared" si="8"/>
        <v>169.93731794133822</v>
      </c>
      <c r="X15" s="10">
        <f t="shared" si="0"/>
        <v>221.79132606217556</v>
      </c>
      <c r="Y15" s="10">
        <f t="shared" si="1"/>
        <v>84.75524127903364</v>
      </c>
      <c r="Z15" s="10">
        <f t="shared" si="2"/>
        <v>167.3817594546646</v>
      </c>
      <c r="AA15" s="10">
        <f t="shared" si="3"/>
        <v>65.602407615991979</v>
      </c>
      <c r="AB15" s="10">
        <f t="shared" si="4"/>
        <v>105.59441630813764</v>
      </c>
      <c r="AE15" t="s">
        <v>197</v>
      </c>
      <c r="AF15" s="58">
        <f>INDEX('Year data'!$B$111:$AC$161,MATCH($AE15,'Year data'!$A$111:$A$161,0),MATCH('TCO Inputs'!$AZ$12,'Year data'!$B$110:$AC$110,0))</f>
        <v>3.3631923076923078</v>
      </c>
      <c r="AG15" s="79">
        <f t="shared" si="9"/>
        <v>19.92501388199512</v>
      </c>
      <c r="AH15" s="79">
        <f t="shared" si="10"/>
        <v>22.495078045735692</v>
      </c>
      <c r="AI15">
        <f>'TCO Inputs'!$AZ$16</f>
        <v>5</v>
      </c>
      <c r="AK15">
        <v>13.03</v>
      </c>
      <c r="AL15" s="79">
        <f>INDEX('Year data'!$B$3:$AC$53,MATCH($AE15,'Year data'!$A$3:$A$53,0),MATCH('TCO Inputs'!$AZ$12,'Year data'!$B$2:$AC$2,0))</f>
        <v>15.82</v>
      </c>
      <c r="AM15">
        <v>9.08</v>
      </c>
      <c r="AN15" s="79">
        <f>INDEX('Year data'!$B$57:$AC$161,MATCH($AE15,'Year data'!$A$3:$A$53,0),MATCH('TCO Inputs'!$AZ$12,'Year data'!$B$2:$AC$2,0))</f>
        <v>9.08</v>
      </c>
      <c r="AO15">
        <f t="shared" si="11"/>
        <v>2.7900000000000009</v>
      </c>
    </row>
    <row r="16" spans="2:48" x14ac:dyDescent="0.25">
      <c r="B16" t="s">
        <v>157</v>
      </c>
      <c r="C16" s="10">
        <v>366.65273442953185</v>
      </c>
      <c r="D16" s="10">
        <v>348.3093692113444</v>
      </c>
      <c r="E16" s="10">
        <v>276.70057094948254</v>
      </c>
      <c r="F16" s="10">
        <v>254.47464471719269</v>
      </c>
      <c r="G16" s="10">
        <v>197.4021159349364</v>
      </c>
      <c r="I16" s="22">
        <v>0</v>
      </c>
      <c r="J16" s="22">
        <v>0.25</v>
      </c>
      <c r="K16" s="23">
        <v>0.68</v>
      </c>
      <c r="L16" s="22">
        <v>0</v>
      </c>
      <c r="M16" s="22">
        <v>0</v>
      </c>
      <c r="N16" s="22">
        <v>0.06</v>
      </c>
      <c r="Q16" t="s">
        <v>195</v>
      </c>
      <c r="R16">
        <f t="shared" si="5"/>
        <v>358.5018924232146</v>
      </c>
      <c r="S16">
        <v>136.4</v>
      </c>
      <c r="T16">
        <f t="shared" si="6"/>
        <v>270.55379694475783</v>
      </c>
      <c r="U16">
        <f t="shared" si="7"/>
        <v>129.55087679658257</v>
      </c>
      <c r="V16">
        <f t="shared" si="8"/>
        <v>174.3594657399247</v>
      </c>
      <c r="X16" s="10">
        <f t="shared" si="0"/>
        <v>222.76330198914746</v>
      </c>
      <c r="Y16" s="10">
        <f t="shared" si="1"/>
        <v>84.75524127903364</v>
      </c>
      <c r="Z16" s="10">
        <f t="shared" si="2"/>
        <v>168.11475321856031</v>
      </c>
      <c r="AA16" s="10">
        <f t="shared" si="3"/>
        <v>80.499382850474461</v>
      </c>
      <c r="AB16" s="10">
        <f t="shared" si="4"/>
        <v>108.34221838761523</v>
      </c>
      <c r="AE16" t="s">
        <v>198</v>
      </c>
      <c r="AF16" s="58">
        <f>INDEX('Year data'!$B$111:$AC$161,MATCH($AE16,'Year data'!$A$111:$A$161,0),MATCH('TCO Inputs'!$AZ$12,'Year data'!$B$110:$AC$110,0))</f>
        <v>3.3631923076923078</v>
      </c>
      <c r="AG16" s="79">
        <f t="shared" si="9"/>
        <v>19.045013881995121</v>
      </c>
      <c r="AH16" s="79">
        <f t="shared" si="10"/>
        <v>24.445078045735691</v>
      </c>
      <c r="AI16">
        <f>'TCO Inputs'!$AZ$16</f>
        <v>5</v>
      </c>
      <c r="AK16">
        <v>12.58</v>
      </c>
      <c r="AL16" s="79">
        <f>INDEX('Year data'!$B$3:$AC$53,MATCH($AE16,'Year data'!$A$3:$A$53,0),MATCH('TCO Inputs'!$AZ$12,'Year data'!$B$2:$AC$2,0))</f>
        <v>14.94</v>
      </c>
      <c r="AM16">
        <v>11.03</v>
      </c>
      <c r="AN16" s="79">
        <f>INDEX('Year data'!$B$57:$AC$161,MATCH($AE16,'Year data'!$A$3:$A$53,0),MATCH('TCO Inputs'!$AZ$12,'Year data'!$B$2:$AC$2,0))</f>
        <v>11.03</v>
      </c>
      <c r="AO16">
        <f t="shared" si="11"/>
        <v>2.3599999999999994</v>
      </c>
    </row>
    <row r="17" spans="2:41" x14ac:dyDescent="0.25">
      <c r="B17" t="s">
        <v>200</v>
      </c>
      <c r="C17" s="10">
        <v>359.85875710929741</v>
      </c>
      <c r="D17" s="10">
        <v>314.57163947503136</v>
      </c>
      <c r="E17" s="10">
        <v>271.57704590159915</v>
      </c>
      <c r="F17" s="10">
        <v>150.34684656272725</v>
      </c>
      <c r="G17" s="10">
        <v>178.19535914003353</v>
      </c>
      <c r="I17" s="22">
        <v>0.18</v>
      </c>
      <c r="J17" s="22">
        <v>0.61</v>
      </c>
      <c r="K17" s="22">
        <v>0</v>
      </c>
      <c r="L17" s="22">
        <v>0.2</v>
      </c>
      <c r="M17" s="22">
        <v>0</v>
      </c>
      <c r="N17" s="22">
        <v>0.02</v>
      </c>
      <c r="Q17" t="s">
        <v>196</v>
      </c>
      <c r="R17">
        <f t="shared" si="5"/>
        <v>351.85916415710841</v>
      </c>
      <c r="S17">
        <v>136.4</v>
      </c>
      <c r="T17">
        <f t="shared" si="6"/>
        <v>265.54433296607851</v>
      </c>
      <c r="U17">
        <f t="shared" si="7"/>
        <v>27.74119356758353</v>
      </c>
      <c r="V17">
        <f t="shared" si="8"/>
        <v>155.58029380051039</v>
      </c>
      <c r="X17" s="10">
        <f t="shared" si="0"/>
        <v>218.63569174761605</v>
      </c>
      <c r="Y17" s="10">
        <f t="shared" si="1"/>
        <v>84.75524127903364</v>
      </c>
      <c r="Z17" s="10">
        <f t="shared" si="2"/>
        <v>165.00200887697972</v>
      </c>
      <c r="AA17" s="10">
        <f t="shared" si="3"/>
        <v>17.237621365021393</v>
      </c>
      <c r="AB17" s="10">
        <f t="shared" si="4"/>
        <v>96.6733529276041</v>
      </c>
      <c r="AE17" t="s">
        <v>199</v>
      </c>
      <c r="AF17" s="58">
        <f>INDEX('Year data'!$B$111:$AC$161,MATCH($AE17,'Year data'!$A$111:$A$161,0),MATCH('TCO Inputs'!$AZ$12,'Year data'!$B$110:$AC$110,0))</f>
        <v>3.3631923076923078</v>
      </c>
      <c r="AG17" s="79">
        <f t="shared" si="9"/>
        <v>17.725013881995121</v>
      </c>
      <c r="AH17" s="79">
        <f t="shared" si="10"/>
        <v>23.705078045735689</v>
      </c>
      <c r="AI17">
        <f>'TCO Inputs'!$AZ$16</f>
        <v>5</v>
      </c>
      <c r="AK17">
        <v>12.71</v>
      </c>
      <c r="AL17" s="79">
        <f>INDEX('Year data'!$B$3:$AC$53,MATCH($AE17,'Year data'!$A$3:$A$53,0),MATCH('TCO Inputs'!$AZ$12,'Year data'!$B$2:$AC$2,0))</f>
        <v>13.62</v>
      </c>
      <c r="AM17">
        <v>10.29</v>
      </c>
      <c r="AN17" s="79">
        <f>INDEX('Year data'!$B$57:$AC$161,MATCH($AE17,'Year data'!$A$3:$A$53,0),MATCH('TCO Inputs'!$AZ$12,'Year data'!$B$2:$AC$2,0))</f>
        <v>10.29</v>
      </c>
      <c r="AO17">
        <f t="shared" si="11"/>
        <v>0.90999999999999837</v>
      </c>
    </row>
    <row r="18" spans="2:41" x14ac:dyDescent="0.25">
      <c r="B18" t="s">
        <v>201</v>
      </c>
      <c r="C18" s="10">
        <v>355.64411003616283</v>
      </c>
      <c r="D18" s="10">
        <v>293.64242208626774</v>
      </c>
      <c r="E18" s="10">
        <v>268.39866469286585</v>
      </c>
      <c r="F18" s="10">
        <v>85.751115294881359</v>
      </c>
      <c r="G18" s="10">
        <v>166.2804380284044</v>
      </c>
      <c r="I18" s="22">
        <v>0</v>
      </c>
      <c r="J18" s="22">
        <v>0.55000000000000004</v>
      </c>
      <c r="K18" s="22">
        <v>0</v>
      </c>
      <c r="L18" s="22">
        <v>0</v>
      </c>
      <c r="M18" s="22">
        <v>0</v>
      </c>
      <c r="N18" s="22">
        <v>0.45</v>
      </c>
      <c r="Q18" t="s">
        <v>197</v>
      </c>
      <c r="R18">
        <f t="shared" si="5"/>
        <v>355.09551422804282</v>
      </c>
      <c r="S18">
        <v>136.4</v>
      </c>
      <c r="T18">
        <f t="shared" si="6"/>
        <v>267.98495351433485</v>
      </c>
      <c r="U18">
        <f t="shared" si="7"/>
        <v>77.343068224286569</v>
      </c>
      <c r="V18">
        <f t="shared" si="8"/>
        <v>164.72954270442602</v>
      </c>
      <c r="X18" s="10">
        <f t="shared" si="0"/>
        <v>220.64667144794936</v>
      </c>
      <c r="Y18" s="10">
        <f t="shared" si="1"/>
        <v>84.75524127903364</v>
      </c>
      <c r="Z18" s="10">
        <f t="shared" si="2"/>
        <v>166.51854394617348</v>
      </c>
      <c r="AA18" s="10">
        <f t="shared" si="3"/>
        <v>48.058873963417653</v>
      </c>
      <c r="AB18" s="10">
        <f t="shared" si="4"/>
        <v>102.35844675732041</v>
      </c>
      <c r="AE18" t="s">
        <v>157</v>
      </c>
      <c r="AF18" s="58">
        <f>INDEX('Year data'!$B$111:$AC$161,MATCH($AE18,'Year data'!$A$111:$A$161,0),MATCH('TCO Inputs'!$AZ$12,'Year data'!$B$110:$AC$110,0))</f>
        <v>3.3631923076923078</v>
      </c>
      <c r="AG18" s="79">
        <f t="shared" si="9"/>
        <v>16.595013881995122</v>
      </c>
      <c r="AH18" s="79">
        <f t="shared" si="10"/>
        <v>23.565078045735692</v>
      </c>
      <c r="AI18">
        <f>'TCO Inputs'!$AZ$16</f>
        <v>5</v>
      </c>
      <c r="AK18">
        <v>10.8</v>
      </c>
      <c r="AL18" s="79">
        <f>INDEX('Year data'!$B$3:$AC$53,MATCH($AE18,'Year data'!$A$3:$A$53,0),MATCH('TCO Inputs'!$AZ$12,'Year data'!$B$2:$AC$2,0))</f>
        <v>12.49</v>
      </c>
      <c r="AM18">
        <v>10.15</v>
      </c>
      <c r="AN18" s="79">
        <f>INDEX('Year data'!$B$57:$AC$161,MATCH($AE18,'Year data'!$A$3:$A$53,0),MATCH('TCO Inputs'!$AZ$12,'Year data'!$B$2:$AC$2,0))</f>
        <v>10.15</v>
      </c>
      <c r="AO18">
        <f t="shared" si="11"/>
        <v>1.6899999999999995</v>
      </c>
    </row>
    <row r="19" spans="2:41" x14ac:dyDescent="0.25">
      <c r="B19" t="s">
        <v>202</v>
      </c>
      <c r="C19" s="10">
        <v>353.95266573558285</v>
      </c>
      <c r="D19" s="10">
        <v>285.24299859865539</v>
      </c>
      <c r="E19" s="10">
        <v>267.12310005191375</v>
      </c>
      <c r="F19" s="10">
        <v>59.827217027350201</v>
      </c>
      <c r="G19" s="10">
        <v>161.49867928515616</v>
      </c>
      <c r="I19" s="22">
        <v>0</v>
      </c>
      <c r="J19" s="22">
        <v>0.36</v>
      </c>
      <c r="K19" s="22">
        <v>0.01</v>
      </c>
      <c r="L19" s="22">
        <v>0.24</v>
      </c>
      <c r="M19" s="22">
        <v>0</v>
      </c>
      <c r="N19" s="22">
        <v>0.39</v>
      </c>
      <c r="Q19" t="s">
        <v>198</v>
      </c>
      <c r="R19">
        <f t="shared" si="5"/>
        <v>364.9768369562434</v>
      </c>
      <c r="S19">
        <v>136.4</v>
      </c>
      <c r="T19">
        <f t="shared" si="6"/>
        <v>275.43673059833731</v>
      </c>
      <c r="U19">
        <f t="shared" si="7"/>
        <v>228.78902551702538</v>
      </c>
      <c r="V19">
        <f t="shared" si="8"/>
        <v>192.6643086457112</v>
      </c>
      <c r="X19" s="10">
        <f t="shared" si="0"/>
        <v>226.78665599329128</v>
      </c>
      <c r="Y19" s="10">
        <f t="shared" si="1"/>
        <v>84.75524127903364</v>
      </c>
      <c r="Z19" s="10">
        <f t="shared" si="2"/>
        <v>171.14887506576443</v>
      </c>
      <c r="AA19" s="10">
        <f t="shared" si="3"/>
        <v>142.16326290095654</v>
      </c>
      <c r="AB19" s="10">
        <f t="shared" si="4"/>
        <v>119.7163487179286</v>
      </c>
      <c r="AE19" t="s">
        <v>200</v>
      </c>
      <c r="AF19" s="58">
        <f>INDEX('Year data'!$B$111:$AC$161,MATCH($AE19,'Year data'!$A$111:$A$161,0),MATCH('TCO Inputs'!$AZ$12,'Year data'!$B$110:$AC$110,0))</f>
        <v>3.0905000000000005</v>
      </c>
      <c r="AG19" s="79">
        <f t="shared" si="9"/>
        <v>15.635013881995121</v>
      </c>
      <c r="AH19" s="79">
        <f t="shared" si="10"/>
        <v>22.325078045735694</v>
      </c>
      <c r="AI19">
        <f>'TCO Inputs'!$AZ$16</f>
        <v>5</v>
      </c>
      <c r="AK19">
        <v>9.8000000000000007</v>
      </c>
      <c r="AL19" s="79">
        <f>INDEX('Year data'!$B$3:$AC$53,MATCH($AE19,'Year data'!$A$3:$A$53,0),MATCH('TCO Inputs'!$AZ$12,'Year data'!$B$2:$AC$2,0))</f>
        <v>11.53</v>
      </c>
      <c r="AM19">
        <v>8.91</v>
      </c>
      <c r="AN19" s="79">
        <f>INDEX('Year data'!$B$57:$AC$161,MATCH($AE19,'Year data'!$A$3:$A$53,0),MATCH('TCO Inputs'!$AZ$12,'Year data'!$B$2:$AC$2,0))</f>
        <v>8.91</v>
      </c>
      <c r="AO19">
        <f t="shared" si="11"/>
        <v>1.7299999999999986</v>
      </c>
    </row>
    <row r="20" spans="2:41" x14ac:dyDescent="0.25">
      <c r="B20" t="s">
        <v>203</v>
      </c>
      <c r="C20" s="10">
        <v>352.34397347766992</v>
      </c>
      <c r="D20" s="10">
        <v>277.25450769302154</v>
      </c>
      <c r="E20" s="10">
        <v>265.90994100099886</v>
      </c>
      <c r="F20" s="10">
        <v>35.171617049745024</v>
      </c>
      <c r="G20" s="10">
        <v>156.95086284397877</v>
      </c>
      <c r="I20" s="22">
        <v>0</v>
      </c>
      <c r="J20" s="22">
        <v>0.21</v>
      </c>
      <c r="K20" s="22">
        <v>0</v>
      </c>
      <c r="L20" s="22">
        <v>0</v>
      </c>
      <c r="M20" s="22">
        <v>0</v>
      </c>
      <c r="N20" s="22">
        <v>0.79</v>
      </c>
      <c r="Q20" t="s">
        <v>199</v>
      </c>
      <c r="R20">
        <f t="shared" si="5"/>
        <v>356.37026791130063</v>
      </c>
      <c r="S20">
        <v>136.4</v>
      </c>
      <c r="T20">
        <f t="shared" si="6"/>
        <v>268.94628030690473</v>
      </c>
      <c r="U20">
        <f t="shared" si="7"/>
        <v>96.880562778549958</v>
      </c>
      <c r="V20">
        <f t="shared" si="8"/>
        <v>168.3333057047073</v>
      </c>
      <c r="X20" s="10">
        <f t="shared" si="0"/>
        <v>221.43876863266968</v>
      </c>
      <c r="Y20" s="10">
        <f t="shared" si="1"/>
        <v>84.75524127903364</v>
      </c>
      <c r="Z20" s="10">
        <f t="shared" si="2"/>
        <v>167.11588620608742</v>
      </c>
      <c r="AA20" s="10">
        <f t="shared" si="3"/>
        <v>60.198940421880991</v>
      </c>
      <c r="AB20" s="10">
        <f t="shared" si="4"/>
        <v>104.59772683504251</v>
      </c>
      <c r="AE20" t="s">
        <v>201</v>
      </c>
      <c r="AF20" s="58">
        <f>INDEX('Year data'!$B$111:$AC$161,MATCH($AE20,'Year data'!$A$111:$A$161,0),MATCH('TCO Inputs'!$AZ$12,'Year data'!$B$110:$AC$110,0))</f>
        <v>3.4698076923076924</v>
      </c>
      <c r="AG20" s="79">
        <f t="shared" si="9"/>
        <v>33.505013881995119</v>
      </c>
      <c r="AH20" s="79">
        <f t="shared" si="10"/>
        <v>30.215078045735694</v>
      </c>
      <c r="AI20">
        <f>'TCO Inputs'!$AZ$16</f>
        <v>5</v>
      </c>
      <c r="AK20">
        <v>21.92</v>
      </c>
      <c r="AL20" s="79">
        <f>INDEX('Year data'!$B$3:$AC$53,MATCH($AE20,'Year data'!$A$3:$A$53,0),MATCH('TCO Inputs'!$AZ$12,'Year data'!$B$2:$AC$2,0))</f>
        <v>29.4</v>
      </c>
      <c r="AM20">
        <v>16.8</v>
      </c>
      <c r="AN20" s="79">
        <f>INDEX('Year data'!$B$57:$AC$161,MATCH($AE20,'Year data'!$A$3:$A$53,0),MATCH('TCO Inputs'!$AZ$12,'Year data'!$B$2:$AC$2,0))</f>
        <v>16.8</v>
      </c>
      <c r="AO20">
        <f t="shared" si="11"/>
        <v>7.4799999999999969</v>
      </c>
    </row>
    <row r="21" spans="2:41" x14ac:dyDescent="0.25">
      <c r="B21" t="s">
        <v>204</v>
      </c>
      <c r="C21" s="10">
        <v>359.73786466484461</v>
      </c>
      <c r="D21" s="10">
        <v>313.97130773971088</v>
      </c>
      <c r="E21" s="10">
        <v>271.48587758618413</v>
      </c>
      <c r="F21" s="10">
        <v>148.49398858668548</v>
      </c>
      <c r="G21" s="10">
        <v>177.85359264517214</v>
      </c>
      <c r="I21" s="22">
        <v>0.04</v>
      </c>
      <c r="J21" s="22">
        <v>0.22</v>
      </c>
      <c r="K21" s="22">
        <v>0.32</v>
      </c>
      <c r="L21" s="22">
        <v>0.28000000000000003</v>
      </c>
      <c r="M21" s="22">
        <v>0</v>
      </c>
      <c r="N21" s="22">
        <v>0.14000000000000001</v>
      </c>
      <c r="Q21" t="s">
        <v>200</v>
      </c>
      <c r="R21">
        <f t="shared" si="5"/>
        <v>359.85875710929741</v>
      </c>
      <c r="S21">
        <v>136.4</v>
      </c>
      <c r="T21">
        <f t="shared" si="6"/>
        <v>271.57704590159915</v>
      </c>
      <c r="U21">
        <f t="shared" si="7"/>
        <v>150.34684656272725</v>
      </c>
      <c r="V21">
        <f t="shared" si="8"/>
        <v>178.19535914003353</v>
      </c>
      <c r="X21" s="10">
        <f t="shared" si="0"/>
        <v>223.60642071240224</v>
      </c>
      <c r="Y21" s="10">
        <f t="shared" si="1"/>
        <v>84.75524127903364</v>
      </c>
      <c r="Z21" s="10">
        <f t="shared" si="2"/>
        <v>168.75057222314686</v>
      </c>
      <c r="AA21" s="10">
        <f t="shared" si="3"/>
        <v>93.421431495350419</v>
      </c>
      <c r="AB21" s="10">
        <f t="shared" si="4"/>
        <v>110.72573796713779</v>
      </c>
      <c r="AE21" t="s">
        <v>202</v>
      </c>
      <c r="AF21" s="58">
        <f>INDEX('Year data'!$B$111:$AC$161,MATCH($AE21,'Year data'!$A$111:$A$161,0),MATCH('TCO Inputs'!$AZ$12,'Year data'!$B$110:$AC$110,0))</f>
        <v>3.561634615384615</v>
      </c>
      <c r="AG21" s="79">
        <f t="shared" si="9"/>
        <v>20.69501388199512</v>
      </c>
      <c r="AH21" s="79">
        <f t="shared" si="10"/>
        <v>23.385078045735693</v>
      </c>
      <c r="AI21">
        <f>'TCO Inputs'!$AZ$16</f>
        <v>5</v>
      </c>
      <c r="AK21">
        <v>13.12</v>
      </c>
      <c r="AL21" s="79">
        <f>INDEX('Year data'!$B$3:$AC$53,MATCH($AE21,'Year data'!$A$3:$A$53,0),MATCH('TCO Inputs'!$AZ$12,'Year data'!$B$2:$AC$2,0))</f>
        <v>16.59</v>
      </c>
      <c r="AM21">
        <v>9.9700000000000006</v>
      </c>
      <c r="AN21" s="79">
        <f>INDEX('Year data'!$B$57:$AC$161,MATCH($AE21,'Year data'!$A$3:$A$53,0),MATCH('TCO Inputs'!$AZ$12,'Year data'!$B$2:$AC$2,0))</f>
        <v>9.9700000000000006</v>
      </c>
      <c r="AO21">
        <f t="shared" si="11"/>
        <v>3.4700000000000006</v>
      </c>
    </row>
    <row r="22" spans="2:41" x14ac:dyDescent="0.25">
      <c r="B22" t="s">
        <v>205</v>
      </c>
      <c r="C22" s="10">
        <v>356.40493509098422</v>
      </c>
      <c r="D22" s="10">
        <v>297.42054898888961</v>
      </c>
      <c r="E22" s="10">
        <v>268.9724237800246</v>
      </c>
      <c r="F22" s="10">
        <v>97.411889112465872</v>
      </c>
      <c r="G22" s="10">
        <v>168.43131080870398</v>
      </c>
      <c r="I22" s="22">
        <v>0</v>
      </c>
      <c r="J22" s="22">
        <v>0.17</v>
      </c>
      <c r="K22" s="22">
        <v>0.22</v>
      </c>
      <c r="L22" s="22">
        <v>0.19</v>
      </c>
      <c r="M22" s="22">
        <v>0</v>
      </c>
      <c r="N22" s="22">
        <v>0.41</v>
      </c>
      <c r="Q22" t="s">
        <v>201</v>
      </c>
      <c r="R22">
        <f t="shared" si="5"/>
        <v>355.64411003616283</v>
      </c>
      <c r="S22">
        <v>136.4</v>
      </c>
      <c r="T22">
        <f t="shared" si="6"/>
        <v>268.39866469286585</v>
      </c>
      <c r="U22">
        <f t="shared" si="7"/>
        <v>85.751115294881359</v>
      </c>
      <c r="V22">
        <f t="shared" si="8"/>
        <v>166.2804380284044</v>
      </c>
      <c r="X22" s="10">
        <f t="shared" si="0"/>
        <v>220.98755392655551</v>
      </c>
      <c r="Y22" s="10">
        <f t="shared" si="1"/>
        <v>84.75524127903364</v>
      </c>
      <c r="Z22" s="10">
        <f t="shared" si="2"/>
        <v>166.77561279335993</v>
      </c>
      <c r="AA22" s="10">
        <f t="shared" si="3"/>
        <v>53.283405181553533</v>
      </c>
      <c r="AB22" s="10">
        <f t="shared" si="4"/>
        <v>103.32213082903824</v>
      </c>
      <c r="AE22" t="s">
        <v>203</v>
      </c>
      <c r="AF22" s="58">
        <f>INDEX('Year data'!$B$111:$AC$161,MATCH($AE22,'Year data'!$A$111:$A$161,0),MATCH('TCO Inputs'!$AZ$12,'Year data'!$B$110:$AC$110,0))</f>
        <v>3.4698076923076924</v>
      </c>
      <c r="AG22" s="79">
        <f t="shared" si="9"/>
        <v>31.565013881995121</v>
      </c>
      <c r="AH22" s="79">
        <f t="shared" si="10"/>
        <v>26.245078045735692</v>
      </c>
      <c r="AI22">
        <f>'TCO Inputs'!$AZ$16</f>
        <v>5</v>
      </c>
      <c r="AK22">
        <v>17.89</v>
      </c>
      <c r="AL22" s="79">
        <f>INDEX('Year data'!$B$3:$AC$53,MATCH($AE22,'Year data'!$A$3:$A$53,0),MATCH('TCO Inputs'!$AZ$12,'Year data'!$B$2:$AC$2,0))</f>
        <v>27.46</v>
      </c>
      <c r="AM22">
        <v>12.83</v>
      </c>
      <c r="AN22" s="79">
        <f>INDEX('Year data'!$B$57:$AC$161,MATCH($AE22,'Year data'!$A$3:$A$53,0),MATCH('TCO Inputs'!$AZ$12,'Year data'!$B$2:$AC$2,0))</f>
        <v>12.83</v>
      </c>
      <c r="AO22">
        <f t="shared" si="11"/>
        <v>9.57</v>
      </c>
    </row>
    <row r="23" spans="2:41" x14ac:dyDescent="0.25">
      <c r="B23" t="s">
        <v>206</v>
      </c>
      <c r="C23" s="10">
        <v>364.43254214527389</v>
      </c>
      <c r="D23" s="10">
        <v>337.28427366593615</v>
      </c>
      <c r="E23" s="10">
        <v>275.026262919982</v>
      </c>
      <c r="F23" s="10">
        <v>220.44689796321805</v>
      </c>
      <c r="G23" s="10">
        <v>191.12557242011587</v>
      </c>
      <c r="I23" s="22">
        <v>0</v>
      </c>
      <c r="J23" s="22">
        <v>0.13</v>
      </c>
      <c r="K23" s="23">
        <v>0.63</v>
      </c>
      <c r="L23" s="22">
        <v>0.12</v>
      </c>
      <c r="M23" s="22">
        <v>0</v>
      </c>
      <c r="N23" s="22">
        <v>0.12</v>
      </c>
      <c r="Q23" t="s">
        <v>202</v>
      </c>
      <c r="R23">
        <f t="shared" si="5"/>
        <v>353.95266573558285</v>
      </c>
      <c r="S23">
        <v>136.4</v>
      </c>
      <c r="T23">
        <f t="shared" si="6"/>
        <v>267.12310005191375</v>
      </c>
      <c r="U23">
        <f t="shared" si="7"/>
        <v>59.827217027350201</v>
      </c>
      <c r="V23">
        <f t="shared" si="8"/>
        <v>161.49867928515616</v>
      </c>
      <c r="X23" s="10">
        <f t="shared" si="0"/>
        <v>219.9365365526134</v>
      </c>
      <c r="Y23" s="10">
        <f t="shared" si="1"/>
        <v>84.75524127903364</v>
      </c>
      <c r="Z23" s="10">
        <f t="shared" si="2"/>
        <v>165.98301170163779</v>
      </c>
      <c r="AA23" s="10">
        <f t="shared" si="3"/>
        <v>37.17500157042651</v>
      </c>
      <c r="AB23" s="10">
        <f t="shared" si="4"/>
        <v>100.35087631274693</v>
      </c>
      <c r="AE23" t="s">
        <v>204</v>
      </c>
      <c r="AF23" s="58">
        <f>INDEX('Year data'!$B$111:$AC$161,MATCH($AE23,'Year data'!$A$111:$A$161,0),MATCH('TCO Inputs'!$AZ$12,'Year data'!$B$110:$AC$110,0))</f>
        <v>3.3631923076923078</v>
      </c>
      <c r="AG23" s="79">
        <f t="shared" si="9"/>
        <v>22.805013881995119</v>
      </c>
      <c r="AH23" s="79">
        <f t="shared" si="10"/>
        <v>24.805078045735691</v>
      </c>
      <c r="AI23">
        <f>'TCO Inputs'!$AZ$16</f>
        <v>5</v>
      </c>
      <c r="AK23">
        <v>15.74</v>
      </c>
      <c r="AL23" s="79">
        <f>INDEX('Year data'!$B$3:$AC$53,MATCH($AE23,'Year data'!$A$3:$A$53,0),MATCH('TCO Inputs'!$AZ$12,'Year data'!$B$2:$AC$2,0))</f>
        <v>18.7</v>
      </c>
      <c r="AM23">
        <v>11.39</v>
      </c>
      <c r="AN23" s="79">
        <f>INDEX('Year data'!$B$57:$AC$161,MATCH($AE23,'Year data'!$A$3:$A$53,0),MATCH('TCO Inputs'!$AZ$12,'Year data'!$B$2:$AC$2,0))</f>
        <v>11.39</v>
      </c>
      <c r="AO23">
        <f t="shared" si="11"/>
        <v>2.9599999999999991</v>
      </c>
    </row>
    <row r="24" spans="2:41" x14ac:dyDescent="0.25">
      <c r="B24" t="s">
        <v>207</v>
      </c>
      <c r="C24" s="10">
        <v>358.66317962140073</v>
      </c>
      <c r="D24" s="10">
        <v>308.63460584472807</v>
      </c>
      <c r="E24" s="10">
        <v>270.67542805432134</v>
      </c>
      <c r="F24" s="10">
        <v>132.02284419903378</v>
      </c>
      <c r="G24" s="10">
        <v>174.81542925406799</v>
      </c>
      <c r="I24" s="22">
        <v>0.01</v>
      </c>
      <c r="J24" s="22">
        <v>0.78</v>
      </c>
      <c r="K24" s="22">
        <v>0.03</v>
      </c>
      <c r="L24" s="22">
        <v>0.18</v>
      </c>
      <c r="M24" s="22">
        <v>0</v>
      </c>
      <c r="N24" s="22">
        <v>0.01</v>
      </c>
      <c r="Q24" t="s">
        <v>203</v>
      </c>
      <c r="R24">
        <f t="shared" si="5"/>
        <v>352.34397347766992</v>
      </c>
      <c r="S24">
        <v>136.4</v>
      </c>
      <c r="T24">
        <f t="shared" si="6"/>
        <v>265.90994100099886</v>
      </c>
      <c r="U24">
        <f t="shared" si="7"/>
        <v>35.171617049745024</v>
      </c>
      <c r="V24">
        <f t="shared" si="8"/>
        <v>156.95086284397877</v>
      </c>
      <c r="X24" s="10">
        <f t="shared" si="0"/>
        <v>218.93693904188669</v>
      </c>
      <c r="Y24" s="10">
        <f t="shared" si="1"/>
        <v>84.75524127903364</v>
      </c>
      <c r="Z24" s="10">
        <f t="shared" si="2"/>
        <v>165.22918774217931</v>
      </c>
      <c r="AA24" s="10">
        <f t="shared" si="3"/>
        <v>21.854683938599067</v>
      </c>
      <c r="AB24" s="10">
        <f t="shared" si="4"/>
        <v>97.524987164911565</v>
      </c>
      <c r="AE24" t="s">
        <v>205</v>
      </c>
      <c r="AF24" s="58">
        <f>INDEX('Year data'!$B$111:$AC$161,MATCH($AE24,'Year data'!$A$111:$A$161,0),MATCH('TCO Inputs'!$AZ$12,'Year data'!$B$110:$AC$110,0))</f>
        <v>3.3631923076923078</v>
      </c>
      <c r="AG24" s="79">
        <f t="shared" si="9"/>
        <v>18.67501388199512</v>
      </c>
      <c r="AH24" s="79">
        <f t="shared" si="10"/>
        <v>23.755078045735694</v>
      </c>
      <c r="AI24">
        <f>'TCO Inputs'!$AZ$16</f>
        <v>5</v>
      </c>
      <c r="AK24">
        <v>13.04</v>
      </c>
      <c r="AL24" s="79">
        <f>INDEX('Year data'!$B$3:$AC$53,MATCH($AE24,'Year data'!$A$3:$A$53,0),MATCH('TCO Inputs'!$AZ$12,'Year data'!$B$2:$AC$2,0))</f>
        <v>14.57</v>
      </c>
      <c r="AM24">
        <v>10.34</v>
      </c>
      <c r="AN24" s="79">
        <f>INDEX('Year data'!$B$57:$AC$161,MATCH($AE24,'Year data'!$A$3:$A$53,0),MATCH('TCO Inputs'!$AZ$12,'Year data'!$B$2:$AC$2,0))</f>
        <v>10.34</v>
      </c>
      <c r="AO24">
        <f t="shared" si="11"/>
        <v>1.5300000000000011</v>
      </c>
    </row>
    <row r="25" spans="2:41" x14ac:dyDescent="0.25">
      <c r="B25" t="s">
        <v>208</v>
      </c>
      <c r="C25" s="10">
        <v>350.91978749048826</v>
      </c>
      <c r="D25" s="10">
        <v>270.18224332682195</v>
      </c>
      <c r="E25" s="10">
        <v>264.83592320049229</v>
      </c>
      <c r="F25" s="10">
        <v>13.343849677373038</v>
      </c>
      <c r="G25" s="10">
        <v>152.92465056672975</v>
      </c>
      <c r="I25" s="22">
        <v>0</v>
      </c>
      <c r="J25" s="22">
        <v>0</v>
      </c>
      <c r="K25" s="22">
        <v>0.03</v>
      </c>
      <c r="L25" s="22">
        <v>0</v>
      </c>
      <c r="M25" s="22">
        <v>0</v>
      </c>
      <c r="N25" s="22">
        <v>0.97</v>
      </c>
      <c r="Q25" t="s">
        <v>204</v>
      </c>
      <c r="R25">
        <f t="shared" si="5"/>
        <v>359.73786466484461</v>
      </c>
      <c r="S25">
        <v>136.4</v>
      </c>
      <c r="T25">
        <f t="shared" si="6"/>
        <v>271.48587758618413</v>
      </c>
      <c r="U25">
        <f t="shared" si="7"/>
        <v>148.49398858668548</v>
      </c>
      <c r="V25">
        <f t="shared" si="8"/>
        <v>177.85359264517214</v>
      </c>
      <c r="X25" s="10">
        <f t="shared" si="0"/>
        <v>223.53130144335231</v>
      </c>
      <c r="Y25" s="10">
        <f t="shared" si="1"/>
        <v>84.75524127903364</v>
      </c>
      <c r="Z25" s="10">
        <f t="shared" si="2"/>
        <v>168.69392271750166</v>
      </c>
      <c r="AA25" s="10">
        <f t="shared" si="3"/>
        <v>92.270116064153925</v>
      </c>
      <c r="AB25" s="10">
        <f t="shared" si="4"/>
        <v>110.51337358493056</v>
      </c>
      <c r="AE25" t="s">
        <v>206</v>
      </c>
      <c r="AF25" s="58">
        <f>INDEX('Year data'!$B$111:$AC$161,MATCH($AE25,'Year data'!$A$111:$A$161,0),MATCH('TCO Inputs'!$AZ$12,'Year data'!$B$110:$AC$110,0))</f>
        <v>3.3631923076923078</v>
      </c>
      <c r="AG25" s="79">
        <f t="shared" si="9"/>
        <v>16.87501388199512</v>
      </c>
      <c r="AH25" s="79">
        <f t="shared" si="10"/>
        <v>22.48507804573569</v>
      </c>
      <c r="AI25">
        <f>'TCO Inputs'!$AZ$16</f>
        <v>5</v>
      </c>
      <c r="AK25">
        <v>11.14</v>
      </c>
      <c r="AL25" s="79">
        <f>INDEX('Year data'!$B$3:$AC$53,MATCH($AE25,'Year data'!$A$3:$A$53,0),MATCH('TCO Inputs'!$AZ$12,'Year data'!$B$2:$AC$2,0))</f>
        <v>12.77</v>
      </c>
      <c r="AM25">
        <v>9.07</v>
      </c>
      <c r="AN25" s="79">
        <f>INDEX('Year data'!$B$57:$AC$161,MATCH($AE25,'Year data'!$A$3:$A$53,0),MATCH('TCO Inputs'!$AZ$12,'Year data'!$B$2:$AC$2,0))</f>
        <v>9.07</v>
      </c>
      <c r="AO25">
        <f t="shared" si="11"/>
        <v>1.629999999999999</v>
      </c>
    </row>
    <row r="26" spans="2:41" x14ac:dyDescent="0.25">
      <c r="B26" t="s">
        <v>209</v>
      </c>
      <c r="C26" s="10">
        <v>357.63317991671681</v>
      </c>
      <c r="D26" s="10">
        <v>303.51980297730358</v>
      </c>
      <c r="E26" s="10">
        <v>269.89867696471379</v>
      </c>
      <c r="F26" s="10">
        <v>116.236566798753</v>
      </c>
      <c r="G26" s="10">
        <v>171.90359210627213</v>
      </c>
      <c r="I26" s="22">
        <v>0</v>
      </c>
      <c r="J26" s="22">
        <v>0.32</v>
      </c>
      <c r="K26" s="22">
        <v>0.21</v>
      </c>
      <c r="L26" s="22">
        <v>0.33</v>
      </c>
      <c r="M26" s="22">
        <v>0</v>
      </c>
      <c r="N26" s="22">
        <v>0.14000000000000001</v>
      </c>
      <c r="Q26" t="s">
        <v>205</v>
      </c>
      <c r="R26">
        <f t="shared" si="5"/>
        <v>356.40493509098422</v>
      </c>
      <c r="S26">
        <v>136.4</v>
      </c>
      <c r="T26">
        <f t="shared" si="6"/>
        <v>268.9724237800246</v>
      </c>
      <c r="U26">
        <f t="shared" si="7"/>
        <v>97.411889112465872</v>
      </c>
      <c r="V26">
        <f t="shared" si="8"/>
        <v>168.43131080870398</v>
      </c>
      <c r="X26" s="10">
        <f t="shared" si="0"/>
        <v>221.46030987298161</v>
      </c>
      <c r="Y26" s="10">
        <f t="shared" si="1"/>
        <v>84.75524127903364</v>
      </c>
      <c r="Z26" s="10">
        <f t="shared" si="2"/>
        <v>167.13213104752543</v>
      </c>
      <c r="AA26" s="10">
        <f t="shared" si="3"/>
        <v>60.529092120040431</v>
      </c>
      <c r="AB26" s="10">
        <f t="shared" si="4"/>
        <v>104.65862453471857</v>
      </c>
      <c r="AE26" t="s">
        <v>207</v>
      </c>
      <c r="AF26" s="58">
        <f>INDEX('Year data'!$B$111:$AC$161,MATCH($AE26,'Year data'!$A$111:$A$161,0),MATCH('TCO Inputs'!$AZ$12,'Year data'!$B$110:$AC$110,0))</f>
        <v>3.0905000000000005</v>
      </c>
      <c r="AG26" s="79">
        <f t="shared" si="9"/>
        <v>17.525013881995122</v>
      </c>
      <c r="AH26" s="79">
        <f t="shared" si="10"/>
        <v>23.935078045735693</v>
      </c>
      <c r="AI26">
        <f>'TCO Inputs'!$AZ$16</f>
        <v>5</v>
      </c>
      <c r="AK26">
        <v>11.27</v>
      </c>
      <c r="AL26" s="79">
        <f>INDEX('Year data'!$B$3:$AC$53,MATCH($AE26,'Year data'!$A$3:$A$53,0),MATCH('TCO Inputs'!$AZ$12,'Year data'!$B$2:$AC$2,0))</f>
        <v>13.42</v>
      </c>
      <c r="AM26">
        <v>10.52</v>
      </c>
      <c r="AN26" s="79">
        <f>INDEX('Year data'!$B$57:$AC$161,MATCH($AE26,'Year data'!$A$3:$A$53,0),MATCH('TCO Inputs'!$AZ$12,'Year data'!$B$2:$AC$2,0))</f>
        <v>10.52</v>
      </c>
      <c r="AO26">
        <f t="shared" si="11"/>
        <v>2.1500000000000004</v>
      </c>
    </row>
    <row r="27" spans="2:41" x14ac:dyDescent="0.25">
      <c r="B27" t="s">
        <v>210</v>
      </c>
      <c r="C27" s="10">
        <v>357.24472016588749</v>
      </c>
      <c r="D27" s="10">
        <v>301.59077804922612</v>
      </c>
      <c r="E27" s="10">
        <v>269.60572878875496</v>
      </c>
      <c r="F27" s="10">
        <v>110.2828431824301</v>
      </c>
      <c r="G27" s="10">
        <v>170.80540580463105</v>
      </c>
      <c r="I27" s="22">
        <v>0</v>
      </c>
      <c r="J27" s="22">
        <v>0</v>
      </c>
      <c r="K27" s="22">
        <v>0.34</v>
      </c>
      <c r="L27" s="22">
        <v>0</v>
      </c>
      <c r="M27" s="22">
        <v>0</v>
      </c>
      <c r="N27" s="22">
        <v>0.65</v>
      </c>
      <c r="Q27" t="s">
        <v>206</v>
      </c>
      <c r="R27">
        <f t="shared" si="5"/>
        <v>364.43254214527389</v>
      </c>
      <c r="S27">
        <v>136.4</v>
      </c>
      <c r="T27">
        <f t="shared" si="6"/>
        <v>275.026262919982</v>
      </c>
      <c r="U27">
        <f t="shared" si="7"/>
        <v>220.44689796321805</v>
      </c>
      <c r="V27">
        <f t="shared" si="8"/>
        <v>191.12557242011587</v>
      </c>
      <c r="X27" s="10">
        <f t="shared" si="0"/>
        <v>226.44844603705488</v>
      </c>
      <c r="Y27" s="10">
        <f t="shared" si="1"/>
        <v>84.75524127903364</v>
      </c>
      <c r="Z27" s="10">
        <f t="shared" si="2"/>
        <v>170.8938216411585</v>
      </c>
      <c r="AA27" s="10">
        <f t="shared" si="3"/>
        <v>136.97969227336552</v>
      </c>
      <c r="AB27" s="10">
        <f t="shared" si="4"/>
        <v>118.76021997844823</v>
      </c>
      <c r="AE27" t="s">
        <v>208</v>
      </c>
      <c r="AF27" s="58">
        <f>INDEX('Year data'!$B$111:$AC$161,MATCH($AE27,'Year data'!$A$111:$A$161,0),MATCH('TCO Inputs'!$AZ$12,'Year data'!$B$110:$AC$110,0))</f>
        <v>3.5969230769230762</v>
      </c>
      <c r="AG27" s="79">
        <f t="shared" si="9"/>
        <v>16.53501388199512</v>
      </c>
      <c r="AH27" s="79">
        <f t="shared" si="10"/>
        <v>23.825078045735694</v>
      </c>
      <c r="AI27">
        <f>'TCO Inputs'!$AZ$16</f>
        <v>5</v>
      </c>
      <c r="AK27">
        <v>11.13</v>
      </c>
      <c r="AL27" s="79">
        <f>INDEX('Year data'!$B$3:$AC$53,MATCH($AE27,'Year data'!$A$3:$A$53,0),MATCH('TCO Inputs'!$AZ$12,'Year data'!$B$2:$AC$2,0))</f>
        <v>12.43</v>
      </c>
      <c r="AM27">
        <v>10.41</v>
      </c>
      <c r="AN27" s="79">
        <f>INDEX('Year data'!$B$57:$AC$161,MATCH($AE27,'Year data'!$A$3:$A$53,0),MATCH('TCO Inputs'!$AZ$12,'Year data'!$B$2:$AC$2,0))</f>
        <v>10.41</v>
      </c>
      <c r="AO27">
        <f t="shared" si="11"/>
        <v>1.2999999999999989</v>
      </c>
    </row>
    <row r="28" spans="2:41" x14ac:dyDescent="0.25">
      <c r="B28" t="s">
        <v>211</v>
      </c>
      <c r="C28" s="10">
        <v>356.4650683639934</v>
      </c>
      <c r="D28" s="10">
        <v>297.71916044049846</v>
      </c>
      <c r="E28" s="10">
        <v>269.01777193412511</v>
      </c>
      <c r="F28" s="10">
        <v>98.333520568606048</v>
      </c>
      <c r="G28" s="10">
        <v>168.60130913319261</v>
      </c>
      <c r="I28" s="22">
        <v>0</v>
      </c>
      <c r="J28" s="22">
        <v>0.03</v>
      </c>
      <c r="K28" s="22">
        <v>0.28999999999999998</v>
      </c>
      <c r="L28" s="22">
        <v>0.25</v>
      </c>
      <c r="M28" s="22">
        <v>0</v>
      </c>
      <c r="N28" s="22">
        <v>0.43</v>
      </c>
      <c r="Q28" t="s">
        <v>207</v>
      </c>
      <c r="R28">
        <f t="shared" si="5"/>
        <v>358.66317962140073</v>
      </c>
      <c r="S28">
        <v>136.4</v>
      </c>
      <c r="T28">
        <f t="shared" si="6"/>
        <v>270.67542805432134</v>
      </c>
      <c r="U28">
        <f t="shared" si="7"/>
        <v>132.02284419903378</v>
      </c>
      <c r="V28">
        <f t="shared" si="8"/>
        <v>174.81542925406799</v>
      </c>
      <c r="X28" s="10">
        <f t="shared" si="0"/>
        <v>222.86352145687098</v>
      </c>
      <c r="Y28" s="10">
        <f t="shared" si="1"/>
        <v>84.75524127903364</v>
      </c>
      <c r="Z28" s="10">
        <f t="shared" si="2"/>
        <v>168.19033147397153</v>
      </c>
      <c r="AA28" s="10">
        <f t="shared" si="3"/>
        <v>82.035396000244688</v>
      </c>
      <c r="AB28" s="10">
        <f t="shared" si="4"/>
        <v>108.62554168421092</v>
      </c>
      <c r="AE28" t="s">
        <v>209</v>
      </c>
      <c r="AF28" s="58">
        <f>INDEX('Year data'!$B$111:$AC$161,MATCH($AE28,'Year data'!$A$111:$A$161,0),MATCH('TCO Inputs'!$AZ$12,'Year data'!$B$110:$AC$110,0))</f>
        <v>3.2785000000000006</v>
      </c>
      <c r="AG28" s="79">
        <f t="shared" si="9"/>
        <v>17.345013881995122</v>
      </c>
      <c r="AH28" s="79">
        <f t="shared" si="10"/>
        <v>22.225078045735692</v>
      </c>
      <c r="AI28">
        <f>'TCO Inputs'!$AZ$16</f>
        <v>5</v>
      </c>
      <c r="AK28">
        <v>11.42</v>
      </c>
      <c r="AL28" s="79">
        <f>INDEX('Year data'!$B$3:$AC$53,MATCH($AE28,'Year data'!$A$3:$A$53,0),MATCH('TCO Inputs'!$AZ$12,'Year data'!$B$2:$AC$2,0))</f>
        <v>13.24</v>
      </c>
      <c r="AM28">
        <v>8.81</v>
      </c>
      <c r="AN28" s="79">
        <f>INDEX('Year data'!$B$57:$AC$161,MATCH($AE28,'Year data'!$A$3:$A$53,0),MATCH('TCO Inputs'!$AZ$12,'Year data'!$B$2:$AC$2,0))</f>
        <v>8.81</v>
      </c>
      <c r="AO28">
        <f t="shared" si="11"/>
        <v>1.8200000000000003</v>
      </c>
    </row>
    <row r="29" spans="2:41" x14ac:dyDescent="0.25">
      <c r="B29" t="s">
        <v>212</v>
      </c>
      <c r="C29" s="10">
        <v>350.34655600279291</v>
      </c>
      <c r="D29" s="10">
        <v>267.3356736612767</v>
      </c>
      <c r="E29" s="10">
        <v>264.4036335788158</v>
      </c>
      <c r="F29" s="10">
        <v>4.5582249819008602</v>
      </c>
      <c r="G29" s="10">
        <v>151.30410965620638</v>
      </c>
      <c r="I29" s="22">
        <v>0</v>
      </c>
      <c r="J29" s="22">
        <v>0.02</v>
      </c>
      <c r="K29" s="22">
        <v>0</v>
      </c>
      <c r="L29" s="22">
        <v>0.72</v>
      </c>
      <c r="M29" s="22">
        <v>0</v>
      </c>
      <c r="N29" s="22">
        <v>0.26</v>
      </c>
      <c r="Q29" t="s">
        <v>208</v>
      </c>
      <c r="R29">
        <f t="shared" si="5"/>
        <v>350.91978749048826</v>
      </c>
      <c r="S29">
        <v>136.4</v>
      </c>
      <c r="T29">
        <f t="shared" si="6"/>
        <v>264.83592320049229</v>
      </c>
      <c r="U29">
        <f t="shared" si="7"/>
        <v>13.343849677373038</v>
      </c>
      <c r="V29">
        <f t="shared" si="8"/>
        <v>152.92465056672975</v>
      </c>
      <c r="X29" s="10">
        <f t="shared" si="0"/>
        <v>218.05198869753332</v>
      </c>
      <c r="Y29" s="10">
        <f t="shared" si="1"/>
        <v>84.75524127903364</v>
      </c>
      <c r="Z29" s="10">
        <f t="shared" si="2"/>
        <v>164.56182236226795</v>
      </c>
      <c r="AA29" s="10">
        <f t="shared" si="3"/>
        <v>8.291504391472925</v>
      </c>
      <c r="AB29" s="10">
        <f t="shared" si="4"/>
        <v>95.023208623864292</v>
      </c>
      <c r="AE29" t="s">
        <v>210</v>
      </c>
      <c r="AF29" s="58">
        <f>INDEX('Year data'!$B$111:$AC$161,MATCH($AE29,'Year data'!$A$111:$A$161,0),MATCH('TCO Inputs'!$AZ$12,'Year data'!$B$110:$AC$110,0))</f>
        <v>3.3631923076923078</v>
      </c>
      <c r="AG29" s="79">
        <f t="shared" si="9"/>
        <v>15.075013881995122</v>
      </c>
      <c r="AH29" s="79">
        <f t="shared" si="10"/>
        <v>22.425078045735692</v>
      </c>
      <c r="AI29">
        <f>'TCO Inputs'!$AZ$16</f>
        <v>5</v>
      </c>
      <c r="AK29">
        <v>10.3</v>
      </c>
      <c r="AL29" s="79">
        <f>INDEX('Year data'!$B$3:$AC$53,MATCH($AE29,'Year data'!$A$3:$A$53,0),MATCH('TCO Inputs'!$AZ$12,'Year data'!$B$2:$AC$2,0))</f>
        <v>10.97</v>
      </c>
      <c r="AM29">
        <v>9.01</v>
      </c>
      <c r="AN29" s="79">
        <f>INDEX('Year data'!$B$57:$AC$161,MATCH($AE29,'Year data'!$A$3:$A$53,0),MATCH('TCO Inputs'!$AZ$12,'Year data'!$B$2:$AC$2,0))</f>
        <v>9.01</v>
      </c>
      <c r="AO29">
        <f t="shared" si="11"/>
        <v>0.66999999999999993</v>
      </c>
    </row>
    <row r="30" spans="2:41" x14ac:dyDescent="0.25">
      <c r="B30" t="s">
        <v>213</v>
      </c>
      <c r="C30" s="10">
        <v>355.96421081135458</v>
      </c>
      <c r="D30" s="10">
        <v>295.23198782307372</v>
      </c>
      <c r="E30" s="10">
        <v>268.64006148626652</v>
      </c>
      <c r="F30" s="10">
        <v>90.657135394180301</v>
      </c>
      <c r="G30" s="10">
        <v>167.18537154808587</v>
      </c>
      <c r="I30" s="22">
        <v>0</v>
      </c>
      <c r="J30" s="22">
        <v>0.59</v>
      </c>
      <c r="K30" s="22">
        <v>0</v>
      </c>
      <c r="L30" s="22">
        <v>0.33</v>
      </c>
      <c r="M30" s="22">
        <v>0</v>
      </c>
      <c r="N30" s="22">
        <v>0.08</v>
      </c>
      <c r="Q30" t="s">
        <v>209</v>
      </c>
      <c r="R30">
        <f t="shared" si="5"/>
        <v>357.63317991671681</v>
      </c>
      <c r="S30">
        <v>136.4</v>
      </c>
      <c r="T30">
        <f t="shared" si="6"/>
        <v>269.89867696471379</v>
      </c>
      <c r="U30">
        <f t="shared" si="7"/>
        <v>116.236566798753</v>
      </c>
      <c r="V30">
        <f t="shared" si="8"/>
        <v>171.90359210627213</v>
      </c>
      <c r="X30" s="10">
        <f t="shared" si="0"/>
        <v>222.22350772162304</v>
      </c>
      <c r="Y30" s="10">
        <f t="shared" si="1"/>
        <v>84.75524127903364</v>
      </c>
      <c r="Z30" s="10">
        <f t="shared" si="2"/>
        <v>167.70767952372637</v>
      </c>
      <c r="AA30" s="10">
        <f t="shared" si="3"/>
        <v>72.226233610519216</v>
      </c>
      <c r="AB30" s="10">
        <f t="shared" si="4"/>
        <v>106.81620546700643</v>
      </c>
      <c r="AE30" t="s">
        <v>211</v>
      </c>
      <c r="AF30" s="58">
        <f>INDEX('Year data'!$B$111:$AC$161,MATCH($AE30,'Year data'!$A$111:$A$161,0),MATCH('TCO Inputs'!$AZ$12,'Year data'!$B$110:$AC$110,0))</f>
        <v>3.3631923076923078</v>
      </c>
      <c r="AG30" s="79">
        <f t="shared" si="9"/>
        <v>15.395013881995119</v>
      </c>
      <c r="AH30" s="79">
        <f t="shared" si="10"/>
        <v>22.265078045735692</v>
      </c>
      <c r="AI30">
        <f>'TCO Inputs'!$AZ$16</f>
        <v>5</v>
      </c>
      <c r="AK30">
        <v>10.77</v>
      </c>
      <c r="AL30" s="79">
        <f>INDEX('Year data'!$B$3:$AC$53,MATCH($AE30,'Year data'!$A$3:$A$53,0),MATCH('TCO Inputs'!$AZ$12,'Year data'!$B$2:$AC$2,0))</f>
        <v>11.29</v>
      </c>
      <c r="AM30">
        <v>8.85</v>
      </c>
      <c r="AN30" s="79">
        <f>INDEX('Year data'!$B$57:$AC$161,MATCH($AE30,'Year data'!$A$3:$A$53,0),MATCH('TCO Inputs'!$AZ$12,'Year data'!$B$2:$AC$2,0))</f>
        <v>8.85</v>
      </c>
      <c r="AO30">
        <f t="shared" si="11"/>
        <v>0.51999999999999957</v>
      </c>
    </row>
    <row r="31" spans="2:41" x14ac:dyDescent="0.25">
      <c r="B31" t="s">
        <v>214</v>
      </c>
      <c r="C31" s="10">
        <v>360.06822016042184</v>
      </c>
      <c r="D31" s="10">
        <v>315.61179672069557</v>
      </c>
      <c r="E31" s="10">
        <v>271.73500774610602</v>
      </c>
      <c r="F31" s="10">
        <v>153.55717768695877</v>
      </c>
      <c r="G31" s="10">
        <v>178.78751656740263</v>
      </c>
      <c r="I31" s="22">
        <v>0.02</v>
      </c>
      <c r="J31" s="22">
        <v>0.28999999999999998</v>
      </c>
      <c r="K31" s="22">
        <v>0.32</v>
      </c>
      <c r="L31" s="22">
        <v>0</v>
      </c>
      <c r="M31" s="22">
        <v>0</v>
      </c>
      <c r="N31" s="22">
        <v>0.37</v>
      </c>
      <c r="Q31" t="s">
        <v>210</v>
      </c>
      <c r="R31">
        <f t="shared" si="5"/>
        <v>357.24472016588749</v>
      </c>
      <c r="S31">
        <v>136.4</v>
      </c>
      <c r="T31">
        <f t="shared" si="6"/>
        <v>269.60572878875496</v>
      </c>
      <c r="U31">
        <f t="shared" si="7"/>
        <v>110.2828431824301</v>
      </c>
      <c r="V31">
        <f t="shared" si="8"/>
        <v>170.80540580463105</v>
      </c>
      <c r="X31" s="10">
        <f t="shared" si="0"/>
        <v>221.98212942317193</v>
      </c>
      <c r="Y31" s="10">
        <f t="shared" si="1"/>
        <v>84.75524127903364</v>
      </c>
      <c r="Z31" s="10">
        <f t="shared" si="2"/>
        <v>167.52564951393427</v>
      </c>
      <c r="AA31" s="10">
        <f t="shared" si="3"/>
        <v>68.526752073788074</v>
      </c>
      <c r="AB31" s="10">
        <f t="shared" si="4"/>
        <v>106.13382243940438</v>
      </c>
      <c r="AE31" t="s">
        <v>212</v>
      </c>
      <c r="AF31" s="58">
        <f>INDEX('Year data'!$B$111:$AC$161,MATCH($AE31,'Year data'!$A$111:$A$161,0),MATCH('TCO Inputs'!$AZ$12,'Year data'!$B$110:$AC$110,0))</f>
        <v>3.4698076923076924</v>
      </c>
      <c r="AG31" s="79">
        <f t="shared" si="9"/>
        <v>32.415013881995122</v>
      </c>
      <c r="AH31" s="79">
        <f t="shared" si="10"/>
        <v>29.34507804573569</v>
      </c>
      <c r="AI31">
        <f>'TCO Inputs'!$AZ$16</f>
        <v>5</v>
      </c>
      <c r="AK31">
        <v>20.05</v>
      </c>
      <c r="AL31" s="79">
        <f>INDEX('Year data'!$B$3:$AC$53,MATCH($AE31,'Year data'!$A$3:$A$53,0),MATCH('TCO Inputs'!$AZ$12,'Year data'!$B$2:$AC$2,0))</f>
        <v>28.31</v>
      </c>
      <c r="AM31">
        <v>15.93</v>
      </c>
      <c r="AN31" s="79">
        <f>INDEX('Year data'!$B$57:$AC$161,MATCH($AE31,'Year data'!$A$3:$A$53,0),MATCH('TCO Inputs'!$AZ$12,'Year data'!$B$2:$AC$2,0))</f>
        <v>15.93</v>
      </c>
      <c r="AO31">
        <f t="shared" si="11"/>
        <v>8.259999999999998</v>
      </c>
    </row>
    <row r="32" spans="2:41" x14ac:dyDescent="0.25">
      <c r="B32" t="s">
        <v>215</v>
      </c>
      <c r="C32" s="10">
        <v>356.41888442789212</v>
      </c>
      <c r="D32" s="10">
        <v>297.48981936133345</v>
      </c>
      <c r="E32" s="10">
        <v>268.98294335842178</v>
      </c>
      <c r="F32" s="10">
        <v>97.625684508084348</v>
      </c>
      <c r="G32" s="10">
        <v>168.47074615918606</v>
      </c>
      <c r="I32" s="22">
        <v>0</v>
      </c>
      <c r="J32" s="22">
        <v>0.63</v>
      </c>
      <c r="K32" s="22">
        <v>0</v>
      </c>
      <c r="L32" s="22">
        <v>0</v>
      </c>
      <c r="M32" s="22">
        <v>0</v>
      </c>
      <c r="N32" s="22">
        <v>0.36</v>
      </c>
      <c r="Q32" t="s">
        <v>211</v>
      </c>
      <c r="R32">
        <f t="shared" si="5"/>
        <v>356.4650683639934</v>
      </c>
      <c r="S32">
        <v>136.4</v>
      </c>
      <c r="T32">
        <f t="shared" si="6"/>
        <v>269.01777193412511</v>
      </c>
      <c r="U32">
        <f t="shared" si="7"/>
        <v>98.333520568606048</v>
      </c>
      <c r="V32">
        <f t="shared" si="8"/>
        <v>168.60130913319261</v>
      </c>
      <c r="X32" s="10">
        <f t="shared" si="0"/>
        <v>221.49767504939504</v>
      </c>
      <c r="Y32" s="10">
        <f t="shared" si="1"/>
        <v>84.75524127903364</v>
      </c>
      <c r="Z32" s="10">
        <f t="shared" si="2"/>
        <v>167.16030915414089</v>
      </c>
      <c r="AA32" s="10">
        <f t="shared" si="3"/>
        <v>61.1017687801248</v>
      </c>
      <c r="AB32" s="10">
        <f t="shared" si="4"/>
        <v>104.76425685883196</v>
      </c>
      <c r="AE32" t="s">
        <v>213</v>
      </c>
      <c r="AF32" s="58">
        <f>INDEX('Year data'!$B$111:$AC$161,MATCH($AE32,'Year data'!$A$111:$A$161,0),MATCH('TCO Inputs'!$AZ$12,'Year data'!$B$110:$AC$110,0))</f>
        <v>3.561634615384615</v>
      </c>
      <c r="AG32" s="79">
        <f t="shared" si="9"/>
        <v>21.83501388199512</v>
      </c>
      <c r="AH32" s="79">
        <f t="shared" si="10"/>
        <v>25.645078045735694</v>
      </c>
      <c r="AI32">
        <f>'TCO Inputs'!$AZ$16</f>
        <v>5</v>
      </c>
      <c r="AK32">
        <v>15.85</v>
      </c>
      <c r="AL32" s="79">
        <f>INDEX('Year data'!$B$3:$AC$53,MATCH($AE32,'Year data'!$A$3:$A$53,0),MATCH('TCO Inputs'!$AZ$12,'Year data'!$B$2:$AC$2,0))</f>
        <v>17.73</v>
      </c>
      <c r="AM32">
        <v>12.23</v>
      </c>
      <c r="AN32" s="79">
        <f>INDEX('Year data'!$B$57:$AC$161,MATCH($AE32,'Year data'!$A$3:$A$53,0),MATCH('TCO Inputs'!$AZ$12,'Year data'!$B$2:$AC$2,0))</f>
        <v>12.23</v>
      </c>
      <c r="AO32">
        <f t="shared" si="11"/>
        <v>1.8800000000000008</v>
      </c>
    </row>
    <row r="33" spans="2:41" x14ac:dyDescent="0.25">
      <c r="B33" t="s">
        <v>216</v>
      </c>
      <c r="C33" s="10">
        <v>354.35771430433078</v>
      </c>
      <c r="D33" s="10">
        <v>287.2544006005819</v>
      </c>
      <c r="E33" s="10">
        <v>267.42855831145323</v>
      </c>
      <c r="F33" s="10">
        <v>66.035188437565537</v>
      </c>
      <c r="G33" s="10">
        <v>162.64376253081983</v>
      </c>
      <c r="I33" s="22">
        <v>0.02</v>
      </c>
      <c r="J33" s="22">
        <v>0.36</v>
      </c>
      <c r="K33" s="22">
        <v>0.01</v>
      </c>
      <c r="L33" s="22">
        <v>0.22</v>
      </c>
      <c r="M33" s="22">
        <v>0</v>
      </c>
      <c r="N33" s="22">
        <v>0.38</v>
      </c>
      <c r="Q33" t="s">
        <v>212</v>
      </c>
      <c r="R33">
        <f t="shared" si="5"/>
        <v>350.34655600279291</v>
      </c>
      <c r="S33">
        <v>136.4</v>
      </c>
      <c r="T33">
        <f t="shared" si="6"/>
        <v>264.4036335788158</v>
      </c>
      <c r="U33">
        <f t="shared" si="7"/>
        <v>4.5582249819008602</v>
      </c>
      <c r="V33">
        <f t="shared" si="8"/>
        <v>151.30410965620638</v>
      </c>
      <c r="X33" s="10">
        <f t="shared" si="0"/>
        <v>217.69579827929022</v>
      </c>
      <c r="Y33" s="10">
        <f t="shared" si="1"/>
        <v>84.75524127903364</v>
      </c>
      <c r="Z33" s="10">
        <f t="shared" si="2"/>
        <v>164.29320937702153</v>
      </c>
      <c r="AA33" s="10">
        <f t="shared" si="3"/>
        <v>2.8323567312692535</v>
      </c>
      <c r="AB33" s="10">
        <f t="shared" si="4"/>
        <v>94.016248683439414</v>
      </c>
      <c r="AE33" t="s">
        <v>214</v>
      </c>
      <c r="AF33" s="58">
        <f>INDEX('Year data'!$B$111:$AC$161,MATCH($AE33,'Year data'!$A$111:$A$161,0),MATCH('TCO Inputs'!$AZ$12,'Year data'!$B$110:$AC$110,0))</f>
        <v>3.0905000000000005</v>
      </c>
      <c r="AG33" s="79">
        <f t="shared" si="9"/>
        <v>18.26501388199512</v>
      </c>
      <c r="AH33" s="79">
        <f t="shared" si="10"/>
        <v>23.205078045735689</v>
      </c>
      <c r="AI33">
        <f>'TCO Inputs'!$AZ$16</f>
        <v>5</v>
      </c>
      <c r="AK33">
        <v>12.51</v>
      </c>
      <c r="AL33" s="79">
        <f>INDEX('Year data'!$B$3:$AC$53,MATCH($AE33,'Year data'!$A$3:$A$53,0),MATCH('TCO Inputs'!$AZ$12,'Year data'!$B$2:$AC$2,0))</f>
        <v>14.16</v>
      </c>
      <c r="AM33">
        <v>9.7899999999999991</v>
      </c>
      <c r="AN33" s="79">
        <f>INDEX('Year data'!$B$57:$AC$161,MATCH($AE33,'Year data'!$A$3:$A$53,0),MATCH('TCO Inputs'!$AZ$12,'Year data'!$B$2:$AC$2,0))</f>
        <v>9.7899999999999991</v>
      </c>
      <c r="AO33">
        <f t="shared" si="11"/>
        <v>1.6500000000000004</v>
      </c>
    </row>
    <row r="34" spans="2:41" x14ac:dyDescent="0.25">
      <c r="B34" t="s">
        <v>217</v>
      </c>
      <c r="C34" s="10">
        <v>362.10758669196872</v>
      </c>
      <c r="D34" s="10">
        <v>325.73894245882389</v>
      </c>
      <c r="E34" s="10">
        <v>273.2729501050062</v>
      </c>
      <c r="F34" s="10">
        <v>184.81350096320543</v>
      </c>
      <c r="G34" s="10">
        <v>184.55286078999893</v>
      </c>
      <c r="I34" s="22">
        <v>0</v>
      </c>
      <c r="J34" s="22">
        <v>0.46</v>
      </c>
      <c r="K34" s="22">
        <v>0.36</v>
      </c>
      <c r="L34" s="22">
        <v>0.13</v>
      </c>
      <c r="M34" s="22">
        <v>0</v>
      </c>
      <c r="N34" s="22">
        <v>0.04</v>
      </c>
      <c r="Q34" t="s">
        <v>213</v>
      </c>
      <c r="R34">
        <f t="shared" si="5"/>
        <v>355.96421081135458</v>
      </c>
      <c r="S34">
        <v>136.4</v>
      </c>
      <c r="T34">
        <f t="shared" si="6"/>
        <v>268.64006148626652</v>
      </c>
      <c r="U34">
        <f t="shared" si="7"/>
        <v>90.657135394180301</v>
      </c>
      <c r="V34">
        <f t="shared" si="8"/>
        <v>167.18537154808587</v>
      </c>
      <c r="X34" s="10">
        <f t="shared" ref="X34:X50" si="12">R34/m2k</f>
        <v>221.18645582124012</v>
      </c>
      <c r="Y34" s="10">
        <f t="shared" ref="Y34:Y50" si="13">S34/m2k</f>
        <v>84.75524127903364</v>
      </c>
      <c r="Z34" s="10">
        <f t="shared" ref="Z34:Z50" si="14">T34/m2k</f>
        <v>166.92561017949379</v>
      </c>
      <c r="AA34" s="10">
        <f t="shared" ref="AA34:AA50" si="15">U34/m2k</f>
        <v>56.33187231671387</v>
      </c>
      <c r="AB34" s="10">
        <f t="shared" ref="AB34:AB50" si="16">V34/m2k</f>
        <v>103.88443184664885</v>
      </c>
      <c r="AE34" t="s">
        <v>215</v>
      </c>
      <c r="AF34" s="58">
        <f>INDEX('Year data'!$B$111:$AC$161,MATCH($AE34,'Year data'!$A$111:$A$161,0),MATCH('TCO Inputs'!$AZ$12,'Year data'!$B$110:$AC$110,0))</f>
        <v>4.5133653846153869</v>
      </c>
      <c r="AG34" s="79">
        <f t="shared" si="9"/>
        <v>20.775013881995122</v>
      </c>
      <c r="AH34" s="79">
        <f t="shared" si="10"/>
        <v>21.455078045735689</v>
      </c>
      <c r="AI34">
        <f>'TCO Inputs'!$AZ$16</f>
        <v>5</v>
      </c>
      <c r="AK34">
        <v>12</v>
      </c>
      <c r="AL34" s="79">
        <f>INDEX('Year data'!$B$3:$AC$53,MATCH($AE34,'Year data'!$A$3:$A$53,0),MATCH('TCO Inputs'!$AZ$12,'Year data'!$B$2:$AC$2,0))</f>
        <v>16.670000000000002</v>
      </c>
      <c r="AM34">
        <v>8.0399999999999991</v>
      </c>
      <c r="AN34" s="79">
        <f>INDEX('Year data'!$B$57:$AC$161,MATCH($AE34,'Year data'!$A$3:$A$53,0),MATCH('TCO Inputs'!$AZ$12,'Year data'!$B$2:$AC$2,0))</f>
        <v>8.0399999999999991</v>
      </c>
      <c r="AO34">
        <f t="shared" si="11"/>
        <v>4.6700000000000017</v>
      </c>
    </row>
    <row r="35" spans="2:41" x14ac:dyDescent="0.25">
      <c r="B35" t="s">
        <v>218</v>
      </c>
      <c r="C35" s="10">
        <v>356.79544201646229</v>
      </c>
      <c r="D35" s="10">
        <v>299.3597399834407</v>
      </c>
      <c r="E35" s="10">
        <v>269.2669157866581</v>
      </c>
      <c r="F35" s="10">
        <v>103.39698917560099</v>
      </c>
      <c r="G35" s="10">
        <v>169.53528461198923</v>
      </c>
      <c r="I35" s="22">
        <v>0.06</v>
      </c>
      <c r="J35" s="22">
        <v>0.48</v>
      </c>
      <c r="K35" s="22">
        <v>0.03</v>
      </c>
      <c r="L35" s="22">
        <v>0</v>
      </c>
      <c r="M35" s="22">
        <v>0</v>
      </c>
      <c r="N35" s="22">
        <v>0.44</v>
      </c>
      <c r="Q35" t="s">
        <v>214</v>
      </c>
      <c r="R35">
        <f t="shared" si="5"/>
        <v>360.06822016042184</v>
      </c>
      <c r="S35">
        <v>136.4</v>
      </c>
      <c r="T35">
        <f t="shared" si="6"/>
        <v>271.73500774610602</v>
      </c>
      <c r="U35">
        <f t="shared" si="7"/>
        <v>153.55717768695877</v>
      </c>
      <c r="V35">
        <f t="shared" si="8"/>
        <v>178.78751656740263</v>
      </c>
      <c r="X35" s="10">
        <f t="shared" si="12"/>
        <v>223.73657534170644</v>
      </c>
      <c r="Y35" s="10">
        <f t="shared" si="13"/>
        <v>84.75524127903364</v>
      </c>
      <c r="Z35" s="10">
        <f t="shared" si="14"/>
        <v>168.84872540675434</v>
      </c>
      <c r="AA35" s="10">
        <f t="shared" si="15"/>
        <v>95.416243731566212</v>
      </c>
      <c r="AB35" s="10">
        <f t="shared" si="16"/>
        <v>111.09368844830963</v>
      </c>
      <c r="AE35" t="s">
        <v>216</v>
      </c>
      <c r="AF35" s="58">
        <f>INDEX('Year data'!$B$111:$AC$161,MATCH($AE35,'Year data'!$A$111:$A$161,0),MATCH('TCO Inputs'!$AZ$12,'Year data'!$B$110:$AC$110,0))</f>
        <v>3.561634615384615</v>
      </c>
      <c r="AG35" s="79">
        <f t="shared" si="9"/>
        <v>26.35501388199512</v>
      </c>
      <c r="AH35" s="79">
        <f t="shared" si="10"/>
        <v>27.475078045735692</v>
      </c>
      <c r="AI35">
        <f>'TCO Inputs'!$AZ$16</f>
        <v>5</v>
      </c>
      <c r="AK35">
        <v>17.940000000000001</v>
      </c>
      <c r="AL35" s="79">
        <f>INDEX('Year data'!$B$3:$AC$53,MATCH($AE35,'Year data'!$A$3:$A$53,0),MATCH('TCO Inputs'!$AZ$12,'Year data'!$B$2:$AC$2,0))</f>
        <v>22.25</v>
      </c>
      <c r="AM35">
        <v>14.06</v>
      </c>
      <c r="AN35" s="79">
        <f>INDEX('Year data'!$B$57:$AC$161,MATCH($AE35,'Year data'!$A$3:$A$53,0),MATCH('TCO Inputs'!$AZ$12,'Year data'!$B$2:$AC$2,0))</f>
        <v>14.06</v>
      </c>
      <c r="AO35">
        <f t="shared" si="11"/>
        <v>4.3099999999999987</v>
      </c>
    </row>
    <row r="36" spans="2:41" x14ac:dyDescent="0.25">
      <c r="B36" t="s">
        <v>219</v>
      </c>
      <c r="C36" s="10">
        <v>353.02292385620018</v>
      </c>
      <c r="D36" s="10">
        <v>280.62605928896454</v>
      </c>
      <c r="E36" s="10">
        <v>266.42195614422133</v>
      </c>
      <c r="F36" s="10">
        <v>45.577540826150752</v>
      </c>
      <c r="G36" s="10">
        <v>158.87027390189127</v>
      </c>
      <c r="I36" s="22">
        <v>0</v>
      </c>
      <c r="J36" s="22">
        <v>0.28000000000000003</v>
      </c>
      <c r="K36" s="22">
        <v>0</v>
      </c>
      <c r="L36" s="22">
        <v>0</v>
      </c>
      <c r="M36" s="22">
        <v>0</v>
      </c>
      <c r="N36" s="22">
        <v>0.72</v>
      </c>
      <c r="Q36" t="s">
        <v>215</v>
      </c>
      <c r="R36">
        <f t="shared" si="5"/>
        <v>356.41888442789212</v>
      </c>
      <c r="S36">
        <v>136.4</v>
      </c>
      <c r="T36">
        <f t="shared" si="6"/>
        <v>268.98294335842178</v>
      </c>
      <c r="U36">
        <f t="shared" si="7"/>
        <v>97.625684508084348</v>
      </c>
      <c r="V36">
        <f t="shared" si="8"/>
        <v>168.47074615918606</v>
      </c>
      <c r="X36" s="10">
        <f t="shared" si="12"/>
        <v>221.46897761063053</v>
      </c>
      <c r="Y36" s="10">
        <f t="shared" si="13"/>
        <v>84.75524127903364</v>
      </c>
      <c r="Z36" s="10">
        <f t="shared" si="14"/>
        <v>167.13866762674249</v>
      </c>
      <c r="AA36" s="10">
        <f t="shared" si="15"/>
        <v>60.661938750099011</v>
      </c>
      <c r="AB36" s="10">
        <f t="shared" si="16"/>
        <v>104.68312858636837</v>
      </c>
      <c r="AE36" t="s">
        <v>217</v>
      </c>
      <c r="AF36" s="58">
        <f>INDEX('Year data'!$B$111:$AC$161,MATCH($AE36,'Year data'!$A$111:$A$161,0),MATCH('TCO Inputs'!$AZ$12,'Year data'!$B$110:$AC$110,0))</f>
        <v>3.3631923076923078</v>
      </c>
      <c r="AG36" s="79">
        <f t="shared" si="9"/>
        <v>19.565013881995121</v>
      </c>
      <c r="AH36" s="79">
        <f t="shared" si="10"/>
        <v>23.135078045735693</v>
      </c>
      <c r="AI36">
        <f>'TCO Inputs'!$AZ$16</f>
        <v>5</v>
      </c>
      <c r="AK36">
        <v>12.38</v>
      </c>
      <c r="AL36" s="79">
        <f>INDEX('Year data'!$B$3:$AC$53,MATCH($AE36,'Year data'!$A$3:$A$53,0),MATCH('TCO Inputs'!$AZ$12,'Year data'!$B$2:$AC$2,0))</f>
        <v>15.46</v>
      </c>
      <c r="AM36">
        <v>9.7200000000000006</v>
      </c>
      <c r="AN36" s="79">
        <f>INDEX('Year data'!$B$57:$AC$161,MATCH($AE36,'Year data'!$A$3:$A$53,0),MATCH('TCO Inputs'!$AZ$12,'Year data'!$B$2:$AC$2,0))</f>
        <v>9.7200000000000006</v>
      </c>
      <c r="AO36">
        <f t="shared" si="11"/>
        <v>3.08</v>
      </c>
    </row>
    <row r="37" spans="2:41" x14ac:dyDescent="0.25">
      <c r="B37" t="s">
        <v>220</v>
      </c>
      <c r="C37" s="10">
        <v>357.52930487960595</v>
      </c>
      <c r="D37" s="10">
        <v>303.00397745607171</v>
      </c>
      <c r="E37" s="10">
        <v>269.82034194394441</v>
      </c>
      <c r="F37" s="10">
        <v>114.64452796822218</v>
      </c>
      <c r="G37" s="10">
        <v>171.6099346665944</v>
      </c>
      <c r="I37" s="22">
        <v>0</v>
      </c>
      <c r="J37" s="22">
        <v>0.54</v>
      </c>
      <c r="K37" s="22">
        <v>0.1</v>
      </c>
      <c r="L37" s="22">
        <v>0.3</v>
      </c>
      <c r="M37" s="22">
        <v>0</v>
      </c>
      <c r="N37" s="22">
        <v>0.06</v>
      </c>
      <c r="Q37" t="s">
        <v>216</v>
      </c>
      <c r="R37">
        <f t="shared" si="5"/>
        <v>354.35771430433078</v>
      </c>
      <c r="S37">
        <v>136.4</v>
      </c>
      <c r="T37">
        <f t="shared" si="6"/>
        <v>267.42855831145323</v>
      </c>
      <c r="U37">
        <f t="shared" si="7"/>
        <v>66.035188437565537</v>
      </c>
      <c r="V37">
        <f t="shared" si="8"/>
        <v>162.64376253081983</v>
      </c>
      <c r="X37" s="10">
        <f t="shared" si="12"/>
        <v>220.18822269025239</v>
      </c>
      <c r="Y37" s="10">
        <f t="shared" si="13"/>
        <v>84.75524127903364</v>
      </c>
      <c r="Z37" s="10">
        <f t="shared" si="14"/>
        <v>166.17281513630013</v>
      </c>
      <c r="AA37" s="10">
        <f t="shared" si="15"/>
        <v>41.032465754635773</v>
      </c>
      <c r="AB37" s="10">
        <f t="shared" si="16"/>
        <v>101.06239982279682</v>
      </c>
      <c r="AE37" t="s">
        <v>218</v>
      </c>
      <c r="AF37" s="58">
        <f>INDEX('Year data'!$B$111:$AC$161,MATCH($AE37,'Year data'!$A$111:$A$161,0),MATCH('TCO Inputs'!$AZ$12,'Year data'!$B$110:$AC$110,0))</f>
        <v>3.3631923076923078</v>
      </c>
      <c r="AG37" s="79">
        <f t="shared" si="9"/>
        <v>16.385013881995121</v>
      </c>
      <c r="AH37" s="79">
        <f t="shared" si="10"/>
        <v>21.395078045735694</v>
      </c>
      <c r="AI37">
        <f>'TCO Inputs'!$AZ$16</f>
        <v>5</v>
      </c>
      <c r="AK37">
        <v>10.210000000000001</v>
      </c>
      <c r="AL37" s="79">
        <f>INDEX('Year data'!$B$3:$AC$53,MATCH($AE37,'Year data'!$A$3:$A$53,0),MATCH('TCO Inputs'!$AZ$12,'Year data'!$B$2:$AC$2,0))</f>
        <v>12.28</v>
      </c>
      <c r="AM37">
        <v>7.98</v>
      </c>
      <c r="AN37" s="79">
        <f>INDEX('Year data'!$B$57:$AC$161,MATCH($AE37,'Year data'!$A$3:$A$53,0),MATCH('TCO Inputs'!$AZ$12,'Year data'!$B$2:$AC$2,0))</f>
        <v>7.98</v>
      </c>
      <c r="AO37">
        <f t="shared" si="11"/>
        <v>2.0699999999999985</v>
      </c>
    </row>
    <row r="38" spans="2:41" x14ac:dyDescent="0.25">
      <c r="B38" t="s">
        <v>221</v>
      </c>
      <c r="C38" s="10">
        <v>356.90751110782082</v>
      </c>
      <c r="D38" s="10">
        <v>299.91625598365056</v>
      </c>
      <c r="E38" s="10">
        <v>269.35143016897121</v>
      </c>
      <c r="F38" s="10">
        <v>105.11461469989021</v>
      </c>
      <c r="G38" s="10">
        <v>169.85210698124899</v>
      </c>
      <c r="I38" s="22">
        <v>0</v>
      </c>
      <c r="J38" s="22">
        <v>0.68</v>
      </c>
      <c r="K38" s="22">
        <v>0</v>
      </c>
      <c r="L38" s="22">
        <v>0</v>
      </c>
      <c r="M38" s="22">
        <v>0</v>
      </c>
      <c r="N38" s="22">
        <v>0.32</v>
      </c>
      <c r="Q38" t="s">
        <v>217</v>
      </c>
      <c r="R38">
        <f t="shared" si="5"/>
        <v>362.10758669196872</v>
      </c>
      <c r="S38">
        <v>136.4</v>
      </c>
      <c r="T38">
        <f t="shared" si="6"/>
        <v>273.2729501050062</v>
      </c>
      <c r="U38">
        <f t="shared" si="7"/>
        <v>184.81350096320543</v>
      </c>
      <c r="V38">
        <f t="shared" si="8"/>
        <v>184.55286078999893</v>
      </c>
      <c r="X38" s="10">
        <f t="shared" si="12"/>
        <v>225.00378210444575</v>
      </c>
      <c r="Y38" s="10">
        <f t="shared" si="13"/>
        <v>84.75524127903364</v>
      </c>
      <c r="Z38" s="10">
        <f t="shared" si="14"/>
        <v>169.80436085911381</v>
      </c>
      <c r="AA38" s="10">
        <f t="shared" si="15"/>
        <v>114.83807086333866</v>
      </c>
      <c r="AB38" s="10">
        <f t="shared" si="16"/>
        <v>114.67611616563245</v>
      </c>
      <c r="AE38" t="s">
        <v>219</v>
      </c>
      <c r="AF38" s="58">
        <f>INDEX('Year data'!$B$111:$AC$161,MATCH($AE38,'Year data'!$A$111:$A$161,0),MATCH('TCO Inputs'!$AZ$12,'Year data'!$B$110:$AC$110,0))</f>
        <v>4.5133653846153869</v>
      </c>
      <c r="AG38" s="79">
        <f t="shared" si="9"/>
        <v>16.78501388199512</v>
      </c>
      <c r="AH38" s="79">
        <f t="shared" si="10"/>
        <v>22.265078045735692</v>
      </c>
      <c r="AI38">
        <f>'TCO Inputs'!$AZ$16</f>
        <v>5</v>
      </c>
      <c r="AK38">
        <v>11.01</v>
      </c>
      <c r="AL38" s="79">
        <f>INDEX('Year data'!$B$3:$AC$53,MATCH($AE38,'Year data'!$A$3:$A$53,0),MATCH('TCO Inputs'!$AZ$12,'Year data'!$B$2:$AC$2,0))</f>
        <v>12.68</v>
      </c>
      <c r="AM38">
        <v>8.85</v>
      </c>
      <c r="AN38" s="79">
        <f>INDEX('Year data'!$B$57:$AC$161,MATCH($AE38,'Year data'!$A$3:$A$53,0),MATCH('TCO Inputs'!$AZ$12,'Year data'!$B$2:$AC$2,0))</f>
        <v>8.85</v>
      </c>
      <c r="AO38">
        <f t="shared" si="11"/>
        <v>1.67</v>
      </c>
    </row>
    <row r="39" spans="2:41" x14ac:dyDescent="0.25">
      <c r="B39" t="s">
        <v>222</v>
      </c>
      <c r="C39" s="10">
        <v>354.67935033257459</v>
      </c>
      <c r="D39" s="10">
        <v>288.85158997604617</v>
      </c>
      <c r="E39" s="10">
        <v>267.67111288138108</v>
      </c>
      <c r="F39" s="10">
        <v>70.964738061617098</v>
      </c>
      <c r="G39" s="10">
        <v>163.5530361579936</v>
      </c>
      <c r="I39" s="22">
        <v>0</v>
      </c>
      <c r="J39" s="22">
        <v>0.21</v>
      </c>
      <c r="K39" s="22">
        <v>0.12</v>
      </c>
      <c r="L39" s="22">
        <v>0.54</v>
      </c>
      <c r="M39" s="22">
        <v>0</v>
      </c>
      <c r="N39" s="22">
        <v>0.13</v>
      </c>
      <c r="Q39" t="s">
        <v>218</v>
      </c>
      <c r="R39">
        <f t="shared" si="5"/>
        <v>356.79544201646229</v>
      </c>
      <c r="S39">
        <v>136.4</v>
      </c>
      <c r="T39">
        <f t="shared" si="6"/>
        <v>269.2669157866581</v>
      </c>
      <c r="U39">
        <f t="shared" si="7"/>
        <v>103.39698917560099</v>
      </c>
      <c r="V39">
        <f t="shared" si="8"/>
        <v>169.53528461198923</v>
      </c>
      <c r="X39" s="10">
        <f t="shared" si="12"/>
        <v>221.70296022994663</v>
      </c>
      <c r="Y39" s="10">
        <f t="shared" si="13"/>
        <v>84.75524127903364</v>
      </c>
      <c r="Z39" s="10">
        <f t="shared" si="14"/>
        <v>167.31512035160881</v>
      </c>
      <c r="AA39" s="10">
        <f t="shared" si="15"/>
        <v>64.248070125393639</v>
      </c>
      <c r="AB39" s="10">
        <f t="shared" si="16"/>
        <v>105.34460375805561</v>
      </c>
      <c r="AE39" t="s">
        <v>220</v>
      </c>
      <c r="AF39" s="58">
        <f>INDEX('Year data'!$B$111:$AC$161,MATCH($AE39,'Year data'!$A$111:$A$161,0),MATCH('TCO Inputs'!$AZ$12,'Year data'!$B$110:$AC$110,0))</f>
        <v>3.561634615384615</v>
      </c>
      <c r="AG39" s="79">
        <f t="shared" si="9"/>
        <v>22.205013881995121</v>
      </c>
      <c r="AH39" s="79">
        <f t="shared" si="10"/>
        <v>22.125078045735691</v>
      </c>
      <c r="AI39">
        <f>'TCO Inputs'!$AZ$16</f>
        <v>5</v>
      </c>
      <c r="AK39">
        <v>13.8</v>
      </c>
      <c r="AL39" s="79">
        <f>INDEX('Year data'!$B$3:$AC$53,MATCH($AE39,'Year data'!$A$3:$A$53,0),MATCH('TCO Inputs'!$AZ$12,'Year data'!$B$2:$AC$2,0))</f>
        <v>18.100000000000001</v>
      </c>
      <c r="AM39">
        <v>8.7100000000000009</v>
      </c>
      <c r="AN39" s="79">
        <f>INDEX('Year data'!$B$57:$AC$161,MATCH($AE39,'Year data'!$A$3:$A$53,0),MATCH('TCO Inputs'!$AZ$12,'Year data'!$B$2:$AC$2,0))</f>
        <v>8.7100000000000009</v>
      </c>
      <c r="AO39">
        <f t="shared" si="11"/>
        <v>4.3000000000000007</v>
      </c>
    </row>
    <row r="40" spans="2:41" x14ac:dyDescent="0.25">
      <c r="B40" t="s">
        <v>223</v>
      </c>
      <c r="C40" s="10">
        <v>352.78173506724789</v>
      </c>
      <c r="D40" s="10">
        <v>279.42835688989021</v>
      </c>
      <c r="E40" s="10">
        <v>266.24006904875142</v>
      </c>
      <c r="F40" s="10">
        <v>41.880963889646573</v>
      </c>
      <c r="G40" s="10">
        <v>158.18842663856071</v>
      </c>
      <c r="I40" s="22">
        <v>0</v>
      </c>
      <c r="J40" s="22">
        <v>0.15</v>
      </c>
      <c r="K40" s="22">
        <v>0.05</v>
      </c>
      <c r="L40" s="22">
        <v>0</v>
      </c>
      <c r="M40" s="22">
        <v>0</v>
      </c>
      <c r="N40" s="22">
        <v>0.8</v>
      </c>
      <c r="Q40" t="s">
        <v>219</v>
      </c>
      <c r="R40">
        <f t="shared" si="5"/>
        <v>353.02292385620018</v>
      </c>
      <c r="S40">
        <v>136.4</v>
      </c>
      <c r="T40">
        <f t="shared" si="6"/>
        <v>266.42195614422133</v>
      </c>
      <c r="U40">
        <f t="shared" si="7"/>
        <v>45.577540826150752</v>
      </c>
      <c r="V40">
        <f t="shared" si="8"/>
        <v>158.87027390189127</v>
      </c>
      <c r="X40" s="10">
        <f t="shared" si="12"/>
        <v>219.35882029664344</v>
      </c>
      <c r="Y40" s="10">
        <f t="shared" si="13"/>
        <v>84.75524127903364</v>
      </c>
      <c r="Z40" s="10">
        <f t="shared" si="14"/>
        <v>165.54733999292961</v>
      </c>
      <c r="AA40" s="10">
        <f t="shared" si="15"/>
        <v>28.320641272913587</v>
      </c>
      <c r="AB40" s="10">
        <f t="shared" si="16"/>
        <v>98.71765686672255</v>
      </c>
      <c r="AE40" t="s">
        <v>221</v>
      </c>
      <c r="AF40" s="58">
        <f>INDEX('Year data'!$B$111:$AC$161,MATCH($AE40,'Year data'!$A$111:$A$161,0),MATCH('TCO Inputs'!$AZ$12,'Year data'!$B$110:$AC$110,0))</f>
        <v>3.4698076923076924</v>
      </c>
      <c r="AG40" s="79">
        <f t="shared" si="9"/>
        <v>32.085013881995124</v>
      </c>
      <c r="AH40" s="79">
        <f t="shared" si="10"/>
        <v>29.795078045735693</v>
      </c>
      <c r="AI40">
        <f>'TCO Inputs'!$AZ$16</f>
        <v>5</v>
      </c>
      <c r="AK40">
        <v>21.73</v>
      </c>
      <c r="AL40" s="79">
        <f>INDEX('Year data'!$B$3:$AC$53,MATCH($AE40,'Year data'!$A$3:$A$53,0),MATCH('TCO Inputs'!$AZ$12,'Year data'!$B$2:$AC$2,0))</f>
        <v>27.98</v>
      </c>
      <c r="AM40">
        <v>16.38</v>
      </c>
      <c r="AN40" s="79">
        <f>INDEX('Year data'!$B$57:$AC$161,MATCH($AE40,'Year data'!$A$3:$A$53,0),MATCH('TCO Inputs'!$AZ$12,'Year data'!$B$2:$AC$2,0))</f>
        <v>16.38</v>
      </c>
      <c r="AO40">
        <f t="shared" si="11"/>
        <v>6.25</v>
      </c>
    </row>
    <row r="41" spans="2:41" x14ac:dyDescent="0.25">
      <c r="B41" t="s">
        <v>224</v>
      </c>
      <c r="C41" s="10">
        <v>357.0508384646368</v>
      </c>
      <c r="D41" s="10">
        <v>300.62799476831208</v>
      </c>
      <c r="E41" s="10">
        <v>269.45951726848313</v>
      </c>
      <c r="F41" s="10">
        <v>107.31131830662018</v>
      </c>
      <c r="G41" s="10">
        <v>170.25729707095971</v>
      </c>
      <c r="I41" s="22">
        <v>0</v>
      </c>
      <c r="J41" s="22">
        <v>0.22</v>
      </c>
      <c r="K41" s="22">
        <v>0.23</v>
      </c>
      <c r="L41" s="22">
        <v>0.42</v>
      </c>
      <c r="M41" s="22">
        <v>0</v>
      </c>
      <c r="N41" s="22">
        <v>0.13</v>
      </c>
      <c r="Q41" t="s">
        <v>220</v>
      </c>
      <c r="R41">
        <f t="shared" si="5"/>
        <v>357.52930487960595</v>
      </c>
      <c r="S41">
        <v>136.4</v>
      </c>
      <c r="T41">
        <f t="shared" si="6"/>
        <v>269.82034194394441</v>
      </c>
      <c r="U41">
        <f t="shared" si="7"/>
        <v>114.64452796822218</v>
      </c>
      <c r="V41">
        <f t="shared" si="8"/>
        <v>171.6099346665944</v>
      </c>
      <c r="X41" s="10">
        <f t="shared" si="12"/>
        <v>222.15896260554385</v>
      </c>
      <c r="Y41" s="10">
        <f t="shared" si="13"/>
        <v>84.75524127903364</v>
      </c>
      <c r="Z41" s="10">
        <f t="shared" si="14"/>
        <v>167.65900427749537</v>
      </c>
      <c r="AA41" s="10">
        <f t="shared" si="15"/>
        <v>71.236984085539518</v>
      </c>
      <c r="AB41" s="10">
        <f t="shared" si="16"/>
        <v>106.63373474007631</v>
      </c>
      <c r="AE41" t="s">
        <v>222</v>
      </c>
      <c r="AF41" s="58">
        <f>INDEX('Year data'!$B$111:$AC$161,MATCH($AE41,'Year data'!$A$111:$A$161,0),MATCH('TCO Inputs'!$AZ$12,'Year data'!$B$110:$AC$110,0))</f>
        <v>3.2785000000000006</v>
      </c>
      <c r="AG41" s="79">
        <f t="shared" si="9"/>
        <v>18.205013881995121</v>
      </c>
      <c r="AH41" s="79">
        <f t="shared" si="10"/>
        <v>23.995078045735692</v>
      </c>
      <c r="AI41">
        <f>'TCO Inputs'!$AZ$16</f>
        <v>5</v>
      </c>
      <c r="AK41">
        <v>12.99</v>
      </c>
      <c r="AL41" s="79">
        <f>INDEX('Year data'!$B$3:$AC$53,MATCH($AE41,'Year data'!$A$3:$A$53,0),MATCH('TCO Inputs'!$AZ$12,'Year data'!$B$2:$AC$2,0))</f>
        <v>14.1</v>
      </c>
      <c r="AM41">
        <v>10.58</v>
      </c>
      <c r="AN41" s="79">
        <f>INDEX('Year data'!$B$57:$AC$161,MATCH($AE41,'Year data'!$A$3:$A$53,0),MATCH('TCO Inputs'!$AZ$12,'Year data'!$B$2:$AC$2,0))</f>
        <v>10.58</v>
      </c>
      <c r="AO41">
        <f t="shared" si="11"/>
        <v>1.1099999999999994</v>
      </c>
    </row>
    <row r="42" spans="2:41" x14ac:dyDescent="0.25">
      <c r="B42" t="s">
        <v>225</v>
      </c>
      <c r="C42" s="10">
        <v>357.37294266522593</v>
      </c>
      <c r="D42" s="10">
        <v>302.22750951211765</v>
      </c>
      <c r="E42" s="10">
        <v>269.70242490004551</v>
      </c>
      <c r="F42" s="10">
        <v>112.24804492114225</v>
      </c>
      <c r="G42" s="10">
        <v>171.16789452118084</v>
      </c>
      <c r="I42" s="22">
        <v>0.05</v>
      </c>
      <c r="J42" s="22">
        <v>0.52</v>
      </c>
      <c r="K42" s="22">
        <v>0.05</v>
      </c>
      <c r="L42" s="22">
        <v>0.09</v>
      </c>
      <c r="M42" s="22">
        <v>0</v>
      </c>
      <c r="N42" s="22">
        <v>0.3</v>
      </c>
      <c r="Q42" t="s">
        <v>221</v>
      </c>
      <c r="R42">
        <f t="shared" si="5"/>
        <v>356.90751110782082</v>
      </c>
      <c r="S42">
        <v>136.4</v>
      </c>
      <c r="T42">
        <f t="shared" si="6"/>
        <v>269.35143016897121</v>
      </c>
      <c r="U42">
        <f t="shared" si="7"/>
        <v>105.11461469989021</v>
      </c>
      <c r="V42">
        <f t="shared" si="8"/>
        <v>169.85210698124899</v>
      </c>
      <c r="X42" s="10">
        <f t="shared" si="12"/>
        <v>221.77259690793792</v>
      </c>
      <c r="Y42" s="10">
        <f t="shared" si="13"/>
        <v>84.75524127903364</v>
      </c>
      <c r="Z42" s="10">
        <f t="shared" si="14"/>
        <v>167.36763528463297</v>
      </c>
      <c r="AA42" s="10">
        <f t="shared" si="15"/>
        <v>65.315355797960791</v>
      </c>
      <c r="AB42" s="10">
        <f t="shared" si="16"/>
        <v>105.54146854067443</v>
      </c>
      <c r="AE42" t="s">
        <v>223</v>
      </c>
      <c r="AF42" s="58">
        <f>INDEX('Year data'!$B$111:$AC$161,MATCH($AE42,'Year data'!$A$111:$A$161,0),MATCH('TCO Inputs'!$AZ$12,'Year data'!$B$110:$AC$110,0))</f>
        <v>3.3631923076923078</v>
      </c>
      <c r="AG42" s="79">
        <f t="shared" si="9"/>
        <v>16.35501388199512</v>
      </c>
      <c r="AH42" s="79">
        <f t="shared" si="10"/>
        <v>23.005078045735694</v>
      </c>
      <c r="AI42">
        <f>'TCO Inputs'!$AZ$16</f>
        <v>5</v>
      </c>
      <c r="AK42">
        <v>11.55</v>
      </c>
      <c r="AL42" s="79">
        <f>INDEX('Year data'!$B$3:$AC$53,MATCH($AE42,'Year data'!$A$3:$A$53,0),MATCH('TCO Inputs'!$AZ$12,'Year data'!$B$2:$AC$2,0))</f>
        <v>12.25</v>
      </c>
      <c r="AM42">
        <v>9.59</v>
      </c>
      <c r="AN42" s="79">
        <f>INDEX('Year data'!$B$57:$AC$161,MATCH($AE42,'Year data'!$A$3:$A$53,0),MATCH('TCO Inputs'!$AZ$12,'Year data'!$B$2:$AC$2,0))</f>
        <v>9.59</v>
      </c>
      <c r="AO42">
        <f t="shared" si="11"/>
        <v>0.69999999999999929</v>
      </c>
    </row>
    <row r="43" spans="2:41" x14ac:dyDescent="0.25">
      <c r="B43" t="s">
        <v>226</v>
      </c>
      <c r="C43" s="10">
        <v>363.74225624960724</v>
      </c>
      <c r="D43" s="10">
        <v>333.85643203682508</v>
      </c>
      <c r="E43" s="10">
        <v>274.5056993517</v>
      </c>
      <c r="F43" s="10">
        <v>209.86724117907829</v>
      </c>
      <c r="G43" s="10">
        <v>189.17411566779873</v>
      </c>
      <c r="I43" s="22">
        <v>0</v>
      </c>
      <c r="J43" s="22">
        <v>0.33</v>
      </c>
      <c r="K43" s="23">
        <v>0.5</v>
      </c>
      <c r="L43" s="22">
        <v>0</v>
      </c>
      <c r="M43" s="22">
        <v>0</v>
      </c>
      <c r="N43" s="22">
        <v>0.18</v>
      </c>
      <c r="Q43" t="s">
        <v>222</v>
      </c>
      <c r="R43">
        <f t="shared" si="5"/>
        <v>354.67935033257459</v>
      </c>
      <c r="S43">
        <v>136.4</v>
      </c>
      <c r="T43">
        <f t="shared" si="6"/>
        <v>267.67111288138108</v>
      </c>
      <c r="U43">
        <f t="shared" si="7"/>
        <v>70.964738061617098</v>
      </c>
      <c r="V43">
        <f t="shared" si="8"/>
        <v>163.5530361579936</v>
      </c>
      <c r="X43" s="10">
        <f t="shared" si="12"/>
        <v>220.38807854932742</v>
      </c>
      <c r="Y43" s="10">
        <f t="shared" si="13"/>
        <v>84.75524127903364</v>
      </c>
      <c r="Z43" s="10">
        <f t="shared" si="14"/>
        <v>166.3235319332031</v>
      </c>
      <c r="AA43" s="10">
        <f t="shared" si="15"/>
        <v>44.095553494983719</v>
      </c>
      <c r="AB43" s="10">
        <f t="shared" si="16"/>
        <v>101.62739766487728</v>
      </c>
      <c r="AE43" t="s">
        <v>224</v>
      </c>
      <c r="AF43" s="58">
        <f>INDEX('Year data'!$B$111:$AC$161,MATCH($AE43,'Year data'!$A$111:$A$161,0),MATCH('TCO Inputs'!$AZ$12,'Year data'!$B$110:$AC$110,0))</f>
        <v>3.3631923076923078</v>
      </c>
      <c r="AG43" s="79">
        <f t="shared" si="9"/>
        <v>16.37501388199512</v>
      </c>
      <c r="AH43" s="79">
        <f t="shared" si="10"/>
        <v>24.065078045735692</v>
      </c>
      <c r="AI43">
        <f>'TCO Inputs'!$AZ$16</f>
        <v>5</v>
      </c>
      <c r="AK43">
        <v>10.87</v>
      </c>
      <c r="AL43" s="79">
        <f>INDEX('Year data'!$B$3:$AC$53,MATCH($AE43,'Year data'!$A$3:$A$53,0),MATCH('TCO Inputs'!$AZ$12,'Year data'!$B$2:$AC$2,0))</f>
        <v>12.27</v>
      </c>
      <c r="AM43">
        <v>10.65</v>
      </c>
      <c r="AN43" s="79">
        <f>INDEX('Year data'!$B$57:$AC$161,MATCH($AE43,'Year data'!$A$3:$A$53,0),MATCH('TCO Inputs'!$AZ$12,'Year data'!$B$2:$AC$2,0))</f>
        <v>10.65</v>
      </c>
      <c r="AO43">
        <f t="shared" si="11"/>
        <v>1.4000000000000004</v>
      </c>
    </row>
    <row r="44" spans="2:41" x14ac:dyDescent="0.25">
      <c r="B44" t="s">
        <v>227</v>
      </c>
      <c r="C44" s="10">
        <v>356.70673880556444</v>
      </c>
      <c r="D44" s="10">
        <v>298.91925492788135</v>
      </c>
      <c r="E44" s="10">
        <v>269.20002225707435</v>
      </c>
      <c r="F44" s="10">
        <v>102.03748042099582</v>
      </c>
      <c r="G44" s="10">
        <v>169.28451820298542</v>
      </c>
      <c r="I44" s="22">
        <v>0</v>
      </c>
      <c r="J44" s="22">
        <v>0.56000000000000005</v>
      </c>
      <c r="K44" s="22">
        <v>0.05</v>
      </c>
      <c r="L44" s="22">
        <v>0.26</v>
      </c>
      <c r="M44" s="22">
        <v>0</v>
      </c>
      <c r="N44" s="22">
        <v>0.12</v>
      </c>
      <c r="Q44" t="s">
        <v>223</v>
      </c>
      <c r="R44">
        <f t="shared" si="5"/>
        <v>352.78173506724789</v>
      </c>
      <c r="S44">
        <v>136.4</v>
      </c>
      <c r="T44">
        <f t="shared" si="6"/>
        <v>266.24006904875142</v>
      </c>
      <c r="U44">
        <f t="shared" si="7"/>
        <v>41.880963889646573</v>
      </c>
      <c r="V44">
        <f t="shared" si="8"/>
        <v>158.18842663856071</v>
      </c>
      <c r="X44" s="10">
        <f t="shared" si="12"/>
        <v>219.20895215880293</v>
      </c>
      <c r="Y44" s="10">
        <f t="shared" si="13"/>
        <v>84.75524127903364</v>
      </c>
      <c r="Z44" s="10">
        <f t="shared" si="14"/>
        <v>165.43432031065618</v>
      </c>
      <c r="AA44" s="10">
        <f t="shared" si="15"/>
        <v>26.023689145641427</v>
      </c>
      <c r="AB44" s="10">
        <f t="shared" si="16"/>
        <v>98.293975566729657</v>
      </c>
      <c r="AE44" t="s">
        <v>225</v>
      </c>
      <c r="AF44" s="58">
        <f>INDEX('Year data'!$B$111:$AC$161,MATCH($AE44,'Year data'!$A$111:$A$161,0),MATCH('TCO Inputs'!$AZ$12,'Year data'!$B$110:$AC$110,0))</f>
        <v>3.0905000000000005</v>
      </c>
      <c r="AG44" s="79">
        <f t="shared" si="9"/>
        <v>18.42501388199512</v>
      </c>
      <c r="AH44" s="79">
        <f t="shared" si="10"/>
        <v>21.475078045735692</v>
      </c>
      <c r="AI44">
        <f>'TCO Inputs'!$AZ$16</f>
        <v>5</v>
      </c>
      <c r="AK44">
        <v>11.76</v>
      </c>
      <c r="AL44" s="79">
        <f>INDEX('Year data'!$B$3:$AC$53,MATCH($AE44,'Year data'!$A$3:$A$53,0),MATCH('TCO Inputs'!$AZ$12,'Year data'!$B$2:$AC$2,0))</f>
        <v>14.32</v>
      </c>
      <c r="AM44">
        <v>8.06</v>
      </c>
      <c r="AN44" s="79">
        <f>INDEX('Year data'!$B$57:$AC$161,MATCH($AE44,'Year data'!$A$3:$A$53,0),MATCH('TCO Inputs'!$AZ$12,'Year data'!$B$2:$AC$2,0))</f>
        <v>8.06</v>
      </c>
      <c r="AO44">
        <f t="shared" si="11"/>
        <v>2.5600000000000005</v>
      </c>
    </row>
    <row r="45" spans="2:41" x14ac:dyDescent="0.25">
      <c r="B45" t="s">
        <v>228</v>
      </c>
      <c r="C45" s="10">
        <v>350.30864300127791</v>
      </c>
      <c r="D45" s="10">
        <v>267.14740423900304</v>
      </c>
      <c r="E45" s="10">
        <v>264.3750423422328</v>
      </c>
      <c r="F45" s="10">
        <v>3.9771520831337215</v>
      </c>
      <c r="G45" s="10">
        <v>151.19692861486811</v>
      </c>
      <c r="I45" s="22">
        <v>0</v>
      </c>
      <c r="J45" s="22">
        <v>0</v>
      </c>
      <c r="K45" s="22">
        <v>0</v>
      </c>
      <c r="L45" s="22">
        <v>0</v>
      </c>
      <c r="M45" s="22">
        <v>0</v>
      </c>
      <c r="N45" s="22">
        <v>1</v>
      </c>
      <c r="Q45" t="s">
        <v>224</v>
      </c>
      <c r="R45">
        <f t="shared" si="5"/>
        <v>357.0508384646368</v>
      </c>
      <c r="S45">
        <v>136.4</v>
      </c>
      <c r="T45">
        <f t="shared" si="6"/>
        <v>269.45951726848313</v>
      </c>
      <c r="U45">
        <f t="shared" si="7"/>
        <v>107.31131830662018</v>
      </c>
      <c r="V45">
        <f t="shared" si="8"/>
        <v>170.25729707095971</v>
      </c>
      <c r="X45" s="10">
        <f t="shared" si="12"/>
        <v>221.86165661987945</v>
      </c>
      <c r="Y45" s="10">
        <f t="shared" si="13"/>
        <v>84.75524127903364</v>
      </c>
      <c r="Z45" s="10">
        <f t="shared" si="14"/>
        <v>167.43479766145322</v>
      </c>
      <c r="AA45" s="10">
        <f t="shared" si="15"/>
        <v>66.680327529683083</v>
      </c>
      <c r="AB45" s="10">
        <f t="shared" si="16"/>
        <v>105.79324261558136</v>
      </c>
      <c r="AE45" t="s">
        <v>226</v>
      </c>
      <c r="AF45" s="58">
        <f>INDEX('Year data'!$B$111:$AC$161,MATCH($AE45,'Year data'!$A$111:$A$161,0),MATCH('TCO Inputs'!$AZ$12,'Year data'!$B$110:$AC$110,0))</f>
        <v>3.5969230769230762</v>
      </c>
      <c r="AG45" s="79">
        <f t="shared" si="9"/>
        <v>15.305013881995119</v>
      </c>
      <c r="AH45" s="79">
        <f t="shared" si="10"/>
        <v>21.675078045735692</v>
      </c>
      <c r="AI45">
        <f>'TCO Inputs'!$AZ$16</f>
        <v>5</v>
      </c>
      <c r="AK45">
        <v>10.4</v>
      </c>
      <c r="AL45" s="79">
        <f>INDEX('Year data'!$B$3:$AC$53,MATCH($AE45,'Year data'!$A$3:$A$53,0),MATCH('TCO Inputs'!$AZ$12,'Year data'!$B$2:$AC$2,0))</f>
        <v>11.2</v>
      </c>
      <c r="AM45">
        <v>8.26</v>
      </c>
      <c r="AN45" s="79">
        <f>INDEX('Year data'!$B$57:$AC$161,MATCH($AE45,'Year data'!$A$3:$A$53,0),MATCH('TCO Inputs'!$AZ$12,'Year data'!$B$2:$AC$2,0))</f>
        <v>8.26</v>
      </c>
      <c r="AO45">
        <f t="shared" si="11"/>
        <v>0.79999999999999893</v>
      </c>
    </row>
    <row r="46" spans="2:41" x14ac:dyDescent="0.25">
      <c r="B46" t="s">
        <v>229</v>
      </c>
      <c r="C46" s="10">
        <v>351.16558760800399</v>
      </c>
      <c r="D46" s="10">
        <v>271.40284475926813</v>
      </c>
      <c r="E46" s="10">
        <v>265.02128782558663</v>
      </c>
      <c r="F46" s="10">
        <v>17.111101966133095</v>
      </c>
      <c r="G46" s="10">
        <v>153.6195341596607</v>
      </c>
      <c r="I46" s="22">
        <v>0</v>
      </c>
      <c r="J46" s="22">
        <v>0.09</v>
      </c>
      <c r="K46" s="22">
        <v>0</v>
      </c>
      <c r="L46" s="22">
        <v>7.0000000000000007E-2</v>
      </c>
      <c r="M46" s="22">
        <v>0</v>
      </c>
      <c r="N46" s="22">
        <v>0.84</v>
      </c>
      <c r="Q46" t="s">
        <v>225</v>
      </c>
      <c r="R46">
        <f t="shared" si="5"/>
        <v>357.37294266522593</v>
      </c>
      <c r="S46">
        <v>136.4</v>
      </c>
      <c r="T46">
        <f t="shared" si="6"/>
        <v>269.70242490004551</v>
      </c>
      <c r="U46">
        <f t="shared" si="7"/>
        <v>112.24804492114225</v>
      </c>
      <c r="V46">
        <f t="shared" si="8"/>
        <v>171.16789452118084</v>
      </c>
      <c r="X46" s="10">
        <f t="shared" si="12"/>
        <v>222.06180338848591</v>
      </c>
      <c r="Y46" s="10">
        <f t="shared" si="13"/>
        <v>84.75524127903364</v>
      </c>
      <c r="Z46" s="10">
        <f t="shared" si="14"/>
        <v>167.58573384123028</v>
      </c>
      <c r="AA46" s="10">
        <f t="shared" si="15"/>
        <v>69.7478748562406</v>
      </c>
      <c r="AB46" s="10">
        <f t="shared" si="16"/>
        <v>106.3590630452116</v>
      </c>
      <c r="AE46" t="s">
        <v>227</v>
      </c>
      <c r="AF46" s="58">
        <f>INDEX('Year data'!$B$111:$AC$161,MATCH($AE46,'Year data'!$A$111:$A$161,0),MATCH('TCO Inputs'!$AZ$12,'Year data'!$B$110:$AC$110,0))</f>
        <v>3.3991923076923074</v>
      </c>
      <c r="AG46" s="79">
        <f t="shared" si="9"/>
        <v>18.44501388199512</v>
      </c>
      <c r="AH46" s="79">
        <f t="shared" si="10"/>
        <v>21.59507804573569</v>
      </c>
      <c r="AI46">
        <f>'TCO Inputs'!$AZ$16</f>
        <v>5</v>
      </c>
      <c r="AK46">
        <v>12.07</v>
      </c>
      <c r="AL46" s="79">
        <f>INDEX('Year data'!$B$3:$AC$53,MATCH($AE46,'Year data'!$A$3:$A$53,0),MATCH('TCO Inputs'!$AZ$12,'Year data'!$B$2:$AC$2,0))</f>
        <v>14.34</v>
      </c>
      <c r="AM46">
        <v>8.18</v>
      </c>
      <c r="AN46" s="79">
        <f>INDEX('Year data'!$B$57:$AC$161,MATCH($AE46,'Year data'!$A$3:$A$53,0),MATCH('TCO Inputs'!$AZ$12,'Year data'!$B$2:$AC$2,0))</f>
        <v>8.18</v>
      </c>
      <c r="AO46">
        <f t="shared" si="11"/>
        <v>2.2699999999999996</v>
      </c>
    </row>
    <row r="47" spans="2:41" x14ac:dyDescent="0.25">
      <c r="B47" t="s">
        <v>158</v>
      </c>
      <c r="C47" s="10">
        <v>362.13832881811959</v>
      </c>
      <c r="D47" s="10">
        <v>325.89160257657824</v>
      </c>
      <c r="E47" s="10">
        <v>273.2961335873664</v>
      </c>
      <c r="F47" s="10">
        <v>185.28466965350646</v>
      </c>
      <c r="G47" s="10">
        <v>184.63976959438219</v>
      </c>
      <c r="I47" s="22">
        <v>0.01</v>
      </c>
      <c r="J47" s="22">
        <v>0.4</v>
      </c>
      <c r="K47" s="22">
        <v>0.38</v>
      </c>
      <c r="L47" s="22">
        <v>0.14000000000000001</v>
      </c>
      <c r="M47" s="22">
        <v>0</v>
      </c>
      <c r="N47" s="22">
        <v>7.0000000000000007E-2</v>
      </c>
      <c r="Q47" t="s">
        <v>226</v>
      </c>
      <c r="R47">
        <f t="shared" si="5"/>
        <v>363.74225624960724</v>
      </c>
      <c r="S47">
        <v>136.4</v>
      </c>
      <c r="T47">
        <f t="shared" si="6"/>
        <v>274.5056993517</v>
      </c>
      <c r="U47">
        <f t="shared" si="7"/>
        <v>209.86724117907829</v>
      </c>
      <c r="V47">
        <f t="shared" si="8"/>
        <v>189.17411566779873</v>
      </c>
      <c r="X47" s="10">
        <f t="shared" si="12"/>
        <v>226.01952120099372</v>
      </c>
      <c r="Y47" s="10">
        <f t="shared" si="13"/>
        <v>84.75524127903364</v>
      </c>
      <c r="Z47" s="10">
        <f t="shared" si="14"/>
        <v>170.57035763213491</v>
      </c>
      <c r="AA47" s="10">
        <f t="shared" si="15"/>
        <v>130.40578198458888</v>
      </c>
      <c r="AB47" s="10">
        <f t="shared" si="16"/>
        <v>117.54763795580719</v>
      </c>
      <c r="AE47" t="s">
        <v>228</v>
      </c>
      <c r="AF47" s="58">
        <f>INDEX('Year data'!$B$111:$AC$161,MATCH($AE47,'Year data'!$A$111:$A$161,0),MATCH('TCO Inputs'!$AZ$12,'Year data'!$B$110:$AC$110,0))</f>
        <v>3.4698076923076924</v>
      </c>
      <c r="AG47" s="79">
        <f t="shared" si="9"/>
        <v>24.915013881995119</v>
      </c>
      <c r="AH47" s="79">
        <f t="shared" si="10"/>
        <v>29.395078045735694</v>
      </c>
      <c r="AI47">
        <f>'TCO Inputs'!$AZ$16</f>
        <v>5</v>
      </c>
      <c r="AK47">
        <v>17.71</v>
      </c>
      <c r="AL47" s="79">
        <f>INDEX('Year data'!$B$3:$AC$53,MATCH($AE47,'Year data'!$A$3:$A$53,0),MATCH('TCO Inputs'!$AZ$12,'Year data'!$B$2:$AC$2,0))</f>
        <v>20.81</v>
      </c>
      <c r="AM47">
        <v>15.98</v>
      </c>
      <c r="AN47" s="79">
        <f>INDEX('Year data'!$B$57:$AC$161,MATCH($AE47,'Year data'!$A$3:$A$53,0),MATCH('TCO Inputs'!$AZ$12,'Year data'!$B$2:$AC$2,0))</f>
        <v>15.98</v>
      </c>
      <c r="AO47">
        <f t="shared" si="11"/>
        <v>3.0999999999999979</v>
      </c>
    </row>
    <row r="48" spans="2:41" x14ac:dyDescent="0.25">
      <c r="B48" t="s">
        <v>159</v>
      </c>
      <c r="C48" s="10">
        <v>363.59750028699079</v>
      </c>
      <c r="D48" s="10">
        <v>333.13759842825607</v>
      </c>
      <c r="E48" s="10">
        <v>274.39653490128489</v>
      </c>
      <c r="F48" s="10">
        <v>207.64864018175638</v>
      </c>
      <c r="G48" s="10">
        <v>188.76488652275262</v>
      </c>
      <c r="I48" s="22">
        <v>0</v>
      </c>
      <c r="J48" s="22">
        <v>0</v>
      </c>
      <c r="K48" s="22">
        <v>0.65</v>
      </c>
      <c r="L48" s="22">
        <v>0</v>
      </c>
      <c r="M48" s="22">
        <v>0</v>
      </c>
      <c r="N48" s="22">
        <v>0.35</v>
      </c>
      <c r="Q48" t="s">
        <v>227</v>
      </c>
      <c r="R48">
        <f t="shared" si="5"/>
        <v>356.70673880556444</v>
      </c>
      <c r="S48">
        <v>136.4</v>
      </c>
      <c r="T48">
        <f t="shared" si="6"/>
        <v>269.20002225707435</v>
      </c>
      <c r="U48">
        <f t="shared" si="7"/>
        <v>102.03748042099582</v>
      </c>
      <c r="V48">
        <f t="shared" si="8"/>
        <v>169.28451820298542</v>
      </c>
      <c r="X48" s="10">
        <f t="shared" si="12"/>
        <v>221.64784247304141</v>
      </c>
      <c r="Y48" s="10">
        <f t="shared" si="13"/>
        <v>84.75524127903364</v>
      </c>
      <c r="Z48" s="10">
        <f t="shared" si="14"/>
        <v>167.27355453606717</v>
      </c>
      <c r="AA48" s="10">
        <f t="shared" si="15"/>
        <v>63.403308450045252</v>
      </c>
      <c r="AB48" s="10">
        <f t="shared" si="16"/>
        <v>105.18878434823309</v>
      </c>
      <c r="AE48" t="s">
        <v>229</v>
      </c>
      <c r="AF48" s="58">
        <f>INDEX('Year data'!$B$111:$AC$161,MATCH($AE48,'Year data'!$A$111:$A$161,0),MATCH('TCO Inputs'!$AZ$12,'Year data'!$B$110:$AC$110,0))</f>
        <v>4.5133653846153869</v>
      </c>
      <c r="AG48" s="79">
        <f t="shared" si="9"/>
        <v>15.08501388199512</v>
      </c>
      <c r="AH48" s="79">
        <f t="shared" si="10"/>
        <v>22.16507804573569</v>
      </c>
      <c r="AI48">
        <f>'TCO Inputs'!$AZ$16</f>
        <v>5</v>
      </c>
      <c r="AK48">
        <v>9.7100000000000009</v>
      </c>
      <c r="AL48" s="79">
        <f>INDEX('Year data'!$B$3:$AC$53,MATCH($AE48,'Year data'!$A$3:$A$53,0),MATCH('TCO Inputs'!$AZ$12,'Year data'!$B$2:$AC$2,0))</f>
        <v>10.98</v>
      </c>
      <c r="AM48">
        <v>8.75</v>
      </c>
      <c r="AN48" s="79">
        <f>INDEX('Year data'!$B$57:$AC$161,MATCH($AE48,'Year data'!$A$3:$A$53,0),MATCH('TCO Inputs'!$AZ$12,'Year data'!$B$2:$AC$2,0))</f>
        <v>8.75</v>
      </c>
      <c r="AO48">
        <f t="shared" si="11"/>
        <v>1.2699999999999996</v>
      </c>
    </row>
    <row r="49" spans="2:51" x14ac:dyDescent="0.25">
      <c r="B49" t="s">
        <v>160</v>
      </c>
      <c r="C49" s="10">
        <v>363.9979265281749</v>
      </c>
      <c r="D49" s="10">
        <v>335.12604672252513</v>
      </c>
      <c r="E49" s="10">
        <v>274.69850733655136</v>
      </c>
      <c r="F49" s="10">
        <v>213.78576749392707</v>
      </c>
      <c r="G49" s="10">
        <v>189.89690231296024</v>
      </c>
      <c r="I49" s="22">
        <v>0</v>
      </c>
      <c r="J49" s="22">
        <v>0.02</v>
      </c>
      <c r="K49" s="23">
        <v>0.66</v>
      </c>
      <c r="L49" s="22">
        <v>0</v>
      </c>
      <c r="M49" s="22">
        <v>0</v>
      </c>
      <c r="N49" s="22">
        <v>0.32</v>
      </c>
      <c r="Q49" t="s">
        <v>228</v>
      </c>
      <c r="R49">
        <f t="shared" si="5"/>
        <v>350.30864300127791</v>
      </c>
      <c r="S49">
        <v>136.4</v>
      </c>
      <c r="T49">
        <f t="shared" si="6"/>
        <v>264.3750423422328</v>
      </c>
      <c r="U49">
        <f t="shared" si="7"/>
        <v>3.9771520831337215</v>
      </c>
      <c r="V49">
        <f t="shared" si="8"/>
        <v>151.19692861486811</v>
      </c>
      <c r="X49" s="10">
        <f t="shared" si="12"/>
        <v>217.67224017378425</v>
      </c>
      <c r="Y49" s="10">
        <f t="shared" si="13"/>
        <v>84.75524127903364</v>
      </c>
      <c r="Z49" s="10">
        <f t="shared" si="14"/>
        <v>164.27544356210174</v>
      </c>
      <c r="AA49" s="10">
        <f t="shared" si="15"/>
        <v>2.4712938739692802</v>
      </c>
      <c r="AB49" s="10">
        <f t="shared" si="16"/>
        <v>93.949649306466071</v>
      </c>
      <c r="AE49" t="s">
        <v>158</v>
      </c>
      <c r="AF49" s="58">
        <f>INDEX('Year data'!$B$111:$AC$161,MATCH($AE49,'Year data'!$A$111:$A$161,0),MATCH('TCO Inputs'!$AZ$12,'Year data'!$B$110:$AC$110,0))</f>
        <v>3.3631923076923078</v>
      </c>
      <c r="AG49" s="79">
        <f t="shared" si="9"/>
        <v>20.87501388199512</v>
      </c>
      <c r="AH49" s="79">
        <f t="shared" si="10"/>
        <v>24.135078045735693</v>
      </c>
      <c r="AI49">
        <f>'TCO Inputs'!$AZ$16</f>
        <v>5</v>
      </c>
      <c r="AK49">
        <v>14.18</v>
      </c>
      <c r="AL49" s="79">
        <f>INDEX('Year data'!$B$3:$AC$53,MATCH($AE49,'Year data'!$A$3:$A$53,0),MATCH('TCO Inputs'!$AZ$12,'Year data'!$B$2:$AC$2,0))</f>
        <v>16.77</v>
      </c>
      <c r="AM49">
        <v>10.72</v>
      </c>
      <c r="AN49" s="79">
        <f>INDEX('Year data'!$B$57:$AC$161,MATCH($AE49,'Year data'!$A$3:$A$53,0),MATCH('TCO Inputs'!$AZ$12,'Year data'!$B$2:$AC$2,0))</f>
        <v>10.72</v>
      </c>
      <c r="AO49">
        <f t="shared" si="11"/>
        <v>2.59</v>
      </c>
    </row>
    <row r="50" spans="2:51" x14ac:dyDescent="0.25">
      <c r="B50" t="s">
        <v>134</v>
      </c>
      <c r="C50" s="10">
        <v>357.41583445834522</v>
      </c>
      <c r="D50" s="10">
        <v>302.44050266416957</v>
      </c>
      <c r="E50" s="10">
        <v>269.73477078023274</v>
      </c>
      <c r="F50" s="10">
        <v>124</v>
      </c>
      <c r="G50" s="10">
        <v>177</v>
      </c>
      <c r="I50" s="24">
        <f>IFERROR(IF($F$748&lt;=13,INDEX($F770:$AE770,1,$F$748*2-1),0),$F770)</f>
        <v>0</v>
      </c>
      <c r="J50" s="24">
        <v>0.4</v>
      </c>
      <c r="K50" s="24">
        <v>0.19</v>
      </c>
      <c r="L50" s="24">
        <v>0.19</v>
      </c>
      <c r="M50" s="24">
        <v>3.0000000000000001E-3</v>
      </c>
      <c r="N50" s="84">
        <v>0.21299999999999999</v>
      </c>
      <c r="Q50" t="s">
        <v>229</v>
      </c>
      <c r="R50">
        <f t="shared" si="5"/>
        <v>351.16558760800399</v>
      </c>
      <c r="S50">
        <v>136.4</v>
      </c>
      <c r="T50">
        <f t="shared" si="6"/>
        <v>265.02128782558663</v>
      </c>
      <c r="U50">
        <f t="shared" si="7"/>
        <v>17.111101966133095</v>
      </c>
      <c r="V50">
        <f t="shared" si="8"/>
        <v>153.6195341596607</v>
      </c>
      <c r="X50" s="10">
        <f t="shared" si="12"/>
        <v>218.20472218922291</v>
      </c>
      <c r="Y50" s="10">
        <f t="shared" si="13"/>
        <v>84.75524127903364</v>
      </c>
      <c r="Z50" s="10">
        <f t="shared" si="14"/>
        <v>164.67700288664088</v>
      </c>
      <c r="AA50" s="10">
        <f t="shared" si="15"/>
        <v>10.63237225579001</v>
      </c>
      <c r="AB50" s="10">
        <f t="shared" si="16"/>
        <v>95.454990343656846</v>
      </c>
      <c r="AE50" t="s">
        <v>159</v>
      </c>
      <c r="AF50" s="58">
        <f>INDEX('Year data'!$B$111:$AC$161,MATCH($AE50,'Year data'!$A$111:$A$161,0),MATCH('TCO Inputs'!$AZ$12,'Year data'!$B$110:$AC$110,0))</f>
        <v>3.2785000000000006</v>
      </c>
      <c r="AG50" s="79">
        <f t="shared" si="9"/>
        <v>18.17501388199512</v>
      </c>
      <c r="AH50" s="79">
        <f t="shared" si="10"/>
        <v>22.575078045735694</v>
      </c>
      <c r="AI50">
        <f>'TCO Inputs'!$AZ$16</f>
        <v>5</v>
      </c>
      <c r="AK50">
        <v>11.25</v>
      </c>
      <c r="AL50" s="79">
        <f>INDEX('Year data'!$B$3:$AC$53,MATCH($AE50,'Year data'!$A$3:$A$53,0),MATCH('TCO Inputs'!$AZ$12,'Year data'!$B$2:$AC$2,0))</f>
        <v>14.07</v>
      </c>
      <c r="AM50">
        <v>9.16</v>
      </c>
      <c r="AN50" s="79">
        <f>INDEX('Year data'!$B$57:$AC$161,MATCH($AE50,'Year data'!$A$3:$A$53,0),MATCH('TCO Inputs'!$AZ$12,'Year data'!$B$2:$AC$2,0))</f>
        <v>9.16</v>
      </c>
      <c r="AO50">
        <f t="shared" si="11"/>
        <v>2.8200000000000003</v>
      </c>
    </row>
    <row r="51" spans="2:51" x14ac:dyDescent="0.25">
      <c r="AE51" t="s">
        <v>160</v>
      </c>
      <c r="AF51" s="58">
        <f>INDEX('Year data'!$B$111:$AC$161,MATCH($AE51,'Year data'!$A$111:$A$161,0),MATCH('TCO Inputs'!$AZ$12,'Year data'!$B$110:$AC$110,0))</f>
        <v>3.5969230769230762</v>
      </c>
      <c r="AG51" s="79">
        <f t="shared" si="9"/>
        <v>15.555013881995119</v>
      </c>
      <c r="AH51" s="79">
        <f t="shared" si="10"/>
        <v>23.055078045735691</v>
      </c>
      <c r="AI51">
        <f>'TCO Inputs'!$AZ$16</f>
        <v>5</v>
      </c>
      <c r="AK51">
        <v>11.18</v>
      </c>
      <c r="AL51" s="79">
        <f>INDEX('Year data'!$B$3:$AC$53,MATCH($AE51,'Year data'!$A$3:$A$53,0),MATCH('TCO Inputs'!$AZ$12,'Year data'!$B$2:$AC$2,0))</f>
        <v>11.45</v>
      </c>
      <c r="AM51">
        <v>9.64</v>
      </c>
      <c r="AN51" s="79">
        <f>INDEX('Year data'!$B$57:$AC$161,MATCH($AE51,'Year data'!$A$3:$A$53,0),MATCH('TCO Inputs'!$AZ$12,'Year data'!$B$2:$AC$2,0))</f>
        <v>9.64</v>
      </c>
      <c r="AO51">
        <f t="shared" si="11"/>
        <v>0.26999999999999957</v>
      </c>
    </row>
    <row r="52" spans="2:51" x14ac:dyDescent="0.25">
      <c r="AE52" t="s">
        <v>134</v>
      </c>
      <c r="AF52" s="58">
        <f>INDEX('Year data'!$B$111:$AC$161,MATCH($AE52,'Year data'!$A$111:$A$161,0),MATCH('TCO Inputs'!$AZ$12,'Year data'!$B$110:$AC$110,0))</f>
        <v>3.518634615384614</v>
      </c>
      <c r="AG52" s="79">
        <f t="shared" si="9"/>
        <v>20.08501388199512</v>
      </c>
      <c r="AH52" s="79">
        <f t="shared" si="10"/>
        <v>26.155078045735692</v>
      </c>
      <c r="AI52">
        <f>AVERAGE(AI2:AI51)</f>
        <v>5</v>
      </c>
      <c r="AK52">
        <v>13.01</v>
      </c>
      <c r="AL52" s="79">
        <f>INDEX('Year data'!$B$3:$AC$53,MATCH($AE52,'Year data'!$A$3:$A$53,0),MATCH('TCO Inputs'!$AZ$12,'Year data'!$B$2:$AC$2,0))</f>
        <v>15.98</v>
      </c>
      <c r="AM52">
        <v>10.68</v>
      </c>
      <c r="AN52" s="79">
        <f>INDEX('Year data'!$B$57:$AC$161,MATCH($AE52,'Year data'!$A$3:$A$53,0),MATCH('TCO Inputs'!$AZ$12,'Year data'!$B$2:$AC$2,0))</f>
        <v>12.74</v>
      </c>
      <c r="AO52">
        <f t="shared" si="11"/>
        <v>2.9700000000000006</v>
      </c>
    </row>
    <row r="53" spans="2:51" x14ac:dyDescent="0.25">
      <c r="AF53" s="58"/>
    </row>
    <row r="54" spans="2:51" x14ac:dyDescent="0.25">
      <c r="AF54" s="58"/>
    </row>
    <row r="57" spans="2:51" ht="45" x14ac:dyDescent="0.25">
      <c r="H57" s="37" t="s">
        <v>3</v>
      </c>
      <c r="I57" s="35" t="s">
        <v>407</v>
      </c>
      <c r="J57" s="35" t="s">
        <v>408</v>
      </c>
      <c r="K57" s="35" t="s">
        <v>409</v>
      </c>
      <c r="L57" s="35" t="s">
        <v>410</v>
      </c>
      <c r="M57" s="35" t="s">
        <v>411</v>
      </c>
      <c r="N57" s="35" t="s">
        <v>412</v>
      </c>
      <c r="O57" s="120" t="s">
        <v>415</v>
      </c>
      <c r="P57" s="88" t="s">
        <v>416</v>
      </c>
      <c r="Q57" s="86" t="s">
        <v>419</v>
      </c>
      <c r="R57" s="86" t="s">
        <v>417</v>
      </c>
      <c r="S57" s="87" t="s">
        <v>418</v>
      </c>
      <c r="T57" s="90" t="s">
        <v>421</v>
      </c>
      <c r="U57" s="87" t="s">
        <v>420</v>
      </c>
      <c r="AP57" t="s">
        <v>335</v>
      </c>
      <c r="AQ57" s="57" t="s">
        <v>346</v>
      </c>
      <c r="AR57" s="57" t="s">
        <v>347</v>
      </c>
      <c r="AS57" s="57" t="s">
        <v>348</v>
      </c>
      <c r="AT57" s="57" t="s">
        <v>349</v>
      </c>
      <c r="AU57" s="57" t="s">
        <v>350</v>
      </c>
      <c r="AV57" s="57" t="s">
        <v>351</v>
      </c>
      <c r="AW57" s="57" t="s">
        <v>352</v>
      </c>
      <c r="AX57" s="57" t="s">
        <v>353</v>
      </c>
      <c r="AY57" s="57" t="s">
        <v>354</v>
      </c>
    </row>
    <row r="58" spans="2:51" x14ac:dyDescent="0.25">
      <c r="H58" s="83" t="s">
        <v>187</v>
      </c>
      <c r="I58" s="36">
        <v>0</v>
      </c>
      <c r="J58" s="36">
        <v>0.44</v>
      </c>
      <c r="K58" s="36">
        <v>0.14000000000000001</v>
      </c>
      <c r="L58" s="36">
        <v>0.34</v>
      </c>
      <c r="M58" s="36">
        <v>0</v>
      </c>
      <c r="N58" s="36">
        <f t="shared" ref="N58:N108" si="17">1-SUM(I58:M58)</f>
        <v>7.9999999999999849E-2</v>
      </c>
      <c r="O58" s="85">
        <v>115538</v>
      </c>
      <c r="P58" s="89">
        <f>O58/293.07</f>
        <v>394.2334595830348</v>
      </c>
      <c r="Q58" s="89">
        <f>P58*1000*0.0022</f>
        <v>867.31361108267663</v>
      </c>
      <c r="R58" s="89">
        <v>791.37</v>
      </c>
      <c r="S58" s="36">
        <f>(Q58-R58)/R58</f>
        <v>9.5964733415060746E-2</v>
      </c>
      <c r="T58" s="89">
        <f>P58*(1/(VLOOKUP($H58,'Fuel economy adjusted factor'!$A$2:F$52,5,FALSE)*m2k))</f>
        <v>72.980083293822659</v>
      </c>
      <c r="U58" s="89">
        <v>73.330208201024689</v>
      </c>
      <c r="AP58" t="s">
        <v>425</v>
      </c>
      <c r="AQ58" s="58">
        <f>'US regular gasoline prices'!B54</f>
        <v>3.518634615384614</v>
      </c>
      <c r="AR58" s="58">
        <f>'US regular gasoline prices'!C54</f>
        <v>3.3991923076923074</v>
      </c>
      <c r="AS58" s="58">
        <f>'US regular gasoline prices'!D54</f>
        <v>3.4698076923076924</v>
      </c>
      <c r="AT58" s="58">
        <f>'US regular gasoline prices'!E54</f>
        <v>3.561634615384615</v>
      </c>
      <c r="AU58" s="58">
        <f>'US regular gasoline prices'!F54</f>
        <v>3.2785000000000006</v>
      </c>
      <c r="AV58" s="58">
        <f>'US regular gasoline prices'!G54</f>
        <v>3.3631923076923078</v>
      </c>
      <c r="AW58" s="58">
        <f>'US regular gasoline prices'!H54</f>
        <v>3.0905000000000005</v>
      </c>
      <c r="AX58" s="58">
        <f>'US regular gasoline prices'!I54</f>
        <v>3.5969230769230762</v>
      </c>
      <c r="AY58" s="58">
        <f>'US regular gasoline prices'!J54</f>
        <v>4.5133653846153869</v>
      </c>
    </row>
    <row r="59" spans="2:51" x14ac:dyDescent="0.25">
      <c r="H59" s="83" t="s">
        <v>231</v>
      </c>
      <c r="I59" s="36">
        <v>0.14000000000000001</v>
      </c>
      <c r="J59" s="36">
        <v>0.55000000000000004</v>
      </c>
      <c r="K59" s="36">
        <v>0.09</v>
      </c>
      <c r="L59" s="36">
        <v>0</v>
      </c>
      <c r="M59" s="36">
        <v>0</v>
      </c>
      <c r="N59" s="36">
        <f t="shared" si="17"/>
        <v>0.21999999999999997</v>
      </c>
      <c r="O59" s="35">
        <v>161173</v>
      </c>
      <c r="P59" s="89">
        <f t="shared" ref="P59:P108" si="18">O59/293.07</f>
        <v>549.94711161156044</v>
      </c>
      <c r="Q59" s="89">
        <f t="shared" ref="Q59:Q108" si="19">P59*1000*0.0022</f>
        <v>1209.883645545433</v>
      </c>
      <c r="R59" s="89">
        <v>917.45299999999997</v>
      </c>
      <c r="S59" s="36">
        <f t="shared" ref="S59:S107" si="20">(Q59-R59)/R59</f>
        <v>0.31874182715129057</v>
      </c>
      <c r="T59" s="89">
        <f>P59*(1/(VLOOKUP($H59,'Fuel economy adjusted factor'!$A$2:F$52,5,FALSE)*m2k))</f>
        <v>174.19214385581552</v>
      </c>
      <c r="U59" s="89"/>
    </row>
    <row r="60" spans="2:51" x14ac:dyDescent="0.25">
      <c r="H60" s="83" t="s">
        <v>189</v>
      </c>
      <c r="I60" s="36">
        <v>0</v>
      </c>
      <c r="J60" s="36">
        <v>0.47</v>
      </c>
      <c r="K60" s="36">
        <v>0.11</v>
      </c>
      <c r="L60" s="36">
        <v>0.28000000000000003</v>
      </c>
      <c r="M60" s="36">
        <v>0</v>
      </c>
      <c r="N60" s="36">
        <f t="shared" si="17"/>
        <v>0.14000000000000001</v>
      </c>
      <c r="O60" s="35">
        <v>110023</v>
      </c>
      <c r="P60" s="89">
        <f t="shared" si="18"/>
        <v>375.41542976080802</v>
      </c>
      <c r="Q60" s="89">
        <f t="shared" si="19"/>
        <v>825.91394547377763</v>
      </c>
      <c r="R60" s="89">
        <v>711.91600000000005</v>
      </c>
      <c r="S60" s="36">
        <f t="shared" si="20"/>
        <v>0.16012836552876683</v>
      </c>
      <c r="T60" s="89">
        <f>P60*(1/(VLOOKUP($H60,'Fuel economy adjusted factor'!$A$2:F$52,5,FALSE)*m2k))</f>
        <v>72.006839598025948</v>
      </c>
      <c r="U60" s="89">
        <v>56.734435315155189</v>
      </c>
    </row>
    <row r="61" spans="2:51" x14ac:dyDescent="0.25">
      <c r="H61" s="83" t="s">
        <v>188</v>
      </c>
      <c r="I61" s="36">
        <v>0</v>
      </c>
      <c r="J61" s="36">
        <v>0.4</v>
      </c>
      <c r="K61" s="36">
        <v>0.28000000000000003</v>
      </c>
      <c r="L61" s="36">
        <v>0.25</v>
      </c>
      <c r="M61" s="36">
        <v>0</v>
      </c>
      <c r="N61" s="36">
        <f t="shared" si="17"/>
        <v>6.9999999999999951E-2</v>
      </c>
      <c r="O61" s="35">
        <v>154383</v>
      </c>
      <c r="P61" s="89">
        <f t="shared" si="18"/>
        <v>526.77858532091307</v>
      </c>
      <c r="Q61" s="89">
        <f t="shared" si="19"/>
        <v>1158.9128877060089</v>
      </c>
      <c r="R61" s="89">
        <v>1061.5309999999999</v>
      </c>
      <c r="S61" s="36">
        <f t="shared" si="20"/>
        <v>9.1737205701961519E-2</v>
      </c>
      <c r="T61" s="89">
        <f>P61*(1/(VLOOKUP($H61,'Fuel economy adjusted factor'!$A$2:F$52,5,FALSE)*m2k))</f>
        <v>99.834109542917233</v>
      </c>
      <c r="U61" s="89">
        <v>85.070880805898938</v>
      </c>
    </row>
    <row r="62" spans="2:51" x14ac:dyDescent="0.25">
      <c r="H62" s="83" t="s">
        <v>149</v>
      </c>
      <c r="I62" s="36">
        <v>0</v>
      </c>
      <c r="J62" s="36">
        <v>0.42</v>
      </c>
      <c r="K62" s="36">
        <v>0</v>
      </c>
      <c r="L62" s="36">
        <v>0.09</v>
      </c>
      <c r="M62" s="36">
        <v>0.02</v>
      </c>
      <c r="N62" s="36">
        <f t="shared" si="17"/>
        <v>0.47</v>
      </c>
      <c r="O62" s="35">
        <v>66625</v>
      </c>
      <c r="P62" s="89">
        <f t="shared" si="18"/>
        <v>227.33476643805236</v>
      </c>
      <c r="Q62" s="89">
        <f t="shared" si="19"/>
        <v>500.13648616371518</v>
      </c>
      <c r="R62" s="89">
        <v>457.48500000000001</v>
      </c>
      <c r="S62" s="36">
        <f t="shared" si="20"/>
        <v>9.3230348893876658E-2</v>
      </c>
      <c r="T62" s="89">
        <f>P62*(1/(VLOOKUP($H62,'Fuel economy adjusted factor'!$A$2:F$52,5,FALSE)*m2k))</f>
        <v>43.084067211395435</v>
      </c>
      <c r="U62" s="89">
        <v>44.818766924968024</v>
      </c>
    </row>
    <row r="63" spans="2:51" x14ac:dyDescent="0.25">
      <c r="H63" s="83" t="s">
        <v>190</v>
      </c>
      <c r="I63" s="36">
        <v>0</v>
      </c>
      <c r="J63" s="36">
        <v>0.3</v>
      </c>
      <c r="K63" s="36">
        <v>0.33</v>
      </c>
      <c r="L63" s="36">
        <v>0</v>
      </c>
      <c r="M63" s="36">
        <v>0</v>
      </c>
      <c r="N63" s="36">
        <f t="shared" si="17"/>
        <v>0.37</v>
      </c>
      <c r="O63" s="35">
        <v>154913</v>
      </c>
      <c r="P63" s="89">
        <f t="shared" si="18"/>
        <v>528.58702699013884</v>
      </c>
      <c r="Q63" s="89">
        <f t="shared" si="19"/>
        <v>1162.8914593783054</v>
      </c>
      <c r="R63" s="89">
        <v>1173.1479999999999</v>
      </c>
      <c r="S63" s="36">
        <f t="shared" si="20"/>
        <v>-8.7427508052645639E-3</v>
      </c>
      <c r="T63" s="89">
        <f>P63*(1/(VLOOKUP($H63,'Fuel economy adjusted factor'!$A$2:F$52,5,FALSE)*m2k))</f>
        <v>111.43162192937216</v>
      </c>
      <c r="U63" s="89">
        <v>94.40562815063214</v>
      </c>
    </row>
    <row r="64" spans="2:51" x14ac:dyDescent="0.25">
      <c r="H64" s="83" t="s">
        <v>191</v>
      </c>
      <c r="I64" s="36">
        <v>0</v>
      </c>
      <c r="J64" s="36">
        <v>0.6</v>
      </c>
      <c r="K64" s="36">
        <v>0</v>
      </c>
      <c r="L64" s="36">
        <v>0.35</v>
      </c>
      <c r="M64" s="36">
        <v>0.01</v>
      </c>
      <c r="N64" s="36">
        <f>1-SUM(I64:M64)</f>
        <v>4.0000000000000036E-2</v>
      </c>
      <c r="O64" s="35">
        <v>94756</v>
      </c>
      <c r="P64" s="89">
        <f t="shared" si="18"/>
        <v>323.32207322482685</v>
      </c>
      <c r="Q64" s="89">
        <f t="shared" si="19"/>
        <v>711.30856109461911</v>
      </c>
      <c r="R64" s="89">
        <v>523.29700000000003</v>
      </c>
      <c r="S64" s="36">
        <f t="shared" si="20"/>
        <v>0.35928270388444628</v>
      </c>
      <c r="T64" s="89">
        <f>P64*(1/(VLOOKUP($H64,'Fuel economy adjusted factor'!$A$2:F$52,5,FALSE)*m2k))</f>
        <v>65.656283771732888</v>
      </c>
      <c r="U64" s="89">
        <v>46.935922506335174</v>
      </c>
      <c r="V64">
        <v>94756</v>
      </c>
    </row>
    <row r="65" spans="8:21" x14ac:dyDescent="0.25">
      <c r="H65" s="83" t="s">
        <v>192</v>
      </c>
      <c r="I65" s="36">
        <v>0</v>
      </c>
      <c r="J65" s="36">
        <v>0.94</v>
      </c>
      <c r="K65" s="36">
        <v>0</v>
      </c>
      <c r="L65" s="36">
        <v>0</v>
      </c>
      <c r="M65" s="36">
        <v>0.02</v>
      </c>
      <c r="N65" s="36">
        <f t="shared" si="17"/>
        <v>4.0000000000000036E-2</v>
      </c>
      <c r="O65" s="35">
        <v>148353</v>
      </c>
      <c r="P65" s="89">
        <f t="shared" si="18"/>
        <v>506.20329614085375</v>
      </c>
      <c r="Q65" s="89">
        <f t="shared" si="19"/>
        <v>1113.6472515098783</v>
      </c>
      <c r="R65" s="89">
        <v>900.79600000000005</v>
      </c>
      <c r="S65" s="36">
        <f t="shared" si="20"/>
        <v>0.23629240306337754</v>
      </c>
      <c r="T65" s="89">
        <f>P65*(1/(VLOOKUP($H65,'Fuel economy adjusted factor'!$A$2:F$52,5,FALSE)*m2k))</f>
        <v>98.072539570328573</v>
      </c>
      <c r="U65" s="89">
        <v>90.33151144955832</v>
      </c>
    </row>
    <row r="66" spans="8:21" x14ac:dyDescent="0.25">
      <c r="H66" s="83" t="s">
        <v>193</v>
      </c>
      <c r="I66" s="36">
        <v>0</v>
      </c>
      <c r="J66" s="36">
        <v>0.77</v>
      </c>
      <c r="K66" s="36">
        <v>0.05</v>
      </c>
      <c r="L66" s="36">
        <v>0.12</v>
      </c>
      <c r="M66" s="36">
        <v>0.01</v>
      </c>
      <c r="N66" s="36">
        <f t="shared" si="17"/>
        <v>4.9999999999999933E-2</v>
      </c>
      <c r="O66" s="35">
        <v>137917</v>
      </c>
      <c r="P66" s="89">
        <f t="shared" si="18"/>
        <v>470.59405602757022</v>
      </c>
      <c r="Q66" s="89">
        <f t="shared" si="19"/>
        <v>1035.3069232606545</v>
      </c>
      <c r="R66" s="89">
        <v>818.56200000000001</v>
      </c>
      <c r="S66" s="36">
        <f t="shared" si="20"/>
        <v>0.2647874238733956</v>
      </c>
      <c r="T66" s="89">
        <f>P66*(1/(VLOOKUP($H66,'Fuel economy adjusted factor'!$A$2:F$52,5,FALSE)*m2k))</f>
        <v>85.459681202102743</v>
      </c>
      <c r="U66" s="89">
        <v>81.115142030637969</v>
      </c>
    </row>
    <row r="67" spans="8:21" x14ac:dyDescent="0.25">
      <c r="H67" s="83" t="s">
        <v>194</v>
      </c>
      <c r="I67" s="36">
        <v>0</v>
      </c>
      <c r="J67" s="36">
        <v>0.48</v>
      </c>
      <c r="K67" s="36">
        <v>0.13</v>
      </c>
      <c r="L67" s="36">
        <v>0.3</v>
      </c>
      <c r="M67" s="36">
        <v>0.01</v>
      </c>
      <c r="N67" s="36">
        <f t="shared" si="17"/>
        <v>8.0000000000000071E-2</v>
      </c>
      <c r="O67" s="35">
        <v>118690</v>
      </c>
      <c r="P67" s="89">
        <f t="shared" si="18"/>
        <v>404.98856928378888</v>
      </c>
      <c r="Q67" s="89">
        <f t="shared" si="19"/>
        <v>890.9748524243355</v>
      </c>
      <c r="R67" s="89">
        <v>741.19399999999996</v>
      </c>
      <c r="S67" s="36">
        <f t="shared" si="20"/>
        <v>0.20208049771630038</v>
      </c>
      <c r="T67" s="89">
        <f>P67*(1/(VLOOKUP($H67,'Fuel economy adjusted factor'!$A$2:F$52,5,FALSE)*m2k))</f>
        <v>74.614731566206416</v>
      </c>
      <c r="U67" s="89">
        <v>65.602407615991979</v>
      </c>
    </row>
    <row r="68" spans="8:21" x14ac:dyDescent="0.25">
      <c r="H68" s="83" t="s">
        <v>233</v>
      </c>
      <c r="I68" s="36">
        <v>0.8</v>
      </c>
      <c r="J68" s="36">
        <v>0</v>
      </c>
      <c r="K68" s="36">
        <v>0</v>
      </c>
      <c r="L68" s="36">
        <v>0</v>
      </c>
      <c r="M68" s="36">
        <v>0.02</v>
      </c>
      <c r="N68" s="36">
        <f t="shared" si="17"/>
        <v>0.17999999999999994</v>
      </c>
      <c r="O68" s="35">
        <v>260072</v>
      </c>
      <c r="P68" s="89">
        <f t="shared" si="18"/>
        <v>887.40573924318426</v>
      </c>
      <c r="Q68" s="89">
        <f t="shared" si="19"/>
        <v>1952.2926263350055</v>
      </c>
      <c r="R68" s="89">
        <v>1463.566</v>
      </c>
      <c r="S68" s="36">
        <f t="shared" si="20"/>
        <v>0.33392865530833965</v>
      </c>
      <c r="T68" s="89">
        <f>P68*(1/(VLOOKUP($H68,'Fuel economy adjusted factor'!$A$2:F$52,5,FALSE)*m2k))</f>
        <v>160.84019522837002</v>
      </c>
      <c r="U68" s="89"/>
    </row>
    <row r="69" spans="8:21" x14ac:dyDescent="0.25">
      <c r="H69" s="83" t="s">
        <v>196</v>
      </c>
      <c r="I69" s="36">
        <v>0</v>
      </c>
      <c r="J69" s="36">
        <v>0.32</v>
      </c>
      <c r="K69" s="36">
        <v>0</v>
      </c>
      <c r="L69" s="36">
        <v>0</v>
      </c>
      <c r="M69" s="36">
        <v>0.01</v>
      </c>
      <c r="N69" s="36">
        <f t="shared" si="17"/>
        <v>0.66999999999999993</v>
      </c>
      <c r="O69" s="35">
        <v>53436</v>
      </c>
      <c r="P69" s="89">
        <f t="shared" si="18"/>
        <v>182.33186610707341</v>
      </c>
      <c r="Q69" s="89">
        <f t="shared" si="19"/>
        <v>401.13010543556152</v>
      </c>
      <c r="R69" s="89">
        <v>248.434</v>
      </c>
      <c r="S69" s="36">
        <f t="shared" si="20"/>
        <v>0.61463449220139565</v>
      </c>
      <c r="T69" s="89">
        <f>P69*(1/(VLOOKUP($H69,'Fuel economy adjusted factor'!$A$2:F$52,5,FALSE)*m2k))</f>
        <v>39.207478815637629</v>
      </c>
      <c r="U69" s="89">
        <v>17.237621365021393</v>
      </c>
    </row>
    <row r="70" spans="8:21" x14ac:dyDescent="0.25">
      <c r="H70" s="83" t="s">
        <v>197</v>
      </c>
      <c r="I70" s="36">
        <v>0</v>
      </c>
      <c r="J70" s="36">
        <v>0.15</v>
      </c>
      <c r="K70" s="36">
        <v>0.15</v>
      </c>
      <c r="L70" s="36">
        <v>0.56000000000000005</v>
      </c>
      <c r="M70" s="36">
        <v>0</v>
      </c>
      <c r="N70" s="36">
        <f t="shared" si="17"/>
        <v>0.1399999999999999</v>
      </c>
      <c r="O70" s="35">
        <v>73641</v>
      </c>
      <c r="P70" s="89">
        <f t="shared" si="18"/>
        <v>251.27443955369026</v>
      </c>
      <c r="Q70" s="89">
        <f t="shared" si="19"/>
        <v>552.80376701811861</v>
      </c>
      <c r="R70" s="89">
        <v>592.39400000000001</v>
      </c>
      <c r="S70" s="36">
        <f t="shared" si="20"/>
        <v>-6.6830914867269761E-2</v>
      </c>
      <c r="T70" s="89">
        <f>P70*(1/(VLOOKUP($H70,'Fuel economy adjusted factor'!$A$2:F$52,5,FALSE)*m2k))</f>
        <v>50.716218544124665</v>
      </c>
      <c r="U70" s="89">
        <v>48.058873963417653</v>
      </c>
    </row>
    <row r="71" spans="8:21" x14ac:dyDescent="0.25">
      <c r="H71" s="83" t="s">
        <v>198</v>
      </c>
      <c r="I71" s="36">
        <v>0</v>
      </c>
      <c r="J71" s="36">
        <v>0.38</v>
      </c>
      <c r="K71" s="36">
        <v>0.48</v>
      </c>
      <c r="L71" s="36">
        <v>0</v>
      </c>
      <c r="M71" s="36">
        <v>0</v>
      </c>
      <c r="N71" s="36">
        <f t="shared" si="17"/>
        <v>0.14000000000000001</v>
      </c>
      <c r="O71" s="35">
        <v>216989</v>
      </c>
      <c r="P71" s="89">
        <f t="shared" si="18"/>
        <v>740.39990445968544</v>
      </c>
      <c r="Q71" s="89">
        <f t="shared" si="19"/>
        <v>1628.879789811308</v>
      </c>
      <c r="R71" s="89">
        <v>1576.6</v>
      </c>
      <c r="S71" s="36">
        <f t="shared" si="20"/>
        <v>3.3159831162823859E-2</v>
      </c>
      <c r="T71" s="89">
        <f>P71*(1/(VLOOKUP($H71,'Fuel economy adjusted factor'!$A$2:F$52,5,FALSE)*m2k))</f>
        <v>148.78789229162987</v>
      </c>
      <c r="U71" s="89">
        <v>142.16326290095654</v>
      </c>
    </row>
    <row r="72" spans="8:21" x14ac:dyDescent="0.25">
      <c r="H72" s="83" t="s">
        <v>195</v>
      </c>
      <c r="I72" s="36">
        <v>0</v>
      </c>
      <c r="J72" s="36">
        <v>0.14000000000000001</v>
      </c>
      <c r="K72" s="36">
        <v>0.22</v>
      </c>
      <c r="L72" s="36">
        <v>0</v>
      </c>
      <c r="M72" s="36">
        <v>0</v>
      </c>
      <c r="N72" s="36">
        <f t="shared" si="17"/>
        <v>0.64</v>
      </c>
      <c r="O72" s="35">
        <v>96608</v>
      </c>
      <c r="P72" s="89">
        <f t="shared" si="18"/>
        <v>329.64138260483844</v>
      </c>
      <c r="Q72" s="89">
        <f t="shared" si="19"/>
        <v>725.21104173064464</v>
      </c>
      <c r="R72" s="89">
        <v>621.56700000000001</v>
      </c>
      <c r="S72" s="36">
        <f t="shared" si="20"/>
        <v>0.16674637123696179</v>
      </c>
      <c r="T72" s="89">
        <f>P72*(1/(VLOOKUP($H72,'Fuel economy adjusted factor'!$A$2:F$52,5,FALSE)*m2k))</f>
        <v>69.143779676628242</v>
      </c>
      <c r="U72" s="89">
        <v>80.499382850474461</v>
      </c>
    </row>
    <row r="73" spans="8:21" x14ac:dyDescent="0.25">
      <c r="H73" s="83" t="s">
        <v>199</v>
      </c>
      <c r="I73" s="36">
        <v>0</v>
      </c>
      <c r="J73" s="36">
        <v>0.08</v>
      </c>
      <c r="K73" s="36">
        <v>0.28000000000000003</v>
      </c>
      <c r="L73" s="36">
        <v>0.18</v>
      </c>
      <c r="M73" s="36">
        <v>0</v>
      </c>
      <c r="N73" s="36">
        <f t="shared" si="17"/>
        <v>0.45999999999999996</v>
      </c>
      <c r="O73" s="35">
        <v>106113</v>
      </c>
      <c r="P73" s="89">
        <f t="shared" si="18"/>
        <v>362.07390725765174</v>
      </c>
      <c r="Q73" s="89">
        <f t="shared" si="19"/>
        <v>796.5625959668339</v>
      </c>
      <c r="R73" s="89">
        <v>826.24300000000005</v>
      </c>
      <c r="S73" s="36">
        <f t="shared" si="20"/>
        <v>-3.5922124645130012E-2</v>
      </c>
      <c r="T73" s="89">
        <f>P73*(1/(VLOOKUP($H73,'Fuel economy adjusted factor'!$A$2:F$52,5,FALSE)*m2k))</f>
        <v>72.314972251015945</v>
      </c>
      <c r="U73" s="89">
        <v>60.198940421880991</v>
      </c>
    </row>
    <row r="74" spans="8:21" x14ac:dyDescent="0.25">
      <c r="H74" s="83" t="s">
        <v>157</v>
      </c>
      <c r="I74" s="36">
        <v>0</v>
      </c>
      <c r="J74" s="36">
        <v>0.23</v>
      </c>
      <c r="K74" s="36">
        <v>0.69</v>
      </c>
      <c r="L74" s="36">
        <v>7.0000000000000007E-2</v>
      </c>
      <c r="M74" s="36">
        <v>0</v>
      </c>
      <c r="N74" s="36">
        <f t="shared" si="17"/>
        <v>1.0000000000000009E-2</v>
      </c>
      <c r="O74" s="35">
        <v>261397</v>
      </c>
      <c r="P74" s="89">
        <f t="shared" si="18"/>
        <v>891.92684341624874</v>
      </c>
      <c r="Q74" s="89">
        <f t="shared" si="19"/>
        <v>1962.2390555157474</v>
      </c>
      <c r="R74" s="89">
        <v>1732.2550000000001</v>
      </c>
      <c r="S74" s="36">
        <f t="shared" si="20"/>
        <v>0.13276570453873551</v>
      </c>
      <c r="T74" s="89">
        <f>P74*(1/(VLOOKUP($H74,'Fuel economy adjusted factor'!$A$2:F$52,5,FALSE)*m2k))</f>
        <v>173.43096730898495</v>
      </c>
      <c r="U74" s="89">
        <v>158.12360639590932</v>
      </c>
    </row>
    <row r="75" spans="8:21" x14ac:dyDescent="0.25">
      <c r="H75" s="83" t="s">
        <v>200</v>
      </c>
      <c r="I75" s="36">
        <v>0.01</v>
      </c>
      <c r="J75" s="36">
        <v>0.72</v>
      </c>
      <c r="K75" s="36">
        <v>7.0000000000000007E-2</v>
      </c>
      <c r="L75" s="36">
        <v>0.18</v>
      </c>
      <c r="M75" s="36">
        <v>0</v>
      </c>
      <c r="N75" s="36">
        <f t="shared" si="17"/>
        <v>2.0000000000000018E-2</v>
      </c>
      <c r="O75" s="35">
        <v>139578</v>
      </c>
      <c r="P75" s="89">
        <f t="shared" si="18"/>
        <v>476.26164397584193</v>
      </c>
      <c r="Q75" s="89">
        <f t="shared" si="19"/>
        <v>1047.7756167468524</v>
      </c>
      <c r="R75" s="89">
        <v>820.65499999999997</v>
      </c>
      <c r="S75" s="36">
        <f t="shared" si="20"/>
        <v>0.27675529515673752</v>
      </c>
      <c r="T75" s="89">
        <f>P75*(1/(VLOOKUP($H75,'Fuel economy adjusted factor'!$A$2:F$52,5,FALSE)*m2k))</f>
        <v>87.578404890627638</v>
      </c>
      <c r="U75" s="89">
        <v>93.421431495350419</v>
      </c>
    </row>
    <row r="76" spans="8:21" x14ac:dyDescent="0.25">
      <c r="H76" s="83" t="s">
        <v>203</v>
      </c>
      <c r="I76" s="36">
        <v>0.01</v>
      </c>
      <c r="J76" s="36">
        <v>0.3</v>
      </c>
      <c r="K76" s="36">
        <v>0</v>
      </c>
      <c r="L76" s="36">
        <v>0</v>
      </c>
      <c r="M76" s="36">
        <v>0.09</v>
      </c>
      <c r="N76" s="36">
        <f t="shared" si="17"/>
        <v>0.6</v>
      </c>
      <c r="O76" s="35">
        <v>54479</v>
      </c>
      <c r="P76" s="89">
        <f t="shared" si="18"/>
        <v>185.89074282594603</v>
      </c>
      <c r="Q76" s="89">
        <f t="shared" si="19"/>
        <v>408.95963421708132</v>
      </c>
      <c r="R76" s="89">
        <v>342.70800000000003</v>
      </c>
      <c r="S76" s="36">
        <f t="shared" si="20"/>
        <v>0.19331802647467022</v>
      </c>
      <c r="T76" s="89">
        <f>P76*(1/(VLOOKUP($H76,'Fuel economy adjusted factor'!$A$2:F$52,5,FALSE)*m2k))</f>
        <v>40.561553659559763</v>
      </c>
      <c r="U76" s="89">
        <v>21.854683938599067</v>
      </c>
    </row>
    <row r="77" spans="8:21" x14ac:dyDescent="0.25">
      <c r="H77" s="83" t="s">
        <v>202</v>
      </c>
      <c r="I77" s="36">
        <v>0</v>
      </c>
      <c r="J77" s="36">
        <v>0.42</v>
      </c>
      <c r="K77" s="36">
        <v>0.05</v>
      </c>
      <c r="L77" s="36">
        <v>0.42</v>
      </c>
      <c r="M77" s="36">
        <v>0.01</v>
      </c>
      <c r="N77" s="36">
        <f t="shared" si="17"/>
        <v>0.10000000000000009</v>
      </c>
      <c r="O77" s="35">
        <v>83345</v>
      </c>
      <c r="P77" s="89">
        <f t="shared" si="18"/>
        <v>284.38598287098648</v>
      </c>
      <c r="Q77" s="89">
        <f t="shared" si="19"/>
        <v>625.64916231617019</v>
      </c>
      <c r="R77" s="89">
        <v>640.5</v>
      </c>
      <c r="S77" s="36">
        <f t="shared" si="20"/>
        <v>-2.3186319568820935E-2</v>
      </c>
      <c r="T77" s="89">
        <f>P77*(1/(VLOOKUP($H77,'Fuel economy adjusted factor'!$A$2:F$52,5,FALSE)*m2k))</f>
        <v>55.397598861116393</v>
      </c>
      <c r="U77" s="89">
        <v>37.17500157042651</v>
      </c>
    </row>
    <row r="78" spans="8:21" x14ac:dyDescent="0.25">
      <c r="H78" s="83" t="s">
        <v>201</v>
      </c>
      <c r="I78" s="36">
        <v>0</v>
      </c>
      <c r="J78" s="36">
        <v>0.79</v>
      </c>
      <c r="K78" s="36">
        <v>0</v>
      </c>
      <c r="L78" s="36">
        <v>0</v>
      </c>
      <c r="M78" s="36">
        <v>0.03</v>
      </c>
      <c r="N78" s="36">
        <f t="shared" si="17"/>
        <v>0.17999999999999994</v>
      </c>
      <c r="O78" s="35">
        <v>125531</v>
      </c>
      <c r="P78" s="89">
        <f t="shared" si="18"/>
        <v>428.33111543317295</v>
      </c>
      <c r="Q78" s="89">
        <f t="shared" si="19"/>
        <v>942.32845395298057</v>
      </c>
      <c r="R78" s="89">
        <v>859.21900000000005</v>
      </c>
      <c r="S78" s="36">
        <f t="shared" si="20"/>
        <v>9.6726741323202248E-2</v>
      </c>
      <c r="T78" s="89">
        <f>P78*(1/(VLOOKUP($H78,'Fuel economy adjusted factor'!$A$2:F$52,5,FALSE)*m2k))</f>
        <v>87.658588370032234</v>
      </c>
      <c r="U78" s="89">
        <v>53.283405181553533</v>
      </c>
    </row>
    <row r="79" spans="8:21" x14ac:dyDescent="0.25">
      <c r="H79" s="83" t="s">
        <v>204</v>
      </c>
      <c r="I79" s="36">
        <v>0.01</v>
      </c>
      <c r="J79" s="36">
        <v>0.45</v>
      </c>
      <c r="K79" s="36">
        <v>0.2</v>
      </c>
      <c r="L79" s="36">
        <v>0.23</v>
      </c>
      <c r="M79" s="36">
        <v>0.01</v>
      </c>
      <c r="N79" s="36">
        <f t="shared" si="17"/>
        <v>9.9999999999999978E-2</v>
      </c>
      <c r="O79" s="35">
        <v>140072</v>
      </c>
      <c r="P79" s="89">
        <f t="shared" si="18"/>
        <v>477.94724809772413</v>
      </c>
      <c r="Q79" s="89">
        <f t="shared" si="19"/>
        <v>1051.4839458149931</v>
      </c>
      <c r="R79" s="89">
        <v>1015.727</v>
      </c>
      <c r="S79" s="36">
        <f t="shared" si="20"/>
        <v>3.5203303461454873E-2</v>
      </c>
      <c r="T79" s="89">
        <f>P79*(1/(VLOOKUP($H79,'Fuel economy adjusted factor'!$A$2:F$52,5,FALSE)*m2k))</f>
        <v>101.84957995694771</v>
      </c>
      <c r="U79" s="89">
        <v>92.270116064153925</v>
      </c>
    </row>
    <row r="80" spans="8:21" x14ac:dyDescent="0.25">
      <c r="H80" s="83" t="s">
        <v>205</v>
      </c>
      <c r="I80" s="36">
        <v>0</v>
      </c>
      <c r="J80" s="36">
        <v>0.24</v>
      </c>
      <c r="K80" s="36">
        <v>0.23</v>
      </c>
      <c r="L80" s="36">
        <v>0.21</v>
      </c>
      <c r="M80" s="36">
        <v>0.01</v>
      </c>
      <c r="N80" s="36">
        <f t="shared" si="17"/>
        <v>0.31000000000000005</v>
      </c>
      <c r="O80" s="35">
        <v>114494</v>
      </c>
      <c r="P80" s="89">
        <f t="shared" si="18"/>
        <v>390.67117071006925</v>
      </c>
      <c r="Q80" s="89">
        <f t="shared" si="19"/>
        <v>859.47657556215233</v>
      </c>
      <c r="R80" s="89">
        <v>773.81100000000004</v>
      </c>
      <c r="S80" s="36">
        <f t="shared" si="20"/>
        <v>0.11070607107181507</v>
      </c>
      <c r="T80" s="89">
        <f>P80*(1/(VLOOKUP($H80,'Fuel economy adjusted factor'!$A$2:F$52,5,FALSE)*m2k))</f>
        <v>87.032248416927828</v>
      </c>
      <c r="U80" s="89">
        <v>60.529092120040431</v>
      </c>
    </row>
    <row r="81" spans="8:31" x14ac:dyDescent="0.25">
      <c r="H81" s="83" t="s">
        <v>207</v>
      </c>
      <c r="I81" s="36">
        <v>0</v>
      </c>
      <c r="J81" s="36">
        <v>0.77</v>
      </c>
      <c r="K81" s="36">
        <v>0.06</v>
      </c>
      <c r="L81" s="36">
        <v>0.16</v>
      </c>
      <c r="M81" s="36">
        <v>0</v>
      </c>
      <c r="N81" s="36">
        <f t="shared" si="17"/>
        <v>9.9999999999998979E-3</v>
      </c>
      <c r="O81" s="35">
        <v>140882</v>
      </c>
      <c r="P81" s="89">
        <f t="shared" si="18"/>
        <v>480.71109291295596</v>
      </c>
      <c r="Q81" s="89">
        <f t="shared" si="19"/>
        <v>1057.5644044085032</v>
      </c>
      <c r="R81" s="89">
        <v>888.7</v>
      </c>
      <c r="S81" s="36">
        <f t="shared" si="20"/>
        <v>0.19001283268651187</v>
      </c>
      <c r="T81" s="89">
        <f>P81*(1/(VLOOKUP($H81,'Fuel economy adjusted factor'!$A$2:F$52,5,FALSE)*m2k))</f>
        <v>88.988731799064567</v>
      </c>
      <c r="U81" s="89">
        <v>82.035396000244688</v>
      </c>
    </row>
    <row r="82" spans="8:31" x14ac:dyDescent="0.25">
      <c r="H82" s="83" t="s">
        <v>206</v>
      </c>
      <c r="I82" s="36">
        <v>0</v>
      </c>
      <c r="J82" s="36">
        <v>0.13</v>
      </c>
      <c r="K82" s="36">
        <v>0.6</v>
      </c>
      <c r="L82" s="36">
        <v>0.14000000000000001</v>
      </c>
      <c r="M82" s="36">
        <v>0</v>
      </c>
      <c r="N82" s="36">
        <f t="shared" si="17"/>
        <v>0.13</v>
      </c>
      <c r="O82" s="35">
        <v>216893</v>
      </c>
      <c r="P82" s="89">
        <f t="shared" si="18"/>
        <v>740.07233766676904</v>
      </c>
      <c r="Q82" s="89">
        <f t="shared" si="19"/>
        <v>1628.1591428668919</v>
      </c>
      <c r="R82" s="89">
        <v>1517.7670000000001</v>
      </c>
      <c r="S82" s="36">
        <f t="shared" si="20"/>
        <v>7.2733260682892598E-2</v>
      </c>
      <c r="T82" s="89">
        <f>P82*(1/(VLOOKUP($H82,'Fuel economy adjusted factor'!$A$2:F$52,5,FALSE)*m2k))</f>
        <v>146.50816458603251</v>
      </c>
      <c r="U82" s="89">
        <v>136.97969227336552</v>
      </c>
    </row>
    <row r="83" spans="8:31" x14ac:dyDescent="0.25">
      <c r="H83" s="83" t="s">
        <v>208</v>
      </c>
      <c r="I83" s="36">
        <v>0.02</v>
      </c>
      <c r="J83" s="36">
        <v>0.04</v>
      </c>
      <c r="K83" s="36">
        <v>0.45</v>
      </c>
      <c r="L83" s="36">
        <v>0</v>
      </c>
      <c r="M83" s="36">
        <v>0</v>
      </c>
      <c r="N83" s="36">
        <f t="shared" si="17"/>
        <v>0.49</v>
      </c>
      <c r="O83" s="35">
        <v>161731</v>
      </c>
      <c r="P83" s="89">
        <f t="shared" si="18"/>
        <v>551.85109359538683</v>
      </c>
      <c r="Q83" s="89">
        <f t="shared" si="19"/>
        <v>1214.0724059098511</v>
      </c>
      <c r="R83" s="89">
        <v>1031.354</v>
      </c>
      <c r="S83" s="36">
        <f t="shared" si="20"/>
        <v>0.1771636178362144</v>
      </c>
      <c r="T83" s="89">
        <f>P83*(1/(VLOOKUP($H83,'Fuel economy adjusted factor'!$A$2:F$52,5,FALSE)*m2k))</f>
        <v>120.22026637703925</v>
      </c>
      <c r="U83" s="89">
        <v>8.291504391472925</v>
      </c>
    </row>
    <row r="84" spans="8:31" x14ac:dyDescent="0.25">
      <c r="H84" s="83" t="s">
        <v>211</v>
      </c>
      <c r="I84" s="36">
        <v>0</v>
      </c>
      <c r="J84" s="36">
        <v>0.06</v>
      </c>
      <c r="K84" s="36">
        <v>0.44</v>
      </c>
      <c r="L84" s="36">
        <v>0.17</v>
      </c>
      <c r="M84" s="36">
        <v>0</v>
      </c>
      <c r="N84" s="36">
        <f t="shared" si="17"/>
        <v>0.32999999999999996</v>
      </c>
      <c r="O84" s="35">
        <v>154587</v>
      </c>
      <c r="P84" s="89">
        <f t="shared" si="18"/>
        <v>527.47466475586043</v>
      </c>
      <c r="Q84" s="89">
        <f t="shared" si="19"/>
        <v>1160.444262462893</v>
      </c>
      <c r="R84" s="89">
        <v>1105.6600000000001</v>
      </c>
      <c r="S84" s="36">
        <f t="shared" si="20"/>
        <v>4.9548923233989572E-2</v>
      </c>
      <c r="T84" s="89">
        <f>P84*(1/(VLOOKUP($H84,'Fuel economy adjusted factor'!$A$2:F$52,5,FALSE)*m2k))</f>
        <v>109.24792610361141</v>
      </c>
      <c r="U84" s="89">
        <v>61.1017687801248</v>
      </c>
    </row>
    <row r="85" spans="8:31" x14ac:dyDescent="0.25">
      <c r="H85" s="83" t="s">
        <v>215</v>
      </c>
      <c r="I85" s="36">
        <v>0</v>
      </c>
      <c r="J85" s="36">
        <v>0.57999999999999996</v>
      </c>
      <c r="K85" s="36">
        <v>0.05</v>
      </c>
      <c r="L85" s="36">
        <v>0</v>
      </c>
      <c r="M85" s="36">
        <v>0</v>
      </c>
      <c r="N85" s="36">
        <f t="shared" si="17"/>
        <v>0.37</v>
      </c>
      <c r="O85" s="35">
        <v>109172</v>
      </c>
      <c r="P85" s="89">
        <f t="shared" si="18"/>
        <v>372.51168662776814</v>
      </c>
      <c r="Q85" s="89">
        <f t="shared" si="19"/>
        <v>819.52571058109004</v>
      </c>
      <c r="R85" s="89">
        <v>678.745</v>
      </c>
      <c r="S85" s="36">
        <f t="shared" si="20"/>
        <v>0.20741325620238829</v>
      </c>
      <c r="T85" s="89">
        <f>P85*(1/(VLOOKUP($H85,'Fuel economy adjusted factor'!$A$2:F$52,5,FALSE)*m2k))</f>
        <v>75.251805440679348</v>
      </c>
      <c r="U85" s="89">
        <v>60.661938750099011</v>
      </c>
    </row>
    <row r="86" spans="8:31" x14ac:dyDescent="0.25">
      <c r="H86" s="83" t="s">
        <v>212</v>
      </c>
      <c r="I86" s="36">
        <v>0</v>
      </c>
      <c r="J86" s="36">
        <v>0.26</v>
      </c>
      <c r="K86" s="36">
        <v>0.01</v>
      </c>
      <c r="L86" s="36">
        <v>0.57999999999999996</v>
      </c>
      <c r="M86" s="36">
        <v>0.04</v>
      </c>
      <c r="N86" s="36">
        <f t="shared" si="17"/>
        <v>0.10999999999999999</v>
      </c>
      <c r="O86" s="35">
        <v>45784</v>
      </c>
      <c r="P86" s="89">
        <f t="shared" si="18"/>
        <v>156.22206298836457</v>
      </c>
      <c r="Q86" s="89">
        <f t="shared" si="19"/>
        <v>343.68853857440206</v>
      </c>
      <c r="R86" s="89">
        <v>306.45800000000003</v>
      </c>
      <c r="S86" s="36">
        <f t="shared" si="20"/>
        <v>0.12148659383798768</v>
      </c>
      <c r="T86" s="89">
        <f>P86*(1/(VLOOKUP($H86,'Fuel economy adjusted factor'!$A$2:F$52,5,FALSE)*m2k))</f>
        <v>33.373072277593067</v>
      </c>
      <c r="U86" s="89">
        <v>2.8323567312692535</v>
      </c>
    </row>
    <row r="87" spans="8:31" x14ac:dyDescent="0.25">
      <c r="H87" s="83" t="s">
        <v>213</v>
      </c>
      <c r="I87" s="36">
        <v>0</v>
      </c>
      <c r="J87" s="36">
        <v>0.52</v>
      </c>
      <c r="K87" s="36">
        <v>0</v>
      </c>
      <c r="L87" s="36">
        <v>0.45</v>
      </c>
      <c r="M87" s="36">
        <v>0.01</v>
      </c>
      <c r="N87" s="36">
        <f t="shared" si="17"/>
        <v>2.0000000000000018E-2</v>
      </c>
      <c r="O87" s="35">
        <v>82438</v>
      </c>
      <c r="P87" s="89">
        <f t="shared" si="18"/>
        <v>281.29115910874538</v>
      </c>
      <c r="Q87" s="89">
        <f t="shared" si="19"/>
        <v>618.84055003923993</v>
      </c>
      <c r="R87" s="89">
        <v>488.572</v>
      </c>
      <c r="S87" s="36">
        <f t="shared" si="20"/>
        <v>0.26663122331865091</v>
      </c>
      <c r="T87" s="89">
        <f>P87*(1/(VLOOKUP($H87,'Fuel economy adjusted factor'!$A$2:F$52,5,FALSE)*m2k))</f>
        <v>55.537211890737069</v>
      </c>
      <c r="U87" s="89">
        <v>56.33187231671387</v>
      </c>
    </row>
    <row r="88" spans="8:31" x14ac:dyDescent="0.25">
      <c r="H88" s="83" t="s">
        <v>214</v>
      </c>
      <c r="I88" s="36">
        <v>0</v>
      </c>
      <c r="J88" s="36">
        <v>0.35</v>
      </c>
      <c r="K88" s="36">
        <v>0.19</v>
      </c>
      <c r="L88" s="36">
        <v>0</v>
      </c>
      <c r="M88" s="36">
        <v>0</v>
      </c>
      <c r="N88" s="36">
        <f t="shared" si="17"/>
        <v>0.45999999999999996</v>
      </c>
      <c r="O88" s="35">
        <v>119063</v>
      </c>
      <c r="P88" s="89">
        <f t="shared" si="18"/>
        <v>406.26130276043267</v>
      </c>
      <c r="Q88" s="89">
        <f t="shared" si="19"/>
        <v>893.77486607295191</v>
      </c>
      <c r="R88" s="89">
        <v>991.625</v>
      </c>
      <c r="S88" s="36">
        <f t="shared" si="20"/>
        <v>-9.8676550033579322E-2</v>
      </c>
      <c r="T88" s="89">
        <f>P88*(1/(VLOOKUP($H88,'Fuel economy adjusted factor'!$A$2:F$52,5,FALSE)*m2k))</f>
        <v>79.924953836097941</v>
      </c>
      <c r="U88" s="89">
        <v>95.416243731566212</v>
      </c>
    </row>
    <row r="89" spans="8:31" x14ac:dyDescent="0.25">
      <c r="H89" s="83" t="s">
        <v>216</v>
      </c>
      <c r="I89" s="36">
        <v>0</v>
      </c>
      <c r="J89" s="36">
        <v>0.48</v>
      </c>
      <c r="K89" s="36">
        <v>0</v>
      </c>
      <c r="L89" s="36">
        <v>0.23</v>
      </c>
      <c r="M89" s="36">
        <v>0.01</v>
      </c>
      <c r="N89" s="36">
        <f t="shared" si="17"/>
        <v>0.28000000000000003</v>
      </c>
      <c r="O89" s="35">
        <v>77094</v>
      </c>
      <c r="P89" s="89">
        <f t="shared" si="18"/>
        <v>263.05660763640088</v>
      </c>
      <c r="Q89" s="89">
        <f t="shared" si="19"/>
        <v>578.72453680008198</v>
      </c>
      <c r="R89" s="89">
        <v>491.34800000000001</v>
      </c>
      <c r="S89" s="36">
        <f t="shared" si="20"/>
        <v>0.17783024821528115</v>
      </c>
      <c r="T89" s="89">
        <f>P89*(1/(VLOOKUP($H89,'Fuel economy adjusted factor'!$A$2:F$52,5,FALSE)*m2k))</f>
        <v>55.223609903421071</v>
      </c>
      <c r="U89" s="89">
        <v>41.032465754635773</v>
      </c>
    </row>
    <row r="90" spans="8:31" x14ac:dyDescent="0.25">
      <c r="H90" s="83" t="s">
        <v>209</v>
      </c>
      <c r="I90" s="36">
        <v>0</v>
      </c>
      <c r="J90" s="36">
        <v>0.42</v>
      </c>
      <c r="K90" s="36">
        <v>0.11</v>
      </c>
      <c r="L90" s="36">
        <v>0.33</v>
      </c>
      <c r="M90" s="36">
        <v>0.01</v>
      </c>
      <c r="N90" s="36">
        <f t="shared" si="17"/>
        <v>0.12999999999999989</v>
      </c>
      <c r="O90" s="35">
        <v>102973</v>
      </c>
      <c r="P90" s="89">
        <f t="shared" si="18"/>
        <v>351.35974340601223</v>
      </c>
      <c r="Q90" s="89">
        <f t="shared" si="19"/>
        <v>772.99143549322696</v>
      </c>
      <c r="R90" s="89">
        <v>657.11099999999999</v>
      </c>
      <c r="S90" s="36">
        <f t="shared" si="20"/>
        <v>0.17634834220280435</v>
      </c>
      <c r="T90" s="89">
        <f>P90*(1/(VLOOKUP($H90,'Fuel economy adjusted factor'!$A$2:F$52,5,FALSE)*m2k))</f>
        <v>66.156255022427359</v>
      </c>
      <c r="U90" s="89">
        <v>72.226233610519216</v>
      </c>
    </row>
    <row r="91" spans="8:31" x14ac:dyDescent="0.25">
      <c r="H91" s="83" t="s">
        <v>210</v>
      </c>
      <c r="I91" s="36">
        <v>0</v>
      </c>
      <c r="J91" s="36">
        <v>0.05</v>
      </c>
      <c r="K91" s="36">
        <v>0.55000000000000004</v>
      </c>
      <c r="L91" s="36">
        <v>0</v>
      </c>
      <c r="M91" s="36">
        <v>0</v>
      </c>
      <c r="N91" s="36">
        <f t="shared" si="17"/>
        <v>0.39999999999999991</v>
      </c>
      <c r="O91" s="35">
        <v>189059</v>
      </c>
      <c r="P91" s="89">
        <f t="shared" si="18"/>
        <v>645.09844064557956</v>
      </c>
      <c r="Q91" s="89">
        <f t="shared" si="19"/>
        <v>1419.2165694202752</v>
      </c>
      <c r="R91" s="89">
        <v>1321.4359999999999</v>
      </c>
      <c r="S91" s="36">
        <f t="shared" si="20"/>
        <v>7.3995690612542145E-2</v>
      </c>
      <c r="T91" s="89">
        <f>P91*(1/(VLOOKUP($H91,'Fuel economy adjusted factor'!$A$2:F$52,5,FALSE)*m2k))</f>
        <v>143.82611207100032</v>
      </c>
      <c r="U91" s="89">
        <v>68.526752073788074</v>
      </c>
    </row>
    <row r="92" spans="8:31" x14ac:dyDescent="0.25">
      <c r="H92" s="83" t="s">
        <v>217</v>
      </c>
      <c r="I92" s="36">
        <v>0.01</v>
      </c>
      <c r="J92" s="36">
        <v>0.59</v>
      </c>
      <c r="K92" s="36">
        <v>0.24</v>
      </c>
      <c r="L92" s="36">
        <v>0.12</v>
      </c>
      <c r="M92" s="36">
        <v>0</v>
      </c>
      <c r="N92" s="36">
        <f t="shared" si="17"/>
        <v>4.0000000000000036E-2</v>
      </c>
      <c r="O92" s="35">
        <v>174626</v>
      </c>
      <c r="P92" s="89">
        <f t="shared" si="18"/>
        <v>595.85082062305935</v>
      </c>
      <c r="Q92" s="89">
        <f t="shared" si="19"/>
        <v>1310.8718053707305</v>
      </c>
      <c r="R92" s="89">
        <v>1162.1279999999999</v>
      </c>
      <c r="S92" s="36">
        <f t="shared" si="20"/>
        <v>0.12799261817177676</v>
      </c>
      <c r="T92" s="89">
        <f>P92*(1/(VLOOKUP($H92,'Fuel economy adjusted factor'!$A$2:F$52,5,FALSE)*m2k))</f>
        <v>119.94957125446531</v>
      </c>
      <c r="U92" s="89">
        <v>114.83807086333866</v>
      </c>
    </row>
    <row r="93" spans="8:31" x14ac:dyDescent="0.25">
      <c r="H93" s="83" t="s">
        <v>218</v>
      </c>
      <c r="I93" s="36">
        <v>0</v>
      </c>
      <c r="J93" s="36">
        <v>0.5</v>
      </c>
      <c r="K93" s="36">
        <v>0.06</v>
      </c>
      <c r="L93" s="36">
        <v>0</v>
      </c>
      <c r="M93" s="36">
        <v>0</v>
      </c>
      <c r="N93" s="36">
        <f t="shared" si="17"/>
        <v>0.43999999999999995</v>
      </c>
      <c r="O93" s="35">
        <v>100158</v>
      </c>
      <c r="P93" s="89">
        <f t="shared" si="18"/>
        <v>341.75452963455831</v>
      </c>
      <c r="Q93" s="89">
        <f t="shared" si="19"/>
        <v>751.85996519602827</v>
      </c>
      <c r="R93" s="89">
        <v>689.12699999999995</v>
      </c>
      <c r="S93" s="36">
        <f t="shared" si="20"/>
        <v>9.1032516787222559E-2</v>
      </c>
      <c r="T93" s="89">
        <f>P93*(1/(VLOOKUP($H93,'Fuel economy adjusted factor'!$A$2:F$52,5,FALSE)*m2k))</f>
        <v>65.730899445977215</v>
      </c>
      <c r="U93" s="89">
        <v>64.248070125393639</v>
      </c>
    </row>
    <row r="94" spans="8:31" x14ac:dyDescent="0.25">
      <c r="H94" s="83" t="s">
        <v>219</v>
      </c>
      <c r="I94" s="36">
        <v>0</v>
      </c>
      <c r="J94" s="36">
        <v>0.38</v>
      </c>
      <c r="K94" s="36">
        <v>0</v>
      </c>
      <c r="L94" s="36">
        <v>0</v>
      </c>
      <c r="M94" s="36">
        <v>0.01</v>
      </c>
      <c r="N94" s="36">
        <f t="shared" si="17"/>
        <v>0.61</v>
      </c>
      <c r="O94" s="35">
        <v>62611</v>
      </c>
      <c r="P94" s="89">
        <f t="shared" si="18"/>
        <v>213.6383799092367</v>
      </c>
      <c r="Q94" s="89">
        <f t="shared" si="19"/>
        <v>470.00443580032078</v>
      </c>
      <c r="R94" s="89">
        <v>299.065</v>
      </c>
      <c r="S94" s="36">
        <f t="shared" si="20"/>
        <v>0.5715795422410539</v>
      </c>
      <c r="T94" s="89">
        <f>P94*(1/(VLOOKUP($H94,'Fuel economy adjusted factor'!$A$2:F$52,5,FALSE)*m2k))</f>
        <v>43.871781047632716</v>
      </c>
      <c r="U94" s="89">
        <v>28.320641272913587</v>
      </c>
    </row>
    <row r="95" spans="8:31" x14ac:dyDescent="0.25">
      <c r="H95" s="83" t="s">
        <v>220</v>
      </c>
      <c r="I95" s="36">
        <v>0</v>
      </c>
      <c r="J95" s="36">
        <v>0.59</v>
      </c>
      <c r="K95" s="36">
        <v>0.05</v>
      </c>
      <c r="L95" s="36">
        <v>0.33</v>
      </c>
      <c r="M95" s="36">
        <v>0</v>
      </c>
      <c r="N95" s="36">
        <f t="shared" si="17"/>
        <v>3.0000000000000027E-2</v>
      </c>
      <c r="O95" s="35">
        <v>109543</v>
      </c>
      <c r="P95" s="89">
        <f t="shared" si="18"/>
        <v>373.77759579622619</v>
      </c>
      <c r="Q95" s="89">
        <f t="shared" si="19"/>
        <v>822.31071075169768</v>
      </c>
      <c r="R95" s="89">
        <v>714.22900000000004</v>
      </c>
      <c r="S95" s="36">
        <f t="shared" si="20"/>
        <v>0.15132641036936001</v>
      </c>
      <c r="T95" s="89">
        <f>P95*(1/(VLOOKUP($H95,'Fuel economy adjusted factor'!$A$2:F$52,5,FALSE)*m2k))</f>
        <v>76.165265331429296</v>
      </c>
      <c r="U95" s="89">
        <v>71.236984085539518</v>
      </c>
      <c r="X95" s="235" t="s">
        <v>472</v>
      </c>
      <c r="Y95" s="251"/>
      <c r="Z95" s="251"/>
      <c r="AA95" s="251"/>
      <c r="AB95" s="251"/>
      <c r="AC95" s="251"/>
      <c r="AD95" s="251"/>
      <c r="AE95" s="251"/>
    </row>
    <row r="96" spans="8:31" x14ac:dyDescent="0.25">
      <c r="H96" s="83" t="s">
        <v>221</v>
      </c>
      <c r="I96" s="36">
        <v>0</v>
      </c>
      <c r="J96" s="36">
        <v>0.89</v>
      </c>
      <c r="K96" s="36">
        <v>0</v>
      </c>
      <c r="L96" s="36">
        <v>0</v>
      </c>
      <c r="M96" s="36">
        <v>0.03</v>
      </c>
      <c r="N96" s="36">
        <f t="shared" si="17"/>
        <v>7.999999999999996E-2</v>
      </c>
      <c r="O96" s="35">
        <v>140822</v>
      </c>
      <c r="P96" s="89">
        <f t="shared" si="18"/>
        <v>480.50636366738325</v>
      </c>
      <c r="Q96" s="89">
        <f t="shared" si="19"/>
        <v>1057.1140000682433</v>
      </c>
      <c r="R96" s="89">
        <v>812.18499999999995</v>
      </c>
      <c r="S96" s="36">
        <f t="shared" si="20"/>
        <v>0.30156799259804523</v>
      </c>
      <c r="T96" s="89">
        <f>P96*(1/(VLOOKUP($H96,'Fuel economy adjusted factor'!$A$2:F$52,5,FALSE)*m2k))</f>
        <v>96.645248658959119</v>
      </c>
      <c r="U96" s="89">
        <v>65.315355797960791</v>
      </c>
      <c r="X96" s="37"/>
      <c r="Y96" s="122" t="s">
        <v>467</v>
      </c>
      <c r="Z96" s="122" t="s">
        <v>468</v>
      </c>
      <c r="AA96" s="122" t="s">
        <v>469</v>
      </c>
      <c r="AB96" s="122" t="s">
        <v>470</v>
      </c>
      <c r="AC96" s="122" t="s">
        <v>261</v>
      </c>
      <c r="AD96" s="122" t="s">
        <v>471</v>
      </c>
      <c r="AE96" s="37" t="s">
        <v>453</v>
      </c>
    </row>
    <row r="97" spans="8:36" x14ac:dyDescent="0.25">
      <c r="H97" s="83" t="s">
        <v>222</v>
      </c>
      <c r="I97" s="36">
        <v>0</v>
      </c>
      <c r="J97" s="36">
        <v>0.24</v>
      </c>
      <c r="K97" s="36">
        <v>0.15</v>
      </c>
      <c r="L97" s="36">
        <v>0.56000000000000005</v>
      </c>
      <c r="M97" s="36">
        <v>0</v>
      </c>
      <c r="N97" s="36">
        <f t="shared" si="17"/>
        <v>4.9999999999999933E-2</v>
      </c>
      <c r="O97" s="35">
        <v>87402</v>
      </c>
      <c r="P97" s="89">
        <f t="shared" si="18"/>
        <v>298.22909202579586</v>
      </c>
      <c r="Q97" s="89">
        <f t="shared" si="19"/>
        <v>656.104002456751</v>
      </c>
      <c r="R97" s="89">
        <v>559.93399999999997</v>
      </c>
      <c r="S97" s="36">
        <f t="shared" si="20"/>
        <v>0.17175238949010246</v>
      </c>
      <c r="T97" s="89">
        <f>P97*(1/(VLOOKUP($H97,'Fuel economy adjusted factor'!$A$2:F$52,5,FALSE)*m2k))</f>
        <v>55.155376820447493</v>
      </c>
      <c r="U97" s="89">
        <v>44.095553494983719</v>
      </c>
      <c r="X97" s="127">
        <v>2020</v>
      </c>
      <c r="Y97" s="129">
        <v>4.0000000000000001E-3</v>
      </c>
      <c r="Z97" s="130">
        <v>0.39600000000000002</v>
      </c>
      <c r="AA97" s="130">
        <v>0.2</v>
      </c>
      <c r="AB97" s="130">
        <v>0.20399999999999999</v>
      </c>
      <c r="AC97" s="130">
        <v>3.0000000000000001E-3</v>
      </c>
      <c r="AD97" s="130">
        <v>0.19400000000000001</v>
      </c>
      <c r="AE97" s="131">
        <f>SUM(Y97:AD97)</f>
        <v>1.0010000000000001</v>
      </c>
    </row>
    <row r="98" spans="8:36" x14ac:dyDescent="0.25">
      <c r="H98" s="83" t="s">
        <v>223</v>
      </c>
      <c r="I98" s="36">
        <v>0</v>
      </c>
      <c r="J98" s="36">
        <v>0.14000000000000001</v>
      </c>
      <c r="K98" s="36">
        <v>0.09</v>
      </c>
      <c r="L98" s="36">
        <v>0.21</v>
      </c>
      <c r="M98" s="36">
        <v>0</v>
      </c>
      <c r="N98" s="36">
        <f t="shared" si="17"/>
        <v>0.56000000000000005</v>
      </c>
      <c r="O98" s="35">
        <v>54029</v>
      </c>
      <c r="P98" s="89">
        <f t="shared" si="18"/>
        <v>184.35527348415056</v>
      </c>
      <c r="Q98" s="89">
        <f t="shared" si="19"/>
        <v>405.58160166513125</v>
      </c>
      <c r="R98" s="89">
        <v>326.935</v>
      </c>
      <c r="S98" s="36">
        <f t="shared" si="20"/>
        <v>0.24055730241525453</v>
      </c>
      <c r="T98" s="89">
        <f>P98*(1/(VLOOKUP($H98,'Fuel economy adjusted factor'!$A$2:F$52,5,FALSE)*m2k))</f>
        <v>39.512816458057053</v>
      </c>
      <c r="U98" s="89">
        <v>26.023689145641427</v>
      </c>
      <c r="X98" s="37">
        <v>2023</v>
      </c>
      <c r="Y98" s="132">
        <v>0</v>
      </c>
      <c r="Z98" s="133">
        <v>0.42</v>
      </c>
      <c r="AA98" s="133">
        <v>0.17</v>
      </c>
      <c r="AB98" s="133">
        <v>0.19</v>
      </c>
      <c r="AC98" s="133">
        <v>0</v>
      </c>
      <c r="AD98" s="133">
        <v>0.21999999999999997</v>
      </c>
      <c r="AE98" s="134">
        <f t="shared" ref="AE98:AE104" si="21">SUM(Y98:AD98)</f>
        <v>1</v>
      </c>
    </row>
    <row r="99" spans="8:36" x14ac:dyDescent="0.25">
      <c r="H99" s="83" t="s">
        <v>224</v>
      </c>
      <c r="I99" s="36">
        <v>0</v>
      </c>
      <c r="J99" s="36">
        <v>0.18</v>
      </c>
      <c r="K99" s="36">
        <v>0.2</v>
      </c>
      <c r="L99" s="36">
        <v>0.49</v>
      </c>
      <c r="M99" s="36">
        <v>0</v>
      </c>
      <c r="N99" s="36">
        <f t="shared" si="17"/>
        <v>0.13</v>
      </c>
      <c r="O99" s="35">
        <v>94567</v>
      </c>
      <c r="P99" s="89">
        <f t="shared" si="18"/>
        <v>322.67717610127272</v>
      </c>
      <c r="Q99" s="89">
        <f t="shared" si="19"/>
        <v>709.88978742279994</v>
      </c>
      <c r="R99" s="89">
        <v>697.72199999999998</v>
      </c>
      <c r="S99" s="36">
        <f t="shared" si="20"/>
        <v>1.7439305945347806E-2</v>
      </c>
      <c r="T99" s="89">
        <f>P99*(1/(VLOOKUP($H99,'Fuel economy adjusted factor'!$A$2:F$52,5,FALSE)*m2k))</f>
        <v>61.664214905936184</v>
      </c>
      <c r="U99" s="89">
        <v>66.680327529683083</v>
      </c>
      <c r="X99" s="37">
        <v>2025</v>
      </c>
      <c r="Y99" s="135">
        <v>2E-3</v>
      </c>
      <c r="Z99" s="128">
        <v>0.32100000000000001</v>
      </c>
      <c r="AA99" s="128">
        <v>0.187</v>
      </c>
      <c r="AB99" s="128">
        <v>0.191</v>
      </c>
      <c r="AC99" s="128">
        <v>3.0000000000000001E-3</v>
      </c>
      <c r="AD99" s="128">
        <v>0.29599999999999999</v>
      </c>
      <c r="AE99" s="134">
        <f t="shared" si="21"/>
        <v>1</v>
      </c>
    </row>
    <row r="100" spans="8:36" x14ac:dyDescent="0.25">
      <c r="H100" s="83" t="s">
        <v>225</v>
      </c>
      <c r="I100" s="36">
        <v>0</v>
      </c>
      <c r="J100" s="36">
        <v>0.47</v>
      </c>
      <c r="K100" s="36">
        <v>0.14000000000000001</v>
      </c>
      <c r="L100" s="36">
        <v>0.08</v>
      </c>
      <c r="M100" s="36">
        <v>0</v>
      </c>
      <c r="N100" s="36">
        <f t="shared" si="17"/>
        <v>0.31000000000000005</v>
      </c>
      <c r="O100" s="35">
        <v>121038</v>
      </c>
      <c r="P100" s="89">
        <f t="shared" si="18"/>
        <v>413.00030709386834</v>
      </c>
      <c r="Q100" s="89">
        <f t="shared" si="19"/>
        <v>908.60067560651032</v>
      </c>
      <c r="R100" s="89">
        <v>821.94600000000003</v>
      </c>
      <c r="S100" s="36">
        <f t="shared" si="20"/>
        <v>0.10542623920124959</v>
      </c>
      <c r="T100" s="89">
        <f>P100*(1/(VLOOKUP($H100,'Fuel economy adjusted factor'!$A$2:F$52,5,FALSE)*m2k))</f>
        <v>76.96290790983528</v>
      </c>
      <c r="U100" s="89">
        <v>69.7478748562406</v>
      </c>
      <c r="X100" s="37">
        <v>2030</v>
      </c>
      <c r="Y100" s="135">
        <v>2E-3</v>
      </c>
      <c r="Z100" s="128">
        <v>0.247</v>
      </c>
      <c r="AA100" s="128">
        <v>8.3000000000000004E-2</v>
      </c>
      <c r="AB100" s="128">
        <v>0.17899999999999999</v>
      </c>
      <c r="AC100" s="128">
        <v>2E-3</v>
      </c>
      <c r="AD100" s="128">
        <v>0.48799999999999999</v>
      </c>
      <c r="AE100" s="134">
        <f t="shared" si="21"/>
        <v>1.0009999999999999</v>
      </c>
    </row>
    <row r="101" spans="8:36" x14ac:dyDescent="0.25">
      <c r="H101" s="83" t="s">
        <v>226</v>
      </c>
      <c r="I101" s="36">
        <v>0</v>
      </c>
      <c r="J101" s="36">
        <v>0.35</v>
      </c>
      <c r="K101" s="36">
        <v>0.48</v>
      </c>
      <c r="L101" s="36">
        <v>0</v>
      </c>
      <c r="M101" s="36">
        <v>0</v>
      </c>
      <c r="N101" s="36">
        <f t="shared" si="17"/>
        <v>0.17000000000000004</v>
      </c>
      <c r="O101" s="35">
        <v>212402</v>
      </c>
      <c r="P101" s="89">
        <f t="shared" si="18"/>
        <v>724.74835363565023</v>
      </c>
      <c r="Q101" s="89">
        <f t="shared" si="19"/>
        <v>1594.4463779984305</v>
      </c>
      <c r="R101" s="89">
        <v>1524.252</v>
      </c>
      <c r="S101" s="36">
        <f t="shared" si="20"/>
        <v>4.6051688302479236E-2</v>
      </c>
      <c r="T101" s="89">
        <f>P101*(1/(VLOOKUP($H101,'Fuel economy adjusted factor'!$A$2:F$52,5,FALSE)*m2k))</f>
        <v>149.59613849767854</v>
      </c>
      <c r="U101" s="89">
        <v>130.40578198458888</v>
      </c>
      <c r="X101" s="37">
        <v>2035</v>
      </c>
      <c r="Y101" s="135">
        <v>2E-3</v>
      </c>
      <c r="Z101" s="128">
        <v>0.20599999999999999</v>
      </c>
      <c r="AA101" s="128">
        <v>7.9000000000000001E-2</v>
      </c>
      <c r="AB101" s="128">
        <v>0.159</v>
      </c>
      <c r="AC101" s="128">
        <v>2E-3</v>
      </c>
      <c r="AD101" s="128">
        <v>0.55200000000000005</v>
      </c>
      <c r="AE101" s="134">
        <f t="shared" si="21"/>
        <v>1</v>
      </c>
    </row>
    <row r="102" spans="8:36" x14ac:dyDescent="0.25">
      <c r="H102" s="83" t="s">
        <v>228</v>
      </c>
      <c r="I102" s="36">
        <v>0</v>
      </c>
      <c r="J102" s="36">
        <v>0</v>
      </c>
      <c r="K102" s="36">
        <v>0</v>
      </c>
      <c r="L102" s="36">
        <v>0</v>
      </c>
      <c r="M102" s="36">
        <v>0.17</v>
      </c>
      <c r="N102" s="36">
        <f t="shared" si="17"/>
        <v>0.83</v>
      </c>
      <c r="O102" s="35">
        <v>6321</v>
      </c>
      <c r="P102" s="89">
        <f t="shared" si="18"/>
        <v>21.568226021087114</v>
      </c>
      <c r="Q102" s="89">
        <f t="shared" si="19"/>
        <v>47.45009724639165</v>
      </c>
      <c r="R102" s="89">
        <v>42.609000000000002</v>
      </c>
      <c r="S102" s="36">
        <f t="shared" si="20"/>
        <v>0.113616776887316</v>
      </c>
      <c r="T102" s="89">
        <f>P102*(1/(VLOOKUP($H102,'Fuel economy adjusted factor'!$A$2:F$52,5,FALSE)*m2k))</f>
        <v>4.6454840953048882</v>
      </c>
      <c r="U102" s="89">
        <v>2.4712938739692802</v>
      </c>
      <c r="X102" s="37">
        <v>2040</v>
      </c>
      <c r="Y102" s="135">
        <v>1E-3</v>
      </c>
      <c r="Z102" s="128">
        <v>0.214</v>
      </c>
      <c r="AA102" s="128">
        <v>6.8000000000000005E-2</v>
      </c>
      <c r="AB102" s="128">
        <v>0.13700000000000001</v>
      </c>
      <c r="AC102" s="128">
        <v>2E-3</v>
      </c>
      <c r="AD102" s="128">
        <v>0.57699999999999996</v>
      </c>
      <c r="AE102" s="134">
        <f t="shared" si="21"/>
        <v>0.999</v>
      </c>
    </row>
    <row r="103" spans="8:36" x14ac:dyDescent="0.25">
      <c r="H103" s="83" t="s">
        <v>227</v>
      </c>
      <c r="I103" s="36">
        <v>0</v>
      </c>
      <c r="J103" s="36">
        <v>0.56999999999999995</v>
      </c>
      <c r="K103" s="36">
        <v>0.01</v>
      </c>
      <c r="L103" s="36">
        <v>0.33</v>
      </c>
      <c r="M103" s="36">
        <v>0.02</v>
      </c>
      <c r="N103" s="36">
        <f t="shared" si="17"/>
        <v>7.0000000000000062E-2</v>
      </c>
      <c r="O103" s="35">
        <v>93837</v>
      </c>
      <c r="P103" s="89">
        <f t="shared" si="18"/>
        <v>320.18630361347118</v>
      </c>
      <c r="Q103" s="89">
        <f t="shared" si="19"/>
        <v>704.40986794963658</v>
      </c>
      <c r="R103" s="89">
        <v>589.971</v>
      </c>
      <c r="S103" s="36">
        <f t="shared" si="20"/>
        <v>0.1939737172668429</v>
      </c>
      <c r="T103" s="89">
        <f>P103*(1/(VLOOKUP($H103,'Fuel economy adjusted factor'!$A$2:F$52,5,FALSE)*m2k))</f>
        <v>61.807974518371147</v>
      </c>
      <c r="U103" s="89">
        <v>63.403308450045252</v>
      </c>
      <c r="X103" s="37">
        <v>2045</v>
      </c>
      <c r="Y103" s="135">
        <v>1E-3</v>
      </c>
      <c r="Z103" s="128">
        <v>0.214</v>
      </c>
      <c r="AA103" s="128">
        <v>0.06</v>
      </c>
      <c r="AB103" s="128">
        <v>0.13200000000000001</v>
      </c>
      <c r="AC103" s="128">
        <v>2E-3</v>
      </c>
      <c r="AD103" s="128">
        <v>0.59099999999999997</v>
      </c>
      <c r="AE103" s="134">
        <f t="shared" si="21"/>
        <v>1</v>
      </c>
    </row>
    <row r="104" spans="8:36" x14ac:dyDescent="0.25">
      <c r="H104" s="83" t="s">
        <v>229</v>
      </c>
      <c r="I104" s="36">
        <v>0</v>
      </c>
      <c r="J104" s="36">
        <v>0.17</v>
      </c>
      <c r="K104" s="36">
        <v>0.04</v>
      </c>
      <c r="L104" s="36">
        <v>0.09</v>
      </c>
      <c r="M104" s="36">
        <v>0</v>
      </c>
      <c r="N104" s="36">
        <f t="shared" si="17"/>
        <v>0.7</v>
      </c>
      <c r="O104" s="35">
        <v>42945</v>
      </c>
      <c r="P104" s="89">
        <f t="shared" si="18"/>
        <v>146.53495751868155</v>
      </c>
      <c r="Q104" s="89">
        <f t="shared" si="19"/>
        <v>322.37690654109946</v>
      </c>
      <c r="R104" s="89">
        <v>185.965</v>
      </c>
      <c r="S104" s="36">
        <f t="shared" si="20"/>
        <v>0.73353537784582823</v>
      </c>
      <c r="T104" s="89">
        <f>P104*(1/(VLOOKUP($H104,'Fuel economy adjusted factor'!$A$2:F$52,5,FALSE)*m2k))</f>
        <v>30.220663014844408</v>
      </c>
      <c r="U104" s="89">
        <v>10.63237225579001</v>
      </c>
      <c r="X104" s="37">
        <v>2050</v>
      </c>
      <c r="Y104" s="136">
        <v>1E-3</v>
      </c>
      <c r="Z104" s="137">
        <v>0.21</v>
      </c>
      <c r="AA104" s="137">
        <v>0.05</v>
      </c>
      <c r="AB104" s="137">
        <v>0.126</v>
      </c>
      <c r="AC104" s="137">
        <v>2E-3</v>
      </c>
      <c r="AD104" s="137">
        <v>0.61099999999999999</v>
      </c>
      <c r="AE104" s="138">
        <f t="shared" si="21"/>
        <v>1</v>
      </c>
    </row>
    <row r="105" spans="8:36" x14ac:dyDescent="0.25">
      <c r="H105" s="83" t="s">
        <v>159</v>
      </c>
      <c r="I105" s="36">
        <v>0</v>
      </c>
      <c r="J105" s="36">
        <v>0.06</v>
      </c>
      <c r="K105" s="36">
        <v>0.88</v>
      </c>
      <c r="L105" s="36">
        <v>0</v>
      </c>
      <c r="M105" s="36">
        <v>0</v>
      </c>
      <c r="N105" s="36">
        <f t="shared" si="17"/>
        <v>6.0000000000000053E-2</v>
      </c>
      <c r="O105" s="35">
        <v>296801</v>
      </c>
      <c r="P105" s="89">
        <f t="shared" si="18"/>
        <v>1012.7307469205309</v>
      </c>
      <c r="Q105" s="89">
        <f t="shared" si="19"/>
        <v>2228.0076432251681</v>
      </c>
      <c r="R105" s="89">
        <v>1974.326</v>
      </c>
      <c r="S105" s="36">
        <f t="shared" si="20"/>
        <v>0.1284902509642116</v>
      </c>
      <c r="T105" s="89">
        <f>P105*(1/(VLOOKUP($H105,'Fuel economy adjusted factor'!$A$2:F$52,5,FALSE)*m2k))</f>
        <v>200.66310114703239</v>
      </c>
      <c r="U105" s="89">
        <v>129.02720381134898</v>
      </c>
    </row>
    <row r="106" spans="8:36" x14ac:dyDescent="0.25">
      <c r="H106" s="83" t="s">
        <v>158</v>
      </c>
      <c r="I106" s="36">
        <v>0</v>
      </c>
      <c r="J106" s="36">
        <v>0.43</v>
      </c>
      <c r="K106" s="36">
        <v>0.33</v>
      </c>
      <c r="L106" s="36">
        <v>0.15</v>
      </c>
      <c r="M106" s="36">
        <v>0.01</v>
      </c>
      <c r="N106" s="36">
        <f t="shared" si="17"/>
        <v>7.999999999999996E-2</v>
      </c>
      <c r="O106" s="35">
        <v>175943</v>
      </c>
      <c r="P106" s="89">
        <f t="shared" si="18"/>
        <v>600.34462756338075</v>
      </c>
      <c r="Q106" s="89">
        <f t="shared" si="19"/>
        <v>1320.7581806394378</v>
      </c>
      <c r="R106" s="89">
        <v>1178.4079999999999</v>
      </c>
      <c r="S106" s="36">
        <f t="shared" si="20"/>
        <v>0.12079872220779043</v>
      </c>
      <c r="T106" s="89">
        <f>P106*(1/(VLOOKUP($H106,'Fuel economy adjusted factor'!$A$2:F$52,5,FALSE)*m2k))</f>
        <v>130.25633034689596</v>
      </c>
      <c r="U106" s="89">
        <v>115.13084224185471</v>
      </c>
    </row>
    <row r="107" spans="8:36" x14ac:dyDescent="0.25">
      <c r="H107" s="35" t="s">
        <v>160</v>
      </c>
      <c r="I107" s="36">
        <v>0</v>
      </c>
      <c r="J107" s="36">
        <v>0.04</v>
      </c>
      <c r="K107" s="36">
        <v>0.73</v>
      </c>
      <c r="L107" s="36">
        <v>0</v>
      </c>
      <c r="M107" s="36">
        <v>0</v>
      </c>
      <c r="N107" s="36">
        <f t="shared" si="17"/>
        <v>0.22999999999999998</v>
      </c>
      <c r="O107" s="35">
        <v>245464</v>
      </c>
      <c r="P107" s="89">
        <f t="shared" si="18"/>
        <v>837.56099225441028</v>
      </c>
      <c r="Q107" s="89">
        <f t="shared" si="19"/>
        <v>1842.6341829597027</v>
      </c>
      <c r="R107" s="89">
        <v>1817.5840000000001</v>
      </c>
      <c r="S107" s="36">
        <f t="shared" si="20"/>
        <v>1.3782132192901468E-2</v>
      </c>
      <c r="T107" s="89">
        <f>P107*(1/(VLOOKUP($H107,'Fuel economy adjusted factor'!$A$2:F$52,5,FALSE)*m2k))</f>
        <v>183.7883716326956</v>
      </c>
      <c r="U107" s="89">
        <v>132.84064740448076</v>
      </c>
    </row>
    <row r="108" spans="8:36" x14ac:dyDescent="0.25">
      <c r="H108" s="35" t="s">
        <v>134</v>
      </c>
      <c r="I108" s="91">
        <v>0</v>
      </c>
      <c r="J108" s="91">
        <v>0.42</v>
      </c>
      <c r="K108" s="91">
        <v>0.17</v>
      </c>
      <c r="L108" s="91">
        <v>0.19</v>
      </c>
      <c r="M108" s="36">
        <v>0</v>
      </c>
      <c r="N108" s="36">
        <f t="shared" si="17"/>
        <v>0.21999999999999997</v>
      </c>
      <c r="O108" s="35">
        <v>129761</v>
      </c>
      <c r="P108" s="89">
        <f t="shared" si="18"/>
        <v>442.76452724605042</v>
      </c>
      <c r="Q108" s="89">
        <f t="shared" si="19"/>
        <v>974.08195994131097</v>
      </c>
      <c r="R108" s="89"/>
      <c r="S108" s="36"/>
      <c r="T108" s="89">
        <f>P108*(1/(VLOOKUP($H108,'Fuel economy adjusted factor'!$A$2:F$52,5,FALSE)*m2k))</f>
        <v>89.985989505165449</v>
      </c>
      <c r="U108" s="35">
        <v>77</v>
      </c>
    </row>
    <row r="111" spans="8:36" x14ac:dyDescent="0.25">
      <c r="H111" s="51" t="s">
        <v>462</v>
      </c>
    </row>
    <row r="112" spans="8:36" x14ac:dyDescent="0.25">
      <c r="H112" s="37" t="s">
        <v>3</v>
      </c>
      <c r="I112" s="37">
        <v>2023</v>
      </c>
      <c r="J112" s="37">
        <v>2024</v>
      </c>
      <c r="K112" s="37">
        <v>2025</v>
      </c>
      <c r="L112" s="37">
        <v>2026</v>
      </c>
      <c r="M112" s="37">
        <v>2027</v>
      </c>
      <c r="N112" s="37">
        <v>2028</v>
      </c>
      <c r="O112" s="37">
        <v>2029</v>
      </c>
      <c r="P112" s="37">
        <v>2030</v>
      </c>
      <c r="Q112" s="37">
        <v>2031</v>
      </c>
      <c r="R112" s="37">
        <v>2032</v>
      </c>
      <c r="S112" s="37">
        <v>2033</v>
      </c>
      <c r="T112" s="37">
        <v>2034</v>
      </c>
      <c r="U112" s="37">
        <v>2035</v>
      </c>
      <c r="V112" s="37">
        <v>2036</v>
      </c>
      <c r="W112" s="37">
        <v>2037</v>
      </c>
      <c r="X112" s="37">
        <v>2038</v>
      </c>
      <c r="Y112" s="37">
        <v>2039</v>
      </c>
      <c r="Z112" s="37">
        <v>2040</v>
      </c>
      <c r="AA112" s="37">
        <v>2041</v>
      </c>
      <c r="AB112" s="37">
        <v>2042</v>
      </c>
      <c r="AC112" s="37">
        <v>2043</v>
      </c>
      <c r="AD112" s="37">
        <v>2044</v>
      </c>
      <c r="AE112" s="37">
        <v>2045</v>
      </c>
      <c r="AF112" s="37">
        <v>2046</v>
      </c>
      <c r="AG112" s="37">
        <v>2047</v>
      </c>
      <c r="AH112" s="37">
        <v>2048</v>
      </c>
      <c r="AI112" s="37">
        <v>2049</v>
      </c>
      <c r="AJ112" s="37">
        <v>2050</v>
      </c>
    </row>
    <row r="113" spans="8:36" x14ac:dyDescent="0.25">
      <c r="H113" s="83" t="s">
        <v>187</v>
      </c>
      <c r="I113" s="114">
        <f>O58</f>
        <v>115538</v>
      </c>
      <c r="J113" s="115">
        <f>I113</f>
        <v>115538</v>
      </c>
      <c r="K113" s="116">
        <f t="shared" ref="K113:K144" si="22">$I113*K$164</f>
        <v>101509.00262790822</v>
      </c>
      <c r="L113" s="116">
        <f t="shared" ref="L113:AJ122" si="23">$I113*L$164</f>
        <v>101509.00262790822</v>
      </c>
      <c r="M113" s="116">
        <f t="shared" si="23"/>
        <v>101509.00262790822</v>
      </c>
      <c r="N113" s="116">
        <f t="shared" si="23"/>
        <v>101509.00262790822</v>
      </c>
      <c r="O113" s="116">
        <f t="shared" si="23"/>
        <v>101509.00262790822</v>
      </c>
      <c r="P113" s="116">
        <f t="shared" si="23"/>
        <v>61886.612233259613</v>
      </c>
      <c r="Q113" s="116">
        <f t="shared" si="23"/>
        <v>61886.612233259613</v>
      </c>
      <c r="R113" s="116">
        <f t="shared" si="23"/>
        <v>61886.612233259613</v>
      </c>
      <c r="S113" s="116">
        <f t="shared" si="23"/>
        <v>61886.612233259613</v>
      </c>
      <c r="T113" s="116">
        <f t="shared" si="23"/>
        <v>61886.612233259613</v>
      </c>
      <c r="U113" s="116">
        <f t="shared" si="23"/>
        <v>55468.675380121917</v>
      </c>
      <c r="V113" s="116">
        <f t="shared" si="23"/>
        <v>55468.675380121917</v>
      </c>
      <c r="W113" s="116">
        <f t="shared" si="23"/>
        <v>55468.675380121917</v>
      </c>
      <c r="X113" s="116">
        <f t="shared" si="23"/>
        <v>55468.675380121917</v>
      </c>
      <c r="Y113" s="116">
        <f t="shared" si="23"/>
        <v>55468.675380121917</v>
      </c>
      <c r="Z113" s="116">
        <f t="shared" si="23"/>
        <v>53519.609929023354</v>
      </c>
      <c r="AA113" s="116">
        <f t="shared" si="23"/>
        <v>53519.609929023354</v>
      </c>
      <c r="AB113" s="116">
        <f t="shared" si="23"/>
        <v>53519.609929023354</v>
      </c>
      <c r="AC113" s="116">
        <f t="shared" si="23"/>
        <v>53519.609929023354</v>
      </c>
      <c r="AD113" s="116">
        <f t="shared" si="23"/>
        <v>53519.609929023354</v>
      </c>
      <c r="AE113" s="116">
        <f t="shared" si="23"/>
        <v>51423.629996686213</v>
      </c>
      <c r="AF113" s="116">
        <f t="shared" si="23"/>
        <v>51423.629996686213</v>
      </c>
      <c r="AG113" s="116">
        <f t="shared" si="23"/>
        <v>51423.629996686213</v>
      </c>
      <c r="AH113" s="116">
        <f t="shared" si="23"/>
        <v>51423.629996686213</v>
      </c>
      <c r="AI113" s="116">
        <f t="shared" si="23"/>
        <v>51423.629996686213</v>
      </c>
      <c r="AJ113" s="117">
        <f t="shared" si="23"/>
        <v>48193.292191028122</v>
      </c>
    </row>
    <row r="114" spans="8:36" x14ac:dyDescent="0.25">
      <c r="H114" s="83" t="s">
        <v>231</v>
      </c>
      <c r="I114" s="102">
        <f t="shared" ref="I114:I162" si="24">O59</f>
        <v>161173</v>
      </c>
      <c r="J114" s="13">
        <f t="shared" ref="J114:J162" si="25">I114</f>
        <v>161173</v>
      </c>
      <c r="K114" s="7">
        <f t="shared" si="22"/>
        <v>141602.85343824414</v>
      </c>
      <c r="L114" s="7">
        <f t="shared" si="23"/>
        <v>141602.85343824414</v>
      </c>
      <c r="M114" s="7">
        <f t="shared" si="23"/>
        <v>141602.85343824414</v>
      </c>
      <c r="N114" s="7">
        <f t="shared" si="23"/>
        <v>141602.85343824414</v>
      </c>
      <c r="O114" s="7">
        <f t="shared" si="23"/>
        <v>141602.85343824414</v>
      </c>
      <c r="P114" s="7">
        <f t="shared" si="23"/>
        <v>86330.479612518408</v>
      </c>
      <c r="Q114" s="7">
        <f t="shared" si="23"/>
        <v>86330.479612518408</v>
      </c>
      <c r="R114" s="7">
        <f t="shared" si="23"/>
        <v>86330.479612518408</v>
      </c>
      <c r="S114" s="7">
        <f t="shared" si="23"/>
        <v>86330.479612518408</v>
      </c>
      <c r="T114" s="7">
        <f t="shared" si="23"/>
        <v>86330.479612518408</v>
      </c>
      <c r="U114" s="7">
        <f t="shared" si="23"/>
        <v>77377.59712856714</v>
      </c>
      <c r="V114" s="7">
        <f t="shared" si="23"/>
        <v>77377.59712856714</v>
      </c>
      <c r="W114" s="7">
        <f t="shared" si="23"/>
        <v>77377.59712856714</v>
      </c>
      <c r="X114" s="7">
        <f t="shared" si="23"/>
        <v>77377.59712856714</v>
      </c>
      <c r="Y114" s="7">
        <f t="shared" si="23"/>
        <v>77377.59712856714</v>
      </c>
      <c r="Z114" s="7">
        <f t="shared" si="23"/>
        <v>74658.693166667945</v>
      </c>
      <c r="AA114" s="7">
        <f t="shared" si="23"/>
        <v>74658.693166667945</v>
      </c>
      <c r="AB114" s="7">
        <f t="shared" si="23"/>
        <v>74658.693166667945</v>
      </c>
      <c r="AC114" s="7">
        <f t="shared" si="23"/>
        <v>74658.693166667945</v>
      </c>
      <c r="AD114" s="7">
        <f t="shared" si="23"/>
        <v>74658.693166667945</v>
      </c>
      <c r="AE114" s="7">
        <f t="shared" si="23"/>
        <v>71734.846695077882</v>
      </c>
      <c r="AF114" s="7">
        <f t="shared" si="23"/>
        <v>71734.846695077882</v>
      </c>
      <c r="AG114" s="7">
        <f t="shared" si="23"/>
        <v>71734.846695077882</v>
      </c>
      <c r="AH114" s="7">
        <f t="shared" si="23"/>
        <v>71734.846695077882</v>
      </c>
      <c r="AI114" s="7">
        <f t="shared" si="23"/>
        <v>71734.846695077882</v>
      </c>
      <c r="AJ114" s="118">
        <f t="shared" si="23"/>
        <v>67228.595633510835</v>
      </c>
    </row>
    <row r="115" spans="8:36" x14ac:dyDescent="0.25">
      <c r="H115" s="83" t="s">
        <v>189</v>
      </c>
      <c r="I115" s="102">
        <f t="shared" si="24"/>
        <v>110023</v>
      </c>
      <c r="J115" s="13">
        <f t="shared" si="25"/>
        <v>110023</v>
      </c>
      <c r="K115" s="7">
        <f t="shared" si="22"/>
        <v>96663.651752067264</v>
      </c>
      <c r="L115" s="7">
        <f t="shared" ref="L115:Z115" si="26">$I115*L$164</f>
        <v>96663.651752067264</v>
      </c>
      <c r="M115" s="7">
        <f t="shared" si="26"/>
        <v>96663.651752067264</v>
      </c>
      <c r="N115" s="7">
        <f t="shared" si="26"/>
        <v>96663.651752067264</v>
      </c>
      <c r="O115" s="7">
        <f t="shared" si="26"/>
        <v>96663.651752067264</v>
      </c>
      <c r="P115" s="7">
        <f t="shared" si="26"/>
        <v>58932.565370180564</v>
      </c>
      <c r="Q115" s="7">
        <f t="shared" si="26"/>
        <v>58932.565370180564</v>
      </c>
      <c r="R115" s="7">
        <f t="shared" si="26"/>
        <v>58932.565370180564</v>
      </c>
      <c r="S115" s="7">
        <f t="shared" si="26"/>
        <v>58932.565370180564</v>
      </c>
      <c r="T115" s="7">
        <f t="shared" si="26"/>
        <v>58932.565370180564</v>
      </c>
      <c r="U115" s="7">
        <f t="shared" si="26"/>
        <v>52820.977265896538</v>
      </c>
      <c r="V115" s="7">
        <f t="shared" si="26"/>
        <v>52820.977265896538</v>
      </c>
      <c r="W115" s="7">
        <f t="shared" si="26"/>
        <v>52820.977265896538</v>
      </c>
      <c r="X115" s="7">
        <f t="shared" si="26"/>
        <v>52820.977265896538</v>
      </c>
      <c r="Y115" s="7">
        <f t="shared" si="26"/>
        <v>52820.977265896538</v>
      </c>
      <c r="Z115" s="7">
        <f t="shared" si="26"/>
        <v>50964.946971740355</v>
      </c>
      <c r="AA115" s="7">
        <f t="shared" si="23"/>
        <v>50964.946971740355</v>
      </c>
      <c r="AB115" s="7">
        <f t="shared" si="23"/>
        <v>50964.946971740355</v>
      </c>
      <c r="AC115" s="7">
        <f t="shared" si="23"/>
        <v>50964.946971740355</v>
      </c>
      <c r="AD115" s="7">
        <f t="shared" si="23"/>
        <v>50964.946971740355</v>
      </c>
      <c r="AE115" s="7">
        <f t="shared" si="23"/>
        <v>48969.014896617628</v>
      </c>
      <c r="AF115" s="7">
        <f t="shared" si="23"/>
        <v>48969.014896617628</v>
      </c>
      <c r="AG115" s="7">
        <f t="shared" si="23"/>
        <v>48969.014896617628</v>
      </c>
      <c r="AH115" s="7">
        <f t="shared" si="23"/>
        <v>48969.014896617628</v>
      </c>
      <c r="AI115" s="7">
        <f t="shared" si="23"/>
        <v>48969.014896617628</v>
      </c>
      <c r="AJ115" s="118">
        <f t="shared" si="23"/>
        <v>45892.871494516839</v>
      </c>
    </row>
    <row r="116" spans="8:36" x14ac:dyDescent="0.25">
      <c r="H116" s="83" t="s">
        <v>188</v>
      </c>
      <c r="I116" s="102">
        <f t="shared" si="24"/>
        <v>154383</v>
      </c>
      <c r="J116" s="13">
        <f t="shared" si="25"/>
        <v>154383</v>
      </c>
      <c r="K116" s="7">
        <f t="shared" si="22"/>
        <v>135637.31718312899</v>
      </c>
      <c r="L116" s="7">
        <f t="shared" si="23"/>
        <v>135637.31718312899</v>
      </c>
      <c r="M116" s="7">
        <f t="shared" si="23"/>
        <v>135637.31718312899</v>
      </c>
      <c r="N116" s="7">
        <f t="shared" si="23"/>
        <v>135637.31718312899</v>
      </c>
      <c r="O116" s="7">
        <f t="shared" si="23"/>
        <v>135637.31718312899</v>
      </c>
      <c r="P116" s="7">
        <f t="shared" si="23"/>
        <v>82693.493538120092</v>
      </c>
      <c r="Q116" s="7">
        <f t="shared" si="23"/>
        <v>82693.493538120092</v>
      </c>
      <c r="R116" s="7">
        <f t="shared" si="23"/>
        <v>82693.493538120092</v>
      </c>
      <c r="S116" s="7">
        <f t="shared" si="23"/>
        <v>82693.493538120092</v>
      </c>
      <c r="T116" s="7">
        <f t="shared" si="23"/>
        <v>82693.493538120092</v>
      </c>
      <c r="U116" s="7">
        <f t="shared" si="23"/>
        <v>74117.783856474605</v>
      </c>
      <c r="V116" s="7">
        <f t="shared" si="23"/>
        <v>74117.783856474605</v>
      </c>
      <c r="W116" s="7">
        <f t="shared" si="23"/>
        <v>74117.783856474605</v>
      </c>
      <c r="X116" s="7">
        <f t="shared" si="23"/>
        <v>74117.783856474605</v>
      </c>
      <c r="Y116" s="7">
        <f t="shared" si="23"/>
        <v>74117.783856474605</v>
      </c>
      <c r="Z116" s="7">
        <f t="shared" si="23"/>
        <v>71513.423632678532</v>
      </c>
      <c r="AA116" s="7">
        <f t="shared" si="23"/>
        <v>71513.423632678532</v>
      </c>
      <c r="AB116" s="7">
        <f t="shared" si="23"/>
        <v>71513.423632678532</v>
      </c>
      <c r="AC116" s="7">
        <f t="shared" si="23"/>
        <v>71513.423632678532</v>
      </c>
      <c r="AD116" s="7">
        <f t="shared" si="23"/>
        <v>71513.423632678532</v>
      </c>
      <c r="AE116" s="7">
        <f t="shared" si="23"/>
        <v>68712.754849299861</v>
      </c>
      <c r="AF116" s="7">
        <f t="shared" si="23"/>
        <v>68712.754849299861</v>
      </c>
      <c r="AG116" s="7">
        <f t="shared" si="23"/>
        <v>68712.754849299861</v>
      </c>
      <c r="AH116" s="7">
        <f t="shared" si="23"/>
        <v>68712.754849299861</v>
      </c>
      <c r="AI116" s="7">
        <f t="shared" si="23"/>
        <v>68712.754849299861</v>
      </c>
      <c r="AJ116" s="118">
        <f t="shared" si="23"/>
        <v>64396.346036174196</v>
      </c>
    </row>
    <row r="117" spans="8:36" x14ac:dyDescent="0.25">
      <c r="H117" s="83" t="s">
        <v>149</v>
      </c>
      <c r="I117" s="102">
        <f t="shared" si="24"/>
        <v>66625</v>
      </c>
      <c r="J117" s="13">
        <f t="shared" si="25"/>
        <v>66625</v>
      </c>
      <c r="K117" s="7">
        <f t="shared" si="22"/>
        <v>58535.177171877527</v>
      </c>
      <c r="L117" s="7">
        <f t="shared" si="23"/>
        <v>58535.177171877527</v>
      </c>
      <c r="M117" s="7">
        <f t="shared" si="23"/>
        <v>58535.177171877527</v>
      </c>
      <c r="N117" s="7">
        <f t="shared" si="23"/>
        <v>58535.177171877527</v>
      </c>
      <c r="O117" s="7">
        <f t="shared" si="23"/>
        <v>58535.177171877527</v>
      </c>
      <c r="P117" s="7">
        <f t="shared" si="23"/>
        <v>35686.921532663902</v>
      </c>
      <c r="Q117" s="7">
        <f t="shared" si="23"/>
        <v>35686.921532663902</v>
      </c>
      <c r="R117" s="7">
        <f t="shared" si="23"/>
        <v>35686.921532663902</v>
      </c>
      <c r="S117" s="7">
        <f t="shared" si="23"/>
        <v>35686.921532663902</v>
      </c>
      <c r="T117" s="7">
        <f t="shared" si="23"/>
        <v>35686.921532663902</v>
      </c>
      <c r="U117" s="7">
        <f t="shared" si="23"/>
        <v>31986.017563058238</v>
      </c>
      <c r="V117" s="7">
        <f t="shared" si="23"/>
        <v>31986.017563058238</v>
      </c>
      <c r="W117" s="7">
        <f t="shared" si="23"/>
        <v>31986.017563058238</v>
      </c>
      <c r="X117" s="7">
        <f t="shared" si="23"/>
        <v>31986.017563058238</v>
      </c>
      <c r="Y117" s="7">
        <f t="shared" si="23"/>
        <v>31986.017563058238</v>
      </c>
      <c r="Z117" s="7">
        <f t="shared" si="23"/>
        <v>30862.088763187705</v>
      </c>
      <c r="AA117" s="7">
        <f t="shared" si="23"/>
        <v>30862.088763187705</v>
      </c>
      <c r="AB117" s="7">
        <f t="shared" si="23"/>
        <v>30862.088763187705</v>
      </c>
      <c r="AC117" s="7">
        <f t="shared" si="23"/>
        <v>30862.088763187705</v>
      </c>
      <c r="AD117" s="7">
        <f t="shared" si="23"/>
        <v>30862.088763187705</v>
      </c>
      <c r="AE117" s="7">
        <f t="shared" si="23"/>
        <v>29653.441712070653</v>
      </c>
      <c r="AF117" s="7">
        <f t="shared" si="23"/>
        <v>29653.441712070653</v>
      </c>
      <c r="AG117" s="7">
        <f t="shared" si="23"/>
        <v>29653.441712070653</v>
      </c>
      <c r="AH117" s="7">
        <f t="shared" si="23"/>
        <v>29653.441712070653</v>
      </c>
      <c r="AI117" s="7">
        <f t="shared" si="23"/>
        <v>29653.441712070653</v>
      </c>
      <c r="AJ117" s="118">
        <f t="shared" si="23"/>
        <v>27790.667072541055</v>
      </c>
    </row>
    <row r="118" spans="8:36" x14ac:dyDescent="0.25">
      <c r="H118" s="83" t="s">
        <v>190</v>
      </c>
      <c r="I118" s="102">
        <f t="shared" si="24"/>
        <v>154913</v>
      </c>
      <c r="J118" s="13">
        <f t="shared" si="25"/>
        <v>154913</v>
      </c>
      <c r="K118" s="7">
        <f t="shared" si="22"/>
        <v>136102.96287019982</v>
      </c>
      <c r="L118" s="7">
        <f t="shared" si="23"/>
        <v>136102.96287019982</v>
      </c>
      <c r="M118" s="7">
        <f t="shared" si="23"/>
        <v>136102.96287019982</v>
      </c>
      <c r="N118" s="7">
        <f t="shared" si="23"/>
        <v>136102.96287019982</v>
      </c>
      <c r="O118" s="7">
        <f t="shared" si="23"/>
        <v>136102.96287019982</v>
      </c>
      <c r="P118" s="7">
        <f t="shared" si="23"/>
        <v>82977.381994590061</v>
      </c>
      <c r="Q118" s="7">
        <f t="shared" si="23"/>
        <v>82977.381994590061</v>
      </c>
      <c r="R118" s="7">
        <f t="shared" si="23"/>
        <v>82977.381994590061</v>
      </c>
      <c r="S118" s="7">
        <f t="shared" si="23"/>
        <v>82977.381994590061</v>
      </c>
      <c r="T118" s="7">
        <f t="shared" si="23"/>
        <v>82977.381994590061</v>
      </c>
      <c r="U118" s="7">
        <f t="shared" si="23"/>
        <v>74372.231726019381</v>
      </c>
      <c r="V118" s="7">
        <f t="shared" si="23"/>
        <v>74372.231726019381</v>
      </c>
      <c r="W118" s="7">
        <f t="shared" si="23"/>
        <v>74372.231726019381</v>
      </c>
      <c r="X118" s="7">
        <f t="shared" si="23"/>
        <v>74372.231726019381</v>
      </c>
      <c r="Y118" s="7">
        <f t="shared" si="23"/>
        <v>74372.231726019381</v>
      </c>
      <c r="Z118" s="7">
        <f t="shared" si="23"/>
        <v>71758.930680250618</v>
      </c>
      <c r="AA118" s="7">
        <f t="shared" si="23"/>
        <v>71758.930680250618</v>
      </c>
      <c r="AB118" s="7">
        <f t="shared" si="23"/>
        <v>71758.930680250618</v>
      </c>
      <c r="AC118" s="7">
        <f t="shared" si="23"/>
        <v>71758.930680250618</v>
      </c>
      <c r="AD118" s="7">
        <f t="shared" si="23"/>
        <v>71758.930680250618</v>
      </c>
      <c r="AE118" s="7">
        <f t="shared" si="23"/>
        <v>68948.647143594761</v>
      </c>
      <c r="AF118" s="7">
        <f t="shared" si="23"/>
        <v>68948.647143594761</v>
      </c>
      <c r="AG118" s="7">
        <f t="shared" si="23"/>
        <v>68948.647143594761</v>
      </c>
      <c r="AH118" s="7">
        <f t="shared" si="23"/>
        <v>68948.647143594761</v>
      </c>
      <c r="AI118" s="7">
        <f t="shared" si="23"/>
        <v>68948.647143594761</v>
      </c>
      <c r="AJ118" s="118">
        <f t="shared" si="23"/>
        <v>64617.420010634938</v>
      </c>
    </row>
    <row r="119" spans="8:36" x14ac:dyDescent="0.25">
      <c r="H119" s="83" t="s">
        <v>191</v>
      </c>
      <c r="I119" s="102">
        <f t="shared" si="24"/>
        <v>94756</v>
      </c>
      <c r="J119" s="13">
        <f t="shared" si="25"/>
        <v>94756</v>
      </c>
      <c r="K119" s="7">
        <f t="shared" si="22"/>
        <v>83250.420234122736</v>
      </c>
      <c r="L119" s="7">
        <f t="shared" si="23"/>
        <v>83250.420234122736</v>
      </c>
      <c r="M119" s="7">
        <f t="shared" si="23"/>
        <v>83250.420234122736</v>
      </c>
      <c r="N119" s="7">
        <f t="shared" si="23"/>
        <v>83250.420234122736</v>
      </c>
      <c r="O119" s="7">
        <f t="shared" si="23"/>
        <v>83250.420234122736</v>
      </c>
      <c r="P119" s="7">
        <f t="shared" si="23"/>
        <v>50754.970908054042</v>
      </c>
      <c r="Q119" s="7">
        <f t="shared" si="23"/>
        <v>50754.970908054042</v>
      </c>
      <c r="R119" s="7">
        <f t="shared" si="23"/>
        <v>50754.970908054042</v>
      </c>
      <c r="S119" s="7">
        <f t="shared" si="23"/>
        <v>50754.970908054042</v>
      </c>
      <c r="T119" s="7">
        <f t="shared" si="23"/>
        <v>50754.970908054042</v>
      </c>
      <c r="U119" s="7">
        <f t="shared" si="23"/>
        <v>45491.438352047226</v>
      </c>
      <c r="V119" s="7">
        <f t="shared" si="23"/>
        <v>45491.438352047226</v>
      </c>
      <c r="W119" s="7">
        <f t="shared" si="23"/>
        <v>45491.438352047226</v>
      </c>
      <c r="X119" s="7">
        <f t="shared" si="23"/>
        <v>45491.438352047226</v>
      </c>
      <c r="Y119" s="7">
        <f t="shared" si="23"/>
        <v>45491.438352047226</v>
      </c>
      <c r="Z119" s="7">
        <f t="shared" si="23"/>
        <v>43892.954339131174</v>
      </c>
      <c r="AA119" s="7">
        <f t="shared" si="23"/>
        <v>43892.954339131174</v>
      </c>
      <c r="AB119" s="7">
        <f t="shared" si="23"/>
        <v>43892.954339131174</v>
      </c>
      <c r="AC119" s="7">
        <f t="shared" si="23"/>
        <v>43892.954339131174</v>
      </c>
      <c r="AD119" s="7">
        <f t="shared" si="23"/>
        <v>43892.954339131174</v>
      </c>
      <c r="AE119" s="7">
        <f t="shared" si="23"/>
        <v>42173.981581522952</v>
      </c>
      <c r="AF119" s="7">
        <f t="shared" si="23"/>
        <v>42173.981581522952</v>
      </c>
      <c r="AG119" s="7">
        <f t="shared" si="23"/>
        <v>42173.981581522952</v>
      </c>
      <c r="AH119" s="7">
        <f t="shared" si="23"/>
        <v>42173.981581522952</v>
      </c>
      <c r="AI119" s="7">
        <f t="shared" si="23"/>
        <v>42173.981581522952</v>
      </c>
      <c r="AJ119" s="118">
        <f t="shared" si="23"/>
        <v>39524.68966792796</v>
      </c>
    </row>
    <row r="120" spans="8:36" x14ac:dyDescent="0.25">
      <c r="H120" s="83" t="s">
        <v>192</v>
      </c>
      <c r="I120" s="102">
        <f t="shared" si="24"/>
        <v>148353</v>
      </c>
      <c r="J120" s="13">
        <f t="shared" si="25"/>
        <v>148353</v>
      </c>
      <c r="K120" s="7">
        <f t="shared" si="22"/>
        <v>130339.49927173804</v>
      </c>
      <c r="L120" s="7">
        <f t="shared" si="23"/>
        <v>130339.49927173804</v>
      </c>
      <c r="M120" s="7">
        <f t="shared" si="23"/>
        <v>130339.49927173804</v>
      </c>
      <c r="N120" s="7">
        <f t="shared" si="23"/>
        <v>130339.49927173804</v>
      </c>
      <c r="O120" s="7">
        <f t="shared" si="23"/>
        <v>130339.49927173804</v>
      </c>
      <c r="P120" s="7">
        <f t="shared" si="23"/>
        <v>79463.592797527759</v>
      </c>
      <c r="Q120" s="7">
        <f t="shared" si="23"/>
        <v>79463.592797527759</v>
      </c>
      <c r="R120" s="7">
        <f t="shared" si="23"/>
        <v>79463.592797527759</v>
      </c>
      <c r="S120" s="7">
        <f t="shared" si="23"/>
        <v>79463.592797527759</v>
      </c>
      <c r="T120" s="7">
        <f t="shared" si="23"/>
        <v>79463.592797527759</v>
      </c>
      <c r="U120" s="7">
        <f t="shared" si="23"/>
        <v>71222.839227502875</v>
      </c>
      <c r="V120" s="7">
        <f t="shared" si="23"/>
        <v>71222.839227502875</v>
      </c>
      <c r="W120" s="7">
        <f t="shared" si="23"/>
        <v>71222.839227502875</v>
      </c>
      <c r="X120" s="7">
        <f t="shared" si="23"/>
        <v>71222.839227502875</v>
      </c>
      <c r="Y120" s="7">
        <f t="shared" si="23"/>
        <v>71222.839227502875</v>
      </c>
      <c r="Z120" s="7">
        <f t="shared" si="23"/>
        <v>68720.201940490588</v>
      </c>
      <c r="AA120" s="7">
        <f t="shared" si="23"/>
        <v>68720.201940490588</v>
      </c>
      <c r="AB120" s="7">
        <f t="shared" si="23"/>
        <v>68720.201940490588</v>
      </c>
      <c r="AC120" s="7">
        <f t="shared" si="23"/>
        <v>68720.201940490588</v>
      </c>
      <c r="AD120" s="7">
        <f t="shared" si="23"/>
        <v>68720.201940490588</v>
      </c>
      <c r="AE120" s="7">
        <f t="shared" si="23"/>
        <v>66028.923651944729</v>
      </c>
      <c r="AF120" s="7">
        <f t="shared" si="23"/>
        <v>66028.923651944729</v>
      </c>
      <c r="AG120" s="7">
        <f t="shared" si="23"/>
        <v>66028.923651944729</v>
      </c>
      <c r="AH120" s="7">
        <f t="shared" si="23"/>
        <v>66028.923651944729</v>
      </c>
      <c r="AI120" s="7">
        <f t="shared" si="23"/>
        <v>66028.923651944729</v>
      </c>
      <c r="AJ120" s="118">
        <f t="shared" si="23"/>
        <v>61881.108175800124</v>
      </c>
    </row>
    <row r="121" spans="8:36" x14ac:dyDescent="0.25">
      <c r="H121" s="83" t="s">
        <v>193</v>
      </c>
      <c r="I121" s="102">
        <f t="shared" si="24"/>
        <v>137917</v>
      </c>
      <c r="J121" s="13">
        <f t="shared" si="25"/>
        <v>137917</v>
      </c>
      <c r="K121" s="7">
        <f t="shared" si="22"/>
        <v>121170.67212028267</v>
      </c>
      <c r="L121" s="7">
        <f t="shared" si="23"/>
        <v>121170.67212028267</v>
      </c>
      <c r="M121" s="7">
        <f t="shared" si="23"/>
        <v>121170.67212028267</v>
      </c>
      <c r="N121" s="7">
        <f t="shared" si="23"/>
        <v>121170.67212028267</v>
      </c>
      <c r="O121" s="7">
        <f t="shared" si="23"/>
        <v>121170.67212028267</v>
      </c>
      <c r="P121" s="7">
        <f t="shared" si="23"/>
        <v>73873.668398054884</v>
      </c>
      <c r="Q121" s="7">
        <f t="shared" si="23"/>
        <v>73873.668398054884</v>
      </c>
      <c r="R121" s="7">
        <f t="shared" si="23"/>
        <v>73873.668398054884</v>
      </c>
      <c r="S121" s="7">
        <f t="shared" si="23"/>
        <v>73873.668398054884</v>
      </c>
      <c r="T121" s="7">
        <f t="shared" si="23"/>
        <v>73873.668398054884</v>
      </c>
      <c r="U121" s="7">
        <f t="shared" si="23"/>
        <v>66212.616649070216</v>
      </c>
      <c r="V121" s="7">
        <f t="shared" si="23"/>
        <v>66212.616649070216</v>
      </c>
      <c r="W121" s="7">
        <f t="shared" si="23"/>
        <v>66212.616649070216</v>
      </c>
      <c r="X121" s="7">
        <f t="shared" si="23"/>
        <v>66212.616649070216</v>
      </c>
      <c r="Y121" s="7">
        <f t="shared" si="23"/>
        <v>66212.616649070216</v>
      </c>
      <c r="Z121" s="7">
        <f t="shared" si="23"/>
        <v>63886.029207543099</v>
      </c>
      <c r="AA121" s="7">
        <f t="shared" si="23"/>
        <v>63886.029207543099</v>
      </c>
      <c r="AB121" s="7">
        <f t="shared" si="23"/>
        <v>63886.029207543099</v>
      </c>
      <c r="AC121" s="7">
        <f t="shared" si="23"/>
        <v>63886.029207543099</v>
      </c>
      <c r="AD121" s="7">
        <f t="shared" si="23"/>
        <v>63886.029207543099</v>
      </c>
      <c r="AE121" s="7">
        <f t="shared" si="23"/>
        <v>61384.07085333806</v>
      </c>
      <c r="AF121" s="7">
        <f t="shared" si="23"/>
        <v>61384.07085333806</v>
      </c>
      <c r="AG121" s="7">
        <f t="shared" si="23"/>
        <v>61384.07085333806</v>
      </c>
      <c r="AH121" s="7">
        <f t="shared" si="23"/>
        <v>61384.07085333806</v>
      </c>
      <c r="AI121" s="7">
        <f t="shared" si="23"/>
        <v>61384.07085333806</v>
      </c>
      <c r="AJ121" s="118">
        <f t="shared" si="23"/>
        <v>57528.036482456206</v>
      </c>
    </row>
    <row r="122" spans="8:36" x14ac:dyDescent="0.25">
      <c r="H122" s="83" t="s">
        <v>194</v>
      </c>
      <c r="I122" s="102">
        <f t="shared" si="24"/>
        <v>118690</v>
      </c>
      <c r="J122" s="13">
        <f t="shared" si="25"/>
        <v>118690</v>
      </c>
      <c r="K122" s="7">
        <f t="shared" si="22"/>
        <v>104278.27660082767</v>
      </c>
      <c r="L122" s="7">
        <f t="shared" si="23"/>
        <v>104278.27660082767</v>
      </c>
      <c r="M122" s="7">
        <f t="shared" si="23"/>
        <v>104278.27660082767</v>
      </c>
      <c r="N122" s="7">
        <f t="shared" si="23"/>
        <v>104278.27660082767</v>
      </c>
      <c r="O122" s="7">
        <f t="shared" si="23"/>
        <v>104278.27660082767</v>
      </c>
      <c r="P122" s="7">
        <f t="shared" si="23"/>
        <v>63574.94509136027</v>
      </c>
      <c r="Q122" s="7">
        <f t="shared" si="23"/>
        <v>63574.94509136027</v>
      </c>
      <c r="R122" s="7">
        <f t="shared" si="23"/>
        <v>63574.94509136027</v>
      </c>
      <c r="S122" s="7">
        <f t="shared" si="23"/>
        <v>63574.94509136027</v>
      </c>
      <c r="T122" s="7">
        <f t="shared" si="23"/>
        <v>63574.94509136027</v>
      </c>
      <c r="U122" s="7">
        <f t="shared" si="23"/>
        <v>56981.920068433508</v>
      </c>
      <c r="V122" s="7">
        <f t="shared" si="23"/>
        <v>56981.920068433508</v>
      </c>
      <c r="W122" s="7">
        <f t="shared" si="23"/>
        <v>56981.920068433508</v>
      </c>
      <c r="X122" s="7">
        <f t="shared" si="23"/>
        <v>56981.920068433508</v>
      </c>
      <c r="Y122" s="7">
        <f t="shared" si="23"/>
        <v>56981.920068433508</v>
      </c>
      <c r="Z122" s="7">
        <f t="shared" si="23"/>
        <v>54979.682030810487</v>
      </c>
      <c r="AA122" s="7">
        <f t="shared" si="23"/>
        <v>54979.682030810487</v>
      </c>
      <c r="AB122" s="7">
        <f t="shared" si="23"/>
        <v>54979.682030810487</v>
      </c>
      <c r="AC122" s="7">
        <f t="shared" si="23"/>
        <v>54979.682030810487</v>
      </c>
      <c r="AD122" s="7">
        <f t="shared" si="23"/>
        <v>54979.682030810487</v>
      </c>
      <c r="AE122" s="7">
        <f t="shared" si="23"/>
        <v>52826.521528040015</v>
      </c>
      <c r="AF122" s="7">
        <f t="shared" ref="L122:AJ132" si="27">$I122*AF$164</f>
        <v>52826.521528040015</v>
      </c>
      <c r="AG122" s="7">
        <f t="shared" si="27"/>
        <v>52826.521528040015</v>
      </c>
      <c r="AH122" s="7">
        <f t="shared" si="27"/>
        <v>52826.521528040015</v>
      </c>
      <c r="AI122" s="7">
        <f t="shared" si="27"/>
        <v>52826.521528040015</v>
      </c>
      <c r="AJ122" s="118">
        <f t="shared" si="27"/>
        <v>49508.056658009729</v>
      </c>
    </row>
    <row r="123" spans="8:36" x14ac:dyDescent="0.25">
      <c r="H123" s="83" t="s">
        <v>233</v>
      </c>
      <c r="I123" s="102">
        <f t="shared" si="24"/>
        <v>260072</v>
      </c>
      <c r="J123" s="13">
        <f t="shared" si="25"/>
        <v>260072</v>
      </c>
      <c r="K123" s="7">
        <f t="shared" si="22"/>
        <v>228493.21722243199</v>
      </c>
      <c r="L123" s="7">
        <f t="shared" si="27"/>
        <v>228493.21722243199</v>
      </c>
      <c r="M123" s="7">
        <f t="shared" si="27"/>
        <v>228493.21722243199</v>
      </c>
      <c r="N123" s="7">
        <f t="shared" si="27"/>
        <v>228493.21722243199</v>
      </c>
      <c r="O123" s="7">
        <f t="shared" si="27"/>
        <v>228493.21722243199</v>
      </c>
      <c r="P123" s="7">
        <f t="shared" si="27"/>
        <v>139304.60122841224</v>
      </c>
      <c r="Q123" s="7">
        <f t="shared" si="27"/>
        <v>139304.60122841224</v>
      </c>
      <c r="R123" s="7">
        <f t="shared" si="27"/>
        <v>139304.60122841224</v>
      </c>
      <c r="S123" s="7">
        <f t="shared" si="27"/>
        <v>139304.60122841224</v>
      </c>
      <c r="T123" s="7">
        <f t="shared" si="27"/>
        <v>139304.60122841224</v>
      </c>
      <c r="U123" s="7">
        <f t="shared" si="27"/>
        <v>124858.0496759427</v>
      </c>
      <c r="V123" s="7">
        <f t="shared" si="27"/>
        <v>124858.0496759427</v>
      </c>
      <c r="W123" s="7">
        <f t="shared" si="27"/>
        <v>124858.0496759427</v>
      </c>
      <c r="X123" s="7">
        <f t="shared" si="27"/>
        <v>124858.0496759427</v>
      </c>
      <c r="Y123" s="7">
        <f t="shared" si="27"/>
        <v>124858.0496759427</v>
      </c>
      <c r="Z123" s="7">
        <f t="shared" si="27"/>
        <v>120470.77146446159</v>
      </c>
      <c r="AA123" s="7">
        <f t="shared" si="27"/>
        <v>120470.77146446159</v>
      </c>
      <c r="AB123" s="7">
        <f t="shared" si="27"/>
        <v>120470.77146446159</v>
      </c>
      <c r="AC123" s="7">
        <f t="shared" si="27"/>
        <v>120470.77146446159</v>
      </c>
      <c r="AD123" s="7">
        <f t="shared" si="27"/>
        <v>120470.77146446159</v>
      </c>
      <c r="AE123" s="7">
        <f t="shared" si="27"/>
        <v>115752.79389030603</v>
      </c>
      <c r="AF123" s="7">
        <f t="shared" si="27"/>
        <v>115752.79389030603</v>
      </c>
      <c r="AG123" s="7">
        <f t="shared" si="27"/>
        <v>115752.79389030603</v>
      </c>
      <c r="AH123" s="7">
        <f t="shared" si="27"/>
        <v>115752.79389030603</v>
      </c>
      <c r="AI123" s="7">
        <f t="shared" si="27"/>
        <v>115752.79389030603</v>
      </c>
      <c r="AJ123" s="118">
        <f t="shared" si="27"/>
        <v>108481.41638859133</v>
      </c>
    </row>
    <row r="124" spans="8:36" x14ac:dyDescent="0.25">
      <c r="H124" s="83" t="s">
        <v>196</v>
      </c>
      <c r="I124" s="102">
        <f t="shared" si="24"/>
        <v>53436</v>
      </c>
      <c r="J124" s="13">
        <f t="shared" si="25"/>
        <v>53436</v>
      </c>
      <c r="K124" s="7">
        <f t="shared" si="22"/>
        <v>46947.628177957937</v>
      </c>
      <c r="L124" s="7">
        <f t="shared" si="27"/>
        <v>46947.628177957937</v>
      </c>
      <c r="M124" s="7">
        <f t="shared" si="27"/>
        <v>46947.628177957937</v>
      </c>
      <c r="N124" s="7">
        <f t="shared" si="27"/>
        <v>46947.628177957937</v>
      </c>
      <c r="O124" s="7">
        <f t="shared" si="27"/>
        <v>46947.628177957937</v>
      </c>
      <c r="P124" s="7">
        <f t="shared" si="27"/>
        <v>28622.384075338508</v>
      </c>
      <c r="Q124" s="7">
        <f t="shared" si="27"/>
        <v>28622.384075338508</v>
      </c>
      <c r="R124" s="7">
        <f t="shared" si="27"/>
        <v>28622.384075338508</v>
      </c>
      <c r="S124" s="7">
        <f t="shared" si="27"/>
        <v>28622.384075338508</v>
      </c>
      <c r="T124" s="7">
        <f t="shared" si="27"/>
        <v>28622.384075338508</v>
      </c>
      <c r="U124" s="7">
        <f t="shared" si="27"/>
        <v>25654.106333952423</v>
      </c>
      <c r="V124" s="7">
        <f t="shared" si="27"/>
        <v>25654.106333952423</v>
      </c>
      <c r="W124" s="7">
        <f t="shared" si="27"/>
        <v>25654.106333952423</v>
      </c>
      <c r="X124" s="7">
        <f t="shared" si="27"/>
        <v>25654.106333952423</v>
      </c>
      <c r="Y124" s="7">
        <f t="shared" si="27"/>
        <v>25654.106333952423</v>
      </c>
      <c r="Z124" s="7">
        <f t="shared" si="27"/>
        <v>24752.669045398849</v>
      </c>
      <c r="AA124" s="7">
        <f t="shared" si="27"/>
        <v>24752.669045398849</v>
      </c>
      <c r="AB124" s="7">
        <f t="shared" si="27"/>
        <v>24752.669045398849</v>
      </c>
      <c r="AC124" s="7">
        <f t="shared" si="27"/>
        <v>24752.669045398849</v>
      </c>
      <c r="AD124" s="7">
        <f t="shared" si="27"/>
        <v>24752.669045398849</v>
      </c>
      <c r="AE124" s="7">
        <f t="shared" si="27"/>
        <v>23783.284222532195</v>
      </c>
      <c r="AF124" s="7">
        <f t="shared" si="27"/>
        <v>23783.284222532195</v>
      </c>
      <c r="AG124" s="7">
        <f t="shared" si="27"/>
        <v>23783.284222532195</v>
      </c>
      <c r="AH124" s="7">
        <f t="shared" si="27"/>
        <v>23783.284222532195</v>
      </c>
      <c r="AI124" s="7">
        <f t="shared" si="27"/>
        <v>23783.284222532195</v>
      </c>
      <c r="AJ124" s="118">
        <f t="shared" si="27"/>
        <v>22289.262074120885</v>
      </c>
    </row>
    <row r="125" spans="8:36" x14ac:dyDescent="0.25">
      <c r="H125" s="83" t="s">
        <v>197</v>
      </c>
      <c r="I125" s="102">
        <f t="shared" si="24"/>
        <v>73641</v>
      </c>
      <c r="J125" s="13">
        <f t="shared" si="25"/>
        <v>73641</v>
      </c>
      <c r="K125" s="7">
        <f t="shared" si="22"/>
        <v>64699.271776573856</v>
      </c>
      <c r="L125" s="7">
        <f t="shared" si="27"/>
        <v>64699.271776573856</v>
      </c>
      <c r="M125" s="7">
        <f t="shared" si="27"/>
        <v>64699.271776573856</v>
      </c>
      <c r="N125" s="7">
        <f t="shared" si="27"/>
        <v>64699.271776573856</v>
      </c>
      <c r="O125" s="7">
        <f t="shared" si="27"/>
        <v>64699.271776573856</v>
      </c>
      <c r="P125" s="7">
        <f t="shared" si="27"/>
        <v>39444.961930009791</v>
      </c>
      <c r="Q125" s="7">
        <f t="shared" si="27"/>
        <v>39444.961930009791</v>
      </c>
      <c r="R125" s="7">
        <f t="shared" si="27"/>
        <v>39444.961930009791</v>
      </c>
      <c r="S125" s="7">
        <f t="shared" si="27"/>
        <v>39444.961930009791</v>
      </c>
      <c r="T125" s="7">
        <f t="shared" si="27"/>
        <v>39444.961930009791</v>
      </c>
      <c r="U125" s="7">
        <f t="shared" si="27"/>
        <v>35354.331247447233</v>
      </c>
      <c r="V125" s="7">
        <f t="shared" si="27"/>
        <v>35354.331247447233</v>
      </c>
      <c r="W125" s="7">
        <f t="shared" si="27"/>
        <v>35354.331247447233</v>
      </c>
      <c r="X125" s="7">
        <f t="shared" si="27"/>
        <v>35354.331247447233</v>
      </c>
      <c r="Y125" s="7">
        <f t="shared" si="27"/>
        <v>35354.331247447233</v>
      </c>
      <c r="Z125" s="7">
        <f t="shared" si="27"/>
        <v>34112.046208028609</v>
      </c>
      <c r="AA125" s="7">
        <f t="shared" si="27"/>
        <v>34112.046208028609</v>
      </c>
      <c r="AB125" s="7">
        <f t="shared" si="27"/>
        <v>34112.046208028609</v>
      </c>
      <c r="AC125" s="7">
        <f t="shared" si="27"/>
        <v>34112.046208028609</v>
      </c>
      <c r="AD125" s="7">
        <f t="shared" si="27"/>
        <v>34112.046208028609</v>
      </c>
      <c r="AE125" s="7">
        <f t="shared" si="27"/>
        <v>32776.121592774412</v>
      </c>
      <c r="AF125" s="7">
        <f t="shared" si="27"/>
        <v>32776.121592774412</v>
      </c>
      <c r="AG125" s="7">
        <f t="shared" si="27"/>
        <v>32776.121592774412</v>
      </c>
      <c r="AH125" s="7">
        <f t="shared" si="27"/>
        <v>32776.121592774412</v>
      </c>
      <c r="AI125" s="7">
        <f t="shared" si="27"/>
        <v>32776.121592774412</v>
      </c>
      <c r="AJ125" s="118">
        <f t="shared" si="27"/>
        <v>30717.185949553408</v>
      </c>
    </row>
    <row r="126" spans="8:36" x14ac:dyDescent="0.25">
      <c r="H126" s="83" t="s">
        <v>198</v>
      </c>
      <c r="I126" s="102">
        <f t="shared" si="24"/>
        <v>216989</v>
      </c>
      <c r="J126" s="13">
        <f t="shared" si="25"/>
        <v>216989</v>
      </c>
      <c r="K126" s="7">
        <f t="shared" si="22"/>
        <v>190641.49432418062</v>
      </c>
      <c r="L126" s="7">
        <f t="shared" si="27"/>
        <v>190641.49432418062</v>
      </c>
      <c r="M126" s="7">
        <f t="shared" si="27"/>
        <v>190641.49432418062</v>
      </c>
      <c r="N126" s="7">
        <f t="shared" si="27"/>
        <v>190641.49432418062</v>
      </c>
      <c r="O126" s="7">
        <f t="shared" si="27"/>
        <v>190641.49432418062</v>
      </c>
      <c r="P126" s="7">
        <f t="shared" si="27"/>
        <v>116227.68354898621</v>
      </c>
      <c r="Q126" s="7">
        <f t="shared" si="27"/>
        <v>116227.68354898621</v>
      </c>
      <c r="R126" s="7">
        <f t="shared" si="27"/>
        <v>116227.68354898621</v>
      </c>
      <c r="S126" s="7">
        <f t="shared" si="27"/>
        <v>116227.68354898621</v>
      </c>
      <c r="T126" s="7">
        <f t="shared" si="27"/>
        <v>116227.68354898621</v>
      </c>
      <c r="U126" s="7">
        <f t="shared" si="27"/>
        <v>104174.31842387159</v>
      </c>
      <c r="V126" s="7">
        <f t="shared" si="27"/>
        <v>104174.31842387159</v>
      </c>
      <c r="W126" s="7">
        <f t="shared" si="27"/>
        <v>104174.31842387159</v>
      </c>
      <c r="X126" s="7">
        <f t="shared" si="27"/>
        <v>104174.31842387159</v>
      </c>
      <c r="Y126" s="7">
        <f t="shared" si="27"/>
        <v>104174.31842387159</v>
      </c>
      <c r="Z126" s="7">
        <f t="shared" si="27"/>
        <v>100513.82782191876</v>
      </c>
      <c r="AA126" s="7">
        <f t="shared" si="27"/>
        <v>100513.82782191876</v>
      </c>
      <c r="AB126" s="7">
        <f t="shared" si="27"/>
        <v>100513.82782191876</v>
      </c>
      <c r="AC126" s="7">
        <f t="shared" si="27"/>
        <v>100513.82782191876</v>
      </c>
      <c r="AD126" s="7">
        <f t="shared" si="27"/>
        <v>100513.82782191876</v>
      </c>
      <c r="AE126" s="7">
        <f t="shared" si="27"/>
        <v>96577.420842934313</v>
      </c>
      <c r="AF126" s="7">
        <f t="shared" si="27"/>
        <v>96577.420842934313</v>
      </c>
      <c r="AG126" s="7">
        <f t="shared" si="27"/>
        <v>96577.420842934313</v>
      </c>
      <c r="AH126" s="7">
        <f t="shared" si="27"/>
        <v>96577.420842934313</v>
      </c>
      <c r="AI126" s="7">
        <f t="shared" si="27"/>
        <v>96577.420842934313</v>
      </c>
      <c r="AJ126" s="118">
        <f t="shared" si="27"/>
        <v>90510.604989172396</v>
      </c>
    </row>
    <row r="127" spans="8:36" x14ac:dyDescent="0.25">
      <c r="H127" s="83" t="s">
        <v>195</v>
      </c>
      <c r="I127" s="102">
        <f t="shared" si="24"/>
        <v>96608</v>
      </c>
      <c r="J127" s="13">
        <f t="shared" si="25"/>
        <v>96608</v>
      </c>
      <c r="K127" s="7">
        <f t="shared" si="22"/>
        <v>84877.544408566522</v>
      </c>
      <c r="L127" s="7">
        <f t="shared" si="27"/>
        <v>84877.544408566522</v>
      </c>
      <c r="M127" s="7">
        <f t="shared" si="27"/>
        <v>84877.544408566522</v>
      </c>
      <c r="N127" s="7">
        <f t="shared" si="27"/>
        <v>84877.544408566522</v>
      </c>
      <c r="O127" s="7">
        <f t="shared" si="27"/>
        <v>84877.544408566522</v>
      </c>
      <c r="P127" s="7">
        <f t="shared" si="27"/>
        <v>51746.973589907604</v>
      </c>
      <c r="Q127" s="7">
        <f t="shared" si="27"/>
        <v>51746.973589907604</v>
      </c>
      <c r="R127" s="7">
        <f t="shared" si="27"/>
        <v>51746.973589907604</v>
      </c>
      <c r="S127" s="7">
        <f t="shared" si="27"/>
        <v>51746.973589907604</v>
      </c>
      <c r="T127" s="7">
        <f t="shared" si="27"/>
        <v>51746.973589907604</v>
      </c>
      <c r="U127" s="7">
        <f t="shared" si="27"/>
        <v>46380.565624494266</v>
      </c>
      <c r="V127" s="7">
        <f t="shared" si="27"/>
        <v>46380.565624494266</v>
      </c>
      <c r="W127" s="7">
        <f t="shared" si="27"/>
        <v>46380.565624494266</v>
      </c>
      <c r="X127" s="7">
        <f t="shared" si="27"/>
        <v>46380.565624494266</v>
      </c>
      <c r="Y127" s="7">
        <f t="shared" si="27"/>
        <v>46380.565624494266</v>
      </c>
      <c r="Z127" s="7">
        <f t="shared" si="27"/>
        <v>44750.839343100008</v>
      </c>
      <c r="AA127" s="7">
        <f t="shared" si="27"/>
        <v>44750.839343100008</v>
      </c>
      <c r="AB127" s="7">
        <f t="shared" si="27"/>
        <v>44750.839343100008</v>
      </c>
      <c r="AC127" s="7">
        <f t="shared" si="27"/>
        <v>44750.839343100008</v>
      </c>
      <c r="AD127" s="7">
        <f t="shared" si="27"/>
        <v>44750.839343100008</v>
      </c>
      <c r="AE127" s="7">
        <f t="shared" si="27"/>
        <v>42998.269372153423</v>
      </c>
      <c r="AF127" s="7">
        <f t="shared" si="27"/>
        <v>42998.269372153423</v>
      </c>
      <c r="AG127" s="7">
        <f t="shared" si="27"/>
        <v>42998.269372153423</v>
      </c>
      <c r="AH127" s="7">
        <f t="shared" si="27"/>
        <v>42998.269372153423</v>
      </c>
      <c r="AI127" s="7">
        <f t="shared" si="27"/>
        <v>42998.269372153423</v>
      </c>
      <c r="AJ127" s="118">
        <f t="shared" si="27"/>
        <v>40297.197216420958</v>
      </c>
    </row>
    <row r="128" spans="8:36" x14ac:dyDescent="0.25">
      <c r="H128" s="83" t="s">
        <v>199</v>
      </c>
      <c r="I128" s="102">
        <f t="shared" si="24"/>
        <v>106113</v>
      </c>
      <c r="J128" s="13">
        <f t="shared" si="25"/>
        <v>106113</v>
      </c>
      <c r="K128" s="7">
        <f t="shared" si="22"/>
        <v>93228.416588959706</v>
      </c>
      <c r="L128" s="7">
        <f t="shared" si="27"/>
        <v>93228.416588959706</v>
      </c>
      <c r="M128" s="7">
        <f t="shared" si="27"/>
        <v>93228.416588959706</v>
      </c>
      <c r="N128" s="7">
        <f t="shared" si="27"/>
        <v>93228.416588959706</v>
      </c>
      <c r="O128" s="7">
        <f t="shared" si="27"/>
        <v>93228.416588959706</v>
      </c>
      <c r="P128" s="7">
        <f t="shared" si="27"/>
        <v>56838.21845546813</v>
      </c>
      <c r="Q128" s="7">
        <f t="shared" si="27"/>
        <v>56838.21845546813</v>
      </c>
      <c r="R128" s="7">
        <f t="shared" si="27"/>
        <v>56838.21845546813</v>
      </c>
      <c r="S128" s="7">
        <f t="shared" si="27"/>
        <v>56838.21845546813</v>
      </c>
      <c r="T128" s="7">
        <f t="shared" si="27"/>
        <v>56838.21845546813</v>
      </c>
      <c r="U128" s="7">
        <f t="shared" si="27"/>
        <v>50943.824115103926</v>
      </c>
      <c r="V128" s="7">
        <f t="shared" si="27"/>
        <v>50943.824115103926</v>
      </c>
      <c r="W128" s="7">
        <f t="shared" si="27"/>
        <v>50943.824115103926</v>
      </c>
      <c r="X128" s="7">
        <f t="shared" si="27"/>
        <v>50943.824115103926</v>
      </c>
      <c r="Y128" s="7">
        <f t="shared" si="27"/>
        <v>50943.824115103926</v>
      </c>
      <c r="Z128" s="7">
        <f t="shared" si="27"/>
        <v>49153.753469840703</v>
      </c>
      <c r="AA128" s="7">
        <f t="shared" si="27"/>
        <v>49153.753469840703</v>
      </c>
      <c r="AB128" s="7">
        <f t="shared" si="27"/>
        <v>49153.753469840703</v>
      </c>
      <c r="AC128" s="7">
        <f t="shared" si="27"/>
        <v>49153.753469840703</v>
      </c>
      <c r="AD128" s="7">
        <f t="shared" si="27"/>
        <v>49153.753469840703</v>
      </c>
      <c r="AE128" s="7">
        <f t="shared" si="27"/>
        <v>47228.752876442079</v>
      </c>
      <c r="AF128" s="7">
        <f t="shared" si="27"/>
        <v>47228.752876442079</v>
      </c>
      <c r="AG128" s="7">
        <f t="shared" si="27"/>
        <v>47228.752876442079</v>
      </c>
      <c r="AH128" s="7">
        <f t="shared" si="27"/>
        <v>47228.752876442079</v>
      </c>
      <c r="AI128" s="7">
        <f t="shared" si="27"/>
        <v>47228.752876442079</v>
      </c>
      <c r="AJ128" s="118">
        <f t="shared" si="27"/>
        <v>44261.929531985726</v>
      </c>
    </row>
    <row r="129" spans="8:36" x14ac:dyDescent="0.25">
      <c r="H129" s="83" t="s">
        <v>157</v>
      </c>
      <c r="I129" s="102">
        <f t="shared" si="24"/>
        <v>261397</v>
      </c>
      <c r="J129" s="13">
        <f t="shared" si="25"/>
        <v>261397</v>
      </c>
      <c r="K129" s="7">
        <f t="shared" si="22"/>
        <v>229657.33144010912</v>
      </c>
      <c r="L129" s="7">
        <f t="shared" si="27"/>
        <v>229657.33144010912</v>
      </c>
      <c r="M129" s="7">
        <f t="shared" si="27"/>
        <v>229657.33144010912</v>
      </c>
      <c r="N129" s="7">
        <f t="shared" si="27"/>
        <v>229657.33144010912</v>
      </c>
      <c r="O129" s="7">
        <f t="shared" si="27"/>
        <v>229657.33144010912</v>
      </c>
      <c r="P129" s="7">
        <f t="shared" si="27"/>
        <v>140014.32236958717</v>
      </c>
      <c r="Q129" s="7">
        <f t="shared" si="27"/>
        <v>140014.32236958717</v>
      </c>
      <c r="R129" s="7">
        <f t="shared" si="27"/>
        <v>140014.32236958717</v>
      </c>
      <c r="S129" s="7">
        <f t="shared" si="27"/>
        <v>140014.32236958717</v>
      </c>
      <c r="T129" s="7">
        <f t="shared" si="27"/>
        <v>140014.32236958717</v>
      </c>
      <c r="U129" s="7">
        <f t="shared" si="27"/>
        <v>125494.16934980465</v>
      </c>
      <c r="V129" s="7">
        <f t="shared" si="27"/>
        <v>125494.16934980465</v>
      </c>
      <c r="W129" s="7">
        <f t="shared" si="27"/>
        <v>125494.16934980465</v>
      </c>
      <c r="X129" s="7">
        <f t="shared" si="27"/>
        <v>125494.16934980465</v>
      </c>
      <c r="Y129" s="7">
        <f t="shared" si="27"/>
        <v>125494.16934980465</v>
      </c>
      <c r="Z129" s="7">
        <f t="shared" si="27"/>
        <v>121084.53908339178</v>
      </c>
      <c r="AA129" s="7">
        <f t="shared" si="27"/>
        <v>121084.53908339178</v>
      </c>
      <c r="AB129" s="7">
        <f t="shared" si="27"/>
        <v>121084.53908339178</v>
      </c>
      <c r="AC129" s="7">
        <f t="shared" si="27"/>
        <v>121084.53908339178</v>
      </c>
      <c r="AD129" s="7">
        <f t="shared" si="27"/>
        <v>121084.53908339178</v>
      </c>
      <c r="AE129" s="7">
        <f t="shared" si="27"/>
        <v>116342.52462604326</v>
      </c>
      <c r="AF129" s="7">
        <f t="shared" si="27"/>
        <v>116342.52462604326</v>
      </c>
      <c r="AG129" s="7">
        <f t="shared" si="27"/>
        <v>116342.52462604326</v>
      </c>
      <c r="AH129" s="7">
        <f t="shared" si="27"/>
        <v>116342.52462604326</v>
      </c>
      <c r="AI129" s="7">
        <f t="shared" si="27"/>
        <v>116342.52462604326</v>
      </c>
      <c r="AJ129" s="118">
        <f t="shared" si="27"/>
        <v>109034.10132474318</v>
      </c>
    </row>
    <row r="130" spans="8:36" x14ac:dyDescent="0.25">
      <c r="H130" s="83" t="s">
        <v>200</v>
      </c>
      <c r="I130" s="102">
        <f t="shared" si="24"/>
        <v>139578</v>
      </c>
      <c r="J130" s="13">
        <f t="shared" si="25"/>
        <v>139578</v>
      </c>
      <c r="K130" s="7">
        <f t="shared" si="22"/>
        <v>122629.98813202734</v>
      </c>
      <c r="L130" s="7">
        <f t="shared" si="27"/>
        <v>122629.98813202734</v>
      </c>
      <c r="M130" s="7">
        <f t="shared" si="27"/>
        <v>122629.98813202734</v>
      </c>
      <c r="N130" s="7">
        <f t="shared" si="27"/>
        <v>122629.98813202734</v>
      </c>
      <c r="O130" s="7">
        <f t="shared" si="27"/>
        <v>122629.98813202734</v>
      </c>
      <c r="P130" s="7">
        <f t="shared" si="27"/>
        <v>74763.36410785983</v>
      </c>
      <c r="Q130" s="7">
        <f t="shared" si="27"/>
        <v>74763.36410785983</v>
      </c>
      <c r="R130" s="7">
        <f t="shared" si="27"/>
        <v>74763.36410785983</v>
      </c>
      <c r="S130" s="7">
        <f t="shared" si="27"/>
        <v>74763.36410785983</v>
      </c>
      <c r="T130" s="7">
        <f t="shared" si="27"/>
        <v>74763.36410785983</v>
      </c>
      <c r="U130" s="7">
        <f t="shared" si="27"/>
        <v>67010.046670417156</v>
      </c>
      <c r="V130" s="7">
        <f t="shared" si="27"/>
        <v>67010.046670417156</v>
      </c>
      <c r="W130" s="7">
        <f t="shared" si="27"/>
        <v>67010.046670417156</v>
      </c>
      <c r="X130" s="7">
        <f t="shared" si="27"/>
        <v>67010.046670417156</v>
      </c>
      <c r="Y130" s="7">
        <f t="shared" si="27"/>
        <v>67010.046670417156</v>
      </c>
      <c r="Z130" s="7">
        <f t="shared" si="27"/>
        <v>64655.439030217087</v>
      </c>
      <c r="AA130" s="7">
        <f t="shared" si="27"/>
        <v>64655.439030217087</v>
      </c>
      <c r="AB130" s="7">
        <f t="shared" si="27"/>
        <v>64655.439030217087</v>
      </c>
      <c r="AC130" s="7">
        <f t="shared" si="27"/>
        <v>64655.439030217087</v>
      </c>
      <c r="AD130" s="7">
        <f t="shared" si="27"/>
        <v>64655.439030217087</v>
      </c>
      <c r="AE130" s="7">
        <f t="shared" si="27"/>
        <v>62123.348402062256</v>
      </c>
      <c r="AF130" s="7">
        <f t="shared" si="27"/>
        <v>62123.348402062256</v>
      </c>
      <c r="AG130" s="7">
        <f t="shared" si="27"/>
        <v>62123.348402062256</v>
      </c>
      <c r="AH130" s="7">
        <f t="shared" si="27"/>
        <v>62123.348402062256</v>
      </c>
      <c r="AI130" s="7">
        <f t="shared" si="27"/>
        <v>62123.348402062256</v>
      </c>
      <c r="AJ130" s="118">
        <f t="shared" si="27"/>
        <v>58220.873976002033</v>
      </c>
    </row>
    <row r="131" spans="8:36" x14ac:dyDescent="0.25">
      <c r="H131" s="83" t="s">
        <v>203</v>
      </c>
      <c r="I131" s="102">
        <f t="shared" si="24"/>
        <v>54479</v>
      </c>
      <c r="J131" s="13">
        <f t="shared" si="25"/>
        <v>54479</v>
      </c>
      <c r="K131" s="7">
        <f t="shared" si="22"/>
        <v>47863.983747042636</v>
      </c>
      <c r="L131" s="7">
        <f t="shared" si="27"/>
        <v>47863.983747042636</v>
      </c>
      <c r="M131" s="7">
        <f t="shared" si="27"/>
        <v>47863.983747042636</v>
      </c>
      <c r="N131" s="7">
        <f t="shared" si="27"/>
        <v>47863.983747042636</v>
      </c>
      <c r="O131" s="7">
        <f t="shared" si="27"/>
        <v>47863.983747042636</v>
      </c>
      <c r="P131" s="7">
        <f t="shared" si="27"/>
        <v>29181.055132127527</v>
      </c>
      <c r="Q131" s="7">
        <f t="shared" si="27"/>
        <v>29181.055132127527</v>
      </c>
      <c r="R131" s="7">
        <f t="shared" si="27"/>
        <v>29181.055132127527</v>
      </c>
      <c r="S131" s="7">
        <f t="shared" si="27"/>
        <v>29181.055132127527</v>
      </c>
      <c r="T131" s="7">
        <f t="shared" si="27"/>
        <v>29181.055132127527</v>
      </c>
      <c r="U131" s="7">
        <f t="shared" si="27"/>
        <v>26154.840537603748</v>
      </c>
      <c r="V131" s="7">
        <f t="shared" si="27"/>
        <v>26154.840537603748</v>
      </c>
      <c r="W131" s="7">
        <f t="shared" si="27"/>
        <v>26154.840537603748</v>
      </c>
      <c r="X131" s="7">
        <f t="shared" si="27"/>
        <v>26154.840537603748</v>
      </c>
      <c r="Y131" s="7">
        <f t="shared" si="27"/>
        <v>26154.840537603748</v>
      </c>
      <c r="Z131" s="7">
        <f t="shared" si="27"/>
        <v>25235.808386186913</v>
      </c>
      <c r="AA131" s="7">
        <f t="shared" si="27"/>
        <v>25235.808386186913</v>
      </c>
      <c r="AB131" s="7">
        <f t="shared" si="27"/>
        <v>25235.808386186913</v>
      </c>
      <c r="AC131" s="7">
        <f t="shared" si="27"/>
        <v>25235.808386186913</v>
      </c>
      <c r="AD131" s="7">
        <f t="shared" si="27"/>
        <v>25235.808386186913</v>
      </c>
      <c r="AE131" s="7">
        <f t="shared" si="27"/>
        <v>24247.502454512527</v>
      </c>
      <c r="AF131" s="7">
        <f t="shared" si="27"/>
        <v>24247.502454512527</v>
      </c>
      <c r="AG131" s="7">
        <f t="shared" si="27"/>
        <v>24247.502454512527</v>
      </c>
      <c r="AH131" s="7">
        <f t="shared" si="27"/>
        <v>24247.502454512527</v>
      </c>
      <c r="AI131" s="7">
        <f t="shared" si="27"/>
        <v>24247.502454512527</v>
      </c>
      <c r="AJ131" s="118">
        <f t="shared" si="27"/>
        <v>22724.318971031356</v>
      </c>
    </row>
    <row r="132" spans="8:36" x14ac:dyDescent="0.25">
      <c r="H132" s="83" t="s">
        <v>202</v>
      </c>
      <c r="I132" s="102">
        <f t="shared" si="24"/>
        <v>83345</v>
      </c>
      <c r="J132" s="13">
        <f t="shared" si="25"/>
        <v>83345</v>
      </c>
      <c r="K132" s="7">
        <f t="shared" si="22"/>
        <v>73224.980733810618</v>
      </c>
      <c r="L132" s="7">
        <f t="shared" si="27"/>
        <v>73224.980733810618</v>
      </c>
      <c r="M132" s="7">
        <f t="shared" si="27"/>
        <v>73224.980733810618</v>
      </c>
      <c r="N132" s="7">
        <f t="shared" si="27"/>
        <v>73224.980733810618</v>
      </c>
      <c r="O132" s="7">
        <f t="shared" si="27"/>
        <v>73224.980733810618</v>
      </c>
      <c r="P132" s="7">
        <f t="shared" si="27"/>
        <v>44642.798876395835</v>
      </c>
      <c r="Q132" s="7">
        <f t="shared" si="27"/>
        <v>44642.798876395835</v>
      </c>
      <c r="R132" s="7">
        <f t="shared" si="27"/>
        <v>44642.798876395835</v>
      </c>
      <c r="S132" s="7">
        <f t="shared" si="27"/>
        <v>44642.798876395835</v>
      </c>
      <c r="T132" s="7">
        <f t="shared" si="27"/>
        <v>44642.798876395835</v>
      </c>
      <c r="U132" s="7">
        <f t="shared" si="27"/>
        <v>40013.127711716159</v>
      </c>
      <c r="V132" s="7">
        <f t="shared" si="27"/>
        <v>40013.127711716159</v>
      </c>
      <c r="W132" s="7">
        <f t="shared" si="27"/>
        <v>40013.127711716159</v>
      </c>
      <c r="X132" s="7">
        <f t="shared" si="27"/>
        <v>40013.127711716159</v>
      </c>
      <c r="Y132" s="7">
        <f t="shared" si="27"/>
        <v>40013.127711716159</v>
      </c>
      <c r="Z132" s="7">
        <f t="shared" si="27"/>
        <v>38607.141282819954</v>
      </c>
      <c r="AA132" s="7">
        <f t="shared" si="27"/>
        <v>38607.141282819954</v>
      </c>
      <c r="AB132" s="7">
        <f t="shared" si="27"/>
        <v>38607.141282819954</v>
      </c>
      <c r="AC132" s="7">
        <f t="shared" si="27"/>
        <v>38607.141282819954</v>
      </c>
      <c r="AD132" s="7">
        <f t="shared" si="27"/>
        <v>38607.141282819954</v>
      </c>
      <c r="AE132" s="7">
        <f t="shared" si="27"/>
        <v>37095.175977373787</v>
      </c>
      <c r="AF132" s="7">
        <f t="shared" si="27"/>
        <v>37095.175977373787</v>
      </c>
      <c r="AG132" s="7">
        <f t="shared" si="27"/>
        <v>37095.175977373787</v>
      </c>
      <c r="AH132" s="7">
        <f t="shared" si="27"/>
        <v>37095.175977373787</v>
      </c>
      <c r="AI132" s="7">
        <f t="shared" si="27"/>
        <v>37095.175977373787</v>
      </c>
      <c r="AJ132" s="118">
        <f t="shared" si="27"/>
        <v>34764.925285717589</v>
      </c>
    </row>
    <row r="133" spans="8:36" x14ac:dyDescent="0.25">
      <c r="H133" s="83" t="s">
        <v>201</v>
      </c>
      <c r="I133" s="102">
        <f t="shared" si="24"/>
        <v>125531</v>
      </c>
      <c r="J133" s="13">
        <f t="shared" si="25"/>
        <v>125531</v>
      </c>
      <c r="K133" s="7">
        <f t="shared" si="22"/>
        <v>110288.62027111382</v>
      </c>
      <c r="L133" s="7">
        <f t="shared" ref="L133:AJ143" si="28">$I133*L$164</f>
        <v>110288.62027111382</v>
      </c>
      <c r="M133" s="7">
        <f t="shared" si="28"/>
        <v>110288.62027111382</v>
      </c>
      <c r="N133" s="7">
        <f t="shared" si="28"/>
        <v>110288.62027111382</v>
      </c>
      <c r="O133" s="7">
        <f t="shared" si="28"/>
        <v>110288.62027111382</v>
      </c>
      <c r="P133" s="7">
        <f t="shared" si="28"/>
        <v>67239.24873421136</v>
      </c>
      <c r="Q133" s="7">
        <f t="shared" si="28"/>
        <v>67239.24873421136</v>
      </c>
      <c r="R133" s="7">
        <f t="shared" si="28"/>
        <v>67239.24873421136</v>
      </c>
      <c r="S133" s="7">
        <f t="shared" si="28"/>
        <v>67239.24873421136</v>
      </c>
      <c r="T133" s="7">
        <f t="shared" si="28"/>
        <v>67239.24873421136</v>
      </c>
      <c r="U133" s="7">
        <f t="shared" si="28"/>
        <v>60266.217946840734</v>
      </c>
      <c r="V133" s="7">
        <f t="shared" si="28"/>
        <v>60266.217946840734</v>
      </c>
      <c r="W133" s="7">
        <f t="shared" si="28"/>
        <v>60266.217946840734</v>
      </c>
      <c r="X133" s="7">
        <f t="shared" si="28"/>
        <v>60266.217946840734</v>
      </c>
      <c r="Y133" s="7">
        <f t="shared" si="28"/>
        <v>60266.217946840734</v>
      </c>
      <c r="Z133" s="7">
        <f t="shared" si="28"/>
        <v>58148.575827868153</v>
      </c>
      <c r="AA133" s="7">
        <f t="shared" si="28"/>
        <v>58148.575827868153</v>
      </c>
      <c r="AB133" s="7">
        <f t="shared" si="28"/>
        <v>58148.575827868153</v>
      </c>
      <c r="AC133" s="7">
        <f t="shared" si="28"/>
        <v>58148.575827868153</v>
      </c>
      <c r="AD133" s="7">
        <f t="shared" si="28"/>
        <v>58148.575827868153</v>
      </c>
      <c r="AE133" s="7">
        <f t="shared" si="28"/>
        <v>55871.312443646399</v>
      </c>
      <c r="AF133" s="7">
        <f t="shared" si="28"/>
        <v>55871.312443646399</v>
      </c>
      <c r="AG133" s="7">
        <f t="shared" si="28"/>
        <v>55871.312443646399</v>
      </c>
      <c r="AH133" s="7">
        <f t="shared" si="28"/>
        <v>55871.312443646399</v>
      </c>
      <c r="AI133" s="7">
        <f t="shared" si="28"/>
        <v>55871.312443646399</v>
      </c>
      <c r="AJ133" s="118">
        <f t="shared" si="28"/>
        <v>52361.579411379382</v>
      </c>
    </row>
    <row r="134" spans="8:36" x14ac:dyDescent="0.25">
      <c r="H134" s="83" t="s">
        <v>204</v>
      </c>
      <c r="I134" s="102">
        <f t="shared" si="24"/>
        <v>140072</v>
      </c>
      <c r="J134" s="13">
        <f t="shared" si="25"/>
        <v>140072</v>
      </c>
      <c r="K134" s="7">
        <f t="shared" si="22"/>
        <v>123064.00505544808</v>
      </c>
      <c r="L134" s="7">
        <f t="shared" si="28"/>
        <v>123064.00505544808</v>
      </c>
      <c r="M134" s="7">
        <f t="shared" si="28"/>
        <v>123064.00505544808</v>
      </c>
      <c r="N134" s="7">
        <f t="shared" si="28"/>
        <v>123064.00505544808</v>
      </c>
      <c r="O134" s="7">
        <f t="shared" si="28"/>
        <v>123064.00505544808</v>
      </c>
      <c r="P134" s="7">
        <f t="shared" si="28"/>
        <v>75027.96957483374</v>
      </c>
      <c r="Q134" s="7">
        <f t="shared" si="28"/>
        <v>75027.96957483374</v>
      </c>
      <c r="R134" s="7">
        <f t="shared" si="28"/>
        <v>75027.96957483374</v>
      </c>
      <c r="S134" s="7">
        <f t="shared" si="28"/>
        <v>75027.96957483374</v>
      </c>
      <c r="T134" s="7">
        <f t="shared" si="28"/>
        <v>75027.96957483374</v>
      </c>
      <c r="U134" s="7">
        <f t="shared" si="28"/>
        <v>67247.211288445687</v>
      </c>
      <c r="V134" s="7">
        <f t="shared" si="28"/>
        <v>67247.211288445687</v>
      </c>
      <c r="W134" s="7">
        <f t="shared" si="28"/>
        <v>67247.211288445687</v>
      </c>
      <c r="X134" s="7">
        <f t="shared" si="28"/>
        <v>67247.211288445687</v>
      </c>
      <c r="Y134" s="7">
        <f t="shared" si="28"/>
        <v>67247.211288445687</v>
      </c>
      <c r="Z134" s="7">
        <f t="shared" si="28"/>
        <v>64884.270127388045</v>
      </c>
      <c r="AA134" s="7">
        <f t="shared" si="28"/>
        <v>64884.270127388045</v>
      </c>
      <c r="AB134" s="7">
        <f t="shared" si="28"/>
        <v>64884.270127388045</v>
      </c>
      <c r="AC134" s="7">
        <f t="shared" si="28"/>
        <v>64884.270127388045</v>
      </c>
      <c r="AD134" s="7">
        <f t="shared" si="28"/>
        <v>64884.270127388045</v>
      </c>
      <c r="AE134" s="7">
        <f t="shared" si="28"/>
        <v>62343.217823537118</v>
      </c>
      <c r="AF134" s="7">
        <f t="shared" si="28"/>
        <v>62343.217823537118</v>
      </c>
      <c r="AG134" s="7">
        <f t="shared" si="28"/>
        <v>62343.217823537118</v>
      </c>
      <c r="AH134" s="7">
        <f t="shared" si="28"/>
        <v>62343.217823537118</v>
      </c>
      <c r="AI134" s="7">
        <f t="shared" si="28"/>
        <v>62343.217823537118</v>
      </c>
      <c r="AJ134" s="118">
        <f t="shared" si="28"/>
        <v>58426.931605027705</v>
      </c>
    </row>
    <row r="135" spans="8:36" x14ac:dyDescent="0.25">
      <c r="H135" s="83" t="s">
        <v>205</v>
      </c>
      <c r="I135" s="102">
        <f t="shared" si="24"/>
        <v>114494</v>
      </c>
      <c r="J135" s="13">
        <f t="shared" si="25"/>
        <v>114494</v>
      </c>
      <c r="K135" s="7">
        <f t="shared" si="22"/>
        <v>100591.76848205547</v>
      </c>
      <c r="L135" s="7">
        <f t="shared" si="28"/>
        <v>100591.76848205547</v>
      </c>
      <c r="M135" s="7">
        <f t="shared" si="28"/>
        <v>100591.76848205547</v>
      </c>
      <c r="N135" s="7">
        <f t="shared" si="28"/>
        <v>100591.76848205547</v>
      </c>
      <c r="O135" s="7">
        <f t="shared" si="28"/>
        <v>100591.76848205547</v>
      </c>
      <c r="P135" s="7">
        <f t="shared" si="28"/>
        <v>61327.405537873477</v>
      </c>
      <c r="Q135" s="7">
        <f t="shared" si="28"/>
        <v>61327.405537873477</v>
      </c>
      <c r="R135" s="7">
        <f t="shared" si="28"/>
        <v>61327.405537873477</v>
      </c>
      <c r="S135" s="7">
        <f t="shared" si="28"/>
        <v>61327.405537873477</v>
      </c>
      <c r="T135" s="7">
        <f t="shared" si="28"/>
        <v>61327.405537873477</v>
      </c>
      <c r="U135" s="7">
        <f t="shared" si="28"/>
        <v>54967.461086150695</v>
      </c>
      <c r="V135" s="7">
        <f t="shared" si="28"/>
        <v>54967.461086150695</v>
      </c>
      <c r="W135" s="7">
        <f t="shared" si="28"/>
        <v>54967.461086150695</v>
      </c>
      <c r="X135" s="7">
        <f t="shared" si="28"/>
        <v>54967.461086150695</v>
      </c>
      <c r="Y135" s="7">
        <f t="shared" si="28"/>
        <v>54967.461086150695</v>
      </c>
      <c r="Z135" s="7">
        <f t="shared" si="28"/>
        <v>53036.007367390819</v>
      </c>
      <c r="AA135" s="7">
        <f t="shared" si="28"/>
        <v>53036.007367390819</v>
      </c>
      <c r="AB135" s="7">
        <f t="shared" si="28"/>
        <v>53036.007367390819</v>
      </c>
      <c r="AC135" s="7">
        <f t="shared" si="28"/>
        <v>53036.007367390819</v>
      </c>
      <c r="AD135" s="7">
        <f t="shared" si="28"/>
        <v>53036.007367390819</v>
      </c>
      <c r="AE135" s="7">
        <f t="shared" si="28"/>
        <v>50958.966684905325</v>
      </c>
      <c r="AF135" s="7">
        <f t="shared" si="28"/>
        <v>50958.966684905325</v>
      </c>
      <c r="AG135" s="7">
        <f t="shared" si="28"/>
        <v>50958.966684905325</v>
      </c>
      <c r="AH135" s="7">
        <f t="shared" si="28"/>
        <v>50958.966684905325</v>
      </c>
      <c r="AI135" s="7">
        <f t="shared" si="28"/>
        <v>50958.966684905325</v>
      </c>
      <c r="AJ135" s="118">
        <f t="shared" si="28"/>
        <v>47757.81817341112</v>
      </c>
    </row>
    <row r="136" spans="8:36" x14ac:dyDescent="0.25">
      <c r="H136" s="83" t="s">
        <v>207</v>
      </c>
      <c r="I136" s="102">
        <f t="shared" si="24"/>
        <v>140882</v>
      </c>
      <c r="J136" s="13">
        <f t="shared" si="25"/>
        <v>140882</v>
      </c>
      <c r="K136" s="7">
        <f t="shared" si="22"/>
        <v>123775.65223757522</v>
      </c>
      <c r="L136" s="7">
        <f t="shared" si="28"/>
        <v>123775.65223757522</v>
      </c>
      <c r="M136" s="7">
        <f t="shared" si="28"/>
        <v>123775.65223757522</v>
      </c>
      <c r="N136" s="7">
        <f t="shared" si="28"/>
        <v>123775.65223757522</v>
      </c>
      <c r="O136" s="7">
        <f t="shared" si="28"/>
        <v>123775.65223757522</v>
      </c>
      <c r="P136" s="7">
        <f t="shared" si="28"/>
        <v>75461.836838495394</v>
      </c>
      <c r="Q136" s="7">
        <f t="shared" si="28"/>
        <v>75461.836838495394</v>
      </c>
      <c r="R136" s="7">
        <f t="shared" si="28"/>
        <v>75461.836838495394</v>
      </c>
      <c r="S136" s="7">
        <f t="shared" si="28"/>
        <v>75461.836838495394</v>
      </c>
      <c r="T136" s="7">
        <f t="shared" si="28"/>
        <v>75461.836838495394</v>
      </c>
      <c r="U136" s="7">
        <f t="shared" si="28"/>
        <v>67636.084447561283</v>
      </c>
      <c r="V136" s="7">
        <f t="shared" si="28"/>
        <v>67636.084447561283</v>
      </c>
      <c r="W136" s="7">
        <f t="shared" si="28"/>
        <v>67636.084447561283</v>
      </c>
      <c r="X136" s="7">
        <f t="shared" si="28"/>
        <v>67636.084447561283</v>
      </c>
      <c r="Y136" s="7">
        <f t="shared" si="28"/>
        <v>67636.084447561283</v>
      </c>
      <c r="Z136" s="7">
        <f t="shared" si="28"/>
        <v>65259.479011413292</v>
      </c>
      <c r="AA136" s="7">
        <f t="shared" si="28"/>
        <v>65259.479011413292</v>
      </c>
      <c r="AB136" s="7">
        <f t="shared" si="28"/>
        <v>65259.479011413292</v>
      </c>
      <c r="AC136" s="7">
        <f t="shared" si="28"/>
        <v>65259.479011413292</v>
      </c>
      <c r="AD136" s="7">
        <f t="shared" si="28"/>
        <v>65259.479011413292</v>
      </c>
      <c r="AE136" s="7">
        <f t="shared" si="28"/>
        <v>62703.732461987813</v>
      </c>
      <c r="AF136" s="7">
        <f t="shared" si="28"/>
        <v>62703.732461987813</v>
      </c>
      <c r="AG136" s="7">
        <f t="shared" si="28"/>
        <v>62703.732461987813</v>
      </c>
      <c r="AH136" s="7">
        <f t="shared" si="28"/>
        <v>62703.732461987813</v>
      </c>
      <c r="AI136" s="7">
        <f t="shared" si="28"/>
        <v>62703.732461987813</v>
      </c>
      <c r="AJ136" s="118">
        <f t="shared" si="28"/>
        <v>58764.799377316762</v>
      </c>
    </row>
    <row r="137" spans="8:36" x14ac:dyDescent="0.25">
      <c r="H137" s="83" t="s">
        <v>206</v>
      </c>
      <c r="I137" s="102">
        <f t="shared" si="24"/>
        <v>216893</v>
      </c>
      <c r="J137" s="13">
        <f t="shared" si="25"/>
        <v>216893</v>
      </c>
      <c r="K137" s="7">
        <f t="shared" si="22"/>
        <v>190557.15095444702</v>
      </c>
      <c r="L137" s="7">
        <f t="shared" si="28"/>
        <v>190557.15095444702</v>
      </c>
      <c r="M137" s="7">
        <f t="shared" si="28"/>
        <v>190557.15095444702</v>
      </c>
      <c r="N137" s="7">
        <f t="shared" si="28"/>
        <v>190557.15095444702</v>
      </c>
      <c r="O137" s="7">
        <f t="shared" si="28"/>
        <v>190557.15095444702</v>
      </c>
      <c r="P137" s="7">
        <f t="shared" si="28"/>
        <v>116176.26224366335</v>
      </c>
      <c r="Q137" s="7">
        <f t="shared" si="28"/>
        <v>116176.26224366335</v>
      </c>
      <c r="R137" s="7">
        <f t="shared" si="28"/>
        <v>116176.26224366335</v>
      </c>
      <c r="S137" s="7">
        <f t="shared" si="28"/>
        <v>116176.26224366335</v>
      </c>
      <c r="T137" s="7">
        <f t="shared" si="28"/>
        <v>116176.26224366335</v>
      </c>
      <c r="U137" s="7">
        <f t="shared" si="28"/>
        <v>104128.22975316159</v>
      </c>
      <c r="V137" s="7">
        <f t="shared" si="28"/>
        <v>104128.22975316159</v>
      </c>
      <c r="W137" s="7">
        <f t="shared" si="28"/>
        <v>104128.22975316159</v>
      </c>
      <c r="X137" s="7">
        <f t="shared" si="28"/>
        <v>104128.22975316159</v>
      </c>
      <c r="Y137" s="7">
        <f t="shared" si="28"/>
        <v>104128.22975316159</v>
      </c>
      <c r="Z137" s="7">
        <f t="shared" si="28"/>
        <v>100469.3586208491</v>
      </c>
      <c r="AA137" s="7">
        <f t="shared" si="28"/>
        <v>100469.3586208491</v>
      </c>
      <c r="AB137" s="7">
        <f t="shared" si="28"/>
        <v>100469.3586208491</v>
      </c>
      <c r="AC137" s="7">
        <f t="shared" si="28"/>
        <v>100469.3586208491</v>
      </c>
      <c r="AD137" s="7">
        <f t="shared" si="28"/>
        <v>100469.3586208491</v>
      </c>
      <c r="AE137" s="7">
        <f t="shared" si="28"/>
        <v>96534.693182080911</v>
      </c>
      <c r="AF137" s="7">
        <f t="shared" si="28"/>
        <v>96534.693182080911</v>
      </c>
      <c r="AG137" s="7">
        <f t="shared" si="28"/>
        <v>96534.693182080911</v>
      </c>
      <c r="AH137" s="7">
        <f t="shared" si="28"/>
        <v>96534.693182080911</v>
      </c>
      <c r="AI137" s="7">
        <f t="shared" si="28"/>
        <v>96534.693182080911</v>
      </c>
      <c r="AJ137" s="118">
        <f t="shared" si="28"/>
        <v>90470.561401345549</v>
      </c>
    </row>
    <row r="138" spans="8:36" x14ac:dyDescent="0.25">
      <c r="H138" s="83" t="s">
        <v>208</v>
      </c>
      <c r="I138" s="102">
        <f t="shared" si="24"/>
        <v>161731</v>
      </c>
      <c r="J138" s="13">
        <f t="shared" si="25"/>
        <v>161731</v>
      </c>
      <c r="K138" s="7">
        <f t="shared" si="22"/>
        <v>142093.09927482062</v>
      </c>
      <c r="L138" s="7">
        <f t="shared" si="28"/>
        <v>142093.09927482062</v>
      </c>
      <c r="M138" s="7">
        <f t="shared" si="28"/>
        <v>142093.09927482062</v>
      </c>
      <c r="N138" s="7">
        <f t="shared" si="28"/>
        <v>142093.09927482062</v>
      </c>
      <c r="O138" s="7">
        <f t="shared" si="28"/>
        <v>142093.09927482062</v>
      </c>
      <c r="P138" s="7">
        <f t="shared" si="28"/>
        <v>86629.365949707542</v>
      </c>
      <c r="Q138" s="7">
        <f t="shared" si="28"/>
        <v>86629.365949707542</v>
      </c>
      <c r="R138" s="7">
        <f t="shared" si="28"/>
        <v>86629.365949707542</v>
      </c>
      <c r="S138" s="7">
        <f t="shared" si="28"/>
        <v>86629.365949707542</v>
      </c>
      <c r="T138" s="7">
        <f t="shared" si="28"/>
        <v>86629.365949707542</v>
      </c>
      <c r="U138" s="7">
        <f t="shared" si="28"/>
        <v>77645.487527068995</v>
      </c>
      <c r="V138" s="7">
        <f t="shared" si="28"/>
        <v>77645.487527068995</v>
      </c>
      <c r="W138" s="7">
        <f t="shared" si="28"/>
        <v>77645.487527068995</v>
      </c>
      <c r="X138" s="7">
        <f t="shared" si="28"/>
        <v>77645.487527068995</v>
      </c>
      <c r="Y138" s="7">
        <f t="shared" si="28"/>
        <v>77645.487527068995</v>
      </c>
      <c r="Z138" s="7">
        <f t="shared" si="28"/>
        <v>74917.170397885347</v>
      </c>
      <c r="AA138" s="7">
        <f t="shared" si="28"/>
        <v>74917.170397885347</v>
      </c>
      <c r="AB138" s="7">
        <f t="shared" si="28"/>
        <v>74917.170397885347</v>
      </c>
      <c r="AC138" s="7">
        <f t="shared" si="28"/>
        <v>74917.170397885347</v>
      </c>
      <c r="AD138" s="7">
        <f t="shared" si="28"/>
        <v>74917.170397885347</v>
      </c>
      <c r="AE138" s="7">
        <f t="shared" si="28"/>
        <v>71983.201223788346</v>
      </c>
      <c r="AF138" s="7">
        <f t="shared" si="28"/>
        <v>71983.201223788346</v>
      </c>
      <c r="AG138" s="7">
        <f t="shared" si="28"/>
        <v>71983.201223788346</v>
      </c>
      <c r="AH138" s="7">
        <f t="shared" si="28"/>
        <v>71983.201223788346</v>
      </c>
      <c r="AI138" s="7">
        <f t="shared" si="28"/>
        <v>71983.201223788346</v>
      </c>
      <c r="AJ138" s="118">
        <f t="shared" si="28"/>
        <v>67461.348987754405</v>
      </c>
    </row>
    <row r="139" spans="8:36" x14ac:dyDescent="0.25">
      <c r="H139" s="83" t="s">
        <v>211</v>
      </c>
      <c r="I139" s="102">
        <f t="shared" si="24"/>
        <v>154587</v>
      </c>
      <c r="J139" s="13">
        <f t="shared" si="25"/>
        <v>154587</v>
      </c>
      <c r="K139" s="7">
        <f t="shared" si="22"/>
        <v>135816.54684381286</v>
      </c>
      <c r="L139" s="7">
        <f t="shared" si="28"/>
        <v>135816.54684381286</v>
      </c>
      <c r="M139" s="7">
        <f t="shared" si="28"/>
        <v>135816.54684381286</v>
      </c>
      <c r="N139" s="7">
        <f t="shared" si="28"/>
        <v>135816.54684381286</v>
      </c>
      <c r="O139" s="7">
        <f t="shared" si="28"/>
        <v>135816.54684381286</v>
      </c>
      <c r="P139" s="7">
        <f t="shared" si="28"/>
        <v>82802.763811931174</v>
      </c>
      <c r="Q139" s="7">
        <f t="shared" si="28"/>
        <v>82802.763811931174</v>
      </c>
      <c r="R139" s="7">
        <f t="shared" si="28"/>
        <v>82802.763811931174</v>
      </c>
      <c r="S139" s="7">
        <f t="shared" si="28"/>
        <v>82802.763811931174</v>
      </c>
      <c r="T139" s="7">
        <f t="shared" si="28"/>
        <v>82802.763811931174</v>
      </c>
      <c r="U139" s="7">
        <f t="shared" si="28"/>
        <v>74215.722281733339</v>
      </c>
      <c r="V139" s="7">
        <f t="shared" si="28"/>
        <v>74215.722281733339</v>
      </c>
      <c r="W139" s="7">
        <f t="shared" si="28"/>
        <v>74215.722281733339</v>
      </c>
      <c r="X139" s="7">
        <f t="shared" si="28"/>
        <v>74215.722281733339</v>
      </c>
      <c r="Y139" s="7">
        <f t="shared" si="28"/>
        <v>74215.722281733339</v>
      </c>
      <c r="Z139" s="7">
        <f t="shared" si="28"/>
        <v>71607.920684951561</v>
      </c>
      <c r="AA139" s="7">
        <f t="shared" si="28"/>
        <v>71607.920684951561</v>
      </c>
      <c r="AB139" s="7">
        <f t="shared" si="28"/>
        <v>71607.920684951561</v>
      </c>
      <c r="AC139" s="7">
        <f t="shared" si="28"/>
        <v>71607.920684951561</v>
      </c>
      <c r="AD139" s="7">
        <f t="shared" si="28"/>
        <v>71607.920684951561</v>
      </c>
      <c r="AE139" s="7">
        <f t="shared" si="28"/>
        <v>68803.55112861337</v>
      </c>
      <c r="AF139" s="7">
        <f t="shared" si="28"/>
        <v>68803.55112861337</v>
      </c>
      <c r="AG139" s="7">
        <f t="shared" si="28"/>
        <v>68803.55112861337</v>
      </c>
      <c r="AH139" s="7">
        <f t="shared" si="28"/>
        <v>68803.55112861337</v>
      </c>
      <c r="AI139" s="7">
        <f t="shared" si="28"/>
        <v>68803.55112861337</v>
      </c>
      <c r="AJ139" s="118">
        <f t="shared" si="28"/>
        <v>64481.438660306252</v>
      </c>
    </row>
    <row r="140" spans="8:36" x14ac:dyDescent="0.25">
      <c r="H140" s="83" t="s">
        <v>215</v>
      </c>
      <c r="I140" s="102">
        <f t="shared" si="24"/>
        <v>109172</v>
      </c>
      <c r="J140" s="13">
        <f t="shared" si="25"/>
        <v>109172</v>
      </c>
      <c r="K140" s="7">
        <f t="shared" si="22"/>
        <v>95915.982922449737</v>
      </c>
      <c r="L140" s="7">
        <f t="shared" si="28"/>
        <v>95915.982922449737</v>
      </c>
      <c r="M140" s="7">
        <f t="shared" si="28"/>
        <v>95915.982922449737</v>
      </c>
      <c r="N140" s="7">
        <f t="shared" si="28"/>
        <v>95915.982922449737</v>
      </c>
      <c r="O140" s="7">
        <f t="shared" si="28"/>
        <v>95915.982922449737</v>
      </c>
      <c r="P140" s="7">
        <f t="shared" si="28"/>
        <v>58476.736924037272</v>
      </c>
      <c r="Q140" s="7">
        <f t="shared" si="28"/>
        <v>58476.736924037272</v>
      </c>
      <c r="R140" s="7">
        <f t="shared" si="28"/>
        <v>58476.736924037272</v>
      </c>
      <c r="S140" s="7">
        <f t="shared" si="28"/>
        <v>58476.736924037272</v>
      </c>
      <c r="T140" s="7">
        <f t="shared" si="28"/>
        <v>58476.736924037272</v>
      </c>
      <c r="U140" s="7">
        <f t="shared" si="28"/>
        <v>52412.420403665201</v>
      </c>
      <c r="V140" s="7">
        <f t="shared" si="28"/>
        <v>52412.420403665201</v>
      </c>
      <c r="W140" s="7">
        <f t="shared" si="28"/>
        <v>52412.420403665201</v>
      </c>
      <c r="X140" s="7">
        <f t="shared" si="28"/>
        <v>52412.420403665201</v>
      </c>
      <c r="Y140" s="7">
        <f t="shared" si="28"/>
        <v>52412.420403665201</v>
      </c>
      <c r="Z140" s="7">
        <f t="shared" si="28"/>
        <v>50570.746033091607</v>
      </c>
      <c r="AA140" s="7">
        <f t="shared" si="28"/>
        <v>50570.746033091607</v>
      </c>
      <c r="AB140" s="7">
        <f t="shared" si="28"/>
        <v>50570.746033091607</v>
      </c>
      <c r="AC140" s="7">
        <f t="shared" si="28"/>
        <v>50570.746033091607</v>
      </c>
      <c r="AD140" s="7">
        <f t="shared" si="28"/>
        <v>50570.746033091607</v>
      </c>
      <c r="AE140" s="7">
        <f t="shared" si="28"/>
        <v>48590.251986344127</v>
      </c>
      <c r="AF140" s="7">
        <f t="shared" si="28"/>
        <v>48590.251986344127</v>
      </c>
      <c r="AG140" s="7">
        <f t="shared" si="28"/>
        <v>48590.251986344127</v>
      </c>
      <c r="AH140" s="7">
        <f t="shared" si="28"/>
        <v>48590.251986344127</v>
      </c>
      <c r="AI140" s="7">
        <f t="shared" si="28"/>
        <v>48590.251986344127</v>
      </c>
      <c r="AJ140" s="118">
        <f t="shared" si="28"/>
        <v>45537.90177326007</v>
      </c>
    </row>
    <row r="141" spans="8:36" x14ac:dyDescent="0.25">
      <c r="H141" s="83" t="s">
        <v>212</v>
      </c>
      <c r="I141" s="102">
        <f t="shared" si="24"/>
        <v>45784</v>
      </c>
      <c r="J141" s="13">
        <f t="shared" si="25"/>
        <v>45784</v>
      </c>
      <c r="K141" s="7">
        <f t="shared" si="22"/>
        <v>40224.7587487766</v>
      </c>
      <c r="L141" s="7">
        <f t="shared" si="28"/>
        <v>40224.7587487766</v>
      </c>
      <c r="M141" s="7">
        <f t="shared" si="28"/>
        <v>40224.7587487766</v>
      </c>
      <c r="N141" s="7">
        <f t="shared" si="28"/>
        <v>40224.7587487766</v>
      </c>
      <c r="O141" s="7">
        <f t="shared" si="28"/>
        <v>40224.7587487766</v>
      </c>
      <c r="P141" s="7">
        <f t="shared" si="28"/>
        <v>24523.677530228651</v>
      </c>
      <c r="Q141" s="7">
        <f t="shared" si="28"/>
        <v>24523.677530228651</v>
      </c>
      <c r="R141" s="7">
        <f t="shared" si="28"/>
        <v>24523.677530228651</v>
      </c>
      <c r="S141" s="7">
        <f t="shared" si="28"/>
        <v>24523.677530228651</v>
      </c>
      <c r="T141" s="7">
        <f t="shared" si="28"/>
        <v>24523.677530228651</v>
      </c>
      <c r="U141" s="7">
        <f t="shared" si="28"/>
        <v>21980.455206109695</v>
      </c>
      <c r="V141" s="7">
        <f t="shared" si="28"/>
        <v>21980.455206109695</v>
      </c>
      <c r="W141" s="7">
        <f t="shared" si="28"/>
        <v>21980.455206109695</v>
      </c>
      <c r="X141" s="7">
        <f t="shared" si="28"/>
        <v>21980.455206109695</v>
      </c>
      <c r="Y141" s="7">
        <f t="shared" si="28"/>
        <v>21980.455206109695</v>
      </c>
      <c r="Z141" s="7">
        <f t="shared" si="28"/>
        <v>21208.103143471457</v>
      </c>
      <c r="AA141" s="7">
        <f t="shared" si="28"/>
        <v>21208.103143471457</v>
      </c>
      <c r="AB141" s="7">
        <f t="shared" si="28"/>
        <v>21208.103143471457</v>
      </c>
      <c r="AC141" s="7">
        <f t="shared" si="28"/>
        <v>21208.103143471457</v>
      </c>
      <c r="AD141" s="7">
        <f t="shared" si="28"/>
        <v>21208.103143471457</v>
      </c>
      <c r="AE141" s="7">
        <f t="shared" si="28"/>
        <v>20377.533588674563</v>
      </c>
      <c r="AF141" s="7">
        <f t="shared" si="28"/>
        <v>20377.533588674563</v>
      </c>
      <c r="AG141" s="7">
        <f t="shared" si="28"/>
        <v>20377.533588674563</v>
      </c>
      <c r="AH141" s="7">
        <f t="shared" si="28"/>
        <v>20377.533588674563</v>
      </c>
      <c r="AI141" s="7">
        <f t="shared" si="28"/>
        <v>20377.533588674563</v>
      </c>
      <c r="AJ141" s="118">
        <f t="shared" si="28"/>
        <v>19097.454427755642</v>
      </c>
    </row>
    <row r="142" spans="8:36" x14ac:dyDescent="0.25">
      <c r="H142" s="83" t="s">
        <v>213</v>
      </c>
      <c r="I142" s="102">
        <f t="shared" si="24"/>
        <v>82438</v>
      </c>
      <c r="J142" s="13">
        <f t="shared" si="25"/>
        <v>82438</v>
      </c>
      <c r="K142" s="7">
        <f t="shared" si="22"/>
        <v>72428.111605181839</v>
      </c>
      <c r="L142" s="7">
        <f t="shared" si="28"/>
        <v>72428.111605181839</v>
      </c>
      <c r="M142" s="7">
        <f t="shared" si="28"/>
        <v>72428.111605181839</v>
      </c>
      <c r="N142" s="7">
        <f t="shared" si="28"/>
        <v>72428.111605181839</v>
      </c>
      <c r="O142" s="7">
        <f t="shared" si="28"/>
        <v>72428.111605181839</v>
      </c>
      <c r="P142" s="7">
        <f t="shared" si="28"/>
        <v>44156.974668814204</v>
      </c>
      <c r="Q142" s="7">
        <f t="shared" si="28"/>
        <v>44156.974668814204</v>
      </c>
      <c r="R142" s="7">
        <f t="shared" si="28"/>
        <v>44156.974668814204</v>
      </c>
      <c r="S142" s="7">
        <f t="shared" si="28"/>
        <v>44156.974668814204</v>
      </c>
      <c r="T142" s="7">
        <f t="shared" si="28"/>
        <v>44156.974668814204</v>
      </c>
      <c r="U142" s="7">
        <f t="shared" si="28"/>
        <v>39577.685791570657</v>
      </c>
      <c r="V142" s="7">
        <f t="shared" si="28"/>
        <v>39577.685791570657</v>
      </c>
      <c r="W142" s="7">
        <f t="shared" si="28"/>
        <v>39577.685791570657</v>
      </c>
      <c r="X142" s="7">
        <f t="shared" si="28"/>
        <v>39577.685791570657</v>
      </c>
      <c r="Y142" s="7">
        <f t="shared" si="28"/>
        <v>39577.685791570657</v>
      </c>
      <c r="Z142" s="7">
        <f t="shared" si="28"/>
        <v>38186.999976880572</v>
      </c>
      <c r="AA142" s="7">
        <f t="shared" si="28"/>
        <v>38186.999976880572</v>
      </c>
      <c r="AB142" s="7">
        <f t="shared" si="28"/>
        <v>38186.999976880572</v>
      </c>
      <c r="AC142" s="7">
        <f t="shared" si="28"/>
        <v>38186.999976880572</v>
      </c>
      <c r="AD142" s="7">
        <f t="shared" si="28"/>
        <v>38186.999976880572</v>
      </c>
      <c r="AE142" s="7">
        <f t="shared" si="28"/>
        <v>36691.488598269127</v>
      </c>
      <c r="AF142" s="7">
        <f t="shared" si="28"/>
        <v>36691.488598269127</v>
      </c>
      <c r="AG142" s="7">
        <f t="shared" si="28"/>
        <v>36691.488598269127</v>
      </c>
      <c r="AH142" s="7">
        <f t="shared" si="28"/>
        <v>36691.488598269127</v>
      </c>
      <c r="AI142" s="7">
        <f t="shared" si="28"/>
        <v>36691.488598269127</v>
      </c>
      <c r="AJ142" s="118">
        <f t="shared" si="28"/>
        <v>34386.596804895154</v>
      </c>
    </row>
    <row r="143" spans="8:36" x14ac:dyDescent="0.25">
      <c r="H143" s="83" t="s">
        <v>214</v>
      </c>
      <c r="I143" s="102">
        <f t="shared" si="24"/>
        <v>119063</v>
      </c>
      <c r="J143" s="13">
        <f t="shared" si="25"/>
        <v>119063</v>
      </c>
      <c r="K143" s="7">
        <f t="shared" si="22"/>
        <v>104605.98573531338</v>
      </c>
      <c r="L143" s="7">
        <f t="shared" si="28"/>
        <v>104605.98573531338</v>
      </c>
      <c r="M143" s="7">
        <f t="shared" si="28"/>
        <v>104605.98573531338</v>
      </c>
      <c r="N143" s="7">
        <f t="shared" si="28"/>
        <v>104605.98573531338</v>
      </c>
      <c r="O143" s="7">
        <f t="shared" si="28"/>
        <v>104605.98573531338</v>
      </c>
      <c r="P143" s="7">
        <f t="shared" si="28"/>
        <v>63774.738288083478</v>
      </c>
      <c r="Q143" s="7">
        <f t="shared" ref="L143:AJ153" si="29">$I143*Q$164</f>
        <v>63774.738288083478</v>
      </c>
      <c r="R143" s="7">
        <f t="shared" si="29"/>
        <v>63774.738288083478</v>
      </c>
      <c r="S143" s="7">
        <f t="shared" si="29"/>
        <v>63774.738288083478</v>
      </c>
      <c r="T143" s="7">
        <f t="shared" si="29"/>
        <v>63774.738288083478</v>
      </c>
      <c r="U143" s="7">
        <f t="shared" si="29"/>
        <v>57160.993757754644</v>
      </c>
      <c r="V143" s="7">
        <f t="shared" si="29"/>
        <v>57160.993757754644</v>
      </c>
      <c r="W143" s="7">
        <f t="shared" si="29"/>
        <v>57160.993757754644</v>
      </c>
      <c r="X143" s="7">
        <f t="shared" si="29"/>
        <v>57160.993757754644</v>
      </c>
      <c r="Y143" s="7">
        <f t="shared" si="29"/>
        <v>57160.993757754644</v>
      </c>
      <c r="Z143" s="7">
        <f t="shared" si="29"/>
        <v>55152.463405799892</v>
      </c>
      <c r="AA143" s="7">
        <f t="shared" si="29"/>
        <v>55152.463405799892</v>
      </c>
      <c r="AB143" s="7">
        <f t="shared" si="29"/>
        <v>55152.463405799892</v>
      </c>
      <c r="AC143" s="7">
        <f t="shared" si="29"/>
        <v>55152.463405799892</v>
      </c>
      <c r="AD143" s="7">
        <f t="shared" si="29"/>
        <v>55152.463405799892</v>
      </c>
      <c r="AE143" s="7">
        <f t="shared" si="29"/>
        <v>52992.53629364755</v>
      </c>
      <c r="AF143" s="7">
        <f t="shared" si="29"/>
        <v>52992.53629364755</v>
      </c>
      <c r="AG143" s="7">
        <f t="shared" si="29"/>
        <v>52992.53629364755</v>
      </c>
      <c r="AH143" s="7">
        <f t="shared" si="29"/>
        <v>52992.53629364755</v>
      </c>
      <c r="AI143" s="7">
        <f t="shared" si="29"/>
        <v>52992.53629364755</v>
      </c>
      <c r="AJ143" s="118">
        <f t="shared" si="29"/>
        <v>49663.642681545301</v>
      </c>
    </row>
    <row r="144" spans="8:36" x14ac:dyDescent="0.25">
      <c r="H144" s="83" t="s">
        <v>216</v>
      </c>
      <c r="I144" s="102">
        <f t="shared" si="24"/>
        <v>77094</v>
      </c>
      <c r="J144" s="13">
        <f t="shared" si="25"/>
        <v>77094</v>
      </c>
      <c r="K144" s="7">
        <f t="shared" si="22"/>
        <v>67732.99735667881</v>
      </c>
      <c r="L144" s="7">
        <f t="shared" si="29"/>
        <v>67732.99735667881</v>
      </c>
      <c r="M144" s="7">
        <f t="shared" si="29"/>
        <v>67732.99735667881</v>
      </c>
      <c r="N144" s="7">
        <f t="shared" si="29"/>
        <v>67732.99735667881</v>
      </c>
      <c r="O144" s="7">
        <f t="shared" si="29"/>
        <v>67732.99735667881</v>
      </c>
      <c r="P144" s="7">
        <f t="shared" si="29"/>
        <v>41294.522005841507</v>
      </c>
      <c r="Q144" s="7">
        <f t="shared" si="29"/>
        <v>41294.522005841507</v>
      </c>
      <c r="R144" s="7">
        <f t="shared" si="29"/>
        <v>41294.522005841507</v>
      </c>
      <c r="S144" s="7">
        <f t="shared" si="29"/>
        <v>41294.522005841507</v>
      </c>
      <c r="T144" s="7">
        <f t="shared" si="29"/>
        <v>41294.522005841507</v>
      </c>
      <c r="U144" s="7">
        <f t="shared" si="29"/>
        <v>37012.083122047457</v>
      </c>
      <c r="V144" s="7">
        <f t="shared" si="29"/>
        <v>37012.083122047457</v>
      </c>
      <c r="W144" s="7">
        <f t="shared" si="29"/>
        <v>37012.083122047457</v>
      </c>
      <c r="X144" s="7">
        <f t="shared" si="29"/>
        <v>37012.083122047457</v>
      </c>
      <c r="Y144" s="7">
        <f t="shared" si="29"/>
        <v>37012.083122047457</v>
      </c>
      <c r="Z144" s="7">
        <f t="shared" si="29"/>
        <v>35711.547784002898</v>
      </c>
      <c r="AA144" s="7">
        <f t="shared" si="29"/>
        <v>35711.547784002898</v>
      </c>
      <c r="AB144" s="7">
        <f t="shared" si="29"/>
        <v>35711.547784002898</v>
      </c>
      <c r="AC144" s="7">
        <f t="shared" si="29"/>
        <v>35711.547784002898</v>
      </c>
      <c r="AD144" s="7">
        <f t="shared" si="29"/>
        <v>35711.547784002898</v>
      </c>
      <c r="AE144" s="7">
        <f t="shared" si="29"/>
        <v>34312.982144095688</v>
      </c>
      <c r="AF144" s="7">
        <f t="shared" si="29"/>
        <v>34312.982144095688</v>
      </c>
      <c r="AG144" s="7">
        <f t="shared" si="29"/>
        <v>34312.982144095688</v>
      </c>
      <c r="AH144" s="7">
        <f t="shared" si="29"/>
        <v>34312.982144095688</v>
      </c>
      <c r="AI144" s="7">
        <f t="shared" si="29"/>
        <v>34312.982144095688</v>
      </c>
      <c r="AJ144" s="118">
        <f t="shared" si="29"/>
        <v>32157.503749200452</v>
      </c>
    </row>
    <row r="145" spans="8:36" x14ac:dyDescent="0.25">
      <c r="H145" s="83" t="s">
        <v>209</v>
      </c>
      <c r="I145" s="102">
        <f t="shared" si="24"/>
        <v>102973</v>
      </c>
      <c r="J145" s="13">
        <f t="shared" si="25"/>
        <v>102973</v>
      </c>
      <c r="K145" s="7">
        <f t="shared" ref="K145:K162" si="30">$I145*K$164</f>
        <v>90469.685537256955</v>
      </c>
      <c r="L145" s="7">
        <f t="shared" si="29"/>
        <v>90469.685537256955</v>
      </c>
      <c r="M145" s="7">
        <f t="shared" si="29"/>
        <v>90469.685537256955</v>
      </c>
      <c r="N145" s="7">
        <f t="shared" si="29"/>
        <v>90469.685537256955</v>
      </c>
      <c r="O145" s="7">
        <f t="shared" si="29"/>
        <v>90469.685537256955</v>
      </c>
      <c r="P145" s="7">
        <f t="shared" si="29"/>
        <v>55156.313260532828</v>
      </c>
      <c r="Q145" s="7">
        <f t="shared" si="29"/>
        <v>55156.313260532828</v>
      </c>
      <c r="R145" s="7">
        <f t="shared" si="29"/>
        <v>55156.313260532828</v>
      </c>
      <c r="S145" s="7">
        <f t="shared" si="29"/>
        <v>55156.313260532828</v>
      </c>
      <c r="T145" s="7">
        <f t="shared" si="29"/>
        <v>55156.313260532828</v>
      </c>
      <c r="U145" s="7">
        <f t="shared" si="29"/>
        <v>49436.340510631089</v>
      </c>
      <c r="V145" s="7">
        <f t="shared" si="29"/>
        <v>49436.340510631089</v>
      </c>
      <c r="W145" s="7">
        <f t="shared" si="29"/>
        <v>49436.340510631089</v>
      </c>
      <c r="X145" s="7">
        <f t="shared" si="29"/>
        <v>49436.340510631089</v>
      </c>
      <c r="Y145" s="7">
        <f t="shared" si="29"/>
        <v>49436.340510631089</v>
      </c>
      <c r="Z145" s="7">
        <f t="shared" si="29"/>
        <v>47699.24001818728</v>
      </c>
      <c r="AA145" s="7">
        <f t="shared" si="29"/>
        <v>47699.24001818728</v>
      </c>
      <c r="AB145" s="7">
        <f t="shared" si="29"/>
        <v>47699.24001818728</v>
      </c>
      <c r="AC145" s="7">
        <f t="shared" si="29"/>
        <v>47699.24001818728</v>
      </c>
      <c r="AD145" s="7">
        <f t="shared" si="29"/>
        <v>47699.24001818728</v>
      </c>
      <c r="AE145" s="7">
        <f t="shared" si="29"/>
        <v>45831.202302694954</v>
      </c>
      <c r="AF145" s="7">
        <f t="shared" si="29"/>
        <v>45831.202302694954</v>
      </c>
      <c r="AG145" s="7">
        <f t="shared" si="29"/>
        <v>45831.202302694954</v>
      </c>
      <c r="AH145" s="7">
        <f t="shared" si="29"/>
        <v>45831.202302694954</v>
      </c>
      <c r="AI145" s="7">
        <f t="shared" si="29"/>
        <v>45831.202302694954</v>
      </c>
      <c r="AJ145" s="118">
        <f t="shared" si="29"/>
        <v>42952.170513482481</v>
      </c>
    </row>
    <row r="146" spans="8:36" x14ac:dyDescent="0.25">
      <c r="H146" s="83" t="s">
        <v>210</v>
      </c>
      <c r="I146" s="102">
        <f t="shared" si="24"/>
        <v>189059</v>
      </c>
      <c r="J146" s="13">
        <f t="shared" si="25"/>
        <v>189059</v>
      </c>
      <c r="K146" s="7">
        <f t="shared" si="30"/>
        <v>166102.84519231509</v>
      </c>
      <c r="L146" s="7">
        <f t="shared" si="29"/>
        <v>166102.84519231509</v>
      </c>
      <c r="M146" s="7">
        <f t="shared" si="29"/>
        <v>166102.84519231509</v>
      </c>
      <c r="N146" s="7">
        <f t="shared" si="29"/>
        <v>166102.84519231509</v>
      </c>
      <c r="O146" s="7">
        <f t="shared" si="29"/>
        <v>166102.84519231509</v>
      </c>
      <c r="P146" s="7">
        <f t="shared" si="29"/>
        <v>101267.29753161583</v>
      </c>
      <c r="Q146" s="7">
        <f t="shared" si="29"/>
        <v>101267.29753161583</v>
      </c>
      <c r="R146" s="7">
        <f t="shared" si="29"/>
        <v>101267.29753161583</v>
      </c>
      <c r="S146" s="7">
        <f t="shared" si="29"/>
        <v>101267.29753161583</v>
      </c>
      <c r="T146" s="7">
        <f t="shared" si="29"/>
        <v>101267.29753161583</v>
      </c>
      <c r="U146" s="7">
        <f t="shared" si="29"/>
        <v>90765.395789181654</v>
      </c>
      <c r="V146" s="7">
        <f t="shared" si="29"/>
        <v>90765.395789181654</v>
      </c>
      <c r="W146" s="7">
        <f t="shared" si="29"/>
        <v>90765.395789181654</v>
      </c>
      <c r="X146" s="7">
        <f t="shared" si="29"/>
        <v>90765.395789181654</v>
      </c>
      <c r="Y146" s="7">
        <f t="shared" si="29"/>
        <v>90765.395789181654</v>
      </c>
      <c r="Z146" s="7">
        <f t="shared" si="29"/>
        <v>87576.069635714884</v>
      </c>
      <c r="AA146" s="7">
        <f t="shared" si="29"/>
        <v>87576.069635714884</v>
      </c>
      <c r="AB146" s="7">
        <f t="shared" si="29"/>
        <v>87576.069635714884</v>
      </c>
      <c r="AC146" s="7">
        <f t="shared" si="29"/>
        <v>87576.069635714884</v>
      </c>
      <c r="AD146" s="7">
        <f t="shared" si="29"/>
        <v>87576.069635714884</v>
      </c>
      <c r="AE146" s="7">
        <f t="shared" si="29"/>
        <v>84146.342013393863</v>
      </c>
      <c r="AF146" s="7">
        <f t="shared" si="29"/>
        <v>84146.342013393863</v>
      </c>
      <c r="AG146" s="7">
        <f t="shared" si="29"/>
        <v>84146.342013393863</v>
      </c>
      <c r="AH146" s="7">
        <f t="shared" si="29"/>
        <v>84146.342013393863</v>
      </c>
      <c r="AI146" s="7">
        <f t="shared" si="29"/>
        <v>84146.342013393863</v>
      </c>
      <c r="AJ146" s="118">
        <f t="shared" si="29"/>
        <v>78860.42365579796</v>
      </c>
    </row>
    <row r="147" spans="8:36" x14ac:dyDescent="0.25">
      <c r="H147" s="83" t="s">
        <v>217</v>
      </c>
      <c r="I147" s="102">
        <f t="shared" si="24"/>
        <v>174626</v>
      </c>
      <c r="J147" s="13">
        <f t="shared" si="25"/>
        <v>174626</v>
      </c>
      <c r="K147" s="7">
        <f t="shared" si="30"/>
        <v>153422.3466989311</v>
      </c>
      <c r="L147" s="7">
        <f t="shared" si="29"/>
        <v>153422.3466989311</v>
      </c>
      <c r="M147" s="7">
        <f t="shared" si="29"/>
        <v>153422.3466989311</v>
      </c>
      <c r="N147" s="7">
        <f t="shared" si="29"/>
        <v>153422.3466989311</v>
      </c>
      <c r="O147" s="7">
        <f t="shared" si="29"/>
        <v>153422.3466989311</v>
      </c>
      <c r="P147" s="7">
        <f t="shared" si="29"/>
        <v>93536.425659481669</v>
      </c>
      <c r="Q147" s="7">
        <f t="shared" si="29"/>
        <v>93536.425659481669</v>
      </c>
      <c r="R147" s="7">
        <f t="shared" si="29"/>
        <v>93536.425659481669</v>
      </c>
      <c r="S147" s="7">
        <f t="shared" si="29"/>
        <v>93536.425659481669</v>
      </c>
      <c r="T147" s="7">
        <f t="shared" si="29"/>
        <v>93536.425659481669</v>
      </c>
      <c r="U147" s="7">
        <f t="shared" si="29"/>
        <v>83836.252202125455</v>
      </c>
      <c r="V147" s="7">
        <f t="shared" si="29"/>
        <v>83836.252202125455</v>
      </c>
      <c r="W147" s="7">
        <f t="shared" si="29"/>
        <v>83836.252202125455</v>
      </c>
      <c r="X147" s="7">
        <f t="shared" si="29"/>
        <v>83836.252202125455</v>
      </c>
      <c r="Y147" s="7">
        <f t="shared" si="29"/>
        <v>83836.252202125455</v>
      </c>
      <c r="Z147" s="7">
        <f t="shared" si="29"/>
        <v>80890.403187398362</v>
      </c>
      <c r="AA147" s="7">
        <f t="shared" si="29"/>
        <v>80890.403187398362</v>
      </c>
      <c r="AB147" s="7">
        <f t="shared" si="29"/>
        <v>80890.403187398362</v>
      </c>
      <c r="AC147" s="7">
        <f t="shared" si="29"/>
        <v>80890.403187398362</v>
      </c>
      <c r="AD147" s="7">
        <f t="shared" si="29"/>
        <v>80890.403187398362</v>
      </c>
      <c r="AE147" s="7">
        <f t="shared" si="29"/>
        <v>77722.50525196323</v>
      </c>
      <c r="AF147" s="7">
        <f t="shared" si="29"/>
        <v>77722.50525196323</v>
      </c>
      <c r="AG147" s="7">
        <f t="shared" si="29"/>
        <v>77722.50525196323</v>
      </c>
      <c r="AH147" s="7">
        <f t="shared" si="29"/>
        <v>77722.50525196323</v>
      </c>
      <c r="AI147" s="7">
        <f t="shared" si="29"/>
        <v>77722.50525196323</v>
      </c>
      <c r="AJ147" s="118">
        <f t="shared" si="29"/>
        <v>72840.120498454853</v>
      </c>
    </row>
    <row r="148" spans="8:36" x14ac:dyDescent="0.25">
      <c r="H148" s="83" t="s">
        <v>218</v>
      </c>
      <c r="I148" s="102">
        <f t="shared" si="24"/>
        <v>100158</v>
      </c>
      <c r="J148" s="13">
        <f t="shared" si="25"/>
        <v>100158</v>
      </c>
      <c r="K148" s="7">
        <f t="shared" si="30"/>
        <v>87996.491935173122</v>
      </c>
      <c r="L148" s="7">
        <f t="shared" si="29"/>
        <v>87996.491935173122</v>
      </c>
      <c r="M148" s="7">
        <f t="shared" si="29"/>
        <v>87996.491935173122</v>
      </c>
      <c r="N148" s="7">
        <f t="shared" si="29"/>
        <v>87996.491935173122</v>
      </c>
      <c r="O148" s="7">
        <f t="shared" si="29"/>
        <v>87996.491935173122</v>
      </c>
      <c r="P148" s="7">
        <f t="shared" si="29"/>
        <v>53648.490609659297</v>
      </c>
      <c r="Q148" s="7">
        <f t="shared" si="29"/>
        <v>53648.490609659297</v>
      </c>
      <c r="R148" s="7">
        <f t="shared" si="29"/>
        <v>53648.490609659297</v>
      </c>
      <c r="S148" s="7">
        <f t="shared" si="29"/>
        <v>53648.490609659297</v>
      </c>
      <c r="T148" s="7">
        <f t="shared" si="29"/>
        <v>53648.490609659297</v>
      </c>
      <c r="U148" s="7">
        <f t="shared" si="29"/>
        <v>48084.886260124382</v>
      </c>
      <c r="V148" s="7">
        <f t="shared" si="29"/>
        <v>48084.886260124382</v>
      </c>
      <c r="W148" s="7">
        <f t="shared" si="29"/>
        <v>48084.886260124382</v>
      </c>
      <c r="X148" s="7">
        <f t="shared" si="29"/>
        <v>48084.886260124382</v>
      </c>
      <c r="Y148" s="7">
        <f t="shared" si="29"/>
        <v>48084.886260124382</v>
      </c>
      <c r="Z148" s="7">
        <f t="shared" si="29"/>
        <v>46395.273340988431</v>
      </c>
      <c r="AA148" s="7">
        <f t="shared" si="29"/>
        <v>46395.273340988431</v>
      </c>
      <c r="AB148" s="7">
        <f t="shared" si="29"/>
        <v>46395.273340988431</v>
      </c>
      <c r="AC148" s="7">
        <f t="shared" si="29"/>
        <v>46395.273340988431</v>
      </c>
      <c r="AD148" s="7">
        <f t="shared" si="29"/>
        <v>46395.273340988431</v>
      </c>
      <c r="AE148" s="7">
        <f t="shared" si="29"/>
        <v>44578.302664128671</v>
      </c>
      <c r="AF148" s="7">
        <f t="shared" si="29"/>
        <v>44578.302664128671</v>
      </c>
      <c r="AG148" s="7">
        <f t="shared" si="29"/>
        <v>44578.302664128671</v>
      </c>
      <c r="AH148" s="7">
        <f t="shared" si="29"/>
        <v>44578.302664128671</v>
      </c>
      <c r="AI148" s="7">
        <f t="shared" si="29"/>
        <v>44578.302664128671</v>
      </c>
      <c r="AJ148" s="118">
        <f t="shared" si="29"/>
        <v>41777.975724601383</v>
      </c>
    </row>
    <row r="149" spans="8:36" x14ac:dyDescent="0.25">
      <c r="H149" s="83" t="s">
        <v>219</v>
      </c>
      <c r="I149" s="102">
        <f t="shared" si="24"/>
        <v>62611</v>
      </c>
      <c r="J149" s="13">
        <f t="shared" si="25"/>
        <v>62611</v>
      </c>
      <c r="K149" s="7">
        <f t="shared" si="30"/>
        <v>55008.570024891917</v>
      </c>
      <c r="L149" s="7">
        <f t="shared" si="29"/>
        <v>55008.570024891917</v>
      </c>
      <c r="M149" s="7">
        <f t="shared" si="29"/>
        <v>55008.570024891917</v>
      </c>
      <c r="N149" s="7">
        <f t="shared" si="29"/>
        <v>55008.570024891917</v>
      </c>
      <c r="O149" s="7">
        <f t="shared" si="29"/>
        <v>55008.570024891917</v>
      </c>
      <c r="P149" s="7">
        <f t="shared" si="29"/>
        <v>33536.8682038517</v>
      </c>
      <c r="Q149" s="7">
        <f t="shared" si="29"/>
        <v>33536.8682038517</v>
      </c>
      <c r="R149" s="7">
        <f t="shared" si="29"/>
        <v>33536.8682038517</v>
      </c>
      <c r="S149" s="7">
        <f t="shared" si="29"/>
        <v>33536.8682038517</v>
      </c>
      <c r="T149" s="7">
        <f t="shared" si="29"/>
        <v>33536.8682038517</v>
      </c>
      <c r="U149" s="7">
        <f t="shared" si="29"/>
        <v>30058.935018996464</v>
      </c>
      <c r="V149" s="7">
        <f t="shared" si="29"/>
        <v>30058.935018996464</v>
      </c>
      <c r="W149" s="7">
        <f t="shared" si="29"/>
        <v>30058.935018996464</v>
      </c>
      <c r="X149" s="7">
        <f t="shared" si="29"/>
        <v>30058.935018996464</v>
      </c>
      <c r="Y149" s="7">
        <f t="shared" si="29"/>
        <v>30058.935018996464</v>
      </c>
      <c r="Z149" s="7">
        <f t="shared" si="29"/>
        <v>29002.720293462597</v>
      </c>
      <c r="AA149" s="7">
        <f t="shared" si="29"/>
        <v>29002.720293462597</v>
      </c>
      <c r="AB149" s="7">
        <f t="shared" si="29"/>
        <v>29002.720293462597</v>
      </c>
      <c r="AC149" s="7">
        <f t="shared" si="29"/>
        <v>29002.720293462597</v>
      </c>
      <c r="AD149" s="7">
        <f t="shared" si="29"/>
        <v>29002.720293462597</v>
      </c>
      <c r="AE149" s="7">
        <f t="shared" si="29"/>
        <v>27866.891392637233</v>
      </c>
      <c r="AF149" s="7">
        <f t="shared" si="29"/>
        <v>27866.891392637233</v>
      </c>
      <c r="AG149" s="7">
        <f t="shared" si="29"/>
        <v>27866.891392637233</v>
      </c>
      <c r="AH149" s="7">
        <f t="shared" si="29"/>
        <v>27866.891392637233</v>
      </c>
      <c r="AI149" s="7">
        <f t="shared" si="29"/>
        <v>27866.891392637233</v>
      </c>
      <c r="AJ149" s="118">
        <f t="shared" si="29"/>
        <v>26116.344556530854</v>
      </c>
    </row>
    <row r="150" spans="8:36" x14ac:dyDescent="0.25">
      <c r="H150" s="83" t="s">
        <v>220</v>
      </c>
      <c r="I150" s="102">
        <f t="shared" si="24"/>
        <v>109543</v>
      </c>
      <c r="J150" s="13">
        <f t="shared" si="25"/>
        <v>109543</v>
      </c>
      <c r="K150" s="7">
        <f t="shared" si="30"/>
        <v>96241.93490339932</v>
      </c>
      <c r="L150" s="7">
        <f t="shared" si="29"/>
        <v>96241.93490339932</v>
      </c>
      <c r="M150" s="7">
        <f t="shared" si="29"/>
        <v>96241.93490339932</v>
      </c>
      <c r="N150" s="7">
        <f t="shared" si="29"/>
        <v>96241.93490339932</v>
      </c>
      <c r="O150" s="7">
        <f t="shared" si="29"/>
        <v>96241.93490339932</v>
      </c>
      <c r="P150" s="7">
        <f t="shared" si="29"/>
        <v>58675.458843566252</v>
      </c>
      <c r="Q150" s="7">
        <f t="shared" si="29"/>
        <v>58675.458843566252</v>
      </c>
      <c r="R150" s="7">
        <f t="shared" si="29"/>
        <v>58675.458843566252</v>
      </c>
      <c r="S150" s="7">
        <f t="shared" si="29"/>
        <v>58675.458843566252</v>
      </c>
      <c r="T150" s="7">
        <f t="shared" si="29"/>
        <v>58675.458843566252</v>
      </c>
      <c r="U150" s="7">
        <f t="shared" si="29"/>
        <v>52590.533912346546</v>
      </c>
      <c r="V150" s="7">
        <f t="shared" si="29"/>
        <v>52590.533912346546</v>
      </c>
      <c r="W150" s="7">
        <f t="shared" si="29"/>
        <v>52590.533912346546</v>
      </c>
      <c r="X150" s="7">
        <f t="shared" si="29"/>
        <v>52590.533912346546</v>
      </c>
      <c r="Y150" s="7">
        <f t="shared" si="29"/>
        <v>52590.533912346546</v>
      </c>
      <c r="Z150" s="7">
        <f t="shared" si="29"/>
        <v>50742.600966392056</v>
      </c>
      <c r="AA150" s="7">
        <f t="shared" si="29"/>
        <v>50742.600966392056</v>
      </c>
      <c r="AB150" s="7">
        <f t="shared" si="29"/>
        <v>50742.600966392056</v>
      </c>
      <c r="AC150" s="7">
        <f t="shared" si="29"/>
        <v>50742.600966392056</v>
      </c>
      <c r="AD150" s="7">
        <f t="shared" si="29"/>
        <v>50742.600966392056</v>
      </c>
      <c r="AE150" s="7">
        <f t="shared" si="29"/>
        <v>48755.376592350556</v>
      </c>
      <c r="AF150" s="7">
        <f t="shared" si="29"/>
        <v>48755.376592350556</v>
      </c>
      <c r="AG150" s="7">
        <f t="shared" si="29"/>
        <v>48755.376592350556</v>
      </c>
      <c r="AH150" s="7">
        <f t="shared" si="29"/>
        <v>48755.376592350556</v>
      </c>
      <c r="AI150" s="7">
        <f t="shared" si="29"/>
        <v>48755.376592350556</v>
      </c>
      <c r="AJ150" s="118">
        <f t="shared" si="29"/>
        <v>45692.653555382589</v>
      </c>
    </row>
    <row r="151" spans="8:36" x14ac:dyDescent="0.25">
      <c r="H151" s="83" t="s">
        <v>221</v>
      </c>
      <c r="I151" s="102">
        <f t="shared" si="24"/>
        <v>140822</v>
      </c>
      <c r="J151" s="13">
        <f t="shared" si="25"/>
        <v>140822</v>
      </c>
      <c r="K151" s="7">
        <f t="shared" si="30"/>
        <v>123722.93763149175</v>
      </c>
      <c r="L151" s="7">
        <f t="shared" si="29"/>
        <v>123722.93763149175</v>
      </c>
      <c r="M151" s="7">
        <f t="shared" si="29"/>
        <v>123722.93763149175</v>
      </c>
      <c r="N151" s="7">
        <f t="shared" si="29"/>
        <v>123722.93763149175</v>
      </c>
      <c r="O151" s="7">
        <f t="shared" si="29"/>
        <v>123722.93763149175</v>
      </c>
      <c r="P151" s="7">
        <f t="shared" si="29"/>
        <v>75429.698522668608</v>
      </c>
      <c r="Q151" s="7">
        <f t="shared" si="29"/>
        <v>75429.698522668608</v>
      </c>
      <c r="R151" s="7">
        <f t="shared" si="29"/>
        <v>75429.698522668608</v>
      </c>
      <c r="S151" s="7">
        <f t="shared" si="29"/>
        <v>75429.698522668608</v>
      </c>
      <c r="T151" s="7">
        <f t="shared" si="29"/>
        <v>75429.698522668608</v>
      </c>
      <c r="U151" s="7">
        <f t="shared" si="29"/>
        <v>67607.279028367542</v>
      </c>
      <c r="V151" s="7">
        <f t="shared" si="29"/>
        <v>67607.279028367542</v>
      </c>
      <c r="W151" s="7">
        <f t="shared" si="29"/>
        <v>67607.279028367542</v>
      </c>
      <c r="X151" s="7">
        <f t="shared" si="29"/>
        <v>67607.279028367542</v>
      </c>
      <c r="Y151" s="7">
        <f t="shared" si="29"/>
        <v>67607.279028367542</v>
      </c>
      <c r="Z151" s="7">
        <f t="shared" si="29"/>
        <v>65231.685760744753</v>
      </c>
      <c r="AA151" s="7">
        <f t="shared" si="29"/>
        <v>65231.685760744753</v>
      </c>
      <c r="AB151" s="7">
        <f t="shared" si="29"/>
        <v>65231.685760744753</v>
      </c>
      <c r="AC151" s="7">
        <f t="shared" si="29"/>
        <v>65231.685760744753</v>
      </c>
      <c r="AD151" s="7">
        <f t="shared" si="29"/>
        <v>65231.685760744753</v>
      </c>
      <c r="AE151" s="7">
        <f t="shared" si="29"/>
        <v>62677.027673954428</v>
      </c>
      <c r="AF151" s="7">
        <f t="shared" si="29"/>
        <v>62677.027673954428</v>
      </c>
      <c r="AG151" s="7">
        <f t="shared" si="29"/>
        <v>62677.027673954428</v>
      </c>
      <c r="AH151" s="7">
        <f t="shared" si="29"/>
        <v>62677.027673954428</v>
      </c>
      <c r="AI151" s="7">
        <f t="shared" si="29"/>
        <v>62677.027673954428</v>
      </c>
      <c r="AJ151" s="118">
        <f t="shared" si="29"/>
        <v>58739.772134924977</v>
      </c>
    </row>
    <row r="152" spans="8:36" x14ac:dyDescent="0.25">
      <c r="H152" s="83" t="s">
        <v>222</v>
      </c>
      <c r="I152" s="102">
        <f t="shared" si="24"/>
        <v>87402</v>
      </c>
      <c r="J152" s="13">
        <f t="shared" si="25"/>
        <v>87402</v>
      </c>
      <c r="K152" s="7">
        <f t="shared" si="30"/>
        <v>76789.366681822736</v>
      </c>
      <c r="L152" s="7">
        <f t="shared" si="29"/>
        <v>76789.366681822736</v>
      </c>
      <c r="M152" s="7">
        <f t="shared" si="29"/>
        <v>76789.366681822736</v>
      </c>
      <c r="N152" s="7">
        <f t="shared" si="29"/>
        <v>76789.366681822736</v>
      </c>
      <c r="O152" s="7">
        <f t="shared" si="29"/>
        <v>76789.366681822736</v>
      </c>
      <c r="P152" s="7">
        <f t="shared" si="29"/>
        <v>46815.884664883903</v>
      </c>
      <c r="Q152" s="7">
        <f t="shared" si="29"/>
        <v>46815.884664883903</v>
      </c>
      <c r="R152" s="7">
        <f t="shared" si="29"/>
        <v>46815.884664883903</v>
      </c>
      <c r="S152" s="7">
        <f t="shared" si="29"/>
        <v>46815.884664883903</v>
      </c>
      <c r="T152" s="7">
        <f t="shared" si="29"/>
        <v>46815.884664883903</v>
      </c>
      <c r="U152" s="7">
        <f t="shared" si="29"/>
        <v>41960.854139533454</v>
      </c>
      <c r="V152" s="7">
        <f t="shared" si="29"/>
        <v>41960.854139533454</v>
      </c>
      <c r="W152" s="7">
        <f t="shared" si="29"/>
        <v>41960.854139533454</v>
      </c>
      <c r="X152" s="7">
        <f t="shared" si="29"/>
        <v>41960.854139533454</v>
      </c>
      <c r="Y152" s="7">
        <f t="shared" si="29"/>
        <v>41960.854139533454</v>
      </c>
      <c r="Z152" s="7">
        <f t="shared" si="29"/>
        <v>40486.428248857512</v>
      </c>
      <c r="AA152" s="7">
        <f t="shared" si="29"/>
        <v>40486.428248857512</v>
      </c>
      <c r="AB152" s="7">
        <f t="shared" si="29"/>
        <v>40486.428248857512</v>
      </c>
      <c r="AC152" s="7">
        <f t="shared" si="29"/>
        <v>40486.428248857512</v>
      </c>
      <c r="AD152" s="7">
        <f t="shared" si="29"/>
        <v>40486.428248857512</v>
      </c>
      <c r="AE152" s="7">
        <f t="shared" si="29"/>
        <v>38900.864728231136</v>
      </c>
      <c r="AF152" s="7">
        <f t="shared" si="29"/>
        <v>38900.864728231136</v>
      </c>
      <c r="AG152" s="7">
        <f t="shared" si="29"/>
        <v>38900.864728231136</v>
      </c>
      <c r="AH152" s="7">
        <f t="shared" si="29"/>
        <v>38900.864728231136</v>
      </c>
      <c r="AI152" s="7">
        <f t="shared" si="29"/>
        <v>38900.864728231136</v>
      </c>
      <c r="AJ152" s="118">
        <f t="shared" si="29"/>
        <v>36457.18399210857</v>
      </c>
    </row>
    <row r="153" spans="8:36" x14ac:dyDescent="0.25">
      <c r="H153" s="83" t="s">
        <v>223</v>
      </c>
      <c r="I153" s="102">
        <f t="shared" si="24"/>
        <v>54029</v>
      </c>
      <c r="J153" s="13">
        <f t="shared" si="25"/>
        <v>54029</v>
      </c>
      <c r="K153" s="7">
        <f t="shared" si="30"/>
        <v>47468.624201416453</v>
      </c>
      <c r="L153" s="7">
        <f t="shared" si="29"/>
        <v>47468.624201416453</v>
      </c>
      <c r="M153" s="7">
        <f t="shared" si="29"/>
        <v>47468.624201416453</v>
      </c>
      <c r="N153" s="7">
        <f t="shared" si="29"/>
        <v>47468.624201416453</v>
      </c>
      <c r="O153" s="7">
        <f t="shared" si="29"/>
        <v>47468.624201416453</v>
      </c>
      <c r="P153" s="7">
        <f t="shared" si="29"/>
        <v>28940.017763426607</v>
      </c>
      <c r="Q153" s="7">
        <f t="shared" si="29"/>
        <v>28940.017763426607</v>
      </c>
      <c r="R153" s="7">
        <f t="shared" si="29"/>
        <v>28940.017763426607</v>
      </c>
      <c r="S153" s="7">
        <f t="shared" si="29"/>
        <v>28940.017763426607</v>
      </c>
      <c r="T153" s="7">
        <f t="shared" si="29"/>
        <v>28940.017763426607</v>
      </c>
      <c r="U153" s="7">
        <f t="shared" si="29"/>
        <v>25938.799893650637</v>
      </c>
      <c r="V153" s="7">
        <f t="shared" ref="L153:AJ162" si="31">$I153*V$164</f>
        <v>25938.799893650637</v>
      </c>
      <c r="W153" s="7">
        <f t="shared" si="31"/>
        <v>25938.799893650637</v>
      </c>
      <c r="X153" s="7">
        <f t="shared" si="31"/>
        <v>25938.799893650637</v>
      </c>
      <c r="Y153" s="7">
        <f t="shared" si="31"/>
        <v>25938.799893650637</v>
      </c>
      <c r="Z153" s="7">
        <f t="shared" si="31"/>
        <v>25027.359006172886</v>
      </c>
      <c r="AA153" s="7">
        <f t="shared" si="31"/>
        <v>25027.359006172886</v>
      </c>
      <c r="AB153" s="7">
        <f t="shared" si="31"/>
        <v>25027.359006172886</v>
      </c>
      <c r="AC153" s="7">
        <f t="shared" si="31"/>
        <v>25027.359006172886</v>
      </c>
      <c r="AD153" s="7">
        <f t="shared" si="31"/>
        <v>25027.359006172886</v>
      </c>
      <c r="AE153" s="7">
        <f t="shared" si="31"/>
        <v>24047.216544262144</v>
      </c>
      <c r="AF153" s="7">
        <f t="shared" si="31"/>
        <v>24047.216544262144</v>
      </c>
      <c r="AG153" s="7">
        <f t="shared" si="31"/>
        <v>24047.216544262144</v>
      </c>
      <c r="AH153" s="7">
        <f t="shared" si="31"/>
        <v>24047.216544262144</v>
      </c>
      <c r="AI153" s="7">
        <f t="shared" si="31"/>
        <v>24047.216544262144</v>
      </c>
      <c r="AJ153" s="118">
        <f t="shared" si="31"/>
        <v>22536.614653092995</v>
      </c>
    </row>
    <row r="154" spans="8:36" x14ac:dyDescent="0.25">
      <c r="H154" s="83" t="s">
        <v>224</v>
      </c>
      <c r="I154" s="102">
        <f t="shared" si="24"/>
        <v>94567</v>
      </c>
      <c r="J154" s="13">
        <f t="shared" si="25"/>
        <v>94567</v>
      </c>
      <c r="K154" s="7">
        <f t="shared" si="30"/>
        <v>83084.369224959737</v>
      </c>
      <c r="L154" s="7">
        <f t="shared" si="31"/>
        <v>83084.369224959737</v>
      </c>
      <c r="M154" s="7">
        <f t="shared" si="31"/>
        <v>83084.369224959737</v>
      </c>
      <c r="N154" s="7">
        <f t="shared" si="31"/>
        <v>83084.369224959737</v>
      </c>
      <c r="O154" s="7">
        <f t="shared" si="31"/>
        <v>83084.369224959737</v>
      </c>
      <c r="P154" s="7">
        <f t="shared" si="31"/>
        <v>50653.735213199652</v>
      </c>
      <c r="Q154" s="7">
        <f t="shared" si="31"/>
        <v>50653.735213199652</v>
      </c>
      <c r="R154" s="7">
        <f t="shared" si="31"/>
        <v>50653.735213199652</v>
      </c>
      <c r="S154" s="7">
        <f t="shared" si="31"/>
        <v>50653.735213199652</v>
      </c>
      <c r="T154" s="7">
        <f t="shared" si="31"/>
        <v>50653.735213199652</v>
      </c>
      <c r="U154" s="7">
        <f t="shared" si="31"/>
        <v>45400.701281586917</v>
      </c>
      <c r="V154" s="7">
        <f t="shared" si="31"/>
        <v>45400.701281586917</v>
      </c>
      <c r="W154" s="7">
        <f t="shared" si="31"/>
        <v>45400.701281586917</v>
      </c>
      <c r="X154" s="7">
        <f t="shared" si="31"/>
        <v>45400.701281586917</v>
      </c>
      <c r="Y154" s="7">
        <f t="shared" si="31"/>
        <v>45400.701281586917</v>
      </c>
      <c r="Z154" s="7">
        <f t="shared" si="31"/>
        <v>43805.405599525278</v>
      </c>
      <c r="AA154" s="7">
        <f t="shared" si="31"/>
        <v>43805.405599525278</v>
      </c>
      <c r="AB154" s="7">
        <f t="shared" si="31"/>
        <v>43805.405599525278</v>
      </c>
      <c r="AC154" s="7">
        <f t="shared" si="31"/>
        <v>43805.405599525278</v>
      </c>
      <c r="AD154" s="7">
        <f t="shared" si="31"/>
        <v>43805.405599525278</v>
      </c>
      <c r="AE154" s="7">
        <f t="shared" si="31"/>
        <v>42089.86149921779</v>
      </c>
      <c r="AF154" s="7">
        <f t="shared" si="31"/>
        <v>42089.86149921779</v>
      </c>
      <c r="AG154" s="7">
        <f t="shared" si="31"/>
        <v>42089.86149921779</v>
      </c>
      <c r="AH154" s="7">
        <f t="shared" si="31"/>
        <v>42089.86149921779</v>
      </c>
      <c r="AI154" s="7">
        <f t="shared" si="31"/>
        <v>42089.86149921779</v>
      </c>
      <c r="AJ154" s="118">
        <f t="shared" si="31"/>
        <v>39445.853854393848</v>
      </c>
    </row>
    <row r="155" spans="8:36" x14ac:dyDescent="0.25">
      <c r="H155" s="83" t="s">
        <v>225</v>
      </c>
      <c r="I155" s="102">
        <f t="shared" si="24"/>
        <v>121038</v>
      </c>
      <c r="J155" s="13">
        <f t="shared" si="25"/>
        <v>121038</v>
      </c>
      <c r="K155" s="7">
        <f t="shared" si="30"/>
        <v>106341.17485222833</v>
      </c>
      <c r="L155" s="7">
        <f t="shared" si="31"/>
        <v>106341.17485222833</v>
      </c>
      <c r="M155" s="7">
        <f t="shared" si="31"/>
        <v>106341.17485222833</v>
      </c>
      <c r="N155" s="7">
        <f t="shared" si="31"/>
        <v>106341.17485222833</v>
      </c>
      <c r="O155" s="7">
        <f t="shared" si="31"/>
        <v>106341.17485222833</v>
      </c>
      <c r="P155" s="7">
        <f t="shared" si="31"/>
        <v>64832.624517381955</v>
      </c>
      <c r="Q155" s="7">
        <f t="shared" si="31"/>
        <v>64832.624517381955</v>
      </c>
      <c r="R155" s="7">
        <f t="shared" si="31"/>
        <v>64832.624517381955</v>
      </c>
      <c r="S155" s="7">
        <f t="shared" si="31"/>
        <v>64832.624517381955</v>
      </c>
      <c r="T155" s="7">
        <f t="shared" si="31"/>
        <v>64832.624517381955</v>
      </c>
      <c r="U155" s="7">
        <f t="shared" si="31"/>
        <v>58109.172139548864</v>
      </c>
      <c r="V155" s="7">
        <f t="shared" si="31"/>
        <v>58109.172139548864</v>
      </c>
      <c r="W155" s="7">
        <f t="shared" si="31"/>
        <v>58109.172139548864</v>
      </c>
      <c r="X155" s="7">
        <f t="shared" si="31"/>
        <v>58109.172139548864</v>
      </c>
      <c r="Y155" s="7">
        <f t="shared" si="31"/>
        <v>58109.172139548864</v>
      </c>
      <c r="Z155" s="7">
        <f t="shared" si="31"/>
        <v>56067.324573639227</v>
      </c>
      <c r="AA155" s="7">
        <f t="shared" si="31"/>
        <v>56067.324573639227</v>
      </c>
      <c r="AB155" s="7">
        <f t="shared" si="31"/>
        <v>56067.324573639227</v>
      </c>
      <c r="AC155" s="7">
        <f t="shared" si="31"/>
        <v>56067.324573639227</v>
      </c>
      <c r="AD155" s="7">
        <f t="shared" si="31"/>
        <v>56067.324573639227</v>
      </c>
      <c r="AE155" s="7">
        <f t="shared" si="31"/>
        <v>53871.56889974646</v>
      </c>
      <c r="AF155" s="7">
        <f t="shared" si="31"/>
        <v>53871.56889974646</v>
      </c>
      <c r="AG155" s="7">
        <f t="shared" si="31"/>
        <v>53871.56889974646</v>
      </c>
      <c r="AH155" s="7">
        <f t="shared" si="31"/>
        <v>53871.56889974646</v>
      </c>
      <c r="AI155" s="7">
        <f t="shared" si="31"/>
        <v>53871.56889974646</v>
      </c>
      <c r="AJ155" s="118">
        <f t="shared" si="31"/>
        <v>50487.456076941453</v>
      </c>
    </row>
    <row r="156" spans="8:36" x14ac:dyDescent="0.25">
      <c r="H156" s="83" t="s">
        <v>226</v>
      </c>
      <c r="I156" s="102">
        <f t="shared" si="24"/>
        <v>212402</v>
      </c>
      <c r="J156" s="13">
        <f t="shared" si="25"/>
        <v>212402</v>
      </c>
      <c r="K156" s="7">
        <f t="shared" si="30"/>
        <v>186611.46268909765</v>
      </c>
      <c r="L156" s="7">
        <f t="shared" si="31"/>
        <v>186611.46268909765</v>
      </c>
      <c r="M156" s="7">
        <f t="shared" si="31"/>
        <v>186611.46268909765</v>
      </c>
      <c r="N156" s="7">
        <f t="shared" si="31"/>
        <v>186611.46268909765</v>
      </c>
      <c r="O156" s="7">
        <f t="shared" si="31"/>
        <v>186611.46268909765</v>
      </c>
      <c r="P156" s="7">
        <f t="shared" si="31"/>
        <v>113770.70930402818</v>
      </c>
      <c r="Q156" s="7">
        <f t="shared" si="31"/>
        <v>113770.70930402818</v>
      </c>
      <c r="R156" s="7">
        <f t="shared" si="31"/>
        <v>113770.70930402818</v>
      </c>
      <c r="S156" s="7">
        <f t="shared" si="31"/>
        <v>113770.70930402818</v>
      </c>
      <c r="T156" s="7">
        <f t="shared" si="31"/>
        <v>113770.70930402818</v>
      </c>
      <c r="U156" s="7">
        <f t="shared" si="31"/>
        <v>101972.14412650951</v>
      </c>
      <c r="V156" s="7">
        <f t="shared" si="31"/>
        <v>101972.14412650951</v>
      </c>
      <c r="W156" s="7">
        <f t="shared" si="31"/>
        <v>101972.14412650951</v>
      </c>
      <c r="X156" s="7">
        <f t="shared" si="31"/>
        <v>101972.14412650951</v>
      </c>
      <c r="Y156" s="7">
        <f t="shared" si="31"/>
        <v>101972.14412650951</v>
      </c>
      <c r="Z156" s="7">
        <f t="shared" si="31"/>
        <v>98389.033808309119</v>
      </c>
      <c r="AA156" s="7">
        <f t="shared" si="31"/>
        <v>98389.033808309119</v>
      </c>
      <c r="AB156" s="7">
        <f t="shared" si="31"/>
        <v>98389.033808309119</v>
      </c>
      <c r="AC156" s="7">
        <f t="shared" si="31"/>
        <v>98389.033808309119</v>
      </c>
      <c r="AD156" s="7">
        <f t="shared" si="31"/>
        <v>98389.033808309119</v>
      </c>
      <c r="AE156" s="7">
        <f t="shared" si="31"/>
        <v>94535.839797782071</v>
      </c>
      <c r="AF156" s="7">
        <f t="shared" si="31"/>
        <v>94535.839797782071</v>
      </c>
      <c r="AG156" s="7">
        <f t="shared" si="31"/>
        <v>94535.839797782071</v>
      </c>
      <c r="AH156" s="7">
        <f t="shared" si="31"/>
        <v>94535.839797782071</v>
      </c>
      <c r="AI156" s="7">
        <f t="shared" si="31"/>
        <v>94535.839797782071</v>
      </c>
      <c r="AJ156" s="118">
        <f t="shared" si="31"/>
        <v>88597.27230832068</v>
      </c>
    </row>
    <row r="157" spans="8:36" x14ac:dyDescent="0.25">
      <c r="H157" s="83" t="s">
        <v>228</v>
      </c>
      <c r="I157" s="102">
        <f t="shared" si="24"/>
        <v>6321</v>
      </c>
      <c r="J157" s="13">
        <f t="shared" si="25"/>
        <v>6321</v>
      </c>
      <c r="K157" s="7">
        <f t="shared" si="30"/>
        <v>5553.4837508958781</v>
      </c>
      <c r="L157" s="7">
        <f t="shared" si="31"/>
        <v>5553.4837508958781</v>
      </c>
      <c r="M157" s="7">
        <f t="shared" si="31"/>
        <v>5553.4837508958781</v>
      </c>
      <c r="N157" s="7">
        <f t="shared" si="31"/>
        <v>5553.4837508958781</v>
      </c>
      <c r="O157" s="7">
        <f t="shared" si="31"/>
        <v>5553.4837508958781</v>
      </c>
      <c r="P157" s="7">
        <f t="shared" si="31"/>
        <v>3385.7715723522479</v>
      </c>
      <c r="Q157" s="7">
        <f t="shared" si="31"/>
        <v>3385.7715723522479</v>
      </c>
      <c r="R157" s="7">
        <f t="shared" si="31"/>
        <v>3385.7715723522479</v>
      </c>
      <c r="S157" s="7">
        <f t="shared" si="31"/>
        <v>3385.7715723522479</v>
      </c>
      <c r="T157" s="7">
        <f t="shared" si="31"/>
        <v>3385.7715723522479</v>
      </c>
      <c r="U157" s="7">
        <f t="shared" si="31"/>
        <v>3034.6509120614055</v>
      </c>
      <c r="V157" s="7">
        <f t="shared" si="31"/>
        <v>3034.6509120614055</v>
      </c>
      <c r="W157" s="7">
        <f t="shared" si="31"/>
        <v>3034.6509120614055</v>
      </c>
      <c r="X157" s="7">
        <f t="shared" si="31"/>
        <v>3034.6509120614055</v>
      </c>
      <c r="Y157" s="7">
        <f t="shared" si="31"/>
        <v>3034.6509120614055</v>
      </c>
      <c r="Z157" s="7">
        <f t="shared" si="31"/>
        <v>2928.0189579303487</v>
      </c>
      <c r="AA157" s="7">
        <f t="shared" si="31"/>
        <v>2928.0189579303487</v>
      </c>
      <c r="AB157" s="7">
        <f t="shared" si="31"/>
        <v>2928.0189579303487</v>
      </c>
      <c r="AC157" s="7">
        <f t="shared" si="31"/>
        <v>2928.0189579303487</v>
      </c>
      <c r="AD157" s="7">
        <f t="shared" si="31"/>
        <v>2928.0189579303487</v>
      </c>
      <c r="AE157" s="7">
        <f t="shared" si="31"/>
        <v>2813.3494193170523</v>
      </c>
      <c r="AF157" s="7">
        <f t="shared" si="31"/>
        <v>2813.3494193170523</v>
      </c>
      <c r="AG157" s="7">
        <f t="shared" si="31"/>
        <v>2813.3494193170523</v>
      </c>
      <c r="AH157" s="7">
        <f t="shared" si="31"/>
        <v>2813.3494193170523</v>
      </c>
      <c r="AI157" s="7">
        <f t="shared" si="31"/>
        <v>2813.3494193170523</v>
      </c>
      <c r="AJ157" s="118">
        <f t="shared" si="31"/>
        <v>2636.6199859742142</v>
      </c>
    </row>
    <row r="158" spans="8:36" x14ac:dyDescent="0.25">
      <c r="H158" s="83" t="s">
        <v>227</v>
      </c>
      <c r="I158" s="102">
        <f t="shared" si="24"/>
        <v>93837</v>
      </c>
      <c r="J158" s="13">
        <f t="shared" si="25"/>
        <v>93837</v>
      </c>
      <c r="K158" s="7">
        <f t="shared" si="30"/>
        <v>82443.008184277249</v>
      </c>
      <c r="L158" s="7">
        <f t="shared" si="31"/>
        <v>82443.008184277249</v>
      </c>
      <c r="M158" s="7">
        <f t="shared" si="31"/>
        <v>82443.008184277249</v>
      </c>
      <c r="N158" s="7">
        <f t="shared" si="31"/>
        <v>82443.008184277249</v>
      </c>
      <c r="O158" s="7">
        <f t="shared" si="31"/>
        <v>82443.008184277249</v>
      </c>
      <c r="P158" s="7">
        <f t="shared" si="31"/>
        <v>50262.719037307048</v>
      </c>
      <c r="Q158" s="7">
        <f t="shared" si="31"/>
        <v>50262.719037307048</v>
      </c>
      <c r="R158" s="7">
        <f t="shared" si="31"/>
        <v>50262.719037307048</v>
      </c>
      <c r="S158" s="7">
        <f t="shared" si="31"/>
        <v>50262.719037307048</v>
      </c>
      <c r="T158" s="7">
        <f t="shared" si="31"/>
        <v>50262.719037307048</v>
      </c>
      <c r="U158" s="7">
        <f t="shared" si="31"/>
        <v>45050.235348062983</v>
      </c>
      <c r="V158" s="7">
        <f t="shared" si="31"/>
        <v>45050.235348062983</v>
      </c>
      <c r="W158" s="7">
        <f t="shared" si="31"/>
        <v>45050.235348062983</v>
      </c>
      <c r="X158" s="7">
        <f t="shared" si="31"/>
        <v>45050.235348062983</v>
      </c>
      <c r="Y158" s="7">
        <f t="shared" si="31"/>
        <v>45050.235348062983</v>
      </c>
      <c r="Z158" s="7">
        <f t="shared" si="31"/>
        <v>43467.254383058083</v>
      </c>
      <c r="AA158" s="7">
        <f t="shared" si="31"/>
        <v>43467.254383058083</v>
      </c>
      <c r="AB158" s="7">
        <f t="shared" si="31"/>
        <v>43467.254383058083</v>
      </c>
      <c r="AC158" s="7">
        <f t="shared" si="31"/>
        <v>43467.254383058083</v>
      </c>
      <c r="AD158" s="7">
        <f t="shared" si="31"/>
        <v>43467.254383058083</v>
      </c>
      <c r="AE158" s="7">
        <f t="shared" si="31"/>
        <v>41764.953244811615</v>
      </c>
      <c r="AF158" s="7">
        <f t="shared" si="31"/>
        <v>41764.953244811615</v>
      </c>
      <c r="AG158" s="7">
        <f t="shared" si="31"/>
        <v>41764.953244811615</v>
      </c>
      <c r="AH158" s="7">
        <f t="shared" si="31"/>
        <v>41764.953244811615</v>
      </c>
      <c r="AI158" s="7">
        <f t="shared" si="31"/>
        <v>41764.953244811615</v>
      </c>
      <c r="AJ158" s="118">
        <f t="shared" si="31"/>
        <v>39141.355738627171</v>
      </c>
    </row>
    <row r="159" spans="8:36" x14ac:dyDescent="0.25">
      <c r="H159" s="83" t="s">
        <v>229</v>
      </c>
      <c r="I159" s="102">
        <f t="shared" si="24"/>
        <v>42945</v>
      </c>
      <c r="J159" s="13">
        <f t="shared" si="25"/>
        <v>42945</v>
      </c>
      <c r="K159" s="7">
        <f t="shared" si="30"/>
        <v>37730.479304259366</v>
      </c>
      <c r="L159" s="7">
        <f t="shared" si="31"/>
        <v>37730.479304259366</v>
      </c>
      <c r="M159" s="7">
        <f t="shared" si="31"/>
        <v>37730.479304259366</v>
      </c>
      <c r="N159" s="7">
        <f t="shared" si="31"/>
        <v>37730.479304259366</v>
      </c>
      <c r="O159" s="7">
        <f t="shared" si="31"/>
        <v>37730.479304259366</v>
      </c>
      <c r="P159" s="7">
        <f t="shared" si="31"/>
        <v>23002.999553024409</v>
      </c>
      <c r="Q159" s="7">
        <f t="shared" si="31"/>
        <v>23002.999553024409</v>
      </c>
      <c r="R159" s="7">
        <f t="shared" si="31"/>
        <v>23002.999553024409</v>
      </c>
      <c r="S159" s="7">
        <f t="shared" si="31"/>
        <v>23002.999553024409</v>
      </c>
      <c r="T159" s="7">
        <f t="shared" si="31"/>
        <v>23002.999553024409</v>
      </c>
      <c r="U159" s="7">
        <f t="shared" si="31"/>
        <v>20617.478787925495</v>
      </c>
      <c r="V159" s="7">
        <f t="shared" si="31"/>
        <v>20617.478787925495</v>
      </c>
      <c r="W159" s="7">
        <f t="shared" si="31"/>
        <v>20617.478787925495</v>
      </c>
      <c r="X159" s="7">
        <f t="shared" si="31"/>
        <v>20617.478787925495</v>
      </c>
      <c r="Y159" s="7">
        <f t="shared" si="31"/>
        <v>20617.478787925495</v>
      </c>
      <c r="Z159" s="7">
        <f t="shared" si="31"/>
        <v>19893.019166005193</v>
      </c>
      <c r="AA159" s="7">
        <f t="shared" si="31"/>
        <v>19893.019166005193</v>
      </c>
      <c r="AB159" s="7">
        <f t="shared" si="31"/>
        <v>19893.019166005193</v>
      </c>
      <c r="AC159" s="7">
        <f t="shared" si="31"/>
        <v>19893.019166005193</v>
      </c>
      <c r="AD159" s="7">
        <f t="shared" si="31"/>
        <v>19893.019166005193</v>
      </c>
      <c r="AE159" s="7">
        <f t="shared" si="31"/>
        <v>19113.952034894923</v>
      </c>
      <c r="AF159" s="7">
        <f t="shared" si="31"/>
        <v>19113.952034894923</v>
      </c>
      <c r="AG159" s="7">
        <f t="shared" si="31"/>
        <v>19113.952034894923</v>
      </c>
      <c r="AH159" s="7">
        <f t="shared" si="31"/>
        <v>19113.952034894923</v>
      </c>
      <c r="AI159" s="7">
        <f t="shared" si="31"/>
        <v>19113.952034894923</v>
      </c>
      <c r="AJ159" s="118">
        <f t="shared" si="31"/>
        <v>17913.248741917832</v>
      </c>
    </row>
    <row r="160" spans="8:36" x14ac:dyDescent="0.25">
      <c r="H160" s="83" t="s">
        <v>159</v>
      </c>
      <c r="I160" s="102">
        <f t="shared" si="24"/>
        <v>296801</v>
      </c>
      <c r="J160" s="13">
        <f t="shared" si="25"/>
        <v>296801</v>
      </c>
      <c r="K160" s="7">
        <f t="shared" si="30"/>
        <v>260762.46333644161</v>
      </c>
      <c r="L160" s="7">
        <f t="shared" si="31"/>
        <v>260762.46333644161</v>
      </c>
      <c r="M160" s="7">
        <f t="shared" si="31"/>
        <v>260762.46333644161</v>
      </c>
      <c r="N160" s="7">
        <f t="shared" si="31"/>
        <v>260762.46333644161</v>
      </c>
      <c r="O160" s="7">
        <f t="shared" si="31"/>
        <v>260762.46333644161</v>
      </c>
      <c r="P160" s="7">
        <f t="shared" si="31"/>
        <v>158978.07126178127</v>
      </c>
      <c r="Q160" s="7">
        <f t="shared" si="31"/>
        <v>158978.07126178127</v>
      </c>
      <c r="R160" s="7">
        <f t="shared" si="31"/>
        <v>158978.07126178127</v>
      </c>
      <c r="S160" s="7">
        <f t="shared" si="31"/>
        <v>158978.07126178127</v>
      </c>
      <c r="T160" s="7">
        <f t="shared" si="31"/>
        <v>158978.07126178127</v>
      </c>
      <c r="U160" s="7">
        <f t="shared" si="31"/>
        <v>142491.28703539586</v>
      </c>
      <c r="V160" s="7">
        <f t="shared" si="31"/>
        <v>142491.28703539586</v>
      </c>
      <c r="W160" s="7">
        <f t="shared" si="31"/>
        <v>142491.28703539586</v>
      </c>
      <c r="X160" s="7">
        <f t="shared" si="31"/>
        <v>142491.28703539586</v>
      </c>
      <c r="Y160" s="7">
        <f t="shared" si="31"/>
        <v>142491.28703539586</v>
      </c>
      <c r="Z160" s="7">
        <f t="shared" si="31"/>
        <v>137484.40986120637</v>
      </c>
      <c r="AA160" s="7">
        <f t="shared" si="31"/>
        <v>137484.40986120637</v>
      </c>
      <c r="AB160" s="7">
        <f t="shared" si="31"/>
        <v>137484.40986120637</v>
      </c>
      <c r="AC160" s="7">
        <f t="shared" si="31"/>
        <v>137484.40986120637</v>
      </c>
      <c r="AD160" s="7">
        <f t="shared" si="31"/>
        <v>137484.40986120637</v>
      </c>
      <c r="AE160" s="7">
        <f t="shared" si="31"/>
        <v>132100.12988494232</v>
      </c>
      <c r="AF160" s="7">
        <f t="shared" si="31"/>
        <v>132100.12988494232</v>
      </c>
      <c r="AG160" s="7">
        <f t="shared" si="31"/>
        <v>132100.12988494232</v>
      </c>
      <c r="AH160" s="7">
        <f t="shared" si="31"/>
        <v>132100.12988494232</v>
      </c>
      <c r="AI160" s="7">
        <f t="shared" si="31"/>
        <v>132100.12988494232</v>
      </c>
      <c r="AJ160" s="118">
        <f t="shared" si="31"/>
        <v>123801.84281872057</v>
      </c>
    </row>
    <row r="161" spans="8:37" x14ac:dyDescent="0.25">
      <c r="H161" s="83" t="s">
        <v>158</v>
      </c>
      <c r="I161" s="102">
        <f t="shared" si="24"/>
        <v>175943</v>
      </c>
      <c r="J161" s="13">
        <f t="shared" si="25"/>
        <v>175943</v>
      </c>
      <c r="K161" s="7">
        <f t="shared" si="30"/>
        <v>154579.43230246377</v>
      </c>
      <c r="L161" s="7">
        <f t="shared" si="31"/>
        <v>154579.43230246377</v>
      </c>
      <c r="M161" s="7">
        <f t="shared" si="31"/>
        <v>154579.43230246377</v>
      </c>
      <c r="N161" s="7">
        <f t="shared" si="31"/>
        <v>154579.43230246377</v>
      </c>
      <c r="O161" s="7">
        <f t="shared" si="31"/>
        <v>154579.43230246377</v>
      </c>
      <c r="P161" s="7">
        <f t="shared" si="31"/>
        <v>94241.861691879691</v>
      </c>
      <c r="Q161" s="7">
        <f t="shared" si="31"/>
        <v>94241.861691879691</v>
      </c>
      <c r="R161" s="7">
        <f t="shared" si="31"/>
        <v>94241.861691879691</v>
      </c>
      <c r="S161" s="7">
        <f t="shared" si="31"/>
        <v>94241.861691879691</v>
      </c>
      <c r="T161" s="7">
        <f t="shared" si="31"/>
        <v>94241.861691879691</v>
      </c>
      <c r="U161" s="7">
        <f t="shared" si="31"/>
        <v>84468.531153428223</v>
      </c>
      <c r="V161" s="7">
        <f t="shared" si="31"/>
        <v>84468.531153428223</v>
      </c>
      <c r="W161" s="7">
        <f t="shared" si="31"/>
        <v>84468.531153428223</v>
      </c>
      <c r="X161" s="7">
        <f t="shared" si="31"/>
        <v>84468.531153428223</v>
      </c>
      <c r="Y161" s="7">
        <f t="shared" si="31"/>
        <v>84468.531153428223</v>
      </c>
      <c r="Z161" s="7">
        <f t="shared" si="31"/>
        <v>81500.465039572751</v>
      </c>
      <c r="AA161" s="7">
        <f t="shared" si="31"/>
        <v>81500.465039572751</v>
      </c>
      <c r="AB161" s="7">
        <f t="shared" si="31"/>
        <v>81500.465039572751</v>
      </c>
      <c r="AC161" s="7">
        <f t="shared" si="31"/>
        <v>81500.465039572751</v>
      </c>
      <c r="AD161" s="7">
        <f t="shared" si="31"/>
        <v>81500.465039572751</v>
      </c>
      <c r="AE161" s="7">
        <f t="shared" si="31"/>
        <v>78308.675349296012</v>
      </c>
      <c r="AF161" s="7">
        <f t="shared" si="31"/>
        <v>78308.675349296012</v>
      </c>
      <c r="AG161" s="7">
        <f t="shared" si="31"/>
        <v>78308.675349296012</v>
      </c>
      <c r="AH161" s="7">
        <f t="shared" si="31"/>
        <v>78308.675349296012</v>
      </c>
      <c r="AI161" s="7">
        <f t="shared" si="31"/>
        <v>78308.675349296012</v>
      </c>
      <c r="AJ161" s="118">
        <f t="shared" si="31"/>
        <v>73389.468468954467</v>
      </c>
    </row>
    <row r="162" spans="8:37" x14ac:dyDescent="0.25">
      <c r="H162" s="83" t="s">
        <v>160</v>
      </c>
      <c r="I162" s="102">
        <f t="shared" si="24"/>
        <v>245464</v>
      </c>
      <c r="J162" s="13">
        <f t="shared" si="25"/>
        <v>245464</v>
      </c>
      <c r="K162" s="7">
        <f t="shared" si="30"/>
        <v>215658.96779463784</v>
      </c>
      <c r="L162" s="7">
        <f t="shared" si="31"/>
        <v>215658.96779463784</v>
      </c>
      <c r="M162" s="7">
        <f t="shared" si="31"/>
        <v>215658.96779463784</v>
      </c>
      <c r="N162" s="7">
        <f t="shared" si="31"/>
        <v>215658.96779463784</v>
      </c>
      <c r="O162" s="7">
        <f t="shared" si="31"/>
        <v>215658.96779463784</v>
      </c>
      <c r="P162" s="7">
        <f t="shared" si="31"/>
        <v>131479.99260178328</v>
      </c>
      <c r="Q162" s="7">
        <f t="shared" si="31"/>
        <v>131479.99260178328</v>
      </c>
      <c r="R162" s="7">
        <f t="shared" si="31"/>
        <v>131479.99260178328</v>
      </c>
      <c r="S162" s="7">
        <f t="shared" si="31"/>
        <v>131479.99260178328</v>
      </c>
      <c r="T162" s="7">
        <f t="shared" si="31"/>
        <v>131479.99260178328</v>
      </c>
      <c r="U162" s="7">
        <f t="shared" si="31"/>
        <v>117844.89028290473</v>
      </c>
      <c r="V162" s="7">
        <f t="shared" si="31"/>
        <v>117844.89028290473</v>
      </c>
      <c r="W162" s="7">
        <f t="shared" si="31"/>
        <v>117844.89028290473</v>
      </c>
      <c r="X162" s="7">
        <f t="shared" si="31"/>
        <v>117844.89028290473</v>
      </c>
      <c r="Y162" s="7">
        <f t="shared" si="31"/>
        <v>117844.89028290473</v>
      </c>
      <c r="Z162" s="7">
        <f t="shared" si="31"/>
        <v>113704.04136836184</v>
      </c>
      <c r="AA162" s="7">
        <f t="shared" si="31"/>
        <v>113704.04136836184</v>
      </c>
      <c r="AB162" s="7">
        <f t="shared" si="31"/>
        <v>113704.04136836184</v>
      </c>
      <c r="AC162" s="7">
        <f t="shared" si="31"/>
        <v>113704.04136836184</v>
      </c>
      <c r="AD162" s="7">
        <f t="shared" si="31"/>
        <v>113704.04136836184</v>
      </c>
      <c r="AE162" s="7">
        <f t="shared" si="31"/>
        <v>109251.06816377802</v>
      </c>
      <c r="AF162" s="7">
        <f t="shared" si="31"/>
        <v>109251.06816377802</v>
      </c>
      <c r="AG162" s="7">
        <f t="shared" si="31"/>
        <v>109251.06816377802</v>
      </c>
      <c r="AH162" s="7">
        <f t="shared" si="31"/>
        <v>109251.06816377802</v>
      </c>
      <c r="AI162" s="7">
        <f t="shared" si="31"/>
        <v>109251.06816377802</v>
      </c>
      <c r="AJ162" s="118">
        <f t="shared" si="31"/>
        <v>102388.11710760552</v>
      </c>
    </row>
    <row r="163" spans="8:37" x14ac:dyDescent="0.25">
      <c r="H163" s="83" t="s">
        <v>134</v>
      </c>
      <c r="I163" s="103">
        <f>$O$108</f>
        <v>129761</v>
      </c>
      <c r="J163" s="119">
        <f>$O$108</f>
        <v>129761</v>
      </c>
      <c r="K163" s="119">
        <v>114005</v>
      </c>
      <c r="L163" s="119">
        <v>114005</v>
      </c>
      <c r="M163" s="119">
        <v>114005</v>
      </c>
      <c r="N163" s="119">
        <v>114005</v>
      </c>
      <c r="O163" s="119">
        <v>114005</v>
      </c>
      <c r="P163" s="119">
        <v>69505</v>
      </c>
      <c r="Q163" s="119">
        <v>69505</v>
      </c>
      <c r="R163" s="119">
        <v>69505</v>
      </c>
      <c r="S163" s="119">
        <v>69505</v>
      </c>
      <c r="T163" s="119">
        <v>69505</v>
      </c>
      <c r="U163" s="119">
        <v>62297</v>
      </c>
      <c r="V163" s="119">
        <v>62297</v>
      </c>
      <c r="W163" s="119">
        <v>62297</v>
      </c>
      <c r="X163" s="119">
        <v>62297</v>
      </c>
      <c r="Y163" s="119">
        <v>62297</v>
      </c>
      <c r="Z163" s="119">
        <v>60108</v>
      </c>
      <c r="AA163" s="119">
        <v>60108</v>
      </c>
      <c r="AB163" s="119">
        <v>60108</v>
      </c>
      <c r="AC163" s="119">
        <v>60108</v>
      </c>
      <c r="AD163" s="119">
        <v>60108</v>
      </c>
      <c r="AE163" s="119">
        <v>57754</v>
      </c>
      <c r="AF163" s="119">
        <v>57754</v>
      </c>
      <c r="AG163" s="119">
        <v>57754</v>
      </c>
      <c r="AH163" s="119">
        <v>57754</v>
      </c>
      <c r="AI163" s="119">
        <v>57754</v>
      </c>
      <c r="AJ163" s="93">
        <v>54126</v>
      </c>
    </row>
    <row r="164" spans="8:37" x14ac:dyDescent="0.25">
      <c r="J164" s="54">
        <f>J163/$I$163</f>
        <v>1</v>
      </c>
      <c r="K164" s="54">
        <f t="shared" ref="K164:AJ164" si="32">K163/$I$163</f>
        <v>0.87857676805819929</v>
      </c>
      <c r="L164" s="54">
        <f t="shared" si="32"/>
        <v>0.87857676805819929</v>
      </c>
      <c r="M164" s="54">
        <f t="shared" si="32"/>
        <v>0.87857676805819929</v>
      </c>
      <c r="N164" s="54">
        <f t="shared" si="32"/>
        <v>0.87857676805819929</v>
      </c>
      <c r="O164" s="54">
        <f t="shared" si="32"/>
        <v>0.87857676805819929</v>
      </c>
      <c r="P164" s="54">
        <f t="shared" si="32"/>
        <v>0.5356385971131542</v>
      </c>
      <c r="Q164" s="54">
        <f t="shared" si="32"/>
        <v>0.5356385971131542</v>
      </c>
      <c r="R164" s="54">
        <f t="shared" si="32"/>
        <v>0.5356385971131542</v>
      </c>
      <c r="S164" s="54">
        <f t="shared" si="32"/>
        <v>0.5356385971131542</v>
      </c>
      <c r="T164" s="54">
        <f t="shared" si="32"/>
        <v>0.5356385971131542</v>
      </c>
      <c r="U164" s="54">
        <f t="shared" si="32"/>
        <v>0.48009031989580847</v>
      </c>
      <c r="V164" s="54">
        <f t="shared" si="32"/>
        <v>0.48009031989580847</v>
      </c>
      <c r="W164" s="54">
        <f t="shared" si="32"/>
        <v>0.48009031989580847</v>
      </c>
      <c r="X164" s="54">
        <f t="shared" si="32"/>
        <v>0.48009031989580847</v>
      </c>
      <c r="Y164" s="54">
        <f t="shared" si="32"/>
        <v>0.48009031989580847</v>
      </c>
      <c r="Z164" s="54">
        <f t="shared" si="32"/>
        <v>0.46322084447561285</v>
      </c>
      <c r="AA164" s="54">
        <f t="shared" si="32"/>
        <v>0.46322084447561285</v>
      </c>
      <c r="AB164" s="54">
        <f t="shared" si="32"/>
        <v>0.46322084447561285</v>
      </c>
      <c r="AC164" s="54">
        <f t="shared" si="32"/>
        <v>0.46322084447561285</v>
      </c>
      <c r="AD164" s="54">
        <f t="shared" si="32"/>
        <v>0.46322084447561285</v>
      </c>
      <c r="AE164" s="54">
        <f t="shared" si="32"/>
        <v>0.44507980055640756</v>
      </c>
      <c r="AF164" s="54">
        <f t="shared" si="32"/>
        <v>0.44507980055640756</v>
      </c>
      <c r="AG164" s="54">
        <f t="shared" si="32"/>
        <v>0.44507980055640756</v>
      </c>
      <c r="AH164" s="54">
        <f t="shared" si="32"/>
        <v>0.44507980055640756</v>
      </c>
      <c r="AI164" s="54">
        <f t="shared" si="32"/>
        <v>0.44507980055640756</v>
      </c>
      <c r="AJ164" s="54">
        <f t="shared" si="32"/>
        <v>0.41712070652969691</v>
      </c>
    </row>
    <row r="165" spans="8:37" x14ac:dyDescent="0.25">
      <c r="I165">
        <f>I163/293</f>
        <v>442.87030716723547</v>
      </c>
      <c r="J165">
        <f t="shared" ref="J165:AJ165" si="33">J163/293</f>
        <v>442.87030716723547</v>
      </c>
      <c r="K165">
        <f t="shared" si="33"/>
        <v>389.09556313993176</v>
      </c>
      <c r="L165">
        <f t="shared" si="33"/>
        <v>389.09556313993176</v>
      </c>
      <c r="M165">
        <f t="shared" si="33"/>
        <v>389.09556313993176</v>
      </c>
      <c r="N165">
        <f t="shared" si="33"/>
        <v>389.09556313993176</v>
      </c>
      <c r="O165">
        <f t="shared" si="33"/>
        <v>389.09556313993176</v>
      </c>
      <c r="P165">
        <f t="shared" si="33"/>
        <v>237.21843003412968</v>
      </c>
      <c r="Q165">
        <f t="shared" si="33"/>
        <v>237.21843003412968</v>
      </c>
      <c r="R165">
        <f t="shared" si="33"/>
        <v>237.21843003412968</v>
      </c>
      <c r="S165">
        <f t="shared" si="33"/>
        <v>237.21843003412968</v>
      </c>
      <c r="T165">
        <f t="shared" si="33"/>
        <v>237.21843003412968</v>
      </c>
      <c r="U165">
        <f t="shared" si="33"/>
        <v>212.61774744027304</v>
      </c>
      <c r="V165">
        <f t="shared" si="33"/>
        <v>212.61774744027304</v>
      </c>
      <c r="W165">
        <f t="shared" si="33"/>
        <v>212.61774744027304</v>
      </c>
      <c r="X165">
        <f t="shared" si="33"/>
        <v>212.61774744027304</v>
      </c>
      <c r="Y165">
        <f t="shared" si="33"/>
        <v>212.61774744027304</v>
      </c>
      <c r="Z165">
        <f t="shared" si="33"/>
        <v>205.14675767918089</v>
      </c>
      <c r="AA165">
        <f t="shared" si="33"/>
        <v>205.14675767918089</v>
      </c>
      <c r="AB165">
        <f t="shared" si="33"/>
        <v>205.14675767918089</v>
      </c>
      <c r="AC165">
        <f t="shared" si="33"/>
        <v>205.14675767918089</v>
      </c>
      <c r="AD165">
        <f t="shared" si="33"/>
        <v>205.14675767918089</v>
      </c>
      <c r="AE165">
        <f t="shared" si="33"/>
        <v>197.11262798634812</v>
      </c>
      <c r="AF165">
        <f t="shared" si="33"/>
        <v>197.11262798634812</v>
      </c>
      <c r="AG165">
        <f t="shared" si="33"/>
        <v>197.11262798634812</v>
      </c>
      <c r="AH165">
        <f t="shared" si="33"/>
        <v>197.11262798634812</v>
      </c>
      <c r="AI165">
        <f t="shared" si="33"/>
        <v>197.11262798634812</v>
      </c>
      <c r="AJ165">
        <f t="shared" si="33"/>
        <v>184.73037542662115</v>
      </c>
    </row>
    <row r="167" spans="8:37" x14ac:dyDescent="0.25">
      <c r="H167" s="121" t="s">
        <v>463</v>
      </c>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row>
    <row r="168" spans="8:37" x14ac:dyDescent="0.25">
      <c r="H168" s="122" t="s">
        <v>3</v>
      </c>
      <c r="I168" s="122">
        <v>2023</v>
      </c>
      <c r="J168" s="122">
        <v>2024</v>
      </c>
      <c r="K168" s="122">
        <v>2025</v>
      </c>
      <c r="L168" s="122">
        <v>2026</v>
      </c>
      <c r="M168" s="122">
        <v>2027</v>
      </c>
      <c r="N168" s="122">
        <v>2028</v>
      </c>
      <c r="O168" s="122">
        <v>2029</v>
      </c>
      <c r="P168" s="122">
        <v>2030</v>
      </c>
      <c r="Q168" s="122">
        <v>2031</v>
      </c>
      <c r="R168" s="122">
        <v>2032</v>
      </c>
      <c r="S168" s="122">
        <v>2033</v>
      </c>
      <c r="T168" s="122">
        <v>2034</v>
      </c>
      <c r="U168" s="122">
        <v>2035</v>
      </c>
      <c r="V168" s="122">
        <v>2036</v>
      </c>
      <c r="W168" s="122">
        <v>2037</v>
      </c>
      <c r="X168" s="122">
        <v>2038</v>
      </c>
      <c r="Y168" s="122">
        <v>2039</v>
      </c>
      <c r="Z168" s="122">
        <v>2040</v>
      </c>
      <c r="AA168" s="122">
        <v>2041</v>
      </c>
      <c r="AB168" s="122">
        <v>2042</v>
      </c>
      <c r="AC168" s="122">
        <v>2043</v>
      </c>
      <c r="AD168" s="122">
        <v>2044</v>
      </c>
      <c r="AE168" s="122">
        <v>2045</v>
      </c>
      <c r="AF168" s="122">
        <v>2046</v>
      </c>
      <c r="AG168" s="122">
        <v>2047</v>
      </c>
      <c r="AH168" s="122">
        <v>2048</v>
      </c>
      <c r="AI168" s="122">
        <v>2049</v>
      </c>
      <c r="AJ168" s="122">
        <v>2050</v>
      </c>
      <c r="AK168" s="37" t="s">
        <v>464</v>
      </c>
    </row>
    <row r="169" spans="8:37" x14ac:dyDescent="0.25">
      <c r="H169" s="70" t="s">
        <v>187</v>
      </c>
      <c r="I169" s="125">
        <f>I113/293.07*(1/(VLOOKUP($H169,'Fuel economy adjusted factor'!$A$2:$F$52,5,FALSE)*m2k))/'TCO Inputs'!$AZ$84</f>
        <v>85.858921522144314</v>
      </c>
      <c r="J169" s="125">
        <f>J113/293.07*(1/(VLOOKUP($H169,'Fuel economy adjusted factor'!$A$2:$F$52,5,FALSE)*m2k))/'TCO Inputs'!$AZ$84</f>
        <v>85.858921522144314</v>
      </c>
      <c r="K169" s="125">
        <f>K113/293.07*(1/(VLOOKUP($H169,'Fuel economy adjusted factor'!$A$2:$F$52,5,FALSE)*m2k))/'TCO Inputs'!$AZ$84</f>
        <v>75.43365377988809</v>
      </c>
      <c r="L169" s="125">
        <f>L113/293.07*(1/(VLOOKUP($H169,'Fuel economy adjusted factor'!$A$2:$F$52,5,FALSE)*m2k))/'TCO Inputs'!$AZ$84</f>
        <v>75.43365377988809</v>
      </c>
      <c r="M169" s="125">
        <f>M113/293.07*(1/(VLOOKUP($H169,'Fuel economy adjusted factor'!$A$2:$F$52,5,FALSE)*m2k))/'TCO Inputs'!$AZ$84</f>
        <v>75.43365377988809</v>
      </c>
      <c r="N169" s="125">
        <f>N113/293.07*(1/(VLOOKUP($H169,'Fuel economy adjusted factor'!$A$2:$F$52,5,FALSE)*m2k))/'TCO Inputs'!$AZ$84</f>
        <v>75.43365377988809</v>
      </c>
      <c r="O169" s="125">
        <f>O113/293.07*(1/(VLOOKUP($H169,'Fuel economy adjusted factor'!$A$2:$F$52,5,FALSE)*m2k))/'TCO Inputs'!$AZ$84</f>
        <v>75.43365377988809</v>
      </c>
      <c r="P169" s="125">
        <f>P113/293.07*(1/(VLOOKUP($H169,'Fuel economy adjusted factor'!$A$2:$F$52,5,FALSE)*m2k))/'TCO Inputs'!$AZ$84</f>
        <v>45.989352273769775</v>
      </c>
      <c r="Q169" s="125">
        <f>Q113/293.07*(1/(VLOOKUP($H169,'Fuel economy adjusted factor'!$A$2:$F$52,5,FALSE)*m2k))/'TCO Inputs'!$AZ$84</f>
        <v>45.989352273769775</v>
      </c>
      <c r="R169" s="125">
        <f>R113/293.07*(1/(VLOOKUP($H169,'Fuel economy adjusted factor'!$A$2:$F$52,5,FALSE)*m2k))/'TCO Inputs'!$AZ$84</f>
        <v>45.989352273769775</v>
      </c>
      <c r="S169" s="125">
        <f>S113/293.07*(1/(VLOOKUP($H169,'Fuel economy adjusted factor'!$A$2:$F$52,5,FALSE)*m2k))/'TCO Inputs'!$AZ$84</f>
        <v>45.989352273769775</v>
      </c>
      <c r="T169" s="125">
        <f>T113/293.07*(1/(VLOOKUP($H169,'Fuel economy adjusted factor'!$A$2:$F$52,5,FALSE)*m2k))/'TCO Inputs'!$AZ$84</f>
        <v>45.989352273769775</v>
      </c>
      <c r="U169" s="125">
        <f>U113/293.07*(1/(VLOOKUP($H169,'Fuel economy adjusted factor'!$A$2:$F$52,5,FALSE)*m2k))/'TCO Inputs'!$AZ$84</f>
        <v>41.22003709947537</v>
      </c>
      <c r="V169" s="125">
        <f>V113/293.07*(1/(VLOOKUP($H169,'Fuel economy adjusted factor'!$A$2:$F$52,5,FALSE)*m2k))/'TCO Inputs'!$AZ$84</f>
        <v>41.22003709947537</v>
      </c>
      <c r="W169" s="125">
        <f>W113/293.07*(1/(VLOOKUP($H169,'Fuel economy adjusted factor'!$A$2:$F$52,5,FALSE)*m2k))/'TCO Inputs'!$AZ$84</f>
        <v>41.22003709947537</v>
      </c>
      <c r="X169" s="125">
        <f>X113/293.07*(1/(VLOOKUP($H169,'Fuel economy adjusted factor'!$A$2:$F$52,5,FALSE)*m2k))/'TCO Inputs'!$AZ$84</f>
        <v>41.22003709947537</v>
      </c>
      <c r="Y169" s="125">
        <f>Y113/293.07*(1/(VLOOKUP($H169,'Fuel economy adjusted factor'!$A$2:$F$52,5,FALSE)*m2k))/'TCO Inputs'!$AZ$84</f>
        <v>41.22003709947537</v>
      </c>
      <c r="Z169" s="125">
        <f>Z113/293.07*(1/(VLOOKUP($H169,'Fuel economy adjusted factor'!$A$2:$F$52,5,FALSE)*m2k))/'TCO Inputs'!$AZ$84</f>
        <v>39.771642133253046</v>
      </c>
      <c r="AA169" s="125">
        <f>AA113/293.07*(1/(VLOOKUP($H169,'Fuel economy adjusted factor'!$A$2:$F$52,5,FALSE)*m2k))/'TCO Inputs'!$AZ$84</f>
        <v>39.771642133253046</v>
      </c>
      <c r="AB169" s="125">
        <f>AB113/293.07*(1/(VLOOKUP($H169,'Fuel economy adjusted factor'!$A$2:$F$52,5,FALSE)*m2k))/'TCO Inputs'!$AZ$84</f>
        <v>39.771642133253046</v>
      </c>
      <c r="AC169" s="125">
        <f>AC113/293.07*(1/(VLOOKUP($H169,'Fuel economy adjusted factor'!$A$2:$F$52,5,FALSE)*m2k))/'TCO Inputs'!$AZ$84</f>
        <v>39.771642133253046</v>
      </c>
      <c r="AD169" s="125">
        <f>AD113/293.07*(1/(VLOOKUP($H169,'Fuel economy adjusted factor'!$A$2:$F$52,5,FALSE)*m2k))/'TCO Inputs'!$AZ$84</f>
        <v>39.771642133253046</v>
      </c>
      <c r="AE169" s="125">
        <f>AE113/293.07*(1/(VLOOKUP($H169,'Fuel economy adjusted factor'!$A$2:$F$52,5,FALSE)*m2k))/'TCO Inputs'!$AZ$84</f>
        <v>38.214071667064225</v>
      </c>
      <c r="AF169" s="125">
        <f>AF113/293.07*(1/(VLOOKUP($H169,'Fuel economy adjusted factor'!$A$2:$F$52,5,FALSE)*m2k))/'TCO Inputs'!$AZ$84</f>
        <v>38.214071667064225</v>
      </c>
      <c r="AG169" s="125">
        <f>AG113/293.07*(1/(VLOOKUP($H169,'Fuel economy adjusted factor'!$A$2:$F$52,5,FALSE)*m2k))/'TCO Inputs'!$AZ$84</f>
        <v>38.214071667064225</v>
      </c>
      <c r="AH169" s="125">
        <f>AH113/293.07*(1/(VLOOKUP($H169,'Fuel economy adjusted factor'!$A$2:$F$52,5,FALSE)*m2k))/'TCO Inputs'!$AZ$84</f>
        <v>38.214071667064225</v>
      </c>
      <c r="AI169" s="125">
        <f>AI113/293.07*(1/(VLOOKUP($H169,'Fuel economy adjusted factor'!$A$2:$F$52,5,FALSE)*m2k))/'TCO Inputs'!$AZ$84</f>
        <v>38.214071667064225</v>
      </c>
      <c r="AJ169" s="125">
        <f>AJ113/293.07*(1/(VLOOKUP($H169,'Fuel economy adjusted factor'!$A$2:$F$52,5,FALSE)*m2k))/'TCO Inputs'!$AZ$84</f>
        <v>35.813534007194626</v>
      </c>
      <c r="AK169" s="98" cm="1">
        <f t="array" ref="AK169">SUMPRODUCT(INDEX(I169:AJ169,,'TCO Inputs'!$AZ$12-2023+_xlfn.SEQUENCE('TCO Inputs'!$AZ$13)),INDEX(INDEX('VKT US'!$C$63:$AA$113,MATCH(H169,$H$169:$H$219,0),0),,_xlfn.SEQUENCE('TCO Inputs'!$AZ$13)))*m2k*CONVERT(0.9072,"g","ton")</f>
        <v>23.872830925824911</v>
      </c>
    </row>
    <row r="170" spans="8:37" x14ac:dyDescent="0.25">
      <c r="H170" s="123" t="s">
        <v>231</v>
      </c>
      <c r="I170" s="125">
        <f>I114/293.07*(1/(VLOOKUP($H170,'Fuel economy adjusted factor'!$A$2:$F$52,5,FALSE)*m2k))/'TCO Inputs'!$AZ$84</f>
        <v>204.93193394801827</v>
      </c>
      <c r="J170" s="125">
        <f>J114/293.07*(1/(VLOOKUP($H170,'Fuel economy adjusted factor'!$A$2:$F$52,5,FALSE)*m2k))/'TCO Inputs'!$AZ$84</f>
        <v>204.93193394801827</v>
      </c>
      <c r="K170" s="125">
        <f>K114/293.07*(1/(VLOOKUP($H170,'Fuel economy adjusted factor'!$A$2:$F$52,5,FALSE)*m2k))/'TCO Inputs'!$AZ$84</f>
        <v>180.04843619996623</v>
      </c>
      <c r="L170" s="125">
        <f>L114/293.07*(1/(VLOOKUP($H170,'Fuel economy adjusted factor'!$A$2:$F$52,5,FALSE)*m2k))/'TCO Inputs'!$AZ$84</f>
        <v>180.04843619996623</v>
      </c>
      <c r="M170" s="125">
        <f>M114/293.07*(1/(VLOOKUP($H170,'Fuel economy adjusted factor'!$A$2:$F$52,5,FALSE)*m2k))/'TCO Inputs'!$AZ$84</f>
        <v>180.04843619996623</v>
      </c>
      <c r="N170" s="125">
        <f>N114/293.07*(1/(VLOOKUP($H170,'Fuel economy adjusted factor'!$A$2:$F$52,5,FALSE)*m2k))/'TCO Inputs'!$AZ$84</f>
        <v>180.04843619996623</v>
      </c>
      <c r="O170" s="125">
        <f>O114/293.07*(1/(VLOOKUP($H170,'Fuel economy adjusted factor'!$A$2:$F$52,5,FALSE)*m2k))/'TCO Inputs'!$AZ$84</f>
        <v>180.04843619996623</v>
      </c>
      <c r="P170" s="125">
        <f>P114/293.07*(1/(VLOOKUP($H170,'Fuel economy adjusted factor'!$A$2:$F$52,5,FALSE)*m2k))/'TCO Inputs'!$AZ$84</f>
        <v>109.76945360360209</v>
      </c>
      <c r="Q170" s="125">
        <f>Q114/293.07*(1/(VLOOKUP($H170,'Fuel economy adjusted factor'!$A$2:$F$52,5,FALSE)*m2k))/'TCO Inputs'!$AZ$84</f>
        <v>109.76945360360209</v>
      </c>
      <c r="R170" s="125">
        <f>R114/293.07*(1/(VLOOKUP($H170,'Fuel economy adjusted factor'!$A$2:$F$52,5,FALSE)*m2k))/'TCO Inputs'!$AZ$84</f>
        <v>109.76945360360209</v>
      </c>
      <c r="S170" s="125">
        <f>S114/293.07*(1/(VLOOKUP($H170,'Fuel economy adjusted factor'!$A$2:$F$52,5,FALSE)*m2k))/'TCO Inputs'!$AZ$84</f>
        <v>109.76945360360209</v>
      </c>
      <c r="T170" s="125">
        <f>T114/293.07*(1/(VLOOKUP($H170,'Fuel economy adjusted factor'!$A$2:$F$52,5,FALSE)*m2k))/'TCO Inputs'!$AZ$84</f>
        <v>109.76945360360209</v>
      </c>
      <c r="U170" s="125">
        <f>U114/293.07*(1/(VLOOKUP($H170,'Fuel economy adjusted factor'!$A$2:$F$52,5,FALSE)*m2k))/'TCO Inputs'!$AZ$84</f>
        <v>98.385837725970774</v>
      </c>
      <c r="V170" s="125">
        <f>V114/293.07*(1/(VLOOKUP($H170,'Fuel economy adjusted factor'!$A$2:$F$52,5,FALSE)*m2k))/'TCO Inputs'!$AZ$84</f>
        <v>98.385837725970774</v>
      </c>
      <c r="W170" s="125">
        <f>W114/293.07*(1/(VLOOKUP($H170,'Fuel economy adjusted factor'!$A$2:$F$52,5,FALSE)*m2k))/'TCO Inputs'!$AZ$84</f>
        <v>98.385837725970774</v>
      </c>
      <c r="X170" s="125">
        <f>X114/293.07*(1/(VLOOKUP($H170,'Fuel economy adjusted factor'!$A$2:$F$52,5,FALSE)*m2k))/'TCO Inputs'!$AZ$84</f>
        <v>98.385837725970774</v>
      </c>
      <c r="Y170" s="125">
        <f>Y114/293.07*(1/(VLOOKUP($H170,'Fuel economy adjusted factor'!$A$2:$F$52,5,FALSE)*m2k))/'TCO Inputs'!$AZ$84</f>
        <v>98.385837725970774</v>
      </c>
      <c r="Z170" s="125">
        <f>Z114/293.07*(1/(VLOOKUP($H170,'Fuel economy adjusted factor'!$A$2:$F$52,5,FALSE)*m2k))/'TCO Inputs'!$AZ$84</f>
        <v>94.928743503421515</v>
      </c>
      <c r="AA170" s="125">
        <f>AA114/293.07*(1/(VLOOKUP($H170,'Fuel economy adjusted factor'!$A$2:$F$52,5,FALSE)*m2k))/'TCO Inputs'!$AZ$84</f>
        <v>94.928743503421515</v>
      </c>
      <c r="AB170" s="125">
        <f>AB114/293.07*(1/(VLOOKUP($H170,'Fuel economy adjusted factor'!$A$2:$F$52,5,FALSE)*m2k))/'TCO Inputs'!$AZ$84</f>
        <v>94.928743503421515</v>
      </c>
      <c r="AC170" s="125">
        <f>AC114/293.07*(1/(VLOOKUP($H170,'Fuel economy adjusted factor'!$A$2:$F$52,5,FALSE)*m2k))/'TCO Inputs'!$AZ$84</f>
        <v>94.928743503421515</v>
      </c>
      <c r="AD170" s="125">
        <f>AD114/293.07*(1/(VLOOKUP($H170,'Fuel economy adjusted factor'!$A$2:$F$52,5,FALSE)*m2k))/'TCO Inputs'!$AZ$84</f>
        <v>94.928743503421515</v>
      </c>
      <c r="AE170" s="125">
        <f>AE114/293.07*(1/(VLOOKUP($H170,'Fuel economy adjusted factor'!$A$2:$F$52,5,FALSE)*m2k))/'TCO Inputs'!$AZ$84</f>
        <v>91.211064289222847</v>
      </c>
      <c r="AF170" s="125">
        <f>AF114/293.07*(1/(VLOOKUP($H170,'Fuel economy adjusted factor'!$A$2:$F$52,5,FALSE)*m2k))/'TCO Inputs'!$AZ$84</f>
        <v>91.211064289222847</v>
      </c>
      <c r="AG170" s="125">
        <f>AG114/293.07*(1/(VLOOKUP($H170,'Fuel economy adjusted factor'!$A$2:$F$52,5,FALSE)*m2k))/'TCO Inputs'!$AZ$84</f>
        <v>91.211064289222847</v>
      </c>
      <c r="AH170" s="125">
        <f>AH114/293.07*(1/(VLOOKUP($H170,'Fuel economy adjusted factor'!$A$2:$F$52,5,FALSE)*m2k))/'TCO Inputs'!$AZ$84</f>
        <v>91.211064289222847</v>
      </c>
      <c r="AI170" s="125">
        <f>AI114/293.07*(1/(VLOOKUP($H170,'Fuel economy adjusted factor'!$A$2:$F$52,5,FALSE)*m2k))/'TCO Inputs'!$AZ$84</f>
        <v>91.211064289222847</v>
      </c>
      <c r="AJ170" s="125">
        <f>AJ114/293.07*(1/(VLOOKUP($H170,'Fuel economy adjusted factor'!$A$2:$F$52,5,FALSE)*m2k))/'TCO Inputs'!$AZ$84</f>
        <v>85.481353078894543</v>
      </c>
      <c r="AK170" s="98" cm="1">
        <f t="array" ref="AK170">SUMPRODUCT(INDEX(I170:AJ170,,'TCO Inputs'!$AZ$12-2023+_xlfn.SEQUENCE('TCO Inputs'!$AZ$13)),INDEX(INDEX('VKT US'!$C$63:$AA$113,MATCH(H170,$H$169:$H$219,0),0),,_xlfn.SEQUENCE('TCO Inputs'!$AZ$13)))*m2k*CONVERT(0.9072,"g","ton")</f>
        <v>35.534212845910929</v>
      </c>
    </row>
    <row r="171" spans="8:37" x14ac:dyDescent="0.25">
      <c r="H171" s="123" t="s">
        <v>189</v>
      </c>
      <c r="I171" s="125">
        <f>I115/293.07*(1/(VLOOKUP($H171,'Fuel economy adjusted factor'!$A$2:$F$52,5,FALSE)*m2k))/'TCO Inputs'!$AZ$84</f>
        <v>84.713928938854053</v>
      </c>
      <c r="J171" s="125">
        <f>J115/293.07*(1/(VLOOKUP($H171,'Fuel economy adjusted factor'!$A$2:$F$52,5,FALSE)*m2k))/'TCO Inputs'!$AZ$84</f>
        <v>84.713928938854053</v>
      </c>
      <c r="K171" s="125">
        <f>K115/293.07*(1/(VLOOKUP($H171,'Fuel economy adjusted factor'!$A$2:$F$52,5,FALSE)*m2k))/'TCO Inputs'!$AZ$84</f>
        <v>74.42768989661036</v>
      </c>
      <c r="L171" s="125">
        <f>L115/293.07*(1/(VLOOKUP($H171,'Fuel economy adjusted factor'!$A$2:$F$52,5,FALSE)*m2k))/'TCO Inputs'!$AZ$84</f>
        <v>74.42768989661036</v>
      </c>
      <c r="M171" s="125">
        <f>M115/293.07*(1/(VLOOKUP($H171,'Fuel economy adjusted factor'!$A$2:$F$52,5,FALSE)*m2k))/'TCO Inputs'!$AZ$84</f>
        <v>74.42768989661036</v>
      </c>
      <c r="N171" s="125">
        <f>N115/293.07*(1/(VLOOKUP($H171,'Fuel economy adjusted factor'!$A$2:$F$52,5,FALSE)*m2k))/'TCO Inputs'!$AZ$84</f>
        <v>74.42768989661036</v>
      </c>
      <c r="O171" s="125">
        <f>O115/293.07*(1/(VLOOKUP($H171,'Fuel economy adjusted factor'!$A$2:$F$52,5,FALSE)*m2k))/'TCO Inputs'!$AZ$84</f>
        <v>74.42768989661036</v>
      </c>
      <c r="P171" s="125">
        <f>P115/293.07*(1/(VLOOKUP($H171,'Fuel economy adjusted factor'!$A$2:$F$52,5,FALSE)*m2k))/'TCO Inputs'!$AZ$84</f>
        <v>45.376050052751218</v>
      </c>
      <c r="Q171" s="125">
        <f>Q115/293.07*(1/(VLOOKUP($H171,'Fuel economy adjusted factor'!$A$2:$F$52,5,FALSE)*m2k))/'TCO Inputs'!$AZ$84</f>
        <v>45.376050052751218</v>
      </c>
      <c r="R171" s="125">
        <f>R115/293.07*(1/(VLOOKUP($H171,'Fuel economy adjusted factor'!$A$2:$F$52,5,FALSE)*m2k))/'TCO Inputs'!$AZ$84</f>
        <v>45.376050052751218</v>
      </c>
      <c r="S171" s="125">
        <f>S115/293.07*(1/(VLOOKUP($H171,'Fuel economy adjusted factor'!$A$2:$F$52,5,FALSE)*m2k))/'TCO Inputs'!$AZ$84</f>
        <v>45.376050052751218</v>
      </c>
      <c r="T171" s="125">
        <f>T115/293.07*(1/(VLOOKUP($H171,'Fuel economy adjusted factor'!$A$2:$F$52,5,FALSE)*m2k))/'TCO Inputs'!$AZ$84</f>
        <v>45.376050052751218</v>
      </c>
      <c r="U171" s="125">
        <f>U115/293.07*(1/(VLOOKUP($H171,'Fuel economy adjusted factor'!$A$2:$F$52,5,FALSE)*m2k))/'TCO Inputs'!$AZ$84</f>
        <v>40.670337243885236</v>
      </c>
      <c r="V171" s="125">
        <f>V115/293.07*(1/(VLOOKUP($H171,'Fuel economy adjusted factor'!$A$2:$F$52,5,FALSE)*m2k))/'TCO Inputs'!$AZ$84</f>
        <v>40.670337243885236</v>
      </c>
      <c r="W171" s="125">
        <f>W115/293.07*(1/(VLOOKUP($H171,'Fuel economy adjusted factor'!$A$2:$F$52,5,FALSE)*m2k))/'TCO Inputs'!$AZ$84</f>
        <v>40.670337243885236</v>
      </c>
      <c r="X171" s="125">
        <f>X115/293.07*(1/(VLOOKUP($H171,'Fuel economy adjusted factor'!$A$2:$F$52,5,FALSE)*m2k))/'TCO Inputs'!$AZ$84</f>
        <v>40.670337243885236</v>
      </c>
      <c r="Y171" s="125">
        <f>Y115/293.07*(1/(VLOOKUP($H171,'Fuel economy adjusted factor'!$A$2:$F$52,5,FALSE)*m2k))/'TCO Inputs'!$AZ$84</f>
        <v>40.670337243885236</v>
      </c>
      <c r="Z171" s="125">
        <f>Z115/293.07*(1/(VLOOKUP($H171,'Fuel economy adjusted factor'!$A$2:$F$52,5,FALSE)*m2k))/'TCO Inputs'!$AZ$84</f>
        <v>39.241257701903038</v>
      </c>
      <c r="AA171" s="125">
        <f>AA115/293.07*(1/(VLOOKUP($H171,'Fuel economy adjusted factor'!$A$2:$F$52,5,FALSE)*m2k))/'TCO Inputs'!$AZ$84</f>
        <v>39.241257701903038</v>
      </c>
      <c r="AB171" s="125">
        <f>AB115/293.07*(1/(VLOOKUP($H171,'Fuel economy adjusted factor'!$A$2:$F$52,5,FALSE)*m2k))/'TCO Inputs'!$AZ$84</f>
        <v>39.241257701903038</v>
      </c>
      <c r="AC171" s="125">
        <f>AC115/293.07*(1/(VLOOKUP($H171,'Fuel economy adjusted factor'!$A$2:$F$52,5,FALSE)*m2k))/'TCO Inputs'!$AZ$84</f>
        <v>39.241257701903038</v>
      </c>
      <c r="AD171" s="125">
        <f>AD115/293.07*(1/(VLOOKUP($H171,'Fuel economy adjusted factor'!$A$2:$F$52,5,FALSE)*m2k))/'TCO Inputs'!$AZ$84</f>
        <v>39.241257701903038</v>
      </c>
      <c r="AE171" s="125">
        <f>AE115/293.07*(1/(VLOOKUP($H171,'Fuel economy adjusted factor'!$A$2:$F$52,5,FALSE)*m2k))/'TCO Inputs'!$AZ$84</f>
        <v>37.704458596454849</v>
      </c>
      <c r="AF171" s="125">
        <f>AF115/293.07*(1/(VLOOKUP($H171,'Fuel economy adjusted factor'!$A$2:$F$52,5,FALSE)*m2k))/'TCO Inputs'!$AZ$84</f>
        <v>37.704458596454849</v>
      </c>
      <c r="AG171" s="125">
        <f>AG115/293.07*(1/(VLOOKUP($H171,'Fuel economy adjusted factor'!$A$2:$F$52,5,FALSE)*m2k))/'TCO Inputs'!$AZ$84</f>
        <v>37.704458596454849</v>
      </c>
      <c r="AH171" s="125">
        <f>AH115/293.07*(1/(VLOOKUP($H171,'Fuel economy adjusted factor'!$A$2:$F$52,5,FALSE)*m2k))/'TCO Inputs'!$AZ$84</f>
        <v>37.704458596454849</v>
      </c>
      <c r="AI171" s="125">
        <f>AI115/293.07*(1/(VLOOKUP($H171,'Fuel economy adjusted factor'!$A$2:$F$52,5,FALSE)*m2k))/'TCO Inputs'!$AZ$84</f>
        <v>37.704458596454849</v>
      </c>
      <c r="AJ171" s="125">
        <f>AJ115/293.07*(1/(VLOOKUP($H171,'Fuel economy adjusted factor'!$A$2:$F$52,5,FALSE)*m2k))/'TCO Inputs'!$AZ$84</f>
        <v>35.335933891881339</v>
      </c>
      <c r="AK171" s="98" cm="1">
        <f t="array" ref="AK171">SUMPRODUCT(INDEX(I171:AJ171,,'TCO Inputs'!$AZ$12-2023+_xlfn.SEQUENCE('TCO Inputs'!$AZ$13)),INDEX(INDEX('VKT US'!$C$63:$AA$113,MATCH(H171,$H$169:$H$219,0),0),,_xlfn.SEQUENCE('TCO Inputs'!$AZ$13)))*m2k*CONVERT(0.9072,"g","ton")</f>
        <v>17.305270179669293</v>
      </c>
    </row>
    <row r="172" spans="8:37" x14ac:dyDescent="0.25">
      <c r="H172" s="123" t="s">
        <v>188</v>
      </c>
      <c r="I172" s="125">
        <f>I116/293.07*(1/(VLOOKUP($H172,'Fuel economy adjusted factor'!$A$2:$F$52,5,FALSE)*m2k))/'TCO Inputs'!$AZ$84</f>
        <v>117.45189357990263</v>
      </c>
      <c r="J172" s="125">
        <f>J116/293.07*(1/(VLOOKUP($H172,'Fuel economy adjusted factor'!$A$2:$F$52,5,FALSE)*m2k))/'TCO Inputs'!$AZ$84</f>
        <v>117.45189357990263</v>
      </c>
      <c r="K172" s="125">
        <f>K116/293.07*(1/(VLOOKUP($H172,'Fuel economy adjusted factor'!$A$2:$F$52,5,FALSE)*m2k))/'TCO Inputs'!$AZ$84</f>
        <v>103.19050506374643</v>
      </c>
      <c r="L172" s="125">
        <f>L116/293.07*(1/(VLOOKUP($H172,'Fuel economy adjusted factor'!$A$2:$F$52,5,FALSE)*m2k))/'TCO Inputs'!$AZ$84</f>
        <v>103.19050506374643</v>
      </c>
      <c r="M172" s="125">
        <f>M116/293.07*(1/(VLOOKUP($H172,'Fuel economy adjusted factor'!$A$2:$F$52,5,FALSE)*m2k))/'TCO Inputs'!$AZ$84</f>
        <v>103.19050506374643</v>
      </c>
      <c r="N172" s="125">
        <f>N116/293.07*(1/(VLOOKUP($H172,'Fuel economy adjusted factor'!$A$2:$F$52,5,FALSE)*m2k))/'TCO Inputs'!$AZ$84</f>
        <v>103.19050506374643</v>
      </c>
      <c r="O172" s="125">
        <f>O116/293.07*(1/(VLOOKUP($H172,'Fuel economy adjusted factor'!$A$2:$F$52,5,FALSE)*m2k))/'TCO Inputs'!$AZ$84</f>
        <v>103.19050506374643</v>
      </c>
      <c r="P172" s="125">
        <f>P116/293.07*(1/(VLOOKUP($H172,'Fuel economy adjusted factor'!$A$2:$F$52,5,FALSE)*m2k))/'TCO Inputs'!$AZ$84</f>
        <v>62.911767505422532</v>
      </c>
      <c r="Q172" s="125">
        <f>Q116/293.07*(1/(VLOOKUP($H172,'Fuel economy adjusted factor'!$A$2:$F$52,5,FALSE)*m2k))/'TCO Inputs'!$AZ$84</f>
        <v>62.911767505422532</v>
      </c>
      <c r="R172" s="125">
        <f>R116/293.07*(1/(VLOOKUP($H172,'Fuel economy adjusted factor'!$A$2:$F$52,5,FALSE)*m2k))/'TCO Inputs'!$AZ$84</f>
        <v>62.911767505422532</v>
      </c>
      <c r="S172" s="125">
        <f>S116/293.07*(1/(VLOOKUP($H172,'Fuel economy adjusted factor'!$A$2:$F$52,5,FALSE)*m2k))/'TCO Inputs'!$AZ$84</f>
        <v>62.911767505422532</v>
      </c>
      <c r="T172" s="125">
        <f>T116/293.07*(1/(VLOOKUP($H172,'Fuel economy adjusted factor'!$A$2:$F$52,5,FALSE)*m2k))/'TCO Inputs'!$AZ$84</f>
        <v>62.911767505422532</v>
      </c>
      <c r="U172" s="125">
        <f>U116/293.07*(1/(VLOOKUP($H172,'Fuel economy adjusted factor'!$A$2:$F$52,5,FALSE)*m2k))/'TCO Inputs'!$AZ$84</f>
        <v>56.387517161143919</v>
      </c>
      <c r="V172" s="125">
        <f>V116/293.07*(1/(VLOOKUP($H172,'Fuel economy adjusted factor'!$A$2:$F$52,5,FALSE)*m2k))/'TCO Inputs'!$AZ$84</f>
        <v>56.387517161143919</v>
      </c>
      <c r="W172" s="125">
        <f>W116/293.07*(1/(VLOOKUP($H172,'Fuel economy adjusted factor'!$A$2:$F$52,5,FALSE)*m2k))/'TCO Inputs'!$AZ$84</f>
        <v>56.387517161143919</v>
      </c>
      <c r="X172" s="125">
        <f>X116/293.07*(1/(VLOOKUP($H172,'Fuel economy adjusted factor'!$A$2:$F$52,5,FALSE)*m2k))/'TCO Inputs'!$AZ$84</f>
        <v>56.387517161143919</v>
      </c>
      <c r="Y172" s="125">
        <f>Y116/293.07*(1/(VLOOKUP($H172,'Fuel economy adjusted factor'!$A$2:$F$52,5,FALSE)*m2k))/'TCO Inputs'!$AZ$84</f>
        <v>56.387517161143919</v>
      </c>
      <c r="Z172" s="125">
        <f>Z116/293.07*(1/(VLOOKUP($H172,'Fuel economy adjusted factor'!$A$2:$F$52,5,FALSE)*m2k))/'TCO Inputs'!$AZ$84</f>
        <v>54.406165329342308</v>
      </c>
      <c r="AA172" s="125">
        <f>AA116/293.07*(1/(VLOOKUP($H172,'Fuel economy adjusted factor'!$A$2:$F$52,5,FALSE)*m2k))/'TCO Inputs'!$AZ$84</f>
        <v>54.406165329342308</v>
      </c>
      <c r="AB172" s="125">
        <f>AB116/293.07*(1/(VLOOKUP($H172,'Fuel economy adjusted factor'!$A$2:$F$52,5,FALSE)*m2k))/'TCO Inputs'!$AZ$84</f>
        <v>54.406165329342308</v>
      </c>
      <c r="AC172" s="125">
        <f>AC116/293.07*(1/(VLOOKUP($H172,'Fuel economy adjusted factor'!$A$2:$F$52,5,FALSE)*m2k))/'TCO Inputs'!$AZ$84</f>
        <v>54.406165329342308</v>
      </c>
      <c r="AD172" s="125">
        <f>AD116/293.07*(1/(VLOOKUP($H172,'Fuel economy adjusted factor'!$A$2:$F$52,5,FALSE)*m2k))/'TCO Inputs'!$AZ$84</f>
        <v>54.406165329342308</v>
      </c>
      <c r="AE172" s="125">
        <f>AE116/293.07*(1/(VLOOKUP($H172,'Fuel economy adjusted factor'!$A$2:$F$52,5,FALSE)*m2k))/'TCO Inputs'!$AZ$84</f>
        <v>52.275465369515466</v>
      </c>
      <c r="AF172" s="125">
        <f>AF116/293.07*(1/(VLOOKUP($H172,'Fuel economy adjusted factor'!$A$2:$F$52,5,FALSE)*m2k))/'TCO Inputs'!$AZ$84</f>
        <v>52.275465369515466</v>
      </c>
      <c r="AG172" s="125">
        <f>AG116/293.07*(1/(VLOOKUP($H172,'Fuel economy adjusted factor'!$A$2:$F$52,5,FALSE)*m2k))/'TCO Inputs'!$AZ$84</f>
        <v>52.275465369515466</v>
      </c>
      <c r="AH172" s="125">
        <f>AH116/293.07*(1/(VLOOKUP($H172,'Fuel economy adjusted factor'!$A$2:$F$52,5,FALSE)*m2k))/'TCO Inputs'!$AZ$84</f>
        <v>52.275465369515466</v>
      </c>
      <c r="AI172" s="125">
        <f>AI116/293.07*(1/(VLOOKUP($H172,'Fuel economy adjusted factor'!$A$2:$F$52,5,FALSE)*m2k))/'TCO Inputs'!$AZ$84</f>
        <v>52.275465369515466</v>
      </c>
      <c r="AJ172" s="125">
        <f>AJ116/293.07*(1/(VLOOKUP($H172,'Fuel economy adjusted factor'!$A$2:$F$52,5,FALSE)*m2k))/'TCO Inputs'!$AZ$84</f>
        <v>48.991616833299766</v>
      </c>
      <c r="AK172" s="98" cm="1">
        <f t="array" ref="AK172">SUMPRODUCT(INDEX(I172:AJ172,,'TCO Inputs'!$AZ$12-2023+_xlfn.SEQUENCE('TCO Inputs'!$AZ$13)),INDEX(INDEX('VKT US'!$C$63:$AA$113,MATCH(H172,$H$169:$H$219,0),0),,_xlfn.SEQUENCE('TCO Inputs'!$AZ$13)))*m2k*CONVERT(0.9072,"g","ton")</f>
        <v>31.570245057878648</v>
      </c>
    </row>
    <row r="173" spans="8:37" x14ac:dyDescent="0.25">
      <c r="H173" s="123" t="s">
        <v>149</v>
      </c>
      <c r="I173" s="125">
        <f>I117/293.07*(1/(VLOOKUP($H173,'Fuel economy adjusted factor'!$A$2:$F$52,5,FALSE)*m2k))/'TCO Inputs'!$AZ$84</f>
        <v>50.687137895759335</v>
      </c>
      <c r="J173" s="125">
        <f>J117/293.07*(1/(VLOOKUP($H173,'Fuel economy adjusted factor'!$A$2:$F$52,5,FALSE)*m2k))/'TCO Inputs'!$AZ$84</f>
        <v>50.687137895759335</v>
      </c>
      <c r="K173" s="125">
        <f>K117/293.07*(1/(VLOOKUP($H173,'Fuel economy adjusted factor'!$A$2:$F$52,5,FALSE)*m2k))/'TCO Inputs'!$AZ$84</f>
        <v>44.532541794576517</v>
      </c>
      <c r="L173" s="125">
        <f>L117/293.07*(1/(VLOOKUP($H173,'Fuel economy adjusted factor'!$A$2:$F$52,5,FALSE)*m2k))/'TCO Inputs'!$AZ$84</f>
        <v>44.532541794576517</v>
      </c>
      <c r="M173" s="125">
        <f>M117/293.07*(1/(VLOOKUP($H173,'Fuel economy adjusted factor'!$A$2:$F$52,5,FALSE)*m2k))/'TCO Inputs'!$AZ$84</f>
        <v>44.532541794576517</v>
      </c>
      <c r="N173" s="125">
        <f>N117/293.07*(1/(VLOOKUP($H173,'Fuel economy adjusted factor'!$A$2:$F$52,5,FALSE)*m2k))/'TCO Inputs'!$AZ$84</f>
        <v>44.532541794576517</v>
      </c>
      <c r="O173" s="125">
        <f>O117/293.07*(1/(VLOOKUP($H173,'Fuel economy adjusted factor'!$A$2:$F$52,5,FALSE)*m2k))/'TCO Inputs'!$AZ$84</f>
        <v>44.532541794576517</v>
      </c>
      <c r="P173" s="125">
        <f>P117/293.07*(1/(VLOOKUP($H173,'Fuel economy adjusted factor'!$A$2:$F$52,5,FALSE)*m2k))/'TCO Inputs'!$AZ$84</f>
        <v>27.149987434165528</v>
      </c>
      <c r="Q173" s="125">
        <f>Q117/293.07*(1/(VLOOKUP($H173,'Fuel economy adjusted factor'!$A$2:$F$52,5,FALSE)*m2k))/'TCO Inputs'!$AZ$84</f>
        <v>27.149987434165528</v>
      </c>
      <c r="R173" s="125">
        <f>R117/293.07*(1/(VLOOKUP($H173,'Fuel economy adjusted factor'!$A$2:$F$52,5,FALSE)*m2k))/'TCO Inputs'!$AZ$84</f>
        <v>27.149987434165528</v>
      </c>
      <c r="S173" s="125">
        <f>S117/293.07*(1/(VLOOKUP($H173,'Fuel economy adjusted factor'!$A$2:$F$52,5,FALSE)*m2k))/'TCO Inputs'!$AZ$84</f>
        <v>27.149987434165528</v>
      </c>
      <c r="T173" s="125">
        <f>T117/293.07*(1/(VLOOKUP($H173,'Fuel economy adjusted factor'!$A$2:$F$52,5,FALSE)*m2k))/'TCO Inputs'!$AZ$84</f>
        <v>27.149987434165528</v>
      </c>
      <c r="U173" s="125">
        <f>U117/293.07*(1/(VLOOKUP($H173,'Fuel economy adjusted factor'!$A$2:$F$52,5,FALSE)*m2k))/'TCO Inputs'!$AZ$84</f>
        <v>24.33440424697805</v>
      </c>
      <c r="V173" s="125">
        <f>V117/293.07*(1/(VLOOKUP($H173,'Fuel economy adjusted factor'!$A$2:$F$52,5,FALSE)*m2k))/'TCO Inputs'!$AZ$84</f>
        <v>24.33440424697805</v>
      </c>
      <c r="W173" s="125">
        <f>W117/293.07*(1/(VLOOKUP($H173,'Fuel economy adjusted factor'!$A$2:$F$52,5,FALSE)*m2k))/'TCO Inputs'!$AZ$84</f>
        <v>24.33440424697805</v>
      </c>
      <c r="X173" s="125">
        <f>X117/293.07*(1/(VLOOKUP($H173,'Fuel economy adjusted factor'!$A$2:$F$52,5,FALSE)*m2k))/'TCO Inputs'!$AZ$84</f>
        <v>24.33440424697805</v>
      </c>
      <c r="Y173" s="125">
        <f>Y117/293.07*(1/(VLOOKUP($H173,'Fuel economy adjusted factor'!$A$2:$F$52,5,FALSE)*m2k))/'TCO Inputs'!$AZ$84</f>
        <v>24.33440424697805</v>
      </c>
      <c r="Z173" s="125">
        <f>Z117/293.07*(1/(VLOOKUP($H173,'Fuel economy adjusted factor'!$A$2:$F$52,5,FALSE)*m2k))/'TCO Inputs'!$AZ$84</f>
        <v>23.479338820125474</v>
      </c>
      <c r="AA173" s="125">
        <f>AA117/293.07*(1/(VLOOKUP($H173,'Fuel economy adjusted factor'!$A$2:$F$52,5,FALSE)*m2k))/'TCO Inputs'!$AZ$84</f>
        <v>23.479338820125474</v>
      </c>
      <c r="AB173" s="125">
        <f>AB117/293.07*(1/(VLOOKUP($H173,'Fuel economy adjusted factor'!$A$2:$F$52,5,FALSE)*m2k))/'TCO Inputs'!$AZ$84</f>
        <v>23.479338820125474</v>
      </c>
      <c r="AC173" s="125">
        <f>AC117/293.07*(1/(VLOOKUP($H173,'Fuel economy adjusted factor'!$A$2:$F$52,5,FALSE)*m2k))/'TCO Inputs'!$AZ$84</f>
        <v>23.479338820125474</v>
      </c>
      <c r="AD173" s="125">
        <f>AD117/293.07*(1/(VLOOKUP($H173,'Fuel economy adjusted factor'!$A$2:$F$52,5,FALSE)*m2k))/'TCO Inputs'!$AZ$84</f>
        <v>23.479338820125474</v>
      </c>
      <c r="AE173" s="125">
        <f>AE117/293.07*(1/(VLOOKUP($H173,'Fuel economy adjusted factor'!$A$2:$F$52,5,FALSE)*m2k))/'TCO Inputs'!$AZ$84</f>
        <v>22.559821225419693</v>
      </c>
      <c r="AF173" s="125">
        <f>AF117/293.07*(1/(VLOOKUP($H173,'Fuel economy adjusted factor'!$A$2:$F$52,5,FALSE)*m2k))/'TCO Inputs'!$AZ$84</f>
        <v>22.559821225419693</v>
      </c>
      <c r="AG173" s="125">
        <f>AG117/293.07*(1/(VLOOKUP($H173,'Fuel economy adjusted factor'!$A$2:$F$52,5,FALSE)*m2k))/'TCO Inputs'!$AZ$84</f>
        <v>22.559821225419693</v>
      </c>
      <c r="AH173" s="125">
        <f>AH117/293.07*(1/(VLOOKUP($H173,'Fuel economy adjusted factor'!$A$2:$F$52,5,FALSE)*m2k))/'TCO Inputs'!$AZ$84</f>
        <v>22.559821225419693</v>
      </c>
      <c r="AI173" s="125">
        <f>AI117/293.07*(1/(VLOOKUP($H173,'Fuel economy adjusted factor'!$A$2:$F$52,5,FALSE)*m2k))/'TCO Inputs'!$AZ$84</f>
        <v>22.559821225419693</v>
      </c>
      <c r="AJ173" s="125">
        <f>AJ117/293.07*(1/(VLOOKUP($H173,'Fuel economy adjusted factor'!$A$2:$F$52,5,FALSE)*m2k))/'TCO Inputs'!$AZ$84</f>
        <v>21.142654771047305</v>
      </c>
      <c r="AK173" s="98" cm="1">
        <f t="array" ref="AK173">SUMPRODUCT(INDEX(I173:AJ173,,'TCO Inputs'!$AZ$12-2023+_xlfn.SEQUENCE('TCO Inputs'!$AZ$13)),INDEX(INDEX('VKT US'!$C$63:$AA$113,MATCH(H173,$H$169:$H$219,0),0),,_xlfn.SEQUENCE('TCO Inputs'!$AZ$13)))*m2k*CONVERT(0.9072,"g","ton")</f>
        <v>9.9066025876813804</v>
      </c>
    </row>
    <row r="174" spans="8:37" x14ac:dyDescent="0.25">
      <c r="H174" s="123" t="s">
        <v>190</v>
      </c>
      <c r="I174" s="125">
        <f>I118/293.07*(1/(VLOOKUP($H174,'Fuel economy adjusted factor'!$A$2:$F$52,5,FALSE)*m2k))/'TCO Inputs'!$AZ$84</f>
        <v>131.09602579926135</v>
      </c>
      <c r="J174" s="125">
        <f>J118/293.07*(1/(VLOOKUP($H174,'Fuel economy adjusted factor'!$A$2:$F$52,5,FALSE)*m2k))/'TCO Inputs'!$AZ$84</f>
        <v>131.09602579926135</v>
      </c>
      <c r="K174" s="125">
        <f>K118/293.07*(1/(VLOOKUP($H174,'Fuel economy adjusted factor'!$A$2:$F$52,5,FALSE)*m2k))/'TCO Inputs'!$AZ$84</f>
        <v>115.17792265198936</v>
      </c>
      <c r="L174" s="125">
        <f>L118/293.07*(1/(VLOOKUP($H174,'Fuel economy adjusted factor'!$A$2:$F$52,5,FALSE)*m2k))/'TCO Inputs'!$AZ$84</f>
        <v>115.17792265198936</v>
      </c>
      <c r="M174" s="125">
        <f>M118/293.07*(1/(VLOOKUP($H174,'Fuel economy adjusted factor'!$A$2:$F$52,5,FALSE)*m2k))/'TCO Inputs'!$AZ$84</f>
        <v>115.17792265198936</v>
      </c>
      <c r="N174" s="125">
        <f>N118/293.07*(1/(VLOOKUP($H174,'Fuel economy adjusted factor'!$A$2:$F$52,5,FALSE)*m2k))/'TCO Inputs'!$AZ$84</f>
        <v>115.17792265198936</v>
      </c>
      <c r="O174" s="125">
        <f>O118/293.07*(1/(VLOOKUP($H174,'Fuel economy adjusted factor'!$A$2:$F$52,5,FALSE)*m2k))/'TCO Inputs'!$AZ$84</f>
        <v>115.17792265198936</v>
      </c>
      <c r="P174" s="125">
        <f>P118/293.07*(1/(VLOOKUP($H174,'Fuel economy adjusted factor'!$A$2:$F$52,5,FALSE)*m2k))/'TCO Inputs'!$AZ$84</f>
        <v>70.220091346226241</v>
      </c>
      <c r="Q174" s="125">
        <f>Q118/293.07*(1/(VLOOKUP($H174,'Fuel economy adjusted factor'!$A$2:$F$52,5,FALSE)*m2k))/'TCO Inputs'!$AZ$84</f>
        <v>70.220091346226241</v>
      </c>
      <c r="R174" s="125">
        <f>R118/293.07*(1/(VLOOKUP($H174,'Fuel economy adjusted factor'!$A$2:$F$52,5,FALSE)*m2k))/'TCO Inputs'!$AZ$84</f>
        <v>70.220091346226241</v>
      </c>
      <c r="S174" s="125">
        <f>S118/293.07*(1/(VLOOKUP($H174,'Fuel economy adjusted factor'!$A$2:$F$52,5,FALSE)*m2k))/'TCO Inputs'!$AZ$84</f>
        <v>70.220091346226241</v>
      </c>
      <c r="T174" s="125">
        <f>T118/293.07*(1/(VLOOKUP($H174,'Fuel economy adjusted factor'!$A$2:$F$52,5,FALSE)*m2k))/'TCO Inputs'!$AZ$84</f>
        <v>70.220091346226241</v>
      </c>
      <c r="U174" s="125">
        <f>U118/293.07*(1/(VLOOKUP($H174,'Fuel economy adjusted factor'!$A$2:$F$52,5,FALSE)*m2k))/'TCO Inputs'!$AZ$84</f>
        <v>62.937932963036559</v>
      </c>
      <c r="V174" s="125">
        <f>V118/293.07*(1/(VLOOKUP($H174,'Fuel economy adjusted factor'!$A$2:$F$52,5,FALSE)*m2k))/'TCO Inputs'!$AZ$84</f>
        <v>62.937932963036559</v>
      </c>
      <c r="W174" s="125">
        <f>W118/293.07*(1/(VLOOKUP($H174,'Fuel economy adjusted factor'!$A$2:$F$52,5,FALSE)*m2k))/'TCO Inputs'!$AZ$84</f>
        <v>62.937932963036559</v>
      </c>
      <c r="X174" s="125">
        <f>X118/293.07*(1/(VLOOKUP($H174,'Fuel economy adjusted factor'!$A$2:$F$52,5,FALSE)*m2k))/'TCO Inputs'!$AZ$84</f>
        <v>62.937932963036559</v>
      </c>
      <c r="Y174" s="125">
        <f>Y118/293.07*(1/(VLOOKUP($H174,'Fuel economy adjusted factor'!$A$2:$F$52,5,FALSE)*m2k))/'TCO Inputs'!$AZ$84</f>
        <v>62.937932963036559</v>
      </c>
      <c r="Z174" s="125">
        <f>Z118/293.07*(1/(VLOOKUP($H174,'Fuel economy adjusted factor'!$A$2:$F$52,5,FALSE)*m2k))/'TCO Inputs'!$AZ$84</f>
        <v>60.726411778130583</v>
      </c>
      <c r="AA174" s="125">
        <f>AA118/293.07*(1/(VLOOKUP($H174,'Fuel economy adjusted factor'!$A$2:$F$52,5,FALSE)*m2k))/'TCO Inputs'!$AZ$84</f>
        <v>60.726411778130583</v>
      </c>
      <c r="AB174" s="125">
        <f>AB118/293.07*(1/(VLOOKUP($H174,'Fuel economy adjusted factor'!$A$2:$F$52,5,FALSE)*m2k))/'TCO Inputs'!$AZ$84</f>
        <v>60.726411778130583</v>
      </c>
      <c r="AC174" s="125">
        <f>AC118/293.07*(1/(VLOOKUP($H174,'Fuel economy adjusted factor'!$A$2:$F$52,5,FALSE)*m2k))/'TCO Inputs'!$AZ$84</f>
        <v>60.726411778130583</v>
      </c>
      <c r="AD174" s="125">
        <f>AD118/293.07*(1/(VLOOKUP($H174,'Fuel economy adjusted factor'!$A$2:$F$52,5,FALSE)*m2k))/'TCO Inputs'!$AZ$84</f>
        <v>60.726411778130583</v>
      </c>
      <c r="AE174" s="125">
        <f>AE118/293.07*(1/(VLOOKUP($H174,'Fuel economy adjusted factor'!$A$2:$F$52,5,FALSE)*m2k))/'TCO Inputs'!$AZ$84</f>
        <v>58.348193016472912</v>
      </c>
      <c r="AF174" s="125">
        <f>AF118/293.07*(1/(VLOOKUP($H174,'Fuel economy adjusted factor'!$A$2:$F$52,5,FALSE)*m2k))/'TCO Inputs'!$AZ$84</f>
        <v>58.348193016472912</v>
      </c>
      <c r="AG174" s="125">
        <f>AG118/293.07*(1/(VLOOKUP($H174,'Fuel economy adjusted factor'!$A$2:$F$52,5,FALSE)*m2k))/'TCO Inputs'!$AZ$84</f>
        <v>58.348193016472912</v>
      </c>
      <c r="AH174" s="125">
        <f>AH118/293.07*(1/(VLOOKUP($H174,'Fuel economy adjusted factor'!$A$2:$F$52,5,FALSE)*m2k))/'TCO Inputs'!$AZ$84</f>
        <v>58.348193016472912</v>
      </c>
      <c r="AI174" s="125">
        <f>AI118/293.07*(1/(VLOOKUP($H174,'Fuel economy adjusted factor'!$A$2:$F$52,5,FALSE)*m2k))/'TCO Inputs'!$AZ$84</f>
        <v>58.348193016472912</v>
      </c>
      <c r="AJ174" s="125">
        <f>AJ118/293.07*(1/(VLOOKUP($H174,'Fuel economy adjusted factor'!$A$2:$F$52,5,FALSE)*m2k))/'TCO Inputs'!$AZ$84</f>
        <v>54.682866904623289</v>
      </c>
      <c r="AK174" s="98" cm="1">
        <f t="array" ref="AK174">SUMPRODUCT(INDEX(I174:AJ174,,'TCO Inputs'!$AZ$12-2023+_xlfn.SEQUENCE('TCO Inputs'!$AZ$13)),INDEX(INDEX('VKT US'!$C$63:$AA$113,MATCH(H174,$H$169:$H$219,0),0),,_xlfn.SEQUENCE('TCO Inputs'!$AZ$13)))*m2k*CONVERT(0.9072,"g","ton")</f>
        <v>26.389397943887047</v>
      </c>
    </row>
    <row r="175" spans="8:37" x14ac:dyDescent="0.25">
      <c r="H175" s="123" t="s">
        <v>191</v>
      </c>
      <c r="I175" s="125">
        <f>I119/293.07*(1/(VLOOKUP($H175,'Fuel economy adjusted factor'!$A$2:$F$52,5,FALSE)*m2k))/'TCO Inputs'!$AZ$84</f>
        <v>77.242686790273993</v>
      </c>
      <c r="J175" s="125">
        <f>J119/293.07*(1/(VLOOKUP($H175,'Fuel economy adjusted factor'!$A$2:$F$52,5,FALSE)*m2k))/'TCO Inputs'!$AZ$84</f>
        <v>77.242686790273993</v>
      </c>
      <c r="K175" s="125">
        <f>K119/293.07*(1/(VLOOKUP($H175,'Fuel economy adjusted factor'!$A$2:$F$52,5,FALSE)*m2k))/'TCO Inputs'!$AZ$84</f>
        <v>67.863630116330683</v>
      </c>
      <c r="L175" s="125">
        <f>L119/293.07*(1/(VLOOKUP($H175,'Fuel economy adjusted factor'!$A$2:$F$52,5,FALSE)*m2k))/'TCO Inputs'!$AZ$84</f>
        <v>67.863630116330683</v>
      </c>
      <c r="M175" s="125">
        <f>M119/293.07*(1/(VLOOKUP($H175,'Fuel economy adjusted factor'!$A$2:$F$52,5,FALSE)*m2k))/'TCO Inputs'!$AZ$84</f>
        <v>67.863630116330683</v>
      </c>
      <c r="N175" s="125">
        <f>N119/293.07*(1/(VLOOKUP($H175,'Fuel economy adjusted factor'!$A$2:$F$52,5,FALSE)*m2k))/'TCO Inputs'!$AZ$84</f>
        <v>67.863630116330683</v>
      </c>
      <c r="O175" s="125">
        <f>O119/293.07*(1/(VLOOKUP($H175,'Fuel economy adjusted factor'!$A$2:$F$52,5,FALSE)*m2k))/'TCO Inputs'!$AZ$84</f>
        <v>67.863630116330683</v>
      </c>
      <c r="P175" s="125">
        <f>P119/293.07*(1/(VLOOKUP($H175,'Fuel economy adjusted factor'!$A$2:$F$52,5,FALSE)*m2k))/'TCO Inputs'!$AZ$84</f>
        <v>41.374164389593133</v>
      </c>
      <c r="Q175" s="125">
        <f>Q119/293.07*(1/(VLOOKUP($H175,'Fuel economy adjusted factor'!$A$2:$F$52,5,FALSE)*m2k))/'TCO Inputs'!$AZ$84</f>
        <v>41.374164389593133</v>
      </c>
      <c r="R175" s="125">
        <f>R119/293.07*(1/(VLOOKUP($H175,'Fuel economy adjusted factor'!$A$2:$F$52,5,FALSE)*m2k))/'TCO Inputs'!$AZ$84</f>
        <v>41.374164389593133</v>
      </c>
      <c r="S175" s="125">
        <f>S119/293.07*(1/(VLOOKUP($H175,'Fuel economy adjusted factor'!$A$2:$F$52,5,FALSE)*m2k))/'TCO Inputs'!$AZ$84</f>
        <v>41.374164389593133</v>
      </c>
      <c r="T175" s="125">
        <f>T119/293.07*(1/(VLOOKUP($H175,'Fuel economy adjusted factor'!$A$2:$F$52,5,FALSE)*m2k))/'TCO Inputs'!$AZ$84</f>
        <v>41.374164389593133</v>
      </c>
      <c r="U175" s="125">
        <f>U119/293.07*(1/(VLOOKUP($H175,'Fuel economy adjusted factor'!$A$2:$F$52,5,FALSE)*m2k))/'TCO Inputs'!$AZ$84</f>
        <v>37.083466210754374</v>
      </c>
      <c r="V175" s="125">
        <f>V119/293.07*(1/(VLOOKUP($H175,'Fuel economy adjusted factor'!$A$2:$F$52,5,FALSE)*m2k))/'TCO Inputs'!$AZ$84</f>
        <v>37.083466210754374</v>
      </c>
      <c r="W175" s="125">
        <f>W119/293.07*(1/(VLOOKUP($H175,'Fuel economy adjusted factor'!$A$2:$F$52,5,FALSE)*m2k))/'TCO Inputs'!$AZ$84</f>
        <v>37.083466210754374</v>
      </c>
      <c r="X175" s="125">
        <f>X119/293.07*(1/(VLOOKUP($H175,'Fuel economy adjusted factor'!$A$2:$F$52,5,FALSE)*m2k))/'TCO Inputs'!$AZ$84</f>
        <v>37.083466210754374</v>
      </c>
      <c r="Y175" s="125">
        <f>Y119/293.07*(1/(VLOOKUP($H175,'Fuel economy adjusted factor'!$A$2:$F$52,5,FALSE)*m2k))/'TCO Inputs'!$AZ$84</f>
        <v>37.083466210754374</v>
      </c>
      <c r="Z175" s="125">
        <f>Z119/293.07*(1/(VLOOKUP($H175,'Fuel economy adjusted factor'!$A$2:$F$52,5,FALSE)*m2k))/'TCO Inputs'!$AZ$84</f>
        <v>35.78042260455598</v>
      </c>
      <c r="AA175" s="125">
        <f>AA119/293.07*(1/(VLOOKUP($H175,'Fuel economy adjusted factor'!$A$2:$F$52,5,FALSE)*m2k))/'TCO Inputs'!$AZ$84</f>
        <v>35.78042260455598</v>
      </c>
      <c r="AB175" s="125">
        <f>AB119/293.07*(1/(VLOOKUP($H175,'Fuel economy adjusted factor'!$A$2:$F$52,5,FALSE)*m2k))/'TCO Inputs'!$AZ$84</f>
        <v>35.78042260455598</v>
      </c>
      <c r="AC175" s="125">
        <f>AC119/293.07*(1/(VLOOKUP($H175,'Fuel economy adjusted factor'!$A$2:$F$52,5,FALSE)*m2k))/'TCO Inputs'!$AZ$84</f>
        <v>35.78042260455598</v>
      </c>
      <c r="AD175" s="125">
        <f>AD119/293.07*(1/(VLOOKUP($H175,'Fuel economy adjusted factor'!$A$2:$F$52,5,FALSE)*m2k))/'TCO Inputs'!$AZ$84</f>
        <v>35.78042260455598</v>
      </c>
      <c r="AE175" s="125">
        <f>AE119/293.07*(1/(VLOOKUP($H175,'Fuel economy adjusted factor'!$A$2:$F$52,5,FALSE)*m2k))/'TCO Inputs'!$AZ$84</f>
        <v>34.379159631056197</v>
      </c>
      <c r="AF175" s="125">
        <f>AF119/293.07*(1/(VLOOKUP($H175,'Fuel economy adjusted factor'!$A$2:$F$52,5,FALSE)*m2k))/'TCO Inputs'!$AZ$84</f>
        <v>34.379159631056197</v>
      </c>
      <c r="AG175" s="125">
        <f>AG119/293.07*(1/(VLOOKUP($H175,'Fuel economy adjusted factor'!$A$2:$F$52,5,FALSE)*m2k))/'TCO Inputs'!$AZ$84</f>
        <v>34.379159631056197</v>
      </c>
      <c r="AH175" s="125">
        <f>AH119/293.07*(1/(VLOOKUP($H175,'Fuel economy adjusted factor'!$A$2:$F$52,5,FALSE)*m2k))/'TCO Inputs'!$AZ$84</f>
        <v>34.379159631056197</v>
      </c>
      <c r="AI175" s="125">
        <f>AI119/293.07*(1/(VLOOKUP($H175,'Fuel economy adjusted factor'!$A$2:$F$52,5,FALSE)*m2k))/'TCO Inputs'!$AZ$84</f>
        <v>34.379159631056197</v>
      </c>
      <c r="AJ175" s="125">
        <f>AJ119/293.07*(1/(VLOOKUP($H175,'Fuel economy adjusted factor'!$A$2:$F$52,5,FALSE)*m2k))/'TCO Inputs'!$AZ$84</f>
        <v>32.219524088211173</v>
      </c>
      <c r="AK175" s="98" cm="1">
        <f t="array" ref="AK175">SUMPRODUCT(INDEX(I175:AJ175,,'TCO Inputs'!$AZ$12-2023+_xlfn.SEQUENCE('TCO Inputs'!$AZ$13)),INDEX(INDEX('VKT US'!$C$63:$AA$113,MATCH(H175,$H$169:$H$219,0),0),,_xlfn.SEQUENCE('TCO Inputs'!$AZ$13)))*m2k*CONVERT(0.9072,"g","ton")</f>
        <v>14.606171408262929</v>
      </c>
    </row>
    <row r="176" spans="8:37" x14ac:dyDescent="0.25">
      <c r="H176" s="123" t="s">
        <v>192</v>
      </c>
      <c r="I176" s="125">
        <f>I120/293.07*(1/(VLOOKUP($H176,'Fuel economy adjusted factor'!$A$2:$F$52,5,FALSE)*m2k))/'TCO Inputs'!$AZ$84</f>
        <v>115.37945831803361</v>
      </c>
      <c r="J176" s="125">
        <f>J120/293.07*(1/(VLOOKUP($H176,'Fuel economy adjusted factor'!$A$2:$F$52,5,FALSE)*m2k))/'TCO Inputs'!$AZ$84</f>
        <v>115.37945831803361</v>
      </c>
      <c r="K176" s="125">
        <f>K120/293.07*(1/(VLOOKUP($H176,'Fuel economy adjusted factor'!$A$2:$F$52,5,FALSE)*m2k))/'TCO Inputs'!$AZ$84</f>
        <v>101.36971158936369</v>
      </c>
      <c r="L176" s="125">
        <f>L120/293.07*(1/(VLOOKUP($H176,'Fuel economy adjusted factor'!$A$2:$F$52,5,FALSE)*m2k))/'TCO Inputs'!$AZ$84</f>
        <v>101.36971158936369</v>
      </c>
      <c r="M176" s="125">
        <f>M120/293.07*(1/(VLOOKUP($H176,'Fuel economy adjusted factor'!$A$2:$F$52,5,FALSE)*m2k))/'TCO Inputs'!$AZ$84</f>
        <v>101.36971158936369</v>
      </c>
      <c r="N176" s="125">
        <f>N120/293.07*(1/(VLOOKUP($H176,'Fuel economy adjusted factor'!$A$2:$F$52,5,FALSE)*m2k))/'TCO Inputs'!$AZ$84</f>
        <v>101.36971158936369</v>
      </c>
      <c r="O176" s="125">
        <f>O120/293.07*(1/(VLOOKUP($H176,'Fuel economy adjusted factor'!$A$2:$F$52,5,FALSE)*m2k))/'TCO Inputs'!$AZ$84</f>
        <v>101.36971158936369</v>
      </c>
      <c r="P176" s="125">
        <f>P120/293.07*(1/(VLOOKUP($H176,'Fuel economy adjusted factor'!$A$2:$F$52,5,FALSE)*m2k))/'TCO Inputs'!$AZ$84</f>
        <v>61.801691189147178</v>
      </c>
      <c r="Q176" s="125">
        <f>Q120/293.07*(1/(VLOOKUP($H176,'Fuel economy adjusted factor'!$A$2:$F$52,5,FALSE)*m2k))/'TCO Inputs'!$AZ$84</f>
        <v>61.801691189147178</v>
      </c>
      <c r="R176" s="125">
        <f>R120/293.07*(1/(VLOOKUP($H176,'Fuel economy adjusted factor'!$A$2:$F$52,5,FALSE)*m2k))/'TCO Inputs'!$AZ$84</f>
        <v>61.801691189147178</v>
      </c>
      <c r="S176" s="125">
        <f>S120/293.07*(1/(VLOOKUP($H176,'Fuel economy adjusted factor'!$A$2:$F$52,5,FALSE)*m2k))/'TCO Inputs'!$AZ$84</f>
        <v>61.801691189147178</v>
      </c>
      <c r="T176" s="125">
        <f>T120/293.07*(1/(VLOOKUP($H176,'Fuel economy adjusted factor'!$A$2:$F$52,5,FALSE)*m2k))/'TCO Inputs'!$AZ$84</f>
        <v>61.801691189147178</v>
      </c>
      <c r="U176" s="125">
        <f>U120/293.07*(1/(VLOOKUP($H176,'Fuel economy adjusted factor'!$A$2:$F$52,5,FALSE)*m2k))/'TCO Inputs'!$AZ$84</f>
        <v>55.392561053309862</v>
      </c>
      <c r="V176" s="125">
        <f>V120/293.07*(1/(VLOOKUP($H176,'Fuel economy adjusted factor'!$A$2:$F$52,5,FALSE)*m2k))/'TCO Inputs'!$AZ$84</f>
        <v>55.392561053309862</v>
      </c>
      <c r="W176" s="125">
        <f>W120/293.07*(1/(VLOOKUP($H176,'Fuel economy adjusted factor'!$A$2:$F$52,5,FALSE)*m2k))/'TCO Inputs'!$AZ$84</f>
        <v>55.392561053309862</v>
      </c>
      <c r="X176" s="125">
        <f>X120/293.07*(1/(VLOOKUP($H176,'Fuel economy adjusted factor'!$A$2:$F$52,5,FALSE)*m2k))/'TCO Inputs'!$AZ$84</f>
        <v>55.392561053309862</v>
      </c>
      <c r="Y176" s="125">
        <f>Y120/293.07*(1/(VLOOKUP($H176,'Fuel economy adjusted factor'!$A$2:$F$52,5,FALSE)*m2k))/'TCO Inputs'!$AZ$84</f>
        <v>55.392561053309862</v>
      </c>
      <c r="Z176" s="125">
        <f>Z120/293.07*(1/(VLOOKUP($H176,'Fuel economy adjusted factor'!$A$2:$F$52,5,FALSE)*m2k))/'TCO Inputs'!$AZ$84</f>
        <v>53.446170117218301</v>
      </c>
      <c r="AA176" s="125">
        <f>AA120/293.07*(1/(VLOOKUP($H176,'Fuel economy adjusted factor'!$A$2:$F$52,5,FALSE)*m2k))/'TCO Inputs'!$AZ$84</f>
        <v>53.446170117218301</v>
      </c>
      <c r="AB176" s="125">
        <f>AB120/293.07*(1/(VLOOKUP($H176,'Fuel economy adjusted factor'!$A$2:$F$52,5,FALSE)*m2k))/'TCO Inputs'!$AZ$84</f>
        <v>53.446170117218301</v>
      </c>
      <c r="AC176" s="125">
        <f>AC120/293.07*(1/(VLOOKUP($H176,'Fuel economy adjusted factor'!$A$2:$F$52,5,FALSE)*m2k))/'TCO Inputs'!$AZ$84</f>
        <v>53.446170117218301</v>
      </c>
      <c r="AD176" s="125">
        <f>AD120/293.07*(1/(VLOOKUP($H176,'Fuel economy adjusted factor'!$A$2:$F$52,5,FALSE)*m2k))/'TCO Inputs'!$AZ$84</f>
        <v>53.446170117218301</v>
      </c>
      <c r="AE176" s="125">
        <f>AE120/293.07*(1/(VLOOKUP($H176,'Fuel economy adjusted factor'!$A$2:$F$52,5,FALSE)*m2k))/'TCO Inputs'!$AZ$84</f>
        <v>51.353066296496742</v>
      </c>
      <c r="AF176" s="125">
        <f>AF120/293.07*(1/(VLOOKUP($H176,'Fuel economy adjusted factor'!$A$2:$F$52,5,FALSE)*m2k))/'TCO Inputs'!$AZ$84</f>
        <v>51.353066296496742</v>
      </c>
      <c r="AG176" s="125">
        <f>AG120/293.07*(1/(VLOOKUP($H176,'Fuel economy adjusted factor'!$A$2:$F$52,5,FALSE)*m2k))/'TCO Inputs'!$AZ$84</f>
        <v>51.353066296496742</v>
      </c>
      <c r="AH176" s="125">
        <f>AH120/293.07*(1/(VLOOKUP($H176,'Fuel economy adjusted factor'!$A$2:$F$52,5,FALSE)*m2k))/'TCO Inputs'!$AZ$84</f>
        <v>51.353066296496742</v>
      </c>
      <c r="AI176" s="125">
        <f>AI120/293.07*(1/(VLOOKUP($H176,'Fuel economy adjusted factor'!$A$2:$F$52,5,FALSE)*m2k))/'TCO Inputs'!$AZ$84</f>
        <v>51.353066296496742</v>
      </c>
      <c r="AJ176" s="125">
        <f>AJ120/293.07*(1/(VLOOKUP($H176,'Fuel economy adjusted factor'!$A$2:$F$52,5,FALSE)*m2k))/'TCO Inputs'!$AZ$84</f>
        <v>48.127161172631894</v>
      </c>
      <c r="AK176" s="98" cm="1">
        <f t="array" ref="AK176">SUMPRODUCT(INDEX(I176:AJ176,,'TCO Inputs'!$AZ$12-2023+_xlfn.SEQUENCE('TCO Inputs'!$AZ$13)),INDEX(INDEX('VKT US'!$C$63:$AA$113,MATCH(H176,$H$169:$H$219,0),0),,_xlfn.SEQUENCE('TCO Inputs'!$AZ$13)))*m2k*CONVERT(0.9072,"g","ton")</f>
        <v>22.703512544910563</v>
      </c>
    </row>
    <row r="177" spans="8:37" x14ac:dyDescent="0.25">
      <c r="H177" s="123" t="s">
        <v>193</v>
      </c>
      <c r="I177" s="125">
        <f>I121/293.07*(1/(VLOOKUP($H177,'Fuel economy adjusted factor'!$A$2:$F$52,5,FALSE)*m2k))/'TCO Inputs'!$AZ$84</f>
        <v>100.54080141423853</v>
      </c>
      <c r="J177" s="125">
        <f>J121/293.07*(1/(VLOOKUP($H177,'Fuel economy adjusted factor'!$A$2:$F$52,5,FALSE)*m2k))/'TCO Inputs'!$AZ$84</f>
        <v>100.54080141423853</v>
      </c>
      <c r="K177" s="125">
        <f>K121/293.07*(1/(VLOOKUP($H177,'Fuel economy adjusted factor'!$A$2:$F$52,5,FALSE)*m2k))/'TCO Inputs'!$AZ$84</f>
        <v>88.332812364502914</v>
      </c>
      <c r="L177" s="125">
        <f>L121/293.07*(1/(VLOOKUP($H177,'Fuel economy adjusted factor'!$A$2:$F$52,5,FALSE)*m2k))/'TCO Inputs'!$AZ$84</f>
        <v>88.332812364502914</v>
      </c>
      <c r="M177" s="125">
        <f>M121/293.07*(1/(VLOOKUP($H177,'Fuel economy adjusted factor'!$A$2:$F$52,5,FALSE)*m2k))/'TCO Inputs'!$AZ$84</f>
        <v>88.332812364502914</v>
      </c>
      <c r="N177" s="125">
        <f>N121/293.07*(1/(VLOOKUP($H177,'Fuel economy adjusted factor'!$A$2:$F$52,5,FALSE)*m2k))/'TCO Inputs'!$AZ$84</f>
        <v>88.332812364502914</v>
      </c>
      <c r="O177" s="125">
        <f>O121/293.07*(1/(VLOOKUP($H177,'Fuel economy adjusted factor'!$A$2:$F$52,5,FALSE)*m2k))/'TCO Inputs'!$AZ$84</f>
        <v>88.332812364502914</v>
      </c>
      <c r="P177" s="125">
        <f>P121/293.07*(1/(VLOOKUP($H177,'Fuel economy adjusted factor'!$A$2:$F$52,5,FALSE)*m2k))/'TCO Inputs'!$AZ$84</f>
        <v>53.853533822154944</v>
      </c>
      <c r="Q177" s="125">
        <f>Q121/293.07*(1/(VLOOKUP($H177,'Fuel economy adjusted factor'!$A$2:$F$52,5,FALSE)*m2k))/'TCO Inputs'!$AZ$84</f>
        <v>53.853533822154944</v>
      </c>
      <c r="R177" s="125">
        <f>R121/293.07*(1/(VLOOKUP($H177,'Fuel economy adjusted factor'!$A$2:$F$52,5,FALSE)*m2k))/'TCO Inputs'!$AZ$84</f>
        <v>53.853533822154944</v>
      </c>
      <c r="S177" s="125">
        <f>S121/293.07*(1/(VLOOKUP($H177,'Fuel economy adjusted factor'!$A$2:$F$52,5,FALSE)*m2k))/'TCO Inputs'!$AZ$84</f>
        <v>53.853533822154944</v>
      </c>
      <c r="T177" s="125">
        <f>T121/293.07*(1/(VLOOKUP($H177,'Fuel economy adjusted factor'!$A$2:$F$52,5,FALSE)*m2k))/'TCO Inputs'!$AZ$84</f>
        <v>53.853533822154944</v>
      </c>
      <c r="U177" s="125">
        <f>U121/293.07*(1/(VLOOKUP($H177,'Fuel economy adjusted factor'!$A$2:$F$52,5,FALSE)*m2k))/'TCO Inputs'!$AZ$84</f>
        <v>48.268665513542722</v>
      </c>
      <c r="V177" s="125">
        <f>V121/293.07*(1/(VLOOKUP($H177,'Fuel economy adjusted factor'!$A$2:$F$52,5,FALSE)*m2k))/'TCO Inputs'!$AZ$84</f>
        <v>48.268665513542722</v>
      </c>
      <c r="W177" s="125">
        <f>W121/293.07*(1/(VLOOKUP($H177,'Fuel economy adjusted factor'!$A$2:$F$52,5,FALSE)*m2k))/'TCO Inputs'!$AZ$84</f>
        <v>48.268665513542722</v>
      </c>
      <c r="X177" s="125">
        <f>X121/293.07*(1/(VLOOKUP($H177,'Fuel economy adjusted factor'!$A$2:$F$52,5,FALSE)*m2k))/'TCO Inputs'!$AZ$84</f>
        <v>48.268665513542722</v>
      </c>
      <c r="Y177" s="125">
        <f>Y121/293.07*(1/(VLOOKUP($H177,'Fuel economy adjusted factor'!$A$2:$F$52,5,FALSE)*m2k))/'TCO Inputs'!$AZ$84</f>
        <v>48.268665513542722</v>
      </c>
      <c r="Z177" s="125">
        <f>Z121/293.07*(1/(VLOOKUP($H177,'Fuel economy adjusted factor'!$A$2:$F$52,5,FALSE)*m2k))/'TCO Inputs'!$AZ$84</f>
        <v>46.57259493535846</v>
      </c>
      <c r="AA177" s="125">
        <f>AA121/293.07*(1/(VLOOKUP($H177,'Fuel economy adjusted factor'!$A$2:$F$52,5,FALSE)*m2k))/'TCO Inputs'!$AZ$84</f>
        <v>46.57259493535846</v>
      </c>
      <c r="AB177" s="125">
        <f>AB121/293.07*(1/(VLOOKUP($H177,'Fuel economy adjusted factor'!$A$2:$F$52,5,FALSE)*m2k))/'TCO Inputs'!$AZ$84</f>
        <v>46.57259493535846</v>
      </c>
      <c r="AC177" s="125">
        <f>AC121/293.07*(1/(VLOOKUP($H177,'Fuel economy adjusted factor'!$A$2:$F$52,5,FALSE)*m2k))/'TCO Inputs'!$AZ$84</f>
        <v>46.57259493535846</v>
      </c>
      <c r="AD177" s="125">
        <f>AD121/293.07*(1/(VLOOKUP($H177,'Fuel economy adjusted factor'!$A$2:$F$52,5,FALSE)*m2k))/'TCO Inputs'!$AZ$84</f>
        <v>46.57259493535846</v>
      </c>
      <c r="AE177" s="125">
        <f>AE121/293.07*(1/(VLOOKUP($H177,'Fuel economy adjusted factor'!$A$2:$F$52,5,FALSE)*m2k))/'TCO Inputs'!$AZ$84</f>
        <v>44.748679841230654</v>
      </c>
      <c r="AF177" s="125">
        <f>AF121/293.07*(1/(VLOOKUP($H177,'Fuel economy adjusted factor'!$A$2:$F$52,5,FALSE)*m2k))/'TCO Inputs'!$AZ$84</f>
        <v>44.748679841230654</v>
      </c>
      <c r="AG177" s="125">
        <f>AG121/293.07*(1/(VLOOKUP($H177,'Fuel economy adjusted factor'!$A$2:$F$52,5,FALSE)*m2k))/'TCO Inputs'!$AZ$84</f>
        <v>44.748679841230654</v>
      </c>
      <c r="AH177" s="125">
        <f>AH121/293.07*(1/(VLOOKUP($H177,'Fuel economy adjusted factor'!$A$2:$F$52,5,FALSE)*m2k))/'TCO Inputs'!$AZ$84</f>
        <v>44.748679841230654</v>
      </c>
      <c r="AI177" s="125">
        <f>AI121/293.07*(1/(VLOOKUP($H177,'Fuel economy adjusted factor'!$A$2:$F$52,5,FALSE)*m2k))/'TCO Inputs'!$AZ$84</f>
        <v>44.748679841230654</v>
      </c>
      <c r="AJ177" s="125">
        <f>AJ121/293.07*(1/(VLOOKUP($H177,'Fuel economy adjusted factor'!$A$2:$F$52,5,FALSE)*m2k))/'TCO Inputs'!$AZ$84</f>
        <v>41.937650120969124</v>
      </c>
      <c r="AK177" s="98" cm="1">
        <f t="array" ref="AK177">SUMPRODUCT(INDEX(I177:AJ177,,'TCO Inputs'!$AZ$12-2023+_xlfn.SEQUENCE('TCO Inputs'!$AZ$13)),INDEX(INDEX('VKT US'!$C$63:$AA$113,MATCH(H177,$H$169:$H$219,0),0),,_xlfn.SEQUENCE('TCO Inputs'!$AZ$13)))*m2k*CONVERT(0.9072,"g","ton")</f>
        <v>22.84010720115802</v>
      </c>
    </row>
    <row r="178" spans="8:37" x14ac:dyDescent="0.25">
      <c r="H178" s="123" t="s">
        <v>194</v>
      </c>
      <c r="I178" s="125">
        <f>I122/293.07*(1/(VLOOKUP($H178,'Fuel economy adjusted factor'!$A$2:$F$52,5,FALSE)*m2k))/'TCO Inputs'!$AZ$84</f>
        <v>87.782037136713427</v>
      </c>
      <c r="J178" s="125">
        <f>J122/293.07*(1/(VLOOKUP($H178,'Fuel economy adjusted factor'!$A$2:$F$52,5,FALSE)*m2k))/'TCO Inputs'!$AZ$84</f>
        <v>87.782037136713427</v>
      </c>
      <c r="K178" s="125">
        <f>K122/293.07*(1/(VLOOKUP($H178,'Fuel economy adjusted factor'!$A$2:$F$52,5,FALSE)*m2k))/'TCO Inputs'!$AZ$84</f>
        <v>77.123258481138507</v>
      </c>
      <c r="L178" s="125">
        <f>L122/293.07*(1/(VLOOKUP($H178,'Fuel economy adjusted factor'!$A$2:$F$52,5,FALSE)*m2k))/'TCO Inputs'!$AZ$84</f>
        <v>77.123258481138507</v>
      </c>
      <c r="M178" s="125">
        <f>M122/293.07*(1/(VLOOKUP($H178,'Fuel economy adjusted factor'!$A$2:$F$52,5,FALSE)*m2k))/'TCO Inputs'!$AZ$84</f>
        <v>77.123258481138507</v>
      </c>
      <c r="N178" s="125">
        <f>N122/293.07*(1/(VLOOKUP($H178,'Fuel economy adjusted factor'!$A$2:$F$52,5,FALSE)*m2k))/'TCO Inputs'!$AZ$84</f>
        <v>77.123258481138507</v>
      </c>
      <c r="O178" s="125">
        <f>O122/293.07*(1/(VLOOKUP($H178,'Fuel economy adjusted factor'!$A$2:$F$52,5,FALSE)*m2k))/'TCO Inputs'!$AZ$84</f>
        <v>77.123258481138507</v>
      </c>
      <c r="P178" s="125">
        <f>P122/293.07*(1/(VLOOKUP($H178,'Fuel economy adjusted factor'!$A$2:$F$52,5,FALSE)*m2k))/'TCO Inputs'!$AZ$84</f>
        <v>47.019447223643986</v>
      </c>
      <c r="Q178" s="125">
        <f>Q122/293.07*(1/(VLOOKUP($H178,'Fuel economy adjusted factor'!$A$2:$F$52,5,FALSE)*m2k))/'TCO Inputs'!$AZ$84</f>
        <v>47.019447223643986</v>
      </c>
      <c r="R178" s="125">
        <f>R122/293.07*(1/(VLOOKUP($H178,'Fuel economy adjusted factor'!$A$2:$F$52,5,FALSE)*m2k))/'TCO Inputs'!$AZ$84</f>
        <v>47.019447223643986</v>
      </c>
      <c r="S178" s="125">
        <f>S122/293.07*(1/(VLOOKUP($H178,'Fuel economy adjusted factor'!$A$2:$F$52,5,FALSE)*m2k))/'TCO Inputs'!$AZ$84</f>
        <v>47.019447223643986</v>
      </c>
      <c r="T178" s="125">
        <f>T122/293.07*(1/(VLOOKUP($H178,'Fuel economy adjusted factor'!$A$2:$F$52,5,FALSE)*m2k))/'TCO Inputs'!$AZ$84</f>
        <v>47.019447223643986</v>
      </c>
      <c r="U178" s="125">
        <f>U122/293.07*(1/(VLOOKUP($H178,'Fuel economy adjusted factor'!$A$2:$F$52,5,FALSE)*m2k))/'TCO Inputs'!$AZ$84</f>
        <v>42.143306290070498</v>
      </c>
      <c r="V178" s="125">
        <f>V122/293.07*(1/(VLOOKUP($H178,'Fuel economy adjusted factor'!$A$2:$F$52,5,FALSE)*m2k))/'TCO Inputs'!$AZ$84</f>
        <v>42.143306290070498</v>
      </c>
      <c r="W178" s="125">
        <f>W122/293.07*(1/(VLOOKUP($H178,'Fuel economy adjusted factor'!$A$2:$F$52,5,FALSE)*m2k))/'TCO Inputs'!$AZ$84</f>
        <v>42.143306290070498</v>
      </c>
      <c r="X178" s="125">
        <f>X122/293.07*(1/(VLOOKUP($H178,'Fuel economy adjusted factor'!$A$2:$F$52,5,FALSE)*m2k))/'TCO Inputs'!$AZ$84</f>
        <v>42.143306290070498</v>
      </c>
      <c r="Y178" s="125">
        <f>Y122/293.07*(1/(VLOOKUP($H178,'Fuel economy adjusted factor'!$A$2:$F$52,5,FALSE)*m2k))/'TCO Inputs'!$AZ$84</f>
        <v>42.143306290070498</v>
      </c>
      <c r="Z178" s="125">
        <f>Z122/293.07*(1/(VLOOKUP($H178,'Fuel economy adjusted factor'!$A$2:$F$52,5,FALSE)*m2k))/'TCO Inputs'!$AZ$84</f>
        <v>40.662469372258009</v>
      </c>
      <c r="AA178" s="125">
        <f>AA122/293.07*(1/(VLOOKUP($H178,'Fuel economy adjusted factor'!$A$2:$F$52,5,FALSE)*m2k))/'TCO Inputs'!$AZ$84</f>
        <v>40.662469372258009</v>
      </c>
      <c r="AB178" s="125">
        <f>AB122/293.07*(1/(VLOOKUP($H178,'Fuel economy adjusted factor'!$A$2:$F$52,5,FALSE)*m2k))/'TCO Inputs'!$AZ$84</f>
        <v>40.662469372258009</v>
      </c>
      <c r="AC178" s="125">
        <f>AC122/293.07*(1/(VLOOKUP($H178,'Fuel economy adjusted factor'!$A$2:$F$52,5,FALSE)*m2k))/'TCO Inputs'!$AZ$84</f>
        <v>40.662469372258009</v>
      </c>
      <c r="AD178" s="125">
        <f>AD122/293.07*(1/(VLOOKUP($H178,'Fuel economy adjusted factor'!$A$2:$F$52,5,FALSE)*m2k))/'TCO Inputs'!$AZ$84</f>
        <v>40.662469372258009</v>
      </c>
      <c r="AE178" s="125">
        <f>AE122/293.07*(1/(VLOOKUP($H178,'Fuel economy adjusted factor'!$A$2:$F$52,5,FALSE)*m2k))/'TCO Inputs'!$AZ$84</f>
        <v>39.070011581243577</v>
      </c>
      <c r="AF178" s="125">
        <f>AF122/293.07*(1/(VLOOKUP($H178,'Fuel economy adjusted factor'!$A$2:$F$52,5,FALSE)*m2k))/'TCO Inputs'!$AZ$84</f>
        <v>39.070011581243577</v>
      </c>
      <c r="AG178" s="125">
        <f>AG122/293.07*(1/(VLOOKUP($H178,'Fuel economy adjusted factor'!$A$2:$F$52,5,FALSE)*m2k))/'TCO Inputs'!$AZ$84</f>
        <v>39.070011581243577</v>
      </c>
      <c r="AH178" s="125">
        <f>AH122/293.07*(1/(VLOOKUP($H178,'Fuel economy adjusted factor'!$A$2:$F$52,5,FALSE)*m2k))/'TCO Inputs'!$AZ$84</f>
        <v>39.070011581243577</v>
      </c>
      <c r="AI178" s="125">
        <f>AI122/293.07*(1/(VLOOKUP($H178,'Fuel economy adjusted factor'!$A$2:$F$52,5,FALSE)*m2k))/'TCO Inputs'!$AZ$84</f>
        <v>39.070011581243577</v>
      </c>
      <c r="AJ178" s="125">
        <f>AJ122/293.07*(1/(VLOOKUP($H178,'Fuel economy adjusted factor'!$A$2:$F$52,5,FALSE)*m2k))/'TCO Inputs'!$AZ$84</f>
        <v>36.615705351081999</v>
      </c>
      <c r="AK178" s="98" cm="1">
        <f t="array" ref="AK178">SUMPRODUCT(INDEX(I178:AJ178,,'TCO Inputs'!$AZ$12-2023+_xlfn.SEQUENCE('TCO Inputs'!$AZ$13)),INDEX(INDEX('VKT US'!$C$63:$AA$113,MATCH(H178,$H$169:$H$219,0),0),,_xlfn.SEQUENCE('TCO Inputs'!$AZ$13)))*m2k*CONVERT(0.9072,"g","ton")</f>
        <v>25.115787243556586</v>
      </c>
    </row>
    <row r="179" spans="8:37" x14ac:dyDescent="0.25">
      <c r="H179" s="123" t="s">
        <v>233</v>
      </c>
      <c r="I179" s="125">
        <f>I123/293.07*(1/(VLOOKUP($H179,'Fuel economy adjusted factor'!$A$2:$F$52,5,FALSE)*m2k))/'TCO Inputs'!$AZ$84</f>
        <v>189.22375909220003</v>
      </c>
      <c r="J179" s="125">
        <f>J123/293.07*(1/(VLOOKUP($H179,'Fuel economy adjusted factor'!$A$2:$F$52,5,FALSE)*m2k))/'TCO Inputs'!$AZ$84</f>
        <v>189.22375909220003</v>
      </c>
      <c r="K179" s="125">
        <f>K123/293.07*(1/(VLOOKUP($H179,'Fuel economy adjusted factor'!$A$2:$F$52,5,FALSE)*m2k))/'TCO Inputs'!$AZ$84</f>
        <v>166.24759870304837</v>
      </c>
      <c r="L179" s="125">
        <f>L123/293.07*(1/(VLOOKUP($H179,'Fuel economy adjusted factor'!$A$2:$F$52,5,FALSE)*m2k))/'TCO Inputs'!$AZ$84</f>
        <v>166.24759870304837</v>
      </c>
      <c r="M179" s="125">
        <f>M123/293.07*(1/(VLOOKUP($H179,'Fuel economy adjusted factor'!$A$2:$F$52,5,FALSE)*m2k))/'TCO Inputs'!$AZ$84</f>
        <v>166.24759870304837</v>
      </c>
      <c r="N179" s="125">
        <f>N123/293.07*(1/(VLOOKUP($H179,'Fuel economy adjusted factor'!$A$2:$F$52,5,FALSE)*m2k))/'TCO Inputs'!$AZ$84</f>
        <v>166.24759870304837</v>
      </c>
      <c r="O179" s="125">
        <f>O123/293.07*(1/(VLOOKUP($H179,'Fuel economy adjusted factor'!$A$2:$F$52,5,FALSE)*m2k))/'TCO Inputs'!$AZ$84</f>
        <v>166.24759870304837</v>
      </c>
      <c r="P179" s="125">
        <f>P123/293.07*(1/(VLOOKUP($H179,'Fuel economy adjusted factor'!$A$2:$F$52,5,FALSE)*m2k))/'TCO Inputs'!$AZ$84</f>
        <v>101.35554886062349</v>
      </c>
      <c r="Q179" s="125">
        <f>Q123/293.07*(1/(VLOOKUP($H179,'Fuel economy adjusted factor'!$A$2:$F$52,5,FALSE)*m2k))/'TCO Inputs'!$AZ$84</f>
        <v>101.35554886062349</v>
      </c>
      <c r="R179" s="125">
        <f>R123/293.07*(1/(VLOOKUP($H179,'Fuel economy adjusted factor'!$A$2:$F$52,5,FALSE)*m2k))/'TCO Inputs'!$AZ$84</f>
        <v>101.35554886062349</v>
      </c>
      <c r="S179" s="125">
        <f>S123/293.07*(1/(VLOOKUP($H179,'Fuel economy adjusted factor'!$A$2:$F$52,5,FALSE)*m2k))/'TCO Inputs'!$AZ$84</f>
        <v>101.35554886062349</v>
      </c>
      <c r="T179" s="125">
        <f>T123/293.07*(1/(VLOOKUP($H179,'Fuel economy adjusted factor'!$A$2:$F$52,5,FALSE)*m2k))/'TCO Inputs'!$AZ$84</f>
        <v>101.35554886062349</v>
      </c>
      <c r="U179" s="125">
        <f>U123/293.07*(1/(VLOOKUP($H179,'Fuel economy adjusted factor'!$A$2:$F$52,5,FALSE)*m2k))/'TCO Inputs'!$AZ$84</f>
        <v>90.844495034461715</v>
      </c>
      <c r="V179" s="125">
        <f>V123/293.07*(1/(VLOOKUP($H179,'Fuel economy adjusted factor'!$A$2:$F$52,5,FALSE)*m2k))/'TCO Inputs'!$AZ$84</f>
        <v>90.844495034461715</v>
      </c>
      <c r="W179" s="125">
        <f>W123/293.07*(1/(VLOOKUP($H179,'Fuel economy adjusted factor'!$A$2:$F$52,5,FALSE)*m2k))/'TCO Inputs'!$AZ$84</f>
        <v>90.844495034461715</v>
      </c>
      <c r="X179" s="125">
        <f>X123/293.07*(1/(VLOOKUP($H179,'Fuel economy adjusted factor'!$A$2:$F$52,5,FALSE)*m2k))/'TCO Inputs'!$AZ$84</f>
        <v>90.844495034461715</v>
      </c>
      <c r="Y179" s="125">
        <f>Y123/293.07*(1/(VLOOKUP($H179,'Fuel economy adjusted factor'!$A$2:$F$52,5,FALSE)*m2k))/'TCO Inputs'!$AZ$84</f>
        <v>90.844495034461715</v>
      </c>
      <c r="Z179" s="125">
        <f>Z123/293.07*(1/(VLOOKUP($H179,'Fuel economy adjusted factor'!$A$2:$F$52,5,FALSE)*m2k))/'TCO Inputs'!$AZ$84</f>
        <v>87.652389481538819</v>
      </c>
      <c r="AA179" s="125">
        <f>AA123/293.07*(1/(VLOOKUP($H179,'Fuel economy adjusted factor'!$A$2:$F$52,5,FALSE)*m2k))/'TCO Inputs'!$AZ$84</f>
        <v>87.652389481538819</v>
      </c>
      <c r="AB179" s="125">
        <f>AB123/293.07*(1/(VLOOKUP($H179,'Fuel economy adjusted factor'!$A$2:$F$52,5,FALSE)*m2k))/'TCO Inputs'!$AZ$84</f>
        <v>87.652389481538819</v>
      </c>
      <c r="AC179" s="125">
        <f>AC123/293.07*(1/(VLOOKUP($H179,'Fuel economy adjusted factor'!$A$2:$F$52,5,FALSE)*m2k))/'TCO Inputs'!$AZ$84</f>
        <v>87.652389481538819</v>
      </c>
      <c r="AD179" s="125">
        <f>AD123/293.07*(1/(VLOOKUP($H179,'Fuel economy adjusted factor'!$A$2:$F$52,5,FALSE)*m2k))/'TCO Inputs'!$AZ$84</f>
        <v>87.652389481538819</v>
      </c>
      <c r="AE179" s="125">
        <f>AE123/293.07*(1/(VLOOKUP($H179,'Fuel economy adjusted factor'!$A$2:$F$52,5,FALSE)*m2k))/'TCO Inputs'!$AZ$84</f>
        <v>84.219672957290101</v>
      </c>
      <c r="AF179" s="125">
        <f>AF123/293.07*(1/(VLOOKUP($H179,'Fuel economy adjusted factor'!$A$2:$F$52,5,FALSE)*m2k))/'TCO Inputs'!$AZ$84</f>
        <v>84.219672957290101</v>
      </c>
      <c r="AG179" s="125">
        <f>AG123/293.07*(1/(VLOOKUP($H179,'Fuel economy adjusted factor'!$A$2:$F$52,5,FALSE)*m2k))/'TCO Inputs'!$AZ$84</f>
        <v>84.219672957290101</v>
      </c>
      <c r="AH179" s="125">
        <f>AH123/293.07*(1/(VLOOKUP($H179,'Fuel economy adjusted factor'!$A$2:$F$52,5,FALSE)*m2k))/'TCO Inputs'!$AZ$84</f>
        <v>84.219672957290101</v>
      </c>
      <c r="AI179" s="125">
        <f>AI123/293.07*(1/(VLOOKUP($H179,'Fuel economy adjusted factor'!$A$2:$F$52,5,FALSE)*m2k))/'TCO Inputs'!$AZ$84</f>
        <v>84.219672957290101</v>
      </c>
      <c r="AJ179" s="125">
        <f>AJ123/293.07*(1/(VLOOKUP($H179,'Fuel economy adjusted factor'!$A$2:$F$52,5,FALSE)*m2k))/'TCO Inputs'!$AZ$84</f>
        <v>78.929148084743616</v>
      </c>
      <c r="AK179" s="98" cm="1">
        <f t="array" ref="AK179">SUMPRODUCT(INDEX(I179:AJ179,,'TCO Inputs'!$AZ$12-2023+_xlfn.SEQUENCE('TCO Inputs'!$AZ$13)),INDEX(INDEX('VKT US'!$C$63:$AA$113,MATCH(H179,$H$169:$H$219,0),0),,_xlfn.SEQUENCE('TCO Inputs'!$AZ$13)))*m2k*CONVERT(0.9072,"g","ton")</f>
        <v>34.514356613880331</v>
      </c>
    </row>
    <row r="180" spans="8:37" x14ac:dyDescent="0.25">
      <c r="H180" s="123" t="s">
        <v>196</v>
      </c>
      <c r="I180" s="125">
        <f>I124/293.07*(1/(VLOOKUP($H180,'Fuel economy adjusted factor'!$A$2:$F$52,5,FALSE)*m2k))/'TCO Inputs'!$AZ$84</f>
        <v>46.126445665456032</v>
      </c>
      <c r="J180" s="125">
        <f>J124/293.07*(1/(VLOOKUP($H180,'Fuel economy adjusted factor'!$A$2:$F$52,5,FALSE)*m2k))/'TCO Inputs'!$AZ$84</f>
        <v>46.126445665456032</v>
      </c>
      <c r="K180" s="125">
        <f>K124/293.07*(1/(VLOOKUP($H180,'Fuel economy adjusted factor'!$A$2:$F$52,5,FALSE)*m2k))/'TCO Inputs'!$AZ$84</f>
        <v>40.525623554768494</v>
      </c>
      <c r="L180" s="125">
        <f>L124/293.07*(1/(VLOOKUP($H180,'Fuel economy adjusted factor'!$A$2:$F$52,5,FALSE)*m2k))/'TCO Inputs'!$AZ$84</f>
        <v>40.525623554768494</v>
      </c>
      <c r="M180" s="125">
        <f>M124/293.07*(1/(VLOOKUP($H180,'Fuel economy adjusted factor'!$A$2:$F$52,5,FALSE)*m2k))/'TCO Inputs'!$AZ$84</f>
        <v>40.525623554768494</v>
      </c>
      <c r="N180" s="125">
        <f>N124/293.07*(1/(VLOOKUP($H180,'Fuel economy adjusted factor'!$A$2:$F$52,5,FALSE)*m2k))/'TCO Inputs'!$AZ$84</f>
        <v>40.525623554768494</v>
      </c>
      <c r="O180" s="125">
        <f>O124/293.07*(1/(VLOOKUP($H180,'Fuel economy adjusted factor'!$A$2:$F$52,5,FALSE)*m2k))/'TCO Inputs'!$AZ$84</f>
        <v>40.525623554768494</v>
      </c>
      <c r="P180" s="125">
        <f>P124/293.07*(1/(VLOOKUP($H180,'Fuel economy adjusted factor'!$A$2:$F$52,5,FALSE)*m2k))/'TCO Inputs'!$AZ$84</f>
        <v>24.707104646061001</v>
      </c>
      <c r="Q180" s="125">
        <f>Q124/293.07*(1/(VLOOKUP($H180,'Fuel economy adjusted factor'!$A$2:$F$52,5,FALSE)*m2k))/'TCO Inputs'!$AZ$84</f>
        <v>24.707104646061001</v>
      </c>
      <c r="R180" s="125">
        <f>R124/293.07*(1/(VLOOKUP($H180,'Fuel economy adjusted factor'!$A$2:$F$52,5,FALSE)*m2k))/'TCO Inputs'!$AZ$84</f>
        <v>24.707104646061001</v>
      </c>
      <c r="S180" s="125">
        <f>S124/293.07*(1/(VLOOKUP($H180,'Fuel economy adjusted factor'!$A$2:$F$52,5,FALSE)*m2k))/'TCO Inputs'!$AZ$84</f>
        <v>24.707104646061001</v>
      </c>
      <c r="T180" s="125">
        <f>T124/293.07*(1/(VLOOKUP($H180,'Fuel economy adjusted factor'!$A$2:$F$52,5,FALSE)*m2k))/'TCO Inputs'!$AZ$84</f>
        <v>24.707104646061001</v>
      </c>
      <c r="U180" s="125">
        <f>U124/293.07*(1/(VLOOKUP($H180,'Fuel economy adjusted factor'!$A$2:$F$52,5,FALSE)*m2k))/'TCO Inputs'!$AZ$84</f>
        <v>22.144860055185418</v>
      </c>
      <c r="V180" s="125">
        <f>V124/293.07*(1/(VLOOKUP($H180,'Fuel economy adjusted factor'!$A$2:$F$52,5,FALSE)*m2k))/'TCO Inputs'!$AZ$84</f>
        <v>22.144860055185418</v>
      </c>
      <c r="W180" s="125">
        <f>W124/293.07*(1/(VLOOKUP($H180,'Fuel economy adjusted factor'!$A$2:$F$52,5,FALSE)*m2k))/'TCO Inputs'!$AZ$84</f>
        <v>22.144860055185418</v>
      </c>
      <c r="X180" s="125">
        <f>X124/293.07*(1/(VLOOKUP($H180,'Fuel economy adjusted factor'!$A$2:$F$52,5,FALSE)*m2k))/'TCO Inputs'!$AZ$84</f>
        <v>22.144860055185418</v>
      </c>
      <c r="Y180" s="125">
        <f>Y124/293.07*(1/(VLOOKUP($H180,'Fuel economy adjusted factor'!$A$2:$F$52,5,FALSE)*m2k))/'TCO Inputs'!$AZ$84</f>
        <v>22.144860055185418</v>
      </c>
      <c r="Z180" s="125">
        <f>Z124/293.07*(1/(VLOOKUP($H180,'Fuel economy adjusted factor'!$A$2:$F$52,5,FALSE)*m2k))/'TCO Inputs'!$AZ$84</f>
        <v>21.366731113811017</v>
      </c>
      <c r="AA180" s="125">
        <f>AA124/293.07*(1/(VLOOKUP($H180,'Fuel economy adjusted factor'!$A$2:$F$52,5,FALSE)*m2k))/'TCO Inputs'!$AZ$84</f>
        <v>21.366731113811017</v>
      </c>
      <c r="AB180" s="125">
        <f>AB124/293.07*(1/(VLOOKUP($H180,'Fuel economy adjusted factor'!$A$2:$F$52,5,FALSE)*m2k))/'TCO Inputs'!$AZ$84</f>
        <v>21.366731113811017</v>
      </c>
      <c r="AC180" s="125">
        <f>AC124/293.07*(1/(VLOOKUP($H180,'Fuel economy adjusted factor'!$A$2:$F$52,5,FALSE)*m2k))/'TCO Inputs'!$AZ$84</f>
        <v>21.366731113811017</v>
      </c>
      <c r="AD180" s="125">
        <f>AD124/293.07*(1/(VLOOKUP($H180,'Fuel economy adjusted factor'!$A$2:$F$52,5,FALSE)*m2k))/'TCO Inputs'!$AZ$84</f>
        <v>21.366731113811017</v>
      </c>
      <c r="AE180" s="125">
        <f>AE124/293.07*(1/(VLOOKUP($H180,'Fuel economy adjusted factor'!$A$2:$F$52,5,FALSE)*m2k))/'TCO Inputs'!$AZ$84</f>
        <v>20.529949237157144</v>
      </c>
      <c r="AF180" s="125">
        <f>AF124/293.07*(1/(VLOOKUP($H180,'Fuel economy adjusted factor'!$A$2:$F$52,5,FALSE)*m2k))/'TCO Inputs'!$AZ$84</f>
        <v>20.529949237157144</v>
      </c>
      <c r="AG180" s="125">
        <f>AG124/293.07*(1/(VLOOKUP($H180,'Fuel economy adjusted factor'!$A$2:$F$52,5,FALSE)*m2k))/'TCO Inputs'!$AZ$84</f>
        <v>20.529949237157144</v>
      </c>
      <c r="AH180" s="125">
        <f>AH124/293.07*(1/(VLOOKUP($H180,'Fuel economy adjusted factor'!$A$2:$F$52,5,FALSE)*m2k))/'TCO Inputs'!$AZ$84</f>
        <v>20.529949237157144</v>
      </c>
      <c r="AI180" s="125">
        <f>AI124/293.07*(1/(VLOOKUP($H180,'Fuel economy adjusted factor'!$A$2:$F$52,5,FALSE)*m2k))/'TCO Inputs'!$AZ$84</f>
        <v>20.529949237157144</v>
      </c>
      <c r="AJ180" s="125">
        <f>AJ124/293.07*(1/(VLOOKUP($H180,'Fuel economy adjusted factor'!$A$2:$F$52,5,FALSE)*m2k))/'TCO Inputs'!$AZ$84</f>
        <v>19.240295605678696</v>
      </c>
      <c r="AK180" s="98" cm="1">
        <f t="array" ref="AK180">SUMPRODUCT(INDEX(I180:AJ180,,'TCO Inputs'!$AZ$12-2023+_xlfn.SEQUENCE('TCO Inputs'!$AZ$13)),INDEX(INDEX('VKT US'!$C$63:$AA$113,MATCH(H180,$H$169:$H$219,0),0),,_xlfn.SEQUENCE('TCO Inputs'!$AZ$13)))*m2k*CONVERT(0.9072,"g","ton")</f>
        <v>10.377883772533108</v>
      </c>
    </row>
    <row r="181" spans="8:37" x14ac:dyDescent="0.25">
      <c r="H181" s="123" t="s">
        <v>197</v>
      </c>
      <c r="I181" s="125">
        <f>I125/293.07*(1/(VLOOKUP($H181,'Fuel economy adjusted factor'!$A$2:$F$52,5,FALSE)*m2k))/'TCO Inputs'!$AZ$84</f>
        <v>59.666139463676075</v>
      </c>
      <c r="J181" s="125">
        <f>J125/293.07*(1/(VLOOKUP($H181,'Fuel economy adjusted factor'!$A$2:$F$52,5,FALSE)*m2k))/'TCO Inputs'!$AZ$84</f>
        <v>59.666139463676075</v>
      </c>
      <c r="K181" s="125">
        <f>K125/293.07*(1/(VLOOKUP($H181,'Fuel economy adjusted factor'!$A$2:$F$52,5,FALSE)*m2k))/'TCO Inputs'!$AZ$84</f>
        <v>52.421283972506316</v>
      </c>
      <c r="L181" s="125">
        <f>L125/293.07*(1/(VLOOKUP($H181,'Fuel economy adjusted factor'!$A$2:$F$52,5,FALSE)*m2k))/'TCO Inputs'!$AZ$84</f>
        <v>52.421283972506316</v>
      </c>
      <c r="M181" s="125">
        <f>M125/293.07*(1/(VLOOKUP($H181,'Fuel economy adjusted factor'!$A$2:$F$52,5,FALSE)*m2k))/'TCO Inputs'!$AZ$84</f>
        <v>52.421283972506316</v>
      </c>
      <c r="N181" s="125">
        <f>N125/293.07*(1/(VLOOKUP($H181,'Fuel economy adjusted factor'!$A$2:$F$52,5,FALSE)*m2k))/'TCO Inputs'!$AZ$84</f>
        <v>52.421283972506316</v>
      </c>
      <c r="O181" s="125">
        <f>O125/293.07*(1/(VLOOKUP($H181,'Fuel economy adjusted factor'!$A$2:$F$52,5,FALSE)*m2k))/'TCO Inputs'!$AZ$84</f>
        <v>52.421283972506316</v>
      </c>
      <c r="P181" s="125">
        <f>P125/293.07*(1/(VLOOKUP($H181,'Fuel economy adjusted factor'!$A$2:$F$52,5,FALSE)*m2k))/'TCO Inputs'!$AZ$84</f>
        <v>31.959487237481266</v>
      </c>
      <c r="Q181" s="125">
        <f>Q125/293.07*(1/(VLOOKUP($H181,'Fuel economy adjusted factor'!$A$2:$F$52,5,FALSE)*m2k))/'TCO Inputs'!$AZ$84</f>
        <v>31.959487237481266</v>
      </c>
      <c r="R181" s="125">
        <f>R125/293.07*(1/(VLOOKUP($H181,'Fuel economy adjusted factor'!$A$2:$F$52,5,FALSE)*m2k))/'TCO Inputs'!$AZ$84</f>
        <v>31.959487237481266</v>
      </c>
      <c r="S181" s="125">
        <f>S125/293.07*(1/(VLOOKUP($H181,'Fuel economy adjusted factor'!$A$2:$F$52,5,FALSE)*m2k))/'TCO Inputs'!$AZ$84</f>
        <v>31.959487237481266</v>
      </c>
      <c r="T181" s="125">
        <f>T125/293.07*(1/(VLOOKUP($H181,'Fuel economy adjusted factor'!$A$2:$F$52,5,FALSE)*m2k))/'TCO Inputs'!$AZ$84</f>
        <v>31.959487237481266</v>
      </c>
      <c r="U181" s="125">
        <f>U125/293.07*(1/(VLOOKUP($H181,'Fuel economy adjusted factor'!$A$2:$F$52,5,FALSE)*m2k))/'TCO Inputs'!$AZ$84</f>
        <v>28.645135982064172</v>
      </c>
      <c r="V181" s="125">
        <f>V125/293.07*(1/(VLOOKUP($H181,'Fuel economy adjusted factor'!$A$2:$F$52,5,FALSE)*m2k))/'TCO Inputs'!$AZ$84</f>
        <v>28.645135982064172</v>
      </c>
      <c r="W181" s="125">
        <f>W125/293.07*(1/(VLOOKUP($H181,'Fuel economy adjusted factor'!$A$2:$F$52,5,FALSE)*m2k))/'TCO Inputs'!$AZ$84</f>
        <v>28.645135982064172</v>
      </c>
      <c r="X181" s="125">
        <f>X125/293.07*(1/(VLOOKUP($H181,'Fuel economy adjusted factor'!$A$2:$F$52,5,FALSE)*m2k))/'TCO Inputs'!$AZ$84</f>
        <v>28.645135982064172</v>
      </c>
      <c r="Y181" s="125">
        <f>Y125/293.07*(1/(VLOOKUP($H181,'Fuel economy adjusted factor'!$A$2:$F$52,5,FALSE)*m2k))/'TCO Inputs'!$AZ$84</f>
        <v>28.645135982064172</v>
      </c>
      <c r="Z181" s="125">
        <f>Z125/293.07*(1/(VLOOKUP($H181,'Fuel economy adjusted factor'!$A$2:$F$52,5,FALSE)*m2k))/'TCO Inputs'!$AZ$84</f>
        <v>27.638599508963726</v>
      </c>
      <c r="AA181" s="125">
        <f>AA125/293.07*(1/(VLOOKUP($H181,'Fuel economy adjusted factor'!$A$2:$F$52,5,FALSE)*m2k))/'TCO Inputs'!$AZ$84</f>
        <v>27.638599508963726</v>
      </c>
      <c r="AB181" s="125">
        <f>AB125/293.07*(1/(VLOOKUP($H181,'Fuel economy adjusted factor'!$A$2:$F$52,5,FALSE)*m2k))/'TCO Inputs'!$AZ$84</f>
        <v>27.638599508963726</v>
      </c>
      <c r="AC181" s="125">
        <f>AC125/293.07*(1/(VLOOKUP($H181,'Fuel economy adjusted factor'!$A$2:$F$52,5,FALSE)*m2k))/'TCO Inputs'!$AZ$84</f>
        <v>27.638599508963726</v>
      </c>
      <c r="AD181" s="125">
        <f>AD125/293.07*(1/(VLOOKUP($H181,'Fuel economy adjusted factor'!$A$2:$F$52,5,FALSE)*m2k))/'TCO Inputs'!$AZ$84</f>
        <v>27.638599508963726</v>
      </c>
      <c r="AE181" s="125">
        <f>AE125/293.07*(1/(VLOOKUP($H181,'Fuel economy adjusted factor'!$A$2:$F$52,5,FALSE)*m2k))/'TCO Inputs'!$AZ$84</f>
        <v>26.556193452463752</v>
      </c>
      <c r="AF181" s="125">
        <f>AF125/293.07*(1/(VLOOKUP($H181,'Fuel economy adjusted factor'!$A$2:$F$52,5,FALSE)*m2k))/'TCO Inputs'!$AZ$84</f>
        <v>26.556193452463752</v>
      </c>
      <c r="AG181" s="125">
        <f>AG125/293.07*(1/(VLOOKUP($H181,'Fuel economy adjusted factor'!$A$2:$F$52,5,FALSE)*m2k))/'TCO Inputs'!$AZ$84</f>
        <v>26.556193452463752</v>
      </c>
      <c r="AH181" s="125">
        <f>AH125/293.07*(1/(VLOOKUP($H181,'Fuel economy adjusted factor'!$A$2:$F$52,5,FALSE)*m2k))/'TCO Inputs'!$AZ$84</f>
        <v>26.556193452463752</v>
      </c>
      <c r="AI181" s="125">
        <f>AI125/293.07*(1/(VLOOKUP($H181,'Fuel economy adjusted factor'!$A$2:$F$52,5,FALSE)*m2k))/'TCO Inputs'!$AZ$84</f>
        <v>26.556193452463752</v>
      </c>
      <c r="AJ181" s="125">
        <f>AJ125/293.07*(1/(VLOOKUP($H181,'Fuel economy adjusted factor'!$A$2:$F$52,5,FALSE)*m2k))/'TCO Inputs'!$AZ$84</f>
        <v>24.887982248987999</v>
      </c>
      <c r="AK181" s="98" cm="1">
        <f t="array" ref="AK181">SUMPRODUCT(INDEX(I181:AJ181,,'TCO Inputs'!$AZ$12-2023+_xlfn.SEQUENCE('TCO Inputs'!$AZ$13)),INDEX(INDEX('VKT US'!$C$63:$AA$113,MATCH(H181,$H$169:$H$219,0),0),,_xlfn.SEQUENCE('TCO Inputs'!$AZ$13)))*m2k*CONVERT(0.9072,"g","ton")</f>
        <v>11.714587875570484</v>
      </c>
    </row>
    <row r="182" spans="8:37" x14ac:dyDescent="0.25">
      <c r="H182" s="123" t="s">
        <v>198</v>
      </c>
      <c r="I182" s="125">
        <f>I126/293.07*(1/(VLOOKUP($H182,'Fuel economy adjusted factor'!$A$2:$F$52,5,FALSE)*m2k))/'TCO Inputs'!$AZ$84</f>
        <v>175.04457916662338</v>
      </c>
      <c r="J182" s="125">
        <f>J126/293.07*(1/(VLOOKUP($H182,'Fuel economy adjusted factor'!$A$2:$F$52,5,FALSE)*m2k))/'TCO Inputs'!$AZ$84</f>
        <v>175.04457916662338</v>
      </c>
      <c r="K182" s="125">
        <f>K126/293.07*(1/(VLOOKUP($H182,'Fuel economy adjusted factor'!$A$2:$F$52,5,FALSE)*m2k))/'TCO Inputs'!$AZ$84</f>
        <v>153.79010063031959</v>
      </c>
      <c r="L182" s="125">
        <f>L126/293.07*(1/(VLOOKUP($H182,'Fuel economy adjusted factor'!$A$2:$F$52,5,FALSE)*m2k))/'TCO Inputs'!$AZ$84</f>
        <v>153.79010063031959</v>
      </c>
      <c r="M182" s="125">
        <f>M126/293.07*(1/(VLOOKUP($H182,'Fuel economy adjusted factor'!$A$2:$F$52,5,FALSE)*m2k))/'TCO Inputs'!$AZ$84</f>
        <v>153.79010063031959</v>
      </c>
      <c r="N182" s="125">
        <f>N126/293.07*(1/(VLOOKUP($H182,'Fuel economy adjusted factor'!$A$2:$F$52,5,FALSE)*m2k))/'TCO Inputs'!$AZ$84</f>
        <v>153.79010063031959</v>
      </c>
      <c r="O182" s="125">
        <f>O126/293.07*(1/(VLOOKUP($H182,'Fuel economy adjusted factor'!$A$2:$F$52,5,FALSE)*m2k))/'TCO Inputs'!$AZ$84</f>
        <v>153.79010063031959</v>
      </c>
      <c r="P182" s="125">
        <f>P126/293.07*(1/(VLOOKUP($H182,'Fuel economy adjusted factor'!$A$2:$F$52,5,FALSE)*m2k))/'TCO Inputs'!$AZ$84</f>
        <v>93.760632817072604</v>
      </c>
      <c r="Q182" s="125">
        <f>Q126/293.07*(1/(VLOOKUP($H182,'Fuel economy adjusted factor'!$A$2:$F$52,5,FALSE)*m2k))/'TCO Inputs'!$AZ$84</f>
        <v>93.760632817072604</v>
      </c>
      <c r="R182" s="125">
        <f>R126/293.07*(1/(VLOOKUP($H182,'Fuel economy adjusted factor'!$A$2:$F$52,5,FALSE)*m2k))/'TCO Inputs'!$AZ$84</f>
        <v>93.760632817072604</v>
      </c>
      <c r="S182" s="125">
        <f>S126/293.07*(1/(VLOOKUP($H182,'Fuel economy adjusted factor'!$A$2:$F$52,5,FALSE)*m2k))/'TCO Inputs'!$AZ$84</f>
        <v>93.760632817072604</v>
      </c>
      <c r="T182" s="125">
        <f>T126/293.07*(1/(VLOOKUP($H182,'Fuel economy adjusted factor'!$A$2:$F$52,5,FALSE)*m2k))/'TCO Inputs'!$AZ$84</f>
        <v>93.760632817072604</v>
      </c>
      <c r="U182" s="125">
        <f>U126/293.07*(1/(VLOOKUP($H182,'Fuel economy adjusted factor'!$A$2:$F$52,5,FALSE)*m2k))/'TCO Inputs'!$AZ$84</f>
        <v>84.037208008131387</v>
      </c>
      <c r="V182" s="125">
        <f>V126/293.07*(1/(VLOOKUP($H182,'Fuel economy adjusted factor'!$A$2:$F$52,5,FALSE)*m2k))/'TCO Inputs'!$AZ$84</f>
        <v>84.037208008131387</v>
      </c>
      <c r="W182" s="125">
        <f>W126/293.07*(1/(VLOOKUP($H182,'Fuel economy adjusted factor'!$A$2:$F$52,5,FALSE)*m2k))/'TCO Inputs'!$AZ$84</f>
        <v>84.037208008131387</v>
      </c>
      <c r="X182" s="125">
        <f>X126/293.07*(1/(VLOOKUP($H182,'Fuel economy adjusted factor'!$A$2:$F$52,5,FALSE)*m2k))/'TCO Inputs'!$AZ$84</f>
        <v>84.037208008131387</v>
      </c>
      <c r="Y182" s="125">
        <f>Y126/293.07*(1/(VLOOKUP($H182,'Fuel economy adjusted factor'!$A$2:$F$52,5,FALSE)*m2k))/'TCO Inputs'!$AZ$84</f>
        <v>84.037208008131387</v>
      </c>
      <c r="Z182" s="125">
        <f>Z126/293.07*(1/(VLOOKUP($H182,'Fuel economy adjusted factor'!$A$2:$F$52,5,FALSE)*m2k))/'TCO Inputs'!$AZ$84</f>
        <v>81.084297782441553</v>
      </c>
      <c r="AA182" s="125">
        <f>AA126/293.07*(1/(VLOOKUP($H182,'Fuel economy adjusted factor'!$A$2:$F$52,5,FALSE)*m2k))/'TCO Inputs'!$AZ$84</f>
        <v>81.084297782441553</v>
      </c>
      <c r="AB182" s="125">
        <f>AB126/293.07*(1/(VLOOKUP($H182,'Fuel economy adjusted factor'!$A$2:$F$52,5,FALSE)*m2k))/'TCO Inputs'!$AZ$84</f>
        <v>81.084297782441553</v>
      </c>
      <c r="AC182" s="125">
        <f>AC126/293.07*(1/(VLOOKUP($H182,'Fuel economy adjusted factor'!$A$2:$F$52,5,FALSE)*m2k))/'TCO Inputs'!$AZ$84</f>
        <v>81.084297782441553</v>
      </c>
      <c r="AD182" s="125">
        <f>AD126/293.07*(1/(VLOOKUP($H182,'Fuel economy adjusted factor'!$A$2:$F$52,5,FALSE)*m2k))/'TCO Inputs'!$AZ$84</f>
        <v>81.084297782441553</v>
      </c>
      <c r="AE182" s="125">
        <f>AE126/293.07*(1/(VLOOKUP($H182,'Fuel economy adjusted factor'!$A$2:$F$52,5,FALSE)*m2k))/'TCO Inputs'!$AZ$84</f>
        <v>77.908806383961007</v>
      </c>
      <c r="AF182" s="125">
        <f>AF126/293.07*(1/(VLOOKUP($H182,'Fuel economy adjusted factor'!$A$2:$F$52,5,FALSE)*m2k))/'TCO Inputs'!$AZ$84</f>
        <v>77.908806383961007</v>
      </c>
      <c r="AG182" s="125">
        <f>AG126/293.07*(1/(VLOOKUP($H182,'Fuel economy adjusted factor'!$A$2:$F$52,5,FALSE)*m2k))/'TCO Inputs'!$AZ$84</f>
        <v>77.908806383961007</v>
      </c>
      <c r="AH182" s="125">
        <f>AH126/293.07*(1/(VLOOKUP($H182,'Fuel economy adjusted factor'!$A$2:$F$52,5,FALSE)*m2k))/'TCO Inputs'!$AZ$84</f>
        <v>77.908806383961007</v>
      </c>
      <c r="AI182" s="125">
        <f>AI126/293.07*(1/(VLOOKUP($H182,'Fuel economy adjusted factor'!$A$2:$F$52,5,FALSE)*m2k))/'TCO Inputs'!$AZ$84</f>
        <v>77.908806383961007</v>
      </c>
      <c r="AJ182" s="125">
        <f>AJ126/293.07*(1/(VLOOKUP($H182,'Fuel economy adjusted factor'!$A$2:$F$52,5,FALSE)*m2k))/'TCO Inputs'!$AZ$84</f>
        <v>73.014718536175408</v>
      </c>
      <c r="AK182" s="98" cm="1">
        <f t="array" ref="AK182">SUMPRODUCT(INDEX(I182:AJ182,,'TCO Inputs'!$AZ$12-2023+_xlfn.SEQUENCE('TCO Inputs'!$AZ$13)),INDEX(INDEX('VKT US'!$C$63:$AA$113,MATCH(H182,$H$169:$H$219,0),0),,_xlfn.SEQUENCE('TCO Inputs'!$AZ$13)))*m2k*CONVERT(0.9072,"g","ton")</f>
        <v>49.236112794593957</v>
      </c>
    </row>
    <row r="183" spans="8:37" x14ac:dyDescent="0.25">
      <c r="H183" s="123" t="s">
        <v>195</v>
      </c>
      <c r="I183" s="125">
        <f>I127/293.07*(1/(VLOOKUP($H183,'Fuel economy adjusted factor'!$A$2:$F$52,5,FALSE)*m2k))/'TCO Inputs'!$AZ$84</f>
        <v>81.345623148974411</v>
      </c>
      <c r="J183" s="125">
        <f>J127/293.07*(1/(VLOOKUP($H183,'Fuel economy adjusted factor'!$A$2:$F$52,5,FALSE)*m2k))/'TCO Inputs'!$AZ$84</f>
        <v>81.345623148974411</v>
      </c>
      <c r="K183" s="125">
        <f>K127/293.07*(1/(VLOOKUP($H183,'Fuel economy adjusted factor'!$A$2:$F$52,5,FALSE)*m2k))/'TCO Inputs'!$AZ$84</f>
        <v>71.468374681906184</v>
      </c>
      <c r="L183" s="125">
        <f>L127/293.07*(1/(VLOOKUP($H183,'Fuel economy adjusted factor'!$A$2:$F$52,5,FALSE)*m2k))/'TCO Inputs'!$AZ$84</f>
        <v>71.468374681906184</v>
      </c>
      <c r="M183" s="125">
        <f>M127/293.07*(1/(VLOOKUP($H183,'Fuel economy adjusted factor'!$A$2:$F$52,5,FALSE)*m2k))/'TCO Inputs'!$AZ$84</f>
        <v>71.468374681906184</v>
      </c>
      <c r="N183" s="125">
        <f>N127/293.07*(1/(VLOOKUP($H183,'Fuel economy adjusted factor'!$A$2:$F$52,5,FALSE)*m2k))/'TCO Inputs'!$AZ$84</f>
        <v>71.468374681906184</v>
      </c>
      <c r="O183" s="125">
        <f>O127/293.07*(1/(VLOOKUP($H183,'Fuel economy adjusted factor'!$A$2:$F$52,5,FALSE)*m2k))/'TCO Inputs'!$AZ$84</f>
        <v>71.468374681906184</v>
      </c>
      <c r="P183" s="125">
        <f>P127/293.07*(1/(VLOOKUP($H183,'Fuel economy adjusted factor'!$A$2:$F$52,5,FALSE)*m2k))/'TCO Inputs'!$AZ$84</f>
        <v>43.571855464811982</v>
      </c>
      <c r="Q183" s="125">
        <f>Q127/293.07*(1/(VLOOKUP($H183,'Fuel economy adjusted factor'!$A$2:$F$52,5,FALSE)*m2k))/'TCO Inputs'!$AZ$84</f>
        <v>43.571855464811982</v>
      </c>
      <c r="R183" s="125">
        <f>R127/293.07*(1/(VLOOKUP($H183,'Fuel economy adjusted factor'!$A$2:$F$52,5,FALSE)*m2k))/'TCO Inputs'!$AZ$84</f>
        <v>43.571855464811982</v>
      </c>
      <c r="S183" s="125">
        <f>S127/293.07*(1/(VLOOKUP($H183,'Fuel economy adjusted factor'!$A$2:$F$52,5,FALSE)*m2k))/'TCO Inputs'!$AZ$84</f>
        <v>43.571855464811982</v>
      </c>
      <c r="T183" s="125">
        <f>T127/293.07*(1/(VLOOKUP($H183,'Fuel economy adjusted factor'!$A$2:$F$52,5,FALSE)*m2k))/'TCO Inputs'!$AZ$84</f>
        <v>43.571855464811982</v>
      </c>
      <c r="U183" s="125">
        <f>U127/293.07*(1/(VLOOKUP($H183,'Fuel economy adjusted factor'!$A$2:$F$52,5,FALSE)*m2k))/'TCO Inputs'!$AZ$84</f>
        <v>39.053246239715008</v>
      </c>
      <c r="V183" s="125">
        <f>V127/293.07*(1/(VLOOKUP($H183,'Fuel economy adjusted factor'!$A$2:$F$52,5,FALSE)*m2k))/'TCO Inputs'!$AZ$84</f>
        <v>39.053246239715008</v>
      </c>
      <c r="W183" s="125">
        <f>W127/293.07*(1/(VLOOKUP($H183,'Fuel economy adjusted factor'!$A$2:$F$52,5,FALSE)*m2k))/'TCO Inputs'!$AZ$84</f>
        <v>39.053246239715008</v>
      </c>
      <c r="X183" s="125">
        <f>X127/293.07*(1/(VLOOKUP($H183,'Fuel economy adjusted factor'!$A$2:$F$52,5,FALSE)*m2k))/'TCO Inputs'!$AZ$84</f>
        <v>39.053246239715008</v>
      </c>
      <c r="Y183" s="125">
        <f>Y127/293.07*(1/(VLOOKUP($H183,'Fuel economy adjusted factor'!$A$2:$F$52,5,FALSE)*m2k))/'TCO Inputs'!$AZ$84</f>
        <v>39.053246239715008</v>
      </c>
      <c r="Z183" s="125">
        <f>Z127/293.07*(1/(VLOOKUP($H183,'Fuel economy adjusted factor'!$A$2:$F$52,5,FALSE)*m2k))/'TCO Inputs'!$AZ$84</f>
        <v>37.680988249462885</v>
      </c>
      <c r="AA183" s="125">
        <f>AA127/293.07*(1/(VLOOKUP($H183,'Fuel economy adjusted factor'!$A$2:$F$52,5,FALSE)*m2k))/'TCO Inputs'!$AZ$84</f>
        <v>37.680988249462885</v>
      </c>
      <c r="AB183" s="125">
        <f>AB127/293.07*(1/(VLOOKUP($H183,'Fuel economy adjusted factor'!$A$2:$F$52,5,FALSE)*m2k))/'TCO Inputs'!$AZ$84</f>
        <v>37.680988249462885</v>
      </c>
      <c r="AC183" s="125">
        <f>AC127/293.07*(1/(VLOOKUP($H183,'Fuel economy adjusted factor'!$A$2:$F$52,5,FALSE)*m2k))/'TCO Inputs'!$AZ$84</f>
        <v>37.680988249462885</v>
      </c>
      <c r="AD183" s="125">
        <f>AD127/293.07*(1/(VLOOKUP($H183,'Fuel economy adjusted factor'!$A$2:$F$52,5,FALSE)*m2k))/'TCO Inputs'!$AZ$84</f>
        <v>37.680988249462885</v>
      </c>
      <c r="AE183" s="125">
        <f>AE127/293.07*(1/(VLOOKUP($H183,'Fuel economy adjusted factor'!$A$2:$F$52,5,FALSE)*m2k))/'TCO Inputs'!$AZ$84</f>
        <v>36.205293727282218</v>
      </c>
      <c r="AF183" s="125">
        <f>AF127/293.07*(1/(VLOOKUP($H183,'Fuel economy adjusted factor'!$A$2:$F$52,5,FALSE)*m2k))/'TCO Inputs'!$AZ$84</f>
        <v>36.205293727282218</v>
      </c>
      <c r="AG183" s="125">
        <f>AG127/293.07*(1/(VLOOKUP($H183,'Fuel economy adjusted factor'!$A$2:$F$52,5,FALSE)*m2k))/'TCO Inputs'!$AZ$84</f>
        <v>36.205293727282218</v>
      </c>
      <c r="AH183" s="125">
        <f>AH127/293.07*(1/(VLOOKUP($H183,'Fuel economy adjusted factor'!$A$2:$F$52,5,FALSE)*m2k))/'TCO Inputs'!$AZ$84</f>
        <v>36.205293727282218</v>
      </c>
      <c r="AI183" s="125">
        <f>AI127/293.07*(1/(VLOOKUP($H183,'Fuel economy adjusted factor'!$A$2:$F$52,5,FALSE)*m2k))/'TCO Inputs'!$AZ$84</f>
        <v>36.205293727282218</v>
      </c>
      <c r="AJ183" s="125">
        <f>AJ127/293.07*(1/(VLOOKUP($H183,'Fuel economy adjusted factor'!$A$2:$F$52,5,FALSE)*m2k))/'TCO Inputs'!$AZ$84</f>
        <v>33.930943800998669</v>
      </c>
      <c r="AK183" s="98" cm="1">
        <f t="array" ref="AK183">SUMPRODUCT(INDEX(I183:AJ183,,'TCO Inputs'!$AZ$12-2023+_xlfn.SEQUENCE('TCO Inputs'!$AZ$13)),INDEX(INDEX('VKT US'!$C$63:$AA$113,MATCH(H183,$H$169:$H$219,0),0),,_xlfn.SEQUENCE('TCO Inputs'!$AZ$13)))*m2k*CONVERT(0.9072,"g","ton")</f>
        <v>18.718148162294533</v>
      </c>
    </row>
    <row r="184" spans="8:37" x14ac:dyDescent="0.25">
      <c r="H184" s="123" t="s">
        <v>199</v>
      </c>
      <c r="I184" s="125">
        <f>I128/293.07*(1/(VLOOKUP($H184,'Fuel economy adjusted factor'!$A$2:$F$52,5,FALSE)*m2k))/'TCO Inputs'!$AZ$84</f>
        <v>85.076437942371697</v>
      </c>
      <c r="J184" s="125">
        <f>J128/293.07*(1/(VLOOKUP($H184,'Fuel economy adjusted factor'!$A$2:$F$52,5,FALSE)*m2k))/'TCO Inputs'!$AZ$84</f>
        <v>85.076437942371697</v>
      </c>
      <c r="K184" s="125">
        <f>K128/293.07*(1/(VLOOKUP($H184,'Fuel economy adjusted factor'!$A$2:$F$52,5,FALSE)*m2k))/'TCO Inputs'!$AZ$84</f>
        <v>74.746181885312907</v>
      </c>
      <c r="L184" s="125">
        <f>L128/293.07*(1/(VLOOKUP($H184,'Fuel economy adjusted factor'!$A$2:$F$52,5,FALSE)*m2k))/'TCO Inputs'!$AZ$84</f>
        <v>74.746181885312907</v>
      </c>
      <c r="M184" s="125">
        <f>M128/293.07*(1/(VLOOKUP($H184,'Fuel economy adjusted factor'!$A$2:$F$52,5,FALSE)*m2k))/'TCO Inputs'!$AZ$84</f>
        <v>74.746181885312907</v>
      </c>
      <c r="N184" s="125">
        <f>N128/293.07*(1/(VLOOKUP($H184,'Fuel economy adjusted factor'!$A$2:$F$52,5,FALSE)*m2k))/'TCO Inputs'!$AZ$84</f>
        <v>74.746181885312907</v>
      </c>
      <c r="O184" s="125">
        <f>O128/293.07*(1/(VLOOKUP($H184,'Fuel economy adjusted factor'!$A$2:$F$52,5,FALSE)*m2k))/'TCO Inputs'!$AZ$84</f>
        <v>74.746181885312907</v>
      </c>
      <c r="P184" s="125">
        <f>P128/293.07*(1/(VLOOKUP($H184,'Fuel economy adjusted factor'!$A$2:$F$52,5,FALSE)*m2k))/'TCO Inputs'!$AZ$84</f>
        <v>45.570223866836308</v>
      </c>
      <c r="Q184" s="125">
        <f>Q128/293.07*(1/(VLOOKUP($H184,'Fuel economy adjusted factor'!$A$2:$F$52,5,FALSE)*m2k))/'TCO Inputs'!$AZ$84</f>
        <v>45.570223866836308</v>
      </c>
      <c r="R184" s="125">
        <f>R128/293.07*(1/(VLOOKUP($H184,'Fuel economy adjusted factor'!$A$2:$F$52,5,FALSE)*m2k))/'TCO Inputs'!$AZ$84</f>
        <v>45.570223866836308</v>
      </c>
      <c r="S184" s="125">
        <f>S128/293.07*(1/(VLOOKUP($H184,'Fuel economy adjusted factor'!$A$2:$F$52,5,FALSE)*m2k))/'TCO Inputs'!$AZ$84</f>
        <v>45.570223866836308</v>
      </c>
      <c r="T184" s="125">
        <f>T128/293.07*(1/(VLOOKUP($H184,'Fuel economy adjusted factor'!$A$2:$F$52,5,FALSE)*m2k))/'TCO Inputs'!$AZ$84</f>
        <v>45.570223866836308</v>
      </c>
      <c r="U184" s="125">
        <f>U128/293.07*(1/(VLOOKUP($H184,'Fuel economy adjusted factor'!$A$2:$F$52,5,FALSE)*m2k))/'TCO Inputs'!$AZ$84</f>
        <v>40.844374307349128</v>
      </c>
      <c r="V184" s="125">
        <f>V128/293.07*(1/(VLOOKUP($H184,'Fuel economy adjusted factor'!$A$2:$F$52,5,FALSE)*m2k))/'TCO Inputs'!$AZ$84</f>
        <v>40.844374307349128</v>
      </c>
      <c r="W184" s="125">
        <f>W128/293.07*(1/(VLOOKUP($H184,'Fuel economy adjusted factor'!$A$2:$F$52,5,FALSE)*m2k))/'TCO Inputs'!$AZ$84</f>
        <v>40.844374307349128</v>
      </c>
      <c r="X184" s="125">
        <f>X128/293.07*(1/(VLOOKUP($H184,'Fuel economy adjusted factor'!$A$2:$F$52,5,FALSE)*m2k))/'TCO Inputs'!$AZ$84</f>
        <v>40.844374307349128</v>
      </c>
      <c r="Y184" s="125">
        <f>Y128/293.07*(1/(VLOOKUP($H184,'Fuel economy adjusted factor'!$A$2:$F$52,5,FALSE)*m2k))/'TCO Inputs'!$AZ$84</f>
        <v>40.844374307349128</v>
      </c>
      <c r="Z184" s="125">
        <f>Z128/293.07*(1/(VLOOKUP($H184,'Fuel economy adjusted factor'!$A$2:$F$52,5,FALSE)*m2k))/'TCO Inputs'!$AZ$84</f>
        <v>39.409179428642496</v>
      </c>
      <c r="AA184" s="125">
        <f>AA128/293.07*(1/(VLOOKUP($H184,'Fuel economy adjusted factor'!$A$2:$F$52,5,FALSE)*m2k))/'TCO Inputs'!$AZ$84</f>
        <v>39.409179428642496</v>
      </c>
      <c r="AB184" s="125">
        <f>AB128/293.07*(1/(VLOOKUP($H184,'Fuel economy adjusted factor'!$A$2:$F$52,5,FALSE)*m2k))/'TCO Inputs'!$AZ$84</f>
        <v>39.409179428642496</v>
      </c>
      <c r="AC184" s="125">
        <f>AC128/293.07*(1/(VLOOKUP($H184,'Fuel economy adjusted factor'!$A$2:$F$52,5,FALSE)*m2k))/'TCO Inputs'!$AZ$84</f>
        <v>39.409179428642496</v>
      </c>
      <c r="AD184" s="125">
        <f>AD128/293.07*(1/(VLOOKUP($H184,'Fuel economy adjusted factor'!$A$2:$F$52,5,FALSE)*m2k))/'TCO Inputs'!$AZ$84</f>
        <v>39.409179428642496</v>
      </c>
      <c r="AE184" s="125">
        <f>AE128/293.07*(1/(VLOOKUP($H184,'Fuel economy adjusted factor'!$A$2:$F$52,5,FALSE)*m2k))/'TCO Inputs'!$AZ$84</f>
        <v>37.865804031440383</v>
      </c>
      <c r="AF184" s="125">
        <f>AF128/293.07*(1/(VLOOKUP($H184,'Fuel economy adjusted factor'!$A$2:$F$52,5,FALSE)*m2k))/'TCO Inputs'!$AZ$84</f>
        <v>37.865804031440383</v>
      </c>
      <c r="AG184" s="125">
        <f>AG128/293.07*(1/(VLOOKUP($H184,'Fuel economy adjusted factor'!$A$2:$F$52,5,FALSE)*m2k))/'TCO Inputs'!$AZ$84</f>
        <v>37.865804031440383</v>
      </c>
      <c r="AH184" s="125">
        <f>AH128/293.07*(1/(VLOOKUP($H184,'Fuel economy adjusted factor'!$A$2:$F$52,5,FALSE)*m2k))/'TCO Inputs'!$AZ$84</f>
        <v>37.865804031440383</v>
      </c>
      <c r="AI184" s="125">
        <f>AI128/293.07*(1/(VLOOKUP($H184,'Fuel economy adjusted factor'!$A$2:$F$52,5,FALSE)*m2k))/'TCO Inputs'!$AZ$84</f>
        <v>37.865804031440383</v>
      </c>
      <c r="AJ184" s="125">
        <f>AJ128/293.07*(1/(VLOOKUP($H184,'Fuel economy adjusted factor'!$A$2:$F$52,5,FALSE)*m2k))/'TCO Inputs'!$AZ$84</f>
        <v>35.487143903551996</v>
      </c>
      <c r="AK184" s="98" cm="1">
        <f t="array" ref="AK184">SUMPRODUCT(INDEX(I184:AJ184,,'TCO Inputs'!$AZ$12-2023+_xlfn.SEQUENCE('TCO Inputs'!$AZ$13)),INDEX(INDEX('VKT US'!$C$63:$AA$113,MATCH(H184,$H$169:$H$219,0),0),,_xlfn.SEQUENCE('TCO Inputs'!$AZ$13)))*m2k*CONVERT(0.9072,"g","ton")</f>
        <v>19.624428965849159</v>
      </c>
    </row>
    <row r="185" spans="8:37" x14ac:dyDescent="0.25">
      <c r="H185" s="123" t="s">
        <v>157</v>
      </c>
      <c r="I185" s="125">
        <f>I129/293.07*(1/(VLOOKUP($H185,'Fuel economy adjusted factor'!$A$2:$F$52,5,FALSE)*m2k))/'TCO Inputs'!$AZ$84</f>
        <v>204.0364321282176</v>
      </c>
      <c r="J185" s="125">
        <f>J129/293.07*(1/(VLOOKUP($H185,'Fuel economy adjusted factor'!$A$2:$F$52,5,FALSE)*m2k))/'TCO Inputs'!$AZ$84</f>
        <v>204.0364321282176</v>
      </c>
      <c r="K185" s="125">
        <f>K129/293.07*(1/(VLOOKUP($H185,'Fuel economy adjusted factor'!$A$2:$F$52,5,FALSE)*m2k))/'TCO Inputs'!$AZ$84</f>
        <v>179.26166910533553</v>
      </c>
      <c r="L185" s="125">
        <f>L129/293.07*(1/(VLOOKUP($H185,'Fuel economy adjusted factor'!$A$2:$F$52,5,FALSE)*m2k))/'TCO Inputs'!$AZ$84</f>
        <v>179.26166910533553</v>
      </c>
      <c r="M185" s="125">
        <f>M129/293.07*(1/(VLOOKUP($H185,'Fuel economy adjusted factor'!$A$2:$F$52,5,FALSE)*m2k))/'TCO Inputs'!$AZ$84</f>
        <v>179.26166910533553</v>
      </c>
      <c r="N185" s="125">
        <f>N129/293.07*(1/(VLOOKUP($H185,'Fuel economy adjusted factor'!$A$2:$F$52,5,FALSE)*m2k))/'TCO Inputs'!$AZ$84</f>
        <v>179.26166910533553</v>
      </c>
      <c r="O185" s="125">
        <f>O129/293.07*(1/(VLOOKUP($H185,'Fuel economy adjusted factor'!$A$2:$F$52,5,FALSE)*m2k))/'TCO Inputs'!$AZ$84</f>
        <v>179.26166910533553</v>
      </c>
      <c r="P185" s="125">
        <f>P129/293.07*(1/(VLOOKUP($H185,'Fuel economy adjusted factor'!$A$2:$F$52,5,FALSE)*m2k))/'TCO Inputs'!$AZ$84</f>
        <v>109.28978826513178</v>
      </c>
      <c r="Q185" s="125">
        <f>Q129/293.07*(1/(VLOOKUP($H185,'Fuel economy adjusted factor'!$A$2:$F$52,5,FALSE)*m2k))/'TCO Inputs'!$AZ$84</f>
        <v>109.28978826513178</v>
      </c>
      <c r="R185" s="125">
        <f>R129/293.07*(1/(VLOOKUP($H185,'Fuel economy adjusted factor'!$A$2:$F$52,5,FALSE)*m2k))/'TCO Inputs'!$AZ$84</f>
        <v>109.28978826513178</v>
      </c>
      <c r="S185" s="125">
        <f>S129/293.07*(1/(VLOOKUP($H185,'Fuel economy adjusted factor'!$A$2:$F$52,5,FALSE)*m2k))/'TCO Inputs'!$AZ$84</f>
        <v>109.28978826513178</v>
      </c>
      <c r="T185" s="125">
        <f>T129/293.07*(1/(VLOOKUP($H185,'Fuel economy adjusted factor'!$A$2:$F$52,5,FALSE)*m2k))/'TCO Inputs'!$AZ$84</f>
        <v>109.28978826513178</v>
      </c>
      <c r="U185" s="125">
        <f>U129/293.07*(1/(VLOOKUP($H185,'Fuel economy adjusted factor'!$A$2:$F$52,5,FALSE)*m2k))/'TCO Inputs'!$AZ$84</f>
        <v>97.955915970835392</v>
      </c>
      <c r="V185" s="125">
        <f>V129/293.07*(1/(VLOOKUP($H185,'Fuel economy adjusted factor'!$A$2:$F$52,5,FALSE)*m2k))/'TCO Inputs'!$AZ$84</f>
        <v>97.955915970835392</v>
      </c>
      <c r="W185" s="125">
        <f>W129/293.07*(1/(VLOOKUP($H185,'Fuel economy adjusted factor'!$A$2:$F$52,5,FALSE)*m2k))/'TCO Inputs'!$AZ$84</f>
        <v>97.955915970835392</v>
      </c>
      <c r="X185" s="125">
        <f>X129/293.07*(1/(VLOOKUP($H185,'Fuel economy adjusted factor'!$A$2:$F$52,5,FALSE)*m2k))/'TCO Inputs'!$AZ$84</f>
        <v>97.955915970835392</v>
      </c>
      <c r="Y185" s="125">
        <f>Y129/293.07*(1/(VLOOKUP($H185,'Fuel economy adjusted factor'!$A$2:$F$52,5,FALSE)*m2k))/'TCO Inputs'!$AZ$84</f>
        <v>97.955915970835392</v>
      </c>
      <c r="Z185" s="125">
        <f>Z129/293.07*(1/(VLOOKUP($H185,'Fuel economy adjusted factor'!$A$2:$F$52,5,FALSE)*m2k))/'TCO Inputs'!$AZ$84</f>
        <v>94.513928394224024</v>
      </c>
      <c r="AA185" s="125">
        <f>AA129/293.07*(1/(VLOOKUP($H185,'Fuel economy adjusted factor'!$A$2:$F$52,5,FALSE)*m2k))/'TCO Inputs'!$AZ$84</f>
        <v>94.513928394224024</v>
      </c>
      <c r="AB185" s="125">
        <f>AB129/293.07*(1/(VLOOKUP($H185,'Fuel economy adjusted factor'!$A$2:$F$52,5,FALSE)*m2k))/'TCO Inputs'!$AZ$84</f>
        <v>94.513928394224024</v>
      </c>
      <c r="AC185" s="125">
        <f>AC129/293.07*(1/(VLOOKUP($H185,'Fuel economy adjusted factor'!$A$2:$F$52,5,FALSE)*m2k))/'TCO Inputs'!$AZ$84</f>
        <v>94.513928394224024</v>
      </c>
      <c r="AD185" s="125">
        <f>AD129/293.07*(1/(VLOOKUP($H185,'Fuel economy adjusted factor'!$A$2:$F$52,5,FALSE)*m2k))/'TCO Inputs'!$AZ$84</f>
        <v>94.513928394224024</v>
      </c>
      <c r="AE185" s="125">
        <f>AE129/293.07*(1/(VLOOKUP($H185,'Fuel economy adjusted factor'!$A$2:$F$52,5,FALSE)*m2k))/'TCO Inputs'!$AZ$84</f>
        <v>90.81249451786806</v>
      </c>
      <c r="AF185" s="125">
        <f>AF129/293.07*(1/(VLOOKUP($H185,'Fuel economy adjusted factor'!$A$2:$F$52,5,FALSE)*m2k))/'TCO Inputs'!$AZ$84</f>
        <v>90.81249451786806</v>
      </c>
      <c r="AG185" s="125">
        <f>AG129/293.07*(1/(VLOOKUP($H185,'Fuel economy adjusted factor'!$A$2:$F$52,5,FALSE)*m2k))/'TCO Inputs'!$AZ$84</f>
        <v>90.81249451786806</v>
      </c>
      <c r="AH185" s="125">
        <f>AH129/293.07*(1/(VLOOKUP($H185,'Fuel economy adjusted factor'!$A$2:$F$52,5,FALSE)*m2k))/'TCO Inputs'!$AZ$84</f>
        <v>90.81249451786806</v>
      </c>
      <c r="AI185" s="125">
        <f>AI129/293.07*(1/(VLOOKUP($H185,'Fuel economy adjusted factor'!$A$2:$F$52,5,FALSE)*m2k))/'TCO Inputs'!$AZ$84</f>
        <v>90.81249451786806</v>
      </c>
      <c r="AJ185" s="125">
        <f>AJ129/293.07*(1/(VLOOKUP($H185,'Fuel economy adjusted factor'!$A$2:$F$52,5,FALSE)*m2k))/'TCO Inputs'!$AZ$84</f>
        <v>85.107820727120668</v>
      </c>
      <c r="AK185" s="98" cm="1">
        <f t="array" ref="AK185">SUMPRODUCT(INDEX(I185:AJ185,,'TCO Inputs'!$AZ$12-2023+_xlfn.SEQUENCE('TCO Inputs'!$AZ$13)),INDEX(INDEX('VKT US'!$C$63:$AA$113,MATCH(H185,$H$169:$H$219,0),0),,_xlfn.SEQUENCE('TCO Inputs'!$AZ$13)))*m2k*CONVERT(0.9072,"g","ton")</f>
        <v>51.917340468318244</v>
      </c>
    </row>
    <row r="186" spans="8:37" x14ac:dyDescent="0.25">
      <c r="H186" s="123" t="s">
        <v>200</v>
      </c>
      <c r="I186" s="125">
        <f>I130/293.07*(1/(VLOOKUP($H186,'Fuel economy adjusted factor'!$A$2:$F$52,5,FALSE)*m2k))/'TCO Inputs'!$AZ$84</f>
        <v>103.03341751838546</v>
      </c>
      <c r="J186" s="125">
        <f>J130/293.07*(1/(VLOOKUP($H186,'Fuel economy adjusted factor'!$A$2:$F$52,5,FALSE)*m2k))/'TCO Inputs'!$AZ$84</f>
        <v>103.03341751838546</v>
      </c>
      <c r="K186" s="125">
        <f>K130/293.07*(1/(VLOOKUP($H186,'Fuel economy adjusted factor'!$A$2:$F$52,5,FALSE)*m2k))/'TCO Inputs'!$AZ$84</f>
        <v>90.522766965294153</v>
      </c>
      <c r="L186" s="125">
        <f>L130/293.07*(1/(VLOOKUP($H186,'Fuel economy adjusted factor'!$A$2:$F$52,5,FALSE)*m2k))/'TCO Inputs'!$AZ$84</f>
        <v>90.522766965294153</v>
      </c>
      <c r="M186" s="125">
        <f>M130/293.07*(1/(VLOOKUP($H186,'Fuel economy adjusted factor'!$A$2:$F$52,5,FALSE)*m2k))/'TCO Inputs'!$AZ$84</f>
        <v>90.522766965294153</v>
      </c>
      <c r="N186" s="125">
        <f>N130/293.07*(1/(VLOOKUP($H186,'Fuel economy adjusted factor'!$A$2:$F$52,5,FALSE)*m2k))/'TCO Inputs'!$AZ$84</f>
        <v>90.522766965294153</v>
      </c>
      <c r="O186" s="125">
        <f>O130/293.07*(1/(VLOOKUP($H186,'Fuel economy adjusted factor'!$A$2:$F$52,5,FALSE)*m2k))/'TCO Inputs'!$AZ$84</f>
        <v>90.522766965294153</v>
      </c>
      <c r="P186" s="125">
        <f>P130/293.07*(1/(VLOOKUP($H186,'Fuel economy adjusted factor'!$A$2:$F$52,5,FALSE)*m2k))/'TCO Inputs'!$AZ$84</f>
        <v>55.188675215321872</v>
      </c>
      <c r="Q186" s="125">
        <f>Q130/293.07*(1/(VLOOKUP($H186,'Fuel economy adjusted factor'!$A$2:$F$52,5,FALSE)*m2k))/'TCO Inputs'!$AZ$84</f>
        <v>55.188675215321872</v>
      </c>
      <c r="R186" s="125">
        <f>R130/293.07*(1/(VLOOKUP($H186,'Fuel economy adjusted factor'!$A$2:$F$52,5,FALSE)*m2k))/'TCO Inputs'!$AZ$84</f>
        <v>55.188675215321872</v>
      </c>
      <c r="S186" s="125">
        <f>S130/293.07*(1/(VLOOKUP($H186,'Fuel economy adjusted factor'!$A$2:$F$52,5,FALSE)*m2k))/'TCO Inputs'!$AZ$84</f>
        <v>55.188675215321872</v>
      </c>
      <c r="T186" s="125">
        <f>T130/293.07*(1/(VLOOKUP($H186,'Fuel economy adjusted factor'!$A$2:$F$52,5,FALSE)*m2k))/'TCO Inputs'!$AZ$84</f>
        <v>55.188675215321872</v>
      </c>
      <c r="U186" s="125">
        <f>U130/293.07*(1/(VLOOKUP($H186,'Fuel economy adjusted factor'!$A$2:$F$52,5,FALSE)*m2k))/'TCO Inputs'!$AZ$84</f>
        <v>49.465346376360081</v>
      </c>
      <c r="V186" s="125">
        <f>V130/293.07*(1/(VLOOKUP($H186,'Fuel economy adjusted factor'!$A$2:$F$52,5,FALSE)*m2k))/'TCO Inputs'!$AZ$84</f>
        <v>49.465346376360081</v>
      </c>
      <c r="W186" s="125">
        <f>W130/293.07*(1/(VLOOKUP($H186,'Fuel economy adjusted factor'!$A$2:$F$52,5,FALSE)*m2k))/'TCO Inputs'!$AZ$84</f>
        <v>49.465346376360081</v>
      </c>
      <c r="X186" s="125">
        <f>X130/293.07*(1/(VLOOKUP($H186,'Fuel economy adjusted factor'!$A$2:$F$52,5,FALSE)*m2k))/'TCO Inputs'!$AZ$84</f>
        <v>49.465346376360081</v>
      </c>
      <c r="Y186" s="125">
        <f>Y130/293.07*(1/(VLOOKUP($H186,'Fuel economy adjusted factor'!$A$2:$F$52,5,FALSE)*m2k))/'TCO Inputs'!$AZ$84</f>
        <v>49.465346376360081</v>
      </c>
      <c r="Z186" s="125">
        <f>Z130/293.07*(1/(VLOOKUP($H186,'Fuel economy adjusted factor'!$A$2:$F$52,5,FALSE)*m2k))/'TCO Inputs'!$AZ$84</f>
        <v>47.72722667207492</v>
      </c>
      <c r="AA186" s="125">
        <f>AA130/293.07*(1/(VLOOKUP($H186,'Fuel economy adjusted factor'!$A$2:$F$52,5,FALSE)*m2k))/'TCO Inputs'!$AZ$84</f>
        <v>47.72722667207492</v>
      </c>
      <c r="AB186" s="125">
        <f>AB130/293.07*(1/(VLOOKUP($H186,'Fuel economy adjusted factor'!$A$2:$F$52,5,FALSE)*m2k))/'TCO Inputs'!$AZ$84</f>
        <v>47.72722667207492</v>
      </c>
      <c r="AC186" s="125">
        <f>AC130/293.07*(1/(VLOOKUP($H186,'Fuel economy adjusted factor'!$A$2:$F$52,5,FALSE)*m2k))/'TCO Inputs'!$AZ$84</f>
        <v>47.72722667207492</v>
      </c>
      <c r="AD186" s="125">
        <f>AD130/293.07*(1/(VLOOKUP($H186,'Fuel economy adjusted factor'!$A$2:$F$52,5,FALSE)*m2k))/'TCO Inputs'!$AZ$84</f>
        <v>47.72722667207492</v>
      </c>
      <c r="AE186" s="125">
        <f>AE130/293.07*(1/(VLOOKUP($H186,'Fuel economy adjusted factor'!$A$2:$F$52,5,FALSE)*m2k))/'TCO Inputs'!$AZ$84</f>
        <v>45.85809291972808</v>
      </c>
      <c r="AF186" s="125">
        <f>AF130/293.07*(1/(VLOOKUP($H186,'Fuel economy adjusted factor'!$A$2:$F$52,5,FALSE)*m2k))/'TCO Inputs'!$AZ$84</f>
        <v>45.85809291972808</v>
      </c>
      <c r="AG186" s="125">
        <f>AG130/293.07*(1/(VLOOKUP($H186,'Fuel economy adjusted factor'!$A$2:$F$52,5,FALSE)*m2k))/'TCO Inputs'!$AZ$84</f>
        <v>45.85809291972808</v>
      </c>
      <c r="AH186" s="125">
        <f>AH130/293.07*(1/(VLOOKUP($H186,'Fuel economy adjusted factor'!$A$2:$F$52,5,FALSE)*m2k))/'TCO Inputs'!$AZ$84</f>
        <v>45.85809291972808</v>
      </c>
      <c r="AI186" s="125">
        <f>AI130/293.07*(1/(VLOOKUP($H186,'Fuel economy adjusted factor'!$A$2:$F$52,5,FALSE)*m2k))/'TCO Inputs'!$AZ$84</f>
        <v>45.85809291972808</v>
      </c>
      <c r="AJ186" s="125">
        <f>AJ130/293.07*(1/(VLOOKUP($H186,'Fuel economy adjusted factor'!$A$2:$F$52,5,FALSE)*m2k))/'TCO Inputs'!$AZ$84</f>
        <v>42.97737191143819</v>
      </c>
      <c r="AK186" s="98" cm="1">
        <f t="array" ref="AK186">SUMPRODUCT(INDEX(I186:AJ186,,'TCO Inputs'!$AZ$12-2023+_xlfn.SEQUENCE('TCO Inputs'!$AZ$13)),INDEX(INDEX('VKT US'!$C$63:$AA$113,MATCH(H186,$H$169:$H$219,0),0),,_xlfn.SEQUENCE('TCO Inputs'!$AZ$13)))*m2k*CONVERT(0.9072,"g","ton")</f>
        <v>24.039878034200939</v>
      </c>
    </row>
    <row r="187" spans="8:37" x14ac:dyDescent="0.25">
      <c r="H187" s="123" t="s">
        <v>203</v>
      </c>
      <c r="I187" s="125">
        <f>I131/293.07*(1/(VLOOKUP($H187,'Fuel economy adjusted factor'!$A$2:$F$52,5,FALSE)*m2k))/'TCO Inputs'!$AZ$84</f>
        <v>47.719474893599724</v>
      </c>
      <c r="J187" s="125">
        <f>J131/293.07*(1/(VLOOKUP($H187,'Fuel economy adjusted factor'!$A$2:$F$52,5,FALSE)*m2k))/'TCO Inputs'!$AZ$84</f>
        <v>47.719474893599724</v>
      </c>
      <c r="K187" s="125">
        <f>K131/293.07*(1/(VLOOKUP($H187,'Fuel economy adjusted factor'!$A$2:$F$52,5,FALSE)*m2k))/'TCO Inputs'!$AZ$84</f>
        <v>41.925222025453223</v>
      </c>
      <c r="L187" s="125">
        <f>L131/293.07*(1/(VLOOKUP($H187,'Fuel economy adjusted factor'!$A$2:$F$52,5,FALSE)*m2k))/'TCO Inputs'!$AZ$84</f>
        <v>41.925222025453223</v>
      </c>
      <c r="M187" s="125">
        <f>M131/293.07*(1/(VLOOKUP($H187,'Fuel economy adjusted factor'!$A$2:$F$52,5,FALSE)*m2k))/'TCO Inputs'!$AZ$84</f>
        <v>41.925222025453223</v>
      </c>
      <c r="N187" s="125">
        <f>N131/293.07*(1/(VLOOKUP($H187,'Fuel economy adjusted factor'!$A$2:$F$52,5,FALSE)*m2k))/'TCO Inputs'!$AZ$84</f>
        <v>41.925222025453223</v>
      </c>
      <c r="O187" s="125">
        <f>O131/293.07*(1/(VLOOKUP($H187,'Fuel economy adjusted factor'!$A$2:$F$52,5,FALSE)*m2k))/'TCO Inputs'!$AZ$84</f>
        <v>41.925222025453223</v>
      </c>
      <c r="P187" s="125">
        <f>P131/293.07*(1/(VLOOKUP($H187,'Fuel economy adjusted factor'!$A$2:$F$52,5,FALSE)*m2k))/'TCO Inputs'!$AZ$84</f>
        <v>25.56039258698414</v>
      </c>
      <c r="Q187" s="125">
        <f>Q131/293.07*(1/(VLOOKUP($H187,'Fuel economy adjusted factor'!$A$2:$F$52,5,FALSE)*m2k))/'TCO Inputs'!$AZ$84</f>
        <v>25.56039258698414</v>
      </c>
      <c r="R187" s="125">
        <f>R131/293.07*(1/(VLOOKUP($H187,'Fuel economy adjusted factor'!$A$2:$F$52,5,FALSE)*m2k))/'TCO Inputs'!$AZ$84</f>
        <v>25.56039258698414</v>
      </c>
      <c r="S187" s="125">
        <f>S131/293.07*(1/(VLOOKUP($H187,'Fuel economy adjusted factor'!$A$2:$F$52,5,FALSE)*m2k))/'TCO Inputs'!$AZ$84</f>
        <v>25.56039258698414</v>
      </c>
      <c r="T187" s="125">
        <f>T131/293.07*(1/(VLOOKUP($H187,'Fuel economy adjusted factor'!$A$2:$F$52,5,FALSE)*m2k))/'TCO Inputs'!$AZ$84</f>
        <v>25.56039258698414</v>
      </c>
      <c r="U187" s="125">
        <f>U131/293.07*(1/(VLOOKUP($H187,'Fuel economy adjusted factor'!$A$2:$F$52,5,FALSE)*m2k))/'TCO Inputs'!$AZ$84</f>
        <v>22.90965796692829</v>
      </c>
      <c r="V187" s="125">
        <f>V131/293.07*(1/(VLOOKUP($H187,'Fuel economy adjusted factor'!$A$2:$F$52,5,FALSE)*m2k))/'TCO Inputs'!$AZ$84</f>
        <v>22.90965796692829</v>
      </c>
      <c r="W187" s="125">
        <f>W131/293.07*(1/(VLOOKUP($H187,'Fuel economy adjusted factor'!$A$2:$F$52,5,FALSE)*m2k))/'TCO Inputs'!$AZ$84</f>
        <v>22.90965796692829</v>
      </c>
      <c r="X187" s="125">
        <f>X131/293.07*(1/(VLOOKUP($H187,'Fuel economy adjusted factor'!$A$2:$F$52,5,FALSE)*m2k))/'TCO Inputs'!$AZ$84</f>
        <v>22.90965796692829</v>
      </c>
      <c r="Y187" s="125">
        <f>Y131/293.07*(1/(VLOOKUP($H187,'Fuel economy adjusted factor'!$A$2:$F$52,5,FALSE)*m2k))/'TCO Inputs'!$AZ$84</f>
        <v>22.90965796692829</v>
      </c>
      <c r="Z187" s="125">
        <f>Z131/293.07*(1/(VLOOKUP($H187,'Fuel economy adjusted factor'!$A$2:$F$52,5,FALSE)*m2k))/'TCO Inputs'!$AZ$84</f>
        <v>22.10465545814607</v>
      </c>
      <c r="AA187" s="125">
        <f>AA131/293.07*(1/(VLOOKUP($H187,'Fuel economy adjusted factor'!$A$2:$F$52,5,FALSE)*m2k))/'TCO Inputs'!$AZ$84</f>
        <v>22.10465545814607</v>
      </c>
      <c r="AB187" s="125">
        <f>AB131/293.07*(1/(VLOOKUP($H187,'Fuel economy adjusted factor'!$A$2:$F$52,5,FALSE)*m2k))/'TCO Inputs'!$AZ$84</f>
        <v>22.10465545814607</v>
      </c>
      <c r="AC187" s="125">
        <f>AC131/293.07*(1/(VLOOKUP($H187,'Fuel economy adjusted factor'!$A$2:$F$52,5,FALSE)*m2k))/'TCO Inputs'!$AZ$84</f>
        <v>22.10465545814607</v>
      </c>
      <c r="AD187" s="125">
        <f>AD131/293.07*(1/(VLOOKUP($H187,'Fuel economy adjusted factor'!$A$2:$F$52,5,FALSE)*m2k))/'TCO Inputs'!$AZ$84</f>
        <v>22.10465545814607</v>
      </c>
      <c r="AE187" s="125">
        <f>AE131/293.07*(1/(VLOOKUP($H187,'Fuel economy adjusted factor'!$A$2:$F$52,5,FALSE)*m2k))/'TCO Inputs'!$AZ$84</f>
        <v>21.238974368299864</v>
      </c>
      <c r="AF187" s="125">
        <f>AF131/293.07*(1/(VLOOKUP($H187,'Fuel economy adjusted factor'!$A$2:$F$52,5,FALSE)*m2k))/'TCO Inputs'!$AZ$84</f>
        <v>21.238974368299864</v>
      </c>
      <c r="AG187" s="125">
        <f>AG131/293.07*(1/(VLOOKUP($H187,'Fuel economy adjusted factor'!$A$2:$F$52,5,FALSE)*m2k))/'TCO Inputs'!$AZ$84</f>
        <v>21.238974368299864</v>
      </c>
      <c r="AH187" s="125">
        <f>AH131/293.07*(1/(VLOOKUP($H187,'Fuel economy adjusted factor'!$A$2:$F$52,5,FALSE)*m2k))/'TCO Inputs'!$AZ$84</f>
        <v>21.238974368299864</v>
      </c>
      <c r="AI187" s="125">
        <f>AI131/293.07*(1/(VLOOKUP($H187,'Fuel economy adjusted factor'!$A$2:$F$52,5,FALSE)*m2k))/'TCO Inputs'!$AZ$84</f>
        <v>21.238974368299864</v>
      </c>
      <c r="AJ187" s="125">
        <f>AJ131/293.07*(1/(VLOOKUP($H187,'Fuel economy adjusted factor'!$A$2:$F$52,5,FALSE)*m2k))/'TCO Inputs'!$AZ$84</f>
        <v>19.904781082844448</v>
      </c>
      <c r="AK187" s="98" cm="1">
        <f t="array" ref="AK187">SUMPRODUCT(INDEX(I187:AJ187,,'TCO Inputs'!$AZ$12-2023+_xlfn.SEQUENCE('TCO Inputs'!$AZ$13)),INDEX(INDEX('VKT US'!$C$63:$AA$113,MATCH(H187,$H$169:$H$219,0),0),,_xlfn.SEQUENCE('TCO Inputs'!$AZ$13)))*m2k*CONVERT(0.9072,"g","ton")</f>
        <v>10.585867002187028</v>
      </c>
    </row>
    <row r="188" spans="8:37" x14ac:dyDescent="0.25">
      <c r="H188" s="123" t="s">
        <v>202</v>
      </c>
      <c r="I188" s="125">
        <f>I132/293.07*(1/(VLOOKUP($H188,'Fuel economy adjusted factor'!$A$2:$F$52,5,FALSE)*m2k))/'TCO Inputs'!$AZ$84</f>
        <v>65.173645718960458</v>
      </c>
      <c r="J188" s="125">
        <f>J132/293.07*(1/(VLOOKUP($H188,'Fuel economy adjusted factor'!$A$2:$F$52,5,FALSE)*m2k))/'TCO Inputs'!$AZ$84</f>
        <v>65.173645718960458</v>
      </c>
      <c r="K188" s="125">
        <f>K132/293.07*(1/(VLOOKUP($H188,'Fuel economy adjusted factor'!$A$2:$F$52,5,FALSE)*m2k))/'TCO Inputs'!$AZ$84</f>
        <v>57.260051018334366</v>
      </c>
      <c r="L188" s="125">
        <f>L132/293.07*(1/(VLOOKUP($H188,'Fuel economy adjusted factor'!$A$2:$F$52,5,FALSE)*m2k))/'TCO Inputs'!$AZ$84</f>
        <v>57.260051018334366</v>
      </c>
      <c r="M188" s="125">
        <f>M132/293.07*(1/(VLOOKUP($H188,'Fuel economy adjusted factor'!$A$2:$F$52,5,FALSE)*m2k))/'TCO Inputs'!$AZ$84</f>
        <v>57.260051018334366</v>
      </c>
      <c r="N188" s="125">
        <f>N132/293.07*(1/(VLOOKUP($H188,'Fuel economy adjusted factor'!$A$2:$F$52,5,FALSE)*m2k))/'TCO Inputs'!$AZ$84</f>
        <v>57.260051018334366</v>
      </c>
      <c r="O188" s="125">
        <f>O132/293.07*(1/(VLOOKUP($H188,'Fuel economy adjusted factor'!$A$2:$F$52,5,FALSE)*m2k))/'TCO Inputs'!$AZ$84</f>
        <v>57.260051018334366</v>
      </c>
      <c r="P188" s="125">
        <f>P132/293.07*(1/(VLOOKUP($H188,'Fuel economy adjusted factor'!$A$2:$F$52,5,FALSE)*m2k))/'TCO Inputs'!$AZ$84</f>
        <v>34.909520161653703</v>
      </c>
      <c r="Q188" s="125">
        <f>Q132/293.07*(1/(VLOOKUP($H188,'Fuel economy adjusted factor'!$A$2:$F$52,5,FALSE)*m2k))/'TCO Inputs'!$AZ$84</f>
        <v>34.909520161653703</v>
      </c>
      <c r="R188" s="125">
        <f>R132/293.07*(1/(VLOOKUP($H188,'Fuel economy adjusted factor'!$A$2:$F$52,5,FALSE)*m2k))/'TCO Inputs'!$AZ$84</f>
        <v>34.909520161653703</v>
      </c>
      <c r="S188" s="125">
        <f>S132/293.07*(1/(VLOOKUP($H188,'Fuel economy adjusted factor'!$A$2:$F$52,5,FALSE)*m2k))/'TCO Inputs'!$AZ$84</f>
        <v>34.909520161653703</v>
      </c>
      <c r="T188" s="125">
        <f>T132/293.07*(1/(VLOOKUP($H188,'Fuel economy adjusted factor'!$A$2:$F$52,5,FALSE)*m2k))/'TCO Inputs'!$AZ$84</f>
        <v>34.909520161653703</v>
      </c>
      <c r="U188" s="125">
        <f>U132/293.07*(1/(VLOOKUP($H188,'Fuel economy adjusted factor'!$A$2:$F$52,5,FALSE)*m2k))/'TCO Inputs'!$AZ$84</f>
        <v>31.289236421991816</v>
      </c>
      <c r="V188" s="125">
        <f>V132/293.07*(1/(VLOOKUP($H188,'Fuel economy adjusted factor'!$A$2:$F$52,5,FALSE)*m2k))/'TCO Inputs'!$AZ$84</f>
        <v>31.289236421991816</v>
      </c>
      <c r="W188" s="125">
        <f>W132/293.07*(1/(VLOOKUP($H188,'Fuel economy adjusted factor'!$A$2:$F$52,5,FALSE)*m2k))/'TCO Inputs'!$AZ$84</f>
        <v>31.289236421991816</v>
      </c>
      <c r="X188" s="125">
        <f>X132/293.07*(1/(VLOOKUP($H188,'Fuel economy adjusted factor'!$A$2:$F$52,5,FALSE)*m2k))/'TCO Inputs'!$AZ$84</f>
        <v>31.289236421991816</v>
      </c>
      <c r="Y188" s="125">
        <f>Y132/293.07*(1/(VLOOKUP($H188,'Fuel economy adjusted factor'!$A$2:$F$52,5,FALSE)*m2k))/'TCO Inputs'!$AZ$84</f>
        <v>31.289236421991816</v>
      </c>
      <c r="Z188" s="125">
        <f>Z132/293.07*(1/(VLOOKUP($H188,'Fuel economy adjusted factor'!$A$2:$F$52,5,FALSE)*m2k))/'TCO Inputs'!$AZ$84</f>
        <v>30.189791207491275</v>
      </c>
      <c r="AA188" s="125">
        <f>AA132/293.07*(1/(VLOOKUP($H188,'Fuel economy adjusted factor'!$A$2:$F$52,5,FALSE)*m2k))/'TCO Inputs'!$AZ$84</f>
        <v>30.189791207491275</v>
      </c>
      <c r="AB188" s="125">
        <f>AB132/293.07*(1/(VLOOKUP($H188,'Fuel economy adjusted factor'!$A$2:$F$52,5,FALSE)*m2k))/'TCO Inputs'!$AZ$84</f>
        <v>30.189791207491275</v>
      </c>
      <c r="AC188" s="125">
        <f>AC132/293.07*(1/(VLOOKUP($H188,'Fuel economy adjusted factor'!$A$2:$F$52,5,FALSE)*m2k))/'TCO Inputs'!$AZ$84</f>
        <v>30.189791207491275</v>
      </c>
      <c r="AD188" s="125">
        <f>AD132/293.07*(1/(VLOOKUP($H188,'Fuel economy adjusted factor'!$A$2:$F$52,5,FALSE)*m2k))/'TCO Inputs'!$AZ$84</f>
        <v>30.189791207491275</v>
      </c>
      <c r="AE188" s="125">
        <f>AE132/293.07*(1/(VLOOKUP($H188,'Fuel economy adjusted factor'!$A$2:$F$52,5,FALSE)*m2k))/'TCO Inputs'!$AZ$84</f>
        <v>29.007473238128885</v>
      </c>
      <c r="AF188" s="125">
        <f>AF132/293.07*(1/(VLOOKUP($H188,'Fuel economy adjusted factor'!$A$2:$F$52,5,FALSE)*m2k))/'TCO Inputs'!$AZ$84</f>
        <v>29.007473238128885</v>
      </c>
      <c r="AG188" s="125">
        <f>AG132/293.07*(1/(VLOOKUP($H188,'Fuel economy adjusted factor'!$A$2:$F$52,5,FALSE)*m2k))/'TCO Inputs'!$AZ$84</f>
        <v>29.007473238128885</v>
      </c>
      <c r="AH188" s="125">
        <f>AH132/293.07*(1/(VLOOKUP($H188,'Fuel economy adjusted factor'!$A$2:$F$52,5,FALSE)*m2k))/'TCO Inputs'!$AZ$84</f>
        <v>29.007473238128885</v>
      </c>
      <c r="AI188" s="125">
        <f>AI132/293.07*(1/(VLOOKUP($H188,'Fuel economy adjusted factor'!$A$2:$F$52,5,FALSE)*m2k))/'TCO Inputs'!$AZ$84</f>
        <v>29.007473238128885</v>
      </c>
      <c r="AJ188" s="125">
        <f>AJ132/293.07*(1/(VLOOKUP($H188,'Fuel economy adjusted factor'!$A$2:$F$52,5,FALSE)*m2k))/'TCO Inputs'!$AZ$84</f>
        <v>27.185277149408943</v>
      </c>
      <c r="AK188" s="98" cm="1">
        <f t="array" ref="AK188">SUMPRODUCT(INDEX(I188:AJ188,,'TCO Inputs'!$AZ$12-2023+_xlfn.SEQUENCE('TCO Inputs'!$AZ$13)),INDEX(INDEX('VKT US'!$C$63:$AA$113,MATCH(H188,$H$169:$H$219,0),0),,_xlfn.SEQUENCE('TCO Inputs'!$AZ$13)))*m2k*CONVERT(0.9072,"g","ton")</f>
        <v>13.720434928294235</v>
      </c>
    </row>
    <row r="189" spans="8:37" x14ac:dyDescent="0.25">
      <c r="H189" s="123" t="s">
        <v>201</v>
      </c>
      <c r="I189" s="125">
        <f>I133/293.07*(1/(VLOOKUP($H189,'Fuel economy adjusted factor'!$A$2:$F$52,5,FALSE)*m2k))/'TCO Inputs'!$AZ$84</f>
        <v>103.12775102356734</v>
      </c>
      <c r="J189" s="125">
        <f>J133/293.07*(1/(VLOOKUP($H189,'Fuel economy adjusted factor'!$A$2:$F$52,5,FALSE)*m2k))/'TCO Inputs'!$AZ$84</f>
        <v>103.12775102356734</v>
      </c>
      <c r="K189" s="125">
        <f>K133/293.07*(1/(VLOOKUP($H189,'Fuel economy adjusted factor'!$A$2:$F$52,5,FALSE)*m2k))/'TCO Inputs'!$AZ$84</f>
        <v>90.605646191396445</v>
      </c>
      <c r="L189" s="125">
        <f>L133/293.07*(1/(VLOOKUP($H189,'Fuel economy adjusted factor'!$A$2:$F$52,5,FALSE)*m2k))/'TCO Inputs'!$AZ$84</f>
        <v>90.605646191396445</v>
      </c>
      <c r="M189" s="125">
        <f>M133/293.07*(1/(VLOOKUP($H189,'Fuel economy adjusted factor'!$A$2:$F$52,5,FALSE)*m2k))/'TCO Inputs'!$AZ$84</f>
        <v>90.605646191396445</v>
      </c>
      <c r="N189" s="125">
        <f>N133/293.07*(1/(VLOOKUP($H189,'Fuel economy adjusted factor'!$A$2:$F$52,5,FALSE)*m2k))/'TCO Inputs'!$AZ$84</f>
        <v>90.605646191396445</v>
      </c>
      <c r="O189" s="125">
        <f>O133/293.07*(1/(VLOOKUP($H189,'Fuel economy adjusted factor'!$A$2:$F$52,5,FALSE)*m2k))/'TCO Inputs'!$AZ$84</f>
        <v>90.605646191396445</v>
      </c>
      <c r="P189" s="125">
        <f>P133/293.07*(1/(VLOOKUP($H189,'Fuel economy adjusted factor'!$A$2:$F$52,5,FALSE)*m2k))/'TCO Inputs'!$AZ$84</f>
        <v>55.239203881698266</v>
      </c>
      <c r="Q189" s="125">
        <f>Q133/293.07*(1/(VLOOKUP($H189,'Fuel economy adjusted factor'!$A$2:$F$52,5,FALSE)*m2k))/'TCO Inputs'!$AZ$84</f>
        <v>55.239203881698266</v>
      </c>
      <c r="R189" s="125">
        <f>R133/293.07*(1/(VLOOKUP($H189,'Fuel economy adjusted factor'!$A$2:$F$52,5,FALSE)*m2k))/'TCO Inputs'!$AZ$84</f>
        <v>55.239203881698266</v>
      </c>
      <c r="S189" s="125">
        <f>S133/293.07*(1/(VLOOKUP($H189,'Fuel economy adjusted factor'!$A$2:$F$52,5,FALSE)*m2k))/'TCO Inputs'!$AZ$84</f>
        <v>55.239203881698266</v>
      </c>
      <c r="T189" s="125">
        <f>T133/293.07*(1/(VLOOKUP($H189,'Fuel economy adjusted factor'!$A$2:$F$52,5,FALSE)*m2k))/'TCO Inputs'!$AZ$84</f>
        <v>55.239203881698266</v>
      </c>
      <c r="U189" s="125">
        <f>U133/293.07*(1/(VLOOKUP($H189,'Fuel economy adjusted factor'!$A$2:$F$52,5,FALSE)*m2k))/'TCO Inputs'!$AZ$84</f>
        <v>49.510634979039736</v>
      </c>
      <c r="V189" s="125">
        <f>V133/293.07*(1/(VLOOKUP($H189,'Fuel economy adjusted factor'!$A$2:$F$52,5,FALSE)*m2k))/'TCO Inputs'!$AZ$84</f>
        <v>49.510634979039736</v>
      </c>
      <c r="W189" s="125">
        <f>W133/293.07*(1/(VLOOKUP($H189,'Fuel economy adjusted factor'!$A$2:$F$52,5,FALSE)*m2k))/'TCO Inputs'!$AZ$84</f>
        <v>49.510634979039736</v>
      </c>
      <c r="X189" s="125">
        <f>X133/293.07*(1/(VLOOKUP($H189,'Fuel economy adjusted factor'!$A$2:$F$52,5,FALSE)*m2k))/'TCO Inputs'!$AZ$84</f>
        <v>49.510634979039736</v>
      </c>
      <c r="Y189" s="125">
        <f>Y133/293.07*(1/(VLOOKUP($H189,'Fuel economy adjusted factor'!$A$2:$F$52,5,FALSE)*m2k))/'TCO Inputs'!$AZ$84</f>
        <v>49.510634979039736</v>
      </c>
      <c r="Z189" s="125">
        <f>Z133/293.07*(1/(VLOOKUP($H189,'Fuel economy adjusted factor'!$A$2:$F$52,5,FALSE)*m2k))/'TCO Inputs'!$AZ$84</f>
        <v>47.770923918007618</v>
      </c>
      <c r="AA189" s="125">
        <f>AA133/293.07*(1/(VLOOKUP($H189,'Fuel economy adjusted factor'!$A$2:$F$52,5,FALSE)*m2k))/'TCO Inputs'!$AZ$84</f>
        <v>47.770923918007618</v>
      </c>
      <c r="AB189" s="125">
        <f>AB133/293.07*(1/(VLOOKUP($H189,'Fuel economy adjusted factor'!$A$2:$F$52,5,FALSE)*m2k))/'TCO Inputs'!$AZ$84</f>
        <v>47.770923918007618</v>
      </c>
      <c r="AC189" s="125">
        <f>AC133/293.07*(1/(VLOOKUP($H189,'Fuel economy adjusted factor'!$A$2:$F$52,5,FALSE)*m2k))/'TCO Inputs'!$AZ$84</f>
        <v>47.770923918007618</v>
      </c>
      <c r="AD189" s="125">
        <f>AD133/293.07*(1/(VLOOKUP($H189,'Fuel economy adjusted factor'!$A$2:$F$52,5,FALSE)*m2k))/'TCO Inputs'!$AZ$84</f>
        <v>47.770923918007618</v>
      </c>
      <c r="AE189" s="125">
        <f>AE133/293.07*(1/(VLOOKUP($H189,'Fuel economy adjusted factor'!$A$2:$F$52,5,FALSE)*m2k))/'TCO Inputs'!$AZ$84</f>
        <v>45.90007885740021</v>
      </c>
      <c r="AF189" s="125">
        <f>AF133/293.07*(1/(VLOOKUP($H189,'Fuel economy adjusted factor'!$A$2:$F$52,5,FALSE)*m2k))/'TCO Inputs'!$AZ$84</f>
        <v>45.90007885740021</v>
      </c>
      <c r="AG189" s="125">
        <f>AG133/293.07*(1/(VLOOKUP($H189,'Fuel economy adjusted factor'!$A$2:$F$52,5,FALSE)*m2k))/'TCO Inputs'!$AZ$84</f>
        <v>45.90007885740021</v>
      </c>
      <c r="AH189" s="125">
        <f>AH133/293.07*(1/(VLOOKUP($H189,'Fuel economy adjusted factor'!$A$2:$F$52,5,FALSE)*m2k))/'TCO Inputs'!$AZ$84</f>
        <v>45.90007885740021</v>
      </c>
      <c r="AI189" s="125">
        <f>AI133/293.07*(1/(VLOOKUP($H189,'Fuel economy adjusted factor'!$A$2:$F$52,5,FALSE)*m2k))/'TCO Inputs'!$AZ$84</f>
        <v>45.90007885740021</v>
      </c>
      <c r="AJ189" s="125">
        <f>AJ133/293.07*(1/(VLOOKUP($H189,'Fuel economy adjusted factor'!$A$2:$F$52,5,FALSE)*m2k))/'TCO Inputs'!$AZ$84</f>
        <v>43.016720369769089</v>
      </c>
      <c r="AK189" s="98" cm="1">
        <f t="array" ref="AK189">SUMPRODUCT(INDEX(I189:AJ189,,'TCO Inputs'!$AZ$12-2023+_xlfn.SEQUENCE('TCO Inputs'!$AZ$13)),INDEX(INDEX('VKT US'!$C$63:$AA$113,MATCH(H189,$H$169:$H$219,0),0),,_xlfn.SEQUENCE('TCO Inputs'!$AZ$13)))*m2k*CONVERT(0.9072,"g","ton")</f>
        <v>21.097404206826436</v>
      </c>
    </row>
    <row r="190" spans="8:37" x14ac:dyDescent="0.25">
      <c r="H190" s="123" t="s">
        <v>204</v>
      </c>
      <c r="I190" s="125">
        <f>I134/293.07*(1/(VLOOKUP($H190,'Fuel economy adjusted factor'!$A$2:$F$52,5,FALSE)*m2k))/'TCO Inputs'!$AZ$84</f>
        <v>119.8230352434679</v>
      </c>
      <c r="J190" s="125">
        <f>J134/293.07*(1/(VLOOKUP($H190,'Fuel economy adjusted factor'!$A$2:$F$52,5,FALSE)*m2k))/'TCO Inputs'!$AZ$84</f>
        <v>119.8230352434679</v>
      </c>
      <c r="K190" s="125">
        <f>K134/293.07*(1/(VLOOKUP($H190,'Fuel economy adjusted factor'!$A$2:$F$52,5,FALSE)*m2k))/'TCO Inputs'!$AZ$84</f>
        <v>105.27373504312972</v>
      </c>
      <c r="L190" s="125">
        <f>L134/293.07*(1/(VLOOKUP($H190,'Fuel economy adjusted factor'!$A$2:$F$52,5,FALSE)*m2k))/'TCO Inputs'!$AZ$84</f>
        <v>105.27373504312972</v>
      </c>
      <c r="M190" s="125">
        <f>M134/293.07*(1/(VLOOKUP($H190,'Fuel economy adjusted factor'!$A$2:$F$52,5,FALSE)*m2k))/'TCO Inputs'!$AZ$84</f>
        <v>105.27373504312972</v>
      </c>
      <c r="N190" s="125">
        <f>N134/293.07*(1/(VLOOKUP($H190,'Fuel economy adjusted factor'!$A$2:$F$52,5,FALSE)*m2k))/'TCO Inputs'!$AZ$84</f>
        <v>105.27373504312972</v>
      </c>
      <c r="O190" s="125">
        <f>O134/293.07*(1/(VLOOKUP($H190,'Fuel economy adjusted factor'!$A$2:$F$52,5,FALSE)*m2k))/'TCO Inputs'!$AZ$84</f>
        <v>105.27373504312972</v>
      </c>
      <c r="P190" s="125">
        <f>P134/293.07*(1/(VLOOKUP($H190,'Fuel economy adjusted factor'!$A$2:$F$52,5,FALSE)*m2k))/'TCO Inputs'!$AZ$84</f>
        <v>64.181842499651182</v>
      </c>
      <c r="Q190" s="125">
        <f>Q134/293.07*(1/(VLOOKUP($H190,'Fuel economy adjusted factor'!$A$2:$F$52,5,FALSE)*m2k))/'TCO Inputs'!$AZ$84</f>
        <v>64.181842499651182</v>
      </c>
      <c r="R190" s="125">
        <f>R134/293.07*(1/(VLOOKUP($H190,'Fuel economy adjusted factor'!$A$2:$F$52,5,FALSE)*m2k))/'TCO Inputs'!$AZ$84</f>
        <v>64.181842499651182</v>
      </c>
      <c r="S190" s="125">
        <f>S134/293.07*(1/(VLOOKUP($H190,'Fuel economy adjusted factor'!$A$2:$F$52,5,FALSE)*m2k))/'TCO Inputs'!$AZ$84</f>
        <v>64.181842499651182</v>
      </c>
      <c r="T190" s="125">
        <f>T134/293.07*(1/(VLOOKUP($H190,'Fuel economy adjusted factor'!$A$2:$F$52,5,FALSE)*m2k))/'TCO Inputs'!$AZ$84</f>
        <v>64.181842499651182</v>
      </c>
      <c r="U190" s="125">
        <f>U134/293.07*(1/(VLOOKUP($H190,'Fuel economy adjusted factor'!$A$2:$F$52,5,FALSE)*m2k))/'TCO Inputs'!$AZ$84</f>
        <v>57.525879320923238</v>
      </c>
      <c r="V190" s="125">
        <f>V134/293.07*(1/(VLOOKUP($H190,'Fuel economy adjusted factor'!$A$2:$F$52,5,FALSE)*m2k))/'TCO Inputs'!$AZ$84</f>
        <v>57.525879320923238</v>
      </c>
      <c r="W190" s="125">
        <f>W134/293.07*(1/(VLOOKUP($H190,'Fuel economy adjusted factor'!$A$2:$F$52,5,FALSE)*m2k))/'TCO Inputs'!$AZ$84</f>
        <v>57.525879320923238</v>
      </c>
      <c r="X190" s="125">
        <f>X134/293.07*(1/(VLOOKUP($H190,'Fuel economy adjusted factor'!$A$2:$F$52,5,FALSE)*m2k))/'TCO Inputs'!$AZ$84</f>
        <v>57.525879320923238</v>
      </c>
      <c r="Y190" s="125">
        <f>Y134/293.07*(1/(VLOOKUP($H190,'Fuel economy adjusted factor'!$A$2:$F$52,5,FALSE)*m2k))/'TCO Inputs'!$AZ$84</f>
        <v>57.525879320923238</v>
      </c>
      <c r="Z190" s="125">
        <f>Z134/293.07*(1/(VLOOKUP($H190,'Fuel economy adjusted factor'!$A$2:$F$52,5,FALSE)*m2k))/'TCO Inputs'!$AZ$84</f>
        <v>55.504527573110316</v>
      </c>
      <c r="AA190" s="125">
        <f>AA134/293.07*(1/(VLOOKUP($H190,'Fuel economy adjusted factor'!$A$2:$F$52,5,FALSE)*m2k))/'TCO Inputs'!$AZ$84</f>
        <v>55.504527573110316</v>
      </c>
      <c r="AB190" s="125">
        <f>AB134/293.07*(1/(VLOOKUP($H190,'Fuel economy adjusted factor'!$A$2:$F$52,5,FALSE)*m2k))/'TCO Inputs'!$AZ$84</f>
        <v>55.504527573110316</v>
      </c>
      <c r="AC190" s="125">
        <f>AC134/293.07*(1/(VLOOKUP($H190,'Fuel economy adjusted factor'!$A$2:$F$52,5,FALSE)*m2k))/'TCO Inputs'!$AZ$84</f>
        <v>55.504527573110316</v>
      </c>
      <c r="AD190" s="125">
        <f>AD134/293.07*(1/(VLOOKUP($H190,'Fuel economy adjusted factor'!$A$2:$F$52,5,FALSE)*m2k))/'TCO Inputs'!$AZ$84</f>
        <v>55.504527573110316</v>
      </c>
      <c r="AE190" s="125">
        <f>AE134/293.07*(1/(VLOOKUP($H190,'Fuel economy adjusted factor'!$A$2:$F$52,5,FALSE)*m2k))/'TCO Inputs'!$AZ$84</f>
        <v>53.330812628226077</v>
      </c>
      <c r="AF190" s="125">
        <f>AF134/293.07*(1/(VLOOKUP($H190,'Fuel economy adjusted factor'!$A$2:$F$52,5,FALSE)*m2k))/'TCO Inputs'!$AZ$84</f>
        <v>53.330812628226077</v>
      </c>
      <c r="AG190" s="125">
        <f>AG134/293.07*(1/(VLOOKUP($H190,'Fuel economy adjusted factor'!$A$2:$F$52,5,FALSE)*m2k))/'TCO Inputs'!$AZ$84</f>
        <v>53.330812628226077</v>
      </c>
      <c r="AH190" s="125">
        <f>AH134/293.07*(1/(VLOOKUP($H190,'Fuel economy adjusted factor'!$A$2:$F$52,5,FALSE)*m2k))/'TCO Inputs'!$AZ$84</f>
        <v>53.330812628226077</v>
      </c>
      <c r="AI190" s="125">
        <f>AI134/293.07*(1/(VLOOKUP($H190,'Fuel economy adjusted factor'!$A$2:$F$52,5,FALSE)*m2k))/'TCO Inputs'!$AZ$84</f>
        <v>53.330812628226077</v>
      </c>
      <c r="AJ190" s="125">
        <f>AJ134/293.07*(1/(VLOOKUP($H190,'Fuel economy adjusted factor'!$A$2:$F$52,5,FALSE)*m2k))/'TCO Inputs'!$AZ$84</f>
        <v>49.980669119288095</v>
      </c>
      <c r="AK190" s="98" cm="1">
        <f t="array" ref="AK190">SUMPRODUCT(INDEX(I190:AJ190,,'TCO Inputs'!$AZ$12-2023+_xlfn.SEQUENCE('TCO Inputs'!$AZ$13)),INDEX(INDEX('VKT US'!$C$63:$AA$113,MATCH(H190,$H$169:$H$219,0),0),,_xlfn.SEQUENCE('TCO Inputs'!$AZ$13)))*m2k*CONVERT(0.9072,"g","ton")</f>
        <v>26.753019552699399</v>
      </c>
    </row>
    <row r="191" spans="8:37" x14ac:dyDescent="0.25">
      <c r="H191" s="123" t="s">
        <v>205</v>
      </c>
      <c r="I191" s="125">
        <f>I135/293.07*(1/(VLOOKUP($H191,'Fuel economy adjusted factor'!$A$2:$F$52,5,FALSE)*m2k))/'TCO Inputs'!$AZ$84</f>
        <v>102.39088049050333</v>
      </c>
      <c r="J191" s="125">
        <f>J135/293.07*(1/(VLOOKUP($H191,'Fuel economy adjusted factor'!$A$2:$F$52,5,FALSE)*m2k))/'TCO Inputs'!$AZ$84</f>
        <v>102.39088049050333</v>
      </c>
      <c r="K191" s="125">
        <f>K135/293.07*(1/(VLOOKUP($H191,'Fuel economy adjusted factor'!$A$2:$F$52,5,FALSE)*m2k))/'TCO Inputs'!$AZ$84</f>
        <v>89.958248859979761</v>
      </c>
      <c r="L191" s="125">
        <f>L135/293.07*(1/(VLOOKUP($H191,'Fuel economy adjusted factor'!$A$2:$F$52,5,FALSE)*m2k))/'TCO Inputs'!$AZ$84</f>
        <v>89.958248859979761</v>
      </c>
      <c r="M191" s="125">
        <f>M135/293.07*(1/(VLOOKUP($H191,'Fuel economy adjusted factor'!$A$2:$F$52,5,FALSE)*m2k))/'TCO Inputs'!$AZ$84</f>
        <v>89.958248859979761</v>
      </c>
      <c r="N191" s="125">
        <f>N135/293.07*(1/(VLOOKUP($H191,'Fuel economy adjusted factor'!$A$2:$F$52,5,FALSE)*m2k))/'TCO Inputs'!$AZ$84</f>
        <v>89.958248859979761</v>
      </c>
      <c r="O191" s="125">
        <f>O135/293.07*(1/(VLOOKUP($H191,'Fuel economy adjusted factor'!$A$2:$F$52,5,FALSE)*m2k))/'TCO Inputs'!$AZ$84</f>
        <v>89.958248859979761</v>
      </c>
      <c r="P191" s="125">
        <f>P135/293.07*(1/(VLOOKUP($H191,'Fuel economy adjusted factor'!$A$2:$F$52,5,FALSE)*m2k))/'TCO Inputs'!$AZ$84</f>
        <v>54.844507583113831</v>
      </c>
      <c r="Q191" s="125">
        <f>Q135/293.07*(1/(VLOOKUP($H191,'Fuel economy adjusted factor'!$A$2:$F$52,5,FALSE)*m2k))/'TCO Inputs'!$AZ$84</f>
        <v>54.844507583113831</v>
      </c>
      <c r="R191" s="125">
        <f>R135/293.07*(1/(VLOOKUP($H191,'Fuel economy adjusted factor'!$A$2:$F$52,5,FALSE)*m2k))/'TCO Inputs'!$AZ$84</f>
        <v>54.844507583113831</v>
      </c>
      <c r="S191" s="125">
        <f>S135/293.07*(1/(VLOOKUP($H191,'Fuel economy adjusted factor'!$A$2:$F$52,5,FALSE)*m2k))/'TCO Inputs'!$AZ$84</f>
        <v>54.844507583113831</v>
      </c>
      <c r="T191" s="125">
        <f>T135/293.07*(1/(VLOOKUP($H191,'Fuel economy adjusted factor'!$A$2:$F$52,5,FALSE)*m2k))/'TCO Inputs'!$AZ$84</f>
        <v>54.844507583113831</v>
      </c>
      <c r="U191" s="125">
        <f>U135/293.07*(1/(VLOOKUP($H191,'Fuel economy adjusted factor'!$A$2:$F$52,5,FALSE)*m2k))/'TCO Inputs'!$AZ$84</f>
        <v>49.15687056909924</v>
      </c>
      <c r="V191" s="125">
        <f>V135/293.07*(1/(VLOOKUP($H191,'Fuel economy adjusted factor'!$A$2:$F$52,5,FALSE)*m2k))/'TCO Inputs'!$AZ$84</f>
        <v>49.15687056909924</v>
      </c>
      <c r="W191" s="125">
        <f>W135/293.07*(1/(VLOOKUP($H191,'Fuel economy adjusted factor'!$A$2:$F$52,5,FALSE)*m2k))/'TCO Inputs'!$AZ$84</f>
        <v>49.15687056909924</v>
      </c>
      <c r="X191" s="125">
        <f>X135/293.07*(1/(VLOOKUP($H191,'Fuel economy adjusted factor'!$A$2:$F$52,5,FALSE)*m2k))/'TCO Inputs'!$AZ$84</f>
        <v>49.15687056909924</v>
      </c>
      <c r="Y191" s="125">
        <f>Y135/293.07*(1/(VLOOKUP($H191,'Fuel economy adjusted factor'!$A$2:$F$52,5,FALSE)*m2k))/'TCO Inputs'!$AZ$84</f>
        <v>49.15687056909924</v>
      </c>
      <c r="Z191" s="125">
        <f>Z135/293.07*(1/(VLOOKUP($H191,'Fuel economy adjusted factor'!$A$2:$F$52,5,FALSE)*m2k))/'TCO Inputs'!$AZ$84</f>
        <v>47.42959012741251</v>
      </c>
      <c r="AA191" s="125">
        <f>AA135/293.07*(1/(VLOOKUP($H191,'Fuel economy adjusted factor'!$A$2:$F$52,5,FALSE)*m2k))/'TCO Inputs'!$AZ$84</f>
        <v>47.42959012741251</v>
      </c>
      <c r="AB191" s="125">
        <f>AB135/293.07*(1/(VLOOKUP($H191,'Fuel economy adjusted factor'!$A$2:$F$52,5,FALSE)*m2k))/'TCO Inputs'!$AZ$84</f>
        <v>47.42959012741251</v>
      </c>
      <c r="AC191" s="125">
        <f>AC135/293.07*(1/(VLOOKUP($H191,'Fuel economy adjusted factor'!$A$2:$F$52,5,FALSE)*m2k))/'TCO Inputs'!$AZ$84</f>
        <v>47.42959012741251</v>
      </c>
      <c r="AD191" s="125">
        <f>AD135/293.07*(1/(VLOOKUP($H191,'Fuel economy adjusted factor'!$A$2:$F$52,5,FALSE)*m2k))/'TCO Inputs'!$AZ$84</f>
        <v>47.42959012741251</v>
      </c>
      <c r="AE191" s="125">
        <f>AE135/293.07*(1/(VLOOKUP($H191,'Fuel economy adjusted factor'!$A$2:$F$52,5,FALSE)*m2k))/'TCO Inputs'!$AZ$84</f>
        <v>45.572112667508179</v>
      </c>
      <c r="AF191" s="125">
        <f>AF135/293.07*(1/(VLOOKUP($H191,'Fuel economy adjusted factor'!$A$2:$F$52,5,FALSE)*m2k))/'TCO Inputs'!$AZ$84</f>
        <v>45.572112667508179</v>
      </c>
      <c r="AG191" s="125">
        <f>AG135/293.07*(1/(VLOOKUP($H191,'Fuel economy adjusted factor'!$A$2:$F$52,5,FALSE)*m2k))/'TCO Inputs'!$AZ$84</f>
        <v>45.572112667508179</v>
      </c>
      <c r="AH191" s="125">
        <f>AH135/293.07*(1/(VLOOKUP($H191,'Fuel economy adjusted factor'!$A$2:$F$52,5,FALSE)*m2k))/'TCO Inputs'!$AZ$84</f>
        <v>45.572112667508179</v>
      </c>
      <c r="AI191" s="125">
        <f>AI135/293.07*(1/(VLOOKUP($H191,'Fuel economy adjusted factor'!$A$2:$F$52,5,FALSE)*m2k))/'TCO Inputs'!$AZ$84</f>
        <v>45.572112667508179</v>
      </c>
      <c r="AJ191" s="125">
        <f>AJ135/293.07*(1/(VLOOKUP($H191,'Fuel economy adjusted factor'!$A$2:$F$52,5,FALSE)*m2k))/'TCO Inputs'!$AZ$84</f>
        <v>42.709356412396509</v>
      </c>
      <c r="AK191" s="98" cm="1">
        <f t="array" ref="AK191">SUMPRODUCT(INDEX(I191:AJ191,,'TCO Inputs'!$AZ$12-2023+_xlfn.SEQUENCE('TCO Inputs'!$AZ$13)),INDEX(INDEX('VKT US'!$C$63:$AA$113,MATCH(H191,$H$169:$H$219,0),0),,_xlfn.SEQUENCE('TCO Inputs'!$AZ$13)))*m2k*CONVERT(0.9072,"g","ton")</f>
        <v>28.616500789861625</v>
      </c>
    </row>
    <row r="192" spans="8:37" x14ac:dyDescent="0.25">
      <c r="H192" s="123" t="s">
        <v>207</v>
      </c>
      <c r="I192" s="125">
        <f>I136/293.07*(1/(VLOOKUP($H192,'Fuel economy adjusted factor'!$A$2:$F$52,5,FALSE)*m2k))/'TCO Inputs'!$AZ$84</f>
        <v>104.69262564595832</v>
      </c>
      <c r="J192" s="125">
        <f>J136/293.07*(1/(VLOOKUP($H192,'Fuel economy adjusted factor'!$A$2:$F$52,5,FALSE)*m2k))/'TCO Inputs'!$AZ$84</f>
        <v>104.69262564595832</v>
      </c>
      <c r="K192" s="125">
        <f>K136/293.07*(1/(VLOOKUP($H192,'Fuel economy adjusted factor'!$A$2:$F$52,5,FALSE)*m2k))/'TCO Inputs'!$AZ$84</f>
        <v>91.980508679552997</v>
      </c>
      <c r="L192" s="125">
        <f>L136/293.07*(1/(VLOOKUP($H192,'Fuel economy adjusted factor'!$A$2:$F$52,5,FALSE)*m2k))/'TCO Inputs'!$AZ$84</f>
        <v>91.980508679552997</v>
      </c>
      <c r="M192" s="125">
        <f>M136/293.07*(1/(VLOOKUP($H192,'Fuel economy adjusted factor'!$A$2:$F$52,5,FALSE)*m2k))/'TCO Inputs'!$AZ$84</f>
        <v>91.980508679552997</v>
      </c>
      <c r="N192" s="125">
        <f>N136/293.07*(1/(VLOOKUP($H192,'Fuel economy adjusted factor'!$A$2:$F$52,5,FALSE)*m2k))/'TCO Inputs'!$AZ$84</f>
        <v>91.980508679552997</v>
      </c>
      <c r="O192" s="125">
        <f>O136/293.07*(1/(VLOOKUP($H192,'Fuel economy adjusted factor'!$A$2:$F$52,5,FALSE)*m2k))/'TCO Inputs'!$AZ$84</f>
        <v>91.980508679552997</v>
      </c>
      <c r="P192" s="125">
        <f>P136/293.07*(1/(VLOOKUP($H192,'Fuel economy adjusted factor'!$A$2:$F$52,5,FALSE)*m2k))/'TCO Inputs'!$AZ$84</f>
        <v>56.077411129093747</v>
      </c>
      <c r="Q192" s="125">
        <f>Q136/293.07*(1/(VLOOKUP($H192,'Fuel economy adjusted factor'!$A$2:$F$52,5,FALSE)*m2k))/'TCO Inputs'!$AZ$84</f>
        <v>56.077411129093747</v>
      </c>
      <c r="R192" s="125">
        <f>R136/293.07*(1/(VLOOKUP($H192,'Fuel economy adjusted factor'!$A$2:$F$52,5,FALSE)*m2k))/'TCO Inputs'!$AZ$84</f>
        <v>56.077411129093747</v>
      </c>
      <c r="S192" s="125">
        <f>S136/293.07*(1/(VLOOKUP($H192,'Fuel economy adjusted factor'!$A$2:$F$52,5,FALSE)*m2k))/'TCO Inputs'!$AZ$84</f>
        <v>56.077411129093747</v>
      </c>
      <c r="T192" s="125">
        <f>T136/293.07*(1/(VLOOKUP($H192,'Fuel economy adjusted factor'!$A$2:$F$52,5,FALSE)*m2k))/'TCO Inputs'!$AZ$84</f>
        <v>56.077411129093747</v>
      </c>
      <c r="U192" s="125">
        <f>U136/293.07*(1/(VLOOKUP($H192,'Fuel economy adjusted factor'!$A$2:$F$52,5,FALSE)*m2k))/'TCO Inputs'!$AZ$84</f>
        <v>50.261916137100251</v>
      </c>
      <c r="V192" s="125">
        <f>V136/293.07*(1/(VLOOKUP($H192,'Fuel economy adjusted factor'!$A$2:$F$52,5,FALSE)*m2k))/'TCO Inputs'!$AZ$84</f>
        <v>50.261916137100251</v>
      </c>
      <c r="W192" s="125">
        <f>W136/293.07*(1/(VLOOKUP($H192,'Fuel economy adjusted factor'!$A$2:$F$52,5,FALSE)*m2k))/'TCO Inputs'!$AZ$84</f>
        <v>50.261916137100251</v>
      </c>
      <c r="X192" s="125">
        <f>X136/293.07*(1/(VLOOKUP($H192,'Fuel economy adjusted factor'!$A$2:$F$52,5,FALSE)*m2k))/'TCO Inputs'!$AZ$84</f>
        <v>50.261916137100251</v>
      </c>
      <c r="Y192" s="125">
        <f>Y136/293.07*(1/(VLOOKUP($H192,'Fuel economy adjusted factor'!$A$2:$F$52,5,FALSE)*m2k))/'TCO Inputs'!$AZ$84</f>
        <v>50.261916137100251</v>
      </c>
      <c r="Z192" s="125">
        <f>Z136/293.07*(1/(VLOOKUP($H192,'Fuel economy adjusted factor'!$A$2:$F$52,5,FALSE)*m2k))/'TCO Inputs'!$AZ$84</f>
        <v>48.495806462090016</v>
      </c>
      <c r="AA192" s="125">
        <f>AA136/293.07*(1/(VLOOKUP($H192,'Fuel economy adjusted factor'!$A$2:$F$52,5,FALSE)*m2k))/'TCO Inputs'!$AZ$84</f>
        <v>48.495806462090016</v>
      </c>
      <c r="AB192" s="125">
        <f>AB136/293.07*(1/(VLOOKUP($H192,'Fuel economy adjusted factor'!$A$2:$F$52,5,FALSE)*m2k))/'TCO Inputs'!$AZ$84</f>
        <v>48.495806462090016</v>
      </c>
      <c r="AC192" s="125">
        <f>AC136/293.07*(1/(VLOOKUP($H192,'Fuel economy adjusted factor'!$A$2:$F$52,5,FALSE)*m2k))/'TCO Inputs'!$AZ$84</f>
        <v>48.495806462090016</v>
      </c>
      <c r="AD192" s="125">
        <f>AD136/293.07*(1/(VLOOKUP($H192,'Fuel economy adjusted factor'!$A$2:$F$52,5,FALSE)*m2k))/'TCO Inputs'!$AZ$84</f>
        <v>48.495806462090016</v>
      </c>
      <c r="AE192" s="125">
        <f>AE136/293.07*(1/(VLOOKUP($H192,'Fuel economy adjusted factor'!$A$2:$F$52,5,FALSE)*m2k))/'TCO Inputs'!$AZ$84</f>
        <v>46.59657294222977</v>
      </c>
      <c r="AF192" s="125">
        <f>AF136/293.07*(1/(VLOOKUP($H192,'Fuel economy adjusted factor'!$A$2:$F$52,5,FALSE)*m2k))/'TCO Inputs'!$AZ$84</f>
        <v>46.59657294222977</v>
      </c>
      <c r="AG192" s="125">
        <f>AG136/293.07*(1/(VLOOKUP($H192,'Fuel economy adjusted factor'!$A$2:$F$52,5,FALSE)*m2k))/'TCO Inputs'!$AZ$84</f>
        <v>46.59657294222977</v>
      </c>
      <c r="AH192" s="125">
        <f>AH136/293.07*(1/(VLOOKUP($H192,'Fuel economy adjusted factor'!$A$2:$F$52,5,FALSE)*m2k))/'TCO Inputs'!$AZ$84</f>
        <v>46.59657294222977</v>
      </c>
      <c r="AI192" s="125">
        <f>AI136/293.07*(1/(VLOOKUP($H192,'Fuel economy adjusted factor'!$A$2:$F$52,5,FALSE)*m2k))/'TCO Inputs'!$AZ$84</f>
        <v>46.59657294222977</v>
      </c>
      <c r="AJ192" s="125">
        <f>AJ136/293.07*(1/(VLOOKUP($H192,'Fuel economy adjusted factor'!$A$2:$F$52,5,FALSE)*m2k))/'TCO Inputs'!$AZ$84</f>
        <v>43.669461977891196</v>
      </c>
      <c r="AK192" s="98" cm="1">
        <f t="array" ref="AK192">SUMPRODUCT(INDEX(I192:AJ192,,'TCO Inputs'!$AZ$12-2023+_xlfn.SEQUENCE('TCO Inputs'!$AZ$13)),INDEX(INDEX('VKT US'!$C$63:$AA$113,MATCH(H192,$H$169:$H$219,0),0),,_xlfn.SEQUENCE('TCO Inputs'!$AZ$13)))*m2k*CONVERT(0.9072,"g","ton")</f>
        <v>32.620534429920596</v>
      </c>
    </row>
    <row r="193" spans="8:37" x14ac:dyDescent="0.25">
      <c r="H193" s="123" t="s">
        <v>206</v>
      </c>
      <c r="I193" s="125">
        <f>I137/293.07*(1/(VLOOKUP($H193,'Fuel economy adjusted factor'!$A$2:$F$52,5,FALSE)*m2k))/'TCO Inputs'!$AZ$84</f>
        <v>172.36254657180297</v>
      </c>
      <c r="J193" s="125">
        <f>J137/293.07*(1/(VLOOKUP($H193,'Fuel economy adjusted factor'!$A$2:$F$52,5,FALSE)*m2k))/'TCO Inputs'!$AZ$84</f>
        <v>172.36254657180297</v>
      </c>
      <c r="K193" s="125">
        <f>K137/293.07*(1/(VLOOKUP($H193,'Fuel economy adjusted factor'!$A$2:$F$52,5,FALSE)*m2k))/'TCO Inputs'!$AZ$84</f>
        <v>151.4337291013355</v>
      </c>
      <c r="L193" s="125">
        <f>L137/293.07*(1/(VLOOKUP($H193,'Fuel economy adjusted factor'!$A$2:$F$52,5,FALSE)*m2k))/'TCO Inputs'!$AZ$84</f>
        <v>151.4337291013355</v>
      </c>
      <c r="M193" s="125">
        <f>M137/293.07*(1/(VLOOKUP($H193,'Fuel economy adjusted factor'!$A$2:$F$52,5,FALSE)*m2k))/'TCO Inputs'!$AZ$84</f>
        <v>151.4337291013355</v>
      </c>
      <c r="N193" s="125">
        <f>N137/293.07*(1/(VLOOKUP($H193,'Fuel economy adjusted factor'!$A$2:$F$52,5,FALSE)*m2k))/'TCO Inputs'!$AZ$84</f>
        <v>151.4337291013355</v>
      </c>
      <c r="O193" s="125">
        <f>O137/293.07*(1/(VLOOKUP($H193,'Fuel economy adjusted factor'!$A$2:$F$52,5,FALSE)*m2k))/'TCO Inputs'!$AZ$84</f>
        <v>151.4337291013355</v>
      </c>
      <c r="P193" s="125">
        <f>P137/293.07*(1/(VLOOKUP($H193,'Fuel economy adjusted factor'!$A$2:$F$52,5,FALSE)*m2k))/'TCO Inputs'!$AZ$84</f>
        <v>92.324032640571247</v>
      </c>
      <c r="Q193" s="125">
        <f>Q137/293.07*(1/(VLOOKUP($H193,'Fuel economy adjusted factor'!$A$2:$F$52,5,FALSE)*m2k))/'TCO Inputs'!$AZ$84</f>
        <v>92.324032640571247</v>
      </c>
      <c r="R193" s="125">
        <f>R137/293.07*(1/(VLOOKUP($H193,'Fuel economy adjusted factor'!$A$2:$F$52,5,FALSE)*m2k))/'TCO Inputs'!$AZ$84</f>
        <v>92.324032640571247</v>
      </c>
      <c r="S193" s="125">
        <f>S137/293.07*(1/(VLOOKUP($H193,'Fuel economy adjusted factor'!$A$2:$F$52,5,FALSE)*m2k))/'TCO Inputs'!$AZ$84</f>
        <v>92.324032640571247</v>
      </c>
      <c r="T193" s="125">
        <f>T137/293.07*(1/(VLOOKUP($H193,'Fuel economy adjusted factor'!$A$2:$F$52,5,FALSE)*m2k))/'TCO Inputs'!$AZ$84</f>
        <v>92.324032640571247</v>
      </c>
      <c r="U193" s="125">
        <f>U137/293.07*(1/(VLOOKUP($H193,'Fuel economy adjusted factor'!$A$2:$F$52,5,FALSE)*m2k))/'TCO Inputs'!$AZ$84</f>
        <v>82.749590121713069</v>
      </c>
      <c r="V193" s="125">
        <f>V137/293.07*(1/(VLOOKUP($H193,'Fuel economy adjusted factor'!$A$2:$F$52,5,FALSE)*m2k))/'TCO Inputs'!$AZ$84</f>
        <v>82.749590121713069</v>
      </c>
      <c r="W193" s="125">
        <f>W137/293.07*(1/(VLOOKUP($H193,'Fuel economy adjusted factor'!$A$2:$F$52,5,FALSE)*m2k))/'TCO Inputs'!$AZ$84</f>
        <v>82.749590121713069</v>
      </c>
      <c r="X193" s="125">
        <f>X137/293.07*(1/(VLOOKUP($H193,'Fuel economy adjusted factor'!$A$2:$F$52,5,FALSE)*m2k))/'TCO Inputs'!$AZ$84</f>
        <v>82.749590121713069</v>
      </c>
      <c r="Y193" s="125">
        <f>Y137/293.07*(1/(VLOOKUP($H193,'Fuel economy adjusted factor'!$A$2:$F$52,5,FALSE)*m2k))/'TCO Inputs'!$AZ$84</f>
        <v>82.749590121713069</v>
      </c>
      <c r="Z193" s="125">
        <f>Z137/293.07*(1/(VLOOKUP($H193,'Fuel economy adjusted factor'!$A$2:$F$52,5,FALSE)*m2k))/'TCO Inputs'!$AZ$84</f>
        <v>79.841924378957728</v>
      </c>
      <c r="AA193" s="125">
        <f>AA137/293.07*(1/(VLOOKUP($H193,'Fuel economy adjusted factor'!$A$2:$F$52,5,FALSE)*m2k))/'TCO Inputs'!$AZ$84</f>
        <v>79.841924378957728</v>
      </c>
      <c r="AB193" s="125">
        <f>AB137/293.07*(1/(VLOOKUP($H193,'Fuel economy adjusted factor'!$A$2:$F$52,5,FALSE)*m2k))/'TCO Inputs'!$AZ$84</f>
        <v>79.841924378957728</v>
      </c>
      <c r="AC193" s="125">
        <f>AC137/293.07*(1/(VLOOKUP($H193,'Fuel economy adjusted factor'!$A$2:$F$52,5,FALSE)*m2k))/'TCO Inputs'!$AZ$84</f>
        <v>79.841924378957728</v>
      </c>
      <c r="AD193" s="125">
        <f>AD137/293.07*(1/(VLOOKUP($H193,'Fuel economy adjusted factor'!$A$2:$F$52,5,FALSE)*m2k))/'TCO Inputs'!$AZ$84</f>
        <v>79.841924378957728</v>
      </c>
      <c r="AE193" s="125">
        <f>AE137/293.07*(1/(VLOOKUP($H193,'Fuel economy adjusted factor'!$A$2:$F$52,5,FALSE)*m2k))/'TCO Inputs'!$AZ$84</f>
        <v>76.715087851572591</v>
      </c>
      <c r="AF193" s="125">
        <f>AF137/293.07*(1/(VLOOKUP($H193,'Fuel economy adjusted factor'!$A$2:$F$52,5,FALSE)*m2k))/'TCO Inputs'!$AZ$84</f>
        <v>76.715087851572591</v>
      </c>
      <c r="AG193" s="125">
        <f>AG137/293.07*(1/(VLOOKUP($H193,'Fuel economy adjusted factor'!$A$2:$F$52,5,FALSE)*m2k))/'TCO Inputs'!$AZ$84</f>
        <v>76.715087851572591</v>
      </c>
      <c r="AH193" s="125">
        <f>AH137/293.07*(1/(VLOOKUP($H193,'Fuel economy adjusted factor'!$A$2:$F$52,5,FALSE)*m2k))/'TCO Inputs'!$AZ$84</f>
        <v>76.715087851572591</v>
      </c>
      <c r="AI193" s="125">
        <f>AI137/293.07*(1/(VLOOKUP($H193,'Fuel economy adjusted factor'!$A$2:$F$52,5,FALSE)*m2k))/'TCO Inputs'!$AZ$84</f>
        <v>76.715087851572591</v>
      </c>
      <c r="AJ193" s="125">
        <f>AJ137/293.07*(1/(VLOOKUP($H193,'Fuel economy adjusted factor'!$A$2:$F$52,5,FALSE)*m2k))/'TCO Inputs'!$AZ$84</f>
        <v>71.895987205288236</v>
      </c>
      <c r="AK193" s="98" cm="1">
        <f t="array" ref="AK193">SUMPRODUCT(INDEX(I193:AJ193,,'TCO Inputs'!$AZ$12-2023+_xlfn.SEQUENCE('TCO Inputs'!$AZ$13)),INDEX(INDEX('VKT US'!$C$63:$AA$113,MATCH(H193,$H$169:$H$219,0),0),,_xlfn.SEQUENCE('TCO Inputs'!$AZ$13)))*m2k*CONVERT(0.9072,"g","ton")</f>
        <v>49.818568811789078</v>
      </c>
    </row>
    <row r="194" spans="8:37" x14ac:dyDescent="0.25">
      <c r="H194" s="123" t="s">
        <v>208</v>
      </c>
      <c r="I194" s="125">
        <f>I138/293.07*(1/(VLOOKUP($H194,'Fuel economy adjusted factor'!$A$2:$F$52,5,FALSE)*m2k))/'TCO Inputs'!$AZ$84</f>
        <v>141.43560750239914</v>
      </c>
      <c r="J194" s="125">
        <f>J138/293.07*(1/(VLOOKUP($H194,'Fuel economy adjusted factor'!$A$2:$F$52,5,FALSE)*m2k))/'TCO Inputs'!$AZ$84</f>
        <v>141.43560750239914</v>
      </c>
      <c r="K194" s="125">
        <f>K138/293.07*(1/(VLOOKUP($H194,'Fuel economy adjusted factor'!$A$2:$F$52,5,FALSE)*m2k))/'TCO Inputs'!$AZ$84</f>
        <v>124.2620389278058</v>
      </c>
      <c r="L194" s="125">
        <f>L138/293.07*(1/(VLOOKUP($H194,'Fuel economy adjusted factor'!$A$2:$F$52,5,FALSE)*m2k))/'TCO Inputs'!$AZ$84</f>
        <v>124.2620389278058</v>
      </c>
      <c r="M194" s="125">
        <f>M138/293.07*(1/(VLOOKUP($H194,'Fuel economy adjusted factor'!$A$2:$F$52,5,FALSE)*m2k))/'TCO Inputs'!$AZ$84</f>
        <v>124.2620389278058</v>
      </c>
      <c r="N194" s="125">
        <f>N138/293.07*(1/(VLOOKUP($H194,'Fuel economy adjusted factor'!$A$2:$F$52,5,FALSE)*m2k))/'TCO Inputs'!$AZ$84</f>
        <v>124.2620389278058</v>
      </c>
      <c r="O194" s="125">
        <f>O138/293.07*(1/(VLOOKUP($H194,'Fuel economy adjusted factor'!$A$2:$F$52,5,FALSE)*m2k))/'TCO Inputs'!$AZ$84</f>
        <v>124.2620389278058</v>
      </c>
      <c r="P194" s="125">
        <f>P138/293.07*(1/(VLOOKUP($H194,'Fuel economy adjusted factor'!$A$2:$F$52,5,FALSE)*m2k))/'TCO Inputs'!$AZ$84</f>
        <v>75.758370384431757</v>
      </c>
      <c r="Q194" s="125">
        <f>Q138/293.07*(1/(VLOOKUP($H194,'Fuel economy adjusted factor'!$A$2:$F$52,5,FALSE)*m2k))/'TCO Inputs'!$AZ$84</f>
        <v>75.758370384431757</v>
      </c>
      <c r="R194" s="125">
        <f>R138/293.07*(1/(VLOOKUP($H194,'Fuel economy adjusted factor'!$A$2:$F$52,5,FALSE)*m2k))/'TCO Inputs'!$AZ$84</f>
        <v>75.758370384431757</v>
      </c>
      <c r="S194" s="125">
        <f>S138/293.07*(1/(VLOOKUP($H194,'Fuel economy adjusted factor'!$A$2:$F$52,5,FALSE)*m2k))/'TCO Inputs'!$AZ$84</f>
        <v>75.758370384431757</v>
      </c>
      <c r="T194" s="125">
        <f>T138/293.07*(1/(VLOOKUP($H194,'Fuel economy adjusted factor'!$A$2:$F$52,5,FALSE)*m2k))/'TCO Inputs'!$AZ$84</f>
        <v>75.758370384431757</v>
      </c>
      <c r="U194" s="125">
        <f>U138/293.07*(1/(VLOOKUP($H194,'Fuel economy adjusted factor'!$A$2:$F$52,5,FALSE)*m2k))/'TCO Inputs'!$AZ$84</f>
        <v>67.901866050484784</v>
      </c>
      <c r="V194" s="125">
        <f>V138/293.07*(1/(VLOOKUP($H194,'Fuel economy adjusted factor'!$A$2:$F$52,5,FALSE)*m2k))/'TCO Inputs'!$AZ$84</f>
        <v>67.901866050484784</v>
      </c>
      <c r="W194" s="125">
        <f>W138/293.07*(1/(VLOOKUP($H194,'Fuel economy adjusted factor'!$A$2:$F$52,5,FALSE)*m2k))/'TCO Inputs'!$AZ$84</f>
        <v>67.901866050484784</v>
      </c>
      <c r="X194" s="125">
        <f>X138/293.07*(1/(VLOOKUP($H194,'Fuel economy adjusted factor'!$A$2:$F$52,5,FALSE)*m2k))/'TCO Inputs'!$AZ$84</f>
        <v>67.901866050484784</v>
      </c>
      <c r="Y194" s="125">
        <f>Y138/293.07*(1/(VLOOKUP($H194,'Fuel economy adjusted factor'!$A$2:$F$52,5,FALSE)*m2k))/'TCO Inputs'!$AZ$84</f>
        <v>67.901866050484784</v>
      </c>
      <c r="Z194" s="125">
        <f>Z138/293.07*(1/(VLOOKUP($H194,'Fuel economy adjusted factor'!$A$2:$F$52,5,FALSE)*m2k))/'TCO Inputs'!$AZ$84</f>
        <v>65.515921546182639</v>
      </c>
      <c r="AA194" s="125">
        <f>AA138/293.07*(1/(VLOOKUP($H194,'Fuel economy adjusted factor'!$A$2:$F$52,5,FALSE)*m2k))/'TCO Inputs'!$AZ$84</f>
        <v>65.515921546182639</v>
      </c>
      <c r="AB194" s="125">
        <f>AB138/293.07*(1/(VLOOKUP($H194,'Fuel economy adjusted factor'!$A$2:$F$52,5,FALSE)*m2k))/'TCO Inputs'!$AZ$84</f>
        <v>65.515921546182639</v>
      </c>
      <c r="AC194" s="125">
        <f>AC138/293.07*(1/(VLOOKUP($H194,'Fuel economy adjusted factor'!$A$2:$F$52,5,FALSE)*m2k))/'TCO Inputs'!$AZ$84</f>
        <v>65.515921546182639</v>
      </c>
      <c r="AD194" s="125">
        <f>AD138/293.07*(1/(VLOOKUP($H194,'Fuel economy adjusted factor'!$A$2:$F$52,5,FALSE)*m2k))/'TCO Inputs'!$AZ$84</f>
        <v>65.515921546182639</v>
      </c>
      <c r="AE194" s="125">
        <f>AE138/293.07*(1/(VLOOKUP($H194,'Fuel economy adjusted factor'!$A$2:$F$52,5,FALSE)*m2k))/'TCO Inputs'!$AZ$84</f>
        <v>62.950131978742128</v>
      </c>
      <c r="AF194" s="125">
        <f>AF138/293.07*(1/(VLOOKUP($H194,'Fuel economy adjusted factor'!$A$2:$F$52,5,FALSE)*m2k))/'TCO Inputs'!$AZ$84</f>
        <v>62.950131978742128</v>
      </c>
      <c r="AG194" s="125">
        <f>AG138/293.07*(1/(VLOOKUP($H194,'Fuel economy adjusted factor'!$A$2:$F$52,5,FALSE)*m2k))/'TCO Inputs'!$AZ$84</f>
        <v>62.950131978742128</v>
      </c>
      <c r="AH194" s="125">
        <f>AH138/293.07*(1/(VLOOKUP($H194,'Fuel economy adjusted factor'!$A$2:$F$52,5,FALSE)*m2k))/'TCO Inputs'!$AZ$84</f>
        <v>62.950131978742128</v>
      </c>
      <c r="AI194" s="125">
        <f>AI138/293.07*(1/(VLOOKUP($H194,'Fuel economy adjusted factor'!$A$2:$F$52,5,FALSE)*m2k))/'TCO Inputs'!$AZ$84</f>
        <v>62.950131978742128</v>
      </c>
      <c r="AJ194" s="125">
        <f>AJ138/293.07*(1/(VLOOKUP($H194,'Fuel economy adjusted factor'!$A$2:$F$52,5,FALSE)*m2k))/'TCO Inputs'!$AZ$84</f>
        <v>58.995720529857614</v>
      </c>
      <c r="AK194" s="98" cm="1">
        <f t="array" ref="AK194">SUMPRODUCT(INDEX(I194:AJ194,,'TCO Inputs'!$AZ$12-2023+_xlfn.SEQUENCE('TCO Inputs'!$AZ$13)),INDEX(INDEX('VKT US'!$C$63:$AA$113,MATCH(H194,$H$169:$H$219,0),0),,_xlfn.SEQUENCE('TCO Inputs'!$AZ$13)))*m2k*CONVERT(0.9072,"g","ton")</f>
        <v>35.050415577176359</v>
      </c>
    </row>
    <row r="195" spans="8:37" x14ac:dyDescent="0.25">
      <c r="H195" s="123" t="s">
        <v>211</v>
      </c>
      <c r="I195" s="125">
        <f>I139/293.07*(1/(VLOOKUP($H195,'Fuel economy adjusted factor'!$A$2:$F$52,5,FALSE)*m2k))/'TCO Inputs'!$AZ$84</f>
        <v>128.52697188660164</v>
      </c>
      <c r="J195" s="125">
        <f>J139/293.07*(1/(VLOOKUP($H195,'Fuel economy adjusted factor'!$A$2:$F$52,5,FALSE)*m2k))/'TCO Inputs'!$AZ$84</f>
        <v>128.52697188660164</v>
      </c>
      <c r="K195" s="125">
        <f>K139/293.07*(1/(VLOOKUP($H195,'Fuel economy adjusted factor'!$A$2:$F$52,5,FALSE)*m2k))/'TCO Inputs'!$AZ$84</f>
        <v>112.9208115684375</v>
      </c>
      <c r="L195" s="125">
        <f>L139/293.07*(1/(VLOOKUP($H195,'Fuel economy adjusted factor'!$A$2:$F$52,5,FALSE)*m2k))/'TCO Inputs'!$AZ$84</f>
        <v>112.9208115684375</v>
      </c>
      <c r="M195" s="125">
        <f>M139/293.07*(1/(VLOOKUP($H195,'Fuel economy adjusted factor'!$A$2:$F$52,5,FALSE)*m2k))/'TCO Inputs'!$AZ$84</f>
        <v>112.9208115684375</v>
      </c>
      <c r="N195" s="125">
        <f>N139/293.07*(1/(VLOOKUP($H195,'Fuel economy adjusted factor'!$A$2:$F$52,5,FALSE)*m2k))/'TCO Inputs'!$AZ$84</f>
        <v>112.9208115684375</v>
      </c>
      <c r="O195" s="125">
        <f>O139/293.07*(1/(VLOOKUP($H195,'Fuel economy adjusted factor'!$A$2:$F$52,5,FALSE)*m2k))/'TCO Inputs'!$AZ$84</f>
        <v>112.9208115684375</v>
      </c>
      <c r="P195" s="125">
        <f>P139/293.07*(1/(VLOOKUP($H195,'Fuel economy adjusted factor'!$A$2:$F$52,5,FALSE)*m2k))/'TCO Inputs'!$AZ$84</f>
        <v>68.844006912541104</v>
      </c>
      <c r="Q195" s="125">
        <f>Q139/293.07*(1/(VLOOKUP($H195,'Fuel economy adjusted factor'!$A$2:$F$52,5,FALSE)*m2k))/'TCO Inputs'!$AZ$84</f>
        <v>68.844006912541104</v>
      </c>
      <c r="R195" s="125">
        <f>R139/293.07*(1/(VLOOKUP($H195,'Fuel economy adjusted factor'!$A$2:$F$52,5,FALSE)*m2k))/'TCO Inputs'!$AZ$84</f>
        <v>68.844006912541104</v>
      </c>
      <c r="S195" s="125">
        <f>S139/293.07*(1/(VLOOKUP($H195,'Fuel economy adjusted factor'!$A$2:$F$52,5,FALSE)*m2k))/'TCO Inputs'!$AZ$84</f>
        <v>68.844006912541104</v>
      </c>
      <c r="T195" s="125">
        <f>T139/293.07*(1/(VLOOKUP($H195,'Fuel economy adjusted factor'!$A$2:$F$52,5,FALSE)*m2k))/'TCO Inputs'!$AZ$84</f>
        <v>68.844006912541104</v>
      </c>
      <c r="U195" s="125">
        <f>U139/293.07*(1/(VLOOKUP($H195,'Fuel economy adjusted factor'!$A$2:$F$52,5,FALSE)*m2k))/'TCO Inputs'!$AZ$84</f>
        <v>61.704555048278159</v>
      </c>
      <c r="V195" s="125">
        <f>V139/293.07*(1/(VLOOKUP($H195,'Fuel economy adjusted factor'!$A$2:$F$52,5,FALSE)*m2k))/'TCO Inputs'!$AZ$84</f>
        <v>61.704555048278159</v>
      </c>
      <c r="W195" s="125">
        <f>W139/293.07*(1/(VLOOKUP($H195,'Fuel economy adjusted factor'!$A$2:$F$52,5,FALSE)*m2k))/'TCO Inputs'!$AZ$84</f>
        <v>61.704555048278159</v>
      </c>
      <c r="X195" s="125">
        <f>X139/293.07*(1/(VLOOKUP($H195,'Fuel economy adjusted factor'!$A$2:$F$52,5,FALSE)*m2k))/'TCO Inputs'!$AZ$84</f>
        <v>61.704555048278159</v>
      </c>
      <c r="Y195" s="125">
        <f>Y139/293.07*(1/(VLOOKUP($H195,'Fuel economy adjusted factor'!$A$2:$F$52,5,FALSE)*m2k))/'TCO Inputs'!$AZ$84</f>
        <v>61.704555048278159</v>
      </c>
      <c r="Z195" s="125">
        <f>Z139/293.07*(1/(VLOOKUP($H195,'Fuel economy adjusted factor'!$A$2:$F$52,5,FALSE)*m2k))/'TCO Inputs'!$AZ$84</f>
        <v>59.536372455204962</v>
      </c>
      <c r="AA195" s="125">
        <f>AA139/293.07*(1/(VLOOKUP($H195,'Fuel economy adjusted factor'!$A$2:$F$52,5,FALSE)*m2k))/'TCO Inputs'!$AZ$84</f>
        <v>59.536372455204962</v>
      </c>
      <c r="AB195" s="125">
        <f>AB139/293.07*(1/(VLOOKUP($H195,'Fuel economy adjusted factor'!$A$2:$F$52,5,FALSE)*m2k))/'TCO Inputs'!$AZ$84</f>
        <v>59.536372455204962</v>
      </c>
      <c r="AC195" s="125">
        <f>AC139/293.07*(1/(VLOOKUP($H195,'Fuel economy adjusted factor'!$A$2:$F$52,5,FALSE)*m2k))/'TCO Inputs'!$AZ$84</f>
        <v>59.536372455204962</v>
      </c>
      <c r="AD195" s="125">
        <f>AD139/293.07*(1/(VLOOKUP($H195,'Fuel economy adjusted factor'!$A$2:$F$52,5,FALSE)*m2k))/'TCO Inputs'!$AZ$84</f>
        <v>59.536372455204962</v>
      </c>
      <c r="AE195" s="125">
        <f>AE139/293.07*(1/(VLOOKUP($H195,'Fuel economy adjusted factor'!$A$2:$F$52,5,FALSE)*m2k))/'TCO Inputs'!$AZ$84</f>
        <v>57.204759013407653</v>
      </c>
      <c r="AF195" s="125">
        <f>AF139/293.07*(1/(VLOOKUP($H195,'Fuel economy adjusted factor'!$A$2:$F$52,5,FALSE)*m2k))/'TCO Inputs'!$AZ$84</f>
        <v>57.204759013407653</v>
      </c>
      <c r="AG195" s="125">
        <f>AG139/293.07*(1/(VLOOKUP($H195,'Fuel economy adjusted factor'!$A$2:$F$52,5,FALSE)*m2k))/'TCO Inputs'!$AZ$84</f>
        <v>57.204759013407653</v>
      </c>
      <c r="AH195" s="125">
        <f>AH139/293.07*(1/(VLOOKUP($H195,'Fuel economy adjusted factor'!$A$2:$F$52,5,FALSE)*m2k))/'TCO Inputs'!$AZ$84</f>
        <v>57.204759013407653</v>
      </c>
      <c r="AI195" s="125">
        <f>AI139/293.07*(1/(VLOOKUP($H195,'Fuel economy adjusted factor'!$A$2:$F$52,5,FALSE)*m2k))/'TCO Inputs'!$AZ$84</f>
        <v>57.204759013407653</v>
      </c>
      <c r="AJ195" s="125">
        <f>AJ139/293.07*(1/(VLOOKUP($H195,'Fuel economy adjusted factor'!$A$2:$F$52,5,FALSE)*m2k))/'TCO Inputs'!$AZ$84</f>
        <v>53.611261321461768</v>
      </c>
      <c r="AK195" s="98" cm="1">
        <f t="array" ref="AK195">SUMPRODUCT(INDEX(I195:AJ195,,'TCO Inputs'!$AZ$12-2023+_xlfn.SEQUENCE('TCO Inputs'!$AZ$13)),INDEX(INDEX('VKT US'!$C$63:$AA$113,MATCH(H195,$H$169:$H$219,0),0),,_xlfn.SEQUENCE('TCO Inputs'!$AZ$13)))*m2k*CONVERT(0.9072,"g","ton")</f>
        <v>29.777459669870375</v>
      </c>
    </row>
    <row r="196" spans="8:37" x14ac:dyDescent="0.25">
      <c r="H196" s="123" t="s">
        <v>215</v>
      </c>
      <c r="I196" s="125">
        <f>I140/293.07*(1/(VLOOKUP($H196,'Fuel economy adjusted factor'!$A$2:$F$52,5,FALSE)*m2k))/'TCO Inputs'!$AZ$84</f>
        <v>88.531535812563945</v>
      </c>
      <c r="J196" s="125">
        <f>J140/293.07*(1/(VLOOKUP($H196,'Fuel economy adjusted factor'!$A$2:$F$52,5,FALSE)*m2k))/'TCO Inputs'!$AZ$84</f>
        <v>88.531535812563945</v>
      </c>
      <c r="K196" s="125">
        <f>K140/293.07*(1/(VLOOKUP($H196,'Fuel economy adjusted factor'!$A$2:$F$52,5,FALSE)*m2k))/'TCO Inputs'!$AZ$84</f>
        <v>77.781750605431142</v>
      </c>
      <c r="L196" s="125">
        <f>L140/293.07*(1/(VLOOKUP($H196,'Fuel economy adjusted factor'!$A$2:$F$52,5,FALSE)*m2k))/'TCO Inputs'!$AZ$84</f>
        <v>77.781750605431142</v>
      </c>
      <c r="M196" s="125">
        <f>M140/293.07*(1/(VLOOKUP($H196,'Fuel economy adjusted factor'!$A$2:$F$52,5,FALSE)*m2k))/'TCO Inputs'!$AZ$84</f>
        <v>77.781750605431142</v>
      </c>
      <c r="N196" s="125">
        <f>N140/293.07*(1/(VLOOKUP($H196,'Fuel economy adjusted factor'!$A$2:$F$52,5,FALSE)*m2k))/'TCO Inputs'!$AZ$84</f>
        <v>77.781750605431142</v>
      </c>
      <c r="O196" s="125">
        <f>O140/293.07*(1/(VLOOKUP($H196,'Fuel economy adjusted factor'!$A$2:$F$52,5,FALSE)*m2k))/'TCO Inputs'!$AZ$84</f>
        <v>77.781750605431142</v>
      </c>
      <c r="P196" s="125">
        <f>P140/293.07*(1/(VLOOKUP($H196,'Fuel economy adjusted factor'!$A$2:$F$52,5,FALSE)*m2k))/'TCO Inputs'!$AZ$84</f>
        <v>47.420907642914713</v>
      </c>
      <c r="Q196" s="125">
        <f>Q140/293.07*(1/(VLOOKUP($H196,'Fuel economy adjusted factor'!$A$2:$F$52,5,FALSE)*m2k))/'TCO Inputs'!$AZ$84</f>
        <v>47.420907642914713</v>
      </c>
      <c r="R196" s="125">
        <f>R140/293.07*(1/(VLOOKUP($H196,'Fuel economy adjusted factor'!$A$2:$F$52,5,FALSE)*m2k))/'TCO Inputs'!$AZ$84</f>
        <v>47.420907642914713</v>
      </c>
      <c r="S196" s="125">
        <f>S140/293.07*(1/(VLOOKUP($H196,'Fuel economy adjusted factor'!$A$2:$F$52,5,FALSE)*m2k))/'TCO Inputs'!$AZ$84</f>
        <v>47.420907642914713</v>
      </c>
      <c r="T196" s="125">
        <f>T140/293.07*(1/(VLOOKUP($H196,'Fuel economy adjusted factor'!$A$2:$F$52,5,FALSE)*m2k))/'TCO Inputs'!$AZ$84</f>
        <v>47.420907642914713</v>
      </c>
      <c r="U196" s="125">
        <f>U140/293.07*(1/(VLOOKUP($H196,'Fuel economy adjusted factor'!$A$2:$F$52,5,FALSE)*m2k))/'TCO Inputs'!$AZ$84</f>
        <v>42.503133349121036</v>
      </c>
      <c r="V196" s="125">
        <f>V140/293.07*(1/(VLOOKUP($H196,'Fuel economy adjusted factor'!$A$2:$F$52,5,FALSE)*m2k))/'TCO Inputs'!$AZ$84</f>
        <v>42.503133349121036</v>
      </c>
      <c r="W196" s="125">
        <f>W140/293.07*(1/(VLOOKUP($H196,'Fuel economy adjusted factor'!$A$2:$F$52,5,FALSE)*m2k))/'TCO Inputs'!$AZ$84</f>
        <v>42.503133349121036</v>
      </c>
      <c r="X196" s="125">
        <f>X140/293.07*(1/(VLOOKUP($H196,'Fuel economy adjusted factor'!$A$2:$F$52,5,FALSE)*m2k))/'TCO Inputs'!$AZ$84</f>
        <v>42.503133349121036</v>
      </c>
      <c r="Y196" s="125">
        <f>Y140/293.07*(1/(VLOOKUP($H196,'Fuel economy adjusted factor'!$A$2:$F$52,5,FALSE)*m2k))/'TCO Inputs'!$AZ$84</f>
        <v>42.503133349121036</v>
      </c>
      <c r="Z196" s="125">
        <f>Z140/293.07*(1/(VLOOKUP($H196,'Fuel economy adjusted factor'!$A$2:$F$52,5,FALSE)*m2k))/'TCO Inputs'!$AZ$84</f>
        <v>41.009652781818829</v>
      </c>
      <c r="AA196" s="125">
        <f>AA140/293.07*(1/(VLOOKUP($H196,'Fuel economy adjusted factor'!$A$2:$F$52,5,FALSE)*m2k))/'TCO Inputs'!$AZ$84</f>
        <v>41.009652781818829</v>
      </c>
      <c r="AB196" s="125">
        <f>AB140/293.07*(1/(VLOOKUP($H196,'Fuel economy adjusted factor'!$A$2:$F$52,5,FALSE)*m2k))/'TCO Inputs'!$AZ$84</f>
        <v>41.009652781818829</v>
      </c>
      <c r="AC196" s="125">
        <f>AC140/293.07*(1/(VLOOKUP($H196,'Fuel economy adjusted factor'!$A$2:$F$52,5,FALSE)*m2k))/'TCO Inputs'!$AZ$84</f>
        <v>41.009652781818829</v>
      </c>
      <c r="AD196" s="125">
        <f>AD140/293.07*(1/(VLOOKUP($H196,'Fuel economy adjusted factor'!$A$2:$F$52,5,FALSE)*m2k))/'TCO Inputs'!$AZ$84</f>
        <v>41.009652781818829</v>
      </c>
      <c r="AE196" s="125">
        <f>AE140/293.07*(1/(VLOOKUP($H196,'Fuel economy adjusted factor'!$A$2:$F$52,5,FALSE)*m2k))/'TCO Inputs'!$AZ$84</f>
        <v>39.403598302408412</v>
      </c>
      <c r="AF196" s="125">
        <f>AF140/293.07*(1/(VLOOKUP($H196,'Fuel economy adjusted factor'!$A$2:$F$52,5,FALSE)*m2k))/'TCO Inputs'!$AZ$84</f>
        <v>39.403598302408412</v>
      </c>
      <c r="AG196" s="125">
        <f>AG140/293.07*(1/(VLOOKUP($H196,'Fuel economy adjusted factor'!$A$2:$F$52,5,FALSE)*m2k))/'TCO Inputs'!$AZ$84</f>
        <v>39.403598302408412</v>
      </c>
      <c r="AH196" s="125">
        <f>AH140/293.07*(1/(VLOOKUP($H196,'Fuel economy adjusted factor'!$A$2:$F$52,5,FALSE)*m2k))/'TCO Inputs'!$AZ$84</f>
        <v>39.403598302408412</v>
      </c>
      <c r="AI196" s="125">
        <f>AI140/293.07*(1/(VLOOKUP($H196,'Fuel economy adjusted factor'!$A$2:$F$52,5,FALSE)*m2k))/'TCO Inputs'!$AZ$84</f>
        <v>39.403598302408412</v>
      </c>
      <c r="AJ196" s="125">
        <f>AJ140/293.07*(1/(VLOOKUP($H196,'Fuel economy adjusted factor'!$A$2:$F$52,5,FALSE)*m2k))/'TCO Inputs'!$AZ$84</f>
        <v>36.928336768295829</v>
      </c>
      <c r="AK196" s="98" cm="1">
        <f t="array" ref="AK196">SUMPRODUCT(INDEX(I196:AJ196,,'TCO Inputs'!$AZ$12-2023+_xlfn.SEQUENCE('TCO Inputs'!$AZ$13)),INDEX(INDEX('VKT US'!$C$63:$AA$113,MATCH(H196,$H$169:$H$219,0),0),,_xlfn.SEQUENCE('TCO Inputs'!$AZ$13)))*m2k*CONVERT(0.9072,"g","ton")</f>
        <v>19.364487184165974</v>
      </c>
    </row>
    <row r="197" spans="8:37" x14ac:dyDescent="0.25">
      <c r="H197" s="123" t="s">
        <v>212</v>
      </c>
      <c r="I197" s="125">
        <f>I141/293.07*(1/(VLOOKUP($H197,'Fuel economy adjusted factor'!$A$2:$F$52,5,FALSE)*m2k))/'TCO Inputs'!$AZ$84</f>
        <v>39.262437973638903</v>
      </c>
      <c r="J197" s="125">
        <f>J141/293.07*(1/(VLOOKUP($H197,'Fuel economy adjusted factor'!$A$2:$F$52,5,FALSE)*m2k))/'TCO Inputs'!$AZ$84</f>
        <v>39.262437973638903</v>
      </c>
      <c r="K197" s="125">
        <f>K141/293.07*(1/(VLOOKUP($H197,'Fuel economy adjusted factor'!$A$2:$F$52,5,FALSE)*m2k))/'TCO Inputs'!$AZ$84</f>
        <v>34.495065860965184</v>
      </c>
      <c r="L197" s="125">
        <f>L141/293.07*(1/(VLOOKUP($H197,'Fuel economy adjusted factor'!$A$2:$F$52,5,FALSE)*m2k))/'TCO Inputs'!$AZ$84</f>
        <v>34.495065860965184</v>
      </c>
      <c r="M197" s="125">
        <f>M141/293.07*(1/(VLOOKUP($H197,'Fuel economy adjusted factor'!$A$2:$F$52,5,FALSE)*m2k))/'TCO Inputs'!$AZ$84</f>
        <v>34.495065860965184</v>
      </c>
      <c r="N197" s="125">
        <f>N141/293.07*(1/(VLOOKUP($H197,'Fuel economy adjusted factor'!$A$2:$F$52,5,FALSE)*m2k))/'TCO Inputs'!$AZ$84</f>
        <v>34.495065860965184</v>
      </c>
      <c r="O197" s="125">
        <f>O141/293.07*(1/(VLOOKUP($H197,'Fuel economy adjusted factor'!$A$2:$F$52,5,FALSE)*m2k))/'TCO Inputs'!$AZ$84</f>
        <v>34.495065860965184</v>
      </c>
      <c r="P197" s="125">
        <f>P141/293.07*(1/(VLOOKUP($H197,'Fuel economy adjusted factor'!$A$2:$F$52,5,FALSE)*m2k))/'TCO Inputs'!$AZ$84</f>
        <v>21.03047719544217</v>
      </c>
      <c r="Q197" s="125">
        <f>Q141/293.07*(1/(VLOOKUP($H197,'Fuel economy adjusted factor'!$A$2:$F$52,5,FALSE)*m2k))/'TCO Inputs'!$AZ$84</f>
        <v>21.03047719544217</v>
      </c>
      <c r="R197" s="125">
        <f>R141/293.07*(1/(VLOOKUP($H197,'Fuel economy adjusted factor'!$A$2:$F$52,5,FALSE)*m2k))/'TCO Inputs'!$AZ$84</f>
        <v>21.03047719544217</v>
      </c>
      <c r="S197" s="125">
        <f>S141/293.07*(1/(VLOOKUP($H197,'Fuel economy adjusted factor'!$A$2:$F$52,5,FALSE)*m2k))/'TCO Inputs'!$AZ$84</f>
        <v>21.03047719544217</v>
      </c>
      <c r="T197" s="125">
        <f>T141/293.07*(1/(VLOOKUP($H197,'Fuel economy adjusted factor'!$A$2:$F$52,5,FALSE)*m2k))/'TCO Inputs'!$AZ$84</f>
        <v>21.03047719544217</v>
      </c>
      <c r="U197" s="125">
        <f>U141/293.07*(1/(VLOOKUP($H197,'Fuel economy adjusted factor'!$A$2:$F$52,5,FALSE)*m2k))/'TCO Inputs'!$AZ$84</f>
        <v>18.849516406653638</v>
      </c>
      <c r="V197" s="125">
        <f>V141/293.07*(1/(VLOOKUP($H197,'Fuel economy adjusted factor'!$A$2:$F$52,5,FALSE)*m2k))/'TCO Inputs'!$AZ$84</f>
        <v>18.849516406653638</v>
      </c>
      <c r="W197" s="125">
        <f>W141/293.07*(1/(VLOOKUP($H197,'Fuel economy adjusted factor'!$A$2:$F$52,5,FALSE)*m2k))/'TCO Inputs'!$AZ$84</f>
        <v>18.849516406653638</v>
      </c>
      <c r="X197" s="125">
        <f>X141/293.07*(1/(VLOOKUP($H197,'Fuel economy adjusted factor'!$A$2:$F$52,5,FALSE)*m2k))/'TCO Inputs'!$AZ$84</f>
        <v>18.849516406653638</v>
      </c>
      <c r="Y197" s="125">
        <f>Y141/293.07*(1/(VLOOKUP($H197,'Fuel economy adjusted factor'!$A$2:$F$52,5,FALSE)*m2k))/'TCO Inputs'!$AZ$84</f>
        <v>18.849516406653638</v>
      </c>
      <c r="Z197" s="125">
        <f>Z141/293.07*(1/(VLOOKUP($H197,'Fuel economy adjusted factor'!$A$2:$F$52,5,FALSE)*m2k))/'TCO Inputs'!$AZ$84</f>
        <v>18.18717967432038</v>
      </c>
      <c r="AA197" s="125">
        <f>AA141/293.07*(1/(VLOOKUP($H197,'Fuel economy adjusted factor'!$A$2:$F$52,5,FALSE)*m2k))/'TCO Inputs'!$AZ$84</f>
        <v>18.18717967432038</v>
      </c>
      <c r="AB197" s="125">
        <f>AB141/293.07*(1/(VLOOKUP($H197,'Fuel economy adjusted factor'!$A$2:$F$52,5,FALSE)*m2k))/'TCO Inputs'!$AZ$84</f>
        <v>18.18717967432038</v>
      </c>
      <c r="AC197" s="125">
        <f>AC141/293.07*(1/(VLOOKUP($H197,'Fuel economy adjusted factor'!$A$2:$F$52,5,FALSE)*m2k))/'TCO Inputs'!$AZ$84</f>
        <v>18.18717967432038</v>
      </c>
      <c r="AD197" s="125">
        <f>AD141/293.07*(1/(VLOOKUP($H197,'Fuel economy adjusted factor'!$A$2:$F$52,5,FALSE)*m2k))/'TCO Inputs'!$AZ$84</f>
        <v>18.18717967432038</v>
      </c>
      <c r="AE197" s="125">
        <f>AE141/293.07*(1/(VLOOKUP($H197,'Fuel economy adjusted factor'!$A$2:$F$52,5,FALSE)*m2k))/'TCO Inputs'!$AZ$84</f>
        <v>17.474918062665527</v>
      </c>
      <c r="AF197" s="125">
        <f>AF141/293.07*(1/(VLOOKUP($H197,'Fuel economy adjusted factor'!$A$2:$F$52,5,FALSE)*m2k))/'TCO Inputs'!$AZ$84</f>
        <v>17.474918062665527</v>
      </c>
      <c r="AG197" s="125">
        <f>AG141/293.07*(1/(VLOOKUP($H197,'Fuel economy adjusted factor'!$A$2:$F$52,5,FALSE)*m2k))/'TCO Inputs'!$AZ$84</f>
        <v>17.474918062665527</v>
      </c>
      <c r="AH197" s="125">
        <f>AH141/293.07*(1/(VLOOKUP($H197,'Fuel economy adjusted factor'!$A$2:$F$52,5,FALSE)*m2k))/'TCO Inputs'!$AZ$84</f>
        <v>17.474918062665527</v>
      </c>
      <c r="AI197" s="125">
        <f>AI141/293.07*(1/(VLOOKUP($H197,'Fuel economy adjusted factor'!$A$2:$F$52,5,FALSE)*m2k))/'TCO Inputs'!$AZ$84</f>
        <v>17.474918062665527</v>
      </c>
      <c r="AJ197" s="125">
        <f>AJ141/293.07*(1/(VLOOKUP($H197,'Fuel economy adjusted factor'!$A$2:$F$52,5,FALSE)*m2k))/'TCO Inputs'!$AZ$84</f>
        <v>16.377175867642659</v>
      </c>
      <c r="AK197" s="98" cm="1">
        <f t="array" ref="AK197">SUMPRODUCT(INDEX(I197:AJ197,,'TCO Inputs'!$AZ$12-2023+_xlfn.SEQUENCE('TCO Inputs'!$AZ$13)),INDEX(INDEX('VKT US'!$C$63:$AA$113,MATCH(H197,$H$169:$H$219,0),0),,_xlfn.SEQUENCE('TCO Inputs'!$AZ$13)))*m2k*CONVERT(0.9072,"g","ton")</f>
        <v>7.0891560365895243</v>
      </c>
    </row>
    <row r="198" spans="8:37" x14ac:dyDescent="0.25">
      <c r="H198" s="123" t="s">
        <v>213</v>
      </c>
      <c r="I198" s="125">
        <f>I142/293.07*(1/(VLOOKUP($H198,'Fuel economy adjusted factor'!$A$2:$F$52,5,FALSE)*m2k))/'TCO Inputs'!$AZ$84</f>
        <v>65.337896342043607</v>
      </c>
      <c r="J198" s="125">
        <f>J142/293.07*(1/(VLOOKUP($H198,'Fuel economy adjusted factor'!$A$2:$F$52,5,FALSE)*m2k))/'TCO Inputs'!$AZ$84</f>
        <v>65.337896342043607</v>
      </c>
      <c r="K198" s="125">
        <f>K142/293.07*(1/(VLOOKUP($H198,'Fuel economy adjusted factor'!$A$2:$F$52,5,FALSE)*m2k))/'TCO Inputs'!$AZ$84</f>
        <v>57.404357799914322</v>
      </c>
      <c r="L198" s="125">
        <f>L142/293.07*(1/(VLOOKUP($H198,'Fuel economy adjusted factor'!$A$2:$F$52,5,FALSE)*m2k))/'TCO Inputs'!$AZ$84</f>
        <v>57.404357799914322</v>
      </c>
      <c r="M198" s="125">
        <f>M142/293.07*(1/(VLOOKUP($H198,'Fuel economy adjusted factor'!$A$2:$F$52,5,FALSE)*m2k))/'TCO Inputs'!$AZ$84</f>
        <v>57.404357799914322</v>
      </c>
      <c r="N198" s="125">
        <f>N142/293.07*(1/(VLOOKUP($H198,'Fuel economy adjusted factor'!$A$2:$F$52,5,FALSE)*m2k))/'TCO Inputs'!$AZ$84</f>
        <v>57.404357799914322</v>
      </c>
      <c r="O198" s="125">
        <f>O142/293.07*(1/(VLOOKUP($H198,'Fuel economy adjusted factor'!$A$2:$F$52,5,FALSE)*m2k))/'TCO Inputs'!$AZ$84</f>
        <v>57.404357799914322</v>
      </c>
      <c r="P198" s="125">
        <f>P142/293.07*(1/(VLOOKUP($H198,'Fuel economy adjusted factor'!$A$2:$F$52,5,FALSE)*m2k))/'TCO Inputs'!$AZ$84</f>
        <v>34.997499134976927</v>
      </c>
      <c r="Q198" s="125">
        <f>Q142/293.07*(1/(VLOOKUP($H198,'Fuel economy adjusted factor'!$A$2:$F$52,5,FALSE)*m2k))/'TCO Inputs'!$AZ$84</f>
        <v>34.997499134976927</v>
      </c>
      <c r="R198" s="125">
        <f>R142/293.07*(1/(VLOOKUP($H198,'Fuel economy adjusted factor'!$A$2:$F$52,5,FALSE)*m2k))/'TCO Inputs'!$AZ$84</f>
        <v>34.997499134976927</v>
      </c>
      <c r="S198" s="125">
        <f>S142/293.07*(1/(VLOOKUP($H198,'Fuel economy adjusted factor'!$A$2:$F$52,5,FALSE)*m2k))/'TCO Inputs'!$AZ$84</f>
        <v>34.997499134976927</v>
      </c>
      <c r="T198" s="125">
        <f>T142/293.07*(1/(VLOOKUP($H198,'Fuel economy adjusted factor'!$A$2:$F$52,5,FALSE)*m2k))/'TCO Inputs'!$AZ$84</f>
        <v>34.997499134976927</v>
      </c>
      <c r="U198" s="125">
        <f>U142/293.07*(1/(VLOOKUP($H198,'Fuel economy adjusted factor'!$A$2:$F$52,5,FALSE)*m2k))/'TCO Inputs'!$AZ$84</f>
        <v>31.368091556170889</v>
      </c>
      <c r="V198" s="125">
        <f>V142/293.07*(1/(VLOOKUP($H198,'Fuel economy adjusted factor'!$A$2:$F$52,5,FALSE)*m2k))/'TCO Inputs'!$AZ$84</f>
        <v>31.368091556170889</v>
      </c>
      <c r="W198" s="125">
        <f>W142/293.07*(1/(VLOOKUP($H198,'Fuel economy adjusted factor'!$A$2:$F$52,5,FALSE)*m2k))/'TCO Inputs'!$AZ$84</f>
        <v>31.368091556170889</v>
      </c>
      <c r="X198" s="125">
        <f>X142/293.07*(1/(VLOOKUP($H198,'Fuel economy adjusted factor'!$A$2:$F$52,5,FALSE)*m2k))/'TCO Inputs'!$AZ$84</f>
        <v>31.368091556170889</v>
      </c>
      <c r="Y198" s="125">
        <f>Y142/293.07*(1/(VLOOKUP($H198,'Fuel economy adjusted factor'!$A$2:$F$52,5,FALSE)*m2k))/'TCO Inputs'!$AZ$84</f>
        <v>31.368091556170889</v>
      </c>
      <c r="Z198" s="125">
        <f>Z142/293.07*(1/(VLOOKUP($H198,'Fuel economy adjusted factor'!$A$2:$F$52,5,FALSE)*m2k))/'TCO Inputs'!$AZ$84</f>
        <v>30.265875519821499</v>
      </c>
      <c r="AA198" s="125">
        <f>AA142/293.07*(1/(VLOOKUP($H198,'Fuel economy adjusted factor'!$A$2:$F$52,5,FALSE)*m2k))/'TCO Inputs'!$AZ$84</f>
        <v>30.265875519821499</v>
      </c>
      <c r="AB198" s="125">
        <f>AB142/293.07*(1/(VLOOKUP($H198,'Fuel economy adjusted factor'!$A$2:$F$52,5,FALSE)*m2k))/'TCO Inputs'!$AZ$84</f>
        <v>30.265875519821499</v>
      </c>
      <c r="AC198" s="125">
        <f>AC142/293.07*(1/(VLOOKUP($H198,'Fuel economy adjusted factor'!$A$2:$F$52,5,FALSE)*m2k))/'TCO Inputs'!$AZ$84</f>
        <v>30.265875519821499</v>
      </c>
      <c r="AD198" s="125">
        <f>AD142/293.07*(1/(VLOOKUP($H198,'Fuel economy adjusted factor'!$A$2:$F$52,5,FALSE)*m2k))/'TCO Inputs'!$AZ$84</f>
        <v>30.265875519821499</v>
      </c>
      <c r="AE198" s="125">
        <f>AE142/293.07*(1/(VLOOKUP($H198,'Fuel economy adjusted factor'!$A$2:$F$52,5,FALSE)*m2k))/'TCO Inputs'!$AZ$84</f>
        <v>29.080577872692</v>
      </c>
      <c r="AF198" s="125">
        <f>AF142/293.07*(1/(VLOOKUP($H198,'Fuel economy adjusted factor'!$A$2:$F$52,5,FALSE)*m2k))/'TCO Inputs'!$AZ$84</f>
        <v>29.080577872692</v>
      </c>
      <c r="AG198" s="125">
        <f>AG142/293.07*(1/(VLOOKUP($H198,'Fuel economy adjusted factor'!$A$2:$F$52,5,FALSE)*m2k))/'TCO Inputs'!$AZ$84</f>
        <v>29.080577872692</v>
      </c>
      <c r="AH198" s="125">
        <f>AH142/293.07*(1/(VLOOKUP($H198,'Fuel economy adjusted factor'!$A$2:$F$52,5,FALSE)*m2k))/'TCO Inputs'!$AZ$84</f>
        <v>29.080577872692</v>
      </c>
      <c r="AI198" s="125">
        <f>AI142/293.07*(1/(VLOOKUP($H198,'Fuel economy adjusted factor'!$A$2:$F$52,5,FALSE)*m2k))/'TCO Inputs'!$AZ$84</f>
        <v>29.080577872692</v>
      </c>
      <c r="AJ198" s="125">
        <f>AJ142/293.07*(1/(VLOOKUP($H198,'Fuel economy adjusted factor'!$A$2:$F$52,5,FALSE)*m2k))/'TCO Inputs'!$AZ$84</f>
        <v>27.253789485357327</v>
      </c>
      <c r="AK198" s="98" cm="1">
        <f t="array" ref="AK198">SUMPRODUCT(INDEX(I198:AJ198,,'TCO Inputs'!$AZ$12-2023+_xlfn.SEQUENCE('TCO Inputs'!$AZ$13)),INDEX(INDEX('VKT US'!$C$63:$AA$113,MATCH(H198,$H$169:$H$219,0),0),,_xlfn.SEQUENCE('TCO Inputs'!$AZ$13)))*m2k*CONVERT(0.9072,"g","ton")</f>
        <v>12.503908560937321</v>
      </c>
    </row>
    <row r="199" spans="8:37" x14ac:dyDescent="0.25">
      <c r="H199" s="123" t="s">
        <v>214</v>
      </c>
      <c r="I199" s="125">
        <f>I143/293.07*(1/(VLOOKUP($H199,'Fuel economy adjusted factor'!$A$2:$F$52,5,FALSE)*m2k))/'TCO Inputs'!$AZ$84</f>
        <v>94.02935745423288</v>
      </c>
      <c r="J199" s="125">
        <f>J143/293.07*(1/(VLOOKUP($H199,'Fuel economy adjusted factor'!$A$2:$F$52,5,FALSE)*m2k))/'TCO Inputs'!$AZ$84</f>
        <v>94.02935745423288</v>
      </c>
      <c r="K199" s="125">
        <f>K143/293.07*(1/(VLOOKUP($H199,'Fuel economy adjusted factor'!$A$2:$F$52,5,FALSE)*m2k))/'TCO Inputs'!$AZ$84</f>
        <v>82.612008974729065</v>
      </c>
      <c r="L199" s="125">
        <f>L143/293.07*(1/(VLOOKUP($H199,'Fuel economy adjusted factor'!$A$2:$F$52,5,FALSE)*m2k))/'TCO Inputs'!$AZ$84</f>
        <v>82.612008974729065</v>
      </c>
      <c r="M199" s="125">
        <f>M143/293.07*(1/(VLOOKUP($H199,'Fuel economy adjusted factor'!$A$2:$F$52,5,FALSE)*m2k))/'TCO Inputs'!$AZ$84</f>
        <v>82.612008974729065</v>
      </c>
      <c r="N199" s="125">
        <f>N143/293.07*(1/(VLOOKUP($H199,'Fuel economy adjusted factor'!$A$2:$F$52,5,FALSE)*m2k))/'TCO Inputs'!$AZ$84</f>
        <v>82.612008974729065</v>
      </c>
      <c r="O199" s="125">
        <f>O143/293.07*(1/(VLOOKUP($H199,'Fuel economy adjusted factor'!$A$2:$F$52,5,FALSE)*m2k))/'TCO Inputs'!$AZ$84</f>
        <v>82.612008974729065</v>
      </c>
      <c r="P199" s="125">
        <f>P143/293.07*(1/(VLOOKUP($H199,'Fuel economy adjusted factor'!$A$2:$F$52,5,FALSE)*m2k))/'TCO Inputs'!$AZ$84</f>
        <v>50.365753114236611</v>
      </c>
      <c r="Q199" s="125">
        <f>Q143/293.07*(1/(VLOOKUP($H199,'Fuel economy adjusted factor'!$A$2:$F$52,5,FALSE)*m2k))/'TCO Inputs'!$AZ$84</f>
        <v>50.365753114236611</v>
      </c>
      <c r="R199" s="125">
        <f>R143/293.07*(1/(VLOOKUP($H199,'Fuel economy adjusted factor'!$A$2:$F$52,5,FALSE)*m2k))/'TCO Inputs'!$AZ$84</f>
        <v>50.365753114236611</v>
      </c>
      <c r="S199" s="125">
        <f>S143/293.07*(1/(VLOOKUP($H199,'Fuel economy adjusted factor'!$A$2:$F$52,5,FALSE)*m2k))/'TCO Inputs'!$AZ$84</f>
        <v>50.365753114236611</v>
      </c>
      <c r="T199" s="125">
        <f>T143/293.07*(1/(VLOOKUP($H199,'Fuel economy adjusted factor'!$A$2:$F$52,5,FALSE)*m2k))/'TCO Inputs'!$AZ$84</f>
        <v>50.365753114236611</v>
      </c>
      <c r="U199" s="125">
        <f>U143/293.07*(1/(VLOOKUP($H199,'Fuel economy adjusted factor'!$A$2:$F$52,5,FALSE)*m2k))/'TCO Inputs'!$AZ$84</f>
        <v>45.142584299799985</v>
      </c>
      <c r="V199" s="125">
        <f>V143/293.07*(1/(VLOOKUP($H199,'Fuel economy adjusted factor'!$A$2:$F$52,5,FALSE)*m2k))/'TCO Inputs'!$AZ$84</f>
        <v>45.142584299799985</v>
      </c>
      <c r="W199" s="125">
        <f>W143/293.07*(1/(VLOOKUP($H199,'Fuel economy adjusted factor'!$A$2:$F$52,5,FALSE)*m2k))/'TCO Inputs'!$AZ$84</f>
        <v>45.142584299799985</v>
      </c>
      <c r="X199" s="125">
        <f>X143/293.07*(1/(VLOOKUP($H199,'Fuel economy adjusted factor'!$A$2:$F$52,5,FALSE)*m2k))/'TCO Inputs'!$AZ$84</f>
        <v>45.142584299799985</v>
      </c>
      <c r="Y199" s="125">
        <f>Y143/293.07*(1/(VLOOKUP($H199,'Fuel economy adjusted factor'!$A$2:$F$52,5,FALSE)*m2k))/'TCO Inputs'!$AZ$84</f>
        <v>45.142584299799985</v>
      </c>
      <c r="Z199" s="125">
        <f>Z143/293.07*(1/(VLOOKUP($H199,'Fuel economy adjusted factor'!$A$2:$F$52,5,FALSE)*m2k))/'TCO Inputs'!$AZ$84</f>
        <v>43.556358365449015</v>
      </c>
      <c r="AA199" s="125">
        <f>AA143/293.07*(1/(VLOOKUP($H199,'Fuel economy adjusted factor'!$A$2:$F$52,5,FALSE)*m2k))/'TCO Inputs'!$AZ$84</f>
        <v>43.556358365449015</v>
      </c>
      <c r="AB199" s="125">
        <f>AB143/293.07*(1/(VLOOKUP($H199,'Fuel economy adjusted factor'!$A$2:$F$52,5,FALSE)*m2k))/'TCO Inputs'!$AZ$84</f>
        <v>43.556358365449015</v>
      </c>
      <c r="AC199" s="125">
        <f>AC143/293.07*(1/(VLOOKUP($H199,'Fuel economy adjusted factor'!$A$2:$F$52,5,FALSE)*m2k))/'TCO Inputs'!$AZ$84</f>
        <v>43.556358365449015</v>
      </c>
      <c r="AD199" s="125">
        <f>AD143/293.07*(1/(VLOOKUP($H199,'Fuel economy adjusted factor'!$A$2:$F$52,5,FALSE)*m2k))/'TCO Inputs'!$AZ$84</f>
        <v>43.556358365449015</v>
      </c>
      <c r="AE199" s="125">
        <f>AE143/293.07*(1/(VLOOKUP($H199,'Fuel economy adjusted factor'!$A$2:$F$52,5,FALSE)*m2k))/'TCO Inputs'!$AZ$84</f>
        <v>41.85056766217712</v>
      </c>
      <c r="AF199" s="125">
        <f>AF143/293.07*(1/(VLOOKUP($H199,'Fuel economy adjusted factor'!$A$2:$F$52,5,FALSE)*m2k))/'TCO Inputs'!$AZ$84</f>
        <v>41.85056766217712</v>
      </c>
      <c r="AG199" s="125">
        <f>AG143/293.07*(1/(VLOOKUP($H199,'Fuel economy adjusted factor'!$A$2:$F$52,5,FALSE)*m2k))/'TCO Inputs'!$AZ$84</f>
        <v>41.85056766217712</v>
      </c>
      <c r="AH199" s="125">
        <f>AH143/293.07*(1/(VLOOKUP($H199,'Fuel economy adjusted factor'!$A$2:$F$52,5,FALSE)*m2k))/'TCO Inputs'!$AZ$84</f>
        <v>41.85056766217712</v>
      </c>
      <c r="AI199" s="125">
        <f>AI143/293.07*(1/(VLOOKUP($H199,'Fuel economy adjusted factor'!$A$2:$F$52,5,FALSE)*m2k))/'TCO Inputs'!$AZ$84</f>
        <v>41.85056766217712</v>
      </c>
      <c r="AJ199" s="125">
        <f>AJ143/293.07*(1/(VLOOKUP($H199,'Fuel economy adjusted factor'!$A$2:$F$52,5,FALSE)*m2k))/'TCO Inputs'!$AZ$84</f>
        <v>39.221592015843036</v>
      </c>
      <c r="AK199" s="98" cm="1">
        <f t="array" ref="AK199">SUMPRODUCT(INDEX(I199:AJ199,,'TCO Inputs'!$AZ$12-2023+_xlfn.SEQUENCE('TCO Inputs'!$AZ$13)),INDEX(INDEX('VKT US'!$C$63:$AA$113,MATCH(H199,$H$169:$H$219,0),0),,_xlfn.SEQUENCE('TCO Inputs'!$AZ$13)))*m2k*CONVERT(0.9072,"g","ton")</f>
        <v>28.110908458248677</v>
      </c>
    </row>
    <row r="200" spans="8:37" x14ac:dyDescent="0.25">
      <c r="H200" s="123" t="s">
        <v>216</v>
      </c>
      <c r="I200" s="125">
        <f>I144/293.07*(1/(VLOOKUP($H200,'Fuel economy adjusted factor'!$A$2:$F$52,5,FALSE)*m2k))/'TCO Inputs'!$AZ$84</f>
        <v>64.968952827554205</v>
      </c>
      <c r="J200" s="125">
        <f>J144/293.07*(1/(VLOOKUP($H200,'Fuel economy adjusted factor'!$A$2:$F$52,5,FALSE)*m2k))/'TCO Inputs'!$AZ$84</f>
        <v>64.968952827554205</v>
      </c>
      <c r="K200" s="125">
        <f>K144/293.07*(1/(VLOOKUP($H200,'Fuel economy adjusted factor'!$A$2:$F$52,5,FALSE)*m2k))/'TCO Inputs'!$AZ$84</f>
        <v>57.080212599358177</v>
      </c>
      <c r="L200" s="125">
        <f>L144/293.07*(1/(VLOOKUP($H200,'Fuel economy adjusted factor'!$A$2:$F$52,5,FALSE)*m2k))/'TCO Inputs'!$AZ$84</f>
        <v>57.080212599358177</v>
      </c>
      <c r="M200" s="125">
        <f>M144/293.07*(1/(VLOOKUP($H200,'Fuel economy adjusted factor'!$A$2:$F$52,5,FALSE)*m2k))/'TCO Inputs'!$AZ$84</f>
        <v>57.080212599358177</v>
      </c>
      <c r="N200" s="125">
        <f>N144/293.07*(1/(VLOOKUP($H200,'Fuel economy adjusted factor'!$A$2:$F$52,5,FALSE)*m2k))/'TCO Inputs'!$AZ$84</f>
        <v>57.080212599358177</v>
      </c>
      <c r="O200" s="125">
        <f>O144/293.07*(1/(VLOOKUP($H200,'Fuel economy adjusted factor'!$A$2:$F$52,5,FALSE)*m2k))/'TCO Inputs'!$AZ$84</f>
        <v>57.080212599358177</v>
      </c>
      <c r="P200" s="125">
        <f>P144/293.07*(1/(VLOOKUP($H200,'Fuel economy adjusted factor'!$A$2:$F$52,5,FALSE)*m2k))/'TCO Inputs'!$AZ$84</f>
        <v>34.799878748461822</v>
      </c>
      <c r="Q200" s="125">
        <f>Q144/293.07*(1/(VLOOKUP($H200,'Fuel economy adjusted factor'!$A$2:$F$52,5,FALSE)*m2k))/'TCO Inputs'!$AZ$84</f>
        <v>34.799878748461822</v>
      </c>
      <c r="R200" s="125">
        <f>R144/293.07*(1/(VLOOKUP($H200,'Fuel economy adjusted factor'!$A$2:$F$52,5,FALSE)*m2k))/'TCO Inputs'!$AZ$84</f>
        <v>34.799878748461822</v>
      </c>
      <c r="S200" s="125">
        <f>S144/293.07*(1/(VLOOKUP($H200,'Fuel economy adjusted factor'!$A$2:$F$52,5,FALSE)*m2k))/'TCO Inputs'!$AZ$84</f>
        <v>34.799878748461822</v>
      </c>
      <c r="T200" s="125">
        <f>T144/293.07*(1/(VLOOKUP($H200,'Fuel economy adjusted factor'!$A$2:$F$52,5,FALSE)*m2k))/'TCO Inputs'!$AZ$84</f>
        <v>34.799878748461822</v>
      </c>
      <c r="U200" s="125">
        <f>U144/293.07*(1/(VLOOKUP($H200,'Fuel economy adjusted factor'!$A$2:$F$52,5,FALSE)*m2k))/'TCO Inputs'!$AZ$84</f>
        <v>31.190965346276187</v>
      </c>
      <c r="V200" s="125">
        <f>V144/293.07*(1/(VLOOKUP($H200,'Fuel economy adjusted factor'!$A$2:$F$52,5,FALSE)*m2k))/'TCO Inputs'!$AZ$84</f>
        <v>31.190965346276187</v>
      </c>
      <c r="W200" s="125">
        <f>W144/293.07*(1/(VLOOKUP($H200,'Fuel economy adjusted factor'!$A$2:$F$52,5,FALSE)*m2k))/'TCO Inputs'!$AZ$84</f>
        <v>31.190965346276187</v>
      </c>
      <c r="X200" s="125">
        <f>X144/293.07*(1/(VLOOKUP($H200,'Fuel economy adjusted factor'!$A$2:$F$52,5,FALSE)*m2k))/'TCO Inputs'!$AZ$84</f>
        <v>31.190965346276187</v>
      </c>
      <c r="Y200" s="125">
        <f>Y144/293.07*(1/(VLOOKUP($H200,'Fuel economy adjusted factor'!$A$2:$F$52,5,FALSE)*m2k))/'TCO Inputs'!$AZ$84</f>
        <v>31.190965346276187</v>
      </c>
      <c r="Z200" s="125">
        <f>Z144/293.07*(1/(VLOOKUP($H200,'Fuel economy adjusted factor'!$A$2:$F$52,5,FALSE)*m2k))/'TCO Inputs'!$AZ$84</f>
        <v>30.094973193475916</v>
      </c>
      <c r="AA200" s="125">
        <f>AA144/293.07*(1/(VLOOKUP($H200,'Fuel economy adjusted factor'!$A$2:$F$52,5,FALSE)*m2k))/'TCO Inputs'!$AZ$84</f>
        <v>30.094973193475916</v>
      </c>
      <c r="AB200" s="125">
        <f>AB144/293.07*(1/(VLOOKUP($H200,'Fuel economy adjusted factor'!$A$2:$F$52,5,FALSE)*m2k))/'TCO Inputs'!$AZ$84</f>
        <v>30.094973193475916</v>
      </c>
      <c r="AC200" s="125">
        <f>AC144/293.07*(1/(VLOOKUP($H200,'Fuel economy adjusted factor'!$A$2:$F$52,5,FALSE)*m2k))/'TCO Inputs'!$AZ$84</f>
        <v>30.094973193475916</v>
      </c>
      <c r="AD200" s="125">
        <f>AD144/293.07*(1/(VLOOKUP($H200,'Fuel economy adjusted factor'!$A$2:$F$52,5,FALSE)*m2k))/'TCO Inputs'!$AZ$84</f>
        <v>30.094973193475916</v>
      </c>
      <c r="AE200" s="125">
        <f>AE144/293.07*(1/(VLOOKUP($H200,'Fuel economy adjusted factor'!$A$2:$F$52,5,FALSE)*m2k))/'TCO Inputs'!$AZ$84</f>
        <v>28.916368566846479</v>
      </c>
      <c r="AF200" s="125">
        <f>AF144/293.07*(1/(VLOOKUP($H200,'Fuel economy adjusted factor'!$A$2:$F$52,5,FALSE)*m2k))/'TCO Inputs'!$AZ$84</f>
        <v>28.916368566846479</v>
      </c>
      <c r="AG200" s="125">
        <f>AG144/293.07*(1/(VLOOKUP($H200,'Fuel economy adjusted factor'!$A$2:$F$52,5,FALSE)*m2k))/'TCO Inputs'!$AZ$84</f>
        <v>28.916368566846479</v>
      </c>
      <c r="AH200" s="125">
        <f>AH144/293.07*(1/(VLOOKUP($H200,'Fuel economy adjusted factor'!$A$2:$F$52,5,FALSE)*m2k))/'TCO Inputs'!$AZ$84</f>
        <v>28.916368566846479</v>
      </c>
      <c r="AI200" s="125">
        <f>AI144/293.07*(1/(VLOOKUP($H200,'Fuel economy adjusted factor'!$A$2:$F$52,5,FALSE)*m2k))/'TCO Inputs'!$AZ$84</f>
        <v>28.916368566846479</v>
      </c>
      <c r="AJ200" s="125">
        <f>AJ144/293.07*(1/(VLOOKUP($H200,'Fuel economy adjusted factor'!$A$2:$F$52,5,FALSE)*m2k))/'TCO Inputs'!$AZ$84</f>
        <v>27.099895505923957</v>
      </c>
      <c r="AK200" s="98" cm="1">
        <f t="array" ref="AK200">SUMPRODUCT(INDEX(I200:AJ200,,'TCO Inputs'!$AZ$12-2023+_xlfn.SEQUENCE('TCO Inputs'!$AZ$13)),INDEX(INDEX('VKT US'!$C$63:$AA$113,MATCH(H200,$H$169:$H$219,0),0),,_xlfn.SEQUENCE('TCO Inputs'!$AZ$13)))*m2k*CONVERT(0.9072,"g","ton")</f>
        <v>10.308194481996033</v>
      </c>
    </row>
    <row r="201" spans="8:37" x14ac:dyDescent="0.25">
      <c r="H201" s="123" t="s">
        <v>209</v>
      </c>
      <c r="I201" s="125">
        <f>I145/293.07*(1/(VLOOKUP($H201,'Fuel economy adjusted factor'!$A$2:$F$52,5,FALSE)*m2k))/'TCO Inputs'!$AZ$84</f>
        <v>77.830888261679249</v>
      </c>
      <c r="J201" s="125">
        <f>J145/293.07*(1/(VLOOKUP($H201,'Fuel economy adjusted factor'!$A$2:$F$52,5,FALSE)*m2k))/'TCO Inputs'!$AZ$84</f>
        <v>77.830888261679249</v>
      </c>
      <c r="K201" s="125">
        <f>K145/293.07*(1/(VLOOKUP($H201,'Fuel economy adjusted factor'!$A$2:$F$52,5,FALSE)*m2k))/'TCO Inputs'!$AZ$84</f>
        <v>68.380410264044997</v>
      </c>
      <c r="L201" s="125">
        <f>L145/293.07*(1/(VLOOKUP($H201,'Fuel economy adjusted factor'!$A$2:$F$52,5,FALSE)*m2k))/'TCO Inputs'!$AZ$84</f>
        <v>68.380410264044997</v>
      </c>
      <c r="M201" s="125">
        <f>M145/293.07*(1/(VLOOKUP($H201,'Fuel economy adjusted factor'!$A$2:$F$52,5,FALSE)*m2k))/'TCO Inputs'!$AZ$84</f>
        <v>68.380410264044997</v>
      </c>
      <c r="N201" s="125">
        <f>N145/293.07*(1/(VLOOKUP($H201,'Fuel economy adjusted factor'!$A$2:$F$52,5,FALSE)*m2k))/'TCO Inputs'!$AZ$84</f>
        <v>68.380410264044997</v>
      </c>
      <c r="O201" s="125">
        <f>O145/293.07*(1/(VLOOKUP($H201,'Fuel economy adjusted factor'!$A$2:$F$52,5,FALSE)*m2k))/'TCO Inputs'!$AZ$84</f>
        <v>68.380410264044997</v>
      </c>
      <c r="P201" s="125">
        <f>P145/293.07*(1/(VLOOKUP($H201,'Fuel economy adjusted factor'!$A$2:$F$52,5,FALSE)*m2k))/'TCO Inputs'!$AZ$84</f>
        <v>41.689227800556544</v>
      </c>
      <c r="Q201" s="125">
        <f>Q145/293.07*(1/(VLOOKUP($H201,'Fuel economy adjusted factor'!$A$2:$F$52,5,FALSE)*m2k))/'TCO Inputs'!$AZ$84</f>
        <v>41.689227800556544</v>
      </c>
      <c r="R201" s="125">
        <f>R145/293.07*(1/(VLOOKUP($H201,'Fuel economy adjusted factor'!$A$2:$F$52,5,FALSE)*m2k))/'TCO Inputs'!$AZ$84</f>
        <v>41.689227800556544</v>
      </c>
      <c r="S201" s="125">
        <f>S145/293.07*(1/(VLOOKUP($H201,'Fuel economy adjusted factor'!$A$2:$F$52,5,FALSE)*m2k))/'TCO Inputs'!$AZ$84</f>
        <v>41.689227800556544</v>
      </c>
      <c r="T201" s="125">
        <f>T145/293.07*(1/(VLOOKUP($H201,'Fuel economy adjusted factor'!$A$2:$F$52,5,FALSE)*m2k))/'TCO Inputs'!$AZ$84</f>
        <v>41.689227800556544</v>
      </c>
      <c r="U201" s="125">
        <f>U145/293.07*(1/(VLOOKUP($H201,'Fuel economy adjusted factor'!$A$2:$F$52,5,FALSE)*m2k))/'TCO Inputs'!$AZ$84</f>
        <v>37.36585604332452</v>
      </c>
      <c r="V201" s="125">
        <f>V145/293.07*(1/(VLOOKUP($H201,'Fuel economy adjusted factor'!$A$2:$F$52,5,FALSE)*m2k))/'TCO Inputs'!$AZ$84</f>
        <v>37.36585604332452</v>
      </c>
      <c r="W201" s="125">
        <f>W145/293.07*(1/(VLOOKUP($H201,'Fuel economy adjusted factor'!$A$2:$F$52,5,FALSE)*m2k))/'TCO Inputs'!$AZ$84</f>
        <v>37.36585604332452</v>
      </c>
      <c r="X201" s="125">
        <f>X145/293.07*(1/(VLOOKUP($H201,'Fuel economy adjusted factor'!$A$2:$F$52,5,FALSE)*m2k))/'TCO Inputs'!$AZ$84</f>
        <v>37.36585604332452</v>
      </c>
      <c r="Y201" s="125">
        <f>Y145/293.07*(1/(VLOOKUP($H201,'Fuel economy adjusted factor'!$A$2:$F$52,5,FALSE)*m2k))/'TCO Inputs'!$AZ$84</f>
        <v>37.36585604332452</v>
      </c>
      <c r="Z201" s="125">
        <f>Z145/293.07*(1/(VLOOKUP($H201,'Fuel economy adjusted factor'!$A$2:$F$52,5,FALSE)*m2k))/'TCO Inputs'!$AZ$84</f>
        <v>36.052889786862124</v>
      </c>
      <c r="AA201" s="125">
        <f>AA145/293.07*(1/(VLOOKUP($H201,'Fuel economy adjusted factor'!$A$2:$F$52,5,FALSE)*m2k))/'TCO Inputs'!$AZ$84</f>
        <v>36.052889786862124</v>
      </c>
      <c r="AB201" s="125">
        <f>AB145/293.07*(1/(VLOOKUP($H201,'Fuel economy adjusted factor'!$A$2:$F$52,5,FALSE)*m2k))/'TCO Inputs'!$AZ$84</f>
        <v>36.052889786862124</v>
      </c>
      <c r="AC201" s="125">
        <f>AC145/293.07*(1/(VLOOKUP($H201,'Fuel economy adjusted factor'!$A$2:$F$52,5,FALSE)*m2k))/'TCO Inputs'!$AZ$84</f>
        <v>36.052889786862124</v>
      </c>
      <c r="AD201" s="125">
        <f>AD145/293.07*(1/(VLOOKUP($H201,'Fuel economy adjusted factor'!$A$2:$F$52,5,FALSE)*m2k))/'TCO Inputs'!$AZ$84</f>
        <v>36.052889786862124</v>
      </c>
      <c r="AE201" s="125">
        <f>AE145/293.07*(1/(VLOOKUP($H201,'Fuel economy adjusted factor'!$A$2:$F$52,5,FALSE)*m2k))/'TCO Inputs'!$AZ$84</f>
        <v>34.640956224636241</v>
      </c>
      <c r="AF201" s="125">
        <f>AF145/293.07*(1/(VLOOKUP($H201,'Fuel economy adjusted factor'!$A$2:$F$52,5,FALSE)*m2k))/'TCO Inputs'!$AZ$84</f>
        <v>34.640956224636241</v>
      </c>
      <c r="AG201" s="125">
        <f>AG145/293.07*(1/(VLOOKUP($H201,'Fuel economy adjusted factor'!$A$2:$F$52,5,FALSE)*m2k))/'TCO Inputs'!$AZ$84</f>
        <v>34.640956224636241</v>
      </c>
      <c r="AH201" s="125">
        <f>AH145/293.07*(1/(VLOOKUP($H201,'Fuel economy adjusted factor'!$A$2:$F$52,5,FALSE)*m2k))/'TCO Inputs'!$AZ$84</f>
        <v>34.640956224636241</v>
      </c>
      <c r="AI201" s="125">
        <f>AI145/293.07*(1/(VLOOKUP($H201,'Fuel economy adjusted factor'!$A$2:$F$52,5,FALSE)*m2k))/'TCO Inputs'!$AZ$84</f>
        <v>34.640956224636241</v>
      </c>
      <c r="AJ201" s="125">
        <f>AJ145/293.07*(1/(VLOOKUP($H201,'Fuel economy adjusted factor'!$A$2:$F$52,5,FALSE)*m2k))/'TCO Inputs'!$AZ$84</f>
        <v>32.464875101545545</v>
      </c>
      <c r="AK201" s="98" cm="1">
        <f t="array" ref="AK201">SUMPRODUCT(INDEX(I201:AJ201,,'TCO Inputs'!$AZ$12-2023+_xlfn.SEQUENCE('TCO Inputs'!$AZ$13)),INDEX(INDEX('VKT US'!$C$63:$AA$113,MATCH(H201,$H$169:$H$219,0),0),,_xlfn.SEQUENCE('TCO Inputs'!$AZ$13)))*m2k*CONVERT(0.9072,"g","ton")</f>
        <v>19.522383728570187</v>
      </c>
    </row>
    <row r="202" spans="8:37" x14ac:dyDescent="0.25">
      <c r="H202" s="123" t="s">
        <v>210</v>
      </c>
      <c r="I202" s="125">
        <f>I146/293.07*(1/(VLOOKUP($H202,'Fuel economy adjusted factor'!$A$2:$F$52,5,FALSE)*m2k))/'TCO Inputs'!$AZ$84</f>
        <v>169.20719067176509</v>
      </c>
      <c r="J202" s="125">
        <f>J146/293.07*(1/(VLOOKUP($H202,'Fuel economy adjusted factor'!$A$2:$F$52,5,FALSE)*m2k))/'TCO Inputs'!$AZ$84</f>
        <v>169.20719067176509</v>
      </c>
      <c r="K202" s="125">
        <f>K146/293.07*(1/(VLOOKUP($H202,'Fuel economy adjusted factor'!$A$2:$F$52,5,FALSE)*m2k))/'TCO Inputs'!$AZ$84</f>
        <v>148.66150671260684</v>
      </c>
      <c r="L202" s="125">
        <f>L146/293.07*(1/(VLOOKUP($H202,'Fuel economy adjusted factor'!$A$2:$F$52,5,FALSE)*m2k))/'TCO Inputs'!$AZ$84</f>
        <v>148.66150671260684</v>
      </c>
      <c r="M202" s="125">
        <f>M146/293.07*(1/(VLOOKUP($H202,'Fuel economy adjusted factor'!$A$2:$F$52,5,FALSE)*m2k))/'TCO Inputs'!$AZ$84</f>
        <v>148.66150671260684</v>
      </c>
      <c r="N202" s="125">
        <f>N146/293.07*(1/(VLOOKUP($H202,'Fuel economy adjusted factor'!$A$2:$F$52,5,FALSE)*m2k))/'TCO Inputs'!$AZ$84</f>
        <v>148.66150671260684</v>
      </c>
      <c r="O202" s="125">
        <f>O146/293.07*(1/(VLOOKUP($H202,'Fuel economy adjusted factor'!$A$2:$F$52,5,FALSE)*m2k))/'TCO Inputs'!$AZ$84</f>
        <v>148.66150671260684</v>
      </c>
      <c r="P202" s="125">
        <f>P146/293.07*(1/(VLOOKUP($H202,'Fuel economy adjusted factor'!$A$2:$F$52,5,FALSE)*m2k))/'TCO Inputs'!$AZ$84</f>
        <v>90.633902232882249</v>
      </c>
      <c r="Q202" s="125">
        <f>Q146/293.07*(1/(VLOOKUP($H202,'Fuel economy adjusted factor'!$A$2:$F$52,5,FALSE)*m2k))/'TCO Inputs'!$AZ$84</f>
        <v>90.633902232882249</v>
      </c>
      <c r="R202" s="125">
        <f>R146/293.07*(1/(VLOOKUP($H202,'Fuel economy adjusted factor'!$A$2:$F$52,5,FALSE)*m2k))/'TCO Inputs'!$AZ$84</f>
        <v>90.633902232882249</v>
      </c>
      <c r="S202" s="125">
        <f>S146/293.07*(1/(VLOOKUP($H202,'Fuel economy adjusted factor'!$A$2:$F$52,5,FALSE)*m2k))/'TCO Inputs'!$AZ$84</f>
        <v>90.633902232882249</v>
      </c>
      <c r="T202" s="125">
        <f>T146/293.07*(1/(VLOOKUP($H202,'Fuel economy adjusted factor'!$A$2:$F$52,5,FALSE)*m2k))/'TCO Inputs'!$AZ$84</f>
        <v>90.633902232882249</v>
      </c>
      <c r="U202" s="125">
        <f>U146/293.07*(1/(VLOOKUP($H202,'Fuel economy adjusted factor'!$A$2:$F$52,5,FALSE)*m2k))/'TCO Inputs'!$AZ$84</f>
        <v>81.234734298278767</v>
      </c>
      <c r="V202" s="125">
        <f>V146/293.07*(1/(VLOOKUP($H202,'Fuel economy adjusted factor'!$A$2:$F$52,5,FALSE)*m2k))/'TCO Inputs'!$AZ$84</f>
        <v>81.234734298278767</v>
      </c>
      <c r="W202" s="125">
        <f>W146/293.07*(1/(VLOOKUP($H202,'Fuel economy adjusted factor'!$A$2:$F$52,5,FALSE)*m2k))/'TCO Inputs'!$AZ$84</f>
        <v>81.234734298278767</v>
      </c>
      <c r="X202" s="125">
        <f>X146/293.07*(1/(VLOOKUP($H202,'Fuel economy adjusted factor'!$A$2:$F$52,5,FALSE)*m2k))/'TCO Inputs'!$AZ$84</f>
        <v>81.234734298278767</v>
      </c>
      <c r="Y202" s="125">
        <f>Y146/293.07*(1/(VLOOKUP($H202,'Fuel economy adjusted factor'!$A$2:$F$52,5,FALSE)*m2k))/'TCO Inputs'!$AZ$84</f>
        <v>81.234734298278767</v>
      </c>
      <c r="Z202" s="125">
        <f>Z146/293.07*(1/(VLOOKUP($H202,'Fuel economy adjusted factor'!$A$2:$F$52,5,FALSE)*m2k))/'TCO Inputs'!$AZ$84</f>
        <v>78.380297754321063</v>
      </c>
      <c r="AA202" s="125">
        <f>AA146/293.07*(1/(VLOOKUP($H202,'Fuel economy adjusted factor'!$A$2:$F$52,5,FALSE)*m2k))/'TCO Inputs'!$AZ$84</f>
        <v>78.380297754321063</v>
      </c>
      <c r="AB202" s="125">
        <f>AB146/293.07*(1/(VLOOKUP($H202,'Fuel economy adjusted factor'!$A$2:$F$52,5,FALSE)*m2k))/'TCO Inputs'!$AZ$84</f>
        <v>78.380297754321063</v>
      </c>
      <c r="AC202" s="125">
        <f>AC146/293.07*(1/(VLOOKUP($H202,'Fuel economy adjusted factor'!$A$2:$F$52,5,FALSE)*m2k))/'TCO Inputs'!$AZ$84</f>
        <v>78.380297754321063</v>
      </c>
      <c r="AD202" s="125">
        <f>AD146/293.07*(1/(VLOOKUP($H202,'Fuel economy adjusted factor'!$A$2:$F$52,5,FALSE)*m2k))/'TCO Inputs'!$AZ$84</f>
        <v>78.380297754321063</v>
      </c>
      <c r="AE202" s="125">
        <f>AE146/293.07*(1/(VLOOKUP($H202,'Fuel economy adjusted factor'!$A$2:$F$52,5,FALSE)*m2k))/'TCO Inputs'!$AZ$84</f>
        <v>75.310702676899254</v>
      </c>
      <c r="AF202" s="125">
        <f>AF146/293.07*(1/(VLOOKUP($H202,'Fuel economy adjusted factor'!$A$2:$F$52,5,FALSE)*m2k))/'TCO Inputs'!$AZ$84</f>
        <v>75.310702676899254</v>
      </c>
      <c r="AG202" s="125">
        <f>AG146/293.07*(1/(VLOOKUP($H202,'Fuel economy adjusted factor'!$A$2:$F$52,5,FALSE)*m2k))/'TCO Inputs'!$AZ$84</f>
        <v>75.310702676899254</v>
      </c>
      <c r="AH202" s="125">
        <f>AH146/293.07*(1/(VLOOKUP($H202,'Fuel economy adjusted factor'!$A$2:$F$52,5,FALSE)*m2k))/'TCO Inputs'!$AZ$84</f>
        <v>75.310702676899254</v>
      </c>
      <c r="AI202" s="125">
        <f>AI146/293.07*(1/(VLOOKUP($H202,'Fuel economy adjusted factor'!$A$2:$F$52,5,FALSE)*m2k))/'TCO Inputs'!$AZ$84</f>
        <v>75.310702676899254</v>
      </c>
      <c r="AJ202" s="125">
        <f>AJ146/293.07*(1/(VLOOKUP($H202,'Fuel economy adjusted factor'!$A$2:$F$52,5,FALSE)*m2k))/'TCO Inputs'!$AZ$84</f>
        <v>70.579822922911802</v>
      </c>
      <c r="AK202" s="98" cm="1">
        <f t="array" ref="AK202">SUMPRODUCT(INDEX(I202:AJ202,,'TCO Inputs'!$AZ$12-2023+_xlfn.SEQUENCE('TCO Inputs'!$AZ$13)),INDEX(INDEX('VKT US'!$C$63:$AA$113,MATCH(H202,$H$169:$H$219,0),0),,_xlfn.SEQUENCE('TCO Inputs'!$AZ$13)))*m2k*CONVERT(0.9072,"g","ton")</f>
        <v>46.662054344847796</v>
      </c>
    </row>
    <row r="203" spans="8:37" x14ac:dyDescent="0.25">
      <c r="H203" s="123" t="s">
        <v>217</v>
      </c>
      <c r="I203" s="125">
        <f>I147/293.07*(1/(VLOOKUP($H203,'Fuel economy adjusted factor'!$A$2:$F$52,5,FALSE)*m2k))/'TCO Inputs'!$AZ$84</f>
        <v>141.11714265231214</v>
      </c>
      <c r="J203" s="125">
        <f>J147/293.07*(1/(VLOOKUP($H203,'Fuel economy adjusted factor'!$A$2:$F$52,5,FALSE)*m2k))/'TCO Inputs'!$AZ$84</f>
        <v>141.11714265231214</v>
      </c>
      <c r="K203" s="125">
        <f>K147/293.07*(1/(VLOOKUP($H203,'Fuel economy adjusted factor'!$A$2:$F$52,5,FALSE)*m2k))/'TCO Inputs'!$AZ$84</f>
        <v>123.98224310907625</v>
      </c>
      <c r="L203" s="125">
        <f>L147/293.07*(1/(VLOOKUP($H203,'Fuel economy adjusted factor'!$A$2:$F$52,5,FALSE)*m2k))/'TCO Inputs'!$AZ$84</f>
        <v>123.98224310907625</v>
      </c>
      <c r="M203" s="125">
        <f>M147/293.07*(1/(VLOOKUP($H203,'Fuel economy adjusted factor'!$A$2:$F$52,5,FALSE)*m2k))/'TCO Inputs'!$AZ$84</f>
        <v>123.98224310907625</v>
      </c>
      <c r="N203" s="125">
        <f>N147/293.07*(1/(VLOOKUP($H203,'Fuel economy adjusted factor'!$A$2:$F$52,5,FALSE)*m2k))/'TCO Inputs'!$AZ$84</f>
        <v>123.98224310907625</v>
      </c>
      <c r="O203" s="125">
        <f>O147/293.07*(1/(VLOOKUP($H203,'Fuel economy adjusted factor'!$A$2:$F$52,5,FALSE)*m2k))/'TCO Inputs'!$AZ$84</f>
        <v>123.98224310907625</v>
      </c>
      <c r="P203" s="125">
        <f>P147/293.07*(1/(VLOOKUP($H203,'Fuel economy adjusted factor'!$A$2:$F$52,5,FALSE)*m2k))/'TCO Inputs'!$AZ$84</f>
        <v>75.587788318901332</v>
      </c>
      <c r="Q203" s="125">
        <f>Q147/293.07*(1/(VLOOKUP($H203,'Fuel economy adjusted factor'!$A$2:$F$52,5,FALSE)*m2k))/'TCO Inputs'!$AZ$84</f>
        <v>75.587788318901332</v>
      </c>
      <c r="R203" s="125">
        <f>R147/293.07*(1/(VLOOKUP($H203,'Fuel economy adjusted factor'!$A$2:$F$52,5,FALSE)*m2k))/'TCO Inputs'!$AZ$84</f>
        <v>75.587788318901332</v>
      </c>
      <c r="S203" s="125">
        <f>S147/293.07*(1/(VLOOKUP($H203,'Fuel economy adjusted factor'!$A$2:$F$52,5,FALSE)*m2k))/'TCO Inputs'!$AZ$84</f>
        <v>75.587788318901332</v>
      </c>
      <c r="T203" s="125">
        <f>T147/293.07*(1/(VLOOKUP($H203,'Fuel economy adjusted factor'!$A$2:$F$52,5,FALSE)*m2k))/'TCO Inputs'!$AZ$84</f>
        <v>75.587788318901332</v>
      </c>
      <c r="U203" s="125">
        <f>U147/293.07*(1/(VLOOKUP($H203,'Fuel economy adjusted factor'!$A$2:$F$52,5,FALSE)*m2k))/'TCO Inputs'!$AZ$84</f>
        <v>67.748974158730974</v>
      </c>
      <c r="V203" s="125">
        <f>V147/293.07*(1/(VLOOKUP($H203,'Fuel economy adjusted factor'!$A$2:$F$52,5,FALSE)*m2k))/'TCO Inputs'!$AZ$84</f>
        <v>67.748974158730974</v>
      </c>
      <c r="W203" s="125">
        <f>W147/293.07*(1/(VLOOKUP($H203,'Fuel economy adjusted factor'!$A$2:$F$52,5,FALSE)*m2k))/'TCO Inputs'!$AZ$84</f>
        <v>67.748974158730974</v>
      </c>
      <c r="X203" s="125">
        <f>X147/293.07*(1/(VLOOKUP($H203,'Fuel economy adjusted factor'!$A$2:$F$52,5,FALSE)*m2k))/'TCO Inputs'!$AZ$84</f>
        <v>67.748974158730974</v>
      </c>
      <c r="Y203" s="125">
        <f>Y147/293.07*(1/(VLOOKUP($H203,'Fuel economy adjusted factor'!$A$2:$F$52,5,FALSE)*m2k))/'TCO Inputs'!$AZ$84</f>
        <v>67.748974158730974</v>
      </c>
      <c r="Z203" s="125">
        <f>Z147/293.07*(1/(VLOOKUP($H203,'Fuel economy adjusted factor'!$A$2:$F$52,5,FALSE)*m2k))/'TCO Inputs'!$AZ$84</f>
        <v>65.36840198938954</v>
      </c>
      <c r="AA203" s="125">
        <f>AA147/293.07*(1/(VLOOKUP($H203,'Fuel economy adjusted factor'!$A$2:$F$52,5,FALSE)*m2k))/'TCO Inputs'!$AZ$84</f>
        <v>65.36840198938954</v>
      </c>
      <c r="AB203" s="125">
        <f>AB147/293.07*(1/(VLOOKUP($H203,'Fuel economy adjusted factor'!$A$2:$F$52,5,FALSE)*m2k))/'TCO Inputs'!$AZ$84</f>
        <v>65.36840198938954</v>
      </c>
      <c r="AC203" s="125">
        <f>AC147/293.07*(1/(VLOOKUP($H203,'Fuel economy adjusted factor'!$A$2:$F$52,5,FALSE)*m2k))/'TCO Inputs'!$AZ$84</f>
        <v>65.36840198938954</v>
      </c>
      <c r="AD203" s="125">
        <f>AD147/293.07*(1/(VLOOKUP($H203,'Fuel economy adjusted factor'!$A$2:$F$52,5,FALSE)*m2k))/'TCO Inputs'!$AZ$84</f>
        <v>65.36840198938954</v>
      </c>
      <c r="AE203" s="125">
        <f>AE147/293.07*(1/(VLOOKUP($H203,'Fuel economy adjusted factor'!$A$2:$F$52,5,FALSE)*m2k))/'TCO Inputs'!$AZ$84</f>
        <v>62.808389706781192</v>
      </c>
      <c r="AF203" s="125">
        <f>AF147/293.07*(1/(VLOOKUP($H203,'Fuel economy adjusted factor'!$A$2:$F$52,5,FALSE)*m2k))/'TCO Inputs'!$AZ$84</f>
        <v>62.808389706781192</v>
      </c>
      <c r="AG203" s="125">
        <f>AG147/293.07*(1/(VLOOKUP($H203,'Fuel economy adjusted factor'!$A$2:$F$52,5,FALSE)*m2k))/'TCO Inputs'!$AZ$84</f>
        <v>62.808389706781192</v>
      </c>
      <c r="AH203" s="125">
        <f>AH147/293.07*(1/(VLOOKUP($H203,'Fuel economy adjusted factor'!$A$2:$F$52,5,FALSE)*m2k))/'TCO Inputs'!$AZ$84</f>
        <v>62.808389706781192</v>
      </c>
      <c r="AI203" s="125">
        <f>AI147/293.07*(1/(VLOOKUP($H203,'Fuel economy adjusted factor'!$A$2:$F$52,5,FALSE)*m2k))/'TCO Inputs'!$AZ$84</f>
        <v>62.808389706781192</v>
      </c>
      <c r="AJ203" s="125">
        <f>AJ147/293.07*(1/(VLOOKUP($H203,'Fuel economy adjusted factor'!$A$2:$F$52,5,FALSE)*m2k))/'TCO Inputs'!$AZ$84</f>
        <v>58.862882246584469</v>
      </c>
      <c r="AK203" s="98" cm="1">
        <f t="array" ref="AK203">SUMPRODUCT(INDEX(I203:AJ203,,'TCO Inputs'!$AZ$12-2023+_xlfn.SEQUENCE('TCO Inputs'!$AZ$13)),INDEX(INDEX('VKT US'!$C$63:$AA$113,MATCH(H203,$H$169:$H$219,0),0),,_xlfn.SEQUENCE('TCO Inputs'!$AZ$13)))*m2k*CONVERT(0.9072,"g","ton")</f>
        <v>31.443513281810237</v>
      </c>
    </row>
    <row r="204" spans="8:37" x14ac:dyDescent="0.25">
      <c r="H204" s="123" t="s">
        <v>218</v>
      </c>
      <c r="I204" s="125">
        <f>I148/293.07*(1/(VLOOKUP($H204,'Fuel economy adjusted factor'!$A$2:$F$52,5,FALSE)*m2k))/'TCO Inputs'!$AZ$84</f>
        <v>77.330469936443791</v>
      </c>
      <c r="J204" s="125">
        <f>J148/293.07*(1/(VLOOKUP($H204,'Fuel economy adjusted factor'!$A$2:$F$52,5,FALSE)*m2k))/'TCO Inputs'!$AZ$84</f>
        <v>77.330469936443791</v>
      </c>
      <c r="K204" s="125">
        <f>K148/293.07*(1/(VLOOKUP($H204,'Fuel economy adjusted factor'!$A$2:$F$52,5,FALSE)*m2k))/'TCO Inputs'!$AZ$84</f>
        <v>67.940754349182527</v>
      </c>
      <c r="L204" s="125">
        <f>L148/293.07*(1/(VLOOKUP($H204,'Fuel economy adjusted factor'!$A$2:$F$52,5,FALSE)*m2k))/'TCO Inputs'!$AZ$84</f>
        <v>67.940754349182527</v>
      </c>
      <c r="M204" s="125">
        <f>M148/293.07*(1/(VLOOKUP($H204,'Fuel economy adjusted factor'!$A$2:$F$52,5,FALSE)*m2k))/'TCO Inputs'!$AZ$84</f>
        <v>67.940754349182527</v>
      </c>
      <c r="N204" s="125">
        <f>N148/293.07*(1/(VLOOKUP($H204,'Fuel economy adjusted factor'!$A$2:$F$52,5,FALSE)*m2k))/'TCO Inputs'!$AZ$84</f>
        <v>67.940754349182527</v>
      </c>
      <c r="O204" s="125">
        <f>O148/293.07*(1/(VLOOKUP($H204,'Fuel economy adjusted factor'!$A$2:$F$52,5,FALSE)*m2k))/'TCO Inputs'!$AZ$84</f>
        <v>67.940754349182527</v>
      </c>
      <c r="P204" s="125">
        <f>P148/293.07*(1/(VLOOKUP($H204,'Fuel economy adjusted factor'!$A$2:$F$52,5,FALSE)*m2k))/'TCO Inputs'!$AZ$84</f>
        <v>41.421184430857686</v>
      </c>
      <c r="Q204" s="125">
        <f>Q148/293.07*(1/(VLOOKUP($H204,'Fuel economy adjusted factor'!$A$2:$F$52,5,FALSE)*m2k))/'TCO Inputs'!$AZ$84</f>
        <v>41.421184430857686</v>
      </c>
      <c r="R204" s="125">
        <f>R148/293.07*(1/(VLOOKUP($H204,'Fuel economy adjusted factor'!$A$2:$F$52,5,FALSE)*m2k))/'TCO Inputs'!$AZ$84</f>
        <v>41.421184430857686</v>
      </c>
      <c r="S204" s="125">
        <f>S148/293.07*(1/(VLOOKUP($H204,'Fuel economy adjusted factor'!$A$2:$F$52,5,FALSE)*m2k))/'TCO Inputs'!$AZ$84</f>
        <v>41.421184430857686</v>
      </c>
      <c r="T204" s="125">
        <f>T148/293.07*(1/(VLOOKUP($H204,'Fuel economy adjusted factor'!$A$2:$F$52,5,FALSE)*m2k))/'TCO Inputs'!$AZ$84</f>
        <v>41.421184430857686</v>
      </c>
      <c r="U204" s="125">
        <f>U148/293.07*(1/(VLOOKUP($H204,'Fuel economy adjusted factor'!$A$2:$F$52,5,FALSE)*m2k))/'TCO Inputs'!$AZ$84</f>
        <v>37.125610049480485</v>
      </c>
      <c r="V204" s="125">
        <f>V148/293.07*(1/(VLOOKUP($H204,'Fuel economy adjusted factor'!$A$2:$F$52,5,FALSE)*m2k))/'TCO Inputs'!$AZ$84</f>
        <v>37.125610049480485</v>
      </c>
      <c r="W204" s="125">
        <f>W148/293.07*(1/(VLOOKUP($H204,'Fuel economy adjusted factor'!$A$2:$F$52,5,FALSE)*m2k))/'TCO Inputs'!$AZ$84</f>
        <v>37.125610049480485</v>
      </c>
      <c r="X204" s="125">
        <f>X148/293.07*(1/(VLOOKUP($H204,'Fuel economy adjusted factor'!$A$2:$F$52,5,FALSE)*m2k))/'TCO Inputs'!$AZ$84</f>
        <v>37.125610049480485</v>
      </c>
      <c r="Y204" s="125">
        <f>Y148/293.07*(1/(VLOOKUP($H204,'Fuel economy adjusted factor'!$A$2:$F$52,5,FALSE)*m2k))/'TCO Inputs'!$AZ$84</f>
        <v>37.125610049480485</v>
      </c>
      <c r="Z204" s="125">
        <f>Z148/293.07*(1/(VLOOKUP($H204,'Fuel economy adjusted factor'!$A$2:$F$52,5,FALSE)*m2k))/'TCO Inputs'!$AZ$84</f>
        <v>35.821085587655475</v>
      </c>
      <c r="AA204" s="125">
        <f>AA148/293.07*(1/(VLOOKUP($H204,'Fuel economy adjusted factor'!$A$2:$F$52,5,FALSE)*m2k))/'TCO Inputs'!$AZ$84</f>
        <v>35.821085587655475</v>
      </c>
      <c r="AB204" s="125">
        <f>AB148/293.07*(1/(VLOOKUP($H204,'Fuel economy adjusted factor'!$A$2:$F$52,5,FALSE)*m2k))/'TCO Inputs'!$AZ$84</f>
        <v>35.821085587655475</v>
      </c>
      <c r="AC204" s="125">
        <f>AC148/293.07*(1/(VLOOKUP($H204,'Fuel economy adjusted factor'!$A$2:$F$52,5,FALSE)*m2k))/'TCO Inputs'!$AZ$84</f>
        <v>35.821085587655475</v>
      </c>
      <c r="AD204" s="125">
        <f>AD148/293.07*(1/(VLOOKUP($H204,'Fuel economy adjusted factor'!$A$2:$F$52,5,FALSE)*m2k))/'TCO Inputs'!$AZ$84</f>
        <v>35.821085587655475</v>
      </c>
      <c r="AE204" s="125">
        <f>AE148/293.07*(1/(VLOOKUP($H204,'Fuel economy adjusted factor'!$A$2:$F$52,5,FALSE)*m2k))/'TCO Inputs'!$AZ$84</f>
        <v>34.418230136245668</v>
      </c>
      <c r="AF204" s="125">
        <f>AF148/293.07*(1/(VLOOKUP($H204,'Fuel economy adjusted factor'!$A$2:$F$52,5,FALSE)*m2k))/'TCO Inputs'!$AZ$84</f>
        <v>34.418230136245668</v>
      </c>
      <c r="AG204" s="125">
        <f>AG148/293.07*(1/(VLOOKUP($H204,'Fuel economy adjusted factor'!$A$2:$F$52,5,FALSE)*m2k))/'TCO Inputs'!$AZ$84</f>
        <v>34.418230136245668</v>
      </c>
      <c r="AH204" s="125">
        <f>AH148/293.07*(1/(VLOOKUP($H204,'Fuel economy adjusted factor'!$A$2:$F$52,5,FALSE)*m2k))/'TCO Inputs'!$AZ$84</f>
        <v>34.418230136245668</v>
      </c>
      <c r="AI204" s="125">
        <f>AI148/293.07*(1/(VLOOKUP($H204,'Fuel economy adjusted factor'!$A$2:$F$52,5,FALSE)*m2k))/'TCO Inputs'!$AZ$84</f>
        <v>34.418230136245668</v>
      </c>
      <c r="AJ204" s="125">
        <f>AJ148/293.07*(1/(VLOOKUP($H204,'Fuel economy adjusted factor'!$A$2:$F$52,5,FALSE)*m2k))/'TCO Inputs'!$AZ$84</f>
        <v>32.256140256162915</v>
      </c>
      <c r="AK204" s="98" cm="1">
        <f t="array" ref="AK204">SUMPRODUCT(INDEX(I204:AJ204,,'TCO Inputs'!$AZ$12-2023+_xlfn.SEQUENCE('TCO Inputs'!$AZ$13)),INDEX(INDEX('VKT US'!$C$63:$AA$113,MATCH(H204,$H$169:$H$219,0),0),,_xlfn.SEQUENCE('TCO Inputs'!$AZ$13)))*m2k*CONVERT(0.9072,"g","ton")</f>
        <v>21.35911686298531</v>
      </c>
    </row>
    <row r="205" spans="8:37" x14ac:dyDescent="0.25">
      <c r="H205" s="123" t="s">
        <v>219</v>
      </c>
      <c r="I205" s="125">
        <f>I149/293.07*(1/(VLOOKUP($H205,'Fuel economy adjusted factor'!$A$2:$F$52,5,FALSE)*m2k))/'TCO Inputs'!$AZ$84</f>
        <v>51.61386005603849</v>
      </c>
      <c r="J205" s="125">
        <f>J149/293.07*(1/(VLOOKUP($H205,'Fuel economy adjusted factor'!$A$2:$F$52,5,FALSE)*m2k))/'TCO Inputs'!$AZ$84</f>
        <v>51.61386005603849</v>
      </c>
      <c r="K205" s="125">
        <f>K149/293.07*(1/(VLOOKUP($H205,'Fuel economy adjusted factor'!$A$2:$F$52,5,FALSE)*m2k))/'TCO Inputs'!$AZ$84</f>
        <v>45.34673835504249</v>
      </c>
      <c r="L205" s="125">
        <f>L149/293.07*(1/(VLOOKUP($H205,'Fuel economy adjusted factor'!$A$2:$F$52,5,FALSE)*m2k))/'TCO Inputs'!$AZ$84</f>
        <v>45.34673835504249</v>
      </c>
      <c r="M205" s="125">
        <f>M149/293.07*(1/(VLOOKUP($H205,'Fuel economy adjusted factor'!$A$2:$F$52,5,FALSE)*m2k))/'TCO Inputs'!$AZ$84</f>
        <v>45.34673835504249</v>
      </c>
      <c r="N205" s="125">
        <f>N149/293.07*(1/(VLOOKUP($H205,'Fuel economy adjusted factor'!$A$2:$F$52,5,FALSE)*m2k))/'TCO Inputs'!$AZ$84</f>
        <v>45.34673835504249</v>
      </c>
      <c r="O205" s="125">
        <f>O149/293.07*(1/(VLOOKUP($H205,'Fuel economy adjusted factor'!$A$2:$F$52,5,FALSE)*m2k))/'TCO Inputs'!$AZ$84</f>
        <v>45.34673835504249</v>
      </c>
      <c r="P205" s="125">
        <f>P149/293.07*(1/(VLOOKUP($H205,'Fuel economy adjusted factor'!$A$2:$F$52,5,FALSE)*m2k))/'TCO Inputs'!$AZ$84</f>
        <v>27.646375592011129</v>
      </c>
      <c r="Q205" s="125">
        <f>Q149/293.07*(1/(VLOOKUP($H205,'Fuel economy adjusted factor'!$A$2:$F$52,5,FALSE)*m2k))/'TCO Inputs'!$AZ$84</f>
        <v>27.646375592011129</v>
      </c>
      <c r="R205" s="125">
        <f>R149/293.07*(1/(VLOOKUP($H205,'Fuel economy adjusted factor'!$A$2:$F$52,5,FALSE)*m2k))/'TCO Inputs'!$AZ$84</f>
        <v>27.646375592011129</v>
      </c>
      <c r="S205" s="125">
        <f>S149/293.07*(1/(VLOOKUP($H205,'Fuel economy adjusted factor'!$A$2:$F$52,5,FALSE)*m2k))/'TCO Inputs'!$AZ$84</f>
        <v>27.646375592011129</v>
      </c>
      <c r="T205" s="125">
        <f>T149/293.07*(1/(VLOOKUP($H205,'Fuel economy adjusted factor'!$A$2:$F$52,5,FALSE)*m2k))/'TCO Inputs'!$AZ$84</f>
        <v>27.646375592011129</v>
      </c>
      <c r="U205" s="125">
        <f>U149/293.07*(1/(VLOOKUP($H205,'Fuel economy adjusted factor'!$A$2:$F$52,5,FALSE)*m2k))/'TCO Inputs'!$AZ$84</f>
        <v>24.779314585361014</v>
      </c>
      <c r="V205" s="125">
        <f>V149/293.07*(1/(VLOOKUP($H205,'Fuel economy adjusted factor'!$A$2:$F$52,5,FALSE)*m2k))/'TCO Inputs'!$AZ$84</f>
        <v>24.779314585361014</v>
      </c>
      <c r="W205" s="125">
        <f>W149/293.07*(1/(VLOOKUP($H205,'Fuel economy adjusted factor'!$A$2:$F$52,5,FALSE)*m2k))/'TCO Inputs'!$AZ$84</f>
        <v>24.779314585361014</v>
      </c>
      <c r="X205" s="125">
        <f>X149/293.07*(1/(VLOOKUP($H205,'Fuel economy adjusted factor'!$A$2:$F$52,5,FALSE)*m2k))/'TCO Inputs'!$AZ$84</f>
        <v>24.779314585361014</v>
      </c>
      <c r="Y205" s="125">
        <f>Y149/293.07*(1/(VLOOKUP($H205,'Fuel economy adjusted factor'!$A$2:$F$52,5,FALSE)*m2k))/'TCO Inputs'!$AZ$84</f>
        <v>24.779314585361014</v>
      </c>
      <c r="Z205" s="125">
        <f>Z149/293.07*(1/(VLOOKUP($H205,'Fuel economy adjusted factor'!$A$2:$F$52,5,FALSE)*m2k))/'TCO Inputs'!$AZ$84</f>
        <v>23.908615841804252</v>
      </c>
      <c r="AA205" s="125">
        <f>AA149/293.07*(1/(VLOOKUP($H205,'Fuel economy adjusted factor'!$A$2:$F$52,5,FALSE)*m2k))/'TCO Inputs'!$AZ$84</f>
        <v>23.908615841804252</v>
      </c>
      <c r="AB205" s="125">
        <f>AB149/293.07*(1/(VLOOKUP($H205,'Fuel economy adjusted factor'!$A$2:$F$52,5,FALSE)*m2k))/'TCO Inputs'!$AZ$84</f>
        <v>23.908615841804252</v>
      </c>
      <c r="AC205" s="125">
        <f>AC149/293.07*(1/(VLOOKUP($H205,'Fuel economy adjusted factor'!$A$2:$F$52,5,FALSE)*m2k))/'TCO Inputs'!$AZ$84</f>
        <v>23.908615841804252</v>
      </c>
      <c r="AD205" s="125">
        <f>AD149/293.07*(1/(VLOOKUP($H205,'Fuel economy adjusted factor'!$A$2:$F$52,5,FALSE)*m2k))/'TCO Inputs'!$AZ$84</f>
        <v>23.908615841804252</v>
      </c>
      <c r="AE205" s="125">
        <f>AE149/293.07*(1/(VLOOKUP($H205,'Fuel economy adjusted factor'!$A$2:$F$52,5,FALSE)*m2k))/'TCO Inputs'!$AZ$84</f>
        <v>22.972286539687943</v>
      </c>
      <c r="AF205" s="125">
        <f>AF149/293.07*(1/(VLOOKUP($H205,'Fuel economy adjusted factor'!$A$2:$F$52,5,FALSE)*m2k))/'TCO Inputs'!$AZ$84</f>
        <v>22.972286539687943</v>
      </c>
      <c r="AG205" s="125">
        <f>AG149/293.07*(1/(VLOOKUP($H205,'Fuel economy adjusted factor'!$A$2:$F$52,5,FALSE)*m2k))/'TCO Inputs'!$AZ$84</f>
        <v>22.972286539687943</v>
      </c>
      <c r="AH205" s="125">
        <f>AH149/293.07*(1/(VLOOKUP($H205,'Fuel economy adjusted factor'!$A$2:$F$52,5,FALSE)*m2k))/'TCO Inputs'!$AZ$84</f>
        <v>22.972286539687943</v>
      </c>
      <c r="AI205" s="125">
        <f>AI149/293.07*(1/(VLOOKUP($H205,'Fuel economy adjusted factor'!$A$2:$F$52,5,FALSE)*m2k))/'TCO Inputs'!$AZ$84</f>
        <v>22.972286539687943</v>
      </c>
      <c r="AJ205" s="125">
        <f>AJ149/293.07*(1/(VLOOKUP($H205,'Fuel economy adjusted factor'!$A$2:$F$52,5,FALSE)*m2k))/'TCO Inputs'!$AZ$84</f>
        <v>21.52920977329968</v>
      </c>
      <c r="AK205" s="98" cm="1">
        <f t="array" ref="AK205">SUMPRODUCT(INDEX(I205:AJ205,,'TCO Inputs'!$AZ$12-2023+_xlfn.SEQUENCE('TCO Inputs'!$AZ$13)),INDEX(INDEX('VKT US'!$C$63:$AA$113,MATCH(H205,$H$169:$H$219,0),0),,_xlfn.SEQUENCE('TCO Inputs'!$AZ$13)))*m2k*CONVERT(0.9072,"g","ton")</f>
        <v>9.8412524829641121</v>
      </c>
    </row>
    <row r="206" spans="8:37" x14ac:dyDescent="0.25">
      <c r="H206" s="123" t="s">
        <v>220</v>
      </c>
      <c r="I206" s="125">
        <f>I150/293.07*(1/(VLOOKUP($H206,'Fuel economy adjusted factor'!$A$2:$F$52,5,FALSE)*m2k))/'TCO Inputs'!$AZ$84</f>
        <v>89.606194507563885</v>
      </c>
      <c r="J206" s="125">
        <f>J150/293.07*(1/(VLOOKUP($H206,'Fuel economy adjusted factor'!$A$2:$F$52,5,FALSE)*m2k))/'TCO Inputs'!$AZ$84</f>
        <v>89.606194507563885</v>
      </c>
      <c r="K206" s="125">
        <f>K150/293.07*(1/(VLOOKUP($H206,'Fuel economy adjusted factor'!$A$2:$F$52,5,FALSE)*m2k))/'TCO Inputs'!$AZ$84</f>
        <v>78.725920768449839</v>
      </c>
      <c r="L206" s="125">
        <f>L150/293.07*(1/(VLOOKUP($H206,'Fuel economy adjusted factor'!$A$2:$F$52,5,FALSE)*m2k))/'TCO Inputs'!$AZ$84</f>
        <v>78.725920768449839</v>
      </c>
      <c r="M206" s="125">
        <f>M150/293.07*(1/(VLOOKUP($H206,'Fuel economy adjusted factor'!$A$2:$F$52,5,FALSE)*m2k))/'TCO Inputs'!$AZ$84</f>
        <v>78.725920768449839</v>
      </c>
      <c r="N206" s="125">
        <f>N150/293.07*(1/(VLOOKUP($H206,'Fuel economy adjusted factor'!$A$2:$F$52,5,FALSE)*m2k))/'TCO Inputs'!$AZ$84</f>
        <v>78.725920768449839</v>
      </c>
      <c r="O206" s="125">
        <f>O150/293.07*(1/(VLOOKUP($H206,'Fuel economy adjusted factor'!$A$2:$F$52,5,FALSE)*m2k))/'TCO Inputs'!$AZ$84</f>
        <v>78.725920768449839</v>
      </c>
      <c r="P206" s="125">
        <f>P150/293.07*(1/(VLOOKUP($H206,'Fuel economy adjusted factor'!$A$2:$F$52,5,FALSE)*m2k))/'TCO Inputs'!$AZ$84</f>
        <v>47.996536318679937</v>
      </c>
      <c r="Q206" s="125">
        <f>Q150/293.07*(1/(VLOOKUP($H206,'Fuel economy adjusted factor'!$A$2:$F$52,5,FALSE)*m2k))/'TCO Inputs'!$AZ$84</f>
        <v>47.996536318679937</v>
      </c>
      <c r="R206" s="125">
        <f>R150/293.07*(1/(VLOOKUP($H206,'Fuel economy adjusted factor'!$A$2:$F$52,5,FALSE)*m2k))/'TCO Inputs'!$AZ$84</f>
        <v>47.996536318679937</v>
      </c>
      <c r="S206" s="125">
        <f>S150/293.07*(1/(VLOOKUP($H206,'Fuel economy adjusted factor'!$A$2:$F$52,5,FALSE)*m2k))/'TCO Inputs'!$AZ$84</f>
        <v>47.996536318679937</v>
      </c>
      <c r="T206" s="125">
        <f>T150/293.07*(1/(VLOOKUP($H206,'Fuel economy adjusted factor'!$A$2:$F$52,5,FALSE)*m2k))/'TCO Inputs'!$AZ$84</f>
        <v>47.996536318679937</v>
      </c>
      <c r="U206" s="125">
        <f>U150/293.07*(1/(VLOOKUP($H206,'Fuel economy adjusted factor'!$A$2:$F$52,5,FALSE)*m2k))/'TCO Inputs'!$AZ$84</f>
        <v>43.019066585782376</v>
      </c>
      <c r="V206" s="125">
        <f>V150/293.07*(1/(VLOOKUP($H206,'Fuel economy adjusted factor'!$A$2:$F$52,5,FALSE)*m2k))/'TCO Inputs'!$AZ$84</f>
        <v>43.019066585782376</v>
      </c>
      <c r="W206" s="125">
        <f>W150/293.07*(1/(VLOOKUP($H206,'Fuel economy adjusted factor'!$A$2:$F$52,5,FALSE)*m2k))/'TCO Inputs'!$AZ$84</f>
        <v>43.019066585782376</v>
      </c>
      <c r="X206" s="125">
        <f>X150/293.07*(1/(VLOOKUP($H206,'Fuel economy adjusted factor'!$A$2:$F$52,5,FALSE)*m2k))/'TCO Inputs'!$AZ$84</f>
        <v>43.019066585782376</v>
      </c>
      <c r="Y206" s="125">
        <f>Y150/293.07*(1/(VLOOKUP($H206,'Fuel economy adjusted factor'!$A$2:$F$52,5,FALSE)*m2k))/'TCO Inputs'!$AZ$84</f>
        <v>43.019066585782376</v>
      </c>
      <c r="Z206" s="125">
        <f>Z150/293.07*(1/(VLOOKUP($H206,'Fuel economy adjusted factor'!$A$2:$F$52,5,FALSE)*m2k))/'TCO Inputs'!$AZ$84</f>
        <v>41.507457090039757</v>
      </c>
      <c r="AA206" s="125">
        <f>AA150/293.07*(1/(VLOOKUP($H206,'Fuel economy adjusted factor'!$A$2:$F$52,5,FALSE)*m2k))/'TCO Inputs'!$AZ$84</f>
        <v>41.507457090039757</v>
      </c>
      <c r="AB206" s="125">
        <f>AB150/293.07*(1/(VLOOKUP($H206,'Fuel economy adjusted factor'!$A$2:$F$52,5,FALSE)*m2k))/'TCO Inputs'!$AZ$84</f>
        <v>41.507457090039757</v>
      </c>
      <c r="AC206" s="125">
        <f>AC150/293.07*(1/(VLOOKUP($H206,'Fuel economy adjusted factor'!$A$2:$F$52,5,FALSE)*m2k))/'TCO Inputs'!$AZ$84</f>
        <v>41.507457090039757</v>
      </c>
      <c r="AD206" s="125">
        <f>AD150/293.07*(1/(VLOOKUP($H206,'Fuel economy adjusted factor'!$A$2:$F$52,5,FALSE)*m2k))/'TCO Inputs'!$AZ$84</f>
        <v>41.507457090039757</v>
      </c>
      <c r="AE206" s="125">
        <f>AE150/293.07*(1/(VLOOKUP($H206,'Fuel economy adjusted factor'!$A$2:$F$52,5,FALSE)*m2k))/'TCO Inputs'!$AZ$84</f>
        <v>39.881907180045189</v>
      </c>
      <c r="AF206" s="125">
        <f>AF150/293.07*(1/(VLOOKUP($H206,'Fuel economy adjusted factor'!$A$2:$F$52,5,FALSE)*m2k))/'TCO Inputs'!$AZ$84</f>
        <v>39.881907180045189</v>
      </c>
      <c r="AG206" s="125">
        <f>AG150/293.07*(1/(VLOOKUP($H206,'Fuel economy adjusted factor'!$A$2:$F$52,5,FALSE)*m2k))/'TCO Inputs'!$AZ$84</f>
        <v>39.881907180045189</v>
      </c>
      <c r="AH206" s="125">
        <f>AH150/293.07*(1/(VLOOKUP($H206,'Fuel economy adjusted factor'!$A$2:$F$52,5,FALSE)*m2k))/'TCO Inputs'!$AZ$84</f>
        <v>39.881907180045189</v>
      </c>
      <c r="AI206" s="125">
        <f>AI150/293.07*(1/(VLOOKUP($H206,'Fuel economy adjusted factor'!$A$2:$F$52,5,FALSE)*m2k))/'TCO Inputs'!$AZ$84</f>
        <v>39.881907180045189</v>
      </c>
      <c r="AJ206" s="125">
        <f>AJ150/293.07*(1/(VLOOKUP($H206,'Fuel economy adjusted factor'!$A$2:$F$52,5,FALSE)*m2k))/'TCO Inputs'!$AZ$84</f>
        <v>37.376599162432491</v>
      </c>
      <c r="AK206" s="98" cm="1">
        <f t="array" ref="AK206">SUMPRODUCT(INDEX(I206:AJ206,,'TCO Inputs'!$AZ$12-2023+_xlfn.SEQUENCE('TCO Inputs'!$AZ$13)),INDEX(INDEX('VKT US'!$C$63:$AA$113,MATCH(H206,$H$169:$H$219,0),0),,_xlfn.SEQUENCE('TCO Inputs'!$AZ$13)))*m2k*CONVERT(0.9072,"g","ton")</f>
        <v>16.004339073358356</v>
      </c>
    </row>
    <row r="207" spans="8:37" x14ac:dyDescent="0.25">
      <c r="H207" s="123" t="s">
        <v>221</v>
      </c>
      <c r="I207" s="125">
        <f>I151/293.07*(1/(VLOOKUP($H207,'Fuel economy adjusted factor'!$A$2:$F$52,5,FALSE)*m2k))/'TCO Inputs'!$AZ$84</f>
        <v>113.7002925399519</v>
      </c>
      <c r="J207" s="125">
        <f>J151/293.07*(1/(VLOOKUP($H207,'Fuel economy adjusted factor'!$A$2:$F$52,5,FALSE)*m2k))/'TCO Inputs'!$AZ$84</f>
        <v>113.7002925399519</v>
      </c>
      <c r="K207" s="125">
        <f>K151/293.07*(1/(VLOOKUP($H207,'Fuel economy adjusted factor'!$A$2:$F$52,5,FALSE)*m2k))/'TCO Inputs'!$AZ$84</f>
        <v>99.894435547022724</v>
      </c>
      <c r="L207" s="125">
        <f>L151/293.07*(1/(VLOOKUP($H207,'Fuel economy adjusted factor'!$A$2:$F$52,5,FALSE)*m2k))/'TCO Inputs'!$AZ$84</f>
        <v>99.894435547022724</v>
      </c>
      <c r="M207" s="125">
        <f>M151/293.07*(1/(VLOOKUP($H207,'Fuel economy adjusted factor'!$A$2:$F$52,5,FALSE)*m2k))/'TCO Inputs'!$AZ$84</f>
        <v>99.894435547022724</v>
      </c>
      <c r="N207" s="125">
        <f>N151/293.07*(1/(VLOOKUP($H207,'Fuel economy adjusted factor'!$A$2:$F$52,5,FALSE)*m2k))/'TCO Inputs'!$AZ$84</f>
        <v>99.894435547022724</v>
      </c>
      <c r="O207" s="125">
        <f>O151/293.07*(1/(VLOOKUP($H207,'Fuel economy adjusted factor'!$A$2:$F$52,5,FALSE)*m2k))/'TCO Inputs'!$AZ$84</f>
        <v>99.894435547022724</v>
      </c>
      <c r="P207" s="125">
        <f>P151/293.07*(1/(VLOOKUP($H207,'Fuel economy adjusted factor'!$A$2:$F$52,5,FALSE)*m2k))/'TCO Inputs'!$AZ$84</f>
        <v>60.902265187455079</v>
      </c>
      <c r="Q207" s="125">
        <f>Q151/293.07*(1/(VLOOKUP($H207,'Fuel economy adjusted factor'!$A$2:$F$52,5,FALSE)*m2k))/'TCO Inputs'!$AZ$84</f>
        <v>60.902265187455079</v>
      </c>
      <c r="R207" s="125">
        <f>R151/293.07*(1/(VLOOKUP($H207,'Fuel economy adjusted factor'!$A$2:$F$52,5,FALSE)*m2k))/'TCO Inputs'!$AZ$84</f>
        <v>60.902265187455079</v>
      </c>
      <c r="S207" s="125">
        <f>S151/293.07*(1/(VLOOKUP($H207,'Fuel economy adjusted factor'!$A$2:$F$52,5,FALSE)*m2k))/'TCO Inputs'!$AZ$84</f>
        <v>60.902265187455079</v>
      </c>
      <c r="T207" s="125">
        <f>T151/293.07*(1/(VLOOKUP($H207,'Fuel economy adjusted factor'!$A$2:$F$52,5,FALSE)*m2k))/'TCO Inputs'!$AZ$84</f>
        <v>60.902265187455079</v>
      </c>
      <c r="U207" s="125">
        <f>U151/293.07*(1/(VLOOKUP($H207,'Fuel economy adjusted factor'!$A$2:$F$52,5,FALSE)*m2k))/'TCO Inputs'!$AZ$84</f>
        <v>54.586409817752511</v>
      </c>
      <c r="V207" s="125">
        <f>V151/293.07*(1/(VLOOKUP($H207,'Fuel economy adjusted factor'!$A$2:$F$52,5,FALSE)*m2k))/'TCO Inputs'!$AZ$84</f>
        <v>54.586409817752511</v>
      </c>
      <c r="W207" s="125">
        <f>W151/293.07*(1/(VLOOKUP($H207,'Fuel economy adjusted factor'!$A$2:$F$52,5,FALSE)*m2k))/'TCO Inputs'!$AZ$84</f>
        <v>54.586409817752511</v>
      </c>
      <c r="X207" s="125">
        <f>X151/293.07*(1/(VLOOKUP($H207,'Fuel economy adjusted factor'!$A$2:$F$52,5,FALSE)*m2k))/'TCO Inputs'!$AZ$84</f>
        <v>54.586409817752511</v>
      </c>
      <c r="Y207" s="125">
        <f>Y151/293.07*(1/(VLOOKUP($H207,'Fuel economy adjusted factor'!$A$2:$F$52,5,FALSE)*m2k))/'TCO Inputs'!$AZ$84</f>
        <v>54.586409817752511</v>
      </c>
      <c r="Z207" s="125">
        <f>Z151/293.07*(1/(VLOOKUP($H207,'Fuel economy adjusted factor'!$A$2:$F$52,5,FALSE)*m2k))/'TCO Inputs'!$AZ$84</f>
        <v>52.668345527480746</v>
      </c>
      <c r="AA207" s="125">
        <f>AA151/293.07*(1/(VLOOKUP($H207,'Fuel economy adjusted factor'!$A$2:$F$52,5,FALSE)*m2k))/'TCO Inputs'!$AZ$84</f>
        <v>52.668345527480746</v>
      </c>
      <c r="AB207" s="125">
        <f>AB151/293.07*(1/(VLOOKUP($H207,'Fuel economy adjusted factor'!$A$2:$F$52,5,FALSE)*m2k))/'TCO Inputs'!$AZ$84</f>
        <v>52.668345527480746</v>
      </c>
      <c r="AC207" s="125">
        <f>AC151/293.07*(1/(VLOOKUP($H207,'Fuel economy adjusted factor'!$A$2:$F$52,5,FALSE)*m2k))/'TCO Inputs'!$AZ$84</f>
        <v>52.668345527480746</v>
      </c>
      <c r="AD207" s="125">
        <f>AD151/293.07*(1/(VLOOKUP($H207,'Fuel economy adjusted factor'!$A$2:$F$52,5,FALSE)*m2k))/'TCO Inputs'!$AZ$84</f>
        <v>52.668345527480746</v>
      </c>
      <c r="AE207" s="125">
        <f>AE151/293.07*(1/(VLOOKUP($H207,'Fuel economy adjusted factor'!$A$2:$F$52,5,FALSE)*m2k))/'TCO Inputs'!$AZ$84</f>
        <v>50.605703526886991</v>
      </c>
      <c r="AF207" s="125">
        <f>AF151/293.07*(1/(VLOOKUP($H207,'Fuel economy adjusted factor'!$A$2:$F$52,5,FALSE)*m2k))/'TCO Inputs'!$AZ$84</f>
        <v>50.605703526886991</v>
      </c>
      <c r="AG207" s="125">
        <f>AG151/293.07*(1/(VLOOKUP($H207,'Fuel economy adjusted factor'!$A$2:$F$52,5,FALSE)*m2k))/'TCO Inputs'!$AZ$84</f>
        <v>50.605703526886991</v>
      </c>
      <c r="AH207" s="125">
        <f>AH151/293.07*(1/(VLOOKUP($H207,'Fuel economy adjusted factor'!$A$2:$F$52,5,FALSE)*m2k))/'TCO Inputs'!$AZ$84</f>
        <v>50.605703526886991</v>
      </c>
      <c r="AI207" s="125">
        <f>AI151/293.07*(1/(VLOOKUP($H207,'Fuel economy adjusted factor'!$A$2:$F$52,5,FALSE)*m2k))/'TCO Inputs'!$AZ$84</f>
        <v>50.605703526886991</v>
      </c>
      <c r="AJ207" s="125">
        <f>AJ151/293.07*(1/(VLOOKUP($H207,'Fuel economy adjusted factor'!$A$2:$F$52,5,FALSE)*m2k))/'TCO Inputs'!$AZ$84</f>
        <v>47.426746356897972</v>
      </c>
      <c r="AK207" s="98" cm="1">
        <f t="array" ref="AK207">SUMPRODUCT(INDEX(I207:AJ207,,'TCO Inputs'!$AZ$12-2023+_xlfn.SEQUENCE('TCO Inputs'!$AZ$13)),INDEX(INDEX('VKT US'!$C$63:$AA$113,MATCH(H207,$H$169:$H$219,0),0),,_xlfn.SEQUENCE('TCO Inputs'!$AZ$13)))*m2k*CONVERT(0.9072,"g","ton")</f>
        <v>17.674552854285363</v>
      </c>
    </row>
    <row r="208" spans="8:37" x14ac:dyDescent="0.25">
      <c r="H208" s="123" t="s">
        <v>222</v>
      </c>
      <c r="I208" s="125">
        <f>I152/293.07*(1/(VLOOKUP($H208,'Fuel economy adjusted factor'!$A$2:$F$52,5,FALSE)*m2k))/'TCO Inputs'!$AZ$84</f>
        <v>64.888678612291173</v>
      </c>
      <c r="J208" s="125">
        <f>J152/293.07*(1/(VLOOKUP($H208,'Fuel economy adjusted factor'!$A$2:$F$52,5,FALSE)*m2k))/'TCO Inputs'!$AZ$84</f>
        <v>64.888678612291173</v>
      </c>
      <c r="K208" s="125">
        <f>K152/293.07*(1/(VLOOKUP($H208,'Fuel economy adjusted factor'!$A$2:$F$52,5,FALSE)*m2k))/'TCO Inputs'!$AZ$84</f>
        <v>57.009685538753978</v>
      </c>
      <c r="L208" s="125">
        <f>L152/293.07*(1/(VLOOKUP($H208,'Fuel economy adjusted factor'!$A$2:$F$52,5,FALSE)*m2k))/'TCO Inputs'!$AZ$84</f>
        <v>57.009685538753978</v>
      </c>
      <c r="M208" s="125">
        <f>M152/293.07*(1/(VLOOKUP($H208,'Fuel economy adjusted factor'!$A$2:$F$52,5,FALSE)*m2k))/'TCO Inputs'!$AZ$84</f>
        <v>57.009685538753978</v>
      </c>
      <c r="N208" s="125">
        <f>N152/293.07*(1/(VLOOKUP($H208,'Fuel economy adjusted factor'!$A$2:$F$52,5,FALSE)*m2k))/'TCO Inputs'!$AZ$84</f>
        <v>57.009685538753978</v>
      </c>
      <c r="O208" s="125">
        <f>O152/293.07*(1/(VLOOKUP($H208,'Fuel economy adjusted factor'!$A$2:$F$52,5,FALSE)*m2k))/'TCO Inputs'!$AZ$84</f>
        <v>57.009685538753978</v>
      </c>
      <c r="P208" s="125">
        <f>P152/293.07*(1/(VLOOKUP($H208,'Fuel economy adjusted factor'!$A$2:$F$52,5,FALSE)*m2k))/'TCO Inputs'!$AZ$84</f>
        <v>34.756880780413979</v>
      </c>
      <c r="Q208" s="125">
        <f>Q152/293.07*(1/(VLOOKUP($H208,'Fuel economy adjusted factor'!$A$2:$F$52,5,FALSE)*m2k))/'TCO Inputs'!$AZ$84</f>
        <v>34.756880780413979</v>
      </c>
      <c r="R208" s="125">
        <f>R152/293.07*(1/(VLOOKUP($H208,'Fuel economy adjusted factor'!$A$2:$F$52,5,FALSE)*m2k))/'TCO Inputs'!$AZ$84</f>
        <v>34.756880780413979</v>
      </c>
      <c r="S208" s="125">
        <f>S152/293.07*(1/(VLOOKUP($H208,'Fuel economy adjusted factor'!$A$2:$F$52,5,FALSE)*m2k))/'TCO Inputs'!$AZ$84</f>
        <v>34.756880780413979</v>
      </c>
      <c r="T208" s="125">
        <f>T152/293.07*(1/(VLOOKUP($H208,'Fuel economy adjusted factor'!$A$2:$F$52,5,FALSE)*m2k))/'TCO Inputs'!$AZ$84</f>
        <v>34.756880780413979</v>
      </c>
      <c r="U208" s="125">
        <f>U152/293.07*(1/(VLOOKUP($H208,'Fuel economy adjusted factor'!$A$2:$F$52,5,FALSE)*m2k))/'TCO Inputs'!$AZ$84</f>
        <v>31.152426472591177</v>
      </c>
      <c r="V208" s="125">
        <f>V152/293.07*(1/(VLOOKUP($H208,'Fuel economy adjusted factor'!$A$2:$F$52,5,FALSE)*m2k))/'TCO Inputs'!$AZ$84</f>
        <v>31.152426472591177</v>
      </c>
      <c r="W208" s="125">
        <f>W152/293.07*(1/(VLOOKUP($H208,'Fuel economy adjusted factor'!$A$2:$F$52,5,FALSE)*m2k))/'TCO Inputs'!$AZ$84</f>
        <v>31.152426472591177</v>
      </c>
      <c r="X208" s="125">
        <f>X152/293.07*(1/(VLOOKUP($H208,'Fuel economy adjusted factor'!$A$2:$F$52,5,FALSE)*m2k))/'TCO Inputs'!$AZ$84</f>
        <v>31.152426472591177</v>
      </c>
      <c r="Y208" s="125">
        <f>Y152/293.07*(1/(VLOOKUP($H208,'Fuel economy adjusted factor'!$A$2:$F$52,5,FALSE)*m2k))/'TCO Inputs'!$AZ$84</f>
        <v>31.152426472591177</v>
      </c>
      <c r="Z208" s="125">
        <f>Z152/293.07*(1/(VLOOKUP($H208,'Fuel economy adjusted factor'!$A$2:$F$52,5,FALSE)*m2k))/'TCO Inputs'!$AZ$84</f>
        <v>30.057788503692151</v>
      </c>
      <c r="AA208" s="125">
        <f>AA152/293.07*(1/(VLOOKUP($H208,'Fuel economy adjusted factor'!$A$2:$F$52,5,FALSE)*m2k))/'TCO Inputs'!$AZ$84</f>
        <v>30.057788503692151</v>
      </c>
      <c r="AB208" s="125">
        <f>AB152/293.07*(1/(VLOOKUP($H208,'Fuel economy adjusted factor'!$A$2:$F$52,5,FALSE)*m2k))/'TCO Inputs'!$AZ$84</f>
        <v>30.057788503692151</v>
      </c>
      <c r="AC208" s="125">
        <f>AC152/293.07*(1/(VLOOKUP($H208,'Fuel economy adjusted factor'!$A$2:$F$52,5,FALSE)*m2k))/'TCO Inputs'!$AZ$84</f>
        <v>30.057788503692151</v>
      </c>
      <c r="AD208" s="125">
        <f>AD152/293.07*(1/(VLOOKUP($H208,'Fuel economy adjusted factor'!$A$2:$F$52,5,FALSE)*m2k))/'TCO Inputs'!$AZ$84</f>
        <v>30.057788503692151</v>
      </c>
      <c r="AE208" s="125">
        <f>AE152/293.07*(1/(VLOOKUP($H208,'Fuel economy adjusted factor'!$A$2:$F$52,5,FALSE)*m2k))/'TCO Inputs'!$AZ$84</f>
        <v>28.880640135127386</v>
      </c>
      <c r="AF208" s="125">
        <f>AF152/293.07*(1/(VLOOKUP($H208,'Fuel economy adjusted factor'!$A$2:$F$52,5,FALSE)*m2k))/'TCO Inputs'!$AZ$84</f>
        <v>28.880640135127386</v>
      </c>
      <c r="AG208" s="125">
        <f>AG152/293.07*(1/(VLOOKUP($H208,'Fuel economy adjusted factor'!$A$2:$F$52,5,FALSE)*m2k))/'TCO Inputs'!$AZ$84</f>
        <v>28.880640135127386</v>
      </c>
      <c r="AH208" s="125">
        <f>AH152/293.07*(1/(VLOOKUP($H208,'Fuel economy adjusted factor'!$A$2:$F$52,5,FALSE)*m2k))/'TCO Inputs'!$AZ$84</f>
        <v>28.880640135127386</v>
      </c>
      <c r="AI208" s="125">
        <f>AI152/293.07*(1/(VLOOKUP($H208,'Fuel economy adjusted factor'!$A$2:$F$52,5,FALSE)*m2k))/'TCO Inputs'!$AZ$84</f>
        <v>28.880640135127386</v>
      </c>
      <c r="AJ208" s="125">
        <f>AJ152/293.07*(1/(VLOOKUP($H208,'Fuel economy adjusted factor'!$A$2:$F$52,5,FALSE)*m2k))/'TCO Inputs'!$AZ$84</f>
        <v>27.066411468537328</v>
      </c>
      <c r="AK208" s="98" cm="1">
        <f t="array" ref="AK208">SUMPRODUCT(INDEX(I208:AJ208,,'TCO Inputs'!$AZ$12-2023+_xlfn.SEQUENCE('TCO Inputs'!$AZ$13)),INDEX(INDEX('VKT US'!$C$63:$AA$113,MATCH(H208,$H$169:$H$219,0),0),,_xlfn.SEQUENCE('TCO Inputs'!$AZ$13)))*m2k*CONVERT(0.9072,"g","ton")</f>
        <v>15.129776386689263</v>
      </c>
    </row>
    <row r="209" spans="8:37" x14ac:dyDescent="0.25">
      <c r="H209" s="123" t="s">
        <v>223</v>
      </c>
      <c r="I209" s="125">
        <f>I153/293.07*(1/(VLOOKUP($H209,'Fuel economy adjusted factor'!$A$2:$F$52,5,FALSE)*m2k))/'TCO Inputs'!$AZ$84</f>
        <v>46.485666421243593</v>
      </c>
      <c r="J209" s="125">
        <f>J153/293.07*(1/(VLOOKUP($H209,'Fuel economy adjusted factor'!$A$2:$F$52,5,FALSE)*m2k))/'TCO Inputs'!$AZ$84</f>
        <v>46.485666421243593</v>
      </c>
      <c r="K209" s="125">
        <f>K153/293.07*(1/(VLOOKUP($H209,'Fuel economy adjusted factor'!$A$2:$F$52,5,FALSE)*m2k))/'TCO Inputs'!$AZ$84</f>
        <v>40.841226565407759</v>
      </c>
      <c r="L209" s="125">
        <f>L153/293.07*(1/(VLOOKUP($H209,'Fuel economy adjusted factor'!$A$2:$F$52,5,FALSE)*m2k))/'TCO Inputs'!$AZ$84</f>
        <v>40.841226565407759</v>
      </c>
      <c r="M209" s="125">
        <f>M153/293.07*(1/(VLOOKUP($H209,'Fuel economy adjusted factor'!$A$2:$F$52,5,FALSE)*m2k))/'TCO Inputs'!$AZ$84</f>
        <v>40.841226565407759</v>
      </c>
      <c r="N209" s="125">
        <f>N153/293.07*(1/(VLOOKUP($H209,'Fuel economy adjusted factor'!$A$2:$F$52,5,FALSE)*m2k))/'TCO Inputs'!$AZ$84</f>
        <v>40.841226565407759</v>
      </c>
      <c r="O209" s="125">
        <f>O153/293.07*(1/(VLOOKUP($H209,'Fuel economy adjusted factor'!$A$2:$F$52,5,FALSE)*m2k))/'TCO Inputs'!$AZ$84</f>
        <v>40.841226565407759</v>
      </c>
      <c r="P209" s="125">
        <f>P153/293.07*(1/(VLOOKUP($H209,'Fuel economy adjusted factor'!$A$2:$F$52,5,FALSE)*m2k))/'TCO Inputs'!$AZ$84</f>
        <v>24.89951714774498</v>
      </c>
      <c r="Q209" s="125">
        <f>Q153/293.07*(1/(VLOOKUP($H209,'Fuel economy adjusted factor'!$A$2:$F$52,5,FALSE)*m2k))/'TCO Inputs'!$AZ$84</f>
        <v>24.89951714774498</v>
      </c>
      <c r="R209" s="125">
        <f>R153/293.07*(1/(VLOOKUP($H209,'Fuel economy adjusted factor'!$A$2:$F$52,5,FALSE)*m2k))/'TCO Inputs'!$AZ$84</f>
        <v>24.89951714774498</v>
      </c>
      <c r="S209" s="125">
        <f>S153/293.07*(1/(VLOOKUP($H209,'Fuel economy adjusted factor'!$A$2:$F$52,5,FALSE)*m2k))/'TCO Inputs'!$AZ$84</f>
        <v>24.89951714774498</v>
      </c>
      <c r="T209" s="125">
        <f>T153/293.07*(1/(VLOOKUP($H209,'Fuel economy adjusted factor'!$A$2:$F$52,5,FALSE)*m2k))/'TCO Inputs'!$AZ$84</f>
        <v>24.89951714774498</v>
      </c>
      <c r="U209" s="125">
        <f>U153/293.07*(1/(VLOOKUP($H209,'Fuel economy adjusted factor'!$A$2:$F$52,5,FALSE)*m2k))/'TCO Inputs'!$AZ$84</f>
        <v>22.31731846274468</v>
      </c>
      <c r="V209" s="125">
        <f>V153/293.07*(1/(VLOOKUP($H209,'Fuel economy adjusted factor'!$A$2:$F$52,5,FALSE)*m2k))/'TCO Inputs'!$AZ$84</f>
        <v>22.31731846274468</v>
      </c>
      <c r="W209" s="125">
        <f>W153/293.07*(1/(VLOOKUP($H209,'Fuel economy adjusted factor'!$A$2:$F$52,5,FALSE)*m2k))/'TCO Inputs'!$AZ$84</f>
        <v>22.31731846274468</v>
      </c>
      <c r="X209" s="125">
        <f>X153/293.07*(1/(VLOOKUP($H209,'Fuel economy adjusted factor'!$A$2:$F$52,5,FALSE)*m2k))/'TCO Inputs'!$AZ$84</f>
        <v>22.31731846274468</v>
      </c>
      <c r="Y209" s="125">
        <f>Y153/293.07*(1/(VLOOKUP($H209,'Fuel economy adjusted factor'!$A$2:$F$52,5,FALSE)*m2k))/'TCO Inputs'!$AZ$84</f>
        <v>22.31731846274468</v>
      </c>
      <c r="Z209" s="125">
        <f>Z153/293.07*(1/(VLOOKUP($H209,'Fuel economy adjusted factor'!$A$2:$F$52,5,FALSE)*m2k))/'TCO Inputs'!$AZ$84</f>
        <v>21.533129655660094</v>
      </c>
      <c r="AA209" s="125">
        <f>AA153/293.07*(1/(VLOOKUP($H209,'Fuel economy adjusted factor'!$A$2:$F$52,5,FALSE)*m2k))/'TCO Inputs'!$AZ$84</f>
        <v>21.533129655660094</v>
      </c>
      <c r="AB209" s="125">
        <f>AB153/293.07*(1/(VLOOKUP($H209,'Fuel economy adjusted factor'!$A$2:$F$52,5,FALSE)*m2k))/'TCO Inputs'!$AZ$84</f>
        <v>21.533129655660094</v>
      </c>
      <c r="AC209" s="125">
        <f>AC153/293.07*(1/(VLOOKUP($H209,'Fuel economy adjusted factor'!$A$2:$F$52,5,FALSE)*m2k))/'TCO Inputs'!$AZ$84</f>
        <v>21.533129655660094</v>
      </c>
      <c r="AD209" s="125">
        <f>AD153/293.07*(1/(VLOOKUP($H209,'Fuel economy adjusted factor'!$A$2:$F$52,5,FALSE)*m2k))/'TCO Inputs'!$AZ$84</f>
        <v>21.533129655660094</v>
      </c>
      <c r="AE209" s="125">
        <f>AE153/293.07*(1/(VLOOKUP($H209,'Fuel economy adjusted factor'!$A$2:$F$52,5,FALSE)*m2k))/'TCO Inputs'!$AZ$84</f>
        <v>20.689831139498789</v>
      </c>
      <c r="AF209" s="125">
        <f>AF153/293.07*(1/(VLOOKUP($H209,'Fuel economy adjusted factor'!$A$2:$F$52,5,FALSE)*m2k))/'TCO Inputs'!$AZ$84</f>
        <v>20.689831139498789</v>
      </c>
      <c r="AG209" s="125">
        <f>AG153/293.07*(1/(VLOOKUP($H209,'Fuel economy adjusted factor'!$A$2:$F$52,5,FALSE)*m2k))/'TCO Inputs'!$AZ$84</f>
        <v>20.689831139498789</v>
      </c>
      <c r="AH209" s="125">
        <f>AH153/293.07*(1/(VLOOKUP($H209,'Fuel economy adjusted factor'!$A$2:$F$52,5,FALSE)*m2k))/'TCO Inputs'!$AZ$84</f>
        <v>20.689831139498789</v>
      </c>
      <c r="AI209" s="125">
        <f>AI153/293.07*(1/(VLOOKUP($H209,'Fuel economy adjusted factor'!$A$2:$F$52,5,FALSE)*m2k))/'TCO Inputs'!$AZ$84</f>
        <v>20.689831139498789</v>
      </c>
      <c r="AJ209" s="125">
        <f>AJ153/293.07*(1/(VLOOKUP($H209,'Fuel economy adjusted factor'!$A$2:$F$52,5,FALSE)*m2k))/'TCO Inputs'!$AZ$84</f>
        <v>19.390134021132933</v>
      </c>
      <c r="AK209" s="98" cm="1">
        <f t="array" ref="AK209">SUMPRODUCT(INDEX(I209:AJ209,,'TCO Inputs'!$AZ$12-2023+_xlfn.SEQUENCE('TCO Inputs'!$AZ$13)),INDEX(INDEX('VKT US'!$C$63:$AA$113,MATCH(H209,$H$169:$H$219,0),0),,_xlfn.SEQUENCE('TCO Inputs'!$AZ$13)))*m2k*CONVERT(0.9072,"g","ton")</f>
        <v>11.274101362480035</v>
      </c>
    </row>
    <row r="210" spans="8:37" x14ac:dyDescent="0.25">
      <c r="H210" s="123" t="s">
        <v>224</v>
      </c>
      <c r="I210" s="125">
        <f>I154/293.07*(1/(VLOOKUP($H210,'Fuel economy adjusted factor'!$A$2:$F$52,5,FALSE)*m2k))/'TCO Inputs'!$AZ$84</f>
        <v>72.546135183454339</v>
      </c>
      <c r="J210" s="125">
        <f>J154/293.07*(1/(VLOOKUP($H210,'Fuel economy adjusted factor'!$A$2:$F$52,5,FALSE)*m2k))/'TCO Inputs'!$AZ$84</f>
        <v>72.546135183454339</v>
      </c>
      <c r="K210" s="125">
        <f>K154/293.07*(1/(VLOOKUP($H210,'Fuel economy adjusted factor'!$A$2:$F$52,5,FALSE)*m2k))/'TCO Inputs'!$AZ$84</f>
        <v>63.737348984592543</v>
      </c>
      <c r="L210" s="125">
        <f>L154/293.07*(1/(VLOOKUP($H210,'Fuel economy adjusted factor'!$A$2:$F$52,5,FALSE)*m2k))/'TCO Inputs'!$AZ$84</f>
        <v>63.737348984592543</v>
      </c>
      <c r="M210" s="125">
        <f>M154/293.07*(1/(VLOOKUP($H210,'Fuel economy adjusted factor'!$A$2:$F$52,5,FALSE)*m2k))/'TCO Inputs'!$AZ$84</f>
        <v>63.737348984592543</v>
      </c>
      <c r="N210" s="125">
        <f>N154/293.07*(1/(VLOOKUP($H210,'Fuel economy adjusted factor'!$A$2:$F$52,5,FALSE)*m2k))/'TCO Inputs'!$AZ$84</f>
        <v>63.737348984592543</v>
      </c>
      <c r="O210" s="125">
        <f>O154/293.07*(1/(VLOOKUP($H210,'Fuel economy adjusted factor'!$A$2:$F$52,5,FALSE)*m2k))/'TCO Inputs'!$AZ$84</f>
        <v>63.737348984592543</v>
      </c>
      <c r="P210" s="125">
        <f>P154/293.07*(1/(VLOOKUP($H210,'Fuel economy adjusted factor'!$A$2:$F$52,5,FALSE)*m2k))/'TCO Inputs'!$AZ$84</f>
        <v>38.85851007564672</v>
      </c>
      <c r="Q210" s="125">
        <f>Q154/293.07*(1/(VLOOKUP($H210,'Fuel economy adjusted factor'!$A$2:$F$52,5,FALSE)*m2k))/'TCO Inputs'!$AZ$84</f>
        <v>38.85851007564672</v>
      </c>
      <c r="R210" s="125">
        <f>R154/293.07*(1/(VLOOKUP($H210,'Fuel economy adjusted factor'!$A$2:$F$52,5,FALSE)*m2k))/'TCO Inputs'!$AZ$84</f>
        <v>38.85851007564672</v>
      </c>
      <c r="S210" s="125">
        <f>S154/293.07*(1/(VLOOKUP($H210,'Fuel economy adjusted factor'!$A$2:$F$52,5,FALSE)*m2k))/'TCO Inputs'!$AZ$84</f>
        <v>38.85851007564672</v>
      </c>
      <c r="T210" s="125">
        <f>T154/293.07*(1/(VLOOKUP($H210,'Fuel economy adjusted factor'!$A$2:$F$52,5,FALSE)*m2k))/'TCO Inputs'!$AZ$84</f>
        <v>38.85851007564672</v>
      </c>
      <c r="U210" s="125">
        <f>U154/293.07*(1/(VLOOKUP($H210,'Fuel economy adjusted factor'!$A$2:$F$52,5,FALSE)*m2k))/'TCO Inputs'!$AZ$84</f>
        <v>34.828697247429155</v>
      </c>
      <c r="V210" s="125">
        <f>V154/293.07*(1/(VLOOKUP($H210,'Fuel economy adjusted factor'!$A$2:$F$52,5,FALSE)*m2k))/'TCO Inputs'!$AZ$84</f>
        <v>34.828697247429155</v>
      </c>
      <c r="W210" s="125">
        <f>W154/293.07*(1/(VLOOKUP($H210,'Fuel economy adjusted factor'!$A$2:$F$52,5,FALSE)*m2k))/'TCO Inputs'!$AZ$84</f>
        <v>34.828697247429155</v>
      </c>
      <c r="X210" s="125">
        <f>X154/293.07*(1/(VLOOKUP($H210,'Fuel economy adjusted factor'!$A$2:$F$52,5,FALSE)*m2k))/'TCO Inputs'!$AZ$84</f>
        <v>34.828697247429155</v>
      </c>
      <c r="Y210" s="125">
        <f>Y154/293.07*(1/(VLOOKUP($H210,'Fuel economy adjusted factor'!$A$2:$F$52,5,FALSE)*m2k))/'TCO Inputs'!$AZ$84</f>
        <v>34.828697247429155</v>
      </c>
      <c r="Z210" s="125">
        <f>Z154/293.07*(1/(VLOOKUP($H210,'Fuel economy adjusted factor'!$A$2:$F$52,5,FALSE)*m2k))/'TCO Inputs'!$AZ$84</f>
        <v>33.604882003121688</v>
      </c>
      <c r="AA210" s="125">
        <f>AA154/293.07*(1/(VLOOKUP($H210,'Fuel economy adjusted factor'!$A$2:$F$52,5,FALSE)*m2k))/'TCO Inputs'!$AZ$84</f>
        <v>33.604882003121688</v>
      </c>
      <c r="AB210" s="125">
        <f>AB154/293.07*(1/(VLOOKUP($H210,'Fuel economy adjusted factor'!$A$2:$F$52,5,FALSE)*m2k))/'TCO Inputs'!$AZ$84</f>
        <v>33.604882003121688</v>
      </c>
      <c r="AC210" s="125">
        <f>AC154/293.07*(1/(VLOOKUP($H210,'Fuel economy adjusted factor'!$A$2:$F$52,5,FALSE)*m2k))/'TCO Inputs'!$AZ$84</f>
        <v>33.604882003121688</v>
      </c>
      <c r="AD210" s="125">
        <f>AD154/293.07*(1/(VLOOKUP($H210,'Fuel economy adjusted factor'!$A$2:$F$52,5,FALSE)*m2k))/'TCO Inputs'!$AZ$84</f>
        <v>33.604882003121688</v>
      </c>
      <c r="AE210" s="125">
        <f>AE154/293.07*(1/(VLOOKUP($H210,'Fuel economy adjusted factor'!$A$2:$F$52,5,FALSE)*m2k))/'TCO Inputs'!$AZ$84</f>
        <v>32.288819378590041</v>
      </c>
      <c r="AF210" s="125">
        <f>AF154/293.07*(1/(VLOOKUP($H210,'Fuel economy adjusted factor'!$A$2:$F$52,5,FALSE)*m2k))/'TCO Inputs'!$AZ$84</f>
        <v>32.288819378590041</v>
      </c>
      <c r="AG210" s="125">
        <f>AG154/293.07*(1/(VLOOKUP($H210,'Fuel economy adjusted factor'!$A$2:$F$52,5,FALSE)*m2k))/'TCO Inputs'!$AZ$84</f>
        <v>32.288819378590041</v>
      </c>
      <c r="AH210" s="125">
        <f>AH154/293.07*(1/(VLOOKUP($H210,'Fuel economy adjusted factor'!$A$2:$F$52,5,FALSE)*m2k))/'TCO Inputs'!$AZ$84</f>
        <v>32.288819378590041</v>
      </c>
      <c r="AI210" s="125">
        <f>AI154/293.07*(1/(VLOOKUP($H210,'Fuel economy adjusted factor'!$A$2:$F$52,5,FALSE)*m2k))/'TCO Inputs'!$AZ$84</f>
        <v>32.288819378590041</v>
      </c>
      <c r="AJ210" s="125">
        <f>AJ154/293.07*(1/(VLOOKUP($H210,'Fuel economy adjusted factor'!$A$2:$F$52,5,FALSE)*m2k))/'TCO Inputs'!$AZ$84</f>
        <v>30.260495163721377</v>
      </c>
      <c r="AK210" s="98" cm="1">
        <f t="array" ref="AK210">SUMPRODUCT(INDEX(I210:AJ210,,'TCO Inputs'!$AZ$12-2023+_xlfn.SEQUENCE('TCO Inputs'!$AZ$13)),INDEX(INDEX('VKT US'!$C$63:$AA$113,MATCH(H210,$H$169:$H$219,0),0),,_xlfn.SEQUENCE('TCO Inputs'!$AZ$13)))*m2k*CONVERT(0.9072,"g","ton")</f>
        <v>17.306946838957678</v>
      </c>
    </row>
    <row r="211" spans="8:37" x14ac:dyDescent="0.25">
      <c r="H211" s="123" t="s">
        <v>225</v>
      </c>
      <c r="I211" s="125">
        <f>I155/293.07*(1/(VLOOKUP($H211,'Fuel economy adjusted factor'!$A$2:$F$52,5,FALSE)*m2k))/'TCO Inputs'!$AZ$84</f>
        <v>90.544597540982679</v>
      </c>
      <c r="J211" s="125">
        <f>J155/293.07*(1/(VLOOKUP($H211,'Fuel economy adjusted factor'!$A$2:$F$52,5,FALSE)*m2k))/'TCO Inputs'!$AZ$84</f>
        <v>90.544597540982679</v>
      </c>
      <c r="K211" s="125">
        <f>K155/293.07*(1/(VLOOKUP($H211,'Fuel economy adjusted factor'!$A$2:$F$52,5,FALSE)*m2k))/'TCO Inputs'!$AZ$84</f>
        <v>79.550379872686946</v>
      </c>
      <c r="L211" s="125">
        <f>L155/293.07*(1/(VLOOKUP($H211,'Fuel economy adjusted factor'!$A$2:$F$52,5,FALSE)*m2k))/'TCO Inputs'!$AZ$84</f>
        <v>79.550379872686946</v>
      </c>
      <c r="M211" s="125">
        <f>M155/293.07*(1/(VLOOKUP($H211,'Fuel economy adjusted factor'!$A$2:$F$52,5,FALSE)*m2k))/'TCO Inputs'!$AZ$84</f>
        <v>79.550379872686946</v>
      </c>
      <c r="N211" s="125">
        <f>N155/293.07*(1/(VLOOKUP($H211,'Fuel economy adjusted factor'!$A$2:$F$52,5,FALSE)*m2k))/'TCO Inputs'!$AZ$84</f>
        <v>79.550379872686946</v>
      </c>
      <c r="O211" s="125">
        <f>O155/293.07*(1/(VLOOKUP($H211,'Fuel economy adjusted factor'!$A$2:$F$52,5,FALSE)*m2k))/'TCO Inputs'!$AZ$84</f>
        <v>79.550379872686946</v>
      </c>
      <c r="P211" s="125">
        <f>P155/293.07*(1/(VLOOKUP($H211,'Fuel economy adjusted factor'!$A$2:$F$52,5,FALSE)*m2k))/'TCO Inputs'!$AZ$84</f>
        <v>48.499181203027121</v>
      </c>
      <c r="Q211" s="125">
        <f>Q155/293.07*(1/(VLOOKUP($H211,'Fuel economy adjusted factor'!$A$2:$F$52,5,FALSE)*m2k))/'TCO Inputs'!$AZ$84</f>
        <v>48.499181203027121</v>
      </c>
      <c r="R211" s="125">
        <f>R155/293.07*(1/(VLOOKUP($H211,'Fuel economy adjusted factor'!$A$2:$F$52,5,FALSE)*m2k))/'TCO Inputs'!$AZ$84</f>
        <v>48.499181203027121</v>
      </c>
      <c r="S211" s="125">
        <f>S155/293.07*(1/(VLOOKUP($H211,'Fuel economy adjusted factor'!$A$2:$F$52,5,FALSE)*m2k))/'TCO Inputs'!$AZ$84</f>
        <v>48.499181203027121</v>
      </c>
      <c r="T211" s="125">
        <f>T155/293.07*(1/(VLOOKUP($H211,'Fuel economy adjusted factor'!$A$2:$F$52,5,FALSE)*m2k))/'TCO Inputs'!$AZ$84</f>
        <v>48.499181203027121</v>
      </c>
      <c r="U211" s="125">
        <f>U155/293.07*(1/(VLOOKUP($H211,'Fuel economy adjusted factor'!$A$2:$F$52,5,FALSE)*m2k))/'TCO Inputs'!$AZ$84</f>
        <v>43.469584798287613</v>
      </c>
      <c r="V211" s="125">
        <f>V155/293.07*(1/(VLOOKUP($H211,'Fuel economy adjusted factor'!$A$2:$F$52,5,FALSE)*m2k))/'TCO Inputs'!$AZ$84</f>
        <v>43.469584798287613</v>
      </c>
      <c r="W211" s="125">
        <f>W155/293.07*(1/(VLOOKUP($H211,'Fuel economy adjusted factor'!$A$2:$F$52,5,FALSE)*m2k))/'TCO Inputs'!$AZ$84</f>
        <v>43.469584798287613</v>
      </c>
      <c r="X211" s="125">
        <f>X155/293.07*(1/(VLOOKUP($H211,'Fuel economy adjusted factor'!$A$2:$F$52,5,FALSE)*m2k))/'TCO Inputs'!$AZ$84</f>
        <v>43.469584798287613</v>
      </c>
      <c r="Y211" s="125">
        <f>Y155/293.07*(1/(VLOOKUP($H211,'Fuel economy adjusted factor'!$A$2:$F$52,5,FALSE)*m2k))/'TCO Inputs'!$AZ$84</f>
        <v>43.469584798287613</v>
      </c>
      <c r="Z211" s="125">
        <f>Z155/293.07*(1/(VLOOKUP($H211,'Fuel economy adjusted factor'!$A$2:$F$52,5,FALSE)*m2k))/'TCO Inputs'!$AZ$84</f>
        <v>41.942144935638503</v>
      </c>
      <c r="AA211" s="125">
        <f>AA155/293.07*(1/(VLOOKUP($H211,'Fuel economy adjusted factor'!$A$2:$F$52,5,FALSE)*m2k))/'TCO Inputs'!$AZ$84</f>
        <v>41.942144935638503</v>
      </c>
      <c r="AB211" s="125">
        <f>AB155/293.07*(1/(VLOOKUP($H211,'Fuel economy adjusted factor'!$A$2:$F$52,5,FALSE)*m2k))/'TCO Inputs'!$AZ$84</f>
        <v>41.942144935638503</v>
      </c>
      <c r="AC211" s="125">
        <f>AC155/293.07*(1/(VLOOKUP($H211,'Fuel economy adjusted factor'!$A$2:$F$52,5,FALSE)*m2k))/'TCO Inputs'!$AZ$84</f>
        <v>41.942144935638503</v>
      </c>
      <c r="AD211" s="125">
        <f>AD155/293.07*(1/(VLOOKUP($H211,'Fuel economy adjusted factor'!$A$2:$F$52,5,FALSE)*m2k))/'TCO Inputs'!$AZ$84</f>
        <v>41.942144935638503</v>
      </c>
      <c r="AE211" s="125">
        <f>AE155/293.07*(1/(VLOOKUP($H211,'Fuel economy adjusted factor'!$A$2:$F$52,5,FALSE)*m2k))/'TCO Inputs'!$AZ$84</f>
        <v>40.29957141500077</v>
      </c>
      <c r="AF211" s="125">
        <f>AF155/293.07*(1/(VLOOKUP($H211,'Fuel economy adjusted factor'!$A$2:$F$52,5,FALSE)*m2k))/'TCO Inputs'!$AZ$84</f>
        <v>40.29957141500077</v>
      </c>
      <c r="AG211" s="125">
        <f>AG155/293.07*(1/(VLOOKUP($H211,'Fuel economy adjusted factor'!$A$2:$F$52,5,FALSE)*m2k))/'TCO Inputs'!$AZ$84</f>
        <v>40.29957141500077</v>
      </c>
      <c r="AH211" s="125">
        <f>AH155/293.07*(1/(VLOOKUP($H211,'Fuel economy adjusted factor'!$A$2:$F$52,5,FALSE)*m2k))/'TCO Inputs'!$AZ$84</f>
        <v>40.29957141500077</v>
      </c>
      <c r="AI211" s="125">
        <f>AI155/293.07*(1/(VLOOKUP($H211,'Fuel economy adjusted factor'!$A$2:$F$52,5,FALSE)*m2k))/'TCO Inputs'!$AZ$84</f>
        <v>40.29957141500077</v>
      </c>
      <c r="AJ211" s="125">
        <f>AJ155/293.07*(1/(VLOOKUP($H211,'Fuel economy adjusted factor'!$A$2:$F$52,5,FALSE)*m2k))/'TCO Inputs'!$AZ$84</f>
        <v>37.768026498741754</v>
      </c>
      <c r="AK211" s="98" cm="1">
        <f t="array" ref="AK211">SUMPRODUCT(INDEX(I211:AJ211,,'TCO Inputs'!$AZ$12-2023+_xlfn.SEQUENCE('TCO Inputs'!$AZ$13)),INDEX(INDEX('VKT US'!$C$63:$AA$113,MATCH(H211,$H$169:$H$219,0),0),,_xlfn.SEQUENCE('TCO Inputs'!$AZ$13)))*m2k*CONVERT(0.9072,"g","ton")</f>
        <v>22.8512619422029</v>
      </c>
    </row>
    <row r="212" spans="8:37" x14ac:dyDescent="0.25">
      <c r="H212" s="123" t="s">
        <v>226</v>
      </c>
      <c r="I212" s="125">
        <f>I156/293.07*(1/(VLOOKUP($H212,'Fuel economy adjusted factor'!$A$2:$F$52,5,FALSE)*m2k))/'TCO Inputs'!$AZ$84</f>
        <v>175.99545705609239</v>
      </c>
      <c r="J212" s="125">
        <f>J156/293.07*(1/(VLOOKUP($H212,'Fuel economy adjusted factor'!$A$2:$F$52,5,FALSE)*m2k))/'TCO Inputs'!$AZ$84</f>
        <v>175.99545705609239</v>
      </c>
      <c r="K212" s="125">
        <f>K156/293.07*(1/(VLOOKUP($H212,'Fuel economy adjusted factor'!$A$2:$F$52,5,FALSE)*m2k))/'TCO Inputs'!$AZ$84</f>
        <v>154.62551985326726</v>
      </c>
      <c r="L212" s="125">
        <f>L156/293.07*(1/(VLOOKUP($H212,'Fuel economy adjusted factor'!$A$2:$F$52,5,FALSE)*m2k))/'TCO Inputs'!$AZ$84</f>
        <v>154.62551985326726</v>
      </c>
      <c r="M212" s="125">
        <f>M156/293.07*(1/(VLOOKUP($H212,'Fuel economy adjusted factor'!$A$2:$F$52,5,FALSE)*m2k))/'TCO Inputs'!$AZ$84</f>
        <v>154.62551985326726</v>
      </c>
      <c r="N212" s="125">
        <f>N156/293.07*(1/(VLOOKUP($H212,'Fuel economy adjusted factor'!$A$2:$F$52,5,FALSE)*m2k))/'TCO Inputs'!$AZ$84</f>
        <v>154.62551985326726</v>
      </c>
      <c r="O212" s="125">
        <f>O156/293.07*(1/(VLOOKUP($H212,'Fuel economy adjusted factor'!$A$2:$F$52,5,FALSE)*m2k))/'TCO Inputs'!$AZ$84</f>
        <v>154.62551985326726</v>
      </c>
      <c r="P212" s="125">
        <f>P156/293.07*(1/(VLOOKUP($H212,'Fuel economy adjusted factor'!$A$2:$F$52,5,FALSE)*m2k))/'TCO Inputs'!$AZ$84</f>
        <v>94.269959715813712</v>
      </c>
      <c r="Q212" s="125">
        <f>Q156/293.07*(1/(VLOOKUP($H212,'Fuel economy adjusted factor'!$A$2:$F$52,5,FALSE)*m2k))/'TCO Inputs'!$AZ$84</f>
        <v>94.269959715813712</v>
      </c>
      <c r="R212" s="125">
        <f>R156/293.07*(1/(VLOOKUP($H212,'Fuel economy adjusted factor'!$A$2:$F$52,5,FALSE)*m2k))/'TCO Inputs'!$AZ$84</f>
        <v>94.269959715813712</v>
      </c>
      <c r="S212" s="125">
        <f>S156/293.07*(1/(VLOOKUP($H212,'Fuel economy adjusted factor'!$A$2:$F$52,5,FALSE)*m2k))/'TCO Inputs'!$AZ$84</f>
        <v>94.269959715813712</v>
      </c>
      <c r="T212" s="125">
        <f>T156/293.07*(1/(VLOOKUP($H212,'Fuel economy adjusted factor'!$A$2:$F$52,5,FALSE)*m2k))/'TCO Inputs'!$AZ$84</f>
        <v>94.269959715813712</v>
      </c>
      <c r="U212" s="125">
        <f>U156/293.07*(1/(VLOOKUP($H212,'Fuel economy adjusted factor'!$A$2:$F$52,5,FALSE)*m2k))/'TCO Inputs'!$AZ$84</f>
        <v>84.493715278268425</v>
      </c>
      <c r="V212" s="125">
        <f>V156/293.07*(1/(VLOOKUP($H212,'Fuel economy adjusted factor'!$A$2:$F$52,5,FALSE)*m2k))/'TCO Inputs'!$AZ$84</f>
        <v>84.493715278268425</v>
      </c>
      <c r="W212" s="125">
        <f>W156/293.07*(1/(VLOOKUP($H212,'Fuel economy adjusted factor'!$A$2:$F$52,5,FALSE)*m2k))/'TCO Inputs'!$AZ$84</f>
        <v>84.493715278268425</v>
      </c>
      <c r="X212" s="125">
        <f>X156/293.07*(1/(VLOOKUP($H212,'Fuel economy adjusted factor'!$A$2:$F$52,5,FALSE)*m2k))/'TCO Inputs'!$AZ$84</f>
        <v>84.493715278268425</v>
      </c>
      <c r="Y212" s="125">
        <f>Y156/293.07*(1/(VLOOKUP($H212,'Fuel economy adjusted factor'!$A$2:$F$52,5,FALSE)*m2k))/'TCO Inputs'!$AZ$84</f>
        <v>84.493715278268425</v>
      </c>
      <c r="Z212" s="125">
        <f>Z156/293.07*(1/(VLOOKUP($H212,'Fuel economy adjusted factor'!$A$2:$F$52,5,FALSE)*m2k))/'TCO Inputs'!$AZ$84</f>
        <v>81.524764241394578</v>
      </c>
      <c r="AA212" s="125">
        <f>AA156/293.07*(1/(VLOOKUP($H212,'Fuel economy adjusted factor'!$A$2:$F$52,5,FALSE)*m2k))/'TCO Inputs'!$AZ$84</f>
        <v>81.524764241394578</v>
      </c>
      <c r="AB212" s="125">
        <f>AB156/293.07*(1/(VLOOKUP($H212,'Fuel economy adjusted factor'!$A$2:$F$52,5,FALSE)*m2k))/'TCO Inputs'!$AZ$84</f>
        <v>81.524764241394578</v>
      </c>
      <c r="AC212" s="125">
        <f>AC156/293.07*(1/(VLOOKUP($H212,'Fuel economy adjusted factor'!$A$2:$F$52,5,FALSE)*m2k))/'TCO Inputs'!$AZ$84</f>
        <v>81.524764241394578</v>
      </c>
      <c r="AD212" s="125">
        <f>AD156/293.07*(1/(VLOOKUP($H212,'Fuel economy adjusted factor'!$A$2:$F$52,5,FALSE)*m2k))/'TCO Inputs'!$AZ$84</f>
        <v>81.524764241394578</v>
      </c>
      <c r="AE212" s="125">
        <f>AE156/293.07*(1/(VLOOKUP($H212,'Fuel economy adjusted factor'!$A$2:$F$52,5,FALSE)*m2k))/'TCO Inputs'!$AZ$84</f>
        <v>78.332022925359396</v>
      </c>
      <c r="AF212" s="125">
        <f>AF156/293.07*(1/(VLOOKUP($H212,'Fuel economy adjusted factor'!$A$2:$F$52,5,FALSE)*m2k))/'TCO Inputs'!$AZ$84</f>
        <v>78.332022925359396</v>
      </c>
      <c r="AG212" s="125">
        <f>AG156/293.07*(1/(VLOOKUP($H212,'Fuel economy adjusted factor'!$A$2:$F$52,5,FALSE)*m2k))/'TCO Inputs'!$AZ$84</f>
        <v>78.332022925359396</v>
      </c>
      <c r="AH212" s="125">
        <f>AH156/293.07*(1/(VLOOKUP($H212,'Fuel economy adjusted factor'!$A$2:$F$52,5,FALSE)*m2k))/'TCO Inputs'!$AZ$84</f>
        <v>78.332022925359396</v>
      </c>
      <c r="AI212" s="125">
        <f>AI156/293.07*(1/(VLOOKUP($H212,'Fuel economy adjusted factor'!$A$2:$F$52,5,FALSE)*m2k))/'TCO Inputs'!$AZ$84</f>
        <v>78.332022925359396</v>
      </c>
      <c r="AJ212" s="125">
        <f>AJ156/293.07*(1/(VLOOKUP($H212,'Fuel economy adjusted factor'!$A$2:$F$52,5,FALSE)*m2k))/'TCO Inputs'!$AZ$84</f>
        <v>73.411349393254184</v>
      </c>
      <c r="AK212" s="98" cm="1">
        <f t="array" ref="AK212">SUMPRODUCT(INDEX(I212:AJ212,,'TCO Inputs'!$AZ$12-2023+_xlfn.SEQUENCE('TCO Inputs'!$AZ$13)),INDEX(INDEX('VKT US'!$C$63:$AA$113,MATCH(H212,$H$169:$H$219,0),0),,_xlfn.SEQUENCE('TCO Inputs'!$AZ$13)))*m2k*CONVERT(0.9072,"g","ton")</f>
        <v>42.615259933592291</v>
      </c>
    </row>
    <row r="213" spans="8:37" x14ac:dyDescent="0.25">
      <c r="H213" s="123" t="s">
        <v>228</v>
      </c>
      <c r="I213" s="125">
        <f>I157/293.07*(1/(VLOOKUP($H213,'Fuel economy adjusted factor'!$A$2:$F$52,5,FALSE)*m2k))/'TCO Inputs'!$AZ$84</f>
        <v>5.4652754062410454</v>
      </c>
      <c r="J213" s="125">
        <f>J157/293.07*(1/(VLOOKUP($H213,'Fuel economy adjusted factor'!$A$2:$F$52,5,FALSE)*m2k))/'TCO Inputs'!$AZ$84</f>
        <v>5.4652754062410454</v>
      </c>
      <c r="K213" s="125">
        <f>K157/293.07*(1/(VLOOKUP($H213,'Fuel economy adjusted factor'!$A$2:$F$52,5,FALSE)*m2k))/'TCO Inputs'!$AZ$84</f>
        <v>4.8016640029632205</v>
      </c>
      <c r="L213" s="125">
        <f>L157/293.07*(1/(VLOOKUP($H213,'Fuel economy adjusted factor'!$A$2:$F$52,5,FALSE)*m2k))/'TCO Inputs'!$AZ$84</f>
        <v>4.8016640029632205</v>
      </c>
      <c r="M213" s="125">
        <f>M157/293.07*(1/(VLOOKUP($H213,'Fuel economy adjusted factor'!$A$2:$F$52,5,FALSE)*m2k))/'TCO Inputs'!$AZ$84</f>
        <v>4.8016640029632205</v>
      </c>
      <c r="N213" s="125">
        <f>N157/293.07*(1/(VLOOKUP($H213,'Fuel economy adjusted factor'!$A$2:$F$52,5,FALSE)*m2k))/'TCO Inputs'!$AZ$84</f>
        <v>4.8016640029632205</v>
      </c>
      <c r="O213" s="125">
        <f>O157/293.07*(1/(VLOOKUP($H213,'Fuel economy adjusted factor'!$A$2:$F$52,5,FALSE)*m2k))/'TCO Inputs'!$AZ$84</f>
        <v>4.8016640029632205</v>
      </c>
      <c r="P213" s="125">
        <f>P157/293.07*(1/(VLOOKUP($H213,'Fuel economy adjusted factor'!$A$2:$F$52,5,FALSE)*m2k))/'TCO Inputs'!$AZ$84</f>
        <v>2.9274124514359769</v>
      </c>
      <c r="Q213" s="125">
        <f>Q157/293.07*(1/(VLOOKUP($H213,'Fuel economy adjusted factor'!$A$2:$F$52,5,FALSE)*m2k))/'TCO Inputs'!$AZ$84</f>
        <v>2.9274124514359769</v>
      </c>
      <c r="R213" s="125">
        <f>R157/293.07*(1/(VLOOKUP($H213,'Fuel economy adjusted factor'!$A$2:$F$52,5,FALSE)*m2k))/'TCO Inputs'!$AZ$84</f>
        <v>2.9274124514359769</v>
      </c>
      <c r="S213" s="125">
        <f>S157/293.07*(1/(VLOOKUP($H213,'Fuel economy adjusted factor'!$A$2:$F$52,5,FALSE)*m2k))/'TCO Inputs'!$AZ$84</f>
        <v>2.9274124514359769</v>
      </c>
      <c r="T213" s="125">
        <f>T157/293.07*(1/(VLOOKUP($H213,'Fuel economy adjusted factor'!$A$2:$F$52,5,FALSE)*m2k))/'TCO Inputs'!$AZ$84</f>
        <v>2.9274124514359769</v>
      </c>
      <c r="U213" s="125">
        <f>U157/293.07*(1/(VLOOKUP($H213,'Fuel economy adjusted factor'!$A$2:$F$52,5,FALSE)*m2k))/'TCO Inputs'!$AZ$84</f>
        <v>2.6238258181009577</v>
      </c>
      <c r="V213" s="125">
        <f>V157/293.07*(1/(VLOOKUP($H213,'Fuel economy adjusted factor'!$A$2:$F$52,5,FALSE)*m2k))/'TCO Inputs'!$AZ$84</f>
        <v>2.6238258181009577</v>
      </c>
      <c r="W213" s="125">
        <f>W157/293.07*(1/(VLOOKUP($H213,'Fuel economy adjusted factor'!$A$2:$F$52,5,FALSE)*m2k))/'TCO Inputs'!$AZ$84</f>
        <v>2.6238258181009577</v>
      </c>
      <c r="X213" s="125">
        <f>X157/293.07*(1/(VLOOKUP($H213,'Fuel economy adjusted factor'!$A$2:$F$52,5,FALSE)*m2k))/'TCO Inputs'!$AZ$84</f>
        <v>2.6238258181009577</v>
      </c>
      <c r="Y213" s="125">
        <f>Y157/293.07*(1/(VLOOKUP($H213,'Fuel economy adjusted factor'!$A$2:$F$52,5,FALSE)*m2k))/'TCO Inputs'!$AZ$84</f>
        <v>2.6238258181009577</v>
      </c>
      <c r="Z213" s="125">
        <f>Z157/293.07*(1/(VLOOKUP($H213,'Fuel economy adjusted factor'!$A$2:$F$52,5,FALSE)*m2k))/'TCO Inputs'!$AZ$84</f>
        <v>2.5316294889707751</v>
      </c>
      <c r="AA213" s="125">
        <f>AA157/293.07*(1/(VLOOKUP($H213,'Fuel economy adjusted factor'!$A$2:$F$52,5,FALSE)*m2k))/'TCO Inputs'!$AZ$84</f>
        <v>2.5316294889707751</v>
      </c>
      <c r="AB213" s="125">
        <f>AB157/293.07*(1/(VLOOKUP($H213,'Fuel economy adjusted factor'!$A$2:$F$52,5,FALSE)*m2k))/'TCO Inputs'!$AZ$84</f>
        <v>2.5316294889707751</v>
      </c>
      <c r="AC213" s="125">
        <f>AC157/293.07*(1/(VLOOKUP($H213,'Fuel economy adjusted factor'!$A$2:$F$52,5,FALSE)*m2k))/'TCO Inputs'!$AZ$84</f>
        <v>2.5316294889707751</v>
      </c>
      <c r="AD213" s="125">
        <f>AD157/293.07*(1/(VLOOKUP($H213,'Fuel economy adjusted factor'!$A$2:$F$52,5,FALSE)*m2k))/'TCO Inputs'!$AZ$84</f>
        <v>2.5316294889707751</v>
      </c>
      <c r="AE213" s="125">
        <f>AE157/293.07*(1/(VLOOKUP($H213,'Fuel economy adjusted factor'!$A$2:$F$52,5,FALSE)*m2k))/'TCO Inputs'!$AZ$84</f>
        <v>2.432483687795604</v>
      </c>
      <c r="AF213" s="125">
        <f>AF157/293.07*(1/(VLOOKUP($H213,'Fuel economy adjusted factor'!$A$2:$F$52,5,FALSE)*m2k))/'TCO Inputs'!$AZ$84</f>
        <v>2.432483687795604</v>
      </c>
      <c r="AG213" s="125">
        <f>AG157/293.07*(1/(VLOOKUP($H213,'Fuel economy adjusted factor'!$A$2:$F$52,5,FALSE)*m2k))/'TCO Inputs'!$AZ$84</f>
        <v>2.432483687795604</v>
      </c>
      <c r="AH213" s="125">
        <f>AH157/293.07*(1/(VLOOKUP($H213,'Fuel economy adjusted factor'!$A$2:$F$52,5,FALSE)*m2k))/'TCO Inputs'!$AZ$84</f>
        <v>2.432483687795604</v>
      </c>
      <c r="AI213" s="125">
        <f>AI157/293.07*(1/(VLOOKUP($H213,'Fuel economy adjusted factor'!$A$2:$F$52,5,FALSE)*m2k))/'TCO Inputs'!$AZ$84</f>
        <v>2.432483687795604</v>
      </c>
      <c r="AJ213" s="125">
        <f>AJ157/293.07*(1/(VLOOKUP($H213,'Fuel economy adjusted factor'!$A$2:$F$52,5,FALSE)*m2k))/'TCO Inputs'!$AZ$84</f>
        <v>2.2796795388306412</v>
      </c>
      <c r="AK213" s="98" cm="1">
        <f t="array" ref="AK213">SUMPRODUCT(INDEX(I213:AJ213,,'TCO Inputs'!$AZ$12-2023+_xlfn.SEQUENCE('TCO Inputs'!$AZ$13)),INDEX(INDEX('VKT US'!$C$63:$AA$113,MATCH(H213,$H$169:$H$219,0),0),,_xlfn.SEQUENCE('TCO Inputs'!$AZ$13)))*m2k*CONVERT(0.9072,"g","ton")</f>
        <v>1.1091056710207718</v>
      </c>
    </row>
    <row r="214" spans="8:37" x14ac:dyDescent="0.25">
      <c r="H214" s="123" t="s">
        <v>227</v>
      </c>
      <c r="I214" s="125">
        <f>I158/293.07*(1/(VLOOKUP($H214,'Fuel economy adjusted factor'!$A$2:$F$52,5,FALSE)*m2k))/'TCO Inputs'!$AZ$84</f>
        <v>72.715264139260171</v>
      </c>
      <c r="J214" s="125">
        <f>J158/293.07*(1/(VLOOKUP($H214,'Fuel economy adjusted factor'!$A$2:$F$52,5,FALSE)*m2k))/'TCO Inputs'!$AZ$84</f>
        <v>72.715264139260171</v>
      </c>
      <c r="K214" s="125">
        <f>K158/293.07*(1/(VLOOKUP($H214,'Fuel economy adjusted factor'!$A$2:$F$52,5,FALSE)*m2k))/'TCO Inputs'!$AZ$84</f>
        <v>63.88594175596949</v>
      </c>
      <c r="L214" s="125">
        <f>L158/293.07*(1/(VLOOKUP($H214,'Fuel economy adjusted factor'!$A$2:$F$52,5,FALSE)*m2k))/'TCO Inputs'!$AZ$84</f>
        <v>63.88594175596949</v>
      </c>
      <c r="M214" s="125">
        <f>M158/293.07*(1/(VLOOKUP($H214,'Fuel economy adjusted factor'!$A$2:$F$52,5,FALSE)*m2k))/'TCO Inputs'!$AZ$84</f>
        <v>63.88594175596949</v>
      </c>
      <c r="N214" s="125">
        <f>N158/293.07*(1/(VLOOKUP($H214,'Fuel economy adjusted factor'!$A$2:$F$52,5,FALSE)*m2k))/'TCO Inputs'!$AZ$84</f>
        <v>63.88594175596949</v>
      </c>
      <c r="O214" s="125">
        <f>O158/293.07*(1/(VLOOKUP($H214,'Fuel economy adjusted factor'!$A$2:$F$52,5,FALSE)*m2k))/'TCO Inputs'!$AZ$84</f>
        <v>63.88594175596949</v>
      </c>
      <c r="P214" s="125">
        <f>P158/293.07*(1/(VLOOKUP($H214,'Fuel economy adjusted factor'!$A$2:$F$52,5,FALSE)*m2k))/'TCO Inputs'!$AZ$84</f>
        <v>38.949102072265767</v>
      </c>
      <c r="Q214" s="125">
        <f>Q158/293.07*(1/(VLOOKUP($H214,'Fuel economy adjusted factor'!$A$2:$F$52,5,FALSE)*m2k))/'TCO Inputs'!$AZ$84</f>
        <v>38.949102072265767</v>
      </c>
      <c r="R214" s="125">
        <f>R158/293.07*(1/(VLOOKUP($H214,'Fuel economy adjusted factor'!$A$2:$F$52,5,FALSE)*m2k))/'TCO Inputs'!$AZ$84</f>
        <v>38.949102072265767</v>
      </c>
      <c r="S214" s="125">
        <f>S158/293.07*(1/(VLOOKUP($H214,'Fuel economy adjusted factor'!$A$2:$F$52,5,FALSE)*m2k))/'TCO Inputs'!$AZ$84</f>
        <v>38.949102072265767</v>
      </c>
      <c r="T214" s="125">
        <f>T158/293.07*(1/(VLOOKUP($H214,'Fuel economy adjusted factor'!$A$2:$F$52,5,FALSE)*m2k))/'TCO Inputs'!$AZ$84</f>
        <v>38.949102072265767</v>
      </c>
      <c r="U214" s="125">
        <f>U158/293.07*(1/(VLOOKUP($H214,'Fuel economy adjusted factor'!$A$2:$F$52,5,FALSE)*m2k))/'TCO Inputs'!$AZ$84</f>
        <v>34.909894421925628</v>
      </c>
      <c r="V214" s="125">
        <f>V158/293.07*(1/(VLOOKUP($H214,'Fuel economy adjusted factor'!$A$2:$F$52,5,FALSE)*m2k))/'TCO Inputs'!$AZ$84</f>
        <v>34.909894421925628</v>
      </c>
      <c r="W214" s="125">
        <f>W158/293.07*(1/(VLOOKUP($H214,'Fuel economy adjusted factor'!$A$2:$F$52,5,FALSE)*m2k))/'TCO Inputs'!$AZ$84</f>
        <v>34.909894421925628</v>
      </c>
      <c r="X214" s="125">
        <f>X158/293.07*(1/(VLOOKUP($H214,'Fuel economy adjusted factor'!$A$2:$F$52,5,FALSE)*m2k))/'TCO Inputs'!$AZ$84</f>
        <v>34.909894421925628</v>
      </c>
      <c r="Y214" s="125">
        <f>Y158/293.07*(1/(VLOOKUP($H214,'Fuel economy adjusted factor'!$A$2:$F$52,5,FALSE)*m2k))/'TCO Inputs'!$AZ$84</f>
        <v>34.909894421925628</v>
      </c>
      <c r="Z214" s="125">
        <f>Z158/293.07*(1/(VLOOKUP($H214,'Fuel economy adjusted factor'!$A$2:$F$52,5,FALSE)*m2k))/'TCO Inputs'!$AZ$84</f>
        <v>33.683226060855347</v>
      </c>
      <c r="AA214" s="125">
        <f>AA158/293.07*(1/(VLOOKUP($H214,'Fuel economy adjusted factor'!$A$2:$F$52,5,FALSE)*m2k))/'TCO Inputs'!$AZ$84</f>
        <v>33.683226060855347</v>
      </c>
      <c r="AB214" s="125">
        <f>AB158/293.07*(1/(VLOOKUP($H214,'Fuel economy adjusted factor'!$A$2:$F$52,5,FALSE)*m2k))/'TCO Inputs'!$AZ$84</f>
        <v>33.683226060855347</v>
      </c>
      <c r="AC214" s="125">
        <f>AC158/293.07*(1/(VLOOKUP($H214,'Fuel economy adjusted factor'!$A$2:$F$52,5,FALSE)*m2k))/'TCO Inputs'!$AZ$84</f>
        <v>33.683226060855347</v>
      </c>
      <c r="AD214" s="125">
        <f>AD158/293.07*(1/(VLOOKUP($H214,'Fuel economy adjusted factor'!$A$2:$F$52,5,FALSE)*m2k))/'TCO Inputs'!$AZ$84</f>
        <v>33.683226060855347</v>
      </c>
      <c r="AE214" s="125">
        <f>AE158/293.07*(1/(VLOOKUP($H214,'Fuel economy adjusted factor'!$A$2:$F$52,5,FALSE)*m2k))/'TCO Inputs'!$AZ$84</f>
        <v>32.364095260508414</v>
      </c>
      <c r="AF214" s="125">
        <f>AF158/293.07*(1/(VLOOKUP($H214,'Fuel economy adjusted factor'!$A$2:$F$52,5,FALSE)*m2k))/'TCO Inputs'!$AZ$84</f>
        <v>32.364095260508414</v>
      </c>
      <c r="AG214" s="125">
        <f>AG158/293.07*(1/(VLOOKUP($H214,'Fuel economy adjusted factor'!$A$2:$F$52,5,FALSE)*m2k))/'TCO Inputs'!$AZ$84</f>
        <v>32.364095260508414</v>
      </c>
      <c r="AH214" s="125">
        <f>AH158/293.07*(1/(VLOOKUP($H214,'Fuel economy adjusted factor'!$A$2:$F$52,5,FALSE)*m2k))/'TCO Inputs'!$AZ$84</f>
        <v>32.364095260508414</v>
      </c>
      <c r="AI214" s="125">
        <f>AI158/293.07*(1/(VLOOKUP($H214,'Fuel economy adjusted factor'!$A$2:$F$52,5,FALSE)*m2k))/'TCO Inputs'!$AZ$84</f>
        <v>32.364095260508414</v>
      </c>
      <c r="AJ214" s="125">
        <f>AJ158/293.07*(1/(VLOOKUP($H214,'Fuel economy adjusted factor'!$A$2:$F$52,5,FALSE)*m2k))/'TCO Inputs'!$AZ$84</f>
        <v>30.331042353261736</v>
      </c>
      <c r="AK214" s="98" cm="1">
        <f t="array" ref="AK214">SUMPRODUCT(INDEX(I214:AJ214,,'TCO Inputs'!$AZ$12-2023+_xlfn.SEQUENCE('TCO Inputs'!$AZ$13)),INDEX(INDEX('VKT US'!$C$63:$AA$113,MATCH(H214,$H$169:$H$219,0),0),,_xlfn.SEQUENCE('TCO Inputs'!$AZ$13)))*m2k*CONVERT(0.9072,"g","ton")</f>
        <v>16.464440615904195</v>
      </c>
    </row>
    <row r="215" spans="8:37" x14ac:dyDescent="0.25">
      <c r="H215" s="123" t="s">
        <v>229</v>
      </c>
      <c r="I215" s="125">
        <f>I159/293.07*(1/(VLOOKUP($H215,'Fuel economy adjusted factor'!$A$2:$F$52,5,FALSE)*m2k))/'TCO Inputs'!$AZ$84</f>
        <v>35.553721193934599</v>
      </c>
      <c r="J215" s="125">
        <f>J159/293.07*(1/(VLOOKUP($H215,'Fuel economy adjusted factor'!$A$2:$F$52,5,FALSE)*m2k))/'TCO Inputs'!$AZ$84</f>
        <v>35.553721193934599</v>
      </c>
      <c r="K215" s="125">
        <f>K159/293.07*(1/(VLOOKUP($H215,'Fuel economy adjusted factor'!$A$2:$F$52,5,FALSE)*m2k))/'TCO Inputs'!$AZ$84</f>
        <v>31.23667345900936</v>
      </c>
      <c r="L215" s="125">
        <f>L159/293.07*(1/(VLOOKUP($H215,'Fuel economy adjusted factor'!$A$2:$F$52,5,FALSE)*m2k))/'TCO Inputs'!$AZ$84</f>
        <v>31.23667345900936</v>
      </c>
      <c r="M215" s="125">
        <f>M159/293.07*(1/(VLOOKUP($H215,'Fuel economy adjusted factor'!$A$2:$F$52,5,FALSE)*m2k))/'TCO Inputs'!$AZ$84</f>
        <v>31.23667345900936</v>
      </c>
      <c r="N215" s="125">
        <f>N159/293.07*(1/(VLOOKUP($H215,'Fuel economy adjusted factor'!$A$2:$F$52,5,FALSE)*m2k))/'TCO Inputs'!$AZ$84</f>
        <v>31.23667345900936</v>
      </c>
      <c r="O215" s="125">
        <f>O159/293.07*(1/(VLOOKUP($H215,'Fuel economy adjusted factor'!$A$2:$F$52,5,FALSE)*m2k))/'TCO Inputs'!$AZ$84</f>
        <v>31.23667345900936</v>
      </c>
      <c r="P215" s="125">
        <f>P159/293.07*(1/(VLOOKUP($H215,'Fuel economy adjusted factor'!$A$2:$F$52,5,FALSE)*m2k))/'TCO Inputs'!$AZ$84</f>
        <v>19.043945342471346</v>
      </c>
      <c r="Q215" s="125">
        <f>Q159/293.07*(1/(VLOOKUP($H215,'Fuel economy adjusted factor'!$A$2:$F$52,5,FALSE)*m2k))/'TCO Inputs'!$AZ$84</f>
        <v>19.043945342471346</v>
      </c>
      <c r="R215" s="125">
        <f>R159/293.07*(1/(VLOOKUP($H215,'Fuel economy adjusted factor'!$A$2:$F$52,5,FALSE)*m2k))/'TCO Inputs'!$AZ$84</f>
        <v>19.043945342471346</v>
      </c>
      <c r="S215" s="125">
        <f>S159/293.07*(1/(VLOOKUP($H215,'Fuel economy adjusted factor'!$A$2:$F$52,5,FALSE)*m2k))/'TCO Inputs'!$AZ$84</f>
        <v>19.043945342471346</v>
      </c>
      <c r="T215" s="125">
        <f>T159/293.07*(1/(VLOOKUP($H215,'Fuel economy adjusted factor'!$A$2:$F$52,5,FALSE)*m2k))/'TCO Inputs'!$AZ$84</f>
        <v>19.043945342471346</v>
      </c>
      <c r="U215" s="125">
        <f>U159/293.07*(1/(VLOOKUP($H215,'Fuel economy adjusted factor'!$A$2:$F$52,5,FALSE)*m2k))/'TCO Inputs'!$AZ$84</f>
        <v>17.068997381482447</v>
      </c>
      <c r="V215" s="125">
        <f>V159/293.07*(1/(VLOOKUP($H215,'Fuel economy adjusted factor'!$A$2:$F$52,5,FALSE)*m2k))/'TCO Inputs'!$AZ$84</f>
        <v>17.068997381482447</v>
      </c>
      <c r="W215" s="125">
        <f>W159/293.07*(1/(VLOOKUP($H215,'Fuel economy adjusted factor'!$A$2:$F$52,5,FALSE)*m2k))/'TCO Inputs'!$AZ$84</f>
        <v>17.068997381482447</v>
      </c>
      <c r="X215" s="125">
        <f>X159/293.07*(1/(VLOOKUP($H215,'Fuel economy adjusted factor'!$A$2:$F$52,5,FALSE)*m2k))/'TCO Inputs'!$AZ$84</f>
        <v>17.068997381482447</v>
      </c>
      <c r="Y215" s="125">
        <f>Y159/293.07*(1/(VLOOKUP($H215,'Fuel economy adjusted factor'!$A$2:$F$52,5,FALSE)*m2k))/'TCO Inputs'!$AZ$84</f>
        <v>17.068997381482447</v>
      </c>
      <c r="Z215" s="125">
        <f>Z159/293.07*(1/(VLOOKUP($H215,'Fuel economy adjusted factor'!$A$2:$F$52,5,FALSE)*m2k))/'TCO Inputs'!$AZ$84</f>
        <v>16.469224755704879</v>
      </c>
      <c r="AA215" s="125">
        <f>AA159/293.07*(1/(VLOOKUP($H215,'Fuel economy adjusted factor'!$A$2:$F$52,5,FALSE)*m2k))/'TCO Inputs'!$AZ$84</f>
        <v>16.469224755704879</v>
      </c>
      <c r="AB215" s="125">
        <f>AB159/293.07*(1/(VLOOKUP($H215,'Fuel economy adjusted factor'!$A$2:$F$52,5,FALSE)*m2k))/'TCO Inputs'!$AZ$84</f>
        <v>16.469224755704879</v>
      </c>
      <c r="AC215" s="125">
        <f>AC159/293.07*(1/(VLOOKUP($H215,'Fuel economy adjusted factor'!$A$2:$F$52,5,FALSE)*m2k))/'TCO Inputs'!$AZ$84</f>
        <v>16.469224755704879</v>
      </c>
      <c r="AD215" s="125">
        <f>AD159/293.07*(1/(VLOOKUP($H215,'Fuel economy adjusted factor'!$A$2:$F$52,5,FALSE)*m2k))/'TCO Inputs'!$AZ$84</f>
        <v>16.469224755704879</v>
      </c>
      <c r="AE215" s="125">
        <f>AE159/293.07*(1/(VLOOKUP($H215,'Fuel economy adjusted factor'!$A$2:$F$52,5,FALSE)*m2k))/'TCO Inputs'!$AZ$84</f>
        <v>15.824243138034529</v>
      </c>
      <c r="AF215" s="125">
        <f>AF159/293.07*(1/(VLOOKUP($H215,'Fuel economy adjusted factor'!$A$2:$F$52,5,FALSE)*m2k))/'TCO Inputs'!$AZ$84</f>
        <v>15.824243138034529</v>
      </c>
      <c r="AG215" s="125">
        <f>AG159/293.07*(1/(VLOOKUP($H215,'Fuel economy adjusted factor'!$A$2:$F$52,5,FALSE)*m2k))/'TCO Inputs'!$AZ$84</f>
        <v>15.824243138034529</v>
      </c>
      <c r="AH215" s="125">
        <f>AH159/293.07*(1/(VLOOKUP($H215,'Fuel economy adjusted factor'!$A$2:$F$52,5,FALSE)*m2k))/'TCO Inputs'!$AZ$84</f>
        <v>15.824243138034529</v>
      </c>
      <c r="AI215" s="125">
        <f>AI159/293.07*(1/(VLOOKUP($H215,'Fuel economy adjusted factor'!$A$2:$F$52,5,FALSE)*m2k))/'TCO Inputs'!$AZ$84</f>
        <v>15.824243138034529</v>
      </c>
      <c r="AJ215" s="125">
        <f>AJ159/293.07*(1/(VLOOKUP($H215,'Fuel economy adjusted factor'!$A$2:$F$52,5,FALSE)*m2k))/'TCO Inputs'!$AZ$84</f>
        <v>14.830193304173857</v>
      </c>
      <c r="AK215" s="98" cm="1">
        <f t="array" ref="AK215">SUMPRODUCT(INDEX(I215:AJ215,,'TCO Inputs'!$AZ$12-2023+_xlfn.SEQUENCE('TCO Inputs'!$AZ$13)),INDEX(INDEX('VKT US'!$C$63:$AA$113,MATCH(H215,$H$169:$H$219,0),0),,_xlfn.SEQUENCE('TCO Inputs'!$AZ$13)))*m2k*CONVERT(0.9072,"g","ton")</f>
        <v>6.0749601226447671</v>
      </c>
    </row>
    <row r="216" spans="8:37" x14ac:dyDescent="0.25">
      <c r="H216" s="123" t="s">
        <v>159</v>
      </c>
      <c r="I216" s="125">
        <f>I160/293.07*(1/(VLOOKUP($H216,'Fuel economy adjusted factor'!$A$2:$F$52,5,FALSE)*m2k))/'TCO Inputs'!$AZ$84</f>
        <v>236.07423664356753</v>
      </c>
      <c r="J216" s="125">
        <f>J160/293.07*(1/(VLOOKUP($H216,'Fuel economy adjusted factor'!$A$2:$F$52,5,FALSE)*m2k))/'TCO Inputs'!$AZ$84</f>
        <v>236.07423664356753</v>
      </c>
      <c r="K216" s="125">
        <f>K160/293.07*(1/(VLOOKUP($H216,'Fuel economy adjusted factor'!$A$2:$F$52,5,FALSE)*m2k))/'TCO Inputs'!$AZ$84</f>
        <v>207.40933985211211</v>
      </c>
      <c r="L216" s="125">
        <f>L160/293.07*(1/(VLOOKUP($H216,'Fuel economy adjusted factor'!$A$2:$F$52,5,FALSE)*m2k))/'TCO Inputs'!$AZ$84</f>
        <v>207.40933985211211</v>
      </c>
      <c r="M216" s="125">
        <f>M160/293.07*(1/(VLOOKUP($H216,'Fuel economy adjusted factor'!$A$2:$F$52,5,FALSE)*m2k))/'TCO Inputs'!$AZ$84</f>
        <v>207.40933985211211</v>
      </c>
      <c r="N216" s="125">
        <f>N160/293.07*(1/(VLOOKUP($H216,'Fuel economy adjusted factor'!$A$2:$F$52,5,FALSE)*m2k))/'TCO Inputs'!$AZ$84</f>
        <v>207.40933985211211</v>
      </c>
      <c r="O216" s="125">
        <f>O160/293.07*(1/(VLOOKUP($H216,'Fuel economy adjusted factor'!$A$2:$F$52,5,FALSE)*m2k))/'TCO Inputs'!$AZ$84</f>
        <v>207.40933985211211</v>
      </c>
      <c r="P216" s="125">
        <f>P160/293.07*(1/(VLOOKUP($H216,'Fuel economy adjusted factor'!$A$2:$F$52,5,FALSE)*m2k))/'TCO Inputs'!$AZ$84</f>
        <v>126.45047293031929</v>
      </c>
      <c r="Q216" s="125">
        <f>Q160/293.07*(1/(VLOOKUP($H216,'Fuel economy adjusted factor'!$A$2:$F$52,5,FALSE)*m2k))/'TCO Inputs'!$AZ$84</f>
        <v>126.45047293031929</v>
      </c>
      <c r="R216" s="125">
        <f>R160/293.07*(1/(VLOOKUP($H216,'Fuel economy adjusted factor'!$A$2:$F$52,5,FALSE)*m2k))/'TCO Inputs'!$AZ$84</f>
        <v>126.45047293031929</v>
      </c>
      <c r="S216" s="125">
        <f>S160/293.07*(1/(VLOOKUP($H216,'Fuel economy adjusted factor'!$A$2:$F$52,5,FALSE)*m2k))/'TCO Inputs'!$AZ$84</f>
        <v>126.45047293031929</v>
      </c>
      <c r="T216" s="125">
        <f>T160/293.07*(1/(VLOOKUP($H216,'Fuel economy adjusted factor'!$A$2:$F$52,5,FALSE)*m2k))/'TCO Inputs'!$AZ$84</f>
        <v>126.45047293031929</v>
      </c>
      <c r="U216" s="125">
        <f>U160/293.07*(1/(VLOOKUP($H216,'Fuel economy adjusted factor'!$A$2:$F$52,5,FALSE)*m2k))/'TCO Inputs'!$AZ$84</f>
        <v>113.33695578936914</v>
      </c>
      <c r="V216" s="125">
        <f>V160/293.07*(1/(VLOOKUP($H216,'Fuel economy adjusted factor'!$A$2:$F$52,5,FALSE)*m2k))/'TCO Inputs'!$AZ$84</f>
        <v>113.33695578936914</v>
      </c>
      <c r="W216" s="125">
        <f>W160/293.07*(1/(VLOOKUP($H216,'Fuel economy adjusted factor'!$A$2:$F$52,5,FALSE)*m2k))/'TCO Inputs'!$AZ$84</f>
        <v>113.33695578936914</v>
      </c>
      <c r="X216" s="125">
        <f>X160/293.07*(1/(VLOOKUP($H216,'Fuel economy adjusted factor'!$A$2:$F$52,5,FALSE)*m2k))/'TCO Inputs'!$AZ$84</f>
        <v>113.33695578936914</v>
      </c>
      <c r="Y216" s="125">
        <f>Y160/293.07*(1/(VLOOKUP($H216,'Fuel economy adjusted factor'!$A$2:$F$52,5,FALSE)*m2k))/'TCO Inputs'!$AZ$84</f>
        <v>113.33695578936914</v>
      </c>
      <c r="Z216" s="125">
        <f>Z160/293.07*(1/(VLOOKUP($H216,'Fuel economy adjusted factor'!$A$2:$F$52,5,FALSE)*m2k))/'TCO Inputs'!$AZ$84</f>
        <v>109.35450725696901</v>
      </c>
      <c r="AA216" s="125">
        <f>AA160/293.07*(1/(VLOOKUP($H216,'Fuel economy adjusted factor'!$A$2:$F$52,5,FALSE)*m2k))/'TCO Inputs'!$AZ$84</f>
        <v>109.35450725696901</v>
      </c>
      <c r="AB216" s="125">
        <f>AB160/293.07*(1/(VLOOKUP($H216,'Fuel economy adjusted factor'!$A$2:$F$52,5,FALSE)*m2k))/'TCO Inputs'!$AZ$84</f>
        <v>109.35450725696901</v>
      </c>
      <c r="AC216" s="125">
        <f>AC160/293.07*(1/(VLOOKUP($H216,'Fuel economy adjusted factor'!$A$2:$F$52,5,FALSE)*m2k))/'TCO Inputs'!$AZ$84</f>
        <v>109.35450725696901</v>
      </c>
      <c r="AD216" s="125">
        <f>AD160/293.07*(1/(VLOOKUP($H216,'Fuel economy adjusted factor'!$A$2:$F$52,5,FALSE)*m2k))/'TCO Inputs'!$AZ$84</f>
        <v>109.35450725696901</v>
      </c>
      <c r="AE216" s="125">
        <f>AE160/293.07*(1/(VLOOKUP($H216,'Fuel economy adjusted factor'!$A$2:$F$52,5,FALSE)*m2k))/'TCO Inputs'!$AZ$84</f>
        <v>105.07187416182519</v>
      </c>
      <c r="AF216" s="125">
        <f>AF160/293.07*(1/(VLOOKUP($H216,'Fuel economy adjusted factor'!$A$2:$F$52,5,FALSE)*m2k))/'TCO Inputs'!$AZ$84</f>
        <v>105.07187416182519</v>
      </c>
      <c r="AG216" s="125">
        <f>AG160/293.07*(1/(VLOOKUP($H216,'Fuel economy adjusted factor'!$A$2:$F$52,5,FALSE)*m2k))/'TCO Inputs'!$AZ$84</f>
        <v>105.07187416182519</v>
      </c>
      <c r="AH216" s="125">
        <f>AH160/293.07*(1/(VLOOKUP($H216,'Fuel economy adjusted factor'!$A$2:$F$52,5,FALSE)*m2k))/'TCO Inputs'!$AZ$84</f>
        <v>105.07187416182519</v>
      </c>
      <c r="AI216" s="125">
        <f>AI160/293.07*(1/(VLOOKUP($H216,'Fuel economy adjusted factor'!$A$2:$F$52,5,FALSE)*m2k))/'TCO Inputs'!$AZ$84</f>
        <v>105.07187416182519</v>
      </c>
      <c r="AJ216" s="125">
        <f>AJ160/293.07*(1/(VLOOKUP($H216,'Fuel economy adjusted factor'!$A$2:$F$52,5,FALSE)*m2k))/'TCO Inputs'!$AZ$84</f>
        <v>98.47145238222376</v>
      </c>
      <c r="AK216" s="98" cm="1">
        <f t="array" ref="AK216">SUMPRODUCT(INDEX(I216:AJ216,,'TCO Inputs'!$AZ$12-2023+_xlfn.SEQUENCE('TCO Inputs'!$AZ$13)),INDEX(INDEX('VKT US'!$C$63:$AA$113,MATCH(H216,$H$169:$H$219,0),0),,_xlfn.SEQUENCE('TCO Inputs'!$AZ$13)))*m2k*CONVERT(0.9072,"g","ton")</f>
        <v>62.173028686887449</v>
      </c>
    </row>
    <row r="217" spans="8:37" x14ac:dyDescent="0.25">
      <c r="H217" s="123" t="s">
        <v>158</v>
      </c>
      <c r="I217" s="125">
        <f>I161/293.07*(1/(VLOOKUP($H217,'Fuel economy adjusted factor'!$A$2:$F$52,5,FALSE)*m2k))/'TCO Inputs'!$AZ$84</f>
        <v>153.24274158458348</v>
      </c>
      <c r="J217" s="125">
        <f>J161/293.07*(1/(VLOOKUP($H217,'Fuel economy adjusted factor'!$A$2:$F$52,5,FALSE)*m2k))/'TCO Inputs'!$AZ$84</f>
        <v>153.24274158458348</v>
      </c>
      <c r="K217" s="125">
        <f>K161/293.07*(1/(VLOOKUP($H217,'Fuel economy adjusted factor'!$A$2:$F$52,5,FALSE)*m2k))/'TCO Inputs'!$AZ$84</f>
        <v>134.63551262976122</v>
      </c>
      <c r="L217" s="125">
        <f>L161/293.07*(1/(VLOOKUP($H217,'Fuel economy adjusted factor'!$A$2:$F$52,5,FALSE)*m2k))/'TCO Inputs'!$AZ$84</f>
        <v>134.63551262976122</v>
      </c>
      <c r="M217" s="125">
        <f>M161/293.07*(1/(VLOOKUP($H217,'Fuel economy adjusted factor'!$A$2:$F$52,5,FALSE)*m2k))/'TCO Inputs'!$AZ$84</f>
        <v>134.63551262976122</v>
      </c>
      <c r="N217" s="125">
        <f>N161/293.07*(1/(VLOOKUP($H217,'Fuel economy adjusted factor'!$A$2:$F$52,5,FALSE)*m2k))/'TCO Inputs'!$AZ$84</f>
        <v>134.63551262976122</v>
      </c>
      <c r="O217" s="125">
        <f>O161/293.07*(1/(VLOOKUP($H217,'Fuel economy adjusted factor'!$A$2:$F$52,5,FALSE)*m2k))/'TCO Inputs'!$AZ$84</f>
        <v>134.63551262976122</v>
      </c>
      <c r="P217" s="125">
        <f>P161/293.07*(1/(VLOOKUP($H217,'Fuel economy adjusted factor'!$A$2:$F$52,5,FALSE)*m2k))/'TCO Inputs'!$AZ$84</f>
        <v>82.082727120139936</v>
      </c>
      <c r="Q217" s="125">
        <f>Q161/293.07*(1/(VLOOKUP($H217,'Fuel economy adjusted factor'!$A$2:$F$52,5,FALSE)*m2k))/'TCO Inputs'!$AZ$84</f>
        <v>82.082727120139936</v>
      </c>
      <c r="R217" s="125">
        <f>R161/293.07*(1/(VLOOKUP($H217,'Fuel economy adjusted factor'!$A$2:$F$52,5,FALSE)*m2k))/'TCO Inputs'!$AZ$84</f>
        <v>82.082727120139936</v>
      </c>
      <c r="S217" s="125">
        <f>S161/293.07*(1/(VLOOKUP($H217,'Fuel economy adjusted factor'!$A$2:$F$52,5,FALSE)*m2k))/'TCO Inputs'!$AZ$84</f>
        <v>82.082727120139936</v>
      </c>
      <c r="T217" s="125">
        <f>T161/293.07*(1/(VLOOKUP($H217,'Fuel economy adjusted factor'!$A$2:$F$52,5,FALSE)*m2k))/'TCO Inputs'!$AZ$84</f>
        <v>82.082727120139936</v>
      </c>
      <c r="U217" s="125">
        <f>U161/293.07*(1/(VLOOKUP($H217,'Fuel economy adjusted factor'!$A$2:$F$52,5,FALSE)*m2k))/'TCO Inputs'!$AZ$84</f>
        <v>73.570356829053395</v>
      </c>
      <c r="V217" s="125">
        <f>V161/293.07*(1/(VLOOKUP($H217,'Fuel economy adjusted factor'!$A$2:$F$52,5,FALSE)*m2k))/'TCO Inputs'!$AZ$84</f>
        <v>73.570356829053395</v>
      </c>
      <c r="W217" s="125">
        <f>W161/293.07*(1/(VLOOKUP($H217,'Fuel economy adjusted factor'!$A$2:$F$52,5,FALSE)*m2k))/'TCO Inputs'!$AZ$84</f>
        <v>73.570356829053395</v>
      </c>
      <c r="X217" s="125">
        <f>X161/293.07*(1/(VLOOKUP($H217,'Fuel economy adjusted factor'!$A$2:$F$52,5,FALSE)*m2k))/'TCO Inputs'!$AZ$84</f>
        <v>73.570356829053395</v>
      </c>
      <c r="Y217" s="125">
        <f>Y161/293.07*(1/(VLOOKUP($H217,'Fuel economy adjusted factor'!$A$2:$F$52,5,FALSE)*m2k))/'TCO Inputs'!$AZ$84</f>
        <v>73.570356829053395</v>
      </c>
      <c r="Z217" s="125">
        <f>Z161/293.07*(1/(VLOOKUP($H217,'Fuel economy adjusted factor'!$A$2:$F$52,5,FALSE)*m2k))/'TCO Inputs'!$AZ$84</f>
        <v>70.985232166568878</v>
      </c>
      <c r="AA217" s="125">
        <f>AA161/293.07*(1/(VLOOKUP($H217,'Fuel economy adjusted factor'!$A$2:$F$52,5,FALSE)*m2k))/'TCO Inputs'!$AZ$84</f>
        <v>70.985232166568878</v>
      </c>
      <c r="AB217" s="125">
        <f>AB161/293.07*(1/(VLOOKUP($H217,'Fuel economy adjusted factor'!$A$2:$F$52,5,FALSE)*m2k))/'TCO Inputs'!$AZ$84</f>
        <v>70.985232166568878</v>
      </c>
      <c r="AC217" s="125">
        <f>AC161/293.07*(1/(VLOOKUP($H217,'Fuel economy adjusted factor'!$A$2:$F$52,5,FALSE)*m2k))/'TCO Inputs'!$AZ$84</f>
        <v>70.985232166568878</v>
      </c>
      <c r="AD217" s="125">
        <f>AD161/293.07*(1/(VLOOKUP($H217,'Fuel economy adjusted factor'!$A$2:$F$52,5,FALSE)*m2k))/'TCO Inputs'!$AZ$84</f>
        <v>70.985232166568878</v>
      </c>
      <c r="AE217" s="125">
        <f>AE161/293.07*(1/(VLOOKUP($H217,'Fuel economy adjusted factor'!$A$2:$F$52,5,FALSE)*m2k))/'TCO Inputs'!$AZ$84</f>
        <v>68.20524886118352</v>
      </c>
      <c r="AF217" s="125">
        <f>AF161/293.07*(1/(VLOOKUP($H217,'Fuel economy adjusted factor'!$A$2:$F$52,5,FALSE)*m2k))/'TCO Inputs'!$AZ$84</f>
        <v>68.20524886118352</v>
      </c>
      <c r="AG217" s="125">
        <f>AG161/293.07*(1/(VLOOKUP($H217,'Fuel economy adjusted factor'!$A$2:$F$52,5,FALSE)*m2k))/'TCO Inputs'!$AZ$84</f>
        <v>68.20524886118352</v>
      </c>
      <c r="AH217" s="125">
        <f>AH161/293.07*(1/(VLOOKUP($H217,'Fuel economy adjusted factor'!$A$2:$F$52,5,FALSE)*m2k))/'TCO Inputs'!$AZ$84</f>
        <v>68.20524886118352</v>
      </c>
      <c r="AI217" s="125">
        <f>AI161/293.07*(1/(VLOOKUP($H217,'Fuel economy adjusted factor'!$A$2:$F$52,5,FALSE)*m2k))/'TCO Inputs'!$AZ$84</f>
        <v>68.20524886118352</v>
      </c>
      <c r="AJ217" s="125">
        <f>AJ161/293.07*(1/(VLOOKUP($H217,'Fuel economy adjusted factor'!$A$2:$F$52,5,FALSE)*m2k))/'TCO Inputs'!$AZ$84</f>
        <v>63.920720640309248</v>
      </c>
      <c r="AK217" s="98" cm="1">
        <f t="array" ref="AK217">SUMPRODUCT(INDEX(I217:AJ217,,'TCO Inputs'!$AZ$12-2023+_xlfn.SEQUENCE('TCO Inputs'!$AZ$13)),INDEX(INDEX('VKT US'!$C$63:$AA$113,MATCH(H217,$H$169:$H$219,0),0),,_xlfn.SEQUENCE('TCO Inputs'!$AZ$13)))*m2k*CONVERT(0.9072,"g","ton")</f>
        <v>36.92898528530489</v>
      </c>
    </row>
    <row r="218" spans="8:37" x14ac:dyDescent="0.25">
      <c r="H218" s="123" t="s">
        <v>160</v>
      </c>
      <c r="I218" s="125">
        <f>I162/293.07*(1/(VLOOKUP($H218,'Fuel economy adjusted factor'!$A$2:$F$52,5,FALSE)*m2k))/'TCO Inputs'!$AZ$84</f>
        <v>216.22161368552423</v>
      </c>
      <c r="J218" s="125">
        <f>J162/293.07*(1/(VLOOKUP($H218,'Fuel economy adjusted factor'!$A$2:$F$52,5,FALSE)*m2k))/'TCO Inputs'!$AZ$84</f>
        <v>216.22161368552423</v>
      </c>
      <c r="K218" s="125">
        <f>K162/293.07*(1/(VLOOKUP($H218,'Fuel economy adjusted factor'!$A$2:$F$52,5,FALSE)*m2k))/'TCO Inputs'!$AZ$84</f>
        <v>189.96728653615639</v>
      </c>
      <c r="L218" s="125">
        <f>L162/293.07*(1/(VLOOKUP($H218,'Fuel economy adjusted factor'!$A$2:$F$52,5,FALSE)*m2k))/'TCO Inputs'!$AZ$84</f>
        <v>189.96728653615639</v>
      </c>
      <c r="M218" s="125">
        <f>M162/293.07*(1/(VLOOKUP($H218,'Fuel economy adjusted factor'!$A$2:$F$52,5,FALSE)*m2k))/'TCO Inputs'!$AZ$84</f>
        <v>189.96728653615639</v>
      </c>
      <c r="N218" s="125">
        <f>N162/293.07*(1/(VLOOKUP($H218,'Fuel economy adjusted factor'!$A$2:$F$52,5,FALSE)*m2k))/'TCO Inputs'!$AZ$84</f>
        <v>189.96728653615639</v>
      </c>
      <c r="O218" s="125">
        <f>O162/293.07*(1/(VLOOKUP($H218,'Fuel economy adjusted factor'!$A$2:$F$52,5,FALSE)*m2k))/'TCO Inputs'!$AZ$84</f>
        <v>189.96728653615639</v>
      </c>
      <c r="P218" s="125">
        <f>P162/293.07*(1/(VLOOKUP($H218,'Fuel economy adjusted factor'!$A$2:$F$52,5,FALSE)*m2k))/'TCO Inputs'!$AZ$84</f>
        <v>115.81664182005659</v>
      </c>
      <c r="Q218" s="125">
        <f>Q162/293.07*(1/(VLOOKUP($H218,'Fuel economy adjusted factor'!$A$2:$F$52,5,FALSE)*m2k))/'TCO Inputs'!$AZ$84</f>
        <v>115.81664182005659</v>
      </c>
      <c r="R218" s="125">
        <f>R162/293.07*(1/(VLOOKUP($H218,'Fuel economy adjusted factor'!$A$2:$F$52,5,FALSE)*m2k))/'TCO Inputs'!$AZ$84</f>
        <v>115.81664182005659</v>
      </c>
      <c r="S218" s="125">
        <f>S162/293.07*(1/(VLOOKUP($H218,'Fuel economy adjusted factor'!$A$2:$F$52,5,FALSE)*m2k))/'TCO Inputs'!$AZ$84</f>
        <v>115.81664182005659</v>
      </c>
      <c r="T218" s="125">
        <f>T162/293.07*(1/(VLOOKUP($H218,'Fuel economy adjusted factor'!$A$2:$F$52,5,FALSE)*m2k))/'TCO Inputs'!$AZ$84</f>
        <v>115.81664182005659</v>
      </c>
      <c r="U218" s="125">
        <f>U162/293.07*(1/(VLOOKUP($H218,'Fuel economy adjusted factor'!$A$2:$F$52,5,FALSE)*m2k))/'TCO Inputs'!$AZ$84</f>
        <v>103.80590368267126</v>
      </c>
      <c r="V218" s="125">
        <f>V162/293.07*(1/(VLOOKUP($H218,'Fuel economy adjusted factor'!$A$2:$F$52,5,FALSE)*m2k))/'TCO Inputs'!$AZ$84</f>
        <v>103.80590368267126</v>
      </c>
      <c r="W218" s="125">
        <f>W162/293.07*(1/(VLOOKUP($H218,'Fuel economy adjusted factor'!$A$2:$F$52,5,FALSE)*m2k))/'TCO Inputs'!$AZ$84</f>
        <v>103.80590368267126</v>
      </c>
      <c r="X218" s="125">
        <f>X162/293.07*(1/(VLOOKUP($H218,'Fuel economy adjusted factor'!$A$2:$F$52,5,FALSE)*m2k))/'TCO Inputs'!$AZ$84</f>
        <v>103.80590368267126</v>
      </c>
      <c r="Y218" s="125">
        <f>Y162/293.07*(1/(VLOOKUP($H218,'Fuel economy adjusted factor'!$A$2:$F$52,5,FALSE)*m2k))/'TCO Inputs'!$AZ$84</f>
        <v>103.80590368267126</v>
      </c>
      <c r="Z218" s="125">
        <f>Z162/293.07*(1/(VLOOKUP($H218,'Fuel economy adjusted factor'!$A$2:$F$52,5,FALSE)*m2k))/'TCO Inputs'!$AZ$84</f>
        <v>100.15835848528828</v>
      </c>
      <c r="AA218" s="125">
        <f>AA162/293.07*(1/(VLOOKUP($H218,'Fuel economy adjusted factor'!$A$2:$F$52,5,FALSE)*m2k))/'TCO Inputs'!$AZ$84</f>
        <v>100.15835848528828</v>
      </c>
      <c r="AB218" s="125">
        <f>AB162/293.07*(1/(VLOOKUP($H218,'Fuel economy adjusted factor'!$A$2:$F$52,5,FALSE)*m2k))/'TCO Inputs'!$AZ$84</f>
        <v>100.15835848528828</v>
      </c>
      <c r="AC218" s="125">
        <f>AC162/293.07*(1/(VLOOKUP($H218,'Fuel economy adjusted factor'!$A$2:$F$52,5,FALSE)*m2k))/'TCO Inputs'!$AZ$84</f>
        <v>100.15835848528828</v>
      </c>
      <c r="AD218" s="125">
        <f>AD162/293.07*(1/(VLOOKUP($H218,'Fuel economy adjusted factor'!$A$2:$F$52,5,FALSE)*m2k))/'TCO Inputs'!$AZ$84</f>
        <v>100.15835848528828</v>
      </c>
      <c r="AE218" s="125">
        <f>AE162/293.07*(1/(VLOOKUP($H218,'Fuel economy adjusted factor'!$A$2:$F$52,5,FALSE)*m2k))/'TCO Inputs'!$AZ$84</f>
        <v>96.235872695137729</v>
      </c>
      <c r="AF218" s="125">
        <f>AF162/293.07*(1/(VLOOKUP($H218,'Fuel economy adjusted factor'!$A$2:$F$52,5,FALSE)*m2k))/'TCO Inputs'!$AZ$84</f>
        <v>96.235872695137729</v>
      </c>
      <c r="AG218" s="125">
        <f>AG162/293.07*(1/(VLOOKUP($H218,'Fuel economy adjusted factor'!$A$2:$F$52,5,FALSE)*m2k))/'TCO Inputs'!$AZ$84</f>
        <v>96.235872695137729</v>
      </c>
      <c r="AH218" s="125">
        <f>AH162/293.07*(1/(VLOOKUP($H218,'Fuel economy adjusted factor'!$A$2:$F$52,5,FALSE)*m2k))/'TCO Inputs'!$AZ$84</f>
        <v>96.235872695137729</v>
      </c>
      <c r="AI218" s="125">
        <f>AI162/293.07*(1/(VLOOKUP($H218,'Fuel economy adjusted factor'!$A$2:$F$52,5,FALSE)*m2k))/'TCO Inputs'!$AZ$84</f>
        <v>96.235872695137729</v>
      </c>
      <c r="AJ218" s="125">
        <f>AJ162/293.07*(1/(VLOOKUP($H218,'Fuel economy adjusted factor'!$A$2:$F$52,5,FALSE)*m2k))/'TCO Inputs'!$AZ$84</f>
        <v>90.190512267497041</v>
      </c>
      <c r="AK218" s="98" cm="1">
        <f t="array" ref="AK218">SUMPRODUCT(INDEX(I218:AJ218,,'TCO Inputs'!$AZ$12-2023+_xlfn.SEQUENCE('TCO Inputs'!$AZ$13)),INDEX(INDEX('VKT US'!$C$63:$AA$113,MATCH(H218,$H$169:$H$219,0),0),,_xlfn.SEQUENCE('TCO Inputs'!$AZ$13)))*m2k*CONVERT(0.9072,"g","ton")</f>
        <v>81.215900574087499</v>
      </c>
    </row>
    <row r="219" spans="8:37" x14ac:dyDescent="0.25">
      <c r="H219" s="124" t="s">
        <v>134</v>
      </c>
      <c r="I219" s="125">
        <f>I163/293.07*(1/(VLOOKUP($H219,'Fuel economy adjusted factor'!$A$2:$F$52,5,FALSE)*m2k))/'TCO Inputs'!$AZ$84</f>
        <v>105.865870006077</v>
      </c>
      <c r="J219" s="125">
        <f>J163/293.07*(1/(VLOOKUP($H219,'Fuel economy adjusted factor'!$A$2:$F$52,5,FALSE)*m2k))/'TCO Inputs'!$AZ$84</f>
        <v>105.865870006077</v>
      </c>
      <c r="K219" s="125">
        <f>K163/293.07*(1/(VLOOKUP($H219,'Fuel economy adjusted factor'!$A$2:$F$52,5,FALSE)*m2k))/'TCO Inputs'!$AZ$84</f>
        <v>93.011293917608597</v>
      </c>
      <c r="L219" s="125">
        <f>L163/293.07*(1/(VLOOKUP($H219,'Fuel economy adjusted factor'!$A$2:$F$52,5,FALSE)*m2k))/'TCO Inputs'!$AZ$84</f>
        <v>93.011293917608597</v>
      </c>
      <c r="M219" s="125">
        <f>M163/293.07*(1/(VLOOKUP($H219,'Fuel economy adjusted factor'!$A$2:$F$52,5,FALSE)*m2k))/'TCO Inputs'!$AZ$84</f>
        <v>93.011293917608597</v>
      </c>
      <c r="N219" s="125">
        <f>N163/293.07*(1/(VLOOKUP($H219,'Fuel economy adjusted factor'!$A$2:$F$52,5,FALSE)*m2k))/'TCO Inputs'!$AZ$84</f>
        <v>93.011293917608597</v>
      </c>
      <c r="O219" s="125">
        <f>O163/293.07*(1/(VLOOKUP($H219,'Fuel economy adjusted factor'!$A$2:$F$52,5,FALSE)*m2k))/'TCO Inputs'!$AZ$84</f>
        <v>93.011293917608597</v>
      </c>
      <c r="P219" s="125">
        <f>P163/293.07*(1/(VLOOKUP($H219,'Fuel economy adjusted factor'!$A$2:$F$52,5,FALSE)*m2k))/'TCO Inputs'!$AZ$84</f>
        <v>56.705846092218643</v>
      </c>
      <c r="Q219" s="125">
        <f>Q163/293.07*(1/(VLOOKUP($H219,'Fuel economy adjusted factor'!$A$2:$F$52,5,FALSE)*m2k))/'TCO Inputs'!$AZ$84</f>
        <v>56.705846092218643</v>
      </c>
      <c r="R219" s="125">
        <f>R163/293.07*(1/(VLOOKUP($H219,'Fuel economy adjusted factor'!$A$2:$F$52,5,FALSE)*m2k))/'TCO Inputs'!$AZ$84</f>
        <v>56.705846092218643</v>
      </c>
      <c r="S219" s="125">
        <f>S163/293.07*(1/(VLOOKUP($H219,'Fuel economy adjusted factor'!$A$2:$F$52,5,FALSE)*m2k))/'TCO Inputs'!$AZ$84</f>
        <v>56.705846092218643</v>
      </c>
      <c r="T219" s="125">
        <f>T163/293.07*(1/(VLOOKUP($H219,'Fuel economy adjusted factor'!$A$2:$F$52,5,FALSE)*m2k))/'TCO Inputs'!$AZ$84</f>
        <v>56.705846092218643</v>
      </c>
      <c r="U219" s="125">
        <f>U163/293.07*(1/(VLOOKUP($H219,'Fuel economy adjusted factor'!$A$2:$F$52,5,FALSE)*m2k))/'TCO Inputs'!$AZ$84</f>
        <v>50.825179397265579</v>
      </c>
      <c r="V219" s="125">
        <f>V163/293.07*(1/(VLOOKUP($H219,'Fuel economy adjusted factor'!$A$2:$F$52,5,FALSE)*m2k))/'TCO Inputs'!$AZ$84</f>
        <v>50.825179397265579</v>
      </c>
      <c r="W219" s="125">
        <f>W163/293.07*(1/(VLOOKUP($H219,'Fuel economy adjusted factor'!$A$2:$F$52,5,FALSE)*m2k))/'TCO Inputs'!$AZ$84</f>
        <v>50.825179397265579</v>
      </c>
      <c r="X219" s="125">
        <f>X163/293.07*(1/(VLOOKUP($H219,'Fuel economy adjusted factor'!$A$2:$F$52,5,FALSE)*m2k))/'TCO Inputs'!$AZ$84</f>
        <v>50.825179397265579</v>
      </c>
      <c r="Y219" s="125">
        <f>Y163/293.07*(1/(VLOOKUP($H219,'Fuel economy adjusted factor'!$A$2:$F$52,5,FALSE)*m2k))/'TCO Inputs'!$AZ$84</f>
        <v>50.825179397265579</v>
      </c>
      <c r="Z219" s="125">
        <f>Z163/293.07*(1/(VLOOKUP($H219,'Fuel economy adjusted factor'!$A$2:$F$52,5,FALSE)*m2k))/'TCO Inputs'!$AZ$84</f>
        <v>49.039277705360441</v>
      </c>
      <c r="AA219" s="125">
        <f>AA163/293.07*(1/(VLOOKUP($H219,'Fuel economy adjusted factor'!$A$2:$F$52,5,FALSE)*m2k))/'TCO Inputs'!$AZ$84</f>
        <v>49.039277705360441</v>
      </c>
      <c r="AB219" s="125">
        <f>AB163/293.07*(1/(VLOOKUP($H219,'Fuel economy adjusted factor'!$A$2:$F$52,5,FALSE)*m2k))/'TCO Inputs'!$AZ$84</f>
        <v>49.039277705360441</v>
      </c>
      <c r="AC219" s="125">
        <f>AC163/293.07*(1/(VLOOKUP($H219,'Fuel economy adjusted factor'!$A$2:$F$52,5,FALSE)*m2k))/'TCO Inputs'!$AZ$84</f>
        <v>49.039277705360441</v>
      </c>
      <c r="AD219" s="125">
        <f>AD163/293.07*(1/(VLOOKUP($H219,'Fuel economy adjusted factor'!$A$2:$F$52,5,FALSE)*m2k))/'TCO Inputs'!$AZ$84</f>
        <v>49.039277705360441</v>
      </c>
      <c r="AE219" s="125">
        <f>AE163/293.07*(1/(VLOOKUP($H219,'Fuel economy adjusted factor'!$A$2:$F$52,5,FALSE)*m2k))/'TCO Inputs'!$AZ$84</f>
        <v>47.11876030803532</v>
      </c>
      <c r="AF219" s="125">
        <f>AF163/293.07*(1/(VLOOKUP($H219,'Fuel economy adjusted factor'!$A$2:$F$52,5,FALSE)*m2k))/'TCO Inputs'!$AZ$84</f>
        <v>47.11876030803532</v>
      </c>
      <c r="AG219" s="125">
        <f>AG163/293.07*(1/(VLOOKUP($H219,'Fuel economy adjusted factor'!$A$2:$F$52,5,FALSE)*m2k))/'TCO Inputs'!$AZ$84</f>
        <v>47.11876030803532</v>
      </c>
      <c r="AH219" s="125">
        <f>AH163/293.07*(1/(VLOOKUP($H219,'Fuel economy adjusted factor'!$A$2:$F$52,5,FALSE)*m2k))/'TCO Inputs'!$AZ$84</f>
        <v>47.11876030803532</v>
      </c>
      <c r="AI219" s="125">
        <f>AI163/293.07*(1/(VLOOKUP($H219,'Fuel economy adjusted factor'!$A$2:$F$52,5,FALSE)*m2k))/'TCO Inputs'!$AZ$84</f>
        <v>47.11876030803532</v>
      </c>
      <c r="AJ219" s="125">
        <f>AJ163/293.07*(1/(VLOOKUP($H219,'Fuel economy adjusted factor'!$A$2:$F$52,5,FALSE)*m2k))/'TCO Inputs'!$AZ$84</f>
        <v>44.158846494315895</v>
      </c>
      <c r="AK219" s="98" cm="1">
        <f t="array" ref="AK219">SUMPRODUCT(INDEX(I219:AJ219,,'TCO Inputs'!$AZ$12-2023+_xlfn.SEQUENCE('TCO Inputs'!$AZ$13)),INDEX(INDEX('VKT US'!$C$63:$AA$113,MATCH(H219,$H$169:$H$219,0),0),,_xlfn.SEQUENCE('TCO Inputs'!$AZ$13)))*m2k*CONVERT(0.9072,"g","ton")</f>
        <v>23.560075485469469</v>
      </c>
    </row>
    <row r="222" spans="8:37" x14ac:dyDescent="0.25">
      <c r="H222" s="121" t="s">
        <v>533</v>
      </c>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row>
    <row r="223" spans="8:37" x14ac:dyDescent="0.25">
      <c r="H223" s="122" t="s">
        <v>3</v>
      </c>
      <c r="I223" s="122">
        <v>2023</v>
      </c>
      <c r="J223" s="122">
        <v>2024</v>
      </c>
      <c r="K223" s="122">
        <v>2025</v>
      </c>
      <c r="L223" s="122">
        <v>2026</v>
      </c>
      <c r="M223" s="122">
        <v>2027</v>
      </c>
      <c r="N223" s="122">
        <v>2028</v>
      </c>
      <c r="O223" s="122">
        <v>2029</v>
      </c>
      <c r="P223" s="122">
        <v>2030</v>
      </c>
      <c r="Q223" s="122">
        <v>2031</v>
      </c>
      <c r="R223" s="122">
        <v>2032</v>
      </c>
      <c r="S223" s="122">
        <v>2033</v>
      </c>
      <c r="T223" s="122">
        <v>2034</v>
      </c>
      <c r="U223" s="122">
        <v>2035</v>
      </c>
      <c r="V223" s="122">
        <v>2036</v>
      </c>
      <c r="W223" s="122">
        <v>2037</v>
      </c>
      <c r="X223" s="122">
        <v>2038</v>
      </c>
      <c r="Y223" s="122">
        <v>2039</v>
      </c>
      <c r="Z223" s="122">
        <v>2040</v>
      </c>
      <c r="AA223" s="122">
        <v>2041</v>
      </c>
      <c r="AB223" s="122">
        <v>2042</v>
      </c>
      <c r="AC223" s="122">
        <v>2043</v>
      </c>
      <c r="AD223" s="122">
        <v>2044</v>
      </c>
      <c r="AE223" s="122">
        <v>2045</v>
      </c>
      <c r="AF223" s="122">
        <v>2046</v>
      </c>
      <c r="AG223" s="122">
        <v>2047</v>
      </c>
      <c r="AH223" s="122">
        <v>2048</v>
      </c>
      <c r="AI223" s="122">
        <v>2049</v>
      </c>
      <c r="AJ223" s="122">
        <v>2050</v>
      </c>
      <c r="AK223" s="37" t="s">
        <v>464</v>
      </c>
    </row>
    <row r="224" spans="8:37" x14ac:dyDescent="0.25">
      <c r="H224" s="70" t="s">
        <v>187</v>
      </c>
      <c r="I224" s="125">
        <f>I113/293.07*(1/(VLOOKUP($H224,'Fuel economy adjusted factor'!$A$2:$K$52,11,FALSE)*m2k))/'TCO Inputs'!$AZ$84</f>
        <v>85.858921522144314</v>
      </c>
      <c r="J224" s="125">
        <f>J113/293.07*(1/(VLOOKUP($H224,'Fuel economy adjusted factor'!$A$2:$K$52,11,FALSE)*m2k))/'TCO Inputs'!$AZ$84</f>
        <v>85.858921522144314</v>
      </c>
      <c r="K224" s="125">
        <f>K113/293.07*(1/(VLOOKUP($H224,'Fuel economy adjusted factor'!$A$2:$K$52,11,FALSE)*m2k))/'TCO Inputs'!$AZ$84</f>
        <v>75.43365377988809</v>
      </c>
      <c r="L224" s="125">
        <f>L113/293.07*(1/(VLOOKUP($H224,'Fuel economy adjusted factor'!$A$2:$K$52,11,FALSE)*m2k))/'TCO Inputs'!$AZ$84</f>
        <v>75.43365377988809</v>
      </c>
      <c r="M224" s="125">
        <f>M113/293.07*(1/(VLOOKUP($H224,'Fuel economy adjusted factor'!$A$2:$K$52,11,FALSE)*m2k))/'TCO Inputs'!$AZ$84</f>
        <v>75.43365377988809</v>
      </c>
      <c r="N224" s="125">
        <f>N113/293.07*(1/(VLOOKUP($H224,'Fuel economy adjusted factor'!$A$2:$K$52,11,FALSE)*m2k))/'TCO Inputs'!$AZ$84</f>
        <v>75.43365377988809</v>
      </c>
      <c r="O224" s="125">
        <f>O113/293.07*(1/(VLOOKUP($H224,'Fuel economy adjusted factor'!$A$2:$K$52,11,FALSE)*m2k))/'TCO Inputs'!$AZ$84</f>
        <v>75.43365377988809</v>
      </c>
      <c r="P224" s="125">
        <f>P113/293.07*(1/(VLOOKUP($H224,'Fuel economy adjusted factor'!$A$2:$K$52,11,FALSE)*m2k))/'TCO Inputs'!$AZ$84</f>
        <v>45.989352273769775</v>
      </c>
      <c r="Q224" s="125">
        <f>Q113/293.07*(1/(VLOOKUP($H224,'Fuel economy adjusted factor'!$A$2:$K$52,11,FALSE)*m2k))/'TCO Inputs'!$AZ$84</f>
        <v>45.989352273769775</v>
      </c>
      <c r="R224" s="125">
        <f>R113/293.07*(1/(VLOOKUP($H224,'Fuel economy adjusted factor'!$A$2:$K$52,11,FALSE)*m2k))/'TCO Inputs'!$AZ$84</f>
        <v>45.989352273769775</v>
      </c>
      <c r="S224" s="125">
        <f>S113/293.07*(1/(VLOOKUP($H224,'Fuel economy adjusted factor'!$A$2:$K$52,11,FALSE)*m2k))/'TCO Inputs'!$AZ$84</f>
        <v>45.989352273769775</v>
      </c>
      <c r="T224" s="125">
        <f>T113/293.07*(1/(VLOOKUP($H224,'Fuel economy adjusted factor'!$A$2:$K$52,11,FALSE)*m2k))/'TCO Inputs'!$AZ$84</f>
        <v>45.989352273769775</v>
      </c>
      <c r="U224" s="125">
        <f>U113/293.07*(1/(VLOOKUP($H224,'Fuel economy adjusted factor'!$A$2:$K$52,11,FALSE)*m2k))/'TCO Inputs'!$AZ$84</f>
        <v>41.22003709947537</v>
      </c>
      <c r="V224" s="125">
        <f>V113/293.07*(1/(VLOOKUP($H224,'Fuel economy adjusted factor'!$A$2:$K$52,11,FALSE)*m2k))/'TCO Inputs'!$AZ$84</f>
        <v>41.22003709947537</v>
      </c>
      <c r="W224" s="125">
        <f>W113/293.07*(1/(VLOOKUP($H224,'Fuel economy adjusted factor'!$A$2:$K$52,11,FALSE)*m2k))/'TCO Inputs'!$AZ$84</f>
        <v>41.22003709947537</v>
      </c>
      <c r="X224" s="125">
        <f>X113/293.07*(1/(VLOOKUP($H224,'Fuel economy adjusted factor'!$A$2:$K$52,11,FALSE)*m2k))/'TCO Inputs'!$AZ$84</f>
        <v>41.22003709947537</v>
      </c>
      <c r="Y224" s="125">
        <f>Y113/293.07*(1/(VLOOKUP($H224,'Fuel economy adjusted factor'!$A$2:$K$52,11,FALSE)*m2k))/'TCO Inputs'!$AZ$84</f>
        <v>41.22003709947537</v>
      </c>
      <c r="Z224" s="125">
        <f>Z113/293.07*(1/(VLOOKUP($H224,'Fuel economy adjusted factor'!$A$2:$K$52,11,FALSE)*m2k))/'TCO Inputs'!$AZ$84</f>
        <v>39.771642133253046</v>
      </c>
      <c r="AA224" s="125">
        <f>AA113/293.07*(1/(VLOOKUP($H224,'Fuel economy adjusted factor'!$A$2:$K$52,11,FALSE)*m2k))/'TCO Inputs'!$AZ$84</f>
        <v>39.771642133253046</v>
      </c>
      <c r="AB224" s="125">
        <f>AB113/293.07*(1/(VLOOKUP($H224,'Fuel economy adjusted factor'!$A$2:$K$52,11,FALSE)*m2k))/'TCO Inputs'!$AZ$84</f>
        <v>39.771642133253046</v>
      </c>
      <c r="AC224" s="125">
        <f>AC113/293.07*(1/(VLOOKUP($H224,'Fuel economy adjusted factor'!$A$2:$K$52,11,FALSE)*m2k))/'TCO Inputs'!$AZ$84</f>
        <v>39.771642133253046</v>
      </c>
      <c r="AD224" s="125">
        <f>AD113/293.07*(1/(VLOOKUP($H224,'Fuel economy adjusted factor'!$A$2:$K$52,11,FALSE)*m2k))/'TCO Inputs'!$AZ$84</f>
        <v>39.771642133253046</v>
      </c>
      <c r="AE224" s="125">
        <f>AE113/293.07*(1/(VLOOKUP($H224,'Fuel economy adjusted factor'!$A$2:$K$52,11,FALSE)*m2k))/'TCO Inputs'!$AZ$84</f>
        <v>38.214071667064225</v>
      </c>
      <c r="AF224" s="125">
        <f>AF113/293.07*(1/(VLOOKUP($H224,'Fuel economy adjusted factor'!$A$2:$K$52,11,FALSE)*m2k))/'TCO Inputs'!$AZ$84</f>
        <v>38.214071667064225</v>
      </c>
      <c r="AG224" s="125">
        <f>AG113/293.07*(1/(VLOOKUP($H224,'Fuel economy adjusted factor'!$A$2:$K$52,11,FALSE)*m2k))/'TCO Inputs'!$AZ$84</f>
        <v>38.214071667064225</v>
      </c>
      <c r="AH224" s="125">
        <f>AH113/293.07*(1/(VLOOKUP($H224,'Fuel economy adjusted factor'!$A$2:$K$52,11,FALSE)*m2k))/'TCO Inputs'!$AZ$84</f>
        <v>38.214071667064225</v>
      </c>
      <c r="AI224" s="125">
        <f>AI113/293.07*(1/(VLOOKUP($H224,'Fuel economy adjusted factor'!$A$2:$K$52,11,FALSE)*m2k))/'TCO Inputs'!$AZ$84</f>
        <v>38.214071667064225</v>
      </c>
      <c r="AJ224" s="125">
        <f>AJ113/293.07*(1/(VLOOKUP($H224,'Fuel economy adjusted factor'!$A$2:$K$52,11,FALSE)*m2k))/'TCO Inputs'!$AZ$84</f>
        <v>35.813534007194626</v>
      </c>
      <c r="AK224" s="98" cm="1">
        <f t="array" ref="AK224">SUMPRODUCT(INDEX(I224:AJ224,,'TCO Inputs'!$AZ$12-2023+_xlfn.SEQUENCE('TCO Inputs'!$AZ$13))*INDEX('VKT US'!C63:AA63,,_xlfn.SEQUENCE('TCO Inputs'!$AZ$13)))*m2k*CONVERT(0.9072,"g","ton")*'TCO Inputs'!$BD$9</f>
        <v>12.413872081428954</v>
      </c>
    </row>
    <row r="225" spans="8:37" x14ac:dyDescent="0.25">
      <c r="H225" s="123" t="s">
        <v>231</v>
      </c>
      <c r="I225" s="125">
        <f>I114/293.07*(1/(VLOOKUP($H225,'Fuel economy adjusted factor'!$A$2:$K$52,11,FALSE)*m2k))/'TCO Inputs'!$AZ$84</f>
        <v>204.93193394801827</v>
      </c>
      <c r="J225" s="125">
        <f>J114/293.07*(1/(VLOOKUP($H225,'Fuel economy adjusted factor'!$A$2:$K$52,11,FALSE)*m2k))/'TCO Inputs'!$AZ$84</f>
        <v>204.93193394801827</v>
      </c>
      <c r="K225" s="125">
        <f>K114/293.07*(1/(VLOOKUP($H225,'Fuel economy adjusted factor'!$A$2:$K$52,11,FALSE)*m2k))/'TCO Inputs'!$AZ$84</f>
        <v>180.04843619996623</v>
      </c>
      <c r="L225" s="125">
        <f>L114/293.07*(1/(VLOOKUP($H225,'Fuel economy adjusted factor'!$A$2:$K$52,11,FALSE)*m2k))/'TCO Inputs'!$AZ$84</f>
        <v>180.04843619996623</v>
      </c>
      <c r="M225" s="125">
        <f>M114/293.07*(1/(VLOOKUP($H225,'Fuel economy adjusted factor'!$A$2:$K$52,11,FALSE)*m2k))/'TCO Inputs'!$AZ$84</f>
        <v>180.04843619996623</v>
      </c>
      <c r="N225" s="125">
        <f>N114/293.07*(1/(VLOOKUP($H225,'Fuel economy adjusted factor'!$A$2:$K$52,11,FALSE)*m2k))/'TCO Inputs'!$AZ$84</f>
        <v>180.04843619996623</v>
      </c>
      <c r="O225" s="125">
        <f>O114/293.07*(1/(VLOOKUP($H225,'Fuel economy adjusted factor'!$A$2:$K$52,11,FALSE)*m2k))/'TCO Inputs'!$AZ$84</f>
        <v>180.04843619996623</v>
      </c>
      <c r="P225" s="125">
        <f>P114/293.07*(1/(VLOOKUP($H225,'Fuel economy adjusted factor'!$A$2:$K$52,11,FALSE)*m2k))/'TCO Inputs'!$AZ$84</f>
        <v>109.76945360360209</v>
      </c>
      <c r="Q225" s="125">
        <f>Q114/293.07*(1/(VLOOKUP($H225,'Fuel economy adjusted factor'!$A$2:$K$52,11,FALSE)*m2k))/'TCO Inputs'!$AZ$84</f>
        <v>109.76945360360209</v>
      </c>
      <c r="R225" s="125">
        <f>R114/293.07*(1/(VLOOKUP($H225,'Fuel economy adjusted factor'!$A$2:$K$52,11,FALSE)*m2k))/'TCO Inputs'!$AZ$84</f>
        <v>109.76945360360209</v>
      </c>
      <c r="S225" s="125">
        <f>S114/293.07*(1/(VLOOKUP($H225,'Fuel economy adjusted factor'!$A$2:$K$52,11,FALSE)*m2k))/'TCO Inputs'!$AZ$84</f>
        <v>109.76945360360209</v>
      </c>
      <c r="T225" s="125">
        <f>T114/293.07*(1/(VLOOKUP($H225,'Fuel economy adjusted factor'!$A$2:$K$52,11,FALSE)*m2k))/'TCO Inputs'!$AZ$84</f>
        <v>109.76945360360209</v>
      </c>
      <c r="U225" s="125">
        <f>U114/293.07*(1/(VLOOKUP($H225,'Fuel economy adjusted factor'!$A$2:$K$52,11,FALSE)*m2k))/'TCO Inputs'!$AZ$84</f>
        <v>98.385837725970774</v>
      </c>
      <c r="V225" s="125">
        <f>V114/293.07*(1/(VLOOKUP($H225,'Fuel economy adjusted factor'!$A$2:$K$52,11,FALSE)*m2k))/'TCO Inputs'!$AZ$84</f>
        <v>98.385837725970774</v>
      </c>
      <c r="W225" s="125">
        <f>W114/293.07*(1/(VLOOKUP($H225,'Fuel economy adjusted factor'!$A$2:$K$52,11,FALSE)*m2k))/'TCO Inputs'!$AZ$84</f>
        <v>98.385837725970774</v>
      </c>
      <c r="X225" s="125">
        <f>X114/293.07*(1/(VLOOKUP($H225,'Fuel economy adjusted factor'!$A$2:$K$52,11,FALSE)*m2k))/'TCO Inputs'!$AZ$84</f>
        <v>98.385837725970774</v>
      </c>
      <c r="Y225" s="125">
        <f>Y114/293.07*(1/(VLOOKUP($H225,'Fuel economy adjusted factor'!$A$2:$K$52,11,FALSE)*m2k))/'TCO Inputs'!$AZ$84</f>
        <v>98.385837725970774</v>
      </c>
      <c r="Z225" s="125">
        <f>Z114/293.07*(1/(VLOOKUP($H225,'Fuel economy adjusted factor'!$A$2:$K$52,11,FALSE)*m2k))/'TCO Inputs'!$AZ$84</f>
        <v>94.928743503421515</v>
      </c>
      <c r="AA225" s="125">
        <f>AA114/293.07*(1/(VLOOKUP($H225,'Fuel economy adjusted factor'!$A$2:$K$52,11,FALSE)*m2k))/'TCO Inputs'!$AZ$84</f>
        <v>94.928743503421515</v>
      </c>
      <c r="AB225" s="125">
        <f>AB114/293.07*(1/(VLOOKUP($H225,'Fuel economy adjusted factor'!$A$2:$K$52,11,FALSE)*m2k))/'TCO Inputs'!$AZ$84</f>
        <v>94.928743503421515</v>
      </c>
      <c r="AC225" s="125">
        <f>AC114/293.07*(1/(VLOOKUP($H225,'Fuel economy adjusted factor'!$A$2:$K$52,11,FALSE)*m2k))/'TCO Inputs'!$AZ$84</f>
        <v>94.928743503421515</v>
      </c>
      <c r="AD225" s="125">
        <f>AD114/293.07*(1/(VLOOKUP($H225,'Fuel economy adjusted factor'!$A$2:$K$52,11,FALSE)*m2k))/'TCO Inputs'!$AZ$84</f>
        <v>94.928743503421515</v>
      </c>
      <c r="AE225" s="125">
        <f>AE114/293.07*(1/(VLOOKUP($H225,'Fuel economy adjusted factor'!$A$2:$K$52,11,FALSE)*m2k))/'TCO Inputs'!$AZ$84</f>
        <v>91.211064289222847</v>
      </c>
      <c r="AF225" s="125">
        <f>AF114/293.07*(1/(VLOOKUP($H225,'Fuel economy adjusted factor'!$A$2:$K$52,11,FALSE)*m2k))/'TCO Inputs'!$AZ$84</f>
        <v>91.211064289222847</v>
      </c>
      <c r="AG225" s="125">
        <f>AG114/293.07*(1/(VLOOKUP($H225,'Fuel economy adjusted factor'!$A$2:$K$52,11,FALSE)*m2k))/'TCO Inputs'!$AZ$84</f>
        <v>91.211064289222847</v>
      </c>
      <c r="AH225" s="125">
        <f>AH114/293.07*(1/(VLOOKUP($H225,'Fuel economy adjusted factor'!$A$2:$K$52,11,FALSE)*m2k))/'TCO Inputs'!$AZ$84</f>
        <v>91.211064289222847</v>
      </c>
      <c r="AI225" s="125">
        <f>AI114/293.07*(1/(VLOOKUP($H225,'Fuel economy adjusted factor'!$A$2:$K$52,11,FALSE)*m2k))/'TCO Inputs'!$AZ$84</f>
        <v>91.211064289222847</v>
      </c>
      <c r="AJ225" s="125">
        <f>AJ114/293.07*(1/(VLOOKUP($H225,'Fuel economy adjusted factor'!$A$2:$K$52,11,FALSE)*m2k))/'TCO Inputs'!$AZ$84</f>
        <v>85.481353078894543</v>
      </c>
      <c r="AK225" s="98" cm="1">
        <f t="array" ref="AK225">SUMPRODUCT(INDEX(I225:AJ225,,'TCO Inputs'!$AZ$12-2023+_xlfn.SEQUENCE('TCO Inputs'!$AZ$13))*INDEX('VKT US'!C64:AA64,,_xlfn.SEQUENCE('TCO Inputs'!$AZ$13)))*m2k*CONVERT(0.9072,"g","ton")*'TCO Inputs'!$BD$9</f>
        <v>18.477790679873685</v>
      </c>
    </row>
    <row r="226" spans="8:37" x14ac:dyDescent="0.25">
      <c r="H226" s="123" t="s">
        <v>189</v>
      </c>
      <c r="I226" s="125">
        <f>I115/293.07*(1/(VLOOKUP($H226,'Fuel economy adjusted factor'!$A$2:$K$52,11,FALSE)*m2k))/'TCO Inputs'!$AZ$84</f>
        <v>84.713928938854053</v>
      </c>
      <c r="J226" s="125">
        <f>J115/293.07*(1/(VLOOKUP($H226,'Fuel economy adjusted factor'!$A$2:$K$52,11,FALSE)*m2k))/'TCO Inputs'!$AZ$84</f>
        <v>84.713928938854053</v>
      </c>
      <c r="K226" s="125">
        <f>K115/293.07*(1/(VLOOKUP($H226,'Fuel economy adjusted factor'!$A$2:$K$52,11,FALSE)*m2k))/'TCO Inputs'!$AZ$84</f>
        <v>74.42768989661036</v>
      </c>
      <c r="L226" s="125">
        <f>L115/293.07*(1/(VLOOKUP($H226,'Fuel economy adjusted factor'!$A$2:$K$52,11,FALSE)*m2k))/'TCO Inputs'!$AZ$84</f>
        <v>74.42768989661036</v>
      </c>
      <c r="M226" s="125">
        <f>M115/293.07*(1/(VLOOKUP($H226,'Fuel economy adjusted factor'!$A$2:$K$52,11,FALSE)*m2k))/'TCO Inputs'!$AZ$84</f>
        <v>74.42768989661036</v>
      </c>
      <c r="N226" s="125">
        <f>N115/293.07*(1/(VLOOKUP($H226,'Fuel economy adjusted factor'!$A$2:$K$52,11,FALSE)*m2k))/'TCO Inputs'!$AZ$84</f>
        <v>74.42768989661036</v>
      </c>
      <c r="O226" s="125">
        <f>O115/293.07*(1/(VLOOKUP($H226,'Fuel economy adjusted factor'!$A$2:$K$52,11,FALSE)*m2k))/'TCO Inputs'!$AZ$84</f>
        <v>74.42768989661036</v>
      </c>
      <c r="P226" s="125">
        <f>P115/293.07*(1/(VLOOKUP($H226,'Fuel economy adjusted factor'!$A$2:$K$52,11,FALSE)*m2k))/'TCO Inputs'!$AZ$84</f>
        <v>45.376050052751218</v>
      </c>
      <c r="Q226" s="125">
        <f>Q115/293.07*(1/(VLOOKUP($H226,'Fuel economy adjusted factor'!$A$2:$K$52,11,FALSE)*m2k))/'TCO Inputs'!$AZ$84</f>
        <v>45.376050052751218</v>
      </c>
      <c r="R226" s="125">
        <f>R115/293.07*(1/(VLOOKUP($H226,'Fuel economy adjusted factor'!$A$2:$K$52,11,FALSE)*m2k))/'TCO Inputs'!$AZ$84</f>
        <v>45.376050052751218</v>
      </c>
      <c r="S226" s="125">
        <f>S115/293.07*(1/(VLOOKUP($H226,'Fuel economy adjusted factor'!$A$2:$K$52,11,FALSE)*m2k))/'TCO Inputs'!$AZ$84</f>
        <v>45.376050052751218</v>
      </c>
      <c r="T226" s="125">
        <f>T115/293.07*(1/(VLOOKUP($H226,'Fuel economy adjusted factor'!$A$2:$K$52,11,FALSE)*m2k))/'TCO Inputs'!$AZ$84</f>
        <v>45.376050052751218</v>
      </c>
      <c r="U226" s="125">
        <f>U115/293.07*(1/(VLOOKUP($H226,'Fuel economy adjusted factor'!$A$2:$K$52,11,FALSE)*m2k))/'TCO Inputs'!$AZ$84</f>
        <v>40.670337243885236</v>
      </c>
      <c r="V226" s="125">
        <f>V115/293.07*(1/(VLOOKUP($H226,'Fuel economy adjusted factor'!$A$2:$K$52,11,FALSE)*m2k))/'TCO Inputs'!$AZ$84</f>
        <v>40.670337243885236</v>
      </c>
      <c r="W226" s="125">
        <f>W115/293.07*(1/(VLOOKUP($H226,'Fuel economy adjusted factor'!$A$2:$K$52,11,FALSE)*m2k))/'TCO Inputs'!$AZ$84</f>
        <v>40.670337243885236</v>
      </c>
      <c r="X226" s="125">
        <f>X115/293.07*(1/(VLOOKUP($H226,'Fuel economy adjusted factor'!$A$2:$K$52,11,FALSE)*m2k))/'TCO Inputs'!$AZ$84</f>
        <v>40.670337243885236</v>
      </c>
      <c r="Y226" s="125">
        <f>Y115/293.07*(1/(VLOOKUP($H226,'Fuel economy adjusted factor'!$A$2:$K$52,11,FALSE)*m2k))/'TCO Inputs'!$AZ$84</f>
        <v>40.670337243885236</v>
      </c>
      <c r="Z226" s="125">
        <f>Z115/293.07*(1/(VLOOKUP($H226,'Fuel economy adjusted factor'!$A$2:$K$52,11,FALSE)*m2k))/'TCO Inputs'!$AZ$84</f>
        <v>39.241257701903038</v>
      </c>
      <c r="AA226" s="125">
        <f>AA115/293.07*(1/(VLOOKUP($H226,'Fuel economy adjusted factor'!$A$2:$K$52,11,FALSE)*m2k))/'TCO Inputs'!$AZ$84</f>
        <v>39.241257701903038</v>
      </c>
      <c r="AB226" s="125">
        <f>AB115/293.07*(1/(VLOOKUP($H226,'Fuel economy adjusted factor'!$A$2:$K$52,11,FALSE)*m2k))/'TCO Inputs'!$AZ$84</f>
        <v>39.241257701903038</v>
      </c>
      <c r="AC226" s="125">
        <f>AC115/293.07*(1/(VLOOKUP($H226,'Fuel economy adjusted factor'!$A$2:$K$52,11,FALSE)*m2k))/'TCO Inputs'!$AZ$84</f>
        <v>39.241257701903038</v>
      </c>
      <c r="AD226" s="125">
        <f>AD115/293.07*(1/(VLOOKUP($H226,'Fuel economy adjusted factor'!$A$2:$K$52,11,FALSE)*m2k))/'TCO Inputs'!$AZ$84</f>
        <v>39.241257701903038</v>
      </c>
      <c r="AE226" s="125">
        <f>AE115/293.07*(1/(VLOOKUP($H226,'Fuel economy adjusted factor'!$A$2:$K$52,11,FALSE)*m2k))/'TCO Inputs'!$AZ$84</f>
        <v>37.704458596454849</v>
      </c>
      <c r="AF226" s="125">
        <f>AF115/293.07*(1/(VLOOKUP($H226,'Fuel economy adjusted factor'!$A$2:$K$52,11,FALSE)*m2k))/'TCO Inputs'!$AZ$84</f>
        <v>37.704458596454849</v>
      </c>
      <c r="AG226" s="125">
        <f>AG115/293.07*(1/(VLOOKUP($H226,'Fuel economy adjusted factor'!$A$2:$K$52,11,FALSE)*m2k))/'TCO Inputs'!$AZ$84</f>
        <v>37.704458596454849</v>
      </c>
      <c r="AH226" s="125">
        <f>AH115/293.07*(1/(VLOOKUP($H226,'Fuel economy adjusted factor'!$A$2:$K$52,11,FALSE)*m2k))/'TCO Inputs'!$AZ$84</f>
        <v>37.704458596454849</v>
      </c>
      <c r="AI226" s="125">
        <f>AI115/293.07*(1/(VLOOKUP($H226,'Fuel economy adjusted factor'!$A$2:$K$52,11,FALSE)*m2k))/'TCO Inputs'!$AZ$84</f>
        <v>37.704458596454849</v>
      </c>
      <c r="AJ226" s="125">
        <f>AJ115/293.07*(1/(VLOOKUP($H226,'Fuel economy adjusted factor'!$A$2:$K$52,11,FALSE)*m2k))/'TCO Inputs'!$AZ$84</f>
        <v>35.335933891881339</v>
      </c>
      <c r="AK226" s="98" cm="1">
        <f t="array" ref="AK226">SUMPRODUCT(INDEX(I226:AJ226,,'TCO Inputs'!$AZ$12-2023+_xlfn.SEQUENCE('TCO Inputs'!$AZ$13))*INDEX('VKT US'!C65:AA65,,_xlfn.SEQUENCE('TCO Inputs'!$AZ$13)))*m2k*CONVERT(0.9072,"g","ton")*'TCO Inputs'!$BD$9</f>
        <v>8.9987404934280324</v>
      </c>
    </row>
    <row r="227" spans="8:37" x14ac:dyDescent="0.25">
      <c r="H227" s="123" t="s">
        <v>188</v>
      </c>
      <c r="I227" s="125">
        <f>I116/293.07*(1/(VLOOKUP($H227,'Fuel economy adjusted factor'!$A$2:$K$52,11,FALSE)*m2k))/'TCO Inputs'!$AZ$84</f>
        <v>117.45189357990263</v>
      </c>
      <c r="J227" s="125">
        <f>J116/293.07*(1/(VLOOKUP($H227,'Fuel economy adjusted factor'!$A$2:$K$52,11,FALSE)*m2k))/'TCO Inputs'!$AZ$84</f>
        <v>117.45189357990263</v>
      </c>
      <c r="K227" s="125">
        <f>K116/293.07*(1/(VLOOKUP($H227,'Fuel economy adjusted factor'!$A$2:$K$52,11,FALSE)*m2k))/'TCO Inputs'!$AZ$84</f>
        <v>103.19050506374643</v>
      </c>
      <c r="L227" s="125">
        <f>L116/293.07*(1/(VLOOKUP($H227,'Fuel economy adjusted factor'!$A$2:$K$52,11,FALSE)*m2k))/'TCO Inputs'!$AZ$84</f>
        <v>103.19050506374643</v>
      </c>
      <c r="M227" s="125">
        <f>M116/293.07*(1/(VLOOKUP($H227,'Fuel economy adjusted factor'!$A$2:$K$52,11,FALSE)*m2k))/'TCO Inputs'!$AZ$84</f>
        <v>103.19050506374643</v>
      </c>
      <c r="N227" s="125">
        <f>N116/293.07*(1/(VLOOKUP($H227,'Fuel economy adjusted factor'!$A$2:$K$52,11,FALSE)*m2k))/'TCO Inputs'!$AZ$84</f>
        <v>103.19050506374643</v>
      </c>
      <c r="O227" s="125">
        <f>O116/293.07*(1/(VLOOKUP($H227,'Fuel economy adjusted factor'!$A$2:$K$52,11,FALSE)*m2k))/'TCO Inputs'!$AZ$84</f>
        <v>103.19050506374643</v>
      </c>
      <c r="P227" s="125">
        <f>P116/293.07*(1/(VLOOKUP($H227,'Fuel economy adjusted factor'!$A$2:$K$52,11,FALSE)*m2k))/'TCO Inputs'!$AZ$84</f>
        <v>62.911767505422532</v>
      </c>
      <c r="Q227" s="125">
        <f>Q116/293.07*(1/(VLOOKUP($H227,'Fuel economy adjusted factor'!$A$2:$K$52,11,FALSE)*m2k))/'TCO Inputs'!$AZ$84</f>
        <v>62.911767505422532</v>
      </c>
      <c r="R227" s="125">
        <f>R116/293.07*(1/(VLOOKUP($H227,'Fuel economy adjusted factor'!$A$2:$K$52,11,FALSE)*m2k))/'TCO Inputs'!$AZ$84</f>
        <v>62.911767505422532</v>
      </c>
      <c r="S227" s="125">
        <f>S116/293.07*(1/(VLOOKUP($H227,'Fuel economy adjusted factor'!$A$2:$K$52,11,FALSE)*m2k))/'TCO Inputs'!$AZ$84</f>
        <v>62.911767505422532</v>
      </c>
      <c r="T227" s="125">
        <f>T116/293.07*(1/(VLOOKUP($H227,'Fuel economy adjusted factor'!$A$2:$K$52,11,FALSE)*m2k))/'TCO Inputs'!$AZ$84</f>
        <v>62.911767505422532</v>
      </c>
      <c r="U227" s="125">
        <f>U116/293.07*(1/(VLOOKUP($H227,'Fuel economy adjusted factor'!$A$2:$K$52,11,FALSE)*m2k))/'TCO Inputs'!$AZ$84</f>
        <v>56.387517161143919</v>
      </c>
      <c r="V227" s="125">
        <f>V116/293.07*(1/(VLOOKUP($H227,'Fuel economy adjusted factor'!$A$2:$K$52,11,FALSE)*m2k))/'TCO Inputs'!$AZ$84</f>
        <v>56.387517161143919</v>
      </c>
      <c r="W227" s="125">
        <f>W116/293.07*(1/(VLOOKUP($H227,'Fuel economy adjusted factor'!$A$2:$K$52,11,FALSE)*m2k))/'TCO Inputs'!$AZ$84</f>
        <v>56.387517161143919</v>
      </c>
      <c r="X227" s="125">
        <f>X116/293.07*(1/(VLOOKUP($H227,'Fuel economy adjusted factor'!$A$2:$K$52,11,FALSE)*m2k))/'TCO Inputs'!$AZ$84</f>
        <v>56.387517161143919</v>
      </c>
      <c r="Y227" s="125">
        <f>Y116/293.07*(1/(VLOOKUP($H227,'Fuel economy adjusted factor'!$A$2:$K$52,11,FALSE)*m2k))/'TCO Inputs'!$AZ$84</f>
        <v>56.387517161143919</v>
      </c>
      <c r="Z227" s="125">
        <f>Z116/293.07*(1/(VLOOKUP($H227,'Fuel economy adjusted factor'!$A$2:$K$52,11,FALSE)*m2k))/'TCO Inputs'!$AZ$84</f>
        <v>54.406165329342308</v>
      </c>
      <c r="AA227" s="125">
        <f>AA116/293.07*(1/(VLOOKUP($H227,'Fuel economy adjusted factor'!$A$2:$K$52,11,FALSE)*m2k))/'TCO Inputs'!$AZ$84</f>
        <v>54.406165329342308</v>
      </c>
      <c r="AB227" s="125">
        <f>AB116/293.07*(1/(VLOOKUP($H227,'Fuel economy adjusted factor'!$A$2:$K$52,11,FALSE)*m2k))/'TCO Inputs'!$AZ$84</f>
        <v>54.406165329342308</v>
      </c>
      <c r="AC227" s="125">
        <f>AC116/293.07*(1/(VLOOKUP($H227,'Fuel economy adjusted factor'!$A$2:$K$52,11,FALSE)*m2k))/'TCO Inputs'!$AZ$84</f>
        <v>54.406165329342308</v>
      </c>
      <c r="AD227" s="125">
        <f>AD116/293.07*(1/(VLOOKUP($H227,'Fuel economy adjusted factor'!$A$2:$K$52,11,FALSE)*m2k))/'TCO Inputs'!$AZ$84</f>
        <v>54.406165329342308</v>
      </c>
      <c r="AE227" s="125">
        <f>AE116/293.07*(1/(VLOOKUP($H227,'Fuel economy adjusted factor'!$A$2:$K$52,11,FALSE)*m2k))/'TCO Inputs'!$AZ$84</f>
        <v>52.275465369515466</v>
      </c>
      <c r="AF227" s="125">
        <f>AF116/293.07*(1/(VLOOKUP($H227,'Fuel economy adjusted factor'!$A$2:$K$52,11,FALSE)*m2k))/'TCO Inputs'!$AZ$84</f>
        <v>52.275465369515466</v>
      </c>
      <c r="AG227" s="125">
        <f>AG116/293.07*(1/(VLOOKUP($H227,'Fuel economy adjusted factor'!$A$2:$K$52,11,FALSE)*m2k))/'TCO Inputs'!$AZ$84</f>
        <v>52.275465369515466</v>
      </c>
      <c r="AH227" s="125">
        <f>AH116/293.07*(1/(VLOOKUP($H227,'Fuel economy adjusted factor'!$A$2:$K$52,11,FALSE)*m2k))/'TCO Inputs'!$AZ$84</f>
        <v>52.275465369515466</v>
      </c>
      <c r="AI227" s="125">
        <f>AI116/293.07*(1/(VLOOKUP($H227,'Fuel economy adjusted factor'!$A$2:$K$52,11,FALSE)*m2k))/'TCO Inputs'!$AZ$84</f>
        <v>52.275465369515466</v>
      </c>
      <c r="AJ227" s="125">
        <f>AJ116/293.07*(1/(VLOOKUP($H227,'Fuel economy adjusted factor'!$A$2:$K$52,11,FALSE)*m2k))/'TCO Inputs'!$AZ$84</f>
        <v>48.991616833299766</v>
      </c>
      <c r="AK227" s="98" cm="1">
        <f t="array" ref="AK227">SUMPRODUCT(INDEX(I227:AJ227,,'TCO Inputs'!$AZ$12-2023+_xlfn.SEQUENCE('TCO Inputs'!$AZ$13))*INDEX('VKT US'!C66:AA66,,_xlfn.SEQUENCE('TCO Inputs'!$AZ$13)))*m2k*CONVERT(0.9072,"g","ton")*'TCO Inputs'!$BD$9</f>
        <v>16.416527430096899</v>
      </c>
    </row>
    <row r="228" spans="8:37" x14ac:dyDescent="0.25">
      <c r="H228" s="123" t="s">
        <v>149</v>
      </c>
      <c r="I228" s="125">
        <f>I117/293.07*(1/(VLOOKUP($H228,'Fuel economy adjusted factor'!$A$2:$K$52,11,FALSE)*m2k))/'TCO Inputs'!$AZ$84</f>
        <v>50.687137895759335</v>
      </c>
      <c r="J228" s="125">
        <f>J117/293.07*(1/(VLOOKUP($H228,'Fuel economy adjusted factor'!$A$2:$K$52,11,FALSE)*m2k))/'TCO Inputs'!$AZ$84</f>
        <v>50.687137895759335</v>
      </c>
      <c r="K228" s="125">
        <f>K117/293.07*(1/(VLOOKUP($H228,'Fuel economy adjusted factor'!$A$2:$K$52,11,FALSE)*m2k))/'TCO Inputs'!$AZ$84</f>
        <v>44.532541794576517</v>
      </c>
      <c r="L228" s="125">
        <f>L117/293.07*(1/(VLOOKUP($H228,'Fuel economy adjusted factor'!$A$2:$K$52,11,FALSE)*m2k))/'TCO Inputs'!$AZ$84</f>
        <v>44.532541794576517</v>
      </c>
      <c r="M228" s="125">
        <f>M117/293.07*(1/(VLOOKUP($H228,'Fuel economy adjusted factor'!$A$2:$K$52,11,FALSE)*m2k))/'TCO Inputs'!$AZ$84</f>
        <v>44.532541794576517</v>
      </c>
      <c r="N228" s="125">
        <f>N117/293.07*(1/(VLOOKUP($H228,'Fuel economy adjusted factor'!$A$2:$K$52,11,FALSE)*m2k))/'TCO Inputs'!$AZ$84</f>
        <v>44.532541794576517</v>
      </c>
      <c r="O228" s="125">
        <f>O117/293.07*(1/(VLOOKUP($H228,'Fuel economy adjusted factor'!$A$2:$K$52,11,FALSE)*m2k))/'TCO Inputs'!$AZ$84</f>
        <v>44.532541794576517</v>
      </c>
      <c r="P228" s="125">
        <f>P117/293.07*(1/(VLOOKUP($H228,'Fuel economy adjusted factor'!$A$2:$K$52,11,FALSE)*m2k))/'TCO Inputs'!$AZ$84</f>
        <v>27.149987434165528</v>
      </c>
      <c r="Q228" s="125">
        <f>Q117/293.07*(1/(VLOOKUP($H228,'Fuel economy adjusted factor'!$A$2:$K$52,11,FALSE)*m2k))/'TCO Inputs'!$AZ$84</f>
        <v>27.149987434165528</v>
      </c>
      <c r="R228" s="125">
        <f>R117/293.07*(1/(VLOOKUP($H228,'Fuel economy adjusted factor'!$A$2:$K$52,11,FALSE)*m2k))/'TCO Inputs'!$AZ$84</f>
        <v>27.149987434165528</v>
      </c>
      <c r="S228" s="125">
        <f>S117/293.07*(1/(VLOOKUP($H228,'Fuel economy adjusted factor'!$A$2:$K$52,11,FALSE)*m2k))/'TCO Inputs'!$AZ$84</f>
        <v>27.149987434165528</v>
      </c>
      <c r="T228" s="125">
        <f>T117/293.07*(1/(VLOOKUP($H228,'Fuel economy adjusted factor'!$A$2:$K$52,11,FALSE)*m2k))/'TCO Inputs'!$AZ$84</f>
        <v>27.149987434165528</v>
      </c>
      <c r="U228" s="125">
        <f>U117/293.07*(1/(VLOOKUP($H228,'Fuel economy adjusted factor'!$A$2:$K$52,11,FALSE)*m2k))/'TCO Inputs'!$AZ$84</f>
        <v>24.33440424697805</v>
      </c>
      <c r="V228" s="125">
        <f>V117/293.07*(1/(VLOOKUP($H228,'Fuel economy adjusted factor'!$A$2:$K$52,11,FALSE)*m2k))/'TCO Inputs'!$AZ$84</f>
        <v>24.33440424697805</v>
      </c>
      <c r="W228" s="125">
        <f>W117/293.07*(1/(VLOOKUP($H228,'Fuel economy adjusted factor'!$A$2:$K$52,11,FALSE)*m2k))/'TCO Inputs'!$AZ$84</f>
        <v>24.33440424697805</v>
      </c>
      <c r="X228" s="125">
        <f>X117/293.07*(1/(VLOOKUP($H228,'Fuel economy adjusted factor'!$A$2:$K$52,11,FALSE)*m2k))/'TCO Inputs'!$AZ$84</f>
        <v>24.33440424697805</v>
      </c>
      <c r="Y228" s="125">
        <f>Y117/293.07*(1/(VLOOKUP($H228,'Fuel economy adjusted factor'!$A$2:$K$52,11,FALSE)*m2k))/'TCO Inputs'!$AZ$84</f>
        <v>24.33440424697805</v>
      </c>
      <c r="Z228" s="125">
        <f>Z117/293.07*(1/(VLOOKUP($H228,'Fuel economy adjusted factor'!$A$2:$K$52,11,FALSE)*m2k))/'TCO Inputs'!$AZ$84</f>
        <v>23.479338820125474</v>
      </c>
      <c r="AA228" s="125">
        <f>AA117/293.07*(1/(VLOOKUP($H228,'Fuel economy adjusted factor'!$A$2:$K$52,11,FALSE)*m2k))/'TCO Inputs'!$AZ$84</f>
        <v>23.479338820125474</v>
      </c>
      <c r="AB228" s="125">
        <f>AB117/293.07*(1/(VLOOKUP($H228,'Fuel economy adjusted factor'!$A$2:$K$52,11,FALSE)*m2k))/'TCO Inputs'!$AZ$84</f>
        <v>23.479338820125474</v>
      </c>
      <c r="AC228" s="125">
        <f>AC117/293.07*(1/(VLOOKUP($H228,'Fuel economy adjusted factor'!$A$2:$K$52,11,FALSE)*m2k))/'TCO Inputs'!$AZ$84</f>
        <v>23.479338820125474</v>
      </c>
      <c r="AD228" s="125">
        <f>AD117/293.07*(1/(VLOOKUP($H228,'Fuel economy adjusted factor'!$A$2:$K$52,11,FALSE)*m2k))/'TCO Inputs'!$AZ$84</f>
        <v>23.479338820125474</v>
      </c>
      <c r="AE228" s="125">
        <f>AE117/293.07*(1/(VLOOKUP($H228,'Fuel economy adjusted factor'!$A$2:$K$52,11,FALSE)*m2k))/'TCO Inputs'!$AZ$84</f>
        <v>22.559821225419693</v>
      </c>
      <c r="AF228" s="125">
        <f>AF117/293.07*(1/(VLOOKUP($H228,'Fuel economy adjusted factor'!$A$2:$K$52,11,FALSE)*m2k))/'TCO Inputs'!$AZ$84</f>
        <v>22.559821225419693</v>
      </c>
      <c r="AG228" s="125">
        <f>AG117/293.07*(1/(VLOOKUP($H228,'Fuel economy adjusted factor'!$A$2:$K$52,11,FALSE)*m2k))/'TCO Inputs'!$AZ$84</f>
        <v>22.559821225419693</v>
      </c>
      <c r="AH228" s="125">
        <f>AH117/293.07*(1/(VLOOKUP($H228,'Fuel economy adjusted factor'!$A$2:$K$52,11,FALSE)*m2k))/'TCO Inputs'!$AZ$84</f>
        <v>22.559821225419693</v>
      </c>
      <c r="AI228" s="125">
        <f>AI117/293.07*(1/(VLOOKUP($H228,'Fuel economy adjusted factor'!$A$2:$K$52,11,FALSE)*m2k))/'TCO Inputs'!$AZ$84</f>
        <v>22.559821225419693</v>
      </c>
      <c r="AJ228" s="125">
        <f>AJ117/293.07*(1/(VLOOKUP($H228,'Fuel economy adjusted factor'!$A$2:$K$52,11,FALSE)*m2k))/'TCO Inputs'!$AZ$84</f>
        <v>21.142654771047305</v>
      </c>
      <c r="AK228" s="98" cm="1">
        <f t="array" ref="AK228">SUMPRODUCT(INDEX(I228:AJ228,,'TCO Inputs'!$AZ$12-2023+_xlfn.SEQUENCE('TCO Inputs'!$AZ$13))*INDEX('VKT US'!C67:AA67,,_xlfn.SEQUENCE('TCO Inputs'!$AZ$13)))*m2k*CONVERT(0.9072,"g","ton")*'TCO Inputs'!$BD$9</f>
        <v>5.1514333455943175</v>
      </c>
    </row>
    <row r="229" spans="8:37" x14ac:dyDescent="0.25">
      <c r="H229" s="123" t="s">
        <v>190</v>
      </c>
      <c r="I229" s="125">
        <f>I118/293.07*(1/(VLOOKUP($H229,'Fuel economy adjusted factor'!$A$2:$K$52,11,FALSE)*m2k))/'TCO Inputs'!$AZ$84</f>
        <v>131.09602579926135</v>
      </c>
      <c r="J229" s="125">
        <f>J118/293.07*(1/(VLOOKUP($H229,'Fuel economy adjusted factor'!$A$2:$K$52,11,FALSE)*m2k))/'TCO Inputs'!$AZ$84</f>
        <v>131.09602579926135</v>
      </c>
      <c r="K229" s="125">
        <f>K118/293.07*(1/(VLOOKUP($H229,'Fuel economy adjusted factor'!$A$2:$K$52,11,FALSE)*m2k))/'TCO Inputs'!$AZ$84</f>
        <v>115.17792265198936</v>
      </c>
      <c r="L229" s="125">
        <f>L118/293.07*(1/(VLOOKUP($H229,'Fuel economy adjusted factor'!$A$2:$K$52,11,FALSE)*m2k))/'TCO Inputs'!$AZ$84</f>
        <v>115.17792265198936</v>
      </c>
      <c r="M229" s="125">
        <f>M118/293.07*(1/(VLOOKUP($H229,'Fuel economy adjusted factor'!$A$2:$K$52,11,FALSE)*m2k))/'TCO Inputs'!$AZ$84</f>
        <v>115.17792265198936</v>
      </c>
      <c r="N229" s="125">
        <f>N118/293.07*(1/(VLOOKUP($H229,'Fuel economy adjusted factor'!$A$2:$K$52,11,FALSE)*m2k))/'TCO Inputs'!$AZ$84</f>
        <v>115.17792265198936</v>
      </c>
      <c r="O229" s="125">
        <f>O118/293.07*(1/(VLOOKUP($H229,'Fuel economy adjusted factor'!$A$2:$K$52,11,FALSE)*m2k))/'TCO Inputs'!$AZ$84</f>
        <v>115.17792265198936</v>
      </c>
      <c r="P229" s="125">
        <f>P118/293.07*(1/(VLOOKUP($H229,'Fuel economy adjusted factor'!$A$2:$K$52,11,FALSE)*m2k))/'TCO Inputs'!$AZ$84</f>
        <v>70.220091346226241</v>
      </c>
      <c r="Q229" s="125">
        <f>Q118/293.07*(1/(VLOOKUP($H229,'Fuel economy adjusted factor'!$A$2:$K$52,11,FALSE)*m2k))/'TCO Inputs'!$AZ$84</f>
        <v>70.220091346226241</v>
      </c>
      <c r="R229" s="125">
        <f>R118/293.07*(1/(VLOOKUP($H229,'Fuel economy adjusted factor'!$A$2:$K$52,11,FALSE)*m2k))/'TCO Inputs'!$AZ$84</f>
        <v>70.220091346226241</v>
      </c>
      <c r="S229" s="125">
        <f>S118/293.07*(1/(VLOOKUP($H229,'Fuel economy adjusted factor'!$A$2:$K$52,11,FALSE)*m2k))/'TCO Inputs'!$AZ$84</f>
        <v>70.220091346226241</v>
      </c>
      <c r="T229" s="125">
        <f>T118/293.07*(1/(VLOOKUP($H229,'Fuel economy adjusted factor'!$A$2:$K$52,11,FALSE)*m2k))/'TCO Inputs'!$AZ$84</f>
        <v>70.220091346226241</v>
      </c>
      <c r="U229" s="125">
        <f>U118/293.07*(1/(VLOOKUP($H229,'Fuel economy adjusted factor'!$A$2:$K$52,11,FALSE)*m2k))/'TCO Inputs'!$AZ$84</f>
        <v>62.937932963036559</v>
      </c>
      <c r="V229" s="125">
        <f>V118/293.07*(1/(VLOOKUP($H229,'Fuel economy adjusted factor'!$A$2:$K$52,11,FALSE)*m2k))/'TCO Inputs'!$AZ$84</f>
        <v>62.937932963036559</v>
      </c>
      <c r="W229" s="125">
        <f>W118/293.07*(1/(VLOOKUP($H229,'Fuel economy adjusted factor'!$A$2:$K$52,11,FALSE)*m2k))/'TCO Inputs'!$AZ$84</f>
        <v>62.937932963036559</v>
      </c>
      <c r="X229" s="125">
        <f>X118/293.07*(1/(VLOOKUP($H229,'Fuel economy adjusted factor'!$A$2:$K$52,11,FALSE)*m2k))/'TCO Inputs'!$AZ$84</f>
        <v>62.937932963036559</v>
      </c>
      <c r="Y229" s="125">
        <f>Y118/293.07*(1/(VLOOKUP($H229,'Fuel economy adjusted factor'!$A$2:$K$52,11,FALSE)*m2k))/'TCO Inputs'!$AZ$84</f>
        <v>62.937932963036559</v>
      </c>
      <c r="Z229" s="125">
        <f>Z118/293.07*(1/(VLOOKUP($H229,'Fuel economy adjusted factor'!$A$2:$K$52,11,FALSE)*m2k))/'TCO Inputs'!$AZ$84</f>
        <v>60.726411778130583</v>
      </c>
      <c r="AA229" s="125">
        <f>AA118/293.07*(1/(VLOOKUP($H229,'Fuel economy adjusted factor'!$A$2:$K$52,11,FALSE)*m2k))/'TCO Inputs'!$AZ$84</f>
        <v>60.726411778130583</v>
      </c>
      <c r="AB229" s="125">
        <f>AB118/293.07*(1/(VLOOKUP($H229,'Fuel economy adjusted factor'!$A$2:$K$52,11,FALSE)*m2k))/'TCO Inputs'!$AZ$84</f>
        <v>60.726411778130583</v>
      </c>
      <c r="AC229" s="125">
        <f>AC118/293.07*(1/(VLOOKUP($H229,'Fuel economy adjusted factor'!$A$2:$K$52,11,FALSE)*m2k))/'TCO Inputs'!$AZ$84</f>
        <v>60.726411778130583</v>
      </c>
      <c r="AD229" s="125">
        <f>AD118/293.07*(1/(VLOOKUP($H229,'Fuel economy adjusted factor'!$A$2:$K$52,11,FALSE)*m2k))/'TCO Inputs'!$AZ$84</f>
        <v>60.726411778130583</v>
      </c>
      <c r="AE229" s="125">
        <f>AE118/293.07*(1/(VLOOKUP($H229,'Fuel economy adjusted factor'!$A$2:$K$52,11,FALSE)*m2k))/'TCO Inputs'!$AZ$84</f>
        <v>58.348193016472912</v>
      </c>
      <c r="AF229" s="125">
        <f>AF118/293.07*(1/(VLOOKUP($H229,'Fuel economy adjusted factor'!$A$2:$K$52,11,FALSE)*m2k))/'TCO Inputs'!$AZ$84</f>
        <v>58.348193016472912</v>
      </c>
      <c r="AG229" s="125">
        <f>AG118/293.07*(1/(VLOOKUP($H229,'Fuel economy adjusted factor'!$A$2:$K$52,11,FALSE)*m2k))/'TCO Inputs'!$AZ$84</f>
        <v>58.348193016472912</v>
      </c>
      <c r="AH229" s="125">
        <f>AH118/293.07*(1/(VLOOKUP($H229,'Fuel economy adjusted factor'!$A$2:$K$52,11,FALSE)*m2k))/'TCO Inputs'!$AZ$84</f>
        <v>58.348193016472912</v>
      </c>
      <c r="AI229" s="125">
        <f>AI118/293.07*(1/(VLOOKUP($H229,'Fuel economy adjusted factor'!$A$2:$K$52,11,FALSE)*m2k))/'TCO Inputs'!$AZ$84</f>
        <v>58.348193016472912</v>
      </c>
      <c r="AJ229" s="125">
        <f>AJ118/293.07*(1/(VLOOKUP($H229,'Fuel economy adjusted factor'!$A$2:$K$52,11,FALSE)*m2k))/'TCO Inputs'!$AZ$84</f>
        <v>54.682866904623289</v>
      </c>
      <c r="AK229" s="98" cm="1">
        <f t="array" ref="AK229">SUMPRODUCT(INDEX(I229:AJ229,,'TCO Inputs'!$AZ$12-2023+_xlfn.SEQUENCE('TCO Inputs'!$AZ$13))*INDEX('VKT US'!C68:AA68,,_xlfn.SEQUENCE('TCO Inputs'!$AZ$13)))*m2k*CONVERT(0.9072,"g","ton")*'TCO Inputs'!$BD$9</f>
        <v>13.722486930821265</v>
      </c>
    </row>
    <row r="230" spans="8:37" x14ac:dyDescent="0.25">
      <c r="H230" s="123" t="s">
        <v>191</v>
      </c>
      <c r="I230" s="125">
        <f>I119/293.07*(1/(VLOOKUP($H230,'Fuel economy adjusted factor'!$A$2:$K$52,11,FALSE)*m2k))/'TCO Inputs'!$AZ$84</f>
        <v>77.242686790273993</v>
      </c>
      <c r="J230" s="125">
        <f>J119/293.07*(1/(VLOOKUP($H230,'Fuel economy adjusted factor'!$A$2:$K$52,11,FALSE)*m2k))/'TCO Inputs'!$AZ$84</f>
        <v>77.242686790273993</v>
      </c>
      <c r="K230" s="125">
        <f>K119/293.07*(1/(VLOOKUP($H230,'Fuel economy adjusted factor'!$A$2:$K$52,11,FALSE)*m2k))/'TCO Inputs'!$AZ$84</f>
        <v>67.863630116330683</v>
      </c>
      <c r="L230" s="125">
        <f>L119/293.07*(1/(VLOOKUP($H230,'Fuel economy adjusted factor'!$A$2:$K$52,11,FALSE)*m2k))/'TCO Inputs'!$AZ$84</f>
        <v>67.863630116330683</v>
      </c>
      <c r="M230" s="125">
        <f>M119/293.07*(1/(VLOOKUP($H230,'Fuel economy adjusted factor'!$A$2:$K$52,11,FALSE)*m2k))/'TCO Inputs'!$AZ$84</f>
        <v>67.863630116330683</v>
      </c>
      <c r="N230" s="125">
        <f>N119/293.07*(1/(VLOOKUP($H230,'Fuel economy adjusted factor'!$A$2:$K$52,11,FALSE)*m2k))/'TCO Inputs'!$AZ$84</f>
        <v>67.863630116330683</v>
      </c>
      <c r="O230" s="125">
        <f>O119/293.07*(1/(VLOOKUP($H230,'Fuel economy adjusted factor'!$A$2:$K$52,11,FALSE)*m2k))/'TCO Inputs'!$AZ$84</f>
        <v>67.863630116330683</v>
      </c>
      <c r="P230" s="125">
        <f>P119/293.07*(1/(VLOOKUP($H230,'Fuel economy adjusted factor'!$A$2:$K$52,11,FALSE)*m2k))/'TCO Inputs'!$AZ$84</f>
        <v>41.374164389593133</v>
      </c>
      <c r="Q230" s="125">
        <f>Q119/293.07*(1/(VLOOKUP($H230,'Fuel economy adjusted factor'!$A$2:$K$52,11,FALSE)*m2k))/'TCO Inputs'!$AZ$84</f>
        <v>41.374164389593133</v>
      </c>
      <c r="R230" s="125">
        <f>R119/293.07*(1/(VLOOKUP($H230,'Fuel economy adjusted factor'!$A$2:$K$52,11,FALSE)*m2k))/'TCO Inputs'!$AZ$84</f>
        <v>41.374164389593133</v>
      </c>
      <c r="S230" s="125">
        <f>S119/293.07*(1/(VLOOKUP($H230,'Fuel economy adjusted factor'!$A$2:$K$52,11,FALSE)*m2k))/'TCO Inputs'!$AZ$84</f>
        <v>41.374164389593133</v>
      </c>
      <c r="T230" s="125">
        <f>T119/293.07*(1/(VLOOKUP($H230,'Fuel economy adjusted factor'!$A$2:$K$52,11,FALSE)*m2k))/'TCO Inputs'!$AZ$84</f>
        <v>41.374164389593133</v>
      </c>
      <c r="U230" s="125">
        <f>U119/293.07*(1/(VLOOKUP($H230,'Fuel economy adjusted factor'!$A$2:$K$52,11,FALSE)*m2k))/'TCO Inputs'!$AZ$84</f>
        <v>37.083466210754374</v>
      </c>
      <c r="V230" s="125">
        <f>V119/293.07*(1/(VLOOKUP($H230,'Fuel economy adjusted factor'!$A$2:$K$52,11,FALSE)*m2k))/'TCO Inputs'!$AZ$84</f>
        <v>37.083466210754374</v>
      </c>
      <c r="W230" s="125">
        <f>W119/293.07*(1/(VLOOKUP($H230,'Fuel economy adjusted factor'!$A$2:$K$52,11,FALSE)*m2k))/'TCO Inputs'!$AZ$84</f>
        <v>37.083466210754374</v>
      </c>
      <c r="X230" s="125">
        <f>X119/293.07*(1/(VLOOKUP($H230,'Fuel economy adjusted factor'!$A$2:$K$52,11,FALSE)*m2k))/'TCO Inputs'!$AZ$84</f>
        <v>37.083466210754374</v>
      </c>
      <c r="Y230" s="125">
        <f>Y119/293.07*(1/(VLOOKUP($H230,'Fuel economy adjusted factor'!$A$2:$K$52,11,FALSE)*m2k))/'TCO Inputs'!$AZ$84</f>
        <v>37.083466210754374</v>
      </c>
      <c r="Z230" s="125">
        <f>Z119/293.07*(1/(VLOOKUP($H230,'Fuel economy adjusted factor'!$A$2:$K$52,11,FALSE)*m2k))/'TCO Inputs'!$AZ$84</f>
        <v>35.78042260455598</v>
      </c>
      <c r="AA230" s="125">
        <f>AA119/293.07*(1/(VLOOKUP($H230,'Fuel economy adjusted factor'!$A$2:$K$52,11,FALSE)*m2k))/'TCO Inputs'!$AZ$84</f>
        <v>35.78042260455598</v>
      </c>
      <c r="AB230" s="125">
        <f>AB119/293.07*(1/(VLOOKUP($H230,'Fuel economy adjusted factor'!$A$2:$K$52,11,FALSE)*m2k))/'TCO Inputs'!$AZ$84</f>
        <v>35.78042260455598</v>
      </c>
      <c r="AC230" s="125">
        <f>AC119/293.07*(1/(VLOOKUP($H230,'Fuel economy adjusted factor'!$A$2:$K$52,11,FALSE)*m2k))/'TCO Inputs'!$AZ$84</f>
        <v>35.78042260455598</v>
      </c>
      <c r="AD230" s="125">
        <f>AD119/293.07*(1/(VLOOKUP($H230,'Fuel economy adjusted factor'!$A$2:$K$52,11,FALSE)*m2k))/'TCO Inputs'!$AZ$84</f>
        <v>35.78042260455598</v>
      </c>
      <c r="AE230" s="125">
        <f>AE119/293.07*(1/(VLOOKUP($H230,'Fuel economy adjusted factor'!$A$2:$K$52,11,FALSE)*m2k))/'TCO Inputs'!$AZ$84</f>
        <v>34.379159631056197</v>
      </c>
      <c r="AF230" s="125">
        <f>AF119/293.07*(1/(VLOOKUP($H230,'Fuel economy adjusted factor'!$A$2:$K$52,11,FALSE)*m2k))/'TCO Inputs'!$AZ$84</f>
        <v>34.379159631056197</v>
      </c>
      <c r="AG230" s="125">
        <f>AG119/293.07*(1/(VLOOKUP($H230,'Fuel economy adjusted factor'!$A$2:$K$52,11,FALSE)*m2k))/'TCO Inputs'!$AZ$84</f>
        <v>34.379159631056197</v>
      </c>
      <c r="AH230" s="125">
        <f>AH119/293.07*(1/(VLOOKUP($H230,'Fuel economy adjusted factor'!$A$2:$K$52,11,FALSE)*m2k))/'TCO Inputs'!$AZ$84</f>
        <v>34.379159631056197</v>
      </c>
      <c r="AI230" s="125">
        <f>AI119/293.07*(1/(VLOOKUP($H230,'Fuel economy adjusted factor'!$A$2:$K$52,11,FALSE)*m2k))/'TCO Inputs'!$AZ$84</f>
        <v>34.379159631056197</v>
      </c>
      <c r="AJ230" s="125">
        <f>AJ119/293.07*(1/(VLOOKUP($H230,'Fuel economy adjusted factor'!$A$2:$K$52,11,FALSE)*m2k))/'TCO Inputs'!$AZ$84</f>
        <v>32.219524088211173</v>
      </c>
      <c r="AK230" s="98" cm="1">
        <f t="array" ref="AK230">SUMPRODUCT(INDEX(I230:AJ230,,'TCO Inputs'!$AZ$12-2023+_xlfn.SEQUENCE('TCO Inputs'!$AZ$13))*INDEX('VKT US'!C69:AA69,,_xlfn.SEQUENCE('TCO Inputs'!$AZ$13)))*m2k*CONVERT(0.9072,"g","ton")*'TCO Inputs'!$BD$9</f>
        <v>7.5952091322967235</v>
      </c>
    </row>
    <row r="231" spans="8:37" x14ac:dyDescent="0.25">
      <c r="H231" s="123" t="s">
        <v>192</v>
      </c>
      <c r="I231" s="125">
        <f>I120/293.07*(1/(VLOOKUP($H231,'Fuel economy adjusted factor'!$A$2:$K$52,11,FALSE)*m2k))/'TCO Inputs'!$AZ$84</f>
        <v>115.37945831803361</v>
      </c>
      <c r="J231" s="125">
        <f>J120/293.07*(1/(VLOOKUP($H231,'Fuel economy adjusted factor'!$A$2:$K$52,11,FALSE)*m2k))/'TCO Inputs'!$AZ$84</f>
        <v>115.37945831803361</v>
      </c>
      <c r="K231" s="125">
        <f>K120/293.07*(1/(VLOOKUP($H231,'Fuel economy adjusted factor'!$A$2:$K$52,11,FALSE)*m2k))/'TCO Inputs'!$AZ$84</f>
        <v>101.36971158936369</v>
      </c>
      <c r="L231" s="125">
        <f>L120/293.07*(1/(VLOOKUP($H231,'Fuel economy adjusted factor'!$A$2:$K$52,11,FALSE)*m2k))/'TCO Inputs'!$AZ$84</f>
        <v>101.36971158936369</v>
      </c>
      <c r="M231" s="125">
        <f>M120/293.07*(1/(VLOOKUP($H231,'Fuel economy adjusted factor'!$A$2:$K$52,11,FALSE)*m2k))/'TCO Inputs'!$AZ$84</f>
        <v>101.36971158936369</v>
      </c>
      <c r="N231" s="125">
        <f>N120/293.07*(1/(VLOOKUP($H231,'Fuel economy adjusted factor'!$A$2:$K$52,11,FALSE)*m2k))/'TCO Inputs'!$AZ$84</f>
        <v>101.36971158936369</v>
      </c>
      <c r="O231" s="125">
        <f>O120/293.07*(1/(VLOOKUP($H231,'Fuel economy adjusted factor'!$A$2:$K$52,11,FALSE)*m2k))/'TCO Inputs'!$AZ$84</f>
        <v>101.36971158936369</v>
      </c>
      <c r="P231" s="125">
        <f>P120/293.07*(1/(VLOOKUP($H231,'Fuel economy adjusted factor'!$A$2:$K$52,11,FALSE)*m2k))/'TCO Inputs'!$AZ$84</f>
        <v>61.801691189147178</v>
      </c>
      <c r="Q231" s="125">
        <f>Q120/293.07*(1/(VLOOKUP($H231,'Fuel economy adjusted factor'!$A$2:$K$52,11,FALSE)*m2k))/'TCO Inputs'!$AZ$84</f>
        <v>61.801691189147178</v>
      </c>
      <c r="R231" s="125">
        <f>R120/293.07*(1/(VLOOKUP($H231,'Fuel economy adjusted factor'!$A$2:$K$52,11,FALSE)*m2k))/'TCO Inputs'!$AZ$84</f>
        <v>61.801691189147178</v>
      </c>
      <c r="S231" s="125">
        <f>S120/293.07*(1/(VLOOKUP($H231,'Fuel economy adjusted factor'!$A$2:$K$52,11,FALSE)*m2k))/'TCO Inputs'!$AZ$84</f>
        <v>61.801691189147178</v>
      </c>
      <c r="T231" s="125">
        <f>T120/293.07*(1/(VLOOKUP($H231,'Fuel economy adjusted factor'!$A$2:$K$52,11,FALSE)*m2k))/'TCO Inputs'!$AZ$84</f>
        <v>61.801691189147178</v>
      </c>
      <c r="U231" s="125">
        <f>U120/293.07*(1/(VLOOKUP($H231,'Fuel economy adjusted factor'!$A$2:$K$52,11,FALSE)*m2k))/'TCO Inputs'!$AZ$84</f>
        <v>55.392561053309862</v>
      </c>
      <c r="V231" s="125">
        <f>V120/293.07*(1/(VLOOKUP($H231,'Fuel economy adjusted factor'!$A$2:$K$52,11,FALSE)*m2k))/'TCO Inputs'!$AZ$84</f>
        <v>55.392561053309862</v>
      </c>
      <c r="W231" s="125">
        <f>W120/293.07*(1/(VLOOKUP($H231,'Fuel economy adjusted factor'!$A$2:$K$52,11,FALSE)*m2k))/'TCO Inputs'!$AZ$84</f>
        <v>55.392561053309862</v>
      </c>
      <c r="X231" s="125">
        <f>X120/293.07*(1/(VLOOKUP($H231,'Fuel economy adjusted factor'!$A$2:$K$52,11,FALSE)*m2k))/'TCO Inputs'!$AZ$84</f>
        <v>55.392561053309862</v>
      </c>
      <c r="Y231" s="125">
        <f>Y120/293.07*(1/(VLOOKUP($H231,'Fuel economy adjusted factor'!$A$2:$K$52,11,FALSE)*m2k))/'TCO Inputs'!$AZ$84</f>
        <v>55.392561053309862</v>
      </c>
      <c r="Z231" s="125">
        <f>Z120/293.07*(1/(VLOOKUP($H231,'Fuel economy adjusted factor'!$A$2:$K$52,11,FALSE)*m2k))/'TCO Inputs'!$AZ$84</f>
        <v>53.446170117218301</v>
      </c>
      <c r="AA231" s="125">
        <f>AA120/293.07*(1/(VLOOKUP($H231,'Fuel economy adjusted factor'!$A$2:$K$52,11,FALSE)*m2k))/'TCO Inputs'!$AZ$84</f>
        <v>53.446170117218301</v>
      </c>
      <c r="AB231" s="125">
        <f>AB120/293.07*(1/(VLOOKUP($H231,'Fuel economy adjusted factor'!$A$2:$K$52,11,FALSE)*m2k))/'TCO Inputs'!$AZ$84</f>
        <v>53.446170117218301</v>
      </c>
      <c r="AC231" s="125">
        <f>AC120/293.07*(1/(VLOOKUP($H231,'Fuel economy adjusted factor'!$A$2:$K$52,11,FALSE)*m2k))/'TCO Inputs'!$AZ$84</f>
        <v>53.446170117218301</v>
      </c>
      <c r="AD231" s="125">
        <f>AD120/293.07*(1/(VLOOKUP($H231,'Fuel economy adjusted factor'!$A$2:$K$52,11,FALSE)*m2k))/'TCO Inputs'!$AZ$84</f>
        <v>53.446170117218301</v>
      </c>
      <c r="AE231" s="125">
        <f>AE120/293.07*(1/(VLOOKUP($H231,'Fuel economy adjusted factor'!$A$2:$K$52,11,FALSE)*m2k))/'TCO Inputs'!$AZ$84</f>
        <v>51.353066296496742</v>
      </c>
      <c r="AF231" s="125">
        <f>AF120/293.07*(1/(VLOOKUP($H231,'Fuel economy adjusted factor'!$A$2:$K$52,11,FALSE)*m2k))/'TCO Inputs'!$AZ$84</f>
        <v>51.353066296496742</v>
      </c>
      <c r="AG231" s="125">
        <f>AG120/293.07*(1/(VLOOKUP($H231,'Fuel economy adjusted factor'!$A$2:$K$52,11,FALSE)*m2k))/'TCO Inputs'!$AZ$84</f>
        <v>51.353066296496742</v>
      </c>
      <c r="AH231" s="125">
        <f>AH120/293.07*(1/(VLOOKUP($H231,'Fuel economy adjusted factor'!$A$2:$K$52,11,FALSE)*m2k))/'TCO Inputs'!$AZ$84</f>
        <v>51.353066296496742</v>
      </c>
      <c r="AI231" s="125">
        <f>AI120/293.07*(1/(VLOOKUP($H231,'Fuel economy adjusted factor'!$A$2:$K$52,11,FALSE)*m2k))/'TCO Inputs'!$AZ$84</f>
        <v>51.353066296496742</v>
      </c>
      <c r="AJ231" s="125">
        <f>AJ120/293.07*(1/(VLOOKUP($H231,'Fuel economy adjusted factor'!$A$2:$K$52,11,FALSE)*m2k))/'TCO Inputs'!$AZ$84</f>
        <v>48.127161172631894</v>
      </c>
      <c r="AK231" s="98" cm="1">
        <f t="array" ref="AK231">SUMPRODUCT(INDEX(I231:AJ231,,'TCO Inputs'!$AZ$12-2023+_xlfn.SEQUENCE('TCO Inputs'!$AZ$13))*INDEX('VKT US'!C70:AA70,,_xlfn.SEQUENCE('TCO Inputs'!$AZ$13)))*m2k*CONVERT(0.9072,"g","ton")*'TCO Inputs'!$BD$9</f>
        <v>11.805826523353494</v>
      </c>
    </row>
    <row r="232" spans="8:37" x14ac:dyDescent="0.25">
      <c r="H232" s="123" t="s">
        <v>193</v>
      </c>
      <c r="I232" s="125">
        <f>I121/293.07*(1/(VLOOKUP($H232,'Fuel economy adjusted factor'!$A$2:$K$52,11,FALSE)*m2k))/'TCO Inputs'!$AZ$84</f>
        <v>100.54080141423853</v>
      </c>
      <c r="J232" s="125">
        <f>J121/293.07*(1/(VLOOKUP($H232,'Fuel economy adjusted factor'!$A$2:$K$52,11,FALSE)*m2k))/'TCO Inputs'!$AZ$84</f>
        <v>100.54080141423853</v>
      </c>
      <c r="K232" s="125">
        <f>K121/293.07*(1/(VLOOKUP($H232,'Fuel economy adjusted factor'!$A$2:$K$52,11,FALSE)*m2k))/'TCO Inputs'!$AZ$84</f>
        <v>88.332812364502914</v>
      </c>
      <c r="L232" s="125">
        <f>L121/293.07*(1/(VLOOKUP($H232,'Fuel economy adjusted factor'!$A$2:$K$52,11,FALSE)*m2k))/'TCO Inputs'!$AZ$84</f>
        <v>88.332812364502914</v>
      </c>
      <c r="M232" s="125">
        <f>M121/293.07*(1/(VLOOKUP($H232,'Fuel economy adjusted factor'!$A$2:$K$52,11,FALSE)*m2k))/'TCO Inputs'!$AZ$84</f>
        <v>88.332812364502914</v>
      </c>
      <c r="N232" s="125">
        <f>N121/293.07*(1/(VLOOKUP($H232,'Fuel economy adjusted factor'!$A$2:$K$52,11,FALSE)*m2k))/'TCO Inputs'!$AZ$84</f>
        <v>88.332812364502914</v>
      </c>
      <c r="O232" s="125">
        <f>O121/293.07*(1/(VLOOKUP($H232,'Fuel economy adjusted factor'!$A$2:$K$52,11,FALSE)*m2k))/'TCO Inputs'!$AZ$84</f>
        <v>88.332812364502914</v>
      </c>
      <c r="P232" s="125">
        <f>P121/293.07*(1/(VLOOKUP($H232,'Fuel economy adjusted factor'!$A$2:$K$52,11,FALSE)*m2k))/'TCO Inputs'!$AZ$84</f>
        <v>53.853533822154944</v>
      </c>
      <c r="Q232" s="125">
        <f>Q121/293.07*(1/(VLOOKUP($H232,'Fuel economy adjusted factor'!$A$2:$K$52,11,FALSE)*m2k))/'TCO Inputs'!$AZ$84</f>
        <v>53.853533822154944</v>
      </c>
      <c r="R232" s="125">
        <f>R121/293.07*(1/(VLOOKUP($H232,'Fuel economy adjusted factor'!$A$2:$K$52,11,FALSE)*m2k))/'TCO Inputs'!$AZ$84</f>
        <v>53.853533822154944</v>
      </c>
      <c r="S232" s="125">
        <f>S121/293.07*(1/(VLOOKUP($H232,'Fuel economy adjusted factor'!$A$2:$K$52,11,FALSE)*m2k))/'TCO Inputs'!$AZ$84</f>
        <v>53.853533822154944</v>
      </c>
      <c r="T232" s="125">
        <f>T121/293.07*(1/(VLOOKUP($H232,'Fuel economy adjusted factor'!$A$2:$K$52,11,FALSE)*m2k))/'TCO Inputs'!$AZ$84</f>
        <v>53.853533822154944</v>
      </c>
      <c r="U232" s="125">
        <f>U121/293.07*(1/(VLOOKUP($H232,'Fuel economy adjusted factor'!$A$2:$K$52,11,FALSE)*m2k))/'TCO Inputs'!$AZ$84</f>
        <v>48.268665513542722</v>
      </c>
      <c r="V232" s="125">
        <f>V121/293.07*(1/(VLOOKUP($H232,'Fuel economy adjusted factor'!$A$2:$K$52,11,FALSE)*m2k))/'TCO Inputs'!$AZ$84</f>
        <v>48.268665513542722</v>
      </c>
      <c r="W232" s="125">
        <f>W121/293.07*(1/(VLOOKUP($H232,'Fuel economy adjusted factor'!$A$2:$K$52,11,FALSE)*m2k))/'TCO Inputs'!$AZ$84</f>
        <v>48.268665513542722</v>
      </c>
      <c r="X232" s="125">
        <f>X121/293.07*(1/(VLOOKUP($H232,'Fuel economy adjusted factor'!$A$2:$K$52,11,FALSE)*m2k))/'TCO Inputs'!$AZ$84</f>
        <v>48.268665513542722</v>
      </c>
      <c r="Y232" s="125">
        <f>Y121/293.07*(1/(VLOOKUP($H232,'Fuel economy adjusted factor'!$A$2:$K$52,11,FALSE)*m2k))/'TCO Inputs'!$AZ$84</f>
        <v>48.268665513542722</v>
      </c>
      <c r="Z232" s="125">
        <f>Z121/293.07*(1/(VLOOKUP($H232,'Fuel economy adjusted factor'!$A$2:$K$52,11,FALSE)*m2k))/'TCO Inputs'!$AZ$84</f>
        <v>46.57259493535846</v>
      </c>
      <c r="AA232" s="125">
        <f>AA121/293.07*(1/(VLOOKUP($H232,'Fuel economy adjusted factor'!$A$2:$K$52,11,FALSE)*m2k))/'TCO Inputs'!$AZ$84</f>
        <v>46.57259493535846</v>
      </c>
      <c r="AB232" s="125">
        <f>AB121/293.07*(1/(VLOOKUP($H232,'Fuel economy adjusted factor'!$A$2:$K$52,11,FALSE)*m2k))/'TCO Inputs'!$AZ$84</f>
        <v>46.57259493535846</v>
      </c>
      <c r="AC232" s="125">
        <f>AC121/293.07*(1/(VLOOKUP($H232,'Fuel economy adjusted factor'!$A$2:$K$52,11,FALSE)*m2k))/'TCO Inputs'!$AZ$84</f>
        <v>46.57259493535846</v>
      </c>
      <c r="AD232" s="125">
        <f>AD121/293.07*(1/(VLOOKUP($H232,'Fuel economy adjusted factor'!$A$2:$K$52,11,FALSE)*m2k))/'TCO Inputs'!$AZ$84</f>
        <v>46.57259493535846</v>
      </c>
      <c r="AE232" s="125">
        <f>AE121/293.07*(1/(VLOOKUP($H232,'Fuel economy adjusted factor'!$A$2:$K$52,11,FALSE)*m2k))/'TCO Inputs'!$AZ$84</f>
        <v>44.748679841230654</v>
      </c>
      <c r="AF232" s="125">
        <f>AF121/293.07*(1/(VLOOKUP($H232,'Fuel economy adjusted factor'!$A$2:$K$52,11,FALSE)*m2k))/'TCO Inputs'!$AZ$84</f>
        <v>44.748679841230654</v>
      </c>
      <c r="AG232" s="125">
        <f>AG121/293.07*(1/(VLOOKUP($H232,'Fuel economy adjusted factor'!$A$2:$K$52,11,FALSE)*m2k))/'TCO Inputs'!$AZ$84</f>
        <v>44.748679841230654</v>
      </c>
      <c r="AH232" s="125">
        <f>AH121/293.07*(1/(VLOOKUP($H232,'Fuel economy adjusted factor'!$A$2:$K$52,11,FALSE)*m2k))/'TCO Inputs'!$AZ$84</f>
        <v>44.748679841230654</v>
      </c>
      <c r="AI232" s="125">
        <f>AI121/293.07*(1/(VLOOKUP($H232,'Fuel economy adjusted factor'!$A$2:$K$52,11,FALSE)*m2k))/'TCO Inputs'!$AZ$84</f>
        <v>44.748679841230654</v>
      </c>
      <c r="AJ232" s="125">
        <f>AJ121/293.07*(1/(VLOOKUP($H232,'Fuel economy adjusted factor'!$A$2:$K$52,11,FALSE)*m2k))/'TCO Inputs'!$AZ$84</f>
        <v>41.937650120969124</v>
      </c>
      <c r="AK232" s="98" cm="1">
        <f t="array" ref="AK232">SUMPRODUCT(INDEX(I232:AJ232,,'TCO Inputs'!$AZ$12-2023+_xlfn.SEQUENCE('TCO Inputs'!$AZ$13))*INDEX('VKT US'!C71:AA71,,_xlfn.SEQUENCE('TCO Inputs'!$AZ$13)))*m2k*CONVERT(0.9072,"g","ton")*'TCO Inputs'!$BD$9</f>
        <v>11.876855744602171</v>
      </c>
    </row>
    <row r="233" spans="8:37" x14ac:dyDescent="0.25">
      <c r="H233" s="123" t="s">
        <v>194</v>
      </c>
      <c r="I233" s="125">
        <f>I122/293.07*(1/(VLOOKUP($H233,'Fuel economy adjusted factor'!$A$2:$K$52,11,FALSE)*m2k))/'TCO Inputs'!$AZ$84</f>
        <v>87.782037136713427</v>
      </c>
      <c r="J233" s="125">
        <f>J122/293.07*(1/(VLOOKUP($H233,'Fuel economy adjusted factor'!$A$2:$K$52,11,FALSE)*m2k))/'TCO Inputs'!$AZ$84</f>
        <v>87.782037136713427</v>
      </c>
      <c r="K233" s="125">
        <f>K122/293.07*(1/(VLOOKUP($H233,'Fuel economy adjusted factor'!$A$2:$K$52,11,FALSE)*m2k))/'TCO Inputs'!$AZ$84</f>
        <v>77.123258481138507</v>
      </c>
      <c r="L233" s="125">
        <f>L122/293.07*(1/(VLOOKUP($H233,'Fuel economy adjusted factor'!$A$2:$K$52,11,FALSE)*m2k))/'TCO Inputs'!$AZ$84</f>
        <v>77.123258481138507</v>
      </c>
      <c r="M233" s="125">
        <f>M122/293.07*(1/(VLOOKUP($H233,'Fuel economy adjusted factor'!$A$2:$K$52,11,FALSE)*m2k))/'TCO Inputs'!$AZ$84</f>
        <v>77.123258481138507</v>
      </c>
      <c r="N233" s="125">
        <f>N122/293.07*(1/(VLOOKUP($H233,'Fuel economy adjusted factor'!$A$2:$K$52,11,FALSE)*m2k))/'TCO Inputs'!$AZ$84</f>
        <v>77.123258481138507</v>
      </c>
      <c r="O233" s="125">
        <f>O122/293.07*(1/(VLOOKUP($H233,'Fuel economy adjusted factor'!$A$2:$K$52,11,FALSE)*m2k))/'TCO Inputs'!$AZ$84</f>
        <v>77.123258481138507</v>
      </c>
      <c r="P233" s="125">
        <f>P122/293.07*(1/(VLOOKUP($H233,'Fuel economy adjusted factor'!$A$2:$K$52,11,FALSE)*m2k))/'TCO Inputs'!$AZ$84</f>
        <v>47.019447223643986</v>
      </c>
      <c r="Q233" s="125">
        <f>Q122/293.07*(1/(VLOOKUP($H233,'Fuel economy adjusted factor'!$A$2:$K$52,11,FALSE)*m2k))/'TCO Inputs'!$AZ$84</f>
        <v>47.019447223643986</v>
      </c>
      <c r="R233" s="125">
        <f>R122/293.07*(1/(VLOOKUP($H233,'Fuel economy adjusted factor'!$A$2:$K$52,11,FALSE)*m2k))/'TCO Inputs'!$AZ$84</f>
        <v>47.019447223643986</v>
      </c>
      <c r="S233" s="125">
        <f>S122/293.07*(1/(VLOOKUP($H233,'Fuel economy adjusted factor'!$A$2:$K$52,11,FALSE)*m2k))/'TCO Inputs'!$AZ$84</f>
        <v>47.019447223643986</v>
      </c>
      <c r="T233" s="125">
        <f>T122/293.07*(1/(VLOOKUP($H233,'Fuel economy adjusted factor'!$A$2:$K$52,11,FALSE)*m2k))/'TCO Inputs'!$AZ$84</f>
        <v>47.019447223643986</v>
      </c>
      <c r="U233" s="125">
        <f>U122/293.07*(1/(VLOOKUP($H233,'Fuel economy adjusted factor'!$A$2:$K$52,11,FALSE)*m2k))/'TCO Inputs'!$AZ$84</f>
        <v>42.143306290070498</v>
      </c>
      <c r="V233" s="125">
        <f>V122/293.07*(1/(VLOOKUP($H233,'Fuel economy adjusted factor'!$A$2:$K$52,11,FALSE)*m2k))/'TCO Inputs'!$AZ$84</f>
        <v>42.143306290070498</v>
      </c>
      <c r="W233" s="125">
        <f>W122/293.07*(1/(VLOOKUP($H233,'Fuel economy adjusted factor'!$A$2:$K$52,11,FALSE)*m2k))/'TCO Inputs'!$AZ$84</f>
        <v>42.143306290070498</v>
      </c>
      <c r="X233" s="125">
        <f>X122/293.07*(1/(VLOOKUP($H233,'Fuel economy adjusted factor'!$A$2:$K$52,11,FALSE)*m2k))/'TCO Inputs'!$AZ$84</f>
        <v>42.143306290070498</v>
      </c>
      <c r="Y233" s="125">
        <f>Y122/293.07*(1/(VLOOKUP($H233,'Fuel economy adjusted factor'!$A$2:$K$52,11,FALSE)*m2k))/'TCO Inputs'!$AZ$84</f>
        <v>42.143306290070498</v>
      </c>
      <c r="Z233" s="125">
        <f>Z122/293.07*(1/(VLOOKUP($H233,'Fuel economy adjusted factor'!$A$2:$K$52,11,FALSE)*m2k))/'TCO Inputs'!$AZ$84</f>
        <v>40.662469372258009</v>
      </c>
      <c r="AA233" s="125">
        <f>AA122/293.07*(1/(VLOOKUP($H233,'Fuel economy adjusted factor'!$A$2:$K$52,11,FALSE)*m2k))/'TCO Inputs'!$AZ$84</f>
        <v>40.662469372258009</v>
      </c>
      <c r="AB233" s="125">
        <f>AB122/293.07*(1/(VLOOKUP($H233,'Fuel economy adjusted factor'!$A$2:$K$52,11,FALSE)*m2k))/'TCO Inputs'!$AZ$84</f>
        <v>40.662469372258009</v>
      </c>
      <c r="AC233" s="125">
        <f>AC122/293.07*(1/(VLOOKUP($H233,'Fuel economy adjusted factor'!$A$2:$K$52,11,FALSE)*m2k))/'TCO Inputs'!$AZ$84</f>
        <v>40.662469372258009</v>
      </c>
      <c r="AD233" s="125">
        <f>AD122/293.07*(1/(VLOOKUP($H233,'Fuel economy adjusted factor'!$A$2:$K$52,11,FALSE)*m2k))/'TCO Inputs'!$AZ$84</f>
        <v>40.662469372258009</v>
      </c>
      <c r="AE233" s="125">
        <f>AE122/293.07*(1/(VLOOKUP($H233,'Fuel economy adjusted factor'!$A$2:$K$52,11,FALSE)*m2k))/'TCO Inputs'!$AZ$84</f>
        <v>39.070011581243577</v>
      </c>
      <c r="AF233" s="125">
        <f>AF122/293.07*(1/(VLOOKUP($H233,'Fuel economy adjusted factor'!$A$2:$K$52,11,FALSE)*m2k))/'TCO Inputs'!$AZ$84</f>
        <v>39.070011581243577</v>
      </c>
      <c r="AG233" s="125">
        <f>AG122/293.07*(1/(VLOOKUP($H233,'Fuel economy adjusted factor'!$A$2:$K$52,11,FALSE)*m2k))/'TCO Inputs'!$AZ$84</f>
        <v>39.070011581243577</v>
      </c>
      <c r="AH233" s="125">
        <f>AH122/293.07*(1/(VLOOKUP($H233,'Fuel economy adjusted factor'!$A$2:$K$52,11,FALSE)*m2k))/'TCO Inputs'!$AZ$84</f>
        <v>39.070011581243577</v>
      </c>
      <c r="AI233" s="125">
        <f>AI122/293.07*(1/(VLOOKUP($H233,'Fuel economy adjusted factor'!$A$2:$K$52,11,FALSE)*m2k))/'TCO Inputs'!$AZ$84</f>
        <v>39.070011581243577</v>
      </c>
      <c r="AJ233" s="125">
        <f>AJ122/293.07*(1/(VLOOKUP($H233,'Fuel economy adjusted factor'!$A$2:$K$52,11,FALSE)*m2k))/'TCO Inputs'!$AZ$84</f>
        <v>36.615705351081999</v>
      </c>
      <c r="AK233" s="98" cm="1">
        <f t="array" ref="AK233">SUMPRODUCT(INDEX(I233:AJ233,,'TCO Inputs'!$AZ$12-2023+_xlfn.SEQUENCE('TCO Inputs'!$AZ$13))*INDEX('VKT US'!C72:AA72,,_xlfn.SEQUENCE('TCO Inputs'!$AZ$13)))*m2k*CONVERT(0.9072,"g","ton")*'TCO Inputs'!$BD$9</f>
        <v>13.060209366649424</v>
      </c>
    </row>
    <row r="234" spans="8:37" x14ac:dyDescent="0.25">
      <c r="H234" s="123" t="s">
        <v>233</v>
      </c>
      <c r="I234" s="125">
        <f>I123/293.07*(1/(VLOOKUP($H234,'Fuel economy adjusted factor'!$A$2:$K$52,11,FALSE)*m2k))/'TCO Inputs'!$AZ$84</f>
        <v>189.22375909220003</v>
      </c>
      <c r="J234" s="125">
        <f>J123/293.07*(1/(VLOOKUP($H234,'Fuel economy adjusted factor'!$A$2:$K$52,11,FALSE)*m2k))/'TCO Inputs'!$AZ$84</f>
        <v>189.22375909220003</v>
      </c>
      <c r="K234" s="125">
        <f>K123/293.07*(1/(VLOOKUP($H234,'Fuel economy adjusted factor'!$A$2:$K$52,11,FALSE)*m2k))/'TCO Inputs'!$AZ$84</f>
        <v>166.24759870304837</v>
      </c>
      <c r="L234" s="125">
        <f>L123/293.07*(1/(VLOOKUP($H234,'Fuel economy adjusted factor'!$A$2:$K$52,11,FALSE)*m2k))/'TCO Inputs'!$AZ$84</f>
        <v>166.24759870304837</v>
      </c>
      <c r="M234" s="125">
        <f>M123/293.07*(1/(VLOOKUP($H234,'Fuel economy adjusted factor'!$A$2:$K$52,11,FALSE)*m2k))/'TCO Inputs'!$AZ$84</f>
        <v>166.24759870304837</v>
      </c>
      <c r="N234" s="125">
        <f>N123/293.07*(1/(VLOOKUP($H234,'Fuel economy adjusted factor'!$A$2:$K$52,11,FALSE)*m2k))/'TCO Inputs'!$AZ$84</f>
        <v>166.24759870304837</v>
      </c>
      <c r="O234" s="125">
        <f>O123/293.07*(1/(VLOOKUP($H234,'Fuel economy adjusted factor'!$A$2:$K$52,11,FALSE)*m2k))/'TCO Inputs'!$AZ$84</f>
        <v>166.24759870304837</v>
      </c>
      <c r="P234" s="125">
        <f>P123/293.07*(1/(VLOOKUP($H234,'Fuel economy adjusted factor'!$A$2:$K$52,11,FALSE)*m2k))/'TCO Inputs'!$AZ$84</f>
        <v>101.35554886062349</v>
      </c>
      <c r="Q234" s="125">
        <f>Q123/293.07*(1/(VLOOKUP($H234,'Fuel economy adjusted factor'!$A$2:$K$52,11,FALSE)*m2k))/'TCO Inputs'!$AZ$84</f>
        <v>101.35554886062349</v>
      </c>
      <c r="R234" s="125">
        <f>R123/293.07*(1/(VLOOKUP($H234,'Fuel economy adjusted factor'!$A$2:$K$52,11,FALSE)*m2k))/'TCO Inputs'!$AZ$84</f>
        <v>101.35554886062349</v>
      </c>
      <c r="S234" s="125">
        <f>S123/293.07*(1/(VLOOKUP($H234,'Fuel economy adjusted factor'!$A$2:$K$52,11,FALSE)*m2k))/'TCO Inputs'!$AZ$84</f>
        <v>101.35554886062349</v>
      </c>
      <c r="T234" s="125">
        <f>T123/293.07*(1/(VLOOKUP($H234,'Fuel economy adjusted factor'!$A$2:$K$52,11,FALSE)*m2k))/'TCO Inputs'!$AZ$84</f>
        <v>101.35554886062349</v>
      </c>
      <c r="U234" s="125">
        <f>U123/293.07*(1/(VLOOKUP($H234,'Fuel economy adjusted factor'!$A$2:$K$52,11,FALSE)*m2k))/'TCO Inputs'!$AZ$84</f>
        <v>90.844495034461715</v>
      </c>
      <c r="V234" s="125">
        <f>V123/293.07*(1/(VLOOKUP($H234,'Fuel economy adjusted factor'!$A$2:$K$52,11,FALSE)*m2k))/'TCO Inputs'!$AZ$84</f>
        <v>90.844495034461715</v>
      </c>
      <c r="W234" s="125">
        <f>W123/293.07*(1/(VLOOKUP($H234,'Fuel economy adjusted factor'!$A$2:$K$52,11,FALSE)*m2k))/'TCO Inputs'!$AZ$84</f>
        <v>90.844495034461715</v>
      </c>
      <c r="X234" s="125">
        <f>X123/293.07*(1/(VLOOKUP($H234,'Fuel economy adjusted factor'!$A$2:$K$52,11,FALSE)*m2k))/'TCO Inputs'!$AZ$84</f>
        <v>90.844495034461715</v>
      </c>
      <c r="Y234" s="125">
        <f>Y123/293.07*(1/(VLOOKUP($H234,'Fuel economy adjusted factor'!$A$2:$K$52,11,FALSE)*m2k))/'TCO Inputs'!$AZ$84</f>
        <v>90.844495034461715</v>
      </c>
      <c r="Z234" s="125">
        <f>Z123/293.07*(1/(VLOOKUP($H234,'Fuel economy adjusted factor'!$A$2:$K$52,11,FALSE)*m2k))/'TCO Inputs'!$AZ$84</f>
        <v>87.652389481538819</v>
      </c>
      <c r="AA234" s="125">
        <f>AA123/293.07*(1/(VLOOKUP($H234,'Fuel economy adjusted factor'!$A$2:$K$52,11,FALSE)*m2k))/'TCO Inputs'!$AZ$84</f>
        <v>87.652389481538819</v>
      </c>
      <c r="AB234" s="125">
        <f>AB123/293.07*(1/(VLOOKUP($H234,'Fuel economy adjusted factor'!$A$2:$K$52,11,FALSE)*m2k))/'TCO Inputs'!$AZ$84</f>
        <v>87.652389481538819</v>
      </c>
      <c r="AC234" s="125">
        <f>AC123/293.07*(1/(VLOOKUP($H234,'Fuel economy adjusted factor'!$A$2:$K$52,11,FALSE)*m2k))/'TCO Inputs'!$AZ$84</f>
        <v>87.652389481538819</v>
      </c>
      <c r="AD234" s="125">
        <f>AD123/293.07*(1/(VLOOKUP($H234,'Fuel economy adjusted factor'!$A$2:$K$52,11,FALSE)*m2k))/'TCO Inputs'!$AZ$84</f>
        <v>87.652389481538819</v>
      </c>
      <c r="AE234" s="125">
        <f>AE123/293.07*(1/(VLOOKUP($H234,'Fuel economy adjusted factor'!$A$2:$K$52,11,FALSE)*m2k))/'TCO Inputs'!$AZ$84</f>
        <v>84.219672957290101</v>
      </c>
      <c r="AF234" s="125">
        <f>AF123/293.07*(1/(VLOOKUP($H234,'Fuel economy adjusted factor'!$A$2:$K$52,11,FALSE)*m2k))/'TCO Inputs'!$AZ$84</f>
        <v>84.219672957290101</v>
      </c>
      <c r="AG234" s="125">
        <f>AG123/293.07*(1/(VLOOKUP($H234,'Fuel economy adjusted factor'!$A$2:$K$52,11,FALSE)*m2k))/'TCO Inputs'!$AZ$84</f>
        <v>84.219672957290101</v>
      </c>
      <c r="AH234" s="125">
        <f>AH123/293.07*(1/(VLOOKUP($H234,'Fuel economy adjusted factor'!$A$2:$K$52,11,FALSE)*m2k))/'TCO Inputs'!$AZ$84</f>
        <v>84.219672957290101</v>
      </c>
      <c r="AI234" s="125">
        <f>AI123/293.07*(1/(VLOOKUP($H234,'Fuel economy adjusted factor'!$A$2:$K$52,11,FALSE)*m2k))/'TCO Inputs'!$AZ$84</f>
        <v>84.219672957290101</v>
      </c>
      <c r="AJ234" s="125">
        <f>AJ123/293.07*(1/(VLOOKUP($H234,'Fuel economy adjusted factor'!$A$2:$K$52,11,FALSE)*m2k))/'TCO Inputs'!$AZ$84</f>
        <v>78.929148084743616</v>
      </c>
      <c r="AK234" s="98" cm="1">
        <f t="array" ref="AK234">SUMPRODUCT(INDEX(I234:AJ234,,'TCO Inputs'!$AZ$12-2023+_xlfn.SEQUENCE('TCO Inputs'!$AZ$13))*INDEX('VKT US'!C73:AA73,,_xlfn.SEQUENCE('TCO Inputs'!$AZ$13)))*m2k*CONVERT(0.9072,"g","ton")*'TCO Inputs'!$BD$9</f>
        <v>17.947465439217773</v>
      </c>
    </row>
    <row r="235" spans="8:37" x14ac:dyDescent="0.25">
      <c r="H235" s="123" t="s">
        <v>196</v>
      </c>
      <c r="I235" s="125">
        <f>I124/293.07*(1/(VLOOKUP($H235,'Fuel economy adjusted factor'!$A$2:$K$52,11,FALSE)*m2k))/'TCO Inputs'!$AZ$84</f>
        <v>46.126445665456032</v>
      </c>
      <c r="J235" s="125">
        <f>J124/293.07*(1/(VLOOKUP($H235,'Fuel economy adjusted factor'!$A$2:$K$52,11,FALSE)*m2k))/'TCO Inputs'!$AZ$84</f>
        <v>46.126445665456032</v>
      </c>
      <c r="K235" s="125">
        <f>K124/293.07*(1/(VLOOKUP($H235,'Fuel economy adjusted factor'!$A$2:$K$52,11,FALSE)*m2k))/'TCO Inputs'!$AZ$84</f>
        <v>40.525623554768494</v>
      </c>
      <c r="L235" s="125">
        <f>L124/293.07*(1/(VLOOKUP($H235,'Fuel economy adjusted factor'!$A$2:$K$52,11,FALSE)*m2k))/'TCO Inputs'!$AZ$84</f>
        <v>40.525623554768494</v>
      </c>
      <c r="M235" s="125">
        <f>M124/293.07*(1/(VLOOKUP($H235,'Fuel economy adjusted factor'!$A$2:$K$52,11,FALSE)*m2k))/'TCO Inputs'!$AZ$84</f>
        <v>40.525623554768494</v>
      </c>
      <c r="N235" s="125">
        <f>N124/293.07*(1/(VLOOKUP($H235,'Fuel economy adjusted factor'!$A$2:$K$52,11,FALSE)*m2k))/'TCO Inputs'!$AZ$84</f>
        <v>40.525623554768494</v>
      </c>
      <c r="O235" s="125">
        <f>O124/293.07*(1/(VLOOKUP($H235,'Fuel economy adjusted factor'!$A$2:$K$52,11,FALSE)*m2k))/'TCO Inputs'!$AZ$84</f>
        <v>40.525623554768494</v>
      </c>
      <c r="P235" s="125">
        <f>P124/293.07*(1/(VLOOKUP($H235,'Fuel economy adjusted factor'!$A$2:$K$52,11,FALSE)*m2k))/'TCO Inputs'!$AZ$84</f>
        <v>24.707104646061001</v>
      </c>
      <c r="Q235" s="125">
        <f>Q124/293.07*(1/(VLOOKUP($H235,'Fuel economy adjusted factor'!$A$2:$K$52,11,FALSE)*m2k))/'TCO Inputs'!$AZ$84</f>
        <v>24.707104646061001</v>
      </c>
      <c r="R235" s="125">
        <f>R124/293.07*(1/(VLOOKUP($H235,'Fuel economy adjusted factor'!$A$2:$K$52,11,FALSE)*m2k))/'TCO Inputs'!$AZ$84</f>
        <v>24.707104646061001</v>
      </c>
      <c r="S235" s="125">
        <f>S124/293.07*(1/(VLOOKUP($H235,'Fuel economy adjusted factor'!$A$2:$K$52,11,FALSE)*m2k))/'TCO Inputs'!$AZ$84</f>
        <v>24.707104646061001</v>
      </c>
      <c r="T235" s="125">
        <f>T124/293.07*(1/(VLOOKUP($H235,'Fuel economy adjusted factor'!$A$2:$K$52,11,FALSE)*m2k))/'TCO Inputs'!$AZ$84</f>
        <v>24.707104646061001</v>
      </c>
      <c r="U235" s="125">
        <f>U124/293.07*(1/(VLOOKUP($H235,'Fuel economy adjusted factor'!$A$2:$K$52,11,FALSE)*m2k))/'TCO Inputs'!$AZ$84</f>
        <v>22.144860055185418</v>
      </c>
      <c r="V235" s="125">
        <f>V124/293.07*(1/(VLOOKUP($H235,'Fuel economy adjusted factor'!$A$2:$K$52,11,FALSE)*m2k))/'TCO Inputs'!$AZ$84</f>
        <v>22.144860055185418</v>
      </c>
      <c r="W235" s="125">
        <f>W124/293.07*(1/(VLOOKUP($H235,'Fuel economy adjusted factor'!$A$2:$K$52,11,FALSE)*m2k))/'TCO Inputs'!$AZ$84</f>
        <v>22.144860055185418</v>
      </c>
      <c r="X235" s="125">
        <f>X124/293.07*(1/(VLOOKUP($H235,'Fuel economy adjusted factor'!$A$2:$K$52,11,FALSE)*m2k))/'TCO Inputs'!$AZ$84</f>
        <v>22.144860055185418</v>
      </c>
      <c r="Y235" s="125">
        <f>Y124/293.07*(1/(VLOOKUP($H235,'Fuel economy adjusted factor'!$A$2:$K$52,11,FALSE)*m2k))/'TCO Inputs'!$AZ$84</f>
        <v>22.144860055185418</v>
      </c>
      <c r="Z235" s="125">
        <f>Z124/293.07*(1/(VLOOKUP($H235,'Fuel economy adjusted factor'!$A$2:$K$52,11,FALSE)*m2k))/'TCO Inputs'!$AZ$84</f>
        <v>21.366731113811017</v>
      </c>
      <c r="AA235" s="125">
        <f>AA124/293.07*(1/(VLOOKUP($H235,'Fuel economy adjusted factor'!$A$2:$K$52,11,FALSE)*m2k))/'TCO Inputs'!$AZ$84</f>
        <v>21.366731113811017</v>
      </c>
      <c r="AB235" s="125">
        <f>AB124/293.07*(1/(VLOOKUP($H235,'Fuel economy adjusted factor'!$A$2:$K$52,11,FALSE)*m2k))/'TCO Inputs'!$AZ$84</f>
        <v>21.366731113811017</v>
      </c>
      <c r="AC235" s="125">
        <f>AC124/293.07*(1/(VLOOKUP($H235,'Fuel economy adjusted factor'!$A$2:$K$52,11,FALSE)*m2k))/'TCO Inputs'!$AZ$84</f>
        <v>21.366731113811017</v>
      </c>
      <c r="AD235" s="125">
        <f>AD124/293.07*(1/(VLOOKUP($H235,'Fuel economy adjusted factor'!$A$2:$K$52,11,FALSE)*m2k))/'TCO Inputs'!$AZ$84</f>
        <v>21.366731113811017</v>
      </c>
      <c r="AE235" s="125">
        <f>AE124/293.07*(1/(VLOOKUP($H235,'Fuel economy adjusted factor'!$A$2:$K$52,11,FALSE)*m2k))/'TCO Inputs'!$AZ$84</f>
        <v>20.529949237157144</v>
      </c>
      <c r="AF235" s="125">
        <f>AF124/293.07*(1/(VLOOKUP($H235,'Fuel economy adjusted factor'!$A$2:$K$52,11,FALSE)*m2k))/'TCO Inputs'!$AZ$84</f>
        <v>20.529949237157144</v>
      </c>
      <c r="AG235" s="125">
        <f>AG124/293.07*(1/(VLOOKUP($H235,'Fuel economy adjusted factor'!$A$2:$K$52,11,FALSE)*m2k))/'TCO Inputs'!$AZ$84</f>
        <v>20.529949237157144</v>
      </c>
      <c r="AH235" s="125">
        <f>AH124/293.07*(1/(VLOOKUP($H235,'Fuel economy adjusted factor'!$A$2:$K$52,11,FALSE)*m2k))/'TCO Inputs'!$AZ$84</f>
        <v>20.529949237157144</v>
      </c>
      <c r="AI235" s="125">
        <f>AI124/293.07*(1/(VLOOKUP($H235,'Fuel economy adjusted factor'!$A$2:$K$52,11,FALSE)*m2k))/'TCO Inputs'!$AZ$84</f>
        <v>20.529949237157144</v>
      </c>
      <c r="AJ235" s="125">
        <f>AJ124/293.07*(1/(VLOOKUP($H235,'Fuel economy adjusted factor'!$A$2:$K$52,11,FALSE)*m2k))/'TCO Inputs'!$AZ$84</f>
        <v>19.240295605678696</v>
      </c>
      <c r="AK235" s="98" cm="1">
        <f t="array" ref="AK235">SUMPRODUCT(INDEX(I235:AJ235,,'TCO Inputs'!$AZ$12-2023+_xlfn.SEQUENCE('TCO Inputs'!$AZ$13))*INDEX('VKT US'!C74:AA74,,_xlfn.SEQUENCE('TCO Inputs'!$AZ$13)))*m2k*CONVERT(0.9072,"g","ton")*'TCO Inputs'!$BD$9</f>
        <v>5.3964995617172162</v>
      </c>
    </row>
    <row r="236" spans="8:37" x14ac:dyDescent="0.25">
      <c r="H236" s="123" t="s">
        <v>197</v>
      </c>
      <c r="I236" s="125">
        <f>I125/293.07*(1/(VLOOKUP($H236,'Fuel economy adjusted factor'!$A$2:$K$52,11,FALSE)*m2k))/'TCO Inputs'!$AZ$84</f>
        <v>59.666139463676075</v>
      </c>
      <c r="J236" s="125">
        <f>J125/293.07*(1/(VLOOKUP($H236,'Fuel economy adjusted factor'!$A$2:$K$52,11,FALSE)*m2k))/'TCO Inputs'!$AZ$84</f>
        <v>59.666139463676075</v>
      </c>
      <c r="K236" s="125">
        <f>K125/293.07*(1/(VLOOKUP($H236,'Fuel economy adjusted factor'!$A$2:$K$52,11,FALSE)*m2k))/'TCO Inputs'!$AZ$84</f>
        <v>52.421283972506316</v>
      </c>
      <c r="L236" s="125">
        <f>L125/293.07*(1/(VLOOKUP($H236,'Fuel economy adjusted factor'!$A$2:$K$52,11,FALSE)*m2k))/'TCO Inputs'!$AZ$84</f>
        <v>52.421283972506316</v>
      </c>
      <c r="M236" s="125">
        <f>M125/293.07*(1/(VLOOKUP($H236,'Fuel economy adjusted factor'!$A$2:$K$52,11,FALSE)*m2k))/'TCO Inputs'!$AZ$84</f>
        <v>52.421283972506316</v>
      </c>
      <c r="N236" s="125">
        <f>N125/293.07*(1/(VLOOKUP($H236,'Fuel economy adjusted factor'!$A$2:$K$52,11,FALSE)*m2k))/'TCO Inputs'!$AZ$84</f>
        <v>52.421283972506316</v>
      </c>
      <c r="O236" s="125">
        <f>O125/293.07*(1/(VLOOKUP($H236,'Fuel economy adjusted factor'!$A$2:$K$52,11,FALSE)*m2k))/'TCO Inputs'!$AZ$84</f>
        <v>52.421283972506316</v>
      </c>
      <c r="P236" s="125">
        <f>P125/293.07*(1/(VLOOKUP($H236,'Fuel economy adjusted factor'!$A$2:$K$52,11,FALSE)*m2k))/'TCO Inputs'!$AZ$84</f>
        <v>31.959487237481266</v>
      </c>
      <c r="Q236" s="125">
        <f>Q125/293.07*(1/(VLOOKUP($H236,'Fuel economy adjusted factor'!$A$2:$K$52,11,FALSE)*m2k))/'TCO Inputs'!$AZ$84</f>
        <v>31.959487237481266</v>
      </c>
      <c r="R236" s="125">
        <f>R125/293.07*(1/(VLOOKUP($H236,'Fuel economy adjusted factor'!$A$2:$K$52,11,FALSE)*m2k))/'TCO Inputs'!$AZ$84</f>
        <v>31.959487237481266</v>
      </c>
      <c r="S236" s="125">
        <f>S125/293.07*(1/(VLOOKUP($H236,'Fuel economy adjusted factor'!$A$2:$K$52,11,FALSE)*m2k))/'TCO Inputs'!$AZ$84</f>
        <v>31.959487237481266</v>
      </c>
      <c r="T236" s="125">
        <f>T125/293.07*(1/(VLOOKUP($H236,'Fuel economy adjusted factor'!$A$2:$K$52,11,FALSE)*m2k))/'TCO Inputs'!$AZ$84</f>
        <v>31.959487237481266</v>
      </c>
      <c r="U236" s="125">
        <f>U125/293.07*(1/(VLOOKUP($H236,'Fuel economy adjusted factor'!$A$2:$K$52,11,FALSE)*m2k))/'TCO Inputs'!$AZ$84</f>
        <v>28.645135982064172</v>
      </c>
      <c r="V236" s="125">
        <f>V125/293.07*(1/(VLOOKUP($H236,'Fuel economy adjusted factor'!$A$2:$K$52,11,FALSE)*m2k))/'TCO Inputs'!$AZ$84</f>
        <v>28.645135982064172</v>
      </c>
      <c r="W236" s="125">
        <f>W125/293.07*(1/(VLOOKUP($H236,'Fuel economy adjusted factor'!$A$2:$K$52,11,FALSE)*m2k))/'TCO Inputs'!$AZ$84</f>
        <v>28.645135982064172</v>
      </c>
      <c r="X236" s="125">
        <f>X125/293.07*(1/(VLOOKUP($H236,'Fuel economy adjusted factor'!$A$2:$K$52,11,FALSE)*m2k))/'TCO Inputs'!$AZ$84</f>
        <v>28.645135982064172</v>
      </c>
      <c r="Y236" s="125">
        <f>Y125/293.07*(1/(VLOOKUP($H236,'Fuel economy adjusted factor'!$A$2:$K$52,11,FALSE)*m2k))/'TCO Inputs'!$AZ$84</f>
        <v>28.645135982064172</v>
      </c>
      <c r="Z236" s="125">
        <f>Z125/293.07*(1/(VLOOKUP($H236,'Fuel economy adjusted factor'!$A$2:$K$52,11,FALSE)*m2k))/'TCO Inputs'!$AZ$84</f>
        <v>27.638599508963726</v>
      </c>
      <c r="AA236" s="125">
        <f>AA125/293.07*(1/(VLOOKUP($H236,'Fuel economy adjusted factor'!$A$2:$K$52,11,FALSE)*m2k))/'TCO Inputs'!$AZ$84</f>
        <v>27.638599508963726</v>
      </c>
      <c r="AB236" s="125">
        <f>AB125/293.07*(1/(VLOOKUP($H236,'Fuel economy adjusted factor'!$A$2:$K$52,11,FALSE)*m2k))/'TCO Inputs'!$AZ$84</f>
        <v>27.638599508963726</v>
      </c>
      <c r="AC236" s="125">
        <f>AC125/293.07*(1/(VLOOKUP($H236,'Fuel economy adjusted factor'!$A$2:$K$52,11,FALSE)*m2k))/'TCO Inputs'!$AZ$84</f>
        <v>27.638599508963726</v>
      </c>
      <c r="AD236" s="125">
        <f>AD125/293.07*(1/(VLOOKUP($H236,'Fuel economy adjusted factor'!$A$2:$K$52,11,FALSE)*m2k))/'TCO Inputs'!$AZ$84</f>
        <v>27.638599508963726</v>
      </c>
      <c r="AE236" s="125">
        <f>AE125/293.07*(1/(VLOOKUP($H236,'Fuel economy adjusted factor'!$A$2:$K$52,11,FALSE)*m2k))/'TCO Inputs'!$AZ$84</f>
        <v>26.556193452463752</v>
      </c>
      <c r="AF236" s="125">
        <f>AF125/293.07*(1/(VLOOKUP($H236,'Fuel economy adjusted factor'!$A$2:$K$52,11,FALSE)*m2k))/'TCO Inputs'!$AZ$84</f>
        <v>26.556193452463752</v>
      </c>
      <c r="AG236" s="125">
        <f>AG125/293.07*(1/(VLOOKUP($H236,'Fuel economy adjusted factor'!$A$2:$K$52,11,FALSE)*m2k))/'TCO Inputs'!$AZ$84</f>
        <v>26.556193452463752</v>
      </c>
      <c r="AH236" s="125">
        <f>AH125/293.07*(1/(VLOOKUP($H236,'Fuel economy adjusted factor'!$A$2:$K$52,11,FALSE)*m2k))/'TCO Inputs'!$AZ$84</f>
        <v>26.556193452463752</v>
      </c>
      <c r="AI236" s="125">
        <f>AI125/293.07*(1/(VLOOKUP($H236,'Fuel economy adjusted factor'!$A$2:$K$52,11,FALSE)*m2k))/'TCO Inputs'!$AZ$84</f>
        <v>26.556193452463752</v>
      </c>
      <c r="AJ236" s="125">
        <f>AJ125/293.07*(1/(VLOOKUP($H236,'Fuel economy adjusted factor'!$A$2:$K$52,11,FALSE)*m2k))/'TCO Inputs'!$AZ$84</f>
        <v>24.887982248987999</v>
      </c>
      <c r="AK236" s="98" cm="1">
        <f t="array" ref="AK236">SUMPRODUCT(INDEX(I236:AJ236,,'TCO Inputs'!$AZ$12-2023+_xlfn.SEQUENCE('TCO Inputs'!$AZ$13))*INDEX('VKT US'!C75:AA75,,_xlfn.SEQUENCE('TCO Inputs'!$AZ$13)))*m2k*CONVERT(0.9072,"g","ton")*'TCO Inputs'!$BD$9</f>
        <v>6.0915856952966516</v>
      </c>
    </row>
    <row r="237" spans="8:37" x14ac:dyDescent="0.25">
      <c r="H237" s="123" t="s">
        <v>198</v>
      </c>
      <c r="I237" s="125">
        <f>I126/293.07*(1/(VLOOKUP($H237,'Fuel economy adjusted factor'!$A$2:$K$52,11,FALSE)*m2k))/'TCO Inputs'!$AZ$84</f>
        <v>175.04457916662338</v>
      </c>
      <c r="J237" s="125">
        <f>J126/293.07*(1/(VLOOKUP($H237,'Fuel economy adjusted factor'!$A$2:$K$52,11,FALSE)*m2k))/'TCO Inputs'!$AZ$84</f>
        <v>175.04457916662338</v>
      </c>
      <c r="K237" s="125">
        <f>K126/293.07*(1/(VLOOKUP($H237,'Fuel economy adjusted factor'!$A$2:$K$52,11,FALSE)*m2k))/'TCO Inputs'!$AZ$84</f>
        <v>153.79010063031959</v>
      </c>
      <c r="L237" s="125">
        <f>L126/293.07*(1/(VLOOKUP($H237,'Fuel economy adjusted factor'!$A$2:$K$52,11,FALSE)*m2k))/'TCO Inputs'!$AZ$84</f>
        <v>153.79010063031959</v>
      </c>
      <c r="M237" s="125">
        <f>M126/293.07*(1/(VLOOKUP($H237,'Fuel economy adjusted factor'!$A$2:$K$52,11,FALSE)*m2k))/'TCO Inputs'!$AZ$84</f>
        <v>153.79010063031959</v>
      </c>
      <c r="N237" s="125">
        <f>N126/293.07*(1/(VLOOKUP($H237,'Fuel economy adjusted factor'!$A$2:$K$52,11,FALSE)*m2k))/'TCO Inputs'!$AZ$84</f>
        <v>153.79010063031959</v>
      </c>
      <c r="O237" s="125">
        <f>O126/293.07*(1/(VLOOKUP($H237,'Fuel economy adjusted factor'!$A$2:$K$52,11,FALSE)*m2k))/'TCO Inputs'!$AZ$84</f>
        <v>153.79010063031959</v>
      </c>
      <c r="P237" s="125">
        <f>P126/293.07*(1/(VLOOKUP($H237,'Fuel economy adjusted factor'!$A$2:$K$52,11,FALSE)*m2k))/'TCO Inputs'!$AZ$84</f>
        <v>93.760632817072604</v>
      </c>
      <c r="Q237" s="125">
        <f>Q126/293.07*(1/(VLOOKUP($H237,'Fuel economy adjusted factor'!$A$2:$K$52,11,FALSE)*m2k))/'TCO Inputs'!$AZ$84</f>
        <v>93.760632817072604</v>
      </c>
      <c r="R237" s="125">
        <f>R126/293.07*(1/(VLOOKUP($H237,'Fuel economy adjusted factor'!$A$2:$K$52,11,FALSE)*m2k))/'TCO Inputs'!$AZ$84</f>
        <v>93.760632817072604</v>
      </c>
      <c r="S237" s="125">
        <f>S126/293.07*(1/(VLOOKUP($H237,'Fuel economy adjusted factor'!$A$2:$K$52,11,FALSE)*m2k))/'TCO Inputs'!$AZ$84</f>
        <v>93.760632817072604</v>
      </c>
      <c r="T237" s="125">
        <f>T126/293.07*(1/(VLOOKUP($H237,'Fuel economy adjusted factor'!$A$2:$K$52,11,FALSE)*m2k))/'TCO Inputs'!$AZ$84</f>
        <v>93.760632817072604</v>
      </c>
      <c r="U237" s="125">
        <f>U126/293.07*(1/(VLOOKUP($H237,'Fuel economy adjusted factor'!$A$2:$K$52,11,FALSE)*m2k))/'TCO Inputs'!$AZ$84</f>
        <v>84.037208008131387</v>
      </c>
      <c r="V237" s="125">
        <f>V126/293.07*(1/(VLOOKUP($H237,'Fuel economy adjusted factor'!$A$2:$K$52,11,FALSE)*m2k))/'TCO Inputs'!$AZ$84</f>
        <v>84.037208008131387</v>
      </c>
      <c r="W237" s="125">
        <f>W126/293.07*(1/(VLOOKUP($H237,'Fuel economy adjusted factor'!$A$2:$K$52,11,FALSE)*m2k))/'TCO Inputs'!$AZ$84</f>
        <v>84.037208008131387</v>
      </c>
      <c r="X237" s="125">
        <f>X126/293.07*(1/(VLOOKUP($H237,'Fuel economy adjusted factor'!$A$2:$K$52,11,FALSE)*m2k))/'TCO Inputs'!$AZ$84</f>
        <v>84.037208008131387</v>
      </c>
      <c r="Y237" s="125">
        <f>Y126/293.07*(1/(VLOOKUP($H237,'Fuel economy adjusted factor'!$A$2:$K$52,11,FALSE)*m2k))/'TCO Inputs'!$AZ$84</f>
        <v>84.037208008131387</v>
      </c>
      <c r="Z237" s="125">
        <f>Z126/293.07*(1/(VLOOKUP($H237,'Fuel economy adjusted factor'!$A$2:$K$52,11,FALSE)*m2k))/'TCO Inputs'!$AZ$84</f>
        <v>81.084297782441553</v>
      </c>
      <c r="AA237" s="125">
        <f>AA126/293.07*(1/(VLOOKUP($H237,'Fuel economy adjusted factor'!$A$2:$K$52,11,FALSE)*m2k))/'TCO Inputs'!$AZ$84</f>
        <v>81.084297782441553</v>
      </c>
      <c r="AB237" s="125">
        <f>AB126/293.07*(1/(VLOOKUP($H237,'Fuel economy adjusted factor'!$A$2:$K$52,11,FALSE)*m2k))/'TCO Inputs'!$AZ$84</f>
        <v>81.084297782441553</v>
      </c>
      <c r="AC237" s="125">
        <f>AC126/293.07*(1/(VLOOKUP($H237,'Fuel economy adjusted factor'!$A$2:$K$52,11,FALSE)*m2k))/'TCO Inputs'!$AZ$84</f>
        <v>81.084297782441553</v>
      </c>
      <c r="AD237" s="125">
        <f>AD126/293.07*(1/(VLOOKUP($H237,'Fuel economy adjusted factor'!$A$2:$K$52,11,FALSE)*m2k))/'TCO Inputs'!$AZ$84</f>
        <v>81.084297782441553</v>
      </c>
      <c r="AE237" s="125">
        <f>AE126/293.07*(1/(VLOOKUP($H237,'Fuel economy adjusted factor'!$A$2:$K$52,11,FALSE)*m2k))/'TCO Inputs'!$AZ$84</f>
        <v>77.908806383961007</v>
      </c>
      <c r="AF237" s="125">
        <f>AF126/293.07*(1/(VLOOKUP($H237,'Fuel economy adjusted factor'!$A$2:$K$52,11,FALSE)*m2k))/'TCO Inputs'!$AZ$84</f>
        <v>77.908806383961007</v>
      </c>
      <c r="AG237" s="125">
        <f>AG126/293.07*(1/(VLOOKUP($H237,'Fuel economy adjusted factor'!$A$2:$K$52,11,FALSE)*m2k))/'TCO Inputs'!$AZ$84</f>
        <v>77.908806383961007</v>
      </c>
      <c r="AH237" s="125">
        <f>AH126/293.07*(1/(VLOOKUP($H237,'Fuel economy adjusted factor'!$A$2:$K$52,11,FALSE)*m2k))/'TCO Inputs'!$AZ$84</f>
        <v>77.908806383961007</v>
      </c>
      <c r="AI237" s="125">
        <f>AI126/293.07*(1/(VLOOKUP($H237,'Fuel economy adjusted factor'!$A$2:$K$52,11,FALSE)*m2k))/'TCO Inputs'!$AZ$84</f>
        <v>77.908806383961007</v>
      </c>
      <c r="AJ237" s="125">
        <f>AJ126/293.07*(1/(VLOOKUP($H237,'Fuel economy adjusted factor'!$A$2:$K$52,11,FALSE)*m2k))/'TCO Inputs'!$AZ$84</f>
        <v>73.014718536175408</v>
      </c>
      <c r="AK237" s="98" cm="1">
        <f t="array" ref="AK237">SUMPRODUCT(INDEX(I237:AJ237,,'TCO Inputs'!$AZ$12-2023+_xlfn.SEQUENCE('TCO Inputs'!$AZ$13))*INDEX('VKT US'!C76:AA76,,_xlfn.SEQUENCE('TCO Inputs'!$AZ$13)))*m2k*CONVERT(0.9072,"g","ton")*'TCO Inputs'!$BD$9</f>
        <v>25.60277865318886</v>
      </c>
    </row>
    <row r="238" spans="8:37" x14ac:dyDescent="0.25">
      <c r="H238" s="123" t="s">
        <v>195</v>
      </c>
      <c r="I238" s="125">
        <f>I127/293.07*(1/(VLOOKUP($H238,'Fuel economy adjusted factor'!$A$2:$K$52,11,FALSE)*m2k))/'TCO Inputs'!$AZ$84</f>
        <v>81.345623148974411</v>
      </c>
      <c r="J238" s="125">
        <f>J127/293.07*(1/(VLOOKUP($H238,'Fuel economy adjusted factor'!$A$2:$K$52,11,FALSE)*m2k))/'TCO Inputs'!$AZ$84</f>
        <v>81.345623148974411</v>
      </c>
      <c r="K238" s="125">
        <f>K127/293.07*(1/(VLOOKUP($H238,'Fuel economy adjusted factor'!$A$2:$K$52,11,FALSE)*m2k))/'TCO Inputs'!$AZ$84</f>
        <v>71.468374681906184</v>
      </c>
      <c r="L238" s="125">
        <f>L127/293.07*(1/(VLOOKUP($H238,'Fuel economy adjusted factor'!$A$2:$K$52,11,FALSE)*m2k))/'TCO Inputs'!$AZ$84</f>
        <v>71.468374681906184</v>
      </c>
      <c r="M238" s="125">
        <f>M127/293.07*(1/(VLOOKUP($H238,'Fuel economy adjusted factor'!$A$2:$K$52,11,FALSE)*m2k))/'TCO Inputs'!$AZ$84</f>
        <v>71.468374681906184</v>
      </c>
      <c r="N238" s="125">
        <f>N127/293.07*(1/(VLOOKUP($H238,'Fuel economy adjusted factor'!$A$2:$K$52,11,FALSE)*m2k))/'TCO Inputs'!$AZ$84</f>
        <v>71.468374681906184</v>
      </c>
      <c r="O238" s="125">
        <f>O127/293.07*(1/(VLOOKUP($H238,'Fuel economy adjusted factor'!$A$2:$K$52,11,FALSE)*m2k))/'TCO Inputs'!$AZ$84</f>
        <v>71.468374681906184</v>
      </c>
      <c r="P238" s="125">
        <f>P127/293.07*(1/(VLOOKUP($H238,'Fuel economy adjusted factor'!$A$2:$K$52,11,FALSE)*m2k))/'TCO Inputs'!$AZ$84</f>
        <v>43.571855464811982</v>
      </c>
      <c r="Q238" s="125">
        <f>Q127/293.07*(1/(VLOOKUP($H238,'Fuel economy adjusted factor'!$A$2:$K$52,11,FALSE)*m2k))/'TCO Inputs'!$AZ$84</f>
        <v>43.571855464811982</v>
      </c>
      <c r="R238" s="125">
        <f>R127/293.07*(1/(VLOOKUP($H238,'Fuel economy adjusted factor'!$A$2:$K$52,11,FALSE)*m2k))/'TCO Inputs'!$AZ$84</f>
        <v>43.571855464811982</v>
      </c>
      <c r="S238" s="125">
        <f>S127/293.07*(1/(VLOOKUP($H238,'Fuel economy adjusted factor'!$A$2:$K$52,11,FALSE)*m2k))/'TCO Inputs'!$AZ$84</f>
        <v>43.571855464811982</v>
      </c>
      <c r="T238" s="125">
        <f>T127/293.07*(1/(VLOOKUP($H238,'Fuel economy adjusted factor'!$A$2:$K$52,11,FALSE)*m2k))/'TCO Inputs'!$AZ$84</f>
        <v>43.571855464811982</v>
      </c>
      <c r="U238" s="125">
        <f>U127/293.07*(1/(VLOOKUP($H238,'Fuel economy adjusted factor'!$A$2:$K$52,11,FALSE)*m2k))/'TCO Inputs'!$AZ$84</f>
        <v>39.053246239715008</v>
      </c>
      <c r="V238" s="125">
        <f>V127/293.07*(1/(VLOOKUP($H238,'Fuel economy adjusted factor'!$A$2:$K$52,11,FALSE)*m2k))/'TCO Inputs'!$AZ$84</f>
        <v>39.053246239715008</v>
      </c>
      <c r="W238" s="125">
        <f>W127/293.07*(1/(VLOOKUP($H238,'Fuel economy adjusted factor'!$A$2:$K$52,11,FALSE)*m2k))/'TCO Inputs'!$AZ$84</f>
        <v>39.053246239715008</v>
      </c>
      <c r="X238" s="125">
        <f>X127/293.07*(1/(VLOOKUP($H238,'Fuel economy adjusted factor'!$A$2:$K$52,11,FALSE)*m2k))/'TCO Inputs'!$AZ$84</f>
        <v>39.053246239715008</v>
      </c>
      <c r="Y238" s="125">
        <f>Y127/293.07*(1/(VLOOKUP($H238,'Fuel economy adjusted factor'!$A$2:$K$52,11,FALSE)*m2k))/'TCO Inputs'!$AZ$84</f>
        <v>39.053246239715008</v>
      </c>
      <c r="Z238" s="125">
        <f>Z127/293.07*(1/(VLOOKUP($H238,'Fuel economy adjusted factor'!$A$2:$K$52,11,FALSE)*m2k))/'TCO Inputs'!$AZ$84</f>
        <v>37.680988249462885</v>
      </c>
      <c r="AA238" s="125">
        <f>AA127/293.07*(1/(VLOOKUP($H238,'Fuel economy adjusted factor'!$A$2:$K$52,11,FALSE)*m2k))/'TCO Inputs'!$AZ$84</f>
        <v>37.680988249462885</v>
      </c>
      <c r="AB238" s="125">
        <f>AB127/293.07*(1/(VLOOKUP($H238,'Fuel economy adjusted factor'!$A$2:$K$52,11,FALSE)*m2k))/'TCO Inputs'!$AZ$84</f>
        <v>37.680988249462885</v>
      </c>
      <c r="AC238" s="125">
        <f>AC127/293.07*(1/(VLOOKUP($H238,'Fuel economy adjusted factor'!$A$2:$K$52,11,FALSE)*m2k))/'TCO Inputs'!$AZ$84</f>
        <v>37.680988249462885</v>
      </c>
      <c r="AD238" s="125">
        <f>AD127/293.07*(1/(VLOOKUP($H238,'Fuel economy adjusted factor'!$A$2:$K$52,11,FALSE)*m2k))/'TCO Inputs'!$AZ$84</f>
        <v>37.680988249462885</v>
      </c>
      <c r="AE238" s="125">
        <f>AE127/293.07*(1/(VLOOKUP($H238,'Fuel economy adjusted factor'!$A$2:$K$52,11,FALSE)*m2k))/'TCO Inputs'!$AZ$84</f>
        <v>36.205293727282218</v>
      </c>
      <c r="AF238" s="125">
        <f>AF127/293.07*(1/(VLOOKUP($H238,'Fuel economy adjusted factor'!$A$2:$K$52,11,FALSE)*m2k))/'TCO Inputs'!$AZ$84</f>
        <v>36.205293727282218</v>
      </c>
      <c r="AG238" s="125">
        <f>AG127/293.07*(1/(VLOOKUP($H238,'Fuel economy adjusted factor'!$A$2:$K$52,11,FALSE)*m2k))/'TCO Inputs'!$AZ$84</f>
        <v>36.205293727282218</v>
      </c>
      <c r="AH238" s="125">
        <f>AH127/293.07*(1/(VLOOKUP($H238,'Fuel economy adjusted factor'!$A$2:$K$52,11,FALSE)*m2k))/'TCO Inputs'!$AZ$84</f>
        <v>36.205293727282218</v>
      </c>
      <c r="AI238" s="125">
        <f>AI127/293.07*(1/(VLOOKUP($H238,'Fuel economy adjusted factor'!$A$2:$K$52,11,FALSE)*m2k))/'TCO Inputs'!$AZ$84</f>
        <v>36.205293727282218</v>
      </c>
      <c r="AJ238" s="125">
        <f>AJ127/293.07*(1/(VLOOKUP($H238,'Fuel economy adjusted factor'!$A$2:$K$52,11,FALSE)*m2k))/'TCO Inputs'!$AZ$84</f>
        <v>33.930943800998669</v>
      </c>
      <c r="AK238" s="98" cm="1">
        <f t="array" ref="AK238">SUMPRODUCT(INDEX(I238:AJ238,,'TCO Inputs'!$AZ$12-2023+_xlfn.SEQUENCE('TCO Inputs'!$AZ$13))*INDEX('VKT US'!C77:AA77,,_xlfn.SEQUENCE('TCO Inputs'!$AZ$13)))*m2k*CONVERT(0.9072,"g","ton")*'TCO Inputs'!$BD$9</f>
        <v>9.7334370443931579</v>
      </c>
    </row>
    <row r="239" spans="8:37" x14ac:dyDescent="0.25">
      <c r="H239" s="123" t="s">
        <v>199</v>
      </c>
      <c r="I239" s="125">
        <f>I128/293.07*(1/(VLOOKUP($H239,'Fuel economy adjusted factor'!$A$2:$K$52,11,FALSE)*m2k))/'TCO Inputs'!$AZ$84</f>
        <v>85.076437942371697</v>
      </c>
      <c r="J239" s="125">
        <f>J128/293.07*(1/(VLOOKUP($H239,'Fuel economy adjusted factor'!$A$2:$K$52,11,FALSE)*m2k))/'TCO Inputs'!$AZ$84</f>
        <v>85.076437942371697</v>
      </c>
      <c r="K239" s="125">
        <f>K128/293.07*(1/(VLOOKUP($H239,'Fuel economy adjusted factor'!$A$2:$K$52,11,FALSE)*m2k))/'TCO Inputs'!$AZ$84</f>
        <v>74.746181885312907</v>
      </c>
      <c r="L239" s="125">
        <f>L128/293.07*(1/(VLOOKUP($H239,'Fuel economy adjusted factor'!$A$2:$K$52,11,FALSE)*m2k))/'TCO Inputs'!$AZ$84</f>
        <v>74.746181885312907</v>
      </c>
      <c r="M239" s="125">
        <f>M128/293.07*(1/(VLOOKUP($H239,'Fuel economy adjusted factor'!$A$2:$K$52,11,FALSE)*m2k))/'TCO Inputs'!$AZ$84</f>
        <v>74.746181885312907</v>
      </c>
      <c r="N239" s="125">
        <f>N128/293.07*(1/(VLOOKUP($H239,'Fuel economy adjusted factor'!$A$2:$K$52,11,FALSE)*m2k))/'TCO Inputs'!$AZ$84</f>
        <v>74.746181885312907</v>
      </c>
      <c r="O239" s="125">
        <f>O128/293.07*(1/(VLOOKUP($H239,'Fuel economy adjusted factor'!$A$2:$K$52,11,FALSE)*m2k))/'TCO Inputs'!$AZ$84</f>
        <v>74.746181885312907</v>
      </c>
      <c r="P239" s="125">
        <f>P128/293.07*(1/(VLOOKUP($H239,'Fuel economy adjusted factor'!$A$2:$K$52,11,FALSE)*m2k))/'TCO Inputs'!$AZ$84</f>
        <v>45.570223866836308</v>
      </c>
      <c r="Q239" s="125">
        <f>Q128/293.07*(1/(VLOOKUP($H239,'Fuel economy adjusted factor'!$A$2:$K$52,11,FALSE)*m2k))/'TCO Inputs'!$AZ$84</f>
        <v>45.570223866836308</v>
      </c>
      <c r="R239" s="125">
        <f>R128/293.07*(1/(VLOOKUP($H239,'Fuel economy adjusted factor'!$A$2:$K$52,11,FALSE)*m2k))/'TCO Inputs'!$AZ$84</f>
        <v>45.570223866836308</v>
      </c>
      <c r="S239" s="125">
        <f>S128/293.07*(1/(VLOOKUP($H239,'Fuel economy adjusted factor'!$A$2:$K$52,11,FALSE)*m2k))/'TCO Inputs'!$AZ$84</f>
        <v>45.570223866836308</v>
      </c>
      <c r="T239" s="125">
        <f>T128/293.07*(1/(VLOOKUP($H239,'Fuel economy adjusted factor'!$A$2:$K$52,11,FALSE)*m2k))/'TCO Inputs'!$AZ$84</f>
        <v>45.570223866836308</v>
      </c>
      <c r="U239" s="125">
        <f>U128/293.07*(1/(VLOOKUP($H239,'Fuel economy adjusted factor'!$A$2:$K$52,11,FALSE)*m2k))/'TCO Inputs'!$AZ$84</f>
        <v>40.844374307349128</v>
      </c>
      <c r="V239" s="125">
        <f>V128/293.07*(1/(VLOOKUP($H239,'Fuel economy adjusted factor'!$A$2:$K$52,11,FALSE)*m2k))/'TCO Inputs'!$AZ$84</f>
        <v>40.844374307349128</v>
      </c>
      <c r="W239" s="125">
        <f>W128/293.07*(1/(VLOOKUP($H239,'Fuel economy adjusted factor'!$A$2:$K$52,11,FALSE)*m2k))/'TCO Inputs'!$AZ$84</f>
        <v>40.844374307349128</v>
      </c>
      <c r="X239" s="125">
        <f>X128/293.07*(1/(VLOOKUP($H239,'Fuel economy adjusted factor'!$A$2:$K$52,11,FALSE)*m2k))/'TCO Inputs'!$AZ$84</f>
        <v>40.844374307349128</v>
      </c>
      <c r="Y239" s="125">
        <f>Y128/293.07*(1/(VLOOKUP($H239,'Fuel economy adjusted factor'!$A$2:$K$52,11,FALSE)*m2k))/'TCO Inputs'!$AZ$84</f>
        <v>40.844374307349128</v>
      </c>
      <c r="Z239" s="125">
        <f>Z128/293.07*(1/(VLOOKUP($H239,'Fuel economy adjusted factor'!$A$2:$K$52,11,FALSE)*m2k))/'TCO Inputs'!$AZ$84</f>
        <v>39.409179428642496</v>
      </c>
      <c r="AA239" s="125">
        <f>AA128/293.07*(1/(VLOOKUP($H239,'Fuel economy adjusted factor'!$A$2:$K$52,11,FALSE)*m2k))/'TCO Inputs'!$AZ$84</f>
        <v>39.409179428642496</v>
      </c>
      <c r="AB239" s="125">
        <f>AB128/293.07*(1/(VLOOKUP($H239,'Fuel economy adjusted factor'!$A$2:$K$52,11,FALSE)*m2k))/'TCO Inputs'!$AZ$84</f>
        <v>39.409179428642496</v>
      </c>
      <c r="AC239" s="125">
        <f>AC128/293.07*(1/(VLOOKUP($H239,'Fuel economy adjusted factor'!$A$2:$K$52,11,FALSE)*m2k))/'TCO Inputs'!$AZ$84</f>
        <v>39.409179428642496</v>
      </c>
      <c r="AD239" s="125">
        <f>AD128/293.07*(1/(VLOOKUP($H239,'Fuel economy adjusted factor'!$A$2:$K$52,11,FALSE)*m2k))/'TCO Inputs'!$AZ$84</f>
        <v>39.409179428642496</v>
      </c>
      <c r="AE239" s="125">
        <f>AE128/293.07*(1/(VLOOKUP($H239,'Fuel economy adjusted factor'!$A$2:$K$52,11,FALSE)*m2k))/'TCO Inputs'!$AZ$84</f>
        <v>37.865804031440383</v>
      </c>
      <c r="AF239" s="125">
        <f>AF128/293.07*(1/(VLOOKUP($H239,'Fuel economy adjusted factor'!$A$2:$K$52,11,FALSE)*m2k))/'TCO Inputs'!$AZ$84</f>
        <v>37.865804031440383</v>
      </c>
      <c r="AG239" s="125">
        <f>AG128/293.07*(1/(VLOOKUP($H239,'Fuel economy adjusted factor'!$A$2:$K$52,11,FALSE)*m2k))/'TCO Inputs'!$AZ$84</f>
        <v>37.865804031440383</v>
      </c>
      <c r="AH239" s="125">
        <f>AH128/293.07*(1/(VLOOKUP($H239,'Fuel economy adjusted factor'!$A$2:$K$52,11,FALSE)*m2k))/'TCO Inputs'!$AZ$84</f>
        <v>37.865804031440383</v>
      </c>
      <c r="AI239" s="125">
        <f>AI128/293.07*(1/(VLOOKUP($H239,'Fuel economy adjusted factor'!$A$2:$K$52,11,FALSE)*m2k))/'TCO Inputs'!$AZ$84</f>
        <v>37.865804031440383</v>
      </c>
      <c r="AJ239" s="125">
        <f>AJ128/293.07*(1/(VLOOKUP($H239,'Fuel economy adjusted factor'!$A$2:$K$52,11,FALSE)*m2k))/'TCO Inputs'!$AZ$84</f>
        <v>35.487143903551996</v>
      </c>
      <c r="AK239" s="98" cm="1">
        <f t="array" ref="AK239">SUMPRODUCT(INDEX(I239:AJ239,,'TCO Inputs'!$AZ$12-2023+_xlfn.SEQUENCE('TCO Inputs'!$AZ$13))*INDEX('VKT US'!C78:AA78,,_xlfn.SEQUENCE('TCO Inputs'!$AZ$13)))*m2k*CONVERT(0.9072,"g","ton")*'TCO Inputs'!$BD$9</f>
        <v>10.204703062241563</v>
      </c>
    </row>
    <row r="240" spans="8:37" x14ac:dyDescent="0.25">
      <c r="H240" s="123" t="s">
        <v>157</v>
      </c>
      <c r="I240" s="125">
        <f>I129/293.07*(1/(VLOOKUP($H240,'Fuel economy adjusted factor'!$A$2:$K$52,11,FALSE)*m2k))/'TCO Inputs'!$AZ$84</f>
        <v>204.0364321282176</v>
      </c>
      <c r="J240" s="125">
        <f>J129/293.07*(1/(VLOOKUP($H240,'Fuel economy adjusted factor'!$A$2:$K$52,11,FALSE)*m2k))/'TCO Inputs'!$AZ$84</f>
        <v>204.0364321282176</v>
      </c>
      <c r="K240" s="125">
        <f>K129/293.07*(1/(VLOOKUP($H240,'Fuel economy adjusted factor'!$A$2:$K$52,11,FALSE)*m2k))/'TCO Inputs'!$AZ$84</f>
        <v>179.26166910533553</v>
      </c>
      <c r="L240" s="125">
        <f>L129/293.07*(1/(VLOOKUP($H240,'Fuel economy adjusted factor'!$A$2:$K$52,11,FALSE)*m2k))/'TCO Inputs'!$AZ$84</f>
        <v>179.26166910533553</v>
      </c>
      <c r="M240" s="125">
        <f>M129/293.07*(1/(VLOOKUP($H240,'Fuel economy adjusted factor'!$A$2:$K$52,11,FALSE)*m2k))/'TCO Inputs'!$AZ$84</f>
        <v>179.26166910533553</v>
      </c>
      <c r="N240" s="125">
        <f>N129/293.07*(1/(VLOOKUP($H240,'Fuel economy adjusted factor'!$A$2:$K$52,11,FALSE)*m2k))/'TCO Inputs'!$AZ$84</f>
        <v>179.26166910533553</v>
      </c>
      <c r="O240" s="125">
        <f>O129/293.07*(1/(VLOOKUP($H240,'Fuel economy adjusted factor'!$A$2:$K$52,11,FALSE)*m2k))/'TCO Inputs'!$AZ$84</f>
        <v>179.26166910533553</v>
      </c>
      <c r="P240" s="125">
        <f>P129/293.07*(1/(VLOOKUP($H240,'Fuel economy adjusted factor'!$A$2:$K$52,11,FALSE)*m2k))/'TCO Inputs'!$AZ$84</f>
        <v>109.28978826513178</v>
      </c>
      <c r="Q240" s="125">
        <f>Q129/293.07*(1/(VLOOKUP($H240,'Fuel economy adjusted factor'!$A$2:$K$52,11,FALSE)*m2k))/'TCO Inputs'!$AZ$84</f>
        <v>109.28978826513178</v>
      </c>
      <c r="R240" s="125">
        <f>R129/293.07*(1/(VLOOKUP($H240,'Fuel economy adjusted factor'!$A$2:$K$52,11,FALSE)*m2k))/'TCO Inputs'!$AZ$84</f>
        <v>109.28978826513178</v>
      </c>
      <c r="S240" s="125">
        <f>S129/293.07*(1/(VLOOKUP($H240,'Fuel economy adjusted factor'!$A$2:$K$52,11,FALSE)*m2k))/'TCO Inputs'!$AZ$84</f>
        <v>109.28978826513178</v>
      </c>
      <c r="T240" s="125">
        <f>T129/293.07*(1/(VLOOKUP($H240,'Fuel economy adjusted factor'!$A$2:$K$52,11,FALSE)*m2k))/'TCO Inputs'!$AZ$84</f>
        <v>109.28978826513178</v>
      </c>
      <c r="U240" s="125">
        <f>U129/293.07*(1/(VLOOKUP($H240,'Fuel economy adjusted factor'!$A$2:$K$52,11,FALSE)*m2k))/'TCO Inputs'!$AZ$84</f>
        <v>97.955915970835392</v>
      </c>
      <c r="V240" s="125">
        <f>V129/293.07*(1/(VLOOKUP($H240,'Fuel economy adjusted factor'!$A$2:$K$52,11,FALSE)*m2k))/'TCO Inputs'!$AZ$84</f>
        <v>97.955915970835392</v>
      </c>
      <c r="W240" s="125">
        <f>W129/293.07*(1/(VLOOKUP($H240,'Fuel economy adjusted factor'!$A$2:$K$52,11,FALSE)*m2k))/'TCO Inputs'!$AZ$84</f>
        <v>97.955915970835392</v>
      </c>
      <c r="X240" s="125">
        <f>X129/293.07*(1/(VLOOKUP($H240,'Fuel economy adjusted factor'!$A$2:$K$52,11,FALSE)*m2k))/'TCO Inputs'!$AZ$84</f>
        <v>97.955915970835392</v>
      </c>
      <c r="Y240" s="125">
        <f>Y129/293.07*(1/(VLOOKUP($H240,'Fuel economy adjusted factor'!$A$2:$K$52,11,FALSE)*m2k))/'TCO Inputs'!$AZ$84</f>
        <v>97.955915970835392</v>
      </c>
      <c r="Z240" s="125">
        <f>Z129/293.07*(1/(VLOOKUP($H240,'Fuel economy adjusted factor'!$A$2:$K$52,11,FALSE)*m2k))/'TCO Inputs'!$AZ$84</f>
        <v>94.513928394224024</v>
      </c>
      <c r="AA240" s="125">
        <f>AA129/293.07*(1/(VLOOKUP($H240,'Fuel economy adjusted factor'!$A$2:$K$52,11,FALSE)*m2k))/'TCO Inputs'!$AZ$84</f>
        <v>94.513928394224024</v>
      </c>
      <c r="AB240" s="125">
        <f>AB129/293.07*(1/(VLOOKUP($H240,'Fuel economy adjusted factor'!$A$2:$K$52,11,FALSE)*m2k))/'TCO Inputs'!$AZ$84</f>
        <v>94.513928394224024</v>
      </c>
      <c r="AC240" s="125">
        <f>AC129/293.07*(1/(VLOOKUP($H240,'Fuel economy adjusted factor'!$A$2:$K$52,11,FALSE)*m2k))/'TCO Inputs'!$AZ$84</f>
        <v>94.513928394224024</v>
      </c>
      <c r="AD240" s="125">
        <f>AD129/293.07*(1/(VLOOKUP($H240,'Fuel economy adjusted factor'!$A$2:$K$52,11,FALSE)*m2k))/'TCO Inputs'!$AZ$84</f>
        <v>94.513928394224024</v>
      </c>
      <c r="AE240" s="125">
        <f>AE129/293.07*(1/(VLOOKUP($H240,'Fuel economy adjusted factor'!$A$2:$K$52,11,FALSE)*m2k))/'TCO Inputs'!$AZ$84</f>
        <v>90.81249451786806</v>
      </c>
      <c r="AF240" s="125">
        <f>AF129/293.07*(1/(VLOOKUP($H240,'Fuel economy adjusted factor'!$A$2:$K$52,11,FALSE)*m2k))/'TCO Inputs'!$AZ$84</f>
        <v>90.81249451786806</v>
      </c>
      <c r="AG240" s="125">
        <f>AG129/293.07*(1/(VLOOKUP($H240,'Fuel economy adjusted factor'!$A$2:$K$52,11,FALSE)*m2k))/'TCO Inputs'!$AZ$84</f>
        <v>90.81249451786806</v>
      </c>
      <c r="AH240" s="125">
        <f>AH129/293.07*(1/(VLOOKUP($H240,'Fuel economy adjusted factor'!$A$2:$K$52,11,FALSE)*m2k))/'TCO Inputs'!$AZ$84</f>
        <v>90.81249451786806</v>
      </c>
      <c r="AI240" s="125">
        <f>AI129/293.07*(1/(VLOOKUP($H240,'Fuel economy adjusted factor'!$A$2:$K$52,11,FALSE)*m2k))/'TCO Inputs'!$AZ$84</f>
        <v>90.81249451786806</v>
      </c>
      <c r="AJ240" s="125">
        <f>AJ129/293.07*(1/(VLOOKUP($H240,'Fuel economy adjusted factor'!$A$2:$K$52,11,FALSE)*m2k))/'TCO Inputs'!$AZ$84</f>
        <v>85.107820727120668</v>
      </c>
      <c r="AK240" s="98" cm="1">
        <f t="array" ref="AK240">SUMPRODUCT(INDEX(I240:AJ240,,'TCO Inputs'!$AZ$12-2023+_xlfn.SEQUENCE('TCO Inputs'!$AZ$13))*INDEX('VKT US'!C79:AA79,,_xlfn.SEQUENCE('TCO Inputs'!$AZ$13)))*m2k*CONVERT(0.9072,"g","ton")*'TCO Inputs'!$BD$9</f>
        <v>26.997017043525489</v>
      </c>
    </row>
    <row r="241" spans="8:37" x14ac:dyDescent="0.25">
      <c r="H241" s="123" t="s">
        <v>200</v>
      </c>
      <c r="I241" s="125">
        <f>I130/293.07*(1/(VLOOKUP($H241,'Fuel economy adjusted factor'!$A$2:$K$52,11,FALSE)*m2k))/'TCO Inputs'!$AZ$84</f>
        <v>103.03341751838546</v>
      </c>
      <c r="J241" s="125">
        <f>J130/293.07*(1/(VLOOKUP($H241,'Fuel economy adjusted factor'!$A$2:$K$52,11,FALSE)*m2k))/'TCO Inputs'!$AZ$84</f>
        <v>103.03341751838546</v>
      </c>
      <c r="K241" s="125">
        <f>K130/293.07*(1/(VLOOKUP($H241,'Fuel economy adjusted factor'!$A$2:$K$52,11,FALSE)*m2k))/'TCO Inputs'!$AZ$84</f>
        <v>90.522766965294153</v>
      </c>
      <c r="L241" s="125">
        <f>L130/293.07*(1/(VLOOKUP($H241,'Fuel economy adjusted factor'!$A$2:$K$52,11,FALSE)*m2k))/'TCO Inputs'!$AZ$84</f>
        <v>90.522766965294153</v>
      </c>
      <c r="M241" s="125">
        <f>M130/293.07*(1/(VLOOKUP($H241,'Fuel economy adjusted factor'!$A$2:$K$52,11,FALSE)*m2k))/'TCO Inputs'!$AZ$84</f>
        <v>90.522766965294153</v>
      </c>
      <c r="N241" s="125">
        <f>N130/293.07*(1/(VLOOKUP($H241,'Fuel economy adjusted factor'!$A$2:$K$52,11,FALSE)*m2k))/'TCO Inputs'!$AZ$84</f>
        <v>90.522766965294153</v>
      </c>
      <c r="O241" s="125">
        <f>O130/293.07*(1/(VLOOKUP($H241,'Fuel economy adjusted factor'!$A$2:$K$52,11,FALSE)*m2k))/'TCO Inputs'!$AZ$84</f>
        <v>90.522766965294153</v>
      </c>
      <c r="P241" s="125">
        <f>P130/293.07*(1/(VLOOKUP($H241,'Fuel economy adjusted factor'!$A$2:$K$52,11,FALSE)*m2k))/'TCO Inputs'!$AZ$84</f>
        <v>55.188675215321872</v>
      </c>
      <c r="Q241" s="125">
        <f>Q130/293.07*(1/(VLOOKUP($H241,'Fuel economy adjusted factor'!$A$2:$K$52,11,FALSE)*m2k))/'TCO Inputs'!$AZ$84</f>
        <v>55.188675215321872</v>
      </c>
      <c r="R241" s="125">
        <f>R130/293.07*(1/(VLOOKUP($H241,'Fuel economy adjusted factor'!$A$2:$K$52,11,FALSE)*m2k))/'TCO Inputs'!$AZ$84</f>
        <v>55.188675215321872</v>
      </c>
      <c r="S241" s="125">
        <f>S130/293.07*(1/(VLOOKUP($H241,'Fuel economy adjusted factor'!$A$2:$K$52,11,FALSE)*m2k))/'TCO Inputs'!$AZ$84</f>
        <v>55.188675215321872</v>
      </c>
      <c r="T241" s="125">
        <f>T130/293.07*(1/(VLOOKUP($H241,'Fuel economy adjusted factor'!$A$2:$K$52,11,FALSE)*m2k))/'TCO Inputs'!$AZ$84</f>
        <v>55.188675215321872</v>
      </c>
      <c r="U241" s="125">
        <f>U130/293.07*(1/(VLOOKUP($H241,'Fuel economy adjusted factor'!$A$2:$K$52,11,FALSE)*m2k))/'TCO Inputs'!$AZ$84</f>
        <v>49.465346376360081</v>
      </c>
      <c r="V241" s="125">
        <f>V130/293.07*(1/(VLOOKUP($H241,'Fuel economy adjusted factor'!$A$2:$K$52,11,FALSE)*m2k))/'TCO Inputs'!$AZ$84</f>
        <v>49.465346376360081</v>
      </c>
      <c r="W241" s="125">
        <f>W130/293.07*(1/(VLOOKUP($H241,'Fuel economy adjusted factor'!$A$2:$K$52,11,FALSE)*m2k))/'TCO Inputs'!$AZ$84</f>
        <v>49.465346376360081</v>
      </c>
      <c r="X241" s="125">
        <f>X130/293.07*(1/(VLOOKUP($H241,'Fuel economy adjusted factor'!$A$2:$K$52,11,FALSE)*m2k))/'TCO Inputs'!$AZ$84</f>
        <v>49.465346376360081</v>
      </c>
      <c r="Y241" s="125">
        <f>Y130/293.07*(1/(VLOOKUP($H241,'Fuel economy adjusted factor'!$A$2:$K$52,11,FALSE)*m2k))/'TCO Inputs'!$AZ$84</f>
        <v>49.465346376360081</v>
      </c>
      <c r="Z241" s="125">
        <f>Z130/293.07*(1/(VLOOKUP($H241,'Fuel economy adjusted factor'!$A$2:$K$52,11,FALSE)*m2k))/'TCO Inputs'!$AZ$84</f>
        <v>47.72722667207492</v>
      </c>
      <c r="AA241" s="125">
        <f>AA130/293.07*(1/(VLOOKUP($H241,'Fuel economy adjusted factor'!$A$2:$K$52,11,FALSE)*m2k))/'TCO Inputs'!$AZ$84</f>
        <v>47.72722667207492</v>
      </c>
      <c r="AB241" s="125">
        <f>AB130/293.07*(1/(VLOOKUP($H241,'Fuel economy adjusted factor'!$A$2:$K$52,11,FALSE)*m2k))/'TCO Inputs'!$AZ$84</f>
        <v>47.72722667207492</v>
      </c>
      <c r="AC241" s="125">
        <f>AC130/293.07*(1/(VLOOKUP($H241,'Fuel economy adjusted factor'!$A$2:$K$52,11,FALSE)*m2k))/'TCO Inputs'!$AZ$84</f>
        <v>47.72722667207492</v>
      </c>
      <c r="AD241" s="125">
        <f>AD130/293.07*(1/(VLOOKUP($H241,'Fuel economy adjusted factor'!$A$2:$K$52,11,FALSE)*m2k))/'TCO Inputs'!$AZ$84</f>
        <v>47.72722667207492</v>
      </c>
      <c r="AE241" s="125">
        <f>AE130/293.07*(1/(VLOOKUP($H241,'Fuel economy adjusted factor'!$A$2:$K$52,11,FALSE)*m2k))/'TCO Inputs'!$AZ$84</f>
        <v>45.85809291972808</v>
      </c>
      <c r="AF241" s="125">
        <f>AF130/293.07*(1/(VLOOKUP($H241,'Fuel economy adjusted factor'!$A$2:$K$52,11,FALSE)*m2k))/'TCO Inputs'!$AZ$84</f>
        <v>45.85809291972808</v>
      </c>
      <c r="AG241" s="125">
        <f>AG130/293.07*(1/(VLOOKUP($H241,'Fuel economy adjusted factor'!$A$2:$K$52,11,FALSE)*m2k))/'TCO Inputs'!$AZ$84</f>
        <v>45.85809291972808</v>
      </c>
      <c r="AH241" s="125">
        <f>AH130/293.07*(1/(VLOOKUP($H241,'Fuel economy adjusted factor'!$A$2:$K$52,11,FALSE)*m2k))/'TCO Inputs'!$AZ$84</f>
        <v>45.85809291972808</v>
      </c>
      <c r="AI241" s="125">
        <f>AI130/293.07*(1/(VLOOKUP($H241,'Fuel economy adjusted factor'!$A$2:$K$52,11,FALSE)*m2k))/'TCO Inputs'!$AZ$84</f>
        <v>45.85809291972808</v>
      </c>
      <c r="AJ241" s="125">
        <f>AJ130/293.07*(1/(VLOOKUP($H241,'Fuel economy adjusted factor'!$A$2:$K$52,11,FALSE)*m2k))/'TCO Inputs'!$AZ$84</f>
        <v>42.97737191143819</v>
      </c>
      <c r="AK241" s="98" cm="1">
        <f t="array" ref="AK241">SUMPRODUCT(INDEX(I241:AJ241,,'TCO Inputs'!$AZ$12-2023+_xlfn.SEQUENCE('TCO Inputs'!$AZ$13))*INDEX('VKT US'!C80:AA80,,_xlfn.SEQUENCE('TCO Inputs'!$AZ$13)))*m2k*CONVERT(0.9072,"g","ton")*'TCO Inputs'!$BD$9</f>
        <v>12.500736577784489</v>
      </c>
    </row>
    <row r="242" spans="8:37" x14ac:dyDescent="0.25">
      <c r="H242" s="123" t="s">
        <v>203</v>
      </c>
      <c r="I242" s="125">
        <f>I131/293.07*(1/(VLOOKUP($H242,'Fuel economy adjusted factor'!$A$2:$K$52,11,FALSE)*m2k))/'TCO Inputs'!$AZ$84</f>
        <v>47.719474893599724</v>
      </c>
      <c r="J242" s="125">
        <f>J131/293.07*(1/(VLOOKUP($H242,'Fuel economy adjusted factor'!$A$2:$K$52,11,FALSE)*m2k))/'TCO Inputs'!$AZ$84</f>
        <v>47.719474893599724</v>
      </c>
      <c r="K242" s="125">
        <f>K131/293.07*(1/(VLOOKUP($H242,'Fuel economy adjusted factor'!$A$2:$K$52,11,FALSE)*m2k))/'TCO Inputs'!$AZ$84</f>
        <v>41.925222025453223</v>
      </c>
      <c r="L242" s="125">
        <f>L131/293.07*(1/(VLOOKUP($H242,'Fuel economy adjusted factor'!$A$2:$K$52,11,FALSE)*m2k))/'TCO Inputs'!$AZ$84</f>
        <v>41.925222025453223</v>
      </c>
      <c r="M242" s="125">
        <f>M131/293.07*(1/(VLOOKUP($H242,'Fuel economy adjusted factor'!$A$2:$K$52,11,FALSE)*m2k))/'TCO Inputs'!$AZ$84</f>
        <v>41.925222025453223</v>
      </c>
      <c r="N242" s="125">
        <f>N131/293.07*(1/(VLOOKUP($H242,'Fuel economy adjusted factor'!$A$2:$K$52,11,FALSE)*m2k))/'TCO Inputs'!$AZ$84</f>
        <v>41.925222025453223</v>
      </c>
      <c r="O242" s="125">
        <f>O131/293.07*(1/(VLOOKUP($H242,'Fuel economy adjusted factor'!$A$2:$K$52,11,FALSE)*m2k))/'TCO Inputs'!$AZ$84</f>
        <v>41.925222025453223</v>
      </c>
      <c r="P242" s="125">
        <f>P131/293.07*(1/(VLOOKUP($H242,'Fuel economy adjusted factor'!$A$2:$K$52,11,FALSE)*m2k))/'TCO Inputs'!$AZ$84</f>
        <v>25.56039258698414</v>
      </c>
      <c r="Q242" s="125">
        <f>Q131/293.07*(1/(VLOOKUP($H242,'Fuel economy adjusted factor'!$A$2:$K$52,11,FALSE)*m2k))/'TCO Inputs'!$AZ$84</f>
        <v>25.56039258698414</v>
      </c>
      <c r="R242" s="125">
        <f>R131/293.07*(1/(VLOOKUP($H242,'Fuel economy adjusted factor'!$A$2:$K$52,11,FALSE)*m2k))/'TCO Inputs'!$AZ$84</f>
        <v>25.56039258698414</v>
      </c>
      <c r="S242" s="125">
        <f>S131/293.07*(1/(VLOOKUP($H242,'Fuel economy adjusted factor'!$A$2:$K$52,11,FALSE)*m2k))/'TCO Inputs'!$AZ$84</f>
        <v>25.56039258698414</v>
      </c>
      <c r="T242" s="125">
        <f>T131/293.07*(1/(VLOOKUP($H242,'Fuel economy adjusted factor'!$A$2:$K$52,11,FALSE)*m2k))/'TCO Inputs'!$AZ$84</f>
        <v>25.56039258698414</v>
      </c>
      <c r="U242" s="125">
        <f>U131/293.07*(1/(VLOOKUP($H242,'Fuel economy adjusted factor'!$A$2:$K$52,11,FALSE)*m2k))/'TCO Inputs'!$AZ$84</f>
        <v>22.90965796692829</v>
      </c>
      <c r="V242" s="125">
        <f>V131/293.07*(1/(VLOOKUP($H242,'Fuel economy adjusted factor'!$A$2:$K$52,11,FALSE)*m2k))/'TCO Inputs'!$AZ$84</f>
        <v>22.90965796692829</v>
      </c>
      <c r="W242" s="125">
        <f>W131/293.07*(1/(VLOOKUP($H242,'Fuel economy adjusted factor'!$A$2:$K$52,11,FALSE)*m2k))/'TCO Inputs'!$AZ$84</f>
        <v>22.90965796692829</v>
      </c>
      <c r="X242" s="125">
        <f>X131/293.07*(1/(VLOOKUP($H242,'Fuel economy adjusted factor'!$A$2:$K$52,11,FALSE)*m2k))/'TCO Inputs'!$AZ$84</f>
        <v>22.90965796692829</v>
      </c>
      <c r="Y242" s="125">
        <f>Y131/293.07*(1/(VLOOKUP($H242,'Fuel economy adjusted factor'!$A$2:$K$52,11,FALSE)*m2k))/'TCO Inputs'!$AZ$84</f>
        <v>22.90965796692829</v>
      </c>
      <c r="Z242" s="125">
        <f>Z131/293.07*(1/(VLOOKUP($H242,'Fuel economy adjusted factor'!$A$2:$K$52,11,FALSE)*m2k))/'TCO Inputs'!$AZ$84</f>
        <v>22.10465545814607</v>
      </c>
      <c r="AA242" s="125">
        <f>AA131/293.07*(1/(VLOOKUP($H242,'Fuel economy adjusted factor'!$A$2:$K$52,11,FALSE)*m2k))/'TCO Inputs'!$AZ$84</f>
        <v>22.10465545814607</v>
      </c>
      <c r="AB242" s="125">
        <f>AB131/293.07*(1/(VLOOKUP($H242,'Fuel economy adjusted factor'!$A$2:$K$52,11,FALSE)*m2k))/'TCO Inputs'!$AZ$84</f>
        <v>22.10465545814607</v>
      </c>
      <c r="AC242" s="125">
        <f>AC131/293.07*(1/(VLOOKUP($H242,'Fuel economy adjusted factor'!$A$2:$K$52,11,FALSE)*m2k))/'TCO Inputs'!$AZ$84</f>
        <v>22.10465545814607</v>
      </c>
      <c r="AD242" s="125">
        <f>AD131/293.07*(1/(VLOOKUP($H242,'Fuel economy adjusted factor'!$A$2:$K$52,11,FALSE)*m2k))/'TCO Inputs'!$AZ$84</f>
        <v>22.10465545814607</v>
      </c>
      <c r="AE242" s="125">
        <f>AE131/293.07*(1/(VLOOKUP($H242,'Fuel economy adjusted factor'!$A$2:$K$52,11,FALSE)*m2k))/'TCO Inputs'!$AZ$84</f>
        <v>21.238974368299864</v>
      </c>
      <c r="AF242" s="125">
        <f>AF131/293.07*(1/(VLOOKUP($H242,'Fuel economy adjusted factor'!$A$2:$K$52,11,FALSE)*m2k))/'TCO Inputs'!$AZ$84</f>
        <v>21.238974368299864</v>
      </c>
      <c r="AG242" s="125">
        <f>AG131/293.07*(1/(VLOOKUP($H242,'Fuel economy adjusted factor'!$A$2:$K$52,11,FALSE)*m2k))/'TCO Inputs'!$AZ$84</f>
        <v>21.238974368299864</v>
      </c>
      <c r="AH242" s="125">
        <f>AH131/293.07*(1/(VLOOKUP($H242,'Fuel economy adjusted factor'!$A$2:$K$52,11,FALSE)*m2k))/'TCO Inputs'!$AZ$84</f>
        <v>21.238974368299864</v>
      </c>
      <c r="AI242" s="125">
        <f>AI131/293.07*(1/(VLOOKUP($H242,'Fuel economy adjusted factor'!$A$2:$K$52,11,FALSE)*m2k))/'TCO Inputs'!$AZ$84</f>
        <v>21.238974368299864</v>
      </c>
      <c r="AJ242" s="125">
        <f>AJ131/293.07*(1/(VLOOKUP($H242,'Fuel economy adjusted factor'!$A$2:$K$52,11,FALSE)*m2k))/'TCO Inputs'!$AZ$84</f>
        <v>19.904781082844448</v>
      </c>
      <c r="AK242" s="98" cm="1">
        <f t="array" ref="AK242">SUMPRODUCT(INDEX(I242:AJ242,,'TCO Inputs'!$AZ$12-2023+_xlfn.SEQUENCE('TCO Inputs'!$AZ$13))*INDEX('VKT US'!C81:AA81,,_xlfn.SEQUENCE('TCO Inputs'!$AZ$13)))*m2k*CONVERT(0.9072,"g","ton")*'TCO Inputs'!$BD$9</f>
        <v>5.5046508411372548</v>
      </c>
    </row>
    <row r="243" spans="8:37" x14ac:dyDescent="0.25">
      <c r="H243" s="123" t="s">
        <v>202</v>
      </c>
      <c r="I243" s="125">
        <f>I132/293.07*(1/(VLOOKUP($H243,'Fuel economy adjusted factor'!$A$2:$K$52,11,FALSE)*m2k))/'TCO Inputs'!$AZ$84</f>
        <v>65.173645718960458</v>
      </c>
      <c r="J243" s="125">
        <f>J132/293.07*(1/(VLOOKUP($H243,'Fuel economy adjusted factor'!$A$2:$K$52,11,FALSE)*m2k))/'TCO Inputs'!$AZ$84</f>
        <v>65.173645718960458</v>
      </c>
      <c r="K243" s="125">
        <f>K132/293.07*(1/(VLOOKUP($H243,'Fuel economy adjusted factor'!$A$2:$K$52,11,FALSE)*m2k))/'TCO Inputs'!$AZ$84</f>
        <v>57.260051018334366</v>
      </c>
      <c r="L243" s="125">
        <f>L132/293.07*(1/(VLOOKUP($H243,'Fuel economy adjusted factor'!$A$2:$K$52,11,FALSE)*m2k))/'TCO Inputs'!$AZ$84</f>
        <v>57.260051018334366</v>
      </c>
      <c r="M243" s="125">
        <f>M132/293.07*(1/(VLOOKUP($H243,'Fuel economy adjusted factor'!$A$2:$K$52,11,FALSE)*m2k))/'TCO Inputs'!$AZ$84</f>
        <v>57.260051018334366</v>
      </c>
      <c r="N243" s="125">
        <f>N132/293.07*(1/(VLOOKUP($H243,'Fuel economy adjusted factor'!$A$2:$K$52,11,FALSE)*m2k))/'TCO Inputs'!$AZ$84</f>
        <v>57.260051018334366</v>
      </c>
      <c r="O243" s="125">
        <f>O132/293.07*(1/(VLOOKUP($H243,'Fuel economy adjusted factor'!$A$2:$K$52,11,FALSE)*m2k))/'TCO Inputs'!$AZ$84</f>
        <v>57.260051018334366</v>
      </c>
      <c r="P243" s="125">
        <f>P132/293.07*(1/(VLOOKUP($H243,'Fuel economy adjusted factor'!$A$2:$K$52,11,FALSE)*m2k))/'TCO Inputs'!$AZ$84</f>
        <v>34.909520161653703</v>
      </c>
      <c r="Q243" s="125">
        <f>Q132/293.07*(1/(VLOOKUP($H243,'Fuel economy adjusted factor'!$A$2:$K$52,11,FALSE)*m2k))/'TCO Inputs'!$AZ$84</f>
        <v>34.909520161653703</v>
      </c>
      <c r="R243" s="125">
        <f>R132/293.07*(1/(VLOOKUP($H243,'Fuel economy adjusted factor'!$A$2:$K$52,11,FALSE)*m2k))/'TCO Inputs'!$AZ$84</f>
        <v>34.909520161653703</v>
      </c>
      <c r="S243" s="125">
        <f>S132/293.07*(1/(VLOOKUP($H243,'Fuel economy adjusted factor'!$A$2:$K$52,11,FALSE)*m2k))/'TCO Inputs'!$AZ$84</f>
        <v>34.909520161653703</v>
      </c>
      <c r="T243" s="125">
        <f>T132/293.07*(1/(VLOOKUP($H243,'Fuel economy adjusted factor'!$A$2:$K$52,11,FALSE)*m2k))/'TCO Inputs'!$AZ$84</f>
        <v>34.909520161653703</v>
      </c>
      <c r="U243" s="125">
        <f>U132/293.07*(1/(VLOOKUP($H243,'Fuel economy adjusted factor'!$A$2:$K$52,11,FALSE)*m2k))/'TCO Inputs'!$AZ$84</f>
        <v>31.289236421991816</v>
      </c>
      <c r="V243" s="125">
        <f>V132/293.07*(1/(VLOOKUP($H243,'Fuel economy adjusted factor'!$A$2:$K$52,11,FALSE)*m2k))/'TCO Inputs'!$AZ$84</f>
        <v>31.289236421991816</v>
      </c>
      <c r="W243" s="125">
        <f>W132/293.07*(1/(VLOOKUP($H243,'Fuel economy adjusted factor'!$A$2:$K$52,11,FALSE)*m2k))/'TCO Inputs'!$AZ$84</f>
        <v>31.289236421991816</v>
      </c>
      <c r="X243" s="125">
        <f>X132/293.07*(1/(VLOOKUP($H243,'Fuel economy adjusted factor'!$A$2:$K$52,11,FALSE)*m2k))/'TCO Inputs'!$AZ$84</f>
        <v>31.289236421991816</v>
      </c>
      <c r="Y243" s="125">
        <f>Y132/293.07*(1/(VLOOKUP($H243,'Fuel economy adjusted factor'!$A$2:$K$52,11,FALSE)*m2k))/'TCO Inputs'!$AZ$84</f>
        <v>31.289236421991816</v>
      </c>
      <c r="Z243" s="125">
        <f>Z132/293.07*(1/(VLOOKUP($H243,'Fuel economy adjusted factor'!$A$2:$K$52,11,FALSE)*m2k))/'TCO Inputs'!$AZ$84</f>
        <v>30.189791207491275</v>
      </c>
      <c r="AA243" s="125">
        <f>AA132/293.07*(1/(VLOOKUP($H243,'Fuel economy adjusted factor'!$A$2:$K$52,11,FALSE)*m2k))/'TCO Inputs'!$AZ$84</f>
        <v>30.189791207491275</v>
      </c>
      <c r="AB243" s="125">
        <f>AB132/293.07*(1/(VLOOKUP($H243,'Fuel economy adjusted factor'!$A$2:$K$52,11,FALSE)*m2k))/'TCO Inputs'!$AZ$84</f>
        <v>30.189791207491275</v>
      </c>
      <c r="AC243" s="125">
        <f>AC132/293.07*(1/(VLOOKUP($H243,'Fuel economy adjusted factor'!$A$2:$K$52,11,FALSE)*m2k))/'TCO Inputs'!$AZ$84</f>
        <v>30.189791207491275</v>
      </c>
      <c r="AD243" s="125">
        <f>AD132/293.07*(1/(VLOOKUP($H243,'Fuel economy adjusted factor'!$A$2:$K$52,11,FALSE)*m2k))/'TCO Inputs'!$AZ$84</f>
        <v>30.189791207491275</v>
      </c>
      <c r="AE243" s="125">
        <f>AE132/293.07*(1/(VLOOKUP($H243,'Fuel economy adjusted factor'!$A$2:$K$52,11,FALSE)*m2k))/'TCO Inputs'!$AZ$84</f>
        <v>29.007473238128885</v>
      </c>
      <c r="AF243" s="125">
        <f>AF132/293.07*(1/(VLOOKUP($H243,'Fuel economy adjusted factor'!$A$2:$K$52,11,FALSE)*m2k))/'TCO Inputs'!$AZ$84</f>
        <v>29.007473238128885</v>
      </c>
      <c r="AG243" s="125">
        <f>AG132/293.07*(1/(VLOOKUP($H243,'Fuel economy adjusted factor'!$A$2:$K$52,11,FALSE)*m2k))/'TCO Inputs'!$AZ$84</f>
        <v>29.007473238128885</v>
      </c>
      <c r="AH243" s="125">
        <f>AH132/293.07*(1/(VLOOKUP($H243,'Fuel economy adjusted factor'!$A$2:$K$52,11,FALSE)*m2k))/'TCO Inputs'!$AZ$84</f>
        <v>29.007473238128885</v>
      </c>
      <c r="AI243" s="125">
        <f>AI132/293.07*(1/(VLOOKUP($H243,'Fuel economy adjusted factor'!$A$2:$K$52,11,FALSE)*m2k))/'TCO Inputs'!$AZ$84</f>
        <v>29.007473238128885</v>
      </c>
      <c r="AJ243" s="125">
        <f>AJ132/293.07*(1/(VLOOKUP($H243,'Fuel economy adjusted factor'!$A$2:$K$52,11,FALSE)*m2k))/'TCO Inputs'!$AZ$84</f>
        <v>27.185277149408943</v>
      </c>
      <c r="AK243" s="98" cm="1">
        <f t="array" ref="AK243">SUMPRODUCT(INDEX(I243:AJ243,,'TCO Inputs'!$AZ$12-2023+_xlfn.SEQUENCE('TCO Inputs'!$AZ$13))*INDEX('VKT US'!C82:AA82,,_xlfn.SEQUENCE('TCO Inputs'!$AZ$13)))*m2k*CONVERT(0.9072,"g","ton")*'TCO Inputs'!$BD$9</f>
        <v>7.134626162713003</v>
      </c>
    </row>
    <row r="244" spans="8:37" x14ac:dyDescent="0.25">
      <c r="H244" s="123" t="s">
        <v>201</v>
      </c>
      <c r="I244" s="125">
        <f>I133/293.07*(1/(VLOOKUP($H244,'Fuel economy adjusted factor'!$A$2:$K$52,11,FALSE)*m2k))/'TCO Inputs'!$AZ$84</f>
        <v>103.12775102356734</v>
      </c>
      <c r="J244" s="125">
        <f>J133/293.07*(1/(VLOOKUP($H244,'Fuel economy adjusted factor'!$A$2:$K$52,11,FALSE)*m2k))/'TCO Inputs'!$AZ$84</f>
        <v>103.12775102356734</v>
      </c>
      <c r="K244" s="125">
        <f>K133/293.07*(1/(VLOOKUP($H244,'Fuel economy adjusted factor'!$A$2:$K$52,11,FALSE)*m2k))/'TCO Inputs'!$AZ$84</f>
        <v>90.605646191396445</v>
      </c>
      <c r="L244" s="125">
        <f>L133/293.07*(1/(VLOOKUP($H244,'Fuel economy adjusted factor'!$A$2:$K$52,11,FALSE)*m2k))/'TCO Inputs'!$AZ$84</f>
        <v>90.605646191396445</v>
      </c>
      <c r="M244" s="125">
        <f>M133/293.07*(1/(VLOOKUP($H244,'Fuel economy adjusted factor'!$A$2:$K$52,11,FALSE)*m2k))/'TCO Inputs'!$AZ$84</f>
        <v>90.605646191396445</v>
      </c>
      <c r="N244" s="125">
        <f>N133/293.07*(1/(VLOOKUP($H244,'Fuel economy adjusted factor'!$A$2:$K$52,11,FALSE)*m2k))/'TCO Inputs'!$AZ$84</f>
        <v>90.605646191396445</v>
      </c>
      <c r="O244" s="125">
        <f>O133/293.07*(1/(VLOOKUP($H244,'Fuel economy adjusted factor'!$A$2:$K$52,11,FALSE)*m2k))/'TCO Inputs'!$AZ$84</f>
        <v>90.605646191396445</v>
      </c>
      <c r="P244" s="125">
        <f>P133/293.07*(1/(VLOOKUP($H244,'Fuel economy adjusted factor'!$A$2:$K$52,11,FALSE)*m2k))/'TCO Inputs'!$AZ$84</f>
        <v>55.239203881698266</v>
      </c>
      <c r="Q244" s="125">
        <f>Q133/293.07*(1/(VLOOKUP($H244,'Fuel economy adjusted factor'!$A$2:$K$52,11,FALSE)*m2k))/'TCO Inputs'!$AZ$84</f>
        <v>55.239203881698266</v>
      </c>
      <c r="R244" s="125">
        <f>R133/293.07*(1/(VLOOKUP($H244,'Fuel economy adjusted factor'!$A$2:$K$52,11,FALSE)*m2k))/'TCO Inputs'!$AZ$84</f>
        <v>55.239203881698266</v>
      </c>
      <c r="S244" s="125">
        <f>S133/293.07*(1/(VLOOKUP($H244,'Fuel economy adjusted factor'!$A$2:$K$52,11,FALSE)*m2k))/'TCO Inputs'!$AZ$84</f>
        <v>55.239203881698266</v>
      </c>
      <c r="T244" s="125">
        <f>T133/293.07*(1/(VLOOKUP($H244,'Fuel economy adjusted factor'!$A$2:$K$52,11,FALSE)*m2k))/'TCO Inputs'!$AZ$84</f>
        <v>55.239203881698266</v>
      </c>
      <c r="U244" s="125">
        <f>U133/293.07*(1/(VLOOKUP($H244,'Fuel economy adjusted factor'!$A$2:$K$52,11,FALSE)*m2k))/'TCO Inputs'!$AZ$84</f>
        <v>49.510634979039736</v>
      </c>
      <c r="V244" s="125">
        <f>V133/293.07*(1/(VLOOKUP($H244,'Fuel economy adjusted factor'!$A$2:$K$52,11,FALSE)*m2k))/'TCO Inputs'!$AZ$84</f>
        <v>49.510634979039736</v>
      </c>
      <c r="W244" s="125">
        <f>W133/293.07*(1/(VLOOKUP($H244,'Fuel economy adjusted factor'!$A$2:$K$52,11,FALSE)*m2k))/'TCO Inputs'!$AZ$84</f>
        <v>49.510634979039736</v>
      </c>
      <c r="X244" s="125">
        <f>X133/293.07*(1/(VLOOKUP($H244,'Fuel economy adjusted factor'!$A$2:$K$52,11,FALSE)*m2k))/'TCO Inputs'!$AZ$84</f>
        <v>49.510634979039736</v>
      </c>
      <c r="Y244" s="125">
        <f>Y133/293.07*(1/(VLOOKUP($H244,'Fuel economy adjusted factor'!$A$2:$K$52,11,FALSE)*m2k))/'TCO Inputs'!$AZ$84</f>
        <v>49.510634979039736</v>
      </c>
      <c r="Z244" s="125">
        <f>Z133/293.07*(1/(VLOOKUP($H244,'Fuel economy adjusted factor'!$A$2:$K$52,11,FALSE)*m2k))/'TCO Inputs'!$AZ$84</f>
        <v>47.770923918007618</v>
      </c>
      <c r="AA244" s="125">
        <f>AA133/293.07*(1/(VLOOKUP($H244,'Fuel economy adjusted factor'!$A$2:$K$52,11,FALSE)*m2k))/'TCO Inputs'!$AZ$84</f>
        <v>47.770923918007618</v>
      </c>
      <c r="AB244" s="125">
        <f>AB133/293.07*(1/(VLOOKUP($H244,'Fuel economy adjusted factor'!$A$2:$K$52,11,FALSE)*m2k))/'TCO Inputs'!$AZ$84</f>
        <v>47.770923918007618</v>
      </c>
      <c r="AC244" s="125">
        <f>AC133/293.07*(1/(VLOOKUP($H244,'Fuel economy adjusted factor'!$A$2:$K$52,11,FALSE)*m2k))/'TCO Inputs'!$AZ$84</f>
        <v>47.770923918007618</v>
      </c>
      <c r="AD244" s="125">
        <f>AD133/293.07*(1/(VLOOKUP($H244,'Fuel economy adjusted factor'!$A$2:$K$52,11,FALSE)*m2k))/'TCO Inputs'!$AZ$84</f>
        <v>47.770923918007618</v>
      </c>
      <c r="AE244" s="125">
        <f>AE133/293.07*(1/(VLOOKUP($H244,'Fuel economy adjusted factor'!$A$2:$K$52,11,FALSE)*m2k))/'TCO Inputs'!$AZ$84</f>
        <v>45.90007885740021</v>
      </c>
      <c r="AF244" s="125">
        <f>AF133/293.07*(1/(VLOOKUP($H244,'Fuel economy adjusted factor'!$A$2:$K$52,11,FALSE)*m2k))/'TCO Inputs'!$AZ$84</f>
        <v>45.90007885740021</v>
      </c>
      <c r="AG244" s="125">
        <f>AG133/293.07*(1/(VLOOKUP($H244,'Fuel economy adjusted factor'!$A$2:$K$52,11,FALSE)*m2k))/'TCO Inputs'!$AZ$84</f>
        <v>45.90007885740021</v>
      </c>
      <c r="AH244" s="125">
        <f>AH133/293.07*(1/(VLOOKUP($H244,'Fuel economy adjusted factor'!$A$2:$K$52,11,FALSE)*m2k))/'TCO Inputs'!$AZ$84</f>
        <v>45.90007885740021</v>
      </c>
      <c r="AI244" s="125">
        <f>AI133/293.07*(1/(VLOOKUP($H244,'Fuel economy adjusted factor'!$A$2:$K$52,11,FALSE)*m2k))/'TCO Inputs'!$AZ$84</f>
        <v>45.90007885740021</v>
      </c>
      <c r="AJ244" s="125">
        <f>AJ133/293.07*(1/(VLOOKUP($H244,'Fuel economy adjusted factor'!$A$2:$K$52,11,FALSE)*m2k))/'TCO Inputs'!$AZ$84</f>
        <v>43.016720369769089</v>
      </c>
      <c r="AK244" s="98" cm="1">
        <f t="array" ref="AK244">SUMPRODUCT(INDEX(I244:AJ244,,'TCO Inputs'!$AZ$12-2023+_xlfn.SEQUENCE('TCO Inputs'!$AZ$13))*INDEX('VKT US'!C83:AA83,,_xlfn.SEQUENCE('TCO Inputs'!$AZ$13)))*m2k*CONVERT(0.9072,"g","ton")*'TCO Inputs'!$BD$9</f>
        <v>10.970650187549747</v>
      </c>
    </row>
    <row r="245" spans="8:37" x14ac:dyDescent="0.25">
      <c r="H245" s="123" t="s">
        <v>204</v>
      </c>
      <c r="I245" s="125">
        <f>I134/293.07*(1/(VLOOKUP($H245,'Fuel economy adjusted factor'!$A$2:$K$52,11,FALSE)*m2k))/'TCO Inputs'!$AZ$84</f>
        <v>119.8230352434679</v>
      </c>
      <c r="J245" s="125">
        <f>J134/293.07*(1/(VLOOKUP($H245,'Fuel economy adjusted factor'!$A$2:$K$52,11,FALSE)*m2k))/'TCO Inputs'!$AZ$84</f>
        <v>119.8230352434679</v>
      </c>
      <c r="K245" s="125">
        <f>K134/293.07*(1/(VLOOKUP($H245,'Fuel economy adjusted factor'!$A$2:$K$52,11,FALSE)*m2k))/'TCO Inputs'!$AZ$84</f>
        <v>105.27373504312972</v>
      </c>
      <c r="L245" s="125">
        <f>L134/293.07*(1/(VLOOKUP($H245,'Fuel economy adjusted factor'!$A$2:$K$52,11,FALSE)*m2k))/'TCO Inputs'!$AZ$84</f>
        <v>105.27373504312972</v>
      </c>
      <c r="M245" s="125">
        <f>M134/293.07*(1/(VLOOKUP($H245,'Fuel economy adjusted factor'!$A$2:$K$52,11,FALSE)*m2k))/'TCO Inputs'!$AZ$84</f>
        <v>105.27373504312972</v>
      </c>
      <c r="N245" s="125">
        <f>N134/293.07*(1/(VLOOKUP($H245,'Fuel economy adjusted factor'!$A$2:$K$52,11,FALSE)*m2k))/'TCO Inputs'!$AZ$84</f>
        <v>105.27373504312972</v>
      </c>
      <c r="O245" s="125">
        <f>O134/293.07*(1/(VLOOKUP($H245,'Fuel economy adjusted factor'!$A$2:$K$52,11,FALSE)*m2k))/'TCO Inputs'!$AZ$84</f>
        <v>105.27373504312972</v>
      </c>
      <c r="P245" s="125">
        <f>P134/293.07*(1/(VLOOKUP($H245,'Fuel economy adjusted factor'!$A$2:$K$52,11,FALSE)*m2k))/'TCO Inputs'!$AZ$84</f>
        <v>64.181842499651182</v>
      </c>
      <c r="Q245" s="125">
        <f>Q134/293.07*(1/(VLOOKUP($H245,'Fuel economy adjusted factor'!$A$2:$K$52,11,FALSE)*m2k))/'TCO Inputs'!$AZ$84</f>
        <v>64.181842499651182</v>
      </c>
      <c r="R245" s="125">
        <f>R134/293.07*(1/(VLOOKUP($H245,'Fuel economy adjusted factor'!$A$2:$K$52,11,FALSE)*m2k))/'TCO Inputs'!$AZ$84</f>
        <v>64.181842499651182</v>
      </c>
      <c r="S245" s="125">
        <f>S134/293.07*(1/(VLOOKUP($H245,'Fuel economy adjusted factor'!$A$2:$K$52,11,FALSE)*m2k))/'TCO Inputs'!$AZ$84</f>
        <v>64.181842499651182</v>
      </c>
      <c r="T245" s="125">
        <f>T134/293.07*(1/(VLOOKUP($H245,'Fuel economy adjusted factor'!$A$2:$K$52,11,FALSE)*m2k))/'TCO Inputs'!$AZ$84</f>
        <v>64.181842499651182</v>
      </c>
      <c r="U245" s="125">
        <f>U134/293.07*(1/(VLOOKUP($H245,'Fuel economy adjusted factor'!$A$2:$K$52,11,FALSE)*m2k))/'TCO Inputs'!$AZ$84</f>
        <v>57.525879320923238</v>
      </c>
      <c r="V245" s="125">
        <f>V134/293.07*(1/(VLOOKUP($H245,'Fuel economy adjusted factor'!$A$2:$K$52,11,FALSE)*m2k))/'TCO Inputs'!$AZ$84</f>
        <v>57.525879320923238</v>
      </c>
      <c r="W245" s="125">
        <f>W134/293.07*(1/(VLOOKUP($H245,'Fuel economy adjusted factor'!$A$2:$K$52,11,FALSE)*m2k))/'TCO Inputs'!$AZ$84</f>
        <v>57.525879320923238</v>
      </c>
      <c r="X245" s="125">
        <f>X134/293.07*(1/(VLOOKUP($H245,'Fuel economy adjusted factor'!$A$2:$K$52,11,FALSE)*m2k))/'TCO Inputs'!$AZ$84</f>
        <v>57.525879320923238</v>
      </c>
      <c r="Y245" s="125">
        <f>Y134/293.07*(1/(VLOOKUP($H245,'Fuel economy adjusted factor'!$A$2:$K$52,11,FALSE)*m2k))/'TCO Inputs'!$AZ$84</f>
        <v>57.525879320923238</v>
      </c>
      <c r="Z245" s="125">
        <f>Z134/293.07*(1/(VLOOKUP($H245,'Fuel economy adjusted factor'!$A$2:$K$52,11,FALSE)*m2k))/'TCO Inputs'!$AZ$84</f>
        <v>55.504527573110316</v>
      </c>
      <c r="AA245" s="125">
        <f>AA134/293.07*(1/(VLOOKUP($H245,'Fuel economy adjusted factor'!$A$2:$K$52,11,FALSE)*m2k))/'TCO Inputs'!$AZ$84</f>
        <v>55.504527573110316</v>
      </c>
      <c r="AB245" s="125">
        <f>AB134/293.07*(1/(VLOOKUP($H245,'Fuel economy adjusted factor'!$A$2:$K$52,11,FALSE)*m2k))/'TCO Inputs'!$AZ$84</f>
        <v>55.504527573110316</v>
      </c>
      <c r="AC245" s="125">
        <f>AC134/293.07*(1/(VLOOKUP($H245,'Fuel economy adjusted factor'!$A$2:$K$52,11,FALSE)*m2k))/'TCO Inputs'!$AZ$84</f>
        <v>55.504527573110316</v>
      </c>
      <c r="AD245" s="125">
        <f>AD134/293.07*(1/(VLOOKUP($H245,'Fuel economy adjusted factor'!$A$2:$K$52,11,FALSE)*m2k))/'TCO Inputs'!$AZ$84</f>
        <v>55.504527573110316</v>
      </c>
      <c r="AE245" s="125">
        <f>AE134/293.07*(1/(VLOOKUP($H245,'Fuel economy adjusted factor'!$A$2:$K$52,11,FALSE)*m2k))/'TCO Inputs'!$AZ$84</f>
        <v>53.330812628226077</v>
      </c>
      <c r="AF245" s="125">
        <f>AF134/293.07*(1/(VLOOKUP($H245,'Fuel economy adjusted factor'!$A$2:$K$52,11,FALSE)*m2k))/'TCO Inputs'!$AZ$84</f>
        <v>53.330812628226077</v>
      </c>
      <c r="AG245" s="125">
        <f>AG134/293.07*(1/(VLOOKUP($H245,'Fuel economy adjusted factor'!$A$2:$K$52,11,FALSE)*m2k))/'TCO Inputs'!$AZ$84</f>
        <v>53.330812628226077</v>
      </c>
      <c r="AH245" s="125">
        <f>AH134/293.07*(1/(VLOOKUP($H245,'Fuel economy adjusted factor'!$A$2:$K$52,11,FALSE)*m2k))/'TCO Inputs'!$AZ$84</f>
        <v>53.330812628226077</v>
      </c>
      <c r="AI245" s="125">
        <f>AI134/293.07*(1/(VLOOKUP($H245,'Fuel economy adjusted factor'!$A$2:$K$52,11,FALSE)*m2k))/'TCO Inputs'!$AZ$84</f>
        <v>53.330812628226077</v>
      </c>
      <c r="AJ245" s="125">
        <f>AJ134/293.07*(1/(VLOOKUP($H245,'Fuel economy adjusted factor'!$A$2:$K$52,11,FALSE)*m2k))/'TCO Inputs'!$AZ$84</f>
        <v>49.980669119288095</v>
      </c>
      <c r="AK245" s="98" cm="1">
        <f t="array" ref="AK245">SUMPRODUCT(INDEX(I245:AJ245,,'TCO Inputs'!$AZ$12-2023+_xlfn.SEQUENCE('TCO Inputs'!$AZ$13))*INDEX('VKT US'!C84:AA84,,_xlfn.SEQUENCE('TCO Inputs'!$AZ$13)))*m2k*CONVERT(0.9072,"g","ton")*'TCO Inputs'!$BD$9</f>
        <v>13.911570167403688</v>
      </c>
    </row>
    <row r="246" spans="8:37" x14ac:dyDescent="0.25">
      <c r="H246" s="123" t="s">
        <v>205</v>
      </c>
      <c r="I246" s="125">
        <f>I135/293.07*(1/(VLOOKUP($H246,'Fuel economy adjusted factor'!$A$2:$K$52,11,FALSE)*m2k))/'TCO Inputs'!$AZ$84</f>
        <v>102.39088049050333</v>
      </c>
      <c r="J246" s="125">
        <f>J135/293.07*(1/(VLOOKUP($H246,'Fuel economy adjusted factor'!$A$2:$K$52,11,FALSE)*m2k))/'TCO Inputs'!$AZ$84</f>
        <v>102.39088049050333</v>
      </c>
      <c r="K246" s="125">
        <f>K135/293.07*(1/(VLOOKUP($H246,'Fuel economy adjusted factor'!$A$2:$K$52,11,FALSE)*m2k))/'TCO Inputs'!$AZ$84</f>
        <v>89.958248859979761</v>
      </c>
      <c r="L246" s="125">
        <f>L135/293.07*(1/(VLOOKUP($H246,'Fuel economy adjusted factor'!$A$2:$K$52,11,FALSE)*m2k))/'TCO Inputs'!$AZ$84</f>
        <v>89.958248859979761</v>
      </c>
      <c r="M246" s="125">
        <f>M135/293.07*(1/(VLOOKUP($H246,'Fuel economy adjusted factor'!$A$2:$K$52,11,FALSE)*m2k))/'TCO Inputs'!$AZ$84</f>
        <v>89.958248859979761</v>
      </c>
      <c r="N246" s="125">
        <f>N135/293.07*(1/(VLOOKUP($H246,'Fuel economy adjusted factor'!$A$2:$K$52,11,FALSE)*m2k))/'TCO Inputs'!$AZ$84</f>
        <v>89.958248859979761</v>
      </c>
      <c r="O246" s="125">
        <f>O135/293.07*(1/(VLOOKUP($H246,'Fuel economy adjusted factor'!$A$2:$K$52,11,FALSE)*m2k))/'TCO Inputs'!$AZ$84</f>
        <v>89.958248859979761</v>
      </c>
      <c r="P246" s="125">
        <f>P135/293.07*(1/(VLOOKUP($H246,'Fuel economy adjusted factor'!$A$2:$K$52,11,FALSE)*m2k))/'TCO Inputs'!$AZ$84</f>
        <v>54.844507583113831</v>
      </c>
      <c r="Q246" s="125">
        <f>Q135/293.07*(1/(VLOOKUP($H246,'Fuel economy adjusted factor'!$A$2:$K$52,11,FALSE)*m2k))/'TCO Inputs'!$AZ$84</f>
        <v>54.844507583113831</v>
      </c>
      <c r="R246" s="125">
        <f>R135/293.07*(1/(VLOOKUP($H246,'Fuel economy adjusted factor'!$A$2:$K$52,11,FALSE)*m2k))/'TCO Inputs'!$AZ$84</f>
        <v>54.844507583113831</v>
      </c>
      <c r="S246" s="125">
        <f>S135/293.07*(1/(VLOOKUP($H246,'Fuel economy adjusted factor'!$A$2:$K$52,11,FALSE)*m2k))/'TCO Inputs'!$AZ$84</f>
        <v>54.844507583113831</v>
      </c>
      <c r="T246" s="125">
        <f>T135/293.07*(1/(VLOOKUP($H246,'Fuel economy adjusted factor'!$A$2:$K$52,11,FALSE)*m2k))/'TCO Inputs'!$AZ$84</f>
        <v>54.844507583113831</v>
      </c>
      <c r="U246" s="125">
        <f>U135/293.07*(1/(VLOOKUP($H246,'Fuel economy adjusted factor'!$A$2:$K$52,11,FALSE)*m2k))/'TCO Inputs'!$AZ$84</f>
        <v>49.15687056909924</v>
      </c>
      <c r="V246" s="125">
        <f>V135/293.07*(1/(VLOOKUP($H246,'Fuel economy adjusted factor'!$A$2:$K$52,11,FALSE)*m2k))/'TCO Inputs'!$AZ$84</f>
        <v>49.15687056909924</v>
      </c>
      <c r="W246" s="125">
        <f>W135/293.07*(1/(VLOOKUP($H246,'Fuel economy adjusted factor'!$A$2:$K$52,11,FALSE)*m2k))/'TCO Inputs'!$AZ$84</f>
        <v>49.15687056909924</v>
      </c>
      <c r="X246" s="125">
        <f>X135/293.07*(1/(VLOOKUP($H246,'Fuel economy adjusted factor'!$A$2:$K$52,11,FALSE)*m2k))/'TCO Inputs'!$AZ$84</f>
        <v>49.15687056909924</v>
      </c>
      <c r="Y246" s="125">
        <f>Y135/293.07*(1/(VLOOKUP($H246,'Fuel economy adjusted factor'!$A$2:$K$52,11,FALSE)*m2k))/'TCO Inputs'!$AZ$84</f>
        <v>49.15687056909924</v>
      </c>
      <c r="Z246" s="125">
        <f>Z135/293.07*(1/(VLOOKUP($H246,'Fuel economy adjusted factor'!$A$2:$K$52,11,FALSE)*m2k))/'TCO Inputs'!$AZ$84</f>
        <v>47.42959012741251</v>
      </c>
      <c r="AA246" s="125">
        <f>AA135/293.07*(1/(VLOOKUP($H246,'Fuel economy adjusted factor'!$A$2:$K$52,11,FALSE)*m2k))/'TCO Inputs'!$AZ$84</f>
        <v>47.42959012741251</v>
      </c>
      <c r="AB246" s="125">
        <f>AB135/293.07*(1/(VLOOKUP($H246,'Fuel economy adjusted factor'!$A$2:$K$52,11,FALSE)*m2k))/'TCO Inputs'!$AZ$84</f>
        <v>47.42959012741251</v>
      </c>
      <c r="AC246" s="125">
        <f>AC135/293.07*(1/(VLOOKUP($H246,'Fuel economy adjusted factor'!$A$2:$K$52,11,FALSE)*m2k))/'TCO Inputs'!$AZ$84</f>
        <v>47.42959012741251</v>
      </c>
      <c r="AD246" s="125">
        <f>AD135/293.07*(1/(VLOOKUP($H246,'Fuel economy adjusted factor'!$A$2:$K$52,11,FALSE)*m2k))/'TCO Inputs'!$AZ$84</f>
        <v>47.42959012741251</v>
      </c>
      <c r="AE246" s="125">
        <f>AE135/293.07*(1/(VLOOKUP($H246,'Fuel economy adjusted factor'!$A$2:$K$52,11,FALSE)*m2k))/'TCO Inputs'!$AZ$84</f>
        <v>45.572112667508179</v>
      </c>
      <c r="AF246" s="125">
        <f>AF135/293.07*(1/(VLOOKUP($H246,'Fuel economy adjusted factor'!$A$2:$K$52,11,FALSE)*m2k))/'TCO Inputs'!$AZ$84</f>
        <v>45.572112667508179</v>
      </c>
      <c r="AG246" s="125">
        <f>AG135/293.07*(1/(VLOOKUP($H246,'Fuel economy adjusted factor'!$A$2:$K$52,11,FALSE)*m2k))/'TCO Inputs'!$AZ$84</f>
        <v>45.572112667508179</v>
      </c>
      <c r="AH246" s="125">
        <f>AH135/293.07*(1/(VLOOKUP($H246,'Fuel economy adjusted factor'!$A$2:$K$52,11,FALSE)*m2k))/'TCO Inputs'!$AZ$84</f>
        <v>45.572112667508179</v>
      </c>
      <c r="AI246" s="125">
        <f>AI135/293.07*(1/(VLOOKUP($H246,'Fuel economy adjusted factor'!$A$2:$K$52,11,FALSE)*m2k))/'TCO Inputs'!$AZ$84</f>
        <v>45.572112667508179</v>
      </c>
      <c r="AJ246" s="125">
        <f>AJ135/293.07*(1/(VLOOKUP($H246,'Fuel economy adjusted factor'!$A$2:$K$52,11,FALSE)*m2k))/'TCO Inputs'!$AZ$84</f>
        <v>42.709356412396509</v>
      </c>
      <c r="AK246" s="98" cm="1">
        <f t="array" ref="AK246">SUMPRODUCT(INDEX(I246:AJ246,,'TCO Inputs'!$AZ$12-2023+_xlfn.SEQUENCE('TCO Inputs'!$AZ$13))*INDEX('VKT US'!C85:AA85,,_xlfn.SEQUENCE('TCO Inputs'!$AZ$13)))*m2k*CONVERT(0.9072,"g","ton")*'TCO Inputs'!$BD$9</f>
        <v>14.880580410728045</v>
      </c>
    </row>
    <row r="247" spans="8:37" x14ac:dyDescent="0.25">
      <c r="H247" s="123" t="s">
        <v>207</v>
      </c>
      <c r="I247" s="125">
        <f>I136/293.07*(1/(VLOOKUP($H247,'Fuel economy adjusted factor'!$A$2:$K$52,11,FALSE)*m2k))/'TCO Inputs'!$AZ$84</f>
        <v>104.69262564595832</v>
      </c>
      <c r="J247" s="125">
        <f>J136/293.07*(1/(VLOOKUP($H247,'Fuel economy adjusted factor'!$A$2:$K$52,11,FALSE)*m2k))/'TCO Inputs'!$AZ$84</f>
        <v>104.69262564595832</v>
      </c>
      <c r="K247" s="125">
        <f>K136/293.07*(1/(VLOOKUP($H247,'Fuel economy adjusted factor'!$A$2:$K$52,11,FALSE)*m2k))/'TCO Inputs'!$AZ$84</f>
        <v>91.980508679552997</v>
      </c>
      <c r="L247" s="125">
        <f>L136/293.07*(1/(VLOOKUP($H247,'Fuel economy adjusted factor'!$A$2:$K$52,11,FALSE)*m2k))/'TCO Inputs'!$AZ$84</f>
        <v>91.980508679552997</v>
      </c>
      <c r="M247" s="125">
        <f>M136/293.07*(1/(VLOOKUP($H247,'Fuel economy adjusted factor'!$A$2:$K$52,11,FALSE)*m2k))/'TCO Inputs'!$AZ$84</f>
        <v>91.980508679552997</v>
      </c>
      <c r="N247" s="125">
        <f>N136/293.07*(1/(VLOOKUP($H247,'Fuel economy adjusted factor'!$A$2:$K$52,11,FALSE)*m2k))/'TCO Inputs'!$AZ$84</f>
        <v>91.980508679552997</v>
      </c>
      <c r="O247" s="125">
        <f>O136/293.07*(1/(VLOOKUP($H247,'Fuel economy adjusted factor'!$A$2:$K$52,11,FALSE)*m2k))/'TCO Inputs'!$AZ$84</f>
        <v>91.980508679552997</v>
      </c>
      <c r="P247" s="125">
        <f>P136/293.07*(1/(VLOOKUP($H247,'Fuel economy adjusted factor'!$A$2:$K$52,11,FALSE)*m2k))/'TCO Inputs'!$AZ$84</f>
        <v>56.077411129093747</v>
      </c>
      <c r="Q247" s="125">
        <f>Q136/293.07*(1/(VLOOKUP($H247,'Fuel economy adjusted factor'!$A$2:$K$52,11,FALSE)*m2k))/'TCO Inputs'!$AZ$84</f>
        <v>56.077411129093747</v>
      </c>
      <c r="R247" s="125">
        <f>R136/293.07*(1/(VLOOKUP($H247,'Fuel economy adjusted factor'!$A$2:$K$52,11,FALSE)*m2k))/'TCO Inputs'!$AZ$84</f>
        <v>56.077411129093747</v>
      </c>
      <c r="S247" s="125">
        <f>S136/293.07*(1/(VLOOKUP($H247,'Fuel economy adjusted factor'!$A$2:$K$52,11,FALSE)*m2k))/'TCO Inputs'!$AZ$84</f>
        <v>56.077411129093747</v>
      </c>
      <c r="T247" s="125">
        <f>T136/293.07*(1/(VLOOKUP($H247,'Fuel economy adjusted factor'!$A$2:$K$52,11,FALSE)*m2k))/'TCO Inputs'!$AZ$84</f>
        <v>56.077411129093747</v>
      </c>
      <c r="U247" s="125">
        <f>U136/293.07*(1/(VLOOKUP($H247,'Fuel economy adjusted factor'!$A$2:$K$52,11,FALSE)*m2k))/'TCO Inputs'!$AZ$84</f>
        <v>50.261916137100251</v>
      </c>
      <c r="V247" s="125">
        <f>V136/293.07*(1/(VLOOKUP($H247,'Fuel economy adjusted factor'!$A$2:$K$52,11,FALSE)*m2k))/'TCO Inputs'!$AZ$84</f>
        <v>50.261916137100251</v>
      </c>
      <c r="W247" s="125">
        <f>W136/293.07*(1/(VLOOKUP($H247,'Fuel economy adjusted factor'!$A$2:$K$52,11,FALSE)*m2k))/'TCO Inputs'!$AZ$84</f>
        <v>50.261916137100251</v>
      </c>
      <c r="X247" s="125">
        <f>X136/293.07*(1/(VLOOKUP($H247,'Fuel economy adjusted factor'!$A$2:$K$52,11,FALSE)*m2k))/'TCO Inputs'!$AZ$84</f>
        <v>50.261916137100251</v>
      </c>
      <c r="Y247" s="125">
        <f>Y136/293.07*(1/(VLOOKUP($H247,'Fuel economy adjusted factor'!$A$2:$K$52,11,FALSE)*m2k))/'TCO Inputs'!$AZ$84</f>
        <v>50.261916137100251</v>
      </c>
      <c r="Z247" s="125">
        <f>Z136/293.07*(1/(VLOOKUP($H247,'Fuel economy adjusted factor'!$A$2:$K$52,11,FALSE)*m2k))/'TCO Inputs'!$AZ$84</f>
        <v>48.495806462090016</v>
      </c>
      <c r="AA247" s="125">
        <f>AA136/293.07*(1/(VLOOKUP($H247,'Fuel economy adjusted factor'!$A$2:$K$52,11,FALSE)*m2k))/'TCO Inputs'!$AZ$84</f>
        <v>48.495806462090016</v>
      </c>
      <c r="AB247" s="125">
        <f>AB136/293.07*(1/(VLOOKUP($H247,'Fuel economy adjusted factor'!$A$2:$K$52,11,FALSE)*m2k))/'TCO Inputs'!$AZ$84</f>
        <v>48.495806462090016</v>
      </c>
      <c r="AC247" s="125">
        <f>AC136/293.07*(1/(VLOOKUP($H247,'Fuel economy adjusted factor'!$A$2:$K$52,11,FALSE)*m2k))/'TCO Inputs'!$AZ$84</f>
        <v>48.495806462090016</v>
      </c>
      <c r="AD247" s="125">
        <f>AD136/293.07*(1/(VLOOKUP($H247,'Fuel economy adjusted factor'!$A$2:$K$52,11,FALSE)*m2k))/'TCO Inputs'!$AZ$84</f>
        <v>48.495806462090016</v>
      </c>
      <c r="AE247" s="125">
        <f>AE136/293.07*(1/(VLOOKUP($H247,'Fuel economy adjusted factor'!$A$2:$K$52,11,FALSE)*m2k))/'TCO Inputs'!$AZ$84</f>
        <v>46.59657294222977</v>
      </c>
      <c r="AF247" s="125">
        <f>AF136/293.07*(1/(VLOOKUP($H247,'Fuel economy adjusted factor'!$A$2:$K$52,11,FALSE)*m2k))/'TCO Inputs'!$AZ$84</f>
        <v>46.59657294222977</v>
      </c>
      <c r="AG247" s="125">
        <f>AG136/293.07*(1/(VLOOKUP($H247,'Fuel economy adjusted factor'!$A$2:$K$52,11,FALSE)*m2k))/'TCO Inputs'!$AZ$84</f>
        <v>46.59657294222977</v>
      </c>
      <c r="AH247" s="125">
        <f>AH136/293.07*(1/(VLOOKUP($H247,'Fuel economy adjusted factor'!$A$2:$K$52,11,FALSE)*m2k))/'TCO Inputs'!$AZ$84</f>
        <v>46.59657294222977</v>
      </c>
      <c r="AI247" s="125">
        <f>AI136/293.07*(1/(VLOOKUP($H247,'Fuel economy adjusted factor'!$A$2:$K$52,11,FALSE)*m2k))/'TCO Inputs'!$AZ$84</f>
        <v>46.59657294222977</v>
      </c>
      <c r="AJ247" s="125">
        <f>AJ136/293.07*(1/(VLOOKUP($H247,'Fuel economy adjusted factor'!$A$2:$K$52,11,FALSE)*m2k))/'TCO Inputs'!$AZ$84</f>
        <v>43.669461977891196</v>
      </c>
      <c r="AK247" s="98" cm="1">
        <f t="array" ref="AK247">SUMPRODUCT(INDEX(I247:AJ247,,'TCO Inputs'!$AZ$12-2023+_xlfn.SEQUENCE('TCO Inputs'!$AZ$13))*INDEX('VKT US'!C86:AA86,,_xlfn.SEQUENCE('TCO Inputs'!$AZ$13)))*m2k*CONVERT(0.9072,"g","ton")*'TCO Inputs'!$BD$9</f>
        <v>16.96267790355871</v>
      </c>
    </row>
    <row r="248" spans="8:37" x14ac:dyDescent="0.25">
      <c r="H248" s="123" t="s">
        <v>206</v>
      </c>
      <c r="I248" s="125">
        <f>I137/293.07*(1/(VLOOKUP($H248,'Fuel economy adjusted factor'!$A$2:$K$52,11,FALSE)*m2k))/'TCO Inputs'!$AZ$84</f>
        <v>172.36254657180297</v>
      </c>
      <c r="J248" s="125">
        <f>J137/293.07*(1/(VLOOKUP($H248,'Fuel economy adjusted factor'!$A$2:$K$52,11,FALSE)*m2k))/'TCO Inputs'!$AZ$84</f>
        <v>172.36254657180297</v>
      </c>
      <c r="K248" s="125">
        <f>K137/293.07*(1/(VLOOKUP($H248,'Fuel economy adjusted factor'!$A$2:$K$52,11,FALSE)*m2k))/'TCO Inputs'!$AZ$84</f>
        <v>151.4337291013355</v>
      </c>
      <c r="L248" s="125">
        <f>L137/293.07*(1/(VLOOKUP($H248,'Fuel economy adjusted factor'!$A$2:$K$52,11,FALSE)*m2k))/'TCO Inputs'!$AZ$84</f>
        <v>151.4337291013355</v>
      </c>
      <c r="M248" s="125">
        <f>M137/293.07*(1/(VLOOKUP($H248,'Fuel economy adjusted factor'!$A$2:$K$52,11,FALSE)*m2k))/'TCO Inputs'!$AZ$84</f>
        <v>151.4337291013355</v>
      </c>
      <c r="N248" s="125">
        <f>N137/293.07*(1/(VLOOKUP($H248,'Fuel economy adjusted factor'!$A$2:$K$52,11,FALSE)*m2k))/'TCO Inputs'!$AZ$84</f>
        <v>151.4337291013355</v>
      </c>
      <c r="O248" s="125">
        <f>O137/293.07*(1/(VLOOKUP($H248,'Fuel economy adjusted factor'!$A$2:$K$52,11,FALSE)*m2k))/'TCO Inputs'!$AZ$84</f>
        <v>151.4337291013355</v>
      </c>
      <c r="P248" s="125">
        <f>P137/293.07*(1/(VLOOKUP($H248,'Fuel economy adjusted factor'!$A$2:$K$52,11,FALSE)*m2k))/'TCO Inputs'!$AZ$84</f>
        <v>92.324032640571247</v>
      </c>
      <c r="Q248" s="125">
        <f>Q137/293.07*(1/(VLOOKUP($H248,'Fuel economy adjusted factor'!$A$2:$K$52,11,FALSE)*m2k))/'TCO Inputs'!$AZ$84</f>
        <v>92.324032640571247</v>
      </c>
      <c r="R248" s="125">
        <f>R137/293.07*(1/(VLOOKUP($H248,'Fuel economy adjusted factor'!$A$2:$K$52,11,FALSE)*m2k))/'TCO Inputs'!$AZ$84</f>
        <v>92.324032640571247</v>
      </c>
      <c r="S248" s="125">
        <f>S137/293.07*(1/(VLOOKUP($H248,'Fuel economy adjusted factor'!$A$2:$K$52,11,FALSE)*m2k))/'TCO Inputs'!$AZ$84</f>
        <v>92.324032640571247</v>
      </c>
      <c r="T248" s="125">
        <f>T137/293.07*(1/(VLOOKUP($H248,'Fuel economy adjusted factor'!$A$2:$K$52,11,FALSE)*m2k))/'TCO Inputs'!$AZ$84</f>
        <v>92.324032640571247</v>
      </c>
      <c r="U248" s="125">
        <f>U137/293.07*(1/(VLOOKUP($H248,'Fuel economy adjusted factor'!$A$2:$K$52,11,FALSE)*m2k))/'TCO Inputs'!$AZ$84</f>
        <v>82.749590121713069</v>
      </c>
      <c r="V248" s="125">
        <f>V137/293.07*(1/(VLOOKUP($H248,'Fuel economy adjusted factor'!$A$2:$K$52,11,FALSE)*m2k))/'TCO Inputs'!$AZ$84</f>
        <v>82.749590121713069</v>
      </c>
      <c r="W248" s="125">
        <f>W137/293.07*(1/(VLOOKUP($H248,'Fuel economy adjusted factor'!$A$2:$K$52,11,FALSE)*m2k))/'TCO Inputs'!$AZ$84</f>
        <v>82.749590121713069</v>
      </c>
      <c r="X248" s="125">
        <f>X137/293.07*(1/(VLOOKUP($H248,'Fuel economy adjusted factor'!$A$2:$K$52,11,FALSE)*m2k))/'TCO Inputs'!$AZ$84</f>
        <v>82.749590121713069</v>
      </c>
      <c r="Y248" s="125">
        <f>Y137/293.07*(1/(VLOOKUP($H248,'Fuel economy adjusted factor'!$A$2:$K$52,11,FALSE)*m2k))/'TCO Inputs'!$AZ$84</f>
        <v>82.749590121713069</v>
      </c>
      <c r="Z248" s="125">
        <f>Z137/293.07*(1/(VLOOKUP($H248,'Fuel economy adjusted factor'!$A$2:$K$52,11,FALSE)*m2k))/'TCO Inputs'!$AZ$84</f>
        <v>79.841924378957728</v>
      </c>
      <c r="AA248" s="125">
        <f>AA137/293.07*(1/(VLOOKUP($H248,'Fuel economy adjusted factor'!$A$2:$K$52,11,FALSE)*m2k))/'TCO Inputs'!$AZ$84</f>
        <v>79.841924378957728</v>
      </c>
      <c r="AB248" s="125">
        <f>AB137/293.07*(1/(VLOOKUP($H248,'Fuel economy adjusted factor'!$A$2:$K$52,11,FALSE)*m2k))/'TCO Inputs'!$AZ$84</f>
        <v>79.841924378957728</v>
      </c>
      <c r="AC248" s="125">
        <f>AC137/293.07*(1/(VLOOKUP($H248,'Fuel economy adjusted factor'!$A$2:$K$52,11,FALSE)*m2k))/'TCO Inputs'!$AZ$84</f>
        <v>79.841924378957728</v>
      </c>
      <c r="AD248" s="125">
        <f>AD137/293.07*(1/(VLOOKUP($H248,'Fuel economy adjusted factor'!$A$2:$K$52,11,FALSE)*m2k))/'TCO Inputs'!$AZ$84</f>
        <v>79.841924378957728</v>
      </c>
      <c r="AE248" s="125">
        <f>AE137/293.07*(1/(VLOOKUP($H248,'Fuel economy adjusted factor'!$A$2:$K$52,11,FALSE)*m2k))/'TCO Inputs'!$AZ$84</f>
        <v>76.715087851572591</v>
      </c>
      <c r="AF248" s="125">
        <f>AF137/293.07*(1/(VLOOKUP($H248,'Fuel economy adjusted factor'!$A$2:$K$52,11,FALSE)*m2k))/'TCO Inputs'!$AZ$84</f>
        <v>76.715087851572591</v>
      </c>
      <c r="AG248" s="125">
        <f>AG137/293.07*(1/(VLOOKUP($H248,'Fuel economy adjusted factor'!$A$2:$K$52,11,FALSE)*m2k))/'TCO Inputs'!$AZ$84</f>
        <v>76.715087851572591</v>
      </c>
      <c r="AH248" s="125">
        <f>AH137/293.07*(1/(VLOOKUP($H248,'Fuel economy adjusted factor'!$A$2:$K$52,11,FALSE)*m2k))/'TCO Inputs'!$AZ$84</f>
        <v>76.715087851572591</v>
      </c>
      <c r="AI248" s="125">
        <f>AI137/293.07*(1/(VLOOKUP($H248,'Fuel economy adjusted factor'!$A$2:$K$52,11,FALSE)*m2k))/'TCO Inputs'!$AZ$84</f>
        <v>76.715087851572591</v>
      </c>
      <c r="AJ248" s="125">
        <f>AJ137/293.07*(1/(VLOOKUP($H248,'Fuel economy adjusted factor'!$A$2:$K$52,11,FALSE)*m2k))/'TCO Inputs'!$AZ$84</f>
        <v>71.895987205288236</v>
      </c>
      <c r="AK248" s="98" cm="1">
        <f t="array" ref="AK248">SUMPRODUCT(INDEX(I248:AJ248,,'TCO Inputs'!$AZ$12-2023+_xlfn.SEQUENCE('TCO Inputs'!$AZ$13))*INDEX('VKT US'!C87:AA87,,_xlfn.SEQUENCE('TCO Inputs'!$AZ$13)))*m2k*CONVERT(0.9072,"g","ton")*'TCO Inputs'!$BD$9</f>
        <v>25.905655782130321</v>
      </c>
    </row>
    <row r="249" spans="8:37" x14ac:dyDescent="0.25">
      <c r="H249" s="123" t="s">
        <v>208</v>
      </c>
      <c r="I249" s="125">
        <f>I138/293.07*(1/(VLOOKUP($H249,'Fuel economy adjusted factor'!$A$2:$K$52,11,FALSE)*m2k))/'TCO Inputs'!$AZ$84</f>
        <v>141.43560750239914</v>
      </c>
      <c r="J249" s="125">
        <f>J138/293.07*(1/(VLOOKUP($H249,'Fuel economy adjusted factor'!$A$2:$K$52,11,FALSE)*m2k))/'TCO Inputs'!$AZ$84</f>
        <v>141.43560750239914</v>
      </c>
      <c r="K249" s="125">
        <f>K138/293.07*(1/(VLOOKUP($H249,'Fuel economy adjusted factor'!$A$2:$K$52,11,FALSE)*m2k))/'TCO Inputs'!$AZ$84</f>
        <v>124.2620389278058</v>
      </c>
      <c r="L249" s="125">
        <f>L138/293.07*(1/(VLOOKUP($H249,'Fuel economy adjusted factor'!$A$2:$K$52,11,FALSE)*m2k))/'TCO Inputs'!$AZ$84</f>
        <v>124.2620389278058</v>
      </c>
      <c r="M249" s="125">
        <f>M138/293.07*(1/(VLOOKUP($H249,'Fuel economy adjusted factor'!$A$2:$K$52,11,FALSE)*m2k))/'TCO Inputs'!$AZ$84</f>
        <v>124.2620389278058</v>
      </c>
      <c r="N249" s="125">
        <f>N138/293.07*(1/(VLOOKUP($H249,'Fuel economy adjusted factor'!$A$2:$K$52,11,FALSE)*m2k))/'TCO Inputs'!$AZ$84</f>
        <v>124.2620389278058</v>
      </c>
      <c r="O249" s="125">
        <f>O138/293.07*(1/(VLOOKUP($H249,'Fuel economy adjusted factor'!$A$2:$K$52,11,FALSE)*m2k))/'TCO Inputs'!$AZ$84</f>
        <v>124.2620389278058</v>
      </c>
      <c r="P249" s="125">
        <f>P138/293.07*(1/(VLOOKUP($H249,'Fuel economy adjusted factor'!$A$2:$K$52,11,FALSE)*m2k))/'TCO Inputs'!$AZ$84</f>
        <v>75.758370384431757</v>
      </c>
      <c r="Q249" s="125">
        <f>Q138/293.07*(1/(VLOOKUP($H249,'Fuel economy adjusted factor'!$A$2:$K$52,11,FALSE)*m2k))/'TCO Inputs'!$AZ$84</f>
        <v>75.758370384431757</v>
      </c>
      <c r="R249" s="125">
        <f>R138/293.07*(1/(VLOOKUP($H249,'Fuel economy adjusted factor'!$A$2:$K$52,11,FALSE)*m2k))/'TCO Inputs'!$AZ$84</f>
        <v>75.758370384431757</v>
      </c>
      <c r="S249" s="125">
        <f>S138/293.07*(1/(VLOOKUP($H249,'Fuel economy adjusted factor'!$A$2:$K$52,11,FALSE)*m2k))/'TCO Inputs'!$AZ$84</f>
        <v>75.758370384431757</v>
      </c>
      <c r="T249" s="125">
        <f>T138/293.07*(1/(VLOOKUP($H249,'Fuel economy adjusted factor'!$A$2:$K$52,11,FALSE)*m2k))/'TCO Inputs'!$AZ$84</f>
        <v>75.758370384431757</v>
      </c>
      <c r="U249" s="125">
        <f>U138/293.07*(1/(VLOOKUP($H249,'Fuel economy adjusted factor'!$A$2:$K$52,11,FALSE)*m2k))/'TCO Inputs'!$AZ$84</f>
        <v>67.901866050484784</v>
      </c>
      <c r="V249" s="125">
        <f>V138/293.07*(1/(VLOOKUP($H249,'Fuel economy adjusted factor'!$A$2:$K$52,11,FALSE)*m2k))/'TCO Inputs'!$AZ$84</f>
        <v>67.901866050484784</v>
      </c>
      <c r="W249" s="125">
        <f>W138/293.07*(1/(VLOOKUP($H249,'Fuel economy adjusted factor'!$A$2:$K$52,11,FALSE)*m2k))/'TCO Inputs'!$AZ$84</f>
        <v>67.901866050484784</v>
      </c>
      <c r="X249" s="125">
        <f>X138/293.07*(1/(VLOOKUP($H249,'Fuel economy adjusted factor'!$A$2:$K$52,11,FALSE)*m2k))/'TCO Inputs'!$AZ$84</f>
        <v>67.901866050484784</v>
      </c>
      <c r="Y249" s="125">
        <f>Y138/293.07*(1/(VLOOKUP($H249,'Fuel economy adjusted factor'!$A$2:$K$52,11,FALSE)*m2k))/'TCO Inputs'!$AZ$84</f>
        <v>67.901866050484784</v>
      </c>
      <c r="Z249" s="125">
        <f>Z138/293.07*(1/(VLOOKUP($H249,'Fuel economy adjusted factor'!$A$2:$K$52,11,FALSE)*m2k))/'TCO Inputs'!$AZ$84</f>
        <v>65.515921546182639</v>
      </c>
      <c r="AA249" s="125">
        <f>AA138/293.07*(1/(VLOOKUP($H249,'Fuel economy adjusted factor'!$A$2:$K$52,11,FALSE)*m2k))/'TCO Inputs'!$AZ$84</f>
        <v>65.515921546182639</v>
      </c>
      <c r="AB249" s="125">
        <f>AB138/293.07*(1/(VLOOKUP($H249,'Fuel economy adjusted factor'!$A$2:$K$52,11,FALSE)*m2k))/'TCO Inputs'!$AZ$84</f>
        <v>65.515921546182639</v>
      </c>
      <c r="AC249" s="125">
        <f>AC138/293.07*(1/(VLOOKUP($H249,'Fuel economy adjusted factor'!$A$2:$K$52,11,FALSE)*m2k))/'TCO Inputs'!$AZ$84</f>
        <v>65.515921546182639</v>
      </c>
      <c r="AD249" s="125">
        <f>AD138/293.07*(1/(VLOOKUP($H249,'Fuel economy adjusted factor'!$A$2:$K$52,11,FALSE)*m2k))/'TCO Inputs'!$AZ$84</f>
        <v>65.515921546182639</v>
      </c>
      <c r="AE249" s="125">
        <f>AE138/293.07*(1/(VLOOKUP($H249,'Fuel economy adjusted factor'!$A$2:$K$52,11,FALSE)*m2k))/'TCO Inputs'!$AZ$84</f>
        <v>62.950131978742128</v>
      </c>
      <c r="AF249" s="125">
        <f>AF138/293.07*(1/(VLOOKUP($H249,'Fuel economy adjusted factor'!$A$2:$K$52,11,FALSE)*m2k))/'TCO Inputs'!$AZ$84</f>
        <v>62.950131978742128</v>
      </c>
      <c r="AG249" s="125">
        <f>AG138/293.07*(1/(VLOOKUP($H249,'Fuel economy adjusted factor'!$A$2:$K$52,11,FALSE)*m2k))/'TCO Inputs'!$AZ$84</f>
        <v>62.950131978742128</v>
      </c>
      <c r="AH249" s="125">
        <f>AH138/293.07*(1/(VLOOKUP($H249,'Fuel economy adjusted factor'!$A$2:$K$52,11,FALSE)*m2k))/'TCO Inputs'!$AZ$84</f>
        <v>62.950131978742128</v>
      </c>
      <c r="AI249" s="125">
        <f>AI138/293.07*(1/(VLOOKUP($H249,'Fuel economy adjusted factor'!$A$2:$K$52,11,FALSE)*m2k))/'TCO Inputs'!$AZ$84</f>
        <v>62.950131978742128</v>
      </c>
      <c r="AJ249" s="125">
        <f>AJ138/293.07*(1/(VLOOKUP($H249,'Fuel economy adjusted factor'!$A$2:$K$52,11,FALSE)*m2k))/'TCO Inputs'!$AZ$84</f>
        <v>58.995720529857614</v>
      </c>
      <c r="AK249" s="98" cm="1">
        <f t="array" ref="AK249">SUMPRODUCT(INDEX(I249:AJ249,,'TCO Inputs'!$AZ$12-2023+_xlfn.SEQUENCE('TCO Inputs'!$AZ$13))*INDEX('VKT US'!C88:AA88,,_xlfn.SEQUENCE('TCO Inputs'!$AZ$13)))*m2k*CONVERT(0.9072,"g","ton")*'TCO Inputs'!$BD$9</f>
        <v>18.226216100131708</v>
      </c>
    </row>
    <row r="250" spans="8:37" x14ac:dyDescent="0.25">
      <c r="H250" s="123" t="s">
        <v>211</v>
      </c>
      <c r="I250" s="125">
        <f>I139/293.07*(1/(VLOOKUP($H250,'Fuel economy adjusted factor'!$A$2:$K$52,11,FALSE)*m2k))/'TCO Inputs'!$AZ$84</f>
        <v>128.52697188660164</v>
      </c>
      <c r="J250" s="125">
        <f>J139/293.07*(1/(VLOOKUP($H250,'Fuel economy adjusted factor'!$A$2:$K$52,11,FALSE)*m2k))/'TCO Inputs'!$AZ$84</f>
        <v>128.52697188660164</v>
      </c>
      <c r="K250" s="125">
        <f>K139/293.07*(1/(VLOOKUP($H250,'Fuel economy adjusted factor'!$A$2:$K$52,11,FALSE)*m2k))/'TCO Inputs'!$AZ$84</f>
        <v>112.9208115684375</v>
      </c>
      <c r="L250" s="125">
        <f>L139/293.07*(1/(VLOOKUP($H250,'Fuel economy adjusted factor'!$A$2:$K$52,11,FALSE)*m2k))/'TCO Inputs'!$AZ$84</f>
        <v>112.9208115684375</v>
      </c>
      <c r="M250" s="125">
        <f>M139/293.07*(1/(VLOOKUP($H250,'Fuel economy adjusted factor'!$A$2:$K$52,11,FALSE)*m2k))/'TCO Inputs'!$AZ$84</f>
        <v>112.9208115684375</v>
      </c>
      <c r="N250" s="125">
        <f>N139/293.07*(1/(VLOOKUP($H250,'Fuel economy adjusted factor'!$A$2:$K$52,11,FALSE)*m2k))/'TCO Inputs'!$AZ$84</f>
        <v>112.9208115684375</v>
      </c>
      <c r="O250" s="125">
        <f>O139/293.07*(1/(VLOOKUP($H250,'Fuel economy adjusted factor'!$A$2:$K$52,11,FALSE)*m2k))/'TCO Inputs'!$AZ$84</f>
        <v>112.9208115684375</v>
      </c>
      <c r="P250" s="125">
        <f>P139/293.07*(1/(VLOOKUP($H250,'Fuel economy adjusted factor'!$A$2:$K$52,11,FALSE)*m2k))/'TCO Inputs'!$AZ$84</f>
        <v>68.844006912541104</v>
      </c>
      <c r="Q250" s="125">
        <f>Q139/293.07*(1/(VLOOKUP($H250,'Fuel economy adjusted factor'!$A$2:$K$52,11,FALSE)*m2k))/'TCO Inputs'!$AZ$84</f>
        <v>68.844006912541104</v>
      </c>
      <c r="R250" s="125">
        <f>R139/293.07*(1/(VLOOKUP($H250,'Fuel economy adjusted factor'!$A$2:$K$52,11,FALSE)*m2k))/'TCO Inputs'!$AZ$84</f>
        <v>68.844006912541104</v>
      </c>
      <c r="S250" s="125">
        <f>S139/293.07*(1/(VLOOKUP($H250,'Fuel economy adjusted factor'!$A$2:$K$52,11,FALSE)*m2k))/'TCO Inputs'!$AZ$84</f>
        <v>68.844006912541104</v>
      </c>
      <c r="T250" s="125">
        <f>T139/293.07*(1/(VLOOKUP($H250,'Fuel economy adjusted factor'!$A$2:$K$52,11,FALSE)*m2k))/'TCO Inputs'!$AZ$84</f>
        <v>68.844006912541104</v>
      </c>
      <c r="U250" s="125">
        <f>U139/293.07*(1/(VLOOKUP($H250,'Fuel economy adjusted factor'!$A$2:$K$52,11,FALSE)*m2k))/'TCO Inputs'!$AZ$84</f>
        <v>61.704555048278159</v>
      </c>
      <c r="V250" s="125">
        <f>V139/293.07*(1/(VLOOKUP($H250,'Fuel economy adjusted factor'!$A$2:$K$52,11,FALSE)*m2k))/'TCO Inputs'!$AZ$84</f>
        <v>61.704555048278159</v>
      </c>
      <c r="W250" s="125">
        <f>W139/293.07*(1/(VLOOKUP($H250,'Fuel economy adjusted factor'!$A$2:$K$52,11,FALSE)*m2k))/'TCO Inputs'!$AZ$84</f>
        <v>61.704555048278159</v>
      </c>
      <c r="X250" s="125">
        <f>X139/293.07*(1/(VLOOKUP($H250,'Fuel economy adjusted factor'!$A$2:$K$52,11,FALSE)*m2k))/'TCO Inputs'!$AZ$84</f>
        <v>61.704555048278159</v>
      </c>
      <c r="Y250" s="125">
        <f>Y139/293.07*(1/(VLOOKUP($H250,'Fuel economy adjusted factor'!$A$2:$K$52,11,FALSE)*m2k))/'TCO Inputs'!$AZ$84</f>
        <v>61.704555048278159</v>
      </c>
      <c r="Z250" s="125">
        <f>Z139/293.07*(1/(VLOOKUP($H250,'Fuel economy adjusted factor'!$A$2:$K$52,11,FALSE)*m2k))/'TCO Inputs'!$AZ$84</f>
        <v>59.536372455204962</v>
      </c>
      <c r="AA250" s="125">
        <f>AA139/293.07*(1/(VLOOKUP($H250,'Fuel economy adjusted factor'!$A$2:$K$52,11,FALSE)*m2k))/'TCO Inputs'!$AZ$84</f>
        <v>59.536372455204962</v>
      </c>
      <c r="AB250" s="125">
        <f>AB139/293.07*(1/(VLOOKUP($H250,'Fuel economy adjusted factor'!$A$2:$K$52,11,FALSE)*m2k))/'TCO Inputs'!$AZ$84</f>
        <v>59.536372455204962</v>
      </c>
      <c r="AC250" s="125">
        <f>AC139/293.07*(1/(VLOOKUP($H250,'Fuel economy adjusted factor'!$A$2:$K$52,11,FALSE)*m2k))/'TCO Inputs'!$AZ$84</f>
        <v>59.536372455204962</v>
      </c>
      <c r="AD250" s="125">
        <f>AD139/293.07*(1/(VLOOKUP($H250,'Fuel economy adjusted factor'!$A$2:$K$52,11,FALSE)*m2k))/'TCO Inputs'!$AZ$84</f>
        <v>59.536372455204962</v>
      </c>
      <c r="AE250" s="125">
        <f>AE139/293.07*(1/(VLOOKUP($H250,'Fuel economy adjusted factor'!$A$2:$K$52,11,FALSE)*m2k))/'TCO Inputs'!$AZ$84</f>
        <v>57.204759013407653</v>
      </c>
      <c r="AF250" s="125">
        <f>AF139/293.07*(1/(VLOOKUP($H250,'Fuel economy adjusted factor'!$A$2:$K$52,11,FALSE)*m2k))/'TCO Inputs'!$AZ$84</f>
        <v>57.204759013407653</v>
      </c>
      <c r="AG250" s="125">
        <f>AG139/293.07*(1/(VLOOKUP($H250,'Fuel economy adjusted factor'!$A$2:$K$52,11,FALSE)*m2k))/'TCO Inputs'!$AZ$84</f>
        <v>57.204759013407653</v>
      </c>
      <c r="AH250" s="125">
        <f>AH139/293.07*(1/(VLOOKUP($H250,'Fuel economy adjusted factor'!$A$2:$K$52,11,FALSE)*m2k))/'TCO Inputs'!$AZ$84</f>
        <v>57.204759013407653</v>
      </c>
      <c r="AI250" s="125">
        <f>AI139/293.07*(1/(VLOOKUP($H250,'Fuel economy adjusted factor'!$A$2:$K$52,11,FALSE)*m2k))/'TCO Inputs'!$AZ$84</f>
        <v>57.204759013407653</v>
      </c>
      <c r="AJ250" s="125">
        <f>AJ139/293.07*(1/(VLOOKUP($H250,'Fuel economy adjusted factor'!$A$2:$K$52,11,FALSE)*m2k))/'TCO Inputs'!$AZ$84</f>
        <v>53.611261321461768</v>
      </c>
      <c r="AK250" s="98" cm="1">
        <f t="array" ref="AK250">SUMPRODUCT(INDEX(I250:AJ250,,'TCO Inputs'!$AZ$12-2023+_xlfn.SEQUENCE('TCO Inputs'!$AZ$13))*INDEX('VKT US'!C89:AA89,,_xlfn.SEQUENCE('TCO Inputs'!$AZ$13)))*m2k*CONVERT(0.9072,"g","ton")*'TCO Inputs'!$BD$9</f>
        <v>15.484279028332596</v>
      </c>
    </row>
    <row r="251" spans="8:37" x14ac:dyDescent="0.25">
      <c r="H251" s="123" t="s">
        <v>215</v>
      </c>
      <c r="I251" s="125">
        <f>I140/293.07*(1/(VLOOKUP($H251,'Fuel economy adjusted factor'!$A$2:$K$52,11,FALSE)*m2k))/'TCO Inputs'!$AZ$84</f>
        <v>88.531535812563945</v>
      </c>
      <c r="J251" s="125">
        <f>J140/293.07*(1/(VLOOKUP($H251,'Fuel economy adjusted factor'!$A$2:$K$52,11,FALSE)*m2k))/'TCO Inputs'!$AZ$84</f>
        <v>88.531535812563945</v>
      </c>
      <c r="K251" s="125">
        <f>K140/293.07*(1/(VLOOKUP($H251,'Fuel economy adjusted factor'!$A$2:$K$52,11,FALSE)*m2k))/'TCO Inputs'!$AZ$84</f>
        <v>77.781750605431142</v>
      </c>
      <c r="L251" s="125">
        <f>L140/293.07*(1/(VLOOKUP($H251,'Fuel economy adjusted factor'!$A$2:$K$52,11,FALSE)*m2k))/'TCO Inputs'!$AZ$84</f>
        <v>77.781750605431142</v>
      </c>
      <c r="M251" s="125">
        <f>M140/293.07*(1/(VLOOKUP($H251,'Fuel economy adjusted factor'!$A$2:$K$52,11,FALSE)*m2k))/'TCO Inputs'!$AZ$84</f>
        <v>77.781750605431142</v>
      </c>
      <c r="N251" s="125">
        <f>N140/293.07*(1/(VLOOKUP($H251,'Fuel economy adjusted factor'!$A$2:$K$52,11,FALSE)*m2k))/'TCO Inputs'!$AZ$84</f>
        <v>77.781750605431142</v>
      </c>
      <c r="O251" s="125">
        <f>O140/293.07*(1/(VLOOKUP($H251,'Fuel economy adjusted factor'!$A$2:$K$52,11,FALSE)*m2k))/'TCO Inputs'!$AZ$84</f>
        <v>77.781750605431142</v>
      </c>
      <c r="P251" s="125">
        <f>P140/293.07*(1/(VLOOKUP($H251,'Fuel economy adjusted factor'!$A$2:$K$52,11,FALSE)*m2k))/'TCO Inputs'!$AZ$84</f>
        <v>47.420907642914713</v>
      </c>
      <c r="Q251" s="125">
        <f>Q140/293.07*(1/(VLOOKUP($H251,'Fuel economy adjusted factor'!$A$2:$K$52,11,FALSE)*m2k))/'TCO Inputs'!$AZ$84</f>
        <v>47.420907642914713</v>
      </c>
      <c r="R251" s="125">
        <f>R140/293.07*(1/(VLOOKUP($H251,'Fuel economy adjusted factor'!$A$2:$K$52,11,FALSE)*m2k))/'TCO Inputs'!$AZ$84</f>
        <v>47.420907642914713</v>
      </c>
      <c r="S251" s="125">
        <f>S140/293.07*(1/(VLOOKUP($H251,'Fuel economy adjusted factor'!$A$2:$K$52,11,FALSE)*m2k))/'TCO Inputs'!$AZ$84</f>
        <v>47.420907642914713</v>
      </c>
      <c r="T251" s="125">
        <f>T140/293.07*(1/(VLOOKUP($H251,'Fuel economy adjusted factor'!$A$2:$K$52,11,FALSE)*m2k))/'TCO Inputs'!$AZ$84</f>
        <v>47.420907642914713</v>
      </c>
      <c r="U251" s="125">
        <f>U140/293.07*(1/(VLOOKUP($H251,'Fuel economy adjusted factor'!$A$2:$K$52,11,FALSE)*m2k))/'TCO Inputs'!$AZ$84</f>
        <v>42.503133349121036</v>
      </c>
      <c r="V251" s="125">
        <f>V140/293.07*(1/(VLOOKUP($H251,'Fuel economy adjusted factor'!$A$2:$K$52,11,FALSE)*m2k))/'TCO Inputs'!$AZ$84</f>
        <v>42.503133349121036</v>
      </c>
      <c r="W251" s="125">
        <f>W140/293.07*(1/(VLOOKUP($H251,'Fuel economy adjusted factor'!$A$2:$K$52,11,FALSE)*m2k))/'TCO Inputs'!$AZ$84</f>
        <v>42.503133349121036</v>
      </c>
      <c r="X251" s="125">
        <f>X140/293.07*(1/(VLOOKUP($H251,'Fuel economy adjusted factor'!$A$2:$K$52,11,FALSE)*m2k))/'TCO Inputs'!$AZ$84</f>
        <v>42.503133349121036</v>
      </c>
      <c r="Y251" s="125">
        <f>Y140/293.07*(1/(VLOOKUP($H251,'Fuel economy adjusted factor'!$A$2:$K$52,11,FALSE)*m2k))/'TCO Inputs'!$AZ$84</f>
        <v>42.503133349121036</v>
      </c>
      <c r="Z251" s="125">
        <f>Z140/293.07*(1/(VLOOKUP($H251,'Fuel economy adjusted factor'!$A$2:$K$52,11,FALSE)*m2k))/'TCO Inputs'!$AZ$84</f>
        <v>41.009652781818829</v>
      </c>
      <c r="AA251" s="125">
        <f>AA140/293.07*(1/(VLOOKUP($H251,'Fuel economy adjusted factor'!$A$2:$K$52,11,FALSE)*m2k))/'TCO Inputs'!$AZ$84</f>
        <v>41.009652781818829</v>
      </c>
      <c r="AB251" s="125">
        <f>AB140/293.07*(1/(VLOOKUP($H251,'Fuel economy adjusted factor'!$A$2:$K$52,11,FALSE)*m2k))/'TCO Inputs'!$AZ$84</f>
        <v>41.009652781818829</v>
      </c>
      <c r="AC251" s="125">
        <f>AC140/293.07*(1/(VLOOKUP($H251,'Fuel economy adjusted factor'!$A$2:$K$52,11,FALSE)*m2k))/'TCO Inputs'!$AZ$84</f>
        <v>41.009652781818829</v>
      </c>
      <c r="AD251" s="125">
        <f>AD140/293.07*(1/(VLOOKUP($H251,'Fuel economy adjusted factor'!$A$2:$K$52,11,FALSE)*m2k))/'TCO Inputs'!$AZ$84</f>
        <v>41.009652781818829</v>
      </c>
      <c r="AE251" s="125">
        <f>AE140/293.07*(1/(VLOOKUP($H251,'Fuel economy adjusted factor'!$A$2:$K$52,11,FALSE)*m2k))/'TCO Inputs'!$AZ$84</f>
        <v>39.403598302408412</v>
      </c>
      <c r="AF251" s="125">
        <f>AF140/293.07*(1/(VLOOKUP($H251,'Fuel economy adjusted factor'!$A$2:$K$52,11,FALSE)*m2k))/'TCO Inputs'!$AZ$84</f>
        <v>39.403598302408412</v>
      </c>
      <c r="AG251" s="125">
        <f>AG140/293.07*(1/(VLOOKUP($H251,'Fuel economy adjusted factor'!$A$2:$K$52,11,FALSE)*m2k))/'TCO Inputs'!$AZ$84</f>
        <v>39.403598302408412</v>
      </c>
      <c r="AH251" s="125">
        <f>AH140/293.07*(1/(VLOOKUP($H251,'Fuel economy adjusted factor'!$A$2:$K$52,11,FALSE)*m2k))/'TCO Inputs'!$AZ$84</f>
        <v>39.403598302408412</v>
      </c>
      <c r="AI251" s="125">
        <f>AI140/293.07*(1/(VLOOKUP($H251,'Fuel economy adjusted factor'!$A$2:$K$52,11,FALSE)*m2k))/'TCO Inputs'!$AZ$84</f>
        <v>39.403598302408412</v>
      </c>
      <c r="AJ251" s="125">
        <f>AJ140/293.07*(1/(VLOOKUP($H251,'Fuel economy adjusted factor'!$A$2:$K$52,11,FALSE)*m2k))/'TCO Inputs'!$AZ$84</f>
        <v>36.928336768295829</v>
      </c>
      <c r="AK251" s="98" cm="1">
        <f t="array" ref="AK251">SUMPRODUCT(INDEX(I251:AJ251,,'TCO Inputs'!$AZ$12-2023+_xlfn.SEQUENCE('TCO Inputs'!$AZ$13))*INDEX('VKT US'!C90:AA90,,_xlfn.SEQUENCE('TCO Inputs'!$AZ$13)))*m2k*CONVERT(0.9072,"g","ton")*'TCO Inputs'!$BD$9</f>
        <v>10.069533335766307</v>
      </c>
    </row>
    <row r="252" spans="8:37" x14ac:dyDescent="0.25">
      <c r="H252" s="123" t="s">
        <v>212</v>
      </c>
      <c r="I252" s="125">
        <f>I141/293.07*(1/(VLOOKUP($H252,'Fuel economy adjusted factor'!$A$2:$K$52,11,FALSE)*m2k))/'TCO Inputs'!$AZ$84</f>
        <v>39.262437973638903</v>
      </c>
      <c r="J252" s="125">
        <f>J141/293.07*(1/(VLOOKUP($H252,'Fuel economy adjusted factor'!$A$2:$K$52,11,FALSE)*m2k))/'TCO Inputs'!$AZ$84</f>
        <v>39.262437973638903</v>
      </c>
      <c r="K252" s="125">
        <f>K141/293.07*(1/(VLOOKUP($H252,'Fuel economy adjusted factor'!$A$2:$K$52,11,FALSE)*m2k))/'TCO Inputs'!$AZ$84</f>
        <v>34.495065860965184</v>
      </c>
      <c r="L252" s="125">
        <f>L141/293.07*(1/(VLOOKUP($H252,'Fuel economy adjusted factor'!$A$2:$K$52,11,FALSE)*m2k))/'TCO Inputs'!$AZ$84</f>
        <v>34.495065860965184</v>
      </c>
      <c r="M252" s="125">
        <f>M141/293.07*(1/(VLOOKUP($H252,'Fuel economy adjusted factor'!$A$2:$K$52,11,FALSE)*m2k))/'TCO Inputs'!$AZ$84</f>
        <v>34.495065860965184</v>
      </c>
      <c r="N252" s="125">
        <f>N141/293.07*(1/(VLOOKUP($H252,'Fuel economy adjusted factor'!$A$2:$K$52,11,FALSE)*m2k))/'TCO Inputs'!$AZ$84</f>
        <v>34.495065860965184</v>
      </c>
      <c r="O252" s="125">
        <f>O141/293.07*(1/(VLOOKUP($H252,'Fuel economy adjusted factor'!$A$2:$K$52,11,FALSE)*m2k))/'TCO Inputs'!$AZ$84</f>
        <v>34.495065860965184</v>
      </c>
      <c r="P252" s="125">
        <f>P141/293.07*(1/(VLOOKUP($H252,'Fuel economy adjusted factor'!$A$2:$K$52,11,FALSE)*m2k))/'TCO Inputs'!$AZ$84</f>
        <v>21.03047719544217</v>
      </c>
      <c r="Q252" s="125">
        <f>Q141/293.07*(1/(VLOOKUP($H252,'Fuel economy adjusted factor'!$A$2:$K$52,11,FALSE)*m2k))/'TCO Inputs'!$AZ$84</f>
        <v>21.03047719544217</v>
      </c>
      <c r="R252" s="125">
        <f>R141/293.07*(1/(VLOOKUP($H252,'Fuel economy adjusted factor'!$A$2:$K$52,11,FALSE)*m2k))/'TCO Inputs'!$AZ$84</f>
        <v>21.03047719544217</v>
      </c>
      <c r="S252" s="125">
        <f>S141/293.07*(1/(VLOOKUP($H252,'Fuel economy adjusted factor'!$A$2:$K$52,11,FALSE)*m2k))/'TCO Inputs'!$AZ$84</f>
        <v>21.03047719544217</v>
      </c>
      <c r="T252" s="125">
        <f>T141/293.07*(1/(VLOOKUP($H252,'Fuel economy adjusted factor'!$A$2:$K$52,11,FALSE)*m2k))/'TCO Inputs'!$AZ$84</f>
        <v>21.03047719544217</v>
      </c>
      <c r="U252" s="125">
        <f>U141/293.07*(1/(VLOOKUP($H252,'Fuel economy adjusted factor'!$A$2:$K$52,11,FALSE)*m2k))/'TCO Inputs'!$AZ$84</f>
        <v>18.849516406653638</v>
      </c>
      <c r="V252" s="125">
        <f>V141/293.07*(1/(VLOOKUP($H252,'Fuel economy adjusted factor'!$A$2:$K$52,11,FALSE)*m2k))/'TCO Inputs'!$AZ$84</f>
        <v>18.849516406653638</v>
      </c>
      <c r="W252" s="125">
        <f>W141/293.07*(1/(VLOOKUP($H252,'Fuel economy adjusted factor'!$A$2:$K$52,11,FALSE)*m2k))/'TCO Inputs'!$AZ$84</f>
        <v>18.849516406653638</v>
      </c>
      <c r="X252" s="125">
        <f>X141/293.07*(1/(VLOOKUP($H252,'Fuel economy adjusted factor'!$A$2:$K$52,11,FALSE)*m2k))/'TCO Inputs'!$AZ$84</f>
        <v>18.849516406653638</v>
      </c>
      <c r="Y252" s="125">
        <f>Y141/293.07*(1/(VLOOKUP($H252,'Fuel economy adjusted factor'!$A$2:$K$52,11,FALSE)*m2k))/'TCO Inputs'!$AZ$84</f>
        <v>18.849516406653638</v>
      </c>
      <c r="Z252" s="125">
        <f>Z141/293.07*(1/(VLOOKUP($H252,'Fuel economy adjusted factor'!$A$2:$K$52,11,FALSE)*m2k))/'TCO Inputs'!$AZ$84</f>
        <v>18.18717967432038</v>
      </c>
      <c r="AA252" s="125">
        <f>AA141/293.07*(1/(VLOOKUP($H252,'Fuel economy adjusted factor'!$A$2:$K$52,11,FALSE)*m2k))/'TCO Inputs'!$AZ$84</f>
        <v>18.18717967432038</v>
      </c>
      <c r="AB252" s="125">
        <f>AB141/293.07*(1/(VLOOKUP($H252,'Fuel economy adjusted factor'!$A$2:$K$52,11,FALSE)*m2k))/'TCO Inputs'!$AZ$84</f>
        <v>18.18717967432038</v>
      </c>
      <c r="AC252" s="125">
        <f>AC141/293.07*(1/(VLOOKUP($H252,'Fuel economy adjusted factor'!$A$2:$K$52,11,FALSE)*m2k))/'TCO Inputs'!$AZ$84</f>
        <v>18.18717967432038</v>
      </c>
      <c r="AD252" s="125">
        <f>AD141/293.07*(1/(VLOOKUP($H252,'Fuel economy adjusted factor'!$A$2:$K$52,11,FALSE)*m2k))/'TCO Inputs'!$AZ$84</f>
        <v>18.18717967432038</v>
      </c>
      <c r="AE252" s="125">
        <f>AE141/293.07*(1/(VLOOKUP($H252,'Fuel economy adjusted factor'!$A$2:$K$52,11,FALSE)*m2k))/'TCO Inputs'!$AZ$84</f>
        <v>17.474918062665527</v>
      </c>
      <c r="AF252" s="125">
        <f>AF141/293.07*(1/(VLOOKUP($H252,'Fuel economy adjusted factor'!$A$2:$K$52,11,FALSE)*m2k))/'TCO Inputs'!$AZ$84</f>
        <v>17.474918062665527</v>
      </c>
      <c r="AG252" s="125">
        <f>AG141/293.07*(1/(VLOOKUP($H252,'Fuel economy adjusted factor'!$A$2:$K$52,11,FALSE)*m2k))/'TCO Inputs'!$AZ$84</f>
        <v>17.474918062665527</v>
      </c>
      <c r="AH252" s="125">
        <f>AH141/293.07*(1/(VLOOKUP($H252,'Fuel economy adjusted factor'!$A$2:$K$52,11,FALSE)*m2k))/'TCO Inputs'!$AZ$84</f>
        <v>17.474918062665527</v>
      </c>
      <c r="AI252" s="125">
        <f>AI141/293.07*(1/(VLOOKUP($H252,'Fuel economy adjusted factor'!$A$2:$K$52,11,FALSE)*m2k))/'TCO Inputs'!$AZ$84</f>
        <v>17.474918062665527</v>
      </c>
      <c r="AJ252" s="125">
        <f>AJ141/293.07*(1/(VLOOKUP($H252,'Fuel economy adjusted factor'!$A$2:$K$52,11,FALSE)*m2k))/'TCO Inputs'!$AZ$84</f>
        <v>16.377175867642659</v>
      </c>
      <c r="AK252" s="98" cm="1">
        <f t="array" ref="AK252">SUMPRODUCT(INDEX(I252:AJ252,,'TCO Inputs'!$AZ$12-2023+_xlfn.SEQUENCE('TCO Inputs'!$AZ$13))*INDEX('VKT US'!C91:AA91,,_xlfn.SEQUENCE('TCO Inputs'!$AZ$13)))*m2k*CONVERT(0.9072,"g","ton")*'TCO Inputs'!$BD$9</f>
        <v>3.6863611390265527</v>
      </c>
    </row>
    <row r="253" spans="8:37" x14ac:dyDescent="0.25">
      <c r="H253" s="123" t="s">
        <v>213</v>
      </c>
      <c r="I253" s="125">
        <f>I142/293.07*(1/(VLOOKUP($H253,'Fuel economy adjusted factor'!$A$2:$K$52,11,FALSE)*m2k))/'TCO Inputs'!$AZ$84</f>
        <v>65.337896342043607</v>
      </c>
      <c r="J253" s="125">
        <f>J142/293.07*(1/(VLOOKUP($H253,'Fuel economy adjusted factor'!$A$2:$K$52,11,FALSE)*m2k))/'TCO Inputs'!$AZ$84</f>
        <v>65.337896342043607</v>
      </c>
      <c r="K253" s="125">
        <f>K142/293.07*(1/(VLOOKUP($H253,'Fuel economy adjusted factor'!$A$2:$K$52,11,FALSE)*m2k))/'TCO Inputs'!$AZ$84</f>
        <v>57.404357799914322</v>
      </c>
      <c r="L253" s="125">
        <f>L142/293.07*(1/(VLOOKUP($H253,'Fuel economy adjusted factor'!$A$2:$K$52,11,FALSE)*m2k))/'TCO Inputs'!$AZ$84</f>
        <v>57.404357799914322</v>
      </c>
      <c r="M253" s="125">
        <f>M142/293.07*(1/(VLOOKUP($H253,'Fuel economy adjusted factor'!$A$2:$K$52,11,FALSE)*m2k))/'TCO Inputs'!$AZ$84</f>
        <v>57.404357799914322</v>
      </c>
      <c r="N253" s="125">
        <f>N142/293.07*(1/(VLOOKUP($H253,'Fuel economy adjusted factor'!$A$2:$K$52,11,FALSE)*m2k))/'TCO Inputs'!$AZ$84</f>
        <v>57.404357799914322</v>
      </c>
      <c r="O253" s="125">
        <f>O142/293.07*(1/(VLOOKUP($H253,'Fuel economy adjusted factor'!$A$2:$K$52,11,FALSE)*m2k))/'TCO Inputs'!$AZ$84</f>
        <v>57.404357799914322</v>
      </c>
      <c r="P253" s="125">
        <f>P142/293.07*(1/(VLOOKUP($H253,'Fuel economy adjusted factor'!$A$2:$K$52,11,FALSE)*m2k))/'TCO Inputs'!$AZ$84</f>
        <v>34.997499134976927</v>
      </c>
      <c r="Q253" s="125">
        <f>Q142/293.07*(1/(VLOOKUP($H253,'Fuel economy adjusted factor'!$A$2:$K$52,11,FALSE)*m2k))/'TCO Inputs'!$AZ$84</f>
        <v>34.997499134976927</v>
      </c>
      <c r="R253" s="125">
        <f>R142/293.07*(1/(VLOOKUP($H253,'Fuel economy adjusted factor'!$A$2:$K$52,11,FALSE)*m2k))/'TCO Inputs'!$AZ$84</f>
        <v>34.997499134976927</v>
      </c>
      <c r="S253" s="125">
        <f>S142/293.07*(1/(VLOOKUP($H253,'Fuel economy adjusted factor'!$A$2:$K$52,11,FALSE)*m2k))/'TCO Inputs'!$AZ$84</f>
        <v>34.997499134976927</v>
      </c>
      <c r="T253" s="125">
        <f>T142/293.07*(1/(VLOOKUP($H253,'Fuel economy adjusted factor'!$A$2:$K$52,11,FALSE)*m2k))/'TCO Inputs'!$AZ$84</f>
        <v>34.997499134976927</v>
      </c>
      <c r="U253" s="125">
        <f>U142/293.07*(1/(VLOOKUP($H253,'Fuel economy adjusted factor'!$A$2:$K$52,11,FALSE)*m2k))/'TCO Inputs'!$AZ$84</f>
        <v>31.368091556170889</v>
      </c>
      <c r="V253" s="125">
        <f>V142/293.07*(1/(VLOOKUP($H253,'Fuel economy adjusted factor'!$A$2:$K$52,11,FALSE)*m2k))/'TCO Inputs'!$AZ$84</f>
        <v>31.368091556170889</v>
      </c>
      <c r="W253" s="125">
        <f>W142/293.07*(1/(VLOOKUP($H253,'Fuel economy adjusted factor'!$A$2:$K$52,11,FALSE)*m2k))/'TCO Inputs'!$AZ$84</f>
        <v>31.368091556170889</v>
      </c>
      <c r="X253" s="125">
        <f>X142/293.07*(1/(VLOOKUP($H253,'Fuel economy adjusted factor'!$A$2:$K$52,11,FALSE)*m2k))/'TCO Inputs'!$AZ$84</f>
        <v>31.368091556170889</v>
      </c>
      <c r="Y253" s="125">
        <f>Y142/293.07*(1/(VLOOKUP($H253,'Fuel economy adjusted factor'!$A$2:$K$52,11,FALSE)*m2k))/'TCO Inputs'!$AZ$84</f>
        <v>31.368091556170889</v>
      </c>
      <c r="Z253" s="125">
        <f>Z142/293.07*(1/(VLOOKUP($H253,'Fuel economy adjusted factor'!$A$2:$K$52,11,FALSE)*m2k))/'TCO Inputs'!$AZ$84</f>
        <v>30.265875519821499</v>
      </c>
      <c r="AA253" s="125">
        <f>AA142/293.07*(1/(VLOOKUP($H253,'Fuel economy adjusted factor'!$A$2:$K$52,11,FALSE)*m2k))/'TCO Inputs'!$AZ$84</f>
        <v>30.265875519821499</v>
      </c>
      <c r="AB253" s="125">
        <f>AB142/293.07*(1/(VLOOKUP($H253,'Fuel economy adjusted factor'!$A$2:$K$52,11,FALSE)*m2k))/'TCO Inputs'!$AZ$84</f>
        <v>30.265875519821499</v>
      </c>
      <c r="AC253" s="125">
        <f>AC142/293.07*(1/(VLOOKUP($H253,'Fuel economy adjusted factor'!$A$2:$K$52,11,FALSE)*m2k))/'TCO Inputs'!$AZ$84</f>
        <v>30.265875519821499</v>
      </c>
      <c r="AD253" s="125">
        <f>AD142/293.07*(1/(VLOOKUP($H253,'Fuel economy adjusted factor'!$A$2:$K$52,11,FALSE)*m2k))/'TCO Inputs'!$AZ$84</f>
        <v>30.265875519821499</v>
      </c>
      <c r="AE253" s="125">
        <f>AE142/293.07*(1/(VLOOKUP($H253,'Fuel economy adjusted factor'!$A$2:$K$52,11,FALSE)*m2k))/'TCO Inputs'!$AZ$84</f>
        <v>29.080577872692</v>
      </c>
      <c r="AF253" s="125">
        <f>AF142/293.07*(1/(VLOOKUP($H253,'Fuel economy adjusted factor'!$A$2:$K$52,11,FALSE)*m2k))/'TCO Inputs'!$AZ$84</f>
        <v>29.080577872692</v>
      </c>
      <c r="AG253" s="125">
        <f>AG142/293.07*(1/(VLOOKUP($H253,'Fuel economy adjusted factor'!$A$2:$K$52,11,FALSE)*m2k))/'TCO Inputs'!$AZ$84</f>
        <v>29.080577872692</v>
      </c>
      <c r="AH253" s="125">
        <f>AH142/293.07*(1/(VLOOKUP($H253,'Fuel economy adjusted factor'!$A$2:$K$52,11,FALSE)*m2k))/'TCO Inputs'!$AZ$84</f>
        <v>29.080577872692</v>
      </c>
      <c r="AI253" s="125">
        <f>AI142/293.07*(1/(VLOOKUP($H253,'Fuel economy adjusted factor'!$A$2:$K$52,11,FALSE)*m2k))/'TCO Inputs'!$AZ$84</f>
        <v>29.080577872692</v>
      </c>
      <c r="AJ253" s="125">
        <f>AJ142/293.07*(1/(VLOOKUP($H253,'Fuel economy adjusted factor'!$A$2:$K$52,11,FALSE)*m2k))/'TCO Inputs'!$AZ$84</f>
        <v>27.253789485357327</v>
      </c>
      <c r="AK253" s="98" cm="1">
        <f t="array" ref="AK253">SUMPRODUCT(INDEX(I253:AJ253,,'TCO Inputs'!$AZ$12-2023+_xlfn.SEQUENCE('TCO Inputs'!$AZ$13))*INDEX('VKT US'!C92:AA92,,_xlfn.SEQUENCE('TCO Inputs'!$AZ$13)))*m2k*CONVERT(0.9072,"g","ton")*'TCO Inputs'!$BD$9</f>
        <v>6.5020324516874073</v>
      </c>
    </row>
    <row r="254" spans="8:37" x14ac:dyDescent="0.25">
      <c r="H254" s="123" t="s">
        <v>214</v>
      </c>
      <c r="I254" s="125">
        <f>I143/293.07*(1/(VLOOKUP($H254,'Fuel economy adjusted factor'!$A$2:$K$52,11,FALSE)*m2k))/'TCO Inputs'!$AZ$84</f>
        <v>94.02935745423288</v>
      </c>
      <c r="J254" s="125">
        <f>J143/293.07*(1/(VLOOKUP($H254,'Fuel economy adjusted factor'!$A$2:$K$52,11,FALSE)*m2k))/'TCO Inputs'!$AZ$84</f>
        <v>94.02935745423288</v>
      </c>
      <c r="K254" s="125">
        <f>K143/293.07*(1/(VLOOKUP($H254,'Fuel economy adjusted factor'!$A$2:$K$52,11,FALSE)*m2k))/'TCO Inputs'!$AZ$84</f>
        <v>82.612008974729065</v>
      </c>
      <c r="L254" s="125">
        <f>L143/293.07*(1/(VLOOKUP($H254,'Fuel economy adjusted factor'!$A$2:$K$52,11,FALSE)*m2k))/'TCO Inputs'!$AZ$84</f>
        <v>82.612008974729065</v>
      </c>
      <c r="M254" s="125">
        <f>M143/293.07*(1/(VLOOKUP($H254,'Fuel economy adjusted factor'!$A$2:$K$52,11,FALSE)*m2k))/'TCO Inputs'!$AZ$84</f>
        <v>82.612008974729065</v>
      </c>
      <c r="N254" s="125">
        <f>N143/293.07*(1/(VLOOKUP($H254,'Fuel economy adjusted factor'!$A$2:$K$52,11,FALSE)*m2k))/'TCO Inputs'!$AZ$84</f>
        <v>82.612008974729065</v>
      </c>
      <c r="O254" s="125">
        <f>O143/293.07*(1/(VLOOKUP($H254,'Fuel economy adjusted factor'!$A$2:$K$52,11,FALSE)*m2k))/'TCO Inputs'!$AZ$84</f>
        <v>82.612008974729065</v>
      </c>
      <c r="P254" s="125">
        <f>P143/293.07*(1/(VLOOKUP($H254,'Fuel economy adjusted factor'!$A$2:$K$52,11,FALSE)*m2k))/'TCO Inputs'!$AZ$84</f>
        <v>50.365753114236611</v>
      </c>
      <c r="Q254" s="125">
        <f>Q143/293.07*(1/(VLOOKUP($H254,'Fuel economy adjusted factor'!$A$2:$K$52,11,FALSE)*m2k))/'TCO Inputs'!$AZ$84</f>
        <v>50.365753114236611</v>
      </c>
      <c r="R254" s="125">
        <f>R143/293.07*(1/(VLOOKUP($H254,'Fuel economy adjusted factor'!$A$2:$K$52,11,FALSE)*m2k))/'TCO Inputs'!$AZ$84</f>
        <v>50.365753114236611</v>
      </c>
      <c r="S254" s="125">
        <f>S143/293.07*(1/(VLOOKUP($H254,'Fuel economy adjusted factor'!$A$2:$K$52,11,FALSE)*m2k))/'TCO Inputs'!$AZ$84</f>
        <v>50.365753114236611</v>
      </c>
      <c r="T254" s="125">
        <f>T143/293.07*(1/(VLOOKUP($H254,'Fuel economy adjusted factor'!$A$2:$K$52,11,FALSE)*m2k))/'TCO Inputs'!$AZ$84</f>
        <v>50.365753114236611</v>
      </c>
      <c r="U254" s="125">
        <f>U143/293.07*(1/(VLOOKUP($H254,'Fuel economy adjusted factor'!$A$2:$K$52,11,FALSE)*m2k))/'TCO Inputs'!$AZ$84</f>
        <v>45.142584299799985</v>
      </c>
      <c r="V254" s="125">
        <f>V143/293.07*(1/(VLOOKUP($H254,'Fuel economy adjusted factor'!$A$2:$K$52,11,FALSE)*m2k))/'TCO Inputs'!$AZ$84</f>
        <v>45.142584299799985</v>
      </c>
      <c r="W254" s="125">
        <f>W143/293.07*(1/(VLOOKUP($H254,'Fuel economy adjusted factor'!$A$2:$K$52,11,FALSE)*m2k))/'TCO Inputs'!$AZ$84</f>
        <v>45.142584299799985</v>
      </c>
      <c r="X254" s="125">
        <f>X143/293.07*(1/(VLOOKUP($H254,'Fuel economy adjusted factor'!$A$2:$K$52,11,FALSE)*m2k))/'TCO Inputs'!$AZ$84</f>
        <v>45.142584299799985</v>
      </c>
      <c r="Y254" s="125">
        <f>Y143/293.07*(1/(VLOOKUP($H254,'Fuel economy adjusted factor'!$A$2:$K$52,11,FALSE)*m2k))/'TCO Inputs'!$AZ$84</f>
        <v>45.142584299799985</v>
      </c>
      <c r="Z254" s="125">
        <f>Z143/293.07*(1/(VLOOKUP($H254,'Fuel economy adjusted factor'!$A$2:$K$52,11,FALSE)*m2k))/'TCO Inputs'!$AZ$84</f>
        <v>43.556358365449015</v>
      </c>
      <c r="AA254" s="125">
        <f>AA143/293.07*(1/(VLOOKUP($H254,'Fuel economy adjusted factor'!$A$2:$K$52,11,FALSE)*m2k))/'TCO Inputs'!$AZ$84</f>
        <v>43.556358365449015</v>
      </c>
      <c r="AB254" s="125">
        <f>AB143/293.07*(1/(VLOOKUP($H254,'Fuel economy adjusted factor'!$A$2:$K$52,11,FALSE)*m2k))/'TCO Inputs'!$AZ$84</f>
        <v>43.556358365449015</v>
      </c>
      <c r="AC254" s="125">
        <f>AC143/293.07*(1/(VLOOKUP($H254,'Fuel economy adjusted factor'!$A$2:$K$52,11,FALSE)*m2k))/'TCO Inputs'!$AZ$84</f>
        <v>43.556358365449015</v>
      </c>
      <c r="AD254" s="125">
        <f>AD143/293.07*(1/(VLOOKUP($H254,'Fuel economy adjusted factor'!$A$2:$K$52,11,FALSE)*m2k))/'TCO Inputs'!$AZ$84</f>
        <v>43.556358365449015</v>
      </c>
      <c r="AE254" s="125">
        <f>AE143/293.07*(1/(VLOOKUP($H254,'Fuel economy adjusted factor'!$A$2:$K$52,11,FALSE)*m2k))/'TCO Inputs'!$AZ$84</f>
        <v>41.85056766217712</v>
      </c>
      <c r="AF254" s="125">
        <f>AF143/293.07*(1/(VLOOKUP($H254,'Fuel economy adjusted factor'!$A$2:$K$52,11,FALSE)*m2k))/'TCO Inputs'!$AZ$84</f>
        <v>41.85056766217712</v>
      </c>
      <c r="AG254" s="125">
        <f>AG143/293.07*(1/(VLOOKUP($H254,'Fuel economy adjusted factor'!$A$2:$K$52,11,FALSE)*m2k))/'TCO Inputs'!$AZ$84</f>
        <v>41.85056766217712</v>
      </c>
      <c r="AH254" s="125">
        <f>AH143/293.07*(1/(VLOOKUP($H254,'Fuel economy adjusted factor'!$A$2:$K$52,11,FALSE)*m2k))/'TCO Inputs'!$AZ$84</f>
        <v>41.85056766217712</v>
      </c>
      <c r="AI254" s="125">
        <f>AI143/293.07*(1/(VLOOKUP($H254,'Fuel economy adjusted factor'!$A$2:$K$52,11,FALSE)*m2k))/'TCO Inputs'!$AZ$84</f>
        <v>41.85056766217712</v>
      </c>
      <c r="AJ254" s="125">
        <f>AJ143/293.07*(1/(VLOOKUP($H254,'Fuel economy adjusted factor'!$A$2:$K$52,11,FALSE)*m2k))/'TCO Inputs'!$AZ$84</f>
        <v>39.221592015843036</v>
      </c>
      <c r="AK254" s="98" cm="1">
        <f t="array" ref="AK254">SUMPRODUCT(INDEX(I254:AJ254,,'TCO Inputs'!$AZ$12-2023+_xlfn.SEQUENCE('TCO Inputs'!$AZ$13))*INDEX('VKT US'!C93:AA93,,_xlfn.SEQUENCE('TCO Inputs'!$AZ$13)))*m2k*CONVERT(0.9072,"g","ton")*'TCO Inputs'!$BD$9</f>
        <v>14.617672398289312</v>
      </c>
    </row>
    <row r="255" spans="8:37" x14ac:dyDescent="0.25">
      <c r="H255" s="123" t="s">
        <v>216</v>
      </c>
      <c r="I255" s="125">
        <f>I144/293.07*(1/(VLOOKUP($H255,'Fuel economy adjusted factor'!$A$2:$K$52,11,FALSE)*m2k))/'TCO Inputs'!$AZ$84</f>
        <v>64.968952827554205</v>
      </c>
      <c r="J255" s="125">
        <f>J144/293.07*(1/(VLOOKUP($H255,'Fuel economy adjusted factor'!$A$2:$K$52,11,FALSE)*m2k))/'TCO Inputs'!$AZ$84</f>
        <v>64.968952827554205</v>
      </c>
      <c r="K255" s="125">
        <f>K144/293.07*(1/(VLOOKUP($H255,'Fuel economy adjusted factor'!$A$2:$K$52,11,FALSE)*m2k))/'TCO Inputs'!$AZ$84</f>
        <v>57.080212599358177</v>
      </c>
      <c r="L255" s="125">
        <f>L144/293.07*(1/(VLOOKUP($H255,'Fuel economy adjusted factor'!$A$2:$K$52,11,FALSE)*m2k))/'TCO Inputs'!$AZ$84</f>
        <v>57.080212599358177</v>
      </c>
      <c r="M255" s="125">
        <f>M144/293.07*(1/(VLOOKUP($H255,'Fuel economy adjusted factor'!$A$2:$K$52,11,FALSE)*m2k))/'TCO Inputs'!$AZ$84</f>
        <v>57.080212599358177</v>
      </c>
      <c r="N255" s="125">
        <f>N144/293.07*(1/(VLOOKUP($H255,'Fuel economy adjusted factor'!$A$2:$K$52,11,FALSE)*m2k))/'TCO Inputs'!$AZ$84</f>
        <v>57.080212599358177</v>
      </c>
      <c r="O255" s="125">
        <f>O144/293.07*(1/(VLOOKUP($H255,'Fuel economy adjusted factor'!$A$2:$K$52,11,FALSE)*m2k))/'TCO Inputs'!$AZ$84</f>
        <v>57.080212599358177</v>
      </c>
      <c r="P255" s="125">
        <f>P144/293.07*(1/(VLOOKUP($H255,'Fuel economy adjusted factor'!$A$2:$K$52,11,FALSE)*m2k))/'TCO Inputs'!$AZ$84</f>
        <v>34.799878748461822</v>
      </c>
      <c r="Q255" s="125">
        <f>Q144/293.07*(1/(VLOOKUP($H255,'Fuel economy adjusted factor'!$A$2:$K$52,11,FALSE)*m2k))/'TCO Inputs'!$AZ$84</f>
        <v>34.799878748461822</v>
      </c>
      <c r="R255" s="125">
        <f>R144/293.07*(1/(VLOOKUP($H255,'Fuel economy adjusted factor'!$A$2:$K$52,11,FALSE)*m2k))/'TCO Inputs'!$AZ$84</f>
        <v>34.799878748461822</v>
      </c>
      <c r="S255" s="125">
        <f>S144/293.07*(1/(VLOOKUP($H255,'Fuel economy adjusted factor'!$A$2:$K$52,11,FALSE)*m2k))/'TCO Inputs'!$AZ$84</f>
        <v>34.799878748461822</v>
      </c>
      <c r="T255" s="125">
        <f>T144/293.07*(1/(VLOOKUP($H255,'Fuel economy adjusted factor'!$A$2:$K$52,11,FALSE)*m2k))/'TCO Inputs'!$AZ$84</f>
        <v>34.799878748461822</v>
      </c>
      <c r="U255" s="125">
        <f>U144/293.07*(1/(VLOOKUP($H255,'Fuel economy adjusted factor'!$A$2:$K$52,11,FALSE)*m2k))/'TCO Inputs'!$AZ$84</f>
        <v>31.190965346276187</v>
      </c>
      <c r="V255" s="125">
        <f>V144/293.07*(1/(VLOOKUP($H255,'Fuel economy adjusted factor'!$A$2:$K$52,11,FALSE)*m2k))/'TCO Inputs'!$AZ$84</f>
        <v>31.190965346276187</v>
      </c>
      <c r="W255" s="125">
        <f>W144/293.07*(1/(VLOOKUP($H255,'Fuel economy adjusted factor'!$A$2:$K$52,11,FALSE)*m2k))/'TCO Inputs'!$AZ$84</f>
        <v>31.190965346276187</v>
      </c>
      <c r="X255" s="125">
        <f>X144/293.07*(1/(VLOOKUP($H255,'Fuel economy adjusted factor'!$A$2:$K$52,11,FALSE)*m2k))/'TCO Inputs'!$AZ$84</f>
        <v>31.190965346276187</v>
      </c>
      <c r="Y255" s="125">
        <f>Y144/293.07*(1/(VLOOKUP($H255,'Fuel economy adjusted factor'!$A$2:$K$52,11,FALSE)*m2k))/'TCO Inputs'!$AZ$84</f>
        <v>31.190965346276187</v>
      </c>
      <c r="Z255" s="125">
        <f>Z144/293.07*(1/(VLOOKUP($H255,'Fuel economy adjusted factor'!$A$2:$K$52,11,FALSE)*m2k))/'TCO Inputs'!$AZ$84</f>
        <v>30.094973193475916</v>
      </c>
      <c r="AA255" s="125">
        <f>AA144/293.07*(1/(VLOOKUP($H255,'Fuel economy adjusted factor'!$A$2:$K$52,11,FALSE)*m2k))/'TCO Inputs'!$AZ$84</f>
        <v>30.094973193475916</v>
      </c>
      <c r="AB255" s="125">
        <f>AB144/293.07*(1/(VLOOKUP($H255,'Fuel economy adjusted factor'!$A$2:$K$52,11,FALSE)*m2k))/'TCO Inputs'!$AZ$84</f>
        <v>30.094973193475916</v>
      </c>
      <c r="AC255" s="125">
        <f>AC144/293.07*(1/(VLOOKUP($H255,'Fuel economy adjusted factor'!$A$2:$K$52,11,FALSE)*m2k))/'TCO Inputs'!$AZ$84</f>
        <v>30.094973193475916</v>
      </c>
      <c r="AD255" s="125">
        <f>AD144/293.07*(1/(VLOOKUP($H255,'Fuel economy adjusted factor'!$A$2:$K$52,11,FALSE)*m2k))/'TCO Inputs'!$AZ$84</f>
        <v>30.094973193475916</v>
      </c>
      <c r="AE255" s="125">
        <f>AE144/293.07*(1/(VLOOKUP($H255,'Fuel economy adjusted factor'!$A$2:$K$52,11,FALSE)*m2k))/'TCO Inputs'!$AZ$84</f>
        <v>28.916368566846479</v>
      </c>
      <c r="AF255" s="125">
        <f>AF144/293.07*(1/(VLOOKUP($H255,'Fuel economy adjusted factor'!$A$2:$K$52,11,FALSE)*m2k))/'TCO Inputs'!$AZ$84</f>
        <v>28.916368566846479</v>
      </c>
      <c r="AG255" s="125">
        <f>AG144/293.07*(1/(VLOOKUP($H255,'Fuel economy adjusted factor'!$A$2:$K$52,11,FALSE)*m2k))/'TCO Inputs'!$AZ$84</f>
        <v>28.916368566846479</v>
      </c>
      <c r="AH255" s="125">
        <f>AH144/293.07*(1/(VLOOKUP($H255,'Fuel economy adjusted factor'!$A$2:$K$52,11,FALSE)*m2k))/'TCO Inputs'!$AZ$84</f>
        <v>28.916368566846479</v>
      </c>
      <c r="AI255" s="125">
        <f>AI144/293.07*(1/(VLOOKUP($H255,'Fuel economy adjusted factor'!$A$2:$K$52,11,FALSE)*m2k))/'TCO Inputs'!$AZ$84</f>
        <v>28.916368566846479</v>
      </c>
      <c r="AJ255" s="125">
        <f>AJ144/293.07*(1/(VLOOKUP($H255,'Fuel economy adjusted factor'!$A$2:$K$52,11,FALSE)*m2k))/'TCO Inputs'!$AZ$84</f>
        <v>27.099895505923957</v>
      </c>
      <c r="AK255" s="98" cm="1">
        <f t="array" ref="AK255">SUMPRODUCT(INDEX(I255:AJ255,,'TCO Inputs'!$AZ$12-2023+_xlfn.SEQUENCE('TCO Inputs'!$AZ$13))*INDEX('VKT US'!C94:AA94,,_xlfn.SEQUENCE('TCO Inputs'!$AZ$13)))*m2k*CONVERT(0.9072,"g","ton")*'TCO Inputs'!$BD$9</f>
        <v>5.3602611306379373</v>
      </c>
    </row>
    <row r="256" spans="8:37" x14ac:dyDescent="0.25">
      <c r="H256" s="123" t="s">
        <v>209</v>
      </c>
      <c r="I256" s="125">
        <f>I145/293.07*(1/(VLOOKUP($H256,'Fuel economy adjusted factor'!$A$2:$K$52,11,FALSE)*m2k))/'TCO Inputs'!$AZ$84</f>
        <v>77.830888261679249</v>
      </c>
      <c r="J256" s="125">
        <f>J145/293.07*(1/(VLOOKUP($H256,'Fuel economy adjusted factor'!$A$2:$K$52,11,FALSE)*m2k))/'TCO Inputs'!$AZ$84</f>
        <v>77.830888261679249</v>
      </c>
      <c r="K256" s="125">
        <f>K145/293.07*(1/(VLOOKUP($H256,'Fuel economy adjusted factor'!$A$2:$K$52,11,FALSE)*m2k))/'TCO Inputs'!$AZ$84</f>
        <v>68.380410264044997</v>
      </c>
      <c r="L256" s="125">
        <f>L145/293.07*(1/(VLOOKUP($H256,'Fuel economy adjusted factor'!$A$2:$K$52,11,FALSE)*m2k))/'TCO Inputs'!$AZ$84</f>
        <v>68.380410264044997</v>
      </c>
      <c r="M256" s="125">
        <f>M145/293.07*(1/(VLOOKUP($H256,'Fuel economy adjusted factor'!$A$2:$K$52,11,FALSE)*m2k))/'TCO Inputs'!$AZ$84</f>
        <v>68.380410264044997</v>
      </c>
      <c r="N256" s="125">
        <f>N145/293.07*(1/(VLOOKUP($H256,'Fuel economy adjusted factor'!$A$2:$K$52,11,FALSE)*m2k))/'TCO Inputs'!$AZ$84</f>
        <v>68.380410264044997</v>
      </c>
      <c r="O256" s="125">
        <f>O145/293.07*(1/(VLOOKUP($H256,'Fuel economy adjusted factor'!$A$2:$K$52,11,FALSE)*m2k))/'TCO Inputs'!$AZ$84</f>
        <v>68.380410264044997</v>
      </c>
      <c r="P256" s="125">
        <f>P145/293.07*(1/(VLOOKUP($H256,'Fuel economy adjusted factor'!$A$2:$K$52,11,FALSE)*m2k))/'TCO Inputs'!$AZ$84</f>
        <v>41.689227800556544</v>
      </c>
      <c r="Q256" s="125">
        <f>Q145/293.07*(1/(VLOOKUP($H256,'Fuel economy adjusted factor'!$A$2:$K$52,11,FALSE)*m2k))/'TCO Inputs'!$AZ$84</f>
        <v>41.689227800556544</v>
      </c>
      <c r="R256" s="125">
        <f>R145/293.07*(1/(VLOOKUP($H256,'Fuel economy adjusted factor'!$A$2:$K$52,11,FALSE)*m2k))/'TCO Inputs'!$AZ$84</f>
        <v>41.689227800556544</v>
      </c>
      <c r="S256" s="125">
        <f>S145/293.07*(1/(VLOOKUP($H256,'Fuel economy adjusted factor'!$A$2:$K$52,11,FALSE)*m2k))/'TCO Inputs'!$AZ$84</f>
        <v>41.689227800556544</v>
      </c>
      <c r="T256" s="125">
        <f>T145/293.07*(1/(VLOOKUP($H256,'Fuel economy adjusted factor'!$A$2:$K$52,11,FALSE)*m2k))/'TCO Inputs'!$AZ$84</f>
        <v>41.689227800556544</v>
      </c>
      <c r="U256" s="125">
        <f>U145/293.07*(1/(VLOOKUP($H256,'Fuel economy adjusted factor'!$A$2:$K$52,11,FALSE)*m2k))/'TCO Inputs'!$AZ$84</f>
        <v>37.36585604332452</v>
      </c>
      <c r="V256" s="125">
        <f>V145/293.07*(1/(VLOOKUP($H256,'Fuel economy adjusted factor'!$A$2:$K$52,11,FALSE)*m2k))/'TCO Inputs'!$AZ$84</f>
        <v>37.36585604332452</v>
      </c>
      <c r="W256" s="125">
        <f>W145/293.07*(1/(VLOOKUP($H256,'Fuel economy adjusted factor'!$A$2:$K$52,11,FALSE)*m2k))/'TCO Inputs'!$AZ$84</f>
        <v>37.36585604332452</v>
      </c>
      <c r="X256" s="125">
        <f>X145/293.07*(1/(VLOOKUP($H256,'Fuel economy adjusted factor'!$A$2:$K$52,11,FALSE)*m2k))/'TCO Inputs'!$AZ$84</f>
        <v>37.36585604332452</v>
      </c>
      <c r="Y256" s="125">
        <f>Y145/293.07*(1/(VLOOKUP($H256,'Fuel economy adjusted factor'!$A$2:$K$52,11,FALSE)*m2k))/'TCO Inputs'!$AZ$84</f>
        <v>37.36585604332452</v>
      </c>
      <c r="Z256" s="125">
        <f>Z145/293.07*(1/(VLOOKUP($H256,'Fuel economy adjusted factor'!$A$2:$K$52,11,FALSE)*m2k))/'TCO Inputs'!$AZ$84</f>
        <v>36.052889786862124</v>
      </c>
      <c r="AA256" s="125">
        <f>AA145/293.07*(1/(VLOOKUP($H256,'Fuel economy adjusted factor'!$A$2:$K$52,11,FALSE)*m2k))/'TCO Inputs'!$AZ$84</f>
        <v>36.052889786862124</v>
      </c>
      <c r="AB256" s="125">
        <f>AB145/293.07*(1/(VLOOKUP($H256,'Fuel economy adjusted factor'!$A$2:$K$52,11,FALSE)*m2k))/'TCO Inputs'!$AZ$84</f>
        <v>36.052889786862124</v>
      </c>
      <c r="AC256" s="125">
        <f>AC145/293.07*(1/(VLOOKUP($H256,'Fuel economy adjusted factor'!$A$2:$K$52,11,FALSE)*m2k))/'TCO Inputs'!$AZ$84</f>
        <v>36.052889786862124</v>
      </c>
      <c r="AD256" s="125">
        <f>AD145/293.07*(1/(VLOOKUP($H256,'Fuel economy adjusted factor'!$A$2:$K$52,11,FALSE)*m2k))/'TCO Inputs'!$AZ$84</f>
        <v>36.052889786862124</v>
      </c>
      <c r="AE256" s="125">
        <f>AE145/293.07*(1/(VLOOKUP($H256,'Fuel economy adjusted factor'!$A$2:$K$52,11,FALSE)*m2k))/'TCO Inputs'!$AZ$84</f>
        <v>34.640956224636241</v>
      </c>
      <c r="AF256" s="125">
        <f>AF145/293.07*(1/(VLOOKUP($H256,'Fuel economy adjusted factor'!$A$2:$K$52,11,FALSE)*m2k))/'TCO Inputs'!$AZ$84</f>
        <v>34.640956224636241</v>
      </c>
      <c r="AG256" s="125">
        <f>AG145/293.07*(1/(VLOOKUP($H256,'Fuel economy adjusted factor'!$A$2:$K$52,11,FALSE)*m2k))/'TCO Inputs'!$AZ$84</f>
        <v>34.640956224636241</v>
      </c>
      <c r="AH256" s="125">
        <f>AH145/293.07*(1/(VLOOKUP($H256,'Fuel economy adjusted factor'!$A$2:$K$52,11,FALSE)*m2k))/'TCO Inputs'!$AZ$84</f>
        <v>34.640956224636241</v>
      </c>
      <c r="AI256" s="125">
        <f>AI145/293.07*(1/(VLOOKUP($H256,'Fuel economy adjusted factor'!$A$2:$K$52,11,FALSE)*m2k))/'TCO Inputs'!$AZ$84</f>
        <v>34.640956224636241</v>
      </c>
      <c r="AJ256" s="125">
        <f>AJ145/293.07*(1/(VLOOKUP($H256,'Fuel economy adjusted factor'!$A$2:$K$52,11,FALSE)*m2k))/'TCO Inputs'!$AZ$84</f>
        <v>32.464875101545545</v>
      </c>
      <c r="AK256" s="98" cm="1">
        <f t="array" ref="AK256">SUMPRODUCT(INDEX(I256:AJ256,,'TCO Inputs'!$AZ$12-2023+_xlfn.SEQUENCE('TCO Inputs'!$AZ$13))*INDEX('VKT US'!C95:AA95,,_xlfn.SEQUENCE('TCO Inputs'!$AZ$13)))*m2k*CONVERT(0.9072,"g","ton")*'TCO Inputs'!$BD$9</f>
        <v>10.151639538856498</v>
      </c>
    </row>
    <row r="257" spans="8:37" x14ac:dyDescent="0.25">
      <c r="H257" s="123" t="s">
        <v>210</v>
      </c>
      <c r="I257" s="125">
        <f>I146/293.07*(1/(VLOOKUP($H257,'Fuel economy adjusted factor'!$A$2:$K$52,11,FALSE)*m2k))/'TCO Inputs'!$AZ$84</f>
        <v>169.20719067176509</v>
      </c>
      <c r="J257" s="125">
        <f>J146/293.07*(1/(VLOOKUP($H257,'Fuel economy adjusted factor'!$A$2:$K$52,11,FALSE)*m2k))/'TCO Inputs'!$AZ$84</f>
        <v>169.20719067176509</v>
      </c>
      <c r="K257" s="125">
        <f>K146/293.07*(1/(VLOOKUP($H257,'Fuel economy adjusted factor'!$A$2:$K$52,11,FALSE)*m2k))/'TCO Inputs'!$AZ$84</f>
        <v>148.66150671260684</v>
      </c>
      <c r="L257" s="125">
        <f>L146/293.07*(1/(VLOOKUP($H257,'Fuel economy adjusted factor'!$A$2:$K$52,11,FALSE)*m2k))/'TCO Inputs'!$AZ$84</f>
        <v>148.66150671260684</v>
      </c>
      <c r="M257" s="125">
        <f>M146/293.07*(1/(VLOOKUP($H257,'Fuel economy adjusted factor'!$A$2:$K$52,11,FALSE)*m2k))/'TCO Inputs'!$AZ$84</f>
        <v>148.66150671260684</v>
      </c>
      <c r="N257" s="125">
        <f>N146/293.07*(1/(VLOOKUP($H257,'Fuel economy adjusted factor'!$A$2:$K$52,11,FALSE)*m2k))/'TCO Inputs'!$AZ$84</f>
        <v>148.66150671260684</v>
      </c>
      <c r="O257" s="125">
        <f>O146/293.07*(1/(VLOOKUP($H257,'Fuel economy adjusted factor'!$A$2:$K$52,11,FALSE)*m2k))/'TCO Inputs'!$AZ$84</f>
        <v>148.66150671260684</v>
      </c>
      <c r="P257" s="125">
        <f>P146/293.07*(1/(VLOOKUP($H257,'Fuel economy adjusted factor'!$A$2:$K$52,11,FALSE)*m2k))/'TCO Inputs'!$AZ$84</f>
        <v>90.633902232882249</v>
      </c>
      <c r="Q257" s="125">
        <f>Q146/293.07*(1/(VLOOKUP($H257,'Fuel economy adjusted factor'!$A$2:$K$52,11,FALSE)*m2k))/'TCO Inputs'!$AZ$84</f>
        <v>90.633902232882249</v>
      </c>
      <c r="R257" s="125">
        <f>R146/293.07*(1/(VLOOKUP($H257,'Fuel economy adjusted factor'!$A$2:$K$52,11,FALSE)*m2k))/'TCO Inputs'!$AZ$84</f>
        <v>90.633902232882249</v>
      </c>
      <c r="S257" s="125">
        <f>S146/293.07*(1/(VLOOKUP($H257,'Fuel economy adjusted factor'!$A$2:$K$52,11,FALSE)*m2k))/'TCO Inputs'!$AZ$84</f>
        <v>90.633902232882249</v>
      </c>
      <c r="T257" s="125">
        <f>T146/293.07*(1/(VLOOKUP($H257,'Fuel economy adjusted factor'!$A$2:$K$52,11,FALSE)*m2k))/'TCO Inputs'!$AZ$84</f>
        <v>90.633902232882249</v>
      </c>
      <c r="U257" s="125">
        <f>U146/293.07*(1/(VLOOKUP($H257,'Fuel economy adjusted factor'!$A$2:$K$52,11,FALSE)*m2k))/'TCO Inputs'!$AZ$84</f>
        <v>81.234734298278767</v>
      </c>
      <c r="V257" s="125">
        <f>V146/293.07*(1/(VLOOKUP($H257,'Fuel economy adjusted factor'!$A$2:$K$52,11,FALSE)*m2k))/'TCO Inputs'!$AZ$84</f>
        <v>81.234734298278767</v>
      </c>
      <c r="W257" s="125">
        <f>W146/293.07*(1/(VLOOKUP($H257,'Fuel economy adjusted factor'!$A$2:$K$52,11,FALSE)*m2k))/'TCO Inputs'!$AZ$84</f>
        <v>81.234734298278767</v>
      </c>
      <c r="X257" s="125">
        <f>X146/293.07*(1/(VLOOKUP($H257,'Fuel economy adjusted factor'!$A$2:$K$52,11,FALSE)*m2k))/'TCO Inputs'!$AZ$84</f>
        <v>81.234734298278767</v>
      </c>
      <c r="Y257" s="125">
        <f>Y146/293.07*(1/(VLOOKUP($H257,'Fuel economy adjusted factor'!$A$2:$K$52,11,FALSE)*m2k))/'TCO Inputs'!$AZ$84</f>
        <v>81.234734298278767</v>
      </c>
      <c r="Z257" s="125">
        <f>Z146/293.07*(1/(VLOOKUP($H257,'Fuel economy adjusted factor'!$A$2:$K$52,11,FALSE)*m2k))/'TCO Inputs'!$AZ$84</f>
        <v>78.380297754321063</v>
      </c>
      <c r="AA257" s="125">
        <f>AA146/293.07*(1/(VLOOKUP($H257,'Fuel economy adjusted factor'!$A$2:$K$52,11,FALSE)*m2k))/'TCO Inputs'!$AZ$84</f>
        <v>78.380297754321063</v>
      </c>
      <c r="AB257" s="125">
        <f>AB146/293.07*(1/(VLOOKUP($H257,'Fuel economy adjusted factor'!$A$2:$K$52,11,FALSE)*m2k))/'TCO Inputs'!$AZ$84</f>
        <v>78.380297754321063</v>
      </c>
      <c r="AC257" s="125">
        <f>AC146/293.07*(1/(VLOOKUP($H257,'Fuel economy adjusted factor'!$A$2:$K$52,11,FALSE)*m2k))/'TCO Inputs'!$AZ$84</f>
        <v>78.380297754321063</v>
      </c>
      <c r="AD257" s="125">
        <f>AD146/293.07*(1/(VLOOKUP($H257,'Fuel economy adjusted factor'!$A$2:$K$52,11,FALSE)*m2k))/'TCO Inputs'!$AZ$84</f>
        <v>78.380297754321063</v>
      </c>
      <c r="AE257" s="125">
        <f>AE146/293.07*(1/(VLOOKUP($H257,'Fuel economy adjusted factor'!$A$2:$K$52,11,FALSE)*m2k))/'TCO Inputs'!$AZ$84</f>
        <v>75.310702676899254</v>
      </c>
      <c r="AF257" s="125">
        <f>AF146/293.07*(1/(VLOOKUP($H257,'Fuel economy adjusted factor'!$A$2:$K$52,11,FALSE)*m2k))/'TCO Inputs'!$AZ$84</f>
        <v>75.310702676899254</v>
      </c>
      <c r="AG257" s="125">
        <f>AG146/293.07*(1/(VLOOKUP($H257,'Fuel economy adjusted factor'!$A$2:$K$52,11,FALSE)*m2k))/'TCO Inputs'!$AZ$84</f>
        <v>75.310702676899254</v>
      </c>
      <c r="AH257" s="125">
        <f>AH146/293.07*(1/(VLOOKUP($H257,'Fuel economy adjusted factor'!$A$2:$K$52,11,FALSE)*m2k))/'TCO Inputs'!$AZ$84</f>
        <v>75.310702676899254</v>
      </c>
      <c r="AI257" s="125">
        <f>AI146/293.07*(1/(VLOOKUP($H257,'Fuel economy adjusted factor'!$A$2:$K$52,11,FALSE)*m2k))/'TCO Inputs'!$AZ$84</f>
        <v>75.310702676899254</v>
      </c>
      <c r="AJ257" s="125">
        <f>AJ146/293.07*(1/(VLOOKUP($H257,'Fuel economy adjusted factor'!$A$2:$K$52,11,FALSE)*m2k))/'TCO Inputs'!$AZ$84</f>
        <v>70.579822922911802</v>
      </c>
      <c r="AK257" s="98" cm="1">
        <f t="array" ref="AK257">SUMPRODUCT(INDEX(I257:AJ257,,'TCO Inputs'!$AZ$12-2023+_xlfn.SEQUENCE('TCO Inputs'!$AZ$13))*INDEX('VKT US'!C96:AA96,,_xlfn.SEQUENCE('TCO Inputs'!$AZ$13)))*m2k*CONVERT(0.9072,"g","ton")*'TCO Inputs'!$BD$9</f>
        <v>24.264268259320854</v>
      </c>
    </row>
    <row r="258" spans="8:37" x14ac:dyDescent="0.25">
      <c r="H258" s="123" t="s">
        <v>217</v>
      </c>
      <c r="I258" s="125">
        <f>I147/293.07*(1/(VLOOKUP($H258,'Fuel economy adjusted factor'!$A$2:$K$52,11,FALSE)*m2k))/'TCO Inputs'!$AZ$84</f>
        <v>141.11714265231214</v>
      </c>
      <c r="J258" s="125">
        <f>J147/293.07*(1/(VLOOKUP($H258,'Fuel economy adjusted factor'!$A$2:$K$52,11,FALSE)*m2k))/'TCO Inputs'!$AZ$84</f>
        <v>141.11714265231214</v>
      </c>
      <c r="K258" s="125">
        <f>K147/293.07*(1/(VLOOKUP($H258,'Fuel economy adjusted factor'!$A$2:$K$52,11,FALSE)*m2k))/'TCO Inputs'!$AZ$84</f>
        <v>123.98224310907625</v>
      </c>
      <c r="L258" s="125">
        <f>L147/293.07*(1/(VLOOKUP($H258,'Fuel economy adjusted factor'!$A$2:$K$52,11,FALSE)*m2k))/'TCO Inputs'!$AZ$84</f>
        <v>123.98224310907625</v>
      </c>
      <c r="M258" s="125">
        <f>M147/293.07*(1/(VLOOKUP($H258,'Fuel economy adjusted factor'!$A$2:$K$52,11,FALSE)*m2k))/'TCO Inputs'!$AZ$84</f>
        <v>123.98224310907625</v>
      </c>
      <c r="N258" s="125">
        <f>N147/293.07*(1/(VLOOKUP($H258,'Fuel economy adjusted factor'!$A$2:$K$52,11,FALSE)*m2k))/'TCO Inputs'!$AZ$84</f>
        <v>123.98224310907625</v>
      </c>
      <c r="O258" s="125">
        <f>O147/293.07*(1/(VLOOKUP($H258,'Fuel economy adjusted factor'!$A$2:$K$52,11,FALSE)*m2k))/'TCO Inputs'!$AZ$84</f>
        <v>123.98224310907625</v>
      </c>
      <c r="P258" s="125">
        <f>P147/293.07*(1/(VLOOKUP($H258,'Fuel economy adjusted factor'!$A$2:$K$52,11,FALSE)*m2k))/'TCO Inputs'!$AZ$84</f>
        <v>75.587788318901332</v>
      </c>
      <c r="Q258" s="125">
        <f>Q147/293.07*(1/(VLOOKUP($H258,'Fuel economy adjusted factor'!$A$2:$K$52,11,FALSE)*m2k))/'TCO Inputs'!$AZ$84</f>
        <v>75.587788318901332</v>
      </c>
      <c r="R258" s="125">
        <f>R147/293.07*(1/(VLOOKUP($H258,'Fuel economy adjusted factor'!$A$2:$K$52,11,FALSE)*m2k))/'TCO Inputs'!$AZ$84</f>
        <v>75.587788318901332</v>
      </c>
      <c r="S258" s="125">
        <f>S147/293.07*(1/(VLOOKUP($H258,'Fuel economy adjusted factor'!$A$2:$K$52,11,FALSE)*m2k))/'TCO Inputs'!$AZ$84</f>
        <v>75.587788318901332</v>
      </c>
      <c r="T258" s="125">
        <f>T147/293.07*(1/(VLOOKUP($H258,'Fuel economy adjusted factor'!$A$2:$K$52,11,FALSE)*m2k))/'TCO Inputs'!$AZ$84</f>
        <v>75.587788318901332</v>
      </c>
      <c r="U258" s="125">
        <f>U147/293.07*(1/(VLOOKUP($H258,'Fuel economy adjusted factor'!$A$2:$K$52,11,FALSE)*m2k))/'TCO Inputs'!$AZ$84</f>
        <v>67.748974158730974</v>
      </c>
      <c r="V258" s="125">
        <f>V147/293.07*(1/(VLOOKUP($H258,'Fuel economy adjusted factor'!$A$2:$K$52,11,FALSE)*m2k))/'TCO Inputs'!$AZ$84</f>
        <v>67.748974158730974</v>
      </c>
      <c r="W258" s="125">
        <f>W147/293.07*(1/(VLOOKUP($H258,'Fuel economy adjusted factor'!$A$2:$K$52,11,FALSE)*m2k))/'TCO Inputs'!$AZ$84</f>
        <v>67.748974158730974</v>
      </c>
      <c r="X258" s="125">
        <f>X147/293.07*(1/(VLOOKUP($H258,'Fuel economy adjusted factor'!$A$2:$K$52,11,FALSE)*m2k))/'TCO Inputs'!$AZ$84</f>
        <v>67.748974158730974</v>
      </c>
      <c r="Y258" s="125">
        <f>Y147/293.07*(1/(VLOOKUP($H258,'Fuel economy adjusted factor'!$A$2:$K$52,11,FALSE)*m2k))/'TCO Inputs'!$AZ$84</f>
        <v>67.748974158730974</v>
      </c>
      <c r="Z258" s="125">
        <f>Z147/293.07*(1/(VLOOKUP($H258,'Fuel economy adjusted factor'!$A$2:$K$52,11,FALSE)*m2k))/'TCO Inputs'!$AZ$84</f>
        <v>65.36840198938954</v>
      </c>
      <c r="AA258" s="125">
        <f>AA147/293.07*(1/(VLOOKUP($H258,'Fuel economy adjusted factor'!$A$2:$K$52,11,FALSE)*m2k))/'TCO Inputs'!$AZ$84</f>
        <v>65.36840198938954</v>
      </c>
      <c r="AB258" s="125">
        <f>AB147/293.07*(1/(VLOOKUP($H258,'Fuel economy adjusted factor'!$A$2:$K$52,11,FALSE)*m2k))/'TCO Inputs'!$AZ$84</f>
        <v>65.36840198938954</v>
      </c>
      <c r="AC258" s="125">
        <f>AC147/293.07*(1/(VLOOKUP($H258,'Fuel economy adjusted factor'!$A$2:$K$52,11,FALSE)*m2k))/'TCO Inputs'!$AZ$84</f>
        <v>65.36840198938954</v>
      </c>
      <c r="AD258" s="125">
        <f>AD147/293.07*(1/(VLOOKUP($H258,'Fuel economy adjusted factor'!$A$2:$K$52,11,FALSE)*m2k))/'TCO Inputs'!$AZ$84</f>
        <v>65.36840198938954</v>
      </c>
      <c r="AE258" s="125">
        <f>AE147/293.07*(1/(VLOOKUP($H258,'Fuel economy adjusted factor'!$A$2:$K$52,11,FALSE)*m2k))/'TCO Inputs'!$AZ$84</f>
        <v>62.808389706781192</v>
      </c>
      <c r="AF258" s="125">
        <f>AF147/293.07*(1/(VLOOKUP($H258,'Fuel economy adjusted factor'!$A$2:$K$52,11,FALSE)*m2k))/'TCO Inputs'!$AZ$84</f>
        <v>62.808389706781192</v>
      </c>
      <c r="AG258" s="125">
        <f>AG147/293.07*(1/(VLOOKUP($H258,'Fuel economy adjusted factor'!$A$2:$K$52,11,FALSE)*m2k))/'TCO Inputs'!$AZ$84</f>
        <v>62.808389706781192</v>
      </c>
      <c r="AH258" s="125">
        <f>AH147/293.07*(1/(VLOOKUP($H258,'Fuel economy adjusted factor'!$A$2:$K$52,11,FALSE)*m2k))/'TCO Inputs'!$AZ$84</f>
        <v>62.808389706781192</v>
      </c>
      <c r="AI258" s="125">
        <f>AI147/293.07*(1/(VLOOKUP($H258,'Fuel economy adjusted factor'!$A$2:$K$52,11,FALSE)*m2k))/'TCO Inputs'!$AZ$84</f>
        <v>62.808389706781192</v>
      </c>
      <c r="AJ258" s="125">
        <f>AJ147/293.07*(1/(VLOOKUP($H258,'Fuel economy adjusted factor'!$A$2:$K$52,11,FALSE)*m2k))/'TCO Inputs'!$AZ$84</f>
        <v>58.862882246584469</v>
      </c>
      <c r="AK258" s="98" cm="1">
        <f t="array" ref="AK258">SUMPRODUCT(INDEX(I258:AJ258,,'TCO Inputs'!$AZ$12-2023+_xlfn.SEQUENCE('TCO Inputs'!$AZ$13))*INDEX('VKT US'!C97:AA97,,_xlfn.SEQUENCE('TCO Inputs'!$AZ$13)))*m2k*CONVERT(0.9072,"g","ton")*'TCO Inputs'!$BD$9</f>
        <v>16.350626906541322</v>
      </c>
    </row>
    <row r="259" spans="8:37" x14ac:dyDescent="0.25">
      <c r="H259" s="123" t="s">
        <v>218</v>
      </c>
      <c r="I259" s="125">
        <f>I148/293.07*(1/(VLOOKUP($H259,'Fuel economy adjusted factor'!$A$2:$K$52,11,FALSE)*m2k))/'TCO Inputs'!$AZ$84</f>
        <v>77.330469936443791</v>
      </c>
      <c r="J259" s="125">
        <f>J148/293.07*(1/(VLOOKUP($H259,'Fuel economy adjusted factor'!$A$2:$K$52,11,FALSE)*m2k))/'TCO Inputs'!$AZ$84</f>
        <v>77.330469936443791</v>
      </c>
      <c r="K259" s="125">
        <f>K148/293.07*(1/(VLOOKUP($H259,'Fuel economy adjusted factor'!$A$2:$K$52,11,FALSE)*m2k))/'TCO Inputs'!$AZ$84</f>
        <v>67.940754349182527</v>
      </c>
      <c r="L259" s="125">
        <f>L148/293.07*(1/(VLOOKUP($H259,'Fuel economy adjusted factor'!$A$2:$K$52,11,FALSE)*m2k))/'TCO Inputs'!$AZ$84</f>
        <v>67.940754349182527</v>
      </c>
      <c r="M259" s="125">
        <f>M148/293.07*(1/(VLOOKUP($H259,'Fuel economy adjusted factor'!$A$2:$K$52,11,FALSE)*m2k))/'TCO Inputs'!$AZ$84</f>
        <v>67.940754349182527</v>
      </c>
      <c r="N259" s="125">
        <f>N148/293.07*(1/(VLOOKUP($H259,'Fuel economy adjusted factor'!$A$2:$K$52,11,FALSE)*m2k))/'TCO Inputs'!$AZ$84</f>
        <v>67.940754349182527</v>
      </c>
      <c r="O259" s="125">
        <f>O148/293.07*(1/(VLOOKUP($H259,'Fuel economy adjusted factor'!$A$2:$K$52,11,FALSE)*m2k))/'TCO Inputs'!$AZ$84</f>
        <v>67.940754349182527</v>
      </c>
      <c r="P259" s="125">
        <f>P148/293.07*(1/(VLOOKUP($H259,'Fuel economy adjusted factor'!$A$2:$K$52,11,FALSE)*m2k))/'TCO Inputs'!$AZ$84</f>
        <v>41.421184430857686</v>
      </c>
      <c r="Q259" s="125">
        <f>Q148/293.07*(1/(VLOOKUP($H259,'Fuel economy adjusted factor'!$A$2:$K$52,11,FALSE)*m2k))/'TCO Inputs'!$AZ$84</f>
        <v>41.421184430857686</v>
      </c>
      <c r="R259" s="125">
        <f>R148/293.07*(1/(VLOOKUP($H259,'Fuel economy adjusted factor'!$A$2:$K$52,11,FALSE)*m2k))/'TCO Inputs'!$AZ$84</f>
        <v>41.421184430857686</v>
      </c>
      <c r="S259" s="125">
        <f>S148/293.07*(1/(VLOOKUP($H259,'Fuel economy adjusted factor'!$A$2:$K$52,11,FALSE)*m2k))/'TCO Inputs'!$AZ$84</f>
        <v>41.421184430857686</v>
      </c>
      <c r="T259" s="125">
        <f>T148/293.07*(1/(VLOOKUP($H259,'Fuel economy adjusted factor'!$A$2:$K$52,11,FALSE)*m2k))/'TCO Inputs'!$AZ$84</f>
        <v>41.421184430857686</v>
      </c>
      <c r="U259" s="125">
        <f>U148/293.07*(1/(VLOOKUP($H259,'Fuel economy adjusted factor'!$A$2:$K$52,11,FALSE)*m2k))/'TCO Inputs'!$AZ$84</f>
        <v>37.125610049480485</v>
      </c>
      <c r="V259" s="125">
        <f>V148/293.07*(1/(VLOOKUP($H259,'Fuel economy adjusted factor'!$A$2:$K$52,11,FALSE)*m2k))/'TCO Inputs'!$AZ$84</f>
        <v>37.125610049480485</v>
      </c>
      <c r="W259" s="125">
        <f>W148/293.07*(1/(VLOOKUP($H259,'Fuel economy adjusted factor'!$A$2:$K$52,11,FALSE)*m2k))/'TCO Inputs'!$AZ$84</f>
        <v>37.125610049480485</v>
      </c>
      <c r="X259" s="125">
        <f>X148/293.07*(1/(VLOOKUP($H259,'Fuel economy adjusted factor'!$A$2:$K$52,11,FALSE)*m2k))/'TCO Inputs'!$AZ$84</f>
        <v>37.125610049480485</v>
      </c>
      <c r="Y259" s="125">
        <f>Y148/293.07*(1/(VLOOKUP($H259,'Fuel economy adjusted factor'!$A$2:$K$52,11,FALSE)*m2k))/'TCO Inputs'!$AZ$84</f>
        <v>37.125610049480485</v>
      </c>
      <c r="Z259" s="125">
        <f>Z148/293.07*(1/(VLOOKUP($H259,'Fuel economy adjusted factor'!$A$2:$K$52,11,FALSE)*m2k))/'TCO Inputs'!$AZ$84</f>
        <v>35.821085587655475</v>
      </c>
      <c r="AA259" s="125">
        <f>AA148/293.07*(1/(VLOOKUP($H259,'Fuel economy adjusted factor'!$A$2:$K$52,11,FALSE)*m2k))/'TCO Inputs'!$AZ$84</f>
        <v>35.821085587655475</v>
      </c>
      <c r="AB259" s="125">
        <f>AB148/293.07*(1/(VLOOKUP($H259,'Fuel economy adjusted factor'!$A$2:$K$52,11,FALSE)*m2k))/'TCO Inputs'!$AZ$84</f>
        <v>35.821085587655475</v>
      </c>
      <c r="AC259" s="125">
        <f>AC148/293.07*(1/(VLOOKUP($H259,'Fuel economy adjusted factor'!$A$2:$K$52,11,FALSE)*m2k))/'TCO Inputs'!$AZ$84</f>
        <v>35.821085587655475</v>
      </c>
      <c r="AD259" s="125">
        <f>AD148/293.07*(1/(VLOOKUP($H259,'Fuel economy adjusted factor'!$A$2:$K$52,11,FALSE)*m2k))/'TCO Inputs'!$AZ$84</f>
        <v>35.821085587655475</v>
      </c>
      <c r="AE259" s="125">
        <f>AE148/293.07*(1/(VLOOKUP($H259,'Fuel economy adjusted factor'!$A$2:$K$52,11,FALSE)*m2k))/'TCO Inputs'!$AZ$84</f>
        <v>34.418230136245668</v>
      </c>
      <c r="AF259" s="125">
        <f>AF148/293.07*(1/(VLOOKUP($H259,'Fuel economy adjusted factor'!$A$2:$K$52,11,FALSE)*m2k))/'TCO Inputs'!$AZ$84</f>
        <v>34.418230136245668</v>
      </c>
      <c r="AG259" s="125">
        <f>AG148/293.07*(1/(VLOOKUP($H259,'Fuel economy adjusted factor'!$A$2:$K$52,11,FALSE)*m2k))/'TCO Inputs'!$AZ$84</f>
        <v>34.418230136245668</v>
      </c>
      <c r="AH259" s="125">
        <f>AH148/293.07*(1/(VLOOKUP($H259,'Fuel economy adjusted factor'!$A$2:$K$52,11,FALSE)*m2k))/'TCO Inputs'!$AZ$84</f>
        <v>34.418230136245668</v>
      </c>
      <c r="AI259" s="125">
        <f>AI148/293.07*(1/(VLOOKUP($H259,'Fuel economy adjusted factor'!$A$2:$K$52,11,FALSE)*m2k))/'TCO Inputs'!$AZ$84</f>
        <v>34.418230136245668</v>
      </c>
      <c r="AJ259" s="125">
        <f>AJ148/293.07*(1/(VLOOKUP($H259,'Fuel economy adjusted factor'!$A$2:$K$52,11,FALSE)*m2k))/'TCO Inputs'!$AZ$84</f>
        <v>32.256140256162915</v>
      </c>
      <c r="AK259" s="98" cm="1">
        <f t="array" ref="AK259">SUMPRODUCT(INDEX(I259:AJ259,,'TCO Inputs'!$AZ$12-2023+_xlfn.SEQUENCE('TCO Inputs'!$AZ$13))*INDEX('VKT US'!C98:AA98,,_xlfn.SEQUENCE('TCO Inputs'!$AZ$13)))*m2k*CONVERT(0.9072,"g","ton")*'TCO Inputs'!$BD$9</f>
        <v>11.106740768752362</v>
      </c>
    </row>
    <row r="260" spans="8:37" x14ac:dyDescent="0.25">
      <c r="H260" s="123" t="s">
        <v>219</v>
      </c>
      <c r="I260" s="125">
        <f>I149/293.07*(1/(VLOOKUP($H260,'Fuel economy adjusted factor'!$A$2:$K$52,11,FALSE)*m2k))/'TCO Inputs'!$AZ$84</f>
        <v>51.61386005603849</v>
      </c>
      <c r="J260" s="125">
        <f>J149/293.07*(1/(VLOOKUP($H260,'Fuel economy adjusted factor'!$A$2:$K$52,11,FALSE)*m2k))/'TCO Inputs'!$AZ$84</f>
        <v>51.61386005603849</v>
      </c>
      <c r="K260" s="125">
        <f>K149/293.07*(1/(VLOOKUP($H260,'Fuel economy adjusted factor'!$A$2:$K$52,11,FALSE)*m2k))/'TCO Inputs'!$AZ$84</f>
        <v>45.34673835504249</v>
      </c>
      <c r="L260" s="125">
        <f>L149/293.07*(1/(VLOOKUP($H260,'Fuel economy adjusted factor'!$A$2:$K$52,11,FALSE)*m2k))/'TCO Inputs'!$AZ$84</f>
        <v>45.34673835504249</v>
      </c>
      <c r="M260" s="125">
        <f>M149/293.07*(1/(VLOOKUP($H260,'Fuel economy adjusted factor'!$A$2:$K$52,11,FALSE)*m2k))/'TCO Inputs'!$AZ$84</f>
        <v>45.34673835504249</v>
      </c>
      <c r="N260" s="125">
        <f>N149/293.07*(1/(VLOOKUP($H260,'Fuel economy adjusted factor'!$A$2:$K$52,11,FALSE)*m2k))/'TCO Inputs'!$AZ$84</f>
        <v>45.34673835504249</v>
      </c>
      <c r="O260" s="125">
        <f>O149/293.07*(1/(VLOOKUP($H260,'Fuel economy adjusted factor'!$A$2:$K$52,11,FALSE)*m2k))/'TCO Inputs'!$AZ$84</f>
        <v>45.34673835504249</v>
      </c>
      <c r="P260" s="125">
        <f>P149/293.07*(1/(VLOOKUP($H260,'Fuel economy adjusted factor'!$A$2:$K$52,11,FALSE)*m2k))/'TCO Inputs'!$AZ$84</f>
        <v>27.646375592011129</v>
      </c>
      <c r="Q260" s="125">
        <f>Q149/293.07*(1/(VLOOKUP($H260,'Fuel economy adjusted factor'!$A$2:$K$52,11,FALSE)*m2k))/'TCO Inputs'!$AZ$84</f>
        <v>27.646375592011129</v>
      </c>
      <c r="R260" s="125">
        <f>R149/293.07*(1/(VLOOKUP($H260,'Fuel economy adjusted factor'!$A$2:$K$52,11,FALSE)*m2k))/'TCO Inputs'!$AZ$84</f>
        <v>27.646375592011129</v>
      </c>
      <c r="S260" s="125">
        <f>S149/293.07*(1/(VLOOKUP($H260,'Fuel economy adjusted factor'!$A$2:$K$52,11,FALSE)*m2k))/'TCO Inputs'!$AZ$84</f>
        <v>27.646375592011129</v>
      </c>
      <c r="T260" s="125">
        <f>T149/293.07*(1/(VLOOKUP($H260,'Fuel economy adjusted factor'!$A$2:$K$52,11,FALSE)*m2k))/'TCO Inputs'!$AZ$84</f>
        <v>27.646375592011129</v>
      </c>
      <c r="U260" s="125">
        <f>U149/293.07*(1/(VLOOKUP($H260,'Fuel economy adjusted factor'!$A$2:$K$52,11,FALSE)*m2k))/'TCO Inputs'!$AZ$84</f>
        <v>24.779314585361014</v>
      </c>
      <c r="V260" s="125">
        <f>V149/293.07*(1/(VLOOKUP($H260,'Fuel economy adjusted factor'!$A$2:$K$52,11,FALSE)*m2k))/'TCO Inputs'!$AZ$84</f>
        <v>24.779314585361014</v>
      </c>
      <c r="W260" s="125">
        <f>W149/293.07*(1/(VLOOKUP($H260,'Fuel economy adjusted factor'!$A$2:$K$52,11,FALSE)*m2k))/'TCO Inputs'!$AZ$84</f>
        <v>24.779314585361014</v>
      </c>
      <c r="X260" s="125">
        <f>X149/293.07*(1/(VLOOKUP($H260,'Fuel economy adjusted factor'!$A$2:$K$52,11,FALSE)*m2k))/'TCO Inputs'!$AZ$84</f>
        <v>24.779314585361014</v>
      </c>
      <c r="Y260" s="125">
        <f>Y149/293.07*(1/(VLOOKUP($H260,'Fuel economy adjusted factor'!$A$2:$K$52,11,FALSE)*m2k))/'TCO Inputs'!$AZ$84</f>
        <v>24.779314585361014</v>
      </c>
      <c r="Z260" s="125">
        <f>Z149/293.07*(1/(VLOOKUP($H260,'Fuel economy adjusted factor'!$A$2:$K$52,11,FALSE)*m2k))/'TCO Inputs'!$AZ$84</f>
        <v>23.908615841804252</v>
      </c>
      <c r="AA260" s="125">
        <f>AA149/293.07*(1/(VLOOKUP($H260,'Fuel economy adjusted factor'!$A$2:$K$52,11,FALSE)*m2k))/'TCO Inputs'!$AZ$84</f>
        <v>23.908615841804252</v>
      </c>
      <c r="AB260" s="125">
        <f>AB149/293.07*(1/(VLOOKUP($H260,'Fuel economy adjusted factor'!$A$2:$K$52,11,FALSE)*m2k))/'TCO Inputs'!$AZ$84</f>
        <v>23.908615841804252</v>
      </c>
      <c r="AC260" s="125">
        <f>AC149/293.07*(1/(VLOOKUP($H260,'Fuel economy adjusted factor'!$A$2:$K$52,11,FALSE)*m2k))/'TCO Inputs'!$AZ$84</f>
        <v>23.908615841804252</v>
      </c>
      <c r="AD260" s="125">
        <f>AD149/293.07*(1/(VLOOKUP($H260,'Fuel economy adjusted factor'!$A$2:$K$52,11,FALSE)*m2k))/'TCO Inputs'!$AZ$84</f>
        <v>23.908615841804252</v>
      </c>
      <c r="AE260" s="125">
        <f>AE149/293.07*(1/(VLOOKUP($H260,'Fuel economy adjusted factor'!$A$2:$K$52,11,FALSE)*m2k))/'TCO Inputs'!$AZ$84</f>
        <v>22.972286539687943</v>
      </c>
      <c r="AF260" s="125">
        <f>AF149/293.07*(1/(VLOOKUP($H260,'Fuel economy adjusted factor'!$A$2:$K$52,11,FALSE)*m2k))/'TCO Inputs'!$AZ$84</f>
        <v>22.972286539687943</v>
      </c>
      <c r="AG260" s="125">
        <f>AG149/293.07*(1/(VLOOKUP($H260,'Fuel economy adjusted factor'!$A$2:$K$52,11,FALSE)*m2k))/'TCO Inputs'!$AZ$84</f>
        <v>22.972286539687943</v>
      </c>
      <c r="AH260" s="125">
        <f>AH149/293.07*(1/(VLOOKUP($H260,'Fuel economy adjusted factor'!$A$2:$K$52,11,FALSE)*m2k))/'TCO Inputs'!$AZ$84</f>
        <v>22.972286539687943</v>
      </c>
      <c r="AI260" s="125">
        <f>AI149/293.07*(1/(VLOOKUP($H260,'Fuel economy adjusted factor'!$A$2:$K$52,11,FALSE)*m2k))/'TCO Inputs'!$AZ$84</f>
        <v>22.972286539687943</v>
      </c>
      <c r="AJ260" s="125">
        <f>AJ149/293.07*(1/(VLOOKUP($H260,'Fuel economy adjusted factor'!$A$2:$K$52,11,FALSE)*m2k))/'TCO Inputs'!$AZ$84</f>
        <v>21.52920977329968</v>
      </c>
      <c r="AK260" s="98" cm="1">
        <f t="array" ref="AK260">SUMPRODUCT(INDEX(I260:AJ260,,'TCO Inputs'!$AZ$12-2023+_xlfn.SEQUENCE('TCO Inputs'!$AZ$13))*INDEX('VKT US'!C99:AA99,,_xlfn.SEQUENCE('TCO Inputs'!$AZ$13)))*m2k*CONVERT(0.9072,"g","ton")*'TCO Inputs'!$BD$9</f>
        <v>5.1174512911413386</v>
      </c>
    </row>
    <row r="261" spans="8:37" x14ac:dyDescent="0.25">
      <c r="H261" s="123" t="s">
        <v>220</v>
      </c>
      <c r="I261" s="125">
        <f>I150/293.07*(1/(VLOOKUP($H261,'Fuel economy adjusted factor'!$A$2:$K$52,11,FALSE)*m2k))/'TCO Inputs'!$AZ$84</f>
        <v>89.606194507563885</v>
      </c>
      <c r="J261" s="125">
        <f>J150/293.07*(1/(VLOOKUP($H261,'Fuel economy adjusted factor'!$A$2:$K$52,11,FALSE)*m2k))/'TCO Inputs'!$AZ$84</f>
        <v>89.606194507563885</v>
      </c>
      <c r="K261" s="125">
        <f>K150/293.07*(1/(VLOOKUP($H261,'Fuel economy adjusted factor'!$A$2:$K$52,11,FALSE)*m2k))/'TCO Inputs'!$AZ$84</f>
        <v>78.725920768449839</v>
      </c>
      <c r="L261" s="125">
        <f>L150/293.07*(1/(VLOOKUP($H261,'Fuel economy adjusted factor'!$A$2:$K$52,11,FALSE)*m2k))/'TCO Inputs'!$AZ$84</f>
        <v>78.725920768449839</v>
      </c>
      <c r="M261" s="125">
        <f>M150/293.07*(1/(VLOOKUP($H261,'Fuel economy adjusted factor'!$A$2:$K$52,11,FALSE)*m2k))/'TCO Inputs'!$AZ$84</f>
        <v>78.725920768449839</v>
      </c>
      <c r="N261" s="125">
        <f>N150/293.07*(1/(VLOOKUP($H261,'Fuel economy adjusted factor'!$A$2:$K$52,11,FALSE)*m2k))/'TCO Inputs'!$AZ$84</f>
        <v>78.725920768449839</v>
      </c>
      <c r="O261" s="125">
        <f>O150/293.07*(1/(VLOOKUP($H261,'Fuel economy adjusted factor'!$A$2:$K$52,11,FALSE)*m2k))/'TCO Inputs'!$AZ$84</f>
        <v>78.725920768449839</v>
      </c>
      <c r="P261" s="125">
        <f>P150/293.07*(1/(VLOOKUP($H261,'Fuel economy adjusted factor'!$A$2:$K$52,11,FALSE)*m2k))/'TCO Inputs'!$AZ$84</f>
        <v>47.996536318679937</v>
      </c>
      <c r="Q261" s="125">
        <f>Q150/293.07*(1/(VLOOKUP($H261,'Fuel economy adjusted factor'!$A$2:$K$52,11,FALSE)*m2k))/'TCO Inputs'!$AZ$84</f>
        <v>47.996536318679937</v>
      </c>
      <c r="R261" s="125">
        <f>R150/293.07*(1/(VLOOKUP($H261,'Fuel economy adjusted factor'!$A$2:$K$52,11,FALSE)*m2k))/'TCO Inputs'!$AZ$84</f>
        <v>47.996536318679937</v>
      </c>
      <c r="S261" s="125">
        <f>S150/293.07*(1/(VLOOKUP($H261,'Fuel economy adjusted factor'!$A$2:$K$52,11,FALSE)*m2k))/'TCO Inputs'!$AZ$84</f>
        <v>47.996536318679937</v>
      </c>
      <c r="T261" s="125">
        <f>T150/293.07*(1/(VLOOKUP($H261,'Fuel economy adjusted factor'!$A$2:$K$52,11,FALSE)*m2k))/'TCO Inputs'!$AZ$84</f>
        <v>47.996536318679937</v>
      </c>
      <c r="U261" s="125">
        <f>U150/293.07*(1/(VLOOKUP($H261,'Fuel economy adjusted factor'!$A$2:$K$52,11,FALSE)*m2k))/'TCO Inputs'!$AZ$84</f>
        <v>43.019066585782376</v>
      </c>
      <c r="V261" s="125">
        <f>V150/293.07*(1/(VLOOKUP($H261,'Fuel economy adjusted factor'!$A$2:$K$52,11,FALSE)*m2k))/'TCO Inputs'!$AZ$84</f>
        <v>43.019066585782376</v>
      </c>
      <c r="W261" s="125">
        <f>W150/293.07*(1/(VLOOKUP($H261,'Fuel economy adjusted factor'!$A$2:$K$52,11,FALSE)*m2k))/'TCO Inputs'!$AZ$84</f>
        <v>43.019066585782376</v>
      </c>
      <c r="X261" s="125">
        <f>X150/293.07*(1/(VLOOKUP($H261,'Fuel economy adjusted factor'!$A$2:$K$52,11,FALSE)*m2k))/'TCO Inputs'!$AZ$84</f>
        <v>43.019066585782376</v>
      </c>
      <c r="Y261" s="125">
        <f>Y150/293.07*(1/(VLOOKUP($H261,'Fuel economy adjusted factor'!$A$2:$K$52,11,FALSE)*m2k))/'TCO Inputs'!$AZ$84</f>
        <v>43.019066585782376</v>
      </c>
      <c r="Z261" s="125">
        <f>Z150/293.07*(1/(VLOOKUP($H261,'Fuel economy adjusted factor'!$A$2:$K$52,11,FALSE)*m2k))/'TCO Inputs'!$AZ$84</f>
        <v>41.507457090039757</v>
      </c>
      <c r="AA261" s="125">
        <f>AA150/293.07*(1/(VLOOKUP($H261,'Fuel economy adjusted factor'!$A$2:$K$52,11,FALSE)*m2k))/'TCO Inputs'!$AZ$84</f>
        <v>41.507457090039757</v>
      </c>
      <c r="AB261" s="125">
        <f>AB150/293.07*(1/(VLOOKUP($H261,'Fuel economy adjusted factor'!$A$2:$K$52,11,FALSE)*m2k))/'TCO Inputs'!$AZ$84</f>
        <v>41.507457090039757</v>
      </c>
      <c r="AC261" s="125">
        <f>AC150/293.07*(1/(VLOOKUP($H261,'Fuel economy adjusted factor'!$A$2:$K$52,11,FALSE)*m2k))/'TCO Inputs'!$AZ$84</f>
        <v>41.507457090039757</v>
      </c>
      <c r="AD261" s="125">
        <f>AD150/293.07*(1/(VLOOKUP($H261,'Fuel economy adjusted factor'!$A$2:$K$52,11,FALSE)*m2k))/'TCO Inputs'!$AZ$84</f>
        <v>41.507457090039757</v>
      </c>
      <c r="AE261" s="125">
        <f>AE150/293.07*(1/(VLOOKUP($H261,'Fuel economy adjusted factor'!$A$2:$K$52,11,FALSE)*m2k))/'TCO Inputs'!$AZ$84</f>
        <v>39.881907180045189</v>
      </c>
      <c r="AF261" s="125">
        <f>AF150/293.07*(1/(VLOOKUP($H261,'Fuel economy adjusted factor'!$A$2:$K$52,11,FALSE)*m2k))/'TCO Inputs'!$AZ$84</f>
        <v>39.881907180045189</v>
      </c>
      <c r="AG261" s="125">
        <f>AG150/293.07*(1/(VLOOKUP($H261,'Fuel economy adjusted factor'!$A$2:$K$52,11,FALSE)*m2k))/'TCO Inputs'!$AZ$84</f>
        <v>39.881907180045189</v>
      </c>
      <c r="AH261" s="125">
        <f>AH150/293.07*(1/(VLOOKUP($H261,'Fuel economy adjusted factor'!$A$2:$K$52,11,FALSE)*m2k))/'TCO Inputs'!$AZ$84</f>
        <v>39.881907180045189</v>
      </c>
      <c r="AI261" s="125">
        <f>AI150/293.07*(1/(VLOOKUP($H261,'Fuel economy adjusted factor'!$A$2:$K$52,11,FALSE)*m2k))/'TCO Inputs'!$AZ$84</f>
        <v>39.881907180045189</v>
      </c>
      <c r="AJ261" s="125">
        <f>AJ150/293.07*(1/(VLOOKUP($H261,'Fuel economy adjusted factor'!$A$2:$K$52,11,FALSE)*m2k))/'TCO Inputs'!$AZ$84</f>
        <v>37.376599162432491</v>
      </c>
      <c r="AK261" s="98" cm="1">
        <f t="array" ref="AK261">SUMPRODUCT(INDEX(I261:AJ261,,'TCO Inputs'!$AZ$12-2023+_xlfn.SEQUENCE('TCO Inputs'!$AZ$13))*INDEX('VKT US'!C100:AA100,,_xlfn.SEQUENCE('TCO Inputs'!$AZ$13)))*m2k*CONVERT(0.9072,"g","ton")*'TCO Inputs'!$BD$9</f>
        <v>8.322256318146346</v>
      </c>
    </row>
    <row r="262" spans="8:37" x14ac:dyDescent="0.25">
      <c r="H262" s="123" t="s">
        <v>221</v>
      </c>
      <c r="I262" s="125">
        <f>I151/293.07*(1/(VLOOKUP($H262,'Fuel economy adjusted factor'!$A$2:$K$52,11,FALSE)*m2k))/'TCO Inputs'!$AZ$84</f>
        <v>113.7002925399519</v>
      </c>
      <c r="J262" s="125">
        <f>J151/293.07*(1/(VLOOKUP($H262,'Fuel economy adjusted factor'!$A$2:$K$52,11,FALSE)*m2k))/'TCO Inputs'!$AZ$84</f>
        <v>113.7002925399519</v>
      </c>
      <c r="K262" s="125">
        <f>K151/293.07*(1/(VLOOKUP($H262,'Fuel economy adjusted factor'!$A$2:$K$52,11,FALSE)*m2k))/'TCO Inputs'!$AZ$84</f>
        <v>99.894435547022724</v>
      </c>
      <c r="L262" s="125">
        <f>L151/293.07*(1/(VLOOKUP($H262,'Fuel economy adjusted factor'!$A$2:$K$52,11,FALSE)*m2k))/'TCO Inputs'!$AZ$84</f>
        <v>99.894435547022724</v>
      </c>
      <c r="M262" s="125">
        <f>M151/293.07*(1/(VLOOKUP($H262,'Fuel economy adjusted factor'!$A$2:$K$52,11,FALSE)*m2k))/'TCO Inputs'!$AZ$84</f>
        <v>99.894435547022724</v>
      </c>
      <c r="N262" s="125">
        <f>N151/293.07*(1/(VLOOKUP($H262,'Fuel economy adjusted factor'!$A$2:$K$52,11,FALSE)*m2k))/'TCO Inputs'!$AZ$84</f>
        <v>99.894435547022724</v>
      </c>
      <c r="O262" s="125">
        <f>O151/293.07*(1/(VLOOKUP($H262,'Fuel economy adjusted factor'!$A$2:$K$52,11,FALSE)*m2k))/'TCO Inputs'!$AZ$84</f>
        <v>99.894435547022724</v>
      </c>
      <c r="P262" s="125">
        <f>P151/293.07*(1/(VLOOKUP($H262,'Fuel economy adjusted factor'!$A$2:$K$52,11,FALSE)*m2k))/'TCO Inputs'!$AZ$84</f>
        <v>60.902265187455079</v>
      </c>
      <c r="Q262" s="125">
        <f>Q151/293.07*(1/(VLOOKUP($H262,'Fuel economy adjusted factor'!$A$2:$K$52,11,FALSE)*m2k))/'TCO Inputs'!$AZ$84</f>
        <v>60.902265187455079</v>
      </c>
      <c r="R262" s="125">
        <f>R151/293.07*(1/(VLOOKUP($H262,'Fuel economy adjusted factor'!$A$2:$K$52,11,FALSE)*m2k))/'TCO Inputs'!$AZ$84</f>
        <v>60.902265187455079</v>
      </c>
      <c r="S262" s="125">
        <f>S151/293.07*(1/(VLOOKUP($H262,'Fuel economy adjusted factor'!$A$2:$K$52,11,FALSE)*m2k))/'TCO Inputs'!$AZ$84</f>
        <v>60.902265187455079</v>
      </c>
      <c r="T262" s="125">
        <f>T151/293.07*(1/(VLOOKUP($H262,'Fuel economy adjusted factor'!$A$2:$K$52,11,FALSE)*m2k))/'TCO Inputs'!$AZ$84</f>
        <v>60.902265187455079</v>
      </c>
      <c r="U262" s="125">
        <f>U151/293.07*(1/(VLOOKUP($H262,'Fuel economy adjusted factor'!$A$2:$K$52,11,FALSE)*m2k))/'TCO Inputs'!$AZ$84</f>
        <v>54.586409817752511</v>
      </c>
      <c r="V262" s="125">
        <f>V151/293.07*(1/(VLOOKUP($H262,'Fuel economy adjusted factor'!$A$2:$K$52,11,FALSE)*m2k))/'TCO Inputs'!$AZ$84</f>
        <v>54.586409817752511</v>
      </c>
      <c r="W262" s="125">
        <f>W151/293.07*(1/(VLOOKUP($H262,'Fuel economy adjusted factor'!$A$2:$K$52,11,FALSE)*m2k))/'TCO Inputs'!$AZ$84</f>
        <v>54.586409817752511</v>
      </c>
      <c r="X262" s="125">
        <f>X151/293.07*(1/(VLOOKUP($H262,'Fuel economy adjusted factor'!$A$2:$K$52,11,FALSE)*m2k))/'TCO Inputs'!$AZ$84</f>
        <v>54.586409817752511</v>
      </c>
      <c r="Y262" s="125">
        <f>Y151/293.07*(1/(VLOOKUP($H262,'Fuel economy adjusted factor'!$A$2:$K$52,11,FALSE)*m2k))/'TCO Inputs'!$AZ$84</f>
        <v>54.586409817752511</v>
      </c>
      <c r="Z262" s="125">
        <f>Z151/293.07*(1/(VLOOKUP($H262,'Fuel economy adjusted factor'!$A$2:$K$52,11,FALSE)*m2k))/'TCO Inputs'!$AZ$84</f>
        <v>52.668345527480746</v>
      </c>
      <c r="AA262" s="125">
        <f>AA151/293.07*(1/(VLOOKUP($H262,'Fuel economy adjusted factor'!$A$2:$K$52,11,FALSE)*m2k))/'TCO Inputs'!$AZ$84</f>
        <v>52.668345527480746</v>
      </c>
      <c r="AB262" s="125">
        <f>AB151/293.07*(1/(VLOOKUP($H262,'Fuel economy adjusted factor'!$A$2:$K$52,11,FALSE)*m2k))/'TCO Inputs'!$AZ$84</f>
        <v>52.668345527480746</v>
      </c>
      <c r="AC262" s="125">
        <f>AC151/293.07*(1/(VLOOKUP($H262,'Fuel economy adjusted factor'!$A$2:$K$52,11,FALSE)*m2k))/'TCO Inputs'!$AZ$84</f>
        <v>52.668345527480746</v>
      </c>
      <c r="AD262" s="125">
        <f>AD151/293.07*(1/(VLOOKUP($H262,'Fuel economy adjusted factor'!$A$2:$K$52,11,FALSE)*m2k))/'TCO Inputs'!$AZ$84</f>
        <v>52.668345527480746</v>
      </c>
      <c r="AE262" s="125">
        <f>AE151/293.07*(1/(VLOOKUP($H262,'Fuel economy adjusted factor'!$A$2:$K$52,11,FALSE)*m2k))/'TCO Inputs'!$AZ$84</f>
        <v>50.605703526886991</v>
      </c>
      <c r="AF262" s="125">
        <f>AF151/293.07*(1/(VLOOKUP($H262,'Fuel economy adjusted factor'!$A$2:$K$52,11,FALSE)*m2k))/'TCO Inputs'!$AZ$84</f>
        <v>50.605703526886991</v>
      </c>
      <c r="AG262" s="125">
        <f>AG151/293.07*(1/(VLOOKUP($H262,'Fuel economy adjusted factor'!$A$2:$K$52,11,FALSE)*m2k))/'TCO Inputs'!$AZ$84</f>
        <v>50.605703526886991</v>
      </c>
      <c r="AH262" s="125">
        <f>AH151/293.07*(1/(VLOOKUP($H262,'Fuel economy adjusted factor'!$A$2:$K$52,11,FALSE)*m2k))/'TCO Inputs'!$AZ$84</f>
        <v>50.605703526886991</v>
      </c>
      <c r="AI262" s="125">
        <f>AI151/293.07*(1/(VLOOKUP($H262,'Fuel economy adjusted factor'!$A$2:$K$52,11,FALSE)*m2k))/'TCO Inputs'!$AZ$84</f>
        <v>50.605703526886991</v>
      </c>
      <c r="AJ262" s="125">
        <f>AJ151/293.07*(1/(VLOOKUP($H262,'Fuel economy adjusted factor'!$A$2:$K$52,11,FALSE)*m2k))/'TCO Inputs'!$AZ$84</f>
        <v>47.426746356897972</v>
      </c>
      <c r="AK262" s="98" cm="1">
        <f t="array" ref="AK262">SUMPRODUCT(INDEX(I262:AJ262,,'TCO Inputs'!$AZ$12-2023+_xlfn.SEQUENCE('TCO Inputs'!$AZ$13))*INDEX('VKT US'!C101:AA101,,_xlfn.SEQUENCE('TCO Inputs'!$AZ$13)))*m2k*CONVERT(0.9072,"g","ton")*'TCO Inputs'!$BD$9</f>
        <v>9.1907674842283882</v>
      </c>
    </row>
    <row r="263" spans="8:37" x14ac:dyDescent="0.25">
      <c r="H263" s="123" t="s">
        <v>222</v>
      </c>
      <c r="I263" s="125">
        <f>I152/293.07*(1/(VLOOKUP($H263,'Fuel economy adjusted factor'!$A$2:$K$52,11,FALSE)*m2k))/'TCO Inputs'!$AZ$84</f>
        <v>64.888678612291173</v>
      </c>
      <c r="J263" s="125">
        <f>J152/293.07*(1/(VLOOKUP($H263,'Fuel economy adjusted factor'!$A$2:$K$52,11,FALSE)*m2k))/'TCO Inputs'!$AZ$84</f>
        <v>64.888678612291173</v>
      </c>
      <c r="K263" s="125">
        <f>K152/293.07*(1/(VLOOKUP($H263,'Fuel economy adjusted factor'!$A$2:$K$52,11,FALSE)*m2k))/'TCO Inputs'!$AZ$84</f>
        <v>57.009685538753978</v>
      </c>
      <c r="L263" s="125">
        <f>L152/293.07*(1/(VLOOKUP($H263,'Fuel economy adjusted factor'!$A$2:$K$52,11,FALSE)*m2k))/'TCO Inputs'!$AZ$84</f>
        <v>57.009685538753978</v>
      </c>
      <c r="M263" s="125">
        <f>M152/293.07*(1/(VLOOKUP($H263,'Fuel economy adjusted factor'!$A$2:$K$52,11,FALSE)*m2k))/'TCO Inputs'!$AZ$84</f>
        <v>57.009685538753978</v>
      </c>
      <c r="N263" s="125">
        <f>N152/293.07*(1/(VLOOKUP($H263,'Fuel economy adjusted factor'!$A$2:$K$52,11,FALSE)*m2k))/'TCO Inputs'!$AZ$84</f>
        <v>57.009685538753978</v>
      </c>
      <c r="O263" s="125">
        <f>O152/293.07*(1/(VLOOKUP($H263,'Fuel economy adjusted factor'!$A$2:$K$52,11,FALSE)*m2k))/'TCO Inputs'!$AZ$84</f>
        <v>57.009685538753978</v>
      </c>
      <c r="P263" s="125">
        <f>P152/293.07*(1/(VLOOKUP($H263,'Fuel economy adjusted factor'!$A$2:$K$52,11,FALSE)*m2k))/'TCO Inputs'!$AZ$84</f>
        <v>34.756880780413979</v>
      </c>
      <c r="Q263" s="125">
        <f>Q152/293.07*(1/(VLOOKUP($H263,'Fuel economy adjusted factor'!$A$2:$K$52,11,FALSE)*m2k))/'TCO Inputs'!$AZ$84</f>
        <v>34.756880780413979</v>
      </c>
      <c r="R263" s="125">
        <f>R152/293.07*(1/(VLOOKUP($H263,'Fuel economy adjusted factor'!$A$2:$K$52,11,FALSE)*m2k))/'TCO Inputs'!$AZ$84</f>
        <v>34.756880780413979</v>
      </c>
      <c r="S263" s="125">
        <f>S152/293.07*(1/(VLOOKUP($H263,'Fuel economy adjusted factor'!$A$2:$K$52,11,FALSE)*m2k))/'TCO Inputs'!$AZ$84</f>
        <v>34.756880780413979</v>
      </c>
      <c r="T263" s="125">
        <f>T152/293.07*(1/(VLOOKUP($H263,'Fuel economy adjusted factor'!$A$2:$K$52,11,FALSE)*m2k))/'TCO Inputs'!$AZ$84</f>
        <v>34.756880780413979</v>
      </c>
      <c r="U263" s="125">
        <f>U152/293.07*(1/(VLOOKUP($H263,'Fuel economy adjusted factor'!$A$2:$K$52,11,FALSE)*m2k))/'TCO Inputs'!$AZ$84</f>
        <v>31.152426472591177</v>
      </c>
      <c r="V263" s="125">
        <f>V152/293.07*(1/(VLOOKUP($H263,'Fuel economy adjusted factor'!$A$2:$K$52,11,FALSE)*m2k))/'TCO Inputs'!$AZ$84</f>
        <v>31.152426472591177</v>
      </c>
      <c r="W263" s="125">
        <f>W152/293.07*(1/(VLOOKUP($H263,'Fuel economy adjusted factor'!$A$2:$K$52,11,FALSE)*m2k))/'TCO Inputs'!$AZ$84</f>
        <v>31.152426472591177</v>
      </c>
      <c r="X263" s="125">
        <f>X152/293.07*(1/(VLOOKUP($H263,'Fuel economy adjusted factor'!$A$2:$K$52,11,FALSE)*m2k))/'TCO Inputs'!$AZ$84</f>
        <v>31.152426472591177</v>
      </c>
      <c r="Y263" s="125">
        <f>Y152/293.07*(1/(VLOOKUP($H263,'Fuel economy adjusted factor'!$A$2:$K$52,11,FALSE)*m2k))/'TCO Inputs'!$AZ$84</f>
        <v>31.152426472591177</v>
      </c>
      <c r="Z263" s="125">
        <f>Z152/293.07*(1/(VLOOKUP($H263,'Fuel economy adjusted factor'!$A$2:$K$52,11,FALSE)*m2k))/'TCO Inputs'!$AZ$84</f>
        <v>30.057788503692151</v>
      </c>
      <c r="AA263" s="125">
        <f>AA152/293.07*(1/(VLOOKUP($H263,'Fuel economy adjusted factor'!$A$2:$K$52,11,FALSE)*m2k))/'TCO Inputs'!$AZ$84</f>
        <v>30.057788503692151</v>
      </c>
      <c r="AB263" s="125">
        <f>AB152/293.07*(1/(VLOOKUP($H263,'Fuel economy adjusted factor'!$A$2:$K$52,11,FALSE)*m2k))/'TCO Inputs'!$AZ$84</f>
        <v>30.057788503692151</v>
      </c>
      <c r="AC263" s="125">
        <f>AC152/293.07*(1/(VLOOKUP($H263,'Fuel economy adjusted factor'!$A$2:$K$52,11,FALSE)*m2k))/'TCO Inputs'!$AZ$84</f>
        <v>30.057788503692151</v>
      </c>
      <c r="AD263" s="125">
        <f>AD152/293.07*(1/(VLOOKUP($H263,'Fuel economy adjusted factor'!$A$2:$K$52,11,FALSE)*m2k))/'TCO Inputs'!$AZ$84</f>
        <v>30.057788503692151</v>
      </c>
      <c r="AE263" s="125">
        <f>AE152/293.07*(1/(VLOOKUP($H263,'Fuel economy adjusted factor'!$A$2:$K$52,11,FALSE)*m2k))/'TCO Inputs'!$AZ$84</f>
        <v>28.880640135127386</v>
      </c>
      <c r="AF263" s="125">
        <f>AF152/293.07*(1/(VLOOKUP($H263,'Fuel economy adjusted factor'!$A$2:$K$52,11,FALSE)*m2k))/'TCO Inputs'!$AZ$84</f>
        <v>28.880640135127386</v>
      </c>
      <c r="AG263" s="125">
        <f>AG152/293.07*(1/(VLOOKUP($H263,'Fuel economy adjusted factor'!$A$2:$K$52,11,FALSE)*m2k))/'TCO Inputs'!$AZ$84</f>
        <v>28.880640135127386</v>
      </c>
      <c r="AH263" s="125">
        <f>AH152/293.07*(1/(VLOOKUP($H263,'Fuel economy adjusted factor'!$A$2:$K$52,11,FALSE)*m2k))/'TCO Inputs'!$AZ$84</f>
        <v>28.880640135127386</v>
      </c>
      <c r="AI263" s="125">
        <f>AI152/293.07*(1/(VLOOKUP($H263,'Fuel economy adjusted factor'!$A$2:$K$52,11,FALSE)*m2k))/'TCO Inputs'!$AZ$84</f>
        <v>28.880640135127386</v>
      </c>
      <c r="AJ263" s="125">
        <f>AJ152/293.07*(1/(VLOOKUP($H263,'Fuel economy adjusted factor'!$A$2:$K$52,11,FALSE)*m2k))/'TCO Inputs'!$AZ$84</f>
        <v>27.066411468537328</v>
      </c>
      <c r="AK263" s="98" cm="1">
        <f t="array" ref="AK263">SUMPRODUCT(INDEX(I263:AJ263,,'TCO Inputs'!$AZ$12-2023+_xlfn.SEQUENCE('TCO Inputs'!$AZ$13))*INDEX('VKT US'!C102:AA102,,_xlfn.SEQUENCE('TCO Inputs'!$AZ$13)))*m2k*CONVERT(0.9072,"g","ton")*'TCO Inputs'!$BD$9</f>
        <v>7.8674837210784174</v>
      </c>
    </row>
    <row r="264" spans="8:37" x14ac:dyDescent="0.25">
      <c r="H264" s="123" t="s">
        <v>223</v>
      </c>
      <c r="I264" s="125">
        <f>I153/293.07*(1/(VLOOKUP($H264,'Fuel economy adjusted factor'!$A$2:$K$52,11,FALSE)*m2k))/'TCO Inputs'!$AZ$84</f>
        <v>46.485666421243593</v>
      </c>
      <c r="J264" s="125">
        <f>J153/293.07*(1/(VLOOKUP($H264,'Fuel economy adjusted factor'!$A$2:$K$52,11,FALSE)*m2k))/'TCO Inputs'!$AZ$84</f>
        <v>46.485666421243593</v>
      </c>
      <c r="K264" s="125">
        <f>K153/293.07*(1/(VLOOKUP($H264,'Fuel economy adjusted factor'!$A$2:$K$52,11,FALSE)*m2k))/'TCO Inputs'!$AZ$84</f>
        <v>40.841226565407759</v>
      </c>
      <c r="L264" s="125">
        <f>L153/293.07*(1/(VLOOKUP($H264,'Fuel economy adjusted factor'!$A$2:$K$52,11,FALSE)*m2k))/'TCO Inputs'!$AZ$84</f>
        <v>40.841226565407759</v>
      </c>
      <c r="M264" s="125">
        <f>M153/293.07*(1/(VLOOKUP($H264,'Fuel economy adjusted factor'!$A$2:$K$52,11,FALSE)*m2k))/'TCO Inputs'!$AZ$84</f>
        <v>40.841226565407759</v>
      </c>
      <c r="N264" s="125">
        <f>N153/293.07*(1/(VLOOKUP($H264,'Fuel economy adjusted factor'!$A$2:$K$52,11,FALSE)*m2k))/'TCO Inputs'!$AZ$84</f>
        <v>40.841226565407759</v>
      </c>
      <c r="O264" s="125">
        <f>O153/293.07*(1/(VLOOKUP($H264,'Fuel economy adjusted factor'!$A$2:$K$52,11,FALSE)*m2k))/'TCO Inputs'!$AZ$84</f>
        <v>40.841226565407759</v>
      </c>
      <c r="P264" s="125">
        <f>P153/293.07*(1/(VLOOKUP($H264,'Fuel economy adjusted factor'!$A$2:$K$52,11,FALSE)*m2k))/'TCO Inputs'!$AZ$84</f>
        <v>24.89951714774498</v>
      </c>
      <c r="Q264" s="125">
        <f>Q153/293.07*(1/(VLOOKUP($H264,'Fuel economy adjusted factor'!$A$2:$K$52,11,FALSE)*m2k))/'TCO Inputs'!$AZ$84</f>
        <v>24.89951714774498</v>
      </c>
      <c r="R264" s="125">
        <f>R153/293.07*(1/(VLOOKUP($H264,'Fuel economy adjusted factor'!$A$2:$K$52,11,FALSE)*m2k))/'TCO Inputs'!$AZ$84</f>
        <v>24.89951714774498</v>
      </c>
      <c r="S264" s="125">
        <f>S153/293.07*(1/(VLOOKUP($H264,'Fuel economy adjusted factor'!$A$2:$K$52,11,FALSE)*m2k))/'TCO Inputs'!$AZ$84</f>
        <v>24.89951714774498</v>
      </c>
      <c r="T264" s="125">
        <f>T153/293.07*(1/(VLOOKUP($H264,'Fuel economy adjusted factor'!$A$2:$K$52,11,FALSE)*m2k))/'TCO Inputs'!$AZ$84</f>
        <v>24.89951714774498</v>
      </c>
      <c r="U264" s="125">
        <f>U153/293.07*(1/(VLOOKUP($H264,'Fuel economy adjusted factor'!$A$2:$K$52,11,FALSE)*m2k))/'TCO Inputs'!$AZ$84</f>
        <v>22.31731846274468</v>
      </c>
      <c r="V264" s="125">
        <f>V153/293.07*(1/(VLOOKUP($H264,'Fuel economy adjusted factor'!$A$2:$K$52,11,FALSE)*m2k))/'TCO Inputs'!$AZ$84</f>
        <v>22.31731846274468</v>
      </c>
      <c r="W264" s="125">
        <f>W153/293.07*(1/(VLOOKUP($H264,'Fuel economy adjusted factor'!$A$2:$K$52,11,FALSE)*m2k))/'TCO Inputs'!$AZ$84</f>
        <v>22.31731846274468</v>
      </c>
      <c r="X264" s="125">
        <f>X153/293.07*(1/(VLOOKUP($H264,'Fuel economy adjusted factor'!$A$2:$K$52,11,FALSE)*m2k))/'TCO Inputs'!$AZ$84</f>
        <v>22.31731846274468</v>
      </c>
      <c r="Y264" s="125">
        <f>Y153/293.07*(1/(VLOOKUP($H264,'Fuel economy adjusted factor'!$A$2:$K$52,11,FALSE)*m2k))/'TCO Inputs'!$AZ$84</f>
        <v>22.31731846274468</v>
      </c>
      <c r="Z264" s="125">
        <f>Z153/293.07*(1/(VLOOKUP($H264,'Fuel economy adjusted factor'!$A$2:$K$52,11,FALSE)*m2k))/'TCO Inputs'!$AZ$84</f>
        <v>21.533129655660094</v>
      </c>
      <c r="AA264" s="125">
        <f>AA153/293.07*(1/(VLOOKUP($H264,'Fuel economy adjusted factor'!$A$2:$K$52,11,FALSE)*m2k))/'TCO Inputs'!$AZ$84</f>
        <v>21.533129655660094</v>
      </c>
      <c r="AB264" s="125">
        <f>AB153/293.07*(1/(VLOOKUP($H264,'Fuel economy adjusted factor'!$A$2:$K$52,11,FALSE)*m2k))/'TCO Inputs'!$AZ$84</f>
        <v>21.533129655660094</v>
      </c>
      <c r="AC264" s="125">
        <f>AC153/293.07*(1/(VLOOKUP($H264,'Fuel economy adjusted factor'!$A$2:$K$52,11,FALSE)*m2k))/'TCO Inputs'!$AZ$84</f>
        <v>21.533129655660094</v>
      </c>
      <c r="AD264" s="125">
        <f>AD153/293.07*(1/(VLOOKUP($H264,'Fuel economy adjusted factor'!$A$2:$K$52,11,FALSE)*m2k))/'TCO Inputs'!$AZ$84</f>
        <v>21.533129655660094</v>
      </c>
      <c r="AE264" s="125">
        <f>AE153/293.07*(1/(VLOOKUP($H264,'Fuel economy adjusted factor'!$A$2:$K$52,11,FALSE)*m2k))/'TCO Inputs'!$AZ$84</f>
        <v>20.689831139498789</v>
      </c>
      <c r="AF264" s="125">
        <f>AF153/293.07*(1/(VLOOKUP($H264,'Fuel economy adjusted factor'!$A$2:$K$52,11,FALSE)*m2k))/'TCO Inputs'!$AZ$84</f>
        <v>20.689831139498789</v>
      </c>
      <c r="AG264" s="125">
        <f>AG153/293.07*(1/(VLOOKUP($H264,'Fuel economy adjusted factor'!$A$2:$K$52,11,FALSE)*m2k))/'TCO Inputs'!$AZ$84</f>
        <v>20.689831139498789</v>
      </c>
      <c r="AH264" s="125">
        <f>AH153/293.07*(1/(VLOOKUP($H264,'Fuel economy adjusted factor'!$A$2:$K$52,11,FALSE)*m2k))/'TCO Inputs'!$AZ$84</f>
        <v>20.689831139498789</v>
      </c>
      <c r="AI264" s="125">
        <f>AI153/293.07*(1/(VLOOKUP($H264,'Fuel economy adjusted factor'!$A$2:$K$52,11,FALSE)*m2k))/'TCO Inputs'!$AZ$84</f>
        <v>20.689831139498789</v>
      </c>
      <c r="AJ264" s="125">
        <f>AJ153/293.07*(1/(VLOOKUP($H264,'Fuel economy adjusted factor'!$A$2:$K$52,11,FALSE)*m2k))/'TCO Inputs'!$AZ$84</f>
        <v>19.390134021132933</v>
      </c>
      <c r="AK264" s="98" cm="1">
        <f t="array" ref="AK264">SUMPRODUCT(INDEX(I264:AJ264,,'TCO Inputs'!$AZ$12-2023+_xlfn.SEQUENCE('TCO Inputs'!$AZ$13))*INDEX('VKT US'!C103:AA103,,_xlfn.SEQUENCE('TCO Inputs'!$AZ$13)))*m2k*CONVERT(0.9072,"g","ton")*'TCO Inputs'!$BD$9</f>
        <v>5.8625327084896188</v>
      </c>
    </row>
    <row r="265" spans="8:37" x14ac:dyDescent="0.25">
      <c r="H265" s="123" t="s">
        <v>224</v>
      </c>
      <c r="I265" s="125">
        <f>I154/293.07*(1/(VLOOKUP($H265,'Fuel economy adjusted factor'!$A$2:$K$52,11,FALSE)*m2k))/'TCO Inputs'!$AZ$84</f>
        <v>72.546135183454339</v>
      </c>
      <c r="J265" s="125">
        <f>J154/293.07*(1/(VLOOKUP($H265,'Fuel economy adjusted factor'!$A$2:$K$52,11,FALSE)*m2k))/'TCO Inputs'!$AZ$84</f>
        <v>72.546135183454339</v>
      </c>
      <c r="K265" s="125">
        <f>K154/293.07*(1/(VLOOKUP($H265,'Fuel economy adjusted factor'!$A$2:$K$52,11,FALSE)*m2k))/'TCO Inputs'!$AZ$84</f>
        <v>63.737348984592543</v>
      </c>
      <c r="L265" s="125">
        <f>L154/293.07*(1/(VLOOKUP($H265,'Fuel economy adjusted factor'!$A$2:$K$52,11,FALSE)*m2k))/'TCO Inputs'!$AZ$84</f>
        <v>63.737348984592543</v>
      </c>
      <c r="M265" s="125">
        <f>M154/293.07*(1/(VLOOKUP($H265,'Fuel economy adjusted factor'!$A$2:$K$52,11,FALSE)*m2k))/'TCO Inputs'!$AZ$84</f>
        <v>63.737348984592543</v>
      </c>
      <c r="N265" s="125">
        <f>N154/293.07*(1/(VLOOKUP($H265,'Fuel economy adjusted factor'!$A$2:$K$52,11,FALSE)*m2k))/'TCO Inputs'!$AZ$84</f>
        <v>63.737348984592543</v>
      </c>
      <c r="O265" s="125">
        <f>O154/293.07*(1/(VLOOKUP($H265,'Fuel economy adjusted factor'!$A$2:$K$52,11,FALSE)*m2k))/'TCO Inputs'!$AZ$84</f>
        <v>63.737348984592543</v>
      </c>
      <c r="P265" s="125">
        <f>P154/293.07*(1/(VLOOKUP($H265,'Fuel economy adjusted factor'!$A$2:$K$52,11,FALSE)*m2k))/'TCO Inputs'!$AZ$84</f>
        <v>38.85851007564672</v>
      </c>
      <c r="Q265" s="125">
        <f>Q154/293.07*(1/(VLOOKUP($H265,'Fuel economy adjusted factor'!$A$2:$K$52,11,FALSE)*m2k))/'TCO Inputs'!$AZ$84</f>
        <v>38.85851007564672</v>
      </c>
      <c r="R265" s="125">
        <f>R154/293.07*(1/(VLOOKUP($H265,'Fuel economy adjusted factor'!$A$2:$K$52,11,FALSE)*m2k))/'TCO Inputs'!$AZ$84</f>
        <v>38.85851007564672</v>
      </c>
      <c r="S265" s="125">
        <f>S154/293.07*(1/(VLOOKUP($H265,'Fuel economy adjusted factor'!$A$2:$K$52,11,FALSE)*m2k))/'TCO Inputs'!$AZ$84</f>
        <v>38.85851007564672</v>
      </c>
      <c r="T265" s="125">
        <f>T154/293.07*(1/(VLOOKUP($H265,'Fuel economy adjusted factor'!$A$2:$K$52,11,FALSE)*m2k))/'TCO Inputs'!$AZ$84</f>
        <v>38.85851007564672</v>
      </c>
      <c r="U265" s="125">
        <f>U154/293.07*(1/(VLOOKUP($H265,'Fuel economy adjusted factor'!$A$2:$K$52,11,FALSE)*m2k))/'TCO Inputs'!$AZ$84</f>
        <v>34.828697247429155</v>
      </c>
      <c r="V265" s="125">
        <f>V154/293.07*(1/(VLOOKUP($H265,'Fuel economy adjusted factor'!$A$2:$K$52,11,FALSE)*m2k))/'TCO Inputs'!$AZ$84</f>
        <v>34.828697247429155</v>
      </c>
      <c r="W265" s="125">
        <f>W154/293.07*(1/(VLOOKUP($H265,'Fuel economy adjusted factor'!$A$2:$K$52,11,FALSE)*m2k))/'TCO Inputs'!$AZ$84</f>
        <v>34.828697247429155</v>
      </c>
      <c r="X265" s="125">
        <f>X154/293.07*(1/(VLOOKUP($H265,'Fuel economy adjusted factor'!$A$2:$K$52,11,FALSE)*m2k))/'TCO Inputs'!$AZ$84</f>
        <v>34.828697247429155</v>
      </c>
      <c r="Y265" s="125">
        <f>Y154/293.07*(1/(VLOOKUP($H265,'Fuel economy adjusted factor'!$A$2:$K$52,11,FALSE)*m2k))/'TCO Inputs'!$AZ$84</f>
        <v>34.828697247429155</v>
      </c>
      <c r="Z265" s="125">
        <f>Z154/293.07*(1/(VLOOKUP($H265,'Fuel economy adjusted factor'!$A$2:$K$52,11,FALSE)*m2k))/'TCO Inputs'!$AZ$84</f>
        <v>33.604882003121688</v>
      </c>
      <c r="AA265" s="125">
        <f>AA154/293.07*(1/(VLOOKUP($H265,'Fuel economy adjusted factor'!$A$2:$K$52,11,FALSE)*m2k))/'TCO Inputs'!$AZ$84</f>
        <v>33.604882003121688</v>
      </c>
      <c r="AB265" s="125">
        <f>AB154/293.07*(1/(VLOOKUP($H265,'Fuel economy adjusted factor'!$A$2:$K$52,11,FALSE)*m2k))/'TCO Inputs'!$AZ$84</f>
        <v>33.604882003121688</v>
      </c>
      <c r="AC265" s="125">
        <f>AC154/293.07*(1/(VLOOKUP($H265,'Fuel economy adjusted factor'!$A$2:$K$52,11,FALSE)*m2k))/'TCO Inputs'!$AZ$84</f>
        <v>33.604882003121688</v>
      </c>
      <c r="AD265" s="125">
        <f>AD154/293.07*(1/(VLOOKUP($H265,'Fuel economy adjusted factor'!$A$2:$K$52,11,FALSE)*m2k))/'TCO Inputs'!$AZ$84</f>
        <v>33.604882003121688</v>
      </c>
      <c r="AE265" s="125">
        <f>AE154/293.07*(1/(VLOOKUP($H265,'Fuel economy adjusted factor'!$A$2:$K$52,11,FALSE)*m2k))/'TCO Inputs'!$AZ$84</f>
        <v>32.288819378590041</v>
      </c>
      <c r="AF265" s="125">
        <f>AF154/293.07*(1/(VLOOKUP($H265,'Fuel economy adjusted factor'!$A$2:$K$52,11,FALSE)*m2k))/'TCO Inputs'!$AZ$84</f>
        <v>32.288819378590041</v>
      </c>
      <c r="AG265" s="125">
        <f>AG154/293.07*(1/(VLOOKUP($H265,'Fuel economy adjusted factor'!$A$2:$K$52,11,FALSE)*m2k))/'TCO Inputs'!$AZ$84</f>
        <v>32.288819378590041</v>
      </c>
      <c r="AH265" s="125">
        <f>AH154/293.07*(1/(VLOOKUP($H265,'Fuel economy adjusted factor'!$A$2:$K$52,11,FALSE)*m2k))/'TCO Inputs'!$AZ$84</f>
        <v>32.288819378590041</v>
      </c>
      <c r="AI265" s="125">
        <f>AI154/293.07*(1/(VLOOKUP($H265,'Fuel economy adjusted factor'!$A$2:$K$52,11,FALSE)*m2k))/'TCO Inputs'!$AZ$84</f>
        <v>32.288819378590041</v>
      </c>
      <c r="AJ265" s="125">
        <f>AJ154/293.07*(1/(VLOOKUP($H265,'Fuel economy adjusted factor'!$A$2:$K$52,11,FALSE)*m2k))/'TCO Inputs'!$AZ$84</f>
        <v>30.260495163721377</v>
      </c>
      <c r="AK265" s="98" cm="1">
        <f t="array" ref="AK265">SUMPRODUCT(INDEX(I265:AJ265,,'TCO Inputs'!$AZ$12-2023+_xlfn.SEQUENCE('TCO Inputs'!$AZ$13))*INDEX('VKT US'!C104:AA104,,_xlfn.SEQUENCE('TCO Inputs'!$AZ$13)))*m2k*CONVERT(0.9072,"g","ton")*'TCO Inputs'!$BD$9</f>
        <v>8.9996123562579928</v>
      </c>
    </row>
    <row r="266" spans="8:37" x14ac:dyDescent="0.25">
      <c r="H266" s="123" t="s">
        <v>225</v>
      </c>
      <c r="I266" s="125">
        <f>I155/293.07*(1/(VLOOKUP($H266,'Fuel economy adjusted factor'!$A$2:$K$52,11,FALSE)*m2k))/'TCO Inputs'!$AZ$84</f>
        <v>90.544597540982679</v>
      </c>
      <c r="J266" s="125">
        <f>J155/293.07*(1/(VLOOKUP($H266,'Fuel economy adjusted factor'!$A$2:$K$52,11,FALSE)*m2k))/'TCO Inputs'!$AZ$84</f>
        <v>90.544597540982679</v>
      </c>
      <c r="K266" s="125">
        <f>K155/293.07*(1/(VLOOKUP($H266,'Fuel economy adjusted factor'!$A$2:$K$52,11,FALSE)*m2k))/'TCO Inputs'!$AZ$84</f>
        <v>79.550379872686946</v>
      </c>
      <c r="L266" s="125">
        <f>L155/293.07*(1/(VLOOKUP($H266,'Fuel economy adjusted factor'!$A$2:$K$52,11,FALSE)*m2k))/'TCO Inputs'!$AZ$84</f>
        <v>79.550379872686946</v>
      </c>
      <c r="M266" s="125">
        <f>M155/293.07*(1/(VLOOKUP($H266,'Fuel economy adjusted factor'!$A$2:$K$52,11,FALSE)*m2k))/'TCO Inputs'!$AZ$84</f>
        <v>79.550379872686946</v>
      </c>
      <c r="N266" s="125">
        <f>N155/293.07*(1/(VLOOKUP($H266,'Fuel economy adjusted factor'!$A$2:$K$52,11,FALSE)*m2k))/'TCO Inputs'!$AZ$84</f>
        <v>79.550379872686946</v>
      </c>
      <c r="O266" s="125">
        <f>O155/293.07*(1/(VLOOKUP($H266,'Fuel economy adjusted factor'!$A$2:$K$52,11,FALSE)*m2k))/'TCO Inputs'!$AZ$84</f>
        <v>79.550379872686946</v>
      </c>
      <c r="P266" s="125">
        <f>P155/293.07*(1/(VLOOKUP($H266,'Fuel economy adjusted factor'!$A$2:$K$52,11,FALSE)*m2k))/'TCO Inputs'!$AZ$84</f>
        <v>48.499181203027121</v>
      </c>
      <c r="Q266" s="125">
        <f>Q155/293.07*(1/(VLOOKUP($H266,'Fuel economy adjusted factor'!$A$2:$K$52,11,FALSE)*m2k))/'TCO Inputs'!$AZ$84</f>
        <v>48.499181203027121</v>
      </c>
      <c r="R266" s="125">
        <f>R155/293.07*(1/(VLOOKUP($H266,'Fuel economy adjusted factor'!$A$2:$K$52,11,FALSE)*m2k))/'TCO Inputs'!$AZ$84</f>
        <v>48.499181203027121</v>
      </c>
      <c r="S266" s="125">
        <f>S155/293.07*(1/(VLOOKUP($H266,'Fuel economy adjusted factor'!$A$2:$K$52,11,FALSE)*m2k))/'TCO Inputs'!$AZ$84</f>
        <v>48.499181203027121</v>
      </c>
      <c r="T266" s="125">
        <f>T155/293.07*(1/(VLOOKUP($H266,'Fuel economy adjusted factor'!$A$2:$K$52,11,FALSE)*m2k))/'TCO Inputs'!$AZ$84</f>
        <v>48.499181203027121</v>
      </c>
      <c r="U266" s="125">
        <f>U155/293.07*(1/(VLOOKUP($H266,'Fuel economy adjusted factor'!$A$2:$K$52,11,FALSE)*m2k))/'TCO Inputs'!$AZ$84</f>
        <v>43.469584798287613</v>
      </c>
      <c r="V266" s="125">
        <f>V155/293.07*(1/(VLOOKUP($H266,'Fuel economy adjusted factor'!$A$2:$K$52,11,FALSE)*m2k))/'TCO Inputs'!$AZ$84</f>
        <v>43.469584798287613</v>
      </c>
      <c r="W266" s="125">
        <f>W155/293.07*(1/(VLOOKUP($H266,'Fuel economy adjusted factor'!$A$2:$K$52,11,FALSE)*m2k))/'TCO Inputs'!$AZ$84</f>
        <v>43.469584798287613</v>
      </c>
      <c r="X266" s="125">
        <f>X155/293.07*(1/(VLOOKUP($H266,'Fuel economy adjusted factor'!$A$2:$K$52,11,FALSE)*m2k))/'TCO Inputs'!$AZ$84</f>
        <v>43.469584798287613</v>
      </c>
      <c r="Y266" s="125">
        <f>Y155/293.07*(1/(VLOOKUP($H266,'Fuel economy adjusted factor'!$A$2:$K$52,11,FALSE)*m2k))/'TCO Inputs'!$AZ$84</f>
        <v>43.469584798287613</v>
      </c>
      <c r="Z266" s="125">
        <f>Z155/293.07*(1/(VLOOKUP($H266,'Fuel economy adjusted factor'!$A$2:$K$52,11,FALSE)*m2k))/'TCO Inputs'!$AZ$84</f>
        <v>41.942144935638503</v>
      </c>
      <c r="AA266" s="125">
        <f>AA155/293.07*(1/(VLOOKUP($H266,'Fuel economy adjusted factor'!$A$2:$K$52,11,FALSE)*m2k))/'TCO Inputs'!$AZ$84</f>
        <v>41.942144935638503</v>
      </c>
      <c r="AB266" s="125">
        <f>AB155/293.07*(1/(VLOOKUP($H266,'Fuel economy adjusted factor'!$A$2:$K$52,11,FALSE)*m2k))/'TCO Inputs'!$AZ$84</f>
        <v>41.942144935638503</v>
      </c>
      <c r="AC266" s="125">
        <f>AC155/293.07*(1/(VLOOKUP($H266,'Fuel economy adjusted factor'!$A$2:$K$52,11,FALSE)*m2k))/'TCO Inputs'!$AZ$84</f>
        <v>41.942144935638503</v>
      </c>
      <c r="AD266" s="125">
        <f>AD155/293.07*(1/(VLOOKUP($H266,'Fuel economy adjusted factor'!$A$2:$K$52,11,FALSE)*m2k))/'TCO Inputs'!$AZ$84</f>
        <v>41.942144935638503</v>
      </c>
      <c r="AE266" s="125">
        <f>AE155/293.07*(1/(VLOOKUP($H266,'Fuel economy adjusted factor'!$A$2:$K$52,11,FALSE)*m2k))/'TCO Inputs'!$AZ$84</f>
        <v>40.29957141500077</v>
      </c>
      <c r="AF266" s="125">
        <f>AF155/293.07*(1/(VLOOKUP($H266,'Fuel economy adjusted factor'!$A$2:$K$52,11,FALSE)*m2k))/'TCO Inputs'!$AZ$84</f>
        <v>40.29957141500077</v>
      </c>
      <c r="AG266" s="125">
        <f>AG155/293.07*(1/(VLOOKUP($H266,'Fuel economy adjusted factor'!$A$2:$K$52,11,FALSE)*m2k))/'TCO Inputs'!$AZ$84</f>
        <v>40.29957141500077</v>
      </c>
      <c r="AH266" s="125">
        <f>AH155/293.07*(1/(VLOOKUP($H266,'Fuel economy adjusted factor'!$A$2:$K$52,11,FALSE)*m2k))/'TCO Inputs'!$AZ$84</f>
        <v>40.29957141500077</v>
      </c>
      <c r="AI266" s="125">
        <f>AI155/293.07*(1/(VLOOKUP($H266,'Fuel economy adjusted factor'!$A$2:$K$52,11,FALSE)*m2k))/'TCO Inputs'!$AZ$84</f>
        <v>40.29957141500077</v>
      </c>
      <c r="AJ266" s="125">
        <f>AJ155/293.07*(1/(VLOOKUP($H266,'Fuel economy adjusted factor'!$A$2:$K$52,11,FALSE)*m2k))/'TCO Inputs'!$AZ$84</f>
        <v>37.768026498741754</v>
      </c>
      <c r="AK266" s="98" cm="1">
        <f t="array" ref="AK266">SUMPRODUCT(INDEX(I266:AJ266,,'TCO Inputs'!$AZ$12-2023+_xlfn.SEQUENCE('TCO Inputs'!$AZ$13))*INDEX('VKT US'!C105:AA105,,_xlfn.SEQUENCE('TCO Inputs'!$AZ$13)))*m2k*CONVERT(0.9072,"g","ton")*'TCO Inputs'!$BD$9</f>
        <v>11.882656209945509</v>
      </c>
    </row>
    <row r="267" spans="8:37" x14ac:dyDescent="0.25">
      <c r="H267" s="123" t="s">
        <v>226</v>
      </c>
      <c r="I267" s="125">
        <f>I156/293.07*(1/(VLOOKUP($H267,'Fuel economy adjusted factor'!$A$2:$K$52,11,FALSE)*m2k))/'TCO Inputs'!$AZ$84</f>
        <v>175.99545705609239</v>
      </c>
      <c r="J267" s="125">
        <f>J156/293.07*(1/(VLOOKUP($H267,'Fuel economy adjusted factor'!$A$2:$K$52,11,FALSE)*m2k))/'TCO Inputs'!$AZ$84</f>
        <v>175.99545705609239</v>
      </c>
      <c r="K267" s="125">
        <f>K156/293.07*(1/(VLOOKUP($H267,'Fuel economy adjusted factor'!$A$2:$K$52,11,FALSE)*m2k))/'TCO Inputs'!$AZ$84</f>
        <v>154.62551985326726</v>
      </c>
      <c r="L267" s="125">
        <f>L156/293.07*(1/(VLOOKUP($H267,'Fuel economy adjusted factor'!$A$2:$K$52,11,FALSE)*m2k))/'TCO Inputs'!$AZ$84</f>
        <v>154.62551985326726</v>
      </c>
      <c r="M267" s="125">
        <f>M156/293.07*(1/(VLOOKUP($H267,'Fuel economy adjusted factor'!$A$2:$K$52,11,FALSE)*m2k))/'TCO Inputs'!$AZ$84</f>
        <v>154.62551985326726</v>
      </c>
      <c r="N267" s="125">
        <f>N156/293.07*(1/(VLOOKUP($H267,'Fuel economy adjusted factor'!$A$2:$K$52,11,FALSE)*m2k))/'TCO Inputs'!$AZ$84</f>
        <v>154.62551985326726</v>
      </c>
      <c r="O267" s="125">
        <f>O156/293.07*(1/(VLOOKUP($H267,'Fuel economy adjusted factor'!$A$2:$K$52,11,FALSE)*m2k))/'TCO Inputs'!$AZ$84</f>
        <v>154.62551985326726</v>
      </c>
      <c r="P267" s="125">
        <f>P156/293.07*(1/(VLOOKUP($H267,'Fuel economy adjusted factor'!$A$2:$K$52,11,FALSE)*m2k))/'TCO Inputs'!$AZ$84</f>
        <v>94.269959715813712</v>
      </c>
      <c r="Q267" s="125">
        <f>Q156/293.07*(1/(VLOOKUP($H267,'Fuel economy adjusted factor'!$A$2:$K$52,11,FALSE)*m2k))/'TCO Inputs'!$AZ$84</f>
        <v>94.269959715813712</v>
      </c>
      <c r="R267" s="125">
        <f>R156/293.07*(1/(VLOOKUP($H267,'Fuel economy adjusted factor'!$A$2:$K$52,11,FALSE)*m2k))/'TCO Inputs'!$AZ$84</f>
        <v>94.269959715813712</v>
      </c>
      <c r="S267" s="125">
        <f>S156/293.07*(1/(VLOOKUP($H267,'Fuel economy adjusted factor'!$A$2:$K$52,11,FALSE)*m2k))/'TCO Inputs'!$AZ$84</f>
        <v>94.269959715813712</v>
      </c>
      <c r="T267" s="125">
        <f>T156/293.07*(1/(VLOOKUP($H267,'Fuel economy adjusted factor'!$A$2:$K$52,11,FALSE)*m2k))/'TCO Inputs'!$AZ$84</f>
        <v>94.269959715813712</v>
      </c>
      <c r="U267" s="125">
        <f>U156/293.07*(1/(VLOOKUP($H267,'Fuel economy adjusted factor'!$A$2:$K$52,11,FALSE)*m2k))/'TCO Inputs'!$AZ$84</f>
        <v>84.493715278268425</v>
      </c>
      <c r="V267" s="125">
        <f>V156/293.07*(1/(VLOOKUP($H267,'Fuel economy adjusted factor'!$A$2:$K$52,11,FALSE)*m2k))/'TCO Inputs'!$AZ$84</f>
        <v>84.493715278268425</v>
      </c>
      <c r="W267" s="125">
        <f>W156/293.07*(1/(VLOOKUP($H267,'Fuel economy adjusted factor'!$A$2:$K$52,11,FALSE)*m2k))/'TCO Inputs'!$AZ$84</f>
        <v>84.493715278268425</v>
      </c>
      <c r="X267" s="125">
        <f>X156/293.07*(1/(VLOOKUP($H267,'Fuel economy adjusted factor'!$A$2:$K$52,11,FALSE)*m2k))/'TCO Inputs'!$AZ$84</f>
        <v>84.493715278268425</v>
      </c>
      <c r="Y267" s="125">
        <f>Y156/293.07*(1/(VLOOKUP($H267,'Fuel economy adjusted factor'!$A$2:$K$52,11,FALSE)*m2k))/'TCO Inputs'!$AZ$84</f>
        <v>84.493715278268425</v>
      </c>
      <c r="Z267" s="125">
        <f>Z156/293.07*(1/(VLOOKUP($H267,'Fuel economy adjusted factor'!$A$2:$K$52,11,FALSE)*m2k))/'TCO Inputs'!$AZ$84</f>
        <v>81.524764241394578</v>
      </c>
      <c r="AA267" s="125">
        <f>AA156/293.07*(1/(VLOOKUP($H267,'Fuel economy adjusted factor'!$A$2:$K$52,11,FALSE)*m2k))/'TCO Inputs'!$AZ$84</f>
        <v>81.524764241394578</v>
      </c>
      <c r="AB267" s="125">
        <f>AB156/293.07*(1/(VLOOKUP($H267,'Fuel economy adjusted factor'!$A$2:$K$52,11,FALSE)*m2k))/'TCO Inputs'!$AZ$84</f>
        <v>81.524764241394578</v>
      </c>
      <c r="AC267" s="125">
        <f>AC156/293.07*(1/(VLOOKUP($H267,'Fuel economy adjusted factor'!$A$2:$K$52,11,FALSE)*m2k))/'TCO Inputs'!$AZ$84</f>
        <v>81.524764241394578</v>
      </c>
      <c r="AD267" s="125">
        <f>AD156/293.07*(1/(VLOOKUP($H267,'Fuel economy adjusted factor'!$A$2:$K$52,11,FALSE)*m2k))/'TCO Inputs'!$AZ$84</f>
        <v>81.524764241394578</v>
      </c>
      <c r="AE267" s="125">
        <f>AE156/293.07*(1/(VLOOKUP($H267,'Fuel economy adjusted factor'!$A$2:$K$52,11,FALSE)*m2k))/'TCO Inputs'!$AZ$84</f>
        <v>78.332022925359396</v>
      </c>
      <c r="AF267" s="125">
        <f>AF156/293.07*(1/(VLOOKUP($H267,'Fuel economy adjusted factor'!$A$2:$K$52,11,FALSE)*m2k))/'TCO Inputs'!$AZ$84</f>
        <v>78.332022925359396</v>
      </c>
      <c r="AG267" s="125">
        <f>AG156/293.07*(1/(VLOOKUP($H267,'Fuel economy adjusted factor'!$A$2:$K$52,11,FALSE)*m2k))/'TCO Inputs'!$AZ$84</f>
        <v>78.332022925359396</v>
      </c>
      <c r="AH267" s="125">
        <f>AH156/293.07*(1/(VLOOKUP($H267,'Fuel economy adjusted factor'!$A$2:$K$52,11,FALSE)*m2k))/'TCO Inputs'!$AZ$84</f>
        <v>78.332022925359396</v>
      </c>
      <c r="AI267" s="125">
        <f>AI156/293.07*(1/(VLOOKUP($H267,'Fuel economy adjusted factor'!$A$2:$K$52,11,FALSE)*m2k))/'TCO Inputs'!$AZ$84</f>
        <v>78.332022925359396</v>
      </c>
      <c r="AJ267" s="125">
        <f>AJ156/293.07*(1/(VLOOKUP($H267,'Fuel economy adjusted factor'!$A$2:$K$52,11,FALSE)*m2k))/'TCO Inputs'!$AZ$84</f>
        <v>73.411349393254184</v>
      </c>
      <c r="AK267" s="98" cm="1">
        <f t="array" ref="AK267">SUMPRODUCT(INDEX(I267:AJ267,,'TCO Inputs'!$AZ$12-2023+_xlfn.SEQUENCE('TCO Inputs'!$AZ$13))*INDEX('VKT US'!C106:AA106,,_xlfn.SEQUENCE('TCO Inputs'!$AZ$13)))*m2k*CONVERT(0.9072,"g","ton")*'TCO Inputs'!$BD$9</f>
        <v>22.159935165467992</v>
      </c>
    </row>
    <row r="268" spans="8:37" x14ac:dyDescent="0.25">
      <c r="H268" s="123" t="s">
        <v>228</v>
      </c>
      <c r="I268" s="125">
        <f>I157/293.07*(1/(VLOOKUP($H268,'Fuel economy adjusted factor'!$A$2:$K$52,11,FALSE)*m2k))/'TCO Inputs'!$AZ$84</f>
        <v>5.4652754062410454</v>
      </c>
      <c r="J268" s="125">
        <f>J157/293.07*(1/(VLOOKUP($H268,'Fuel economy adjusted factor'!$A$2:$K$52,11,FALSE)*m2k))/'TCO Inputs'!$AZ$84</f>
        <v>5.4652754062410454</v>
      </c>
      <c r="K268" s="125">
        <f>K157/293.07*(1/(VLOOKUP($H268,'Fuel economy adjusted factor'!$A$2:$K$52,11,FALSE)*m2k))/'TCO Inputs'!$AZ$84</f>
        <v>4.8016640029632205</v>
      </c>
      <c r="L268" s="125">
        <f>L157/293.07*(1/(VLOOKUP($H268,'Fuel economy adjusted factor'!$A$2:$K$52,11,FALSE)*m2k))/'TCO Inputs'!$AZ$84</f>
        <v>4.8016640029632205</v>
      </c>
      <c r="M268" s="125">
        <f>M157/293.07*(1/(VLOOKUP($H268,'Fuel economy adjusted factor'!$A$2:$K$52,11,FALSE)*m2k))/'TCO Inputs'!$AZ$84</f>
        <v>4.8016640029632205</v>
      </c>
      <c r="N268" s="125">
        <f>N157/293.07*(1/(VLOOKUP($H268,'Fuel economy adjusted factor'!$A$2:$K$52,11,FALSE)*m2k))/'TCO Inputs'!$AZ$84</f>
        <v>4.8016640029632205</v>
      </c>
      <c r="O268" s="125">
        <f>O157/293.07*(1/(VLOOKUP($H268,'Fuel economy adjusted factor'!$A$2:$K$52,11,FALSE)*m2k))/'TCO Inputs'!$AZ$84</f>
        <v>4.8016640029632205</v>
      </c>
      <c r="P268" s="125">
        <f>P157/293.07*(1/(VLOOKUP($H268,'Fuel economy adjusted factor'!$A$2:$K$52,11,FALSE)*m2k))/'TCO Inputs'!$AZ$84</f>
        <v>2.9274124514359769</v>
      </c>
      <c r="Q268" s="125">
        <f>Q157/293.07*(1/(VLOOKUP($H268,'Fuel economy adjusted factor'!$A$2:$K$52,11,FALSE)*m2k))/'TCO Inputs'!$AZ$84</f>
        <v>2.9274124514359769</v>
      </c>
      <c r="R268" s="125">
        <f>R157/293.07*(1/(VLOOKUP($H268,'Fuel economy adjusted factor'!$A$2:$K$52,11,FALSE)*m2k))/'TCO Inputs'!$AZ$84</f>
        <v>2.9274124514359769</v>
      </c>
      <c r="S268" s="125">
        <f>S157/293.07*(1/(VLOOKUP($H268,'Fuel economy adjusted factor'!$A$2:$K$52,11,FALSE)*m2k))/'TCO Inputs'!$AZ$84</f>
        <v>2.9274124514359769</v>
      </c>
      <c r="T268" s="125">
        <f>T157/293.07*(1/(VLOOKUP($H268,'Fuel economy adjusted factor'!$A$2:$K$52,11,FALSE)*m2k))/'TCO Inputs'!$AZ$84</f>
        <v>2.9274124514359769</v>
      </c>
      <c r="U268" s="125">
        <f>U157/293.07*(1/(VLOOKUP($H268,'Fuel economy adjusted factor'!$A$2:$K$52,11,FALSE)*m2k))/'TCO Inputs'!$AZ$84</f>
        <v>2.6238258181009577</v>
      </c>
      <c r="V268" s="125">
        <f>V157/293.07*(1/(VLOOKUP($H268,'Fuel economy adjusted factor'!$A$2:$K$52,11,FALSE)*m2k))/'TCO Inputs'!$AZ$84</f>
        <v>2.6238258181009577</v>
      </c>
      <c r="W268" s="125">
        <f>W157/293.07*(1/(VLOOKUP($H268,'Fuel economy adjusted factor'!$A$2:$K$52,11,FALSE)*m2k))/'TCO Inputs'!$AZ$84</f>
        <v>2.6238258181009577</v>
      </c>
      <c r="X268" s="125">
        <f>X157/293.07*(1/(VLOOKUP($H268,'Fuel economy adjusted factor'!$A$2:$K$52,11,FALSE)*m2k))/'TCO Inputs'!$AZ$84</f>
        <v>2.6238258181009577</v>
      </c>
      <c r="Y268" s="125">
        <f>Y157/293.07*(1/(VLOOKUP($H268,'Fuel economy adjusted factor'!$A$2:$K$52,11,FALSE)*m2k))/'TCO Inputs'!$AZ$84</f>
        <v>2.6238258181009577</v>
      </c>
      <c r="Z268" s="125">
        <f>Z157/293.07*(1/(VLOOKUP($H268,'Fuel economy adjusted factor'!$A$2:$K$52,11,FALSE)*m2k))/'TCO Inputs'!$AZ$84</f>
        <v>2.5316294889707751</v>
      </c>
      <c r="AA268" s="125">
        <f>AA157/293.07*(1/(VLOOKUP($H268,'Fuel economy adjusted factor'!$A$2:$K$52,11,FALSE)*m2k))/'TCO Inputs'!$AZ$84</f>
        <v>2.5316294889707751</v>
      </c>
      <c r="AB268" s="125">
        <f>AB157/293.07*(1/(VLOOKUP($H268,'Fuel economy adjusted factor'!$A$2:$K$52,11,FALSE)*m2k))/'TCO Inputs'!$AZ$84</f>
        <v>2.5316294889707751</v>
      </c>
      <c r="AC268" s="125">
        <f>AC157/293.07*(1/(VLOOKUP($H268,'Fuel economy adjusted factor'!$A$2:$K$52,11,FALSE)*m2k))/'TCO Inputs'!$AZ$84</f>
        <v>2.5316294889707751</v>
      </c>
      <c r="AD268" s="125">
        <f>AD157/293.07*(1/(VLOOKUP($H268,'Fuel economy adjusted factor'!$A$2:$K$52,11,FALSE)*m2k))/'TCO Inputs'!$AZ$84</f>
        <v>2.5316294889707751</v>
      </c>
      <c r="AE268" s="125">
        <f>AE157/293.07*(1/(VLOOKUP($H268,'Fuel economy adjusted factor'!$A$2:$K$52,11,FALSE)*m2k))/'TCO Inputs'!$AZ$84</f>
        <v>2.432483687795604</v>
      </c>
      <c r="AF268" s="125">
        <f>AF157/293.07*(1/(VLOOKUP($H268,'Fuel economy adjusted factor'!$A$2:$K$52,11,FALSE)*m2k))/'TCO Inputs'!$AZ$84</f>
        <v>2.432483687795604</v>
      </c>
      <c r="AG268" s="125">
        <f>AG157/293.07*(1/(VLOOKUP($H268,'Fuel economy adjusted factor'!$A$2:$K$52,11,FALSE)*m2k))/'TCO Inputs'!$AZ$84</f>
        <v>2.432483687795604</v>
      </c>
      <c r="AH268" s="125">
        <f>AH157/293.07*(1/(VLOOKUP($H268,'Fuel economy adjusted factor'!$A$2:$K$52,11,FALSE)*m2k))/'TCO Inputs'!$AZ$84</f>
        <v>2.432483687795604</v>
      </c>
      <c r="AI268" s="125">
        <f>AI157/293.07*(1/(VLOOKUP($H268,'Fuel economy adjusted factor'!$A$2:$K$52,11,FALSE)*m2k))/'TCO Inputs'!$AZ$84</f>
        <v>2.432483687795604</v>
      </c>
      <c r="AJ268" s="125">
        <f>AJ157/293.07*(1/(VLOOKUP($H268,'Fuel economy adjusted factor'!$A$2:$K$52,11,FALSE)*m2k))/'TCO Inputs'!$AZ$84</f>
        <v>2.2796795388306412</v>
      </c>
      <c r="AK268" s="98" cm="1">
        <f t="array" ref="AK268">SUMPRODUCT(INDEX(I268:AJ268,,'TCO Inputs'!$AZ$12-2023+_xlfn.SEQUENCE('TCO Inputs'!$AZ$13))*INDEX('VKT US'!C107:AA107,,_xlfn.SEQUENCE('TCO Inputs'!$AZ$13)))*m2k*CONVERT(0.9072,"g","ton")*'TCO Inputs'!$BD$9</f>
        <v>0.57673494893080135</v>
      </c>
    </row>
    <row r="269" spans="8:37" x14ac:dyDescent="0.25">
      <c r="H269" s="123" t="s">
        <v>227</v>
      </c>
      <c r="I269" s="125">
        <f>I158/293.07*(1/(VLOOKUP($H269,'Fuel economy adjusted factor'!$A$2:$K$52,11,FALSE)*m2k))/'TCO Inputs'!$AZ$84</f>
        <v>72.715264139260171</v>
      </c>
      <c r="J269" s="125">
        <f>J158/293.07*(1/(VLOOKUP($H269,'Fuel economy adjusted factor'!$A$2:$K$52,11,FALSE)*m2k))/'TCO Inputs'!$AZ$84</f>
        <v>72.715264139260171</v>
      </c>
      <c r="K269" s="125">
        <f>K158/293.07*(1/(VLOOKUP($H269,'Fuel economy adjusted factor'!$A$2:$K$52,11,FALSE)*m2k))/'TCO Inputs'!$AZ$84</f>
        <v>63.88594175596949</v>
      </c>
      <c r="L269" s="125">
        <f>L158/293.07*(1/(VLOOKUP($H269,'Fuel economy adjusted factor'!$A$2:$K$52,11,FALSE)*m2k))/'TCO Inputs'!$AZ$84</f>
        <v>63.88594175596949</v>
      </c>
      <c r="M269" s="125">
        <f>M158/293.07*(1/(VLOOKUP($H269,'Fuel economy adjusted factor'!$A$2:$K$52,11,FALSE)*m2k))/'TCO Inputs'!$AZ$84</f>
        <v>63.88594175596949</v>
      </c>
      <c r="N269" s="125">
        <f>N158/293.07*(1/(VLOOKUP($H269,'Fuel economy adjusted factor'!$A$2:$K$52,11,FALSE)*m2k))/'TCO Inputs'!$AZ$84</f>
        <v>63.88594175596949</v>
      </c>
      <c r="O269" s="125">
        <f>O158/293.07*(1/(VLOOKUP($H269,'Fuel economy adjusted factor'!$A$2:$K$52,11,FALSE)*m2k))/'TCO Inputs'!$AZ$84</f>
        <v>63.88594175596949</v>
      </c>
      <c r="P269" s="125">
        <f>P158/293.07*(1/(VLOOKUP($H269,'Fuel economy adjusted factor'!$A$2:$K$52,11,FALSE)*m2k))/'TCO Inputs'!$AZ$84</f>
        <v>38.949102072265767</v>
      </c>
      <c r="Q269" s="125">
        <f>Q158/293.07*(1/(VLOOKUP($H269,'Fuel economy adjusted factor'!$A$2:$K$52,11,FALSE)*m2k))/'TCO Inputs'!$AZ$84</f>
        <v>38.949102072265767</v>
      </c>
      <c r="R269" s="125">
        <f>R158/293.07*(1/(VLOOKUP($H269,'Fuel economy adjusted factor'!$A$2:$K$52,11,FALSE)*m2k))/'TCO Inputs'!$AZ$84</f>
        <v>38.949102072265767</v>
      </c>
      <c r="S269" s="125">
        <f>S158/293.07*(1/(VLOOKUP($H269,'Fuel economy adjusted factor'!$A$2:$K$52,11,FALSE)*m2k))/'TCO Inputs'!$AZ$84</f>
        <v>38.949102072265767</v>
      </c>
      <c r="T269" s="125">
        <f>T158/293.07*(1/(VLOOKUP($H269,'Fuel economy adjusted factor'!$A$2:$K$52,11,FALSE)*m2k))/'TCO Inputs'!$AZ$84</f>
        <v>38.949102072265767</v>
      </c>
      <c r="U269" s="125">
        <f>U158/293.07*(1/(VLOOKUP($H269,'Fuel economy adjusted factor'!$A$2:$K$52,11,FALSE)*m2k))/'TCO Inputs'!$AZ$84</f>
        <v>34.909894421925628</v>
      </c>
      <c r="V269" s="125">
        <f>V158/293.07*(1/(VLOOKUP($H269,'Fuel economy adjusted factor'!$A$2:$K$52,11,FALSE)*m2k))/'TCO Inputs'!$AZ$84</f>
        <v>34.909894421925628</v>
      </c>
      <c r="W269" s="125">
        <f>W158/293.07*(1/(VLOOKUP($H269,'Fuel economy adjusted factor'!$A$2:$K$52,11,FALSE)*m2k))/'TCO Inputs'!$AZ$84</f>
        <v>34.909894421925628</v>
      </c>
      <c r="X269" s="125">
        <f>X158/293.07*(1/(VLOOKUP($H269,'Fuel economy adjusted factor'!$A$2:$K$52,11,FALSE)*m2k))/'TCO Inputs'!$AZ$84</f>
        <v>34.909894421925628</v>
      </c>
      <c r="Y269" s="125">
        <f>Y158/293.07*(1/(VLOOKUP($H269,'Fuel economy adjusted factor'!$A$2:$K$52,11,FALSE)*m2k))/'TCO Inputs'!$AZ$84</f>
        <v>34.909894421925628</v>
      </c>
      <c r="Z269" s="125">
        <f>Z158/293.07*(1/(VLOOKUP($H269,'Fuel economy adjusted factor'!$A$2:$K$52,11,FALSE)*m2k))/'TCO Inputs'!$AZ$84</f>
        <v>33.683226060855347</v>
      </c>
      <c r="AA269" s="125">
        <f>AA158/293.07*(1/(VLOOKUP($H269,'Fuel economy adjusted factor'!$A$2:$K$52,11,FALSE)*m2k))/'TCO Inputs'!$AZ$84</f>
        <v>33.683226060855347</v>
      </c>
      <c r="AB269" s="125">
        <f>AB158/293.07*(1/(VLOOKUP($H269,'Fuel economy adjusted factor'!$A$2:$K$52,11,FALSE)*m2k))/'TCO Inputs'!$AZ$84</f>
        <v>33.683226060855347</v>
      </c>
      <c r="AC269" s="125">
        <f>AC158/293.07*(1/(VLOOKUP($H269,'Fuel economy adjusted factor'!$A$2:$K$52,11,FALSE)*m2k))/'TCO Inputs'!$AZ$84</f>
        <v>33.683226060855347</v>
      </c>
      <c r="AD269" s="125">
        <f>AD158/293.07*(1/(VLOOKUP($H269,'Fuel economy adjusted factor'!$A$2:$K$52,11,FALSE)*m2k))/'TCO Inputs'!$AZ$84</f>
        <v>33.683226060855347</v>
      </c>
      <c r="AE269" s="125">
        <f>AE158/293.07*(1/(VLOOKUP($H269,'Fuel economy adjusted factor'!$A$2:$K$52,11,FALSE)*m2k))/'TCO Inputs'!$AZ$84</f>
        <v>32.364095260508414</v>
      </c>
      <c r="AF269" s="125">
        <f>AF158/293.07*(1/(VLOOKUP($H269,'Fuel economy adjusted factor'!$A$2:$K$52,11,FALSE)*m2k))/'TCO Inputs'!$AZ$84</f>
        <v>32.364095260508414</v>
      </c>
      <c r="AG269" s="125">
        <f>AG158/293.07*(1/(VLOOKUP($H269,'Fuel economy adjusted factor'!$A$2:$K$52,11,FALSE)*m2k))/'TCO Inputs'!$AZ$84</f>
        <v>32.364095260508414</v>
      </c>
      <c r="AH269" s="125">
        <f>AH158/293.07*(1/(VLOOKUP($H269,'Fuel economy adjusted factor'!$A$2:$K$52,11,FALSE)*m2k))/'TCO Inputs'!$AZ$84</f>
        <v>32.364095260508414</v>
      </c>
      <c r="AI269" s="125">
        <f>AI158/293.07*(1/(VLOOKUP($H269,'Fuel economy adjusted factor'!$A$2:$K$52,11,FALSE)*m2k))/'TCO Inputs'!$AZ$84</f>
        <v>32.364095260508414</v>
      </c>
      <c r="AJ269" s="125">
        <f>AJ158/293.07*(1/(VLOOKUP($H269,'Fuel economy adjusted factor'!$A$2:$K$52,11,FALSE)*m2k))/'TCO Inputs'!$AZ$84</f>
        <v>30.331042353261736</v>
      </c>
      <c r="AK269" s="98" cm="1">
        <f t="array" ref="AK269">SUMPRODUCT(INDEX(I269:AJ269,,'TCO Inputs'!$AZ$12-2023+_xlfn.SEQUENCE('TCO Inputs'!$AZ$13))*INDEX('VKT US'!C108:AA108,,_xlfn.SEQUENCE('TCO Inputs'!$AZ$13)))*m2k*CONVERT(0.9072,"g","ton")*'TCO Inputs'!$BD$9</f>
        <v>8.5615091202701823</v>
      </c>
    </row>
    <row r="270" spans="8:37" x14ac:dyDescent="0.25">
      <c r="H270" s="123" t="s">
        <v>229</v>
      </c>
      <c r="I270" s="125">
        <f>I159/293.07*(1/(VLOOKUP($H270,'Fuel economy adjusted factor'!$A$2:$K$52,11,FALSE)*m2k))/'TCO Inputs'!$AZ$84</f>
        <v>35.553721193934599</v>
      </c>
      <c r="J270" s="125">
        <f>J159/293.07*(1/(VLOOKUP($H270,'Fuel economy adjusted factor'!$A$2:$K$52,11,FALSE)*m2k))/'TCO Inputs'!$AZ$84</f>
        <v>35.553721193934599</v>
      </c>
      <c r="K270" s="125">
        <f>K159/293.07*(1/(VLOOKUP($H270,'Fuel economy adjusted factor'!$A$2:$K$52,11,FALSE)*m2k))/'TCO Inputs'!$AZ$84</f>
        <v>31.23667345900936</v>
      </c>
      <c r="L270" s="125">
        <f>L159/293.07*(1/(VLOOKUP($H270,'Fuel economy adjusted factor'!$A$2:$K$52,11,FALSE)*m2k))/'TCO Inputs'!$AZ$84</f>
        <v>31.23667345900936</v>
      </c>
      <c r="M270" s="125">
        <f>M159/293.07*(1/(VLOOKUP($H270,'Fuel economy adjusted factor'!$A$2:$K$52,11,FALSE)*m2k))/'TCO Inputs'!$AZ$84</f>
        <v>31.23667345900936</v>
      </c>
      <c r="N270" s="125">
        <f>N159/293.07*(1/(VLOOKUP($H270,'Fuel economy adjusted factor'!$A$2:$K$52,11,FALSE)*m2k))/'TCO Inputs'!$AZ$84</f>
        <v>31.23667345900936</v>
      </c>
      <c r="O270" s="125">
        <f>O159/293.07*(1/(VLOOKUP($H270,'Fuel economy adjusted factor'!$A$2:$K$52,11,FALSE)*m2k))/'TCO Inputs'!$AZ$84</f>
        <v>31.23667345900936</v>
      </c>
      <c r="P270" s="125">
        <f>P159/293.07*(1/(VLOOKUP($H270,'Fuel economy adjusted factor'!$A$2:$K$52,11,FALSE)*m2k))/'TCO Inputs'!$AZ$84</f>
        <v>19.043945342471346</v>
      </c>
      <c r="Q270" s="125">
        <f>Q159/293.07*(1/(VLOOKUP($H270,'Fuel economy adjusted factor'!$A$2:$K$52,11,FALSE)*m2k))/'TCO Inputs'!$AZ$84</f>
        <v>19.043945342471346</v>
      </c>
      <c r="R270" s="125">
        <f>R159/293.07*(1/(VLOOKUP($H270,'Fuel economy adjusted factor'!$A$2:$K$52,11,FALSE)*m2k))/'TCO Inputs'!$AZ$84</f>
        <v>19.043945342471346</v>
      </c>
      <c r="S270" s="125">
        <f>S159/293.07*(1/(VLOOKUP($H270,'Fuel economy adjusted factor'!$A$2:$K$52,11,FALSE)*m2k))/'TCO Inputs'!$AZ$84</f>
        <v>19.043945342471346</v>
      </c>
      <c r="T270" s="125">
        <f>T159/293.07*(1/(VLOOKUP($H270,'Fuel economy adjusted factor'!$A$2:$K$52,11,FALSE)*m2k))/'TCO Inputs'!$AZ$84</f>
        <v>19.043945342471346</v>
      </c>
      <c r="U270" s="125">
        <f>U159/293.07*(1/(VLOOKUP($H270,'Fuel economy adjusted factor'!$A$2:$K$52,11,FALSE)*m2k))/'TCO Inputs'!$AZ$84</f>
        <v>17.068997381482447</v>
      </c>
      <c r="V270" s="125">
        <f>V159/293.07*(1/(VLOOKUP($H270,'Fuel economy adjusted factor'!$A$2:$K$52,11,FALSE)*m2k))/'TCO Inputs'!$AZ$84</f>
        <v>17.068997381482447</v>
      </c>
      <c r="W270" s="125">
        <f>W159/293.07*(1/(VLOOKUP($H270,'Fuel economy adjusted factor'!$A$2:$K$52,11,FALSE)*m2k))/'TCO Inputs'!$AZ$84</f>
        <v>17.068997381482447</v>
      </c>
      <c r="X270" s="125">
        <f>X159/293.07*(1/(VLOOKUP($H270,'Fuel economy adjusted factor'!$A$2:$K$52,11,FALSE)*m2k))/'TCO Inputs'!$AZ$84</f>
        <v>17.068997381482447</v>
      </c>
      <c r="Y270" s="125">
        <f>Y159/293.07*(1/(VLOOKUP($H270,'Fuel economy adjusted factor'!$A$2:$K$52,11,FALSE)*m2k))/'TCO Inputs'!$AZ$84</f>
        <v>17.068997381482447</v>
      </c>
      <c r="Z270" s="125">
        <f>Z159/293.07*(1/(VLOOKUP($H270,'Fuel economy adjusted factor'!$A$2:$K$52,11,FALSE)*m2k))/'TCO Inputs'!$AZ$84</f>
        <v>16.469224755704879</v>
      </c>
      <c r="AA270" s="125">
        <f>AA159/293.07*(1/(VLOOKUP($H270,'Fuel economy adjusted factor'!$A$2:$K$52,11,FALSE)*m2k))/'TCO Inputs'!$AZ$84</f>
        <v>16.469224755704879</v>
      </c>
      <c r="AB270" s="125">
        <f>AB159/293.07*(1/(VLOOKUP($H270,'Fuel economy adjusted factor'!$A$2:$K$52,11,FALSE)*m2k))/'TCO Inputs'!$AZ$84</f>
        <v>16.469224755704879</v>
      </c>
      <c r="AC270" s="125">
        <f>AC159/293.07*(1/(VLOOKUP($H270,'Fuel economy adjusted factor'!$A$2:$K$52,11,FALSE)*m2k))/'TCO Inputs'!$AZ$84</f>
        <v>16.469224755704879</v>
      </c>
      <c r="AD270" s="125">
        <f>AD159/293.07*(1/(VLOOKUP($H270,'Fuel economy adjusted factor'!$A$2:$K$52,11,FALSE)*m2k))/'TCO Inputs'!$AZ$84</f>
        <v>16.469224755704879</v>
      </c>
      <c r="AE270" s="125">
        <f>AE159/293.07*(1/(VLOOKUP($H270,'Fuel economy adjusted factor'!$A$2:$K$52,11,FALSE)*m2k))/'TCO Inputs'!$AZ$84</f>
        <v>15.824243138034529</v>
      </c>
      <c r="AF270" s="125">
        <f>AF159/293.07*(1/(VLOOKUP($H270,'Fuel economy adjusted factor'!$A$2:$K$52,11,FALSE)*m2k))/'TCO Inputs'!$AZ$84</f>
        <v>15.824243138034529</v>
      </c>
      <c r="AG270" s="125">
        <f>AG159/293.07*(1/(VLOOKUP($H270,'Fuel economy adjusted factor'!$A$2:$K$52,11,FALSE)*m2k))/'TCO Inputs'!$AZ$84</f>
        <v>15.824243138034529</v>
      </c>
      <c r="AH270" s="125">
        <f>AH159/293.07*(1/(VLOOKUP($H270,'Fuel economy adjusted factor'!$A$2:$K$52,11,FALSE)*m2k))/'TCO Inputs'!$AZ$84</f>
        <v>15.824243138034529</v>
      </c>
      <c r="AI270" s="125">
        <f>AI159/293.07*(1/(VLOOKUP($H270,'Fuel economy adjusted factor'!$A$2:$K$52,11,FALSE)*m2k))/'TCO Inputs'!$AZ$84</f>
        <v>15.824243138034529</v>
      </c>
      <c r="AJ270" s="125">
        <f>AJ159/293.07*(1/(VLOOKUP($H270,'Fuel economy adjusted factor'!$A$2:$K$52,11,FALSE)*m2k))/'TCO Inputs'!$AZ$84</f>
        <v>14.830193304173857</v>
      </c>
      <c r="AK270" s="98" cm="1">
        <f t="array" ref="AK270">SUMPRODUCT(INDEX(I270:AJ270,,'TCO Inputs'!$AZ$12-2023+_xlfn.SEQUENCE('TCO Inputs'!$AZ$13))*INDEX('VKT US'!C109:AA109,,_xlfn.SEQUENCE('TCO Inputs'!$AZ$13)))*m2k*CONVERT(0.9072,"g","ton")*'TCO Inputs'!$BD$9</f>
        <v>3.1589792637752789</v>
      </c>
    </row>
    <row r="271" spans="8:37" x14ac:dyDescent="0.25">
      <c r="H271" s="123" t="s">
        <v>159</v>
      </c>
      <c r="I271" s="125">
        <f>I160/293.07*(1/(VLOOKUP($H271,'Fuel economy adjusted factor'!$A$2:$K$52,11,FALSE)*m2k))/'TCO Inputs'!$AZ$84</f>
        <v>236.07423664356753</v>
      </c>
      <c r="J271" s="125">
        <f>J160/293.07*(1/(VLOOKUP($H271,'Fuel economy adjusted factor'!$A$2:$K$52,11,FALSE)*m2k))/'TCO Inputs'!$AZ$84</f>
        <v>236.07423664356753</v>
      </c>
      <c r="K271" s="125">
        <f>K160/293.07*(1/(VLOOKUP($H271,'Fuel economy adjusted factor'!$A$2:$K$52,11,FALSE)*m2k))/'TCO Inputs'!$AZ$84</f>
        <v>207.40933985211211</v>
      </c>
      <c r="L271" s="125">
        <f>L160/293.07*(1/(VLOOKUP($H271,'Fuel economy adjusted factor'!$A$2:$K$52,11,FALSE)*m2k))/'TCO Inputs'!$AZ$84</f>
        <v>207.40933985211211</v>
      </c>
      <c r="M271" s="125">
        <f>M160/293.07*(1/(VLOOKUP($H271,'Fuel economy adjusted factor'!$A$2:$K$52,11,FALSE)*m2k))/'TCO Inputs'!$AZ$84</f>
        <v>207.40933985211211</v>
      </c>
      <c r="N271" s="125">
        <f>N160/293.07*(1/(VLOOKUP($H271,'Fuel economy adjusted factor'!$A$2:$K$52,11,FALSE)*m2k))/'TCO Inputs'!$AZ$84</f>
        <v>207.40933985211211</v>
      </c>
      <c r="O271" s="125">
        <f>O160/293.07*(1/(VLOOKUP($H271,'Fuel economy adjusted factor'!$A$2:$K$52,11,FALSE)*m2k))/'TCO Inputs'!$AZ$84</f>
        <v>207.40933985211211</v>
      </c>
      <c r="P271" s="125">
        <f>P160/293.07*(1/(VLOOKUP($H271,'Fuel economy adjusted factor'!$A$2:$K$52,11,FALSE)*m2k))/'TCO Inputs'!$AZ$84</f>
        <v>126.45047293031929</v>
      </c>
      <c r="Q271" s="125">
        <f>Q160/293.07*(1/(VLOOKUP($H271,'Fuel economy adjusted factor'!$A$2:$K$52,11,FALSE)*m2k))/'TCO Inputs'!$AZ$84</f>
        <v>126.45047293031929</v>
      </c>
      <c r="R271" s="125">
        <f>R160/293.07*(1/(VLOOKUP($H271,'Fuel economy adjusted factor'!$A$2:$K$52,11,FALSE)*m2k))/'TCO Inputs'!$AZ$84</f>
        <v>126.45047293031929</v>
      </c>
      <c r="S271" s="125">
        <f>S160/293.07*(1/(VLOOKUP($H271,'Fuel economy adjusted factor'!$A$2:$K$52,11,FALSE)*m2k))/'TCO Inputs'!$AZ$84</f>
        <v>126.45047293031929</v>
      </c>
      <c r="T271" s="125">
        <f>T160/293.07*(1/(VLOOKUP($H271,'Fuel economy adjusted factor'!$A$2:$K$52,11,FALSE)*m2k))/'TCO Inputs'!$AZ$84</f>
        <v>126.45047293031929</v>
      </c>
      <c r="U271" s="125">
        <f>U160/293.07*(1/(VLOOKUP($H271,'Fuel economy adjusted factor'!$A$2:$K$52,11,FALSE)*m2k))/'TCO Inputs'!$AZ$84</f>
        <v>113.33695578936914</v>
      </c>
      <c r="V271" s="125">
        <f>V160/293.07*(1/(VLOOKUP($H271,'Fuel economy adjusted factor'!$A$2:$K$52,11,FALSE)*m2k))/'TCO Inputs'!$AZ$84</f>
        <v>113.33695578936914</v>
      </c>
      <c r="W271" s="125">
        <f>W160/293.07*(1/(VLOOKUP($H271,'Fuel economy adjusted factor'!$A$2:$K$52,11,FALSE)*m2k))/'TCO Inputs'!$AZ$84</f>
        <v>113.33695578936914</v>
      </c>
      <c r="X271" s="125">
        <f>X160/293.07*(1/(VLOOKUP($H271,'Fuel economy adjusted factor'!$A$2:$K$52,11,FALSE)*m2k))/'TCO Inputs'!$AZ$84</f>
        <v>113.33695578936914</v>
      </c>
      <c r="Y271" s="125">
        <f>Y160/293.07*(1/(VLOOKUP($H271,'Fuel economy adjusted factor'!$A$2:$K$52,11,FALSE)*m2k))/'TCO Inputs'!$AZ$84</f>
        <v>113.33695578936914</v>
      </c>
      <c r="Z271" s="125">
        <f>Z160/293.07*(1/(VLOOKUP($H271,'Fuel economy adjusted factor'!$A$2:$K$52,11,FALSE)*m2k))/'TCO Inputs'!$AZ$84</f>
        <v>109.35450725696901</v>
      </c>
      <c r="AA271" s="125">
        <f>AA160/293.07*(1/(VLOOKUP($H271,'Fuel economy adjusted factor'!$A$2:$K$52,11,FALSE)*m2k))/'TCO Inputs'!$AZ$84</f>
        <v>109.35450725696901</v>
      </c>
      <c r="AB271" s="125">
        <f>AB160/293.07*(1/(VLOOKUP($H271,'Fuel economy adjusted factor'!$A$2:$K$52,11,FALSE)*m2k))/'TCO Inputs'!$AZ$84</f>
        <v>109.35450725696901</v>
      </c>
      <c r="AC271" s="125">
        <f>AC160/293.07*(1/(VLOOKUP($H271,'Fuel economy adjusted factor'!$A$2:$K$52,11,FALSE)*m2k))/'TCO Inputs'!$AZ$84</f>
        <v>109.35450725696901</v>
      </c>
      <c r="AD271" s="125">
        <f>AD160/293.07*(1/(VLOOKUP($H271,'Fuel economy adjusted factor'!$A$2:$K$52,11,FALSE)*m2k))/'TCO Inputs'!$AZ$84</f>
        <v>109.35450725696901</v>
      </c>
      <c r="AE271" s="125">
        <f>AE160/293.07*(1/(VLOOKUP($H271,'Fuel economy adjusted factor'!$A$2:$K$52,11,FALSE)*m2k))/'TCO Inputs'!$AZ$84</f>
        <v>105.07187416182519</v>
      </c>
      <c r="AF271" s="125">
        <f>AF160/293.07*(1/(VLOOKUP($H271,'Fuel economy adjusted factor'!$A$2:$K$52,11,FALSE)*m2k))/'TCO Inputs'!$AZ$84</f>
        <v>105.07187416182519</v>
      </c>
      <c r="AG271" s="125">
        <f>AG160/293.07*(1/(VLOOKUP($H271,'Fuel economy adjusted factor'!$A$2:$K$52,11,FALSE)*m2k))/'TCO Inputs'!$AZ$84</f>
        <v>105.07187416182519</v>
      </c>
      <c r="AH271" s="125">
        <f>AH160/293.07*(1/(VLOOKUP($H271,'Fuel economy adjusted factor'!$A$2:$K$52,11,FALSE)*m2k))/'TCO Inputs'!$AZ$84</f>
        <v>105.07187416182519</v>
      </c>
      <c r="AI271" s="125">
        <f>AI160/293.07*(1/(VLOOKUP($H271,'Fuel economy adjusted factor'!$A$2:$K$52,11,FALSE)*m2k))/'TCO Inputs'!$AZ$84</f>
        <v>105.07187416182519</v>
      </c>
      <c r="AJ271" s="125">
        <f>AJ160/293.07*(1/(VLOOKUP($H271,'Fuel economy adjusted factor'!$A$2:$K$52,11,FALSE)*m2k))/'TCO Inputs'!$AZ$84</f>
        <v>98.47145238222376</v>
      </c>
      <c r="AK271" s="98" cm="1">
        <f t="array" ref="AK271">SUMPRODUCT(INDEX(I271:AJ271,,'TCO Inputs'!$AZ$12-2023+_xlfn.SEQUENCE('TCO Inputs'!$AZ$13))*INDEX('VKT US'!C110:AA110,,_xlfn.SEQUENCE('TCO Inputs'!$AZ$13)))*m2k*CONVERT(0.9072,"g","ton")*'TCO Inputs'!$BD$9</f>
        <v>32.329974917181474</v>
      </c>
    </row>
    <row r="272" spans="8:37" x14ac:dyDescent="0.25">
      <c r="H272" s="123" t="s">
        <v>158</v>
      </c>
      <c r="I272" s="125">
        <f>I161/293.07*(1/(VLOOKUP($H272,'Fuel economy adjusted factor'!$A$2:$K$52,11,FALSE)*m2k))/'TCO Inputs'!$AZ$84</f>
        <v>153.24274158458348</v>
      </c>
      <c r="J272" s="125">
        <f>J161/293.07*(1/(VLOOKUP($H272,'Fuel economy adjusted factor'!$A$2:$K$52,11,FALSE)*m2k))/'TCO Inputs'!$AZ$84</f>
        <v>153.24274158458348</v>
      </c>
      <c r="K272" s="125">
        <f>K161/293.07*(1/(VLOOKUP($H272,'Fuel economy adjusted factor'!$A$2:$K$52,11,FALSE)*m2k))/'TCO Inputs'!$AZ$84</f>
        <v>134.63551262976122</v>
      </c>
      <c r="L272" s="125">
        <f>L161/293.07*(1/(VLOOKUP($H272,'Fuel economy adjusted factor'!$A$2:$K$52,11,FALSE)*m2k))/'TCO Inputs'!$AZ$84</f>
        <v>134.63551262976122</v>
      </c>
      <c r="M272" s="125">
        <f>M161/293.07*(1/(VLOOKUP($H272,'Fuel economy adjusted factor'!$A$2:$K$52,11,FALSE)*m2k))/'TCO Inputs'!$AZ$84</f>
        <v>134.63551262976122</v>
      </c>
      <c r="N272" s="125">
        <f>N161/293.07*(1/(VLOOKUP($H272,'Fuel economy adjusted factor'!$A$2:$K$52,11,FALSE)*m2k))/'TCO Inputs'!$AZ$84</f>
        <v>134.63551262976122</v>
      </c>
      <c r="O272" s="125">
        <f>O161/293.07*(1/(VLOOKUP($H272,'Fuel economy adjusted factor'!$A$2:$K$52,11,FALSE)*m2k))/'TCO Inputs'!$AZ$84</f>
        <v>134.63551262976122</v>
      </c>
      <c r="P272" s="125">
        <f>P161/293.07*(1/(VLOOKUP($H272,'Fuel economy adjusted factor'!$A$2:$K$52,11,FALSE)*m2k))/'TCO Inputs'!$AZ$84</f>
        <v>82.082727120139936</v>
      </c>
      <c r="Q272" s="125">
        <f>Q161/293.07*(1/(VLOOKUP($H272,'Fuel economy adjusted factor'!$A$2:$K$52,11,FALSE)*m2k))/'TCO Inputs'!$AZ$84</f>
        <v>82.082727120139936</v>
      </c>
      <c r="R272" s="125">
        <f>R161/293.07*(1/(VLOOKUP($H272,'Fuel economy adjusted factor'!$A$2:$K$52,11,FALSE)*m2k))/'TCO Inputs'!$AZ$84</f>
        <v>82.082727120139936</v>
      </c>
      <c r="S272" s="125">
        <f>S161/293.07*(1/(VLOOKUP($H272,'Fuel economy adjusted factor'!$A$2:$K$52,11,FALSE)*m2k))/'TCO Inputs'!$AZ$84</f>
        <v>82.082727120139936</v>
      </c>
      <c r="T272" s="125">
        <f>T161/293.07*(1/(VLOOKUP($H272,'Fuel economy adjusted factor'!$A$2:$K$52,11,FALSE)*m2k))/'TCO Inputs'!$AZ$84</f>
        <v>82.082727120139936</v>
      </c>
      <c r="U272" s="125">
        <f>U161/293.07*(1/(VLOOKUP($H272,'Fuel economy adjusted factor'!$A$2:$K$52,11,FALSE)*m2k))/'TCO Inputs'!$AZ$84</f>
        <v>73.570356829053395</v>
      </c>
      <c r="V272" s="125">
        <f>V161/293.07*(1/(VLOOKUP($H272,'Fuel economy adjusted factor'!$A$2:$K$52,11,FALSE)*m2k))/'TCO Inputs'!$AZ$84</f>
        <v>73.570356829053395</v>
      </c>
      <c r="W272" s="125">
        <f>W161/293.07*(1/(VLOOKUP($H272,'Fuel economy adjusted factor'!$A$2:$K$52,11,FALSE)*m2k))/'TCO Inputs'!$AZ$84</f>
        <v>73.570356829053395</v>
      </c>
      <c r="X272" s="125">
        <f>X161/293.07*(1/(VLOOKUP($H272,'Fuel economy adjusted factor'!$A$2:$K$52,11,FALSE)*m2k))/'TCO Inputs'!$AZ$84</f>
        <v>73.570356829053395</v>
      </c>
      <c r="Y272" s="125">
        <f>Y161/293.07*(1/(VLOOKUP($H272,'Fuel economy adjusted factor'!$A$2:$K$52,11,FALSE)*m2k))/'TCO Inputs'!$AZ$84</f>
        <v>73.570356829053395</v>
      </c>
      <c r="Z272" s="125">
        <f>Z161/293.07*(1/(VLOOKUP($H272,'Fuel economy adjusted factor'!$A$2:$K$52,11,FALSE)*m2k))/'TCO Inputs'!$AZ$84</f>
        <v>70.985232166568878</v>
      </c>
      <c r="AA272" s="125">
        <f>AA161/293.07*(1/(VLOOKUP($H272,'Fuel economy adjusted factor'!$A$2:$K$52,11,FALSE)*m2k))/'TCO Inputs'!$AZ$84</f>
        <v>70.985232166568878</v>
      </c>
      <c r="AB272" s="125">
        <f>AB161/293.07*(1/(VLOOKUP($H272,'Fuel economy adjusted factor'!$A$2:$K$52,11,FALSE)*m2k))/'TCO Inputs'!$AZ$84</f>
        <v>70.985232166568878</v>
      </c>
      <c r="AC272" s="125">
        <f>AC161/293.07*(1/(VLOOKUP($H272,'Fuel economy adjusted factor'!$A$2:$K$52,11,FALSE)*m2k))/'TCO Inputs'!$AZ$84</f>
        <v>70.985232166568878</v>
      </c>
      <c r="AD272" s="125">
        <f>AD161/293.07*(1/(VLOOKUP($H272,'Fuel economy adjusted factor'!$A$2:$K$52,11,FALSE)*m2k))/'TCO Inputs'!$AZ$84</f>
        <v>70.985232166568878</v>
      </c>
      <c r="AE272" s="125">
        <f>AE161/293.07*(1/(VLOOKUP($H272,'Fuel economy adjusted factor'!$A$2:$K$52,11,FALSE)*m2k))/'TCO Inputs'!$AZ$84</f>
        <v>68.20524886118352</v>
      </c>
      <c r="AF272" s="125">
        <f>AF161/293.07*(1/(VLOOKUP($H272,'Fuel economy adjusted factor'!$A$2:$K$52,11,FALSE)*m2k))/'TCO Inputs'!$AZ$84</f>
        <v>68.20524886118352</v>
      </c>
      <c r="AG272" s="125">
        <f>AG161/293.07*(1/(VLOOKUP($H272,'Fuel economy adjusted factor'!$A$2:$K$52,11,FALSE)*m2k))/'TCO Inputs'!$AZ$84</f>
        <v>68.20524886118352</v>
      </c>
      <c r="AH272" s="125">
        <f>AH161/293.07*(1/(VLOOKUP($H272,'Fuel economy adjusted factor'!$A$2:$K$52,11,FALSE)*m2k))/'TCO Inputs'!$AZ$84</f>
        <v>68.20524886118352</v>
      </c>
      <c r="AI272" s="125">
        <f>AI161/293.07*(1/(VLOOKUP($H272,'Fuel economy adjusted factor'!$A$2:$K$52,11,FALSE)*m2k))/'TCO Inputs'!$AZ$84</f>
        <v>68.20524886118352</v>
      </c>
      <c r="AJ272" s="125">
        <f>AJ161/293.07*(1/(VLOOKUP($H272,'Fuel economy adjusted factor'!$A$2:$K$52,11,FALSE)*m2k))/'TCO Inputs'!$AZ$84</f>
        <v>63.920720640309248</v>
      </c>
      <c r="AK272" s="98" cm="1">
        <f t="array" ref="AK272">SUMPRODUCT(INDEX(I272:AJ272,,'TCO Inputs'!$AZ$12-2023+_xlfn.SEQUENCE('TCO Inputs'!$AZ$13))*INDEX('VKT US'!C111:AA111,,_xlfn.SEQUENCE('TCO Inputs'!$AZ$13)))*m2k*CONVERT(0.9072,"g","ton")*'TCO Inputs'!$BD$9</f>
        <v>19.203072348358543</v>
      </c>
    </row>
    <row r="273" spans="8:37" x14ac:dyDescent="0.25">
      <c r="H273" s="123" t="s">
        <v>160</v>
      </c>
      <c r="I273" s="125">
        <f>I162/293.07*(1/(VLOOKUP($H273,'Fuel economy adjusted factor'!$A$2:$K$52,11,FALSE)*m2k))/'TCO Inputs'!$AZ$84</f>
        <v>216.22161368552423</v>
      </c>
      <c r="J273" s="125">
        <f>J162/293.07*(1/(VLOOKUP($H273,'Fuel economy adjusted factor'!$A$2:$K$52,11,FALSE)*m2k))/'TCO Inputs'!$AZ$84</f>
        <v>216.22161368552423</v>
      </c>
      <c r="K273" s="125">
        <f>K162/293.07*(1/(VLOOKUP($H273,'Fuel economy adjusted factor'!$A$2:$K$52,11,FALSE)*m2k))/'TCO Inputs'!$AZ$84</f>
        <v>189.96728653615639</v>
      </c>
      <c r="L273" s="125">
        <f>L162/293.07*(1/(VLOOKUP($H273,'Fuel economy adjusted factor'!$A$2:$K$52,11,FALSE)*m2k))/'TCO Inputs'!$AZ$84</f>
        <v>189.96728653615639</v>
      </c>
      <c r="M273" s="125">
        <f>M162/293.07*(1/(VLOOKUP($H273,'Fuel economy adjusted factor'!$A$2:$K$52,11,FALSE)*m2k))/'TCO Inputs'!$AZ$84</f>
        <v>189.96728653615639</v>
      </c>
      <c r="N273" s="125">
        <f>N162/293.07*(1/(VLOOKUP($H273,'Fuel economy adjusted factor'!$A$2:$K$52,11,FALSE)*m2k))/'TCO Inputs'!$AZ$84</f>
        <v>189.96728653615639</v>
      </c>
      <c r="O273" s="125">
        <f>O162/293.07*(1/(VLOOKUP($H273,'Fuel economy adjusted factor'!$A$2:$K$52,11,FALSE)*m2k))/'TCO Inputs'!$AZ$84</f>
        <v>189.96728653615639</v>
      </c>
      <c r="P273" s="125">
        <f>P162/293.07*(1/(VLOOKUP($H273,'Fuel economy adjusted factor'!$A$2:$K$52,11,FALSE)*m2k))/'TCO Inputs'!$AZ$84</f>
        <v>115.81664182005659</v>
      </c>
      <c r="Q273" s="125">
        <f>Q162/293.07*(1/(VLOOKUP($H273,'Fuel economy adjusted factor'!$A$2:$K$52,11,FALSE)*m2k))/'TCO Inputs'!$AZ$84</f>
        <v>115.81664182005659</v>
      </c>
      <c r="R273" s="125">
        <f>R162/293.07*(1/(VLOOKUP($H273,'Fuel economy adjusted factor'!$A$2:$K$52,11,FALSE)*m2k))/'TCO Inputs'!$AZ$84</f>
        <v>115.81664182005659</v>
      </c>
      <c r="S273" s="125">
        <f>S162/293.07*(1/(VLOOKUP($H273,'Fuel economy adjusted factor'!$A$2:$K$52,11,FALSE)*m2k))/'TCO Inputs'!$AZ$84</f>
        <v>115.81664182005659</v>
      </c>
      <c r="T273" s="125">
        <f>T162/293.07*(1/(VLOOKUP($H273,'Fuel economy adjusted factor'!$A$2:$K$52,11,FALSE)*m2k))/'TCO Inputs'!$AZ$84</f>
        <v>115.81664182005659</v>
      </c>
      <c r="U273" s="125">
        <f>U162/293.07*(1/(VLOOKUP($H273,'Fuel economy adjusted factor'!$A$2:$K$52,11,FALSE)*m2k))/'TCO Inputs'!$AZ$84</f>
        <v>103.80590368267126</v>
      </c>
      <c r="V273" s="125">
        <f>V162/293.07*(1/(VLOOKUP($H273,'Fuel economy adjusted factor'!$A$2:$K$52,11,FALSE)*m2k))/'TCO Inputs'!$AZ$84</f>
        <v>103.80590368267126</v>
      </c>
      <c r="W273" s="125">
        <f>W162/293.07*(1/(VLOOKUP($H273,'Fuel economy adjusted factor'!$A$2:$K$52,11,FALSE)*m2k))/'TCO Inputs'!$AZ$84</f>
        <v>103.80590368267126</v>
      </c>
      <c r="X273" s="125">
        <f>X162/293.07*(1/(VLOOKUP($H273,'Fuel economy adjusted factor'!$A$2:$K$52,11,FALSE)*m2k))/'TCO Inputs'!$AZ$84</f>
        <v>103.80590368267126</v>
      </c>
      <c r="Y273" s="125">
        <f>Y162/293.07*(1/(VLOOKUP($H273,'Fuel economy adjusted factor'!$A$2:$K$52,11,FALSE)*m2k))/'TCO Inputs'!$AZ$84</f>
        <v>103.80590368267126</v>
      </c>
      <c r="Z273" s="125">
        <f>Z162/293.07*(1/(VLOOKUP($H273,'Fuel economy adjusted factor'!$A$2:$K$52,11,FALSE)*m2k))/'TCO Inputs'!$AZ$84</f>
        <v>100.15835848528828</v>
      </c>
      <c r="AA273" s="125">
        <f>AA162/293.07*(1/(VLOOKUP($H273,'Fuel economy adjusted factor'!$A$2:$K$52,11,FALSE)*m2k))/'TCO Inputs'!$AZ$84</f>
        <v>100.15835848528828</v>
      </c>
      <c r="AB273" s="125">
        <f>AB162/293.07*(1/(VLOOKUP($H273,'Fuel economy adjusted factor'!$A$2:$K$52,11,FALSE)*m2k))/'TCO Inputs'!$AZ$84</f>
        <v>100.15835848528828</v>
      </c>
      <c r="AC273" s="125">
        <f>AC162/293.07*(1/(VLOOKUP($H273,'Fuel economy adjusted factor'!$A$2:$K$52,11,FALSE)*m2k))/'TCO Inputs'!$AZ$84</f>
        <v>100.15835848528828</v>
      </c>
      <c r="AD273" s="125">
        <f>AD162/293.07*(1/(VLOOKUP($H273,'Fuel economy adjusted factor'!$A$2:$K$52,11,FALSE)*m2k))/'TCO Inputs'!$AZ$84</f>
        <v>100.15835848528828</v>
      </c>
      <c r="AE273" s="125">
        <f>AE162/293.07*(1/(VLOOKUP($H273,'Fuel economy adjusted factor'!$A$2:$K$52,11,FALSE)*m2k))/'TCO Inputs'!$AZ$84</f>
        <v>96.235872695137729</v>
      </c>
      <c r="AF273" s="125">
        <f>AF162/293.07*(1/(VLOOKUP($H273,'Fuel economy adjusted factor'!$A$2:$K$52,11,FALSE)*m2k))/'TCO Inputs'!$AZ$84</f>
        <v>96.235872695137729</v>
      </c>
      <c r="AG273" s="125">
        <f>AG162/293.07*(1/(VLOOKUP($H273,'Fuel economy adjusted factor'!$A$2:$K$52,11,FALSE)*m2k))/'TCO Inputs'!$AZ$84</f>
        <v>96.235872695137729</v>
      </c>
      <c r="AH273" s="125">
        <f>AH162/293.07*(1/(VLOOKUP($H273,'Fuel economy adjusted factor'!$A$2:$K$52,11,FALSE)*m2k))/'TCO Inputs'!$AZ$84</f>
        <v>96.235872695137729</v>
      </c>
      <c r="AI273" s="125">
        <f>AI162/293.07*(1/(VLOOKUP($H273,'Fuel economy adjusted factor'!$A$2:$K$52,11,FALSE)*m2k))/'TCO Inputs'!$AZ$84</f>
        <v>96.235872695137729</v>
      </c>
      <c r="AJ273" s="125">
        <f>AJ162/293.07*(1/(VLOOKUP($H273,'Fuel economy adjusted factor'!$A$2:$K$52,11,FALSE)*m2k))/'TCO Inputs'!$AZ$84</f>
        <v>90.190512267497041</v>
      </c>
      <c r="AK273" s="98" cm="1">
        <f t="array" ref="AK273">SUMPRODUCT(INDEX(I273:AJ273,,'TCO Inputs'!$AZ$12-2023+_xlfn.SEQUENCE('TCO Inputs'!$AZ$13))*INDEX('VKT US'!C112:AA112,,_xlfn.SEQUENCE('TCO Inputs'!$AZ$13)))*m2k*CONVERT(0.9072,"g","ton")*'TCO Inputs'!$BD$9</f>
        <v>42.232268298525504</v>
      </c>
    </row>
    <row r="274" spans="8:37" x14ac:dyDescent="0.25">
      <c r="H274" s="124" t="s">
        <v>134</v>
      </c>
      <c r="I274" s="125">
        <f>I163/293.07*(1/(VLOOKUP($H274,'Fuel economy adjusted factor'!$A$2:$K$52,11,FALSE)*m2k))/'TCO Inputs'!$AZ$84</f>
        <v>105.865870006077</v>
      </c>
      <c r="J274" s="125">
        <f>J163/293.07*(1/(VLOOKUP($H274,'Fuel economy adjusted factor'!$A$2:$K$52,11,FALSE)*m2k))/'TCO Inputs'!$AZ$84</f>
        <v>105.865870006077</v>
      </c>
      <c r="K274" s="125">
        <f>K163/293.07*(1/(VLOOKUP($H274,'Fuel economy adjusted factor'!$A$2:$K$52,11,FALSE)*m2k))/'TCO Inputs'!$AZ$84</f>
        <v>93.011293917608597</v>
      </c>
      <c r="L274" s="125">
        <f>L163/293.07*(1/(VLOOKUP($H274,'Fuel economy adjusted factor'!$A$2:$K$52,11,FALSE)*m2k))/'TCO Inputs'!$AZ$84</f>
        <v>93.011293917608597</v>
      </c>
      <c r="M274" s="125">
        <f>M163/293.07*(1/(VLOOKUP($H274,'Fuel economy adjusted factor'!$A$2:$K$52,11,FALSE)*m2k))/'TCO Inputs'!$AZ$84</f>
        <v>93.011293917608597</v>
      </c>
      <c r="N274" s="125">
        <f>N163/293.07*(1/(VLOOKUP($H274,'Fuel economy adjusted factor'!$A$2:$K$52,11,FALSE)*m2k))/'TCO Inputs'!$AZ$84</f>
        <v>93.011293917608597</v>
      </c>
      <c r="O274" s="125">
        <f>O163/293.07*(1/(VLOOKUP($H274,'Fuel economy adjusted factor'!$A$2:$K$52,11,FALSE)*m2k))/'TCO Inputs'!$AZ$84</f>
        <v>93.011293917608597</v>
      </c>
      <c r="P274" s="125">
        <f>P163/293.07*(1/(VLOOKUP($H274,'Fuel economy adjusted factor'!$A$2:$K$52,11,FALSE)*m2k))/'TCO Inputs'!$AZ$84</f>
        <v>56.705846092218643</v>
      </c>
      <c r="Q274" s="125">
        <f>Q163/293.07*(1/(VLOOKUP($H274,'Fuel economy adjusted factor'!$A$2:$K$52,11,FALSE)*m2k))/'TCO Inputs'!$AZ$84</f>
        <v>56.705846092218643</v>
      </c>
      <c r="R274" s="125">
        <f>R163/293.07*(1/(VLOOKUP($H274,'Fuel economy adjusted factor'!$A$2:$K$52,11,FALSE)*m2k))/'TCO Inputs'!$AZ$84</f>
        <v>56.705846092218643</v>
      </c>
      <c r="S274" s="125">
        <f>S163/293.07*(1/(VLOOKUP($H274,'Fuel economy adjusted factor'!$A$2:$K$52,11,FALSE)*m2k))/'TCO Inputs'!$AZ$84</f>
        <v>56.705846092218643</v>
      </c>
      <c r="T274" s="125">
        <f>T163/293.07*(1/(VLOOKUP($H274,'Fuel economy adjusted factor'!$A$2:$K$52,11,FALSE)*m2k))/'TCO Inputs'!$AZ$84</f>
        <v>56.705846092218643</v>
      </c>
      <c r="U274" s="125">
        <f>U163/293.07*(1/(VLOOKUP($H274,'Fuel economy adjusted factor'!$A$2:$K$52,11,FALSE)*m2k))/'TCO Inputs'!$AZ$84</f>
        <v>50.825179397265579</v>
      </c>
      <c r="V274" s="125">
        <f>V163/293.07*(1/(VLOOKUP($H274,'Fuel economy adjusted factor'!$A$2:$K$52,11,FALSE)*m2k))/'TCO Inputs'!$AZ$84</f>
        <v>50.825179397265579</v>
      </c>
      <c r="W274" s="125">
        <f>W163/293.07*(1/(VLOOKUP($H274,'Fuel economy adjusted factor'!$A$2:$K$52,11,FALSE)*m2k))/'TCO Inputs'!$AZ$84</f>
        <v>50.825179397265579</v>
      </c>
      <c r="X274" s="125">
        <f>X163/293.07*(1/(VLOOKUP($H274,'Fuel economy adjusted factor'!$A$2:$K$52,11,FALSE)*m2k))/'TCO Inputs'!$AZ$84</f>
        <v>50.825179397265579</v>
      </c>
      <c r="Y274" s="125">
        <f>Y163/293.07*(1/(VLOOKUP($H274,'Fuel economy adjusted factor'!$A$2:$K$52,11,FALSE)*m2k))/'TCO Inputs'!$AZ$84</f>
        <v>50.825179397265579</v>
      </c>
      <c r="Z274" s="125">
        <f>Z163/293.07*(1/(VLOOKUP($H274,'Fuel economy adjusted factor'!$A$2:$K$52,11,FALSE)*m2k))/'TCO Inputs'!$AZ$84</f>
        <v>49.039277705360441</v>
      </c>
      <c r="AA274" s="125">
        <f>AA163/293.07*(1/(VLOOKUP($H274,'Fuel economy adjusted factor'!$A$2:$K$52,11,FALSE)*m2k))/'TCO Inputs'!$AZ$84</f>
        <v>49.039277705360441</v>
      </c>
      <c r="AB274" s="125">
        <f>AB163/293.07*(1/(VLOOKUP($H274,'Fuel economy adjusted factor'!$A$2:$K$52,11,FALSE)*m2k))/'TCO Inputs'!$AZ$84</f>
        <v>49.039277705360441</v>
      </c>
      <c r="AC274" s="125">
        <f>AC163/293.07*(1/(VLOOKUP($H274,'Fuel economy adjusted factor'!$A$2:$K$52,11,FALSE)*m2k))/'TCO Inputs'!$AZ$84</f>
        <v>49.039277705360441</v>
      </c>
      <c r="AD274" s="125">
        <f>AD163/293.07*(1/(VLOOKUP($H274,'Fuel economy adjusted factor'!$A$2:$K$52,11,FALSE)*m2k))/'TCO Inputs'!$AZ$84</f>
        <v>49.039277705360441</v>
      </c>
      <c r="AE274" s="125">
        <f>AE163/293.07*(1/(VLOOKUP($H274,'Fuel economy adjusted factor'!$A$2:$K$52,11,FALSE)*m2k))/'TCO Inputs'!$AZ$84</f>
        <v>47.11876030803532</v>
      </c>
      <c r="AF274" s="125">
        <f>AF163/293.07*(1/(VLOOKUP($H274,'Fuel economy adjusted factor'!$A$2:$K$52,11,FALSE)*m2k))/'TCO Inputs'!$AZ$84</f>
        <v>47.11876030803532</v>
      </c>
      <c r="AG274" s="125">
        <f>AG163/293.07*(1/(VLOOKUP($H274,'Fuel economy adjusted factor'!$A$2:$K$52,11,FALSE)*m2k))/'TCO Inputs'!$AZ$84</f>
        <v>47.11876030803532</v>
      </c>
      <c r="AH274" s="125">
        <f>AH163/293.07*(1/(VLOOKUP($H274,'Fuel economy adjusted factor'!$A$2:$K$52,11,FALSE)*m2k))/'TCO Inputs'!$AZ$84</f>
        <v>47.11876030803532</v>
      </c>
      <c r="AI274" s="125">
        <f>AI163/293.07*(1/(VLOOKUP($H274,'Fuel economy adjusted factor'!$A$2:$K$52,11,FALSE)*m2k))/'TCO Inputs'!$AZ$84</f>
        <v>47.11876030803532</v>
      </c>
      <c r="AJ274" s="125">
        <f>AJ163/293.07*(1/(VLOOKUP($H274,'Fuel economy adjusted factor'!$A$2:$K$52,11,FALSE)*m2k))/'TCO Inputs'!$AZ$84</f>
        <v>44.158846494315895</v>
      </c>
      <c r="AK274" s="98" cm="1">
        <f t="array" ref="AK274">SUMPRODUCT(INDEX(I274:AJ274,,'TCO Inputs'!$AZ$12-2023+_xlfn.SEQUENCE('TCO Inputs'!$AZ$13))*INDEX('VKT US'!C113:AA113,,_xlfn.SEQUENCE('TCO Inputs'!$AZ$13)))*m2k*CONVERT(0.9072,"g","ton")*'TCO Inputs'!$BD$9</f>
        <v>12.251239252444124</v>
      </c>
    </row>
  </sheetData>
  <mergeCells count="1">
    <mergeCell ref="X95:AE95"/>
  </mergeCells>
  <phoneticPr fontId="6" type="noConversion"/>
  <pageMargins left="0.7" right="0.7" top="0.75" bottom="0.75" header="0.3" footer="0.3"/>
  <headerFooter>
    <oddFooter>&amp;C_x000D_&amp;1#&amp;"Calibri"&amp;14&amp;K008000 Classification: General Use</oddFooter>
  </headerFooter>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2D579-3059-4BAF-9FE9-E8151C6B9AF8}">
  <sheetPr codeName="Sheet9">
    <tabColor theme="8"/>
  </sheetPr>
  <dimension ref="A1:J54"/>
  <sheetViews>
    <sheetView workbookViewId="0">
      <selection activeCell="I56" sqref="I56"/>
    </sheetView>
  </sheetViews>
  <sheetFormatPr defaultRowHeight="15" x14ac:dyDescent="0.25"/>
  <cols>
    <col min="1" max="1" width="21" customWidth="1"/>
    <col min="2" max="2" width="13.42578125" customWidth="1"/>
    <col min="3" max="3" width="11.140625" customWidth="1"/>
    <col min="4" max="4" width="11" customWidth="1"/>
    <col min="5" max="10" width="10.5703125" bestFit="1" customWidth="1"/>
    <col min="11" max="11" width="12" customWidth="1"/>
  </cols>
  <sheetData>
    <row r="1" spans="1:10" ht="135" x14ac:dyDescent="0.25">
      <c r="A1" t="s">
        <v>335</v>
      </c>
      <c r="B1" s="57" t="s">
        <v>336</v>
      </c>
      <c r="C1" s="57" t="s">
        <v>337</v>
      </c>
      <c r="D1" s="57" t="s">
        <v>338</v>
      </c>
      <c r="E1" s="57" t="s">
        <v>339</v>
      </c>
      <c r="F1" s="57" t="s">
        <v>340</v>
      </c>
      <c r="G1" s="57" t="s">
        <v>341</v>
      </c>
      <c r="H1" s="57" t="s">
        <v>342</v>
      </c>
      <c r="I1" s="57" t="s">
        <v>343</v>
      </c>
      <c r="J1" s="57" t="s">
        <v>344</v>
      </c>
    </row>
    <row r="2" spans="1:10" x14ac:dyDescent="0.25">
      <c r="A2" s="56">
        <v>44928</v>
      </c>
      <c r="B2">
        <v>3.2229999999999999</v>
      </c>
      <c r="C2">
        <v>3.21</v>
      </c>
      <c r="D2">
        <v>3.2919999999999998</v>
      </c>
      <c r="E2">
        <v>3.4079999999999999</v>
      </c>
      <c r="F2">
        <v>3.0659999999999998</v>
      </c>
      <c r="G2">
        <v>3.05</v>
      </c>
      <c r="H2">
        <v>2.891</v>
      </c>
      <c r="I2">
        <v>3.0430000000000001</v>
      </c>
      <c r="J2">
        <v>3.9390000000000001</v>
      </c>
    </row>
    <row r="3" spans="1:10" x14ac:dyDescent="0.25">
      <c r="A3" s="56">
        <v>44935</v>
      </c>
      <c r="B3">
        <v>3.2589999999999999</v>
      </c>
      <c r="C3">
        <v>3.2160000000000002</v>
      </c>
      <c r="D3">
        <v>3.2679999999999998</v>
      </c>
      <c r="E3">
        <v>3.4220000000000002</v>
      </c>
      <c r="F3">
        <v>3.0750000000000002</v>
      </c>
      <c r="G3">
        <v>3.145</v>
      </c>
      <c r="H3">
        <v>2.89</v>
      </c>
      <c r="I3">
        <v>3.1219999999999999</v>
      </c>
      <c r="J3">
        <v>3.9609999999999999</v>
      </c>
    </row>
    <row r="4" spans="1:10" x14ac:dyDescent="0.25">
      <c r="A4" s="56">
        <v>44942</v>
      </c>
      <c r="B4">
        <v>3.31</v>
      </c>
      <c r="C4">
        <v>3.2589999999999999</v>
      </c>
      <c r="D4">
        <v>3.2719999999999998</v>
      </c>
      <c r="E4">
        <v>3.4159999999999999</v>
      </c>
      <c r="F4">
        <v>3.1589999999999998</v>
      </c>
      <c r="G4">
        <v>3.2050000000000001</v>
      </c>
      <c r="H4">
        <v>2.972</v>
      </c>
      <c r="I4">
        <v>3.2919999999999998</v>
      </c>
      <c r="J4">
        <v>3.9670000000000001</v>
      </c>
    </row>
    <row r="5" spans="1:10" x14ac:dyDescent="0.25">
      <c r="A5" s="56">
        <v>44949</v>
      </c>
      <c r="B5">
        <v>3.415</v>
      </c>
      <c r="C5">
        <v>3.3839999999999999</v>
      </c>
      <c r="D5">
        <v>3.37</v>
      </c>
      <c r="E5">
        <v>3.5179999999999998</v>
      </c>
      <c r="F5">
        <v>3.3029999999999999</v>
      </c>
      <c r="G5">
        <v>3.3039999999999998</v>
      </c>
      <c r="H5">
        <v>3.0920000000000001</v>
      </c>
      <c r="I5">
        <v>3.4340000000000002</v>
      </c>
      <c r="J5">
        <v>4.008</v>
      </c>
    </row>
    <row r="6" spans="1:10" x14ac:dyDescent="0.25">
      <c r="A6" s="56">
        <v>44956</v>
      </c>
      <c r="B6">
        <v>3.4889999999999999</v>
      </c>
      <c r="C6">
        <v>3.4660000000000002</v>
      </c>
      <c r="D6">
        <v>3.4249999999999998</v>
      </c>
      <c r="E6">
        <v>3.58</v>
      </c>
      <c r="F6">
        <v>3.403</v>
      </c>
      <c r="G6">
        <v>3.3820000000000001</v>
      </c>
      <c r="H6">
        <v>3.133</v>
      </c>
      <c r="I6">
        <v>3.544</v>
      </c>
      <c r="J6">
        <v>4.085</v>
      </c>
    </row>
    <row r="7" spans="1:10" x14ac:dyDescent="0.25">
      <c r="A7" s="56">
        <v>44963</v>
      </c>
      <c r="B7">
        <v>3.444</v>
      </c>
      <c r="C7">
        <v>3.4060000000000001</v>
      </c>
      <c r="D7">
        <v>3.415</v>
      </c>
      <c r="E7">
        <v>3.5329999999999999</v>
      </c>
      <c r="F7">
        <v>3.3239999999999998</v>
      </c>
      <c r="G7">
        <v>3.2970000000000002</v>
      </c>
      <c r="H7">
        <v>3.0920000000000001</v>
      </c>
      <c r="I7">
        <v>3.694</v>
      </c>
      <c r="J7">
        <v>4.1070000000000002</v>
      </c>
    </row>
    <row r="8" spans="1:10" x14ac:dyDescent="0.25">
      <c r="A8" s="56">
        <v>44970</v>
      </c>
      <c r="B8">
        <v>3.39</v>
      </c>
      <c r="C8">
        <v>3.339</v>
      </c>
      <c r="D8">
        <v>3.3580000000000001</v>
      </c>
      <c r="E8">
        <v>3.4820000000000002</v>
      </c>
      <c r="F8">
        <v>3.2429999999999999</v>
      </c>
      <c r="G8">
        <v>3.2360000000000002</v>
      </c>
      <c r="H8">
        <v>3.0179999999999998</v>
      </c>
      <c r="I8">
        <v>3.7650000000000001</v>
      </c>
      <c r="J8">
        <v>4.1059999999999999</v>
      </c>
    </row>
    <row r="9" spans="1:10" x14ac:dyDescent="0.25">
      <c r="A9" s="56">
        <v>44977</v>
      </c>
      <c r="B9">
        <v>3.379</v>
      </c>
      <c r="C9">
        <v>3.2909999999999999</v>
      </c>
      <c r="D9">
        <v>3.327</v>
      </c>
      <c r="E9">
        <v>3.4390000000000001</v>
      </c>
      <c r="F9">
        <v>3.1869999999999998</v>
      </c>
      <c r="G9">
        <v>3.22</v>
      </c>
      <c r="H9">
        <v>3.0070000000000001</v>
      </c>
      <c r="I9">
        <v>3.8260000000000001</v>
      </c>
      <c r="J9">
        <v>4.1890000000000001</v>
      </c>
    </row>
    <row r="10" spans="1:10" x14ac:dyDescent="0.25">
      <c r="A10" s="56">
        <v>44984</v>
      </c>
      <c r="B10">
        <v>3.3420000000000001</v>
      </c>
      <c r="C10">
        <v>3.2440000000000002</v>
      </c>
      <c r="D10">
        <v>3.2719999999999998</v>
      </c>
      <c r="E10">
        <v>3.3759999999999999</v>
      </c>
      <c r="F10">
        <v>3.1520000000000001</v>
      </c>
      <c r="G10">
        <v>3.17</v>
      </c>
      <c r="H10">
        <v>2.9119999999999999</v>
      </c>
      <c r="I10">
        <v>3.782</v>
      </c>
      <c r="J10">
        <v>4.25</v>
      </c>
    </row>
    <row r="11" spans="1:10" x14ac:dyDescent="0.25">
      <c r="A11" s="56">
        <v>44991</v>
      </c>
      <c r="B11">
        <v>3.3889999999999998</v>
      </c>
      <c r="C11">
        <v>3.242</v>
      </c>
      <c r="D11">
        <v>3.2770000000000001</v>
      </c>
      <c r="E11">
        <v>3.3969999999999998</v>
      </c>
      <c r="F11">
        <v>3.1339999999999999</v>
      </c>
      <c r="G11">
        <v>3.2650000000000001</v>
      </c>
      <c r="H11">
        <v>2.9790000000000001</v>
      </c>
      <c r="I11">
        <v>3.742</v>
      </c>
      <c r="J11">
        <v>4.3410000000000002</v>
      </c>
    </row>
    <row r="12" spans="1:10" x14ac:dyDescent="0.25">
      <c r="A12" s="56">
        <v>44998</v>
      </c>
      <c r="B12">
        <v>3.456</v>
      </c>
      <c r="C12">
        <v>3.3149999999999999</v>
      </c>
      <c r="D12">
        <v>3.2989999999999999</v>
      </c>
      <c r="E12">
        <v>3.4409999999999998</v>
      </c>
      <c r="F12">
        <v>3.238</v>
      </c>
      <c r="G12">
        <v>3.31</v>
      </c>
      <c r="H12">
        <v>3.0870000000000002</v>
      </c>
      <c r="I12">
        <v>3.73</v>
      </c>
      <c r="J12">
        <v>4.4020000000000001</v>
      </c>
    </row>
    <row r="13" spans="1:10" x14ac:dyDescent="0.25">
      <c r="A13" s="56">
        <v>45005</v>
      </c>
      <c r="B13">
        <v>3.4220000000000002</v>
      </c>
      <c r="C13">
        <v>3.3090000000000002</v>
      </c>
      <c r="D13">
        <v>3.2749999999999999</v>
      </c>
      <c r="E13">
        <v>3.4060000000000001</v>
      </c>
      <c r="F13">
        <v>3.2559999999999998</v>
      </c>
      <c r="G13">
        <v>3.262</v>
      </c>
      <c r="H13">
        <v>3.0219999999999998</v>
      </c>
      <c r="I13">
        <v>3.6309999999999998</v>
      </c>
      <c r="J13">
        <v>4.3650000000000002</v>
      </c>
    </row>
    <row r="14" spans="1:10" x14ac:dyDescent="0.25">
      <c r="A14" s="56">
        <v>45012</v>
      </c>
      <c r="B14">
        <v>3.4209999999999998</v>
      </c>
      <c r="C14">
        <v>3.2970000000000002</v>
      </c>
      <c r="D14">
        <v>3.2469999999999999</v>
      </c>
      <c r="E14">
        <v>3.3809999999999998</v>
      </c>
      <c r="F14">
        <v>3.2570000000000001</v>
      </c>
      <c r="G14">
        <v>3.2410000000000001</v>
      </c>
      <c r="H14">
        <v>3.0819999999999999</v>
      </c>
      <c r="I14">
        <v>3.5369999999999999</v>
      </c>
      <c r="J14">
        <v>4.3780000000000001</v>
      </c>
    </row>
    <row r="15" spans="1:10" x14ac:dyDescent="0.25">
      <c r="A15" s="56">
        <v>45019</v>
      </c>
      <c r="B15">
        <v>3.4969999999999999</v>
      </c>
      <c r="C15">
        <v>3.3570000000000002</v>
      </c>
      <c r="D15">
        <v>3.2639999999999998</v>
      </c>
      <c r="E15">
        <v>3.4470000000000001</v>
      </c>
      <c r="F15">
        <v>3.323</v>
      </c>
      <c r="G15">
        <v>3.3889999999999998</v>
      </c>
      <c r="H15">
        <v>3.1480000000000001</v>
      </c>
      <c r="I15">
        <v>3.4649999999999999</v>
      </c>
      <c r="J15">
        <v>4.3959999999999999</v>
      </c>
    </row>
    <row r="16" spans="1:10" x14ac:dyDescent="0.25">
      <c r="A16" s="56">
        <v>45026</v>
      </c>
      <c r="B16">
        <v>3.5960000000000001</v>
      </c>
      <c r="C16">
        <v>3.4609999999999999</v>
      </c>
      <c r="D16">
        <v>3.3490000000000002</v>
      </c>
      <c r="E16">
        <v>3.5259999999999998</v>
      </c>
      <c r="F16">
        <v>3.4470000000000001</v>
      </c>
      <c r="G16">
        <v>3.516</v>
      </c>
      <c r="H16">
        <v>3.2530000000000001</v>
      </c>
      <c r="I16">
        <v>3.4380000000000002</v>
      </c>
      <c r="J16">
        <v>4.4569999999999999</v>
      </c>
    </row>
    <row r="17" spans="1:10" x14ac:dyDescent="0.25">
      <c r="A17" s="56">
        <v>45033</v>
      </c>
      <c r="B17">
        <v>3.6629999999999998</v>
      </c>
      <c r="C17">
        <v>3.512</v>
      </c>
      <c r="D17">
        <v>3.4009999999999998</v>
      </c>
      <c r="E17">
        <v>3.605</v>
      </c>
      <c r="F17">
        <v>3.4790000000000001</v>
      </c>
      <c r="G17">
        <v>3.59</v>
      </c>
      <c r="H17">
        <v>3.3410000000000002</v>
      </c>
      <c r="I17">
        <v>3.524</v>
      </c>
      <c r="J17">
        <v>4.5250000000000004</v>
      </c>
    </row>
    <row r="18" spans="1:10" x14ac:dyDescent="0.25">
      <c r="A18" s="56">
        <v>45040</v>
      </c>
      <c r="B18">
        <v>3.6560000000000001</v>
      </c>
      <c r="C18">
        <v>3.5430000000000001</v>
      </c>
      <c r="D18">
        <v>3.4980000000000002</v>
      </c>
      <c r="E18">
        <v>3.637</v>
      </c>
      <c r="F18">
        <v>3.4940000000000002</v>
      </c>
      <c r="G18">
        <v>3.552</v>
      </c>
      <c r="H18">
        <v>3.2549999999999999</v>
      </c>
      <c r="I18">
        <v>3.5470000000000002</v>
      </c>
      <c r="J18">
        <v>4.548</v>
      </c>
    </row>
    <row r="19" spans="1:10" x14ac:dyDescent="0.25">
      <c r="A19" s="56">
        <v>45047</v>
      </c>
      <c r="B19">
        <v>3.6</v>
      </c>
      <c r="C19">
        <v>3.492</v>
      </c>
      <c r="D19">
        <v>3.488</v>
      </c>
      <c r="E19">
        <v>3.61</v>
      </c>
      <c r="F19">
        <v>3.4169999999999998</v>
      </c>
      <c r="G19">
        <v>3.484</v>
      </c>
      <c r="H19">
        <v>3.1469999999999998</v>
      </c>
      <c r="I19">
        <v>3.5339999999999998</v>
      </c>
      <c r="J19">
        <v>4.5469999999999997</v>
      </c>
    </row>
    <row r="20" spans="1:10" x14ac:dyDescent="0.25">
      <c r="A20" s="56">
        <v>45054</v>
      </c>
      <c r="B20">
        <v>3.5329999999999999</v>
      </c>
      <c r="C20">
        <v>3.427</v>
      </c>
      <c r="D20">
        <v>3.4329999999999998</v>
      </c>
      <c r="E20">
        <v>3.5649999999999999</v>
      </c>
      <c r="F20">
        <v>3.3380000000000001</v>
      </c>
      <c r="G20">
        <v>3.3929999999999998</v>
      </c>
      <c r="H20">
        <v>3.0449999999999999</v>
      </c>
      <c r="I20">
        <v>3.5379999999999998</v>
      </c>
      <c r="J20">
        <v>4.53</v>
      </c>
    </row>
    <row r="21" spans="1:10" x14ac:dyDescent="0.25">
      <c r="A21" s="56">
        <v>45061</v>
      </c>
      <c r="B21">
        <v>3.536</v>
      </c>
      <c r="C21">
        <v>3.3969999999999998</v>
      </c>
      <c r="D21">
        <v>3.415</v>
      </c>
      <c r="E21">
        <v>3.5459999999999998</v>
      </c>
      <c r="F21">
        <v>3.2970000000000002</v>
      </c>
      <c r="G21">
        <v>3.44</v>
      </c>
      <c r="H21">
        <v>3.0790000000000002</v>
      </c>
      <c r="I21">
        <v>3.5179999999999998</v>
      </c>
      <c r="J21">
        <v>4.5190000000000001</v>
      </c>
    </row>
    <row r="22" spans="1:10" x14ac:dyDescent="0.25">
      <c r="A22" s="56">
        <v>45068</v>
      </c>
      <c r="B22">
        <v>3.5339999999999998</v>
      </c>
      <c r="C22">
        <v>3.3809999999999998</v>
      </c>
      <c r="D22">
        <v>3.427</v>
      </c>
      <c r="E22">
        <v>3.544</v>
      </c>
      <c r="F22">
        <v>3.2669999999999999</v>
      </c>
      <c r="G22">
        <v>3.4689999999999999</v>
      </c>
      <c r="H22">
        <v>3.04</v>
      </c>
      <c r="I22">
        <v>3.5790000000000002</v>
      </c>
      <c r="J22">
        <v>4.5140000000000002</v>
      </c>
    </row>
    <row r="23" spans="1:10" x14ac:dyDescent="0.25">
      <c r="A23" s="56">
        <v>45075</v>
      </c>
      <c r="B23">
        <v>3.5710000000000002</v>
      </c>
      <c r="C23">
        <v>3.427</v>
      </c>
      <c r="D23">
        <v>3.5259999999999998</v>
      </c>
      <c r="E23">
        <v>3.6</v>
      </c>
      <c r="F23">
        <v>3.2930000000000001</v>
      </c>
      <c r="G23">
        <v>3.484</v>
      </c>
      <c r="H23">
        <v>3.121</v>
      </c>
      <c r="I23">
        <v>3.6219999999999999</v>
      </c>
      <c r="J23">
        <v>4.5339999999999998</v>
      </c>
    </row>
    <row r="24" spans="1:10" x14ac:dyDescent="0.25">
      <c r="A24" s="56">
        <v>45082</v>
      </c>
      <c r="B24">
        <v>3.5409999999999999</v>
      </c>
      <c r="C24">
        <v>3.41</v>
      </c>
      <c r="D24">
        <v>3.5230000000000001</v>
      </c>
      <c r="E24">
        <v>3.5760000000000001</v>
      </c>
      <c r="F24">
        <v>3.2770000000000001</v>
      </c>
      <c r="G24">
        <v>3.43</v>
      </c>
      <c r="H24">
        <v>3.0649999999999999</v>
      </c>
      <c r="I24">
        <v>3.6539999999999999</v>
      </c>
      <c r="J24">
        <v>4.5229999999999997</v>
      </c>
    </row>
    <row r="25" spans="1:10" x14ac:dyDescent="0.25">
      <c r="A25" s="56">
        <v>45089</v>
      </c>
      <c r="B25">
        <v>3.5950000000000002</v>
      </c>
      <c r="C25">
        <v>3.4319999999999999</v>
      </c>
      <c r="D25">
        <v>3.53</v>
      </c>
      <c r="E25">
        <v>3.569</v>
      </c>
      <c r="F25">
        <v>3.3210000000000002</v>
      </c>
      <c r="G25">
        <v>3.5129999999999999</v>
      </c>
      <c r="H25">
        <v>3.145</v>
      </c>
      <c r="I25">
        <v>3.7069999999999999</v>
      </c>
      <c r="J25">
        <v>4.5839999999999996</v>
      </c>
    </row>
    <row r="26" spans="1:10" x14ac:dyDescent="0.25">
      <c r="A26" s="56">
        <v>45096</v>
      </c>
      <c r="B26">
        <v>3.577</v>
      </c>
      <c r="C26">
        <v>3.419</v>
      </c>
      <c r="D26">
        <v>3.5329999999999999</v>
      </c>
      <c r="E26">
        <v>3.5659999999999998</v>
      </c>
      <c r="F26">
        <v>3.2959999999999998</v>
      </c>
      <c r="G26">
        <v>3.4889999999999999</v>
      </c>
      <c r="H26">
        <v>3.109</v>
      </c>
      <c r="I26">
        <v>3.7210000000000001</v>
      </c>
      <c r="J26">
        <v>4.569</v>
      </c>
    </row>
    <row r="27" spans="1:10" x14ac:dyDescent="0.25">
      <c r="A27" s="56">
        <v>45103</v>
      </c>
      <c r="B27">
        <v>3.5710000000000002</v>
      </c>
      <c r="C27">
        <v>3.4049999999999998</v>
      </c>
      <c r="D27">
        <v>3.5350000000000001</v>
      </c>
      <c r="E27">
        <v>3.5750000000000002</v>
      </c>
      <c r="F27">
        <v>3.2639999999999998</v>
      </c>
      <c r="G27">
        <v>3.452</v>
      </c>
      <c r="H27">
        <v>3.19</v>
      </c>
      <c r="I27">
        <v>3.734</v>
      </c>
      <c r="J27">
        <v>4.556</v>
      </c>
    </row>
    <row r="28" spans="1:10" x14ac:dyDescent="0.25">
      <c r="A28" s="56">
        <v>45110</v>
      </c>
      <c r="B28">
        <v>3.5270000000000001</v>
      </c>
      <c r="C28">
        <v>3.3719999999999999</v>
      </c>
      <c r="D28">
        <v>3.5310000000000001</v>
      </c>
      <c r="E28">
        <v>3.5750000000000002</v>
      </c>
      <c r="F28">
        <v>3.2040000000000002</v>
      </c>
      <c r="G28">
        <v>3.3889999999999998</v>
      </c>
      <c r="H28">
        <v>3.1080000000000001</v>
      </c>
      <c r="I28">
        <v>3.79</v>
      </c>
      <c r="J28">
        <v>4.5330000000000004</v>
      </c>
    </row>
    <row r="29" spans="1:10" x14ac:dyDescent="0.25">
      <c r="A29" s="56">
        <v>45117</v>
      </c>
      <c r="B29">
        <v>3.5459999999999998</v>
      </c>
      <c r="C29">
        <v>3.4289999999999998</v>
      </c>
      <c r="D29">
        <v>3.5249999999999999</v>
      </c>
      <c r="E29">
        <v>3.5859999999999999</v>
      </c>
      <c r="F29">
        <v>3.3039999999999998</v>
      </c>
      <c r="G29">
        <v>3.3620000000000001</v>
      </c>
      <c r="H29">
        <v>3.1520000000000001</v>
      </c>
      <c r="I29">
        <v>3.7480000000000002</v>
      </c>
      <c r="J29">
        <v>4.5339999999999998</v>
      </c>
    </row>
    <row r="30" spans="1:10" x14ac:dyDescent="0.25">
      <c r="A30" s="56">
        <v>45124</v>
      </c>
      <c r="B30">
        <v>3.5590000000000002</v>
      </c>
      <c r="C30">
        <v>3.4220000000000002</v>
      </c>
      <c r="D30">
        <v>3.5209999999999999</v>
      </c>
      <c r="E30">
        <v>3.5720000000000001</v>
      </c>
      <c r="F30">
        <v>3.302</v>
      </c>
      <c r="G30">
        <v>3.4129999999999998</v>
      </c>
      <c r="H30">
        <v>3.137</v>
      </c>
      <c r="I30">
        <v>3.7650000000000001</v>
      </c>
      <c r="J30">
        <v>4.5490000000000004</v>
      </c>
    </row>
    <row r="31" spans="1:10" x14ac:dyDescent="0.25">
      <c r="A31" s="56">
        <v>45131</v>
      </c>
      <c r="B31">
        <v>3.5960000000000001</v>
      </c>
      <c r="C31">
        <v>3.488</v>
      </c>
      <c r="D31">
        <v>3.5590000000000002</v>
      </c>
      <c r="E31">
        <v>3.6240000000000001</v>
      </c>
      <c r="F31">
        <v>3.383</v>
      </c>
      <c r="G31">
        <v>3.4039999999999999</v>
      </c>
      <c r="H31">
        <v>3.2429999999999999</v>
      </c>
      <c r="I31">
        <v>3.7549999999999999</v>
      </c>
      <c r="J31">
        <v>4.5389999999999997</v>
      </c>
    </row>
    <row r="32" spans="1:10" x14ac:dyDescent="0.25">
      <c r="A32" s="56">
        <v>45138</v>
      </c>
      <c r="B32">
        <v>3.7570000000000001</v>
      </c>
      <c r="C32">
        <v>3.6459999999999999</v>
      </c>
      <c r="D32">
        <v>3.681</v>
      </c>
      <c r="E32">
        <v>3.7789999999999999</v>
      </c>
      <c r="F32">
        <v>3.5529999999999999</v>
      </c>
      <c r="G32">
        <v>3.6120000000000001</v>
      </c>
      <c r="H32">
        <v>3.4159999999999999</v>
      </c>
      <c r="I32">
        <v>3.8730000000000002</v>
      </c>
      <c r="J32">
        <v>4.6159999999999997</v>
      </c>
    </row>
    <row r="33" spans="1:10" x14ac:dyDescent="0.25">
      <c r="A33" s="56">
        <v>45145</v>
      </c>
      <c r="B33">
        <v>3.8279999999999998</v>
      </c>
      <c r="C33">
        <v>3.7370000000000001</v>
      </c>
      <c r="D33">
        <v>3.746</v>
      </c>
      <c r="E33">
        <v>3.8479999999999999</v>
      </c>
      <c r="F33">
        <v>3.6619999999999999</v>
      </c>
      <c r="G33">
        <v>3.6779999999999999</v>
      </c>
      <c r="H33">
        <v>3.4529999999999998</v>
      </c>
      <c r="I33">
        <v>3.944</v>
      </c>
      <c r="J33">
        <v>4.6849999999999996</v>
      </c>
    </row>
    <row r="34" spans="1:10" x14ac:dyDescent="0.25">
      <c r="A34" s="56">
        <v>45152</v>
      </c>
      <c r="B34">
        <v>3.85</v>
      </c>
      <c r="C34">
        <v>3.7109999999999999</v>
      </c>
      <c r="D34">
        <v>3.7490000000000001</v>
      </c>
      <c r="E34">
        <v>3.8410000000000002</v>
      </c>
      <c r="F34">
        <v>3.617</v>
      </c>
      <c r="G34">
        <v>3.7679999999999998</v>
      </c>
      <c r="H34">
        <v>3.415</v>
      </c>
      <c r="I34">
        <v>3.9540000000000002</v>
      </c>
      <c r="J34">
        <v>4.7590000000000003</v>
      </c>
    </row>
    <row r="35" spans="1:10" x14ac:dyDescent="0.25">
      <c r="A35" s="56">
        <v>45159</v>
      </c>
      <c r="B35">
        <v>3.8679999999999999</v>
      </c>
      <c r="C35">
        <v>3.7280000000000002</v>
      </c>
      <c r="D35">
        <v>3.7829999999999999</v>
      </c>
      <c r="E35">
        <v>3.847</v>
      </c>
      <c r="F35">
        <v>3.6360000000000001</v>
      </c>
      <c r="G35">
        <v>3.72</v>
      </c>
      <c r="H35">
        <v>3.4580000000000002</v>
      </c>
      <c r="I35">
        <v>4.0389999999999997</v>
      </c>
      <c r="J35">
        <v>4.8659999999999997</v>
      </c>
    </row>
    <row r="36" spans="1:10" x14ac:dyDescent="0.25">
      <c r="A36" s="56">
        <v>45166</v>
      </c>
      <c r="B36">
        <v>3.8130000000000002</v>
      </c>
      <c r="C36">
        <v>3.6779999999999999</v>
      </c>
      <c r="D36">
        <v>3.7629999999999999</v>
      </c>
      <c r="E36">
        <v>3.8090000000000002</v>
      </c>
      <c r="F36">
        <v>3.5710000000000002</v>
      </c>
      <c r="G36">
        <v>3.637</v>
      </c>
      <c r="H36">
        <v>3.3780000000000001</v>
      </c>
      <c r="I36">
        <v>3.9750000000000001</v>
      </c>
      <c r="J36">
        <v>4.88</v>
      </c>
    </row>
    <row r="37" spans="1:10" x14ac:dyDescent="0.25">
      <c r="A37" s="56">
        <v>45173</v>
      </c>
      <c r="B37">
        <v>3.8069999999999999</v>
      </c>
      <c r="C37">
        <v>3.6549999999999998</v>
      </c>
      <c r="D37">
        <v>3.7490000000000001</v>
      </c>
      <c r="E37">
        <v>3.774</v>
      </c>
      <c r="F37">
        <v>3.556</v>
      </c>
      <c r="G37">
        <v>3.63</v>
      </c>
      <c r="H37">
        <v>3.3639999999999999</v>
      </c>
      <c r="I37">
        <v>3.9990000000000001</v>
      </c>
      <c r="J37">
        <v>4.9119999999999999</v>
      </c>
    </row>
    <row r="38" spans="1:10" x14ac:dyDescent="0.25">
      <c r="A38" s="56">
        <v>45180</v>
      </c>
      <c r="B38">
        <v>3.8220000000000001</v>
      </c>
      <c r="C38">
        <v>3.633</v>
      </c>
      <c r="D38">
        <v>3.742</v>
      </c>
      <c r="E38">
        <v>3.7810000000000001</v>
      </c>
      <c r="F38">
        <v>3.5110000000000001</v>
      </c>
      <c r="G38">
        <v>3.6829999999999998</v>
      </c>
      <c r="H38">
        <v>3.3660000000000001</v>
      </c>
      <c r="I38">
        <v>4.0129999999999999</v>
      </c>
      <c r="J38">
        <v>4.9690000000000003</v>
      </c>
    </row>
    <row r="39" spans="1:10" x14ac:dyDescent="0.25">
      <c r="A39" s="56">
        <v>45187</v>
      </c>
      <c r="B39">
        <v>3.8780000000000001</v>
      </c>
      <c r="C39">
        <v>3.6539999999999999</v>
      </c>
      <c r="D39">
        <v>3.782</v>
      </c>
      <c r="E39">
        <v>3.8340000000000001</v>
      </c>
      <c r="F39">
        <v>3.508</v>
      </c>
      <c r="G39">
        <v>3.71</v>
      </c>
      <c r="H39">
        <v>3.431</v>
      </c>
      <c r="I39">
        <v>4.0709999999999997</v>
      </c>
      <c r="J39">
        <v>5.1630000000000003</v>
      </c>
    </row>
    <row r="40" spans="1:10" x14ac:dyDescent="0.25">
      <c r="A40" s="56">
        <v>45194</v>
      </c>
      <c r="B40">
        <v>3.8370000000000002</v>
      </c>
      <c r="C40">
        <v>3.5979999999999999</v>
      </c>
      <c r="D40">
        <v>3.7589999999999999</v>
      </c>
      <c r="E40">
        <v>3.7970000000000002</v>
      </c>
      <c r="F40">
        <v>3.431</v>
      </c>
      <c r="G40">
        <v>3.6389999999999998</v>
      </c>
      <c r="H40">
        <v>3.351</v>
      </c>
      <c r="I40">
        <v>3.996</v>
      </c>
      <c r="J40">
        <v>5.258</v>
      </c>
    </row>
    <row r="41" spans="1:10" x14ac:dyDescent="0.25">
      <c r="A41" s="56">
        <v>45201</v>
      </c>
      <c r="B41">
        <v>3.798</v>
      </c>
      <c r="C41">
        <v>3.5379999999999998</v>
      </c>
      <c r="D41">
        <v>3.7280000000000002</v>
      </c>
      <c r="E41">
        <v>3.7519999999999998</v>
      </c>
      <c r="F41">
        <v>3.3540000000000001</v>
      </c>
      <c r="G41">
        <v>3.5390000000000001</v>
      </c>
      <c r="H41">
        <v>3.3210000000000002</v>
      </c>
      <c r="I41">
        <v>3.92</v>
      </c>
      <c r="J41">
        <v>5.391</v>
      </c>
    </row>
    <row r="42" spans="1:10" x14ac:dyDescent="0.25">
      <c r="A42" s="56">
        <v>45208</v>
      </c>
      <c r="B42">
        <v>3.6840000000000002</v>
      </c>
      <c r="C42">
        <v>3.476</v>
      </c>
      <c r="D42">
        <v>3.6680000000000001</v>
      </c>
      <c r="E42">
        <v>3.681</v>
      </c>
      <c r="F42">
        <v>3.298</v>
      </c>
      <c r="G42">
        <v>3.4220000000000002</v>
      </c>
      <c r="H42">
        <v>3.1850000000000001</v>
      </c>
      <c r="I42">
        <v>3.82</v>
      </c>
      <c r="J42">
        <v>5.1669999999999998</v>
      </c>
    </row>
    <row r="43" spans="1:10" x14ac:dyDescent="0.25">
      <c r="A43" s="56">
        <v>45215</v>
      </c>
      <c r="B43">
        <v>3.5760000000000001</v>
      </c>
      <c r="C43">
        <v>3.3959999999999999</v>
      </c>
      <c r="D43">
        <v>3.6019999999999999</v>
      </c>
      <c r="E43">
        <v>3.6179999999999999</v>
      </c>
      <c r="F43">
        <v>3.2040000000000002</v>
      </c>
      <c r="G43">
        <v>3.3260000000000001</v>
      </c>
      <c r="H43">
        <v>3.04</v>
      </c>
      <c r="I43">
        <v>3.7050000000000001</v>
      </c>
      <c r="J43">
        <v>4.9969999999999999</v>
      </c>
    </row>
    <row r="44" spans="1:10" x14ac:dyDescent="0.25">
      <c r="A44" s="56">
        <v>45222</v>
      </c>
      <c r="B44">
        <v>3.5329999999999999</v>
      </c>
      <c r="C44">
        <v>3.3479999999999999</v>
      </c>
      <c r="D44">
        <v>3.5569999999999999</v>
      </c>
      <c r="E44">
        <v>3.5990000000000002</v>
      </c>
      <c r="F44">
        <v>3.1360000000000001</v>
      </c>
      <c r="G44">
        <v>3.3149999999999999</v>
      </c>
      <c r="H44">
        <v>3.0409999999999999</v>
      </c>
      <c r="I44">
        <v>3.6909999999999998</v>
      </c>
      <c r="J44">
        <v>4.8579999999999997</v>
      </c>
    </row>
    <row r="45" spans="1:10" x14ac:dyDescent="0.25">
      <c r="A45" s="56">
        <v>45229</v>
      </c>
      <c r="B45">
        <v>3.4729999999999999</v>
      </c>
      <c r="C45">
        <v>3.327</v>
      </c>
      <c r="D45">
        <v>3.5129999999999999</v>
      </c>
      <c r="E45">
        <v>3.5670000000000002</v>
      </c>
      <c r="F45">
        <v>3.1280000000000001</v>
      </c>
      <c r="G45">
        <v>3.2530000000000001</v>
      </c>
      <c r="H45">
        <v>2.9649999999999999</v>
      </c>
      <c r="I45">
        <v>3.5790000000000002</v>
      </c>
      <c r="J45">
        <v>4.7229999999999999</v>
      </c>
    </row>
    <row r="46" spans="1:10" x14ac:dyDescent="0.25">
      <c r="A46" s="56">
        <v>45236</v>
      </c>
      <c r="B46">
        <v>3.3959999999999999</v>
      </c>
      <c r="C46">
        <v>3.2519999999999998</v>
      </c>
      <c r="D46">
        <v>3.456</v>
      </c>
      <c r="E46">
        <v>3.5150000000000001</v>
      </c>
      <c r="F46">
        <v>3.0329999999999999</v>
      </c>
      <c r="G46">
        <v>3.21</v>
      </c>
      <c r="H46">
        <v>2.871</v>
      </c>
      <c r="I46">
        <v>3.456</v>
      </c>
      <c r="J46">
        <v>4.5970000000000004</v>
      </c>
    </row>
    <row r="47" spans="1:10" x14ac:dyDescent="0.25">
      <c r="A47" s="56">
        <v>45243</v>
      </c>
      <c r="B47">
        <v>3.3490000000000002</v>
      </c>
      <c r="C47">
        <v>3.2120000000000002</v>
      </c>
      <c r="D47">
        <v>3.4129999999999998</v>
      </c>
      <c r="E47">
        <v>3.4550000000000001</v>
      </c>
      <c r="F47">
        <v>3.0070000000000001</v>
      </c>
      <c r="G47">
        <v>3.1850000000000001</v>
      </c>
      <c r="H47">
        <v>2.8090000000000002</v>
      </c>
      <c r="I47">
        <v>3.3380000000000001</v>
      </c>
      <c r="J47">
        <v>4.5199999999999996</v>
      </c>
    </row>
    <row r="48" spans="1:10" x14ac:dyDescent="0.25">
      <c r="A48" s="56">
        <v>45250</v>
      </c>
      <c r="B48">
        <v>3.2890000000000001</v>
      </c>
      <c r="C48">
        <v>3.1659999999999999</v>
      </c>
      <c r="D48">
        <v>3.3660000000000001</v>
      </c>
      <c r="E48">
        <v>3.444</v>
      </c>
      <c r="F48">
        <v>2.9430000000000001</v>
      </c>
      <c r="G48">
        <v>3.1240000000000001</v>
      </c>
      <c r="H48">
        <v>2.786</v>
      </c>
      <c r="I48">
        <v>3.1970000000000001</v>
      </c>
      <c r="J48">
        <v>4.4169999999999998</v>
      </c>
    </row>
    <row r="49" spans="1:10" x14ac:dyDescent="0.25">
      <c r="A49" s="56">
        <v>45257</v>
      </c>
      <c r="B49">
        <v>3.238</v>
      </c>
      <c r="C49">
        <v>3.1549999999999998</v>
      </c>
      <c r="D49">
        <v>3.3420000000000001</v>
      </c>
      <c r="E49">
        <v>3.43</v>
      </c>
      <c r="F49">
        <v>2.9369999999999998</v>
      </c>
      <c r="G49">
        <v>3.0310000000000001</v>
      </c>
      <c r="H49">
        <v>2.71</v>
      </c>
      <c r="I49">
        <v>3.1059999999999999</v>
      </c>
      <c r="J49">
        <v>4.3630000000000004</v>
      </c>
    </row>
    <row r="50" spans="1:10" x14ac:dyDescent="0.25">
      <c r="A50" s="56">
        <v>45264</v>
      </c>
      <c r="B50">
        <v>3.2309999999999999</v>
      </c>
      <c r="C50">
        <v>3.206</v>
      </c>
      <c r="D50">
        <v>3.3039999999999998</v>
      </c>
      <c r="E50">
        <v>3.4020000000000001</v>
      </c>
      <c r="F50">
        <v>3.0590000000000002</v>
      </c>
      <c r="G50">
        <v>2.9910000000000001</v>
      </c>
      <c r="H50">
        <v>2.738</v>
      </c>
      <c r="I50">
        <v>3.0150000000000001</v>
      </c>
      <c r="J50">
        <v>4.2519999999999998</v>
      </c>
    </row>
    <row r="51" spans="1:10" x14ac:dyDescent="0.25">
      <c r="A51" s="56">
        <v>45271</v>
      </c>
      <c r="B51">
        <v>3.1360000000000001</v>
      </c>
      <c r="C51">
        <v>3.1230000000000002</v>
      </c>
      <c r="D51">
        <v>3.2490000000000001</v>
      </c>
      <c r="E51">
        <v>3.3519999999999999</v>
      </c>
      <c r="F51">
        <v>2.9489999999999998</v>
      </c>
      <c r="G51">
        <v>2.9009999999999998</v>
      </c>
      <c r="H51">
        <v>2.6219999999999999</v>
      </c>
      <c r="I51">
        <v>2.899</v>
      </c>
      <c r="J51">
        <v>4.141</v>
      </c>
    </row>
    <row r="52" spans="1:10" x14ac:dyDescent="0.25">
      <c r="A52" s="56">
        <v>45278</v>
      </c>
      <c r="B52">
        <v>3.0529999999999999</v>
      </c>
      <c r="C52">
        <v>3.05</v>
      </c>
      <c r="D52">
        <v>3.1760000000000002</v>
      </c>
      <c r="E52">
        <v>3.278</v>
      </c>
      <c r="F52">
        <v>2.88</v>
      </c>
      <c r="G52">
        <v>2.798</v>
      </c>
      <c r="H52">
        <v>2.5470000000000002</v>
      </c>
      <c r="I52">
        <v>2.8079999999999998</v>
      </c>
      <c r="J52">
        <v>4.0549999999999997</v>
      </c>
    </row>
    <row r="53" spans="1:10" x14ac:dyDescent="0.25">
      <c r="A53" s="56">
        <v>45285</v>
      </c>
      <c r="B53">
        <v>3.1160000000000001</v>
      </c>
      <c r="C53">
        <v>3.117</v>
      </c>
      <c r="D53">
        <v>3.1469999999999998</v>
      </c>
      <c r="E53">
        <v>3.28</v>
      </c>
      <c r="F53">
        <v>3.0059999999999998</v>
      </c>
      <c r="G53">
        <v>2.8580000000000001</v>
      </c>
      <c r="H53">
        <v>2.6840000000000002</v>
      </c>
      <c r="I53">
        <v>2.8610000000000002</v>
      </c>
      <c r="J53">
        <v>4.0510000000000002</v>
      </c>
    </row>
    <row r="54" spans="1:10" x14ac:dyDescent="0.25">
      <c r="A54" t="s">
        <v>345</v>
      </c>
      <c r="B54" s="58">
        <f>AVERAGE(B2:B53)</f>
        <v>3.518634615384614</v>
      </c>
      <c r="C54" s="58">
        <f t="shared" ref="C54:J54" si="0">AVERAGE(C2:C53)</f>
        <v>3.3991923076923074</v>
      </c>
      <c r="D54" s="58">
        <f t="shared" si="0"/>
        <v>3.4698076923076924</v>
      </c>
      <c r="E54" s="58">
        <f t="shared" si="0"/>
        <v>3.561634615384615</v>
      </c>
      <c r="F54" s="58">
        <f t="shared" si="0"/>
        <v>3.2785000000000006</v>
      </c>
      <c r="G54" s="58">
        <f t="shared" si="0"/>
        <v>3.3631923076923078</v>
      </c>
      <c r="H54" s="58">
        <f t="shared" si="0"/>
        <v>3.0905000000000005</v>
      </c>
      <c r="I54" s="58">
        <f t="shared" si="0"/>
        <v>3.5969230769230762</v>
      </c>
      <c r="J54" s="58">
        <f t="shared" si="0"/>
        <v>4.5133653846153869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FA318-9580-43D8-AB38-41B5309885DC}">
  <sheetPr>
    <tabColor theme="8"/>
  </sheetPr>
  <dimension ref="A1:AG162"/>
  <sheetViews>
    <sheetView topLeftCell="A37" workbookViewId="0">
      <selection activeCell="B120" sqref="B120"/>
    </sheetView>
  </sheetViews>
  <sheetFormatPr defaultRowHeight="15" x14ac:dyDescent="0.25"/>
  <cols>
    <col min="1" max="1" width="16.28515625" customWidth="1"/>
  </cols>
  <sheetData>
    <row r="1" spans="1:33" x14ac:dyDescent="0.25">
      <c r="B1" s="258" t="s">
        <v>514</v>
      </c>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row>
    <row r="2" spans="1:33" x14ac:dyDescent="0.25">
      <c r="B2" s="33">
        <v>2023</v>
      </c>
      <c r="C2" s="33">
        <v>2024</v>
      </c>
      <c r="D2" s="33">
        <v>2025</v>
      </c>
      <c r="E2" s="33">
        <v>2026</v>
      </c>
      <c r="F2" s="33">
        <v>2027</v>
      </c>
      <c r="G2" s="33">
        <v>2028</v>
      </c>
      <c r="H2" s="33">
        <v>2029</v>
      </c>
      <c r="I2" s="33">
        <v>2030</v>
      </c>
      <c r="J2" s="33">
        <v>2031</v>
      </c>
      <c r="K2" s="33">
        <v>2032</v>
      </c>
      <c r="L2" s="33">
        <v>2033</v>
      </c>
      <c r="M2" s="33">
        <v>2034</v>
      </c>
      <c r="N2" s="33">
        <v>2035</v>
      </c>
      <c r="O2" s="33">
        <v>2036</v>
      </c>
      <c r="P2" s="33">
        <v>2037</v>
      </c>
      <c r="Q2" s="33">
        <v>2038</v>
      </c>
      <c r="R2" s="33">
        <v>2039</v>
      </c>
      <c r="S2" s="33">
        <v>2040</v>
      </c>
      <c r="T2" s="33">
        <v>2041</v>
      </c>
      <c r="U2" s="33">
        <v>2042</v>
      </c>
      <c r="V2" s="33">
        <v>2043</v>
      </c>
      <c r="W2" s="33">
        <v>2044</v>
      </c>
      <c r="X2" s="33">
        <v>2045</v>
      </c>
      <c r="Y2" s="33">
        <v>2046</v>
      </c>
      <c r="Z2" s="33">
        <v>2047</v>
      </c>
      <c r="AA2" s="33">
        <v>2048</v>
      </c>
      <c r="AB2" s="33">
        <v>2049</v>
      </c>
      <c r="AC2" s="33">
        <v>2050</v>
      </c>
      <c r="AG2">
        <v>2025</v>
      </c>
    </row>
    <row r="3" spans="1:33" x14ac:dyDescent="0.25">
      <c r="A3" t="s">
        <v>187</v>
      </c>
      <c r="B3" s="99">
        <v>14.58</v>
      </c>
      <c r="C3" s="99">
        <f t="shared" ref="C3:AC3" si="0">$B3*C$54</f>
        <v>14.270561459124842</v>
      </c>
      <c r="D3" s="99">
        <f t="shared" si="0"/>
        <v>13.843958150450639</v>
      </c>
      <c r="E3" s="99">
        <f t="shared" si="0"/>
        <v>13.595694253004629</v>
      </c>
      <c r="F3" s="99">
        <f t="shared" si="0"/>
        <v>13.40657533248516</v>
      </c>
      <c r="G3" s="99">
        <f t="shared" si="0"/>
        <v>13.279159098712586</v>
      </c>
      <c r="H3" s="99">
        <f t="shared" si="0"/>
        <v>13.244532039350295</v>
      </c>
      <c r="I3" s="99">
        <f t="shared" si="0"/>
        <v>13.279504595805255</v>
      </c>
      <c r="J3" s="99">
        <f t="shared" si="0"/>
        <v>13.348653518400129</v>
      </c>
      <c r="K3" s="99">
        <f t="shared" si="0"/>
        <v>13.411978494480662</v>
      </c>
      <c r="L3" s="99">
        <f t="shared" si="0"/>
        <v>13.613157841870798</v>
      </c>
      <c r="M3" s="99">
        <f t="shared" si="0"/>
        <v>13.767852875945161</v>
      </c>
      <c r="N3" s="99">
        <f t="shared" si="0"/>
        <v>13.782610242807856</v>
      </c>
      <c r="O3" s="99">
        <f t="shared" si="0"/>
        <v>13.867490112132527</v>
      </c>
      <c r="P3" s="99">
        <f t="shared" si="0"/>
        <v>13.972972952860935</v>
      </c>
      <c r="Q3" s="99">
        <f t="shared" si="0"/>
        <v>14.120184623041544</v>
      </c>
      <c r="R3" s="99">
        <f t="shared" si="0"/>
        <v>14.224084365151301</v>
      </c>
      <c r="S3" s="99">
        <f t="shared" si="0"/>
        <v>14.32795213588831</v>
      </c>
      <c r="T3" s="99">
        <f t="shared" si="0"/>
        <v>14.410795119368139</v>
      </c>
      <c r="U3" s="99">
        <f t="shared" si="0"/>
        <v>14.457405255505721</v>
      </c>
      <c r="V3" s="99">
        <f t="shared" si="0"/>
        <v>14.488992971787129</v>
      </c>
      <c r="W3" s="99">
        <f t="shared" si="0"/>
        <v>14.515068204604901</v>
      </c>
      <c r="X3" s="99">
        <f t="shared" si="0"/>
        <v>14.54687146981875</v>
      </c>
      <c r="Y3" s="99">
        <f t="shared" si="0"/>
        <v>14.522828997507396</v>
      </c>
      <c r="Z3" s="99">
        <f t="shared" si="0"/>
        <v>14.481432257798</v>
      </c>
      <c r="AA3" s="99">
        <f t="shared" si="0"/>
        <v>14.459935119291742</v>
      </c>
      <c r="AB3" s="99">
        <f t="shared" si="0"/>
        <v>14.39413700282846</v>
      </c>
      <c r="AC3" s="99">
        <f t="shared" si="0"/>
        <v>14.286534769486812</v>
      </c>
      <c r="AF3" t="s">
        <v>187</v>
      </c>
      <c r="AG3">
        <f>INDEX($B$3:$AC$53,MATCH($AF3,$A$3:$A$53,0),MATCH($AG$2,$B$2:$AC$2,0))</f>
        <v>13.843958150450639</v>
      </c>
    </row>
    <row r="4" spans="1:33" x14ac:dyDescent="0.25">
      <c r="A4" t="s">
        <v>231</v>
      </c>
      <c r="B4" s="99">
        <v>23.89</v>
      </c>
      <c r="C4" s="99">
        <f t="shared" ref="C4:R16" si="1">$B4*C$54</f>
        <v>23.382970731035151</v>
      </c>
      <c r="D4" s="99">
        <f t="shared" si="1"/>
        <v>22.683961605916721</v>
      </c>
      <c r="E4" s="99">
        <f t="shared" si="1"/>
        <v>22.277169801390986</v>
      </c>
      <c r="F4" s="99">
        <f t="shared" si="1"/>
        <v>21.967289759469853</v>
      </c>
      <c r="G4" s="99">
        <f t="shared" si="1"/>
        <v>21.758512405229336</v>
      </c>
      <c r="H4" s="99">
        <f t="shared" si="1"/>
        <v>21.701774377234468</v>
      </c>
      <c r="I4" s="99">
        <f t="shared" si="1"/>
        <v>21.759078518092423</v>
      </c>
      <c r="J4" s="99">
        <f t="shared" si="1"/>
        <v>21.87238220538951</v>
      </c>
      <c r="K4" s="99">
        <f t="shared" si="1"/>
        <v>21.976143088692936</v>
      </c>
      <c r="L4" s="99">
        <f t="shared" si="1"/>
        <v>22.305784694258804</v>
      </c>
      <c r="M4" s="99">
        <f t="shared" si="1"/>
        <v>22.559259616346356</v>
      </c>
      <c r="N4" s="99">
        <f t="shared" si="1"/>
        <v>22.583440240101488</v>
      </c>
      <c r="O4" s="99">
        <f t="shared" si="1"/>
        <v>22.722519806505218</v>
      </c>
      <c r="P4" s="99">
        <f t="shared" si="1"/>
        <v>22.895358288329749</v>
      </c>
      <c r="Q4" s="99">
        <f t="shared" si="1"/>
        <v>23.136571374791664</v>
      </c>
      <c r="R4" s="99">
        <f t="shared" si="1"/>
        <v>23.306815876780838</v>
      </c>
      <c r="S4" s="99">
        <f t="shared" ref="S4:AC18" si="2">$B4*S$54</f>
        <v>23.477007992206566</v>
      </c>
      <c r="T4" s="99">
        <f t="shared" si="2"/>
        <v>23.612750027551773</v>
      </c>
      <c r="U4" s="99">
        <f t="shared" si="2"/>
        <v>23.689122877505604</v>
      </c>
      <c r="V4" s="99">
        <f t="shared" si="2"/>
        <v>23.740880802194411</v>
      </c>
      <c r="W4" s="99">
        <f t="shared" si="2"/>
        <v>23.783606269410914</v>
      </c>
      <c r="X4" s="99">
        <f t="shared" si="2"/>
        <v>23.835717380930724</v>
      </c>
      <c r="Y4" s="99">
        <f t="shared" si="2"/>
        <v>23.796322685216165</v>
      </c>
      <c r="Z4" s="99">
        <f t="shared" si="2"/>
        <v>23.728492224883006</v>
      </c>
      <c r="AA4" s="99">
        <f t="shared" si="2"/>
        <v>23.69326817557474</v>
      </c>
      <c r="AB4" s="99">
        <f t="shared" si="2"/>
        <v>23.58545493810507</v>
      </c>
      <c r="AC4" s="99">
        <f t="shared" si="2"/>
        <v>23.409143734090531</v>
      </c>
      <c r="AF4" t="s">
        <v>231</v>
      </c>
      <c r="AG4">
        <f t="shared" ref="AG4:AG53" si="3">INDEX($B$3:$AC$53,MATCH($AF4,$A$3:$A$53,0),MATCH($AG$2,$B$2:$AC$2,0))</f>
        <v>22.683961605916721</v>
      </c>
    </row>
    <row r="5" spans="1:33" x14ac:dyDescent="0.25">
      <c r="A5" t="s">
        <v>189</v>
      </c>
      <c r="B5" s="99">
        <v>14.01</v>
      </c>
      <c r="C5" s="99">
        <f t="shared" si="1"/>
        <v>13.712658850640537</v>
      </c>
      <c r="D5" s="99">
        <f t="shared" si="1"/>
        <v>13.302733449095573</v>
      </c>
      <c r="E5" s="99">
        <f t="shared" si="1"/>
        <v>13.064175341878933</v>
      </c>
      <c r="F5" s="99">
        <f t="shared" si="1"/>
        <v>12.882449959404465</v>
      </c>
      <c r="G5" s="99">
        <f t="shared" si="1"/>
        <v>12.760015018721765</v>
      </c>
      <c r="H5" s="99">
        <f t="shared" si="1"/>
        <v>12.726741692132897</v>
      </c>
      <c r="I5" s="99">
        <f t="shared" si="1"/>
        <v>12.760347008726448</v>
      </c>
      <c r="J5" s="99">
        <f t="shared" si="1"/>
        <v>12.82679257838037</v>
      </c>
      <c r="K5" s="99">
        <f t="shared" si="1"/>
        <v>12.887641886671746</v>
      </c>
      <c r="L5" s="99">
        <f t="shared" si="1"/>
        <v>13.080956197847042</v>
      </c>
      <c r="M5" s="99">
        <f t="shared" si="1"/>
        <v>13.229603483675699</v>
      </c>
      <c r="N5" s="99">
        <f t="shared" si="1"/>
        <v>13.24378391644294</v>
      </c>
      <c r="O5" s="99">
        <f t="shared" si="1"/>
        <v>13.325345436966852</v>
      </c>
      <c r="P5" s="99">
        <f t="shared" si="1"/>
        <v>13.426704462934273</v>
      </c>
      <c r="Q5" s="99">
        <f t="shared" si="1"/>
        <v>13.568160944362964</v>
      </c>
      <c r="R5" s="99">
        <f t="shared" si="1"/>
        <v>13.667998762398472</v>
      </c>
      <c r="S5" s="99">
        <f t="shared" si="2"/>
        <v>13.767805858970865</v>
      </c>
      <c r="T5" s="99">
        <f t="shared" si="2"/>
        <v>13.847410124989549</v>
      </c>
      <c r="U5" s="99">
        <f t="shared" si="2"/>
        <v>13.89219805415879</v>
      </c>
      <c r="V5" s="99">
        <f t="shared" si="2"/>
        <v>13.922550859721376</v>
      </c>
      <c r="W5" s="99">
        <f t="shared" si="2"/>
        <v>13.947606690433105</v>
      </c>
      <c r="X5" s="99">
        <f t="shared" si="2"/>
        <v>13.978166618118017</v>
      </c>
      <c r="Y5" s="99">
        <f t="shared" si="2"/>
        <v>13.955064077851757</v>
      </c>
      <c r="Z5" s="99">
        <f t="shared" si="2"/>
        <v>13.915285729200958</v>
      </c>
      <c r="AA5" s="99">
        <f t="shared" si="2"/>
        <v>13.894629013805028</v>
      </c>
      <c r="AB5" s="99">
        <f t="shared" si="2"/>
        <v>13.831403251689075</v>
      </c>
      <c r="AC5" s="99">
        <f t="shared" si="2"/>
        <v>13.728007690021277</v>
      </c>
      <c r="AF5" t="s">
        <v>189</v>
      </c>
      <c r="AG5">
        <f t="shared" si="3"/>
        <v>13.302733449095573</v>
      </c>
    </row>
    <row r="6" spans="1:33" x14ac:dyDescent="0.25">
      <c r="A6" t="s">
        <v>188</v>
      </c>
      <c r="B6" s="99">
        <v>12.23</v>
      </c>
      <c r="C6" s="99">
        <f t="shared" si="1"/>
        <v>11.970436669759728</v>
      </c>
      <c r="D6" s="99">
        <f t="shared" si="1"/>
        <v>11.612593153635894</v>
      </c>
      <c r="E6" s="99">
        <f t="shared" si="1"/>
        <v>11.404344356258342</v>
      </c>
      <c r="F6" s="99">
        <f t="shared" si="1"/>
        <v>11.245707566275275</v>
      </c>
      <c r="G6" s="99">
        <f t="shared" si="1"/>
        <v>11.138828242610078</v>
      </c>
      <c r="H6" s="99">
        <f t="shared" si="1"/>
        <v>11.109782362225934</v>
      </c>
      <c r="I6" s="99">
        <f t="shared" si="1"/>
        <v>11.139118052585616</v>
      </c>
      <c r="J6" s="99">
        <f t="shared" si="1"/>
        <v>11.197121572704635</v>
      </c>
      <c r="K6" s="99">
        <f t="shared" si="1"/>
        <v>11.250239848250926</v>
      </c>
      <c r="L6" s="99">
        <f t="shared" si="1"/>
        <v>11.418993169141281</v>
      </c>
      <c r="M6" s="99">
        <f t="shared" si="1"/>
        <v>11.54875450430791</v>
      </c>
      <c r="N6" s="99">
        <f t="shared" si="1"/>
        <v>11.561133283233202</v>
      </c>
      <c r="O6" s="99">
        <f t="shared" si="1"/>
        <v>11.632332240835447</v>
      </c>
      <c r="P6" s="99">
        <f t="shared" si="1"/>
        <v>11.720813389128207</v>
      </c>
      <c r="Q6" s="99">
        <f t="shared" si="1"/>
        <v>11.844297526735122</v>
      </c>
      <c r="R6" s="99">
        <f t="shared" si="1"/>
        <v>11.931450739766833</v>
      </c>
      <c r="S6" s="99">
        <f t="shared" si="2"/>
        <v>12.018577134562005</v>
      </c>
      <c r="T6" s="99">
        <f t="shared" si="2"/>
        <v>12.088067510965182</v>
      </c>
      <c r="U6" s="99">
        <f t="shared" si="2"/>
        <v>12.127165039426268</v>
      </c>
      <c r="V6" s="99">
        <f t="shared" si="2"/>
        <v>12.153661457130081</v>
      </c>
      <c r="W6" s="99">
        <f t="shared" si="2"/>
        <v>12.175533891791355</v>
      </c>
      <c r="X6" s="99">
        <f t="shared" si="2"/>
        <v>12.202211116315729</v>
      </c>
      <c r="Y6" s="99">
        <f t="shared" si="2"/>
        <v>12.182043802435903</v>
      </c>
      <c r="Z6" s="99">
        <f t="shared" si="2"/>
        <v>12.147319376740024</v>
      </c>
      <c r="AA6" s="99">
        <f t="shared" si="2"/>
        <v>12.129287140530728</v>
      </c>
      <c r="AB6" s="99">
        <f t="shared" si="2"/>
        <v>12.074094344622226</v>
      </c>
      <c r="AC6" s="99">
        <f t="shared" si="2"/>
        <v>11.983835406778033</v>
      </c>
      <c r="AF6" t="s">
        <v>188</v>
      </c>
      <c r="AG6">
        <f t="shared" si="3"/>
        <v>11.612593153635894</v>
      </c>
    </row>
    <row r="7" spans="1:33" x14ac:dyDescent="0.25">
      <c r="A7" t="s">
        <v>149</v>
      </c>
      <c r="B7" s="99">
        <v>28.92</v>
      </c>
      <c r="C7" s="99">
        <f t="shared" si="1"/>
        <v>28.306216556782612</v>
      </c>
      <c r="D7" s="99">
        <f t="shared" si="1"/>
        <v>27.460032216120201</v>
      </c>
      <c r="E7" s="99">
        <f t="shared" si="1"/>
        <v>26.967591069745808</v>
      </c>
      <c r="F7" s="99">
        <f t="shared" si="1"/>
        <v>26.592466297357397</v>
      </c>
      <c r="G7" s="99">
        <f t="shared" si="1"/>
        <v>26.339731216376407</v>
      </c>
      <c r="H7" s="99">
        <f t="shared" si="1"/>
        <v>26.271047090398529</v>
      </c>
      <c r="I7" s="99">
        <f t="shared" si="1"/>
        <v>26.340416523366805</v>
      </c>
      <c r="J7" s="99">
        <f t="shared" si="1"/>
        <v>26.477576114686673</v>
      </c>
      <c r="K7" s="99">
        <f t="shared" si="1"/>
        <v>26.603183680410204</v>
      </c>
      <c r="L7" s="99">
        <f t="shared" si="1"/>
        <v>27.002230780994754</v>
      </c>
      <c r="M7" s="99">
        <f t="shared" si="1"/>
        <v>27.309074428829497</v>
      </c>
      <c r="N7" s="99">
        <f t="shared" si="1"/>
        <v>27.338346242935749</v>
      </c>
      <c r="O7" s="99">
        <f t="shared" si="1"/>
        <v>27.506708782090037</v>
      </c>
      <c r="P7" s="99">
        <f t="shared" si="1"/>
        <v>27.715938120489593</v>
      </c>
      <c r="Q7" s="99">
        <f t="shared" si="1"/>
        <v>28.007938223481581</v>
      </c>
      <c r="R7" s="99">
        <f t="shared" si="1"/>
        <v>28.21402742388036</v>
      </c>
      <c r="S7" s="99">
        <f t="shared" si="2"/>
        <v>28.420053207811382</v>
      </c>
      <c r="T7" s="99">
        <f t="shared" si="2"/>
        <v>28.584375504261082</v>
      </c>
      <c r="U7" s="99">
        <f t="shared" si="2"/>
        <v>28.676828531496948</v>
      </c>
      <c r="V7" s="99">
        <f t="shared" si="2"/>
        <v>28.739484001651835</v>
      </c>
      <c r="W7" s="99">
        <f t="shared" si="2"/>
        <v>28.791205245347996</v>
      </c>
      <c r="X7" s="99">
        <f t="shared" si="2"/>
        <v>28.854288265237194</v>
      </c>
      <c r="Y7" s="99">
        <f t="shared" si="2"/>
        <v>28.806599081475579</v>
      </c>
      <c r="Z7" s="99">
        <f t="shared" si="2"/>
        <v>28.724487029870932</v>
      </c>
      <c r="AA7" s="99">
        <f t="shared" si="2"/>
        <v>28.68184661522066</v>
      </c>
      <c r="AB7" s="99">
        <f t="shared" si="2"/>
        <v>28.551333478861391</v>
      </c>
      <c r="AC7" s="99">
        <f t="shared" si="2"/>
        <v>28.337900242356557</v>
      </c>
      <c r="AF7" t="s">
        <v>149</v>
      </c>
      <c r="AG7">
        <f t="shared" si="3"/>
        <v>27.460032216120201</v>
      </c>
    </row>
    <row r="8" spans="1:33" x14ac:dyDescent="0.25">
      <c r="A8" t="s">
        <v>190</v>
      </c>
      <c r="B8" s="99">
        <v>14.32</v>
      </c>
      <c r="C8" s="99">
        <f t="shared" si="1"/>
        <v>14.016079567535511</v>
      </c>
      <c r="D8" s="99">
        <f t="shared" si="1"/>
        <v>13.597083725271135</v>
      </c>
      <c r="E8" s="99">
        <f t="shared" si="1"/>
        <v>13.353247030385891</v>
      </c>
      <c r="F8" s="99">
        <f t="shared" si="1"/>
        <v>13.167500600904493</v>
      </c>
      <c r="G8" s="99">
        <f t="shared" si="1"/>
        <v>13.042356535909757</v>
      </c>
      <c r="H8" s="99">
        <f t="shared" si="1"/>
        <v>13.008346968689729</v>
      </c>
      <c r="I8" s="99">
        <f t="shared" si="1"/>
        <v>13.042695871874571</v>
      </c>
      <c r="J8" s="99">
        <f t="shared" si="1"/>
        <v>13.110611686110413</v>
      </c>
      <c r="K8" s="99">
        <f t="shared" si="1"/>
        <v>13.172807410216947</v>
      </c>
      <c r="L8" s="99">
        <f t="shared" si="1"/>
        <v>13.370399197228384</v>
      </c>
      <c r="M8" s="99">
        <f t="shared" si="1"/>
        <v>13.522335609295933</v>
      </c>
      <c r="N8" s="99">
        <f t="shared" si="1"/>
        <v>13.536829813237894</v>
      </c>
      <c r="O8" s="99">
        <f t="shared" si="1"/>
        <v>13.620196049776256</v>
      </c>
      <c r="P8" s="99">
        <f t="shared" si="1"/>
        <v>13.723797852192634</v>
      </c>
      <c r="Q8" s="99">
        <f t="shared" si="1"/>
        <v>13.868384348556578</v>
      </c>
      <c r="R8" s="99">
        <f t="shared" si="1"/>
        <v>13.970431283193872</v>
      </c>
      <c r="S8" s="99">
        <f t="shared" si="2"/>
        <v>14.072446816592633</v>
      </c>
      <c r="T8" s="99">
        <f t="shared" si="2"/>
        <v>14.153812490353344</v>
      </c>
      <c r="U8" s="99">
        <f t="shared" si="2"/>
        <v>14.199591444365016</v>
      </c>
      <c r="V8" s="99">
        <f t="shared" si="2"/>
        <v>14.230615868037837</v>
      </c>
      <c r="W8" s="99">
        <f t="shared" si="2"/>
        <v>14.256226110421276</v>
      </c>
      <c r="X8" s="99">
        <f t="shared" si="2"/>
        <v>14.287462239218417</v>
      </c>
      <c r="Y8" s="99">
        <f t="shared" si="2"/>
        <v>14.263848507839912</v>
      </c>
      <c r="Z8" s="99">
        <f t="shared" si="2"/>
        <v>14.223189981595841</v>
      </c>
      <c r="AA8" s="99">
        <f t="shared" si="2"/>
        <v>14.202076193982013</v>
      </c>
      <c r="AB8" s="99">
        <f t="shared" si="2"/>
        <v>14.137451432133302</v>
      </c>
      <c r="AC8" s="99">
        <f t="shared" si="2"/>
        <v>14.03176803148499</v>
      </c>
      <c r="AF8" t="s">
        <v>190</v>
      </c>
      <c r="AG8">
        <f t="shared" si="3"/>
        <v>13.597083725271135</v>
      </c>
    </row>
    <row r="9" spans="1:33" x14ac:dyDescent="0.25">
      <c r="A9" t="s">
        <v>191</v>
      </c>
      <c r="B9" s="99">
        <v>29.86</v>
      </c>
      <c r="C9" s="99">
        <f t="shared" si="1"/>
        <v>29.226266472528653</v>
      </c>
      <c r="D9" s="99">
        <f t="shared" si="1"/>
        <v>28.352578214846094</v>
      </c>
      <c r="E9" s="99">
        <f t="shared" si="1"/>
        <v>27.84413102844432</v>
      </c>
      <c r="F9" s="99">
        <f t="shared" si="1"/>
        <v>27.456813403841348</v>
      </c>
      <c r="G9" s="99">
        <f t="shared" si="1"/>
        <v>27.195863558817411</v>
      </c>
      <c r="H9" s="99">
        <f t="shared" si="1"/>
        <v>27.124946961248273</v>
      </c>
      <c r="I9" s="99">
        <f t="shared" si="1"/>
        <v>27.196571140654658</v>
      </c>
      <c r="J9" s="99">
        <f t="shared" si="1"/>
        <v>27.338188892964869</v>
      </c>
      <c r="K9" s="99">
        <f t="shared" si="1"/>
        <v>27.467879138902095</v>
      </c>
      <c r="L9" s="99">
        <f t="shared" si="1"/>
        <v>27.879896650086557</v>
      </c>
      <c r="M9" s="99">
        <f t="shared" si="1"/>
        <v>28.196713777484394</v>
      </c>
      <c r="N9" s="99">
        <f t="shared" si="1"/>
        <v>28.226937026765608</v>
      </c>
      <c r="O9" s="99">
        <f t="shared" si="1"/>
        <v>28.400771930608865</v>
      </c>
      <c r="P9" s="99">
        <f t="shared" si="1"/>
        <v>28.616801945982683</v>
      </c>
      <c r="Q9" s="99">
        <f t="shared" si="1"/>
        <v>28.918293062004146</v>
      </c>
      <c r="R9" s="99">
        <f t="shared" si="1"/>
        <v>29.131080874034147</v>
      </c>
      <c r="S9" s="99">
        <f t="shared" si="2"/>
        <v>29.3438032083419</v>
      </c>
      <c r="T9" s="99">
        <f t="shared" si="2"/>
        <v>29.513466547622265</v>
      </c>
      <c r="U9" s="99">
        <f t="shared" si="2"/>
        <v>29.608924617928729</v>
      </c>
      <c r="V9" s="99">
        <f t="shared" si="2"/>
        <v>29.673616607514653</v>
      </c>
      <c r="W9" s="99">
        <f t="shared" si="2"/>
        <v>29.727018970473413</v>
      </c>
      <c r="X9" s="99">
        <f t="shared" si="2"/>
        <v>29.792152406638401</v>
      </c>
      <c r="Y9" s="99">
        <f t="shared" si="2"/>
        <v>29.742913159504173</v>
      </c>
      <c r="Z9" s="99">
        <f t="shared" si="2"/>
        <v>29.658132182294118</v>
      </c>
      <c r="AA9" s="99">
        <f t="shared" si="2"/>
        <v>29.614105806725064</v>
      </c>
      <c r="AB9" s="99">
        <f t="shared" si="2"/>
        <v>29.479350542143884</v>
      </c>
      <c r="AC9" s="99">
        <f t="shared" si="2"/>
        <v>29.258979987440068</v>
      </c>
      <c r="AF9" t="s">
        <v>191</v>
      </c>
      <c r="AG9">
        <f t="shared" si="3"/>
        <v>28.352578214846094</v>
      </c>
    </row>
    <row r="10" spans="1:33" x14ac:dyDescent="0.25">
      <c r="A10" t="s">
        <v>192</v>
      </c>
      <c r="B10" s="99">
        <v>15.75</v>
      </c>
      <c r="C10" s="99">
        <f t="shared" si="1"/>
        <v>15.415729971276836</v>
      </c>
      <c r="D10" s="99">
        <f t="shared" si="1"/>
        <v>14.954893063758407</v>
      </c>
      <c r="E10" s="99">
        <f t="shared" si="1"/>
        <v>14.68670675478895</v>
      </c>
      <c r="F10" s="99">
        <f t="shared" si="1"/>
        <v>14.482411624598166</v>
      </c>
      <c r="G10" s="99">
        <f t="shared" si="1"/>
        <v>14.344770631325325</v>
      </c>
      <c r="H10" s="99">
        <f t="shared" si="1"/>
        <v>14.307364857322851</v>
      </c>
      <c r="I10" s="99">
        <f t="shared" si="1"/>
        <v>14.345143853493331</v>
      </c>
      <c r="J10" s="99">
        <f t="shared" si="1"/>
        <v>14.419841763703841</v>
      </c>
      <c r="K10" s="99">
        <f t="shared" si="1"/>
        <v>14.488248373667382</v>
      </c>
      <c r="L10" s="99">
        <f t="shared" si="1"/>
        <v>14.705571742761665</v>
      </c>
      <c r="M10" s="99">
        <f t="shared" si="1"/>
        <v>14.872680575866687</v>
      </c>
      <c r="N10" s="99">
        <f t="shared" si="1"/>
        <v>14.888622175872683</v>
      </c>
      <c r="O10" s="99">
        <f t="shared" si="1"/>
        <v>14.980313392735756</v>
      </c>
      <c r="P10" s="99">
        <f t="shared" si="1"/>
        <v>15.094260905868294</v>
      </c>
      <c r="Q10" s="99">
        <f t="shared" si="1"/>
        <v>15.253285858223888</v>
      </c>
      <c r="R10" s="99">
        <f t="shared" si="1"/>
        <v>15.365523233959738</v>
      </c>
      <c r="S10" s="99">
        <f t="shared" si="2"/>
        <v>15.477726072718854</v>
      </c>
      <c r="T10" s="99">
        <f t="shared" si="2"/>
        <v>15.567216949934718</v>
      </c>
      <c r="U10" s="99">
        <f t="shared" si="2"/>
        <v>15.617567405638896</v>
      </c>
      <c r="V10" s="99">
        <f t="shared" si="2"/>
        <v>15.651689938658935</v>
      </c>
      <c r="W10" s="99">
        <f t="shared" si="2"/>
        <v>15.679857628431222</v>
      </c>
      <c r="X10" s="99">
        <f t="shared" si="2"/>
        <v>15.714213007520256</v>
      </c>
      <c r="Y10" s="99">
        <f t="shared" si="2"/>
        <v>15.688241201011076</v>
      </c>
      <c r="Z10" s="99">
        <f t="shared" si="2"/>
        <v>15.643522500707716</v>
      </c>
      <c r="AA10" s="99">
        <f t="shared" si="2"/>
        <v>15.620300283185523</v>
      </c>
      <c r="AB10" s="99">
        <f t="shared" si="2"/>
        <v>15.54922207095667</v>
      </c>
      <c r="AC10" s="99">
        <f t="shared" si="2"/>
        <v>15.432985090495013</v>
      </c>
      <c r="AF10" t="s">
        <v>192</v>
      </c>
      <c r="AG10">
        <f t="shared" si="3"/>
        <v>14.954893063758407</v>
      </c>
    </row>
    <row r="11" spans="1:33" x14ac:dyDescent="0.25">
      <c r="A11" t="s">
        <v>193</v>
      </c>
      <c r="B11" s="99">
        <v>15.24</v>
      </c>
      <c r="C11" s="99">
        <f t="shared" si="1"/>
        <v>14.916553953159301</v>
      </c>
      <c r="D11" s="99">
        <f t="shared" si="1"/>
        <v>14.470639383598611</v>
      </c>
      <c r="E11" s="99">
        <f t="shared" si="1"/>
        <v>14.211137202729118</v>
      </c>
      <c r="F11" s="99">
        <f t="shared" si="1"/>
        <v>14.013457343420702</v>
      </c>
      <c r="G11" s="99">
        <f t="shared" si="1"/>
        <v>13.880273296596696</v>
      </c>
      <c r="H11" s="99">
        <f t="shared" si="1"/>
        <v>13.844078757180968</v>
      </c>
      <c r="I11" s="99">
        <f t="shared" si="1"/>
        <v>13.880634433475452</v>
      </c>
      <c r="J11" s="99">
        <f t="shared" si="1"/>
        <v>13.952913554212479</v>
      </c>
      <c r="K11" s="99">
        <f t="shared" si="1"/>
        <v>14.019105092996247</v>
      </c>
      <c r="L11" s="99">
        <f t="shared" si="1"/>
        <v>14.22939132442462</v>
      </c>
      <c r="M11" s="99">
        <f t="shared" si="1"/>
        <v>14.391089014362432</v>
      </c>
      <c r="N11" s="99">
        <f t="shared" si="1"/>
        <v>14.406514410177758</v>
      </c>
      <c r="O11" s="99">
        <f t="shared" si="1"/>
        <v>14.495236578113836</v>
      </c>
      <c r="P11" s="99">
        <f t="shared" si="1"/>
        <v>14.605494362249702</v>
      </c>
      <c r="Q11" s="99">
        <f t="shared" si="1"/>
        <v>14.759369935195688</v>
      </c>
      <c r="R11" s="99">
        <f t="shared" si="1"/>
        <v>14.867972957812471</v>
      </c>
      <c r="S11" s="99">
        <f t="shared" si="2"/>
        <v>14.976542561792719</v>
      </c>
      <c r="T11" s="99">
        <f t="shared" si="2"/>
        <v>15.063135639174927</v>
      </c>
      <c r="U11" s="99">
        <f t="shared" si="2"/>
        <v>15.11185569917059</v>
      </c>
      <c r="V11" s="99">
        <f t="shared" si="2"/>
        <v>15.144873312073788</v>
      </c>
      <c r="W11" s="99">
        <f t="shared" si="2"/>
        <v>15.172128905224877</v>
      </c>
      <c r="X11" s="99">
        <f t="shared" si="2"/>
        <v>15.205371824419601</v>
      </c>
      <c r="Y11" s="99">
        <f t="shared" si="2"/>
        <v>15.180241009740241</v>
      </c>
      <c r="Z11" s="99">
        <f t="shared" si="2"/>
        <v>15.136970343541941</v>
      </c>
      <c r="AA11" s="99">
        <f t="shared" si="2"/>
        <v>15.114500083539516</v>
      </c>
      <c r="AB11" s="99">
        <f t="shared" si="2"/>
        <v>15.045723451516167</v>
      </c>
      <c r="AC11" s="99">
        <f t="shared" si="2"/>
        <v>14.933250335183747</v>
      </c>
      <c r="AF11" t="s">
        <v>193</v>
      </c>
      <c r="AG11">
        <f t="shared" si="3"/>
        <v>14.470639383598611</v>
      </c>
    </row>
    <row r="12" spans="1:33" x14ac:dyDescent="0.25">
      <c r="A12" t="s">
        <v>194</v>
      </c>
      <c r="B12" s="99">
        <v>13.73</v>
      </c>
      <c r="C12" s="99">
        <f t="shared" si="1"/>
        <v>13.438601428928949</v>
      </c>
      <c r="D12" s="99">
        <f t="shared" si="1"/>
        <v>13.036868683517646</v>
      </c>
      <c r="E12" s="99">
        <f t="shared" si="1"/>
        <v>12.803078332904908</v>
      </c>
      <c r="F12" s="99">
        <f t="shared" si="1"/>
        <v>12.624984863856053</v>
      </c>
      <c r="G12" s="99">
        <f t="shared" si="1"/>
        <v>12.504996874164872</v>
      </c>
      <c r="H12" s="99">
        <f t="shared" si="1"/>
        <v>12.472388539113824</v>
      </c>
      <c r="I12" s="99">
        <f t="shared" si="1"/>
        <v>12.50532222910879</v>
      </c>
      <c r="J12" s="99">
        <f t="shared" si="1"/>
        <v>12.570439835914524</v>
      </c>
      <c r="K12" s="99">
        <f t="shared" si="1"/>
        <v>12.630073026695438</v>
      </c>
      <c r="L12" s="99">
        <f t="shared" si="1"/>
        <v>12.819523811309057</v>
      </c>
      <c r="M12" s="99">
        <f t="shared" si="1"/>
        <v>12.96520027343807</v>
      </c>
      <c r="N12" s="99">
        <f t="shared" si="1"/>
        <v>12.979097299982982</v>
      </c>
      <c r="O12" s="99">
        <f t="shared" si="1"/>
        <v>13.059028754429329</v>
      </c>
      <c r="P12" s="99">
        <f t="shared" si="1"/>
        <v>13.158362046829948</v>
      </c>
      <c r="Q12" s="99">
        <f t="shared" si="1"/>
        <v>13.296991417994541</v>
      </c>
      <c r="R12" s="99">
        <f t="shared" si="1"/>
        <v>13.394833904905855</v>
      </c>
      <c r="S12" s="99">
        <f t="shared" si="2"/>
        <v>13.492646284344753</v>
      </c>
      <c r="T12" s="99">
        <f t="shared" si="2"/>
        <v>13.570659601435155</v>
      </c>
      <c r="U12" s="99">
        <f t="shared" si="2"/>
        <v>13.614552411391877</v>
      </c>
      <c r="V12" s="99">
        <f t="shared" si="2"/>
        <v>13.644298594145218</v>
      </c>
      <c r="W12" s="99">
        <f t="shared" si="2"/>
        <v>13.668853665927662</v>
      </c>
      <c r="X12" s="99">
        <f t="shared" si="2"/>
        <v>13.698802831317659</v>
      </c>
      <c r="Y12" s="99">
        <f t="shared" si="2"/>
        <v>13.676162012056006</v>
      </c>
      <c r="Z12" s="99">
        <f t="shared" si="2"/>
        <v>13.637178662521711</v>
      </c>
      <c r="AA12" s="99">
        <f t="shared" si="2"/>
        <v>13.616934786548397</v>
      </c>
      <c r="AB12" s="99">
        <f t="shared" si="2"/>
        <v>13.554972637094291</v>
      </c>
      <c r="AC12" s="99">
        <f t="shared" si="2"/>
        <v>13.4536435106347</v>
      </c>
      <c r="AF12" t="s">
        <v>194</v>
      </c>
      <c r="AG12">
        <f t="shared" si="3"/>
        <v>13.036868683517646</v>
      </c>
    </row>
    <row r="13" spans="1:33" x14ac:dyDescent="0.25">
      <c r="A13" t="s">
        <v>233</v>
      </c>
      <c r="B13" s="99">
        <v>42.36</v>
      </c>
      <c r="C13" s="99">
        <f t="shared" si="1"/>
        <v>41.46097279893884</v>
      </c>
      <c r="D13" s="99">
        <f t="shared" si="1"/>
        <v>40.221540963860704</v>
      </c>
      <c r="E13" s="99">
        <f t="shared" si="1"/>
        <v>39.500247500499043</v>
      </c>
      <c r="F13" s="99">
        <f t="shared" si="1"/>
        <v>38.950790883681165</v>
      </c>
      <c r="G13" s="99">
        <f t="shared" si="1"/>
        <v>38.58060215510735</v>
      </c>
      <c r="H13" s="99">
        <f t="shared" si="1"/>
        <v>38.47999843531403</v>
      </c>
      <c r="I13" s="99">
        <f t="shared" si="1"/>
        <v>38.581605945014445</v>
      </c>
      <c r="J13" s="99">
        <f t="shared" si="1"/>
        <v>38.782507753047284</v>
      </c>
      <c r="K13" s="99">
        <f t="shared" si="1"/>
        <v>38.966488959273036</v>
      </c>
      <c r="L13" s="99">
        <f t="shared" si="1"/>
        <v>39.550985334818037</v>
      </c>
      <c r="M13" s="99">
        <f t="shared" si="1"/>
        <v>40.000428520235737</v>
      </c>
      <c r="N13" s="99">
        <f t="shared" si="1"/>
        <v>40.043303833013766</v>
      </c>
      <c r="O13" s="99">
        <f t="shared" si="1"/>
        <v>40.289909543891213</v>
      </c>
      <c r="P13" s="99">
        <f t="shared" si="1"/>
        <v>40.596374093497204</v>
      </c>
      <c r="Q13" s="99">
        <f t="shared" si="1"/>
        <v>41.024075489165966</v>
      </c>
      <c r="R13" s="99">
        <f t="shared" si="1"/>
        <v>41.325940583526005</v>
      </c>
      <c r="S13" s="99">
        <f t="shared" si="2"/>
        <v>41.627712789864802</v>
      </c>
      <c r="T13" s="99">
        <f t="shared" si="2"/>
        <v>41.868400634872039</v>
      </c>
      <c r="U13" s="99">
        <f t="shared" si="2"/>
        <v>42.003819384308805</v>
      </c>
      <c r="V13" s="99">
        <f t="shared" si="2"/>
        <v>42.095592749307457</v>
      </c>
      <c r="W13" s="99">
        <f t="shared" si="2"/>
        <v>42.171350421609304</v>
      </c>
      <c r="X13" s="99">
        <f t="shared" si="2"/>
        <v>42.263750031654475</v>
      </c>
      <c r="Y13" s="99">
        <f t="shared" si="2"/>
        <v>42.19389823967169</v>
      </c>
      <c r="Z13" s="99">
        <f t="shared" si="2"/>
        <v>42.073626230474844</v>
      </c>
      <c r="AA13" s="99">
        <f t="shared" si="2"/>
        <v>42.011169523538975</v>
      </c>
      <c r="AB13" s="99">
        <f t="shared" si="2"/>
        <v>41.820002979411079</v>
      </c>
      <c r="AC13" s="99">
        <f t="shared" si="2"/>
        <v>41.507380852912299</v>
      </c>
      <c r="AF13" t="s">
        <v>233</v>
      </c>
      <c r="AG13">
        <f t="shared" si="3"/>
        <v>40.221540963860704</v>
      </c>
    </row>
    <row r="14" spans="1:33" x14ac:dyDescent="0.25">
      <c r="A14" t="s">
        <v>196</v>
      </c>
      <c r="B14" s="99">
        <v>11.12</v>
      </c>
      <c r="C14" s="99">
        <f t="shared" si="1"/>
        <v>10.883994747974501</v>
      </c>
      <c r="D14" s="99">
        <f t="shared" si="1"/>
        <v>10.558629261523395</v>
      </c>
      <c r="E14" s="99">
        <f t="shared" si="1"/>
        <v>10.36928121353988</v>
      </c>
      <c r="F14" s="99">
        <f t="shared" si="1"/>
        <v>10.225042366065498</v>
      </c>
      <c r="G14" s="99">
        <f t="shared" si="1"/>
        <v>10.127863455259531</v>
      </c>
      <c r="H14" s="99">
        <f t="shared" si="1"/>
        <v>10.101453791328893</v>
      </c>
      <c r="I14" s="99">
        <f t="shared" si="1"/>
        <v>10.128126961958465</v>
      </c>
      <c r="J14" s="99">
        <f t="shared" si="1"/>
        <v>10.180866057929315</v>
      </c>
      <c r="K14" s="99">
        <f t="shared" si="1"/>
        <v>10.229163296201985</v>
      </c>
      <c r="L14" s="99">
        <f t="shared" si="1"/>
        <v>10.382600493937124</v>
      </c>
      <c r="M14" s="99">
        <f t="shared" si="1"/>
        <v>10.50058463515159</v>
      </c>
      <c r="N14" s="99">
        <f t="shared" si="1"/>
        <v>10.511839910838363</v>
      </c>
      <c r="O14" s="99">
        <f t="shared" si="1"/>
        <v>10.576576820775974</v>
      </c>
      <c r="P14" s="99">
        <f t="shared" si="1"/>
        <v>10.657027382428916</v>
      </c>
      <c r="Q14" s="99">
        <f t="shared" si="1"/>
        <v>10.769304047203152</v>
      </c>
      <c r="R14" s="99">
        <f t="shared" si="1"/>
        <v>10.848547197563954</v>
      </c>
      <c r="S14" s="99">
        <f t="shared" si="2"/>
        <v>10.92776596372277</v>
      </c>
      <c r="T14" s="99">
        <f t="shared" si="2"/>
        <v>10.9909493640174</v>
      </c>
      <c r="U14" s="99">
        <f t="shared" si="2"/>
        <v>11.026498384171715</v>
      </c>
      <c r="V14" s="99">
        <f t="shared" si="2"/>
        <v>11.050589975738879</v>
      </c>
      <c r="W14" s="99">
        <f t="shared" si="2"/>
        <v>11.070477258930486</v>
      </c>
      <c r="X14" s="99">
        <f t="shared" si="2"/>
        <v>11.0947332472143</v>
      </c>
      <c r="Y14" s="99">
        <f t="shared" si="2"/>
        <v>11.076396327317026</v>
      </c>
      <c r="Z14" s="99">
        <f t="shared" si="2"/>
        <v>11.044823505261574</v>
      </c>
      <c r="AA14" s="99">
        <f t="shared" si="2"/>
        <v>11.028427882477652</v>
      </c>
      <c r="AB14" s="99">
        <f t="shared" si="2"/>
        <v>10.978244408192898</v>
      </c>
      <c r="AC14" s="99">
        <f t="shared" si="2"/>
        <v>10.896177409924098</v>
      </c>
      <c r="AF14" t="s">
        <v>196</v>
      </c>
      <c r="AG14">
        <f t="shared" si="3"/>
        <v>10.558629261523395</v>
      </c>
    </row>
    <row r="15" spans="1:33" x14ac:dyDescent="0.25">
      <c r="A15" t="s">
        <v>197</v>
      </c>
      <c r="B15" s="99">
        <v>15.82</v>
      </c>
      <c r="C15" s="99">
        <f t="shared" si="1"/>
        <v>15.484244326704733</v>
      </c>
      <c r="D15" s="99">
        <f t="shared" si="1"/>
        <v>15.021359255152888</v>
      </c>
      <c r="E15" s="99">
        <f t="shared" si="1"/>
        <v>14.751981007032457</v>
      </c>
      <c r="F15" s="99">
        <f t="shared" si="1"/>
        <v>14.546777898485271</v>
      </c>
      <c r="G15" s="99">
        <f t="shared" si="1"/>
        <v>14.40852516746455</v>
      </c>
      <c r="H15" s="99">
        <f t="shared" si="1"/>
        <v>14.370953145577619</v>
      </c>
      <c r="I15" s="99">
        <f t="shared" si="1"/>
        <v>14.408900048397745</v>
      </c>
      <c r="J15" s="99">
        <f t="shared" si="1"/>
        <v>14.483929949320304</v>
      </c>
      <c r="K15" s="99">
        <f t="shared" si="1"/>
        <v>14.552640588661459</v>
      </c>
      <c r="L15" s="99">
        <f t="shared" si="1"/>
        <v>14.770929839396162</v>
      </c>
      <c r="M15" s="99">
        <f t="shared" si="1"/>
        <v>14.938781378426095</v>
      </c>
      <c r="N15" s="99">
        <f t="shared" si="1"/>
        <v>14.954793829987674</v>
      </c>
      <c r="O15" s="99">
        <f t="shared" si="1"/>
        <v>15.046892563370136</v>
      </c>
      <c r="P15" s="99">
        <f t="shared" si="1"/>
        <v>15.161346509894376</v>
      </c>
      <c r="Q15" s="99">
        <f t="shared" si="1"/>
        <v>15.321078239815995</v>
      </c>
      <c r="R15" s="99">
        <f t="shared" si="1"/>
        <v>15.433814448332894</v>
      </c>
      <c r="S15" s="99">
        <f t="shared" si="2"/>
        <v>15.546515966375381</v>
      </c>
      <c r="T15" s="99">
        <f t="shared" si="2"/>
        <v>15.636404580823317</v>
      </c>
      <c r="U15" s="99">
        <f t="shared" si="2"/>
        <v>15.686978816330626</v>
      </c>
      <c r="V15" s="99">
        <f t="shared" si="2"/>
        <v>15.721253005052974</v>
      </c>
      <c r="W15" s="99">
        <f t="shared" si="2"/>
        <v>15.749545884557582</v>
      </c>
      <c r="X15" s="99">
        <f t="shared" si="2"/>
        <v>15.784053954220346</v>
      </c>
      <c r="Y15" s="99">
        <f t="shared" si="2"/>
        <v>15.757966717460015</v>
      </c>
      <c r="Z15" s="99">
        <f t="shared" si="2"/>
        <v>15.713049267377528</v>
      </c>
      <c r="AA15" s="99">
        <f t="shared" si="2"/>
        <v>15.689723839999683</v>
      </c>
      <c r="AB15" s="99">
        <f t="shared" si="2"/>
        <v>15.618329724605367</v>
      </c>
      <c r="AC15" s="99">
        <f t="shared" si="2"/>
        <v>15.501576135341658</v>
      </c>
      <c r="AF15" t="s">
        <v>197</v>
      </c>
      <c r="AG15">
        <f t="shared" si="3"/>
        <v>15.021359255152888</v>
      </c>
    </row>
    <row r="16" spans="1:33" x14ac:dyDescent="0.25">
      <c r="A16" t="s">
        <v>198</v>
      </c>
      <c r="B16" s="99">
        <v>14.94</v>
      </c>
      <c r="C16" s="99">
        <f t="shared" si="1"/>
        <v>14.622921001325455</v>
      </c>
      <c r="D16" s="99">
        <f t="shared" si="1"/>
        <v>14.185784277622259</v>
      </c>
      <c r="E16" s="99">
        <f t="shared" si="1"/>
        <v>13.931390407399805</v>
      </c>
      <c r="F16" s="99">
        <f t="shared" si="1"/>
        <v>13.737601883904546</v>
      </c>
      <c r="G16" s="99">
        <f t="shared" si="1"/>
        <v>13.607039570285737</v>
      </c>
      <c r="H16" s="99">
        <f t="shared" si="1"/>
        <v>13.571557521803388</v>
      </c>
      <c r="I16" s="99">
        <f t="shared" si="1"/>
        <v>13.607393598170816</v>
      </c>
      <c r="J16" s="99">
        <f t="shared" si="1"/>
        <v>13.678249901570501</v>
      </c>
      <c r="K16" s="99">
        <f t="shared" si="1"/>
        <v>13.743138457307344</v>
      </c>
      <c r="L16" s="99">
        <f t="shared" si="1"/>
        <v>13.949285195991065</v>
      </c>
      <c r="M16" s="99">
        <f t="shared" si="1"/>
        <v>14.107799860536399</v>
      </c>
      <c r="N16" s="99">
        <f t="shared" si="1"/>
        <v>14.122921606827802</v>
      </c>
      <c r="O16" s="99">
        <f t="shared" si="1"/>
        <v>14.209897275395059</v>
      </c>
      <c r="P16" s="99">
        <f t="shared" si="1"/>
        <v>14.317984630709352</v>
      </c>
      <c r="Q16" s="99">
        <f t="shared" ref="C16:R32" si="4">$B16*Q$54</f>
        <v>14.468831156943804</v>
      </c>
      <c r="R16" s="99">
        <f t="shared" si="4"/>
        <v>14.575296324784667</v>
      </c>
      <c r="S16" s="99">
        <f t="shared" si="2"/>
        <v>14.681728731836168</v>
      </c>
      <c r="T16" s="99">
        <f t="shared" si="2"/>
        <v>14.766617221080931</v>
      </c>
      <c r="U16" s="99">
        <f t="shared" si="2"/>
        <v>14.814378224777467</v>
      </c>
      <c r="V16" s="99">
        <f t="shared" si="2"/>
        <v>14.84674588467076</v>
      </c>
      <c r="W16" s="99">
        <f t="shared" si="2"/>
        <v>14.873464950397615</v>
      </c>
      <c r="X16" s="99">
        <f t="shared" si="2"/>
        <v>14.906053481419214</v>
      </c>
      <c r="Y16" s="99">
        <f t="shared" si="2"/>
        <v>14.881417367816219</v>
      </c>
      <c r="Z16" s="99">
        <f t="shared" si="2"/>
        <v>14.838998486385604</v>
      </c>
      <c r="AA16" s="99">
        <f t="shared" si="2"/>
        <v>14.816970554335983</v>
      </c>
      <c r="AB16" s="99">
        <f t="shared" si="2"/>
        <v>14.749547793021755</v>
      </c>
      <c r="AC16" s="99">
        <f t="shared" si="2"/>
        <v>14.639288714412412</v>
      </c>
      <c r="AF16" t="s">
        <v>198</v>
      </c>
      <c r="AG16">
        <f t="shared" si="3"/>
        <v>14.185784277622259</v>
      </c>
    </row>
    <row r="17" spans="1:33" x14ac:dyDescent="0.25">
      <c r="A17" t="s">
        <v>195</v>
      </c>
      <c r="B17" s="99">
        <v>13.21</v>
      </c>
      <c r="C17" s="99">
        <f t="shared" si="4"/>
        <v>12.929637645750287</v>
      </c>
      <c r="D17" s="99">
        <f t="shared" si="4"/>
        <v>12.543119833158638</v>
      </c>
      <c r="E17" s="99">
        <f t="shared" si="4"/>
        <v>12.318183887667432</v>
      </c>
      <c r="F17" s="99">
        <f t="shared" si="4"/>
        <v>12.146835400694718</v>
      </c>
      <c r="G17" s="99">
        <f t="shared" si="4"/>
        <v>12.03139174855921</v>
      </c>
      <c r="H17" s="99">
        <f t="shared" si="4"/>
        <v>12.00001839779269</v>
      </c>
      <c r="I17" s="99">
        <f t="shared" si="4"/>
        <v>12.031704781247424</v>
      </c>
      <c r="J17" s="99">
        <f t="shared" si="4"/>
        <v>12.094356171335097</v>
      </c>
      <c r="K17" s="99">
        <f t="shared" si="4"/>
        <v>12.151730858168008</v>
      </c>
      <c r="L17" s="99">
        <f t="shared" si="4"/>
        <v>12.334006522024229</v>
      </c>
      <c r="M17" s="99">
        <f t="shared" si="4"/>
        <v>12.474165740139615</v>
      </c>
      <c r="N17" s="99">
        <f t="shared" si="4"/>
        <v>12.487536440843058</v>
      </c>
      <c r="O17" s="99">
        <f t="shared" si="4"/>
        <v>12.564440629716783</v>
      </c>
      <c r="P17" s="99">
        <f t="shared" si="4"/>
        <v>12.660011845493345</v>
      </c>
      <c r="Q17" s="99">
        <f t="shared" si="4"/>
        <v>12.793390869024609</v>
      </c>
      <c r="R17" s="99">
        <f t="shared" si="4"/>
        <v>12.887527740990995</v>
      </c>
      <c r="S17" s="99">
        <f t="shared" si="2"/>
        <v>12.9816356457534</v>
      </c>
      <c r="T17" s="99">
        <f t="shared" si="2"/>
        <v>13.056694343405564</v>
      </c>
      <c r="U17" s="99">
        <f t="shared" si="2"/>
        <v>13.098924789110466</v>
      </c>
      <c r="V17" s="99">
        <f t="shared" si="2"/>
        <v>13.127544386646637</v>
      </c>
      <c r="W17" s="99">
        <f t="shared" si="2"/>
        <v>13.151169477560408</v>
      </c>
      <c r="X17" s="99">
        <f t="shared" si="2"/>
        <v>13.179984370116991</v>
      </c>
      <c r="Y17" s="99">
        <f t="shared" si="2"/>
        <v>13.158201032721037</v>
      </c>
      <c r="Z17" s="99">
        <f t="shared" si="2"/>
        <v>13.120694110117393</v>
      </c>
      <c r="AA17" s="99">
        <f t="shared" si="2"/>
        <v>13.101216935928939</v>
      </c>
      <c r="AB17" s="99">
        <f t="shared" si="2"/>
        <v>13.041601495703976</v>
      </c>
      <c r="AC17" s="99">
        <f t="shared" si="2"/>
        <v>12.944110034631056</v>
      </c>
      <c r="AF17" t="s">
        <v>195</v>
      </c>
      <c r="AG17">
        <f t="shared" si="3"/>
        <v>12.543119833158638</v>
      </c>
    </row>
    <row r="18" spans="1:33" x14ac:dyDescent="0.25">
      <c r="A18" t="s">
        <v>199</v>
      </c>
      <c r="B18" s="99">
        <v>13.62</v>
      </c>
      <c r="C18" s="99">
        <f t="shared" si="4"/>
        <v>13.330936013256538</v>
      </c>
      <c r="D18" s="99">
        <f t="shared" si="4"/>
        <v>12.932421811326316</v>
      </c>
      <c r="E18" s="99">
        <f t="shared" si="4"/>
        <v>12.700504507950825</v>
      </c>
      <c r="F18" s="99">
        <f t="shared" si="4"/>
        <v>12.523837862033462</v>
      </c>
      <c r="G18" s="99">
        <f t="shared" si="4"/>
        <v>12.404811174517519</v>
      </c>
      <c r="H18" s="99">
        <f t="shared" si="4"/>
        <v>12.372464086142045</v>
      </c>
      <c r="I18" s="99">
        <f t="shared" si="4"/>
        <v>12.405133922830423</v>
      </c>
      <c r="J18" s="99">
        <f t="shared" si="4"/>
        <v>12.469729829945798</v>
      </c>
      <c r="K18" s="99">
        <f t="shared" si="4"/>
        <v>12.528885260276173</v>
      </c>
      <c r="L18" s="99">
        <f t="shared" si="4"/>
        <v>12.716818230883421</v>
      </c>
      <c r="M18" s="99">
        <f t="shared" si="4"/>
        <v>12.861327583701858</v>
      </c>
      <c r="N18" s="99">
        <f t="shared" si="4"/>
        <v>12.875113272087995</v>
      </c>
      <c r="O18" s="99">
        <f t="shared" si="4"/>
        <v>12.954404343432444</v>
      </c>
      <c r="P18" s="99">
        <f t="shared" si="4"/>
        <v>13.05294181193182</v>
      </c>
      <c r="Q18" s="99">
        <f t="shared" si="4"/>
        <v>13.190460532635514</v>
      </c>
      <c r="R18" s="99">
        <f t="shared" si="4"/>
        <v>13.287519139462326</v>
      </c>
      <c r="S18" s="99">
        <f t="shared" si="2"/>
        <v>13.38454788002735</v>
      </c>
      <c r="T18" s="99">
        <f t="shared" si="2"/>
        <v>13.461936181467355</v>
      </c>
      <c r="U18" s="99">
        <f t="shared" si="2"/>
        <v>13.505477337447731</v>
      </c>
      <c r="V18" s="99">
        <f t="shared" si="2"/>
        <v>13.53498520409744</v>
      </c>
      <c r="W18" s="99">
        <f t="shared" si="2"/>
        <v>13.559343549157665</v>
      </c>
      <c r="X18" s="99">
        <f t="shared" si="2"/>
        <v>13.589052772217515</v>
      </c>
      <c r="Y18" s="99">
        <f t="shared" si="2"/>
        <v>13.566593343350529</v>
      </c>
      <c r="Z18" s="99">
        <f t="shared" si="2"/>
        <v>13.527922314897719</v>
      </c>
      <c r="AA18" s="99">
        <f t="shared" si="2"/>
        <v>13.507840625840434</v>
      </c>
      <c r="AB18" s="99">
        <f t="shared" si="2"/>
        <v>13.446374895646338</v>
      </c>
      <c r="AC18" s="99">
        <f t="shared" si="2"/>
        <v>13.345857583018544</v>
      </c>
      <c r="AF18" t="s">
        <v>199</v>
      </c>
      <c r="AG18">
        <f t="shared" si="3"/>
        <v>12.932421811326316</v>
      </c>
    </row>
    <row r="19" spans="1:33" x14ac:dyDescent="0.25">
      <c r="A19" t="s">
        <v>157</v>
      </c>
      <c r="B19" s="99">
        <v>12.49</v>
      </c>
      <c r="C19" s="99">
        <f t="shared" si="4"/>
        <v>12.224918561349059</v>
      </c>
      <c r="D19" s="99">
        <f t="shared" si="4"/>
        <v>11.859467578815396</v>
      </c>
      <c r="E19" s="99">
        <f t="shared" si="4"/>
        <v>11.64679157887708</v>
      </c>
      <c r="F19" s="99">
        <f t="shared" si="4"/>
        <v>11.484782297855944</v>
      </c>
      <c r="G19" s="99">
        <f t="shared" si="4"/>
        <v>11.375630805412909</v>
      </c>
      <c r="H19" s="99">
        <f t="shared" si="4"/>
        <v>11.345967432886502</v>
      </c>
      <c r="I19" s="99">
        <f t="shared" si="4"/>
        <v>11.375926776516298</v>
      </c>
      <c r="J19" s="99">
        <f t="shared" si="4"/>
        <v>11.435163404994348</v>
      </c>
      <c r="K19" s="99">
        <f t="shared" si="4"/>
        <v>11.489410932514641</v>
      </c>
      <c r="L19" s="99">
        <f t="shared" si="4"/>
        <v>11.661751813783695</v>
      </c>
      <c r="M19" s="99">
        <f t="shared" si="4"/>
        <v>11.794271770957137</v>
      </c>
      <c r="N19" s="99">
        <f t="shared" si="4"/>
        <v>11.806913712803164</v>
      </c>
      <c r="O19" s="99">
        <f t="shared" si="4"/>
        <v>11.879626303191719</v>
      </c>
      <c r="P19" s="99">
        <f t="shared" si="4"/>
        <v>11.969988489796508</v>
      </c>
      <c r="Q19" s="99">
        <f t="shared" si="4"/>
        <v>12.096097801220088</v>
      </c>
      <c r="R19" s="99">
        <f t="shared" si="4"/>
        <v>12.185103821724264</v>
      </c>
      <c r="S19" s="99">
        <f t="shared" ref="S19:AC42" si="5">$B19*S$54</f>
        <v>12.27408245385768</v>
      </c>
      <c r="T19" s="99">
        <f t="shared" si="5"/>
        <v>12.345050139979977</v>
      </c>
      <c r="U19" s="99">
        <f t="shared" si="5"/>
        <v>12.384978850566974</v>
      </c>
      <c r="V19" s="99">
        <f t="shared" si="5"/>
        <v>12.41203856087937</v>
      </c>
      <c r="W19" s="99">
        <f t="shared" si="5"/>
        <v>12.434375985974981</v>
      </c>
      <c r="X19" s="99">
        <f t="shared" si="5"/>
        <v>12.461620346916064</v>
      </c>
      <c r="Y19" s="99">
        <f t="shared" si="5"/>
        <v>12.441024292103387</v>
      </c>
      <c r="Z19" s="99">
        <f t="shared" si="5"/>
        <v>12.405561652942183</v>
      </c>
      <c r="AA19" s="99">
        <f t="shared" si="5"/>
        <v>12.387146065840458</v>
      </c>
      <c r="AB19" s="99">
        <f t="shared" si="5"/>
        <v>12.330779915317384</v>
      </c>
      <c r="AC19" s="99">
        <f t="shared" si="5"/>
        <v>12.238602144779854</v>
      </c>
      <c r="AF19" t="s">
        <v>157</v>
      </c>
      <c r="AG19">
        <f t="shared" si="3"/>
        <v>11.859467578815396</v>
      </c>
    </row>
    <row r="20" spans="1:33" x14ac:dyDescent="0.25">
      <c r="A20" t="s">
        <v>200</v>
      </c>
      <c r="B20" s="99">
        <v>11.53</v>
      </c>
      <c r="C20" s="99">
        <f t="shared" si="4"/>
        <v>11.285293115480757</v>
      </c>
      <c r="D20" s="99">
        <f t="shared" si="4"/>
        <v>10.947931239691075</v>
      </c>
      <c r="E20" s="99">
        <f t="shared" si="4"/>
        <v>10.751601833823276</v>
      </c>
      <c r="F20" s="99">
        <f t="shared" si="4"/>
        <v>10.602044827404244</v>
      </c>
      <c r="G20" s="99">
        <f t="shared" si="4"/>
        <v>10.501282881217842</v>
      </c>
      <c r="H20" s="99">
        <f t="shared" si="4"/>
        <v>10.47389947967825</v>
      </c>
      <c r="I20" s="99">
        <f t="shared" si="4"/>
        <v>10.501556103541466</v>
      </c>
      <c r="J20" s="99">
        <f t="shared" si="4"/>
        <v>10.556239716540018</v>
      </c>
      <c r="K20" s="99">
        <f t="shared" si="4"/>
        <v>10.606317698310152</v>
      </c>
      <c r="L20" s="99">
        <f t="shared" si="4"/>
        <v>10.765412202796316</v>
      </c>
      <c r="M20" s="99">
        <f t="shared" si="4"/>
        <v>10.887746478713833</v>
      </c>
      <c r="N20" s="99">
        <f t="shared" si="4"/>
        <v>10.899416742083304</v>
      </c>
      <c r="O20" s="99">
        <f t="shared" si="4"/>
        <v>10.966540534491635</v>
      </c>
      <c r="P20" s="99">
        <f t="shared" si="4"/>
        <v>11.049957348867393</v>
      </c>
      <c r="Q20" s="99">
        <f t="shared" si="4"/>
        <v>11.166373710814058</v>
      </c>
      <c r="R20" s="99">
        <f t="shared" si="4"/>
        <v>11.248538596035289</v>
      </c>
      <c r="S20" s="99">
        <f t="shared" si="5"/>
        <v>11.330678197996722</v>
      </c>
      <c r="T20" s="99">
        <f t="shared" si="5"/>
        <v>11.396191202079192</v>
      </c>
      <c r="U20" s="99">
        <f t="shared" si="5"/>
        <v>11.433050932508982</v>
      </c>
      <c r="V20" s="99">
        <f t="shared" si="5"/>
        <v>11.458030793189684</v>
      </c>
      <c r="W20" s="99">
        <f t="shared" si="5"/>
        <v>11.478651330527745</v>
      </c>
      <c r="X20" s="99">
        <f t="shared" si="5"/>
        <v>11.503801649314827</v>
      </c>
      <c r="Y20" s="99">
        <f t="shared" si="5"/>
        <v>11.48478863794652</v>
      </c>
      <c r="Z20" s="99">
        <f t="shared" si="5"/>
        <v>11.452051710041902</v>
      </c>
      <c r="AA20" s="99">
        <f t="shared" si="5"/>
        <v>11.435051572389149</v>
      </c>
      <c r="AB20" s="99">
        <f t="shared" si="5"/>
        <v>11.383017808135262</v>
      </c>
      <c r="AC20" s="99">
        <f t="shared" si="5"/>
        <v>11.297924958311587</v>
      </c>
      <c r="AF20" t="s">
        <v>200</v>
      </c>
      <c r="AG20">
        <f t="shared" si="3"/>
        <v>10.947931239691075</v>
      </c>
    </row>
    <row r="21" spans="1:33" x14ac:dyDescent="0.25">
      <c r="A21" t="s">
        <v>203</v>
      </c>
      <c r="B21" s="99">
        <v>27.46</v>
      </c>
      <c r="C21" s="99">
        <f t="shared" si="4"/>
        <v>26.877202857857899</v>
      </c>
      <c r="D21" s="99">
        <f t="shared" si="4"/>
        <v>26.073737367035292</v>
      </c>
      <c r="E21" s="99">
        <f t="shared" si="4"/>
        <v>25.606156665809817</v>
      </c>
      <c r="F21" s="99">
        <f t="shared" si="4"/>
        <v>25.249969727712106</v>
      </c>
      <c r="G21" s="99">
        <f t="shared" si="4"/>
        <v>25.009993748329745</v>
      </c>
      <c r="H21" s="99">
        <f t="shared" si="4"/>
        <v>24.944777078227649</v>
      </c>
      <c r="I21" s="99">
        <f t="shared" si="4"/>
        <v>25.01064445821758</v>
      </c>
      <c r="J21" s="99">
        <f t="shared" si="4"/>
        <v>25.140879671829047</v>
      </c>
      <c r="K21" s="99">
        <f t="shared" si="4"/>
        <v>25.260146053390876</v>
      </c>
      <c r="L21" s="99">
        <f t="shared" si="4"/>
        <v>25.639047622618115</v>
      </c>
      <c r="M21" s="99">
        <f t="shared" si="4"/>
        <v>25.93040054687614</v>
      </c>
      <c r="N21" s="99">
        <f t="shared" si="4"/>
        <v>25.958194599965964</v>
      </c>
      <c r="O21" s="99">
        <f t="shared" si="4"/>
        <v>26.118057508858659</v>
      </c>
      <c r="P21" s="99">
        <f t="shared" si="4"/>
        <v>26.316724093659897</v>
      </c>
      <c r="Q21" s="99">
        <f t="shared" si="4"/>
        <v>26.593982835989081</v>
      </c>
      <c r="R21" s="99">
        <f t="shared" si="4"/>
        <v>26.789667809811711</v>
      </c>
      <c r="S21" s="99">
        <f t="shared" si="5"/>
        <v>26.985292568689506</v>
      </c>
      <c r="T21" s="99">
        <f t="shared" si="5"/>
        <v>27.14131920287031</v>
      </c>
      <c r="U21" s="99">
        <f t="shared" si="5"/>
        <v>27.229104822783754</v>
      </c>
      <c r="V21" s="99">
        <f t="shared" si="5"/>
        <v>27.288597188290435</v>
      </c>
      <c r="W21" s="99">
        <f t="shared" si="5"/>
        <v>27.337707331855324</v>
      </c>
      <c r="X21" s="99">
        <f t="shared" si="5"/>
        <v>27.397605662635318</v>
      </c>
      <c r="Y21" s="99">
        <f t="shared" si="5"/>
        <v>27.352324024112011</v>
      </c>
      <c r="Z21" s="99">
        <f t="shared" si="5"/>
        <v>27.274357325043422</v>
      </c>
      <c r="AA21" s="99">
        <f t="shared" si="5"/>
        <v>27.233869573096793</v>
      </c>
      <c r="AB21" s="99">
        <f t="shared" si="5"/>
        <v>27.109945274188583</v>
      </c>
      <c r="AC21" s="99">
        <f t="shared" si="5"/>
        <v>26.907287021269401</v>
      </c>
      <c r="AF21" t="s">
        <v>203</v>
      </c>
      <c r="AG21">
        <f t="shared" si="3"/>
        <v>26.073737367035292</v>
      </c>
    </row>
    <row r="22" spans="1:33" x14ac:dyDescent="0.25">
      <c r="A22" t="s">
        <v>202</v>
      </c>
      <c r="B22" s="99">
        <v>16.59</v>
      </c>
      <c r="C22" s="99">
        <f t="shared" si="4"/>
        <v>16.2379022364116</v>
      </c>
      <c r="D22" s="99">
        <f t="shared" si="4"/>
        <v>15.752487360492188</v>
      </c>
      <c r="E22" s="99">
        <f t="shared" si="4"/>
        <v>15.469997781711028</v>
      </c>
      <c r="F22" s="99">
        <f t="shared" si="4"/>
        <v>15.254806911243403</v>
      </c>
      <c r="G22" s="99">
        <f t="shared" si="4"/>
        <v>15.109825064996009</v>
      </c>
      <c r="H22" s="99">
        <f t="shared" si="4"/>
        <v>15.070424316380068</v>
      </c>
      <c r="I22" s="99">
        <f t="shared" si="4"/>
        <v>15.110218192346309</v>
      </c>
      <c r="J22" s="99">
        <f t="shared" si="4"/>
        <v>15.18889999110138</v>
      </c>
      <c r="K22" s="99">
        <f t="shared" si="4"/>
        <v>15.260954953596308</v>
      </c>
      <c r="L22" s="99">
        <f t="shared" si="4"/>
        <v>15.489868902375621</v>
      </c>
      <c r="M22" s="99">
        <f t="shared" si="4"/>
        <v>15.665890206579576</v>
      </c>
      <c r="N22" s="99">
        <f t="shared" si="4"/>
        <v>15.682682025252561</v>
      </c>
      <c r="O22" s="99">
        <f t="shared" si="4"/>
        <v>15.779263440348329</v>
      </c>
      <c r="P22" s="99">
        <f t="shared" si="4"/>
        <v>15.899288154181271</v>
      </c>
      <c r="Q22" s="99">
        <f t="shared" si="4"/>
        <v>16.066794437329165</v>
      </c>
      <c r="R22" s="99">
        <f t="shared" si="4"/>
        <v>16.185017806437592</v>
      </c>
      <c r="S22" s="99">
        <f t="shared" si="5"/>
        <v>16.303204796597193</v>
      </c>
      <c r="T22" s="99">
        <f t="shared" si="5"/>
        <v>16.397468520597904</v>
      </c>
      <c r="U22" s="99">
        <f t="shared" si="5"/>
        <v>16.450504333939637</v>
      </c>
      <c r="V22" s="99">
        <f t="shared" si="5"/>
        <v>16.48644673538741</v>
      </c>
      <c r="W22" s="99">
        <f t="shared" si="5"/>
        <v>16.516116701947553</v>
      </c>
      <c r="X22" s="99">
        <f t="shared" si="5"/>
        <v>16.552304367921337</v>
      </c>
      <c r="Y22" s="99">
        <f t="shared" si="5"/>
        <v>16.524947398398332</v>
      </c>
      <c r="Z22" s="99">
        <f t="shared" si="5"/>
        <v>16.47784370074546</v>
      </c>
      <c r="AA22" s="99">
        <f t="shared" si="5"/>
        <v>16.45338296495542</v>
      </c>
      <c r="AB22" s="99">
        <f t="shared" si="5"/>
        <v>16.378513914741024</v>
      </c>
      <c r="AC22" s="99">
        <f t="shared" si="5"/>
        <v>16.256077628654747</v>
      </c>
      <c r="AF22" t="s">
        <v>202</v>
      </c>
      <c r="AG22">
        <f t="shared" si="3"/>
        <v>15.752487360492188</v>
      </c>
    </row>
    <row r="23" spans="1:33" x14ac:dyDescent="0.25">
      <c r="A23" t="s">
        <v>201</v>
      </c>
      <c r="B23" s="99">
        <v>29.4</v>
      </c>
      <c r="C23" s="99">
        <f t="shared" si="4"/>
        <v>28.776029279716759</v>
      </c>
      <c r="D23" s="99">
        <f t="shared" si="4"/>
        <v>27.915800385682356</v>
      </c>
      <c r="E23" s="99">
        <f t="shared" si="4"/>
        <v>27.415185942272707</v>
      </c>
      <c r="F23" s="99">
        <f t="shared" si="4"/>
        <v>27.033835032583244</v>
      </c>
      <c r="G23" s="99">
        <f t="shared" si="4"/>
        <v>26.776905178473939</v>
      </c>
      <c r="H23" s="99">
        <f t="shared" si="4"/>
        <v>26.707081067002651</v>
      </c>
      <c r="I23" s="99">
        <f t="shared" si="4"/>
        <v>26.777601859854215</v>
      </c>
      <c r="J23" s="99">
        <f t="shared" si="4"/>
        <v>26.917037958913838</v>
      </c>
      <c r="K23" s="99">
        <f t="shared" si="4"/>
        <v>27.044730297512444</v>
      </c>
      <c r="L23" s="99">
        <f t="shared" si="4"/>
        <v>27.450400586488438</v>
      </c>
      <c r="M23" s="99">
        <f t="shared" si="4"/>
        <v>27.762337074951144</v>
      </c>
      <c r="N23" s="99">
        <f t="shared" si="4"/>
        <v>27.792094728295673</v>
      </c>
      <c r="O23" s="99">
        <f t="shared" si="4"/>
        <v>27.963251666440076</v>
      </c>
      <c r="P23" s="99">
        <f t="shared" si="4"/>
        <v>28.175953690954149</v>
      </c>
      <c r="Q23" s="99">
        <f t="shared" si="4"/>
        <v>28.47280026868459</v>
      </c>
      <c r="R23" s="99">
        <f t="shared" si="4"/>
        <v>28.682310036724846</v>
      </c>
      <c r="S23" s="99">
        <f t="shared" si="5"/>
        <v>28.891755335741856</v>
      </c>
      <c r="T23" s="99">
        <f t="shared" si="5"/>
        <v>29.058804973211473</v>
      </c>
      <c r="U23" s="99">
        <f t="shared" si="5"/>
        <v>29.15279249052594</v>
      </c>
      <c r="V23" s="99">
        <f t="shared" si="5"/>
        <v>29.216487885496676</v>
      </c>
      <c r="W23" s="99">
        <f t="shared" si="5"/>
        <v>29.269067573071613</v>
      </c>
      <c r="X23" s="99">
        <f t="shared" si="5"/>
        <v>29.333197614037807</v>
      </c>
      <c r="Y23" s="99">
        <f t="shared" si="5"/>
        <v>29.284716908554007</v>
      </c>
      <c r="Z23" s="99">
        <f t="shared" si="5"/>
        <v>29.201242001321067</v>
      </c>
      <c r="AA23" s="99">
        <f t="shared" si="5"/>
        <v>29.157893861946309</v>
      </c>
      <c r="AB23" s="99">
        <f t="shared" si="5"/>
        <v>29.025214532452448</v>
      </c>
      <c r="AC23" s="99">
        <f t="shared" si="5"/>
        <v>28.808238835590689</v>
      </c>
      <c r="AF23" t="s">
        <v>201</v>
      </c>
      <c r="AG23">
        <f t="shared" si="3"/>
        <v>27.915800385682356</v>
      </c>
    </row>
    <row r="24" spans="1:33" x14ac:dyDescent="0.25">
      <c r="A24" t="s">
        <v>204</v>
      </c>
      <c r="B24" s="99">
        <v>18.7</v>
      </c>
      <c r="C24" s="99">
        <f t="shared" si="4"/>
        <v>18.303120664309638</v>
      </c>
      <c r="D24" s="99">
        <f t="shared" si="4"/>
        <v>17.755968272525852</v>
      </c>
      <c r="E24" s="99">
        <f t="shared" si="4"/>
        <v>17.437550242193865</v>
      </c>
      <c r="F24" s="99">
        <f t="shared" si="4"/>
        <v>17.194990309840364</v>
      </c>
      <c r="G24" s="99">
        <f t="shared" si="4"/>
        <v>17.031568940049752</v>
      </c>
      <c r="H24" s="99">
        <f t="shared" si="4"/>
        <v>16.987157005202366</v>
      </c>
      <c r="I24" s="99">
        <f t="shared" si="4"/>
        <v>17.032012067322238</v>
      </c>
      <c r="J24" s="99">
        <f t="shared" si="4"/>
        <v>17.120701014683291</v>
      </c>
      <c r="K24" s="99">
        <f t="shared" si="4"/>
        <v>17.201920291274924</v>
      </c>
      <c r="L24" s="99">
        <f t="shared" si="4"/>
        <v>17.459948672358294</v>
      </c>
      <c r="M24" s="99">
        <f t="shared" si="4"/>
        <v>17.658357255156002</v>
      </c>
      <c r="N24" s="99">
        <f t="shared" si="4"/>
        <v>17.677284742147251</v>
      </c>
      <c r="O24" s="99">
        <f t="shared" si="4"/>
        <v>17.786149869470389</v>
      </c>
      <c r="P24" s="99">
        <f t="shared" si="4"/>
        <v>17.921439932681722</v>
      </c>
      <c r="Q24" s="99">
        <f t="shared" si="4"/>
        <v>18.110250511034078</v>
      </c>
      <c r="R24" s="99">
        <f t="shared" si="4"/>
        <v>18.243510125399816</v>
      </c>
      <c r="S24" s="99">
        <f t="shared" si="5"/>
        <v>18.376728733958256</v>
      </c>
      <c r="T24" s="99">
        <f t="shared" si="5"/>
        <v>18.482981394525666</v>
      </c>
      <c r="U24" s="99">
        <f t="shared" si="5"/>
        <v>18.542762570504593</v>
      </c>
      <c r="V24" s="99">
        <f t="shared" si="5"/>
        <v>18.583276308122034</v>
      </c>
      <c r="W24" s="99">
        <f t="shared" si="5"/>
        <v>18.61671985089929</v>
      </c>
      <c r="X24" s="99">
        <f t="shared" si="5"/>
        <v>18.657510047024047</v>
      </c>
      <c r="Y24" s="99">
        <f t="shared" si="5"/>
        <v>18.626673679930608</v>
      </c>
      <c r="Z24" s="99">
        <f t="shared" si="5"/>
        <v>18.573579096078365</v>
      </c>
      <c r="AA24" s="99">
        <f t="shared" si="5"/>
        <v>18.546007320353606</v>
      </c>
      <c r="AB24" s="99">
        <f t="shared" si="5"/>
        <v>18.461616046151729</v>
      </c>
      <c r="AC24" s="99">
        <f t="shared" si="5"/>
        <v>18.32360769474646</v>
      </c>
      <c r="AF24" t="s">
        <v>204</v>
      </c>
      <c r="AG24">
        <f t="shared" si="3"/>
        <v>17.755968272525852</v>
      </c>
    </row>
    <row r="25" spans="1:33" x14ac:dyDescent="0.25">
      <c r="A25" t="s">
        <v>205</v>
      </c>
      <c r="B25" s="99">
        <v>14.57</v>
      </c>
      <c r="C25" s="99">
        <f t="shared" si="4"/>
        <v>14.260773694063714</v>
      </c>
      <c r="D25" s="99">
        <f t="shared" si="4"/>
        <v>13.834462980251427</v>
      </c>
      <c r="E25" s="99">
        <f t="shared" si="4"/>
        <v>13.586369359826985</v>
      </c>
      <c r="F25" s="99">
        <f t="shared" si="4"/>
        <v>13.397380150501288</v>
      </c>
      <c r="G25" s="99">
        <f t="shared" si="4"/>
        <v>13.270051307835555</v>
      </c>
      <c r="H25" s="99">
        <f t="shared" si="4"/>
        <v>13.235447998171043</v>
      </c>
      <c r="I25" s="99">
        <f t="shared" si="4"/>
        <v>13.270396567961768</v>
      </c>
      <c r="J25" s="99">
        <f t="shared" si="4"/>
        <v>13.339498063312062</v>
      </c>
      <c r="K25" s="99">
        <f t="shared" si="4"/>
        <v>13.402779606624366</v>
      </c>
      <c r="L25" s="99">
        <f t="shared" si="4"/>
        <v>13.603820970923014</v>
      </c>
      <c r="M25" s="99">
        <f t="shared" si="4"/>
        <v>13.758409904150961</v>
      </c>
      <c r="N25" s="99">
        <f t="shared" si="4"/>
        <v>13.773157149362858</v>
      </c>
      <c r="O25" s="99">
        <f t="shared" si="4"/>
        <v>13.857978802041902</v>
      </c>
      <c r="P25" s="99">
        <f t="shared" si="4"/>
        <v>13.963389295142925</v>
      </c>
      <c r="Q25" s="99">
        <f t="shared" si="4"/>
        <v>14.110499997099813</v>
      </c>
      <c r="R25" s="99">
        <f t="shared" si="4"/>
        <v>14.214328477383708</v>
      </c>
      <c r="S25" s="99">
        <f t="shared" si="5"/>
        <v>14.318125008223092</v>
      </c>
      <c r="T25" s="99">
        <f t="shared" si="5"/>
        <v>14.40091117209834</v>
      </c>
      <c r="U25" s="99">
        <f t="shared" si="5"/>
        <v>14.447489339692618</v>
      </c>
      <c r="V25" s="99">
        <f t="shared" si="5"/>
        <v>14.479055390873693</v>
      </c>
      <c r="W25" s="99">
        <f t="shared" si="5"/>
        <v>14.505112739443993</v>
      </c>
      <c r="X25" s="99">
        <f t="shared" si="5"/>
        <v>14.536894191718739</v>
      </c>
      <c r="Y25" s="99">
        <f t="shared" si="5"/>
        <v>14.512868209443262</v>
      </c>
      <c r="Z25" s="99">
        <f t="shared" si="5"/>
        <v>14.471499862559455</v>
      </c>
      <c r="AA25" s="99">
        <f t="shared" si="5"/>
        <v>14.450017468318292</v>
      </c>
      <c r="AB25" s="99">
        <f t="shared" si="5"/>
        <v>14.384264480878647</v>
      </c>
      <c r="AC25" s="99">
        <f t="shared" si="5"/>
        <v>14.276736048794435</v>
      </c>
      <c r="AF25" t="s">
        <v>205</v>
      </c>
      <c r="AG25">
        <f t="shared" si="3"/>
        <v>13.834462980251427</v>
      </c>
    </row>
    <row r="26" spans="1:33" x14ac:dyDescent="0.25">
      <c r="A26" t="s">
        <v>207</v>
      </c>
      <c r="B26" s="99">
        <v>13.42</v>
      </c>
      <c r="C26" s="99">
        <f t="shared" si="4"/>
        <v>13.135180712033977</v>
      </c>
      <c r="D26" s="99">
        <f t="shared" si="4"/>
        <v>12.742518407342084</v>
      </c>
      <c r="E26" s="99">
        <f t="shared" si="4"/>
        <v>12.51400664439795</v>
      </c>
      <c r="F26" s="99">
        <f t="shared" si="4"/>
        <v>12.339934222356025</v>
      </c>
      <c r="G26" s="99">
        <f t="shared" si="4"/>
        <v>12.22265535697688</v>
      </c>
      <c r="H26" s="99">
        <f t="shared" si="4"/>
        <v>12.190783262556993</v>
      </c>
      <c r="I26" s="99">
        <f t="shared" si="4"/>
        <v>12.222973365960668</v>
      </c>
      <c r="J26" s="99">
        <f t="shared" si="4"/>
        <v>12.286620728184479</v>
      </c>
      <c r="K26" s="99">
        <f t="shared" si="4"/>
        <v>12.344907503150239</v>
      </c>
      <c r="L26" s="99">
        <f t="shared" si="4"/>
        <v>12.530080811927718</v>
      </c>
      <c r="M26" s="99">
        <f t="shared" si="4"/>
        <v>12.672468147817836</v>
      </c>
      <c r="N26" s="99">
        <f t="shared" si="4"/>
        <v>12.686051403188026</v>
      </c>
      <c r="O26" s="99">
        <f t="shared" si="4"/>
        <v>12.764178141619926</v>
      </c>
      <c r="P26" s="99">
        <f t="shared" si="4"/>
        <v>12.861268657571587</v>
      </c>
      <c r="Q26" s="99">
        <f t="shared" si="4"/>
        <v>12.996768013800926</v>
      </c>
      <c r="R26" s="99">
        <f t="shared" si="4"/>
        <v>13.092401384110458</v>
      </c>
      <c r="S26" s="99">
        <f t="shared" si="5"/>
        <v>13.188005326722985</v>
      </c>
      <c r="T26" s="99">
        <f t="shared" si="5"/>
        <v>13.26425723607136</v>
      </c>
      <c r="U26" s="99">
        <f t="shared" si="5"/>
        <v>13.307159021185651</v>
      </c>
      <c r="V26" s="99">
        <f t="shared" si="5"/>
        <v>13.336233585828756</v>
      </c>
      <c r="W26" s="99">
        <f t="shared" si="5"/>
        <v>13.360234245939491</v>
      </c>
      <c r="X26" s="99">
        <f t="shared" si="5"/>
        <v>13.389507210217259</v>
      </c>
      <c r="Y26" s="99">
        <f t="shared" si="5"/>
        <v>13.367377582067849</v>
      </c>
      <c r="Z26" s="99">
        <f t="shared" si="5"/>
        <v>13.329274410126828</v>
      </c>
      <c r="AA26" s="99">
        <f t="shared" si="5"/>
        <v>13.309487606371412</v>
      </c>
      <c r="AB26" s="99">
        <f t="shared" si="5"/>
        <v>13.248924456650064</v>
      </c>
      <c r="AC26" s="99">
        <f t="shared" si="5"/>
        <v>13.149883169170989</v>
      </c>
      <c r="AF26" t="s">
        <v>207</v>
      </c>
      <c r="AG26">
        <f t="shared" si="3"/>
        <v>12.742518407342084</v>
      </c>
    </row>
    <row r="27" spans="1:33" x14ac:dyDescent="0.25">
      <c r="A27" t="s">
        <v>206</v>
      </c>
      <c r="B27" s="99">
        <v>12.77</v>
      </c>
      <c r="C27" s="99">
        <f t="shared" si="4"/>
        <v>12.498975983060646</v>
      </c>
      <c r="D27" s="99">
        <f t="shared" si="4"/>
        <v>12.125332344393323</v>
      </c>
      <c r="E27" s="99">
        <f t="shared" si="4"/>
        <v>11.907888587851104</v>
      </c>
      <c r="F27" s="99">
        <f t="shared" si="4"/>
        <v>11.742247393404355</v>
      </c>
      <c r="G27" s="99">
        <f t="shared" si="4"/>
        <v>11.630648949969803</v>
      </c>
      <c r="H27" s="99">
        <f t="shared" si="4"/>
        <v>11.600320585905575</v>
      </c>
      <c r="I27" s="99">
        <f t="shared" si="4"/>
        <v>11.630951556133958</v>
      </c>
      <c r="J27" s="99">
        <f t="shared" si="4"/>
        <v>11.691516147460193</v>
      </c>
      <c r="K27" s="99">
        <f t="shared" si="4"/>
        <v>11.746979792490949</v>
      </c>
      <c r="L27" s="99">
        <f t="shared" si="4"/>
        <v>11.92318420032168</v>
      </c>
      <c r="M27" s="99">
        <f t="shared" si="4"/>
        <v>12.058674981194766</v>
      </c>
      <c r="N27" s="99">
        <f t="shared" si="4"/>
        <v>12.071600329263122</v>
      </c>
      <c r="O27" s="99">
        <f t="shared" si="4"/>
        <v>12.145942985729244</v>
      </c>
      <c r="P27" s="99">
        <f t="shared" si="4"/>
        <v>12.238330905900833</v>
      </c>
      <c r="Q27" s="99">
        <f t="shared" si="4"/>
        <v>12.367267327588511</v>
      </c>
      <c r="R27" s="99">
        <f t="shared" si="4"/>
        <v>12.45826867921688</v>
      </c>
      <c r="S27" s="99">
        <f t="shared" si="5"/>
        <v>12.549242028483793</v>
      </c>
      <c r="T27" s="99">
        <f t="shared" si="5"/>
        <v>12.621800663534371</v>
      </c>
      <c r="U27" s="99">
        <f t="shared" si="5"/>
        <v>12.662624493333887</v>
      </c>
      <c r="V27" s="99">
        <f t="shared" si="5"/>
        <v>12.690290826455529</v>
      </c>
      <c r="W27" s="99">
        <f t="shared" si="5"/>
        <v>12.713129010480424</v>
      </c>
      <c r="X27" s="99">
        <f t="shared" si="5"/>
        <v>12.740984133716422</v>
      </c>
      <c r="Y27" s="99">
        <f t="shared" si="5"/>
        <v>12.719926357899139</v>
      </c>
      <c r="Z27" s="99">
        <f t="shared" si="5"/>
        <v>12.68366871962143</v>
      </c>
      <c r="AA27" s="99">
        <f t="shared" si="5"/>
        <v>12.664840293097088</v>
      </c>
      <c r="AB27" s="99">
        <f t="shared" si="5"/>
        <v>12.60721052991217</v>
      </c>
      <c r="AC27" s="99">
        <f t="shared" si="5"/>
        <v>12.512966324166433</v>
      </c>
      <c r="AF27" t="s">
        <v>206</v>
      </c>
      <c r="AG27">
        <f t="shared" si="3"/>
        <v>12.125332344393323</v>
      </c>
    </row>
    <row r="28" spans="1:33" x14ac:dyDescent="0.25">
      <c r="A28" t="s">
        <v>208</v>
      </c>
      <c r="B28" s="99">
        <v>12.43</v>
      </c>
      <c r="C28" s="99">
        <f t="shared" si="4"/>
        <v>12.16619197098229</v>
      </c>
      <c r="D28" s="99">
        <f t="shared" si="4"/>
        <v>11.802496557620126</v>
      </c>
      <c r="E28" s="99">
        <f t="shared" si="4"/>
        <v>11.590842219811217</v>
      </c>
      <c r="F28" s="99">
        <f t="shared" si="4"/>
        <v>11.429611205952712</v>
      </c>
      <c r="G28" s="99">
        <f t="shared" si="4"/>
        <v>11.320984060150717</v>
      </c>
      <c r="H28" s="99">
        <f t="shared" si="4"/>
        <v>11.291463185810986</v>
      </c>
      <c r="I28" s="99">
        <f t="shared" si="4"/>
        <v>11.321278609455371</v>
      </c>
      <c r="J28" s="99">
        <f t="shared" si="4"/>
        <v>11.380230674465952</v>
      </c>
      <c r="K28" s="99">
        <f t="shared" si="4"/>
        <v>11.43421760537686</v>
      </c>
      <c r="L28" s="99">
        <f t="shared" si="4"/>
        <v>11.605730588096984</v>
      </c>
      <c r="M28" s="99">
        <f t="shared" si="4"/>
        <v>11.737613940191931</v>
      </c>
      <c r="N28" s="99">
        <f t="shared" si="4"/>
        <v>11.750195152133172</v>
      </c>
      <c r="O28" s="99">
        <f t="shared" si="4"/>
        <v>11.822558442647964</v>
      </c>
      <c r="P28" s="99">
        <f t="shared" si="4"/>
        <v>11.912486543488438</v>
      </c>
      <c r="Q28" s="99">
        <f t="shared" si="4"/>
        <v>12.03799004556971</v>
      </c>
      <c r="R28" s="99">
        <f t="shared" si="4"/>
        <v>12.126568495118702</v>
      </c>
      <c r="S28" s="99">
        <f t="shared" si="5"/>
        <v>12.21511968786637</v>
      </c>
      <c r="T28" s="99">
        <f t="shared" si="5"/>
        <v>12.285746456361178</v>
      </c>
      <c r="U28" s="99">
        <f t="shared" si="5"/>
        <v>12.325483355688348</v>
      </c>
      <c r="V28" s="99">
        <f t="shared" si="5"/>
        <v>12.352413075398765</v>
      </c>
      <c r="W28" s="99">
        <f t="shared" si="5"/>
        <v>12.374643195009529</v>
      </c>
      <c r="X28" s="99">
        <f t="shared" si="5"/>
        <v>12.401756678315985</v>
      </c>
      <c r="Y28" s="99">
        <f t="shared" si="5"/>
        <v>12.381259563718581</v>
      </c>
      <c r="Z28" s="99">
        <f t="shared" si="5"/>
        <v>12.345967281510914</v>
      </c>
      <c r="AA28" s="99">
        <f t="shared" si="5"/>
        <v>12.327640159999749</v>
      </c>
      <c r="AB28" s="99">
        <f t="shared" si="5"/>
        <v>12.271544783618502</v>
      </c>
      <c r="AC28" s="99">
        <f t="shared" si="5"/>
        <v>12.179809820625588</v>
      </c>
      <c r="AF28" t="s">
        <v>208</v>
      </c>
      <c r="AG28">
        <f t="shared" si="3"/>
        <v>11.802496557620126</v>
      </c>
    </row>
    <row r="29" spans="1:33" x14ac:dyDescent="0.25">
      <c r="A29" t="s">
        <v>211</v>
      </c>
      <c r="B29" s="99">
        <v>11.29</v>
      </c>
      <c r="C29" s="99">
        <f t="shared" si="4"/>
        <v>11.05038675401368</v>
      </c>
      <c r="D29" s="99">
        <f t="shared" si="4"/>
        <v>10.720047154909993</v>
      </c>
      <c r="E29" s="99">
        <f t="shared" si="4"/>
        <v>10.527804397559825</v>
      </c>
      <c r="F29" s="99">
        <f t="shared" si="4"/>
        <v>10.38136045979132</v>
      </c>
      <c r="G29" s="99">
        <f t="shared" si="4"/>
        <v>10.282695900169074</v>
      </c>
      <c r="H29" s="99">
        <f t="shared" si="4"/>
        <v>10.255882491376187</v>
      </c>
      <c r="I29" s="99">
        <f t="shared" si="4"/>
        <v>10.282963435297759</v>
      </c>
      <c r="J29" s="99">
        <f t="shared" si="4"/>
        <v>10.336508794426436</v>
      </c>
      <c r="K29" s="99">
        <f t="shared" si="4"/>
        <v>10.38554438975903</v>
      </c>
      <c r="L29" s="99">
        <f t="shared" si="4"/>
        <v>10.541327300049472</v>
      </c>
      <c r="M29" s="99">
        <f t="shared" si="4"/>
        <v>10.661115155653007</v>
      </c>
      <c r="N29" s="99">
        <f t="shared" si="4"/>
        <v>10.672542499403338</v>
      </c>
      <c r="O29" s="99">
        <f t="shared" si="4"/>
        <v>10.738269092316614</v>
      </c>
      <c r="P29" s="99">
        <f t="shared" si="4"/>
        <v>10.819949563635113</v>
      </c>
      <c r="Q29" s="99">
        <f t="shared" si="4"/>
        <v>10.933942688212552</v>
      </c>
      <c r="R29" s="99">
        <f t="shared" si="4"/>
        <v>11.014397289613044</v>
      </c>
      <c r="S29" s="99">
        <f t="shared" si="5"/>
        <v>11.094827134031481</v>
      </c>
      <c r="T29" s="99">
        <f t="shared" si="5"/>
        <v>11.158976467603997</v>
      </c>
      <c r="U29" s="99">
        <f t="shared" si="5"/>
        <v>11.195068952994484</v>
      </c>
      <c r="V29" s="99">
        <f t="shared" si="5"/>
        <v>11.219528851267262</v>
      </c>
      <c r="W29" s="99">
        <f t="shared" si="5"/>
        <v>11.239720166665935</v>
      </c>
      <c r="X29" s="99">
        <f t="shared" si="5"/>
        <v>11.264346974914519</v>
      </c>
      <c r="Y29" s="99">
        <f t="shared" si="5"/>
        <v>11.245729724407303</v>
      </c>
      <c r="Z29" s="99">
        <f t="shared" si="5"/>
        <v>11.213674224316831</v>
      </c>
      <c r="AA29" s="99">
        <f t="shared" si="5"/>
        <v>11.197027949026321</v>
      </c>
      <c r="AB29" s="99">
        <f t="shared" si="5"/>
        <v>11.146077281339732</v>
      </c>
      <c r="AC29" s="99">
        <f t="shared" si="5"/>
        <v>11.062755661694519</v>
      </c>
      <c r="AF29" t="s">
        <v>211</v>
      </c>
      <c r="AG29">
        <f t="shared" si="3"/>
        <v>10.720047154909993</v>
      </c>
    </row>
    <row r="30" spans="1:33" x14ac:dyDescent="0.25">
      <c r="A30" t="s">
        <v>215</v>
      </c>
      <c r="B30" s="99">
        <v>16.670000000000002</v>
      </c>
      <c r="C30" s="99">
        <f t="shared" si="4"/>
        <v>16.316204356900627</v>
      </c>
      <c r="D30" s="99">
        <f t="shared" si="4"/>
        <v>15.828448722085882</v>
      </c>
      <c r="E30" s="99">
        <f t="shared" si="4"/>
        <v>15.544596927132179</v>
      </c>
      <c r="F30" s="99">
        <f t="shared" si="4"/>
        <v>15.328368367114379</v>
      </c>
      <c r="G30" s="99">
        <f t="shared" si="4"/>
        <v>15.182687392012266</v>
      </c>
      <c r="H30" s="99">
        <f t="shared" si="4"/>
        <v>15.143096645814092</v>
      </c>
      <c r="I30" s="99">
        <f t="shared" si="4"/>
        <v>15.183082415094212</v>
      </c>
      <c r="J30" s="99">
        <f t="shared" si="4"/>
        <v>15.262143631805909</v>
      </c>
      <c r="K30" s="99">
        <f t="shared" si="4"/>
        <v>15.334546056446683</v>
      </c>
      <c r="L30" s="99">
        <f t="shared" si="4"/>
        <v>15.564563869957903</v>
      </c>
      <c r="M30" s="99">
        <f t="shared" si="4"/>
        <v>15.741433980933186</v>
      </c>
      <c r="N30" s="99">
        <f t="shared" si="4"/>
        <v>15.758306772812549</v>
      </c>
      <c r="O30" s="99">
        <f t="shared" si="4"/>
        <v>15.855353921073338</v>
      </c>
      <c r="P30" s="99">
        <f t="shared" si="4"/>
        <v>15.975957415925365</v>
      </c>
      <c r="Q30" s="99">
        <f t="shared" si="4"/>
        <v>16.144271444863001</v>
      </c>
      <c r="R30" s="99">
        <f t="shared" si="4"/>
        <v>16.263064908578343</v>
      </c>
      <c r="S30" s="99">
        <f t="shared" si="5"/>
        <v>16.38182181791894</v>
      </c>
      <c r="T30" s="99">
        <f t="shared" si="5"/>
        <v>16.476540098756303</v>
      </c>
      <c r="U30" s="99">
        <f t="shared" si="5"/>
        <v>16.529831660444472</v>
      </c>
      <c r="V30" s="99">
        <f t="shared" si="5"/>
        <v>16.565947382694887</v>
      </c>
      <c r="W30" s="99">
        <f t="shared" si="5"/>
        <v>16.595760423234825</v>
      </c>
      <c r="X30" s="99">
        <f t="shared" si="5"/>
        <v>16.632122592721441</v>
      </c>
      <c r="Y30" s="99">
        <f t="shared" si="5"/>
        <v>16.604633702911407</v>
      </c>
      <c r="Z30" s="99">
        <f t="shared" si="5"/>
        <v>16.55730286265382</v>
      </c>
      <c r="AA30" s="99">
        <f t="shared" si="5"/>
        <v>16.532724172743031</v>
      </c>
      <c r="AB30" s="99">
        <f t="shared" si="5"/>
        <v>16.457494090339537</v>
      </c>
      <c r="AC30" s="99">
        <f t="shared" si="5"/>
        <v>16.334467394193769</v>
      </c>
      <c r="AF30" t="s">
        <v>215</v>
      </c>
      <c r="AG30">
        <f t="shared" si="3"/>
        <v>15.828448722085882</v>
      </c>
    </row>
    <row r="31" spans="1:33" x14ac:dyDescent="0.25">
      <c r="A31" t="s">
        <v>212</v>
      </c>
      <c r="B31" s="99">
        <v>28.31</v>
      </c>
      <c r="C31" s="99">
        <f t="shared" si="4"/>
        <v>27.70916288805379</v>
      </c>
      <c r="D31" s="99">
        <f t="shared" si="4"/>
        <v>26.880826833968282</v>
      </c>
      <c r="E31" s="99">
        <f t="shared" si="4"/>
        <v>26.398772585909533</v>
      </c>
      <c r="F31" s="99">
        <f t="shared" si="4"/>
        <v>26.031560196341211</v>
      </c>
      <c r="G31" s="99">
        <f t="shared" si="4"/>
        <v>25.784155972877457</v>
      </c>
      <c r="H31" s="99">
        <f t="shared" si="4"/>
        <v>25.716920578464119</v>
      </c>
      <c r="I31" s="99">
        <f t="shared" si="4"/>
        <v>25.784826824914042</v>
      </c>
      <c r="J31" s="99">
        <f t="shared" si="4"/>
        <v>25.919093354314651</v>
      </c>
      <c r="K31" s="99">
        <f t="shared" si="4"/>
        <v>26.042051521176099</v>
      </c>
      <c r="L31" s="99">
        <f t="shared" si="4"/>
        <v>26.432681653179856</v>
      </c>
      <c r="M31" s="99">
        <f t="shared" si="4"/>
        <v>26.733053149383228</v>
      </c>
      <c r="N31" s="99">
        <f t="shared" si="4"/>
        <v>26.761707542790834</v>
      </c>
      <c r="O31" s="99">
        <f t="shared" si="4"/>
        <v>26.926518866561853</v>
      </c>
      <c r="P31" s="99">
        <f t="shared" si="4"/>
        <v>27.131334999690882</v>
      </c>
      <c r="Q31" s="99">
        <f t="shared" si="4"/>
        <v>27.417176041036083</v>
      </c>
      <c r="R31" s="99">
        <f t="shared" si="4"/>
        <v>27.618918270057154</v>
      </c>
      <c r="S31" s="99">
        <f t="shared" si="5"/>
        <v>27.820598420233061</v>
      </c>
      <c r="T31" s="99">
        <f t="shared" si="5"/>
        <v>27.981454720803292</v>
      </c>
      <c r="U31" s="99">
        <f t="shared" si="5"/>
        <v>28.071957666897596</v>
      </c>
      <c r="V31" s="99">
        <f t="shared" si="5"/>
        <v>28.133291565932343</v>
      </c>
      <c r="W31" s="99">
        <f t="shared" si="5"/>
        <v>28.183921870532561</v>
      </c>
      <c r="X31" s="99">
        <f t="shared" si="5"/>
        <v>28.245674301136408</v>
      </c>
      <c r="Y31" s="99">
        <f t="shared" si="5"/>
        <v>28.1989910095634</v>
      </c>
      <c r="Z31" s="99">
        <f t="shared" si="5"/>
        <v>28.118610920319707</v>
      </c>
      <c r="AA31" s="99">
        <f t="shared" si="5"/>
        <v>28.076869905840137</v>
      </c>
      <c r="AB31" s="99">
        <f t="shared" si="5"/>
        <v>27.949109639922749</v>
      </c>
      <c r="AC31" s="99">
        <f t="shared" si="5"/>
        <v>27.740178280121512</v>
      </c>
      <c r="AF31" t="s">
        <v>212</v>
      </c>
      <c r="AG31">
        <f t="shared" si="3"/>
        <v>26.880826833968282</v>
      </c>
    </row>
    <row r="32" spans="1:33" x14ac:dyDescent="0.25">
      <c r="A32" t="s">
        <v>213</v>
      </c>
      <c r="B32" s="99">
        <v>17.73</v>
      </c>
      <c r="C32" s="99">
        <f t="shared" si="4"/>
        <v>17.35370745338021</v>
      </c>
      <c r="D32" s="99">
        <f t="shared" si="4"/>
        <v>16.834936763202322</v>
      </c>
      <c r="E32" s="99">
        <f t="shared" si="4"/>
        <v>16.533035603962418</v>
      </c>
      <c r="F32" s="99">
        <f t="shared" si="4"/>
        <v>16.303057657404793</v>
      </c>
      <c r="G32" s="99">
        <f t="shared" si="4"/>
        <v>16.148113224977653</v>
      </c>
      <c r="H32" s="99">
        <f t="shared" si="4"/>
        <v>16.106005010814865</v>
      </c>
      <c r="I32" s="99">
        <f t="shared" si="4"/>
        <v>16.148533366503923</v>
      </c>
      <c r="J32" s="99">
        <f t="shared" si="4"/>
        <v>16.232621871140896</v>
      </c>
      <c r="K32" s="99">
        <f t="shared" si="4"/>
        <v>16.30962816921414</v>
      </c>
      <c r="L32" s="99">
        <f t="shared" si="4"/>
        <v>16.554272190423131</v>
      </c>
      <c r="M32" s="99">
        <f t="shared" si="4"/>
        <v>16.742388991118499</v>
      </c>
      <c r="N32" s="99">
        <f t="shared" si="4"/>
        <v>16.760334677982392</v>
      </c>
      <c r="O32" s="99">
        <f t="shared" si="4"/>
        <v>16.86355279067968</v>
      </c>
      <c r="P32" s="99">
        <f t="shared" ref="C32:R48" si="6">$B32*P$54</f>
        <v>16.991825134034595</v>
      </c>
      <c r="Q32" s="99">
        <f t="shared" si="6"/>
        <v>17.170841794686321</v>
      </c>
      <c r="R32" s="99">
        <f t="shared" si="6"/>
        <v>17.297189011943249</v>
      </c>
      <c r="S32" s="99">
        <f t="shared" si="5"/>
        <v>17.423497350432079</v>
      </c>
      <c r="T32" s="99">
        <f t="shared" si="5"/>
        <v>17.524238509355083</v>
      </c>
      <c r="U32" s="99">
        <f t="shared" si="5"/>
        <v>17.580918736633503</v>
      </c>
      <c r="V32" s="99">
        <f t="shared" si="5"/>
        <v>17.619330959518916</v>
      </c>
      <c r="W32" s="99">
        <f t="shared" si="5"/>
        <v>17.651039730291146</v>
      </c>
      <c r="X32" s="99">
        <f t="shared" si="5"/>
        <v>17.689714071322804</v>
      </c>
      <c r="Y32" s="99">
        <f t="shared" si="5"/>
        <v>17.66047723770961</v>
      </c>
      <c r="Z32" s="99">
        <f t="shared" si="5"/>
        <v>17.610136757939543</v>
      </c>
      <c r="AA32" s="99">
        <f t="shared" si="5"/>
        <v>17.583995175928848</v>
      </c>
      <c r="AB32" s="99">
        <f t="shared" si="5"/>
        <v>17.503981417019794</v>
      </c>
      <c r="AC32" s="99">
        <f t="shared" si="5"/>
        <v>17.373131787585816</v>
      </c>
      <c r="AF32" t="s">
        <v>213</v>
      </c>
      <c r="AG32">
        <f t="shared" si="3"/>
        <v>16.834936763202322</v>
      </c>
    </row>
    <row r="33" spans="1:33" x14ac:dyDescent="0.25">
      <c r="A33" t="s">
        <v>214</v>
      </c>
      <c r="B33" s="99">
        <v>14.16</v>
      </c>
      <c r="C33" s="99">
        <f t="shared" si="6"/>
        <v>13.85947532655746</v>
      </c>
      <c r="D33" s="99">
        <f t="shared" si="6"/>
        <v>13.445161002083749</v>
      </c>
      <c r="E33" s="99">
        <f t="shared" si="6"/>
        <v>13.204048739543589</v>
      </c>
      <c r="F33" s="99">
        <f t="shared" si="6"/>
        <v>13.020377689162542</v>
      </c>
      <c r="G33" s="99">
        <f t="shared" si="6"/>
        <v>12.896631881877244</v>
      </c>
      <c r="H33" s="99">
        <f t="shared" si="6"/>
        <v>12.863002309821686</v>
      </c>
      <c r="I33" s="99">
        <f t="shared" si="6"/>
        <v>12.896967426378767</v>
      </c>
      <c r="J33" s="99">
        <f t="shared" si="6"/>
        <v>12.964124404701359</v>
      </c>
      <c r="K33" s="99">
        <f t="shared" si="6"/>
        <v>13.025625204516198</v>
      </c>
      <c r="L33" s="99">
        <f t="shared" si="6"/>
        <v>13.22100926206382</v>
      </c>
      <c r="M33" s="99">
        <f t="shared" si="6"/>
        <v>13.371248060588716</v>
      </c>
      <c r="N33" s="99">
        <f t="shared" si="6"/>
        <v>13.385580318117917</v>
      </c>
      <c r="O33" s="99">
        <f t="shared" si="6"/>
        <v>13.468015088326242</v>
      </c>
      <c r="P33" s="99">
        <f t="shared" si="6"/>
        <v>13.570459328704448</v>
      </c>
      <c r="Q33" s="99">
        <f t="shared" si="6"/>
        <v>13.713430333488906</v>
      </c>
      <c r="R33" s="99">
        <f t="shared" si="6"/>
        <v>13.814337078912375</v>
      </c>
      <c r="S33" s="99">
        <f t="shared" si="5"/>
        <v>13.91521277394914</v>
      </c>
      <c r="T33" s="99">
        <f t="shared" si="5"/>
        <v>13.995669334036547</v>
      </c>
      <c r="U33" s="99">
        <f t="shared" si="5"/>
        <v>14.040936791355351</v>
      </c>
      <c r="V33" s="99">
        <f t="shared" si="5"/>
        <v>14.07161457342289</v>
      </c>
      <c r="W33" s="99">
        <f t="shared" si="5"/>
        <v>14.096938667846736</v>
      </c>
      <c r="X33" s="99">
        <f t="shared" si="5"/>
        <v>14.12782578961821</v>
      </c>
      <c r="Y33" s="99">
        <f t="shared" si="5"/>
        <v>14.104475898813767</v>
      </c>
      <c r="Z33" s="99">
        <f t="shared" si="5"/>
        <v>14.064271657779127</v>
      </c>
      <c r="AA33" s="99">
        <f t="shared" si="5"/>
        <v>14.043393778406795</v>
      </c>
      <c r="AB33" s="99">
        <f t="shared" si="5"/>
        <v>13.979491080936283</v>
      </c>
      <c r="AC33" s="99">
        <f t="shared" si="5"/>
        <v>13.874988500406944</v>
      </c>
      <c r="AF33" t="s">
        <v>214</v>
      </c>
      <c r="AG33">
        <f t="shared" si="3"/>
        <v>13.445161002083749</v>
      </c>
    </row>
    <row r="34" spans="1:33" x14ac:dyDescent="0.25">
      <c r="A34" t="s">
        <v>216</v>
      </c>
      <c r="B34" s="99">
        <v>22.25</v>
      </c>
      <c r="C34" s="99">
        <f t="shared" si="6"/>
        <v>21.777777261010133</v>
      </c>
      <c r="D34" s="99">
        <f t="shared" si="6"/>
        <v>21.126753693246002</v>
      </c>
      <c r="E34" s="99">
        <f t="shared" si="6"/>
        <v>20.747887320257405</v>
      </c>
      <c r="F34" s="99">
        <f t="shared" si="6"/>
        <v>20.45927991411487</v>
      </c>
      <c r="G34" s="99">
        <f t="shared" si="6"/>
        <v>20.264834701396094</v>
      </c>
      <c r="H34" s="99">
        <f t="shared" si="6"/>
        <v>20.211991623837044</v>
      </c>
      <c r="I34" s="99">
        <f t="shared" si="6"/>
        <v>20.265361951760418</v>
      </c>
      <c r="J34" s="99">
        <f t="shared" si="6"/>
        <v>20.370887570946696</v>
      </c>
      <c r="K34" s="99">
        <f t="shared" si="6"/>
        <v>20.467525480260271</v>
      </c>
      <c r="L34" s="99">
        <f t="shared" si="6"/>
        <v>20.774537858822036</v>
      </c>
      <c r="M34" s="99">
        <f t="shared" si="6"/>
        <v>21.01061224209738</v>
      </c>
      <c r="N34" s="99">
        <f t="shared" si="6"/>
        <v>21.033132915121726</v>
      </c>
      <c r="O34" s="99">
        <f t="shared" si="6"/>
        <v>21.162664951642576</v>
      </c>
      <c r="P34" s="99">
        <f t="shared" si="6"/>
        <v>21.323638422575844</v>
      </c>
      <c r="Q34" s="99">
        <f t="shared" si="6"/>
        <v>21.548292720348034</v>
      </c>
      <c r="R34" s="99">
        <f t="shared" si="6"/>
        <v>21.706850282895505</v>
      </c>
      <c r="S34" s="99">
        <f t="shared" si="5"/>
        <v>21.865359055110762</v>
      </c>
      <c r="T34" s="99">
        <f t="shared" si="5"/>
        <v>21.991782675304602</v>
      </c>
      <c r="U34" s="99">
        <f t="shared" si="5"/>
        <v>22.062912684156537</v>
      </c>
      <c r="V34" s="99">
        <f t="shared" si="5"/>
        <v>22.111117532391194</v>
      </c>
      <c r="W34" s="99">
        <f t="shared" si="5"/>
        <v>22.150909983021883</v>
      </c>
      <c r="X34" s="99">
        <f t="shared" si="5"/>
        <v>22.199443772528614</v>
      </c>
      <c r="Y34" s="99">
        <f t="shared" si="5"/>
        <v>22.162753442698186</v>
      </c>
      <c r="Z34" s="99">
        <f t="shared" si="5"/>
        <v>22.099579405761695</v>
      </c>
      <c r="AA34" s="99">
        <f t="shared" si="5"/>
        <v>22.066773415928758</v>
      </c>
      <c r="AB34" s="99">
        <f t="shared" si="5"/>
        <v>21.966361338335613</v>
      </c>
      <c r="AC34" s="99">
        <f t="shared" si="5"/>
        <v>21.802153540540573</v>
      </c>
      <c r="AF34" t="s">
        <v>216</v>
      </c>
      <c r="AG34">
        <f t="shared" si="3"/>
        <v>21.126753693246002</v>
      </c>
    </row>
    <row r="35" spans="1:33" x14ac:dyDescent="0.25">
      <c r="A35" t="s">
        <v>209</v>
      </c>
      <c r="B35" s="99">
        <v>13.24</v>
      </c>
      <c r="C35" s="99">
        <f t="shared" si="6"/>
        <v>12.95900094093367</v>
      </c>
      <c r="D35" s="99">
        <f t="shared" si="6"/>
        <v>12.571605343756273</v>
      </c>
      <c r="E35" s="99">
        <f t="shared" si="6"/>
        <v>12.346158567200362</v>
      </c>
      <c r="F35" s="99">
        <f t="shared" si="6"/>
        <v>12.174420946646332</v>
      </c>
      <c r="G35" s="99">
        <f t="shared" si="6"/>
        <v>12.058715121190305</v>
      </c>
      <c r="H35" s="99">
        <f t="shared" si="6"/>
        <v>12.027270521330447</v>
      </c>
      <c r="I35" s="99">
        <f t="shared" si="6"/>
        <v>12.059028864777886</v>
      </c>
      <c r="J35" s="99">
        <f t="shared" si="6"/>
        <v>12.121822536599293</v>
      </c>
      <c r="K35" s="99">
        <f t="shared" si="6"/>
        <v>12.179327521736898</v>
      </c>
      <c r="L35" s="99">
        <f t="shared" si="6"/>
        <v>12.362017134867584</v>
      </c>
      <c r="M35" s="99">
        <f t="shared" si="6"/>
        <v>12.502494655522218</v>
      </c>
      <c r="N35" s="99">
        <f t="shared" si="6"/>
        <v>12.515895721178053</v>
      </c>
      <c r="O35" s="99">
        <f t="shared" si="6"/>
        <v>12.59297455998866</v>
      </c>
      <c r="P35" s="99">
        <f t="shared" si="6"/>
        <v>12.68876281864738</v>
      </c>
      <c r="Q35" s="99">
        <f t="shared" si="6"/>
        <v>12.822444746849797</v>
      </c>
      <c r="R35" s="99">
        <f t="shared" si="6"/>
        <v>12.916795404293774</v>
      </c>
      <c r="S35" s="99">
        <f t="shared" si="5"/>
        <v>13.011117028749055</v>
      </c>
      <c r="T35" s="99">
        <f t="shared" si="5"/>
        <v>13.086346185214962</v>
      </c>
      <c r="U35" s="99">
        <f t="shared" si="5"/>
        <v>13.128672536549777</v>
      </c>
      <c r="V35" s="99">
        <f t="shared" si="5"/>
        <v>13.15735712938694</v>
      </c>
      <c r="W35" s="99">
        <f t="shared" si="5"/>
        <v>13.181035873043134</v>
      </c>
      <c r="X35" s="99">
        <f t="shared" si="5"/>
        <v>13.209916204417027</v>
      </c>
      <c r="Y35" s="99">
        <f t="shared" si="5"/>
        <v>13.188083396913438</v>
      </c>
      <c r="Z35" s="99">
        <f t="shared" si="5"/>
        <v>13.150491295833026</v>
      </c>
      <c r="AA35" s="99">
        <f t="shared" si="5"/>
        <v>13.130969888849291</v>
      </c>
      <c r="AB35" s="99">
        <f t="shared" si="5"/>
        <v>13.071219061553416</v>
      </c>
      <c r="AC35" s="99">
        <f t="shared" si="5"/>
        <v>12.973506196708188</v>
      </c>
      <c r="AF35" t="s">
        <v>209</v>
      </c>
      <c r="AG35">
        <f t="shared" si="3"/>
        <v>12.571605343756273</v>
      </c>
    </row>
    <row r="36" spans="1:33" x14ac:dyDescent="0.25">
      <c r="A36" t="s">
        <v>210</v>
      </c>
      <c r="B36" s="99">
        <v>10.97</v>
      </c>
      <c r="C36" s="99">
        <f t="shared" si="6"/>
        <v>10.73717827205758</v>
      </c>
      <c r="D36" s="99">
        <f t="shared" si="6"/>
        <v>10.416201708535221</v>
      </c>
      <c r="E36" s="99">
        <f t="shared" si="6"/>
        <v>10.229407815875225</v>
      </c>
      <c r="F36" s="99">
        <f t="shared" si="6"/>
        <v>10.087114636307422</v>
      </c>
      <c r="G36" s="99">
        <f t="shared" si="6"/>
        <v>9.9912465921040532</v>
      </c>
      <c r="H36" s="99">
        <f t="shared" si="6"/>
        <v>9.965193173640106</v>
      </c>
      <c r="I36" s="99">
        <f t="shared" si="6"/>
        <v>9.9915065443061497</v>
      </c>
      <c r="J36" s="99">
        <f t="shared" si="6"/>
        <v>10.043534231608326</v>
      </c>
      <c r="K36" s="99">
        <f t="shared" si="6"/>
        <v>10.091179978357536</v>
      </c>
      <c r="L36" s="99">
        <f t="shared" si="6"/>
        <v>10.242547429720348</v>
      </c>
      <c r="M36" s="99">
        <f t="shared" si="6"/>
        <v>10.358940058238575</v>
      </c>
      <c r="N36" s="99">
        <f t="shared" si="6"/>
        <v>10.370043509163388</v>
      </c>
      <c r="O36" s="99">
        <f t="shared" si="6"/>
        <v>10.433907169416587</v>
      </c>
      <c r="P36" s="99">
        <f t="shared" si="6"/>
        <v>10.513272516658743</v>
      </c>
      <c r="Q36" s="99">
        <f t="shared" si="6"/>
        <v>10.62403465807721</v>
      </c>
      <c r="R36" s="99">
        <f t="shared" si="6"/>
        <v>10.702208881050053</v>
      </c>
      <c r="S36" s="99">
        <f t="shared" si="5"/>
        <v>10.780359048744497</v>
      </c>
      <c r="T36" s="99">
        <f t="shared" si="5"/>
        <v>10.842690154970404</v>
      </c>
      <c r="U36" s="99">
        <f t="shared" si="5"/>
        <v>10.877759646975155</v>
      </c>
      <c r="V36" s="99">
        <f t="shared" si="5"/>
        <v>10.901526262037367</v>
      </c>
      <c r="W36" s="99">
        <f t="shared" si="5"/>
        <v>10.921145281516857</v>
      </c>
      <c r="X36" s="99">
        <f t="shared" si="5"/>
        <v>10.945074075714109</v>
      </c>
      <c r="Y36" s="99">
        <f t="shared" si="5"/>
        <v>10.926984506355016</v>
      </c>
      <c r="Z36" s="99">
        <f t="shared" si="5"/>
        <v>10.895837576683407</v>
      </c>
      <c r="AA36" s="99">
        <f t="shared" si="5"/>
        <v>10.879663117875886</v>
      </c>
      <c r="AB36" s="99">
        <f t="shared" si="5"/>
        <v>10.830156578945694</v>
      </c>
      <c r="AC36" s="99">
        <f t="shared" si="5"/>
        <v>10.749196599538431</v>
      </c>
      <c r="AF36" t="s">
        <v>210</v>
      </c>
      <c r="AG36">
        <f t="shared" si="3"/>
        <v>10.416201708535221</v>
      </c>
    </row>
    <row r="37" spans="1:33" x14ac:dyDescent="0.25">
      <c r="A37" t="s">
        <v>217</v>
      </c>
      <c r="B37" s="99">
        <v>15.46</v>
      </c>
      <c r="C37" s="99">
        <f t="shared" si="6"/>
        <v>15.13188478450412</v>
      </c>
      <c r="D37" s="99">
        <f t="shared" si="6"/>
        <v>14.679533127981268</v>
      </c>
      <c r="E37" s="99">
        <f t="shared" si="6"/>
        <v>14.416284852637283</v>
      </c>
      <c r="F37" s="99">
        <f t="shared" si="6"/>
        <v>14.215751347065885</v>
      </c>
      <c r="G37" s="99">
        <f t="shared" si="6"/>
        <v>14.080644695891399</v>
      </c>
      <c r="H37" s="99">
        <f t="shared" si="6"/>
        <v>14.043927663124526</v>
      </c>
      <c r="I37" s="99">
        <f t="shared" si="6"/>
        <v>14.081011046032184</v>
      </c>
      <c r="J37" s="99">
        <f t="shared" si="6"/>
        <v>14.15433356614993</v>
      </c>
      <c r="K37" s="99">
        <f t="shared" si="6"/>
        <v>14.221480625834777</v>
      </c>
      <c r="L37" s="99">
        <f t="shared" si="6"/>
        <v>14.434802485275895</v>
      </c>
      <c r="M37" s="99">
        <f t="shared" si="6"/>
        <v>14.598834393834856</v>
      </c>
      <c r="N37" s="99">
        <f t="shared" si="6"/>
        <v>14.614482465967727</v>
      </c>
      <c r="O37" s="99">
        <f t="shared" si="6"/>
        <v>14.704485400107606</v>
      </c>
      <c r="P37" s="99">
        <f t="shared" si="6"/>
        <v>14.816334832045959</v>
      </c>
      <c r="Q37" s="99">
        <f t="shared" si="6"/>
        <v>14.972431705913735</v>
      </c>
      <c r="R37" s="99">
        <f t="shared" si="6"/>
        <v>15.082602488699528</v>
      </c>
      <c r="S37" s="99">
        <f t="shared" si="5"/>
        <v>15.192739370427523</v>
      </c>
      <c r="T37" s="99">
        <f t="shared" si="5"/>
        <v>15.280582479110524</v>
      </c>
      <c r="U37" s="99">
        <f t="shared" si="5"/>
        <v>15.33000584705888</v>
      </c>
      <c r="V37" s="99">
        <f t="shared" si="5"/>
        <v>15.363500092169343</v>
      </c>
      <c r="W37" s="99">
        <f t="shared" si="5"/>
        <v>15.39114913876487</v>
      </c>
      <c r="X37" s="99">
        <f t="shared" si="5"/>
        <v>15.424871942619884</v>
      </c>
      <c r="Y37" s="99">
        <f t="shared" si="5"/>
        <v>15.39937834715119</v>
      </c>
      <c r="Z37" s="99">
        <f t="shared" si="5"/>
        <v>15.355483038789924</v>
      </c>
      <c r="AA37" s="99">
        <f t="shared" si="5"/>
        <v>15.332688404955443</v>
      </c>
      <c r="AB37" s="99">
        <f t="shared" si="5"/>
        <v>15.262918934412072</v>
      </c>
      <c r="AC37" s="99">
        <f t="shared" si="5"/>
        <v>15.148822190416057</v>
      </c>
      <c r="AF37" t="s">
        <v>217</v>
      </c>
      <c r="AG37">
        <f t="shared" si="3"/>
        <v>14.679533127981268</v>
      </c>
    </row>
    <row r="38" spans="1:33" x14ac:dyDescent="0.25">
      <c r="A38" t="s">
        <v>218</v>
      </c>
      <c r="B38" s="99">
        <v>12.28</v>
      </c>
      <c r="C38" s="99">
        <f t="shared" si="6"/>
        <v>12.019375495065367</v>
      </c>
      <c r="D38" s="99">
        <f t="shared" si="6"/>
        <v>11.66006900463195</v>
      </c>
      <c r="E38" s="99">
        <f t="shared" si="6"/>
        <v>11.450968822146558</v>
      </c>
      <c r="F38" s="99">
        <f t="shared" si="6"/>
        <v>11.291683476194633</v>
      </c>
      <c r="G38" s="99">
        <f t="shared" si="6"/>
        <v>11.184367196995238</v>
      </c>
      <c r="H38" s="99">
        <f t="shared" si="6"/>
        <v>11.155202568122196</v>
      </c>
      <c r="I38" s="99">
        <f t="shared" si="6"/>
        <v>11.184658191803054</v>
      </c>
      <c r="J38" s="99">
        <f t="shared" si="6"/>
        <v>11.242898848144963</v>
      </c>
      <c r="K38" s="99">
        <f t="shared" si="6"/>
        <v>11.296234287532409</v>
      </c>
      <c r="L38" s="99">
        <f t="shared" si="6"/>
        <v>11.465677523880206</v>
      </c>
      <c r="M38" s="99">
        <f t="shared" si="6"/>
        <v>11.595969363278915</v>
      </c>
      <c r="N38" s="99">
        <f t="shared" si="6"/>
        <v>11.608398750458193</v>
      </c>
      <c r="O38" s="99">
        <f t="shared" si="6"/>
        <v>11.679888791288576</v>
      </c>
      <c r="P38" s="99">
        <f t="shared" si="6"/>
        <v>11.768731677718263</v>
      </c>
      <c r="Q38" s="99">
        <f t="shared" si="6"/>
        <v>11.892720656443768</v>
      </c>
      <c r="R38" s="99">
        <f t="shared" si="6"/>
        <v>11.980230178604799</v>
      </c>
      <c r="S38" s="99">
        <f t="shared" si="5"/>
        <v>12.067712772888095</v>
      </c>
      <c r="T38" s="99">
        <f t="shared" si="5"/>
        <v>12.13748724731418</v>
      </c>
      <c r="U38" s="99">
        <f t="shared" si="5"/>
        <v>12.176744618491787</v>
      </c>
      <c r="V38" s="99">
        <f t="shared" si="5"/>
        <v>12.203349361697251</v>
      </c>
      <c r="W38" s="99">
        <f t="shared" si="5"/>
        <v>12.225311217595898</v>
      </c>
      <c r="X38" s="99">
        <f t="shared" si="5"/>
        <v>12.252097506815792</v>
      </c>
      <c r="Y38" s="99">
        <f t="shared" si="5"/>
        <v>12.231847742756571</v>
      </c>
      <c r="Z38" s="99">
        <f t="shared" si="5"/>
        <v>12.196981352932745</v>
      </c>
      <c r="AA38" s="99">
        <f t="shared" si="5"/>
        <v>12.178875395397982</v>
      </c>
      <c r="AB38" s="99">
        <f t="shared" si="5"/>
        <v>12.123456954371294</v>
      </c>
      <c r="AC38" s="99">
        <f t="shared" si="5"/>
        <v>12.03282901023992</v>
      </c>
      <c r="AF38" t="s">
        <v>218</v>
      </c>
      <c r="AG38">
        <f t="shared" si="3"/>
        <v>11.66006900463195</v>
      </c>
    </row>
    <row r="39" spans="1:33" x14ac:dyDescent="0.25">
      <c r="A39" t="s">
        <v>219</v>
      </c>
      <c r="B39" s="99">
        <v>12.68</v>
      </c>
      <c r="C39" s="99">
        <f t="shared" si="6"/>
        <v>12.410886097510494</v>
      </c>
      <c r="D39" s="99">
        <f t="shared" si="6"/>
        <v>12.039875812600418</v>
      </c>
      <c r="E39" s="99">
        <f t="shared" si="6"/>
        <v>11.823964549252311</v>
      </c>
      <c r="F39" s="99">
        <f t="shared" si="6"/>
        <v>11.659490755549507</v>
      </c>
      <c r="G39" s="99">
        <f t="shared" si="6"/>
        <v>11.548678832076515</v>
      </c>
      <c r="H39" s="99">
        <f t="shared" si="6"/>
        <v>11.518564215292301</v>
      </c>
      <c r="I39" s="99">
        <f t="shared" si="6"/>
        <v>11.548979305542566</v>
      </c>
      <c r="J39" s="99">
        <f t="shared" si="6"/>
        <v>11.609117051667601</v>
      </c>
      <c r="K39" s="99">
        <f t="shared" si="6"/>
        <v>11.664189801784278</v>
      </c>
      <c r="L39" s="99">
        <f t="shared" si="6"/>
        <v>11.839152361791614</v>
      </c>
      <c r="M39" s="99">
        <f t="shared" si="6"/>
        <v>11.973688235046957</v>
      </c>
      <c r="N39" s="99">
        <f t="shared" si="6"/>
        <v>11.986522488258135</v>
      </c>
      <c r="O39" s="99">
        <f t="shared" si="6"/>
        <v>12.060341194913612</v>
      </c>
      <c r="P39" s="99">
        <f t="shared" si="6"/>
        <v>12.152077986438728</v>
      </c>
      <c r="Q39" s="99">
        <f t="shared" si="6"/>
        <v>12.280105694112947</v>
      </c>
      <c r="R39" s="99">
        <f t="shared" si="6"/>
        <v>12.370465689308539</v>
      </c>
      <c r="S39" s="99">
        <f t="shared" si="5"/>
        <v>12.460797879496829</v>
      </c>
      <c r="T39" s="99">
        <f t="shared" si="5"/>
        <v>12.532845138106172</v>
      </c>
      <c r="U39" s="99">
        <f t="shared" si="5"/>
        <v>12.573381251015949</v>
      </c>
      <c r="V39" s="99">
        <f t="shared" si="5"/>
        <v>12.600852598234621</v>
      </c>
      <c r="W39" s="99">
        <f t="shared" si="5"/>
        <v>12.623529824032246</v>
      </c>
      <c r="X39" s="99">
        <f t="shared" si="5"/>
        <v>12.651188630816307</v>
      </c>
      <c r="Y39" s="99">
        <f t="shared" si="5"/>
        <v>12.630279265321933</v>
      </c>
      <c r="Z39" s="99">
        <f t="shared" si="5"/>
        <v>12.594277162474528</v>
      </c>
      <c r="AA39" s="99">
        <f t="shared" si="5"/>
        <v>12.575581434336028</v>
      </c>
      <c r="AB39" s="99">
        <f t="shared" si="5"/>
        <v>12.518357832363845</v>
      </c>
      <c r="AC39" s="99">
        <f t="shared" si="5"/>
        <v>12.424777837935032</v>
      </c>
      <c r="AF39" t="s">
        <v>219</v>
      </c>
      <c r="AG39">
        <f t="shared" si="3"/>
        <v>12.039875812600418</v>
      </c>
    </row>
    <row r="40" spans="1:33" x14ac:dyDescent="0.25">
      <c r="A40" t="s">
        <v>220</v>
      </c>
      <c r="B40" s="99">
        <v>18.100000000000001</v>
      </c>
      <c r="C40" s="99">
        <f t="shared" si="6"/>
        <v>17.715854760641953</v>
      </c>
      <c r="D40" s="99">
        <f t="shared" si="6"/>
        <v>17.186258060573152</v>
      </c>
      <c r="E40" s="99">
        <f t="shared" si="6"/>
        <v>16.878056651535239</v>
      </c>
      <c r="F40" s="99">
        <f t="shared" si="6"/>
        <v>16.643279390808054</v>
      </c>
      <c r="G40" s="99">
        <f t="shared" si="6"/>
        <v>16.485101487427837</v>
      </c>
      <c r="H40" s="99">
        <f t="shared" si="6"/>
        <v>16.442114534447214</v>
      </c>
      <c r="I40" s="99">
        <f t="shared" si="6"/>
        <v>16.485530396712971</v>
      </c>
      <c r="J40" s="99">
        <f t="shared" si="6"/>
        <v>16.571373709399339</v>
      </c>
      <c r="K40" s="99">
        <f t="shared" si="6"/>
        <v>16.649987019897118</v>
      </c>
      <c r="L40" s="99">
        <f t="shared" si="6"/>
        <v>16.899736415491184</v>
      </c>
      <c r="M40" s="99">
        <f t="shared" si="6"/>
        <v>17.09177894750394</v>
      </c>
      <c r="N40" s="99">
        <f t="shared" si="6"/>
        <v>17.110099135447339</v>
      </c>
      <c r="O40" s="99">
        <f t="shared" si="6"/>
        <v>17.215471264032839</v>
      </c>
      <c r="P40" s="99">
        <f t="shared" si="6"/>
        <v>17.346420469601025</v>
      </c>
      <c r="Q40" s="99">
        <f t="shared" si="6"/>
        <v>17.529172954530313</v>
      </c>
      <c r="R40" s="99">
        <f t="shared" si="6"/>
        <v>17.65815685934421</v>
      </c>
      <c r="S40" s="99">
        <f t="shared" si="5"/>
        <v>17.787101074045161</v>
      </c>
      <c r="T40" s="99">
        <f t="shared" si="5"/>
        <v>17.889944558337678</v>
      </c>
      <c r="U40" s="99">
        <f t="shared" si="5"/>
        <v>17.947807621718354</v>
      </c>
      <c r="V40" s="99">
        <f t="shared" si="5"/>
        <v>17.987021453315982</v>
      </c>
      <c r="W40" s="99">
        <f t="shared" si="5"/>
        <v>18.01939194124477</v>
      </c>
      <c r="X40" s="99">
        <f t="shared" si="5"/>
        <v>18.058873361023281</v>
      </c>
      <c r="Y40" s="99">
        <f t="shared" si="5"/>
        <v>18.029026396082571</v>
      </c>
      <c r="Z40" s="99">
        <f t="shared" si="5"/>
        <v>17.977635381765694</v>
      </c>
      <c r="AA40" s="99">
        <f t="shared" si="5"/>
        <v>17.950948261946539</v>
      </c>
      <c r="AB40" s="99">
        <f t="shared" si="5"/>
        <v>17.869264729162904</v>
      </c>
      <c r="AC40" s="99">
        <f t="shared" si="5"/>
        <v>17.735684453203795</v>
      </c>
      <c r="AF40" t="s">
        <v>220</v>
      </c>
      <c r="AG40">
        <f t="shared" si="3"/>
        <v>17.186258060573152</v>
      </c>
    </row>
    <row r="41" spans="1:33" x14ac:dyDescent="0.25">
      <c r="A41" t="s">
        <v>221</v>
      </c>
      <c r="B41" s="99">
        <v>27.98</v>
      </c>
      <c r="C41" s="99">
        <f t="shared" si="6"/>
        <v>27.386166641036564</v>
      </c>
      <c r="D41" s="99">
        <f t="shared" si="6"/>
        <v>26.5674862173943</v>
      </c>
      <c r="E41" s="99">
        <f t="shared" si="6"/>
        <v>26.091051111047292</v>
      </c>
      <c r="F41" s="99">
        <f t="shared" si="6"/>
        <v>25.728119190873443</v>
      </c>
      <c r="G41" s="99">
        <f t="shared" si="6"/>
        <v>25.483598873935403</v>
      </c>
      <c r="H41" s="99">
        <f t="shared" si="6"/>
        <v>25.417147219548784</v>
      </c>
      <c r="I41" s="99">
        <f t="shared" si="6"/>
        <v>25.484261906078945</v>
      </c>
      <c r="J41" s="99">
        <f t="shared" si="6"/>
        <v>25.616963336408475</v>
      </c>
      <c r="K41" s="99">
        <f t="shared" si="6"/>
        <v>25.738488221918306</v>
      </c>
      <c r="L41" s="99">
        <f t="shared" si="6"/>
        <v>26.124564911902947</v>
      </c>
      <c r="M41" s="99">
        <f t="shared" si="6"/>
        <v>26.421435080174597</v>
      </c>
      <c r="N41" s="99">
        <f t="shared" si="6"/>
        <v>26.449755459105887</v>
      </c>
      <c r="O41" s="99">
        <f t="shared" si="6"/>
        <v>26.612645633571201</v>
      </c>
      <c r="P41" s="99">
        <f t="shared" si="6"/>
        <v>26.815074294996499</v>
      </c>
      <c r="Q41" s="99">
        <f t="shared" si="6"/>
        <v>27.097583384959012</v>
      </c>
      <c r="R41" s="99">
        <f t="shared" si="6"/>
        <v>27.296973973726573</v>
      </c>
      <c r="S41" s="99">
        <f t="shared" si="5"/>
        <v>27.496303207280857</v>
      </c>
      <c r="T41" s="99">
        <f t="shared" si="5"/>
        <v>27.6552844608999</v>
      </c>
      <c r="U41" s="99">
        <f t="shared" si="5"/>
        <v>27.744732445065164</v>
      </c>
      <c r="V41" s="99">
        <f t="shared" si="5"/>
        <v>27.805351395789014</v>
      </c>
      <c r="W41" s="99">
        <f t="shared" si="5"/>
        <v>27.855391520222575</v>
      </c>
      <c r="X41" s="99">
        <f t="shared" si="5"/>
        <v>27.916424123835984</v>
      </c>
      <c r="Y41" s="99">
        <f t="shared" si="5"/>
        <v>27.870285003446977</v>
      </c>
      <c r="Z41" s="99">
        <f t="shared" si="5"/>
        <v>27.79084187744774</v>
      </c>
      <c r="AA41" s="99">
        <f t="shared" si="5"/>
        <v>27.749587423716253</v>
      </c>
      <c r="AB41" s="99">
        <f t="shared" si="5"/>
        <v>27.623316415578895</v>
      </c>
      <c r="AC41" s="99">
        <f t="shared" si="5"/>
        <v>27.416820497273044</v>
      </c>
      <c r="AF41" t="s">
        <v>221</v>
      </c>
      <c r="AG41">
        <f t="shared" si="3"/>
        <v>26.5674862173943</v>
      </c>
    </row>
    <row r="42" spans="1:33" x14ac:dyDescent="0.25">
      <c r="A42" t="s">
        <v>222</v>
      </c>
      <c r="B42" s="99">
        <v>14.1</v>
      </c>
      <c r="C42" s="99">
        <f t="shared" si="6"/>
        <v>13.800748736190691</v>
      </c>
      <c r="D42" s="99">
        <f t="shared" si="6"/>
        <v>13.388189980888479</v>
      </c>
      <c r="E42" s="99">
        <f t="shared" si="6"/>
        <v>13.148099380477728</v>
      </c>
      <c r="F42" s="99">
        <f t="shared" si="6"/>
        <v>12.965206597259311</v>
      </c>
      <c r="G42" s="99">
        <f t="shared" si="6"/>
        <v>12.841985136615053</v>
      </c>
      <c r="H42" s="99">
        <f t="shared" si="6"/>
        <v>12.808498062746171</v>
      </c>
      <c r="I42" s="99">
        <f t="shared" si="6"/>
        <v>12.842319259317838</v>
      </c>
      <c r="J42" s="99">
        <f t="shared" si="6"/>
        <v>12.909191674172963</v>
      </c>
      <c r="K42" s="99">
        <f t="shared" si="6"/>
        <v>12.970431877378417</v>
      </c>
      <c r="L42" s="99">
        <f t="shared" si="6"/>
        <v>13.164988036377109</v>
      </c>
      <c r="M42" s="99">
        <f t="shared" si="6"/>
        <v>13.314590229823509</v>
      </c>
      <c r="N42" s="99">
        <f t="shared" si="6"/>
        <v>13.328861757447926</v>
      </c>
      <c r="O42" s="99">
        <f t="shared" si="6"/>
        <v>13.410947227782485</v>
      </c>
      <c r="P42" s="99">
        <f t="shared" si="6"/>
        <v>13.512957382396378</v>
      </c>
      <c r="Q42" s="99">
        <f t="shared" si="6"/>
        <v>13.655322577838529</v>
      </c>
      <c r="R42" s="99">
        <f t="shared" si="6"/>
        <v>13.755801752306814</v>
      </c>
      <c r="S42" s="99">
        <f t="shared" si="5"/>
        <v>13.856250007957829</v>
      </c>
      <c r="T42" s="99">
        <f t="shared" si="5"/>
        <v>13.936365650417747</v>
      </c>
      <c r="U42" s="99">
        <f t="shared" ref="S42:AC53" si="7">$B42*U$54</f>
        <v>13.981441296476726</v>
      </c>
      <c r="V42" s="99">
        <f t="shared" si="7"/>
        <v>14.011989087942284</v>
      </c>
      <c r="W42" s="99">
        <f t="shared" si="7"/>
        <v>14.037205876881284</v>
      </c>
      <c r="X42" s="99">
        <f t="shared" si="7"/>
        <v>14.067962121018134</v>
      </c>
      <c r="Y42" s="99">
        <f t="shared" si="7"/>
        <v>14.044711170428963</v>
      </c>
      <c r="Z42" s="99">
        <f t="shared" si="7"/>
        <v>14.00467728634786</v>
      </c>
      <c r="AA42" s="99">
        <f t="shared" si="7"/>
        <v>13.983887872566088</v>
      </c>
      <c r="AB42" s="99">
        <f t="shared" si="7"/>
        <v>13.920255949237399</v>
      </c>
      <c r="AC42" s="99">
        <f t="shared" si="7"/>
        <v>13.816196176252678</v>
      </c>
      <c r="AF42" t="s">
        <v>222</v>
      </c>
      <c r="AG42">
        <f t="shared" si="3"/>
        <v>13.388189980888479</v>
      </c>
    </row>
    <row r="43" spans="1:33" x14ac:dyDescent="0.25">
      <c r="A43" t="s">
        <v>223</v>
      </c>
      <c r="B43" s="99">
        <v>12.25</v>
      </c>
      <c r="C43" s="99">
        <f t="shared" si="6"/>
        <v>11.990012199881983</v>
      </c>
      <c r="D43" s="99">
        <f t="shared" si="6"/>
        <v>11.631583494034317</v>
      </c>
      <c r="E43" s="99">
        <f t="shared" si="6"/>
        <v>11.422994142613629</v>
      </c>
      <c r="F43" s="99">
        <f t="shared" si="6"/>
        <v>11.264097930243018</v>
      </c>
      <c r="G43" s="99">
        <f t="shared" si="6"/>
        <v>11.157043824364141</v>
      </c>
      <c r="H43" s="99">
        <f t="shared" si="6"/>
        <v>11.127950444584439</v>
      </c>
      <c r="I43" s="99">
        <f t="shared" si="6"/>
        <v>11.157334108272591</v>
      </c>
      <c r="J43" s="99">
        <f t="shared" si="6"/>
        <v>11.215432482880766</v>
      </c>
      <c r="K43" s="99">
        <f t="shared" si="6"/>
        <v>11.268637623963519</v>
      </c>
      <c r="L43" s="99">
        <f t="shared" si="6"/>
        <v>11.437666911036851</v>
      </c>
      <c r="M43" s="99">
        <f t="shared" si="6"/>
        <v>11.567640447896311</v>
      </c>
      <c r="N43" s="99">
        <f t="shared" si="6"/>
        <v>11.580039470123198</v>
      </c>
      <c r="O43" s="99">
        <f t="shared" si="6"/>
        <v>11.651354861016699</v>
      </c>
      <c r="P43" s="99">
        <f t="shared" si="6"/>
        <v>11.739980704564228</v>
      </c>
      <c r="Q43" s="99">
        <f t="shared" si="6"/>
        <v>11.86366677861858</v>
      </c>
      <c r="R43" s="99">
        <f t="shared" si="6"/>
        <v>11.95096251530202</v>
      </c>
      <c r="S43" s="99">
        <f t="shared" si="7"/>
        <v>12.038231389892442</v>
      </c>
      <c r="T43" s="99">
        <f t="shared" si="7"/>
        <v>12.107835405504781</v>
      </c>
      <c r="U43" s="99">
        <f t="shared" si="7"/>
        <v>12.146996871052476</v>
      </c>
      <c r="V43" s="99">
        <f t="shared" si="7"/>
        <v>12.173536618956948</v>
      </c>
      <c r="W43" s="99">
        <f t="shared" si="7"/>
        <v>12.195444822113172</v>
      </c>
      <c r="X43" s="99">
        <f t="shared" si="7"/>
        <v>12.222165672515754</v>
      </c>
      <c r="Y43" s="99">
        <f t="shared" si="7"/>
        <v>12.20196537856417</v>
      </c>
      <c r="Z43" s="99">
        <f t="shared" si="7"/>
        <v>12.167184167217112</v>
      </c>
      <c r="AA43" s="99">
        <f t="shared" si="7"/>
        <v>12.14912244247763</v>
      </c>
      <c r="AB43" s="99">
        <f t="shared" si="7"/>
        <v>12.093839388521854</v>
      </c>
      <c r="AC43" s="99">
        <f t="shared" si="7"/>
        <v>12.003432848162788</v>
      </c>
      <c r="AF43" t="s">
        <v>223</v>
      </c>
      <c r="AG43">
        <f t="shared" si="3"/>
        <v>11.631583494034317</v>
      </c>
    </row>
    <row r="44" spans="1:33" x14ac:dyDescent="0.25">
      <c r="A44" t="s">
        <v>224</v>
      </c>
      <c r="B44" s="99">
        <v>12.27</v>
      </c>
      <c r="C44" s="99">
        <f t="shared" si="6"/>
        <v>12.00958773000424</v>
      </c>
      <c r="D44" s="99">
        <f t="shared" si="6"/>
        <v>11.650573834432739</v>
      </c>
      <c r="E44" s="99">
        <f t="shared" si="6"/>
        <v>11.441643928968915</v>
      </c>
      <c r="F44" s="99">
        <f t="shared" si="6"/>
        <v>11.282488294210761</v>
      </c>
      <c r="G44" s="99">
        <f t="shared" si="6"/>
        <v>11.175259406118206</v>
      </c>
      <c r="H44" s="99">
        <f t="shared" si="6"/>
        <v>11.146118526942944</v>
      </c>
      <c r="I44" s="99">
        <f t="shared" si="6"/>
        <v>11.175550163959565</v>
      </c>
      <c r="J44" s="99">
        <f t="shared" si="6"/>
        <v>11.233743393056898</v>
      </c>
      <c r="K44" s="99">
        <f t="shared" si="6"/>
        <v>11.287035399676112</v>
      </c>
      <c r="L44" s="99">
        <f t="shared" si="6"/>
        <v>11.45634065293242</v>
      </c>
      <c r="M44" s="99">
        <f t="shared" si="6"/>
        <v>11.586526391484712</v>
      </c>
      <c r="N44" s="99">
        <f t="shared" si="6"/>
        <v>11.598945657013195</v>
      </c>
      <c r="O44" s="99">
        <f t="shared" si="6"/>
        <v>11.670377481197949</v>
      </c>
      <c r="P44" s="99">
        <f t="shared" si="6"/>
        <v>11.759148020000252</v>
      </c>
      <c r="Q44" s="99">
        <f t="shared" si="6"/>
        <v>11.883036030502039</v>
      </c>
      <c r="R44" s="99">
        <f t="shared" si="6"/>
        <v>11.970474290837206</v>
      </c>
      <c r="S44" s="99">
        <f t="shared" si="7"/>
        <v>12.057885645222877</v>
      </c>
      <c r="T44" s="99">
        <f t="shared" si="7"/>
        <v>12.127603300044379</v>
      </c>
      <c r="U44" s="99">
        <f t="shared" si="7"/>
        <v>12.166828702678682</v>
      </c>
      <c r="V44" s="99">
        <f t="shared" si="7"/>
        <v>12.193411780783817</v>
      </c>
      <c r="W44" s="99">
        <f t="shared" si="7"/>
        <v>12.21535575243499</v>
      </c>
      <c r="X44" s="99">
        <f t="shared" si="7"/>
        <v>12.24212022871578</v>
      </c>
      <c r="Y44" s="99">
        <f t="shared" si="7"/>
        <v>12.221886954692437</v>
      </c>
      <c r="Z44" s="99">
        <f t="shared" si="7"/>
        <v>12.1870489576942</v>
      </c>
      <c r="AA44" s="99">
        <f t="shared" si="7"/>
        <v>12.168957744424532</v>
      </c>
      <c r="AB44" s="99">
        <f t="shared" si="7"/>
        <v>12.113584432421481</v>
      </c>
      <c r="AC44" s="99">
        <f t="shared" si="7"/>
        <v>12.023030289547544</v>
      </c>
      <c r="AF44" t="s">
        <v>224</v>
      </c>
      <c r="AG44">
        <f t="shared" si="3"/>
        <v>11.650573834432739</v>
      </c>
    </row>
    <row r="45" spans="1:33" x14ac:dyDescent="0.25">
      <c r="A45" t="s">
        <v>225</v>
      </c>
      <c r="B45" s="99">
        <v>14.32</v>
      </c>
      <c r="C45" s="99">
        <f t="shared" si="6"/>
        <v>14.016079567535511</v>
      </c>
      <c r="D45" s="99">
        <f t="shared" si="6"/>
        <v>13.597083725271135</v>
      </c>
      <c r="E45" s="99">
        <f t="shared" si="6"/>
        <v>13.353247030385891</v>
      </c>
      <c r="F45" s="99">
        <f t="shared" si="6"/>
        <v>13.167500600904493</v>
      </c>
      <c r="G45" s="99">
        <f t="shared" si="6"/>
        <v>13.042356535909757</v>
      </c>
      <c r="H45" s="99">
        <f t="shared" si="6"/>
        <v>13.008346968689729</v>
      </c>
      <c r="I45" s="99">
        <f t="shared" si="6"/>
        <v>13.042695871874571</v>
      </c>
      <c r="J45" s="99">
        <f t="shared" si="6"/>
        <v>13.110611686110413</v>
      </c>
      <c r="K45" s="99">
        <f t="shared" si="6"/>
        <v>13.172807410216947</v>
      </c>
      <c r="L45" s="99">
        <f t="shared" si="6"/>
        <v>13.370399197228384</v>
      </c>
      <c r="M45" s="99">
        <f t="shared" si="6"/>
        <v>13.522335609295933</v>
      </c>
      <c r="N45" s="99">
        <f t="shared" si="6"/>
        <v>13.536829813237894</v>
      </c>
      <c r="O45" s="99">
        <f t="shared" si="6"/>
        <v>13.620196049776256</v>
      </c>
      <c r="P45" s="99">
        <f t="shared" si="6"/>
        <v>13.723797852192634</v>
      </c>
      <c r="Q45" s="99">
        <f t="shared" si="6"/>
        <v>13.868384348556578</v>
      </c>
      <c r="R45" s="99">
        <f t="shared" si="6"/>
        <v>13.970431283193872</v>
      </c>
      <c r="S45" s="99">
        <f t="shared" si="7"/>
        <v>14.072446816592633</v>
      </c>
      <c r="T45" s="99">
        <f t="shared" si="7"/>
        <v>14.153812490353344</v>
      </c>
      <c r="U45" s="99">
        <f t="shared" si="7"/>
        <v>14.199591444365016</v>
      </c>
      <c r="V45" s="99">
        <f t="shared" si="7"/>
        <v>14.230615868037837</v>
      </c>
      <c r="W45" s="99">
        <f t="shared" si="7"/>
        <v>14.256226110421276</v>
      </c>
      <c r="X45" s="99">
        <f t="shared" si="7"/>
        <v>14.287462239218417</v>
      </c>
      <c r="Y45" s="99">
        <f t="shared" si="7"/>
        <v>14.263848507839912</v>
      </c>
      <c r="Z45" s="99">
        <f t="shared" si="7"/>
        <v>14.223189981595841</v>
      </c>
      <c r="AA45" s="99">
        <f t="shared" si="7"/>
        <v>14.202076193982013</v>
      </c>
      <c r="AB45" s="99">
        <f t="shared" si="7"/>
        <v>14.137451432133302</v>
      </c>
      <c r="AC45" s="99">
        <f t="shared" si="7"/>
        <v>14.03176803148499</v>
      </c>
      <c r="AF45" t="s">
        <v>225</v>
      </c>
      <c r="AG45">
        <f t="shared" si="3"/>
        <v>13.597083725271135</v>
      </c>
    </row>
    <row r="46" spans="1:33" x14ac:dyDescent="0.25">
      <c r="A46" t="s">
        <v>226</v>
      </c>
      <c r="B46" s="99">
        <v>11.2</v>
      </c>
      <c r="C46" s="99">
        <f t="shared" si="6"/>
        <v>10.962296868463527</v>
      </c>
      <c r="D46" s="99">
        <f t="shared" si="6"/>
        <v>10.634590623117088</v>
      </c>
      <c r="E46" s="99">
        <f t="shared" si="6"/>
        <v>10.443880358961032</v>
      </c>
      <c r="F46" s="99">
        <f t="shared" si="6"/>
        <v>10.298603821936473</v>
      </c>
      <c r="G46" s="99">
        <f t="shared" si="6"/>
        <v>10.200725782275786</v>
      </c>
      <c r="H46" s="99">
        <f t="shared" si="6"/>
        <v>10.174126120762915</v>
      </c>
      <c r="I46" s="99">
        <f t="shared" si="6"/>
        <v>10.200991184706368</v>
      </c>
      <c r="J46" s="99">
        <f t="shared" si="6"/>
        <v>10.254109698633842</v>
      </c>
      <c r="K46" s="99">
        <f t="shared" si="6"/>
        <v>10.302754399052359</v>
      </c>
      <c r="L46" s="99">
        <f t="shared" si="6"/>
        <v>10.457295461519406</v>
      </c>
      <c r="M46" s="99">
        <f t="shared" si="6"/>
        <v>10.576128409505198</v>
      </c>
      <c r="N46" s="99">
        <f t="shared" si="6"/>
        <v>10.587464658398352</v>
      </c>
      <c r="O46" s="99">
        <f t="shared" si="6"/>
        <v>10.652667301500982</v>
      </c>
      <c r="P46" s="99">
        <f t="shared" si="6"/>
        <v>10.733696644173008</v>
      </c>
      <c r="Q46" s="99">
        <f t="shared" si="6"/>
        <v>10.846781054736987</v>
      </c>
      <c r="R46" s="99">
        <f t="shared" si="6"/>
        <v>10.926594299704703</v>
      </c>
      <c r="S46" s="99">
        <f t="shared" si="7"/>
        <v>11.006382985044517</v>
      </c>
      <c r="T46" s="99">
        <f t="shared" si="7"/>
        <v>11.070020942175798</v>
      </c>
      <c r="U46" s="99">
        <f t="shared" si="7"/>
        <v>11.105825710676548</v>
      </c>
      <c r="V46" s="99">
        <f t="shared" si="7"/>
        <v>11.130090623046353</v>
      </c>
      <c r="W46" s="99">
        <f t="shared" si="7"/>
        <v>11.150120980217757</v>
      </c>
      <c r="X46" s="99">
        <f t="shared" si="7"/>
        <v>11.174551472014404</v>
      </c>
      <c r="Y46" s="99">
        <f t="shared" si="7"/>
        <v>11.156082631830097</v>
      </c>
      <c r="Z46" s="99">
        <f t="shared" si="7"/>
        <v>11.124282667169931</v>
      </c>
      <c r="AA46" s="99">
        <f t="shared" si="7"/>
        <v>11.107769090265261</v>
      </c>
      <c r="AB46" s="99">
        <f t="shared" si="7"/>
        <v>11.05722458379141</v>
      </c>
      <c r="AC46" s="99">
        <f t="shared" si="7"/>
        <v>10.97456717546312</v>
      </c>
      <c r="AF46" t="s">
        <v>226</v>
      </c>
      <c r="AG46">
        <f t="shared" si="3"/>
        <v>10.634590623117088</v>
      </c>
    </row>
    <row r="47" spans="1:33" x14ac:dyDescent="0.25">
      <c r="A47" t="s">
        <v>228</v>
      </c>
      <c r="B47" s="99">
        <v>20.81</v>
      </c>
      <c r="C47" s="99">
        <f t="shared" si="6"/>
        <v>20.368339092207677</v>
      </c>
      <c r="D47" s="99">
        <f t="shared" si="6"/>
        <v>19.759449184559518</v>
      </c>
      <c r="E47" s="99">
        <f t="shared" si="6"/>
        <v>19.4051027026767</v>
      </c>
      <c r="F47" s="99">
        <f t="shared" si="6"/>
        <v>19.135173708437321</v>
      </c>
      <c r="G47" s="99">
        <f t="shared" si="6"/>
        <v>18.953312815103491</v>
      </c>
      <c r="H47" s="99">
        <f t="shared" si="6"/>
        <v>18.903889694024667</v>
      </c>
      <c r="I47" s="99">
        <f t="shared" si="6"/>
        <v>18.953805942298171</v>
      </c>
      <c r="J47" s="99">
        <f t="shared" si="6"/>
        <v>19.052502038265203</v>
      </c>
      <c r="K47" s="99">
        <f t="shared" si="6"/>
        <v>19.142885628953536</v>
      </c>
      <c r="L47" s="99">
        <f t="shared" si="6"/>
        <v>19.430028442340966</v>
      </c>
      <c r="M47" s="99">
        <f t="shared" si="6"/>
        <v>19.650824303732428</v>
      </c>
      <c r="N47" s="99">
        <f t="shared" si="6"/>
        <v>19.671887459041937</v>
      </c>
      <c r="O47" s="99">
        <f t="shared" si="6"/>
        <v>19.793036298592448</v>
      </c>
      <c r="P47" s="99">
        <f t="shared" si="6"/>
        <v>19.943591711182172</v>
      </c>
      <c r="Q47" s="99">
        <f t="shared" si="6"/>
        <v>20.153706584738991</v>
      </c>
      <c r="R47" s="99">
        <f t="shared" si="6"/>
        <v>20.302002444362042</v>
      </c>
      <c r="S47" s="99">
        <f t="shared" si="7"/>
        <v>20.450252671319323</v>
      </c>
      <c r="T47" s="99">
        <f t="shared" si="7"/>
        <v>20.568494268453428</v>
      </c>
      <c r="U47" s="99">
        <f t="shared" si="7"/>
        <v>20.635020807069552</v>
      </c>
      <c r="V47" s="99">
        <f t="shared" si="7"/>
        <v>20.680105880856662</v>
      </c>
      <c r="W47" s="99">
        <f t="shared" si="7"/>
        <v>20.717322999851028</v>
      </c>
      <c r="X47" s="99">
        <f t="shared" si="7"/>
        <v>20.762715726126761</v>
      </c>
      <c r="Y47" s="99">
        <f t="shared" si="7"/>
        <v>20.728399961462888</v>
      </c>
      <c r="Z47" s="99">
        <f t="shared" si="7"/>
        <v>20.669314491411271</v>
      </c>
      <c r="AA47" s="99">
        <f t="shared" si="7"/>
        <v>20.638631675751792</v>
      </c>
      <c r="AB47" s="99">
        <f t="shared" si="7"/>
        <v>20.54471817756243</v>
      </c>
      <c r="AC47" s="99">
        <f t="shared" si="7"/>
        <v>20.39113776083817</v>
      </c>
      <c r="AF47" t="s">
        <v>228</v>
      </c>
      <c r="AG47">
        <f t="shared" si="3"/>
        <v>19.759449184559518</v>
      </c>
    </row>
    <row r="48" spans="1:33" x14ac:dyDescent="0.25">
      <c r="A48" t="s">
        <v>227</v>
      </c>
      <c r="B48" s="99">
        <v>14.34</v>
      </c>
      <c r="C48" s="99">
        <f t="shared" si="6"/>
        <v>14.035655097657767</v>
      </c>
      <c r="D48" s="99">
        <f t="shared" si="6"/>
        <v>13.616074065669558</v>
      </c>
      <c r="E48" s="99">
        <f t="shared" si="6"/>
        <v>13.371896816741177</v>
      </c>
      <c r="F48" s="99">
        <f t="shared" si="6"/>
        <v>13.185890964872236</v>
      </c>
      <c r="G48" s="99">
        <f t="shared" si="6"/>
        <v>13.060572117663821</v>
      </c>
      <c r="H48" s="99">
        <f t="shared" si="6"/>
        <v>13.026515051048232</v>
      </c>
      <c r="I48" s="99">
        <f t="shared" si="6"/>
        <v>13.060911927561547</v>
      </c>
      <c r="J48" s="99">
        <f t="shared" si="6"/>
        <v>13.128922596286545</v>
      </c>
      <c r="K48" s="99">
        <f t="shared" si="6"/>
        <v>13.19120518592954</v>
      </c>
      <c r="L48" s="99">
        <f t="shared" si="6"/>
        <v>13.389072939123954</v>
      </c>
      <c r="M48" s="99">
        <f t="shared" si="6"/>
        <v>13.541221552884334</v>
      </c>
      <c r="N48" s="99">
        <f t="shared" si="6"/>
        <v>13.55573600012789</v>
      </c>
      <c r="O48" s="99">
        <f t="shared" ref="C48:R53" si="8">$B48*O$54</f>
        <v>13.639218669957506</v>
      </c>
      <c r="P48" s="99">
        <f t="shared" si="8"/>
        <v>13.742965167628657</v>
      </c>
      <c r="Q48" s="99">
        <f t="shared" si="8"/>
        <v>13.887753600440035</v>
      </c>
      <c r="R48" s="99">
        <f t="shared" si="8"/>
        <v>13.989943058729057</v>
      </c>
      <c r="S48" s="99">
        <f t="shared" si="7"/>
        <v>14.09210107192307</v>
      </c>
      <c r="T48" s="99">
        <f t="shared" si="7"/>
        <v>14.173580384892944</v>
      </c>
      <c r="U48" s="99">
        <f t="shared" si="7"/>
        <v>14.219423275991224</v>
      </c>
      <c r="V48" s="99">
        <f t="shared" si="7"/>
        <v>14.250491029864707</v>
      </c>
      <c r="W48" s="99">
        <f t="shared" si="7"/>
        <v>14.276137040743093</v>
      </c>
      <c r="X48" s="99">
        <f t="shared" si="7"/>
        <v>14.307416795418442</v>
      </c>
      <c r="Y48" s="99">
        <f t="shared" si="7"/>
        <v>14.283770083968179</v>
      </c>
      <c r="Z48" s="99">
        <f t="shared" si="7"/>
        <v>14.243054772072929</v>
      </c>
      <c r="AA48" s="99">
        <f t="shared" si="7"/>
        <v>14.221911495928914</v>
      </c>
      <c r="AB48" s="99">
        <f t="shared" si="7"/>
        <v>14.157196476032929</v>
      </c>
      <c r="AC48" s="99">
        <f t="shared" si="7"/>
        <v>14.051365472869744</v>
      </c>
      <c r="AF48" t="s">
        <v>227</v>
      </c>
      <c r="AG48">
        <f t="shared" si="3"/>
        <v>13.616074065669558</v>
      </c>
    </row>
    <row r="49" spans="1:33" x14ac:dyDescent="0.25">
      <c r="A49" t="s">
        <v>229</v>
      </c>
      <c r="B49" s="99">
        <v>10.98</v>
      </c>
      <c r="C49" s="99">
        <f t="shared" si="8"/>
        <v>10.746966037118709</v>
      </c>
      <c r="D49" s="99">
        <f t="shared" si="8"/>
        <v>10.425696878734433</v>
      </c>
      <c r="E49" s="99">
        <f t="shared" si="8"/>
        <v>10.238732709052869</v>
      </c>
      <c r="F49" s="99">
        <f t="shared" si="8"/>
        <v>10.096309818291294</v>
      </c>
      <c r="G49" s="99">
        <f t="shared" si="8"/>
        <v>10.000354382981085</v>
      </c>
      <c r="H49" s="99">
        <f t="shared" si="8"/>
        <v>9.9742772148193595</v>
      </c>
      <c r="I49" s="99">
        <f t="shared" si="8"/>
        <v>10.000614572149637</v>
      </c>
      <c r="J49" s="99">
        <f t="shared" si="8"/>
        <v>10.052689686696393</v>
      </c>
      <c r="K49" s="99">
        <f t="shared" si="8"/>
        <v>10.100378866213832</v>
      </c>
      <c r="L49" s="99">
        <f t="shared" si="8"/>
        <v>10.251884300668133</v>
      </c>
      <c r="M49" s="99">
        <f t="shared" si="8"/>
        <v>10.368383030032776</v>
      </c>
      <c r="N49" s="99">
        <f t="shared" si="8"/>
        <v>10.379496602608386</v>
      </c>
      <c r="O49" s="99">
        <f t="shared" si="8"/>
        <v>10.443418479507212</v>
      </c>
      <c r="P49" s="99">
        <f t="shared" si="8"/>
        <v>10.522856174376754</v>
      </c>
      <c r="Q49" s="99">
        <f t="shared" si="8"/>
        <v>10.633719284018941</v>
      </c>
      <c r="R49" s="99">
        <f t="shared" si="8"/>
        <v>10.711964768817648</v>
      </c>
      <c r="S49" s="99">
        <f t="shared" si="7"/>
        <v>10.790186176409716</v>
      </c>
      <c r="T49" s="99">
        <f t="shared" si="7"/>
        <v>10.852574102240204</v>
      </c>
      <c r="U49" s="99">
        <f t="shared" si="7"/>
        <v>10.88767556278826</v>
      </c>
      <c r="V49" s="99">
        <f t="shared" si="7"/>
        <v>10.9114638429508</v>
      </c>
      <c r="W49" s="99">
        <f t="shared" si="7"/>
        <v>10.931100746677766</v>
      </c>
      <c r="X49" s="99">
        <f t="shared" si="7"/>
        <v>10.955051353814122</v>
      </c>
      <c r="Y49" s="99">
        <f t="shared" si="7"/>
        <v>10.93694529441915</v>
      </c>
      <c r="Z49" s="99">
        <f t="shared" si="7"/>
        <v>10.90576997192195</v>
      </c>
      <c r="AA49" s="99">
        <f t="shared" si="7"/>
        <v>10.889580768849337</v>
      </c>
      <c r="AB49" s="99">
        <f t="shared" si="7"/>
        <v>10.840029100895507</v>
      </c>
      <c r="AC49" s="99">
        <f t="shared" si="7"/>
        <v>10.75899532023081</v>
      </c>
      <c r="AF49" t="s">
        <v>229</v>
      </c>
      <c r="AG49">
        <f t="shared" si="3"/>
        <v>10.425696878734433</v>
      </c>
    </row>
    <row r="50" spans="1:33" x14ac:dyDescent="0.25">
      <c r="A50" t="s">
        <v>159</v>
      </c>
      <c r="B50" s="99">
        <v>14.07</v>
      </c>
      <c r="C50" s="99">
        <f t="shared" si="8"/>
        <v>13.771385441007308</v>
      </c>
      <c r="D50" s="99">
        <f t="shared" si="8"/>
        <v>13.359704470290843</v>
      </c>
      <c r="E50" s="99">
        <f t="shared" si="8"/>
        <v>13.120124700944796</v>
      </c>
      <c r="F50" s="99">
        <f t="shared" si="8"/>
        <v>12.937621051307696</v>
      </c>
      <c r="G50" s="99">
        <f t="shared" si="8"/>
        <v>12.814661763983958</v>
      </c>
      <c r="H50" s="99">
        <f t="shared" si="8"/>
        <v>12.781245939208413</v>
      </c>
      <c r="I50" s="99">
        <f t="shared" si="8"/>
        <v>12.814995175787375</v>
      </c>
      <c r="J50" s="99">
        <f t="shared" si="8"/>
        <v>12.881725308908766</v>
      </c>
      <c r="K50" s="99">
        <f t="shared" si="8"/>
        <v>12.942835213809527</v>
      </c>
      <c r="L50" s="99">
        <f t="shared" si="8"/>
        <v>13.136977423533754</v>
      </c>
      <c r="M50" s="99">
        <f t="shared" si="8"/>
        <v>13.286261314440907</v>
      </c>
      <c r="N50" s="99">
        <f t="shared" si="8"/>
        <v>13.30050247711293</v>
      </c>
      <c r="O50" s="99">
        <f t="shared" si="8"/>
        <v>13.382413297510608</v>
      </c>
      <c r="P50" s="99">
        <f t="shared" si="8"/>
        <v>13.484206409242343</v>
      </c>
      <c r="Q50" s="99">
        <f t="shared" si="8"/>
        <v>13.626268700013341</v>
      </c>
      <c r="R50" s="99">
        <f t="shared" si="8"/>
        <v>13.726534089004033</v>
      </c>
      <c r="S50" s="99">
        <f t="shared" si="7"/>
        <v>13.826768624962176</v>
      </c>
      <c r="T50" s="99">
        <f t="shared" si="7"/>
        <v>13.906713808608348</v>
      </c>
      <c r="U50" s="99">
        <f t="shared" si="7"/>
        <v>13.951693549037415</v>
      </c>
      <c r="V50" s="99">
        <f t="shared" si="7"/>
        <v>13.982176345201982</v>
      </c>
      <c r="W50" s="99">
        <f t="shared" si="7"/>
        <v>14.007339481398558</v>
      </c>
      <c r="X50" s="99">
        <f t="shared" si="7"/>
        <v>14.038030286718095</v>
      </c>
      <c r="Y50" s="99">
        <f t="shared" si="7"/>
        <v>14.014828806236562</v>
      </c>
      <c r="Z50" s="99">
        <f t="shared" si="7"/>
        <v>13.974880100632227</v>
      </c>
      <c r="AA50" s="99">
        <f t="shared" si="7"/>
        <v>13.954134919645735</v>
      </c>
      <c r="AB50" s="99">
        <f t="shared" si="7"/>
        <v>13.890638383387959</v>
      </c>
      <c r="AC50" s="99">
        <f t="shared" si="7"/>
        <v>13.786800014175546</v>
      </c>
      <c r="AF50" t="s">
        <v>159</v>
      </c>
      <c r="AG50">
        <f t="shared" si="3"/>
        <v>13.359704470290843</v>
      </c>
    </row>
    <row r="51" spans="1:33" x14ac:dyDescent="0.25">
      <c r="A51" t="s">
        <v>158</v>
      </c>
      <c r="B51" s="99">
        <v>16.77</v>
      </c>
      <c r="C51" s="99">
        <f t="shared" si="8"/>
        <v>16.414082007511908</v>
      </c>
      <c r="D51" s="99">
        <f t="shared" si="8"/>
        <v>15.923400424077998</v>
      </c>
      <c r="E51" s="99">
        <f t="shared" si="8"/>
        <v>15.637845858908616</v>
      </c>
      <c r="F51" s="99">
        <f t="shared" si="8"/>
        <v>15.420320186953095</v>
      </c>
      <c r="G51" s="99">
        <f t="shared" si="8"/>
        <v>15.273765300782584</v>
      </c>
      <c r="H51" s="99">
        <f t="shared" si="8"/>
        <v>15.233937057606616</v>
      </c>
      <c r="I51" s="99">
        <f t="shared" si="8"/>
        <v>15.274162693529089</v>
      </c>
      <c r="J51" s="99">
        <f t="shared" si="8"/>
        <v>15.353698182686566</v>
      </c>
      <c r="K51" s="99">
        <f t="shared" si="8"/>
        <v>15.42653493500965</v>
      </c>
      <c r="L51" s="99">
        <f t="shared" si="8"/>
        <v>15.657932579435753</v>
      </c>
      <c r="M51" s="99">
        <f t="shared" si="8"/>
        <v>15.835863698875194</v>
      </c>
      <c r="N51" s="99">
        <f t="shared" si="8"/>
        <v>15.852837707262534</v>
      </c>
      <c r="O51" s="99">
        <f t="shared" si="8"/>
        <v>15.950467021979595</v>
      </c>
      <c r="P51" s="99">
        <f t="shared" si="8"/>
        <v>16.07179399310548</v>
      </c>
      <c r="Q51" s="99">
        <f t="shared" si="8"/>
        <v>16.241117704280292</v>
      </c>
      <c r="R51" s="99">
        <f t="shared" si="8"/>
        <v>16.360623786254273</v>
      </c>
      <c r="S51" s="99">
        <f t="shared" si="7"/>
        <v>16.480093094571121</v>
      </c>
      <c r="T51" s="99">
        <f t="shared" si="7"/>
        <v>16.575379571454299</v>
      </c>
      <c r="U51" s="99">
        <f t="shared" si="7"/>
        <v>16.62899081857551</v>
      </c>
      <c r="V51" s="99">
        <f t="shared" si="7"/>
        <v>16.665323191829227</v>
      </c>
      <c r="W51" s="99">
        <f t="shared" si="7"/>
        <v>16.695315074843908</v>
      </c>
      <c r="X51" s="99">
        <f t="shared" si="7"/>
        <v>16.731895373721567</v>
      </c>
      <c r="Y51" s="99">
        <f t="shared" si="7"/>
        <v>16.704241583552744</v>
      </c>
      <c r="Z51" s="99">
        <f t="shared" si="7"/>
        <v>16.656626815039264</v>
      </c>
      <c r="AA51" s="99">
        <f t="shared" si="7"/>
        <v>16.631900682477539</v>
      </c>
      <c r="AB51" s="99">
        <f t="shared" si="7"/>
        <v>16.556219309837672</v>
      </c>
      <c r="AC51" s="99">
        <f t="shared" si="7"/>
        <v>16.432454601117545</v>
      </c>
      <c r="AF51" t="s">
        <v>158</v>
      </c>
      <c r="AG51">
        <f t="shared" si="3"/>
        <v>15.923400424077998</v>
      </c>
    </row>
    <row r="52" spans="1:33" x14ac:dyDescent="0.25">
      <c r="A52" t="s">
        <v>160</v>
      </c>
      <c r="B52" s="99">
        <v>11.45</v>
      </c>
      <c r="C52" s="99">
        <f t="shared" si="8"/>
        <v>11.206990994991731</v>
      </c>
      <c r="D52" s="99">
        <f t="shared" si="8"/>
        <v>10.87196987809738</v>
      </c>
      <c r="E52" s="99">
        <f t="shared" si="8"/>
        <v>10.677002688402126</v>
      </c>
      <c r="F52" s="99">
        <f t="shared" si="8"/>
        <v>10.52848337153327</v>
      </c>
      <c r="G52" s="99">
        <f t="shared" si="8"/>
        <v>10.428420554201585</v>
      </c>
      <c r="H52" s="99">
        <f t="shared" si="8"/>
        <v>10.40122715024423</v>
      </c>
      <c r="I52" s="99">
        <f t="shared" si="8"/>
        <v>10.428691880793563</v>
      </c>
      <c r="J52" s="99">
        <f t="shared" si="8"/>
        <v>10.482996075835491</v>
      </c>
      <c r="K52" s="99">
        <f t="shared" si="8"/>
        <v>10.532726595459778</v>
      </c>
      <c r="L52" s="99">
        <f t="shared" si="8"/>
        <v>10.690717235214034</v>
      </c>
      <c r="M52" s="99">
        <f t="shared" si="8"/>
        <v>10.812202704360224</v>
      </c>
      <c r="N52" s="99">
        <f t="shared" si="8"/>
        <v>10.823791994523315</v>
      </c>
      <c r="O52" s="99">
        <f t="shared" si="8"/>
        <v>10.890450053766628</v>
      </c>
      <c r="P52" s="99">
        <f t="shared" si="8"/>
        <v>10.973288087123299</v>
      </c>
      <c r="Q52" s="99">
        <f t="shared" si="8"/>
        <v>11.088896703280223</v>
      </c>
      <c r="R52" s="99">
        <f t="shared" si="8"/>
        <v>11.17049149389454</v>
      </c>
      <c r="S52" s="99">
        <f t="shared" si="7"/>
        <v>11.252061176674975</v>
      </c>
      <c r="T52" s="99">
        <f t="shared" si="7"/>
        <v>11.317119623920794</v>
      </c>
      <c r="U52" s="99">
        <f t="shared" si="7"/>
        <v>11.35372360600415</v>
      </c>
      <c r="V52" s="99">
        <f t="shared" si="7"/>
        <v>11.378530145882209</v>
      </c>
      <c r="W52" s="99">
        <f t="shared" si="7"/>
        <v>11.399007609240474</v>
      </c>
      <c r="X52" s="99">
        <f t="shared" si="7"/>
        <v>11.423983424514725</v>
      </c>
      <c r="Y52" s="99">
        <f t="shared" si="7"/>
        <v>11.405102333433447</v>
      </c>
      <c r="Z52" s="99">
        <f t="shared" si="7"/>
        <v>11.372592548133545</v>
      </c>
      <c r="AA52" s="99">
        <f t="shared" si="7"/>
        <v>11.355710364601538</v>
      </c>
      <c r="AB52" s="99">
        <f t="shared" si="7"/>
        <v>11.304037632536753</v>
      </c>
      <c r="AC52" s="99">
        <f t="shared" si="7"/>
        <v>11.219535192772565</v>
      </c>
      <c r="AF52" t="s">
        <v>160</v>
      </c>
      <c r="AG52">
        <f t="shared" si="3"/>
        <v>10.87196987809738</v>
      </c>
    </row>
    <row r="53" spans="1:33" x14ac:dyDescent="0.25">
      <c r="A53" t="s">
        <v>134</v>
      </c>
      <c r="B53" s="99">
        <v>15.98</v>
      </c>
      <c r="C53" s="99">
        <f t="shared" si="8"/>
        <v>15.640848567682784</v>
      </c>
      <c r="D53" s="99">
        <f t="shared" si="8"/>
        <v>15.173281978340276</v>
      </c>
      <c r="E53" s="99">
        <f t="shared" si="8"/>
        <v>14.901179297874759</v>
      </c>
      <c r="F53" s="99">
        <f t="shared" si="8"/>
        <v>14.69390081022722</v>
      </c>
      <c r="G53" s="99">
        <f t="shared" si="8"/>
        <v>14.554249821497061</v>
      </c>
      <c r="H53" s="99">
        <f t="shared" si="8"/>
        <v>14.51629780444566</v>
      </c>
      <c r="I53" s="99">
        <f t="shared" si="8"/>
        <v>14.554628493893551</v>
      </c>
      <c r="J53" s="99">
        <f t="shared" si="8"/>
        <v>14.630417230729359</v>
      </c>
      <c r="K53" s="99">
        <f t="shared" si="8"/>
        <v>14.699822794362207</v>
      </c>
      <c r="L53" s="99">
        <f t="shared" si="8"/>
        <v>14.920319774560724</v>
      </c>
      <c r="M53" s="99">
        <f t="shared" si="8"/>
        <v>15.089868927133312</v>
      </c>
      <c r="N53" s="99">
        <f t="shared" si="8"/>
        <v>15.106043325107651</v>
      </c>
      <c r="O53" s="99">
        <f t="shared" si="8"/>
        <v>15.19907352482015</v>
      </c>
      <c r="P53" s="99">
        <f t="shared" si="8"/>
        <v>15.314685033382561</v>
      </c>
      <c r="Q53" s="99">
        <f t="shared" si="8"/>
        <v>15.476032254883666</v>
      </c>
      <c r="R53" s="99">
        <f t="shared" si="8"/>
        <v>15.58990865261439</v>
      </c>
      <c r="S53" s="99">
        <f t="shared" si="7"/>
        <v>15.703750009018874</v>
      </c>
      <c r="T53" s="99">
        <f t="shared" si="7"/>
        <v>15.794547737140114</v>
      </c>
      <c r="U53" s="99">
        <f t="shared" si="7"/>
        <v>15.84563346934029</v>
      </c>
      <c r="V53" s="99">
        <f t="shared" si="7"/>
        <v>15.880254299667923</v>
      </c>
      <c r="W53" s="99">
        <f t="shared" si="7"/>
        <v>15.908833327132122</v>
      </c>
      <c r="X53" s="99">
        <f t="shared" si="7"/>
        <v>15.943690403820552</v>
      </c>
      <c r="Y53" s="99">
        <f t="shared" si="7"/>
        <v>15.917339326486159</v>
      </c>
      <c r="Z53" s="99">
        <f t="shared" si="7"/>
        <v>15.871967591194242</v>
      </c>
      <c r="AA53" s="99">
        <f t="shared" si="7"/>
        <v>15.848406255574901</v>
      </c>
      <c r="AB53" s="99">
        <f t="shared" si="7"/>
        <v>15.776290075802386</v>
      </c>
      <c r="AC53" s="99">
        <f t="shared" si="7"/>
        <v>15.658355666419702</v>
      </c>
      <c r="AF53" t="s">
        <v>134</v>
      </c>
      <c r="AG53">
        <f t="shared" si="3"/>
        <v>15.173281978340276</v>
      </c>
    </row>
    <row r="54" spans="1:33" x14ac:dyDescent="0.25">
      <c r="B54" s="99">
        <v>1</v>
      </c>
      <c r="C54" s="99">
        <v>0.97877650611281497</v>
      </c>
      <c r="D54" s="99">
        <v>0.94951701992116866</v>
      </c>
      <c r="E54" s="99">
        <v>0.93248931776437782</v>
      </c>
      <c r="F54" s="99">
        <v>0.91951819838718518</v>
      </c>
      <c r="G54" s="99">
        <v>0.91077908770319527</v>
      </c>
      <c r="H54" s="99">
        <v>0.90840411792526032</v>
      </c>
      <c r="I54" s="99">
        <v>0.91080278434878292</v>
      </c>
      <c r="J54" s="99">
        <v>0.91554550880659313</v>
      </c>
      <c r="K54" s="99">
        <v>0.91988878562967502</v>
      </c>
      <c r="L54" s="99">
        <v>0.93368709477851841</v>
      </c>
      <c r="M54" s="99">
        <v>0.94429717942010705</v>
      </c>
      <c r="N54" s="99">
        <v>0.94530934449985293</v>
      </c>
      <c r="O54" s="99">
        <v>0.95113100906258763</v>
      </c>
      <c r="P54" s="99">
        <v>0.95836577180116156</v>
      </c>
      <c r="Q54" s="99">
        <v>0.96846259417294533</v>
      </c>
      <c r="R54" s="99">
        <v>0.97558877675934852</v>
      </c>
      <c r="S54" s="99">
        <v>0.98271276652183193</v>
      </c>
      <c r="T54" s="99">
        <v>0.9883947269799821</v>
      </c>
      <c r="U54" s="99">
        <v>0.99159158131040614</v>
      </c>
      <c r="V54" s="99">
        <v>0.99375809134342441</v>
      </c>
      <c r="W54" s="99">
        <v>0.99554651609087119</v>
      </c>
      <c r="X54" s="99">
        <v>0.99772781000128608</v>
      </c>
      <c r="Y54" s="99">
        <v>0.99607880641340163</v>
      </c>
      <c r="Z54" s="99">
        <v>0.99323952385445813</v>
      </c>
      <c r="AA54" s="99">
        <v>0.99176509734511265</v>
      </c>
      <c r="AB54" s="99">
        <v>0.98725219498137584</v>
      </c>
      <c r="AC54" s="99">
        <v>0.97987206923777859</v>
      </c>
    </row>
    <row r="55" spans="1:33" x14ac:dyDescent="0.25">
      <c r="B55" s="258" t="s">
        <v>515</v>
      </c>
      <c r="C55" s="258"/>
      <c r="D55" s="258"/>
      <c r="E55" s="258"/>
      <c r="F55" s="258"/>
      <c r="G55" s="258"/>
      <c r="H55" s="258"/>
      <c r="I55" s="258"/>
      <c r="J55" s="258"/>
      <c r="K55" s="258"/>
      <c r="L55" s="258"/>
      <c r="M55" s="258"/>
      <c r="N55" s="258"/>
      <c r="O55" s="258"/>
      <c r="P55" s="258"/>
      <c r="Q55" s="258"/>
      <c r="R55" s="258"/>
      <c r="S55" s="258"/>
      <c r="T55" s="258"/>
      <c r="U55" s="258"/>
      <c r="V55" s="258"/>
      <c r="W55" s="258"/>
      <c r="X55" s="258"/>
      <c r="Y55" s="258"/>
      <c r="Z55" s="258"/>
      <c r="AA55" s="258"/>
      <c r="AB55" s="258"/>
      <c r="AC55" s="258"/>
    </row>
    <row r="56" spans="1:33" x14ac:dyDescent="0.25">
      <c r="B56" s="33">
        <v>2023</v>
      </c>
      <c r="C56" s="33">
        <v>2024</v>
      </c>
      <c r="D56" s="33">
        <v>2025</v>
      </c>
      <c r="E56" s="33">
        <v>2026</v>
      </c>
      <c r="F56" s="33">
        <v>2027</v>
      </c>
      <c r="G56" s="33">
        <v>2028</v>
      </c>
      <c r="H56" s="33">
        <v>2029</v>
      </c>
      <c r="I56" s="33">
        <v>2030</v>
      </c>
      <c r="J56" s="33">
        <v>2031</v>
      </c>
      <c r="K56" s="33">
        <v>2032</v>
      </c>
      <c r="L56" s="33">
        <v>2033</v>
      </c>
      <c r="M56" s="33">
        <v>2034</v>
      </c>
      <c r="N56" s="33">
        <v>2035</v>
      </c>
      <c r="O56" s="33">
        <v>2036</v>
      </c>
      <c r="P56" s="33">
        <v>2037</v>
      </c>
      <c r="Q56" s="33">
        <v>2038</v>
      </c>
      <c r="R56" s="33">
        <v>2039</v>
      </c>
      <c r="S56" s="33">
        <v>2040</v>
      </c>
      <c r="T56" s="33">
        <v>2041</v>
      </c>
      <c r="U56" s="33">
        <v>2042</v>
      </c>
      <c r="V56" s="33">
        <v>2043</v>
      </c>
      <c r="W56" s="33">
        <v>2044</v>
      </c>
      <c r="X56" s="33">
        <v>2045</v>
      </c>
      <c r="Y56" s="33">
        <v>2046</v>
      </c>
      <c r="Z56" s="33">
        <v>2047</v>
      </c>
      <c r="AA56" s="33">
        <v>2048</v>
      </c>
      <c r="AB56" s="33">
        <v>2049</v>
      </c>
      <c r="AC56" s="33">
        <v>2050</v>
      </c>
    </row>
    <row r="57" spans="1:33" x14ac:dyDescent="0.25">
      <c r="A57" t="s">
        <v>187</v>
      </c>
      <c r="B57" s="99">
        <v>11.52</v>
      </c>
      <c r="C57" s="99">
        <f t="shared" ref="C57:C88" si="9">$B57*C$108</f>
        <v>11.02006967804823</v>
      </c>
      <c r="D57" s="99">
        <f t="shared" ref="D57:AC67" si="10">$B57*D$108</f>
        <v>10.548461609109822</v>
      </c>
      <c r="E57" s="99">
        <f t="shared" si="10"/>
        <v>10.285856061561596</v>
      </c>
      <c r="F57" s="99">
        <f t="shared" si="10"/>
        <v>10.095288632436661</v>
      </c>
      <c r="G57" s="99">
        <f t="shared" si="10"/>
        <v>9.9350033957333519</v>
      </c>
      <c r="H57" s="99">
        <f t="shared" si="10"/>
        <v>9.8566848188799341</v>
      </c>
      <c r="I57" s="99">
        <f t="shared" si="10"/>
        <v>9.844944932299633</v>
      </c>
      <c r="J57" s="99">
        <f t="shared" si="10"/>
        <v>9.8396040033651193</v>
      </c>
      <c r="K57" s="99">
        <f t="shared" si="10"/>
        <v>9.8296942713378304</v>
      </c>
      <c r="L57" s="99">
        <f t="shared" si="10"/>
        <v>9.9412904374532349</v>
      </c>
      <c r="M57" s="99">
        <f t="shared" si="10"/>
        <v>10.015041151683846</v>
      </c>
      <c r="N57" s="99">
        <f t="shared" si="10"/>
        <v>9.9913262610318458</v>
      </c>
      <c r="O57" s="99">
        <f t="shared" si="10"/>
        <v>10.021977117679977</v>
      </c>
      <c r="P57" s="99">
        <f t="shared" si="10"/>
        <v>10.057380169064171</v>
      </c>
      <c r="Q57" s="99">
        <f t="shared" si="10"/>
        <v>10.137245819010964</v>
      </c>
      <c r="R57" s="99">
        <f t="shared" si="10"/>
        <v>10.189798340217459</v>
      </c>
      <c r="S57" s="99">
        <f t="shared" si="10"/>
        <v>10.233037387354841</v>
      </c>
      <c r="T57" s="99">
        <f t="shared" si="10"/>
        <v>10.266367642934902</v>
      </c>
      <c r="U57" s="99">
        <f t="shared" si="10"/>
        <v>10.271782868996697</v>
      </c>
      <c r="V57" s="99">
        <f t="shared" si="10"/>
        <v>10.274053163493599</v>
      </c>
      <c r="W57" s="99">
        <f t="shared" si="10"/>
        <v>10.262223932266568</v>
      </c>
      <c r="X57" s="99">
        <f t="shared" si="10"/>
        <v>10.245682946511995</v>
      </c>
      <c r="Y57" s="99">
        <f t="shared" si="10"/>
        <v>10.188940631608851</v>
      </c>
      <c r="Z57" s="99">
        <f t="shared" si="10"/>
        <v>10.104417774392521</v>
      </c>
      <c r="AA57" s="99">
        <f t="shared" si="10"/>
        <v>10.068494643117363</v>
      </c>
      <c r="AB57" s="99">
        <f t="shared" si="10"/>
        <v>9.98819543651644</v>
      </c>
      <c r="AC57" s="99">
        <f t="shared" si="10"/>
        <v>9.8841803987935535</v>
      </c>
    </row>
    <row r="58" spans="1:33" x14ac:dyDescent="0.25">
      <c r="A58" t="s">
        <v>231</v>
      </c>
      <c r="B58" s="99">
        <v>19.8</v>
      </c>
      <c r="C58" s="99">
        <f t="shared" si="9"/>
        <v>18.940744759145396</v>
      </c>
      <c r="D58" s="99">
        <f t="shared" ref="D58:R58" si="11">$B58*D$108</f>
        <v>18.130168390657509</v>
      </c>
      <c r="E58" s="99">
        <f t="shared" si="11"/>
        <v>17.678815105808994</v>
      </c>
      <c r="F58" s="99">
        <f t="shared" si="11"/>
        <v>17.351277337000514</v>
      </c>
      <c r="G58" s="99">
        <f t="shared" si="11"/>
        <v>17.0757870864167</v>
      </c>
      <c r="H58" s="99">
        <f t="shared" si="11"/>
        <v>16.941177032449886</v>
      </c>
      <c r="I58" s="99">
        <f t="shared" si="11"/>
        <v>16.920999102389995</v>
      </c>
      <c r="J58" s="99">
        <f t="shared" si="11"/>
        <v>16.9118193807838</v>
      </c>
      <c r="K58" s="99">
        <f t="shared" si="11"/>
        <v>16.894787028861895</v>
      </c>
      <c r="L58" s="99">
        <f t="shared" si="11"/>
        <v>17.08659293937275</v>
      </c>
      <c r="M58" s="99">
        <f t="shared" si="11"/>
        <v>17.213351979456611</v>
      </c>
      <c r="N58" s="99">
        <f t="shared" si="11"/>
        <v>17.172592011148488</v>
      </c>
      <c r="O58" s="99">
        <f t="shared" si="11"/>
        <v>17.225273171012461</v>
      </c>
      <c r="P58" s="99">
        <f t="shared" si="11"/>
        <v>17.286122165579044</v>
      </c>
      <c r="Q58" s="99">
        <f t="shared" si="11"/>
        <v>17.423391251425095</v>
      </c>
      <c r="R58" s="99">
        <f t="shared" si="11"/>
        <v>17.513715897248758</v>
      </c>
      <c r="S58" s="99">
        <f t="shared" si="10"/>
        <v>17.588033009516135</v>
      </c>
      <c r="T58" s="99">
        <f t="shared" si="10"/>
        <v>17.645319386294364</v>
      </c>
      <c r="U58" s="99">
        <f t="shared" si="10"/>
        <v>17.654626806088075</v>
      </c>
      <c r="V58" s="99">
        <f t="shared" si="10"/>
        <v>17.658528874754627</v>
      </c>
      <c r="W58" s="99">
        <f t="shared" si="10"/>
        <v>17.638197383583169</v>
      </c>
      <c r="X58" s="99">
        <f t="shared" si="10"/>
        <v>17.609767564317494</v>
      </c>
      <c r="Y58" s="99">
        <f t="shared" si="10"/>
        <v>17.512241710577715</v>
      </c>
      <c r="Z58" s="99">
        <f t="shared" si="10"/>
        <v>17.366968049737146</v>
      </c>
      <c r="AA58" s="99">
        <f t="shared" si="10"/>
        <v>17.305225167857969</v>
      </c>
      <c r="AB58" s="99">
        <f t="shared" si="10"/>
        <v>17.167210906512633</v>
      </c>
      <c r="AC58" s="99">
        <f t="shared" si="10"/>
        <v>16.988435060426422</v>
      </c>
    </row>
    <row r="59" spans="1:33" x14ac:dyDescent="0.25">
      <c r="A59" t="s">
        <v>189</v>
      </c>
      <c r="B59" s="99">
        <v>10.25</v>
      </c>
      <c r="C59" s="99">
        <f t="shared" si="9"/>
        <v>9.8051835243050665</v>
      </c>
      <c r="D59" s="99">
        <f t="shared" si="10"/>
        <v>9.3855669699110837</v>
      </c>
      <c r="E59" s="99">
        <f t="shared" si="10"/>
        <v>9.1519118603304133</v>
      </c>
      <c r="F59" s="99">
        <f t="shared" si="10"/>
        <v>8.9823531668815786</v>
      </c>
      <c r="G59" s="99">
        <f t="shared" si="10"/>
        <v>8.8397382644328886</v>
      </c>
      <c r="H59" s="99">
        <f t="shared" si="10"/>
        <v>8.7700537667985525</v>
      </c>
      <c r="I59" s="99">
        <f t="shared" si="10"/>
        <v>8.7596081211867389</v>
      </c>
      <c r="J59" s="99">
        <f t="shared" si="10"/>
        <v>8.7548559925774718</v>
      </c>
      <c r="K59" s="99">
        <f t="shared" si="10"/>
        <v>8.7460387396886077</v>
      </c>
      <c r="L59" s="99">
        <f t="shared" si="10"/>
        <v>8.8453322034631654</v>
      </c>
      <c r="M59" s="99">
        <f t="shared" si="10"/>
        <v>8.9109524136075891</v>
      </c>
      <c r="N59" s="99">
        <f t="shared" si="10"/>
        <v>8.8898519249632315</v>
      </c>
      <c r="O59" s="99">
        <f t="shared" si="10"/>
        <v>8.9171237375190771</v>
      </c>
      <c r="P59" s="99">
        <f t="shared" si="10"/>
        <v>8.9486238483426863</v>
      </c>
      <c r="Q59" s="99">
        <f t="shared" si="10"/>
        <v>9.0196848650054147</v>
      </c>
      <c r="R59" s="99">
        <f t="shared" si="10"/>
        <v>9.0664438356969583</v>
      </c>
      <c r="S59" s="99">
        <f t="shared" si="10"/>
        <v>9.1049160781586043</v>
      </c>
      <c r="T59" s="99">
        <f t="shared" si="10"/>
        <v>9.1345719045210725</v>
      </c>
      <c r="U59" s="99">
        <f t="shared" si="10"/>
        <v>9.1393901395152906</v>
      </c>
      <c r="V59" s="99">
        <f t="shared" si="10"/>
        <v>9.141410149809845</v>
      </c>
      <c r="W59" s="99">
        <f t="shared" si="10"/>
        <v>9.1308850091781544</v>
      </c>
      <c r="X59" s="99">
        <f t="shared" si="10"/>
        <v>9.1161675522350656</v>
      </c>
      <c r="Y59" s="99">
        <f t="shared" si="10"/>
        <v>9.0656806835061392</v>
      </c>
      <c r="Z59" s="99">
        <f t="shared" si="10"/>
        <v>8.9904758843336232</v>
      </c>
      <c r="AA59" s="99">
        <f t="shared" si="10"/>
        <v>8.9585130288153625</v>
      </c>
      <c r="AB59" s="99">
        <f t="shared" si="10"/>
        <v>8.8870662521088128</v>
      </c>
      <c r="AC59" s="99">
        <f t="shared" si="10"/>
        <v>8.7945181499682228</v>
      </c>
    </row>
    <row r="60" spans="1:33" x14ac:dyDescent="0.25">
      <c r="A60" t="s">
        <v>188</v>
      </c>
      <c r="B60" s="99">
        <v>8.7799999999999994</v>
      </c>
      <c r="C60" s="99">
        <f t="shared" si="9"/>
        <v>8.3989767164291198</v>
      </c>
      <c r="D60" s="99">
        <f t="shared" si="10"/>
        <v>8.039539316665298</v>
      </c>
      <c r="E60" s="99">
        <f t="shared" si="10"/>
        <v>7.8393937691415632</v>
      </c>
      <c r="F60" s="99">
        <f t="shared" si="10"/>
        <v>7.6941522736800243</v>
      </c>
      <c r="G60" s="99">
        <f t="shared" si="10"/>
        <v>7.5719904352898295</v>
      </c>
      <c r="H60" s="99">
        <f t="shared" si="10"/>
        <v>7.5122997143893935</v>
      </c>
      <c r="I60" s="99">
        <f t="shared" si="10"/>
        <v>7.5033521272214205</v>
      </c>
      <c r="J60" s="99">
        <f t="shared" si="10"/>
        <v>7.4992815233980679</v>
      </c>
      <c r="K60" s="99">
        <f t="shared" si="10"/>
        <v>7.4917287936064358</v>
      </c>
      <c r="L60" s="99">
        <f t="shared" si="10"/>
        <v>7.576782121600643</v>
      </c>
      <c r="M60" s="99">
        <f t="shared" si="10"/>
        <v>7.6329914333145972</v>
      </c>
      <c r="N60" s="99">
        <f t="shared" si="10"/>
        <v>7.6149170635294796</v>
      </c>
      <c r="O60" s="99">
        <f t="shared" si="10"/>
        <v>7.6382776990651218</v>
      </c>
      <c r="P60" s="99">
        <f t="shared" si="10"/>
        <v>7.665260233019394</v>
      </c>
      <c r="Q60" s="99">
        <f t="shared" si="10"/>
        <v>7.7261300599753691</v>
      </c>
      <c r="R60" s="99">
        <f t="shared" si="10"/>
        <v>7.7661831099921264</v>
      </c>
      <c r="S60" s="99">
        <f t="shared" si="10"/>
        <v>7.7991378698763461</v>
      </c>
      <c r="T60" s="99">
        <f t="shared" si="10"/>
        <v>7.8245406167507321</v>
      </c>
      <c r="U60" s="99">
        <f t="shared" si="10"/>
        <v>7.8286678463360238</v>
      </c>
      <c r="V60" s="99">
        <f t="shared" si="10"/>
        <v>7.830398157593212</v>
      </c>
      <c r="W60" s="99">
        <f t="shared" si="10"/>
        <v>7.8213824761545547</v>
      </c>
      <c r="X60" s="99">
        <f t="shared" si="10"/>
        <v>7.8087757179145232</v>
      </c>
      <c r="Y60" s="99">
        <f t="shared" si="10"/>
        <v>7.7655294049935515</v>
      </c>
      <c r="Z60" s="99">
        <f t="shared" si="10"/>
        <v>7.7011100745804111</v>
      </c>
      <c r="AA60" s="99">
        <f t="shared" si="10"/>
        <v>7.6737311602925731</v>
      </c>
      <c r="AB60" s="99">
        <f t="shared" si="10"/>
        <v>7.6125308969283285</v>
      </c>
      <c r="AC60" s="99">
        <f t="shared" si="10"/>
        <v>7.5332555469971698</v>
      </c>
    </row>
    <row r="61" spans="1:33" x14ac:dyDescent="0.25">
      <c r="A61" t="s">
        <v>149</v>
      </c>
      <c r="B61" s="99">
        <v>16.670000000000002</v>
      </c>
      <c r="C61" s="99">
        <f t="shared" si="9"/>
        <v>15.946576521967364</v>
      </c>
      <c r="D61" s="99">
        <f t="shared" si="10"/>
        <v>15.264136720821247</v>
      </c>
      <c r="E61" s="99">
        <f t="shared" si="10"/>
        <v>14.884133727971513</v>
      </c>
      <c r="F61" s="99">
        <f t="shared" si="10"/>
        <v>14.608373394333261</v>
      </c>
      <c r="G61" s="99">
        <f t="shared" si="10"/>
        <v>14.376432865180123</v>
      </c>
      <c r="H61" s="99">
        <f t="shared" si="10"/>
        <v>14.263102077320184</v>
      </c>
      <c r="I61" s="99">
        <f t="shared" si="10"/>
        <v>14.246113890749557</v>
      </c>
      <c r="J61" s="99">
        <f t="shared" si="10"/>
        <v>14.238385306952827</v>
      </c>
      <c r="K61" s="99">
        <f t="shared" si="10"/>
        <v>14.224045442986254</v>
      </c>
      <c r="L61" s="99">
        <f t="shared" si="10"/>
        <v>14.385530520168876</v>
      </c>
      <c r="M61" s="99">
        <f t="shared" si="10"/>
        <v>14.492251388764734</v>
      </c>
      <c r="N61" s="99">
        <f t="shared" si="10"/>
        <v>14.457934789184106</v>
      </c>
      <c r="O61" s="99">
        <f t="shared" si="10"/>
        <v>14.50228806872615</v>
      </c>
      <c r="P61" s="99">
        <f t="shared" si="10"/>
        <v>14.553518005060742</v>
      </c>
      <c r="Q61" s="99">
        <f t="shared" si="10"/>
        <v>14.669087482891735</v>
      </c>
      <c r="R61" s="99">
        <f t="shared" si="10"/>
        <v>14.745133535713983</v>
      </c>
      <c r="S61" s="99">
        <f t="shared" si="10"/>
        <v>14.807702538819898</v>
      </c>
      <c r="T61" s="99">
        <f t="shared" si="10"/>
        <v>14.855933038865002</v>
      </c>
      <c r="U61" s="99">
        <f t="shared" si="10"/>
        <v>14.863769134216577</v>
      </c>
      <c r="V61" s="99">
        <f t="shared" si="10"/>
        <v>14.867054360715134</v>
      </c>
      <c r="W61" s="99">
        <f t="shared" si="10"/>
        <v>14.849936888097545</v>
      </c>
      <c r="X61" s="99">
        <f t="shared" si="10"/>
        <v>14.826001277634981</v>
      </c>
      <c r="Y61" s="99">
        <f t="shared" si="10"/>
        <v>14.743892389663158</v>
      </c>
      <c r="Z61" s="99">
        <f t="shared" si="10"/>
        <v>14.621583706521124</v>
      </c>
      <c r="AA61" s="99">
        <f t="shared" si="10"/>
        <v>14.569601189302643</v>
      </c>
      <c r="AB61" s="99">
        <f t="shared" si="10"/>
        <v>14.453404333917454</v>
      </c>
      <c r="AC61" s="99">
        <f t="shared" si="10"/>
        <v>14.30288951804588</v>
      </c>
    </row>
    <row r="62" spans="1:33" x14ac:dyDescent="0.25">
      <c r="A62" t="s">
        <v>190</v>
      </c>
      <c r="B62" s="99">
        <v>10.43</v>
      </c>
      <c r="C62" s="99">
        <f t="shared" si="9"/>
        <v>9.9773721130245701</v>
      </c>
      <c r="D62" s="99">
        <f t="shared" si="10"/>
        <v>9.5503866825534249</v>
      </c>
      <c r="E62" s="99">
        <f t="shared" si="10"/>
        <v>9.3126283612923135</v>
      </c>
      <c r="F62" s="99">
        <f t="shared" si="10"/>
        <v>9.1400920517633999</v>
      </c>
      <c r="G62" s="99">
        <f t="shared" si="10"/>
        <v>8.9949726924912206</v>
      </c>
      <c r="H62" s="99">
        <f t="shared" si="10"/>
        <v>8.9240644670935509</v>
      </c>
      <c r="I62" s="99">
        <f t="shared" si="10"/>
        <v>8.913435385753921</v>
      </c>
      <c r="J62" s="99">
        <f t="shared" si="10"/>
        <v>8.9085998051300521</v>
      </c>
      <c r="K62" s="99">
        <f t="shared" si="10"/>
        <v>8.8996277126782619</v>
      </c>
      <c r="L62" s="99">
        <f t="shared" si="10"/>
        <v>9.0006648665483713</v>
      </c>
      <c r="M62" s="99">
        <f t="shared" si="10"/>
        <v>9.0674374316026487</v>
      </c>
      <c r="N62" s="99">
        <f t="shared" si="10"/>
        <v>9.0459663977918545</v>
      </c>
      <c r="O62" s="99">
        <f t="shared" si="10"/>
        <v>9.0737171299828265</v>
      </c>
      <c r="P62" s="99">
        <f t="shared" si="10"/>
        <v>9.1057704134843149</v>
      </c>
      <c r="Q62" s="99">
        <f t="shared" si="10"/>
        <v>9.17807933092746</v>
      </c>
      <c r="R62" s="99">
        <f t="shared" si="10"/>
        <v>9.2256594347628571</v>
      </c>
      <c r="S62" s="99">
        <f t="shared" si="10"/>
        <v>9.2648072873360245</v>
      </c>
      <c r="T62" s="99">
        <f t="shared" si="10"/>
        <v>9.2949838989419291</v>
      </c>
      <c r="U62" s="99">
        <f t="shared" si="10"/>
        <v>9.299886746843363</v>
      </c>
      <c r="V62" s="99">
        <f t="shared" si="10"/>
        <v>9.3019422304894324</v>
      </c>
      <c r="W62" s="99">
        <f t="shared" si="10"/>
        <v>9.2912322581198197</v>
      </c>
      <c r="X62" s="99">
        <f t="shared" si="10"/>
        <v>9.2762563482743143</v>
      </c>
      <c r="Y62" s="99">
        <f t="shared" si="10"/>
        <v>9.2248828808750272</v>
      </c>
      <c r="Z62" s="99">
        <f t="shared" si="10"/>
        <v>9.1483574120585072</v>
      </c>
      <c r="AA62" s="99">
        <f t="shared" si="10"/>
        <v>9.1158332576140708</v>
      </c>
      <c r="AB62" s="99">
        <f t="shared" si="10"/>
        <v>9.0431318058043821</v>
      </c>
      <c r="AC62" s="99">
        <f t="shared" si="10"/>
        <v>8.9489584686993719</v>
      </c>
    </row>
    <row r="63" spans="1:33" x14ac:dyDescent="0.25">
      <c r="A63" t="s">
        <v>191</v>
      </c>
      <c r="B63" s="99">
        <v>16.75</v>
      </c>
      <c r="C63" s="99">
        <f t="shared" si="9"/>
        <v>16.023104783620475</v>
      </c>
      <c r="D63" s="99">
        <f t="shared" si="10"/>
        <v>15.337389926440064</v>
      </c>
      <c r="E63" s="99">
        <f t="shared" si="10"/>
        <v>14.955563283954579</v>
      </c>
      <c r="F63" s="99">
        <f t="shared" si="10"/>
        <v>14.678479565391847</v>
      </c>
      <c r="G63" s="99">
        <f t="shared" si="10"/>
        <v>14.445425944317158</v>
      </c>
      <c r="H63" s="99">
        <f t="shared" si="10"/>
        <v>14.331551277451293</v>
      </c>
      <c r="I63" s="99">
        <f t="shared" si="10"/>
        <v>14.314481563890524</v>
      </c>
      <c r="J63" s="99">
        <f t="shared" si="10"/>
        <v>14.306715890309526</v>
      </c>
      <c r="K63" s="99">
        <f t="shared" si="10"/>
        <v>14.292307208759432</v>
      </c>
      <c r="L63" s="99">
        <f t="shared" si="10"/>
        <v>14.454567259317855</v>
      </c>
      <c r="M63" s="99">
        <f t="shared" si="10"/>
        <v>14.561800285651424</v>
      </c>
      <c r="N63" s="99">
        <f t="shared" si="10"/>
        <v>14.527318999330159</v>
      </c>
      <c r="O63" s="99">
        <f t="shared" si="10"/>
        <v>14.57188513204337</v>
      </c>
      <c r="P63" s="99">
        <f t="shared" si="10"/>
        <v>14.623360922901464</v>
      </c>
      <c r="Q63" s="99">
        <f t="shared" si="10"/>
        <v>14.739485023301532</v>
      </c>
      <c r="R63" s="99">
        <f t="shared" si="10"/>
        <v>14.815896024187714</v>
      </c>
      <c r="S63" s="99">
        <f t="shared" si="10"/>
        <v>14.878765298454306</v>
      </c>
      <c r="T63" s="99">
        <f t="shared" si="10"/>
        <v>14.927227258607605</v>
      </c>
      <c r="U63" s="99">
        <f t="shared" si="10"/>
        <v>14.935100959695719</v>
      </c>
      <c r="V63" s="99">
        <f t="shared" si="10"/>
        <v>14.938401952128283</v>
      </c>
      <c r="W63" s="99">
        <f t="shared" si="10"/>
        <v>14.921202332071617</v>
      </c>
      <c r="X63" s="99">
        <f t="shared" si="10"/>
        <v>14.897151853652424</v>
      </c>
      <c r="Y63" s="99">
        <f t="shared" si="10"/>
        <v>14.814648921827107</v>
      </c>
      <c r="Z63" s="99">
        <f t="shared" si="10"/>
        <v>14.691753274398849</v>
      </c>
      <c r="AA63" s="99">
        <f t="shared" si="10"/>
        <v>14.639521290990958</v>
      </c>
      <c r="AB63" s="99">
        <f t="shared" si="10"/>
        <v>14.522766802226595</v>
      </c>
      <c r="AC63" s="99">
        <f t="shared" si="10"/>
        <v>14.371529659704168</v>
      </c>
    </row>
    <row r="64" spans="1:33" x14ac:dyDescent="0.25">
      <c r="A64" t="s">
        <v>192</v>
      </c>
      <c r="B64" s="99">
        <v>9.5299999999999994</v>
      </c>
      <c r="C64" s="99">
        <f t="shared" si="9"/>
        <v>9.1164291694270521</v>
      </c>
      <c r="D64" s="99">
        <f t="shared" si="10"/>
        <v>8.726288119341719</v>
      </c>
      <c r="E64" s="99">
        <f t="shared" si="10"/>
        <v>8.509045856482814</v>
      </c>
      <c r="F64" s="99">
        <f t="shared" si="10"/>
        <v>8.3513976273542863</v>
      </c>
      <c r="G64" s="99">
        <f t="shared" si="10"/>
        <v>8.2188005521995535</v>
      </c>
      <c r="H64" s="99">
        <f t="shared" si="10"/>
        <v>8.1540109656185553</v>
      </c>
      <c r="I64" s="99">
        <f t="shared" si="10"/>
        <v>8.1442990629180123</v>
      </c>
      <c r="J64" s="99">
        <f t="shared" si="10"/>
        <v>8.1398807423671506</v>
      </c>
      <c r="K64" s="99">
        <f t="shared" si="10"/>
        <v>8.1316828477299925</v>
      </c>
      <c r="L64" s="99">
        <f t="shared" si="10"/>
        <v>8.2240015511223383</v>
      </c>
      <c r="M64" s="99">
        <f t="shared" si="10"/>
        <v>8.2850123416273469</v>
      </c>
      <c r="N64" s="99">
        <f t="shared" si="10"/>
        <v>8.2653940336487413</v>
      </c>
      <c r="O64" s="99">
        <f t="shared" si="10"/>
        <v>8.2907501676640791</v>
      </c>
      <c r="P64" s="99">
        <f t="shared" si="10"/>
        <v>8.3200375877761754</v>
      </c>
      <c r="Q64" s="99">
        <f t="shared" si="10"/>
        <v>8.3861070013172281</v>
      </c>
      <c r="R64" s="99">
        <f t="shared" si="10"/>
        <v>8.4295814394333668</v>
      </c>
      <c r="S64" s="99">
        <f t="shared" si="10"/>
        <v>8.4653512414489267</v>
      </c>
      <c r="T64" s="99">
        <f t="shared" si="10"/>
        <v>8.4929239268376389</v>
      </c>
      <c r="U64" s="99">
        <f t="shared" si="10"/>
        <v>8.4974037102029971</v>
      </c>
      <c r="V64" s="99">
        <f t="shared" si="10"/>
        <v>8.4992818270914938</v>
      </c>
      <c r="W64" s="99">
        <f t="shared" si="10"/>
        <v>8.4894960134114932</v>
      </c>
      <c r="X64" s="99">
        <f t="shared" si="10"/>
        <v>8.4758123680780653</v>
      </c>
      <c r="Y64" s="99">
        <f t="shared" si="10"/>
        <v>8.4288718940305856</v>
      </c>
      <c r="Z64" s="99">
        <f t="shared" si="10"/>
        <v>8.358949773434091</v>
      </c>
      <c r="AA64" s="99">
        <f t="shared" si="10"/>
        <v>8.3292321136205256</v>
      </c>
      <c r="AB64" s="99">
        <f t="shared" si="10"/>
        <v>8.2628040373265339</v>
      </c>
      <c r="AC64" s="99">
        <f t="shared" si="10"/>
        <v>8.1767568750436244</v>
      </c>
    </row>
    <row r="65" spans="1:29" x14ac:dyDescent="0.25">
      <c r="A65" t="s">
        <v>193</v>
      </c>
      <c r="B65" s="99">
        <v>9.27</v>
      </c>
      <c r="C65" s="99">
        <f t="shared" si="9"/>
        <v>8.8677123190544354</v>
      </c>
      <c r="D65" s="99">
        <f t="shared" si="10"/>
        <v>8.4882152010805605</v>
      </c>
      <c r="E65" s="99">
        <f t="shared" si="10"/>
        <v>8.2768997995378477</v>
      </c>
      <c r="F65" s="99">
        <f t="shared" si="10"/>
        <v>8.1235525714138763</v>
      </c>
      <c r="G65" s="99">
        <f t="shared" si="10"/>
        <v>7.9945730450041825</v>
      </c>
      <c r="H65" s="99">
        <f t="shared" si="10"/>
        <v>7.9315510651924468</v>
      </c>
      <c r="I65" s="99">
        <f t="shared" si="10"/>
        <v>7.9221041252098603</v>
      </c>
      <c r="J65" s="99">
        <f t="shared" si="10"/>
        <v>7.9178063464578692</v>
      </c>
      <c r="K65" s="99">
        <f t="shared" si="10"/>
        <v>7.9098321089671604</v>
      </c>
      <c r="L65" s="99">
        <f t="shared" si="10"/>
        <v>7.9996321488881499</v>
      </c>
      <c r="M65" s="99">
        <f t="shared" si="10"/>
        <v>8.0589784267455933</v>
      </c>
      <c r="N65" s="99">
        <f t="shared" si="10"/>
        <v>8.0398953506740636</v>
      </c>
      <c r="O65" s="99">
        <f t="shared" si="10"/>
        <v>8.0645597118831063</v>
      </c>
      <c r="P65" s="99">
        <f t="shared" si="10"/>
        <v>8.0930481047938247</v>
      </c>
      <c r="Q65" s="99">
        <f t="shared" si="10"/>
        <v>8.1573149949853843</v>
      </c>
      <c r="R65" s="99">
        <f t="shared" si="10"/>
        <v>8.199603351893737</v>
      </c>
      <c r="S65" s="99">
        <f t="shared" si="10"/>
        <v>8.2343972726370982</v>
      </c>
      <c r="T65" s="99">
        <f t="shared" si="10"/>
        <v>8.2612177126741777</v>
      </c>
      <c r="U65" s="99">
        <f t="shared" si="10"/>
        <v>8.2655752773957794</v>
      </c>
      <c r="V65" s="99">
        <f t="shared" si="10"/>
        <v>8.2674021549987557</v>
      </c>
      <c r="W65" s="99">
        <f t="shared" si="10"/>
        <v>8.257883320495754</v>
      </c>
      <c r="X65" s="99">
        <f t="shared" si="10"/>
        <v>8.2445729960213701</v>
      </c>
      <c r="Y65" s="99">
        <f t="shared" si="10"/>
        <v>8.198913164497748</v>
      </c>
      <c r="Z65" s="99">
        <f t="shared" si="10"/>
        <v>8.1308986778314818</v>
      </c>
      <c r="AA65" s="99">
        <f t="shared" si="10"/>
        <v>8.1019917831335029</v>
      </c>
      <c r="AB65" s="99">
        <f t="shared" si="10"/>
        <v>8.0373760153218221</v>
      </c>
      <c r="AC65" s="99">
        <f t="shared" si="10"/>
        <v>7.9536764146541872</v>
      </c>
    </row>
    <row r="66" spans="1:29" x14ac:dyDescent="0.25">
      <c r="A66" t="s">
        <v>194</v>
      </c>
      <c r="B66" s="99">
        <v>10.02</v>
      </c>
      <c r="C66" s="99">
        <f t="shared" si="9"/>
        <v>9.5851647720523676</v>
      </c>
      <c r="D66" s="99">
        <f t="shared" si="10"/>
        <v>9.1749640037569815</v>
      </c>
      <c r="E66" s="99">
        <f t="shared" si="10"/>
        <v>8.9465518868790976</v>
      </c>
      <c r="F66" s="99">
        <f t="shared" si="10"/>
        <v>8.7807979250881374</v>
      </c>
      <c r="G66" s="99">
        <f t="shared" si="10"/>
        <v>8.6413831619139057</v>
      </c>
      <c r="H66" s="99">
        <f t="shared" si="10"/>
        <v>8.5732623164216086</v>
      </c>
      <c r="I66" s="99">
        <f t="shared" si="10"/>
        <v>8.5630510609064512</v>
      </c>
      <c r="J66" s="99">
        <f t="shared" si="10"/>
        <v>8.558405565426952</v>
      </c>
      <c r="K66" s="99">
        <f t="shared" si="10"/>
        <v>8.549786163090717</v>
      </c>
      <c r="L66" s="99">
        <f t="shared" si="10"/>
        <v>8.6468515784098461</v>
      </c>
      <c r="M66" s="99">
        <f t="shared" si="10"/>
        <v>8.7109993350583448</v>
      </c>
      <c r="N66" s="99">
        <f t="shared" si="10"/>
        <v>8.6903723207933243</v>
      </c>
      <c r="O66" s="99">
        <f t="shared" si="10"/>
        <v>8.7170321804820627</v>
      </c>
      <c r="P66" s="99">
        <f t="shared" si="10"/>
        <v>8.7478254595506062</v>
      </c>
      <c r="Q66" s="99">
        <f t="shared" si="10"/>
        <v>8.8172919363272442</v>
      </c>
      <c r="R66" s="99">
        <f t="shared" si="10"/>
        <v>8.8630016813349783</v>
      </c>
      <c r="S66" s="99">
        <f t="shared" si="10"/>
        <v>8.9006106442096797</v>
      </c>
      <c r="T66" s="99">
        <f t="shared" si="10"/>
        <v>8.9296010227610871</v>
      </c>
      <c r="U66" s="99">
        <f t="shared" si="10"/>
        <v>8.9343111412627518</v>
      </c>
      <c r="V66" s="99">
        <f t="shared" si="10"/>
        <v>8.9362858244970376</v>
      </c>
      <c r="W66" s="99">
        <f t="shared" si="10"/>
        <v>8.9259968577526934</v>
      </c>
      <c r="X66" s="99">
        <f t="shared" si="10"/>
        <v>8.9116096461849121</v>
      </c>
      <c r="Y66" s="99">
        <f t="shared" si="10"/>
        <v>8.862255653534783</v>
      </c>
      <c r="Z66" s="99">
        <f t="shared" si="10"/>
        <v>8.7887383766851617</v>
      </c>
      <c r="AA66" s="99">
        <f t="shared" si="10"/>
        <v>8.7574927364614563</v>
      </c>
      <c r="AB66" s="99">
        <f t="shared" si="10"/>
        <v>8.6876491557200293</v>
      </c>
      <c r="AC66" s="99">
        <f t="shared" si="10"/>
        <v>8.5971777427006426</v>
      </c>
    </row>
    <row r="67" spans="1:29" x14ac:dyDescent="0.25">
      <c r="A67" t="s">
        <v>233</v>
      </c>
      <c r="B67" s="99">
        <v>29.23</v>
      </c>
      <c r="C67" s="99">
        <f t="shared" si="9"/>
        <v>27.961513601506059</v>
      </c>
      <c r="D67" s="99">
        <f t="shared" si="10"/>
        <v>26.764890002975704</v>
      </c>
      <c r="E67" s="99">
        <f t="shared" si="10"/>
        <v>26.098574017312977</v>
      </c>
      <c r="F67" s="99">
        <f t="shared" si="10"/>
        <v>25.615042250531566</v>
      </c>
      <c r="G67" s="99">
        <f t="shared" si="10"/>
        <v>25.208346289694958</v>
      </c>
      <c r="H67" s="99">
        <f t="shared" si="10"/>
        <v>25.009626497904556</v>
      </c>
      <c r="I67" s="99">
        <f t="shared" si="10"/>
        <v>24.979838573881793</v>
      </c>
      <c r="J67" s="99">
        <f t="shared" si="10"/>
        <v>24.966286893955072</v>
      </c>
      <c r="K67" s="99">
        <f t="shared" si="10"/>
        <v>24.941142669375417</v>
      </c>
      <c r="L67" s="99">
        <f t="shared" si="10"/>
        <v>25.224298566558861</v>
      </c>
      <c r="M67" s="99">
        <f t="shared" si="10"/>
        <v>25.411428199975592</v>
      </c>
      <c r="N67" s="99">
        <f t="shared" ref="D67:AC77" si="12">$B67*N$108</f>
        <v>25.351255782114659</v>
      </c>
      <c r="O67" s="99">
        <f t="shared" si="12"/>
        <v>25.429027009530014</v>
      </c>
      <c r="P67" s="99">
        <f t="shared" si="12"/>
        <v>25.518856106054315</v>
      </c>
      <c r="Q67" s="99">
        <f t="shared" si="12"/>
        <v>25.721501327230076</v>
      </c>
      <c r="R67" s="99">
        <f t="shared" si="12"/>
        <v>25.854844226089963</v>
      </c>
      <c r="S67" s="99">
        <f t="shared" si="12"/>
        <v>25.964555801422051</v>
      </c>
      <c r="T67" s="99">
        <f t="shared" si="12"/>
        <v>26.049125538453747</v>
      </c>
      <c r="U67" s="99">
        <f t="shared" si="12"/>
        <v>26.062865734442141</v>
      </c>
      <c r="V67" s="99">
        <f t="shared" si="12"/>
        <v>26.068626212579684</v>
      </c>
      <c r="W67" s="99">
        <f t="shared" si="12"/>
        <v>26.038611592027067</v>
      </c>
      <c r="X67" s="99">
        <f t="shared" si="12"/>
        <v>25.996641712373751</v>
      </c>
      <c r="Y67" s="99">
        <f t="shared" si="12"/>
        <v>25.852667939403364</v>
      </c>
      <c r="Z67" s="99">
        <f t="shared" si="12"/>
        <v>25.638205863324082</v>
      </c>
      <c r="AA67" s="99">
        <f t="shared" si="12"/>
        <v>25.547057154368101</v>
      </c>
      <c r="AB67" s="99">
        <f t="shared" si="12"/>
        <v>25.34331185845274</v>
      </c>
      <c r="AC67" s="99">
        <f t="shared" si="12"/>
        <v>25.079391758397186</v>
      </c>
    </row>
    <row r="68" spans="1:29" x14ac:dyDescent="0.25">
      <c r="A68" t="s">
        <v>196</v>
      </c>
      <c r="B68" s="99">
        <v>7.67</v>
      </c>
      <c r="C68" s="99">
        <f t="shared" si="9"/>
        <v>7.3371470859921812</v>
      </c>
      <c r="D68" s="99">
        <f t="shared" si="12"/>
        <v>7.0231510887041964</v>
      </c>
      <c r="E68" s="99">
        <f t="shared" si="12"/>
        <v>6.8483086798765145</v>
      </c>
      <c r="F68" s="99">
        <f t="shared" si="12"/>
        <v>6.7214291502421171</v>
      </c>
      <c r="G68" s="99">
        <f t="shared" si="12"/>
        <v>6.6147114622634389</v>
      </c>
      <c r="H68" s="99">
        <f t="shared" si="12"/>
        <v>6.5625670625702339</v>
      </c>
      <c r="I68" s="99">
        <f t="shared" si="12"/>
        <v>6.5547506623904672</v>
      </c>
      <c r="J68" s="99">
        <f t="shared" si="12"/>
        <v>6.5511946793238254</v>
      </c>
      <c r="K68" s="99">
        <f t="shared" si="12"/>
        <v>6.5445967935035725</v>
      </c>
      <c r="L68" s="99">
        <f t="shared" si="12"/>
        <v>6.6188973659085342</v>
      </c>
      <c r="M68" s="99">
        <f t="shared" si="12"/>
        <v>6.6680004890117273</v>
      </c>
      <c r="N68" s="99">
        <f t="shared" si="12"/>
        <v>6.6522111477529746</v>
      </c>
      <c r="O68" s="99">
        <f t="shared" si="12"/>
        <v>6.6726184455386655</v>
      </c>
      <c r="P68" s="99">
        <f t="shared" si="12"/>
        <v>6.6961897479793571</v>
      </c>
      <c r="Q68" s="99">
        <f t="shared" si="12"/>
        <v>6.7493641867894176</v>
      </c>
      <c r="R68" s="99">
        <f t="shared" si="12"/>
        <v>6.7843535824190901</v>
      </c>
      <c r="S68" s="99">
        <f t="shared" si="12"/>
        <v>6.8131420799489266</v>
      </c>
      <c r="T68" s="99">
        <f t="shared" si="12"/>
        <v>6.8353333178221094</v>
      </c>
      <c r="U68" s="99">
        <f t="shared" si="12"/>
        <v>6.8389387678129054</v>
      </c>
      <c r="V68" s="99">
        <f t="shared" si="12"/>
        <v>6.8404503267357564</v>
      </c>
      <c r="W68" s="99">
        <f t="shared" si="12"/>
        <v>6.8325744410142875</v>
      </c>
      <c r="X68" s="99">
        <f t="shared" si="12"/>
        <v>6.8215614756724827</v>
      </c>
      <c r="Y68" s="99">
        <f t="shared" si="12"/>
        <v>6.7837825212187406</v>
      </c>
      <c r="Z68" s="99">
        <f t="shared" si="12"/>
        <v>6.7275073202769651</v>
      </c>
      <c r="AA68" s="99">
        <f t="shared" si="12"/>
        <v>6.703589749367203</v>
      </c>
      <c r="AB68" s="99">
        <f t="shared" si="12"/>
        <v>6.6501266491389845</v>
      </c>
      <c r="AC68" s="99">
        <f t="shared" si="12"/>
        <v>6.5808735814884161</v>
      </c>
    </row>
    <row r="69" spans="1:29" x14ac:dyDescent="0.25">
      <c r="A69" t="s">
        <v>197</v>
      </c>
      <c r="B69" s="99">
        <v>9.08</v>
      </c>
      <c r="C69" s="99">
        <f t="shared" si="9"/>
        <v>8.6859576976282931</v>
      </c>
      <c r="D69" s="99">
        <f t="shared" si="12"/>
        <v>8.3142388377358678</v>
      </c>
      <c r="E69" s="99">
        <f t="shared" si="12"/>
        <v>8.1072546040780633</v>
      </c>
      <c r="F69" s="99">
        <f t="shared" si="12"/>
        <v>7.9570504151497294</v>
      </c>
      <c r="G69" s="99">
        <f t="shared" si="12"/>
        <v>7.8307144820537191</v>
      </c>
      <c r="H69" s="99">
        <f t="shared" si="12"/>
        <v>7.7689842148810593</v>
      </c>
      <c r="I69" s="99">
        <f t="shared" si="12"/>
        <v>7.759730901500058</v>
      </c>
      <c r="J69" s="99">
        <f t="shared" si="12"/>
        <v>7.7555212109857017</v>
      </c>
      <c r="K69" s="99">
        <f t="shared" si="12"/>
        <v>7.7477104152558596</v>
      </c>
      <c r="L69" s="99">
        <f t="shared" si="12"/>
        <v>7.835669893409321</v>
      </c>
      <c r="M69" s="99">
        <f t="shared" si="12"/>
        <v>7.8937997966396978</v>
      </c>
      <c r="N69" s="99">
        <f t="shared" si="12"/>
        <v>7.8751078515771846</v>
      </c>
      <c r="O69" s="99">
        <f t="shared" si="12"/>
        <v>7.8992666865047045</v>
      </c>
      <c r="P69" s="99">
        <f t="shared" si="12"/>
        <v>7.9271711749221074</v>
      </c>
      <c r="Q69" s="99">
        <f t="shared" si="12"/>
        <v>7.9901208365121139</v>
      </c>
      <c r="R69" s="99">
        <f t="shared" si="12"/>
        <v>8.0315424417686234</v>
      </c>
      <c r="S69" s="99">
        <f t="shared" si="12"/>
        <v>8.0656232185053796</v>
      </c>
      <c r="T69" s="99">
        <f t="shared" si="12"/>
        <v>8.0918939407854964</v>
      </c>
      <c r="U69" s="99">
        <f t="shared" si="12"/>
        <v>8.0961621918828133</v>
      </c>
      <c r="V69" s="99">
        <f t="shared" si="12"/>
        <v>8.0979516253925254</v>
      </c>
      <c r="W69" s="99">
        <f t="shared" si="12"/>
        <v>8.0886278910573317</v>
      </c>
      <c r="X69" s="99">
        <f t="shared" si="12"/>
        <v>8.0755903779799407</v>
      </c>
      <c r="Y69" s="99">
        <f t="shared" si="12"/>
        <v>8.0308664006083657</v>
      </c>
      <c r="Z69" s="99">
        <f t="shared" si="12"/>
        <v>7.9642459541218837</v>
      </c>
      <c r="AA69" s="99">
        <f t="shared" si="12"/>
        <v>7.9359315416237548</v>
      </c>
      <c r="AB69" s="99">
        <f t="shared" si="12"/>
        <v>7.8726401530876116</v>
      </c>
      <c r="AC69" s="99">
        <f t="shared" si="12"/>
        <v>7.7906560782157523</v>
      </c>
    </row>
    <row r="70" spans="1:29" x14ac:dyDescent="0.25">
      <c r="A70" t="s">
        <v>198</v>
      </c>
      <c r="B70" s="99">
        <v>11.03</v>
      </c>
      <c r="C70" s="99">
        <f t="shared" si="9"/>
        <v>10.551334075422915</v>
      </c>
      <c r="D70" s="99">
        <f t="shared" si="12"/>
        <v>10.099785724694561</v>
      </c>
      <c r="E70" s="99">
        <f t="shared" si="12"/>
        <v>9.8483500311653138</v>
      </c>
      <c r="F70" s="99">
        <f t="shared" si="12"/>
        <v>9.6658883347028102</v>
      </c>
      <c r="G70" s="99">
        <f t="shared" si="12"/>
        <v>9.5124207860189998</v>
      </c>
      <c r="H70" s="99">
        <f t="shared" si="12"/>
        <v>9.4374334680768808</v>
      </c>
      <c r="I70" s="99">
        <f t="shared" si="12"/>
        <v>9.4261929343111923</v>
      </c>
      <c r="J70" s="99">
        <f t="shared" si="12"/>
        <v>9.421079180305318</v>
      </c>
      <c r="K70" s="99">
        <f t="shared" si="12"/>
        <v>9.4115909559771058</v>
      </c>
      <c r="L70" s="99">
        <f t="shared" si="12"/>
        <v>9.5184404101657272</v>
      </c>
      <c r="M70" s="99">
        <f t="shared" si="12"/>
        <v>9.5890541582528481</v>
      </c>
      <c r="N70" s="99">
        <f t="shared" si="12"/>
        <v>9.5663479738872628</v>
      </c>
      <c r="O70" s="99">
        <f t="shared" si="12"/>
        <v>9.5956951048619921</v>
      </c>
      <c r="P70" s="99">
        <f t="shared" si="12"/>
        <v>9.6295922972897401</v>
      </c>
      <c r="Q70" s="99">
        <f t="shared" si="12"/>
        <v>9.7060608840009479</v>
      </c>
      <c r="R70" s="99">
        <f t="shared" si="12"/>
        <v>9.7563780983158495</v>
      </c>
      <c r="S70" s="99">
        <f t="shared" si="12"/>
        <v>9.797777984594088</v>
      </c>
      <c r="T70" s="99">
        <f t="shared" si="12"/>
        <v>9.8296905470114559</v>
      </c>
      <c r="U70" s="99">
        <f t="shared" si="12"/>
        <v>9.8348754379369421</v>
      </c>
      <c r="V70" s="99">
        <f t="shared" si="12"/>
        <v>9.8370491660880557</v>
      </c>
      <c r="W70" s="99">
        <f t="shared" si="12"/>
        <v>9.8257230879253701</v>
      </c>
      <c r="X70" s="99">
        <f t="shared" si="12"/>
        <v>9.8098856684051476</v>
      </c>
      <c r="Y70" s="99">
        <f t="shared" si="12"/>
        <v>9.7555568721046555</v>
      </c>
      <c r="Z70" s="99">
        <f t="shared" si="12"/>
        <v>9.6746291711414507</v>
      </c>
      <c r="AA70" s="99">
        <f t="shared" si="12"/>
        <v>9.6402340202764325</v>
      </c>
      <c r="AB70" s="99">
        <f t="shared" si="12"/>
        <v>9.5633503181229464</v>
      </c>
      <c r="AC70" s="99">
        <f t="shared" si="12"/>
        <v>9.4637595311365352</v>
      </c>
    </row>
    <row r="71" spans="1:29" x14ac:dyDescent="0.25">
      <c r="A71" t="s">
        <v>195</v>
      </c>
      <c r="B71" s="99">
        <v>9.99</v>
      </c>
      <c r="C71" s="99">
        <f t="shared" si="9"/>
        <v>9.5564666739324498</v>
      </c>
      <c r="D71" s="99">
        <f t="shared" si="12"/>
        <v>9.1474940516499252</v>
      </c>
      <c r="E71" s="99">
        <f t="shared" si="12"/>
        <v>8.919765803385447</v>
      </c>
      <c r="F71" s="99">
        <f t="shared" si="12"/>
        <v>8.7545081109411669</v>
      </c>
      <c r="G71" s="99">
        <f t="shared" si="12"/>
        <v>8.6155107572375176</v>
      </c>
      <c r="H71" s="99">
        <f t="shared" si="12"/>
        <v>8.5475938663724431</v>
      </c>
      <c r="I71" s="99">
        <f t="shared" si="12"/>
        <v>8.5374131834785878</v>
      </c>
      <c r="J71" s="99">
        <f t="shared" si="12"/>
        <v>8.5327815966681904</v>
      </c>
      <c r="K71" s="99">
        <f t="shared" si="12"/>
        <v>8.5241880009257756</v>
      </c>
      <c r="L71" s="99">
        <f t="shared" si="12"/>
        <v>8.6209628012289787</v>
      </c>
      <c r="M71" s="99">
        <f t="shared" si="12"/>
        <v>8.6849184987258354</v>
      </c>
      <c r="N71" s="99">
        <f t="shared" si="12"/>
        <v>8.6643532419885556</v>
      </c>
      <c r="O71" s="99">
        <f t="shared" si="12"/>
        <v>8.690933281738106</v>
      </c>
      <c r="P71" s="99">
        <f t="shared" si="12"/>
        <v>8.7216343653603357</v>
      </c>
      <c r="Q71" s="99">
        <f t="shared" si="12"/>
        <v>8.7908928586735708</v>
      </c>
      <c r="R71" s="99">
        <f t="shared" si="12"/>
        <v>8.8364657481573285</v>
      </c>
      <c r="S71" s="99">
        <f t="shared" si="12"/>
        <v>8.8739621093467775</v>
      </c>
      <c r="T71" s="99">
        <f t="shared" si="12"/>
        <v>8.9028656903576113</v>
      </c>
      <c r="U71" s="99">
        <f t="shared" si="12"/>
        <v>8.9075617067080728</v>
      </c>
      <c r="V71" s="99">
        <f t="shared" si="12"/>
        <v>8.9095304777171069</v>
      </c>
      <c r="W71" s="99">
        <f t="shared" si="12"/>
        <v>8.8992723162624152</v>
      </c>
      <c r="X71" s="99">
        <f t="shared" si="12"/>
        <v>8.8849281801783704</v>
      </c>
      <c r="Y71" s="99">
        <f t="shared" si="12"/>
        <v>8.8357219539733016</v>
      </c>
      <c r="Z71" s="99">
        <f t="shared" si="12"/>
        <v>8.7624247887310158</v>
      </c>
      <c r="AA71" s="99">
        <f t="shared" si="12"/>
        <v>8.731272698328338</v>
      </c>
      <c r="AB71" s="99">
        <f t="shared" si="12"/>
        <v>8.6616382301041011</v>
      </c>
      <c r="AC71" s="99">
        <f t="shared" si="12"/>
        <v>8.5714376895787847</v>
      </c>
    </row>
    <row r="72" spans="1:29" x14ac:dyDescent="0.25">
      <c r="A72" t="s">
        <v>199</v>
      </c>
      <c r="B72" s="99">
        <v>10.29</v>
      </c>
      <c r="C72" s="99">
        <f t="shared" si="9"/>
        <v>9.8434476551316212</v>
      </c>
      <c r="D72" s="99">
        <f t="shared" si="12"/>
        <v>9.4221935727204915</v>
      </c>
      <c r="E72" s="99">
        <f t="shared" si="12"/>
        <v>9.1876266383219463</v>
      </c>
      <c r="F72" s="99">
        <f t="shared" si="12"/>
        <v>9.017406252410872</v>
      </c>
      <c r="G72" s="99">
        <f t="shared" si="12"/>
        <v>8.8742348040014054</v>
      </c>
      <c r="H72" s="99">
        <f t="shared" si="12"/>
        <v>8.8042783668641071</v>
      </c>
      <c r="I72" s="99">
        <f t="shared" si="12"/>
        <v>8.7937919577572234</v>
      </c>
      <c r="J72" s="99">
        <f t="shared" si="12"/>
        <v>8.7890212842558224</v>
      </c>
      <c r="K72" s="99">
        <f t="shared" si="12"/>
        <v>8.7801696225751975</v>
      </c>
      <c r="L72" s="99">
        <f t="shared" si="12"/>
        <v>8.8798505730376558</v>
      </c>
      <c r="M72" s="99">
        <f t="shared" si="12"/>
        <v>8.9457268620509343</v>
      </c>
      <c r="N72" s="99">
        <f t="shared" si="12"/>
        <v>8.9245440300362588</v>
      </c>
      <c r="O72" s="99">
        <f t="shared" si="12"/>
        <v>8.9519222691776879</v>
      </c>
      <c r="P72" s="99">
        <f t="shared" si="12"/>
        <v>8.9835453072630482</v>
      </c>
      <c r="Q72" s="99">
        <f t="shared" si="12"/>
        <v>9.054883635210313</v>
      </c>
      <c r="R72" s="99">
        <f t="shared" si="12"/>
        <v>9.1018250799338247</v>
      </c>
      <c r="S72" s="99">
        <f t="shared" si="12"/>
        <v>9.1404474579758084</v>
      </c>
      <c r="T72" s="99">
        <f t="shared" si="12"/>
        <v>9.170219014392373</v>
      </c>
      <c r="U72" s="99">
        <f t="shared" si="12"/>
        <v>9.1750560522548614</v>
      </c>
      <c r="V72" s="99">
        <f t="shared" si="12"/>
        <v>9.1770839455164186</v>
      </c>
      <c r="W72" s="99">
        <f t="shared" si="12"/>
        <v>9.1665177311651895</v>
      </c>
      <c r="X72" s="99">
        <f t="shared" si="12"/>
        <v>9.1517428402437861</v>
      </c>
      <c r="Y72" s="99">
        <f t="shared" si="12"/>
        <v>9.1010589495881149</v>
      </c>
      <c r="Z72" s="99">
        <f t="shared" si="12"/>
        <v>9.0255606682724867</v>
      </c>
      <c r="AA72" s="99">
        <f t="shared" si="12"/>
        <v>8.9934730796595197</v>
      </c>
      <c r="AB72" s="99">
        <f t="shared" si="12"/>
        <v>8.9217474862633832</v>
      </c>
      <c r="AC72" s="99">
        <f t="shared" si="12"/>
        <v>8.8288382207973655</v>
      </c>
    </row>
    <row r="73" spans="1:29" x14ac:dyDescent="0.25">
      <c r="A73" t="s">
        <v>157</v>
      </c>
      <c r="B73" s="99">
        <v>10.15</v>
      </c>
      <c r="C73" s="99">
        <f t="shared" si="9"/>
        <v>9.709523197238676</v>
      </c>
      <c r="D73" s="99">
        <f t="shared" si="12"/>
        <v>9.2940004628875617</v>
      </c>
      <c r="E73" s="99">
        <f t="shared" si="12"/>
        <v>9.0626249153515808</v>
      </c>
      <c r="F73" s="99">
        <f t="shared" si="12"/>
        <v>8.8947204530583441</v>
      </c>
      <c r="G73" s="99">
        <f t="shared" si="12"/>
        <v>8.753496915511592</v>
      </c>
      <c r="H73" s="99">
        <f t="shared" si="12"/>
        <v>8.6844922666346651</v>
      </c>
      <c r="I73" s="99">
        <f t="shared" si="12"/>
        <v>8.6741485297605276</v>
      </c>
      <c r="J73" s="99">
        <f t="shared" si="12"/>
        <v>8.6694427633815945</v>
      </c>
      <c r="K73" s="99">
        <f t="shared" si="12"/>
        <v>8.6607115324721331</v>
      </c>
      <c r="L73" s="99">
        <f t="shared" si="12"/>
        <v>8.7590362795269403</v>
      </c>
      <c r="M73" s="99">
        <f t="shared" si="12"/>
        <v>8.8240162924992216</v>
      </c>
      <c r="N73" s="99">
        <f t="shared" si="12"/>
        <v>8.8031216622806632</v>
      </c>
      <c r="O73" s="99">
        <f t="shared" si="12"/>
        <v>8.8301274083725509</v>
      </c>
      <c r="P73" s="99">
        <f t="shared" si="12"/>
        <v>8.8613202010417833</v>
      </c>
      <c r="Q73" s="99">
        <f t="shared" si="12"/>
        <v>8.9316879394931679</v>
      </c>
      <c r="R73" s="99">
        <f t="shared" si="12"/>
        <v>8.9779907251047941</v>
      </c>
      <c r="S73" s="99">
        <f t="shared" si="12"/>
        <v>9.016087628615594</v>
      </c>
      <c r="T73" s="99">
        <f t="shared" si="12"/>
        <v>9.0454541298428168</v>
      </c>
      <c r="U73" s="99">
        <f t="shared" si="12"/>
        <v>9.0502253576663616</v>
      </c>
      <c r="V73" s="99">
        <f t="shared" si="12"/>
        <v>9.0522256605434066</v>
      </c>
      <c r="W73" s="99">
        <f t="shared" si="12"/>
        <v>9.0418032042105629</v>
      </c>
      <c r="X73" s="99">
        <f t="shared" si="12"/>
        <v>9.0272293322132597</v>
      </c>
      <c r="Y73" s="99">
        <f t="shared" si="12"/>
        <v>8.9772350183012026</v>
      </c>
      <c r="Z73" s="99">
        <f t="shared" si="12"/>
        <v>8.9027639244864663</v>
      </c>
      <c r="AA73" s="99">
        <f t="shared" si="12"/>
        <v>8.8711129017049686</v>
      </c>
      <c r="AB73" s="99">
        <f t="shared" si="12"/>
        <v>8.8003631667223843</v>
      </c>
      <c r="AC73" s="99">
        <f t="shared" si="12"/>
        <v>8.7087179728953625</v>
      </c>
    </row>
    <row r="74" spans="1:29" x14ac:dyDescent="0.25">
      <c r="A74" t="s">
        <v>200</v>
      </c>
      <c r="B74" s="99">
        <v>8.91</v>
      </c>
      <c r="C74" s="99">
        <f t="shared" si="9"/>
        <v>8.5233351416154282</v>
      </c>
      <c r="D74" s="99">
        <f t="shared" si="12"/>
        <v>8.1585757757958781</v>
      </c>
      <c r="E74" s="99">
        <f t="shared" si="12"/>
        <v>7.9554667976140472</v>
      </c>
      <c r="F74" s="99">
        <f t="shared" si="12"/>
        <v>7.8080748016502302</v>
      </c>
      <c r="G74" s="99">
        <f t="shared" si="12"/>
        <v>7.684104188887515</v>
      </c>
      <c r="H74" s="99">
        <f t="shared" si="12"/>
        <v>7.6235296646024491</v>
      </c>
      <c r="I74" s="99">
        <f t="shared" si="12"/>
        <v>7.614449596075497</v>
      </c>
      <c r="J74" s="99">
        <f t="shared" si="12"/>
        <v>7.6103187213527095</v>
      </c>
      <c r="K74" s="99">
        <f t="shared" si="12"/>
        <v>7.6026541629878528</v>
      </c>
      <c r="L74" s="99">
        <f t="shared" si="12"/>
        <v>7.6889668227177372</v>
      </c>
      <c r="M74" s="99">
        <f t="shared" si="12"/>
        <v>7.7460083907554749</v>
      </c>
      <c r="N74" s="99">
        <f t="shared" si="12"/>
        <v>7.7276664050168193</v>
      </c>
      <c r="O74" s="99">
        <f t="shared" si="12"/>
        <v>7.7513729269556082</v>
      </c>
      <c r="P74" s="99">
        <f t="shared" si="12"/>
        <v>7.7787549745105702</v>
      </c>
      <c r="Q74" s="99">
        <f t="shared" si="12"/>
        <v>7.8405260631412919</v>
      </c>
      <c r="R74" s="99">
        <f t="shared" si="12"/>
        <v>7.8811721537619421</v>
      </c>
      <c r="S74" s="99">
        <f t="shared" si="12"/>
        <v>7.9146148542822603</v>
      </c>
      <c r="T74" s="99">
        <f t="shared" si="12"/>
        <v>7.9403937238324636</v>
      </c>
      <c r="U74" s="99">
        <f t="shared" si="12"/>
        <v>7.9445820627396335</v>
      </c>
      <c r="V74" s="99">
        <f t="shared" si="12"/>
        <v>7.9463379936395819</v>
      </c>
      <c r="W74" s="99">
        <f t="shared" si="12"/>
        <v>7.9371888226124252</v>
      </c>
      <c r="X74" s="99">
        <f t="shared" si="12"/>
        <v>7.9243954039428717</v>
      </c>
      <c r="Y74" s="99">
        <f t="shared" si="12"/>
        <v>7.8805087697599712</v>
      </c>
      <c r="Z74" s="99">
        <f t="shared" si="12"/>
        <v>7.8151356223817157</v>
      </c>
      <c r="AA74" s="99">
        <f t="shared" si="12"/>
        <v>7.7873513255360853</v>
      </c>
      <c r="AB74" s="99">
        <f t="shared" si="12"/>
        <v>7.7252449079306844</v>
      </c>
      <c r="AC74" s="99">
        <f t="shared" si="12"/>
        <v>7.6447957771918889</v>
      </c>
    </row>
    <row r="75" spans="1:29" x14ac:dyDescent="0.25">
      <c r="A75" t="s">
        <v>203</v>
      </c>
      <c r="B75" s="99">
        <v>12.83</v>
      </c>
      <c r="C75" s="99">
        <f t="shared" si="9"/>
        <v>12.273219962617953</v>
      </c>
      <c r="D75" s="99">
        <f t="shared" si="12"/>
        <v>11.747982851117971</v>
      </c>
      <c r="E75" s="99">
        <f t="shared" si="12"/>
        <v>11.455515040784313</v>
      </c>
      <c r="F75" s="99">
        <f t="shared" si="12"/>
        <v>11.243277183521039</v>
      </c>
      <c r="G75" s="99">
        <f t="shared" si="12"/>
        <v>11.064765066602337</v>
      </c>
      <c r="H75" s="99">
        <f t="shared" si="12"/>
        <v>10.97754047102687</v>
      </c>
      <c r="I75" s="99">
        <f t="shared" si="12"/>
        <v>10.964465579983012</v>
      </c>
      <c r="J75" s="99">
        <f t="shared" si="12"/>
        <v>10.958517305831117</v>
      </c>
      <c r="K75" s="99">
        <f t="shared" si="12"/>
        <v>10.947480685873643</v>
      </c>
      <c r="L75" s="99">
        <f t="shared" si="12"/>
        <v>11.071767041017797</v>
      </c>
      <c r="M75" s="99">
        <f t="shared" si="12"/>
        <v>11.15390433820345</v>
      </c>
      <c r="N75" s="99">
        <f t="shared" si="12"/>
        <v>11.127492702173489</v>
      </c>
      <c r="O75" s="99">
        <f t="shared" si="12"/>
        <v>11.161629029499489</v>
      </c>
      <c r="P75" s="99">
        <f t="shared" si="12"/>
        <v>11.201057948706017</v>
      </c>
      <c r="Q75" s="99">
        <f t="shared" si="12"/>
        <v>11.290005543221412</v>
      </c>
      <c r="R75" s="99">
        <f t="shared" si="12"/>
        <v>11.348534088974828</v>
      </c>
      <c r="S75" s="99">
        <f t="shared" si="12"/>
        <v>11.396690076368284</v>
      </c>
      <c r="T75" s="99">
        <f t="shared" si="12"/>
        <v>11.433810491220035</v>
      </c>
      <c r="U75" s="99">
        <f t="shared" si="12"/>
        <v>11.439841511217676</v>
      </c>
      <c r="V75" s="99">
        <f t="shared" si="12"/>
        <v>11.442369972883933</v>
      </c>
      <c r="W75" s="99">
        <f t="shared" si="12"/>
        <v>11.429195577342021</v>
      </c>
      <c r="X75" s="99">
        <f t="shared" si="12"/>
        <v>11.410773628797648</v>
      </c>
      <c r="Y75" s="99">
        <f t="shared" si="12"/>
        <v>11.347578845793539</v>
      </c>
      <c r="Z75" s="99">
        <f t="shared" si="12"/>
        <v>11.253444448390283</v>
      </c>
      <c r="AA75" s="99">
        <f t="shared" si="12"/>
        <v>11.213436308263521</v>
      </c>
      <c r="AB75" s="99">
        <f t="shared" si="12"/>
        <v>11.124005855078639</v>
      </c>
      <c r="AC75" s="99">
        <f t="shared" si="12"/>
        <v>11.008162718448029</v>
      </c>
    </row>
    <row r="76" spans="1:29" x14ac:dyDescent="0.25">
      <c r="A76" t="s">
        <v>202</v>
      </c>
      <c r="B76" s="99">
        <v>9.9700000000000006</v>
      </c>
      <c r="C76" s="99">
        <f t="shared" si="9"/>
        <v>9.5373346085191724</v>
      </c>
      <c r="D76" s="99">
        <f t="shared" si="12"/>
        <v>9.1291807502452205</v>
      </c>
      <c r="E76" s="99">
        <f t="shared" si="12"/>
        <v>8.9019084143896805</v>
      </c>
      <c r="F76" s="99">
        <f t="shared" si="12"/>
        <v>8.7369815681765211</v>
      </c>
      <c r="G76" s="99">
        <f t="shared" si="12"/>
        <v>8.5982624874532583</v>
      </c>
      <c r="H76" s="99">
        <f t="shared" si="12"/>
        <v>8.5304815663396649</v>
      </c>
      <c r="I76" s="99">
        <f t="shared" si="12"/>
        <v>8.5203212651933455</v>
      </c>
      <c r="J76" s="99">
        <f t="shared" si="12"/>
        <v>8.5156989508290142</v>
      </c>
      <c r="K76" s="99">
        <f t="shared" si="12"/>
        <v>8.5071225594824806</v>
      </c>
      <c r="L76" s="99">
        <f t="shared" si="12"/>
        <v>8.6037036164417326</v>
      </c>
      <c r="M76" s="99">
        <f t="shared" si="12"/>
        <v>8.6675312745041619</v>
      </c>
      <c r="N76" s="99">
        <f t="shared" si="12"/>
        <v>8.6470071894520419</v>
      </c>
      <c r="O76" s="99">
        <f t="shared" si="12"/>
        <v>8.6735340159088015</v>
      </c>
      <c r="P76" s="99">
        <f t="shared" si="12"/>
        <v>8.7041736359001565</v>
      </c>
      <c r="Q76" s="99">
        <f t="shared" si="12"/>
        <v>8.7732934735711208</v>
      </c>
      <c r="R76" s="99">
        <f t="shared" si="12"/>
        <v>8.8187751260388954</v>
      </c>
      <c r="S76" s="99">
        <f t="shared" si="12"/>
        <v>8.8561964194381755</v>
      </c>
      <c r="T76" s="99">
        <f t="shared" si="12"/>
        <v>8.8850421354219602</v>
      </c>
      <c r="U76" s="99">
        <f t="shared" si="12"/>
        <v>8.8897287503382874</v>
      </c>
      <c r="V76" s="99">
        <f t="shared" si="12"/>
        <v>8.8916935798638193</v>
      </c>
      <c r="W76" s="99">
        <f t="shared" si="12"/>
        <v>8.8814559552688976</v>
      </c>
      <c r="X76" s="99">
        <f t="shared" si="12"/>
        <v>8.867140536174011</v>
      </c>
      <c r="Y76" s="99">
        <f t="shared" si="12"/>
        <v>8.8180328209323147</v>
      </c>
      <c r="Z76" s="99">
        <f t="shared" si="12"/>
        <v>8.7448823967615841</v>
      </c>
      <c r="AA76" s="99">
        <f t="shared" si="12"/>
        <v>8.7137926729062603</v>
      </c>
      <c r="AB76" s="99">
        <f t="shared" si="12"/>
        <v>8.6442976130268168</v>
      </c>
      <c r="AC76" s="99">
        <f t="shared" si="12"/>
        <v>8.5542776541642134</v>
      </c>
    </row>
    <row r="77" spans="1:29" x14ac:dyDescent="0.25">
      <c r="A77" t="s">
        <v>201</v>
      </c>
      <c r="B77" s="99">
        <v>16.8</v>
      </c>
      <c r="C77" s="99">
        <f t="shared" si="9"/>
        <v>16.07093494715367</v>
      </c>
      <c r="D77" s="99">
        <f t="shared" si="12"/>
        <v>15.383173179951825</v>
      </c>
      <c r="E77" s="99">
        <f t="shared" si="12"/>
        <v>15.000206756443996</v>
      </c>
      <c r="F77" s="99">
        <f t="shared" si="12"/>
        <v>14.722295922303465</v>
      </c>
      <c r="G77" s="99">
        <f t="shared" si="12"/>
        <v>14.488546618777807</v>
      </c>
      <c r="H77" s="99">
        <f t="shared" si="12"/>
        <v>14.374332027533237</v>
      </c>
      <c r="I77" s="99">
        <f t="shared" ref="D77:AC86" si="13">$B77*I$108</f>
        <v>14.357211359603632</v>
      </c>
      <c r="J77" s="99">
        <f t="shared" si="13"/>
        <v>14.349422504907466</v>
      </c>
      <c r="K77" s="99">
        <f t="shared" si="13"/>
        <v>14.33497081236767</v>
      </c>
      <c r="L77" s="99">
        <f t="shared" si="13"/>
        <v>14.497715221285969</v>
      </c>
      <c r="M77" s="99">
        <f t="shared" si="13"/>
        <v>14.605268346205609</v>
      </c>
      <c r="N77" s="99">
        <f t="shared" si="13"/>
        <v>14.570684130671443</v>
      </c>
      <c r="O77" s="99">
        <f t="shared" si="13"/>
        <v>14.615383296616635</v>
      </c>
      <c r="P77" s="99">
        <f t="shared" si="13"/>
        <v>14.667012746551917</v>
      </c>
      <c r="Q77" s="99">
        <f t="shared" si="13"/>
        <v>14.783483486057657</v>
      </c>
      <c r="R77" s="99">
        <f t="shared" si="13"/>
        <v>14.860122579483797</v>
      </c>
      <c r="S77" s="99">
        <f t="shared" si="13"/>
        <v>14.923179523225812</v>
      </c>
      <c r="T77" s="99">
        <f t="shared" si="13"/>
        <v>14.971786145946734</v>
      </c>
      <c r="U77" s="99">
        <f t="shared" si="13"/>
        <v>14.979683350620185</v>
      </c>
      <c r="V77" s="99">
        <f t="shared" si="13"/>
        <v>14.982994196761501</v>
      </c>
      <c r="W77" s="99">
        <f t="shared" si="13"/>
        <v>14.965743234555415</v>
      </c>
      <c r="X77" s="99">
        <f t="shared" si="13"/>
        <v>14.941620963663327</v>
      </c>
      <c r="Y77" s="99">
        <f t="shared" si="13"/>
        <v>14.858871754429577</v>
      </c>
      <c r="Z77" s="99">
        <f t="shared" si="13"/>
        <v>14.735609254322428</v>
      </c>
      <c r="AA77" s="99">
        <f t="shared" si="13"/>
        <v>14.683221354546156</v>
      </c>
      <c r="AB77" s="99">
        <f t="shared" si="13"/>
        <v>14.56611834491981</v>
      </c>
      <c r="AC77" s="99">
        <f t="shared" si="13"/>
        <v>14.414429748240599</v>
      </c>
    </row>
    <row r="78" spans="1:29" x14ac:dyDescent="0.25">
      <c r="A78" t="s">
        <v>204</v>
      </c>
      <c r="B78" s="99">
        <v>11.39</v>
      </c>
      <c r="C78" s="99">
        <f t="shared" si="9"/>
        <v>10.895711252861924</v>
      </c>
      <c r="D78" s="99">
        <f t="shared" si="13"/>
        <v>10.429425149979243</v>
      </c>
      <c r="E78" s="99">
        <f t="shared" si="13"/>
        <v>10.169783033089114</v>
      </c>
      <c r="F78" s="99">
        <f t="shared" si="13"/>
        <v>9.9813661044664563</v>
      </c>
      <c r="G78" s="99">
        <f t="shared" si="13"/>
        <v>9.8228896421356691</v>
      </c>
      <c r="H78" s="99">
        <f t="shared" si="13"/>
        <v>9.7454548686668794</v>
      </c>
      <c r="I78" s="99">
        <f t="shared" si="13"/>
        <v>9.7338474634455583</v>
      </c>
      <c r="J78" s="99">
        <f t="shared" si="13"/>
        <v>9.7285668054104786</v>
      </c>
      <c r="K78" s="99">
        <f t="shared" si="13"/>
        <v>9.7187689019564143</v>
      </c>
      <c r="L78" s="99">
        <f t="shared" si="13"/>
        <v>9.8291057363361425</v>
      </c>
      <c r="M78" s="99">
        <f t="shared" si="13"/>
        <v>9.9020241942429692</v>
      </c>
      <c r="N78" s="99">
        <f t="shared" si="13"/>
        <v>9.8785769195445088</v>
      </c>
      <c r="O78" s="99">
        <f t="shared" si="13"/>
        <v>9.9088818897894928</v>
      </c>
      <c r="P78" s="99">
        <f t="shared" si="13"/>
        <v>9.9438854275729955</v>
      </c>
      <c r="Q78" s="99">
        <f t="shared" si="13"/>
        <v>10.022849815845042</v>
      </c>
      <c r="R78" s="99">
        <f t="shared" si="13"/>
        <v>10.074809296447645</v>
      </c>
      <c r="S78" s="99">
        <f t="shared" si="13"/>
        <v>10.117560402948929</v>
      </c>
      <c r="T78" s="99">
        <f t="shared" si="13"/>
        <v>10.150514535853171</v>
      </c>
      <c r="U78" s="99">
        <f t="shared" si="13"/>
        <v>10.155868652593089</v>
      </c>
      <c r="V78" s="99">
        <f t="shared" si="13"/>
        <v>10.158113327447232</v>
      </c>
      <c r="W78" s="99">
        <f t="shared" si="13"/>
        <v>10.146417585808701</v>
      </c>
      <c r="X78" s="99">
        <f t="shared" si="13"/>
        <v>10.130063260483649</v>
      </c>
      <c r="Y78" s="99">
        <f t="shared" si="13"/>
        <v>10.073961266842433</v>
      </c>
      <c r="Z78" s="99">
        <f t="shared" si="13"/>
        <v>9.9903922265912168</v>
      </c>
      <c r="AA78" s="99">
        <f t="shared" si="13"/>
        <v>9.9548744778738509</v>
      </c>
      <c r="AB78" s="99">
        <f t="shared" si="13"/>
        <v>9.875481425514085</v>
      </c>
      <c r="AC78" s="99">
        <f t="shared" si="13"/>
        <v>9.7726401685988353</v>
      </c>
    </row>
    <row r="79" spans="1:29" x14ac:dyDescent="0.25">
      <c r="A79" t="s">
        <v>205</v>
      </c>
      <c r="B79" s="99">
        <v>10.34</v>
      </c>
      <c r="C79" s="99">
        <f t="shared" si="9"/>
        <v>9.8912778186648183</v>
      </c>
      <c r="D79" s="99">
        <f t="shared" si="13"/>
        <v>9.4679768262322543</v>
      </c>
      <c r="E79" s="99">
        <f t="shared" si="13"/>
        <v>9.2322701108113634</v>
      </c>
      <c r="F79" s="99">
        <f t="shared" si="13"/>
        <v>9.0612226093224901</v>
      </c>
      <c r="G79" s="99">
        <f t="shared" si="13"/>
        <v>8.9173554784620546</v>
      </c>
      <c r="H79" s="99">
        <f t="shared" si="13"/>
        <v>8.8470591169460508</v>
      </c>
      <c r="I79" s="99">
        <f t="shared" si="13"/>
        <v>8.8365217534703291</v>
      </c>
      <c r="J79" s="99">
        <f t="shared" si="13"/>
        <v>8.831727898853762</v>
      </c>
      <c r="K79" s="99">
        <f t="shared" si="13"/>
        <v>8.8228332261834339</v>
      </c>
      <c r="L79" s="99">
        <f t="shared" si="13"/>
        <v>8.9229985350057692</v>
      </c>
      <c r="M79" s="99">
        <f t="shared" si="13"/>
        <v>8.9891949226051189</v>
      </c>
      <c r="N79" s="99">
        <f t="shared" si="13"/>
        <v>8.967909161377543</v>
      </c>
      <c r="O79" s="99">
        <f t="shared" si="13"/>
        <v>8.9954204337509527</v>
      </c>
      <c r="P79" s="99">
        <f t="shared" si="13"/>
        <v>9.0271971309135015</v>
      </c>
      <c r="Q79" s="99">
        <f t="shared" si="13"/>
        <v>9.0988820979664382</v>
      </c>
      <c r="R79" s="99">
        <f t="shared" si="13"/>
        <v>9.1460516352299077</v>
      </c>
      <c r="S79" s="99">
        <f t="shared" si="13"/>
        <v>9.1848616827473144</v>
      </c>
      <c r="T79" s="99">
        <f t="shared" si="13"/>
        <v>9.2147779017314999</v>
      </c>
      <c r="U79" s="99">
        <f t="shared" si="13"/>
        <v>9.2196384431793277</v>
      </c>
      <c r="V79" s="99">
        <f t="shared" si="13"/>
        <v>9.2216761901496387</v>
      </c>
      <c r="W79" s="99">
        <f t="shared" si="13"/>
        <v>9.211058633648987</v>
      </c>
      <c r="X79" s="99">
        <f t="shared" si="13"/>
        <v>9.1962119502546908</v>
      </c>
      <c r="Y79" s="99">
        <f t="shared" si="13"/>
        <v>9.1452817821905832</v>
      </c>
      <c r="Z79" s="99">
        <f t="shared" si="13"/>
        <v>9.0694166481960661</v>
      </c>
      <c r="AA79" s="99">
        <f t="shared" si="13"/>
        <v>9.0371731432147158</v>
      </c>
      <c r="AB79" s="99">
        <f t="shared" si="13"/>
        <v>8.9650990289565975</v>
      </c>
      <c r="AC79" s="99">
        <f t="shared" si="13"/>
        <v>8.8717383093337965</v>
      </c>
    </row>
    <row r="80" spans="1:29" x14ac:dyDescent="0.25">
      <c r="A80" t="s">
        <v>207</v>
      </c>
      <c r="B80" s="99">
        <v>10.52</v>
      </c>
      <c r="C80" s="99">
        <f t="shared" si="9"/>
        <v>10.063466407384322</v>
      </c>
      <c r="D80" s="99">
        <f t="shared" si="13"/>
        <v>9.6327965388745955</v>
      </c>
      <c r="E80" s="99">
        <f t="shared" si="13"/>
        <v>9.3929866117732637</v>
      </c>
      <c r="F80" s="99">
        <f t="shared" si="13"/>
        <v>9.2189614942043114</v>
      </c>
      <c r="G80" s="99">
        <f t="shared" si="13"/>
        <v>9.0725899065203883</v>
      </c>
      <c r="H80" s="99">
        <f t="shared" si="13"/>
        <v>9.001069817241051</v>
      </c>
      <c r="I80" s="99">
        <f t="shared" si="13"/>
        <v>8.9903490180375112</v>
      </c>
      <c r="J80" s="99">
        <f t="shared" si="13"/>
        <v>8.9854717114063405</v>
      </c>
      <c r="K80" s="99">
        <f t="shared" si="13"/>
        <v>8.9764221991730881</v>
      </c>
      <c r="L80" s="99">
        <f t="shared" si="13"/>
        <v>9.0783311980909751</v>
      </c>
      <c r="M80" s="99">
        <f t="shared" si="13"/>
        <v>9.1456799406001785</v>
      </c>
      <c r="N80" s="99">
        <f t="shared" si="13"/>
        <v>9.124023634206166</v>
      </c>
      <c r="O80" s="99">
        <f t="shared" si="13"/>
        <v>9.1520138262147022</v>
      </c>
      <c r="P80" s="99">
        <f t="shared" si="13"/>
        <v>9.1843436960551283</v>
      </c>
      <c r="Q80" s="99">
        <f t="shared" si="13"/>
        <v>9.2572765638884835</v>
      </c>
      <c r="R80" s="99">
        <f t="shared" si="13"/>
        <v>9.3052672342958047</v>
      </c>
      <c r="S80" s="99">
        <f t="shared" si="13"/>
        <v>9.3447528919247329</v>
      </c>
      <c r="T80" s="99">
        <f t="shared" si="13"/>
        <v>9.3751898961523583</v>
      </c>
      <c r="U80" s="99">
        <f t="shared" si="13"/>
        <v>9.3801350505074002</v>
      </c>
      <c r="V80" s="99">
        <f t="shared" si="13"/>
        <v>9.382208270829226</v>
      </c>
      <c r="W80" s="99">
        <f t="shared" si="13"/>
        <v>9.3714058825906523</v>
      </c>
      <c r="X80" s="99">
        <f t="shared" si="13"/>
        <v>9.3563007462939396</v>
      </c>
      <c r="Y80" s="99">
        <f t="shared" si="13"/>
        <v>9.3044839795594729</v>
      </c>
      <c r="Z80" s="99">
        <f t="shared" si="13"/>
        <v>9.2272981759209483</v>
      </c>
      <c r="AA80" s="99">
        <f t="shared" si="13"/>
        <v>9.1944933720134259</v>
      </c>
      <c r="AB80" s="99">
        <f t="shared" si="13"/>
        <v>9.1211645826521668</v>
      </c>
      <c r="AC80" s="99">
        <f t="shared" si="13"/>
        <v>9.0261786280649456</v>
      </c>
    </row>
    <row r="81" spans="1:29" x14ac:dyDescent="0.25">
      <c r="A81" t="s">
        <v>206</v>
      </c>
      <c r="B81" s="99">
        <v>9.07</v>
      </c>
      <c r="C81" s="99">
        <f t="shared" si="9"/>
        <v>8.6763916649216544</v>
      </c>
      <c r="D81" s="99">
        <f t="shared" si="13"/>
        <v>8.3050821870335163</v>
      </c>
      <c r="E81" s="99">
        <f t="shared" si="13"/>
        <v>8.0983259095801809</v>
      </c>
      <c r="F81" s="99">
        <f t="shared" si="13"/>
        <v>7.9482871437674065</v>
      </c>
      <c r="G81" s="99">
        <f t="shared" si="13"/>
        <v>7.8220903471615895</v>
      </c>
      <c r="H81" s="99">
        <f t="shared" si="13"/>
        <v>7.7604280648646702</v>
      </c>
      <c r="I81" s="99">
        <f t="shared" si="13"/>
        <v>7.7511849423574368</v>
      </c>
      <c r="J81" s="99">
        <f t="shared" si="13"/>
        <v>7.7469798880661145</v>
      </c>
      <c r="K81" s="99">
        <f t="shared" si="13"/>
        <v>7.7391776945342121</v>
      </c>
      <c r="L81" s="99">
        <f t="shared" si="13"/>
        <v>7.8270403010156988</v>
      </c>
      <c r="M81" s="99">
        <f t="shared" si="13"/>
        <v>7.885106184528861</v>
      </c>
      <c r="N81" s="99">
        <f t="shared" si="13"/>
        <v>7.8664348253089287</v>
      </c>
      <c r="O81" s="99">
        <f t="shared" si="13"/>
        <v>7.8905670535900523</v>
      </c>
      <c r="P81" s="99">
        <f t="shared" si="13"/>
        <v>7.918440810192017</v>
      </c>
      <c r="Q81" s="99">
        <f t="shared" si="13"/>
        <v>7.9813211439608889</v>
      </c>
      <c r="R81" s="99">
        <f t="shared" si="13"/>
        <v>8.0226971307094068</v>
      </c>
      <c r="S81" s="99">
        <f t="shared" si="13"/>
        <v>8.0567403735510776</v>
      </c>
      <c r="T81" s="99">
        <f t="shared" si="13"/>
        <v>8.0829821633176699</v>
      </c>
      <c r="U81" s="99">
        <f t="shared" si="13"/>
        <v>8.0872457136979214</v>
      </c>
      <c r="V81" s="99">
        <f t="shared" si="13"/>
        <v>8.0890331764658825</v>
      </c>
      <c r="W81" s="99">
        <f t="shared" si="13"/>
        <v>8.0797197105605711</v>
      </c>
      <c r="X81" s="99">
        <f t="shared" si="13"/>
        <v>8.0666965559777601</v>
      </c>
      <c r="Y81" s="99">
        <f t="shared" si="13"/>
        <v>8.0220218340878731</v>
      </c>
      <c r="Z81" s="99">
        <f t="shared" si="13"/>
        <v>7.9554747581371679</v>
      </c>
      <c r="AA81" s="99">
        <f t="shared" si="13"/>
        <v>7.9271915289127159</v>
      </c>
      <c r="AB81" s="99">
        <f t="shared" si="13"/>
        <v>7.8639698445489685</v>
      </c>
      <c r="AC81" s="99">
        <f t="shared" si="13"/>
        <v>7.7820760605084667</v>
      </c>
    </row>
    <row r="82" spans="1:29" x14ac:dyDescent="0.25">
      <c r="A82" t="s">
        <v>208</v>
      </c>
      <c r="B82" s="99">
        <v>10.41</v>
      </c>
      <c r="C82" s="99">
        <f t="shared" si="9"/>
        <v>9.9582400476112927</v>
      </c>
      <c r="D82" s="99">
        <f t="shared" si="13"/>
        <v>9.5320733811487202</v>
      </c>
      <c r="E82" s="99">
        <f t="shared" si="13"/>
        <v>9.294770972296547</v>
      </c>
      <c r="F82" s="99">
        <f t="shared" si="13"/>
        <v>9.1225655089987541</v>
      </c>
      <c r="G82" s="99">
        <f t="shared" si="13"/>
        <v>8.977724422706963</v>
      </c>
      <c r="H82" s="99">
        <f t="shared" si="13"/>
        <v>8.9069521670607745</v>
      </c>
      <c r="I82" s="99">
        <f t="shared" si="13"/>
        <v>8.8963434674686788</v>
      </c>
      <c r="J82" s="99">
        <f t="shared" si="13"/>
        <v>8.8915171592908759</v>
      </c>
      <c r="K82" s="99">
        <f t="shared" si="13"/>
        <v>8.882562271234967</v>
      </c>
      <c r="L82" s="99">
        <f t="shared" si="13"/>
        <v>8.983405681761127</v>
      </c>
      <c r="M82" s="99">
        <f t="shared" si="13"/>
        <v>9.0500502073809752</v>
      </c>
      <c r="N82" s="99">
        <f t="shared" si="13"/>
        <v>9.0286203452553409</v>
      </c>
      <c r="O82" s="99">
        <f t="shared" si="13"/>
        <v>9.056317864153522</v>
      </c>
      <c r="P82" s="99">
        <f t="shared" si="13"/>
        <v>9.088309684024134</v>
      </c>
      <c r="Q82" s="99">
        <f t="shared" si="13"/>
        <v>9.1604799458250117</v>
      </c>
      <c r="R82" s="99">
        <f t="shared" si="13"/>
        <v>9.2079688126444239</v>
      </c>
      <c r="S82" s="99">
        <f t="shared" si="13"/>
        <v>9.2470415974274225</v>
      </c>
      <c r="T82" s="99">
        <f t="shared" si="13"/>
        <v>9.277160344006278</v>
      </c>
      <c r="U82" s="99">
        <f t="shared" si="13"/>
        <v>9.2820537904735776</v>
      </c>
      <c r="V82" s="99">
        <f t="shared" si="13"/>
        <v>9.2841053326361447</v>
      </c>
      <c r="W82" s="99">
        <f t="shared" si="13"/>
        <v>9.2734158971263003</v>
      </c>
      <c r="X82" s="99">
        <f t="shared" si="13"/>
        <v>9.2584687042699549</v>
      </c>
      <c r="Y82" s="99">
        <f t="shared" si="13"/>
        <v>9.2071937478340402</v>
      </c>
      <c r="Z82" s="99">
        <f t="shared" si="13"/>
        <v>9.1308150200890754</v>
      </c>
      <c r="AA82" s="99">
        <f t="shared" si="13"/>
        <v>9.0983532321919931</v>
      </c>
      <c r="AB82" s="99">
        <f t="shared" si="13"/>
        <v>9.0257911887270961</v>
      </c>
      <c r="AC82" s="99">
        <f t="shared" si="13"/>
        <v>8.9317984332847988</v>
      </c>
    </row>
    <row r="83" spans="1:29" x14ac:dyDescent="0.25">
      <c r="A83" t="s">
        <v>211</v>
      </c>
      <c r="B83" s="99">
        <v>8.85</v>
      </c>
      <c r="C83" s="99">
        <f t="shared" si="9"/>
        <v>8.4659389453755942</v>
      </c>
      <c r="D83" s="99">
        <f t="shared" si="13"/>
        <v>8.1036358715817656</v>
      </c>
      <c r="E83" s="99">
        <f t="shared" si="13"/>
        <v>7.9018946306267468</v>
      </c>
      <c r="F83" s="99">
        <f t="shared" si="13"/>
        <v>7.7554951733562891</v>
      </c>
      <c r="G83" s="99">
        <f t="shared" si="13"/>
        <v>7.6323593795347371</v>
      </c>
      <c r="H83" s="99">
        <f t="shared" si="13"/>
        <v>7.5721927645041154</v>
      </c>
      <c r="I83" s="99">
        <f t="shared" si="13"/>
        <v>7.5631738412197693</v>
      </c>
      <c r="J83" s="99">
        <f t="shared" si="13"/>
        <v>7.5590707838351827</v>
      </c>
      <c r="K83" s="99">
        <f t="shared" si="13"/>
        <v>7.551457838657968</v>
      </c>
      <c r="L83" s="99">
        <f t="shared" si="13"/>
        <v>7.6371892683560008</v>
      </c>
      <c r="M83" s="99">
        <f t="shared" si="13"/>
        <v>7.6938467180904544</v>
      </c>
      <c r="N83" s="99">
        <f t="shared" si="13"/>
        <v>7.6756282474072783</v>
      </c>
      <c r="O83" s="99">
        <f t="shared" si="13"/>
        <v>7.6991751294676911</v>
      </c>
      <c r="P83" s="99">
        <f t="shared" si="13"/>
        <v>7.7263727861300273</v>
      </c>
      <c r="Q83" s="99">
        <f t="shared" si="13"/>
        <v>7.7877279078339434</v>
      </c>
      <c r="R83" s="99">
        <f t="shared" si="13"/>
        <v>7.8281002874066425</v>
      </c>
      <c r="S83" s="99">
        <f t="shared" si="13"/>
        <v>7.8613177845564532</v>
      </c>
      <c r="T83" s="99">
        <f t="shared" si="13"/>
        <v>7.8869230590255102</v>
      </c>
      <c r="U83" s="99">
        <f t="shared" si="13"/>
        <v>7.8910831936302746</v>
      </c>
      <c r="V83" s="99">
        <f t="shared" si="13"/>
        <v>7.8928273000797189</v>
      </c>
      <c r="W83" s="99">
        <f t="shared" si="13"/>
        <v>7.8837397396318698</v>
      </c>
      <c r="X83" s="99">
        <f t="shared" si="13"/>
        <v>7.8710324719297873</v>
      </c>
      <c r="Y83" s="99">
        <f t="shared" si="13"/>
        <v>7.8274413706370085</v>
      </c>
      <c r="Z83" s="99">
        <f t="shared" si="13"/>
        <v>7.7625084464734213</v>
      </c>
      <c r="AA83" s="99">
        <f t="shared" si="13"/>
        <v>7.7349112492698486</v>
      </c>
      <c r="AB83" s="99">
        <f t="shared" si="13"/>
        <v>7.673223056698828</v>
      </c>
      <c r="AC83" s="99">
        <f t="shared" si="13"/>
        <v>7.5933156709481722</v>
      </c>
    </row>
    <row r="84" spans="1:29" x14ac:dyDescent="0.25">
      <c r="A84" t="s">
        <v>215</v>
      </c>
      <c r="B84" s="99">
        <v>8.0399999999999991</v>
      </c>
      <c r="C84" s="99">
        <f t="shared" si="9"/>
        <v>7.6910902961378271</v>
      </c>
      <c r="D84" s="99">
        <f t="shared" si="13"/>
        <v>7.3619471646912302</v>
      </c>
      <c r="E84" s="99">
        <f t="shared" si="13"/>
        <v>7.1786703762981974</v>
      </c>
      <c r="F84" s="99">
        <f t="shared" si="13"/>
        <v>7.0456701913880861</v>
      </c>
      <c r="G84" s="99">
        <f t="shared" si="13"/>
        <v>6.9338044532722352</v>
      </c>
      <c r="H84" s="99">
        <f t="shared" si="13"/>
        <v>6.8791446131766198</v>
      </c>
      <c r="I84" s="99">
        <f t="shared" si="13"/>
        <v>6.8709511506674517</v>
      </c>
      <c r="J84" s="99">
        <f t="shared" si="13"/>
        <v>6.8672236273485723</v>
      </c>
      <c r="K84" s="99">
        <f t="shared" si="13"/>
        <v>6.8603074602045266</v>
      </c>
      <c r="L84" s="99">
        <f t="shared" si="13"/>
        <v>6.9381922844725699</v>
      </c>
      <c r="M84" s="99">
        <f t="shared" si="13"/>
        <v>6.9896641371126833</v>
      </c>
      <c r="N84" s="99">
        <f t="shared" si="13"/>
        <v>6.9731131196784757</v>
      </c>
      <c r="O84" s="99">
        <f t="shared" si="13"/>
        <v>6.9945048633808167</v>
      </c>
      <c r="P84" s="99">
        <f t="shared" si="13"/>
        <v>7.0192132429927021</v>
      </c>
      <c r="Q84" s="99">
        <f t="shared" si="13"/>
        <v>7.0749528111847342</v>
      </c>
      <c r="R84" s="99">
        <f t="shared" si="13"/>
        <v>7.1116300916101016</v>
      </c>
      <c r="S84" s="99">
        <f t="shared" si="13"/>
        <v>7.1418073432580655</v>
      </c>
      <c r="T84" s="99">
        <f t="shared" si="13"/>
        <v>7.16506908413165</v>
      </c>
      <c r="U84" s="99">
        <f t="shared" si="13"/>
        <v>7.168848460653944</v>
      </c>
      <c r="V84" s="99">
        <f t="shared" si="13"/>
        <v>7.1704329370215749</v>
      </c>
      <c r="W84" s="99">
        <f t="shared" si="13"/>
        <v>7.162177119394376</v>
      </c>
      <c r="X84" s="99">
        <f t="shared" si="13"/>
        <v>7.1506328897531626</v>
      </c>
      <c r="Y84" s="99">
        <f t="shared" si="13"/>
        <v>7.1110314824770109</v>
      </c>
      <c r="Z84" s="99">
        <f t="shared" si="13"/>
        <v>7.0520415717114471</v>
      </c>
      <c r="AA84" s="99">
        <f t="shared" si="13"/>
        <v>7.0269702196756594</v>
      </c>
      <c r="AB84" s="99">
        <f t="shared" si="13"/>
        <v>6.9709280650687653</v>
      </c>
      <c r="AC84" s="99">
        <f t="shared" si="13"/>
        <v>6.8983342366580001</v>
      </c>
    </row>
    <row r="85" spans="1:29" x14ac:dyDescent="0.25">
      <c r="A85" t="s">
        <v>212</v>
      </c>
      <c r="B85" s="99">
        <v>15.93</v>
      </c>
      <c r="C85" s="99">
        <f t="shared" si="9"/>
        <v>15.238690101676069</v>
      </c>
      <c r="D85" s="99">
        <f t="shared" si="13"/>
        <v>14.586544568847177</v>
      </c>
      <c r="E85" s="99">
        <f t="shared" si="13"/>
        <v>14.223410335128145</v>
      </c>
      <c r="F85" s="99">
        <f t="shared" si="13"/>
        <v>13.959891312041321</v>
      </c>
      <c r="G85" s="99">
        <f t="shared" si="13"/>
        <v>13.738246883162526</v>
      </c>
      <c r="H85" s="99">
        <f t="shared" si="13"/>
        <v>13.629946976107409</v>
      </c>
      <c r="I85" s="99">
        <f t="shared" si="13"/>
        <v>13.613712914195586</v>
      </c>
      <c r="J85" s="99">
        <f t="shared" si="13"/>
        <v>13.606327410903329</v>
      </c>
      <c r="K85" s="99">
        <f t="shared" si="13"/>
        <v>13.592624109584344</v>
      </c>
      <c r="L85" s="99">
        <f t="shared" si="13"/>
        <v>13.746940683040803</v>
      </c>
      <c r="M85" s="99">
        <f t="shared" si="13"/>
        <v>13.848924092562818</v>
      </c>
      <c r="N85" s="99">
        <f t="shared" si="13"/>
        <v>13.816130845333101</v>
      </c>
      <c r="O85" s="99">
        <f t="shared" si="13"/>
        <v>13.858515233041844</v>
      </c>
      <c r="P85" s="99">
        <f t="shared" si="13"/>
        <v>13.90747101503405</v>
      </c>
      <c r="Q85" s="99">
        <f t="shared" si="13"/>
        <v>14.017910234101098</v>
      </c>
      <c r="R85" s="99">
        <f t="shared" si="13"/>
        <v>14.090580517331956</v>
      </c>
      <c r="S85" s="99">
        <f t="shared" si="13"/>
        <v>14.150372012201617</v>
      </c>
      <c r="T85" s="99">
        <f t="shared" si="13"/>
        <v>14.196461506245919</v>
      </c>
      <c r="U85" s="99">
        <f t="shared" si="13"/>
        <v>14.203949748534495</v>
      </c>
      <c r="V85" s="99">
        <f t="shared" si="13"/>
        <v>14.207089140143495</v>
      </c>
      <c r="W85" s="99">
        <f t="shared" si="13"/>
        <v>14.190731531337365</v>
      </c>
      <c r="X85" s="99">
        <f t="shared" si="13"/>
        <v>14.167858449473618</v>
      </c>
      <c r="Y85" s="99">
        <f t="shared" si="13"/>
        <v>14.089394467146615</v>
      </c>
      <c r="Z85" s="99">
        <f t="shared" si="13"/>
        <v>13.972515203652158</v>
      </c>
      <c r="AA85" s="99">
        <f t="shared" si="13"/>
        <v>13.922840248685729</v>
      </c>
      <c r="AB85" s="99">
        <f t="shared" si="13"/>
        <v>13.811801502057891</v>
      </c>
      <c r="AC85" s="99">
        <f t="shared" si="13"/>
        <v>13.667968207706711</v>
      </c>
    </row>
    <row r="86" spans="1:29" x14ac:dyDescent="0.25">
      <c r="A86" t="s">
        <v>213</v>
      </c>
      <c r="B86" s="99">
        <v>12.23</v>
      </c>
      <c r="C86" s="99">
        <f t="shared" si="9"/>
        <v>11.699258000219606</v>
      </c>
      <c r="D86" s="99">
        <f t="shared" si="13"/>
        <v>11.198583808976835</v>
      </c>
      <c r="E86" s="99">
        <f t="shared" si="13"/>
        <v>10.919793370911314</v>
      </c>
      <c r="F86" s="99">
        <f t="shared" si="13"/>
        <v>10.717480900581629</v>
      </c>
      <c r="G86" s="99">
        <f t="shared" si="13"/>
        <v>10.547316973074558</v>
      </c>
      <c r="H86" s="99">
        <f t="shared" si="13"/>
        <v>10.464171470043542</v>
      </c>
      <c r="I86" s="99">
        <f t="shared" si="13"/>
        <v>10.451708031425738</v>
      </c>
      <c r="J86" s="99">
        <f t="shared" si="13"/>
        <v>10.446037930655852</v>
      </c>
      <c r="K86" s="99">
        <f t="shared" si="13"/>
        <v>10.435517442574797</v>
      </c>
      <c r="L86" s="99">
        <f t="shared" si="13"/>
        <v>10.553991497400441</v>
      </c>
      <c r="M86" s="99">
        <f t="shared" si="13"/>
        <v>10.632287611553249</v>
      </c>
      <c r="N86" s="99">
        <f t="shared" si="13"/>
        <v>10.607111126078081</v>
      </c>
      <c r="O86" s="99">
        <f t="shared" si="13"/>
        <v>10.639651054620323</v>
      </c>
      <c r="P86" s="99">
        <f t="shared" si="13"/>
        <v>10.677236064900592</v>
      </c>
      <c r="Q86" s="99">
        <f t="shared" si="13"/>
        <v>10.762023990147924</v>
      </c>
      <c r="R86" s="99">
        <f t="shared" si="13"/>
        <v>10.817815425421836</v>
      </c>
      <c r="S86" s="99">
        <f t="shared" si="13"/>
        <v>10.863719379110218</v>
      </c>
      <c r="T86" s="99">
        <f t="shared" si="13"/>
        <v>10.899103843150508</v>
      </c>
      <c r="U86" s="99">
        <f t="shared" si="13"/>
        <v>10.904852820124098</v>
      </c>
      <c r="V86" s="99">
        <f t="shared" si="13"/>
        <v>10.907263037285308</v>
      </c>
      <c r="W86" s="99">
        <f t="shared" si="13"/>
        <v>10.894704747536471</v>
      </c>
      <c r="X86" s="99">
        <f t="shared" si="13"/>
        <v>10.877144308666814</v>
      </c>
      <c r="Y86" s="99">
        <f t="shared" si="13"/>
        <v>10.816904854563912</v>
      </c>
      <c r="Z86" s="99">
        <f t="shared" si="13"/>
        <v>10.72717268930734</v>
      </c>
      <c r="AA86" s="99">
        <f t="shared" si="13"/>
        <v>10.689035545601159</v>
      </c>
      <c r="AB86" s="99">
        <f t="shared" si="13"/>
        <v>10.603787342760075</v>
      </c>
      <c r="AC86" s="99">
        <f t="shared" si="13"/>
        <v>10.493361656010865</v>
      </c>
    </row>
    <row r="87" spans="1:29" x14ac:dyDescent="0.25">
      <c r="A87" t="s">
        <v>214</v>
      </c>
      <c r="B87" s="99">
        <v>9.7899999999999991</v>
      </c>
      <c r="C87" s="99">
        <f t="shared" si="9"/>
        <v>9.365146019799667</v>
      </c>
      <c r="D87" s="99">
        <f t="shared" ref="D87:AC96" si="14">$B87*D$108</f>
        <v>8.9643610376028775</v>
      </c>
      <c r="E87" s="99">
        <f t="shared" si="14"/>
        <v>8.7411919134277802</v>
      </c>
      <c r="F87" s="99">
        <f t="shared" si="14"/>
        <v>8.5792426832946962</v>
      </c>
      <c r="G87" s="99">
        <f t="shared" si="14"/>
        <v>8.4430280593949227</v>
      </c>
      <c r="H87" s="99">
        <f t="shared" si="14"/>
        <v>8.3764708660446647</v>
      </c>
      <c r="I87" s="99">
        <f t="shared" si="14"/>
        <v>8.3664940006261634</v>
      </c>
      <c r="J87" s="99">
        <f t="shared" si="14"/>
        <v>8.3619551382764339</v>
      </c>
      <c r="K87" s="99">
        <f t="shared" si="14"/>
        <v>8.3535335864928264</v>
      </c>
      <c r="L87" s="99">
        <f t="shared" si="14"/>
        <v>8.448370953356525</v>
      </c>
      <c r="M87" s="99">
        <f t="shared" si="14"/>
        <v>8.5110462565091005</v>
      </c>
      <c r="N87" s="99">
        <f t="shared" si="14"/>
        <v>8.4908927166234172</v>
      </c>
      <c r="O87" s="99">
        <f t="shared" si="14"/>
        <v>8.5169406234450502</v>
      </c>
      <c r="P87" s="99">
        <f t="shared" si="14"/>
        <v>8.5470270707585261</v>
      </c>
      <c r="Q87" s="99">
        <f t="shared" si="14"/>
        <v>8.6148990076490737</v>
      </c>
      <c r="R87" s="99">
        <f t="shared" si="14"/>
        <v>8.6595595269729966</v>
      </c>
      <c r="S87" s="99">
        <f t="shared" si="14"/>
        <v>8.6963052102607552</v>
      </c>
      <c r="T87" s="99">
        <f t="shared" si="14"/>
        <v>8.7246301410011</v>
      </c>
      <c r="U87" s="99">
        <f t="shared" si="14"/>
        <v>8.7292321430102131</v>
      </c>
      <c r="V87" s="99">
        <f t="shared" si="14"/>
        <v>8.7311614991842319</v>
      </c>
      <c r="W87" s="99">
        <f t="shared" si="14"/>
        <v>8.7211087063272323</v>
      </c>
      <c r="X87" s="99">
        <f t="shared" si="14"/>
        <v>8.7070517401347587</v>
      </c>
      <c r="Y87" s="99">
        <f t="shared" si="14"/>
        <v>8.6588306235634249</v>
      </c>
      <c r="Z87" s="99">
        <f t="shared" si="14"/>
        <v>8.5870008690367001</v>
      </c>
      <c r="AA87" s="99">
        <f t="shared" si="14"/>
        <v>8.5564724441075501</v>
      </c>
      <c r="AB87" s="99">
        <f t="shared" si="14"/>
        <v>8.4882320593312457</v>
      </c>
      <c r="AC87" s="99">
        <f t="shared" si="14"/>
        <v>8.3998373354330624</v>
      </c>
    </row>
    <row r="88" spans="1:29" x14ac:dyDescent="0.25">
      <c r="A88" t="s">
        <v>216</v>
      </c>
      <c r="B88" s="99">
        <v>14.06</v>
      </c>
      <c r="C88" s="99">
        <f t="shared" si="9"/>
        <v>13.44984198553456</v>
      </c>
      <c r="D88" s="99">
        <f t="shared" si="14"/>
        <v>12.874250887507301</v>
      </c>
      <c r="E88" s="99">
        <f t="shared" si="14"/>
        <v>12.553744464023962</v>
      </c>
      <c r="F88" s="99">
        <f t="shared" si="14"/>
        <v>12.321159563546829</v>
      </c>
      <c r="G88" s="99">
        <f t="shared" si="14"/>
        <v>12.125533658334284</v>
      </c>
      <c r="H88" s="99">
        <f t="shared" si="14"/>
        <v>12.029946923042697</v>
      </c>
      <c r="I88" s="99">
        <f t="shared" si="14"/>
        <v>12.015618554525421</v>
      </c>
      <c r="J88" s="99">
        <f t="shared" si="14"/>
        <v>12.009100024940414</v>
      </c>
      <c r="K88" s="99">
        <f t="shared" si="14"/>
        <v>11.997005334636276</v>
      </c>
      <c r="L88" s="99">
        <f t="shared" si="14"/>
        <v>12.133206905433376</v>
      </c>
      <c r="M88" s="99">
        <f t="shared" si="14"/>
        <v>12.22321862783636</v>
      </c>
      <c r="N88" s="99">
        <f t="shared" si="14"/>
        <v>12.194274933169078</v>
      </c>
      <c r="O88" s="99">
        <f t="shared" si="14"/>
        <v>12.231683878001778</v>
      </c>
      <c r="P88" s="99">
        <f t="shared" si="14"/>
        <v>12.27489281050714</v>
      </c>
      <c r="Q88" s="99">
        <f t="shared" si="14"/>
        <v>12.372367727022063</v>
      </c>
      <c r="R88" s="99">
        <f t="shared" si="14"/>
        <v>12.436507349258463</v>
      </c>
      <c r="S88" s="99">
        <f t="shared" si="14"/>
        <v>12.489280005747316</v>
      </c>
      <c r="T88" s="99">
        <f t="shared" si="14"/>
        <v>12.529959119762562</v>
      </c>
      <c r="U88" s="99">
        <f t="shared" si="14"/>
        <v>12.536568327959511</v>
      </c>
      <c r="V88" s="99">
        <f t="shared" si="14"/>
        <v>12.539339190861114</v>
      </c>
      <c r="W88" s="99">
        <f t="shared" si="14"/>
        <v>12.5249017784434</v>
      </c>
      <c r="X88" s="99">
        <f t="shared" si="14"/>
        <v>12.504713735065856</v>
      </c>
      <c r="Y88" s="99">
        <f t="shared" si="14"/>
        <v>12.435460527814277</v>
      </c>
      <c r="Z88" s="99">
        <f t="shared" si="14"/>
        <v>12.332301554510318</v>
      </c>
      <c r="AA88" s="99">
        <f t="shared" si="14"/>
        <v>12.288457871721365</v>
      </c>
      <c r="AB88" s="99">
        <f t="shared" si="14"/>
        <v>12.190453805331698</v>
      </c>
      <c r="AC88" s="99">
        <f t="shared" si="14"/>
        <v>12.063504896444215</v>
      </c>
    </row>
    <row r="89" spans="1:29" x14ac:dyDescent="0.25">
      <c r="A89" t="s">
        <v>209</v>
      </c>
      <c r="B89" s="99">
        <v>8.81</v>
      </c>
      <c r="C89" s="99">
        <f t="shared" ref="C89:C107" si="15">$B89*C$108</f>
        <v>8.4276748145490377</v>
      </c>
      <c r="D89" s="99">
        <f t="shared" si="14"/>
        <v>8.067009268772356</v>
      </c>
      <c r="E89" s="99">
        <f t="shared" si="14"/>
        <v>7.8661798526352147</v>
      </c>
      <c r="F89" s="99">
        <f t="shared" si="14"/>
        <v>7.7204420878269957</v>
      </c>
      <c r="G89" s="99">
        <f t="shared" si="14"/>
        <v>7.5978628399662194</v>
      </c>
      <c r="H89" s="99">
        <f t="shared" si="14"/>
        <v>7.5379681644385608</v>
      </c>
      <c r="I89" s="99">
        <f t="shared" si="14"/>
        <v>7.5289900046492857</v>
      </c>
      <c r="J89" s="99">
        <f t="shared" si="14"/>
        <v>7.5249054921568321</v>
      </c>
      <c r="K89" s="99">
        <f t="shared" si="14"/>
        <v>7.5173269557713791</v>
      </c>
      <c r="L89" s="99">
        <f t="shared" si="14"/>
        <v>7.6026708987815113</v>
      </c>
      <c r="M89" s="99">
        <f t="shared" si="14"/>
        <v>7.6590722696471083</v>
      </c>
      <c r="N89" s="99">
        <f t="shared" si="14"/>
        <v>7.640936142334251</v>
      </c>
      <c r="O89" s="99">
        <f t="shared" si="14"/>
        <v>7.6643765978090803</v>
      </c>
      <c r="P89" s="99">
        <f t="shared" si="14"/>
        <v>7.6914513272096663</v>
      </c>
      <c r="Q89" s="99">
        <f t="shared" si="14"/>
        <v>7.7525291376290451</v>
      </c>
      <c r="R89" s="99">
        <f t="shared" si="14"/>
        <v>7.792719043169777</v>
      </c>
      <c r="S89" s="99">
        <f t="shared" si="14"/>
        <v>7.82578640473925</v>
      </c>
      <c r="T89" s="99">
        <f t="shared" si="14"/>
        <v>7.8512759491542097</v>
      </c>
      <c r="U89" s="99">
        <f t="shared" si="14"/>
        <v>7.8554172808907037</v>
      </c>
      <c r="V89" s="99">
        <f t="shared" si="14"/>
        <v>7.8571535043731444</v>
      </c>
      <c r="W89" s="99">
        <f t="shared" si="14"/>
        <v>7.8481070176448338</v>
      </c>
      <c r="X89" s="99">
        <f t="shared" si="14"/>
        <v>7.8354571839210658</v>
      </c>
      <c r="Y89" s="99">
        <f t="shared" si="14"/>
        <v>7.7920631045550337</v>
      </c>
      <c r="Z89" s="99">
        <f t="shared" si="14"/>
        <v>7.7274236625345587</v>
      </c>
      <c r="AA89" s="99">
        <f t="shared" si="14"/>
        <v>7.6999511984256923</v>
      </c>
      <c r="AB89" s="99">
        <f t="shared" si="14"/>
        <v>7.6385418225442576</v>
      </c>
      <c r="AC89" s="99">
        <f t="shared" si="14"/>
        <v>7.5589956001190286</v>
      </c>
    </row>
    <row r="90" spans="1:29" x14ac:dyDescent="0.25">
      <c r="A90" t="s">
        <v>210</v>
      </c>
      <c r="B90" s="99">
        <v>9.01</v>
      </c>
      <c r="C90" s="99">
        <f t="shared" si="15"/>
        <v>8.6189954686818187</v>
      </c>
      <c r="D90" s="99">
        <f t="shared" si="14"/>
        <v>8.250142282819402</v>
      </c>
      <c r="E90" s="99">
        <f t="shared" si="14"/>
        <v>8.0447537425928815</v>
      </c>
      <c r="F90" s="99">
        <f t="shared" si="14"/>
        <v>7.8957075154734655</v>
      </c>
      <c r="G90" s="99">
        <f t="shared" si="14"/>
        <v>7.7703455378088115</v>
      </c>
      <c r="H90" s="99">
        <f t="shared" si="14"/>
        <v>7.7090911647663374</v>
      </c>
      <c r="I90" s="99">
        <f t="shared" si="14"/>
        <v>7.6999091875017092</v>
      </c>
      <c r="J90" s="99">
        <f t="shared" si="14"/>
        <v>7.6957319505485868</v>
      </c>
      <c r="K90" s="99">
        <f t="shared" si="14"/>
        <v>7.6879813702043274</v>
      </c>
      <c r="L90" s="99">
        <f t="shared" si="14"/>
        <v>7.7752627466539632</v>
      </c>
      <c r="M90" s="99">
        <f t="shared" si="14"/>
        <v>7.8329445118638406</v>
      </c>
      <c r="N90" s="99">
        <f t="shared" si="14"/>
        <v>7.8143966676993868</v>
      </c>
      <c r="O90" s="99">
        <f t="shared" si="14"/>
        <v>7.8383692561021352</v>
      </c>
      <c r="P90" s="99">
        <f t="shared" si="14"/>
        <v>7.8660586218114741</v>
      </c>
      <c r="Q90" s="99">
        <f t="shared" si="14"/>
        <v>7.9285229886535395</v>
      </c>
      <c r="R90" s="99">
        <f t="shared" si="14"/>
        <v>7.9696252643541072</v>
      </c>
      <c r="S90" s="99">
        <f t="shared" si="14"/>
        <v>8.0034433038252715</v>
      </c>
      <c r="T90" s="99">
        <f t="shared" si="14"/>
        <v>8.0295114985107183</v>
      </c>
      <c r="U90" s="99">
        <f t="shared" si="14"/>
        <v>8.0337468445885634</v>
      </c>
      <c r="V90" s="99">
        <f t="shared" si="14"/>
        <v>8.0355224829060194</v>
      </c>
      <c r="W90" s="99">
        <f t="shared" si="14"/>
        <v>8.0262706275800166</v>
      </c>
      <c r="X90" s="99">
        <f t="shared" si="14"/>
        <v>8.0133336239646766</v>
      </c>
      <c r="Y90" s="99">
        <f t="shared" si="14"/>
        <v>7.9689544349649095</v>
      </c>
      <c r="Z90" s="99">
        <f t="shared" si="14"/>
        <v>7.9028475822288735</v>
      </c>
      <c r="AA90" s="99">
        <f t="shared" si="14"/>
        <v>7.8747514526464792</v>
      </c>
      <c r="AB90" s="99">
        <f t="shared" si="14"/>
        <v>7.8119479933171121</v>
      </c>
      <c r="AC90" s="99">
        <f t="shared" si="14"/>
        <v>7.7305959542647491</v>
      </c>
    </row>
    <row r="91" spans="1:29" x14ac:dyDescent="0.25">
      <c r="A91" t="s">
        <v>217</v>
      </c>
      <c r="B91" s="99">
        <v>9.7200000000000006</v>
      </c>
      <c r="C91" s="99">
        <f t="shared" si="15"/>
        <v>9.2981837908531961</v>
      </c>
      <c r="D91" s="99">
        <f t="shared" si="14"/>
        <v>8.9002644826864135</v>
      </c>
      <c r="E91" s="99">
        <f t="shared" si="14"/>
        <v>8.6786910519425984</v>
      </c>
      <c r="F91" s="99">
        <f t="shared" si="14"/>
        <v>8.517899783618434</v>
      </c>
      <c r="G91" s="99">
        <f t="shared" si="14"/>
        <v>8.3826591151500178</v>
      </c>
      <c r="H91" s="99">
        <f t="shared" si="14"/>
        <v>8.3165778159299446</v>
      </c>
      <c r="I91" s="99">
        <f t="shared" si="14"/>
        <v>8.3066722866278155</v>
      </c>
      <c r="J91" s="99">
        <f t="shared" si="14"/>
        <v>8.3021658778393199</v>
      </c>
      <c r="K91" s="99">
        <f t="shared" si="14"/>
        <v>8.2938045414412951</v>
      </c>
      <c r="L91" s="99">
        <f t="shared" si="14"/>
        <v>8.387963806601169</v>
      </c>
      <c r="M91" s="99">
        <f t="shared" si="14"/>
        <v>8.450190971733246</v>
      </c>
      <c r="N91" s="99">
        <f t="shared" si="14"/>
        <v>8.4301815327456211</v>
      </c>
      <c r="O91" s="99">
        <f t="shared" si="14"/>
        <v>8.4560431930424826</v>
      </c>
      <c r="P91" s="99">
        <f t="shared" si="14"/>
        <v>8.4859145176478954</v>
      </c>
      <c r="Q91" s="99">
        <f t="shared" si="14"/>
        <v>8.5533011597905002</v>
      </c>
      <c r="R91" s="99">
        <f t="shared" si="14"/>
        <v>8.5976423495584822</v>
      </c>
      <c r="S91" s="99">
        <f t="shared" si="14"/>
        <v>8.6341252955806489</v>
      </c>
      <c r="T91" s="99">
        <f t="shared" si="14"/>
        <v>8.6622476987263237</v>
      </c>
      <c r="U91" s="99">
        <f t="shared" si="14"/>
        <v>8.6668167957159632</v>
      </c>
      <c r="V91" s="99">
        <f t="shared" si="14"/>
        <v>8.6687323566977259</v>
      </c>
      <c r="W91" s="99">
        <f t="shared" si="14"/>
        <v>8.658751442849919</v>
      </c>
      <c r="X91" s="99">
        <f t="shared" si="14"/>
        <v>8.6447949861194964</v>
      </c>
      <c r="Y91" s="99">
        <f t="shared" si="14"/>
        <v>8.5969186579199697</v>
      </c>
      <c r="Z91" s="99">
        <f t="shared" si="14"/>
        <v>8.5256024971436908</v>
      </c>
      <c r="AA91" s="99">
        <f t="shared" si="14"/>
        <v>8.4952923551302764</v>
      </c>
      <c r="AB91" s="99">
        <f t="shared" si="14"/>
        <v>8.4275398995607471</v>
      </c>
      <c r="AC91" s="99">
        <f t="shared" si="14"/>
        <v>8.3397772114820619</v>
      </c>
    </row>
    <row r="92" spans="1:29" x14ac:dyDescent="0.25">
      <c r="A92" t="s">
        <v>218</v>
      </c>
      <c r="B92" s="99">
        <v>7.98</v>
      </c>
      <c r="C92" s="99">
        <f t="shared" si="15"/>
        <v>7.6336940998979941</v>
      </c>
      <c r="D92" s="99">
        <f t="shared" si="14"/>
        <v>7.3070072604771177</v>
      </c>
      <c r="E92" s="99">
        <f t="shared" si="14"/>
        <v>7.1250982093108979</v>
      </c>
      <c r="F92" s="99">
        <f t="shared" si="14"/>
        <v>6.993090563094146</v>
      </c>
      <c r="G92" s="99">
        <f t="shared" si="14"/>
        <v>6.8820596439194581</v>
      </c>
      <c r="H92" s="99">
        <f t="shared" si="14"/>
        <v>6.8278077130782879</v>
      </c>
      <c r="I92" s="99">
        <f t="shared" si="14"/>
        <v>6.8196753958117249</v>
      </c>
      <c r="J92" s="99">
        <f t="shared" si="14"/>
        <v>6.8159756898310464</v>
      </c>
      <c r="K92" s="99">
        <f t="shared" si="14"/>
        <v>6.8091111358746428</v>
      </c>
      <c r="L92" s="99">
        <f t="shared" si="14"/>
        <v>6.8864147301108352</v>
      </c>
      <c r="M92" s="99">
        <f t="shared" si="14"/>
        <v>6.9375024644476646</v>
      </c>
      <c r="N92" s="99">
        <f t="shared" si="14"/>
        <v>6.9210749620689356</v>
      </c>
      <c r="O92" s="99">
        <f t="shared" si="14"/>
        <v>6.9423070658929014</v>
      </c>
      <c r="P92" s="99">
        <f t="shared" si="14"/>
        <v>6.966831054612161</v>
      </c>
      <c r="Q92" s="99">
        <f t="shared" si="14"/>
        <v>7.0221546558773866</v>
      </c>
      <c r="R92" s="99">
        <f t="shared" si="14"/>
        <v>7.0585582252548038</v>
      </c>
      <c r="S92" s="99">
        <f t="shared" si="14"/>
        <v>7.0885102735322603</v>
      </c>
      <c r="T92" s="99">
        <f t="shared" si="14"/>
        <v>7.1115984193246984</v>
      </c>
      <c r="U92" s="99">
        <f t="shared" si="14"/>
        <v>7.1153495915445877</v>
      </c>
      <c r="V92" s="99">
        <f t="shared" si="14"/>
        <v>7.1169222434617136</v>
      </c>
      <c r="W92" s="99">
        <f t="shared" si="14"/>
        <v>7.1087280364138223</v>
      </c>
      <c r="X92" s="99">
        <f t="shared" si="14"/>
        <v>7.0972699577400808</v>
      </c>
      <c r="Y92" s="99">
        <f t="shared" si="14"/>
        <v>7.0579640833540491</v>
      </c>
      <c r="Z92" s="99">
        <f t="shared" si="14"/>
        <v>6.9994143958031536</v>
      </c>
      <c r="AA92" s="99">
        <f t="shared" si="14"/>
        <v>6.9745301434094236</v>
      </c>
      <c r="AB92" s="99">
        <f t="shared" si="14"/>
        <v>6.9189062138369097</v>
      </c>
      <c r="AC92" s="99">
        <f t="shared" si="14"/>
        <v>6.8468541304142851</v>
      </c>
    </row>
    <row r="93" spans="1:29" x14ac:dyDescent="0.25">
      <c r="A93" t="s">
        <v>219</v>
      </c>
      <c r="B93" s="99">
        <v>8.85</v>
      </c>
      <c r="C93" s="99">
        <f t="shared" si="15"/>
        <v>8.4659389453755942</v>
      </c>
      <c r="D93" s="99">
        <f t="shared" si="14"/>
        <v>8.1036358715817656</v>
      </c>
      <c r="E93" s="99">
        <f t="shared" si="14"/>
        <v>7.9018946306267468</v>
      </c>
      <c r="F93" s="99">
        <f t="shared" si="14"/>
        <v>7.7554951733562891</v>
      </c>
      <c r="G93" s="99">
        <f t="shared" si="14"/>
        <v>7.6323593795347371</v>
      </c>
      <c r="H93" s="99">
        <f t="shared" si="14"/>
        <v>7.5721927645041154</v>
      </c>
      <c r="I93" s="99">
        <f t="shared" si="14"/>
        <v>7.5631738412197693</v>
      </c>
      <c r="J93" s="99">
        <f t="shared" si="14"/>
        <v>7.5590707838351827</v>
      </c>
      <c r="K93" s="99">
        <f t="shared" si="14"/>
        <v>7.551457838657968</v>
      </c>
      <c r="L93" s="99">
        <f t="shared" si="14"/>
        <v>7.6371892683560008</v>
      </c>
      <c r="M93" s="99">
        <f t="shared" si="14"/>
        <v>7.6938467180904544</v>
      </c>
      <c r="N93" s="99">
        <f t="shared" si="14"/>
        <v>7.6756282474072783</v>
      </c>
      <c r="O93" s="99">
        <f t="shared" si="14"/>
        <v>7.6991751294676911</v>
      </c>
      <c r="P93" s="99">
        <f t="shared" si="14"/>
        <v>7.7263727861300273</v>
      </c>
      <c r="Q93" s="99">
        <f t="shared" si="14"/>
        <v>7.7877279078339434</v>
      </c>
      <c r="R93" s="99">
        <f t="shared" si="14"/>
        <v>7.8281002874066425</v>
      </c>
      <c r="S93" s="99">
        <f t="shared" si="14"/>
        <v>7.8613177845564532</v>
      </c>
      <c r="T93" s="99">
        <f t="shared" si="14"/>
        <v>7.8869230590255102</v>
      </c>
      <c r="U93" s="99">
        <f t="shared" si="14"/>
        <v>7.8910831936302746</v>
      </c>
      <c r="V93" s="99">
        <f t="shared" si="14"/>
        <v>7.8928273000797189</v>
      </c>
      <c r="W93" s="99">
        <f t="shared" si="14"/>
        <v>7.8837397396318698</v>
      </c>
      <c r="X93" s="99">
        <f t="shared" si="14"/>
        <v>7.8710324719297873</v>
      </c>
      <c r="Y93" s="99">
        <f t="shared" si="14"/>
        <v>7.8274413706370085</v>
      </c>
      <c r="Z93" s="99">
        <f t="shared" si="14"/>
        <v>7.7625084464734213</v>
      </c>
      <c r="AA93" s="99">
        <f t="shared" si="14"/>
        <v>7.7349112492698486</v>
      </c>
      <c r="AB93" s="99">
        <f t="shared" si="14"/>
        <v>7.673223056698828</v>
      </c>
      <c r="AC93" s="99">
        <f t="shared" si="14"/>
        <v>7.5933156709481722</v>
      </c>
    </row>
    <row r="94" spans="1:29" x14ac:dyDescent="0.25">
      <c r="A94" t="s">
        <v>220</v>
      </c>
      <c r="B94" s="99">
        <v>8.7100000000000009</v>
      </c>
      <c r="C94" s="99">
        <f t="shared" si="15"/>
        <v>8.3320144874826472</v>
      </c>
      <c r="D94" s="99">
        <f t="shared" si="14"/>
        <v>7.9754427617488339</v>
      </c>
      <c r="E94" s="99">
        <f t="shared" si="14"/>
        <v>7.7768929076563813</v>
      </c>
      <c r="F94" s="99">
        <f t="shared" si="14"/>
        <v>7.6328093740037612</v>
      </c>
      <c r="G94" s="99">
        <f t="shared" si="14"/>
        <v>7.5116214910449228</v>
      </c>
      <c r="H94" s="99">
        <f t="shared" si="14"/>
        <v>7.4524066642746734</v>
      </c>
      <c r="I94" s="99">
        <f t="shared" si="14"/>
        <v>7.4435304132230735</v>
      </c>
      <c r="J94" s="99">
        <f t="shared" si="14"/>
        <v>7.4394922629609548</v>
      </c>
      <c r="K94" s="99">
        <f t="shared" si="14"/>
        <v>7.4319997485549054</v>
      </c>
      <c r="L94" s="99">
        <f t="shared" si="14"/>
        <v>7.5163749748452862</v>
      </c>
      <c r="M94" s="99">
        <f t="shared" si="14"/>
        <v>7.5721361485387417</v>
      </c>
      <c r="N94" s="99">
        <f t="shared" si="14"/>
        <v>7.5542058796516836</v>
      </c>
      <c r="O94" s="99">
        <f t="shared" si="14"/>
        <v>7.5773802686625533</v>
      </c>
      <c r="P94" s="99">
        <f t="shared" si="14"/>
        <v>7.6041476799087624</v>
      </c>
      <c r="Q94" s="99">
        <f t="shared" si="14"/>
        <v>7.6645322121167974</v>
      </c>
      <c r="R94" s="99">
        <f t="shared" si="14"/>
        <v>7.7042659325776119</v>
      </c>
      <c r="S94" s="99">
        <f t="shared" si="14"/>
        <v>7.7369579551962397</v>
      </c>
      <c r="T94" s="99">
        <f t="shared" si="14"/>
        <v>7.7621581744759549</v>
      </c>
      <c r="U94" s="99">
        <f t="shared" si="14"/>
        <v>7.7662524990417747</v>
      </c>
      <c r="V94" s="99">
        <f t="shared" si="14"/>
        <v>7.7679690151067078</v>
      </c>
      <c r="W94" s="99">
        <f t="shared" si="14"/>
        <v>7.7590252126772423</v>
      </c>
      <c r="X94" s="99">
        <f t="shared" si="14"/>
        <v>7.7465189638992609</v>
      </c>
      <c r="Y94" s="99">
        <f t="shared" si="14"/>
        <v>7.7036174393500962</v>
      </c>
      <c r="Z94" s="99">
        <f t="shared" si="14"/>
        <v>7.6397117026874017</v>
      </c>
      <c r="AA94" s="99">
        <f t="shared" si="14"/>
        <v>7.6125510713152984</v>
      </c>
      <c r="AB94" s="99">
        <f t="shared" si="14"/>
        <v>7.5518387371578308</v>
      </c>
      <c r="AC94" s="99">
        <f t="shared" si="14"/>
        <v>7.4731954230461684</v>
      </c>
    </row>
    <row r="95" spans="1:29" x14ac:dyDescent="0.25">
      <c r="A95" t="s">
        <v>221</v>
      </c>
      <c r="B95" s="99">
        <v>16.38</v>
      </c>
      <c r="C95" s="99">
        <f t="shared" si="15"/>
        <v>15.669161573474828</v>
      </c>
      <c r="D95" s="99">
        <f t="shared" si="14"/>
        <v>14.998593850453029</v>
      </c>
      <c r="E95" s="99">
        <f t="shared" si="14"/>
        <v>14.625201587532894</v>
      </c>
      <c r="F95" s="99">
        <f t="shared" si="14"/>
        <v>14.354238524245877</v>
      </c>
      <c r="G95" s="99">
        <f t="shared" si="14"/>
        <v>14.12633295330836</v>
      </c>
      <c r="H95" s="99">
        <f t="shared" si="14"/>
        <v>14.014973726844905</v>
      </c>
      <c r="I95" s="99">
        <f t="shared" si="14"/>
        <v>13.998281075613539</v>
      </c>
      <c r="J95" s="99">
        <f t="shared" si="14"/>
        <v>13.990686942284778</v>
      </c>
      <c r="K95" s="99">
        <f t="shared" si="14"/>
        <v>13.976596542058477</v>
      </c>
      <c r="L95" s="99">
        <f t="shared" si="14"/>
        <v>14.135272340753819</v>
      </c>
      <c r="M95" s="99">
        <f t="shared" si="14"/>
        <v>14.240136637550467</v>
      </c>
      <c r="N95" s="99">
        <f t="shared" si="14"/>
        <v>14.206417027404656</v>
      </c>
      <c r="O95" s="99">
        <f t="shared" si="14"/>
        <v>14.249998714201217</v>
      </c>
      <c r="P95" s="99">
        <f t="shared" si="14"/>
        <v>14.300337427888117</v>
      </c>
      <c r="Q95" s="99">
        <f t="shared" si="14"/>
        <v>14.413896398906212</v>
      </c>
      <c r="R95" s="99">
        <f t="shared" si="14"/>
        <v>14.488619514996699</v>
      </c>
      <c r="S95" s="99">
        <f t="shared" si="14"/>
        <v>14.550100035145165</v>
      </c>
      <c r="T95" s="99">
        <f t="shared" si="14"/>
        <v>14.597491492298063</v>
      </c>
      <c r="U95" s="99">
        <f t="shared" si="14"/>
        <v>14.605191266854678</v>
      </c>
      <c r="V95" s="99">
        <f t="shared" si="14"/>
        <v>14.608419341842463</v>
      </c>
      <c r="W95" s="99">
        <f t="shared" si="14"/>
        <v>14.591599653691528</v>
      </c>
      <c r="X95" s="99">
        <f t="shared" si="14"/>
        <v>14.568080439571743</v>
      </c>
      <c r="Y95" s="99">
        <f t="shared" si="14"/>
        <v>14.487399960568835</v>
      </c>
      <c r="Z95" s="99">
        <f t="shared" si="14"/>
        <v>14.367219022964365</v>
      </c>
      <c r="AA95" s="99">
        <f t="shared" si="14"/>
        <v>14.3161408206825</v>
      </c>
      <c r="AB95" s="99">
        <f t="shared" si="14"/>
        <v>14.201965386296813</v>
      </c>
      <c r="AC95" s="99">
        <f t="shared" si="14"/>
        <v>14.054069004534583</v>
      </c>
    </row>
    <row r="96" spans="1:29" x14ac:dyDescent="0.25">
      <c r="A96" t="s">
        <v>222</v>
      </c>
      <c r="B96" s="99">
        <v>10.58</v>
      </c>
      <c r="C96" s="99">
        <f t="shared" si="15"/>
        <v>10.120862603624156</v>
      </c>
      <c r="D96" s="99">
        <f t="shared" si="14"/>
        <v>9.6877364430887098</v>
      </c>
      <c r="E96" s="99">
        <f t="shared" si="14"/>
        <v>9.4465587787605632</v>
      </c>
      <c r="F96" s="99">
        <f t="shared" si="14"/>
        <v>9.2715411224982542</v>
      </c>
      <c r="G96" s="99">
        <f t="shared" si="14"/>
        <v>9.1243347158731662</v>
      </c>
      <c r="H96" s="99">
        <f t="shared" si="14"/>
        <v>9.0524067173393838</v>
      </c>
      <c r="I96" s="99">
        <f t="shared" si="14"/>
        <v>9.0416247728932397</v>
      </c>
      <c r="J96" s="99">
        <f t="shared" si="14"/>
        <v>9.036719648923869</v>
      </c>
      <c r="K96" s="99">
        <f t="shared" si="14"/>
        <v>9.0276185235029729</v>
      </c>
      <c r="L96" s="99">
        <f t="shared" si="14"/>
        <v>9.1301087524527116</v>
      </c>
      <c r="M96" s="99">
        <f t="shared" si="14"/>
        <v>9.197841613265199</v>
      </c>
      <c r="N96" s="99">
        <f t="shared" si="14"/>
        <v>9.176061791815707</v>
      </c>
      <c r="O96" s="99">
        <f t="shared" si="14"/>
        <v>9.2042116237026192</v>
      </c>
      <c r="P96" s="99">
        <f t="shared" si="14"/>
        <v>9.2367258844356712</v>
      </c>
      <c r="Q96" s="99">
        <f t="shared" si="14"/>
        <v>9.3100747191958337</v>
      </c>
      <c r="R96" s="99">
        <f t="shared" si="14"/>
        <v>9.3583391006511043</v>
      </c>
      <c r="S96" s="99">
        <f t="shared" si="14"/>
        <v>9.3980499616505409</v>
      </c>
      <c r="T96" s="99">
        <f t="shared" si="14"/>
        <v>9.4286605609593117</v>
      </c>
      <c r="U96" s="99">
        <f t="shared" si="14"/>
        <v>9.4336339196167582</v>
      </c>
      <c r="V96" s="99">
        <f t="shared" si="14"/>
        <v>9.4357189643890873</v>
      </c>
      <c r="W96" s="99">
        <f t="shared" si="14"/>
        <v>9.4248549655712068</v>
      </c>
      <c r="X96" s="99">
        <f t="shared" si="14"/>
        <v>9.4096636783070231</v>
      </c>
      <c r="Y96" s="99">
        <f t="shared" ref="D96:AC106" si="16">$B96*Y$108</f>
        <v>9.3575513786824356</v>
      </c>
      <c r="Z96" s="99">
        <f t="shared" si="16"/>
        <v>9.2799253518292435</v>
      </c>
      <c r="AA96" s="99">
        <f t="shared" si="16"/>
        <v>9.2469334482796626</v>
      </c>
      <c r="AB96" s="99">
        <f t="shared" si="16"/>
        <v>9.1731864338840232</v>
      </c>
      <c r="AC96" s="99">
        <f t="shared" si="16"/>
        <v>9.0776587343086632</v>
      </c>
    </row>
    <row r="97" spans="1:29" x14ac:dyDescent="0.25">
      <c r="A97" t="s">
        <v>223</v>
      </c>
      <c r="B97" s="99">
        <v>9.59</v>
      </c>
      <c r="C97" s="99">
        <f t="shared" si="15"/>
        <v>9.173825365666886</v>
      </c>
      <c r="D97" s="99">
        <f t="shared" si="16"/>
        <v>8.7812280235558333</v>
      </c>
      <c r="E97" s="99">
        <f t="shared" si="16"/>
        <v>8.5626180234701135</v>
      </c>
      <c r="F97" s="99">
        <f t="shared" si="16"/>
        <v>8.4039772556482273</v>
      </c>
      <c r="G97" s="99">
        <f t="shared" si="16"/>
        <v>8.2705453615523314</v>
      </c>
      <c r="H97" s="99">
        <f t="shared" si="16"/>
        <v>8.2053478657168899</v>
      </c>
      <c r="I97" s="99">
        <f t="shared" si="16"/>
        <v>8.1955748177737391</v>
      </c>
      <c r="J97" s="99">
        <f t="shared" si="16"/>
        <v>8.1911286798846774</v>
      </c>
      <c r="K97" s="99">
        <f t="shared" si="16"/>
        <v>8.1828791720598772</v>
      </c>
      <c r="L97" s="99">
        <f t="shared" si="16"/>
        <v>8.275779105484073</v>
      </c>
      <c r="M97" s="99">
        <f t="shared" si="16"/>
        <v>8.3371740142923674</v>
      </c>
      <c r="N97" s="99">
        <f t="shared" si="16"/>
        <v>8.3174321912582823</v>
      </c>
      <c r="O97" s="99">
        <f t="shared" si="16"/>
        <v>8.3429479651519944</v>
      </c>
      <c r="P97" s="99">
        <f t="shared" si="16"/>
        <v>8.3724197761567183</v>
      </c>
      <c r="Q97" s="99">
        <f t="shared" si="16"/>
        <v>8.4389051566245783</v>
      </c>
      <c r="R97" s="99">
        <f t="shared" si="16"/>
        <v>8.4826533057886664</v>
      </c>
      <c r="S97" s="99">
        <f t="shared" si="16"/>
        <v>8.5186483111747329</v>
      </c>
      <c r="T97" s="99">
        <f t="shared" si="16"/>
        <v>8.5463945916445923</v>
      </c>
      <c r="U97" s="99">
        <f t="shared" si="16"/>
        <v>8.5509025793123552</v>
      </c>
      <c r="V97" s="99">
        <f t="shared" si="16"/>
        <v>8.5527925206513569</v>
      </c>
      <c r="W97" s="99">
        <f t="shared" si="16"/>
        <v>8.5429450963920495</v>
      </c>
      <c r="X97" s="99">
        <f t="shared" si="16"/>
        <v>8.5291753000911488</v>
      </c>
      <c r="Y97" s="99">
        <f t="shared" si="16"/>
        <v>8.48193929315355</v>
      </c>
      <c r="Z97" s="99">
        <f t="shared" si="16"/>
        <v>8.4115769493423862</v>
      </c>
      <c r="AA97" s="99">
        <f t="shared" si="16"/>
        <v>8.3816721898867623</v>
      </c>
      <c r="AB97" s="99">
        <f t="shared" si="16"/>
        <v>8.3148258885583903</v>
      </c>
      <c r="AC97" s="99">
        <f t="shared" si="16"/>
        <v>8.2282369812873419</v>
      </c>
    </row>
    <row r="98" spans="1:29" x14ac:dyDescent="0.25">
      <c r="A98" t="s">
        <v>224</v>
      </c>
      <c r="B98" s="99">
        <v>10.65</v>
      </c>
      <c r="C98" s="99">
        <f t="shared" si="15"/>
        <v>10.18782483257063</v>
      </c>
      <c r="D98" s="99">
        <f t="shared" si="16"/>
        <v>9.7518329980051757</v>
      </c>
      <c r="E98" s="99">
        <f t="shared" si="16"/>
        <v>9.5090596402457468</v>
      </c>
      <c r="F98" s="99">
        <f t="shared" si="16"/>
        <v>9.3328840221745182</v>
      </c>
      <c r="G98" s="99">
        <f t="shared" si="16"/>
        <v>9.1847036601180747</v>
      </c>
      <c r="H98" s="99">
        <f t="shared" si="16"/>
        <v>9.1122997674541057</v>
      </c>
      <c r="I98" s="99">
        <f t="shared" si="16"/>
        <v>9.1014464868915876</v>
      </c>
      <c r="J98" s="99">
        <f t="shared" si="16"/>
        <v>9.096508909360983</v>
      </c>
      <c r="K98" s="99">
        <f t="shared" si="16"/>
        <v>9.0873475685545042</v>
      </c>
      <c r="L98" s="99">
        <f t="shared" si="16"/>
        <v>9.1905158992080693</v>
      </c>
      <c r="M98" s="99">
        <f t="shared" si="16"/>
        <v>9.2586968980410553</v>
      </c>
      <c r="N98" s="99">
        <f t="shared" si="16"/>
        <v>9.2367729756935049</v>
      </c>
      <c r="O98" s="99">
        <f t="shared" si="16"/>
        <v>9.2651090541051886</v>
      </c>
      <c r="P98" s="99">
        <f t="shared" si="16"/>
        <v>9.2978384375463037</v>
      </c>
      <c r="Q98" s="99">
        <f t="shared" si="16"/>
        <v>9.3716725670544072</v>
      </c>
      <c r="R98" s="99">
        <f t="shared" si="16"/>
        <v>9.4202562780656205</v>
      </c>
      <c r="S98" s="99">
        <f t="shared" si="16"/>
        <v>9.4602298763306489</v>
      </c>
      <c r="T98" s="99">
        <f t="shared" si="16"/>
        <v>9.4910430032340898</v>
      </c>
      <c r="U98" s="99">
        <f t="shared" si="16"/>
        <v>9.4960492669110099</v>
      </c>
      <c r="V98" s="99">
        <f t="shared" si="16"/>
        <v>9.4981481068755951</v>
      </c>
      <c r="W98" s="99">
        <f t="shared" si="16"/>
        <v>9.4872122290485219</v>
      </c>
      <c r="X98" s="99">
        <f t="shared" si="16"/>
        <v>9.4719204323222872</v>
      </c>
      <c r="Y98" s="99">
        <f t="shared" si="16"/>
        <v>9.4194633443258926</v>
      </c>
      <c r="Z98" s="99">
        <f t="shared" si="16"/>
        <v>9.3413237237222528</v>
      </c>
      <c r="AA98" s="99">
        <f t="shared" si="16"/>
        <v>9.3081135372569381</v>
      </c>
      <c r="AB98" s="99">
        <f t="shared" si="16"/>
        <v>9.2338785936545218</v>
      </c>
      <c r="AC98" s="99">
        <f t="shared" si="16"/>
        <v>9.1377188582596656</v>
      </c>
    </row>
    <row r="99" spans="1:29" x14ac:dyDescent="0.25">
      <c r="A99" t="s">
        <v>225</v>
      </c>
      <c r="B99" s="99">
        <v>8.06</v>
      </c>
      <c r="C99" s="99">
        <f t="shared" si="15"/>
        <v>7.7102223615511063</v>
      </c>
      <c r="D99" s="99">
        <f t="shared" si="16"/>
        <v>7.3802604660959359</v>
      </c>
      <c r="E99" s="99">
        <f t="shared" si="16"/>
        <v>7.1965277652939648</v>
      </c>
      <c r="F99" s="99">
        <f t="shared" si="16"/>
        <v>7.0631967341527337</v>
      </c>
      <c r="G99" s="99">
        <f t="shared" si="16"/>
        <v>6.9510527230564954</v>
      </c>
      <c r="H99" s="99">
        <f t="shared" si="16"/>
        <v>6.8962569132093989</v>
      </c>
      <c r="I99" s="99">
        <f t="shared" si="16"/>
        <v>6.8880430689526948</v>
      </c>
      <c r="J99" s="99">
        <f t="shared" si="16"/>
        <v>6.8843062731877485</v>
      </c>
      <c r="K99" s="99">
        <f t="shared" si="16"/>
        <v>6.8773729016478224</v>
      </c>
      <c r="L99" s="99">
        <f t="shared" si="16"/>
        <v>6.9554514692598159</v>
      </c>
      <c r="M99" s="99">
        <f t="shared" si="16"/>
        <v>7.0070513613343577</v>
      </c>
      <c r="N99" s="99">
        <f t="shared" si="16"/>
        <v>6.9904591722149902</v>
      </c>
      <c r="O99" s="99">
        <f t="shared" si="16"/>
        <v>7.0119041292101238</v>
      </c>
      <c r="P99" s="99">
        <f t="shared" si="16"/>
        <v>7.036673972452884</v>
      </c>
      <c r="Q99" s="99">
        <f t="shared" si="16"/>
        <v>7.0925521962871851</v>
      </c>
      <c r="R99" s="99">
        <f t="shared" si="16"/>
        <v>7.1293207137285357</v>
      </c>
      <c r="S99" s="99">
        <f t="shared" si="16"/>
        <v>7.1595730331666694</v>
      </c>
      <c r="T99" s="99">
        <f t="shared" si="16"/>
        <v>7.182892639067302</v>
      </c>
      <c r="U99" s="99">
        <f t="shared" si="16"/>
        <v>7.1866814170237312</v>
      </c>
      <c r="V99" s="99">
        <f t="shared" si="16"/>
        <v>7.1882698348748635</v>
      </c>
      <c r="W99" s="99">
        <f t="shared" si="16"/>
        <v>7.1799934803878953</v>
      </c>
      <c r="X99" s="99">
        <f t="shared" si="16"/>
        <v>7.1684205337575246</v>
      </c>
      <c r="Y99" s="99">
        <f t="shared" si="16"/>
        <v>7.1287206155179996</v>
      </c>
      <c r="Z99" s="99">
        <f t="shared" si="16"/>
        <v>7.0695839636808797</v>
      </c>
      <c r="AA99" s="99">
        <f t="shared" si="16"/>
        <v>7.0444502450977389</v>
      </c>
      <c r="AB99" s="99">
        <f t="shared" si="16"/>
        <v>6.9882686821460522</v>
      </c>
      <c r="AC99" s="99">
        <f t="shared" si="16"/>
        <v>6.9154942720725732</v>
      </c>
    </row>
    <row r="100" spans="1:29" x14ac:dyDescent="0.25">
      <c r="A100" t="s">
        <v>226</v>
      </c>
      <c r="B100" s="99">
        <v>8.26</v>
      </c>
      <c r="C100" s="99">
        <f t="shared" si="15"/>
        <v>7.9015430156838873</v>
      </c>
      <c r="D100" s="99">
        <f t="shared" si="16"/>
        <v>7.563393480142981</v>
      </c>
      <c r="E100" s="99">
        <f t="shared" si="16"/>
        <v>7.3751016552516306</v>
      </c>
      <c r="F100" s="99">
        <f t="shared" si="16"/>
        <v>7.2384621617992035</v>
      </c>
      <c r="G100" s="99">
        <f t="shared" si="16"/>
        <v>7.1235354208990884</v>
      </c>
      <c r="H100" s="99">
        <f t="shared" si="16"/>
        <v>7.0673799135371747</v>
      </c>
      <c r="I100" s="99">
        <f t="shared" si="16"/>
        <v>7.0589622518051183</v>
      </c>
      <c r="J100" s="99">
        <f t="shared" si="16"/>
        <v>7.055132731579504</v>
      </c>
      <c r="K100" s="99">
        <f t="shared" si="16"/>
        <v>7.0480273160807707</v>
      </c>
      <c r="L100" s="99">
        <f t="shared" si="16"/>
        <v>7.1280433171322679</v>
      </c>
      <c r="M100" s="99">
        <f t="shared" si="16"/>
        <v>7.1809236035510908</v>
      </c>
      <c r="N100" s="99">
        <f t="shared" si="16"/>
        <v>7.163919697580126</v>
      </c>
      <c r="O100" s="99">
        <f t="shared" si="16"/>
        <v>7.1858967875031787</v>
      </c>
      <c r="P100" s="99">
        <f t="shared" si="16"/>
        <v>7.2112812670546917</v>
      </c>
      <c r="Q100" s="99">
        <f t="shared" si="16"/>
        <v>7.2685460473116805</v>
      </c>
      <c r="R100" s="99">
        <f t="shared" si="16"/>
        <v>7.3062269349128659</v>
      </c>
      <c r="S100" s="99">
        <f t="shared" si="16"/>
        <v>7.3372299322526899</v>
      </c>
      <c r="T100" s="99">
        <f t="shared" si="16"/>
        <v>7.3611281884238098</v>
      </c>
      <c r="U100" s="99">
        <f t="shared" si="16"/>
        <v>7.36501098072159</v>
      </c>
      <c r="V100" s="99">
        <f t="shared" si="16"/>
        <v>7.3666388134077376</v>
      </c>
      <c r="W100" s="99">
        <f t="shared" si="16"/>
        <v>7.3581570903230782</v>
      </c>
      <c r="X100" s="99">
        <f t="shared" si="16"/>
        <v>7.3462969738011354</v>
      </c>
      <c r="Y100" s="99">
        <f t="shared" si="16"/>
        <v>7.3056119459278746</v>
      </c>
      <c r="Z100" s="99">
        <f t="shared" si="16"/>
        <v>7.2450078833751936</v>
      </c>
      <c r="AA100" s="99">
        <f t="shared" si="16"/>
        <v>7.2192504993185258</v>
      </c>
      <c r="AB100" s="99">
        <f t="shared" si="16"/>
        <v>7.1616748529189058</v>
      </c>
      <c r="AC100" s="99">
        <f t="shared" si="16"/>
        <v>7.0870946262182946</v>
      </c>
    </row>
    <row r="101" spans="1:29" x14ac:dyDescent="0.25">
      <c r="A101" t="s">
        <v>228</v>
      </c>
      <c r="B101" s="99">
        <v>15.98</v>
      </c>
      <c r="C101" s="99">
        <f t="shared" si="15"/>
        <v>15.286520265209266</v>
      </c>
      <c r="D101" s="99">
        <f t="shared" si="16"/>
        <v>14.632327822358938</v>
      </c>
      <c r="E101" s="99">
        <f t="shared" si="16"/>
        <v>14.268053807617562</v>
      </c>
      <c r="F101" s="99">
        <f t="shared" si="16"/>
        <v>14.00370766895294</v>
      </c>
      <c r="G101" s="99">
        <f t="shared" si="16"/>
        <v>13.781367557623176</v>
      </c>
      <c r="H101" s="99">
        <f t="shared" si="16"/>
        <v>13.672727726189354</v>
      </c>
      <c r="I101" s="99">
        <f t="shared" si="16"/>
        <v>13.656442709908692</v>
      </c>
      <c r="J101" s="99">
        <f t="shared" si="16"/>
        <v>13.649034025501269</v>
      </c>
      <c r="K101" s="99">
        <f t="shared" si="16"/>
        <v>13.63528771319258</v>
      </c>
      <c r="L101" s="99">
        <f t="shared" si="16"/>
        <v>13.790088645008916</v>
      </c>
      <c r="M101" s="99">
        <f t="shared" si="16"/>
        <v>13.892392153117001</v>
      </c>
      <c r="N101" s="99">
        <f t="shared" si="16"/>
        <v>13.859495976674385</v>
      </c>
      <c r="O101" s="99">
        <f t="shared" si="16"/>
        <v>13.902013397615109</v>
      </c>
      <c r="P101" s="99">
        <f t="shared" si="16"/>
        <v>13.951122838684501</v>
      </c>
      <c r="Q101" s="99">
        <f t="shared" si="16"/>
        <v>14.061908696857222</v>
      </c>
      <c r="R101" s="99">
        <f t="shared" si="16"/>
        <v>14.134807072628039</v>
      </c>
      <c r="S101" s="99">
        <f t="shared" si="16"/>
        <v>14.194786236973123</v>
      </c>
      <c r="T101" s="99">
        <f t="shared" si="16"/>
        <v>14.241020393585046</v>
      </c>
      <c r="U101" s="99">
        <f t="shared" si="16"/>
        <v>14.248532139458961</v>
      </c>
      <c r="V101" s="99">
        <f t="shared" si="16"/>
        <v>14.251681384776713</v>
      </c>
      <c r="W101" s="99">
        <f t="shared" si="16"/>
        <v>14.235272433821162</v>
      </c>
      <c r="X101" s="99">
        <f t="shared" si="16"/>
        <v>14.212327559484521</v>
      </c>
      <c r="Y101" s="99">
        <f t="shared" si="16"/>
        <v>14.133617299749085</v>
      </c>
      <c r="Z101" s="99">
        <f t="shared" si="16"/>
        <v>14.016371183575737</v>
      </c>
      <c r="AA101" s="99">
        <f t="shared" si="16"/>
        <v>13.966540312240927</v>
      </c>
      <c r="AB101" s="99">
        <f t="shared" si="16"/>
        <v>13.855153044751106</v>
      </c>
      <c r="AC101" s="99">
        <f t="shared" si="16"/>
        <v>13.710868296243142</v>
      </c>
    </row>
    <row r="102" spans="1:29" x14ac:dyDescent="0.25">
      <c r="A102" t="s">
        <v>227</v>
      </c>
      <c r="B102" s="99">
        <v>8.18</v>
      </c>
      <c r="C102" s="99">
        <f t="shared" si="15"/>
        <v>7.8250147540307751</v>
      </c>
      <c r="D102" s="99">
        <f t="shared" si="16"/>
        <v>7.4901402745241619</v>
      </c>
      <c r="E102" s="99">
        <f t="shared" si="16"/>
        <v>7.3036720992685638</v>
      </c>
      <c r="F102" s="99">
        <f t="shared" si="16"/>
        <v>7.1683559907406149</v>
      </c>
      <c r="G102" s="99">
        <f t="shared" si="16"/>
        <v>7.0545423417620512</v>
      </c>
      <c r="H102" s="99">
        <f t="shared" si="16"/>
        <v>6.9989307134060637</v>
      </c>
      <c r="I102" s="99">
        <f t="shared" si="16"/>
        <v>6.9905945786641484</v>
      </c>
      <c r="J102" s="99">
        <f t="shared" si="16"/>
        <v>6.9868021482228011</v>
      </c>
      <c r="K102" s="99">
        <f t="shared" si="16"/>
        <v>6.979765550307591</v>
      </c>
      <c r="L102" s="99">
        <f t="shared" si="16"/>
        <v>7.0590065779832871</v>
      </c>
      <c r="M102" s="99">
        <f t="shared" si="16"/>
        <v>7.1113747066643969</v>
      </c>
      <c r="N102" s="99">
        <f t="shared" si="16"/>
        <v>7.0945354874340714</v>
      </c>
      <c r="O102" s="99">
        <f t="shared" si="16"/>
        <v>7.1162997241859562</v>
      </c>
      <c r="P102" s="99">
        <f t="shared" si="16"/>
        <v>7.1414383492139688</v>
      </c>
      <c r="Q102" s="99">
        <f t="shared" si="16"/>
        <v>7.198148506901882</v>
      </c>
      <c r="R102" s="99">
        <f t="shared" si="16"/>
        <v>7.235464446439134</v>
      </c>
      <c r="S102" s="99">
        <f t="shared" si="16"/>
        <v>7.2661671726182817</v>
      </c>
      <c r="T102" s="99">
        <f t="shared" si="16"/>
        <v>7.2898339686812061</v>
      </c>
      <c r="U102" s="99">
        <f t="shared" si="16"/>
        <v>7.2936791552424465</v>
      </c>
      <c r="V102" s="99">
        <f t="shared" si="16"/>
        <v>7.2952912219945878</v>
      </c>
      <c r="W102" s="99">
        <f t="shared" si="16"/>
        <v>7.2868916463490052</v>
      </c>
      <c r="X102" s="99">
        <f t="shared" si="16"/>
        <v>7.2751463977836908</v>
      </c>
      <c r="Y102" s="99">
        <f t="shared" si="16"/>
        <v>7.234855413763924</v>
      </c>
      <c r="Z102" s="99">
        <f t="shared" si="16"/>
        <v>7.1748383154974675</v>
      </c>
      <c r="AA102" s="99">
        <f t="shared" si="16"/>
        <v>7.1493303976302105</v>
      </c>
      <c r="AB102" s="99">
        <f t="shared" si="16"/>
        <v>7.0923123846097642</v>
      </c>
      <c r="AC102" s="99">
        <f t="shared" si="16"/>
        <v>7.0184544845600056</v>
      </c>
    </row>
    <row r="103" spans="1:29" x14ac:dyDescent="0.25">
      <c r="A103" t="s">
        <v>229</v>
      </c>
      <c r="B103" s="99">
        <v>8.75</v>
      </c>
      <c r="C103" s="99">
        <f t="shared" si="15"/>
        <v>8.3702786183092037</v>
      </c>
      <c r="D103" s="99">
        <f t="shared" si="16"/>
        <v>8.0120693645582417</v>
      </c>
      <c r="E103" s="99">
        <f t="shared" si="16"/>
        <v>7.8126076856479143</v>
      </c>
      <c r="F103" s="99">
        <f t="shared" si="16"/>
        <v>7.6678624595330547</v>
      </c>
      <c r="G103" s="99">
        <f t="shared" si="16"/>
        <v>7.5461180306134406</v>
      </c>
      <c r="H103" s="99">
        <f t="shared" si="16"/>
        <v>7.486631264340228</v>
      </c>
      <c r="I103" s="99">
        <f t="shared" si="16"/>
        <v>7.477714249793558</v>
      </c>
      <c r="J103" s="99">
        <f t="shared" si="16"/>
        <v>7.4736575546393054</v>
      </c>
      <c r="K103" s="99">
        <f t="shared" si="16"/>
        <v>7.4661306314414944</v>
      </c>
      <c r="L103" s="99">
        <f t="shared" si="16"/>
        <v>7.5508933444197757</v>
      </c>
      <c r="M103" s="99">
        <f t="shared" si="16"/>
        <v>7.6069105969820878</v>
      </c>
      <c r="N103" s="99">
        <f t="shared" si="16"/>
        <v>7.58889798472471</v>
      </c>
      <c r="O103" s="99">
        <f t="shared" si="16"/>
        <v>7.6121788003211632</v>
      </c>
      <c r="P103" s="99">
        <f t="shared" si="16"/>
        <v>7.6390691388291234</v>
      </c>
      <c r="Q103" s="99">
        <f t="shared" si="16"/>
        <v>7.6997309823216957</v>
      </c>
      <c r="R103" s="99">
        <f t="shared" si="16"/>
        <v>7.7396471768144774</v>
      </c>
      <c r="S103" s="99">
        <f t="shared" si="16"/>
        <v>7.772489335013443</v>
      </c>
      <c r="T103" s="99">
        <f t="shared" si="16"/>
        <v>7.7978052843472563</v>
      </c>
      <c r="U103" s="99">
        <f t="shared" si="16"/>
        <v>7.8019184117813456</v>
      </c>
      <c r="V103" s="99">
        <f t="shared" si="16"/>
        <v>7.8036428108132814</v>
      </c>
      <c r="W103" s="99">
        <f t="shared" si="16"/>
        <v>7.7946579346642784</v>
      </c>
      <c r="X103" s="99">
        <f t="shared" si="16"/>
        <v>7.7820942519079823</v>
      </c>
      <c r="Y103" s="99">
        <f t="shared" si="16"/>
        <v>7.738995705432071</v>
      </c>
      <c r="Z103" s="99">
        <f t="shared" si="16"/>
        <v>7.6747964866262643</v>
      </c>
      <c r="AA103" s="99">
        <f t="shared" si="16"/>
        <v>7.6475111221594556</v>
      </c>
      <c r="AB103" s="99">
        <f t="shared" si="16"/>
        <v>7.5865199713124003</v>
      </c>
      <c r="AC103" s="99">
        <f t="shared" si="16"/>
        <v>7.5075154938753119</v>
      </c>
    </row>
    <row r="104" spans="1:29" x14ac:dyDescent="0.25">
      <c r="A104" t="s">
        <v>159</v>
      </c>
      <c r="B104" s="99">
        <v>9.16</v>
      </c>
      <c r="C104" s="99">
        <f t="shared" si="15"/>
        <v>8.7624859592814062</v>
      </c>
      <c r="D104" s="99">
        <f t="shared" si="16"/>
        <v>8.3874920433546851</v>
      </c>
      <c r="E104" s="99">
        <f t="shared" si="16"/>
        <v>8.1786841600611311</v>
      </c>
      <c r="F104" s="99">
        <f t="shared" si="16"/>
        <v>8.0271565862083172</v>
      </c>
      <c r="G104" s="99">
        <f t="shared" si="16"/>
        <v>7.8997075611907563</v>
      </c>
      <c r="H104" s="99">
        <f t="shared" si="16"/>
        <v>7.8374334150121694</v>
      </c>
      <c r="I104" s="99">
        <f t="shared" si="16"/>
        <v>7.8280985746410279</v>
      </c>
      <c r="J104" s="99">
        <f t="shared" si="16"/>
        <v>7.8238517943424037</v>
      </c>
      <c r="K104" s="99">
        <f t="shared" si="16"/>
        <v>7.8159721810290383</v>
      </c>
      <c r="L104" s="99">
        <f t="shared" si="16"/>
        <v>7.9047066325583017</v>
      </c>
      <c r="M104" s="99">
        <f t="shared" si="16"/>
        <v>7.9633486935263909</v>
      </c>
      <c r="N104" s="99">
        <f t="shared" si="16"/>
        <v>7.9444920617232393</v>
      </c>
      <c r="O104" s="99">
        <f t="shared" si="16"/>
        <v>7.968863749821927</v>
      </c>
      <c r="P104" s="99">
        <f t="shared" si="16"/>
        <v>7.9970140927628304</v>
      </c>
      <c r="Q104" s="99">
        <f t="shared" si="16"/>
        <v>8.0605183769219124</v>
      </c>
      <c r="R104" s="99">
        <f t="shared" si="16"/>
        <v>8.1023049302423562</v>
      </c>
      <c r="S104" s="99">
        <f t="shared" si="16"/>
        <v>8.1366859781397878</v>
      </c>
      <c r="T104" s="99">
        <f t="shared" si="16"/>
        <v>8.1631881605280991</v>
      </c>
      <c r="U104" s="99">
        <f t="shared" si="16"/>
        <v>8.1674940173619568</v>
      </c>
      <c r="V104" s="99">
        <f t="shared" si="16"/>
        <v>8.1692992168056762</v>
      </c>
      <c r="W104" s="99">
        <f t="shared" si="16"/>
        <v>8.1598933350314038</v>
      </c>
      <c r="X104" s="99">
        <f t="shared" si="16"/>
        <v>8.1467409539973854</v>
      </c>
      <c r="Y104" s="99">
        <f t="shared" si="16"/>
        <v>8.101622932772317</v>
      </c>
      <c r="Z104" s="99">
        <f t="shared" si="16"/>
        <v>8.034415521999609</v>
      </c>
      <c r="AA104" s="99">
        <f t="shared" si="16"/>
        <v>8.0058516433120701</v>
      </c>
      <c r="AB104" s="99">
        <f t="shared" si="16"/>
        <v>7.9420026213967532</v>
      </c>
      <c r="AC104" s="99">
        <f t="shared" si="16"/>
        <v>7.8592962198740404</v>
      </c>
    </row>
    <row r="105" spans="1:29" x14ac:dyDescent="0.25">
      <c r="A105" t="s">
        <v>158</v>
      </c>
      <c r="B105" s="99">
        <v>10.72</v>
      </c>
      <c r="C105" s="99">
        <f t="shared" si="15"/>
        <v>10.254787061517105</v>
      </c>
      <c r="D105" s="99">
        <f t="shared" si="16"/>
        <v>9.8159295529216415</v>
      </c>
      <c r="E105" s="99">
        <f t="shared" si="16"/>
        <v>9.5715605017309304</v>
      </c>
      <c r="F105" s="99">
        <f t="shared" si="16"/>
        <v>9.3942269218507821</v>
      </c>
      <c r="G105" s="99">
        <f t="shared" si="16"/>
        <v>9.2450726043629814</v>
      </c>
      <c r="H105" s="99">
        <f t="shared" si="16"/>
        <v>9.1721928175688276</v>
      </c>
      <c r="I105" s="99">
        <f t="shared" si="16"/>
        <v>9.1612682008899373</v>
      </c>
      <c r="J105" s="99">
        <f t="shared" si="16"/>
        <v>9.156298169798097</v>
      </c>
      <c r="K105" s="99">
        <f t="shared" si="16"/>
        <v>9.1470766136060373</v>
      </c>
      <c r="L105" s="99">
        <f t="shared" si="16"/>
        <v>9.2509230459634288</v>
      </c>
      <c r="M105" s="99">
        <f t="shared" si="16"/>
        <v>9.3195521828169117</v>
      </c>
      <c r="N105" s="99">
        <f t="shared" si="16"/>
        <v>9.2974841595713027</v>
      </c>
      <c r="O105" s="99">
        <f t="shared" si="16"/>
        <v>9.3260064845077579</v>
      </c>
      <c r="P105" s="99">
        <f t="shared" si="16"/>
        <v>9.3589509906569379</v>
      </c>
      <c r="Q105" s="99">
        <f t="shared" si="16"/>
        <v>9.4332704149129807</v>
      </c>
      <c r="R105" s="99">
        <f t="shared" si="16"/>
        <v>9.4821734554801367</v>
      </c>
      <c r="S105" s="99">
        <f t="shared" si="16"/>
        <v>9.5224097910107552</v>
      </c>
      <c r="T105" s="99">
        <f t="shared" si="16"/>
        <v>9.5534254455088679</v>
      </c>
      <c r="U105" s="99">
        <f t="shared" si="16"/>
        <v>9.5584646142052598</v>
      </c>
      <c r="V105" s="99">
        <f t="shared" si="16"/>
        <v>9.5605772493621011</v>
      </c>
      <c r="W105" s="99">
        <f t="shared" si="16"/>
        <v>9.5495694925258352</v>
      </c>
      <c r="X105" s="99">
        <f t="shared" si="16"/>
        <v>9.5341771863375513</v>
      </c>
      <c r="Y105" s="99">
        <f t="shared" si="16"/>
        <v>9.4813753099693496</v>
      </c>
      <c r="Z105" s="99">
        <f t="shared" si="16"/>
        <v>9.402722095615264</v>
      </c>
      <c r="AA105" s="99">
        <f t="shared" si="16"/>
        <v>9.3692936262342137</v>
      </c>
      <c r="AB105" s="99">
        <f t="shared" si="16"/>
        <v>9.2945707534250221</v>
      </c>
      <c r="AC105" s="99">
        <f t="shared" si="16"/>
        <v>9.1977789822106679</v>
      </c>
    </row>
    <row r="106" spans="1:29" x14ac:dyDescent="0.25">
      <c r="A106" t="s">
        <v>160</v>
      </c>
      <c r="B106" s="99">
        <v>9.64</v>
      </c>
      <c r="C106" s="99">
        <f t="shared" si="15"/>
        <v>9.221655529200083</v>
      </c>
      <c r="D106" s="99">
        <f t="shared" si="16"/>
        <v>8.8270112770675961</v>
      </c>
      <c r="E106" s="99">
        <f t="shared" si="16"/>
        <v>8.6072614959595306</v>
      </c>
      <c r="F106" s="99">
        <f t="shared" si="16"/>
        <v>8.4477936125598454</v>
      </c>
      <c r="G106" s="99">
        <f t="shared" si="16"/>
        <v>8.3136660360129806</v>
      </c>
      <c r="H106" s="99">
        <f t="shared" si="16"/>
        <v>8.2481286157988336</v>
      </c>
      <c r="I106" s="99">
        <f t="shared" si="16"/>
        <v>8.2383046134868465</v>
      </c>
      <c r="J106" s="99">
        <f t="shared" si="16"/>
        <v>8.233835294482617</v>
      </c>
      <c r="K106" s="99">
        <f t="shared" si="16"/>
        <v>8.2255427756681154</v>
      </c>
      <c r="L106" s="99">
        <f t="shared" si="16"/>
        <v>8.3189270674521865</v>
      </c>
      <c r="M106" s="99">
        <f t="shared" si="16"/>
        <v>8.380642074846552</v>
      </c>
      <c r="N106" s="99">
        <f t="shared" si="16"/>
        <v>8.3607973225995664</v>
      </c>
      <c r="O106" s="99">
        <f t="shared" si="16"/>
        <v>8.3864461297252593</v>
      </c>
      <c r="P106" s="99">
        <f t="shared" si="16"/>
        <v>8.4160715998071716</v>
      </c>
      <c r="Q106" s="99">
        <f t="shared" si="16"/>
        <v>8.4829036193807035</v>
      </c>
      <c r="R106" s="99">
        <f t="shared" si="16"/>
        <v>8.5268798610847494</v>
      </c>
      <c r="S106" s="99">
        <f t="shared" si="16"/>
        <v>8.5630625359462389</v>
      </c>
      <c r="T106" s="99">
        <f t="shared" ref="D106:AC107" si="17">$B106*T$108</f>
        <v>8.590953478983721</v>
      </c>
      <c r="U106" s="99">
        <f t="shared" si="17"/>
        <v>8.5954849702368197</v>
      </c>
      <c r="V106" s="99">
        <f t="shared" si="17"/>
        <v>8.5973847652845752</v>
      </c>
      <c r="W106" s="99">
        <f t="shared" si="17"/>
        <v>8.5874859988758452</v>
      </c>
      <c r="X106" s="99">
        <f t="shared" si="17"/>
        <v>8.5736444101020517</v>
      </c>
      <c r="Y106" s="99">
        <f t="shared" si="17"/>
        <v>8.5261621257560183</v>
      </c>
      <c r="Z106" s="99">
        <f t="shared" si="17"/>
        <v>8.4554329292659656</v>
      </c>
      <c r="AA106" s="99">
        <f t="shared" si="17"/>
        <v>8.4253722534419602</v>
      </c>
      <c r="AB106" s="99">
        <f t="shared" si="17"/>
        <v>8.3581774312516046</v>
      </c>
      <c r="AC106" s="99">
        <f t="shared" si="17"/>
        <v>8.2711370698237729</v>
      </c>
    </row>
    <row r="107" spans="1:29" x14ac:dyDescent="0.25">
      <c r="A107" t="s">
        <v>134</v>
      </c>
      <c r="B107" s="99">
        <v>12.74</v>
      </c>
      <c r="C107" s="99">
        <f t="shared" si="15"/>
        <v>12.187125668258201</v>
      </c>
      <c r="D107" s="99">
        <f t="shared" si="17"/>
        <v>11.665572994796801</v>
      </c>
      <c r="E107" s="99">
        <f t="shared" si="17"/>
        <v>11.375156790303363</v>
      </c>
      <c r="F107" s="99">
        <f t="shared" si="17"/>
        <v>11.164407741080128</v>
      </c>
      <c r="G107" s="99">
        <f t="shared" si="17"/>
        <v>10.98714785257317</v>
      </c>
      <c r="H107" s="99">
        <f t="shared" si="17"/>
        <v>10.900535120879372</v>
      </c>
      <c r="I107" s="99">
        <f t="shared" si="17"/>
        <v>10.88755194769942</v>
      </c>
      <c r="J107" s="99">
        <f t="shared" si="17"/>
        <v>10.881645399554829</v>
      </c>
      <c r="K107" s="99">
        <f t="shared" si="17"/>
        <v>10.870686199378817</v>
      </c>
      <c r="L107" s="99">
        <f t="shared" si="17"/>
        <v>10.994100709475193</v>
      </c>
      <c r="M107" s="99">
        <f t="shared" si="17"/>
        <v>11.07566182920592</v>
      </c>
      <c r="N107" s="99">
        <f t="shared" si="17"/>
        <v>11.049435465759178</v>
      </c>
      <c r="O107" s="99">
        <f t="shared" si="17"/>
        <v>11.083332333267615</v>
      </c>
      <c r="P107" s="99">
        <f t="shared" si="17"/>
        <v>11.122484666135204</v>
      </c>
      <c r="Q107" s="99">
        <f t="shared" si="17"/>
        <v>11.210808310260388</v>
      </c>
      <c r="R107" s="99">
        <f t="shared" si="17"/>
        <v>11.268926289441879</v>
      </c>
      <c r="S107" s="99">
        <f t="shared" si="17"/>
        <v>11.316744471779574</v>
      </c>
      <c r="T107" s="99">
        <f t="shared" si="17"/>
        <v>11.353604494009605</v>
      </c>
      <c r="U107" s="99">
        <f t="shared" si="17"/>
        <v>11.359593207553639</v>
      </c>
      <c r="V107" s="99">
        <f t="shared" si="17"/>
        <v>11.362103932544139</v>
      </c>
      <c r="W107" s="99">
        <f t="shared" si="17"/>
        <v>11.349021952871189</v>
      </c>
      <c r="X107" s="99">
        <f t="shared" si="17"/>
        <v>11.330729230778022</v>
      </c>
      <c r="Y107" s="99">
        <f t="shared" si="17"/>
        <v>11.267977747109095</v>
      </c>
      <c r="Z107" s="99">
        <f t="shared" si="17"/>
        <v>11.17450368452784</v>
      </c>
      <c r="AA107" s="99">
        <f t="shared" si="17"/>
        <v>11.134776193864168</v>
      </c>
      <c r="AB107" s="99">
        <f t="shared" si="17"/>
        <v>11.045973078230855</v>
      </c>
      <c r="AC107" s="99">
        <f t="shared" si="17"/>
        <v>10.930942559082455</v>
      </c>
    </row>
    <row r="108" spans="1:29" x14ac:dyDescent="0.25">
      <c r="B108" s="99">
        <v>1</v>
      </c>
      <c r="C108" s="99">
        <v>0.95660327066390893</v>
      </c>
      <c r="D108" s="99">
        <v>0.9156650702352277</v>
      </c>
      <c r="E108" s="99">
        <v>0.89286944978833305</v>
      </c>
      <c r="F108" s="99">
        <v>0.87632713823234909</v>
      </c>
      <c r="G108" s="99">
        <v>0.86241348921296468</v>
      </c>
      <c r="H108" s="99">
        <v>0.85561500163888315</v>
      </c>
      <c r="I108" s="99">
        <v>0.85459591426212089</v>
      </c>
      <c r="J108" s="99">
        <v>0.85413229195877771</v>
      </c>
      <c r="K108" s="99">
        <v>0.85327207216474221</v>
      </c>
      <c r="L108" s="99">
        <v>0.86295923936226004</v>
      </c>
      <c r="M108" s="99">
        <v>0.86936121108366715</v>
      </c>
      <c r="N108" s="99">
        <v>0.86730262682568116</v>
      </c>
      <c r="O108" s="99">
        <v>0.86996329146527585</v>
      </c>
      <c r="P108" s="99">
        <v>0.87303647300904264</v>
      </c>
      <c r="Q108" s="99">
        <v>0.87996925512247948</v>
      </c>
      <c r="R108" s="99">
        <v>0.88453110592165451</v>
      </c>
      <c r="S108" s="99">
        <v>0.88828449543010779</v>
      </c>
      <c r="T108" s="99">
        <v>0.89117774678254358</v>
      </c>
      <c r="U108" s="99">
        <v>0.89164781848929664</v>
      </c>
      <c r="V108" s="99">
        <v>0.89184489266437506</v>
      </c>
      <c r="W108" s="99">
        <v>0.89081804967591749</v>
      </c>
      <c r="X108" s="99">
        <v>0.88938220021805514</v>
      </c>
      <c r="Y108" s="99">
        <v>0.88445665204937951</v>
      </c>
      <c r="Z108" s="99">
        <v>0.87711959847157306</v>
      </c>
      <c r="AA108" s="99">
        <v>0.87400127110393777</v>
      </c>
      <c r="AB108" s="99">
        <v>0.86703085386427436</v>
      </c>
      <c r="AC108" s="99">
        <v>0.85800177072860706</v>
      </c>
    </row>
    <row r="109" spans="1:29" x14ac:dyDescent="0.25">
      <c r="B109" s="258" t="s">
        <v>516</v>
      </c>
      <c r="C109" s="258"/>
      <c r="D109" s="258"/>
      <c r="E109" s="258"/>
      <c r="F109" s="258"/>
      <c r="G109" s="258"/>
      <c r="H109" s="258"/>
      <c r="I109" s="258"/>
      <c r="J109" s="258"/>
      <c r="K109" s="258"/>
      <c r="L109" s="258"/>
      <c r="M109" s="258"/>
      <c r="N109" s="258"/>
      <c r="O109" s="258"/>
      <c r="P109" s="258"/>
      <c r="Q109" s="258"/>
      <c r="R109" s="258"/>
      <c r="S109" s="258"/>
      <c r="T109" s="258"/>
      <c r="U109" s="258"/>
      <c r="V109" s="258"/>
      <c r="W109" s="258"/>
      <c r="X109" s="258"/>
      <c r="Y109" s="258"/>
      <c r="Z109" s="258"/>
      <c r="AA109" s="258"/>
      <c r="AB109" s="258"/>
      <c r="AC109" s="258"/>
    </row>
    <row r="110" spans="1:29" x14ac:dyDescent="0.25">
      <c r="B110" s="177">
        <v>2023</v>
      </c>
      <c r="C110" s="177">
        <v>2024</v>
      </c>
      <c r="D110" s="177">
        <v>2025</v>
      </c>
      <c r="E110" s="177">
        <v>2026</v>
      </c>
      <c r="F110" s="177">
        <v>2027</v>
      </c>
      <c r="G110" s="177">
        <v>2028</v>
      </c>
      <c r="H110" s="177">
        <v>2029</v>
      </c>
      <c r="I110" s="177">
        <v>2030</v>
      </c>
      <c r="J110" s="177">
        <v>2031</v>
      </c>
      <c r="K110" s="177">
        <v>2032</v>
      </c>
      <c r="L110" s="177">
        <v>2033</v>
      </c>
      <c r="M110" s="177">
        <v>2034</v>
      </c>
      <c r="N110" s="177">
        <v>2035</v>
      </c>
      <c r="O110" s="177">
        <v>2036</v>
      </c>
      <c r="P110" s="177">
        <v>2037</v>
      </c>
      <c r="Q110" s="177">
        <v>2038</v>
      </c>
      <c r="R110" s="177">
        <v>2039</v>
      </c>
      <c r="S110" s="177">
        <v>2040</v>
      </c>
      <c r="T110" s="177">
        <v>2041</v>
      </c>
      <c r="U110" s="177">
        <v>2042</v>
      </c>
      <c r="V110" s="177">
        <v>2043</v>
      </c>
      <c r="W110" s="177">
        <v>2044</v>
      </c>
      <c r="X110" s="177">
        <v>2045</v>
      </c>
      <c r="Y110" s="177">
        <v>2046</v>
      </c>
      <c r="Z110" s="177">
        <v>2047</v>
      </c>
      <c r="AA110" s="177">
        <v>2048</v>
      </c>
      <c r="AB110" s="177">
        <v>2049</v>
      </c>
      <c r="AC110" s="177">
        <v>2050</v>
      </c>
    </row>
    <row r="111" spans="1:29" x14ac:dyDescent="0.25">
      <c r="A111" t="s">
        <v>187</v>
      </c>
      <c r="B111" s="99">
        <v>3.0905000000000005</v>
      </c>
      <c r="C111" s="99">
        <f>$B111*C$162</f>
        <v>2.8014341591145988</v>
      </c>
      <c r="D111" s="99">
        <f t="shared" ref="D111:AC120" si="18">$B111*D$162</f>
        <v>2.614431456374315</v>
      </c>
      <c r="E111" s="99">
        <f t="shared" si="18"/>
        <v>2.5860910237013939</v>
      </c>
      <c r="F111" s="99">
        <f t="shared" si="18"/>
        <v>2.5700257715951347</v>
      </c>
      <c r="G111" s="99">
        <f t="shared" si="18"/>
        <v>2.5706425640288804</v>
      </c>
      <c r="H111" s="99">
        <f t="shared" si="18"/>
        <v>2.5745506013344936</v>
      </c>
      <c r="I111" s="99">
        <f t="shared" si="18"/>
        <v>2.5829051054063261</v>
      </c>
      <c r="J111" s="99">
        <f t="shared" si="18"/>
        <v>2.5786322168386748</v>
      </c>
      <c r="K111" s="99">
        <f t="shared" si="18"/>
        <v>2.5916219329023531</v>
      </c>
      <c r="L111" s="99">
        <f t="shared" si="18"/>
        <v>2.597373606608286</v>
      </c>
      <c r="M111" s="99">
        <f t="shared" si="18"/>
        <v>2.6057525464459363</v>
      </c>
      <c r="N111" s="99">
        <f t="shared" si="18"/>
        <v>2.6109649480786499</v>
      </c>
      <c r="O111" s="99">
        <f t="shared" si="18"/>
        <v>2.6387096536331862</v>
      </c>
      <c r="P111" s="99">
        <f t="shared" si="18"/>
        <v>2.6421483557125756</v>
      </c>
      <c r="Q111" s="99">
        <f t="shared" si="18"/>
        <v>2.6498287696928835</v>
      </c>
      <c r="R111" s="99">
        <f t="shared" si="18"/>
        <v>2.6610304617887928</v>
      </c>
      <c r="S111" s="99">
        <f t="shared" si="18"/>
        <v>2.6641944721558861</v>
      </c>
      <c r="T111" s="99">
        <f t="shared" si="18"/>
        <v>2.6639265213445049</v>
      </c>
      <c r="U111" s="99">
        <f t="shared" si="18"/>
        <v>2.6704988997368693</v>
      </c>
      <c r="V111" s="99">
        <f t="shared" si="18"/>
        <v>2.6594202290826634</v>
      </c>
      <c r="W111" s="99">
        <f t="shared" si="18"/>
        <v>2.6765859332633362</v>
      </c>
      <c r="X111" s="99">
        <f t="shared" si="18"/>
        <v>2.6773055244360386</v>
      </c>
      <c r="Y111" s="99">
        <f t="shared" si="18"/>
        <v>2.7514385822514513</v>
      </c>
      <c r="Z111" s="99">
        <f t="shared" si="18"/>
        <v>2.7508613926105836</v>
      </c>
      <c r="AA111" s="99">
        <f t="shared" si="18"/>
        <v>2.7729226760809533</v>
      </c>
      <c r="AB111" s="99">
        <f t="shared" si="18"/>
        <v>2.7797756444739146</v>
      </c>
      <c r="AC111" s="99">
        <f t="shared" si="18"/>
        <v>2.8037901039844768</v>
      </c>
    </row>
    <row r="112" spans="1:29" x14ac:dyDescent="0.25">
      <c r="A112" t="s">
        <v>231</v>
      </c>
      <c r="B112" s="99">
        <v>4.5133653846153869</v>
      </c>
      <c r="C112" s="99">
        <f t="shared" ref="C112:R136" si="19">$B112*C$162</f>
        <v>4.0912137068522707</v>
      </c>
      <c r="D112" s="99">
        <f t="shared" si="18"/>
        <v>3.8181150091083724</v>
      </c>
      <c r="E112" s="99">
        <f t="shared" si="18"/>
        <v>3.7767266487100599</v>
      </c>
      <c r="F112" s="99">
        <f t="shared" si="18"/>
        <v>3.7532649587726681</v>
      </c>
      <c r="G112" s="99">
        <f t="shared" si="18"/>
        <v>3.7541657222801779</v>
      </c>
      <c r="H112" s="99">
        <f t="shared" si="18"/>
        <v>3.7598730189302159</v>
      </c>
      <c r="I112" s="99">
        <f t="shared" si="18"/>
        <v>3.7720739344725018</v>
      </c>
      <c r="J112" s="99">
        <f t="shared" si="18"/>
        <v>3.7658338091356454</v>
      </c>
      <c r="K112" s="99">
        <f t="shared" si="18"/>
        <v>3.7848039870478885</v>
      </c>
      <c r="L112" s="99">
        <f t="shared" si="18"/>
        <v>3.7932037298105352</v>
      </c>
      <c r="M112" s="99">
        <f t="shared" si="18"/>
        <v>3.8054403313387759</v>
      </c>
      <c r="N112" s="99">
        <f t="shared" si="18"/>
        <v>3.8130525213079718</v>
      </c>
      <c r="O112" s="99">
        <f t="shared" si="18"/>
        <v>3.85357088197977</v>
      </c>
      <c r="P112" s="99">
        <f t="shared" si="18"/>
        <v>3.8585927615892572</v>
      </c>
      <c r="Q112" s="99">
        <f t="shared" si="18"/>
        <v>3.8698092361397305</v>
      </c>
      <c r="R112" s="99">
        <f t="shared" si="18"/>
        <v>3.886168184321189</v>
      </c>
      <c r="S112" s="99">
        <f t="shared" si="18"/>
        <v>3.8907889042265125</v>
      </c>
      <c r="T112" s="99">
        <f t="shared" si="18"/>
        <v>3.8903975889322666</v>
      </c>
      <c r="U112" s="99">
        <f t="shared" si="18"/>
        <v>3.8999958886024468</v>
      </c>
      <c r="V112" s="99">
        <f t="shared" si="18"/>
        <v>3.8838166009019943</v>
      </c>
      <c r="W112" s="99">
        <f t="shared" si="18"/>
        <v>3.9088853907585208</v>
      </c>
      <c r="X112" s="99">
        <f t="shared" si="18"/>
        <v>3.909936281517282</v>
      </c>
      <c r="Y112" s="99">
        <f t="shared" si="18"/>
        <v>4.0182001795919549</v>
      </c>
      <c r="Z112" s="99">
        <f t="shared" si="18"/>
        <v>4.0173572519927143</v>
      </c>
      <c r="AA112" s="99">
        <f t="shared" si="18"/>
        <v>4.049575544552285</v>
      </c>
      <c r="AB112" s="99">
        <f t="shared" si="18"/>
        <v>4.0595836177853073</v>
      </c>
      <c r="AC112" s="99">
        <f t="shared" si="18"/>
        <v>4.0946543281186578</v>
      </c>
    </row>
    <row r="113" spans="1:29" x14ac:dyDescent="0.25">
      <c r="A113" t="s">
        <v>189</v>
      </c>
      <c r="B113" s="99">
        <v>4.5133653846153869</v>
      </c>
      <c r="C113" s="99">
        <f t="shared" si="19"/>
        <v>4.0912137068522707</v>
      </c>
      <c r="D113" s="99">
        <f t="shared" si="18"/>
        <v>3.8181150091083724</v>
      </c>
      <c r="E113" s="99">
        <f t="shared" si="18"/>
        <v>3.7767266487100599</v>
      </c>
      <c r="F113" s="99">
        <f t="shared" si="18"/>
        <v>3.7532649587726681</v>
      </c>
      <c r="G113" s="99">
        <f t="shared" si="18"/>
        <v>3.7541657222801779</v>
      </c>
      <c r="H113" s="99">
        <f t="shared" si="18"/>
        <v>3.7598730189302159</v>
      </c>
      <c r="I113" s="99">
        <f t="shared" si="18"/>
        <v>3.7720739344725018</v>
      </c>
      <c r="J113" s="99">
        <f t="shared" si="18"/>
        <v>3.7658338091356454</v>
      </c>
      <c r="K113" s="99">
        <f t="shared" si="18"/>
        <v>3.7848039870478885</v>
      </c>
      <c r="L113" s="99">
        <f t="shared" si="18"/>
        <v>3.7932037298105352</v>
      </c>
      <c r="M113" s="99">
        <f t="shared" si="18"/>
        <v>3.8054403313387759</v>
      </c>
      <c r="N113" s="99">
        <f t="shared" si="18"/>
        <v>3.8130525213079718</v>
      </c>
      <c r="O113" s="99">
        <f t="shared" si="18"/>
        <v>3.85357088197977</v>
      </c>
      <c r="P113" s="99">
        <f t="shared" si="18"/>
        <v>3.8585927615892572</v>
      </c>
      <c r="Q113" s="99">
        <f t="shared" si="18"/>
        <v>3.8698092361397305</v>
      </c>
      <c r="R113" s="99">
        <f t="shared" si="18"/>
        <v>3.886168184321189</v>
      </c>
      <c r="S113" s="99">
        <f t="shared" si="18"/>
        <v>3.8907889042265125</v>
      </c>
      <c r="T113" s="99">
        <f t="shared" si="18"/>
        <v>3.8903975889322666</v>
      </c>
      <c r="U113" s="99">
        <f t="shared" si="18"/>
        <v>3.8999958886024468</v>
      </c>
      <c r="V113" s="99">
        <f t="shared" si="18"/>
        <v>3.8838166009019943</v>
      </c>
      <c r="W113" s="99">
        <f t="shared" si="18"/>
        <v>3.9088853907585208</v>
      </c>
      <c r="X113" s="99">
        <f t="shared" si="18"/>
        <v>3.909936281517282</v>
      </c>
      <c r="Y113" s="99">
        <f t="shared" si="18"/>
        <v>4.0182001795919549</v>
      </c>
      <c r="Z113" s="99">
        <f t="shared" si="18"/>
        <v>4.0173572519927143</v>
      </c>
      <c r="AA113" s="99">
        <f t="shared" si="18"/>
        <v>4.049575544552285</v>
      </c>
      <c r="AB113" s="99">
        <f t="shared" si="18"/>
        <v>4.0595836177853073</v>
      </c>
      <c r="AC113" s="99">
        <f t="shared" si="18"/>
        <v>4.0946543281186578</v>
      </c>
    </row>
    <row r="114" spans="1:29" x14ac:dyDescent="0.25">
      <c r="A114" t="s">
        <v>188</v>
      </c>
      <c r="B114" s="99">
        <v>3.0905000000000005</v>
      </c>
      <c r="C114" s="99">
        <f t="shared" si="19"/>
        <v>2.8014341591145988</v>
      </c>
      <c r="D114" s="99">
        <f t="shared" si="18"/>
        <v>2.614431456374315</v>
      </c>
      <c r="E114" s="99">
        <f t="shared" si="18"/>
        <v>2.5860910237013939</v>
      </c>
      <c r="F114" s="99">
        <f t="shared" si="18"/>
        <v>2.5700257715951347</v>
      </c>
      <c r="G114" s="99">
        <f t="shared" si="18"/>
        <v>2.5706425640288804</v>
      </c>
      <c r="H114" s="99">
        <f t="shared" si="18"/>
        <v>2.5745506013344936</v>
      </c>
      <c r="I114" s="99">
        <f t="shared" si="18"/>
        <v>2.5829051054063261</v>
      </c>
      <c r="J114" s="99">
        <f t="shared" si="18"/>
        <v>2.5786322168386748</v>
      </c>
      <c r="K114" s="99">
        <f t="shared" si="18"/>
        <v>2.5916219329023531</v>
      </c>
      <c r="L114" s="99">
        <f t="shared" si="18"/>
        <v>2.597373606608286</v>
      </c>
      <c r="M114" s="99">
        <f t="shared" si="18"/>
        <v>2.6057525464459363</v>
      </c>
      <c r="N114" s="99">
        <f t="shared" si="18"/>
        <v>2.6109649480786499</v>
      </c>
      <c r="O114" s="99">
        <f t="shared" si="18"/>
        <v>2.6387096536331862</v>
      </c>
      <c r="P114" s="99">
        <f t="shared" si="18"/>
        <v>2.6421483557125756</v>
      </c>
      <c r="Q114" s="99">
        <f t="shared" si="18"/>
        <v>2.6498287696928835</v>
      </c>
      <c r="R114" s="99">
        <f t="shared" si="18"/>
        <v>2.6610304617887928</v>
      </c>
      <c r="S114" s="99">
        <f t="shared" si="18"/>
        <v>2.6641944721558861</v>
      </c>
      <c r="T114" s="99">
        <f t="shared" si="18"/>
        <v>2.6639265213445049</v>
      </c>
      <c r="U114" s="99">
        <f t="shared" si="18"/>
        <v>2.6704988997368693</v>
      </c>
      <c r="V114" s="99">
        <f t="shared" si="18"/>
        <v>2.6594202290826634</v>
      </c>
      <c r="W114" s="99">
        <f t="shared" si="18"/>
        <v>2.6765859332633362</v>
      </c>
      <c r="X114" s="99">
        <f t="shared" si="18"/>
        <v>2.6773055244360386</v>
      </c>
      <c r="Y114" s="99">
        <f t="shared" si="18"/>
        <v>2.7514385822514513</v>
      </c>
      <c r="Z114" s="99">
        <f t="shared" si="18"/>
        <v>2.7508613926105836</v>
      </c>
      <c r="AA114" s="99">
        <f t="shared" si="18"/>
        <v>2.7729226760809533</v>
      </c>
      <c r="AB114" s="99">
        <f t="shared" si="18"/>
        <v>2.7797756444739146</v>
      </c>
      <c r="AC114" s="99">
        <f t="shared" si="18"/>
        <v>2.8037901039844768</v>
      </c>
    </row>
    <row r="115" spans="1:29" x14ac:dyDescent="0.25">
      <c r="A115" t="s">
        <v>149</v>
      </c>
      <c r="B115" s="99">
        <v>4.5133653846153869</v>
      </c>
      <c r="C115" s="99">
        <f t="shared" si="19"/>
        <v>4.0912137068522707</v>
      </c>
      <c r="D115" s="99">
        <f t="shared" si="18"/>
        <v>3.8181150091083724</v>
      </c>
      <c r="E115" s="99">
        <f t="shared" si="18"/>
        <v>3.7767266487100599</v>
      </c>
      <c r="F115" s="99">
        <f t="shared" si="18"/>
        <v>3.7532649587726681</v>
      </c>
      <c r="G115" s="99">
        <f t="shared" si="18"/>
        <v>3.7541657222801779</v>
      </c>
      <c r="H115" s="99">
        <f t="shared" si="18"/>
        <v>3.7598730189302159</v>
      </c>
      <c r="I115" s="99">
        <f t="shared" si="18"/>
        <v>3.7720739344725018</v>
      </c>
      <c r="J115" s="99">
        <f t="shared" si="18"/>
        <v>3.7658338091356454</v>
      </c>
      <c r="K115" s="99">
        <f t="shared" si="18"/>
        <v>3.7848039870478885</v>
      </c>
      <c r="L115" s="99">
        <f t="shared" si="18"/>
        <v>3.7932037298105352</v>
      </c>
      <c r="M115" s="99">
        <f t="shared" si="18"/>
        <v>3.8054403313387759</v>
      </c>
      <c r="N115" s="99">
        <f t="shared" si="18"/>
        <v>3.8130525213079718</v>
      </c>
      <c r="O115" s="99">
        <f t="shared" si="18"/>
        <v>3.85357088197977</v>
      </c>
      <c r="P115" s="99">
        <f t="shared" si="18"/>
        <v>3.8585927615892572</v>
      </c>
      <c r="Q115" s="99">
        <f t="shared" si="18"/>
        <v>3.8698092361397305</v>
      </c>
      <c r="R115" s="99">
        <f t="shared" si="18"/>
        <v>3.886168184321189</v>
      </c>
      <c r="S115" s="99">
        <f t="shared" si="18"/>
        <v>3.8907889042265125</v>
      </c>
      <c r="T115" s="99">
        <f t="shared" si="18"/>
        <v>3.8903975889322666</v>
      </c>
      <c r="U115" s="99">
        <f t="shared" si="18"/>
        <v>3.8999958886024468</v>
      </c>
      <c r="V115" s="99">
        <f t="shared" si="18"/>
        <v>3.8838166009019943</v>
      </c>
      <c r="W115" s="99">
        <f t="shared" si="18"/>
        <v>3.9088853907585208</v>
      </c>
      <c r="X115" s="99">
        <f t="shared" si="18"/>
        <v>3.909936281517282</v>
      </c>
      <c r="Y115" s="99">
        <f t="shared" si="18"/>
        <v>4.0182001795919549</v>
      </c>
      <c r="Z115" s="99">
        <f t="shared" si="18"/>
        <v>4.0173572519927143</v>
      </c>
      <c r="AA115" s="99">
        <f t="shared" si="18"/>
        <v>4.049575544552285</v>
      </c>
      <c r="AB115" s="99">
        <f t="shared" si="18"/>
        <v>4.0595836177853073</v>
      </c>
      <c r="AC115" s="99">
        <f t="shared" si="18"/>
        <v>4.0946543281186578</v>
      </c>
    </row>
    <row r="116" spans="1:29" x14ac:dyDescent="0.25">
      <c r="A116" t="s">
        <v>190</v>
      </c>
      <c r="B116" s="99">
        <v>3.5969230769230762</v>
      </c>
      <c r="C116" s="99">
        <f t="shared" si="19"/>
        <v>3.2604896215498758</v>
      </c>
      <c r="D116" s="99">
        <f t="shared" si="18"/>
        <v>3.0428438241276101</v>
      </c>
      <c r="E116" s="99">
        <f t="shared" si="18"/>
        <v>3.0098594020951834</v>
      </c>
      <c r="F116" s="99">
        <f t="shared" si="18"/>
        <v>2.991161626318581</v>
      </c>
      <c r="G116" s="99">
        <f t="shared" si="18"/>
        <v>2.9918794891040883</v>
      </c>
      <c r="H116" s="99">
        <f t="shared" si="18"/>
        <v>2.9964279147860289</v>
      </c>
      <c r="I116" s="99">
        <f t="shared" si="18"/>
        <v>3.0061514250569306</v>
      </c>
      <c r="J116" s="99">
        <f t="shared" si="18"/>
        <v>3.0011783619622512</v>
      </c>
      <c r="K116" s="99">
        <f t="shared" si="18"/>
        <v>3.0162966306799741</v>
      </c>
      <c r="L116" s="99">
        <f t="shared" si="18"/>
        <v>3.0229907992235114</v>
      </c>
      <c r="M116" s="99">
        <f t="shared" si="18"/>
        <v>3.0327427494135115</v>
      </c>
      <c r="N116" s="99">
        <f t="shared" si="18"/>
        <v>3.0388092783631633</v>
      </c>
      <c r="O116" s="99">
        <f t="shared" si="18"/>
        <v>3.0711003547817195</v>
      </c>
      <c r="P116" s="99">
        <f t="shared" si="18"/>
        <v>3.075102537879606</v>
      </c>
      <c r="Q116" s="99">
        <f t="shared" si="18"/>
        <v>3.0840414986581504</v>
      </c>
      <c r="R116" s="99">
        <f t="shared" si="18"/>
        <v>3.0970787498473964</v>
      </c>
      <c r="S116" s="99">
        <f t="shared" si="18"/>
        <v>3.1007612290271473</v>
      </c>
      <c r="T116" s="99">
        <f t="shared" si="18"/>
        <v>3.1004493706039353</v>
      </c>
      <c r="U116" s="99">
        <f t="shared" si="18"/>
        <v>3.1080987281544181</v>
      </c>
      <c r="V116" s="99">
        <f t="shared" si="18"/>
        <v>3.0952046572475278</v>
      </c>
      <c r="W116" s="99">
        <f t="shared" si="18"/>
        <v>3.1151832100704029</v>
      </c>
      <c r="X116" s="99">
        <f t="shared" si="18"/>
        <v>3.1160207166534946</v>
      </c>
      <c r="Y116" s="99">
        <f t="shared" si="18"/>
        <v>3.202301547075475</v>
      </c>
      <c r="Z116" s="99">
        <f t="shared" si="18"/>
        <v>3.201629776572644</v>
      </c>
      <c r="AA116" s="99">
        <f t="shared" si="18"/>
        <v>3.2273061200837634</v>
      </c>
      <c r="AB116" s="99">
        <f t="shared" si="18"/>
        <v>3.2352820463604397</v>
      </c>
      <c r="AC116" s="99">
        <f t="shared" si="18"/>
        <v>3.2632316220256641</v>
      </c>
    </row>
    <row r="117" spans="1:29" x14ac:dyDescent="0.25">
      <c r="A117" t="s">
        <v>191</v>
      </c>
      <c r="B117" s="99">
        <v>3.4698076923076924</v>
      </c>
      <c r="C117" s="99">
        <f t="shared" si="19"/>
        <v>3.1452638067592185</v>
      </c>
      <c r="D117" s="99">
        <f t="shared" si="18"/>
        <v>2.9353096192651029</v>
      </c>
      <c r="E117" s="99">
        <f t="shared" si="18"/>
        <v>2.9034908678359392</v>
      </c>
      <c r="F117" s="99">
        <f t="shared" si="18"/>
        <v>2.8854538720950687</v>
      </c>
      <c r="G117" s="99">
        <f t="shared" si="18"/>
        <v>2.8861463655851729</v>
      </c>
      <c r="H117" s="99">
        <f t="shared" si="18"/>
        <v>2.8905340497478789</v>
      </c>
      <c r="I117" s="99">
        <f t="shared" si="18"/>
        <v>2.8999139308330948</v>
      </c>
      <c r="J117" s="99">
        <f t="shared" si="18"/>
        <v>2.8951166159583464</v>
      </c>
      <c r="K117" s="99">
        <f t="shared" si="18"/>
        <v>2.9097006045422789</v>
      </c>
      <c r="L117" s="99">
        <f t="shared" si="18"/>
        <v>2.9161582009404312</v>
      </c>
      <c r="M117" s="99">
        <f t="shared" si="18"/>
        <v>2.9255655168770316</v>
      </c>
      <c r="N117" s="99">
        <f t="shared" si="18"/>
        <v>2.9314176544860224</v>
      </c>
      <c r="O117" s="99">
        <f t="shared" si="18"/>
        <v>2.962567563159034</v>
      </c>
      <c r="P117" s="99">
        <f t="shared" si="18"/>
        <v>2.9664283089692978</v>
      </c>
      <c r="Q117" s="99">
        <f t="shared" si="18"/>
        <v>2.9750513665680614</v>
      </c>
      <c r="R117" s="99">
        <f t="shared" si="18"/>
        <v>2.9876278808541801</v>
      </c>
      <c r="S117" s="99">
        <f t="shared" si="18"/>
        <v>2.9911802210937144</v>
      </c>
      <c r="T117" s="99">
        <f t="shared" si="18"/>
        <v>2.9908793837578496</v>
      </c>
      <c r="U117" s="99">
        <f t="shared" si="18"/>
        <v>2.9982584127507579</v>
      </c>
      <c r="V117" s="99">
        <f t="shared" si="18"/>
        <v>2.9858200187509172</v>
      </c>
      <c r="W117" s="99">
        <f t="shared" si="18"/>
        <v>3.0050925288334205</v>
      </c>
      <c r="X117" s="99">
        <f t="shared" si="18"/>
        <v>3.0059004379052081</v>
      </c>
      <c r="Y117" s="99">
        <f t="shared" si="18"/>
        <v>3.0891321008277806</v>
      </c>
      <c r="Z117" s="99">
        <f t="shared" si="18"/>
        <v>3.0884840707175059</v>
      </c>
      <c r="AA117" s="99">
        <f t="shared" si="18"/>
        <v>3.1132530113703676</v>
      </c>
      <c r="AB117" s="99">
        <f t="shared" si="18"/>
        <v>3.1209470681395115</v>
      </c>
      <c r="AC117" s="99">
        <f t="shared" si="18"/>
        <v>3.1479089048443685</v>
      </c>
    </row>
    <row r="118" spans="1:29" x14ac:dyDescent="0.25">
      <c r="A118" t="s">
        <v>192</v>
      </c>
      <c r="B118" s="99">
        <v>3.561634615384615</v>
      </c>
      <c r="C118" s="99">
        <f t="shared" si="19"/>
        <v>3.2285018197131352</v>
      </c>
      <c r="D118" s="99">
        <f t="shared" si="18"/>
        <v>3.0129912876793954</v>
      </c>
      <c r="E118" s="99">
        <f t="shared" si="18"/>
        <v>2.9803304670928066</v>
      </c>
      <c r="F118" s="99">
        <f t="shared" si="18"/>
        <v>2.9618161302519934</v>
      </c>
      <c r="G118" s="99">
        <f t="shared" si="18"/>
        <v>2.9625269502754636</v>
      </c>
      <c r="H118" s="99">
        <f t="shared" si="18"/>
        <v>2.967030752555317</v>
      </c>
      <c r="I118" s="99">
        <f t="shared" si="18"/>
        <v>2.9766588680371515</v>
      </c>
      <c r="J118" s="99">
        <f t="shared" si="18"/>
        <v>2.9717345943499724</v>
      </c>
      <c r="K118" s="99">
        <f t="shared" si="18"/>
        <v>2.9867045417294946</v>
      </c>
      <c r="L118" s="99">
        <f t="shared" si="18"/>
        <v>2.9933330355549104</v>
      </c>
      <c r="M118" s="99">
        <f t="shared" si="18"/>
        <v>3.0029893119393147</v>
      </c>
      <c r="N118" s="99">
        <f t="shared" si="18"/>
        <v>3.0089963237769979</v>
      </c>
      <c r="O118" s="99">
        <f t="shared" si="18"/>
        <v>3.0409706009802631</v>
      </c>
      <c r="P118" s="99">
        <f t="shared" si="18"/>
        <v>3.0449335197176675</v>
      </c>
      <c r="Q118" s="99">
        <f t="shared" si="18"/>
        <v>3.0537847827148354</v>
      </c>
      <c r="R118" s="99">
        <f t="shared" si="18"/>
        <v>3.0666941288787801</v>
      </c>
      <c r="S118" s="99">
        <f t="shared" si="18"/>
        <v>3.0703404802286829</v>
      </c>
      <c r="T118" s="99">
        <f t="shared" si="18"/>
        <v>3.0700316813660282</v>
      </c>
      <c r="U118" s="99">
        <f t="shared" si="18"/>
        <v>3.077605993091526</v>
      </c>
      <c r="V118" s="99">
        <f t="shared" si="18"/>
        <v>3.0648384225060332</v>
      </c>
      <c r="W118" s="99">
        <f t="shared" si="18"/>
        <v>3.0846209710280639</v>
      </c>
      <c r="X118" s="99">
        <f t="shared" si="18"/>
        <v>3.0854502610554455</v>
      </c>
      <c r="Y118" s="99">
        <f t="shared" si="18"/>
        <v>3.170884613056637</v>
      </c>
      <c r="Z118" s="99">
        <f t="shared" si="18"/>
        <v>3.1702194331166416</v>
      </c>
      <c r="AA118" s="99">
        <f t="shared" si="18"/>
        <v>3.1956438728085623</v>
      </c>
      <c r="AB118" s="99">
        <f t="shared" si="18"/>
        <v>3.2035415493808026</v>
      </c>
      <c r="AC118" s="99">
        <f t="shared" si="18"/>
        <v>3.2312169191470441</v>
      </c>
    </row>
    <row r="119" spans="1:29" x14ac:dyDescent="0.25">
      <c r="A119" t="s">
        <v>193</v>
      </c>
      <c r="B119" s="99">
        <v>3.2785000000000006</v>
      </c>
      <c r="C119" s="99">
        <f t="shared" si="19"/>
        <v>2.9718498271015084</v>
      </c>
      <c r="D119" s="99">
        <f t="shared" si="18"/>
        <v>2.7734714543676402</v>
      </c>
      <c r="E119" s="99">
        <f t="shared" si="18"/>
        <v>2.7434070283789098</v>
      </c>
      <c r="F119" s="99">
        <f t="shared" si="18"/>
        <v>2.7263645015934799</v>
      </c>
      <c r="G119" s="99">
        <f t="shared" si="18"/>
        <v>2.7270188144859033</v>
      </c>
      <c r="H119" s="99">
        <f t="shared" si="18"/>
        <v>2.731164583878058</v>
      </c>
      <c r="I119" s="99">
        <f t="shared" si="18"/>
        <v>2.7400273056381299</v>
      </c>
      <c r="J119" s="99">
        <f t="shared" si="18"/>
        <v>2.7354944905049656</v>
      </c>
      <c r="K119" s="99">
        <f t="shared" si="18"/>
        <v>2.749274391528997</v>
      </c>
      <c r="L119" s="99">
        <f t="shared" si="18"/>
        <v>2.7553759486378469</v>
      </c>
      <c r="M119" s="99">
        <f t="shared" si="18"/>
        <v>2.764264592629996</v>
      </c>
      <c r="N119" s="99">
        <f t="shared" si="18"/>
        <v>2.7697940728930122</v>
      </c>
      <c r="O119" s="99">
        <f t="shared" si="18"/>
        <v>2.7992265327411103</v>
      </c>
      <c r="P119" s="99">
        <f t="shared" si="18"/>
        <v>2.8028744165033745</v>
      </c>
      <c r="Q119" s="99">
        <f t="shared" si="18"/>
        <v>2.811022042206154</v>
      </c>
      <c r="R119" s="99">
        <f t="shared" si="18"/>
        <v>2.8229051509382166</v>
      </c>
      <c r="S119" s="99">
        <f t="shared" si="18"/>
        <v>2.826261633057134</v>
      </c>
      <c r="T119" s="99">
        <f t="shared" si="18"/>
        <v>2.8259773823743601</v>
      </c>
      <c r="U119" s="99">
        <f t="shared" si="18"/>
        <v>2.8329495689329645</v>
      </c>
      <c r="V119" s="99">
        <f t="shared" si="18"/>
        <v>2.821196965231358</v>
      </c>
      <c r="W119" s="99">
        <f t="shared" si="18"/>
        <v>2.8394068863303179</v>
      </c>
      <c r="X119" s="99">
        <f t="shared" si="18"/>
        <v>2.8401702513714779</v>
      </c>
      <c r="Y119" s="99">
        <f t="shared" si="18"/>
        <v>2.9188129402722485</v>
      </c>
      <c r="Z119" s="99">
        <f t="shared" si="18"/>
        <v>2.9182006392731914</v>
      </c>
      <c r="AA119" s="99">
        <f t="shared" si="18"/>
        <v>2.9416039454882399</v>
      </c>
      <c r="AB119" s="99">
        <f t="shared" si="18"/>
        <v>2.9488737907806923</v>
      </c>
      <c r="AC119" s="99">
        <f t="shared" si="18"/>
        <v>2.9743490878217465</v>
      </c>
    </row>
    <row r="120" spans="1:29" x14ac:dyDescent="0.25">
      <c r="A120" t="s">
        <v>194</v>
      </c>
      <c r="B120" s="99">
        <v>3.2785000000000006</v>
      </c>
      <c r="C120" s="99">
        <f t="shared" si="19"/>
        <v>2.9718498271015084</v>
      </c>
      <c r="D120" s="99">
        <f t="shared" si="18"/>
        <v>2.7734714543676402</v>
      </c>
      <c r="E120" s="99">
        <f t="shared" si="18"/>
        <v>2.7434070283789098</v>
      </c>
      <c r="F120" s="99">
        <f t="shared" si="18"/>
        <v>2.7263645015934799</v>
      </c>
      <c r="G120" s="99">
        <f t="shared" si="18"/>
        <v>2.7270188144859033</v>
      </c>
      <c r="H120" s="99">
        <f t="shared" si="18"/>
        <v>2.731164583878058</v>
      </c>
      <c r="I120" s="99">
        <f t="shared" si="18"/>
        <v>2.7400273056381299</v>
      </c>
      <c r="J120" s="99">
        <f t="shared" si="18"/>
        <v>2.7354944905049656</v>
      </c>
      <c r="K120" s="99">
        <f t="shared" si="18"/>
        <v>2.749274391528997</v>
      </c>
      <c r="L120" s="99">
        <f t="shared" si="18"/>
        <v>2.7553759486378469</v>
      </c>
      <c r="M120" s="99">
        <f t="shared" si="18"/>
        <v>2.764264592629996</v>
      </c>
      <c r="N120" s="99">
        <f t="shared" si="18"/>
        <v>2.7697940728930122</v>
      </c>
      <c r="O120" s="99">
        <f t="shared" si="18"/>
        <v>2.7992265327411103</v>
      </c>
      <c r="P120" s="99">
        <f t="shared" si="18"/>
        <v>2.8028744165033745</v>
      </c>
      <c r="Q120" s="99">
        <f t="shared" si="18"/>
        <v>2.811022042206154</v>
      </c>
      <c r="R120" s="99">
        <f t="shared" si="18"/>
        <v>2.8229051509382166</v>
      </c>
      <c r="S120" s="99">
        <f t="shared" si="18"/>
        <v>2.826261633057134</v>
      </c>
      <c r="T120" s="99">
        <f t="shared" si="18"/>
        <v>2.8259773823743601</v>
      </c>
      <c r="U120" s="99">
        <f t="shared" si="18"/>
        <v>2.8329495689329645</v>
      </c>
      <c r="V120" s="99">
        <f t="shared" si="18"/>
        <v>2.821196965231358</v>
      </c>
      <c r="W120" s="99">
        <f t="shared" si="18"/>
        <v>2.8394068863303179</v>
      </c>
      <c r="X120" s="99">
        <f t="shared" si="18"/>
        <v>2.8401702513714779</v>
      </c>
      <c r="Y120" s="99">
        <f>$B120*Y$162</f>
        <v>2.9188129402722485</v>
      </c>
      <c r="Z120" s="99">
        <f>$B120*Z$162</f>
        <v>2.9182006392731914</v>
      </c>
      <c r="AA120" s="99">
        <f>$B120*AA$162</f>
        <v>2.9416039454882399</v>
      </c>
      <c r="AB120" s="99">
        <f>$B120*AB$162</f>
        <v>2.9488737907806923</v>
      </c>
      <c r="AC120" s="99">
        <f>$B120*AC$162</f>
        <v>2.9743490878217465</v>
      </c>
    </row>
    <row r="121" spans="1:29" x14ac:dyDescent="0.25">
      <c r="A121" t="s">
        <v>233</v>
      </c>
      <c r="B121" s="99">
        <v>4.5133653846153869</v>
      </c>
      <c r="C121" s="99">
        <f t="shared" si="19"/>
        <v>4.0912137068522707</v>
      </c>
      <c r="D121" s="99">
        <f t="shared" si="19"/>
        <v>3.8181150091083724</v>
      </c>
      <c r="E121" s="99">
        <f t="shared" si="19"/>
        <v>3.7767266487100599</v>
      </c>
      <c r="F121" s="99">
        <f t="shared" si="19"/>
        <v>3.7532649587726681</v>
      </c>
      <c r="G121" s="99">
        <f t="shared" si="19"/>
        <v>3.7541657222801779</v>
      </c>
      <c r="H121" s="99">
        <f t="shared" si="19"/>
        <v>3.7598730189302159</v>
      </c>
      <c r="I121" s="99">
        <f t="shared" si="19"/>
        <v>3.7720739344725018</v>
      </c>
      <c r="J121" s="99">
        <f t="shared" si="19"/>
        <v>3.7658338091356454</v>
      </c>
      <c r="K121" s="99">
        <f t="shared" si="19"/>
        <v>3.7848039870478885</v>
      </c>
      <c r="L121" s="99">
        <f t="shared" si="19"/>
        <v>3.7932037298105352</v>
      </c>
      <c r="M121" s="99">
        <f t="shared" si="19"/>
        <v>3.8054403313387759</v>
      </c>
      <c r="N121" s="99">
        <f t="shared" si="19"/>
        <v>3.8130525213079718</v>
      </c>
      <c r="O121" s="99">
        <f t="shared" si="19"/>
        <v>3.85357088197977</v>
      </c>
      <c r="P121" s="99">
        <f t="shared" si="19"/>
        <v>3.8585927615892572</v>
      </c>
      <c r="Q121" s="99">
        <f t="shared" si="19"/>
        <v>3.8698092361397305</v>
      </c>
      <c r="R121" s="99">
        <f t="shared" si="19"/>
        <v>3.886168184321189</v>
      </c>
      <c r="S121" s="99">
        <f t="shared" ref="S121:AC151" si="20">$B121*S$162</f>
        <v>3.8907889042265125</v>
      </c>
      <c r="T121" s="99">
        <f t="shared" si="20"/>
        <v>3.8903975889322666</v>
      </c>
      <c r="U121" s="99">
        <f t="shared" si="20"/>
        <v>3.8999958886024468</v>
      </c>
      <c r="V121" s="99">
        <f t="shared" si="20"/>
        <v>3.8838166009019943</v>
      </c>
      <c r="W121" s="99">
        <f t="shared" si="20"/>
        <v>3.9088853907585208</v>
      </c>
      <c r="X121" s="99">
        <f t="shared" si="20"/>
        <v>3.909936281517282</v>
      </c>
      <c r="Y121" s="99">
        <f t="shared" si="20"/>
        <v>4.0182001795919549</v>
      </c>
      <c r="Z121" s="99">
        <f t="shared" si="20"/>
        <v>4.0173572519927143</v>
      </c>
      <c r="AA121" s="99">
        <f t="shared" si="20"/>
        <v>4.049575544552285</v>
      </c>
      <c r="AB121" s="99">
        <f t="shared" si="20"/>
        <v>4.0595836177853073</v>
      </c>
      <c r="AC121" s="99">
        <f t="shared" si="20"/>
        <v>4.0946543281186578</v>
      </c>
    </row>
    <row r="122" spans="1:29" x14ac:dyDescent="0.25">
      <c r="A122" t="s">
        <v>196</v>
      </c>
      <c r="B122" s="99">
        <v>3.5969230769230762</v>
      </c>
      <c r="C122" s="99">
        <f t="shared" si="19"/>
        <v>3.2604896215498758</v>
      </c>
      <c r="D122" s="99">
        <f t="shared" si="19"/>
        <v>3.0428438241276101</v>
      </c>
      <c r="E122" s="99">
        <f t="shared" si="19"/>
        <v>3.0098594020951834</v>
      </c>
      <c r="F122" s="99">
        <f t="shared" si="19"/>
        <v>2.991161626318581</v>
      </c>
      <c r="G122" s="99">
        <f t="shared" si="19"/>
        <v>2.9918794891040883</v>
      </c>
      <c r="H122" s="99">
        <f t="shared" si="19"/>
        <v>2.9964279147860289</v>
      </c>
      <c r="I122" s="99">
        <f t="shared" si="19"/>
        <v>3.0061514250569306</v>
      </c>
      <c r="J122" s="99">
        <f t="shared" si="19"/>
        <v>3.0011783619622512</v>
      </c>
      <c r="K122" s="99">
        <f t="shared" si="19"/>
        <v>3.0162966306799741</v>
      </c>
      <c r="L122" s="99">
        <f t="shared" si="19"/>
        <v>3.0229907992235114</v>
      </c>
      <c r="M122" s="99">
        <f t="shared" si="19"/>
        <v>3.0327427494135115</v>
      </c>
      <c r="N122" s="99">
        <f t="shared" si="19"/>
        <v>3.0388092783631633</v>
      </c>
      <c r="O122" s="99">
        <f t="shared" si="19"/>
        <v>3.0711003547817195</v>
      </c>
      <c r="P122" s="99">
        <f t="shared" si="19"/>
        <v>3.075102537879606</v>
      </c>
      <c r="Q122" s="99">
        <f t="shared" si="19"/>
        <v>3.0840414986581504</v>
      </c>
      <c r="R122" s="99">
        <f t="shared" si="19"/>
        <v>3.0970787498473964</v>
      </c>
      <c r="S122" s="99">
        <f t="shared" si="20"/>
        <v>3.1007612290271473</v>
      </c>
      <c r="T122" s="99">
        <f t="shared" si="20"/>
        <v>3.1004493706039353</v>
      </c>
      <c r="U122" s="99">
        <f t="shared" si="20"/>
        <v>3.1080987281544181</v>
      </c>
      <c r="V122" s="99">
        <f t="shared" si="20"/>
        <v>3.0952046572475278</v>
      </c>
      <c r="W122" s="99">
        <f t="shared" si="20"/>
        <v>3.1151832100704029</v>
      </c>
      <c r="X122" s="99">
        <f t="shared" si="20"/>
        <v>3.1160207166534946</v>
      </c>
      <c r="Y122" s="99">
        <f t="shared" si="20"/>
        <v>3.202301547075475</v>
      </c>
      <c r="Z122" s="99">
        <f t="shared" si="20"/>
        <v>3.201629776572644</v>
      </c>
      <c r="AA122" s="99">
        <f t="shared" si="20"/>
        <v>3.2273061200837634</v>
      </c>
      <c r="AB122" s="99">
        <f t="shared" si="20"/>
        <v>3.2352820463604397</v>
      </c>
      <c r="AC122" s="99">
        <f t="shared" si="20"/>
        <v>3.2632316220256641</v>
      </c>
    </row>
    <row r="123" spans="1:29" x14ac:dyDescent="0.25">
      <c r="A123" t="s">
        <v>197</v>
      </c>
      <c r="B123" s="99">
        <v>3.3631923076923078</v>
      </c>
      <c r="C123" s="99">
        <f t="shared" si="19"/>
        <v>3.048620551509686</v>
      </c>
      <c r="D123" s="99">
        <f t="shared" si="19"/>
        <v>2.8451175418433561</v>
      </c>
      <c r="E123" s="99">
        <f t="shared" si="19"/>
        <v>2.814276472384615</v>
      </c>
      <c r="F123" s="99">
        <f t="shared" si="19"/>
        <v>2.7967936921532903</v>
      </c>
      <c r="G123" s="99">
        <f t="shared" si="19"/>
        <v>2.7974649076746028</v>
      </c>
      <c r="H123" s="99">
        <f t="shared" si="19"/>
        <v>2.8017177732317662</v>
      </c>
      <c r="I123" s="99">
        <f t="shared" si="19"/>
        <v>2.8108094424855992</v>
      </c>
      <c r="J123" s="99">
        <f t="shared" si="19"/>
        <v>2.8061595327744353</v>
      </c>
      <c r="K123" s="99">
        <f t="shared" si="19"/>
        <v>2.8202954050101479</v>
      </c>
      <c r="L123" s="99">
        <f t="shared" si="19"/>
        <v>2.8265545814424891</v>
      </c>
      <c r="M123" s="99">
        <f t="shared" si="19"/>
        <v>2.8356728425680684</v>
      </c>
      <c r="N123" s="99">
        <f t="shared" si="19"/>
        <v>2.8413451638998088</v>
      </c>
      <c r="O123" s="99">
        <f t="shared" si="19"/>
        <v>2.8715379418646059</v>
      </c>
      <c r="P123" s="99">
        <f t="shared" si="19"/>
        <v>2.8752800600920279</v>
      </c>
      <c r="Q123" s="99">
        <f t="shared" si="19"/>
        <v>2.8836381604701105</v>
      </c>
      <c r="R123" s="99">
        <f t="shared" si="19"/>
        <v>2.8958282412628948</v>
      </c>
      <c r="S123" s="99">
        <f t="shared" si="20"/>
        <v>2.8992714301734486</v>
      </c>
      <c r="T123" s="99">
        <f t="shared" si="20"/>
        <v>2.8989798365453376</v>
      </c>
      <c r="U123" s="99">
        <f t="shared" si="20"/>
        <v>2.9061321330839056</v>
      </c>
      <c r="V123" s="99">
        <f t="shared" si="20"/>
        <v>2.8940759286109454</v>
      </c>
      <c r="W123" s="99">
        <f t="shared" si="20"/>
        <v>2.9127562600319323</v>
      </c>
      <c r="X123" s="99">
        <f t="shared" si="20"/>
        <v>2.9135393448067961</v>
      </c>
      <c r="Y123" s="99">
        <f t="shared" si="20"/>
        <v>2.9942135819174598</v>
      </c>
      <c r="Z123" s="99">
        <f t="shared" si="20"/>
        <v>2.993585463567598</v>
      </c>
      <c r="AA123" s="99">
        <f t="shared" si="20"/>
        <v>3.0175933389487235</v>
      </c>
      <c r="AB123" s="99">
        <f t="shared" si="20"/>
        <v>3.025050983531822</v>
      </c>
      <c r="AC123" s="99">
        <f t="shared" si="20"/>
        <v>3.0511843747304344</v>
      </c>
    </row>
    <row r="124" spans="1:29" x14ac:dyDescent="0.25">
      <c r="A124" t="s">
        <v>198</v>
      </c>
      <c r="B124" s="99">
        <v>3.3631923076923078</v>
      </c>
      <c r="C124" s="99">
        <f t="shared" si="19"/>
        <v>3.048620551509686</v>
      </c>
      <c r="D124" s="99">
        <f t="shared" si="19"/>
        <v>2.8451175418433561</v>
      </c>
      <c r="E124" s="99">
        <f t="shared" si="19"/>
        <v>2.814276472384615</v>
      </c>
      <c r="F124" s="99">
        <f t="shared" si="19"/>
        <v>2.7967936921532903</v>
      </c>
      <c r="G124" s="99">
        <f t="shared" si="19"/>
        <v>2.7974649076746028</v>
      </c>
      <c r="H124" s="99">
        <f t="shared" si="19"/>
        <v>2.8017177732317662</v>
      </c>
      <c r="I124" s="99">
        <f t="shared" si="19"/>
        <v>2.8108094424855992</v>
      </c>
      <c r="J124" s="99">
        <f t="shared" si="19"/>
        <v>2.8061595327744353</v>
      </c>
      <c r="K124" s="99">
        <f t="shared" si="19"/>
        <v>2.8202954050101479</v>
      </c>
      <c r="L124" s="99">
        <f t="shared" si="19"/>
        <v>2.8265545814424891</v>
      </c>
      <c r="M124" s="99">
        <f t="shared" si="19"/>
        <v>2.8356728425680684</v>
      </c>
      <c r="N124" s="99">
        <f t="shared" si="19"/>
        <v>2.8413451638998088</v>
      </c>
      <c r="O124" s="99">
        <f t="shared" si="19"/>
        <v>2.8715379418646059</v>
      </c>
      <c r="P124" s="99">
        <f t="shared" si="19"/>
        <v>2.8752800600920279</v>
      </c>
      <c r="Q124" s="99">
        <f t="shared" si="19"/>
        <v>2.8836381604701105</v>
      </c>
      <c r="R124" s="99">
        <f t="shared" si="19"/>
        <v>2.8958282412628948</v>
      </c>
      <c r="S124" s="99">
        <f t="shared" si="20"/>
        <v>2.8992714301734486</v>
      </c>
      <c r="T124" s="99">
        <f t="shared" si="20"/>
        <v>2.8989798365453376</v>
      </c>
      <c r="U124" s="99">
        <f t="shared" si="20"/>
        <v>2.9061321330839056</v>
      </c>
      <c r="V124" s="99">
        <f t="shared" si="20"/>
        <v>2.8940759286109454</v>
      </c>
      <c r="W124" s="99">
        <f t="shared" si="20"/>
        <v>2.9127562600319323</v>
      </c>
      <c r="X124" s="99">
        <f t="shared" si="20"/>
        <v>2.9135393448067961</v>
      </c>
      <c r="Y124" s="99">
        <f t="shared" si="20"/>
        <v>2.9942135819174598</v>
      </c>
      <c r="Z124" s="99">
        <f t="shared" si="20"/>
        <v>2.993585463567598</v>
      </c>
      <c r="AA124" s="99">
        <f t="shared" si="20"/>
        <v>3.0175933389487235</v>
      </c>
      <c r="AB124" s="99">
        <f t="shared" si="20"/>
        <v>3.025050983531822</v>
      </c>
      <c r="AC124" s="99">
        <f t="shared" si="20"/>
        <v>3.0511843747304344</v>
      </c>
    </row>
    <row r="125" spans="1:29" x14ac:dyDescent="0.25">
      <c r="A125" t="s">
        <v>195</v>
      </c>
      <c r="B125" s="99">
        <v>3.3631923076923078</v>
      </c>
      <c r="C125" s="99">
        <f t="shared" si="19"/>
        <v>3.048620551509686</v>
      </c>
      <c r="D125" s="99">
        <f t="shared" si="19"/>
        <v>2.8451175418433561</v>
      </c>
      <c r="E125" s="99">
        <f t="shared" si="19"/>
        <v>2.814276472384615</v>
      </c>
      <c r="F125" s="99">
        <f t="shared" si="19"/>
        <v>2.7967936921532903</v>
      </c>
      <c r="G125" s="99">
        <f t="shared" si="19"/>
        <v>2.7974649076746028</v>
      </c>
      <c r="H125" s="99">
        <f t="shared" si="19"/>
        <v>2.8017177732317662</v>
      </c>
      <c r="I125" s="99">
        <f t="shared" si="19"/>
        <v>2.8108094424855992</v>
      </c>
      <c r="J125" s="99">
        <f t="shared" si="19"/>
        <v>2.8061595327744353</v>
      </c>
      <c r="K125" s="99">
        <f t="shared" si="19"/>
        <v>2.8202954050101479</v>
      </c>
      <c r="L125" s="99">
        <f t="shared" si="19"/>
        <v>2.8265545814424891</v>
      </c>
      <c r="M125" s="99">
        <f t="shared" si="19"/>
        <v>2.8356728425680684</v>
      </c>
      <c r="N125" s="99">
        <f t="shared" si="19"/>
        <v>2.8413451638998088</v>
      </c>
      <c r="O125" s="99">
        <f t="shared" si="19"/>
        <v>2.8715379418646059</v>
      </c>
      <c r="P125" s="99">
        <f t="shared" si="19"/>
        <v>2.8752800600920279</v>
      </c>
      <c r="Q125" s="99">
        <f t="shared" si="19"/>
        <v>2.8836381604701105</v>
      </c>
      <c r="R125" s="99">
        <f t="shared" si="19"/>
        <v>2.8958282412628948</v>
      </c>
      <c r="S125" s="99">
        <f t="shared" si="20"/>
        <v>2.8992714301734486</v>
      </c>
      <c r="T125" s="99">
        <f t="shared" si="20"/>
        <v>2.8989798365453376</v>
      </c>
      <c r="U125" s="99">
        <f t="shared" si="20"/>
        <v>2.9061321330839056</v>
      </c>
      <c r="V125" s="99">
        <f t="shared" si="20"/>
        <v>2.8940759286109454</v>
      </c>
      <c r="W125" s="99">
        <f t="shared" si="20"/>
        <v>2.9127562600319323</v>
      </c>
      <c r="X125" s="99">
        <f t="shared" si="20"/>
        <v>2.9135393448067961</v>
      </c>
      <c r="Y125" s="99">
        <f t="shared" si="20"/>
        <v>2.9942135819174598</v>
      </c>
      <c r="Z125" s="99">
        <f t="shared" si="20"/>
        <v>2.993585463567598</v>
      </c>
      <c r="AA125" s="99">
        <f t="shared" si="20"/>
        <v>3.0175933389487235</v>
      </c>
      <c r="AB125" s="99">
        <f t="shared" si="20"/>
        <v>3.025050983531822</v>
      </c>
      <c r="AC125" s="99">
        <f t="shared" si="20"/>
        <v>3.0511843747304344</v>
      </c>
    </row>
    <row r="126" spans="1:29" x14ac:dyDescent="0.25">
      <c r="A126" t="s">
        <v>199</v>
      </c>
      <c r="B126" s="99">
        <v>3.3631923076923078</v>
      </c>
      <c r="C126" s="99">
        <f t="shared" si="19"/>
        <v>3.048620551509686</v>
      </c>
      <c r="D126" s="99">
        <f t="shared" si="19"/>
        <v>2.8451175418433561</v>
      </c>
      <c r="E126" s="99">
        <f t="shared" si="19"/>
        <v>2.814276472384615</v>
      </c>
      <c r="F126" s="99">
        <f t="shared" si="19"/>
        <v>2.7967936921532903</v>
      </c>
      <c r="G126" s="99">
        <f t="shared" si="19"/>
        <v>2.7974649076746028</v>
      </c>
      <c r="H126" s="99">
        <f t="shared" si="19"/>
        <v>2.8017177732317662</v>
      </c>
      <c r="I126" s="99">
        <f t="shared" si="19"/>
        <v>2.8108094424855992</v>
      </c>
      <c r="J126" s="99">
        <f t="shared" si="19"/>
        <v>2.8061595327744353</v>
      </c>
      <c r="K126" s="99">
        <f t="shared" si="19"/>
        <v>2.8202954050101479</v>
      </c>
      <c r="L126" s="99">
        <f t="shared" si="19"/>
        <v>2.8265545814424891</v>
      </c>
      <c r="M126" s="99">
        <f t="shared" si="19"/>
        <v>2.8356728425680684</v>
      </c>
      <c r="N126" s="99">
        <f t="shared" si="19"/>
        <v>2.8413451638998088</v>
      </c>
      <c r="O126" s="99">
        <f t="shared" si="19"/>
        <v>2.8715379418646059</v>
      </c>
      <c r="P126" s="99">
        <f t="shared" si="19"/>
        <v>2.8752800600920279</v>
      </c>
      <c r="Q126" s="99">
        <f t="shared" si="19"/>
        <v>2.8836381604701105</v>
      </c>
      <c r="R126" s="99">
        <f t="shared" si="19"/>
        <v>2.8958282412628948</v>
      </c>
      <c r="S126" s="99">
        <f t="shared" si="20"/>
        <v>2.8992714301734486</v>
      </c>
      <c r="T126" s="99">
        <f t="shared" si="20"/>
        <v>2.8989798365453376</v>
      </c>
      <c r="U126" s="99">
        <f t="shared" si="20"/>
        <v>2.9061321330839056</v>
      </c>
      <c r="V126" s="99">
        <f t="shared" si="20"/>
        <v>2.8940759286109454</v>
      </c>
      <c r="W126" s="99">
        <f t="shared" si="20"/>
        <v>2.9127562600319323</v>
      </c>
      <c r="X126" s="99">
        <f t="shared" si="20"/>
        <v>2.9135393448067961</v>
      </c>
      <c r="Y126" s="99">
        <f t="shared" si="20"/>
        <v>2.9942135819174598</v>
      </c>
      <c r="Z126" s="99">
        <f t="shared" si="20"/>
        <v>2.993585463567598</v>
      </c>
      <c r="AA126" s="99">
        <f t="shared" si="20"/>
        <v>3.0175933389487235</v>
      </c>
      <c r="AB126" s="99">
        <f t="shared" si="20"/>
        <v>3.025050983531822</v>
      </c>
      <c r="AC126" s="99">
        <f t="shared" si="20"/>
        <v>3.0511843747304344</v>
      </c>
    </row>
    <row r="127" spans="1:29" x14ac:dyDescent="0.25">
      <c r="A127" t="s">
        <v>157</v>
      </c>
      <c r="B127" s="99">
        <v>3.3631923076923078</v>
      </c>
      <c r="C127" s="99">
        <f t="shared" si="19"/>
        <v>3.048620551509686</v>
      </c>
      <c r="D127" s="99">
        <f t="shared" si="19"/>
        <v>2.8451175418433561</v>
      </c>
      <c r="E127" s="99">
        <f t="shared" si="19"/>
        <v>2.814276472384615</v>
      </c>
      <c r="F127" s="99">
        <f t="shared" si="19"/>
        <v>2.7967936921532903</v>
      </c>
      <c r="G127" s="99">
        <f t="shared" si="19"/>
        <v>2.7974649076746028</v>
      </c>
      <c r="H127" s="99">
        <f t="shared" si="19"/>
        <v>2.8017177732317662</v>
      </c>
      <c r="I127" s="99">
        <f t="shared" si="19"/>
        <v>2.8108094424855992</v>
      </c>
      <c r="J127" s="99">
        <f t="shared" si="19"/>
        <v>2.8061595327744353</v>
      </c>
      <c r="K127" s="99">
        <f t="shared" si="19"/>
        <v>2.8202954050101479</v>
      </c>
      <c r="L127" s="99">
        <f t="shared" si="19"/>
        <v>2.8265545814424891</v>
      </c>
      <c r="M127" s="99">
        <f t="shared" si="19"/>
        <v>2.8356728425680684</v>
      </c>
      <c r="N127" s="99">
        <f t="shared" si="19"/>
        <v>2.8413451638998088</v>
      </c>
      <c r="O127" s="99">
        <f t="shared" si="19"/>
        <v>2.8715379418646059</v>
      </c>
      <c r="P127" s="99">
        <f t="shared" si="19"/>
        <v>2.8752800600920279</v>
      </c>
      <c r="Q127" s="99">
        <f t="shared" si="19"/>
        <v>2.8836381604701105</v>
      </c>
      <c r="R127" s="99">
        <f t="shared" si="19"/>
        <v>2.8958282412628948</v>
      </c>
      <c r="S127" s="99">
        <f t="shared" si="20"/>
        <v>2.8992714301734486</v>
      </c>
      <c r="T127" s="99">
        <f t="shared" si="20"/>
        <v>2.8989798365453376</v>
      </c>
      <c r="U127" s="99">
        <f t="shared" si="20"/>
        <v>2.9061321330839056</v>
      </c>
      <c r="V127" s="99">
        <f t="shared" si="20"/>
        <v>2.8940759286109454</v>
      </c>
      <c r="W127" s="99">
        <f t="shared" si="20"/>
        <v>2.9127562600319323</v>
      </c>
      <c r="X127" s="99">
        <f t="shared" si="20"/>
        <v>2.9135393448067961</v>
      </c>
      <c r="Y127" s="99">
        <f t="shared" si="20"/>
        <v>2.9942135819174598</v>
      </c>
      <c r="Z127" s="99">
        <f t="shared" si="20"/>
        <v>2.993585463567598</v>
      </c>
      <c r="AA127" s="99">
        <f t="shared" si="20"/>
        <v>3.0175933389487235</v>
      </c>
      <c r="AB127" s="99">
        <f t="shared" si="20"/>
        <v>3.025050983531822</v>
      </c>
      <c r="AC127" s="99">
        <f t="shared" si="20"/>
        <v>3.0511843747304344</v>
      </c>
    </row>
    <row r="128" spans="1:29" x14ac:dyDescent="0.25">
      <c r="A128" t="s">
        <v>200</v>
      </c>
      <c r="B128" s="99">
        <v>3.0905000000000005</v>
      </c>
      <c r="C128" s="99">
        <f t="shared" si="19"/>
        <v>2.8014341591145988</v>
      </c>
      <c r="D128" s="99">
        <f t="shared" si="19"/>
        <v>2.614431456374315</v>
      </c>
      <c r="E128" s="99">
        <f t="shared" si="19"/>
        <v>2.5860910237013939</v>
      </c>
      <c r="F128" s="99">
        <f t="shared" si="19"/>
        <v>2.5700257715951347</v>
      </c>
      <c r="G128" s="99">
        <f t="shared" si="19"/>
        <v>2.5706425640288804</v>
      </c>
      <c r="H128" s="99">
        <f t="shared" si="19"/>
        <v>2.5745506013344936</v>
      </c>
      <c r="I128" s="99">
        <f t="shared" si="19"/>
        <v>2.5829051054063261</v>
      </c>
      <c r="J128" s="99">
        <f t="shared" si="19"/>
        <v>2.5786322168386748</v>
      </c>
      <c r="K128" s="99">
        <f t="shared" si="19"/>
        <v>2.5916219329023531</v>
      </c>
      <c r="L128" s="99">
        <f t="shared" si="19"/>
        <v>2.597373606608286</v>
      </c>
      <c r="M128" s="99">
        <f t="shared" si="19"/>
        <v>2.6057525464459363</v>
      </c>
      <c r="N128" s="99">
        <f t="shared" si="19"/>
        <v>2.6109649480786499</v>
      </c>
      <c r="O128" s="99">
        <f t="shared" si="19"/>
        <v>2.6387096536331862</v>
      </c>
      <c r="P128" s="99">
        <f t="shared" si="19"/>
        <v>2.6421483557125756</v>
      </c>
      <c r="Q128" s="99">
        <f t="shared" si="19"/>
        <v>2.6498287696928835</v>
      </c>
      <c r="R128" s="99">
        <f t="shared" si="19"/>
        <v>2.6610304617887928</v>
      </c>
      <c r="S128" s="99">
        <f t="shared" si="20"/>
        <v>2.6641944721558861</v>
      </c>
      <c r="T128" s="99">
        <f t="shared" si="20"/>
        <v>2.6639265213445049</v>
      </c>
      <c r="U128" s="99">
        <f t="shared" si="20"/>
        <v>2.6704988997368693</v>
      </c>
      <c r="V128" s="99">
        <f t="shared" si="20"/>
        <v>2.6594202290826634</v>
      </c>
      <c r="W128" s="99">
        <f t="shared" si="20"/>
        <v>2.6765859332633362</v>
      </c>
      <c r="X128" s="99">
        <f t="shared" si="20"/>
        <v>2.6773055244360386</v>
      </c>
      <c r="Y128" s="99">
        <f t="shared" si="20"/>
        <v>2.7514385822514513</v>
      </c>
      <c r="Z128" s="99">
        <f t="shared" si="20"/>
        <v>2.7508613926105836</v>
      </c>
      <c r="AA128" s="99">
        <f t="shared" si="20"/>
        <v>2.7729226760809533</v>
      </c>
      <c r="AB128" s="99">
        <f t="shared" si="20"/>
        <v>2.7797756444739146</v>
      </c>
      <c r="AC128" s="99">
        <f t="shared" si="20"/>
        <v>2.8037901039844768</v>
      </c>
    </row>
    <row r="129" spans="1:29" x14ac:dyDescent="0.25">
      <c r="A129" t="s">
        <v>203</v>
      </c>
      <c r="B129" s="99">
        <v>3.4698076923076924</v>
      </c>
      <c r="C129" s="99">
        <f t="shared" si="19"/>
        <v>3.1452638067592185</v>
      </c>
      <c r="D129" s="99">
        <f t="shared" si="19"/>
        <v>2.9353096192651029</v>
      </c>
      <c r="E129" s="99">
        <f t="shared" si="19"/>
        <v>2.9034908678359392</v>
      </c>
      <c r="F129" s="99">
        <f t="shared" si="19"/>
        <v>2.8854538720950687</v>
      </c>
      <c r="G129" s="99">
        <f t="shared" si="19"/>
        <v>2.8861463655851729</v>
      </c>
      <c r="H129" s="99">
        <f t="shared" si="19"/>
        <v>2.8905340497478789</v>
      </c>
      <c r="I129" s="99">
        <f t="shared" si="19"/>
        <v>2.8999139308330948</v>
      </c>
      <c r="J129" s="99">
        <f t="shared" si="19"/>
        <v>2.8951166159583464</v>
      </c>
      <c r="K129" s="99">
        <f t="shared" si="19"/>
        <v>2.9097006045422789</v>
      </c>
      <c r="L129" s="99">
        <f t="shared" si="19"/>
        <v>2.9161582009404312</v>
      </c>
      <c r="M129" s="99">
        <f t="shared" si="19"/>
        <v>2.9255655168770316</v>
      </c>
      <c r="N129" s="99">
        <f t="shared" si="19"/>
        <v>2.9314176544860224</v>
      </c>
      <c r="O129" s="99">
        <f t="shared" si="19"/>
        <v>2.962567563159034</v>
      </c>
      <c r="P129" s="99">
        <f t="shared" si="19"/>
        <v>2.9664283089692978</v>
      </c>
      <c r="Q129" s="99">
        <f t="shared" si="19"/>
        <v>2.9750513665680614</v>
      </c>
      <c r="R129" s="99">
        <f t="shared" si="19"/>
        <v>2.9876278808541801</v>
      </c>
      <c r="S129" s="99">
        <f t="shared" si="20"/>
        <v>2.9911802210937144</v>
      </c>
      <c r="T129" s="99">
        <f t="shared" si="20"/>
        <v>2.9908793837578496</v>
      </c>
      <c r="U129" s="99">
        <f t="shared" si="20"/>
        <v>2.9982584127507579</v>
      </c>
      <c r="V129" s="99">
        <f t="shared" si="20"/>
        <v>2.9858200187509172</v>
      </c>
      <c r="W129" s="99">
        <f t="shared" si="20"/>
        <v>3.0050925288334205</v>
      </c>
      <c r="X129" s="99">
        <f t="shared" si="20"/>
        <v>3.0059004379052081</v>
      </c>
      <c r="Y129" s="99">
        <f t="shared" si="20"/>
        <v>3.0891321008277806</v>
      </c>
      <c r="Z129" s="99">
        <f t="shared" si="20"/>
        <v>3.0884840707175059</v>
      </c>
      <c r="AA129" s="99">
        <f t="shared" si="20"/>
        <v>3.1132530113703676</v>
      </c>
      <c r="AB129" s="99">
        <f t="shared" si="20"/>
        <v>3.1209470681395115</v>
      </c>
      <c r="AC129" s="99">
        <f t="shared" si="20"/>
        <v>3.1479089048443685</v>
      </c>
    </row>
    <row r="130" spans="1:29" x14ac:dyDescent="0.25">
      <c r="A130" t="s">
        <v>202</v>
      </c>
      <c r="B130" s="99">
        <v>3.561634615384615</v>
      </c>
      <c r="C130" s="99">
        <f t="shared" si="19"/>
        <v>3.2285018197131352</v>
      </c>
      <c r="D130" s="99">
        <f t="shared" si="19"/>
        <v>3.0129912876793954</v>
      </c>
      <c r="E130" s="99">
        <f t="shared" si="19"/>
        <v>2.9803304670928066</v>
      </c>
      <c r="F130" s="99">
        <f t="shared" si="19"/>
        <v>2.9618161302519934</v>
      </c>
      <c r="G130" s="99">
        <f t="shared" si="19"/>
        <v>2.9625269502754636</v>
      </c>
      <c r="H130" s="99">
        <f t="shared" si="19"/>
        <v>2.967030752555317</v>
      </c>
      <c r="I130" s="99">
        <f t="shared" si="19"/>
        <v>2.9766588680371515</v>
      </c>
      <c r="J130" s="99">
        <f t="shared" si="19"/>
        <v>2.9717345943499724</v>
      </c>
      <c r="K130" s="99">
        <f t="shared" si="19"/>
        <v>2.9867045417294946</v>
      </c>
      <c r="L130" s="99">
        <f t="shared" si="19"/>
        <v>2.9933330355549104</v>
      </c>
      <c r="M130" s="99">
        <f t="shared" si="19"/>
        <v>3.0029893119393147</v>
      </c>
      <c r="N130" s="99">
        <f t="shared" si="19"/>
        <v>3.0089963237769979</v>
      </c>
      <c r="O130" s="99">
        <f t="shared" si="19"/>
        <v>3.0409706009802631</v>
      </c>
      <c r="P130" s="99">
        <f t="shared" si="19"/>
        <v>3.0449335197176675</v>
      </c>
      <c r="Q130" s="99">
        <f t="shared" si="19"/>
        <v>3.0537847827148354</v>
      </c>
      <c r="R130" s="99">
        <f t="shared" si="19"/>
        <v>3.0666941288787801</v>
      </c>
      <c r="S130" s="99">
        <f t="shared" si="20"/>
        <v>3.0703404802286829</v>
      </c>
      <c r="T130" s="99">
        <f t="shared" si="20"/>
        <v>3.0700316813660282</v>
      </c>
      <c r="U130" s="99">
        <f t="shared" si="20"/>
        <v>3.077605993091526</v>
      </c>
      <c r="V130" s="99">
        <f t="shared" si="20"/>
        <v>3.0648384225060332</v>
      </c>
      <c r="W130" s="99">
        <f t="shared" si="20"/>
        <v>3.0846209710280639</v>
      </c>
      <c r="X130" s="99">
        <f t="shared" si="20"/>
        <v>3.0854502610554455</v>
      </c>
      <c r="Y130" s="99">
        <f t="shared" si="20"/>
        <v>3.170884613056637</v>
      </c>
      <c r="Z130" s="99">
        <f t="shared" si="20"/>
        <v>3.1702194331166416</v>
      </c>
      <c r="AA130" s="99">
        <f t="shared" si="20"/>
        <v>3.1956438728085623</v>
      </c>
      <c r="AB130" s="99">
        <f t="shared" si="20"/>
        <v>3.2035415493808026</v>
      </c>
      <c r="AC130" s="99">
        <f t="shared" si="20"/>
        <v>3.2312169191470441</v>
      </c>
    </row>
    <row r="131" spans="1:29" x14ac:dyDescent="0.25">
      <c r="A131" t="s">
        <v>201</v>
      </c>
      <c r="B131" s="99">
        <v>3.4698076923076924</v>
      </c>
      <c r="C131" s="99">
        <f t="shared" si="19"/>
        <v>3.1452638067592185</v>
      </c>
      <c r="D131" s="99">
        <f t="shared" si="19"/>
        <v>2.9353096192651029</v>
      </c>
      <c r="E131" s="99">
        <f t="shared" si="19"/>
        <v>2.9034908678359392</v>
      </c>
      <c r="F131" s="99">
        <f t="shared" si="19"/>
        <v>2.8854538720950687</v>
      </c>
      <c r="G131" s="99">
        <f t="shared" si="19"/>
        <v>2.8861463655851729</v>
      </c>
      <c r="H131" s="99">
        <f t="shared" si="19"/>
        <v>2.8905340497478789</v>
      </c>
      <c r="I131" s="99">
        <f t="shared" si="19"/>
        <v>2.8999139308330948</v>
      </c>
      <c r="J131" s="99">
        <f t="shared" si="19"/>
        <v>2.8951166159583464</v>
      </c>
      <c r="K131" s="99">
        <f t="shared" si="19"/>
        <v>2.9097006045422789</v>
      </c>
      <c r="L131" s="99">
        <f t="shared" si="19"/>
        <v>2.9161582009404312</v>
      </c>
      <c r="M131" s="99">
        <f t="shared" si="19"/>
        <v>2.9255655168770316</v>
      </c>
      <c r="N131" s="99">
        <f t="shared" si="19"/>
        <v>2.9314176544860224</v>
      </c>
      <c r="O131" s="99">
        <f t="shared" si="19"/>
        <v>2.962567563159034</v>
      </c>
      <c r="P131" s="99">
        <f t="shared" si="19"/>
        <v>2.9664283089692978</v>
      </c>
      <c r="Q131" s="99">
        <f t="shared" si="19"/>
        <v>2.9750513665680614</v>
      </c>
      <c r="R131" s="99">
        <f t="shared" si="19"/>
        <v>2.9876278808541801</v>
      </c>
      <c r="S131" s="99">
        <f t="shared" si="20"/>
        <v>2.9911802210937144</v>
      </c>
      <c r="T131" s="99">
        <f t="shared" si="20"/>
        <v>2.9908793837578496</v>
      </c>
      <c r="U131" s="99">
        <f t="shared" si="20"/>
        <v>2.9982584127507579</v>
      </c>
      <c r="V131" s="99">
        <f t="shared" si="20"/>
        <v>2.9858200187509172</v>
      </c>
      <c r="W131" s="99">
        <f t="shared" si="20"/>
        <v>3.0050925288334205</v>
      </c>
      <c r="X131" s="99">
        <f t="shared" si="20"/>
        <v>3.0059004379052081</v>
      </c>
      <c r="Y131" s="99">
        <f t="shared" si="20"/>
        <v>3.0891321008277806</v>
      </c>
      <c r="Z131" s="99">
        <f t="shared" si="20"/>
        <v>3.0884840707175059</v>
      </c>
      <c r="AA131" s="99">
        <f t="shared" si="20"/>
        <v>3.1132530113703676</v>
      </c>
      <c r="AB131" s="99">
        <f t="shared" si="20"/>
        <v>3.1209470681395115</v>
      </c>
      <c r="AC131" s="99">
        <f t="shared" si="20"/>
        <v>3.1479089048443685</v>
      </c>
    </row>
    <row r="132" spans="1:29" x14ac:dyDescent="0.25">
      <c r="A132" t="s">
        <v>204</v>
      </c>
      <c r="B132" s="99">
        <v>3.3631923076923078</v>
      </c>
      <c r="C132" s="99">
        <f t="shared" si="19"/>
        <v>3.048620551509686</v>
      </c>
      <c r="D132" s="99">
        <f t="shared" si="19"/>
        <v>2.8451175418433561</v>
      </c>
      <c r="E132" s="99">
        <f t="shared" si="19"/>
        <v>2.814276472384615</v>
      </c>
      <c r="F132" s="99">
        <f t="shared" si="19"/>
        <v>2.7967936921532903</v>
      </c>
      <c r="G132" s="99">
        <f t="shared" si="19"/>
        <v>2.7974649076746028</v>
      </c>
      <c r="H132" s="99">
        <f t="shared" si="19"/>
        <v>2.8017177732317662</v>
      </c>
      <c r="I132" s="99">
        <f t="shared" si="19"/>
        <v>2.8108094424855992</v>
      </c>
      <c r="J132" s="99">
        <f t="shared" si="19"/>
        <v>2.8061595327744353</v>
      </c>
      <c r="K132" s="99">
        <f t="shared" si="19"/>
        <v>2.8202954050101479</v>
      </c>
      <c r="L132" s="99">
        <f t="shared" si="19"/>
        <v>2.8265545814424891</v>
      </c>
      <c r="M132" s="99">
        <f t="shared" si="19"/>
        <v>2.8356728425680684</v>
      </c>
      <c r="N132" s="99">
        <f t="shared" si="19"/>
        <v>2.8413451638998088</v>
      </c>
      <c r="O132" s="99">
        <f t="shared" si="19"/>
        <v>2.8715379418646059</v>
      </c>
      <c r="P132" s="99">
        <f t="shared" si="19"/>
        <v>2.8752800600920279</v>
      </c>
      <c r="Q132" s="99">
        <f t="shared" si="19"/>
        <v>2.8836381604701105</v>
      </c>
      <c r="R132" s="99">
        <f t="shared" si="19"/>
        <v>2.8958282412628948</v>
      </c>
      <c r="S132" s="99">
        <f t="shared" si="20"/>
        <v>2.8992714301734486</v>
      </c>
      <c r="T132" s="99">
        <f t="shared" si="20"/>
        <v>2.8989798365453376</v>
      </c>
      <c r="U132" s="99">
        <f t="shared" si="20"/>
        <v>2.9061321330839056</v>
      </c>
      <c r="V132" s="99">
        <f t="shared" si="20"/>
        <v>2.8940759286109454</v>
      </c>
      <c r="W132" s="99">
        <f t="shared" si="20"/>
        <v>2.9127562600319323</v>
      </c>
      <c r="X132" s="99">
        <f t="shared" si="20"/>
        <v>2.9135393448067961</v>
      </c>
      <c r="Y132" s="99">
        <f t="shared" si="20"/>
        <v>2.9942135819174598</v>
      </c>
      <c r="Z132" s="99">
        <f t="shared" si="20"/>
        <v>2.993585463567598</v>
      </c>
      <c r="AA132" s="99">
        <f t="shared" si="20"/>
        <v>3.0175933389487235</v>
      </c>
      <c r="AB132" s="99">
        <f t="shared" si="20"/>
        <v>3.025050983531822</v>
      </c>
      <c r="AC132" s="99">
        <f t="shared" si="20"/>
        <v>3.0511843747304344</v>
      </c>
    </row>
    <row r="133" spans="1:29" x14ac:dyDescent="0.25">
      <c r="A133" t="s">
        <v>205</v>
      </c>
      <c r="B133" s="99">
        <v>3.3631923076923078</v>
      </c>
      <c r="C133" s="99">
        <f t="shared" si="19"/>
        <v>3.048620551509686</v>
      </c>
      <c r="D133" s="99">
        <f t="shared" si="19"/>
        <v>2.8451175418433561</v>
      </c>
      <c r="E133" s="99">
        <f t="shared" si="19"/>
        <v>2.814276472384615</v>
      </c>
      <c r="F133" s="99">
        <f t="shared" si="19"/>
        <v>2.7967936921532903</v>
      </c>
      <c r="G133" s="99">
        <f t="shared" si="19"/>
        <v>2.7974649076746028</v>
      </c>
      <c r="H133" s="99">
        <f t="shared" si="19"/>
        <v>2.8017177732317662</v>
      </c>
      <c r="I133" s="99">
        <f t="shared" si="19"/>
        <v>2.8108094424855992</v>
      </c>
      <c r="J133" s="99">
        <f t="shared" si="19"/>
        <v>2.8061595327744353</v>
      </c>
      <c r="K133" s="99">
        <f t="shared" si="19"/>
        <v>2.8202954050101479</v>
      </c>
      <c r="L133" s="99">
        <f t="shared" si="19"/>
        <v>2.8265545814424891</v>
      </c>
      <c r="M133" s="99">
        <f t="shared" si="19"/>
        <v>2.8356728425680684</v>
      </c>
      <c r="N133" s="99">
        <f t="shared" si="19"/>
        <v>2.8413451638998088</v>
      </c>
      <c r="O133" s="99">
        <f t="shared" si="19"/>
        <v>2.8715379418646059</v>
      </c>
      <c r="P133" s="99">
        <f t="shared" si="19"/>
        <v>2.8752800600920279</v>
      </c>
      <c r="Q133" s="99">
        <f t="shared" si="19"/>
        <v>2.8836381604701105</v>
      </c>
      <c r="R133" s="99">
        <f t="shared" si="19"/>
        <v>2.8958282412628948</v>
      </c>
      <c r="S133" s="99">
        <f t="shared" si="20"/>
        <v>2.8992714301734486</v>
      </c>
      <c r="T133" s="99">
        <f t="shared" si="20"/>
        <v>2.8989798365453376</v>
      </c>
      <c r="U133" s="99">
        <f t="shared" si="20"/>
        <v>2.9061321330839056</v>
      </c>
      <c r="V133" s="99">
        <f t="shared" si="20"/>
        <v>2.8940759286109454</v>
      </c>
      <c r="W133" s="99">
        <f t="shared" si="20"/>
        <v>2.9127562600319323</v>
      </c>
      <c r="X133" s="99">
        <f t="shared" si="20"/>
        <v>2.9135393448067961</v>
      </c>
      <c r="Y133" s="99">
        <f t="shared" si="20"/>
        <v>2.9942135819174598</v>
      </c>
      <c r="Z133" s="99">
        <f t="shared" si="20"/>
        <v>2.993585463567598</v>
      </c>
      <c r="AA133" s="99">
        <f t="shared" si="20"/>
        <v>3.0175933389487235</v>
      </c>
      <c r="AB133" s="99">
        <f t="shared" si="20"/>
        <v>3.025050983531822</v>
      </c>
      <c r="AC133" s="99">
        <f t="shared" si="20"/>
        <v>3.0511843747304344</v>
      </c>
    </row>
    <row r="134" spans="1:29" x14ac:dyDescent="0.25">
      <c r="A134" t="s">
        <v>207</v>
      </c>
      <c r="B134" s="99">
        <v>3.0905000000000005</v>
      </c>
      <c r="C134" s="99">
        <f t="shared" si="19"/>
        <v>2.8014341591145988</v>
      </c>
      <c r="D134" s="99">
        <f t="shared" si="19"/>
        <v>2.614431456374315</v>
      </c>
      <c r="E134" s="99">
        <f t="shared" si="19"/>
        <v>2.5860910237013939</v>
      </c>
      <c r="F134" s="99">
        <f t="shared" si="19"/>
        <v>2.5700257715951347</v>
      </c>
      <c r="G134" s="99">
        <f t="shared" si="19"/>
        <v>2.5706425640288804</v>
      </c>
      <c r="H134" s="99">
        <f t="shared" si="19"/>
        <v>2.5745506013344936</v>
      </c>
      <c r="I134" s="99">
        <f t="shared" si="19"/>
        <v>2.5829051054063261</v>
      </c>
      <c r="J134" s="99">
        <f t="shared" si="19"/>
        <v>2.5786322168386748</v>
      </c>
      <c r="K134" s="99">
        <f t="shared" si="19"/>
        <v>2.5916219329023531</v>
      </c>
      <c r="L134" s="99">
        <f t="shared" si="19"/>
        <v>2.597373606608286</v>
      </c>
      <c r="M134" s="99">
        <f t="shared" si="19"/>
        <v>2.6057525464459363</v>
      </c>
      <c r="N134" s="99">
        <f t="shared" si="19"/>
        <v>2.6109649480786499</v>
      </c>
      <c r="O134" s="99">
        <f t="shared" si="19"/>
        <v>2.6387096536331862</v>
      </c>
      <c r="P134" s="99">
        <f t="shared" si="19"/>
        <v>2.6421483557125756</v>
      </c>
      <c r="Q134" s="99">
        <f t="shared" si="19"/>
        <v>2.6498287696928835</v>
      </c>
      <c r="R134" s="99">
        <f t="shared" si="19"/>
        <v>2.6610304617887928</v>
      </c>
      <c r="S134" s="99">
        <f t="shared" si="20"/>
        <v>2.6641944721558861</v>
      </c>
      <c r="T134" s="99">
        <f t="shared" si="20"/>
        <v>2.6639265213445049</v>
      </c>
      <c r="U134" s="99">
        <f t="shared" si="20"/>
        <v>2.6704988997368693</v>
      </c>
      <c r="V134" s="99">
        <f t="shared" si="20"/>
        <v>2.6594202290826634</v>
      </c>
      <c r="W134" s="99">
        <f t="shared" si="20"/>
        <v>2.6765859332633362</v>
      </c>
      <c r="X134" s="99">
        <f t="shared" si="20"/>
        <v>2.6773055244360386</v>
      </c>
      <c r="Y134" s="99">
        <f t="shared" si="20"/>
        <v>2.7514385822514513</v>
      </c>
      <c r="Z134" s="99">
        <f t="shared" si="20"/>
        <v>2.7508613926105836</v>
      </c>
      <c r="AA134" s="99">
        <f t="shared" si="20"/>
        <v>2.7729226760809533</v>
      </c>
      <c r="AB134" s="99">
        <f t="shared" si="20"/>
        <v>2.7797756444739146</v>
      </c>
      <c r="AC134" s="99">
        <f t="shared" si="20"/>
        <v>2.8037901039844768</v>
      </c>
    </row>
    <row r="135" spans="1:29" x14ac:dyDescent="0.25">
      <c r="A135" t="s">
        <v>206</v>
      </c>
      <c r="B135" s="99">
        <v>3.3631923076923078</v>
      </c>
      <c r="C135" s="99">
        <f t="shared" si="19"/>
        <v>3.048620551509686</v>
      </c>
      <c r="D135" s="99">
        <f t="shared" si="19"/>
        <v>2.8451175418433561</v>
      </c>
      <c r="E135" s="99">
        <f t="shared" si="19"/>
        <v>2.814276472384615</v>
      </c>
      <c r="F135" s="99">
        <f t="shared" si="19"/>
        <v>2.7967936921532903</v>
      </c>
      <c r="G135" s="99">
        <f t="shared" si="19"/>
        <v>2.7974649076746028</v>
      </c>
      <c r="H135" s="99">
        <f t="shared" si="19"/>
        <v>2.8017177732317662</v>
      </c>
      <c r="I135" s="99">
        <f t="shared" si="19"/>
        <v>2.8108094424855992</v>
      </c>
      <c r="J135" s="99">
        <f t="shared" si="19"/>
        <v>2.8061595327744353</v>
      </c>
      <c r="K135" s="99">
        <f t="shared" si="19"/>
        <v>2.8202954050101479</v>
      </c>
      <c r="L135" s="99">
        <f t="shared" si="19"/>
        <v>2.8265545814424891</v>
      </c>
      <c r="M135" s="99">
        <f t="shared" si="19"/>
        <v>2.8356728425680684</v>
      </c>
      <c r="N135" s="99">
        <f t="shared" si="19"/>
        <v>2.8413451638998088</v>
      </c>
      <c r="O135" s="99">
        <f t="shared" si="19"/>
        <v>2.8715379418646059</v>
      </c>
      <c r="P135" s="99">
        <f t="shared" si="19"/>
        <v>2.8752800600920279</v>
      </c>
      <c r="Q135" s="99">
        <f t="shared" si="19"/>
        <v>2.8836381604701105</v>
      </c>
      <c r="R135" s="99">
        <f t="shared" si="19"/>
        <v>2.8958282412628948</v>
      </c>
      <c r="S135" s="99">
        <f t="shared" si="20"/>
        <v>2.8992714301734486</v>
      </c>
      <c r="T135" s="99">
        <f t="shared" si="20"/>
        <v>2.8989798365453376</v>
      </c>
      <c r="U135" s="99">
        <f t="shared" si="20"/>
        <v>2.9061321330839056</v>
      </c>
      <c r="V135" s="99">
        <f t="shared" si="20"/>
        <v>2.8940759286109454</v>
      </c>
      <c r="W135" s="99">
        <f t="shared" si="20"/>
        <v>2.9127562600319323</v>
      </c>
      <c r="X135" s="99">
        <f t="shared" si="20"/>
        <v>2.9135393448067961</v>
      </c>
      <c r="Y135" s="99">
        <f t="shared" si="20"/>
        <v>2.9942135819174598</v>
      </c>
      <c r="Z135" s="99">
        <f t="shared" si="20"/>
        <v>2.993585463567598</v>
      </c>
      <c r="AA135" s="99">
        <f t="shared" si="20"/>
        <v>3.0175933389487235</v>
      </c>
      <c r="AB135" s="99">
        <f t="shared" si="20"/>
        <v>3.025050983531822</v>
      </c>
      <c r="AC135" s="99">
        <f t="shared" si="20"/>
        <v>3.0511843747304344</v>
      </c>
    </row>
    <row r="136" spans="1:29" x14ac:dyDescent="0.25">
      <c r="A136" t="s">
        <v>208</v>
      </c>
      <c r="B136" s="99">
        <v>3.5969230769230762</v>
      </c>
      <c r="C136" s="99">
        <f t="shared" si="19"/>
        <v>3.2604896215498758</v>
      </c>
      <c r="D136" s="99">
        <f t="shared" si="19"/>
        <v>3.0428438241276101</v>
      </c>
      <c r="E136" s="99">
        <f t="shared" si="19"/>
        <v>3.0098594020951834</v>
      </c>
      <c r="F136" s="99">
        <f t="shared" si="19"/>
        <v>2.991161626318581</v>
      </c>
      <c r="G136" s="99">
        <f t="shared" si="19"/>
        <v>2.9918794891040883</v>
      </c>
      <c r="H136" s="99">
        <f t="shared" si="19"/>
        <v>2.9964279147860289</v>
      </c>
      <c r="I136" s="99">
        <f t="shared" ref="I136:X136" si="21">$B136*I$162</f>
        <v>3.0061514250569306</v>
      </c>
      <c r="J136" s="99">
        <f t="shared" si="21"/>
        <v>3.0011783619622512</v>
      </c>
      <c r="K136" s="99">
        <f t="shared" si="21"/>
        <v>3.0162966306799741</v>
      </c>
      <c r="L136" s="99">
        <f t="shared" si="21"/>
        <v>3.0229907992235114</v>
      </c>
      <c r="M136" s="99">
        <f t="shared" si="21"/>
        <v>3.0327427494135115</v>
      </c>
      <c r="N136" s="99">
        <f t="shared" si="21"/>
        <v>3.0388092783631633</v>
      </c>
      <c r="O136" s="99">
        <f t="shared" si="21"/>
        <v>3.0711003547817195</v>
      </c>
      <c r="P136" s="99">
        <f t="shared" si="21"/>
        <v>3.075102537879606</v>
      </c>
      <c r="Q136" s="99">
        <f t="shared" si="21"/>
        <v>3.0840414986581504</v>
      </c>
      <c r="R136" s="99">
        <f t="shared" si="21"/>
        <v>3.0970787498473964</v>
      </c>
      <c r="S136" s="99">
        <f t="shared" si="21"/>
        <v>3.1007612290271473</v>
      </c>
      <c r="T136" s="99">
        <f t="shared" si="21"/>
        <v>3.1004493706039353</v>
      </c>
      <c r="U136" s="99">
        <f t="shared" si="21"/>
        <v>3.1080987281544181</v>
      </c>
      <c r="V136" s="99">
        <f t="shared" si="21"/>
        <v>3.0952046572475278</v>
      </c>
      <c r="W136" s="99">
        <f t="shared" si="21"/>
        <v>3.1151832100704029</v>
      </c>
      <c r="X136" s="99">
        <f t="shared" si="21"/>
        <v>3.1160207166534946</v>
      </c>
      <c r="Y136" s="99">
        <f t="shared" si="20"/>
        <v>3.202301547075475</v>
      </c>
      <c r="Z136" s="99">
        <f t="shared" si="20"/>
        <v>3.201629776572644</v>
      </c>
      <c r="AA136" s="99">
        <f t="shared" si="20"/>
        <v>3.2273061200837634</v>
      </c>
      <c r="AB136" s="99">
        <f t="shared" si="20"/>
        <v>3.2352820463604397</v>
      </c>
      <c r="AC136" s="99">
        <f t="shared" si="20"/>
        <v>3.2632316220256641</v>
      </c>
    </row>
    <row r="137" spans="1:29" x14ac:dyDescent="0.25">
      <c r="A137" t="s">
        <v>211</v>
      </c>
      <c r="B137" s="99">
        <v>3.3631923076923078</v>
      </c>
      <c r="C137" s="99">
        <f t="shared" ref="C137:R152" si="22">$B137*C$162</f>
        <v>3.048620551509686</v>
      </c>
      <c r="D137" s="99">
        <f t="shared" si="22"/>
        <v>2.8451175418433561</v>
      </c>
      <c r="E137" s="99">
        <f t="shared" si="22"/>
        <v>2.814276472384615</v>
      </c>
      <c r="F137" s="99">
        <f t="shared" si="22"/>
        <v>2.7967936921532903</v>
      </c>
      <c r="G137" s="99">
        <f t="shared" si="22"/>
        <v>2.7974649076746028</v>
      </c>
      <c r="H137" s="99">
        <f t="shared" si="22"/>
        <v>2.8017177732317662</v>
      </c>
      <c r="I137" s="99">
        <f t="shared" si="22"/>
        <v>2.8108094424855992</v>
      </c>
      <c r="J137" s="99">
        <f t="shared" si="22"/>
        <v>2.8061595327744353</v>
      </c>
      <c r="K137" s="99">
        <f t="shared" si="22"/>
        <v>2.8202954050101479</v>
      </c>
      <c r="L137" s="99">
        <f t="shared" si="22"/>
        <v>2.8265545814424891</v>
      </c>
      <c r="M137" s="99">
        <f t="shared" si="22"/>
        <v>2.8356728425680684</v>
      </c>
      <c r="N137" s="99">
        <f t="shared" si="22"/>
        <v>2.8413451638998088</v>
      </c>
      <c r="O137" s="99">
        <f t="shared" si="22"/>
        <v>2.8715379418646059</v>
      </c>
      <c r="P137" s="99">
        <f t="shared" si="22"/>
        <v>2.8752800600920279</v>
      </c>
      <c r="Q137" s="99">
        <f t="shared" si="22"/>
        <v>2.8836381604701105</v>
      </c>
      <c r="R137" s="99">
        <f t="shared" si="22"/>
        <v>2.8958282412628948</v>
      </c>
      <c r="S137" s="99">
        <f t="shared" ref="S137:X151" si="23">$B137*S$162</f>
        <v>2.8992714301734486</v>
      </c>
      <c r="T137" s="99">
        <f t="shared" si="23"/>
        <v>2.8989798365453376</v>
      </c>
      <c r="U137" s="99">
        <f t="shared" si="23"/>
        <v>2.9061321330839056</v>
      </c>
      <c r="V137" s="99">
        <f t="shared" si="23"/>
        <v>2.8940759286109454</v>
      </c>
      <c r="W137" s="99">
        <f t="shared" si="23"/>
        <v>2.9127562600319323</v>
      </c>
      <c r="X137" s="99">
        <f t="shared" si="23"/>
        <v>2.9135393448067961</v>
      </c>
      <c r="Y137" s="99">
        <f t="shared" si="20"/>
        <v>2.9942135819174598</v>
      </c>
      <c r="Z137" s="99">
        <f t="shared" si="20"/>
        <v>2.993585463567598</v>
      </c>
      <c r="AA137" s="99">
        <f t="shared" si="20"/>
        <v>3.0175933389487235</v>
      </c>
      <c r="AB137" s="99">
        <f t="shared" si="20"/>
        <v>3.025050983531822</v>
      </c>
      <c r="AC137" s="99">
        <f t="shared" si="20"/>
        <v>3.0511843747304344</v>
      </c>
    </row>
    <row r="138" spans="1:29" x14ac:dyDescent="0.25">
      <c r="A138" t="s">
        <v>215</v>
      </c>
      <c r="B138" s="99">
        <v>4.5133653846153869</v>
      </c>
      <c r="C138" s="99">
        <f t="shared" si="22"/>
        <v>4.0912137068522707</v>
      </c>
      <c r="D138" s="99">
        <f t="shared" si="22"/>
        <v>3.8181150091083724</v>
      </c>
      <c r="E138" s="99">
        <f t="shared" si="22"/>
        <v>3.7767266487100599</v>
      </c>
      <c r="F138" s="99">
        <f t="shared" si="22"/>
        <v>3.7532649587726681</v>
      </c>
      <c r="G138" s="99">
        <f t="shared" si="22"/>
        <v>3.7541657222801779</v>
      </c>
      <c r="H138" s="99">
        <f t="shared" si="22"/>
        <v>3.7598730189302159</v>
      </c>
      <c r="I138" s="99">
        <f t="shared" si="22"/>
        <v>3.7720739344725018</v>
      </c>
      <c r="J138" s="99">
        <f t="shared" si="22"/>
        <v>3.7658338091356454</v>
      </c>
      <c r="K138" s="99">
        <f t="shared" si="22"/>
        <v>3.7848039870478885</v>
      </c>
      <c r="L138" s="99">
        <f t="shared" si="22"/>
        <v>3.7932037298105352</v>
      </c>
      <c r="M138" s="99">
        <f t="shared" si="22"/>
        <v>3.8054403313387759</v>
      </c>
      <c r="N138" s="99">
        <f t="shared" si="22"/>
        <v>3.8130525213079718</v>
      </c>
      <c r="O138" s="99">
        <f t="shared" si="22"/>
        <v>3.85357088197977</v>
      </c>
      <c r="P138" s="99">
        <f t="shared" si="22"/>
        <v>3.8585927615892572</v>
      </c>
      <c r="Q138" s="99">
        <f t="shared" si="22"/>
        <v>3.8698092361397305</v>
      </c>
      <c r="R138" s="99">
        <f t="shared" si="22"/>
        <v>3.886168184321189</v>
      </c>
      <c r="S138" s="99">
        <f t="shared" si="23"/>
        <v>3.8907889042265125</v>
      </c>
      <c r="T138" s="99">
        <f t="shared" si="23"/>
        <v>3.8903975889322666</v>
      </c>
      <c r="U138" s="99">
        <f t="shared" si="23"/>
        <v>3.8999958886024468</v>
      </c>
      <c r="V138" s="99">
        <f t="shared" si="23"/>
        <v>3.8838166009019943</v>
      </c>
      <c r="W138" s="99">
        <f t="shared" si="23"/>
        <v>3.9088853907585208</v>
      </c>
      <c r="X138" s="99">
        <f t="shared" si="23"/>
        <v>3.909936281517282</v>
      </c>
      <c r="Y138" s="99">
        <f t="shared" si="20"/>
        <v>4.0182001795919549</v>
      </c>
      <c r="Z138" s="99">
        <f t="shared" si="20"/>
        <v>4.0173572519927143</v>
      </c>
      <c r="AA138" s="99">
        <f t="shared" si="20"/>
        <v>4.049575544552285</v>
      </c>
      <c r="AB138" s="99">
        <f t="shared" si="20"/>
        <v>4.0595836177853073</v>
      </c>
      <c r="AC138" s="99">
        <f t="shared" si="20"/>
        <v>4.0946543281186578</v>
      </c>
    </row>
    <row r="139" spans="1:29" x14ac:dyDescent="0.25">
      <c r="A139" t="s">
        <v>212</v>
      </c>
      <c r="B139" s="99">
        <v>3.4698076923076924</v>
      </c>
      <c r="C139" s="99">
        <f t="shared" si="22"/>
        <v>3.1452638067592185</v>
      </c>
      <c r="D139" s="99">
        <f t="shared" si="22"/>
        <v>2.9353096192651029</v>
      </c>
      <c r="E139" s="99">
        <f t="shared" si="22"/>
        <v>2.9034908678359392</v>
      </c>
      <c r="F139" s="99">
        <f t="shared" si="22"/>
        <v>2.8854538720950687</v>
      </c>
      <c r="G139" s="99">
        <f t="shared" si="22"/>
        <v>2.8861463655851729</v>
      </c>
      <c r="H139" s="99">
        <f t="shared" si="22"/>
        <v>2.8905340497478789</v>
      </c>
      <c r="I139" s="99">
        <f t="shared" si="22"/>
        <v>2.8999139308330948</v>
      </c>
      <c r="J139" s="99">
        <f t="shared" si="22"/>
        <v>2.8951166159583464</v>
      </c>
      <c r="K139" s="99">
        <f t="shared" si="22"/>
        <v>2.9097006045422789</v>
      </c>
      <c r="L139" s="99">
        <f t="shared" si="22"/>
        <v>2.9161582009404312</v>
      </c>
      <c r="M139" s="99">
        <f t="shared" si="22"/>
        <v>2.9255655168770316</v>
      </c>
      <c r="N139" s="99">
        <f t="shared" si="22"/>
        <v>2.9314176544860224</v>
      </c>
      <c r="O139" s="99">
        <f t="shared" si="22"/>
        <v>2.962567563159034</v>
      </c>
      <c r="P139" s="99">
        <f t="shared" si="22"/>
        <v>2.9664283089692978</v>
      </c>
      <c r="Q139" s="99">
        <f t="shared" si="22"/>
        <v>2.9750513665680614</v>
      </c>
      <c r="R139" s="99">
        <f t="shared" si="22"/>
        <v>2.9876278808541801</v>
      </c>
      <c r="S139" s="99">
        <f t="shared" si="23"/>
        <v>2.9911802210937144</v>
      </c>
      <c r="T139" s="99">
        <f t="shared" si="23"/>
        <v>2.9908793837578496</v>
      </c>
      <c r="U139" s="99">
        <f t="shared" si="23"/>
        <v>2.9982584127507579</v>
      </c>
      <c r="V139" s="99">
        <f t="shared" si="23"/>
        <v>2.9858200187509172</v>
      </c>
      <c r="W139" s="99">
        <f t="shared" si="23"/>
        <v>3.0050925288334205</v>
      </c>
      <c r="X139" s="99">
        <f t="shared" si="23"/>
        <v>3.0059004379052081</v>
      </c>
      <c r="Y139" s="99">
        <f t="shared" si="20"/>
        <v>3.0891321008277806</v>
      </c>
      <c r="Z139" s="99">
        <f t="shared" si="20"/>
        <v>3.0884840707175059</v>
      </c>
      <c r="AA139" s="99">
        <f t="shared" si="20"/>
        <v>3.1132530113703676</v>
      </c>
      <c r="AB139" s="99">
        <f t="shared" si="20"/>
        <v>3.1209470681395115</v>
      </c>
      <c r="AC139" s="99">
        <f t="shared" si="20"/>
        <v>3.1479089048443685</v>
      </c>
    </row>
    <row r="140" spans="1:29" x14ac:dyDescent="0.25">
      <c r="A140" t="s">
        <v>213</v>
      </c>
      <c r="B140" s="99">
        <v>3.561634615384615</v>
      </c>
      <c r="C140" s="99">
        <f t="shared" si="22"/>
        <v>3.2285018197131352</v>
      </c>
      <c r="D140" s="99">
        <f t="shared" si="22"/>
        <v>3.0129912876793954</v>
      </c>
      <c r="E140" s="99">
        <f t="shared" si="22"/>
        <v>2.9803304670928066</v>
      </c>
      <c r="F140" s="99">
        <f t="shared" si="22"/>
        <v>2.9618161302519934</v>
      </c>
      <c r="G140" s="99">
        <f t="shared" si="22"/>
        <v>2.9625269502754636</v>
      </c>
      <c r="H140" s="99">
        <f t="shared" si="22"/>
        <v>2.967030752555317</v>
      </c>
      <c r="I140" s="99">
        <f t="shared" si="22"/>
        <v>2.9766588680371515</v>
      </c>
      <c r="J140" s="99">
        <f t="shared" si="22"/>
        <v>2.9717345943499724</v>
      </c>
      <c r="K140" s="99">
        <f t="shared" si="22"/>
        <v>2.9867045417294946</v>
      </c>
      <c r="L140" s="99">
        <f t="shared" si="22"/>
        <v>2.9933330355549104</v>
      </c>
      <c r="M140" s="99">
        <f t="shared" si="22"/>
        <v>3.0029893119393147</v>
      </c>
      <c r="N140" s="99">
        <f t="shared" si="22"/>
        <v>3.0089963237769979</v>
      </c>
      <c r="O140" s="99">
        <f t="shared" si="22"/>
        <v>3.0409706009802631</v>
      </c>
      <c r="P140" s="99">
        <f t="shared" si="22"/>
        <v>3.0449335197176675</v>
      </c>
      <c r="Q140" s="99">
        <f t="shared" si="22"/>
        <v>3.0537847827148354</v>
      </c>
      <c r="R140" s="99">
        <f t="shared" si="22"/>
        <v>3.0666941288787801</v>
      </c>
      <c r="S140" s="99">
        <f t="shared" si="23"/>
        <v>3.0703404802286829</v>
      </c>
      <c r="T140" s="99">
        <f t="shared" si="23"/>
        <v>3.0700316813660282</v>
      </c>
      <c r="U140" s="99">
        <f t="shared" si="23"/>
        <v>3.077605993091526</v>
      </c>
      <c r="V140" s="99">
        <f t="shared" si="23"/>
        <v>3.0648384225060332</v>
      </c>
      <c r="W140" s="99">
        <f t="shared" si="23"/>
        <v>3.0846209710280639</v>
      </c>
      <c r="X140" s="99">
        <f t="shared" si="23"/>
        <v>3.0854502610554455</v>
      </c>
      <c r="Y140" s="99">
        <f t="shared" si="20"/>
        <v>3.170884613056637</v>
      </c>
      <c r="Z140" s="99">
        <f t="shared" si="20"/>
        <v>3.1702194331166416</v>
      </c>
      <c r="AA140" s="99">
        <f t="shared" si="20"/>
        <v>3.1956438728085623</v>
      </c>
      <c r="AB140" s="99">
        <f t="shared" si="20"/>
        <v>3.2035415493808026</v>
      </c>
      <c r="AC140" s="99">
        <f t="shared" si="20"/>
        <v>3.2312169191470441</v>
      </c>
    </row>
    <row r="141" spans="1:29" x14ac:dyDescent="0.25">
      <c r="A141" t="s">
        <v>214</v>
      </c>
      <c r="B141" s="99">
        <v>3.0905000000000005</v>
      </c>
      <c r="C141" s="99">
        <f t="shared" si="22"/>
        <v>2.8014341591145988</v>
      </c>
      <c r="D141" s="99">
        <f t="shared" si="22"/>
        <v>2.614431456374315</v>
      </c>
      <c r="E141" s="99">
        <f t="shared" si="22"/>
        <v>2.5860910237013939</v>
      </c>
      <c r="F141" s="99">
        <f t="shared" si="22"/>
        <v>2.5700257715951347</v>
      </c>
      <c r="G141" s="99">
        <f t="shared" si="22"/>
        <v>2.5706425640288804</v>
      </c>
      <c r="H141" s="99">
        <f t="shared" si="22"/>
        <v>2.5745506013344936</v>
      </c>
      <c r="I141" s="99">
        <f t="shared" si="22"/>
        <v>2.5829051054063261</v>
      </c>
      <c r="J141" s="99">
        <f t="shared" si="22"/>
        <v>2.5786322168386748</v>
      </c>
      <c r="K141" s="99">
        <f t="shared" si="22"/>
        <v>2.5916219329023531</v>
      </c>
      <c r="L141" s="99">
        <f t="shared" si="22"/>
        <v>2.597373606608286</v>
      </c>
      <c r="M141" s="99">
        <f t="shared" si="22"/>
        <v>2.6057525464459363</v>
      </c>
      <c r="N141" s="99">
        <f t="shared" si="22"/>
        <v>2.6109649480786499</v>
      </c>
      <c r="O141" s="99">
        <f t="shared" si="22"/>
        <v>2.6387096536331862</v>
      </c>
      <c r="P141" s="99">
        <f t="shared" si="22"/>
        <v>2.6421483557125756</v>
      </c>
      <c r="Q141" s="99">
        <f t="shared" si="22"/>
        <v>2.6498287696928835</v>
      </c>
      <c r="R141" s="99">
        <f t="shared" si="22"/>
        <v>2.6610304617887928</v>
      </c>
      <c r="S141" s="99">
        <f t="shared" si="23"/>
        <v>2.6641944721558861</v>
      </c>
      <c r="T141" s="99">
        <f t="shared" si="23"/>
        <v>2.6639265213445049</v>
      </c>
      <c r="U141" s="99">
        <f t="shared" si="23"/>
        <v>2.6704988997368693</v>
      </c>
      <c r="V141" s="99">
        <f t="shared" si="23"/>
        <v>2.6594202290826634</v>
      </c>
      <c r="W141" s="99">
        <f t="shared" si="23"/>
        <v>2.6765859332633362</v>
      </c>
      <c r="X141" s="99">
        <f t="shared" si="23"/>
        <v>2.6773055244360386</v>
      </c>
      <c r="Y141" s="99">
        <f t="shared" si="20"/>
        <v>2.7514385822514513</v>
      </c>
      <c r="Z141" s="99">
        <f t="shared" si="20"/>
        <v>2.7508613926105836</v>
      </c>
      <c r="AA141" s="99">
        <f t="shared" si="20"/>
        <v>2.7729226760809533</v>
      </c>
      <c r="AB141" s="99">
        <f t="shared" si="20"/>
        <v>2.7797756444739146</v>
      </c>
      <c r="AC141" s="99">
        <f t="shared" si="20"/>
        <v>2.8037901039844768</v>
      </c>
    </row>
    <row r="142" spans="1:29" x14ac:dyDescent="0.25">
      <c r="A142" t="s">
        <v>216</v>
      </c>
      <c r="B142" s="99">
        <v>3.561634615384615</v>
      </c>
      <c r="C142" s="99">
        <f t="shared" si="22"/>
        <v>3.2285018197131352</v>
      </c>
      <c r="D142" s="99">
        <f t="shared" si="22"/>
        <v>3.0129912876793954</v>
      </c>
      <c r="E142" s="99">
        <f t="shared" si="22"/>
        <v>2.9803304670928066</v>
      </c>
      <c r="F142" s="99">
        <f t="shared" si="22"/>
        <v>2.9618161302519934</v>
      </c>
      <c r="G142" s="99">
        <f t="shared" si="22"/>
        <v>2.9625269502754636</v>
      </c>
      <c r="H142" s="99">
        <f t="shared" si="22"/>
        <v>2.967030752555317</v>
      </c>
      <c r="I142" s="99">
        <f t="shared" si="22"/>
        <v>2.9766588680371515</v>
      </c>
      <c r="J142" s="99">
        <f t="shared" si="22"/>
        <v>2.9717345943499724</v>
      </c>
      <c r="K142" s="99">
        <f t="shared" si="22"/>
        <v>2.9867045417294946</v>
      </c>
      <c r="L142" s="99">
        <f t="shared" si="22"/>
        <v>2.9933330355549104</v>
      </c>
      <c r="M142" s="99">
        <f t="shared" si="22"/>
        <v>3.0029893119393147</v>
      </c>
      <c r="N142" s="99">
        <f t="shared" si="22"/>
        <v>3.0089963237769979</v>
      </c>
      <c r="O142" s="99">
        <f t="shared" si="22"/>
        <v>3.0409706009802631</v>
      </c>
      <c r="P142" s="99">
        <f t="shared" si="22"/>
        <v>3.0449335197176675</v>
      </c>
      <c r="Q142" s="99">
        <f t="shared" si="22"/>
        <v>3.0537847827148354</v>
      </c>
      <c r="R142" s="99">
        <f t="shared" si="22"/>
        <v>3.0666941288787801</v>
      </c>
      <c r="S142" s="99">
        <f t="shared" si="23"/>
        <v>3.0703404802286829</v>
      </c>
      <c r="T142" s="99">
        <f t="shared" si="23"/>
        <v>3.0700316813660282</v>
      </c>
      <c r="U142" s="99">
        <f t="shared" si="23"/>
        <v>3.077605993091526</v>
      </c>
      <c r="V142" s="99">
        <f t="shared" si="23"/>
        <v>3.0648384225060332</v>
      </c>
      <c r="W142" s="99">
        <f t="shared" si="23"/>
        <v>3.0846209710280639</v>
      </c>
      <c r="X142" s="99">
        <f t="shared" si="23"/>
        <v>3.0854502610554455</v>
      </c>
      <c r="Y142" s="99">
        <f t="shared" si="20"/>
        <v>3.170884613056637</v>
      </c>
      <c r="Z142" s="99">
        <f t="shared" si="20"/>
        <v>3.1702194331166416</v>
      </c>
      <c r="AA142" s="99">
        <f t="shared" si="20"/>
        <v>3.1956438728085623</v>
      </c>
      <c r="AB142" s="99">
        <f t="shared" si="20"/>
        <v>3.2035415493808026</v>
      </c>
      <c r="AC142" s="99">
        <f t="shared" si="20"/>
        <v>3.2312169191470441</v>
      </c>
    </row>
    <row r="143" spans="1:29" x14ac:dyDescent="0.25">
      <c r="A143" t="s">
        <v>209</v>
      </c>
      <c r="B143" s="99">
        <v>3.2785000000000006</v>
      </c>
      <c r="C143" s="99">
        <f t="shared" si="22"/>
        <v>2.9718498271015084</v>
      </c>
      <c r="D143" s="99">
        <f t="shared" si="22"/>
        <v>2.7734714543676402</v>
      </c>
      <c r="E143" s="99">
        <f t="shared" si="22"/>
        <v>2.7434070283789098</v>
      </c>
      <c r="F143" s="99">
        <f t="shared" si="22"/>
        <v>2.7263645015934799</v>
      </c>
      <c r="G143" s="99">
        <f t="shared" si="22"/>
        <v>2.7270188144859033</v>
      </c>
      <c r="H143" s="99">
        <f t="shared" si="22"/>
        <v>2.731164583878058</v>
      </c>
      <c r="I143" s="99">
        <f t="shared" si="22"/>
        <v>2.7400273056381299</v>
      </c>
      <c r="J143" s="99">
        <f t="shared" si="22"/>
        <v>2.7354944905049656</v>
      </c>
      <c r="K143" s="99">
        <f t="shared" si="22"/>
        <v>2.749274391528997</v>
      </c>
      <c r="L143" s="99">
        <f t="shared" si="22"/>
        <v>2.7553759486378469</v>
      </c>
      <c r="M143" s="99">
        <f t="shared" si="22"/>
        <v>2.764264592629996</v>
      </c>
      <c r="N143" s="99">
        <f t="shared" si="22"/>
        <v>2.7697940728930122</v>
      </c>
      <c r="O143" s="99">
        <f t="shared" si="22"/>
        <v>2.7992265327411103</v>
      </c>
      <c r="P143" s="99">
        <f t="shared" si="22"/>
        <v>2.8028744165033745</v>
      </c>
      <c r="Q143" s="99">
        <f t="shared" si="22"/>
        <v>2.811022042206154</v>
      </c>
      <c r="R143" s="99">
        <f t="shared" si="22"/>
        <v>2.8229051509382166</v>
      </c>
      <c r="S143" s="99">
        <f t="shared" si="23"/>
        <v>2.826261633057134</v>
      </c>
      <c r="T143" s="99">
        <f t="shared" si="23"/>
        <v>2.8259773823743601</v>
      </c>
      <c r="U143" s="99">
        <f t="shared" si="23"/>
        <v>2.8329495689329645</v>
      </c>
      <c r="V143" s="99">
        <f t="shared" si="23"/>
        <v>2.821196965231358</v>
      </c>
      <c r="W143" s="99">
        <f t="shared" si="23"/>
        <v>2.8394068863303179</v>
      </c>
      <c r="X143" s="99">
        <f t="shared" si="23"/>
        <v>2.8401702513714779</v>
      </c>
      <c r="Y143" s="99">
        <f t="shared" si="20"/>
        <v>2.9188129402722485</v>
      </c>
      <c r="Z143" s="99">
        <f t="shared" si="20"/>
        <v>2.9182006392731914</v>
      </c>
      <c r="AA143" s="99">
        <f t="shared" si="20"/>
        <v>2.9416039454882399</v>
      </c>
      <c r="AB143" s="99">
        <f t="shared" si="20"/>
        <v>2.9488737907806923</v>
      </c>
      <c r="AC143" s="99">
        <f t="shared" si="20"/>
        <v>2.9743490878217465</v>
      </c>
    </row>
    <row r="144" spans="1:29" x14ac:dyDescent="0.25">
      <c r="A144" t="s">
        <v>210</v>
      </c>
      <c r="B144" s="99">
        <v>3.3631923076923078</v>
      </c>
      <c r="C144" s="99">
        <f t="shared" si="22"/>
        <v>3.048620551509686</v>
      </c>
      <c r="D144" s="99">
        <f t="shared" si="22"/>
        <v>2.8451175418433561</v>
      </c>
      <c r="E144" s="99">
        <f t="shared" si="22"/>
        <v>2.814276472384615</v>
      </c>
      <c r="F144" s="99">
        <f t="shared" si="22"/>
        <v>2.7967936921532903</v>
      </c>
      <c r="G144" s="99">
        <f t="shared" si="22"/>
        <v>2.7974649076746028</v>
      </c>
      <c r="H144" s="99">
        <f t="shared" si="22"/>
        <v>2.8017177732317662</v>
      </c>
      <c r="I144" s="99">
        <f t="shared" si="22"/>
        <v>2.8108094424855992</v>
      </c>
      <c r="J144" s="99">
        <f t="shared" si="22"/>
        <v>2.8061595327744353</v>
      </c>
      <c r="K144" s="99">
        <f t="shared" si="22"/>
        <v>2.8202954050101479</v>
      </c>
      <c r="L144" s="99">
        <f t="shared" si="22"/>
        <v>2.8265545814424891</v>
      </c>
      <c r="M144" s="99">
        <f t="shared" si="22"/>
        <v>2.8356728425680684</v>
      </c>
      <c r="N144" s="99">
        <f t="shared" si="22"/>
        <v>2.8413451638998088</v>
      </c>
      <c r="O144" s="99">
        <f t="shared" si="22"/>
        <v>2.8715379418646059</v>
      </c>
      <c r="P144" s="99">
        <f t="shared" si="22"/>
        <v>2.8752800600920279</v>
      </c>
      <c r="Q144" s="99">
        <f t="shared" si="22"/>
        <v>2.8836381604701105</v>
      </c>
      <c r="R144" s="99">
        <f t="shared" si="22"/>
        <v>2.8958282412628948</v>
      </c>
      <c r="S144" s="99">
        <f t="shared" si="23"/>
        <v>2.8992714301734486</v>
      </c>
      <c r="T144" s="99">
        <f t="shared" si="23"/>
        <v>2.8989798365453376</v>
      </c>
      <c r="U144" s="99">
        <f t="shared" si="23"/>
        <v>2.9061321330839056</v>
      </c>
      <c r="V144" s="99">
        <f t="shared" si="23"/>
        <v>2.8940759286109454</v>
      </c>
      <c r="W144" s="99">
        <f t="shared" si="23"/>
        <v>2.9127562600319323</v>
      </c>
      <c r="X144" s="99">
        <f t="shared" si="23"/>
        <v>2.9135393448067961</v>
      </c>
      <c r="Y144" s="99">
        <f t="shared" si="20"/>
        <v>2.9942135819174598</v>
      </c>
      <c r="Z144" s="99">
        <f t="shared" si="20"/>
        <v>2.993585463567598</v>
      </c>
      <c r="AA144" s="99">
        <f t="shared" si="20"/>
        <v>3.0175933389487235</v>
      </c>
      <c r="AB144" s="99">
        <f t="shared" si="20"/>
        <v>3.025050983531822</v>
      </c>
      <c r="AC144" s="99">
        <f t="shared" si="20"/>
        <v>3.0511843747304344</v>
      </c>
    </row>
    <row r="145" spans="1:29" x14ac:dyDescent="0.25">
      <c r="A145" t="s">
        <v>217</v>
      </c>
      <c r="B145" s="99">
        <v>3.3631923076923078</v>
      </c>
      <c r="C145" s="99">
        <f t="shared" si="22"/>
        <v>3.048620551509686</v>
      </c>
      <c r="D145" s="99">
        <f t="shared" si="22"/>
        <v>2.8451175418433561</v>
      </c>
      <c r="E145" s="99">
        <f t="shared" si="22"/>
        <v>2.814276472384615</v>
      </c>
      <c r="F145" s="99">
        <f t="shared" si="22"/>
        <v>2.7967936921532903</v>
      </c>
      <c r="G145" s="99">
        <f t="shared" si="22"/>
        <v>2.7974649076746028</v>
      </c>
      <c r="H145" s="99">
        <f t="shared" si="22"/>
        <v>2.8017177732317662</v>
      </c>
      <c r="I145" s="99">
        <f t="shared" si="22"/>
        <v>2.8108094424855992</v>
      </c>
      <c r="J145" s="99">
        <f t="shared" si="22"/>
        <v>2.8061595327744353</v>
      </c>
      <c r="K145" s="99">
        <f t="shared" si="22"/>
        <v>2.8202954050101479</v>
      </c>
      <c r="L145" s="99">
        <f t="shared" si="22"/>
        <v>2.8265545814424891</v>
      </c>
      <c r="M145" s="99">
        <f t="shared" si="22"/>
        <v>2.8356728425680684</v>
      </c>
      <c r="N145" s="99">
        <f t="shared" si="22"/>
        <v>2.8413451638998088</v>
      </c>
      <c r="O145" s="99">
        <f t="shared" si="22"/>
        <v>2.8715379418646059</v>
      </c>
      <c r="P145" s="99">
        <f t="shared" si="22"/>
        <v>2.8752800600920279</v>
      </c>
      <c r="Q145" s="99">
        <f t="shared" si="22"/>
        <v>2.8836381604701105</v>
      </c>
      <c r="R145" s="99">
        <f t="shared" si="22"/>
        <v>2.8958282412628948</v>
      </c>
      <c r="S145" s="99">
        <f t="shared" si="23"/>
        <v>2.8992714301734486</v>
      </c>
      <c r="T145" s="99">
        <f t="shared" si="23"/>
        <v>2.8989798365453376</v>
      </c>
      <c r="U145" s="99">
        <f t="shared" si="23"/>
        <v>2.9061321330839056</v>
      </c>
      <c r="V145" s="99">
        <f t="shared" si="23"/>
        <v>2.8940759286109454</v>
      </c>
      <c r="W145" s="99">
        <f t="shared" si="23"/>
        <v>2.9127562600319323</v>
      </c>
      <c r="X145" s="99">
        <f t="shared" si="23"/>
        <v>2.9135393448067961</v>
      </c>
      <c r="Y145" s="99">
        <f t="shared" si="20"/>
        <v>2.9942135819174598</v>
      </c>
      <c r="Z145" s="99">
        <f t="shared" si="20"/>
        <v>2.993585463567598</v>
      </c>
      <c r="AA145" s="99">
        <f t="shared" si="20"/>
        <v>3.0175933389487235</v>
      </c>
      <c r="AB145" s="99">
        <f t="shared" si="20"/>
        <v>3.025050983531822</v>
      </c>
      <c r="AC145" s="99">
        <f t="shared" si="20"/>
        <v>3.0511843747304344</v>
      </c>
    </row>
    <row r="146" spans="1:29" x14ac:dyDescent="0.25">
      <c r="A146" t="s">
        <v>218</v>
      </c>
      <c r="B146" s="99">
        <v>3.3631923076923078</v>
      </c>
      <c r="C146" s="99">
        <f t="shared" si="22"/>
        <v>3.048620551509686</v>
      </c>
      <c r="D146" s="99">
        <f t="shared" si="22"/>
        <v>2.8451175418433561</v>
      </c>
      <c r="E146" s="99">
        <f t="shared" si="22"/>
        <v>2.814276472384615</v>
      </c>
      <c r="F146" s="99">
        <f t="shared" si="22"/>
        <v>2.7967936921532903</v>
      </c>
      <c r="G146" s="99">
        <f t="shared" si="22"/>
        <v>2.7974649076746028</v>
      </c>
      <c r="H146" s="99">
        <f t="shared" si="22"/>
        <v>2.8017177732317662</v>
      </c>
      <c r="I146" s="99">
        <f t="shared" si="22"/>
        <v>2.8108094424855992</v>
      </c>
      <c r="J146" s="99">
        <f t="shared" si="22"/>
        <v>2.8061595327744353</v>
      </c>
      <c r="K146" s="99">
        <f t="shared" si="22"/>
        <v>2.8202954050101479</v>
      </c>
      <c r="L146" s="99">
        <f t="shared" si="22"/>
        <v>2.8265545814424891</v>
      </c>
      <c r="M146" s="99">
        <f t="shared" si="22"/>
        <v>2.8356728425680684</v>
      </c>
      <c r="N146" s="99">
        <f t="shared" si="22"/>
        <v>2.8413451638998088</v>
      </c>
      <c r="O146" s="99">
        <f t="shared" si="22"/>
        <v>2.8715379418646059</v>
      </c>
      <c r="P146" s="99">
        <f t="shared" si="22"/>
        <v>2.8752800600920279</v>
      </c>
      <c r="Q146" s="99">
        <f t="shared" si="22"/>
        <v>2.8836381604701105</v>
      </c>
      <c r="R146" s="99">
        <f t="shared" si="22"/>
        <v>2.8958282412628948</v>
      </c>
      <c r="S146" s="99">
        <f t="shared" si="23"/>
        <v>2.8992714301734486</v>
      </c>
      <c r="T146" s="99">
        <f t="shared" si="23"/>
        <v>2.8989798365453376</v>
      </c>
      <c r="U146" s="99">
        <f t="shared" si="23"/>
        <v>2.9061321330839056</v>
      </c>
      <c r="V146" s="99">
        <f t="shared" si="23"/>
        <v>2.8940759286109454</v>
      </c>
      <c r="W146" s="99">
        <f t="shared" si="23"/>
        <v>2.9127562600319323</v>
      </c>
      <c r="X146" s="99">
        <f t="shared" si="23"/>
        <v>2.9135393448067961</v>
      </c>
      <c r="Y146" s="99">
        <f t="shared" si="20"/>
        <v>2.9942135819174598</v>
      </c>
      <c r="Z146" s="99">
        <f t="shared" si="20"/>
        <v>2.993585463567598</v>
      </c>
      <c r="AA146" s="99">
        <f t="shared" si="20"/>
        <v>3.0175933389487235</v>
      </c>
      <c r="AB146" s="99">
        <f t="shared" si="20"/>
        <v>3.025050983531822</v>
      </c>
      <c r="AC146" s="99">
        <f t="shared" si="20"/>
        <v>3.0511843747304344</v>
      </c>
    </row>
    <row r="147" spans="1:29" x14ac:dyDescent="0.25">
      <c r="A147" t="s">
        <v>219</v>
      </c>
      <c r="B147" s="99">
        <v>4.5133653846153869</v>
      </c>
      <c r="C147" s="99">
        <f t="shared" si="22"/>
        <v>4.0912137068522707</v>
      </c>
      <c r="D147" s="99">
        <f t="shared" si="22"/>
        <v>3.8181150091083724</v>
      </c>
      <c r="E147" s="99">
        <f t="shared" si="22"/>
        <v>3.7767266487100599</v>
      </c>
      <c r="F147" s="99">
        <f t="shared" si="22"/>
        <v>3.7532649587726681</v>
      </c>
      <c r="G147" s="99">
        <f t="shared" si="22"/>
        <v>3.7541657222801779</v>
      </c>
      <c r="H147" s="99">
        <f t="shared" si="22"/>
        <v>3.7598730189302159</v>
      </c>
      <c r="I147" s="99">
        <f t="shared" si="22"/>
        <v>3.7720739344725018</v>
      </c>
      <c r="J147" s="99">
        <f t="shared" si="22"/>
        <v>3.7658338091356454</v>
      </c>
      <c r="K147" s="99">
        <f t="shared" si="22"/>
        <v>3.7848039870478885</v>
      </c>
      <c r="L147" s="99">
        <f t="shared" si="22"/>
        <v>3.7932037298105352</v>
      </c>
      <c r="M147" s="99">
        <f t="shared" si="22"/>
        <v>3.8054403313387759</v>
      </c>
      <c r="N147" s="99">
        <f t="shared" si="22"/>
        <v>3.8130525213079718</v>
      </c>
      <c r="O147" s="99">
        <f t="shared" si="22"/>
        <v>3.85357088197977</v>
      </c>
      <c r="P147" s="99">
        <f t="shared" si="22"/>
        <v>3.8585927615892572</v>
      </c>
      <c r="Q147" s="99">
        <f t="shared" si="22"/>
        <v>3.8698092361397305</v>
      </c>
      <c r="R147" s="99">
        <f t="shared" si="22"/>
        <v>3.886168184321189</v>
      </c>
      <c r="S147" s="99">
        <f t="shared" si="23"/>
        <v>3.8907889042265125</v>
      </c>
      <c r="T147" s="99">
        <f t="shared" si="23"/>
        <v>3.8903975889322666</v>
      </c>
      <c r="U147" s="99">
        <f t="shared" si="23"/>
        <v>3.8999958886024468</v>
      </c>
      <c r="V147" s="99">
        <f t="shared" si="23"/>
        <v>3.8838166009019943</v>
      </c>
      <c r="W147" s="99">
        <f t="shared" si="23"/>
        <v>3.9088853907585208</v>
      </c>
      <c r="X147" s="99">
        <f t="shared" si="23"/>
        <v>3.909936281517282</v>
      </c>
      <c r="Y147" s="99">
        <f t="shared" si="20"/>
        <v>4.0182001795919549</v>
      </c>
      <c r="Z147" s="99">
        <f t="shared" si="20"/>
        <v>4.0173572519927143</v>
      </c>
      <c r="AA147" s="99">
        <f t="shared" si="20"/>
        <v>4.049575544552285</v>
      </c>
      <c r="AB147" s="99">
        <f t="shared" si="20"/>
        <v>4.0595836177853073</v>
      </c>
      <c r="AC147" s="99">
        <f t="shared" si="20"/>
        <v>4.0946543281186578</v>
      </c>
    </row>
    <row r="148" spans="1:29" x14ac:dyDescent="0.25">
      <c r="A148" t="s">
        <v>220</v>
      </c>
      <c r="B148" s="99">
        <v>3.561634615384615</v>
      </c>
      <c r="C148" s="99">
        <f t="shared" si="22"/>
        <v>3.2285018197131352</v>
      </c>
      <c r="D148" s="99">
        <f t="shared" si="22"/>
        <v>3.0129912876793954</v>
      </c>
      <c r="E148" s="99">
        <f t="shared" si="22"/>
        <v>2.9803304670928066</v>
      </c>
      <c r="F148" s="99">
        <f t="shared" si="22"/>
        <v>2.9618161302519934</v>
      </c>
      <c r="G148" s="99">
        <f t="shared" si="22"/>
        <v>2.9625269502754636</v>
      </c>
      <c r="H148" s="99">
        <f t="shared" si="22"/>
        <v>2.967030752555317</v>
      </c>
      <c r="I148" s="99">
        <f t="shared" si="22"/>
        <v>2.9766588680371515</v>
      </c>
      <c r="J148" s="99">
        <f t="shared" si="22"/>
        <v>2.9717345943499724</v>
      </c>
      <c r="K148" s="99">
        <f t="shared" si="22"/>
        <v>2.9867045417294946</v>
      </c>
      <c r="L148" s="99">
        <f t="shared" si="22"/>
        <v>2.9933330355549104</v>
      </c>
      <c r="M148" s="99">
        <f t="shared" si="22"/>
        <v>3.0029893119393147</v>
      </c>
      <c r="N148" s="99">
        <f t="shared" si="22"/>
        <v>3.0089963237769979</v>
      </c>
      <c r="O148" s="99">
        <f t="shared" si="22"/>
        <v>3.0409706009802631</v>
      </c>
      <c r="P148" s="99">
        <f t="shared" si="22"/>
        <v>3.0449335197176675</v>
      </c>
      <c r="Q148" s="99">
        <f t="shared" si="22"/>
        <v>3.0537847827148354</v>
      </c>
      <c r="R148" s="99">
        <f t="shared" si="22"/>
        <v>3.0666941288787801</v>
      </c>
      <c r="S148" s="99">
        <f t="shared" si="23"/>
        <v>3.0703404802286829</v>
      </c>
      <c r="T148" s="99">
        <f t="shared" si="23"/>
        <v>3.0700316813660282</v>
      </c>
      <c r="U148" s="99">
        <f t="shared" si="23"/>
        <v>3.077605993091526</v>
      </c>
      <c r="V148" s="99">
        <f t="shared" si="23"/>
        <v>3.0648384225060332</v>
      </c>
      <c r="W148" s="99">
        <f t="shared" si="23"/>
        <v>3.0846209710280639</v>
      </c>
      <c r="X148" s="99">
        <f t="shared" si="23"/>
        <v>3.0854502610554455</v>
      </c>
      <c r="Y148" s="99">
        <f t="shared" si="20"/>
        <v>3.170884613056637</v>
      </c>
      <c r="Z148" s="99">
        <f t="shared" si="20"/>
        <v>3.1702194331166416</v>
      </c>
      <c r="AA148" s="99">
        <f t="shared" si="20"/>
        <v>3.1956438728085623</v>
      </c>
      <c r="AB148" s="99">
        <f t="shared" si="20"/>
        <v>3.2035415493808026</v>
      </c>
      <c r="AC148" s="99">
        <f t="shared" si="20"/>
        <v>3.2312169191470441</v>
      </c>
    </row>
    <row r="149" spans="1:29" x14ac:dyDescent="0.25">
      <c r="A149" t="s">
        <v>221</v>
      </c>
      <c r="B149" s="99">
        <v>3.4698076923076924</v>
      </c>
      <c r="C149" s="99">
        <f t="shared" si="22"/>
        <v>3.1452638067592185</v>
      </c>
      <c r="D149" s="99">
        <f t="shared" si="22"/>
        <v>2.9353096192651029</v>
      </c>
      <c r="E149" s="99">
        <f t="shared" si="22"/>
        <v>2.9034908678359392</v>
      </c>
      <c r="F149" s="99">
        <f t="shared" si="22"/>
        <v>2.8854538720950687</v>
      </c>
      <c r="G149" s="99">
        <f t="shared" si="22"/>
        <v>2.8861463655851729</v>
      </c>
      <c r="H149" s="99">
        <f t="shared" si="22"/>
        <v>2.8905340497478789</v>
      </c>
      <c r="I149" s="99">
        <f t="shared" si="22"/>
        <v>2.8999139308330948</v>
      </c>
      <c r="J149" s="99">
        <f t="shared" si="22"/>
        <v>2.8951166159583464</v>
      </c>
      <c r="K149" s="99">
        <f t="shared" si="22"/>
        <v>2.9097006045422789</v>
      </c>
      <c r="L149" s="99">
        <f t="shared" si="22"/>
        <v>2.9161582009404312</v>
      </c>
      <c r="M149" s="99">
        <f t="shared" si="22"/>
        <v>2.9255655168770316</v>
      </c>
      <c r="N149" s="99">
        <f t="shared" si="22"/>
        <v>2.9314176544860224</v>
      </c>
      <c r="O149" s="99">
        <f t="shared" si="22"/>
        <v>2.962567563159034</v>
      </c>
      <c r="P149" s="99">
        <f t="shared" si="22"/>
        <v>2.9664283089692978</v>
      </c>
      <c r="Q149" s="99">
        <f t="shared" si="22"/>
        <v>2.9750513665680614</v>
      </c>
      <c r="R149" s="99">
        <f t="shared" si="22"/>
        <v>2.9876278808541801</v>
      </c>
      <c r="S149" s="99">
        <f t="shared" si="23"/>
        <v>2.9911802210937144</v>
      </c>
      <c r="T149" s="99">
        <f t="shared" si="23"/>
        <v>2.9908793837578496</v>
      </c>
      <c r="U149" s="99">
        <f t="shared" si="23"/>
        <v>2.9982584127507579</v>
      </c>
      <c r="V149" s="99">
        <f t="shared" si="23"/>
        <v>2.9858200187509172</v>
      </c>
      <c r="W149" s="99">
        <f t="shared" si="23"/>
        <v>3.0050925288334205</v>
      </c>
      <c r="X149" s="99">
        <f t="shared" si="23"/>
        <v>3.0059004379052081</v>
      </c>
      <c r="Y149" s="99">
        <f t="shared" si="20"/>
        <v>3.0891321008277806</v>
      </c>
      <c r="Z149" s="99">
        <f t="shared" si="20"/>
        <v>3.0884840707175059</v>
      </c>
      <c r="AA149" s="99">
        <f t="shared" si="20"/>
        <v>3.1132530113703676</v>
      </c>
      <c r="AB149" s="99">
        <f t="shared" si="20"/>
        <v>3.1209470681395115</v>
      </c>
      <c r="AC149" s="99">
        <f t="shared" si="20"/>
        <v>3.1479089048443685</v>
      </c>
    </row>
    <row r="150" spans="1:29" x14ac:dyDescent="0.25">
      <c r="A150" t="s">
        <v>222</v>
      </c>
      <c r="B150" s="99">
        <v>3.2785000000000006</v>
      </c>
      <c r="C150" s="99">
        <f t="shared" si="22"/>
        <v>2.9718498271015084</v>
      </c>
      <c r="D150" s="99">
        <f t="shared" si="22"/>
        <v>2.7734714543676402</v>
      </c>
      <c r="E150" s="99">
        <f t="shared" si="22"/>
        <v>2.7434070283789098</v>
      </c>
      <c r="F150" s="99">
        <f t="shared" si="22"/>
        <v>2.7263645015934799</v>
      </c>
      <c r="G150" s="99">
        <f t="shared" si="22"/>
        <v>2.7270188144859033</v>
      </c>
      <c r="H150" s="99">
        <f t="shared" si="22"/>
        <v>2.731164583878058</v>
      </c>
      <c r="I150" s="99">
        <f t="shared" si="22"/>
        <v>2.7400273056381299</v>
      </c>
      <c r="J150" s="99">
        <f t="shared" si="22"/>
        <v>2.7354944905049656</v>
      </c>
      <c r="K150" s="99">
        <f t="shared" si="22"/>
        <v>2.749274391528997</v>
      </c>
      <c r="L150" s="99">
        <f t="shared" si="22"/>
        <v>2.7553759486378469</v>
      </c>
      <c r="M150" s="99">
        <f t="shared" si="22"/>
        <v>2.764264592629996</v>
      </c>
      <c r="N150" s="99">
        <f t="shared" si="22"/>
        <v>2.7697940728930122</v>
      </c>
      <c r="O150" s="99">
        <f t="shared" si="22"/>
        <v>2.7992265327411103</v>
      </c>
      <c r="P150" s="99">
        <f t="shared" si="22"/>
        <v>2.8028744165033745</v>
      </c>
      <c r="Q150" s="99">
        <f t="shared" si="22"/>
        <v>2.811022042206154</v>
      </c>
      <c r="R150" s="99">
        <f t="shared" si="22"/>
        <v>2.8229051509382166</v>
      </c>
      <c r="S150" s="99">
        <f t="shared" si="23"/>
        <v>2.826261633057134</v>
      </c>
      <c r="T150" s="99">
        <f t="shared" si="23"/>
        <v>2.8259773823743601</v>
      </c>
      <c r="U150" s="99">
        <f t="shared" si="23"/>
        <v>2.8329495689329645</v>
      </c>
      <c r="V150" s="99">
        <f t="shared" si="23"/>
        <v>2.821196965231358</v>
      </c>
      <c r="W150" s="99">
        <f t="shared" si="23"/>
        <v>2.8394068863303179</v>
      </c>
      <c r="X150" s="99">
        <f t="shared" si="23"/>
        <v>2.8401702513714779</v>
      </c>
      <c r="Y150" s="99">
        <f t="shared" si="20"/>
        <v>2.9188129402722485</v>
      </c>
      <c r="Z150" s="99">
        <f t="shared" si="20"/>
        <v>2.9182006392731914</v>
      </c>
      <c r="AA150" s="99">
        <f t="shared" si="20"/>
        <v>2.9416039454882399</v>
      </c>
      <c r="AB150" s="99">
        <f t="shared" si="20"/>
        <v>2.9488737907806923</v>
      </c>
      <c r="AC150" s="99">
        <f t="shared" si="20"/>
        <v>2.9743490878217465</v>
      </c>
    </row>
    <row r="151" spans="1:29" x14ac:dyDescent="0.25">
      <c r="A151" t="s">
        <v>223</v>
      </c>
      <c r="B151" s="99">
        <v>3.3631923076923078</v>
      </c>
      <c r="C151" s="99">
        <f t="shared" si="22"/>
        <v>3.048620551509686</v>
      </c>
      <c r="D151" s="99">
        <f t="shared" si="22"/>
        <v>2.8451175418433561</v>
      </c>
      <c r="E151" s="99">
        <f t="shared" si="22"/>
        <v>2.814276472384615</v>
      </c>
      <c r="F151" s="99">
        <f t="shared" si="22"/>
        <v>2.7967936921532903</v>
      </c>
      <c r="G151" s="99">
        <f t="shared" si="22"/>
        <v>2.7974649076746028</v>
      </c>
      <c r="H151" s="99">
        <f t="shared" si="22"/>
        <v>2.8017177732317662</v>
      </c>
      <c r="I151" s="99">
        <f t="shared" si="22"/>
        <v>2.8108094424855992</v>
      </c>
      <c r="J151" s="99">
        <f t="shared" si="22"/>
        <v>2.8061595327744353</v>
      </c>
      <c r="K151" s="99">
        <f t="shared" si="22"/>
        <v>2.8202954050101479</v>
      </c>
      <c r="L151" s="99">
        <f t="shared" si="22"/>
        <v>2.8265545814424891</v>
      </c>
      <c r="M151" s="99">
        <f t="shared" si="22"/>
        <v>2.8356728425680684</v>
      </c>
      <c r="N151" s="99">
        <f t="shared" si="22"/>
        <v>2.8413451638998088</v>
      </c>
      <c r="O151" s="99">
        <f t="shared" si="22"/>
        <v>2.8715379418646059</v>
      </c>
      <c r="P151" s="99">
        <f t="shared" si="22"/>
        <v>2.8752800600920279</v>
      </c>
      <c r="Q151" s="99">
        <f t="shared" si="22"/>
        <v>2.8836381604701105</v>
      </c>
      <c r="R151" s="99">
        <f t="shared" si="22"/>
        <v>2.8958282412628948</v>
      </c>
      <c r="S151" s="99">
        <f t="shared" si="23"/>
        <v>2.8992714301734486</v>
      </c>
      <c r="T151" s="99">
        <f t="shared" si="23"/>
        <v>2.8989798365453376</v>
      </c>
      <c r="U151" s="99">
        <f t="shared" si="23"/>
        <v>2.9061321330839056</v>
      </c>
      <c r="V151" s="99">
        <f t="shared" si="23"/>
        <v>2.8940759286109454</v>
      </c>
      <c r="W151" s="99">
        <f t="shared" si="23"/>
        <v>2.9127562600319323</v>
      </c>
      <c r="X151" s="99">
        <f t="shared" si="23"/>
        <v>2.9135393448067961</v>
      </c>
      <c r="Y151" s="99">
        <f t="shared" si="20"/>
        <v>2.9942135819174598</v>
      </c>
      <c r="Z151" s="99">
        <f t="shared" si="20"/>
        <v>2.993585463567598</v>
      </c>
      <c r="AA151" s="99">
        <f t="shared" si="20"/>
        <v>3.0175933389487235</v>
      </c>
      <c r="AB151" s="99">
        <f t="shared" si="20"/>
        <v>3.025050983531822</v>
      </c>
      <c r="AC151" s="99">
        <f t="shared" si="20"/>
        <v>3.0511843747304344</v>
      </c>
    </row>
    <row r="152" spans="1:29" x14ac:dyDescent="0.25">
      <c r="A152" t="s">
        <v>224</v>
      </c>
      <c r="B152" s="99">
        <v>3.3631923076923078</v>
      </c>
      <c r="C152" s="99">
        <f t="shared" si="22"/>
        <v>3.048620551509686</v>
      </c>
      <c r="D152" s="99">
        <f t="shared" si="22"/>
        <v>2.8451175418433561</v>
      </c>
      <c r="E152" s="99">
        <f t="shared" si="22"/>
        <v>2.814276472384615</v>
      </c>
      <c r="F152" s="99">
        <f t="shared" si="22"/>
        <v>2.7967936921532903</v>
      </c>
      <c r="G152" s="99">
        <f t="shared" si="22"/>
        <v>2.7974649076746028</v>
      </c>
      <c r="H152" s="99">
        <f t="shared" si="22"/>
        <v>2.8017177732317662</v>
      </c>
      <c r="I152" s="99">
        <f t="shared" si="22"/>
        <v>2.8108094424855992</v>
      </c>
      <c r="J152" s="99">
        <f t="shared" si="22"/>
        <v>2.8061595327744353</v>
      </c>
      <c r="K152" s="99">
        <f t="shared" si="22"/>
        <v>2.8202954050101479</v>
      </c>
      <c r="L152" s="99">
        <f t="shared" si="22"/>
        <v>2.8265545814424891</v>
      </c>
      <c r="M152" s="99">
        <f t="shared" si="22"/>
        <v>2.8356728425680684</v>
      </c>
      <c r="N152" s="99">
        <f t="shared" si="22"/>
        <v>2.8413451638998088</v>
      </c>
      <c r="O152" s="99">
        <f t="shared" si="22"/>
        <v>2.8715379418646059</v>
      </c>
      <c r="P152" s="99">
        <f t="shared" si="22"/>
        <v>2.8752800600920279</v>
      </c>
      <c r="Q152" s="99">
        <f t="shared" si="22"/>
        <v>2.8836381604701105</v>
      </c>
      <c r="R152" s="99">
        <f t="shared" ref="R152:AC161" si="24">$B152*R$162</f>
        <v>2.8958282412628948</v>
      </c>
      <c r="S152" s="99">
        <f t="shared" si="24"/>
        <v>2.8992714301734486</v>
      </c>
      <c r="T152" s="99">
        <f t="shared" si="24"/>
        <v>2.8989798365453376</v>
      </c>
      <c r="U152" s="99">
        <f t="shared" si="24"/>
        <v>2.9061321330839056</v>
      </c>
      <c r="V152" s="99">
        <f t="shared" si="24"/>
        <v>2.8940759286109454</v>
      </c>
      <c r="W152" s="99">
        <f t="shared" si="24"/>
        <v>2.9127562600319323</v>
      </c>
      <c r="X152" s="99">
        <f t="shared" si="24"/>
        <v>2.9135393448067961</v>
      </c>
      <c r="Y152" s="99">
        <f t="shared" si="24"/>
        <v>2.9942135819174598</v>
      </c>
      <c r="Z152" s="99">
        <f t="shared" si="24"/>
        <v>2.993585463567598</v>
      </c>
      <c r="AA152" s="99">
        <f t="shared" si="24"/>
        <v>3.0175933389487235</v>
      </c>
      <c r="AB152" s="99">
        <f t="shared" si="24"/>
        <v>3.025050983531822</v>
      </c>
      <c r="AC152" s="99">
        <f t="shared" si="24"/>
        <v>3.0511843747304344</v>
      </c>
    </row>
    <row r="153" spans="1:29" x14ac:dyDescent="0.25">
      <c r="A153" t="s">
        <v>225</v>
      </c>
      <c r="B153" s="99">
        <v>3.0905000000000005</v>
      </c>
      <c r="C153" s="99">
        <f t="shared" ref="C153:R161" si="25">$B153*C$162</f>
        <v>2.8014341591145988</v>
      </c>
      <c r="D153" s="99">
        <f t="shared" si="25"/>
        <v>2.614431456374315</v>
      </c>
      <c r="E153" s="99">
        <f t="shared" si="25"/>
        <v>2.5860910237013939</v>
      </c>
      <c r="F153" s="99">
        <f t="shared" si="25"/>
        <v>2.5700257715951347</v>
      </c>
      <c r="G153" s="99">
        <f t="shared" si="25"/>
        <v>2.5706425640288804</v>
      </c>
      <c r="H153" s="99">
        <f t="shared" si="25"/>
        <v>2.5745506013344936</v>
      </c>
      <c r="I153" s="99">
        <f t="shared" si="25"/>
        <v>2.5829051054063261</v>
      </c>
      <c r="J153" s="99">
        <f t="shared" si="25"/>
        <v>2.5786322168386748</v>
      </c>
      <c r="K153" s="99">
        <f t="shared" si="25"/>
        <v>2.5916219329023531</v>
      </c>
      <c r="L153" s="99">
        <f t="shared" si="25"/>
        <v>2.597373606608286</v>
      </c>
      <c r="M153" s="99">
        <f t="shared" si="25"/>
        <v>2.6057525464459363</v>
      </c>
      <c r="N153" s="99">
        <f t="shared" si="25"/>
        <v>2.6109649480786499</v>
      </c>
      <c r="O153" s="99">
        <f t="shared" si="25"/>
        <v>2.6387096536331862</v>
      </c>
      <c r="P153" s="99">
        <f t="shared" si="25"/>
        <v>2.6421483557125756</v>
      </c>
      <c r="Q153" s="99">
        <f t="shared" si="25"/>
        <v>2.6498287696928835</v>
      </c>
      <c r="R153" s="99">
        <f t="shared" si="25"/>
        <v>2.6610304617887928</v>
      </c>
      <c r="S153" s="99">
        <f t="shared" si="24"/>
        <v>2.6641944721558861</v>
      </c>
      <c r="T153" s="99">
        <f t="shared" si="24"/>
        <v>2.6639265213445049</v>
      </c>
      <c r="U153" s="99">
        <f t="shared" si="24"/>
        <v>2.6704988997368693</v>
      </c>
      <c r="V153" s="99">
        <f t="shared" si="24"/>
        <v>2.6594202290826634</v>
      </c>
      <c r="W153" s="99">
        <f t="shared" si="24"/>
        <v>2.6765859332633362</v>
      </c>
      <c r="X153" s="99">
        <f t="shared" si="24"/>
        <v>2.6773055244360386</v>
      </c>
      <c r="Y153" s="99">
        <f t="shared" si="24"/>
        <v>2.7514385822514513</v>
      </c>
      <c r="Z153" s="99">
        <f t="shared" si="24"/>
        <v>2.7508613926105836</v>
      </c>
      <c r="AA153" s="99">
        <f t="shared" si="24"/>
        <v>2.7729226760809533</v>
      </c>
      <c r="AB153" s="99">
        <f t="shared" si="24"/>
        <v>2.7797756444739146</v>
      </c>
      <c r="AC153" s="99">
        <f t="shared" si="24"/>
        <v>2.8037901039844768</v>
      </c>
    </row>
    <row r="154" spans="1:29" x14ac:dyDescent="0.25">
      <c r="A154" t="s">
        <v>226</v>
      </c>
      <c r="B154" s="99">
        <v>3.5969230769230762</v>
      </c>
      <c r="C154" s="99">
        <f t="shared" si="25"/>
        <v>3.2604896215498758</v>
      </c>
      <c r="D154" s="99">
        <f t="shared" si="25"/>
        <v>3.0428438241276101</v>
      </c>
      <c r="E154" s="99">
        <f t="shared" si="25"/>
        <v>3.0098594020951834</v>
      </c>
      <c r="F154" s="99">
        <f t="shared" si="25"/>
        <v>2.991161626318581</v>
      </c>
      <c r="G154" s="99">
        <f t="shared" si="25"/>
        <v>2.9918794891040883</v>
      </c>
      <c r="H154" s="99">
        <f t="shared" si="25"/>
        <v>2.9964279147860289</v>
      </c>
      <c r="I154" s="99">
        <f t="shared" si="25"/>
        <v>3.0061514250569306</v>
      </c>
      <c r="J154" s="99">
        <f t="shared" si="25"/>
        <v>3.0011783619622512</v>
      </c>
      <c r="K154" s="99">
        <f t="shared" si="25"/>
        <v>3.0162966306799741</v>
      </c>
      <c r="L154" s="99">
        <f t="shared" si="25"/>
        <v>3.0229907992235114</v>
      </c>
      <c r="M154" s="99">
        <f t="shared" si="25"/>
        <v>3.0327427494135115</v>
      </c>
      <c r="N154" s="99">
        <f t="shared" si="25"/>
        <v>3.0388092783631633</v>
      </c>
      <c r="O154" s="99">
        <f t="shared" si="25"/>
        <v>3.0711003547817195</v>
      </c>
      <c r="P154" s="99">
        <f t="shared" si="25"/>
        <v>3.075102537879606</v>
      </c>
      <c r="Q154" s="99">
        <f t="shared" si="25"/>
        <v>3.0840414986581504</v>
      </c>
      <c r="R154" s="99">
        <f t="shared" si="25"/>
        <v>3.0970787498473964</v>
      </c>
      <c r="S154" s="99">
        <f t="shared" si="24"/>
        <v>3.1007612290271473</v>
      </c>
      <c r="T154" s="99">
        <f t="shared" si="24"/>
        <v>3.1004493706039353</v>
      </c>
      <c r="U154" s="99">
        <f t="shared" si="24"/>
        <v>3.1080987281544181</v>
      </c>
      <c r="V154" s="99">
        <f t="shared" si="24"/>
        <v>3.0952046572475278</v>
      </c>
      <c r="W154" s="99">
        <f t="shared" si="24"/>
        <v>3.1151832100704029</v>
      </c>
      <c r="X154" s="99">
        <f t="shared" si="24"/>
        <v>3.1160207166534946</v>
      </c>
      <c r="Y154" s="99">
        <f t="shared" si="24"/>
        <v>3.202301547075475</v>
      </c>
      <c r="Z154" s="99">
        <f t="shared" si="24"/>
        <v>3.201629776572644</v>
      </c>
      <c r="AA154" s="99">
        <f t="shared" si="24"/>
        <v>3.2273061200837634</v>
      </c>
      <c r="AB154" s="99">
        <f t="shared" si="24"/>
        <v>3.2352820463604397</v>
      </c>
      <c r="AC154" s="99">
        <f t="shared" si="24"/>
        <v>3.2632316220256641</v>
      </c>
    </row>
    <row r="155" spans="1:29" x14ac:dyDescent="0.25">
      <c r="A155" t="s">
        <v>228</v>
      </c>
      <c r="B155" s="99">
        <v>3.4698076923076924</v>
      </c>
      <c r="C155" s="99">
        <f t="shared" si="25"/>
        <v>3.1452638067592185</v>
      </c>
      <c r="D155" s="99">
        <f t="shared" si="25"/>
        <v>2.9353096192651029</v>
      </c>
      <c r="E155" s="99">
        <f t="shared" si="25"/>
        <v>2.9034908678359392</v>
      </c>
      <c r="F155" s="99">
        <f t="shared" si="25"/>
        <v>2.8854538720950687</v>
      </c>
      <c r="G155" s="99">
        <f t="shared" si="25"/>
        <v>2.8861463655851729</v>
      </c>
      <c r="H155" s="99">
        <f t="shared" si="25"/>
        <v>2.8905340497478789</v>
      </c>
      <c r="I155" s="99">
        <f t="shared" si="25"/>
        <v>2.8999139308330948</v>
      </c>
      <c r="J155" s="99">
        <f t="shared" si="25"/>
        <v>2.8951166159583464</v>
      </c>
      <c r="K155" s="99">
        <f t="shared" si="25"/>
        <v>2.9097006045422789</v>
      </c>
      <c r="L155" s="99">
        <f t="shared" si="25"/>
        <v>2.9161582009404312</v>
      </c>
      <c r="M155" s="99">
        <f t="shared" si="25"/>
        <v>2.9255655168770316</v>
      </c>
      <c r="N155" s="99">
        <f t="shared" si="25"/>
        <v>2.9314176544860224</v>
      </c>
      <c r="O155" s="99">
        <f t="shared" si="25"/>
        <v>2.962567563159034</v>
      </c>
      <c r="P155" s="99">
        <f t="shared" si="25"/>
        <v>2.9664283089692978</v>
      </c>
      <c r="Q155" s="99">
        <f t="shared" si="25"/>
        <v>2.9750513665680614</v>
      </c>
      <c r="R155" s="99">
        <f t="shared" si="25"/>
        <v>2.9876278808541801</v>
      </c>
      <c r="S155" s="99">
        <f t="shared" si="24"/>
        <v>2.9911802210937144</v>
      </c>
      <c r="T155" s="99">
        <f t="shared" si="24"/>
        <v>2.9908793837578496</v>
      </c>
      <c r="U155" s="99">
        <f t="shared" si="24"/>
        <v>2.9982584127507579</v>
      </c>
      <c r="V155" s="99">
        <f t="shared" si="24"/>
        <v>2.9858200187509172</v>
      </c>
      <c r="W155" s="99">
        <f t="shared" si="24"/>
        <v>3.0050925288334205</v>
      </c>
      <c r="X155" s="99">
        <f t="shared" si="24"/>
        <v>3.0059004379052081</v>
      </c>
      <c r="Y155" s="99">
        <f t="shared" si="24"/>
        <v>3.0891321008277806</v>
      </c>
      <c r="Z155" s="99">
        <f t="shared" si="24"/>
        <v>3.0884840707175059</v>
      </c>
      <c r="AA155" s="99">
        <f t="shared" si="24"/>
        <v>3.1132530113703676</v>
      </c>
      <c r="AB155" s="99">
        <f t="shared" si="24"/>
        <v>3.1209470681395115</v>
      </c>
      <c r="AC155" s="99">
        <f t="shared" si="24"/>
        <v>3.1479089048443685</v>
      </c>
    </row>
    <row r="156" spans="1:29" x14ac:dyDescent="0.25">
      <c r="A156" t="s">
        <v>227</v>
      </c>
      <c r="B156" s="99">
        <v>3.3991923076923074</v>
      </c>
      <c r="C156" s="99">
        <f t="shared" si="25"/>
        <v>3.0812533389965409</v>
      </c>
      <c r="D156" s="99">
        <f t="shared" si="25"/>
        <v>2.8755720095442054</v>
      </c>
      <c r="E156" s="99">
        <f t="shared" si="25"/>
        <v>2.8444008137058407</v>
      </c>
      <c r="F156" s="99">
        <f t="shared" si="25"/>
        <v>2.8267308957699946</v>
      </c>
      <c r="G156" s="99">
        <f t="shared" si="25"/>
        <v>2.8274092960599897</v>
      </c>
      <c r="H156" s="99">
        <f t="shared" si="25"/>
        <v>2.831707684782661</v>
      </c>
      <c r="I156" s="99">
        <f t="shared" si="25"/>
        <v>2.8408966723172209</v>
      </c>
      <c r="J156" s="99">
        <f t="shared" si="25"/>
        <v>2.8361969894339376</v>
      </c>
      <c r="K156" s="99">
        <f t="shared" si="25"/>
        <v>2.8504841736833346</v>
      </c>
      <c r="L156" s="99">
        <f t="shared" si="25"/>
        <v>2.8568103490651704</v>
      </c>
      <c r="M156" s="99">
        <f t="shared" si="25"/>
        <v>2.8660262131139516</v>
      </c>
      <c r="N156" s="99">
        <f t="shared" si="25"/>
        <v>2.8717592516302184</v>
      </c>
      <c r="O156" s="99">
        <f t="shared" si="25"/>
        <v>2.9022752165873995</v>
      </c>
      <c r="P156" s="99">
        <f t="shared" si="25"/>
        <v>2.9060573908817551</v>
      </c>
      <c r="Q156" s="99">
        <f t="shared" si="25"/>
        <v>2.9145049573343531</v>
      </c>
      <c r="R156" s="99">
        <f t="shared" si="25"/>
        <v>2.9268255221638482</v>
      </c>
      <c r="S156" s="99">
        <f t="shared" si="24"/>
        <v>2.9303055673673044</v>
      </c>
      <c r="T156" s="99">
        <f t="shared" si="24"/>
        <v>2.9300108524872246</v>
      </c>
      <c r="U156" s="99">
        <f t="shared" si="24"/>
        <v>2.9372397080363486</v>
      </c>
      <c r="V156" s="99">
        <f t="shared" si="24"/>
        <v>2.9250544525543121</v>
      </c>
      <c r="W156" s="99">
        <f t="shared" si="24"/>
        <v>2.9439347404064606</v>
      </c>
      <c r="X156" s="99">
        <f t="shared" si="24"/>
        <v>2.9447262074114544</v>
      </c>
      <c r="Y156" s="99">
        <f t="shared" si="24"/>
        <v>3.0262639909001652</v>
      </c>
      <c r="Z156" s="99">
        <f t="shared" si="24"/>
        <v>3.0256291490987355</v>
      </c>
      <c r="AA156" s="99">
        <f t="shared" si="24"/>
        <v>3.0498940075586289</v>
      </c>
      <c r="AB156" s="99">
        <f t="shared" si="24"/>
        <v>3.0574314796331192</v>
      </c>
      <c r="AC156" s="99">
        <f t="shared" si="24"/>
        <v>3.0838446056779962</v>
      </c>
    </row>
    <row r="157" spans="1:29" x14ac:dyDescent="0.25">
      <c r="A157" t="s">
        <v>229</v>
      </c>
      <c r="B157" s="99">
        <v>4.5133653846153869</v>
      </c>
      <c r="C157" s="99">
        <f t="shared" si="25"/>
        <v>4.0912137068522707</v>
      </c>
      <c r="D157" s="99">
        <f t="shared" si="25"/>
        <v>3.8181150091083724</v>
      </c>
      <c r="E157" s="99">
        <f t="shared" si="25"/>
        <v>3.7767266487100599</v>
      </c>
      <c r="F157" s="99">
        <f t="shared" si="25"/>
        <v>3.7532649587726681</v>
      </c>
      <c r="G157" s="99">
        <f t="shared" si="25"/>
        <v>3.7541657222801779</v>
      </c>
      <c r="H157" s="99">
        <f t="shared" si="25"/>
        <v>3.7598730189302159</v>
      </c>
      <c r="I157" s="99">
        <f t="shared" si="25"/>
        <v>3.7720739344725018</v>
      </c>
      <c r="J157" s="99">
        <f t="shared" si="25"/>
        <v>3.7658338091356454</v>
      </c>
      <c r="K157" s="99">
        <f t="shared" si="25"/>
        <v>3.7848039870478885</v>
      </c>
      <c r="L157" s="99">
        <f t="shared" si="25"/>
        <v>3.7932037298105352</v>
      </c>
      <c r="M157" s="99">
        <f t="shared" si="25"/>
        <v>3.8054403313387759</v>
      </c>
      <c r="N157" s="99">
        <f t="shared" si="25"/>
        <v>3.8130525213079718</v>
      </c>
      <c r="O157" s="99">
        <f t="shared" si="25"/>
        <v>3.85357088197977</v>
      </c>
      <c r="P157" s="99">
        <f t="shared" si="25"/>
        <v>3.8585927615892572</v>
      </c>
      <c r="Q157" s="99">
        <f t="shared" si="25"/>
        <v>3.8698092361397305</v>
      </c>
      <c r="R157" s="99">
        <f t="shared" si="25"/>
        <v>3.886168184321189</v>
      </c>
      <c r="S157" s="99">
        <f t="shared" si="24"/>
        <v>3.8907889042265125</v>
      </c>
      <c r="T157" s="99">
        <f t="shared" si="24"/>
        <v>3.8903975889322666</v>
      </c>
      <c r="U157" s="99">
        <f t="shared" si="24"/>
        <v>3.8999958886024468</v>
      </c>
      <c r="V157" s="99">
        <f t="shared" si="24"/>
        <v>3.8838166009019943</v>
      </c>
      <c r="W157" s="99">
        <f t="shared" si="24"/>
        <v>3.9088853907585208</v>
      </c>
      <c r="X157" s="99">
        <f t="shared" si="24"/>
        <v>3.909936281517282</v>
      </c>
      <c r="Y157" s="99">
        <f t="shared" si="24"/>
        <v>4.0182001795919549</v>
      </c>
      <c r="Z157" s="99">
        <f t="shared" si="24"/>
        <v>4.0173572519927143</v>
      </c>
      <c r="AA157" s="99">
        <f t="shared" si="24"/>
        <v>4.049575544552285</v>
      </c>
      <c r="AB157" s="99">
        <f t="shared" si="24"/>
        <v>4.0595836177853073</v>
      </c>
      <c r="AC157" s="99">
        <f t="shared" si="24"/>
        <v>4.0946543281186578</v>
      </c>
    </row>
    <row r="158" spans="1:29" x14ac:dyDescent="0.25">
      <c r="A158" t="s">
        <v>159</v>
      </c>
      <c r="B158" s="99">
        <v>3.2785000000000006</v>
      </c>
      <c r="C158" s="99">
        <f t="shared" si="25"/>
        <v>2.9718498271015084</v>
      </c>
      <c r="D158" s="99">
        <f t="shared" si="25"/>
        <v>2.7734714543676402</v>
      </c>
      <c r="E158" s="99">
        <f t="shared" si="25"/>
        <v>2.7434070283789098</v>
      </c>
      <c r="F158" s="99">
        <f t="shared" si="25"/>
        <v>2.7263645015934799</v>
      </c>
      <c r="G158" s="99">
        <f t="shared" si="25"/>
        <v>2.7270188144859033</v>
      </c>
      <c r="H158" s="99">
        <f t="shared" si="25"/>
        <v>2.731164583878058</v>
      </c>
      <c r="I158" s="99">
        <f t="shared" si="25"/>
        <v>2.7400273056381299</v>
      </c>
      <c r="J158" s="99">
        <f t="shared" si="25"/>
        <v>2.7354944905049656</v>
      </c>
      <c r="K158" s="99">
        <f t="shared" si="25"/>
        <v>2.749274391528997</v>
      </c>
      <c r="L158" s="99">
        <f t="shared" si="25"/>
        <v>2.7553759486378469</v>
      </c>
      <c r="M158" s="99">
        <f t="shared" si="25"/>
        <v>2.764264592629996</v>
      </c>
      <c r="N158" s="99">
        <f t="shared" si="25"/>
        <v>2.7697940728930122</v>
      </c>
      <c r="O158" s="99">
        <f t="shared" si="25"/>
        <v>2.7992265327411103</v>
      </c>
      <c r="P158" s="99">
        <f t="shared" si="25"/>
        <v>2.8028744165033745</v>
      </c>
      <c r="Q158" s="99">
        <f t="shared" si="25"/>
        <v>2.811022042206154</v>
      </c>
      <c r="R158" s="99">
        <f t="shared" si="25"/>
        <v>2.8229051509382166</v>
      </c>
      <c r="S158" s="99">
        <f t="shared" si="24"/>
        <v>2.826261633057134</v>
      </c>
      <c r="T158" s="99">
        <f t="shared" si="24"/>
        <v>2.8259773823743601</v>
      </c>
      <c r="U158" s="99">
        <f t="shared" si="24"/>
        <v>2.8329495689329645</v>
      </c>
      <c r="V158" s="99">
        <f t="shared" si="24"/>
        <v>2.821196965231358</v>
      </c>
      <c r="W158" s="99">
        <f t="shared" si="24"/>
        <v>2.8394068863303179</v>
      </c>
      <c r="X158" s="99">
        <f t="shared" si="24"/>
        <v>2.8401702513714779</v>
      </c>
      <c r="Y158" s="99">
        <f t="shared" si="24"/>
        <v>2.9188129402722485</v>
      </c>
      <c r="Z158" s="99">
        <f t="shared" si="24"/>
        <v>2.9182006392731914</v>
      </c>
      <c r="AA158" s="99">
        <f t="shared" si="24"/>
        <v>2.9416039454882399</v>
      </c>
      <c r="AB158" s="99">
        <f t="shared" si="24"/>
        <v>2.9488737907806923</v>
      </c>
      <c r="AC158" s="99">
        <f t="shared" si="24"/>
        <v>2.9743490878217465</v>
      </c>
    </row>
    <row r="159" spans="1:29" x14ac:dyDescent="0.25">
      <c r="A159" t="s">
        <v>158</v>
      </c>
      <c r="B159" s="99">
        <v>3.3631923076923078</v>
      </c>
      <c r="C159" s="99">
        <f t="shared" si="25"/>
        <v>3.048620551509686</v>
      </c>
      <c r="D159" s="99">
        <f t="shared" si="25"/>
        <v>2.8451175418433561</v>
      </c>
      <c r="E159" s="99">
        <f t="shared" si="25"/>
        <v>2.814276472384615</v>
      </c>
      <c r="F159" s="99">
        <f t="shared" si="25"/>
        <v>2.7967936921532903</v>
      </c>
      <c r="G159" s="99">
        <f t="shared" si="25"/>
        <v>2.7974649076746028</v>
      </c>
      <c r="H159" s="99">
        <f t="shared" si="25"/>
        <v>2.8017177732317662</v>
      </c>
      <c r="I159" s="99">
        <f t="shared" si="25"/>
        <v>2.8108094424855992</v>
      </c>
      <c r="J159" s="99">
        <f t="shared" si="25"/>
        <v>2.8061595327744353</v>
      </c>
      <c r="K159" s="99">
        <f t="shared" si="25"/>
        <v>2.8202954050101479</v>
      </c>
      <c r="L159" s="99">
        <f t="shared" si="25"/>
        <v>2.8265545814424891</v>
      </c>
      <c r="M159" s="99">
        <f t="shared" si="25"/>
        <v>2.8356728425680684</v>
      </c>
      <c r="N159" s="99">
        <f t="shared" si="25"/>
        <v>2.8413451638998088</v>
      </c>
      <c r="O159" s="99">
        <f t="shared" si="25"/>
        <v>2.8715379418646059</v>
      </c>
      <c r="P159" s="99">
        <f t="shared" si="25"/>
        <v>2.8752800600920279</v>
      </c>
      <c r="Q159" s="99">
        <f t="shared" si="25"/>
        <v>2.8836381604701105</v>
      </c>
      <c r="R159" s="99">
        <f t="shared" si="25"/>
        <v>2.8958282412628948</v>
      </c>
      <c r="S159" s="99">
        <f t="shared" si="24"/>
        <v>2.8992714301734486</v>
      </c>
      <c r="T159" s="99">
        <f t="shared" si="24"/>
        <v>2.8989798365453376</v>
      </c>
      <c r="U159" s="99">
        <f t="shared" si="24"/>
        <v>2.9061321330839056</v>
      </c>
      <c r="V159" s="99">
        <f t="shared" si="24"/>
        <v>2.8940759286109454</v>
      </c>
      <c r="W159" s="99">
        <f t="shared" si="24"/>
        <v>2.9127562600319323</v>
      </c>
      <c r="X159" s="99">
        <f t="shared" si="24"/>
        <v>2.9135393448067961</v>
      </c>
      <c r="Y159" s="99">
        <f t="shared" si="24"/>
        <v>2.9942135819174598</v>
      </c>
      <c r="Z159" s="99">
        <f t="shared" si="24"/>
        <v>2.993585463567598</v>
      </c>
      <c r="AA159" s="99">
        <f t="shared" si="24"/>
        <v>3.0175933389487235</v>
      </c>
      <c r="AB159" s="99">
        <f t="shared" si="24"/>
        <v>3.025050983531822</v>
      </c>
      <c r="AC159" s="99">
        <f t="shared" si="24"/>
        <v>3.0511843747304344</v>
      </c>
    </row>
    <row r="160" spans="1:29" x14ac:dyDescent="0.25">
      <c r="A160" t="s">
        <v>160</v>
      </c>
      <c r="B160" s="99">
        <v>3.5969230769230762</v>
      </c>
      <c r="C160" s="99">
        <f t="shared" si="25"/>
        <v>3.2604896215498758</v>
      </c>
      <c r="D160" s="99">
        <f t="shared" si="25"/>
        <v>3.0428438241276101</v>
      </c>
      <c r="E160" s="99">
        <f t="shared" si="25"/>
        <v>3.0098594020951834</v>
      </c>
      <c r="F160" s="99">
        <f t="shared" si="25"/>
        <v>2.991161626318581</v>
      </c>
      <c r="G160" s="99">
        <f t="shared" si="25"/>
        <v>2.9918794891040883</v>
      </c>
      <c r="H160" s="99">
        <f t="shared" si="25"/>
        <v>2.9964279147860289</v>
      </c>
      <c r="I160" s="99">
        <f t="shared" si="25"/>
        <v>3.0061514250569306</v>
      </c>
      <c r="J160" s="99">
        <f t="shared" si="25"/>
        <v>3.0011783619622512</v>
      </c>
      <c r="K160" s="99">
        <f t="shared" si="25"/>
        <v>3.0162966306799741</v>
      </c>
      <c r="L160" s="99">
        <f t="shared" si="25"/>
        <v>3.0229907992235114</v>
      </c>
      <c r="M160" s="99">
        <f t="shared" si="25"/>
        <v>3.0327427494135115</v>
      </c>
      <c r="N160" s="99">
        <f t="shared" si="25"/>
        <v>3.0388092783631633</v>
      </c>
      <c r="O160" s="99">
        <f t="shared" si="25"/>
        <v>3.0711003547817195</v>
      </c>
      <c r="P160" s="99">
        <f t="shared" si="25"/>
        <v>3.075102537879606</v>
      </c>
      <c r="Q160" s="99">
        <f t="shared" si="25"/>
        <v>3.0840414986581504</v>
      </c>
      <c r="R160" s="99">
        <f t="shared" si="25"/>
        <v>3.0970787498473964</v>
      </c>
      <c r="S160" s="99">
        <f t="shared" si="24"/>
        <v>3.1007612290271473</v>
      </c>
      <c r="T160" s="99">
        <f t="shared" si="24"/>
        <v>3.1004493706039353</v>
      </c>
      <c r="U160" s="99">
        <f t="shared" si="24"/>
        <v>3.1080987281544181</v>
      </c>
      <c r="V160" s="99">
        <f t="shared" si="24"/>
        <v>3.0952046572475278</v>
      </c>
      <c r="W160" s="99">
        <f t="shared" si="24"/>
        <v>3.1151832100704029</v>
      </c>
      <c r="X160" s="99">
        <f t="shared" si="24"/>
        <v>3.1160207166534946</v>
      </c>
      <c r="Y160" s="99">
        <f t="shared" si="24"/>
        <v>3.202301547075475</v>
      </c>
      <c r="Z160" s="99">
        <f t="shared" si="24"/>
        <v>3.201629776572644</v>
      </c>
      <c r="AA160" s="99">
        <f t="shared" si="24"/>
        <v>3.2273061200837634</v>
      </c>
      <c r="AB160" s="99">
        <f t="shared" si="24"/>
        <v>3.2352820463604397</v>
      </c>
      <c r="AC160" s="99">
        <f t="shared" si="24"/>
        <v>3.2632316220256641</v>
      </c>
    </row>
    <row r="161" spans="1:29" x14ac:dyDescent="0.25">
      <c r="A161" t="s">
        <v>134</v>
      </c>
      <c r="B161" s="99">
        <v>3.518634615384614</v>
      </c>
      <c r="C161" s="99">
        <f t="shared" si="25"/>
        <v>3.189523767992724</v>
      </c>
      <c r="D161" s="99">
        <f t="shared" si="25"/>
        <v>2.976615117925602</v>
      </c>
      <c r="E161" s="99">
        <f t="shared" si="25"/>
        <v>2.9443486149591185</v>
      </c>
      <c r="F161" s="99">
        <f t="shared" si="25"/>
        <v>2.9260578037098179</v>
      </c>
      <c r="G161" s="99">
        <f t="shared" si="25"/>
        <v>2.9267600419262498</v>
      </c>
      <c r="H161" s="99">
        <f t="shared" si="25"/>
        <v>2.931209469313969</v>
      </c>
      <c r="I161" s="99">
        <f t="shared" si="25"/>
        <v>2.9407213435160466</v>
      </c>
      <c r="J161" s="99">
        <f t="shared" si="25"/>
        <v>2.9358565211177878</v>
      </c>
      <c r="K161" s="99">
        <f t="shared" si="25"/>
        <v>2.9506457347031869</v>
      </c>
      <c r="L161" s="99">
        <f t="shared" si="25"/>
        <v>2.9571942020055952</v>
      </c>
      <c r="M161" s="99">
        <f t="shared" si="25"/>
        <v>2.9667338971206196</v>
      </c>
      <c r="N161" s="99">
        <f t="shared" si="25"/>
        <v>2.972668385654563</v>
      </c>
      <c r="O161" s="99">
        <f t="shared" si="25"/>
        <v>3.0042566339502583</v>
      </c>
      <c r="P161" s="99">
        <f t="shared" si="25"/>
        <v>3.0081717079410475</v>
      </c>
      <c r="Q161" s="99">
        <f t="shared" si="25"/>
        <v>3.016916108682544</v>
      </c>
      <c r="R161" s="99">
        <f t="shared" si="25"/>
        <v>3.0296695989137516</v>
      </c>
      <c r="S161" s="99">
        <f t="shared" si="24"/>
        <v>3.0332719274693543</v>
      </c>
      <c r="T161" s="99">
        <f t="shared" si="24"/>
        <v>3.0329668567687733</v>
      </c>
      <c r="U161" s="99">
        <f t="shared" si="24"/>
        <v>3.0404497230094396</v>
      </c>
      <c r="V161" s="99">
        <f t="shared" si="24"/>
        <v>3.027836296684788</v>
      </c>
      <c r="W161" s="99">
        <f t="shared" si="24"/>
        <v>3.0473800083584872</v>
      </c>
      <c r="X161" s="99">
        <f t="shared" si="24"/>
        <v>3.0481992862776579</v>
      </c>
      <c r="Y161" s="99">
        <f t="shared" si="24"/>
        <v>3.1326021801050712</v>
      </c>
      <c r="Z161" s="99">
        <f t="shared" si="24"/>
        <v>3.1319450309544483</v>
      </c>
      <c r="AA161" s="99">
        <f t="shared" si="24"/>
        <v>3.1570625186356183</v>
      </c>
      <c r="AB161" s="99">
        <f t="shared" si="24"/>
        <v>3.1648648457042512</v>
      </c>
      <c r="AC161" s="99">
        <f t="shared" si="24"/>
        <v>3.1922060877374552</v>
      </c>
    </row>
    <row r="162" spans="1:29" x14ac:dyDescent="0.25">
      <c r="B162">
        <v>1</v>
      </c>
      <c r="C162" s="99">
        <v>0.90646631907930697</v>
      </c>
      <c r="D162" s="99">
        <v>0.84595743613470786</v>
      </c>
      <c r="E162" s="99">
        <v>0.83678725892295536</v>
      </c>
      <c r="F162" s="99">
        <v>0.83158898935289904</v>
      </c>
      <c r="G162" s="99">
        <v>0.83178856626076036</v>
      </c>
      <c r="H162" s="99">
        <v>0.83305309863597909</v>
      </c>
      <c r="I162" s="99">
        <v>0.8357563842117216</v>
      </c>
      <c r="J162" s="99">
        <v>0.8343737960972899</v>
      </c>
      <c r="K162" s="99">
        <v>0.83857690758853021</v>
      </c>
      <c r="L162" s="99">
        <v>0.84043798951894044</v>
      </c>
      <c r="M162" s="99">
        <v>0.8431491818301039</v>
      </c>
      <c r="N162" s="99">
        <v>0.84483577028916013</v>
      </c>
      <c r="O162" s="99">
        <v>0.85381318674427631</v>
      </c>
      <c r="P162" s="99">
        <v>0.85492585527020715</v>
      </c>
      <c r="Q162" s="99">
        <v>0.85741102400675717</v>
      </c>
      <c r="R162" s="99">
        <v>0.86103558058203933</v>
      </c>
      <c r="S162" s="99">
        <v>0.86205936649599924</v>
      </c>
      <c r="T162" s="99">
        <v>0.86197266505242021</v>
      </c>
      <c r="U162" s="99">
        <v>0.86409930423454751</v>
      </c>
      <c r="V162" s="99">
        <v>0.86051455398241805</v>
      </c>
      <c r="W162" s="99">
        <v>0.86606889929245612</v>
      </c>
      <c r="X162" s="99">
        <v>0.86630173901829421</v>
      </c>
      <c r="Y162" s="99">
        <v>0.89028913840849411</v>
      </c>
      <c r="Z162" s="99">
        <v>0.89010237586493546</v>
      </c>
      <c r="AA162" s="99">
        <v>0.89724079471960938</v>
      </c>
      <c r="AB162" s="99">
        <v>0.89945822503605055</v>
      </c>
      <c r="AC162" s="99">
        <v>0.90722863743228488</v>
      </c>
    </row>
  </sheetData>
  <mergeCells count="3">
    <mergeCell ref="B1:AC1"/>
    <mergeCell ref="B55:AC55"/>
    <mergeCell ref="B109:AC109"/>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FD461-601E-4971-9E7E-94A5B0C3247B}">
  <sheetPr codeName="Sheet12">
    <tabColor rgb="FFFFC000"/>
  </sheetPr>
  <dimension ref="A1:AF721"/>
  <sheetViews>
    <sheetView topLeftCell="I1" workbookViewId="0">
      <selection activeCell="Q16" sqref="Q16"/>
    </sheetView>
  </sheetViews>
  <sheetFormatPr defaultRowHeight="15" x14ac:dyDescent="0.25"/>
  <cols>
    <col min="1" max="2" width="14.5703125" customWidth="1"/>
    <col min="3" max="3" width="17.5703125" customWidth="1"/>
    <col min="4" max="4" width="16" customWidth="1"/>
    <col min="5" max="5" width="13.5703125" customWidth="1"/>
    <col min="6" max="6" width="15.5703125" customWidth="1"/>
    <col min="7" max="7" width="13.5703125" customWidth="1"/>
    <col min="8" max="8" width="10.42578125" customWidth="1"/>
    <col min="9" max="9" width="20.7109375" customWidth="1"/>
    <col min="10" max="10" width="31.85546875" customWidth="1"/>
    <col min="15" max="15" width="17" customWidth="1"/>
    <col min="16" max="16" width="17.85546875" customWidth="1"/>
    <col min="17" max="17" width="19.7109375" customWidth="1"/>
    <col min="18" max="18" width="18.42578125" customWidth="1"/>
    <col min="19" max="19" width="20.42578125" customWidth="1"/>
    <col min="20" max="20" width="12.85546875" customWidth="1"/>
    <col min="21" max="22" width="15.42578125" customWidth="1"/>
    <col min="23" max="23" width="26.85546875" customWidth="1"/>
    <col min="24" max="24" width="33.7109375" customWidth="1"/>
    <col min="25" max="25" width="32.140625" customWidth="1"/>
    <col min="26" max="31" width="36.140625" customWidth="1"/>
    <col min="32" max="32" width="11" customWidth="1"/>
  </cols>
  <sheetData>
    <row r="1" spans="1:32" x14ac:dyDescent="0.25">
      <c r="A1" t="s">
        <v>3</v>
      </c>
      <c r="B1" t="s">
        <v>449</v>
      </c>
      <c r="C1" t="s">
        <v>309</v>
      </c>
      <c r="D1" t="s">
        <v>311</v>
      </c>
      <c r="E1" t="s">
        <v>422</v>
      </c>
      <c r="F1" t="s">
        <v>423</v>
      </c>
      <c r="G1" t="s">
        <v>331</v>
      </c>
      <c r="H1" t="s">
        <v>366</v>
      </c>
      <c r="I1" t="s">
        <v>491</v>
      </c>
      <c r="J1" t="s">
        <v>565</v>
      </c>
      <c r="O1" t="s">
        <v>3</v>
      </c>
      <c r="P1" t="s">
        <v>561</v>
      </c>
      <c r="Q1" t="s">
        <v>563</v>
      </c>
      <c r="R1" t="s">
        <v>564</v>
      </c>
      <c r="S1" t="s">
        <v>491</v>
      </c>
      <c r="T1" t="s">
        <v>566</v>
      </c>
      <c r="U1" t="s">
        <v>567</v>
      </c>
      <c r="V1" t="s">
        <v>571</v>
      </c>
      <c r="W1" t="s">
        <v>568</v>
      </c>
      <c r="X1" t="s">
        <v>574</v>
      </c>
      <c r="Y1" t="s">
        <v>575</v>
      </c>
      <c r="Z1" t="s">
        <v>591</v>
      </c>
      <c r="AA1" t="s">
        <v>588</v>
      </c>
      <c r="AB1" t="s">
        <v>599</v>
      </c>
      <c r="AC1" t="s">
        <v>632</v>
      </c>
      <c r="AD1" t="s">
        <v>633</v>
      </c>
      <c r="AF1" t="s">
        <v>492</v>
      </c>
    </row>
    <row r="2" spans="1:32" x14ac:dyDescent="0.25">
      <c r="A2" t="s">
        <v>187</v>
      </c>
      <c r="B2" t="s">
        <v>308</v>
      </c>
      <c r="C2" s="79">
        <f>VLOOKUP($A2,US_Results!$A$3:$I$53,2,FALSE)</f>
        <v>23731.611795719989</v>
      </c>
      <c r="D2" s="79">
        <f>VLOOKUP($A2,US_Results!$A$3:$I$53,3,FALSE)</f>
        <v>21182.345434986637</v>
      </c>
      <c r="E2" s="79">
        <f>VLOOKUP($A2,US_Results!$A$3:$I$53,4,FALSE)</f>
        <v>30378.519953460178</v>
      </c>
      <c r="F2" s="79">
        <f>VLOOKUP($A2,US_Results!$A$3:$I$53,5,FALSE)</f>
        <v>31184.607825597031</v>
      </c>
      <c r="G2" s="79">
        <f>VLOOKUP($A2,US_Results!$A$3:$I$53,6,FALSE)</f>
        <v>0</v>
      </c>
      <c r="H2" s="79">
        <f>VLOOKUP($A2,US_Results!$A$3:$I$53,7,FALSE)</f>
        <v>106477.08500976385</v>
      </c>
      <c r="I2" s="79">
        <v>0</v>
      </c>
      <c r="J2" s="79"/>
      <c r="O2" t="s">
        <v>187</v>
      </c>
      <c r="P2" t="s">
        <v>562</v>
      </c>
      <c r="Q2" s="99">
        <f>VLOOKUP($O2,US_Results!$A$3:$BP$53,67,FALSE)</f>
        <v>99.483731468194847</v>
      </c>
      <c r="R2" s="99">
        <f>VLOOKUP($O2,US_Results!$A$3:$BP$53,68,FALSE)</f>
        <v>-259.05671695933665</v>
      </c>
      <c r="S2" t="str">
        <f>IF(T2&gt;U2,"BEV better","HEV better")</f>
        <v>BEV better</v>
      </c>
      <c r="T2" s="99">
        <f>VLOOKUP($O2,$A$50:$I$97,9,FALSE)</f>
        <v>51.667873398909101</v>
      </c>
      <c r="U2" s="99">
        <f>VLOOKUP($O2,$A$98:$I$145,9,FALSE)</f>
        <v>30.189093311712909</v>
      </c>
      <c r="V2" s="99">
        <f>T2-U2</f>
        <v>21.478780087196192</v>
      </c>
      <c r="W2" s="10" t="s">
        <v>569</v>
      </c>
      <c r="X2" s="54">
        <f>US_Results!$BC$53/US_Results!$BM$56/'TCO Inputs'!$AZ$13</f>
        <v>0.22241753523302057</v>
      </c>
      <c r="Y2" s="54">
        <f>US_Results!$BC$53/US_Results!$BM$58/'TCO Inputs'!$AZ$13</f>
        <v>5.1791060939487842E-2</v>
      </c>
      <c r="Z2" s="196">
        <f>US_Results!$BC$53/US_Results!$BM$59/'TCO Inputs'!$AZ$13</f>
        <v>8.6930589981257314E-3</v>
      </c>
      <c r="AA2" s="54">
        <v>0.01</v>
      </c>
      <c r="AB2" s="99">
        <f>IF(V2&gt;0, SQRT(V2/MAX($V$2:$V$49)), -SQRT(V2/MIN($V$2:$V$49)))</f>
        <v>0.8015607280438326</v>
      </c>
      <c r="AC2" s="99">
        <f>Q2-R2</f>
        <v>358.54044842753149</v>
      </c>
      <c r="AD2" s="99">
        <f>IF(AC2&gt;0,SQRT(AC2/MAX($AC$2:$AC$49)),-SQRT(AC2/MIN($AC$2:$AC$49)))</f>
        <v>0.59409712077081689</v>
      </c>
      <c r="AE2" s="99"/>
      <c r="AF2" t="s">
        <v>308</v>
      </c>
    </row>
    <row r="3" spans="1:32" x14ac:dyDescent="0.25">
      <c r="A3" t="s">
        <v>189</v>
      </c>
      <c r="B3" t="s">
        <v>308</v>
      </c>
      <c r="C3" s="79">
        <f>VLOOKUP($A3,US_Results!$A$3:$I$53,2,FALSE)</f>
        <v>23731.611795719989</v>
      </c>
      <c r="D3" s="79">
        <f>VLOOKUP($A3,US_Results!$A$3:$I$53,3,FALSE)</f>
        <v>22995.364881085901</v>
      </c>
      <c r="E3" s="79">
        <f>VLOOKUP($A3,US_Results!$A$3:$I$53,4,FALSE)</f>
        <v>22318.843025806462</v>
      </c>
      <c r="F3" s="79">
        <f>VLOOKUP($A3,US_Results!$A$3:$I$53,5,FALSE)</f>
        <v>29860.242477743468</v>
      </c>
      <c r="G3" s="79">
        <f>VLOOKUP($A3,US_Results!$A$3:$I$53,6,FALSE)</f>
        <v>0</v>
      </c>
      <c r="H3" s="79">
        <f>VLOOKUP($A3,US_Results!$A$3:$I$53,7,FALSE)</f>
        <v>98906.062180355817</v>
      </c>
      <c r="I3" s="79">
        <v>0</v>
      </c>
      <c r="J3" s="79"/>
      <c r="O3" t="s">
        <v>189</v>
      </c>
      <c r="P3" t="s">
        <v>562</v>
      </c>
      <c r="Q3" s="99">
        <f>VLOOKUP(O3,US_Results!$A$3:$BP$53,67,FALSE)</f>
        <v>81.032914650577453</v>
      </c>
      <c r="R3" s="99">
        <f>VLOOKUP($O3,US_Results!$A$3:$BP$53,68,FALSE)</f>
        <v>-352.98791450319544</v>
      </c>
      <c r="S3" t="str">
        <f t="shared" ref="S3:S66" si="0">IF(T3&gt;U3,"BEV better","HEV better")</f>
        <v>BEV better</v>
      </c>
      <c r="T3" s="99">
        <f t="shared" ref="T3:T49" si="1">VLOOKUP($O3,$A$50:$I$97,9,FALSE)</f>
        <v>38.880960033801074</v>
      </c>
      <c r="U3" s="99">
        <f t="shared" ref="U3:U49" si="2">VLOOKUP($O3,$A$98:$I$145,9,FALSE)</f>
        <v>22.442947056893125</v>
      </c>
      <c r="V3" s="99">
        <f t="shared" ref="V3:V66" si="3">T3-U3</f>
        <v>16.438012976907949</v>
      </c>
      <c r="W3" s="10" t="s">
        <v>569</v>
      </c>
      <c r="X3" s="54">
        <f>US_Results!$BC$53/US_Results!$BM$56/'TCO Inputs'!$AZ$13</f>
        <v>0.22241753523302057</v>
      </c>
      <c r="Y3" s="54">
        <f>US_Results!$BC$53/US_Results!$BM$58/'TCO Inputs'!$AZ$13</f>
        <v>5.1791060939487842E-2</v>
      </c>
      <c r="Z3" s="196">
        <f>US_Results!$BC$53/US_Results!$BM$59/'TCO Inputs'!$AZ$13</f>
        <v>8.6930589981257314E-3</v>
      </c>
      <c r="AA3" s="54">
        <v>0.01</v>
      </c>
      <c r="AB3" s="99">
        <f t="shared" ref="AB3:AB49" si="4">IF(V3&gt;0, SQRT(V3/MAX($V$2:$V$49)), -SQRT(V3/MIN($V$2:$V$49)))</f>
        <v>0.70122321373261676</v>
      </c>
      <c r="AC3" s="99">
        <f t="shared" ref="AC3:AC66" si="5">Q3-R3</f>
        <v>434.02082915377287</v>
      </c>
      <c r="AD3" s="99">
        <f t="shared" ref="AD3:AD49" si="6">IF(AC3&gt;0,SQRT(AC3/MAX($AC$2:$AC$49)),-SQRT(AC3/MIN($AC$2:$AC$49)))</f>
        <v>0.65364757620557368</v>
      </c>
      <c r="AE3" s="99"/>
      <c r="AF3" t="s">
        <v>255</v>
      </c>
    </row>
    <row r="4" spans="1:32" x14ac:dyDescent="0.25">
      <c r="A4" t="s">
        <v>188</v>
      </c>
      <c r="B4" t="s">
        <v>308</v>
      </c>
      <c r="C4" s="79">
        <f>VLOOKUP($A4,US_Results!$A$3:$I$53,2,FALSE)</f>
        <v>23731.611795719989</v>
      </c>
      <c r="D4" s="79">
        <f>VLOOKUP($A4,US_Results!$A$3:$I$53,3,FALSE)</f>
        <v>20598.028824524059</v>
      </c>
      <c r="E4" s="79">
        <f>VLOOKUP($A4,US_Results!$A$3:$I$53,4,FALSE)</f>
        <v>29367.437148700574</v>
      </c>
      <c r="F4" s="79">
        <f>VLOOKUP($A4,US_Results!$A$3:$I$53,5,FALSE)</f>
        <v>33425.460117534276</v>
      </c>
      <c r="G4" s="79">
        <f>VLOOKUP($A4,US_Results!$A$3:$I$53,6,FALSE)</f>
        <v>0</v>
      </c>
      <c r="H4" s="79">
        <f>VLOOKUP($A4,US_Results!$A$3:$I$53,7,FALSE)</f>
        <v>107122.53788647891</v>
      </c>
      <c r="I4" s="79">
        <v>0</v>
      </c>
      <c r="J4" s="79"/>
      <c r="O4" t="s">
        <v>188</v>
      </c>
      <c r="P4" t="s">
        <v>562</v>
      </c>
      <c r="Q4" s="99">
        <f>VLOOKUP(O4,US_Results!$A$3:$BP$53,67,FALSE)</f>
        <v>205.01800754819072</v>
      </c>
      <c r="R4" s="99">
        <f>VLOOKUP($O4,US_Results!$A$3:$BP$53,68,FALSE)</f>
        <v>-252.74350768062141</v>
      </c>
      <c r="S4" t="str">
        <f t="shared" si="0"/>
        <v>BEV better</v>
      </c>
      <c r="T4" s="99">
        <f t="shared" si="1"/>
        <v>41.908306152784085</v>
      </c>
      <c r="U4" s="99">
        <f t="shared" si="2"/>
        <v>29.35752504006178</v>
      </c>
      <c r="V4" s="99">
        <f t="shared" si="3"/>
        <v>12.550781112722305</v>
      </c>
      <c r="W4" s="10" t="s">
        <v>569</v>
      </c>
      <c r="X4" s="54">
        <f>US_Results!$BC$53/US_Results!$BM$56/'TCO Inputs'!$AZ$13</f>
        <v>0.22241753523302057</v>
      </c>
      <c r="Y4" s="54">
        <f>US_Results!$BC$53/US_Results!$BM$58/'TCO Inputs'!$AZ$13</f>
        <v>5.1791060939487842E-2</v>
      </c>
      <c r="Z4" s="196">
        <f>US_Results!$BC$53/US_Results!$BM$59/'TCO Inputs'!$AZ$13</f>
        <v>8.6930589981257314E-3</v>
      </c>
      <c r="AA4" s="54">
        <v>0.01</v>
      </c>
      <c r="AB4" s="99">
        <f t="shared" si="4"/>
        <v>0.61272697884927374</v>
      </c>
      <c r="AC4" s="99">
        <f t="shared" si="5"/>
        <v>457.76151522881213</v>
      </c>
      <c r="AD4" s="99">
        <f t="shared" si="6"/>
        <v>0.67128664627353463</v>
      </c>
      <c r="AE4" s="99"/>
      <c r="AF4" t="s">
        <v>254</v>
      </c>
    </row>
    <row r="5" spans="1:32" x14ac:dyDescent="0.25">
      <c r="A5" t="s">
        <v>149</v>
      </c>
      <c r="B5" t="s">
        <v>308</v>
      </c>
      <c r="C5" s="79">
        <f>VLOOKUP($A5,US_Results!$A$3:$I$53,2,FALSE)</f>
        <v>23731.611795719989</v>
      </c>
      <c r="D5" s="79">
        <f>VLOOKUP($A5,US_Results!$A$3:$I$53,3,FALSE)</f>
        <v>21830.18361794564</v>
      </c>
      <c r="E5" s="79">
        <f>VLOOKUP($A5,US_Results!$A$3:$I$53,4,FALSE)</f>
        <v>21353.796031718874</v>
      </c>
      <c r="F5" s="79">
        <f>VLOOKUP($A5,US_Results!$A$3:$I$53,5,FALSE)</f>
        <v>34130.536263502894</v>
      </c>
      <c r="G5" s="79">
        <f>VLOOKUP($A5,US_Results!$A$3:$I$53,6,FALSE)</f>
        <v>0</v>
      </c>
      <c r="H5" s="79">
        <f>VLOOKUP($A5,US_Results!$A$3:$I$53,7,FALSE)</f>
        <v>101046.12770888739</v>
      </c>
      <c r="I5" s="79">
        <v>0</v>
      </c>
      <c r="J5" s="79"/>
      <c r="O5" t="s">
        <v>149</v>
      </c>
      <c r="P5" t="s">
        <v>562</v>
      </c>
      <c r="Q5" s="99">
        <f>VLOOKUP(O5,US_Results!$A$3:$BP$53,67,FALSE)</f>
        <v>289.9856494707505</v>
      </c>
      <c r="R5" s="99">
        <f>VLOOKUP($O5,US_Results!$A$3:$BP$53,68,FALSE)</f>
        <v>-338.71798335765993</v>
      </c>
      <c r="S5" t="str">
        <f t="shared" si="0"/>
        <v>BEV better</v>
      </c>
      <c r="T5" s="99">
        <f t="shared" si="1"/>
        <v>43.411917986401122</v>
      </c>
      <c r="U5" s="99">
        <f t="shared" si="2"/>
        <v>21.304606948907526</v>
      </c>
      <c r="V5" s="99">
        <f t="shared" si="3"/>
        <v>22.107311037493595</v>
      </c>
      <c r="W5" s="10" t="s">
        <v>569</v>
      </c>
      <c r="X5" s="54">
        <f>US_Results!$BC$53/US_Results!$BM$56/'TCO Inputs'!$AZ$13</f>
        <v>0.22241753523302057</v>
      </c>
      <c r="Y5" s="54">
        <f>US_Results!$BC$53/US_Results!$BM$58/'TCO Inputs'!$AZ$13</f>
        <v>5.1791060939487842E-2</v>
      </c>
      <c r="Z5" s="196">
        <f>US_Results!$BC$53/US_Results!$BM$59/'TCO Inputs'!$AZ$13</f>
        <v>8.6930589981257314E-3</v>
      </c>
      <c r="AA5" s="54">
        <v>0.01</v>
      </c>
      <c r="AB5" s="99">
        <f t="shared" si="4"/>
        <v>0.81320414967074306</v>
      </c>
      <c r="AC5" s="99">
        <f t="shared" si="5"/>
        <v>628.70363282841049</v>
      </c>
      <c r="AD5" s="99">
        <f t="shared" si="6"/>
        <v>0.78670399190168638</v>
      </c>
      <c r="AE5" s="99"/>
    </row>
    <row r="6" spans="1:32" x14ac:dyDescent="0.25">
      <c r="A6" t="s">
        <v>190</v>
      </c>
      <c r="B6" t="s">
        <v>308</v>
      </c>
      <c r="C6" s="79">
        <f>VLOOKUP($A6,US_Results!$A$3:$I$53,2,FALSE)</f>
        <v>23731.611795719989</v>
      </c>
      <c r="D6" s="79">
        <f>VLOOKUP($A6,US_Results!$A$3:$I$53,3,FALSE)</f>
        <v>18444.456944455058</v>
      </c>
      <c r="E6" s="79">
        <f>VLOOKUP($A6,US_Results!$A$3:$I$53,4,FALSE)</f>
        <v>21993.182291052519</v>
      </c>
      <c r="F6" s="79">
        <f>VLOOKUP($A6,US_Results!$A$3:$I$53,5,FALSE)</f>
        <v>31765.418589576111</v>
      </c>
      <c r="G6" s="79">
        <f>VLOOKUP($A6,US_Results!$A$3:$I$53,6,FALSE)</f>
        <v>0</v>
      </c>
      <c r="H6" s="79">
        <f>VLOOKUP($A6,US_Results!$A$3:$I$53,7,FALSE)</f>
        <v>95934.669620803674</v>
      </c>
      <c r="I6" s="79">
        <v>0</v>
      </c>
      <c r="J6" s="79"/>
      <c r="O6" t="s">
        <v>190</v>
      </c>
      <c r="P6" t="s">
        <v>562</v>
      </c>
      <c r="Q6" s="99">
        <f>VLOOKUP(O6,US_Results!$A$3:$BP$53,67,FALSE)</f>
        <v>345.98711829281632</v>
      </c>
      <c r="R6" s="99">
        <f>VLOOKUP($O6,US_Results!$A$3:$BP$53,68,FALSE)</f>
        <v>-268.47975170988684</v>
      </c>
      <c r="S6" t="str">
        <f t="shared" si="0"/>
        <v>BEV better</v>
      </c>
      <c r="T6" s="99">
        <f t="shared" si="1"/>
        <v>30.218324154436985</v>
      </c>
      <c r="U6" s="99">
        <f t="shared" si="2"/>
        <v>22.591102065422739</v>
      </c>
      <c r="V6" s="99">
        <f t="shared" si="3"/>
        <v>7.6272220890142464</v>
      </c>
      <c r="W6" s="10" t="s">
        <v>569</v>
      </c>
      <c r="X6" s="54">
        <f>US_Results!$BC$53/US_Results!$BM$56/'TCO Inputs'!$AZ$13</f>
        <v>0.22241753523302057</v>
      </c>
      <c r="Y6" s="54">
        <f>US_Results!$BC$53/US_Results!$BM$58/'TCO Inputs'!$AZ$13</f>
        <v>5.1791060939487842E-2</v>
      </c>
      <c r="Z6" s="196">
        <f>US_Results!$BC$53/US_Results!$BM$59/'TCO Inputs'!$AZ$13</f>
        <v>8.6930589981257314E-3</v>
      </c>
      <c r="AA6" s="54">
        <v>0.01</v>
      </c>
      <c r="AB6" s="99">
        <f t="shared" si="4"/>
        <v>0.47765554253660331</v>
      </c>
      <c r="AC6" s="99">
        <f t="shared" si="5"/>
        <v>614.46687000270322</v>
      </c>
      <c r="AD6" s="99">
        <f t="shared" si="6"/>
        <v>0.77774567559667307</v>
      </c>
      <c r="AE6" s="99"/>
    </row>
    <row r="7" spans="1:32" x14ac:dyDescent="0.25">
      <c r="A7" t="s">
        <v>191</v>
      </c>
      <c r="B7" t="s">
        <v>308</v>
      </c>
      <c r="C7" s="79">
        <f>VLOOKUP($A7,US_Results!$A$3:$I$53,2,FALSE)</f>
        <v>23731.611795719989</v>
      </c>
      <c r="D7" s="79">
        <f>VLOOKUP($A7,US_Results!$A$3:$I$53,3,FALSE)</f>
        <v>16539.187970706462</v>
      </c>
      <c r="E7" s="79">
        <f>VLOOKUP($A7,US_Results!$A$3:$I$53,4,FALSE)</f>
        <v>20659.848811588759</v>
      </c>
      <c r="F7" s="79">
        <f>VLOOKUP($A7,US_Results!$A$3:$I$53,5,FALSE)</f>
        <v>32389.122825597031</v>
      </c>
      <c r="G7" s="79">
        <f>VLOOKUP($A7,US_Results!$A$3:$I$53,6,FALSE)</f>
        <v>0</v>
      </c>
      <c r="H7" s="79">
        <f>VLOOKUP($A7,US_Results!$A$3:$I$53,7,FALSE)</f>
        <v>93319.771403612249</v>
      </c>
      <c r="I7" s="79">
        <v>0</v>
      </c>
      <c r="J7" s="79"/>
      <c r="O7" t="s">
        <v>191</v>
      </c>
      <c r="P7" t="s">
        <v>562</v>
      </c>
      <c r="Q7" s="99">
        <f>VLOOKUP(O7,US_Results!$A$3:$BP$53,67,FALSE)</f>
        <v>569.17830779594613</v>
      </c>
      <c r="R7" s="99">
        <f>VLOOKUP($O7,US_Results!$A$3:$BP$53,68,FALSE)</f>
        <v>-247.56569840456535</v>
      </c>
      <c r="S7" t="str">
        <f t="shared" si="0"/>
        <v>BEV better</v>
      </c>
      <c r="T7" s="99">
        <f t="shared" si="1"/>
        <v>37.986682473034399</v>
      </c>
      <c r="U7" s="99">
        <f t="shared" si="2"/>
        <v>20.998123892067696</v>
      </c>
      <c r="V7" s="99">
        <f t="shared" si="3"/>
        <v>16.988558580966703</v>
      </c>
      <c r="W7" s="10" t="s">
        <v>569</v>
      </c>
      <c r="X7" s="54">
        <f>US_Results!$BC$53/US_Results!$BM$56/'TCO Inputs'!$AZ$13</f>
        <v>0.22241753523302057</v>
      </c>
      <c r="Y7" s="54">
        <f>US_Results!$BC$53/US_Results!$BM$58/'TCO Inputs'!$AZ$13</f>
        <v>5.1791060939487842E-2</v>
      </c>
      <c r="Z7" s="196">
        <f>US_Results!$BC$53/US_Results!$BM$59/'TCO Inputs'!$AZ$13</f>
        <v>8.6930589981257314E-3</v>
      </c>
      <c r="AA7" s="54">
        <v>0.01</v>
      </c>
      <c r="AB7" s="99">
        <f t="shared" si="4"/>
        <v>0.71286926606381129</v>
      </c>
      <c r="AC7" s="99">
        <f t="shared" si="5"/>
        <v>816.74400620051142</v>
      </c>
      <c r="AD7" s="99">
        <f t="shared" si="6"/>
        <v>0.8966673308406039</v>
      </c>
      <c r="AE7" s="99"/>
    </row>
    <row r="8" spans="1:32" x14ac:dyDescent="0.25">
      <c r="A8" t="s">
        <v>192</v>
      </c>
      <c r="B8" t="s">
        <v>308</v>
      </c>
      <c r="C8" s="79">
        <f>VLOOKUP($A8,US_Results!$A$3:$I$53,2,FALSE)</f>
        <v>23731.611795719989</v>
      </c>
      <c r="D8" s="79">
        <f>VLOOKUP($A8,US_Results!$A$3:$I$53,3,FALSE)</f>
        <v>17479.546995978206</v>
      </c>
      <c r="E8" s="79">
        <f>VLOOKUP($A8,US_Results!$A$3:$I$53,4,FALSE)</f>
        <v>21498.723583834504</v>
      </c>
      <c r="F8" s="79">
        <f>VLOOKUP($A8,US_Results!$A$3:$I$53,5,FALSE)</f>
        <v>33615.214701408753</v>
      </c>
      <c r="G8" s="79">
        <f>VLOOKUP($A8,US_Results!$A$3:$I$53,6,FALSE)</f>
        <v>0</v>
      </c>
      <c r="H8" s="79">
        <f>VLOOKUP($A8,US_Results!$A$3:$I$53,7,FALSE)</f>
        <v>96325.097076941456</v>
      </c>
      <c r="I8" s="79">
        <v>0</v>
      </c>
      <c r="J8" s="79"/>
      <c r="O8" t="s">
        <v>192</v>
      </c>
      <c r="P8" t="s">
        <v>562</v>
      </c>
      <c r="Q8" s="99">
        <f>VLOOKUP(O8,US_Results!$A$3:$BP$53,67,FALSE)</f>
        <v>292.28178332809392</v>
      </c>
      <c r="R8" s="99">
        <f>VLOOKUP($O8,US_Results!$A$3:$BP$53,68,FALSE)</f>
        <v>-257.94529611119054</v>
      </c>
      <c r="S8" t="str">
        <f t="shared" si="0"/>
        <v>BEV better</v>
      </c>
      <c r="T8" s="99">
        <f t="shared" si="1"/>
        <v>31.418120515566734</v>
      </c>
      <c r="U8" s="99">
        <f t="shared" si="2"/>
        <v>21.618267336926309</v>
      </c>
      <c r="V8" s="99">
        <f t="shared" si="3"/>
        <v>9.7998531786404257</v>
      </c>
      <c r="W8" s="10" t="s">
        <v>569</v>
      </c>
      <c r="X8" s="54">
        <f>US_Results!$BC$53/US_Results!$BM$56/'TCO Inputs'!$AZ$13</f>
        <v>0.22241753523302057</v>
      </c>
      <c r="Y8" s="54">
        <f>US_Results!$BC$53/US_Results!$BM$58/'TCO Inputs'!$AZ$13</f>
        <v>5.1791060939487842E-2</v>
      </c>
      <c r="Z8" s="196">
        <f>US_Results!$BC$53/US_Results!$BM$59/'TCO Inputs'!$AZ$13</f>
        <v>8.6930589981257314E-3</v>
      </c>
      <c r="AA8" s="54">
        <v>0.01</v>
      </c>
      <c r="AB8" s="99">
        <f t="shared" si="4"/>
        <v>0.5414288705739283</v>
      </c>
      <c r="AC8" s="99">
        <f t="shared" si="5"/>
        <v>550.22707943928447</v>
      </c>
      <c r="AD8" s="99">
        <f t="shared" si="6"/>
        <v>0.73596870767321065</v>
      </c>
      <c r="AE8" s="99"/>
    </row>
    <row r="9" spans="1:32" x14ac:dyDescent="0.25">
      <c r="A9" t="s">
        <v>193</v>
      </c>
      <c r="B9" t="s">
        <v>308</v>
      </c>
      <c r="C9" s="79">
        <f>VLOOKUP($A9,US_Results!$A$3:$I$53,2,FALSE)</f>
        <v>23731.611795719989</v>
      </c>
      <c r="D9" s="79">
        <f>VLOOKUP($A9,US_Results!$A$3:$I$53,3,FALSE)</f>
        <v>18377.405329824462</v>
      </c>
      <c r="E9" s="79">
        <f>VLOOKUP($A9,US_Results!$A$3:$I$53,4,FALSE)</f>
        <v>24820.122072319682</v>
      </c>
      <c r="F9" s="79">
        <f>VLOOKUP($A9,US_Results!$A$3:$I$53,5,FALSE)</f>
        <v>44395.635710833471</v>
      </c>
      <c r="G9" s="79">
        <f>VLOOKUP($A9,US_Results!$A$3:$I$53,6,FALSE)</f>
        <v>0</v>
      </c>
      <c r="H9" s="79">
        <f>VLOOKUP($A9,US_Results!$A$3:$I$53,7,FALSE)</f>
        <v>111324.77490869761</v>
      </c>
      <c r="I9" s="79">
        <v>0</v>
      </c>
      <c r="J9" s="79"/>
      <c r="O9" t="s">
        <v>193</v>
      </c>
      <c r="P9" t="s">
        <v>562</v>
      </c>
      <c r="Q9" s="99">
        <f>VLOOKUP(O9,US_Results!$A$3:$BP$53,67,FALSE)</f>
        <v>387.37763895262293</v>
      </c>
      <c r="R9" s="99">
        <f>VLOOKUP($O9,US_Results!$A$3:$BP$53,68,FALSE)</f>
        <v>-232.34881679733212</v>
      </c>
      <c r="S9" t="str">
        <f t="shared" si="0"/>
        <v>BEV better</v>
      </c>
      <c r="T9" s="99">
        <f t="shared" si="1"/>
        <v>38.942491020210262</v>
      </c>
      <c r="U9" s="99">
        <f t="shared" si="2"/>
        <v>24.689753356839915</v>
      </c>
      <c r="V9" s="99">
        <f t="shared" si="3"/>
        <v>14.252737663370347</v>
      </c>
      <c r="W9" s="10" t="s">
        <v>569</v>
      </c>
      <c r="X9" s="54">
        <f>US_Results!$BC$53/US_Results!$BM$56/'TCO Inputs'!$AZ$13</f>
        <v>0.22241753523302057</v>
      </c>
      <c r="Y9" s="54">
        <f>US_Results!$BC$53/US_Results!$BM$58/'TCO Inputs'!$AZ$13</f>
        <v>5.1791060939487842E-2</v>
      </c>
      <c r="Z9" s="196">
        <f>US_Results!$BC$53/US_Results!$BM$59/'TCO Inputs'!$AZ$13</f>
        <v>8.6930589981257314E-3</v>
      </c>
      <c r="AA9" s="54">
        <v>0.01</v>
      </c>
      <c r="AB9" s="99">
        <f t="shared" si="4"/>
        <v>0.65295127029229427</v>
      </c>
      <c r="AC9" s="99">
        <f t="shared" si="5"/>
        <v>619.72645574995499</v>
      </c>
      <c r="AD9" s="99">
        <f t="shared" si="6"/>
        <v>0.78106717592798458</v>
      </c>
      <c r="AE9" s="99"/>
    </row>
    <row r="10" spans="1:32" x14ac:dyDescent="0.25">
      <c r="A10" t="s">
        <v>194</v>
      </c>
      <c r="B10" t="s">
        <v>308</v>
      </c>
      <c r="C10" s="79">
        <f>VLOOKUP($A10,US_Results!$A$3:$I$53,2,FALSE)</f>
        <v>23731.611795719989</v>
      </c>
      <c r="D10" s="79">
        <f>VLOOKUP($A10,US_Results!$A$3:$I$53,3,FALSE)</f>
        <v>23100.230217836837</v>
      </c>
      <c r="E10" s="79">
        <f>VLOOKUP($A10,US_Results!$A$3:$I$53,4,FALSE)</f>
        <v>31260.020476328158</v>
      </c>
      <c r="F10" s="79">
        <f>VLOOKUP($A10,US_Results!$A$3:$I$53,5,FALSE)</f>
        <v>31740.105915649328</v>
      </c>
      <c r="G10" s="79">
        <f>VLOOKUP($A10,US_Results!$A$3:$I$53,6,FALSE)</f>
        <v>0</v>
      </c>
      <c r="H10" s="79">
        <f>VLOOKUP($A10,US_Results!$A$3:$I$53,7,FALSE)</f>
        <v>109831.96840553431</v>
      </c>
      <c r="I10" s="79">
        <v>0</v>
      </c>
      <c r="J10" s="79"/>
      <c r="O10" t="s">
        <v>194</v>
      </c>
      <c r="P10" t="s">
        <v>562</v>
      </c>
      <c r="Q10" s="99">
        <f>VLOOKUP(O10,US_Results!$A$3:$BP$53,67,FALSE)</f>
        <v>33.896493001266705</v>
      </c>
      <c r="R10" s="99">
        <f>VLOOKUP($O10,US_Results!$A$3:$BP$53,68,FALSE)</f>
        <v>-277.31301235156997</v>
      </c>
      <c r="S10" t="str">
        <f t="shared" si="0"/>
        <v>BEV better</v>
      </c>
      <c r="T10" s="99">
        <f t="shared" si="1"/>
        <v>52.536701266674378</v>
      </c>
      <c r="U10" s="99">
        <f t="shared" si="2"/>
        <v>31.0343684673051</v>
      </c>
      <c r="V10" s="99">
        <f t="shared" si="3"/>
        <v>21.502332799369277</v>
      </c>
      <c r="W10" s="10" t="s">
        <v>569</v>
      </c>
      <c r="X10" s="54">
        <f>US_Results!$BC$53/US_Results!$BM$56/'TCO Inputs'!$AZ$13</f>
        <v>0.22241753523302057</v>
      </c>
      <c r="Y10" s="54">
        <f>US_Results!$BC$53/US_Results!$BM$58/'TCO Inputs'!$AZ$13</f>
        <v>5.1791060939487842E-2</v>
      </c>
      <c r="Z10" s="196">
        <f>US_Results!$BC$53/US_Results!$BM$59/'TCO Inputs'!$AZ$13</f>
        <v>8.6930589981257314E-3</v>
      </c>
      <c r="AA10" s="54">
        <v>0.01</v>
      </c>
      <c r="AB10" s="99">
        <f t="shared" si="4"/>
        <v>0.80200008624805119</v>
      </c>
      <c r="AC10" s="99">
        <f t="shared" si="5"/>
        <v>311.20950535283669</v>
      </c>
      <c r="AD10" s="99">
        <f t="shared" si="6"/>
        <v>0.55349639372688642</v>
      </c>
      <c r="AE10" s="99"/>
    </row>
    <row r="11" spans="1:32" x14ac:dyDescent="0.25">
      <c r="A11" t="s">
        <v>196</v>
      </c>
      <c r="B11" t="s">
        <v>308</v>
      </c>
      <c r="C11" s="79">
        <f>VLOOKUP($A11,US_Results!$A$3:$I$53,2,FALSE)</f>
        <v>23731.611795719989</v>
      </c>
      <c r="D11" s="79">
        <f>VLOOKUP($A11,US_Results!$A$3:$I$53,3,FALSE)</f>
        <v>20752.238448240365</v>
      </c>
      <c r="E11" s="79">
        <f>VLOOKUP($A11,US_Results!$A$3:$I$53,4,FALSE)</f>
        <v>24581.417868835124</v>
      </c>
      <c r="F11" s="79">
        <f>VLOOKUP($A11,US_Results!$A$3:$I$53,5,FALSE)</f>
        <v>22509.985288214157</v>
      </c>
      <c r="G11" s="79">
        <f>VLOOKUP($A11,US_Results!$A$3:$I$53,6,FALSE)</f>
        <v>0</v>
      </c>
      <c r="H11" s="79">
        <f>VLOOKUP($A11,US_Results!$A$3:$I$53,7,FALSE)</f>
        <v>91575.253401009642</v>
      </c>
      <c r="I11" s="79">
        <v>0</v>
      </c>
      <c r="J11" s="79"/>
      <c r="O11" t="s">
        <v>196</v>
      </c>
      <c r="P11" t="s">
        <v>562</v>
      </c>
      <c r="Q11" s="99">
        <f>VLOOKUP(O11,US_Results!$A$3:$BP$53,67,FALSE)</f>
        <v>52.877722676883387</v>
      </c>
      <c r="R11" s="99">
        <f>VLOOKUP($O11,US_Results!$A$3:$BP$53,68,FALSE)</f>
        <v>-297.08374699352055</v>
      </c>
      <c r="S11" t="str">
        <f t="shared" si="0"/>
        <v>BEV better</v>
      </c>
      <c r="T11" s="99">
        <f t="shared" si="1"/>
        <v>53.333082460405322</v>
      </c>
      <c r="U11" s="99">
        <f t="shared" si="2"/>
        <v>25.418848414813482</v>
      </c>
      <c r="V11" s="99">
        <f t="shared" si="3"/>
        <v>27.91423404559184</v>
      </c>
      <c r="W11" s="10" t="s">
        <v>569</v>
      </c>
      <c r="X11" s="54">
        <f>US_Results!$BC$53/US_Results!$BM$56/'TCO Inputs'!$AZ$13</f>
        <v>0.22241753523302057</v>
      </c>
      <c r="Y11" s="54">
        <f>US_Results!$BC$53/US_Results!$BM$58/'TCO Inputs'!$AZ$13</f>
        <v>5.1791060939487842E-2</v>
      </c>
      <c r="Z11" s="196">
        <f>US_Results!$BC$53/US_Results!$BM$59/'TCO Inputs'!$AZ$13</f>
        <v>8.6930589981257314E-3</v>
      </c>
      <c r="AA11" s="54">
        <v>0.01</v>
      </c>
      <c r="AB11" s="99">
        <f t="shared" si="4"/>
        <v>0.91378596440848903</v>
      </c>
      <c r="AC11" s="99">
        <f t="shared" si="5"/>
        <v>349.96146967040391</v>
      </c>
      <c r="AD11" s="99">
        <f t="shared" si="6"/>
        <v>0.58694645616669172</v>
      </c>
      <c r="AE11" s="99"/>
    </row>
    <row r="12" spans="1:32" x14ac:dyDescent="0.25">
      <c r="A12" t="s">
        <v>197</v>
      </c>
      <c r="B12" t="s">
        <v>308</v>
      </c>
      <c r="C12" s="79">
        <f>VLOOKUP($A12,US_Results!$A$3:$I$53,2,FALSE)</f>
        <v>23731.611795719989</v>
      </c>
      <c r="D12" s="79">
        <f>VLOOKUP($A12,US_Results!$A$3:$I$53,3,FALSE)</f>
        <v>16628.885496526425</v>
      </c>
      <c r="E12" s="79">
        <f>VLOOKUP($A12,US_Results!$A$3:$I$53,4,FALSE)</f>
        <v>21450.982743137592</v>
      </c>
      <c r="F12" s="79">
        <f>VLOOKUP($A12,US_Results!$A$3:$I$53,5,FALSE)</f>
        <v>26669.519073973581</v>
      </c>
      <c r="G12" s="79">
        <f>VLOOKUP($A12,US_Results!$A$3:$I$53,6,FALSE)</f>
        <v>0</v>
      </c>
      <c r="H12" s="79">
        <f>VLOOKUP($A12,US_Results!$A$3:$I$53,7,FALSE)</f>
        <v>88480.999109357595</v>
      </c>
      <c r="I12" s="79">
        <v>0</v>
      </c>
      <c r="J12" s="79"/>
      <c r="O12" t="s">
        <v>197</v>
      </c>
      <c r="P12" t="s">
        <v>562</v>
      </c>
      <c r="Q12" s="99">
        <f>VLOOKUP(O12,US_Results!$A$3:$BP$53,67,FALSE)</f>
        <v>242.77737298112214</v>
      </c>
      <c r="R12" s="99">
        <f>VLOOKUP($O12,US_Results!$A$3:$BP$53,68,FALSE)</f>
        <v>-254.23474948280847</v>
      </c>
      <c r="S12" t="str">
        <f t="shared" si="0"/>
        <v>BEV better</v>
      </c>
      <c r="T12" s="99">
        <f t="shared" si="1"/>
        <v>42.837187613587197</v>
      </c>
      <c r="U12" s="99">
        <f t="shared" si="2"/>
        <v>21.781125089458399</v>
      </c>
      <c r="V12" s="99">
        <f t="shared" si="3"/>
        <v>21.056062524128798</v>
      </c>
      <c r="W12" s="10" t="s">
        <v>569</v>
      </c>
      <c r="X12" s="54">
        <f>US_Results!$BC$53/US_Results!$BM$56/'TCO Inputs'!$AZ$13</f>
        <v>0.22241753523302057</v>
      </c>
      <c r="Y12" s="54">
        <f>US_Results!$BC$53/US_Results!$BM$58/'TCO Inputs'!$AZ$13</f>
        <v>5.1791060939487842E-2</v>
      </c>
      <c r="Z12" s="196">
        <f>US_Results!$BC$53/US_Results!$BM$59/'TCO Inputs'!$AZ$13</f>
        <v>8.6930589981257314E-3</v>
      </c>
      <c r="AA12" s="54">
        <v>0.01</v>
      </c>
      <c r="AB12" s="99">
        <f t="shared" si="4"/>
        <v>0.79363389216152924</v>
      </c>
      <c r="AC12" s="99">
        <f t="shared" si="5"/>
        <v>497.01212246393061</v>
      </c>
      <c r="AD12" s="99">
        <f t="shared" si="6"/>
        <v>0.6994744569265483</v>
      </c>
      <c r="AE12" s="99"/>
    </row>
    <row r="13" spans="1:32" x14ac:dyDescent="0.25">
      <c r="A13" t="s">
        <v>198</v>
      </c>
      <c r="B13" t="s">
        <v>308</v>
      </c>
      <c r="C13" s="79">
        <f>VLOOKUP($A13,US_Results!$A$3:$I$53,2,FALSE)</f>
        <v>23731.611795719989</v>
      </c>
      <c r="D13" s="79">
        <f>VLOOKUP($A13,US_Results!$A$3:$I$53,3,FALSE)</f>
        <v>23777.334825147595</v>
      </c>
      <c r="E13" s="79">
        <f>VLOOKUP($A13,US_Results!$A$3:$I$53,4,FALSE)</f>
        <v>30731.46116861235</v>
      </c>
      <c r="F13" s="79">
        <f>VLOOKUP($A13,US_Results!$A$3:$I$53,5,FALSE)</f>
        <v>25439.691400046799</v>
      </c>
      <c r="G13" s="79">
        <f>VLOOKUP($A13,US_Results!$A$3:$I$53,6,FALSE)</f>
        <v>0</v>
      </c>
      <c r="H13" s="79">
        <f>VLOOKUP($A13,US_Results!$A$3:$I$53,7,FALSE)</f>
        <v>103680.09918952674</v>
      </c>
      <c r="I13" s="79">
        <v>0</v>
      </c>
      <c r="J13" s="79"/>
      <c r="O13" t="s">
        <v>198</v>
      </c>
      <c r="P13" t="s">
        <v>562</v>
      </c>
      <c r="Q13" s="99">
        <f>VLOOKUP(O13,US_Results!$A$3:$BP$53,67,FALSE)</f>
        <v>135.24257340301693</v>
      </c>
      <c r="R13" s="99">
        <f>VLOOKUP($O13,US_Results!$A$3:$BP$53,68,FALSE)</f>
        <v>-291.83780459899879</v>
      </c>
      <c r="S13" t="str">
        <f t="shared" si="0"/>
        <v>HEV better</v>
      </c>
      <c r="T13" s="99">
        <f t="shared" si="1"/>
        <v>28.759069073743717</v>
      </c>
      <c r="U13" s="99">
        <f t="shared" si="2"/>
        <v>31.144016839829732</v>
      </c>
      <c r="V13" s="99">
        <f t="shared" si="3"/>
        <v>-2.3849477660860146</v>
      </c>
      <c r="W13" s="10" t="s">
        <v>569</v>
      </c>
      <c r="X13" s="54">
        <f>US_Results!$BC$53/US_Results!$BM$56/'TCO Inputs'!$AZ$13</f>
        <v>0.22241753523302057</v>
      </c>
      <c r="Y13" s="54">
        <f>US_Results!$BC$53/US_Results!$BM$58/'TCO Inputs'!$AZ$13</f>
        <v>5.1791060939487842E-2</v>
      </c>
      <c r="Z13" s="196">
        <f>US_Results!$BC$53/US_Results!$BM$59/'TCO Inputs'!$AZ$13</f>
        <v>8.6930589981257314E-3</v>
      </c>
      <c r="AA13" s="54">
        <v>0.01</v>
      </c>
      <c r="AB13" s="99">
        <f t="shared" si="4"/>
        <v>-0.35916452062940551</v>
      </c>
      <c r="AC13" s="99">
        <f t="shared" si="5"/>
        <v>427.08037800201572</v>
      </c>
      <c r="AD13" s="99">
        <f t="shared" si="6"/>
        <v>0.64840025679840019</v>
      </c>
      <c r="AE13" s="99"/>
    </row>
    <row r="14" spans="1:32" x14ac:dyDescent="0.25">
      <c r="A14" t="s">
        <v>195</v>
      </c>
      <c r="B14" t="s">
        <v>308</v>
      </c>
      <c r="C14" s="79">
        <f>VLOOKUP($A14,US_Results!$A$3:$I$53,2,FALSE)</f>
        <v>23731.611795719989</v>
      </c>
      <c r="D14" s="79">
        <f>VLOOKUP($A14,US_Results!$A$3:$I$53,3,FALSE)</f>
        <v>19695.278854197299</v>
      </c>
      <c r="E14" s="79">
        <f>VLOOKUP($A14,US_Results!$A$3:$I$53,4,FALSE)</f>
        <v>25140.667716998956</v>
      </c>
      <c r="F14" s="79">
        <f>VLOOKUP($A14,US_Results!$A$3:$I$53,5,FALSE)</f>
        <v>23891.089108109558</v>
      </c>
      <c r="G14" s="79">
        <f>VLOOKUP($A14,US_Results!$A$3:$I$53,6,FALSE)</f>
        <v>0</v>
      </c>
      <c r="H14" s="79">
        <f>VLOOKUP($A14,US_Results!$A$3:$I$53,7,FALSE)</f>
        <v>92458.647475025806</v>
      </c>
      <c r="I14" s="79">
        <v>0</v>
      </c>
      <c r="J14" s="79"/>
      <c r="O14" t="s">
        <v>195</v>
      </c>
      <c r="P14" t="s">
        <v>562</v>
      </c>
      <c r="Q14" s="99">
        <f>VLOOKUP(O14,US_Results!$A$3:$BP$53,67,FALSE)</f>
        <v>153.5520080712808</v>
      </c>
      <c r="R14" s="99">
        <f>VLOOKUP($O14,US_Results!$A$3:$BP$53,68,FALSE)</f>
        <v>-276.44443709461922</v>
      </c>
      <c r="S14" t="str">
        <f t="shared" si="0"/>
        <v>BEV better</v>
      </c>
      <c r="T14" s="99">
        <f t="shared" si="1"/>
        <v>45.926312245525367</v>
      </c>
      <c r="U14" s="99">
        <f t="shared" si="2"/>
        <v>25.799443526492084</v>
      </c>
      <c r="V14" s="99">
        <f t="shared" si="3"/>
        <v>20.126868719033283</v>
      </c>
      <c r="W14" s="10" t="s">
        <v>569</v>
      </c>
      <c r="X14" s="54">
        <f>US_Results!$BC$53/US_Results!$BM$56/'TCO Inputs'!$AZ$13</f>
        <v>0.22241753523302057</v>
      </c>
      <c r="Y14" s="54">
        <f>US_Results!$BC$53/US_Results!$BM$58/'TCO Inputs'!$AZ$13</f>
        <v>5.1791060939487842E-2</v>
      </c>
      <c r="Z14" s="196">
        <f>US_Results!$BC$53/US_Results!$BM$59/'TCO Inputs'!$AZ$13</f>
        <v>8.6930589981257314E-3</v>
      </c>
      <c r="AA14" s="54">
        <v>0.01</v>
      </c>
      <c r="AB14" s="99">
        <f t="shared" si="4"/>
        <v>0.77592497742595046</v>
      </c>
      <c r="AC14" s="99">
        <f t="shared" si="5"/>
        <v>429.99644516590001</v>
      </c>
      <c r="AD14" s="99">
        <f t="shared" si="6"/>
        <v>0.65061010095113458</v>
      </c>
      <c r="AE14" s="99"/>
    </row>
    <row r="15" spans="1:32" x14ac:dyDescent="0.25">
      <c r="A15" t="s">
        <v>199</v>
      </c>
      <c r="B15" t="s">
        <v>308</v>
      </c>
      <c r="C15" s="79">
        <f>VLOOKUP($A15,US_Results!$A$3:$I$53,2,FALSE)</f>
        <v>23731.611795719989</v>
      </c>
      <c r="D15" s="79">
        <f>VLOOKUP($A15,US_Results!$A$3:$I$53,3,FALSE)</f>
        <v>19517.941220017299</v>
      </c>
      <c r="E15" s="79">
        <f>VLOOKUP($A15,US_Results!$A$3:$I$53,4,FALSE)</f>
        <v>25202.048797894982</v>
      </c>
      <c r="F15" s="79">
        <f>VLOOKUP($A15,US_Results!$A$3:$I$53,5,FALSE)</f>
        <v>31767.45629763887</v>
      </c>
      <c r="G15" s="79">
        <f>VLOOKUP($A15,US_Results!$A$3:$I$53,6,FALSE)</f>
        <v>0</v>
      </c>
      <c r="H15" s="79">
        <f>VLOOKUP($A15,US_Results!$A$3:$I$53,7,FALSE)</f>
        <v>100219.05811127114</v>
      </c>
      <c r="I15" s="79">
        <v>0</v>
      </c>
      <c r="J15" s="79"/>
      <c r="O15" t="s">
        <v>199</v>
      </c>
      <c r="P15" t="s">
        <v>562</v>
      </c>
      <c r="Q15" s="99">
        <f>VLOOKUP(O15,US_Results!$A$3:$BP$53,67,FALSE)</f>
        <v>208.11619441425327</v>
      </c>
      <c r="R15" s="99">
        <f>VLOOKUP($O15,US_Results!$A$3:$BP$53,68,FALSE)</f>
        <v>-263.54185310330263</v>
      </c>
      <c r="S15" t="str">
        <f t="shared" si="0"/>
        <v>BEV better</v>
      </c>
      <c r="T15" s="99">
        <f t="shared" si="1"/>
        <v>44.401988278119724</v>
      </c>
      <c r="U15" s="99">
        <f t="shared" si="2"/>
        <v>25.565148381330886</v>
      </c>
      <c r="V15" s="99">
        <f t="shared" si="3"/>
        <v>18.836839896788838</v>
      </c>
      <c r="W15" s="10" t="s">
        <v>569</v>
      </c>
      <c r="X15" s="54">
        <f>US_Results!$BC$53/US_Results!$BM$56/'TCO Inputs'!$AZ$13</f>
        <v>0.22241753523302057</v>
      </c>
      <c r="Y15" s="54">
        <f>US_Results!$BC$53/US_Results!$BM$58/'TCO Inputs'!$AZ$13</f>
        <v>5.1791060939487842E-2</v>
      </c>
      <c r="Z15" s="196">
        <f>US_Results!$BC$53/US_Results!$BM$59/'TCO Inputs'!$AZ$13</f>
        <v>8.6930589981257314E-3</v>
      </c>
      <c r="AA15" s="54">
        <v>0.01</v>
      </c>
      <c r="AB15" s="99">
        <f t="shared" si="4"/>
        <v>0.75064681909664432</v>
      </c>
      <c r="AC15" s="99">
        <f t="shared" si="5"/>
        <v>471.65804751755593</v>
      </c>
      <c r="AD15" s="99">
        <f t="shared" si="6"/>
        <v>0.68139978685853597</v>
      </c>
      <c r="AE15" s="99"/>
    </row>
    <row r="16" spans="1:32" x14ac:dyDescent="0.25">
      <c r="A16" t="s">
        <v>157</v>
      </c>
      <c r="B16" t="s">
        <v>308</v>
      </c>
      <c r="C16" s="79">
        <f>VLOOKUP($A16,US_Results!$A$3:$I$53,2,FALSE)</f>
        <v>23731.611795719989</v>
      </c>
      <c r="D16" s="79">
        <f>VLOOKUP($A16,US_Results!$A$3:$I$53,3,FALSE)</f>
        <v>21323.12334407412</v>
      </c>
      <c r="E16" s="79">
        <f>VLOOKUP($A16,US_Results!$A$3:$I$53,4,FALSE)</f>
        <v>27800.514555826918</v>
      </c>
      <c r="F16" s="79">
        <f>VLOOKUP($A16,US_Results!$A$3:$I$53,5,FALSE)</f>
        <v>38592.622341199567</v>
      </c>
      <c r="G16" s="79">
        <f>VLOOKUP($A16,US_Results!$A$3:$I$53,6,FALSE)</f>
        <v>0</v>
      </c>
      <c r="H16" s="79">
        <f>VLOOKUP($A16,US_Results!$A$3:$I$53,7,FALSE)</f>
        <v>111447.8720368206</v>
      </c>
      <c r="I16" s="79">
        <v>0</v>
      </c>
      <c r="J16" s="79"/>
      <c r="O16" t="s">
        <v>157</v>
      </c>
      <c r="P16" t="s">
        <v>562</v>
      </c>
      <c r="Q16" s="99">
        <f>VLOOKUP(O16,US_Results!$A$3:$BP$53,67,FALSE)</f>
        <v>393.01437426475087</v>
      </c>
      <c r="R16" s="99">
        <f>VLOOKUP($O16,US_Results!$A$3:$BP$53,68,FALSE)</f>
        <v>-263.34794609425836</v>
      </c>
      <c r="S16" t="str">
        <f t="shared" si="0"/>
        <v>HEV better</v>
      </c>
      <c r="T16" s="99">
        <f t="shared" si="1"/>
        <v>17.997317478135997</v>
      </c>
      <c r="U16" s="99">
        <f t="shared" si="2"/>
        <v>27.927771425173596</v>
      </c>
      <c r="V16" s="99">
        <f t="shared" si="3"/>
        <v>-9.9304539470375985</v>
      </c>
      <c r="W16" s="10" t="s">
        <v>569</v>
      </c>
      <c r="X16" s="54">
        <f>US_Results!$BC$53/US_Results!$BM$56/'TCO Inputs'!$AZ$13</f>
        <v>0.22241753523302057</v>
      </c>
      <c r="Y16" s="54">
        <f>US_Results!$BC$53/US_Results!$BM$58/'TCO Inputs'!$AZ$13</f>
        <v>5.1791060939487842E-2</v>
      </c>
      <c r="Z16" s="196">
        <f>US_Results!$BC$53/US_Results!$BM$59/'TCO Inputs'!$AZ$13</f>
        <v>8.6930589981257314E-3</v>
      </c>
      <c r="AA16" s="54">
        <v>0.01</v>
      </c>
      <c r="AB16" s="99">
        <f t="shared" si="4"/>
        <v>-0.73288957503314456</v>
      </c>
      <c r="AC16" s="99">
        <f t="shared" si="5"/>
        <v>656.36232035900923</v>
      </c>
      <c r="AD16" s="99">
        <f t="shared" si="6"/>
        <v>0.80382255795482926</v>
      </c>
      <c r="AE16" s="99"/>
    </row>
    <row r="17" spans="1:31" x14ac:dyDescent="0.25">
      <c r="A17" t="s">
        <v>200</v>
      </c>
      <c r="B17" t="s">
        <v>308</v>
      </c>
      <c r="C17" s="79">
        <f>VLOOKUP($A17,US_Results!$A$3:$I$53,2,FALSE)</f>
        <v>23731.611795719989</v>
      </c>
      <c r="D17" s="79">
        <f>VLOOKUP($A17,US_Results!$A$3:$I$53,3,FALSE)</f>
        <v>17792.464729765517</v>
      </c>
      <c r="E17" s="79">
        <f>VLOOKUP($A17,US_Results!$A$3:$I$53,4,FALSE)</f>
        <v>25491.903902126236</v>
      </c>
      <c r="F17" s="79">
        <f>VLOOKUP($A17,US_Results!$A$3:$I$53,5,FALSE)</f>
        <v>43634.839946854394</v>
      </c>
      <c r="G17" s="79">
        <f>VLOOKUP($A17,US_Results!$A$3:$I$53,6,FALSE)</f>
        <v>0</v>
      </c>
      <c r="H17" s="79">
        <f>VLOOKUP($A17,US_Results!$A$3:$I$53,7,FALSE)</f>
        <v>110650.82037446613</v>
      </c>
      <c r="I17" s="79">
        <v>0</v>
      </c>
      <c r="J17" s="79"/>
      <c r="O17" t="s">
        <v>200</v>
      </c>
      <c r="P17" t="s">
        <v>562</v>
      </c>
      <c r="Q17" s="99">
        <f>VLOOKUP(O17,US_Results!$A$3:$BP$53,67,FALSE)</f>
        <v>289.22462168659467</v>
      </c>
      <c r="R17" s="99">
        <f>VLOOKUP($O17,US_Results!$A$3:$BP$53,68,FALSE)</f>
        <v>-220.75792890835203</v>
      </c>
      <c r="S17" t="str">
        <f t="shared" si="0"/>
        <v>BEV better</v>
      </c>
      <c r="T17" s="99">
        <f t="shared" si="1"/>
        <v>39.414929000742902</v>
      </c>
      <c r="U17" s="99">
        <f t="shared" si="2"/>
        <v>25.358006624861837</v>
      </c>
      <c r="V17" s="99">
        <f t="shared" si="3"/>
        <v>14.056922375881065</v>
      </c>
      <c r="W17" s="10" t="s">
        <v>569</v>
      </c>
      <c r="X17" s="54">
        <f>US_Results!$BC$53/US_Results!$BM$56/'TCO Inputs'!$AZ$13</f>
        <v>0.22241753523302057</v>
      </c>
      <c r="Y17" s="54">
        <f>US_Results!$BC$53/US_Results!$BM$58/'TCO Inputs'!$AZ$13</f>
        <v>5.1791060939487842E-2</v>
      </c>
      <c r="Z17" s="196">
        <f>US_Results!$BC$53/US_Results!$BM$59/'TCO Inputs'!$AZ$13</f>
        <v>8.6930589981257314E-3</v>
      </c>
      <c r="AA17" s="54">
        <v>0.01</v>
      </c>
      <c r="AB17" s="99">
        <f t="shared" si="4"/>
        <v>0.64845037932562788</v>
      </c>
      <c r="AC17" s="99">
        <f t="shared" si="5"/>
        <v>509.9825505949467</v>
      </c>
      <c r="AD17" s="99">
        <f t="shared" si="6"/>
        <v>0.70854269896080091</v>
      </c>
      <c r="AE17" s="99"/>
    </row>
    <row r="18" spans="1:31" x14ac:dyDescent="0.25">
      <c r="A18" t="s">
        <v>203</v>
      </c>
      <c r="B18" t="s">
        <v>308</v>
      </c>
      <c r="C18" s="79">
        <f>VLOOKUP($A18,US_Results!$A$3:$I$53,2,FALSE)</f>
        <v>23731.611795719989</v>
      </c>
      <c r="D18" s="79">
        <f>VLOOKUP($A18,US_Results!$A$3:$I$53,3,FALSE)</f>
        <v>19812.919463886941</v>
      </c>
      <c r="E18" s="79">
        <f>VLOOKUP($A18,US_Results!$A$3:$I$53,4,FALSE)</f>
        <v>24237.00180380739</v>
      </c>
      <c r="F18" s="79">
        <f>VLOOKUP($A18,US_Results!$A$3:$I$53,5,FALSE)</f>
        <v>23034.736816172317</v>
      </c>
      <c r="G18" s="79">
        <f>VLOOKUP($A18,US_Results!$A$3:$I$53,6,FALSE)</f>
        <v>0</v>
      </c>
      <c r="H18" s="79">
        <f>VLOOKUP($A18,US_Results!$A$3:$I$53,7,FALSE)</f>
        <v>90816.269879586631</v>
      </c>
      <c r="I18" s="79">
        <v>0</v>
      </c>
      <c r="J18" s="79"/>
      <c r="O18" t="s">
        <v>203</v>
      </c>
      <c r="P18" t="s">
        <v>562</v>
      </c>
      <c r="Q18" s="99">
        <f>VLOOKUP(O18,US_Results!$A$3:$BP$53,67,FALSE)</f>
        <v>249.37336039541012</v>
      </c>
      <c r="R18" s="99">
        <f>VLOOKUP($O18,US_Results!$A$3:$BP$53,68,FALSE)</f>
        <v>-283.81930889909285</v>
      </c>
      <c r="S18" t="str">
        <f t="shared" si="0"/>
        <v>BEV better</v>
      </c>
      <c r="T18" s="99">
        <f t="shared" si="1"/>
        <v>52.48115077876011</v>
      </c>
      <c r="U18" s="99">
        <f t="shared" si="2"/>
        <v>25.157999208212892</v>
      </c>
      <c r="V18" s="99">
        <f t="shared" si="3"/>
        <v>27.323151570547218</v>
      </c>
      <c r="W18" s="10" t="s">
        <v>569</v>
      </c>
      <c r="X18" s="54">
        <f>US_Results!$BC$53/US_Results!$BM$56/'TCO Inputs'!$AZ$13</f>
        <v>0.22241753523302057</v>
      </c>
      <c r="Y18" s="54">
        <f>US_Results!$BC$53/US_Results!$BM$58/'TCO Inputs'!$AZ$13</f>
        <v>5.1791060939487842E-2</v>
      </c>
      <c r="Z18" s="196">
        <f>US_Results!$BC$53/US_Results!$BM$59/'TCO Inputs'!$AZ$13</f>
        <v>8.6930589981257314E-3</v>
      </c>
      <c r="AA18" s="54">
        <v>0.01</v>
      </c>
      <c r="AB18" s="99">
        <f t="shared" si="4"/>
        <v>0.90405951416382613</v>
      </c>
      <c r="AC18" s="99">
        <f t="shared" si="5"/>
        <v>533.19266929450293</v>
      </c>
      <c r="AD18" s="99">
        <f t="shared" si="6"/>
        <v>0.7244867611896284</v>
      </c>
      <c r="AE18" s="99"/>
    </row>
    <row r="19" spans="1:31" x14ac:dyDescent="0.25">
      <c r="A19" t="s">
        <v>202</v>
      </c>
      <c r="B19" t="s">
        <v>308</v>
      </c>
      <c r="C19" s="79">
        <f>VLOOKUP($A19,US_Results!$A$3:$I$53,2,FALSE)</f>
        <v>23731.611795719989</v>
      </c>
      <c r="D19" s="79">
        <f>VLOOKUP($A19,US_Results!$A$3:$I$53,3,FALSE)</f>
        <v>18719.011827273484</v>
      </c>
      <c r="E19" s="79">
        <f>VLOOKUP($A19,US_Results!$A$3:$I$53,4,FALSE)</f>
        <v>23000.855035762343</v>
      </c>
      <c r="F19" s="79">
        <f>VLOOKUP($A19,US_Results!$A$3:$I$53,5,FALSE)</f>
        <v>33287.010117534272</v>
      </c>
      <c r="G19" s="79">
        <f>VLOOKUP($A19,US_Results!$A$3:$I$53,6,FALSE)</f>
        <v>0</v>
      </c>
      <c r="H19" s="79">
        <f>VLOOKUP($A19,US_Results!$A$3:$I$53,7,FALSE)</f>
        <v>98738.488776290091</v>
      </c>
      <c r="I19" s="79">
        <v>0</v>
      </c>
      <c r="J19" s="79"/>
      <c r="O19" t="s">
        <v>202</v>
      </c>
      <c r="P19" t="s">
        <v>562</v>
      </c>
      <c r="Q19" s="99">
        <f>VLOOKUP(O19,US_Results!$A$3:$BP$53,67,FALSE)</f>
        <v>223.14153474271126</v>
      </c>
      <c r="R19" s="99">
        <f>VLOOKUP($O19,US_Results!$A$3:$BP$53,68,FALSE)</f>
        <v>-267.29767568202959</v>
      </c>
      <c r="S19" t="str">
        <f t="shared" si="0"/>
        <v>BEV better</v>
      </c>
      <c r="T19" s="99">
        <f t="shared" si="1"/>
        <v>44.241724893569938</v>
      </c>
      <c r="U19" s="99">
        <f t="shared" si="2"/>
        <v>23.151361334399212</v>
      </c>
      <c r="V19" s="99">
        <f t="shared" si="3"/>
        <v>21.090363559170726</v>
      </c>
      <c r="W19" s="10" t="s">
        <v>569</v>
      </c>
      <c r="X19" s="54">
        <f>US_Results!$BC$53/US_Results!$BM$56/'TCO Inputs'!$AZ$13</f>
        <v>0.22241753523302057</v>
      </c>
      <c r="Y19" s="54">
        <f>US_Results!$BC$53/US_Results!$BM$58/'TCO Inputs'!$AZ$13</f>
        <v>5.1791060939487842E-2</v>
      </c>
      <c r="Z19" s="196">
        <f>US_Results!$BC$53/US_Results!$BM$59/'TCO Inputs'!$AZ$13</f>
        <v>8.6930589981257314E-3</v>
      </c>
      <c r="AA19" s="54">
        <v>0.01</v>
      </c>
      <c r="AB19" s="99">
        <f t="shared" si="4"/>
        <v>0.79428005728280182</v>
      </c>
      <c r="AC19" s="99">
        <f t="shared" si="5"/>
        <v>490.43921042474085</v>
      </c>
      <c r="AD19" s="99">
        <f t="shared" si="6"/>
        <v>0.69483383971139678</v>
      </c>
      <c r="AE19" s="99"/>
    </row>
    <row r="20" spans="1:31" x14ac:dyDescent="0.25">
      <c r="A20" t="s">
        <v>201</v>
      </c>
      <c r="B20" t="s">
        <v>308</v>
      </c>
      <c r="C20" s="79">
        <f>VLOOKUP($A20,US_Results!$A$3:$I$53,2,FALSE)</f>
        <v>23731.611795719989</v>
      </c>
      <c r="D20" s="79">
        <f>VLOOKUP($A20,US_Results!$A$3:$I$53,3,FALSE)</f>
        <v>17927.602636829703</v>
      </c>
      <c r="E20" s="79">
        <f>VLOOKUP($A20,US_Results!$A$3:$I$53,4,FALSE)</f>
        <v>22351.238596279367</v>
      </c>
      <c r="F20" s="79">
        <f>VLOOKUP($A20,US_Results!$A$3:$I$53,5,FALSE)</f>
        <v>29211.225567795766</v>
      </c>
      <c r="G20" s="79">
        <f>VLOOKUP($A20,US_Results!$A$3:$I$53,6,FALSE)</f>
        <v>0</v>
      </c>
      <c r="H20" s="79">
        <f>VLOOKUP($A20,US_Results!$A$3:$I$53,7,FALSE)</f>
        <v>93221.678596624814</v>
      </c>
      <c r="I20" s="79">
        <v>0</v>
      </c>
      <c r="J20" s="79"/>
      <c r="O20" t="s">
        <v>201</v>
      </c>
      <c r="P20" t="s">
        <v>562</v>
      </c>
      <c r="Q20" s="99">
        <f>VLOOKUP(O20,US_Results!$A$3:$BP$53,67,FALSE)</f>
        <v>441.00189072307739</v>
      </c>
      <c r="R20" s="99">
        <f>VLOOKUP($O20,US_Results!$A$3:$BP$53,68,FALSE)</f>
        <v>-263.73337484819831</v>
      </c>
      <c r="S20" t="str">
        <f t="shared" si="0"/>
        <v>BEV better</v>
      </c>
      <c r="T20" s="99">
        <f t="shared" si="1"/>
        <v>35.915829669796686</v>
      </c>
      <c r="U20" s="99">
        <f t="shared" si="2"/>
        <v>22.761150454836894</v>
      </c>
      <c r="V20" s="99">
        <f t="shared" si="3"/>
        <v>13.154679214959792</v>
      </c>
      <c r="W20" s="10" t="s">
        <v>569</v>
      </c>
      <c r="X20" s="54">
        <f>US_Results!$BC$53/US_Results!$BM$56/'TCO Inputs'!$AZ$13</f>
        <v>0.22241753523302057</v>
      </c>
      <c r="Y20" s="54">
        <f>US_Results!$BC$53/US_Results!$BM$58/'TCO Inputs'!$AZ$13</f>
        <v>5.1791060939487842E-2</v>
      </c>
      <c r="Z20" s="196">
        <f>US_Results!$BC$53/US_Results!$BM$59/'TCO Inputs'!$AZ$13</f>
        <v>8.6930589981257314E-3</v>
      </c>
      <c r="AA20" s="54">
        <v>0.01</v>
      </c>
      <c r="AB20" s="99">
        <f t="shared" si="4"/>
        <v>0.62729489951761175</v>
      </c>
      <c r="AC20" s="99">
        <f t="shared" si="5"/>
        <v>704.7352655712757</v>
      </c>
      <c r="AD20" s="99">
        <f t="shared" si="6"/>
        <v>0.83291631917261566</v>
      </c>
      <c r="AE20" s="99"/>
    </row>
    <row r="21" spans="1:31" x14ac:dyDescent="0.25">
      <c r="A21" t="s">
        <v>204</v>
      </c>
      <c r="B21" t="s">
        <v>308</v>
      </c>
      <c r="C21" s="79">
        <f>VLOOKUP($A21,US_Results!$A$3:$I$53,2,FALSE)</f>
        <v>23731.611795719989</v>
      </c>
      <c r="D21" s="79">
        <f>VLOOKUP($A21,US_Results!$A$3:$I$53,3,FALSE)</f>
        <v>19201.145410626566</v>
      </c>
      <c r="E21" s="79">
        <f>VLOOKUP($A21,US_Results!$A$3:$I$53,4,FALSE)</f>
        <v>24393.864566097251</v>
      </c>
      <c r="F21" s="79">
        <f>VLOOKUP($A21,US_Results!$A$3:$I$53,5,FALSE)</f>
        <v>40748.027307063589</v>
      </c>
      <c r="G21" s="79">
        <f>VLOOKUP($A21,US_Results!$A$3:$I$53,6,FALSE)</f>
        <v>0</v>
      </c>
      <c r="H21" s="79">
        <f>VLOOKUP($A21,US_Results!$A$3:$I$53,7,FALSE)</f>
        <v>108074.64907950739</v>
      </c>
      <c r="I21" s="79">
        <v>0</v>
      </c>
      <c r="J21" s="79"/>
      <c r="O21" t="s">
        <v>204</v>
      </c>
      <c r="P21" t="s">
        <v>562</v>
      </c>
      <c r="Q21" s="99">
        <f>VLOOKUP(O21,US_Results!$A$3:$BP$53,67,FALSE)</f>
        <v>378.3432034746304</v>
      </c>
      <c r="R21" s="99">
        <f>VLOOKUP($O21,US_Results!$A$3:$BP$53,68,FALSE)</f>
        <v>-245.39690149589691</v>
      </c>
      <c r="S21" t="str">
        <f t="shared" si="0"/>
        <v>BEV better</v>
      </c>
      <c r="T21" s="99">
        <f t="shared" si="1"/>
        <v>36.284091532327075</v>
      </c>
      <c r="U21" s="99">
        <f t="shared" si="2"/>
        <v>25.152967804044103</v>
      </c>
      <c r="V21" s="99">
        <f t="shared" si="3"/>
        <v>11.131123728282972</v>
      </c>
      <c r="W21" s="10" t="s">
        <v>569</v>
      </c>
      <c r="X21" s="54">
        <f>US_Results!$BC$53/US_Results!$BM$56/'TCO Inputs'!$AZ$13</f>
        <v>0.22241753523302057</v>
      </c>
      <c r="Y21" s="54">
        <f>US_Results!$BC$53/US_Results!$BM$58/'TCO Inputs'!$AZ$13</f>
        <v>5.1791060939487842E-2</v>
      </c>
      <c r="Z21" s="196">
        <f>US_Results!$BC$53/US_Results!$BM$59/'TCO Inputs'!$AZ$13</f>
        <v>8.6930589981257314E-3</v>
      </c>
      <c r="AA21" s="54">
        <v>0.01</v>
      </c>
      <c r="AB21" s="99">
        <f t="shared" si="4"/>
        <v>0.57703363729730395</v>
      </c>
      <c r="AC21" s="99">
        <f t="shared" si="5"/>
        <v>623.74010497052734</v>
      </c>
      <c r="AD21" s="99">
        <f t="shared" si="6"/>
        <v>0.78359237892035905</v>
      </c>
      <c r="AE21" s="99"/>
    </row>
    <row r="22" spans="1:31" x14ac:dyDescent="0.25">
      <c r="A22" t="s">
        <v>205</v>
      </c>
      <c r="B22" t="s">
        <v>308</v>
      </c>
      <c r="C22" s="79">
        <f>VLOOKUP($A22,US_Results!$A$3:$I$53,2,FALSE)</f>
        <v>23731.611795719989</v>
      </c>
      <c r="D22" s="79">
        <f>VLOOKUP($A22,US_Results!$A$3:$I$53,3,FALSE)</f>
        <v>24353.969361789608</v>
      </c>
      <c r="E22" s="79">
        <f>VLOOKUP($A22,US_Results!$A$3:$I$53,4,FALSE)</f>
        <v>30535.382715750024</v>
      </c>
      <c r="F22" s="79">
        <f>VLOOKUP($A22,US_Results!$A$3:$I$53,5,FALSE)</f>
        <v>27561.868365910825</v>
      </c>
      <c r="G22" s="79">
        <f>VLOOKUP($A22,US_Results!$A$3:$I$53,6,FALSE)</f>
        <v>0</v>
      </c>
      <c r="H22" s="79">
        <f>VLOOKUP($A22,US_Results!$A$3:$I$53,7,FALSE)</f>
        <v>106182.83223917044</v>
      </c>
      <c r="I22" s="79">
        <v>0</v>
      </c>
      <c r="J22" s="79"/>
      <c r="O22" t="s">
        <v>205</v>
      </c>
      <c r="P22" t="s">
        <v>562</v>
      </c>
      <c r="Q22" s="99">
        <f>VLOOKUP(O22,US_Results!$A$3:$BP$53,67,FALSE)</f>
        <v>90.159768895768238</v>
      </c>
      <c r="R22" s="99">
        <f>VLOOKUP($O22,US_Results!$A$3:$BP$53,68,FALSE)</f>
        <v>-288.52545975040385</v>
      </c>
      <c r="S22" t="str">
        <f t="shared" si="0"/>
        <v>BEV better</v>
      </c>
      <c r="T22" s="99">
        <f t="shared" si="1"/>
        <v>51.387883553801224</v>
      </c>
      <c r="U22" s="99">
        <f t="shared" si="2"/>
        <v>31.905831204606777</v>
      </c>
      <c r="V22" s="99">
        <f t="shared" si="3"/>
        <v>19.482052349194447</v>
      </c>
      <c r="W22" s="10" t="s">
        <v>569</v>
      </c>
      <c r="X22" s="54">
        <f>US_Results!$BC$53/US_Results!$BM$56/'TCO Inputs'!$AZ$13</f>
        <v>0.22241753523302057</v>
      </c>
      <c r="Y22" s="54">
        <f>US_Results!$BC$53/US_Results!$BM$58/'TCO Inputs'!$AZ$13</f>
        <v>5.1791060939487842E-2</v>
      </c>
      <c r="Z22" s="196">
        <f>US_Results!$BC$53/US_Results!$BM$59/'TCO Inputs'!$AZ$13</f>
        <v>8.6930589981257314E-3</v>
      </c>
      <c r="AA22" s="54">
        <v>0.01</v>
      </c>
      <c r="AB22" s="99">
        <f t="shared" si="4"/>
        <v>0.76339441500467686</v>
      </c>
      <c r="AC22" s="99">
        <f t="shared" si="5"/>
        <v>378.68522864617211</v>
      </c>
      <c r="AD22" s="99">
        <f t="shared" si="6"/>
        <v>0.61055887916886742</v>
      </c>
      <c r="AE22" s="99"/>
    </row>
    <row r="23" spans="1:31" x14ac:dyDescent="0.25">
      <c r="A23" t="s">
        <v>207</v>
      </c>
      <c r="B23" t="s">
        <v>308</v>
      </c>
      <c r="C23" s="79">
        <f>VLOOKUP($A23,US_Results!$A$3:$I$53,2,FALSE)</f>
        <v>23731.611795719989</v>
      </c>
      <c r="D23" s="79">
        <f>VLOOKUP($A23,US_Results!$A$3:$I$53,3,FALSE)</f>
        <v>23760.574596648941</v>
      </c>
      <c r="E23" s="79">
        <f>VLOOKUP($A23,US_Results!$A$3:$I$53,4,FALSE)</f>
        <v>34042.629476948183</v>
      </c>
      <c r="F23" s="79">
        <f>VLOOKUP($A23,US_Results!$A$3:$I$53,5,FALSE)</f>
        <v>31849.50744360749</v>
      </c>
      <c r="G23" s="79">
        <f>VLOOKUP($A23,US_Results!$A$3:$I$53,6,FALSE)</f>
        <v>0</v>
      </c>
      <c r="H23" s="79">
        <f>VLOOKUP($A23,US_Results!$A$3:$I$53,7,FALSE)</f>
        <v>113384.32331292461</v>
      </c>
      <c r="I23" s="79">
        <v>0</v>
      </c>
      <c r="J23" s="79"/>
      <c r="O23" t="s">
        <v>207</v>
      </c>
      <c r="P23" t="s">
        <v>562</v>
      </c>
      <c r="Q23" s="99">
        <f>VLOOKUP(O23,US_Results!$A$3:$BP$53,67,FALSE)</f>
        <v>195.28022872047123</v>
      </c>
      <c r="R23" s="99">
        <f>VLOOKUP($O23,US_Results!$A$3:$BP$53,68,FALSE)</f>
        <v>-268.15011098079606</v>
      </c>
      <c r="S23" t="str">
        <f t="shared" si="0"/>
        <v>BEV better</v>
      </c>
      <c r="T23" s="99">
        <f t="shared" si="1"/>
        <v>52.118859407260089</v>
      </c>
      <c r="U23" s="99">
        <f t="shared" si="2"/>
        <v>33.863819160724447</v>
      </c>
      <c r="V23" s="99">
        <f t="shared" si="3"/>
        <v>18.255040246535643</v>
      </c>
      <c r="W23" s="10" t="s">
        <v>569</v>
      </c>
      <c r="X23" s="54">
        <f>US_Results!$BC$53/US_Results!$BM$56/'TCO Inputs'!$AZ$13</f>
        <v>0.22241753523302057</v>
      </c>
      <c r="Y23" s="54">
        <f>US_Results!$BC$53/US_Results!$BM$58/'TCO Inputs'!$AZ$13</f>
        <v>5.1791060939487842E-2</v>
      </c>
      <c r="Z23" s="196">
        <f>US_Results!$BC$53/US_Results!$BM$59/'TCO Inputs'!$AZ$13</f>
        <v>8.6930589981257314E-3</v>
      </c>
      <c r="AA23" s="54">
        <v>0.01</v>
      </c>
      <c r="AB23" s="99">
        <f t="shared" si="4"/>
        <v>0.73896355976126449</v>
      </c>
      <c r="AC23" s="99">
        <f t="shared" si="5"/>
        <v>463.43033970126726</v>
      </c>
      <c r="AD23" s="99">
        <f t="shared" si="6"/>
        <v>0.67543039480791944</v>
      </c>
      <c r="AE23" s="99"/>
    </row>
    <row r="24" spans="1:31" x14ac:dyDescent="0.25">
      <c r="A24" t="s">
        <v>206</v>
      </c>
      <c r="B24" t="s">
        <v>308</v>
      </c>
      <c r="C24" s="79">
        <f>VLOOKUP($A24,US_Results!$A$3:$I$53,2,FALSE)</f>
        <v>23731.611795719989</v>
      </c>
      <c r="D24" s="79">
        <f>VLOOKUP($A24,US_Results!$A$3:$I$53,3,FALSE)</f>
        <v>24362.363719330016</v>
      </c>
      <c r="E24" s="79">
        <f>VLOOKUP($A24,US_Results!$A$3:$I$53,4,FALSE)</f>
        <v>31578.861090982547</v>
      </c>
      <c r="F24" s="79">
        <f>VLOOKUP($A24,US_Results!$A$3:$I$53,5,FALSE)</f>
        <v>30641.492151670249</v>
      </c>
      <c r="G24" s="79">
        <f>VLOOKUP($A24,US_Results!$A$3:$I$53,6,FALSE)</f>
        <v>0</v>
      </c>
      <c r="H24" s="79">
        <f>VLOOKUP($A24,US_Results!$A$3:$I$53,7,FALSE)</f>
        <v>110314.32875770279</v>
      </c>
      <c r="I24" s="79">
        <v>0</v>
      </c>
      <c r="J24" s="79"/>
      <c r="O24" t="s">
        <v>206</v>
      </c>
      <c r="P24" t="s">
        <v>562</v>
      </c>
      <c r="Q24" s="99">
        <f>VLOOKUP(O24,US_Results!$A$3:$BP$53,67,FALSE)</f>
        <v>142.00985094957306</v>
      </c>
      <c r="R24" s="99">
        <f>VLOOKUP($O24,US_Results!$A$3:$BP$53,68,FALSE)</f>
        <v>-287.1753850272259</v>
      </c>
      <c r="S24" t="str">
        <f t="shared" si="0"/>
        <v>HEV better</v>
      </c>
      <c r="T24" s="99">
        <f t="shared" si="1"/>
        <v>30.084231583876544</v>
      </c>
      <c r="U24" s="99">
        <f t="shared" si="2"/>
        <v>31.909666257657861</v>
      </c>
      <c r="V24" s="99">
        <f t="shared" si="3"/>
        <v>-1.8254346737813165</v>
      </c>
      <c r="W24" s="10" t="s">
        <v>569</v>
      </c>
      <c r="X24" s="54">
        <f>US_Results!$BC$53/US_Results!$BM$56/'TCO Inputs'!$AZ$13</f>
        <v>0.22241753523302057</v>
      </c>
      <c r="Y24" s="54">
        <f>US_Results!$BC$53/US_Results!$BM$58/'TCO Inputs'!$AZ$13</f>
        <v>5.1791060939487842E-2</v>
      </c>
      <c r="Z24" s="196">
        <f>US_Results!$BC$53/US_Results!$BM$59/'TCO Inputs'!$AZ$13</f>
        <v>8.6930589981257314E-3</v>
      </c>
      <c r="AA24" s="54">
        <v>0.01</v>
      </c>
      <c r="AB24" s="99">
        <f t="shared" si="4"/>
        <v>-0.31422239977868233</v>
      </c>
      <c r="AC24" s="99">
        <f t="shared" si="5"/>
        <v>429.18523597679894</v>
      </c>
      <c r="AD24" s="99">
        <f t="shared" si="6"/>
        <v>0.64999610744664982</v>
      </c>
      <c r="AE24" s="99"/>
    </row>
    <row r="25" spans="1:31" x14ac:dyDescent="0.25">
      <c r="A25" t="s">
        <v>208</v>
      </c>
      <c r="B25" t="s">
        <v>308</v>
      </c>
      <c r="C25" s="79">
        <f>VLOOKUP($A25,US_Results!$A$3:$I$53,2,FALSE)</f>
        <v>23731.611795719989</v>
      </c>
      <c r="D25" s="79">
        <f>VLOOKUP($A25,US_Results!$A$3:$I$53,3,FALSE)</f>
        <v>22944.460632832452</v>
      </c>
      <c r="E25" s="79">
        <f>VLOOKUP($A25,US_Results!$A$3:$I$53,4,FALSE)</f>
        <v>27075.876795248783</v>
      </c>
      <c r="F25" s="79">
        <f>VLOOKUP($A25,US_Results!$A$3:$I$53,5,FALSE)</f>
        <v>28807.003623712088</v>
      </c>
      <c r="G25" s="79">
        <f>VLOOKUP($A25,US_Results!$A$3:$I$53,6,FALSE)</f>
        <v>0</v>
      </c>
      <c r="H25" s="79">
        <f>VLOOKUP($A25,US_Results!$A$3:$I$53,7,FALSE)</f>
        <v>102558.95284751331</v>
      </c>
      <c r="I25" s="79">
        <v>0</v>
      </c>
      <c r="J25" s="79"/>
      <c r="O25" t="s">
        <v>208</v>
      </c>
      <c r="P25" t="s">
        <v>562</v>
      </c>
      <c r="Q25" s="99">
        <f>VLOOKUP(O25,US_Results!$A$3:$BP$53,67,FALSE)</f>
        <v>150.89201464622192</v>
      </c>
      <c r="R25" s="99">
        <f>VLOOKUP($O25,US_Results!$A$3:$BP$53,68,FALSE)</f>
        <v>-296.4422205578224</v>
      </c>
      <c r="S25" t="str">
        <f t="shared" si="0"/>
        <v>BEV better</v>
      </c>
      <c r="T25" s="99">
        <f t="shared" si="1"/>
        <v>35.403628908327704</v>
      </c>
      <c r="U25" s="99">
        <f t="shared" si="2"/>
        <v>28.104750434500218</v>
      </c>
      <c r="V25" s="99">
        <f t="shared" si="3"/>
        <v>7.2988784738274859</v>
      </c>
      <c r="W25" s="10" t="s">
        <v>569</v>
      </c>
      <c r="X25" s="54">
        <f>US_Results!$BC$53/US_Results!$BM$56/'TCO Inputs'!$AZ$13</f>
        <v>0.22241753523302057</v>
      </c>
      <c r="Y25" s="54">
        <f>US_Results!$BC$53/US_Results!$BM$58/'TCO Inputs'!$AZ$13</f>
        <v>5.1791060939487842E-2</v>
      </c>
      <c r="Z25" s="196">
        <f>US_Results!$BC$53/US_Results!$BM$59/'TCO Inputs'!$AZ$13</f>
        <v>8.6930589981257314E-3</v>
      </c>
      <c r="AA25" s="54">
        <v>0.01</v>
      </c>
      <c r="AB25" s="99">
        <f t="shared" si="4"/>
        <v>0.46726116956471891</v>
      </c>
      <c r="AC25" s="99">
        <f t="shared" si="5"/>
        <v>447.33423520404432</v>
      </c>
      <c r="AD25" s="99">
        <f t="shared" si="6"/>
        <v>0.66359703562592487</v>
      </c>
      <c r="AE25" s="99"/>
    </row>
    <row r="26" spans="1:31" x14ac:dyDescent="0.25">
      <c r="A26" t="s">
        <v>211</v>
      </c>
      <c r="B26" t="s">
        <v>308</v>
      </c>
      <c r="C26" s="79">
        <f>VLOOKUP($A26,US_Results!$A$3:$I$53,2,FALSE)</f>
        <v>23731.611795719989</v>
      </c>
      <c r="D26" s="79">
        <f>VLOOKUP($A26,US_Results!$A$3:$I$53,3,FALSE)</f>
        <v>19754.715480857769</v>
      </c>
      <c r="E26" s="79">
        <f>VLOOKUP($A26,US_Results!$A$3:$I$53,4,FALSE)</f>
        <v>25312.875749512812</v>
      </c>
      <c r="F26" s="79">
        <f>VLOOKUP($A26,US_Results!$A$3:$I$53,5,FALSE)</f>
        <v>33977.562027481974</v>
      </c>
      <c r="G26" s="79">
        <f>VLOOKUP($A26,US_Results!$A$3:$I$53,6,FALSE)</f>
        <v>0</v>
      </c>
      <c r="H26" s="79">
        <f>VLOOKUP($A26,US_Results!$A$3:$I$53,7,FALSE)</f>
        <v>102776.76505357254</v>
      </c>
      <c r="I26" s="79">
        <v>0</v>
      </c>
      <c r="J26" s="79"/>
      <c r="O26" t="s">
        <v>211</v>
      </c>
      <c r="P26" t="s">
        <v>562</v>
      </c>
      <c r="Q26" s="99">
        <f>VLOOKUP(O26,US_Results!$A$3:$BP$53,67,FALSE)</f>
        <v>227.73030113329324</v>
      </c>
      <c r="R26" s="99">
        <f>VLOOKUP($O26,US_Results!$A$3:$BP$53,68,FALSE)</f>
        <v>-260.64164963599507</v>
      </c>
      <c r="S26" t="str">
        <f t="shared" si="0"/>
        <v>BEV better</v>
      </c>
      <c r="T26" s="99">
        <f t="shared" si="1"/>
        <v>35.050039407871161</v>
      </c>
      <c r="U26" s="99">
        <f t="shared" si="2"/>
        <v>25.876633377711578</v>
      </c>
      <c r="V26" s="99">
        <f t="shared" si="3"/>
        <v>9.1734060301595832</v>
      </c>
      <c r="W26" s="10" t="s">
        <v>569</v>
      </c>
      <c r="X26" s="54">
        <f>US_Results!$BC$53/US_Results!$BM$56/'TCO Inputs'!$AZ$13</f>
        <v>0.22241753523302057</v>
      </c>
      <c r="Y26" s="54">
        <f>US_Results!$BC$53/US_Results!$BM$58/'TCO Inputs'!$AZ$13</f>
        <v>5.1791060939487842E-2</v>
      </c>
      <c r="Z26" s="196">
        <f>US_Results!$BC$53/US_Results!$BM$59/'TCO Inputs'!$AZ$13</f>
        <v>8.6930589981257314E-3</v>
      </c>
      <c r="AA26" s="54">
        <v>0.01</v>
      </c>
      <c r="AB26" s="99">
        <f t="shared" si="4"/>
        <v>0.52383792037792187</v>
      </c>
      <c r="AC26" s="99">
        <f t="shared" si="5"/>
        <v>488.37195076928833</v>
      </c>
      <c r="AD26" s="99">
        <f t="shared" si="6"/>
        <v>0.69336788961669416</v>
      </c>
      <c r="AE26" s="99"/>
    </row>
    <row r="27" spans="1:31" x14ac:dyDescent="0.25">
      <c r="A27" t="s">
        <v>215</v>
      </c>
      <c r="B27" t="s">
        <v>308</v>
      </c>
      <c r="C27" s="79">
        <f>VLOOKUP($A27,US_Results!$A$3:$I$53,2,FALSE)</f>
        <v>23731.611795719989</v>
      </c>
      <c r="D27" s="79">
        <f>VLOOKUP($A27,US_Results!$A$3:$I$53,3,FALSE)</f>
        <v>24837.224925723975</v>
      </c>
      <c r="E27" s="79">
        <f>VLOOKUP($A27,US_Results!$A$3:$I$53,4,FALSE)</f>
        <v>23897.70082885434</v>
      </c>
      <c r="F27" s="79">
        <f>VLOOKUP($A27,US_Results!$A$3:$I$53,5,FALSE)</f>
        <v>38055.044667272785</v>
      </c>
      <c r="G27" s="79">
        <f>VLOOKUP($A27,US_Results!$A$3:$I$53,6,FALSE)</f>
        <v>0</v>
      </c>
      <c r="H27" s="79">
        <f>VLOOKUP($A27,US_Results!$A$3:$I$53,7,FALSE)</f>
        <v>110521.58221757109</v>
      </c>
      <c r="I27" s="79">
        <v>0</v>
      </c>
      <c r="J27" s="79"/>
      <c r="O27" t="s">
        <v>215</v>
      </c>
      <c r="P27" t="s">
        <v>562</v>
      </c>
      <c r="Q27" s="99">
        <f>VLOOKUP(O27,US_Results!$A$3:$BP$53,67,FALSE)</f>
        <v>110.79580469129853</v>
      </c>
      <c r="R27" s="99">
        <f>VLOOKUP($O27,US_Results!$A$3:$BP$53,68,FALSE)</f>
        <v>-347.05745600379845</v>
      </c>
      <c r="S27" t="str">
        <f t="shared" si="0"/>
        <v>BEV better</v>
      </c>
      <c r="T27" s="99">
        <f t="shared" si="1"/>
        <v>41.348202355883274</v>
      </c>
      <c r="U27" s="99">
        <f t="shared" si="2"/>
        <v>24.242007963786868</v>
      </c>
      <c r="V27" s="99">
        <f t="shared" si="3"/>
        <v>17.106194392096405</v>
      </c>
      <c r="W27" s="10" t="s">
        <v>569</v>
      </c>
      <c r="X27" s="54">
        <f>US_Results!$BC$53/US_Results!$BM$56/'TCO Inputs'!$AZ$13</f>
        <v>0.22241753523302057</v>
      </c>
      <c r="Y27" s="54">
        <f>US_Results!$BC$53/US_Results!$BM$58/'TCO Inputs'!$AZ$13</f>
        <v>5.1791060939487842E-2</v>
      </c>
      <c r="Z27" s="196">
        <f>US_Results!$BC$53/US_Results!$BM$59/'TCO Inputs'!$AZ$13</f>
        <v>8.6930589981257314E-3</v>
      </c>
      <c r="AA27" s="54">
        <v>0.01</v>
      </c>
      <c r="AB27" s="99">
        <f t="shared" si="4"/>
        <v>0.71533310918079762</v>
      </c>
      <c r="AC27" s="99">
        <f t="shared" si="5"/>
        <v>457.85326069509699</v>
      </c>
      <c r="AD27" s="99">
        <f t="shared" si="6"/>
        <v>0.67135391320048377</v>
      </c>
      <c r="AE27" s="99"/>
    </row>
    <row r="28" spans="1:31" x14ac:dyDescent="0.25">
      <c r="A28" t="s">
        <v>212</v>
      </c>
      <c r="B28" t="s">
        <v>308</v>
      </c>
      <c r="C28" s="79">
        <f>VLOOKUP($A28,US_Results!$A$3:$I$53,2,FALSE)</f>
        <v>23731.611795719989</v>
      </c>
      <c r="D28" s="79">
        <f>VLOOKUP($A28,US_Results!$A$3:$I$53,3,FALSE)</f>
        <v>16020.114759342798</v>
      </c>
      <c r="E28" s="79">
        <f>VLOOKUP($A28,US_Results!$A$3:$I$53,4,FALSE)</f>
        <v>19727.19738797408</v>
      </c>
      <c r="F28" s="79">
        <f>VLOOKUP($A28,US_Results!$A$3:$I$53,5,FALSE)</f>
        <v>22506.589108109558</v>
      </c>
      <c r="G28" s="79">
        <f>VLOOKUP($A28,US_Results!$A$3:$I$53,6,FALSE)</f>
        <v>0</v>
      </c>
      <c r="H28" s="79">
        <f>VLOOKUP($A28,US_Results!$A$3:$I$53,7,FALSE)</f>
        <v>81985.513051146423</v>
      </c>
      <c r="I28" s="79">
        <v>0</v>
      </c>
      <c r="J28" s="79"/>
      <c r="O28" t="s">
        <v>212</v>
      </c>
      <c r="P28" t="s">
        <v>562</v>
      </c>
      <c r="Q28" s="99">
        <f>VLOOKUP(O28,US_Results!$A$3:$BP$53,67,FALSE)</f>
        <v>381.61765134952111</v>
      </c>
      <c r="R28" s="99">
        <f>VLOOKUP($O28,US_Results!$A$3:$BP$53,68,FALSE)</f>
        <v>-262.48129633287198</v>
      </c>
      <c r="S28" t="str">
        <f t="shared" si="0"/>
        <v>BEV better</v>
      </c>
      <c r="T28" s="99">
        <f t="shared" si="1"/>
        <v>43.888643310146804</v>
      </c>
      <c r="U28" s="99">
        <f t="shared" si="2"/>
        <v>20.341080414677464</v>
      </c>
      <c r="V28" s="99">
        <f t="shared" si="3"/>
        <v>23.547562895469341</v>
      </c>
      <c r="W28" s="10" t="s">
        <v>569</v>
      </c>
      <c r="X28" s="54">
        <f>US_Results!$BC$53/US_Results!$BM$56/'TCO Inputs'!$AZ$13</f>
        <v>0.22241753523302057</v>
      </c>
      <c r="Y28" s="54">
        <f>US_Results!$BC$53/US_Results!$BM$58/'TCO Inputs'!$AZ$13</f>
        <v>5.1791060939487842E-2</v>
      </c>
      <c r="Z28" s="196">
        <f>US_Results!$BC$53/US_Results!$BM$59/'TCO Inputs'!$AZ$13</f>
        <v>8.6930589981257314E-3</v>
      </c>
      <c r="AA28" s="54">
        <v>0.01</v>
      </c>
      <c r="AB28" s="99">
        <f t="shared" si="4"/>
        <v>0.83927562112695986</v>
      </c>
      <c r="AC28" s="99">
        <f t="shared" si="5"/>
        <v>644.09894768239315</v>
      </c>
      <c r="AD28" s="99">
        <f t="shared" si="6"/>
        <v>0.79627790245284336</v>
      </c>
      <c r="AE28" s="99"/>
    </row>
    <row r="29" spans="1:31" x14ac:dyDescent="0.25">
      <c r="A29" t="s">
        <v>213</v>
      </c>
      <c r="B29" t="s">
        <v>308</v>
      </c>
      <c r="C29" s="79">
        <f>VLOOKUP($A29,US_Results!$A$3:$I$53,2,FALSE)</f>
        <v>23731.611795719989</v>
      </c>
      <c r="D29" s="79">
        <f>VLOOKUP($A29,US_Results!$A$3:$I$53,3,FALSE)</f>
        <v>17065.914706884349</v>
      </c>
      <c r="E29" s="79">
        <f>VLOOKUP($A29,US_Results!$A$3:$I$53,4,FALSE)</f>
        <v>20908.783195222659</v>
      </c>
      <c r="F29" s="79">
        <f>VLOOKUP($A29,US_Results!$A$3:$I$53,5,FALSE)</f>
        <v>37606.466667272784</v>
      </c>
      <c r="G29" s="79">
        <f>VLOOKUP($A29,US_Results!$A$3:$I$53,6,FALSE)</f>
        <v>0</v>
      </c>
      <c r="H29" s="79">
        <f>VLOOKUP($A29,US_Results!$A$3:$I$53,7,FALSE)</f>
        <v>99312.776365099766</v>
      </c>
      <c r="I29" s="79">
        <v>0</v>
      </c>
      <c r="J29" s="79"/>
      <c r="O29" t="s">
        <v>213</v>
      </c>
      <c r="P29" t="s">
        <v>562</v>
      </c>
      <c r="Q29" s="99">
        <f>VLOOKUP(O29,US_Results!$A$3:$BP$53,67,FALSE)</f>
        <v>269.33375902689022</v>
      </c>
      <c r="R29" s="99">
        <f>VLOOKUP($O29,US_Results!$A$3:$BP$53,68,FALSE)</f>
        <v>-246.43747731341259</v>
      </c>
      <c r="S29" t="str">
        <f t="shared" si="0"/>
        <v>BEV better</v>
      </c>
      <c r="T29" s="99">
        <f t="shared" si="1"/>
        <v>40.34715476615338</v>
      </c>
      <c r="U29" s="99">
        <f t="shared" si="2"/>
        <v>21.107260266900056</v>
      </c>
      <c r="V29" s="99">
        <f t="shared" si="3"/>
        <v>19.239894499253325</v>
      </c>
      <c r="W29" s="10" t="s">
        <v>569</v>
      </c>
      <c r="X29" s="54">
        <f>US_Results!$BC$53/US_Results!$BM$56/'TCO Inputs'!$AZ$13</f>
        <v>0.22241753523302057</v>
      </c>
      <c r="Y29" s="54">
        <f>US_Results!$BC$53/US_Results!$BM$58/'TCO Inputs'!$AZ$13</f>
        <v>5.1791060939487842E-2</v>
      </c>
      <c r="Z29" s="196">
        <f>US_Results!$BC$53/US_Results!$BM$59/'TCO Inputs'!$AZ$13</f>
        <v>8.6930589981257314E-3</v>
      </c>
      <c r="AA29" s="54">
        <v>0.01</v>
      </c>
      <c r="AB29" s="99">
        <f t="shared" si="4"/>
        <v>0.75863516290262412</v>
      </c>
      <c r="AC29" s="99">
        <f t="shared" si="5"/>
        <v>515.77123634030283</v>
      </c>
      <c r="AD29" s="99">
        <f t="shared" si="6"/>
        <v>0.71255259865321574</v>
      </c>
      <c r="AE29" s="99"/>
    </row>
    <row r="30" spans="1:31" x14ac:dyDescent="0.25">
      <c r="A30" t="s">
        <v>214</v>
      </c>
      <c r="B30" t="s">
        <v>308</v>
      </c>
      <c r="C30" s="79">
        <f>VLOOKUP($A30,US_Results!$A$3:$I$53,2,FALSE)</f>
        <v>23731.611795719989</v>
      </c>
      <c r="D30" s="79">
        <f>VLOOKUP($A30,US_Results!$A$3:$I$53,3,FALSE)</f>
        <v>23088.668303807346</v>
      </c>
      <c r="E30" s="79">
        <f>VLOOKUP($A30,US_Results!$A$3:$I$53,4,FALSE)</f>
        <v>32663.260186812404</v>
      </c>
      <c r="F30" s="79">
        <f>VLOOKUP($A30,US_Results!$A$3:$I$53,5,FALSE)</f>
        <v>28256.599803816684</v>
      </c>
      <c r="G30" s="79">
        <f>VLOOKUP($A30,US_Results!$A$3:$I$53,6,FALSE)</f>
        <v>0</v>
      </c>
      <c r="H30" s="79">
        <f>VLOOKUP($A30,US_Results!$A$3:$I$53,7,FALSE)</f>
        <v>107740.14009015642</v>
      </c>
      <c r="I30" s="79">
        <v>0</v>
      </c>
      <c r="J30" s="79"/>
      <c r="O30" t="s">
        <v>214</v>
      </c>
      <c r="P30" t="s">
        <v>562</v>
      </c>
      <c r="Q30" s="99">
        <f>VLOOKUP(O30,US_Results!$A$3:$BP$53,67,FALSE)</f>
        <v>70.330800546578843</v>
      </c>
      <c r="R30" s="99">
        <f>VLOOKUP($O30,US_Results!$A$3:$BP$53,68,FALSE)</f>
        <v>-269.28120025612003</v>
      </c>
      <c r="S30" t="str">
        <f t="shared" si="0"/>
        <v>BEV better</v>
      </c>
      <c r="T30" s="99">
        <f t="shared" si="1"/>
        <v>54.284312385816563</v>
      </c>
      <c r="U30" s="99">
        <f t="shared" si="2"/>
        <v>32.909100640333449</v>
      </c>
      <c r="V30" s="99">
        <f t="shared" si="3"/>
        <v>21.375211745483114</v>
      </c>
      <c r="W30" s="10" t="s">
        <v>569</v>
      </c>
      <c r="X30" s="54">
        <f>US_Results!$BC$53/US_Results!$BM$56/'TCO Inputs'!$AZ$13</f>
        <v>0.22241753523302057</v>
      </c>
      <c r="Y30" s="54">
        <f>US_Results!$BC$53/US_Results!$BM$58/'TCO Inputs'!$AZ$13</f>
        <v>5.1791060939487842E-2</v>
      </c>
      <c r="Z30" s="196">
        <f>US_Results!$BC$53/US_Results!$BM$59/'TCO Inputs'!$AZ$13</f>
        <v>8.6930589981257314E-3</v>
      </c>
      <c r="AA30" s="54">
        <v>0.01</v>
      </c>
      <c r="AB30" s="99">
        <f t="shared" si="4"/>
        <v>0.79962587348128567</v>
      </c>
      <c r="AC30" s="99">
        <f t="shared" si="5"/>
        <v>339.61200080269884</v>
      </c>
      <c r="AD30" s="99">
        <f t="shared" si="6"/>
        <v>0.57820239089898107</v>
      </c>
      <c r="AE30" s="99"/>
    </row>
    <row r="31" spans="1:31" x14ac:dyDescent="0.25">
      <c r="A31" t="s">
        <v>216</v>
      </c>
      <c r="B31" t="s">
        <v>308</v>
      </c>
      <c r="C31" s="79">
        <f>VLOOKUP($A31,US_Results!$A$3:$I$53,2,FALSE)</f>
        <v>23731.611795719989</v>
      </c>
      <c r="D31" s="79">
        <f>VLOOKUP($A31,US_Results!$A$3:$I$53,3,FALSE)</f>
        <v>14381.621124210398</v>
      </c>
      <c r="E31" s="79">
        <f>VLOOKUP($A31,US_Results!$A$3:$I$53,4,FALSE)</f>
        <v>17335.040263053805</v>
      </c>
      <c r="F31" s="79">
        <f>VLOOKUP($A31,US_Results!$A$3:$I$53,5,FALSE)</f>
        <v>37375.620813241403</v>
      </c>
      <c r="G31" s="79">
        <f>VLOOKUP($A31,US_Results!$A$3:$I$53,6,FALSE)</f>
        <v>0</v>
      </c>
      <c r="H31" s="79">
        <f>VLOOKUP($A31,US_Results!$A$3:$I$53,7,FALSE)</f>
        <v>92823.893996225597</v>
      </c>
      <c r="I31" s="79">
        <v>0</v>
      </c>
      <c r="J31" s="79"/>
      <c r="O31" t="s">
        <v>216</v>
      </c>
      <c r="P31" t="s">
        <v>562</v>
      </c>
      <c r="Q31" s="99">
        <f>VLOOKUP(O31,US_Results!$A$3:$BP$53,67,FALSE)</f>
        <v>401.51682284756203</v>
      </c>
      <c r="R31" s="99">
        <f>VLOOKUP($O31,US_Results!$A$3:$BP$53,68,FALSE)</f>
        <v>-218.6693718466079</v>
      </c>
      <c r="S31" t="str">
        <f t="shared" si="0"/>
        <v>BEV better</v>
      </c>
      <c r="T31" s="99">
        <f t="shared" si="1"/>
        <v>34.265574861259665</v>
      </c>
      <c r="U31" s="99">
        <f t="shared" si="2"/>
        <v>17.789280592325888</v>
      </c>
      <c r="V31" s="99">
        <f t="shared" si="3"/>
        <v>16.476294268933778</v>
      </c>
      <c r="W31" s="10" t="s">
        <v>569</v>
      </c>
      <c r="X31" s="54">
        <f>US_Results!$BC$53/US_Results!$BM$56/'TCO Inputs'!$AZ$13</f>
        <v>0.22241753523302057</v>
      </c>
      <c r="Y31" s="54">
        <f>US_Results!$BC$53/US_Results!$BM$58/'TCO Inputs'!$AZ$13</f>
        <v>5.1791060939487842E-2</v>
      </c>
      <c r="Z31" s="196">
        <f>US_Results!$BC$53/US_Results!$BM$59/'TCO Inputs'!$AZ$13</f>
        <v>8.6930589981257314E-3</v>
      </c>
      <c r="AA31" s="54">
        <v>0.01</v>
      </c>
      <c r="AB31" s="99">
        <f t="shared" si="4"/>
        <v>0.70203925275834833</v>
      </c>
      <c r="AC31" s="99">
        <f t="shared" si="5"/>
        <v>620.1861946941699</v>
      </c>
      <c r="AD31" s="99">
        <f t="shared" si="6"/>
        <v>0.7813568363287563</v>
      </c>
      <c r="AE31" s="99"/>
    </row>
    <row r="32" spans="1:31" x14ac:dyDescent="0.25">
      <c r="A32" t="s">
        <v>209</v>
      </c>
      <c r="B32" t="s">
        <v>308</v>
      </c>
      <c r="C32" s="79">
        <f>VLOOKUP($A32,US_Results!$A$3:$I$53,2,FALSE)</f>
        <v>23731.611795719989</v>
      </c>
      <c r="D32" s="79">
        <f>VLOOKUP($A32,US_Results!$A$3:$I$53,3,FALSE)</f>
        <v>20331.097120598588</v>
      </c>
      <c r="E32" s="79">
        <f>VLOOKUP($A32,US_Results!$A$3:$I$53,4,FALSE)</f>
        <v>27404.947590052499</v>
      </c>
      <c r="F32" s="79">
        <f>VLOOKUP($A32,US_Results!$A$3:$I$53,5,FALSE)</f>
        <v>20187.081850308292</v>
      </c>
      <c r="G32" s="79">
        <f>VLOOKUP($A32,US_Results!$A$3:$I$53,6,FALSE)</f>
        <v>0</v>
      </c>
      <c r="H32" s="79">
        <f>VLOOKUP($A32,US_Results!$A$3:$I$53,7,FALSE)</f>
        <v>91654.738356679358</v>
      </c>
      <c r="I32" s="79">
        <v>0</v>
      </c>
      <c r="J32" s="79"/>
      <c r="O32" t="s">
        <v>209</v>
      </c>
      <c r="P32" t="s">
        <v>562</v>
      </c>
      <c r="Q32" s="99">
        <f>VLOOKUP(O32,US_Results!$A$3:$BP$53,67,FALSE)</f>
        <v>26.413673158295413</v>
      </c>
      <c r="R32" s="99">
        <f>VLOOKUP($O32,US_Results!$A$3:$BP$53,68,FALSE)</f>
        <v>-282.46750445793191</v>
      </c>
      <c r="S32" t="str">
        <f t="shared" si="0"/>
        <v>BEV better</v>
      </c>
      <c r="T32" s="99">
        <f t="shared" si="1"/>
        <v>48.835013934399839</v>
      </c>
      <c r="U32" s="99">
        <f t="shared" si="2"/>
        <v>27.31488032777763</v>
      </c>
      <c r="V32" s="99">
        <f t="shared" si="3"/>
        <v>21.52013360662221</v>
      </c>
      <c r="W32" s="10" t="s">
        <v>569</v>
      </c>
      <c r="X32" s="54">
        <f>US_Results!$BC$53/US_Results!$BM$56/'TCO Inputs'!$AZ$13</f>
        <v>0.22241753523302057</v>
      </c>
      <c r="Y32" s="54">
        <f>US_Results!$BC$53/US_Results!$BM$58/'TCO Inputs'!$AZ$13</f>
        <v>5.1791060939487842E-2</v>
      </c>
      <c r="Z32" s="196">
        <f>US_Results!$BC$53/US_Results!$BM$59/'TCO Inputs'!$AZ$13</f>
        <v>8.6930589981257314E-3</v>
      </c>
      <c r="AA32" s="54">
        <v>0.01</v>
      </c>
      <c r="AB32" s="99">
        <f t="shared" si="4"/>
        <v>0.80233198734089439</v>
      </c>
      <c r="AC32" s="99">
        <f t="shared" si="5"/>
        <v>308.88117761622732</v>
      </c>
      <c r="AD32" s="99">
        <f t="shared" si="6"/>
        <v>0.55142200260379448</v>
      </c>
      <c r="AE32" s="99"/>
    </row>
    <row r="33" spans="1:31" x14ac:dyDescent="0.25">
      <c r="A33" t="s">
        <v>210</v>
      </c>
      <c r="B33" t="s">
        <v>308</v>
      </c>
      <c r="C33" s="79">
        <f>VLOOKUP($A33,US_Results!$A$3:$I$53,2,FALSE)</f>
        <v>23731.611795719989</v>
      </c>
      <c r="D33" s="79">
        <f>VLOOKUP($A33,US_Results!$A$3:$I$53,3,FALSE)</f>
        <v>24052.777779784366</v>
      </c>
      <c r="E33" s="79">
        <f>VLOOKUP($A33,US_Results!$A$3:$I$53,4,FALSE)</f>
        <v>30129.585569826279</v>
      </c>
      <c r="F33" s="79">
        <f>VLOOKUP($A33,US_Results!$A$3:$I$53,5,FALSE)</f>
        <v>27704.497893868986</v>
      </c>
      <c r="G33" s="79">
        <f>VLOOKUP($A33,US_Results!$A$3:$I$53,6,FALSE)</f>
        <v>0</v>
      </c>
      <c r="H33" s="79">
        <f>VLOOKUP($A33,US_Results!$A$3:$I$53,7,FALSE)</f>
        <v>105618.47303919963</v>
      </c>
      <c r="I33" s="79">
        <v>0</v>
      </c>
      <c r="J33" s="79"/>
      <c r="O33" t="s">
        <v>210</v>
      </c>
      <c r="P33" t="s">
        <v>562</v>
      </c>
      <c r="Q33" s="99">
        <f>VLOOKUP(O33,US_Results!$A$3:$BP$53,67,FALSE)</f>
        <v>81.004427494700607</v>
      </c>
      <c r="R33" s="99">
        <f>VLOOKUP($O33,US_Results!$A$3:$BP$53,68,FALSE)</f>
        <v>-287.22876447420111</v>
      </c>
      <c r="S33" t="str">
        <f t="shared" si="0"/>
        <v>BEV better</v>
      </c>
      <c r="T33" s="99">
        <f t="shared" si="1"/>
        <v>32.35641684955467</v>
      </c>
      <c r="U33" s="99">
        <f t="shared" si="2"/>
        <v>31.511439118643892</v>
      </c>
      <c r="V33" s="99">
        <f t="shared" si="3"/>
        <v>0.84497773091077732</v>
      </c>
      <c r="W33" s="10" t="s">
        <v>569</v>
      </c>
      <c r="X33" s="54">
        <f>US_Results!$BC$53/US_Results!$BM$56/'TCO Inputs'!$AZ$13</f>
        <v>0.22241753523302057</v>
      </c>
      <c r="Y33" s="54">
        <f>US_Results!$BC$53/US_Results!$BM$58/'TCO Inputs'!$AZ$13</f>
        <v>5.1791060939487842E-2</v>
      </c>
      <c r="Z33" s="196">
        <f>US_Results!$BC$53/US_Results!$BM$59/'TCO Inputs'!$AZ$13</f>
        <v>8.6930589981257314E-3</v>
      </c>
      <c r="AA33" s="54">
        <v>0.01</v>
      </c>
      <c r="AB33" s="99">
        <f t="shared" si="4"/>
        <v>0.15898430659263915</v>
      </c>
      <c r="AC33" s="99">
        <f t="shared" si="5"/>
        <v>368.23319196890174</v>
      </c>
      <c r="AD33" s="99">
        <f t="shared" si="6"/>
        <v>0.60207394763561362</v>
      </c>
      <c r="AE33" s="99"/>
    </row>
    <row r="34" spans="1:31" x14ac:dyDescent="0.25">
      <c r="A34" t="s">
        <v>217</v>
      </c>
      <c r="B34" t="s">
        <v>308</v>
      </c>
      <c r="C34" s="79">
        <f>VLOOKUP($A34,US_Results!$A$3:$I$53,2,FALSE)</f>
        <v>23731.611795719989</v>
      </c>
      <c r="D34" s="79">
        <f>VLOOKUP($A34,US_Results!$A$3:$I$53,3,FALSE)</f>
        <v>18853.742286679317</v>
      </c>
      <c r="E34" s="79">
        <f>VLOOKUP($A34,US_Results!$A$3:$I$53,4,FALSE)</f>
        <v>24344.418695375447</v>
      </c>
      <c r="F34" s="79">
        <f>VLOOKUP($A34,US_Results!$A$3:$I$53,5,FALSE)</f>
        <v>21445.957996276913</v>
      </c>
      <c r="G34" s="79">
        <f>VLOOKUP($A34,US_Results!$A$3:$I$53,6,FALSE)</f>
        <v>0</v>
      </c>
      <c r="H34" s="79">
        <f>VLOOKUP($A34,US_Results!$A$3:$I$53,7,FALSE)</f>
        <v>88375.730774051655</v>
      </c>
      <c r="I34" s="79">
        <v>0</v>
      </c>
      <c r="J34" s="79"/>
      <c r="O34" t="s">
        <v>217</v>
      </c>
      <c r="P34" t="s">
        <v>562</v>
      </c>
      <c r="Q34" s="99">
        <f>VLOOKUP(O34,US_Results!$A$3:$BP$53,67,FALSE)</f>
        <v>219.17989054578638</v>
      </c>
      <c r="R34" s="99">
        <f>VLOOKUP($O34,US_Results!$A$3:$BP$53,68,FALSE)</f>
        <v>-277.25839781005044</v>
      </c>
      <c r="S34" t="str">
        <f t="shared" si="0"/>
        <v>BEV better</v>
      </c>
      <c r="T34" s="99">
        <f t="shared" si="1"/>
        <v>30.404073850953992</v>
      </c>
      <c r="U34" s="99">
        <f t="shared" si="2"/>
        <v>24.695161936854241</v>
      </c>
      <c r="V34" s="99">
        <f t="shared" si="3"/>
        <v>5.7089119140997511</v>
      </c>
      <c r="W34" s="10" t="s">
        <v>569</v>
      </c>
      <c r="X34" s="54">
        <f>US_Results!$BC$53/US_Results!$BM$56/'TCO Inputs'!$AZ$13</f>
        <v>0.22241753523302057</v>
      </c>
      <c r="Y34" s="54">
        <f>US_Results!$BC$53/US_Results!$BM$58/'TCO Inputs'!$AZ$13</f>
        <v>5.1791060939487842E-2</v>
      </c>
      <c r="Z34" s="196">
        <f>US_Results!$BC$53/US_Results!$BM$59/'TCO Inputs'!$AZ$13</f>
        <v>8.6930589981257314E-3</v>
      </c>
      <c r="AA34" s="54">
        <v>0.01</v>
      </c>
      <c r="AB34" s="99">
        <f t="shared" si="4"/>
        <v>0.41324565540733593</v>
      </c>
      <c r="AC34" s="99">
        <f t="shared" si="5"/>
        <v>496.43828835583679</v>
      </c>
      <c r="AD34" s="99">
        <f t="shared" si="6"/>
        <v>0.69907054502414101</v>
      </c>
      <c r="AE34" s="99"/>
    </row>
    <row r="35" spans="1:31" x14ac:dyDescent="0.25">
      <c r="A35" t="s">
        <v>218</v>
      </c>
      <c r="B35" t="s">
        <v>308</v>
      </c>
      <c r="C35" s="79">
        <f>VLOOKUP($A35,US_Results!$A$3:$I$53,2,FALSE)</f>
        <v>23731.611795719989</v>
      </c>
      <c r="D35" s="79">
        <f>VLOOKUP($A35,US_Results!$A$3:$I$53,3,FALSE)</f>
        <v>23168.64286615896</v>
      </c>
      <c r="E35" s="79">
        <f>VLOOKUP($A35,US_Results!$A$3:$I$53,4,FALSE)</f>
        <v>30177.326410523186</v>
      </c>
      <c r="F35" s="79">
        <f>VLOOKUP($A35,US_Results!$A$3:$I$53,5,FALSE)</f>
        <v>33188.736645492434</v>
      </c>
      <c r="G35" s="79">
        <f>VLOOKUP($A35,US_Results!$A$3:$I$53,6,FALSE)</f>
        <v>0</v>
      </c>
      <c r="H35" s="79">
        <f>VLOOKUP($A35,US_Results!$A$3:$I$53,7,FALSE)</f>
        <v>110266.31771789456</v>
      </c>
      <c r="I35" s="79">
        <v>0</v>
      </c>
      <c r="J35" s="79"/>
      <c r="O35" t="s">
        <v>218</v>
      </c>
      <c r="P35" t="s">
        <v>562</v>
      </c>
      <c r="Q35" s="99">
        <f>VLOOKUP(O35,US_Results!$A$3:$BP$53,67,FALSE)</f>
        <v>45.378303500660543</v>
      </c>
      <c r="R35" s="99">
        <f>VLOOKUP($O35,US_Results!$A$3:$BP$53,68,FALSE)</f>
        <v>-279.58563054514599</v>
      </c>
      <c r="S35" t="str">
        <f t="shared" si="0"/>
        <v>BEV better</v>
      </c>
      <c r="T35" s="99">
        <f t="shared" si="1"/>
        <v>54.610332223967461</v>
      </c>
      <c r="U35" s="99">
        <f t="shared" si="2"/>
        <v>30.345127575244554</v>
      </c>
      <c r="V35" s="99">
        <f t="shared" si="3"/>
        <v>24.265204648722907</v>
      </c>
      <c r="W35" s="10" t="s">
        <v>569</v>
      </c>
      <c r="X35" s="54">
        <f>US_Results!$BC$53/US_Results!$BM$56/'TCO Inputs'!$AZ$13</f>
        <v>0.22241753523302057</v>
      </c>
      <c r="Y35" s="54">
        <f>US_Results!$BC$53/US_Results!$BM$58/'TCO Inputs'!$AZ$13</f>
        <v>5.1791060939487842E-2</v>
      </c>
      <c r="Z35" s="196">
        <f>US_Results!$BC$53/US_Results!$BM$59/'TCO Inputs'!$AZ$13</f>
        <v>8.6930589981257314E-3</v>
      </c>
      <c r="AA35" s="54">
        <v>0.01</v>
      </c>
      <c r="AB35" s="99">
        <f t="shared" si="4"/>
        <v>0.85196863093443764</v>
      </c>
      <c r="AC35" s="99">
        <f t="shared" si="5"/>
        <v>324.96393404580652</v>
      </c>
      <c r="AD35" s="99">
        <f t="shared" si="6"/>
        <v>0.56559550696708871</v>
      </c>
      <c r="AE35" s="99"/>
    </row>
    <row r="36" spans="1:31" x14ac:dyDescent="0.25">
      <c r="A36" t="s">
        <v>219</v>
      </c>
      <c r="B36" t="s">
        <v>308</v>
      </c>
      <c r="C36" s="79">
        <f>VLOOKUP($A36,US_Results!$A$3:$I$53,2,FALSE)</f>
        <v>23731.611795719989</v>
      </c>
      <c r="D36" s="79">
        <f>VLOOKUP($A36,US_Results!$A$3:$I$53,3,FALSE)</f>
        <v>21755.248749453764</v>
      </c>
      <c r="E36" s="79">
        <f>VLOOKUP($A36,US_Results!$A$3:$I$53,4,FALSE)</f>
        <v>20832.056844102623</v>
      </c>
      <c r="F36" s="79">
        <f>VLOOKUP($A36,US_Results!$A$3:$I$53,5,FALSE)</f>
        <v>24661.994073973579</v>
      </c>
      <c r="G36" s="79">
        <f>VLOOKUP($A36,US_Results!$A$3:$I$53,6,FALSE)</f>
        <v>0</v>
      </c>
      <c r="H36" s="79">
        <f>VLOOKUP($A36,US_Results!$A$3:$I$53,7,FALSE)</f>
        <v>90980.911463249955</v>
      </c>
      <c r="I36" s="79">
        <v>0</v>
      </c>
      <c r="J36" s="79"/>
      <c r="O36" t="s">
        <v>219</v>
      </c>
      <c r="P36" t="s">
        <v>562</v>
      </c>
      <c r="Q36" s="99">
        <f>VLOOKUP(O36,US_Results!$A$3:$BP$53,67,FALSE)</f>
        <v>43.226329134433207</v>
      </c>
      <c r="R36" s="99">
        <f>VLOOKUP($O36,US_Results!$A$3:$BP$53,68,FALSE)</f>
        <v>-355.25151690024336</v>
      </c>
      <c r="S36" t="str">
        <f t="shared" si="0"/>
        <v>BEV better</v>
      </c>
      <c r="T36" s="99">
        <f t="shared" si="1"/>
        <v>43.350318174879177</v>
      </c>
      <c r="U36" s="99">
        <f t="shared" si="2"/>
        <v>21.23458557820733</v>
      </c>
      <c r="V36" s="99">
        <f t="shared" si="3"/>
        <v>22.115732596671847</v>
      </c>
      <c r="W36" s="10" t="s">
        <v>569</v>
      </c>
      <c r="X36" s="54">
        <f>US_Results!$BC$53/US_Results!$BM$56/'TCO Inputs'!$AZ$13</f>
        <v>0.22241753523302057</v>
      </c>
      <c r="Y36" s="54">
        <f>US_Results!$BC$53/US_Results!$BM$58/'TCO Inputs'!$AZ$13</f>
        <v>5.1791060939487842E-2</v>
      </c>
      <c r="Z36" s="196">
        <f>US_Results!$BC$53/US_Results!$BM$59/'TCO Inputs'!$AZ$13</f>
        <v>8.6930589981257314E-3</v>
      </c>
      <c r="AA36" s="54">
        <v>0.01</v>
      </c>
      <c r="AB36" s="99">
        <f t="shared" si="4"/>
        <v>0.8133590259189486</v>
      </c>
      <c r="AC36" s="99">
        <f t="shared" si="5"/>
        <v>398.47784603467659</v>
      </c>
      <c r="AD36" s="99">
        <f t="shared" si="6"/>
        <v>0.62631160596659208</v>
      </c>
      <c r="AE36" s="99"/>
    </row>
    <row r="37" spans="1:31" x14ac:dyDescent="0.25">
      <c r="A37" t="s">
        <v>220</v>
      </c>
      <c r="B37" t="s">
        <v>308</v>
      </c>
      <c r="C37" s="79">
        <f>VLOOKUP($A37,US_Results!$A$3:$I$53,2,FALSE)</f>
        <v>23731.611795719989</v>
      </c>
      <c r="D37" s="79">
        <f>VLOOKUP($A37,US_Results!$A$3:$I$53,3,FALSE)</f>
        <v>16050.768084013602</v>
      </c>
      <c r="E37" s="79">
        <f>VLOOKUP($A37,US_Results!$A$3:$I$53,4,FALSE)</f>
        <v>19514.068634862866</v>
      </c>
      <c r="F37" s="79">
        <f>VLOOKUP($A37,US_Results!$A$3:$I$53,5,FALSE)</f>
        <v>31297.405533659792</v>
      </c>
      <c r="G37" s="79">
        <f>VLOOKUP($A37,US_Results!$A$3:$I$53,6,FALSE)</f>
        <v>0</v>
      </c>
      <c r="H37" s="79">
        <f>VLOOKUP($A37,US_Results!$A$3:$I$53,7,FALSE)</f>
        <v>90593.854048256253</v>
      </c>
      <c r="I37" s="79">
        <v>0</v>
      </c>
      <c r="J37" s="79"/>
      <c r="O37" t="s">
        <v>220</v>
      </c>
      <c r="P37" t="s">
        <v>562</v>
      </c>
      <c r="Q37" s="99">
        <f>VLOOKUP(O37,US_Results!$A$3:$BP$53,67,FALSE)</f>
        <v>360.52954426216343</v>
      </c>
      <c r="R37" s="99">
        <f>VLOOKUP($O37,US_Results!$A$3:$BP$53,68,FALSE)</f>
        <v>-250.03345711231492</v>
      </c>
      <c r="S37" t="str">
        <f t="shared" si="0"/>
        <v>BEV better</v>
      </c>
      <c r="T37" s="99">
        <f t="shared" si="1"/>
        <v>33.721816931563197</v>
      </c>
      <c r="U37" s="99">
        <f t="shared" si="2"/>
        <v>19.852765636590441</v>
      </c>
      <c r="V37" s="99">
        <f t="shared" si="3"/>
        <v>13.869051294972756</v>
      </c>
      <c r="W37" s="10" t="s">
        <v>569</v>
      </c>
      <c r="X37" s="54">
        <f>US_Results!$BC$53/US_Results!$BM$56/'TCO Inputs'!$AZ$13</f>
        <v>0.22241753523302057</v>
      </c>
      <c r="Y37" s="54">
        <f>US_Results!$BC$53/US_Results!$BM$58/'TCO Inputs'!$AZ$13</f>
        <v>5.1791060939487842E-2</v>
      </c>
      <c r="Z37" s="196">
        <f>US_Results!$BC$53/US_Results!$BM$59/'TCO Inputs'!$AZ$13</f>
        <v>8.6930589981257314E-3</v>
      </c>
      <c r="AA37" s="54">
        <v>0.01</v>
      </c>
      <c r="AB37" s="99">
        <f t="shared" si="4"/>
        <v>0.64410252628351838</v>
      </c>
      <c r="AC37" s="99">
        <f t="shared" si="5"/>
        <v>610.56300137447829</v>
      </c>
      <c r="AD37" s="99">
        <f t="shared" si="6"/>
        <v>0.77527112819434696</v>
      </c>
      <c r="AE37" s="99"/>
    </row>
    <row r="38" spans="1:31" x14ac:dyDescent="0.25">
      <c r="A38" t="s">
        <v>221</v>
      </c>
      <c r="B38" t="s">
        <v>308</v>
      </c>
      <c r="C38" s="79">
        <f>VLOOKUP($A38,US_Results!$A$3:$I$53,2,FALSE)</f>
        <v>23731.611795719989</v>
      </c>
      <c r="D38" s="79">
        <f>VLOOKUP($A38,US_Results!$A$3:$I$53,3,FALSE)</f>
        <v>13557.157430748486</v>
      </c>
      <c r="E38" s="79">
        <f>VLOOKUP($A38,US_Results!$A$3:$I$53,4,FALSE)</f>
        <v>16983.804077926521</v>
      </c>
      <c r="F38" s="79">
        <f>VLOOKUP($A38,US_Results!$A$3:$I$53,5,FALSE)</f>
        <v>34392.912027481972</v>
      </c>
      <c r="G38" s="79">
        <f>VLOOKUP($A38,US_Results!$A$3:$I$53,6,FALSE)</f>
        <v>0</v>
      </c>
      <c r="H38" s="79">
        <f>VLOOKUP($A38,US_Results!$A$3:$I$53,7,FALSE)</f>
        <v>88665.48533187696</v>
      </c>
      <c r="I38" s="79">
        <v>0</v>
      </c>
      <c r="J38" s="79"/>
      <c r="O38" t="s">
        <v>221</v>
      </c>
      <c r="P38" t="s">
        <v>562</v>
      </c>
      <c r="Q38" s="99">
        <f>VLOOKUP(O38,US_Results!$A$3:$BP$53,67,FALSE)</f>
        <v>802.61160098474852</v>
      </c>
      <c r="R38" s="99">
        <f>VLOOKUP($O38,US_Results!$A$3:$BP$53,68,FALSE)</f>
        <v>-213.22360945781742</v>
      </c>
      <c r="S38" t="str">
        <f t="shared" si="0"/>
        <v>BEV better</v>
      </c>
      <c r="T38" s="99">
        <f t="shared" si="1"/>
        <v>25.429641918823364</v>
      </c>
      <c r="U38" s="99">
        <f t="shared" si="2"/>
        <v>17.211803802793163</v>
      </c>
      <c r="V38" s="99">
        <f t="shared" si="3"/>
        <v>8.217838116030201</v>
      </c>
      <c r="W38" s="10" t="s">
        <v>569</v>
      </c>
      <c r="X38" s="54">
        <f>US_Results!$BC$53/US_Results!$BM$56/'TCO Inputs'!$AZ$13</f>
        <v>0.22241753523302057</v>
      </c>
      <c r="Y38" s="54">
        <f>US_Results!$BC$53/US_Results!$BM$58/'TCO Inputs'!$AZ$13</f>
        <v>5.1791060939487842E-2</v>
      </c>
      <c r="Z38" s="196">
        <f>US_Results!$BC$53/US_Results!$BM$59/'TCO Inputs'!$AZ$13</f>
        <v>8.6930589981257314E-3</v>
      </c>
      <c r="AA38" s="54">
        <v>0.01</v>
      </c>
      <c r="AB38" s="99">
        <f t="shared" si="4"/>
        <v>0.49580444527102147</v>
      </c>
      <c r="AC38" s="99">
        <f t="shared" si="5"/>
        <v>1015.835210442566</v>
      </c>
      <c r="AD38" s="99">
        <f t="shared" si="6"/>
        <v>1</v>
      </c>
      <c r="AE38" s="99"/>
    </row>
    <row r="39" spans="1:31" x14ac:dyDescent="0.25">
      <c r="A39" t="s">
        <v>222</v>
      </c>
      <c r="B39" t="s">
        <v>308</v>
      </c>
      <c r="C39" s="79">
        <f>VLOOKUP($A39,US_Results!$A$3:$I$53,2,FALSE)</f>
        <v>23731.611795719989</v>
      </c>
      <c r="D39" s="79">
        <f>VLOOKUP($A39,US_Results!$A$3:$I$53,3,FALSE)</f>
        <v>18843.673552606928</v>
      </c>
      <c r="E39" s="79">
        <f>VLOOKUP($A39,US_Results!$A$3:$I$53,4,FALSE)</f>
        <v>25474.853601877334</v>
      </c>
      <c r="F39" s="79">
        <f>VLOOKUP($A39,US_Results!$A$3:$I$53,5,FALSE)</f>
        <v>34004.912409471515</v>
      </c>
      <c r="G39" s="79">
        <f>VLOOKUP($A39,US_Results!$A$3:$I$53,6,FALSE)</f>
        <v>0</v>
      </c>
      <c r="H39" s="79">
        <f>VLOOKUP($A39,US_Results!$A$3:$I$53,7,FALSE)</f>
        <v>102055.05135967577</v>
      </c>
      <c r="I39" s="79">
        <v>0</v>
      </c>
      <c r="J39" s="79"/>
      <c r="O39" t="s">
        <v>222</v>
      </c>
      <c r="P39" t="s">
        <v>562</v>
      </c>
      <c r="Q39" s="99">
        <f>VLOOKUP(O39,US_Results!$A$3:$BP$53,67,FALSE)</f>
        <v>156.23998791282716</v>
      </c>
      <c r="R39" s="99">
        <f>VLOOKUP($O39,US_Results!$A$3:$BP$53,68,FALSE)</f>
        <v>-253.04439992810441</v>
      </c>
      <c r="S39" t="str">
        <f t="shared" si="0"/>
        <v>BEV better</v>
      </c>
      <c r="T39" s="99">
        <f t="shared" si="1"/>
        <v>48.217232835730385</v>
      </c>
      <c r="U39" s="99">
        <f t="shared" si="2"/>
        <v>25.316003994516606</v>
      </c>
      <c r="V39" s="99">
        <f t="shared" si="3"/>
        <v>22.901228841213779</v>
      </c>
      <c r="W39" s="10" t="s">
        <v>569</v>
      </c>
      <c r="X39" s="54">
        <f>US_Results!$BC$53/US_Results!$BM$56/'TCO Inputs'!$AZ$13</f>
        <v>0.22241753523302057</v>
      </c>
      <c r="Y39" s="54">
        <f>US_Results!$BC$53/US_Results!$BM$58/'TCO Inputs'!$AZ$13</f>
        <v>5.1791060939487842E-2</v>
      </c>
      <c r="Z39" s="196">
        <f>US_Results!$BC$53/US_Results!$BM$59/'TCO Inputs'!$AZ$13</f>
        <v>8.6930589981257314E-3</v>
      </c>
      <c r="AA39" s="54">
        <v>0.01</v>
      </c>
      <c r="AB39" s="99">
        <f t="shared" si="4"/>
        <v>0.82767725089440358</v>
      </c>
      <c r="AC39" s="99">
        <f t="shared" si="5"/>
        <v>409.28438784093157</v>
      </c>
      <c r="AD39" s="99">
        <f t="shared" si="6"/>
        <v>0.63474744052446785</v>
      </c>
      <c r="AE39" s="99"/>
    </row>
    <row r="40" spans="1:31" x14ac:dyDescent="0.25">
      <c r="A40" t="s">
        <v>223</v>
      </c>
      <c r="B40" t="s">
        <v>308</v>
      </c>
      <c r="C40" s="79">
        <f>VLOOKUP($A40,US_Results!$A$3:$I$53,2,FALSE)</f>
        <v>23731.611795719989</v>
      </c>
      <c r="D40" s="79">
        <f>VLOOKUP($A40,US_Results!$A$3:$I$53,3,FALSE)</f>
        <v>20896.775131960676</v>
      </c>
      <c r="E40" s="79">
        <f>VLOOKUP($A40,US_Results!$A$3:$I$53,4,FALSE)</f>
        <v>26497.871616811171</v>
      </c>
      <c r="F40" s="79">
        <f>VLOOKUP($A40,US_Results!$A$3:$I$53,5,FALSE)</f>
        <v>29748.803241722548</v>
      </c>
      <c r="G40" s="79">
        <f>VLOOKUP($A40,US_Results!$A$3:$I$53,6,FALSE)</f>
        <v>0</v>
      </c>
      <c r="H40" s="79">
        <f>VLOOKUP($A40,US_Results!$A$3:$I$53,7,FALSE)</f>
        <v>100875.06178621438</v>
      </c>
      <c r="I40" s="79">
        <v>0</v>
      </c>
      <c r="J40" s="79"/>
      <c r="O40" t="s">
        <v>223</v>
      </c>
      <c r="P40" t="s">
        <v>562</v>
      </c>
      <c r="Q40" s="99">
        <f>VLOOKUP(O40,US_Results!$A$3:$BP$53,67,FALSE)</f>
        <v>103.7447546609193</v>
      </c>
      <c r="R40" s="99">
        <f>VLOOKUP($O40,US_Results!$A$3:$BP$53,68,FALSE)</f>
        <v>-272.42487572325456</v>
      </c>
      <c r="S40" t="str">
        <f t="shared" si="0"/>
        <v>BEV better</v>
      </c>
      <c r="T40" s="99">
        <f t="shared" si="1"/>
        <v>57.336015234464838</v>
      </c>
      <c r="U40" s="99">
        <f t="shared" si="2"/>
        <v>27.374543673484972</v>
      </c>
      <c r="V40" s="99">
        <f t="shared" si="3"/>
        <v>29.961471560979867</v>
      </c>
      <c r="W40" s="10" t="s">
        <v>569</v>
      </c>
      <c r="X40" s="54">
        <f>US_Results!$BC$53/US_Results!$BM$56/'TCO Inputs'!$AZ$13</f>
        <v>0.22241753523302057</v>
      </c>
      <c r="Y40" s="54">
        <f>US_Results!$BC$53/US_Results!$BM$58/'TCO Inputs'!$AZ$13</f>
        <v>5.1791060939487842E-2</v>
      </c>
      <c r="Z40" s="196">
        <f>US_Results!$BC$53/US_Results!$BM$59/'TCO Inputs'!$AZ$13</f>
        <v>8.6930589981257314E-3</v>
      </c>
      <c r="AA40" s="54">
        <v>0.01</v>
      </c>
      <c r="AB40" s="99">
        <f t="shared" si="4"/>
        <v>0.94670178356901069</v>
      </c>
      <c r="AC40" s="99">
        <f t="shared" si="5"/>
        <v>376.16963038417384</v>
      </c>
      <c r="AD40" s="99">
        <f t="shared" si="6"/>
        <v>0.60852753490277089</v>
      </c>
      <c r="AE40" s="99"/>
    </row>
    <row r="41" spans="1:31" x14ac:dyDescent="0.25">
      <c r="A41" t="s">
        <v>224</v>
      </c>
      <c r="B41" t="s">
        <v>308</v>
      </c>
      <c r="C41" s="79">
        <f>VLOOKUP($A41,US_Results!$A$3:$I$53,2,FALSE)</f>
        <v>23731.611795719989</v>
      </c>
      <c r="D41" s="79">
        <f>VLOOKUP($A41,US_Results!$A$3:$I$53,3,FALSE)</f>
        <v>19914.104059542962</v>
      </c>
      <c r="E41" s="79">
        <f>VLOOKUP($A41,US_Results!$A$3:$I$53,4,FALSE)</f>
        <v>26064.793990489179</v>
      </c>
      <c r="F41" s="79">
        <f>VLOOKUP($A41,US_Results!$A$3:$I$53,5,FALSE)</f>
        <v>26268.693309994498</v>
      </c>
      <c r="G41" s="79">
        <f>VLOOKUP($A41,US_Results!$A$3:$I$53,6,FALSE)</f>
        <v>0</v>
      </c>
      <c r="H41" s="79">
        <f>VLOOKUP($A41,US_Results!$A$3:$I$53,7,FALSE)</f>
        <v>95979.20315574664</v>
      </c>
      <c r="I41" s="79">
        <v>0</v>
      </c>
      <c r="J41" s="79"/>
      <c r="O41" t="s">
        <v>224</v>
      </c>
      <c r="P41" t="s">
        <v>562</v>
      </c>
      <c r="Q41" s="99">
        <f>VLOOKUP(O41,US_Results!$A$3:$BP$53,67,FALSE)</f>
        <v>141.22476846581358</v>
      </c>
      <c r="R41" s="99">
        <f>VLOOKUP($O41,US_Results!$A$3:$BP$53,68,FALSE)</f>
        <v>-275.70988286396181</v>
      </c>
      <c r="S41" t="str">
        <f t="shared" si="0"/>
        <v>BEV better</v>
      </c>
      <c r="T41" s="99">
        <f t="shared" si="1"/>
        <v>47.975123061614248</v>
      </c>
      <c r="U41" s="99">
        <f t="shared" si="2"/>
        <v>26.081618392602856</v>
      </c>
      <c r="V41" s="99">
        <f t="shared" si="3"/>
        <v>21.893504669011392</v>
      </c>
      <c r="W41" s="10" t="s">
        <v>569</v>
      </c>
      <c r="X41" s="54">
        <f>US_Results!$BC$53/US_Results!$BM$56/'TCO Inputs'!$AZ$13</f>
        <v>0.22241753523302057</v>
      </c>
      <c r="Y41" s="54">
        <f>US_Results!$BC$53/US_Results!$BM$58/'TCO Inputs'!$AZ$13</f>
        <v>5.1791060939487842E-2</v>
      </c>
      <c r="Z41" s="196">
        <f>US_Results!$BC$53/US_Results!$BM$59/'TCO Inputs'!$AZ$13</f>
        <v>8.6930589981257314E-3</v>
      </c>
      <c r="AA41" s="54">
        <v>0.01</v>
      </c>
      <c r="AB41" s="99">
        <f t="shared" si="4"/>
        <v>0.80926222625492183</v>
      </c>
      <c r="AC41" s="99">
        <f t="shared" si="5"/>
        <v>416.93465132977542</v>
      </c>
      <c r="AD41" s="99">
        <f t="shared" si="6"/>
        <v>0.64065226265000141</v>
      </c>
      <c r="AE41" s="99"/>
    </row>
    <row r="42" spans="1:31" x14ac:dyDescent="0.25">
      <c r="A42" t="s">
        <v>225</v>
      </c>
      <c r="B42" t="s">
        <v>308</v>
      </c>
      <c r="C42" s="79">
        <f>VLOOKUP($A42,US_Results!$A$3:$I$53,2,FALSE)</f>
        <v>23731.611795719989</v>
      </c>
      <c r="D42" s="79">
        <f>VLOOKUP($A42,US_Results!$A$3:$I$53,3,FALSE)</f>
        <v>19339.951355678299</v>
      </c>
      <c r="E42" s="79">
        <f>VLOOKUP($A42,US_Results!$A$3:$I$53,4,FALSE)</f>
        <v>27573.745562516582</v>
      </c>
      <c r="F42" s="79">
        <f>VLOOKUP($A42,US_Results!$A$3:$I$53,5,FALSE)</f>
        <v>33024.634353555193</v>
      </c>
      <c r="G42" s="79">
        <f>VLOOKUP($A42,US_Results!$A$3:$I$53,6,FALSE)</f>
        <v>0</v>
      </c>
      <c r="H42" s="79">
        <f>VLOOKUP($A42,US_Results!$A$3:$I$53,7,FALSE)</f>
        <v>103669.94306747007</v>
      </c>
      <c r="I42" s="79">
        <v>0</v>
      </c>
      <c r="J42" s="79"/>
      <c r="O42" t="s">
        <v>225</v>
      </c>
      <c r="P42" t="s">
        <v>562</v>
      </c>
      <c r="Q42" s="99">
        <f>VLOOKUP(O42,US_Results!$A$3:$BP$53,67,FALSE)</f>
        <v>133.65859056147781</v>
      </c>
      <c r="R42" s="99">
        <f>VLOOKUP($O42,US_Results!$A$3:$BP$53,68,FALSE)</f>
        <v>-246.98090136156566</v>
      </c>
      <c r="S42" t="str">
        <f t="shared" si="0"/>
        <v>BEV better</v>
      </c>
      <c r="T42" s="99">
        <f t="shared" si="1"/>
        <v>46.139398193586572</v>
      </c>
      <c r="U42" s="99">
        <f t="shared" si="2"/>
        <v>27.564438861349224</v>
      </c>
      <c r="V42" s="99">
        <f t="shared" si="3"/>
        <v>18.574959332237349</v>
      </c>
      <c r="W42" s="10" t="s">
        <v>569</v>
      </c>
      <c r="X42" s="54">
        <f>US_Results!$BC$53/US_Results!$BM$56/'TCO Inputs'!$AZ$13</f>
        <v>0.22241753523302057</v>
      </c>
      <c r="Y42" s="54">
        <f>US_Results!$BC$53/US_Results!$BM$58/'TCO Inputs'!$AZ$13</f>
        <v>5.1791060939487842E-2</v>
      </c>
      <c r="Z42" s="196">
        <f>US_Results!$BC$53/US_Results!$BM$59/'TCO Inputs'!$AZ$13</f>
        <v>8.6930589981257314E-3</v>
      </c>
      <c r="AA42" s="54">
        <v>0.01</v>
      </c>
      <c r="AB42" s="99">
        <f t="shared" si="4"/>
        <v>0.74541059459496872</v>
      </c>
      <c r="AC42" s="99">
        <f t="shared" si="5"/>
        <v>380.63949192304347</v>
      </c>
      <c r="AD42" s="99">
        <f t="shared" si="6"/>
        <v>0.61213229324940455</v>
      </c>
      <c r="AE42" s="99"/>
    </row>
    <row r="43" spans="1:31" x14ac:dyDescent="0.25">
      <c r="A43" t="s">
        <v>226</v>
      </c>
      <c r="B43" t="s">
        <v>308</v>
      </c>
      <c r="C43" s="79">
        <f>VLOOKUP($A43,US_Results!$A$3:$I$53,2,FALSE)</f>
        <v>23731.611795719989</v>
      </c>
      <c r="D43" s="79">
        <f>VLOOKUP($A43,US_Results!$A$3:$I$53,3,FALSE)</f>
        <v>22060.001915427776</v>
      </c>
      <c r="E43" s="79">
        <f>VLOOKUP($A43,US_Results!$A$3:$I$53,4,FALSE)</f>
        <v>26455.245866188925</v>
      </c>
      <c r="F43" s="79">
        <f>VLOOKUP($A43,US_Results!$A$3:$I$53,5,FALSE)</f>
        <v>28714.164039837604</v>
      </c>
      <c r="G43" s="79">
        <f>VLOOKUP($A43,US_Results!$A$3:$I$53,6,FALSE)</f>
        <v>0</v>
      </c>
      <c r="H43" s="79">
        <f>VLOOKUP($A43,US_Results!$A$3:$I$53,7,FALSE)</f>
        <v>100961.0236171743</v>
      </c>
      <c r="I43" s="79">
        <v>0</v>
      </c>
      <c r="J43" s="79"/>
      <c r="O43" t="s">
        <v>226</v>
      </c>
      <c r="P43" t="s">
        <v>562</v>
      </c>
      <c r="Q43" s="99">
        <f>VLOOKUP(O43,US_Results!$A$3:$BP$53,67,FALSE)</f>
        <v>151.29787920549217</v>
      </c>
      <c r="R43" s="99">
        <f>VLOOKUP($O43,US_Results!$A$3:$BP$53,68,FALSE)</f>
        <v>-294.05789102713914</v>
      </c>
      <c r="S43" t="str">
        <f t="shared" si="0"/>
        <v>HEV better</v>
      </c>
      <c r="T43" s="99">
        <f t="shared" si="1"/>
        <v>25.070033095285922</v>
      </c>
      <c r="U43" s="99">
        <f t="shared" si="2"/>
        <v>27.01844025971473</v>
      </c>
      <c r="V43" s="99">
        <f t="shared" si="3"/>
        <v>-1.9484071644288079</v>
      </c>
      <c r="W43" s="10" t="s">
        <v>569</v>
      </c>
      <c r="X43" s="54">
        <f>US_Results!$BC$53/US_Results!$BM$56/'TCO Inputs'!$AZ$13</f>
        <v>0.22241753523302057</v>
      </c>
      <c r="Y43" s="54">
        <f>US_Results!$BC$53/US_Results!$BM$58/'TCO Inputs'!$AZ$13</f>
        <v>5.1791060939487842E-2</v>
      </c>
      <c r="Z43" s="196">
        <f>US_Results!$BC$53/US_Results!$BM$59/'TCO Inputs'!$AZ$13</f>
        <v>8.6930589981257314E-3</v>
      </c>
      <c r="AA43" s="54">
        <v>0.01</v>
      </c>
      <c r="AB43" s="99">
        <f t="shared" si="4"/>
        <v>-0.32463388729342374</v>
      </c>
      <c r="AC43" s="99">
        <f t="shared" si="5"/>
        <v>445.3557702326313</v>
      </c>
      <c r="AD43" s="99">
        <f t="shared" si="6"/>
        <v>0.66212793458288688</v>
      </c>
      <c r="AE43" s="99"/>
    </row>
    <row r="44" spans="1:31" x14ac:dyDescent="0.25">
      <c r="A44" t="s">
        <v>228</v>
      </c>
      <c r="B44" t="s">
        <v>308</v>
      </c>
      <c r="C44" s="79">
        <f>VLOOKUP($A44,US_Results!$A$3:$I$53,2,FALSE)</f>
        <v>23731.611795719989</v>
      </c>
      <c r="D44" s="79">
        <f>VLOOKUP($A44,US_Results!$A$3:$I$53,3,FALSE)</f>
        <v>18056.819908625432</v>
      </c>
      <c r="E44" s="79">
        <f>VLOOKUP($A44,US_Results!$A$3:$I$53,4,FALSE)</f>
        <v>22172.210443665947</v>
      </c>
      <c r="F44" s="79">
        <f>VLOOKUP($A44,US_Results!$A$3:$I$53,5,FALSE)</f>
        <v>23504.787580151398</v>
      </c>
      <c r="G44" s="79">
        <f>VLOOKUP($A44,US_Results!$A$3:$I$53,6,FALSE)</f>
        <v>0</v>
      </c>
      <c r="H44" s="79">
        <f>VLOOKUP($A44,US_Results!$A$3:$I$53,7,FALSE)</f>
        <v>87465.429728162766</v>
      </c>
      <c r="I44" s="79">
        <v>0</v>
      </c>
      <c r="J44" s="79"/>
      <c r="O44" t="s">
        <v>228</v>
      </c>
      <c r="P44" t="s">
        <v>562</v>
      </c>
      <c r="Q44" s="99">
        <f>VLOOKUP(O44,US_Results!$A$3:$BP$53,67,FALSE)</f>
        <v>230.20716651989125</v>
      </c>
      <c r="R44" s="99">
        <f>VLOOKUP($O44,US_Results!$A$3:$BP$53,68,FALSE)</f>
        <v>-273.82698680197223</v>
      </c>
      <c r="S44" t="str">
        <f t="shared" si="0"/>
        <v>BEV better</v>
      </c>
      <c r="T44" s="99">
        <f t="shared" si="1"/>
        <v>56.357593704239775</v>
      </c>
      <c r="U44" s="99">
        <f t="shared" si="2"/>
        <v>22.927565012570874</v>
      </c>
      <c r="V44" s="99">
        <f t="shared" si="3"/>
        <v>33.430028691668902</v>
      </c>
      <c r="W44" s="10" t="s">
        <v>569</v>
      </c>
      <c r="X44" s="54">
        <f>US_Results!$BC$53/US_Results!$BM$56/'TCO Inputs'!$AZ$13</f>
        <v>0.22241753523302057</v>
      </c>
      <c r="Y44" s="54">
        <f>US_Results!$BC$53/US_Results!$BM$58/'TCO Inputs'!$AZ$13</f>
        <v>5.1791060939487842E-2</v>
      </c>
      <c r="Z44" s="196">
        <f>US_Results!$BC$53/US_Results!$BM$59/'TCO Inputs'!$AZ$13</f>
        <v>8.6930589981257314E-3</v>
      </c>
      <c r="AA44" s="54">
        <v>0.01</v>
      </c>
      <c r="AB44" s="99">
        <f t="shared" si="4"/>
        <v>1</v>
      </c>
      <c r="AC44" s="99">
        <f t="shared" si="5"/>
        <v>504.03415332186347</v>
      </c>
      <c r="AD44" s="99">
        <f t="shared" si="6"/>
        <v>0.7043983849838007</v>
      </c>
      <c r="AE44" s="99"/>
    </row>
    <row r="45" spans="1:31" x14ac:dyDescent="0.25">
      <c r="A45" t="s">
        <v>227</v>
      </c>
      <c r="B45" t="s">
        <v>308</v>
      </c>
      <c r="C45" s="79">
        <f>VLOOKUP($A45,US_Results!$A$3:$I$53,2,FALSE)</f>
        <v>23731.611795719989</v>
      </c>
      <c r="D45" s="79">
        <f>VLOOKUP($A45,US_Results!$A$3:$I$53,3,FALSE)</f>
        <v>19140.205652477536</v>
      </c>
      <c r="E45" s="79">
        <f>VLOOKUP($A45,US_Results!$A$3:$I$53,4,FALSE)</f>
        <v>24738.280631124973</v>
      </c>
      <c r="F45" s="79">
        <f>VLOOKUP($A45,US_Results!$A$3:$I$53,5,FALSE)</f>
        <v>25645.328691984039</v>
      </c>
      <c r="G45" s="79">
        <f>VLOOKUP($A45,US_Results!$A$3:$I$53,6,FALSE)</f>
        <v>0</v>
      </c>
      <c r="H45" s="79">
        <f>VLOOKUP($A45,US_Results!$A$3:$I$53,7,FALSE)</f>
        <v>93255.426771306549</v>
      </c>
      <c r="I45" s="79">
        <v>0</v>
      </c>
      <c r="J45" s="79"/>
      <c r="O45" t="s">
        <v>227</v>
      </c>
      <c r="P45" t="s">
        <v>562</v>
      </c>
      <c r="Q45" s="99">
        <f>VLOOKUP(O45,US_Results!$A$3:$BP$53,67,FALSE)</f>
        <v>274.93277119202662</v>
      </c>
      <c r="R45" s="99">
        <f>VLOOKUP($O45,US_Results!$A$3:$BP$53,68,FALSE)</f>
        <v>-274.6569054402222</v>
      </c>
      <c r="S45" t="str">
        <f t="shared" si="0"/>
        <v>BEV better</v>
      </c>
      <c r="T45" s="99">
        <f t="shared" si="1"/>
        <v>45.622166974199907</v>
      </c>
      <c r="U45" s="99">
        <f t="shared" si="2"/>
        <v>24.802884456752757</v>
      </c>
      <c r="V45" s="99">
        <f t="shared" si="3"/>
        <v>20.819282517447149</v>
      </c>
      <c r="W45" s="10" t="s">
        <v>569</v>
      </c>
      <c r="X45" s="54">
        <f>US_Results!$BC$53/US_Results!$BM$56/'TCO Inputs'!$AZ$13</f>
        <v>0.22241753523302057</v>
      </c>
      <c r="Y45" s="54">
        <f>US_Results!$BC$53/US_Results!$BM$58/'TCO Inputs'!$AZ$13</f>
        <v>5.1791060939487842E-2</v>
      </c>
      <c r="Z45" s="196">
        <f>US_Results!$BC$53/US_Results!$BM$59/'TCO Inputs'!$AZ$13</f>
        <v>8.6930589981257314E-3</v>
      </c>
      <c r="AA45" s="54">
        <v>0.01</v>
      </c>
      <c r="AB45" s="99">
        <f t="shared" si="4"/>
        <v>0.78915898332318057</v>
      </c>
      <c r="AC45" s="99">
        <f t="shared" si="5"/>
        <v>549.58967663224882</v>
      </c>
      <c r="AD45" s="99">
        <f t="shared" si="6"/>
        <v>0.73554229785580716</v>
      </c>
      <c r="AE45" s="99"/>
    </row>
    <row r="46" spans="1:31" x14ac:dyDescent="0.25">
      <c r="A46" t="s">
        <v>229</v>
      </c>
      <c r="B46" t="s">
        <v>308</v>
      </c>
      <c r="C46" s="79">
        <f>VLOOKUP($A46,US_Results!$A$3:$I$53,2,FALSE)</f>
        <v>23731.611795719989</v>
      </c>
      <c r="D46" s="79">
        <f>VLOOKUP($A46,US_Results!$A$3:$I$53,3,FALSE)</f>
        <v>19533.028072035126</v>
      </c>
      <c r="E46" s="79">
        <f>VLOOKUP($A46,US_Results!$A$3:$I$53,4,FALSE)</f>
        <v>18668.373742517571</v>
      </c>
      <c r="F46" s="79">
        <f>VLOOKUP($A46,US_Results!$A$3:$I$53,5,FALSE)</f>
        <v>29777.851713764387</v>
      </c>
      <c r="G46" s="79">
        <f>VLOOKUP($A46,US_Results!$A$3:$I$53,6,FALSE)</f>
        <v>0</v>
      </c>
      <c r="H46" s="79">
        <f>VLOOKUP($A46,US_Results!$A$3:$I$53,7,FALSE)</f>
        <v>91710.865324037077</v>
      </c>
      <c r="I46" s="79">
        <v>0</v>
      </c>
      <c r="J46" s="79"/>
      <c r="O46" t="s">
        <v>229</v>
      </c>
      <c r="P46" t="s">
        <v>562</v>
      </c>
      <c r="Q46" s="99">
        <f>VLOOKUP(O46,US_Results!$A$3:$BP$53,67,FALSE)</f>
        <v>139.17341827193317</v>
      </c>
      <c r="R46" s="99">
        <f>VLOOKUP($O46,US_Results!$A$3:$BP$53,68,FALSE)</f>
        <v>-330.36873585102114</v>
      </c>
      <c r="S46" t="str">
        <f t="shared" si="0"/>
        <v>BEV better</v>
      </c>
      <c r="T46" s="99">
        <f t="shared" si="1"/>
        <v>41.687754067429211</v>
      </c>
      <c r="U46" s="99">
        <f t="shared" si="2"/>
        <v>19.065796751973238</v>
      </c>
      <c r="V46" s="99">
        <f t="shared" si="3"/>
        <v>22.621957315455973</v>
      </c>
      <c r="W46" s="10" t="s">
        <v>569</v>
      </c>
      <c r="X46" s="54">
        <f>US_Results!$BC$53/US_Results!$BM$56/'TCO Inputs'!$AZ$13</f>
        <v>0.22241753523302057</v>
      </c>
      <c r="Y46" s="54">
        <f>US_Results!$BC$53/US_Results!$BM$58/'TCO Inputs'!$AZ$13</f>
        <v>5.1791060939487842E-2</v>
      </c>
      <c r="Z46" s="196">
        <f>US_Results!$BC$53/US_Results!$BM$59/'TCO Inputs'!$AZ$13</f>
        <v>8.6930589981257314E-3</v>
      </c>
      <c r="AA46" s="54">
        <v>0.01</v>
      </c>
      <c r="AB46" s="99">
        <f t="shared" si="4"/>
        <v>0.82261517091012848</v>
      </c>
      <c r="AC46" s="99">
        <f t="shared" si="5"/>
        <v>469.54215412295434</v>
      </c>
      <c r="AD46" s="99">
        <f t="shared" si="6"/>
        <v>0.67986966357944734</v>
      </c>
      <c r="AE46" s="99"/>
    </row>
    <row r="47" spans="1:31" x14ac:dyDescent="0.25">
      <c r="A47" t="s">
        <v>159</v>
      </c>
      <c r="B47" t="s">
        <v>308</v>
      </c>
      <c r="C47" s="79">
        <f>VLOOKUP($A47,US_Results!$A$3:$I$53,2,FALSE)</f>
        <v>23731.611795719989</v>
      </c>
      <c r="D47" s="79">
        <f>VLOOKUP($A47,US_Results!$A$3:$I$53,3,FALSE)</f>
        <v>21618.630743892809</v>
      </c>
      <c r="E47" s="79">
        <f>VLOOKUP($A47,US_Results!$A$3:$I$53,4,FALSE)</f>
        <v>28774.086700038948</v>
      </c>
      <c r="F47" s="79">
        <f>VLOOKUP($A47,US_Results!$A$3:$I$53,5,FALSE)</f>
        <v>31131.60515167025</v>
      </c>
      <c r="G47" s="79">
        <f>VLOOKUP($A47,US_Results!$A$3:$I$53,6,FALSE)</f>
        <v>0</v>
      </c>
      <c r="H47" s="79">
        <f>VLOOKUP($A47,US_Results!$A$3:$I$53,7,FALSE)</f>
        <v>105255.93439132199</v>
      </c>
      <c r="I47" s="79">
        <v>0</v>
      </c>
      <c r="J47" s="79"/>
      <c r="O47" t="s">
        <v>159</v>
      </c>
      <c r="P47" t="s">
        <v>562</v>
      </c>
      <c r="Q47" s="99">
        <f>VLOOKUP(O47,US_Results!$A$3:$BP$53,67,FALSE)</f>
        <v>683.09719285431265</v>
      </c>
      <c r="R47" s="99">
        <f>VLOOKUP($O47,US_Results!$A$3:$BP$53,68,FALSE)</f>
        <v>-270.62823372799835</v>
      </c>
      <c r="S47" t="str">
        <f t="shared" si="0"/>
        <v>HEV better</v>
      </c>
      <c r="T47" s="99">
        <f t="shared" si="1"/>
        <v>10.559136746365652</v>
      </c>
      <c r="U47" s="99">
        <f t="shared" si="2"/>
        <v>29.047225333458819</v>
      </c>
      <c r="V47" s="99">
        <f t="shared" si="3"/>
        <v>-18.488088587093166</v>
      </c>
      <c r="W47" s="10" t="s">
        <v>569</v>
      </c>
      <c r="X47" s="54">
        <f>US_Results!$BC$53/US_Results!$BM$56/'TCO Inputs'!$AZ$13</f>
        <v>0.22241753523302057</v>
      </c>
      <c r="Y47" s="54">
        <f>US_Results!$BC$53/US_Results!$BM$58/'TCO Inputs'!$AZ$13</f>
        <v>5.1791060939487842E-2</v>
      </c>
      <c r="Z47" s="196">
        <f>US_Results!$BC$53/US_Results!$BM$59/'TCO Inputs'!$AZ$13</f>
        <v>8.6930589981257314E-3</v>
      </c>
      <c r="AA47" s="54">
        <v>0.01</v>
      </c>
      <c r="AB47" s="99">
        <f t="shared" si="4"/>
        <v>-1</v>
      </c>
      <c r="AC47" s="99">
        <f t="shared" si="5"/>
        <v>953.725426582311</v>
      </c>
      <c r="AD47" s="99">
        <f t="shared" si="6"/>
        <v>0.96894706054831969</v>
      </c>
      <c r="AE47" s="99"/>
    </row>
    <row r="48" spans="1:31" x14ac:dyDescent="0.25">
      <c r="A48" t="s">
        <v>158</v>
      </c>
      <c r="B48" t="s">
        <v>308</v>
      </c>
      <c r="C48" s="79">
        <f>VLOOKUP($A48,US_Results!$A$3:$I$53,2,FALSE)</f>
        <v>23731.611795719989</v>
      </c>
      <c r="D48" s="79">
        <f>VLOOKUP($A48,US_Results!$A$3:$I$53,3,FALSE)</f>
        <v>20842.159065201908</v>
      </c>
      <c r="E48" s="79">
        <f>VLOOKUP($A48,US_Results!$A$3:$I$53,4,FALSE)</f>
        <v>26329.073644347081</v>
      </c>
      <c r="F48" s="79">
        <f>VLOOKUP($A48,US_Results!$A$3:$I$53,5,FALSE)</f>
        <v>23062.087198161855</v>
      </c>
      <c r="G48" s="79">
        <f>VLOOKUP($A48,US_Results!$A$3:$I$53,6,FALSE)</f>
        <v>0</v>
      </c>
      <c r="H48" s="79">
        <f>VLOOKUP($A48,US_Results!$A$3:$I$53,7,FALSE)</f>
        <v>93964.931703430833</v>
      </c>
      <c r="I48" s="79">
        <v>0</v>
      </c>
      <c r="J48" s="79"/>
      <c r="O48" t="s">
        <v>158</v>
      </c>
      <c r="P48" t="s">
        <v>562</v>
      </c>
      <c r="Q48" s="99">
        <f>VLOOKUP(O48,US_Results!$A$3:$BP$53,67,FALSE)</f>
        <v>226.92119381549543</v>
      </c>
      <c r="R48" s="99">
        <f>VLOOKUP($O48,US_Results!$A$3:$BP$53,68,FALSE)</f>
        <v>-282.16638770301</v>
      </c>
      <c r="S48" t="str">
        <f t="shared" si="0"/>
        <v>BEV better</v>
      </c>
      <c r="T48" s="99">
        <f t="shared" si="1"/>
        <v>31.514257854756835</v>
      </c>
      <c r="U48" s="99">
        <f t="shared" si="2"/>
        <v>27.303687441456312</v>
      </c>
      <c r="V48" s="99">
        <f t="shared" si="3"/>
        <v>4.2105704133005233</v>
      </c>
      <c r="W48" s="10" t="s">
        <v>569</v>
      </c>
      <c r="X48" s="54">
        <f>US_Results!$BC$53/US_Results!$BM$56/'TCO Inputs'!$AZ$13</f>
        <v>0.22241753523302057</v>
      </c>
      <c r="Y48" s="54">
        <f>US_Results!$BC$53/US_Results!$BM$58/'TCO Inputs'!$AZ$13</f>
        <v>5.1791060939487842E-2</v>
      </c>
      <c r="Z48" s="196">
        <f>US_Results!$BC$53/US_Results!$BM$59/'TCO Inputs'!$AZ$13</f>
        <v>8.6930589981257314E-3</v>
      </c>
      <c r="AA48" s="54">
        <v>0.01</v>
      </c>
      <c r="AB48" s="99">
        <f t="shared" si="4"/>
        <v>0.35489680743654284</v>
      </c>
      <c r="AC48" s="99">
        <f t="shared" si="5"/>
        <v>509.08758151850543</v>
      </c>
      <c r="AD48" s="99">
        <f t="shared" si="6"/>
        <v>0.70792071468434692</v>
      </c>
      <c r="AE48" s="99"/>
    </row>
    <row r="49" spans="1:31" x14ac:dyDescent="0.25">
      <c r="A49" t="s">
        <v>160</v>
      </c>
      <c r="B49" t="s">
        <v>308</v>
      </c>
      <c r="C49" s="79">
        <f>VLOOKUP($A49,US_Results!$A$3:$I$53,2,FALSE)</f>
        <v>23731.611795719989</v>
      </c>
      <c r="D49" s="79">
        <f>VLOOKUP($A49,US_Results!$A$3:$I$53,3,FALSE)</f>
        <v>34841.893189087554</v>
      </c>
      <c r="E49" s="79">
        <f>VLOOKUP($A49,US_Results!$A$3:$I$53,4,FALSE)</f>
        <v>41038.367669070722</v>
      </c>
      <c r="F49" s="79">
        <f>VLOOKUP($A49,US_Results!$A$3:$I$53,5,FALSE)</f>
        <v>28256.599803816684</v>
      </c>
      <c r="G49" s="79">
        <f>VLOOKUP($A49,US_Results!$A$3:$I$53,6,FALSE)</f>
        <v>0</v>
      </c>
      <c r="H49" s="79">
        <f>VLOOKUP($A49,US_Results!$A$3:$I$53,7,FALSE)</f>
        <v>127868.47245769495</v>
      </c>
      <c r="I49" s="79">
        <v>0</v>
      </c>
      <c r="J49" s="79"/>
      <c r="O49" t="s">
        <v>160</v>
      </c>
      <c r="P49" t="s">
        <v>562</v>
      </c>
      <c r="Q49" s="99">
        <f>VLOOKUP(O49,US_Results!$A$3:$BP$53,67,FALSE)</f>
        <v>275.83143267090531</v>
      </c>
      <c r="R49" s="99">
        <f>VLOOKUP($O49,US_Results!$A$3:$BP$53,68,FALSE)</f>
        <v>-329.42610376327241</v>
      </c>
      <c r="S49" t="str">
        <f t="shared" si="0"/>
        <v>HEV better</v>
      </c>
      <c r="T49" s="99">
        <f t="shared" si="1"/>
        <v>25.78046126798715</v>
      </c>
      <c r="U49" s="99">
        <f t="shared" si="2"/>
        <v>42.678492743957491</v>
      </c>
      <c r="V49" s="99">
        <f t="shared" si="3"/>
        <v>-16.898031475970342</v>
      </c>
      <c r="W49" s="10" t="s">
        <v>569</v>
      </c>
      <c r="X49" s="54">
        <f>US_Results!$BC$53/US_Results!$BM$56/'TCO Inputs'!$AZ$13</f>
        <v>0.22241753523302057</v>
      </c>
      <c r="Y49" s="54">
        <f>US_Results!$BC$53/US_Results!$BM$58/'TCO Inputs'!$AZ$13</f>
        <v>5.1791060939487842E-2</v>
      </c>
      <c r="Z49" s="196">
        <f>US_Results!$BC$53/US_Results!$BM$59/'TCO Inputs'!$AZ$13</f>
        <v>8.6930589981257314E-3</v>
      </c>
      <c r="AA49" s="54">
        <v>0.01</v>
      </c>
      <c r="AB49" s="99">
        <f t="shared" si="4"/>
        <v>-0.95603116693692847</v>
      </c>
      <c r="AC49" s="99">
        <f t="shared" si="5"/>
        <v>605.25753643417772</v>
      </c>
      <c r="AD49" s="99">
        <f t="shared" si="6"/>
        <v>0.77189543384937853</v>
      </c>
      <c r="AE49" s="99"/>
    </row>
    <row r="50" spans="1:31" x14ac:dyDescent="0.25">
      <c r="A50" t="s">
        <v>187</v>
      </c>
      <c r="B50" t="s">
        <v>255</v>
      </c>
      <c r="C50" s="79">
        <v>40967.546942691188</v>
      </c>
      <c r="D50" s="79">
        <v>20842.159065201908</v>
      </c>
      <c r="E50" s="79">
        <v>21900.6564</v>
      </c>
      <c r="F50" s="79">
        <v>35182.079071834843</v>
      </c>
      <c r="G50" s="79">
        <v>0</v>
      </c>
      <c r="H50" s="79">
        <v>113855.47982197134</v>
      </c>
      <c r="I50" s="79">
        <f>VLOOKUP(Visualization!$A50,US_Results!$A$3:$AJ$52,17,FALSE)</f>
        <v>51.667873398909101</v>
      </c>
      <c r="J50" s="79">
        <f>VLOOKUP($A50,$O$2:$R$49,3,FALSE)</f>
        <v>99.483731468194847</v>
      </c>
      <c r="O50" t="s">
        <v>187</v>
      </c>
      <c r="P50" t="s">
        <v>562</v>
      </c>
      <c r="Q50" s="99">
        <v>401.1546685902573</v>
      </c>
      <c r="R50" s="99">
        <v>-227.94362308157574</v>
      </c>
      <c r="S50" t="str">
        <f t="shared" si="0"/>
        <v>BEV better</v>
      </c>
      <c r="T50" s="99">
        <v>18.400190827651326</v>
      </c>
      <c r="U50" s="99">
        <v>12.212102750608494</v>
      </c>
      <c r="V50" s="99">
        <f t="shared" si="3"/>
        <v>6.1880880770428313</v>
      </c>
      <c r="W50" s="10" t="s">
        <v>570</v>
      </c>
      <c r="X50" s="54">
        <f>83.0363183346213%/5</f>
        <v>0.1660726366692426</v>
      </c>
      <c r="Y50" s="54">
        <f>19.3354315277055%/5</f>
        <v>3.8670863055410995E-2</v>
      </c>
      <c r="Z50" s="196">
        <f>3.42582799386133%/5</f>
        <v>6.8516559877226605E-3</v>
      </c>
      <c r="AA50" s="54">
        <v>0.01</v>
      </c>
      <c r="AB50" s="99">
        <f t="shared" ref="AB50:AB97" si="7">IF(V50&gt;0, SQRT(V50/MAX($V$50:$V$97)), -SQRT(V50/MIN($V$50:$V$97)))</f>
        <v>0.67938061933705562</v>
      </c>
      <c r="AC50" s="99">
        <f t="shared" si="5"/>
        <v>629.09829167183307</v>
      </c>
      <c r="AD50" s="99">
        <f>IF(AC50&gt;0,SQRT(AC50/MAX($AC$50:$AC$97)),-SQRT(AC50/MIN($AC$50:$AC$97)))</f>
        <v>0.35975251653006268</v>
      </c>
      <c r="AE50" s="99"/>
    </row>
    <row r="51" spans="1:31" x14ac:dyDescent="0.25">
      <c r="A51" t="s">
        <v>189</v>
      </c>
      <c r="B51" t="s">
        <v>255</v>
      </c>
      <c r="C51" s="79">
        <v>40967.546942691188</v>
      </c>
      <c r="D51" s="79">
        <v>34841.893189087554</v>
      </c>
      <c r="E51" s="79">
        <v>16090.228000000001</v>
      </c>
      <c r="F51" s="79">
        <v>36898.399453824379</v>
      </c>
      <c r="G51" s="79">
        <v>0</v>
      </c>
      <c r="H51" s="79">
        <v>105523.63079493574</v>
      </c>
      <c r="I51" s="79">
        <f>VLOOKUP(Visualization!$A51,US_Results!$A$3:$AJ$52,17,FALSE)</f>
        <v>38.880960033801074</v>
      </c>
      <c r="J51" s="79">
        <f t="shared" ref="J51:J96" si="8">VLOOKUP($A51,$O$2:$R$49,3,FALSE)</f>
        <v>81.032914650577453</v>
      </c>
      <c r="O51" t="s">
        <v>189</v>
      </c>
      <c r="P51" t="s">
        <v>562</v>
      </c>
      <c r="Q51" s="99">
        <v>493.07857674420006</v>
      </c>
      <c r="R51" s="99">
        <v>-308.66857824201622</v>
      </c>
      <c r="S51" t="str">
        <f t="shared" si="0"/>
        <v>BEV better</v>
      </c>
      <c r="T51" s="99">
        <v>13.915531136135559</v>
      </c>
      <c r="U51" s="99">
        <v>9.0786289159240212</v>
      </c>
      <c r="V51" s="99">
        <f t="shared" si="3"/>
        <v>4.8369022202115382</v>
      </c>
      <c r="W51" s="10" t="s">
        <v>570</v>
      </c>
      <c r="X51" s="54">
        <f t="shared" ref="X51:X97" si="9">83.0363183346213%/5</f>
        <v>0.1660726366692426</v>
      </c>
      <c r="Y51" s="54">
        <f t="shared" ref="Y51:Y97" si="10">19.3354315277055%/5</f>
        <v>3.8670863055410995E-2</v>
      </c>
      <c r="Z51" s="196">
        <f t="shared" ref="Z51:Z97" si="11">3.42582799386133%/5</f>
        <v>6.8516559877226605E-3</v>
      </c>
      <c r="AA51" s="54">
        <v>0.01</v>
      </c>
      <c r="AB51" s="99">
        <f t="shared" si="7"/>
        <v>0.60064596561339012</v>
      </c>
      <c r="AC51" s="99">
        <f t="shared" si="5"/>
        <v>801.74715498621629</v>
      </c>
      <c r="AD51" s="99">
        <f t="shared" ref="AD51:AD97" si="12">IF(AC51&gt;0,SQRT(AC51/MAX($AC$50:$AC$97)),-SQRT(AC51/MIN($AC$50:$AC$97)))</f>
        <v>0.40612834505152601</v>
      </c>
      <c r="AE51" s="99"/>
    </row>
    <row r="52" spans="1:31" x14ac:dyDescent="0.25">
      <c r="A52" t="s">
        <v>188</v>
      </c>
      <c r="B52" t="s">
        <v>255</v>
      </c>
      <c r="C52" s="79">
        <v>40967.546942691188</v>
      </c>
      <c r="D52" s="79">
        <v>13829.84771690245</v>
      </c>
      <c r="E52" s="79">
        <v>21171.7408</v>
      </c>
      <c r="F52" s="79">
        <v>40767.837475604727</v>
      </c>
      <c r="G52" s="79">
        <v>0</v>
      </c>
      <c r="H52" s="79">
        <v>116736.97293519837</v>
      </c>
      <c r="I52" s="79">
        <f>VLOOKUP(Visualization!$A52,US_Results!$A$3:$AJ$52,17,FALSE)</f>
        <v>41.908306152784085</v>
      </c>
      <c r="J52" s="79">
        <f t="shared" si="8"/>
        <v>205.01800754819072</v>
      </c>
      <c r="O52" t="s">
        <v>188</v>
      </c>
      <c r="P52" t="s">
        <v>562</v>
      </c>
      <c r="Q52" s="99">
        <v>675.25885450425312</v>
      </c>
      <c r="R52" s="99">
        <v>-217.54879453083089</v>
      </c>
      <c r="S52" t="str">
        <f t="shared" si="0"/>
        <v>BEV better</v>
      </c>
      <c r="T52" s="99">
        <v>13.645995762661542</v>
      </c>
      <c r="U52" s="99">
        <v>11.875716457959903</v>
      </c>
      <c r="V52" s="99">
        <f t="shared" si="3"/>
        <v>1.7702793047016385</v>
      </c>
      <c r="W52" s="10" t="s">
        <v>570</v>
      </c>
      <c r="X52" s="54">
        <f t="shared" si="9"/>
        <v>0.1660726366692426</v>
      </c>
      <c r="Y52" s="54">
        <f t="shared" si="10"/>
        <v>3.8670863055410995E-2</v>
      </c>
      <c r="Z52" s="196">
        <f t="shared" si="11"/>
        <v>6.8516559877226605E-3</v>
      </c>
      <c r="AA52" s="54">
        <v>0.01</v>
      </c>
      <c r="AB52" s="99">
        <f t="shared" si="7"/>
        <v>0.36337563733511152</v>
      </c>
      <c r="AC52" s="99">
        <f t="shared" si="5"/>
        <v>892.80764903508407</v>
      </c>
      <c r="AD52" s="99">
        <f t="shared" si="12"/>
        <v>0.42857174844253682</v>
      </c>
      <c r="AE52" s="99"/>
    </row>
    <row r="53" spans="1:31" x14ac:dyDescent="0.25">
      <c r="A53" t="s">
        <v>149</v>
      </c>
      <c r="B53" t="s">
        <v>255</v>
      </c>
      <c r="C53" s="79">
        <v>40967.546942691188</v>
      </c>
      <c r="D53" s="79">
        <v>18370.540350647363</v>
      </c>
      <c r="E53" s="79">
        <v>15394.5008</v>
      </c>
      <c r="F53" s="79">
        <v>39598.659037698861</v>
      </c>
      <c r="G53" s="79">
        <v>0</v>
      </c>
      <c r="H53" s="79">
        <v>114331.24713103741</v>
      </c>
      <c r="I53" s="79">
        <f>VLOOKUP(Visualization!$A53,US_Results!$A$3:$AJ$52,17,FALSE)</f>
        <v>43.411917986401122</v>
      </c>
      <c r="J53" s="79">
        <f t="shared" si="8"/>
        <v>289.9856494707505</v>
      </c>
      <c r="O53" t="s">
        <v>149</v>
      </c>
      <c r="P53" t="s">
        <v>562</v>
      </c>
      <c r="Q53" s="99">
        <v>670.12254825203195</v>
      </c>
      <c r="R53" s="99">
        <v>-289.1747374728169</v>
      </c>
      <c r="S53" t="str">
        <f t="shared" si="0"/>
        <v>BEV better</v>
      </c>
      <c r="T53" s="99">
        <v>16.523355656634923</v>
      </c>
      <c r="U53" s="99">
        <v>8.6181471710660169</v>
      </c>
      <c r="V53" s="99">
        <f t="shared" si="3"/>
        <v>7.905208485568906</v>
      </c>
      <c r="W53" s="10" t="s">
        <v>570</v>
      </c>
      <c r="X53" s="54">
        <f t="shared" si="9"/>
        <v>0.1660726366692426</v>
      </c>
      <c r="Y53" s="54">
        <f t="shared" si="10"/>
        <v>3.8670863055410995E-2</v>
      </c>
      <c r="Z53" s="196">
        <f t="shared" si="11"/>
        <v>6.8516559877226605E-3</v>
      </c>
      <c r="AA53" s="54">
        <v>0.01</v>
      </c>
      <c r="AB53" s="99">
        <f t="shared" si="7"/>
        <v>0.76787684960104097</v>
      </c>
      <c r="AC53" s="99">
        <f t="shared" si="5"/>
        <v>959.29728572484885</v>
      </c>
      <c r="AD53" s="99">
        <f t="shared" si="12"/>
        <v>0.44424361599133694</v>
      </c>
      <c r="AE53" s="99"/>
    </row>
    <row r="54" spans="1:31" x14ac:dyDescent="0.25">
      <c r="A54" t="s">
        <v>190</v>
      </c>
      <c r="B54" t="s">
        <v>255</v>
      </c>
      <c r="C54" s="79">
        <v>40967.546942691188</v>
      </c>
      <c r="D54" s="79">
        <v>12646.592320267</v>
      </c>
      <c r="E54" s="79">
        <v>15855.450800000001</v>
      </c>
      <c r="F54" s="79">
        <v>37725.114037698862</v>
      </c>
      <c r="G54" s="79">
        <v>0</v>
      </c>
      <c r="H54" s="79">
        <v>107194.70410065705</v>
      </c>
      <c r="I54" s="79">
        <f>VLOOKUP(Visualization!$A54,US_Results!$A$3:$AJ$52,17,FALSE)</f>
        <v>30.218324154436985</v>
      </c>
      <c r="J54" s="79">
        <f t="shared" si="8"/>
        <v>345.98711829281632</v>
      </c>
      <c r="O54" t="s">
        <v>190</v>
      </c>
      <c r="P54" t="s">
        <v>562</v>
      </c>
      <c r="Q54" s="99">
        <v>1026.9346231709271</v>
      </c>
      <c r="R54" s="99">
        <v>-222.43938981032761</v>
      </c>
      <c r="S54" t="str">
        <f t="shared" si="0"/>
        <v>BEV better</v>
      </c>
      <c r="T54" s="99">
        <v>9.4598183738327428</v>
      </c>
      <c r="U54" s="99">
        <v>9.1385606326039337</v>
      </c>
      <c r="V54" s="99">
        <f t="shared" si="3"/>
        <v>0.32125774122880912</v>
      </c>
      <c r="W54" s="10" t="s">
        <v>570</v>
      </c>
      <c r="X54" s="54">
        <f t="shared" si="9"/>
        <v>0.1660726366692426</v>
      </c>
      <c r="Y54" s="54">
        <f t="shared" si="10"/>
        <v>3.8670863055410995E-2</v>
      </c>
      <c r="Z54" s="196">
        <f t="shared" si="11"/>
        <v>6.8516559877226605E-3</v>
      </c>
      <c r="AA54" s="54">
        <v>0.01</v>
      </c>
      <c r="AB54" s="99">
        <f t="shared" si="7"/>
        <v>0.15479670465671569</v>
      </c>
      <c r="AC54" s="99">
        <f t="shared" si="5"/>
        <v>1249.3740129812547</v>
      </c>
      <c r="AD54" s="99">
        <f t="shared" si="12"/>
        <v>0.50697999390226012</v>
      </c>
      <c r="AE54" s="99"/>
    </row>
    <row r="55" spans="1:31" x14ac:dyDescent="0.25">
      <c r="A55" t="s">
        <v>191</v>
      </c>
      <c r="B55" t="s">
        <v>255</v>
      </c>
      <c r="C55" s="79">
        <v>40967.546942691188</v>
      </c>
      <c r="D55" s="79">
        <v>18759.206106519625</v>
      </c>
      <c r="E55" s="79">
        <v>14894.216400000001</v>
      </c>
      <c r="F55" s="79">
        <v>41863.835149531507</v>
      </c>
      <c r="G55" s="79">
        <v>0</v>
      </c>
      <c r="H55" s="79">
        <v>116484.80459874231</v>
      </c>
      <c r="I55" s="79">
        <f>VLOOKUP(Visualization!$A55,US_Results!$A$3:$AJ$52,17,FALSE)</f>
        <v>37.986682473034399</v>
      </c>
      <c r="J55" s="79">
        <f t="shared" si="8"/>
        <v>569.17830779594613</v>
      </c>
      <c r="O55" t="s">
        <v>191</v>
      </c>
      <c r="P55" t="s">
        <v>562</v>
      </c>
      <c r="Q55" s="99">
        <v>1071.2614172471453</v>
      </c>
      <c r="R55" s="99">
        <v>-193.2817273169847</v>
      </c>
      <c r="S55" t="str">
        <f t="shared" si="0"/>
        <v>BEV better</v>
      </c>
      <c r="T55" s="99">
        <v>13.836489785508276</v>
      </c>
      <c r="U55" s="99">
        <v>8.4941685360403554</v>
      </c>
      <c r="V55" s="99">
        <f t="shared" si="3"/>
        <v>5.3423212494679202</v>
      </c>
      <c r="W55" s="10" t="s">
        <v>570</v>
      </c>
      <c r="X55" s="54">
        <f t="shared" si="9"/>
        <v>0.1660726366692426</v>
      </c>
      <c r="Y55" s="54">
        <f t="shared" si="10"/>
        <v>3.8670863055410995E-2</v>
      </c>
      <c r="Z55" s="196">
        <f t="shared" si="11"/>
        <v>6.8516559877226605E-3</v>
      </c>
      <c r="AA55" s="54">
        <v>0.01</v>
      </c>
      <c r="AB55" s="99">
        <f t="shared" si="7"/>
        <v>0.63124784758952124</v>
      </c>
      <c r="AC55" s="99">
        <f t="shared" si="5"/>
        <v>1264.54314456413</v>
      </c>
      <c r="AD55" s="99">
        <f t="shared" si="12"/>
        <v>0.51004842802704786</v>
      </c>
      <c r="AE55" s="99"/>
    </row>
    <row r="56" spans="1:31" x14ac:dyDescent="0.25">
      <c r="A56" t="s">
        <v>192</v>
      </c>
      <c r="B56" t="s">
        <v>255</v>
      </c>
      <c r="C56" s="79">
        <v>40967.546942691188</v>
      </c>
      <c r="D56" s="79">
        <v>11945.7925760527</v>
      </c>
      <c r="E56" s="79">
        <v>15498.9828</v>
      </c>
      <c r="F56" s="79">
        <v>35315.48136377208</v>
      </c>
      <c r="G56" s="79">
        <v>0</v>
      </c>
      <c r="H56" s="79">
        <v>103727.80368251597</v>
      </c>
      <c r="I56" s="79">
        <f>VLOOKUP(Visualization!$A56,US_Results!$A$3:$AJ$52,17,FALSE)</f>
        <v>31.418120515566734</v>
      </c>
      <c r="J56" s="79">
        <f t="shared" si="8"/>
        <v>292.28178332809392</v>
      </c>
      <c r="O56" t="s">
        <v>192</v>
      </c>
      <c r="P56" t="s">
        <v>562</v>
      </c>
      <c r="Q56" s="99">
        <v>864.13950196119151</v>
      </c>
      <c r="R56" s="99">
        <v>-210.98420732424921</v>
      </c>
      <c r="S56" t="str">
        <f t="shared" si="0"/>
        <v>BEV better</v>
      </c>
      <c r="T56" s="99">
        <v>10.331231696470375</v>
      </c>
      <c r="U56" s="99">
        <v>8.7450291826498052</v>
      </c>
      <c r="V56" s="99">
        <f t="shared" si="3"/>
        <v>1.5862025138205702</v>
      </c>
      <c r="W56" s="10" t="s">
        <v>570</v>
      </c>
      <c r="X56" s="54">
        <f t="shared" si="9"/>
        <v>0.1660726366692426</v>
      </c>
      <c r="Y56" s="54">
        <f t="shared" si="10"/>
        <v>3.8670863055410995E-2</v>
      </c>
      <c r="Z56" s="196">
        <f t="shared" si="11"/>
        <v>6.8516559877226605E-3</v>
      </c>
      <c r="AA56" s="54">
        <v>0.01</v>
      </c>
      <c r="AB56" s="99">
        <f t="shared" si="7"/>
        <v>0.34396497930478032</v>
      </c>
      <c r="AC56" s="99">
        <f t="shared" si="5"/>
        <v>1075.1237092854408</v>
      </c>
      <c r="AD56" s="99">
        <f t="shared" si="12"/>
        <v>0.47029873143965151</v>
      </c>
      <c r="AE56" s="99"/>
    </row>
    <row r="57" spans="1:31" x14ac:dyDescent="0.25">
      <c r="A57" t="s">
        <v>193</v>
      </c>
      <c r="B57" t="s">
        <v>255</v>
      </c>
      <c r="C57" s="79">
        <v>40967.546942691188</v>
      </c>
      <c r="D57" s="79">
        <v>12701.304901503536</v>
      </c>
      <c r="E57" s="79">
        <v>17893.464400000001</v>
      </c>
      <c r="F57" s="79">
        <v>44365.896261364149</v>
      </c>
      <c r="G57" s="79">
        <v>0</v>
      </c>
      <c r="H57" s="79">
        <v>115928.21250555887</v>
      </c>
      <c r="I57" s="79">
        <f>VLOOKUP(Visualization!$A57,US_Results!$A$3:$AJ$52,17,FALSE)</f>
        <v>38.942491020210262</v>
      </c>
      <c r="J57" s="79">
        <f t="shared" si="8"/>
        <v>387.37763895262293</v>
      </c>
      <c r="O57" t="s">
        <v>193</v>
      </c>
      <c r="P57" t="s">
        <v>562</v>
      </c>
      <c r="Q57" s="99">
        <v>893.66891389775071</v>
      </c>
      <c r="R57" s="99">
        <v>-187.62475706020217</v>
      </c>
      <c r="S57" t="str">
        <f t="shared" si="0"/>
        <v>BEV better</v>
      </c>
      <c r="T57" s="99">
        <v>13.360685370409183</v>
      </c>
      <c r="U57" s="99">
        <v>9.9875077985176652</v>
      </c>
      <c r="V57" s="99">
        <f t="shared" si="3"/>
        <v>3.3731775718915173</v>
      </c>
      <c r="W57" s="10" t="s">
        <v>570</v>
      </c>
      <c r="X57" s="54">
        <f t="shared" si="9"/>
        <v>0.1660726366692426</v>
      </c>
      <c r="Y57" s="54">
        <f t="shared" si="10"/>
        <v>3.8670863055410995E-2</v>
      </c>
      <c r="Z57" s="196">
        <f t="shared" si="11"/>
        <v>6.8516559877226605E-3</v>
      </c>
      <c r="AA57" s="54">
        <v>0.01</v>
      </c>
      <c r="AB57" s="99">
        <f t="shared" si="7"/>
        <v>0.50159651724364429</v>
      </c>
      <c r="AC57" s="99">
        <f t="shared" si="5"/>
        <v>1081.2936709579528</v>
      </c>
      <c r="AD57" s="99">
        <f t="shared" si="12"/>
        <v>0.47164628516414953</v>
      </c>
      <c r="AE57" s="99"/>
    </row>
    <row r="58" spans="1:31" x14ac:dyDescent="0.25">
      <c r="A58" t="s">
        <v>194</v>
      </c>
      <c r="B58" t="s">
        <v>255</v>
      </c>
      <c r="C58" s="79">
        <v>40967.546942691188</v>
      </c>
      <c r="D58" s="79">
        <v>15338.541991934811</v>
      </c>
      <c r="E58" s="79">
        <v>22536.1528</v>
      </c>
      <c r="F58" s="79">
        <v>35843.375633928976</v>
      </c>
      <c r="G58" s="79">
        <v>0</v>
      </c>
      <c r="H58" s="79">
        <v>114685.61736855499</v>
      </c>
      <c r="I58" s="79">
        <f>VLOOKUP(Visualization!$A58,US_Results!$A$3:$AJ$52,17,FALSE)</f>
        <v>52.536701266674378</v>
      </c>
      <c r="J58" s="79">
        <f t="shared" si="8"/>
        <v>33.896493001266705</v>
      </c>
      <c r="O58" t="s">
        <v>194</v>
      </c>
      <c r="P58" t="s">
        <v>562</v>
      </c>
      <c r="Q58" s="99">
        <v>343.24936414336906</v>
      </c>
      <c r="R58" s="99">
        <v>-245.60872010447787</v>
      </c>
      <c r="S58" t="str">
        <f t="shared" si="0"/>
        <v>BEV better</v>
      </c>
      <c r="T58" s="99">
        <v>18.62145821682671</v>
      </c>
      <c r="U58" s="99">
        <v>12.554033756818065</v>
      </c>
      <c r="V58" s="99">
        <f t="shared" si="3"/>
        <v>6.0674244600086453</v>
      </c>
      <c r="W58" s="10" t="s">
        <v>570</v>
      </c>
      <c r="X58" s="54">
        <f t="shared" si="9"/>
        <v>0.1660726366692426</v>
      </c>
      <c r="Y58" s="54">
        <f t="shared" si="10"/>
        <v>3.8670863055410995E-2</v>
      </c>
      <c r="Z58" s="196">
        <f t="shared" si="11"/>
        <v>6.8516559877226605E-3</v>
      </c>
      <c r="AA58" s="54">
        <v>0.01</v>
      </c>
      <c r="AB58" s="99">
        <f t="shared" si="7"/>
        <v>0.67272427507224208</v>
      </c>
      <c r="AC58" s="99">
        <f t="shared" si="5"/>
        <v>588.85808424784693</v>
      </c>
      <c r="AD58" s="99">
        <f t="shared" si="12"/>
        <v>0.34805662810139504</v>
      </c>
      <c r="AE58" s="99"/>
    </row>
    <row r="59" spans="1:31" x14ac:dyDescent="0.25">
      <c r="A59" t="s">
        <v>196</v>
      </c>
      <c r="B59" t="s">
        <v>255</v>
      </c>
      <c r="C59" s="79">
        <v>40967.546942691188</v>
      </c>
      <c r="D59" s="79">
        <v>12284.551264593238</v>
      </c>
      <c r="E59" s="79">
        <v>17721.376400000001</v>
      </c>
      <c r="F59" s="79">
        <v>34583.673723981272</v>
      </c>
      <c r="G59" s="79">
        <v>0</v>
      </c>
      <c r="H59" s="79">
        <v>105557.14833126569</v>
      </c>
      <c r="I59" s="79">
        <f>VLOOKUP(Visualization!$A59,US_Results!$A$3:$AJ$52,17,FALSE)</f>
        <v>53.333082460405322</v>
      </c>
      <c r="J59" s="79">
        <f t="shared" si="8"/>
        <v>52.877722676883387</v>
      </c>
      <c r="O59" t="s">
        <v>196</v>
      </c>
      <c r="P59" t="s">
        <v>562</v>
      </c>
      <c r="Q59" s="99">
        <v>328.61925300535745</v>
      </c>
      <c r="R59" s="99">
        <v>-256.89395462602334</v>
      </c>
      <c r="S59" t="str">
        <f t="shared" si="0"/>
        <v>BEV better</v>
      </c>
      <c r="T59" s="99">
        <v>20.487305154922531</v>
      </c>
      <c r="U59" s="99">
        <v>10.282441590367565</v>
      </c>
      <c r="V59" s="99">
        <f t="shared" si="3"/>
        <v>10.204863564554966</v>
      </c>
      <c r="W59" s="10" t="s">
        <v>570</v>
      </c>
      <c r="X59" s="54">
        <f t="shared" si="9"/>
        <v>0.1660726366692426</v>
      </c>
      <c r="Y59" s="54">
        <f t="shared" si="10"/>
        <v>3.8670863055410995E-2</v>
      </c>
      <c r="Z59" s="196">
        <f t="shared" si="11"/>
        <v>6.8516559877226605E-3</v>
      </c>
      <c r="AA59" s="54">
        <v>0.01</v>
      </c>
      <c r="AB59" s="99">
        <f t="shared" si="7"/>
        <v>0.87244591137289396</v>
      </c>
      <c r="AC59" s="99">
        <f t="shared" si="5"/>
        <v>585.51320763138074</v>
      </c>
      <c r="AD59" s="99">
        <f t="shared" si="12"/>
        <v>0.34706669141414637</v>
      </c>
      <c r="AE59" s="99"/>
    </row>
    <row r="60" spans="1:31" x14ac:dyDescent="0.25">
      <c r="A60" t="s">
        <v>197</v>
      </c>
      <c r="B60" t="s">
        <v>255</v>
      </c>
      <c r="C60" s="79">
        <v>40967.546942691188</v>
      </c>
      <c r="D60" s="79">
        <v>12356.838937554714</v>
      </c>
      <c r="E60" s="79">
        <v>15464.565200000001</v>
      </c>
      <c r="F60" s="79">
        <v>37277.453689845293</v>
      </c>
      <c r="G60" s="79">
        <v>0</v>
      </c>
      <c r="H60" s="79">
        <v>106066.40477009119</v>
      </c>
      <c r="I60" s="79">
        <f>VLOOKUP(Visualization!$A60,US_Results!$A$3:$AJ$52,17,FALSE)</f>
        <v>42.837187613587197</v>
      </c>
      <c r="J60" s="79">
        <f t="shared" si="8"/>
        <v>242.77737298112214</v>
      </c>
      <c r="O60" t="s">
        <v>197</v>
      </c>
      <c r="P60" t="s">
        <v>562</v>
      </c>
      <c r="Q60" s="99">
        <v>626.43165828027099</v>
      </c>
      <c r="R60" s="99">
        <v>-201.90144577125125</v>
      </c>
      <c r="S60" t="str">
        <f t="shared" si="0"/>
        <v>BEV better</v>
      </c>
      <c r="T60" s="99">
        <v>16.101491435493671</v>
      </c>
      <c r="U60" s="99">
        <v>8.8109084585564972</v>
      </c>
      <c r="V60" s="99">
        <f t="shared" si="3"/>
        <v>7.2905829769371735</v>
      </c>
      <c r="W60" s="10" t="s">
        <v>570</v>
      </c>
      <c r="X60" s="54">
        <f t="shared" si="9"/>
        <v>0.1660726366692426</v>
      </c>
      <c r="Y60" s="54">
        <f t="shared" si="10"/>
        <v>3.8670863055410995E-2</v>
      </c>
      <c r="Z60" s="196">
        <f t="shared" si="11"/>
        <v>6.8516559877226605E-3</v>
      </c>
      <c r="AA60" s="54">
        <v>0.01</v>
      </c>
      <c r="AB60" s="99">
        <f t="shared" si="7"/>
        <v>0.7374219132139993</v>
      </c>
      <c r="AC60" s="99">
        <f t="shared" si="5"/>
        <v>828.33310405152224</v>
      </c>
      <c r="AD60" s="99">
        <f t="shared" si="12"/>
        <v>0.41280704151826531</v>
      </c>
      <c r="AE60" s="99"/>
    </row>
    <row r="61" spans="1:31" x14ac:dyDescent="0.25">
      <c r="A61" t="s">
        <v>198</v>
      </c>
      <c r="B61" t="s">
        <v>255</v>
      </c>
      <c r="C61" s="79">
        <v>40967.546942691188</v>
      </c>
      <c r="D61" s="79">
        <v>17405.012431225427</v>
      </c>
      <c r="E61" s="79">
        <v>22155.1008</v>
      </c>
      <c r="F61" s="79">
        <v>36506.577161887137</v>
      </c>
      <c r="G61" s="79">
        <v>0</v>
      </c>
      <c r="H61" s="79">
        <v>117034.23733580374</v>
      </c>
      <c r="I61" s="79">
        <f>VLOOKUP(Visualization!$A61,US_Results!$A$3:$AJ$52,17,FALSE)</f>
        <v>28.759069073743717</v>
      </c>
      <c r="J61" s="79">
        <f t="shared" si="8"/>
        <v>135.24257340301693</v>
      </c>
      <c r="O61" t="s">
        <v>198</v>
      </c>
      <c r="P61" t="s">
        <v>562</v>
      </c>
      <c r="Q61" s="99">
        <v>1125.6680282058273</v>
      </c>
      <c r="R61" s="99">
        <v>-260.94663304185849</v>
      </c>
      <c r="S61" t="str">
        <f t="shared" si="0"/>
        <v>HEV better</v>
      </c>
      <c r="T61" s="99">
        <v>6.4764829534083646</v>
      </c>
      <c r="U61" s="99">
        <v>12.59838875542242</v>
      </c>
      <c r="V61" s="99">
        <f t="shared" si="3"/>
        <v>-6.1219058020140551</v>
      </c>
      <c r="W61" s="10" t="s">
        <v>570</v>
      </c>
      <c r="X61" s="54">
        <f t="shared" si="9"/>
        <v>0.1660726366692426</v>
      </c>
      <c r="Y61" s="54">
        <f t="shared" si="10"/>
        <v>3.8670863055410995E-2</v>
      </c>
      <c r="Z61" s="196">
        <f t="shared" si="11"/>
        <v>6.8516559877226605E-3</v>
      </c>
      <c r="AA61" s="54">
        <v>0.01</v>
      </c>
      <c r="AB61" s="99">
        <f t="shared" si="7"/>
        <v>-0.63167918237126608</v>
      </c>
      <c r="AC61" s="99">
        <f t="shared" si="5"/>
        <v>1386.6146612476859</v>
      </c>
      <c r="AD61" s="99">
        <f t="shared" si="12"/>
        <v>0.53409988146926501</v>
      </c>
      <c r="AE61" s="99"/>
    </row>
    <row r="62" spans="1:31" x14ac:dyDescent="0.25">
      <c r="A62" t="s">
        <v>195</v>
      </c>
      <c r="B62" t="s">
        <v>255</v>
      </c>
      <c r="C62" s="79">
        <v>40967.546942691188</v>
      </c>
      <c r="D62" s="79">
        <v>13591.81953079943</v>
      </c>
      <c r="E62" s="79">
        <v>18124.554</v>
      </c>
      <c r="F62" s="79">
        <v>36308.378689845296</v>
      </c>
      <c r="G62" s="79">
        <v>0</v>
      </c>
      <c r="H62" s="79">
        <v>108992.29916333592</v>
      </c>
      <c r="I62" s="79">
        <f>VLOOKUP(Visualization!$A62,US_Results!$A$3:$AJ$52,17,FALSE)</f>
        <v>45.926312245525367</v>
      </c>
      <c r="J62" s="79">
        <f t="shared" si="8"/>
        <v>153.5520080712808</v>
      </c>
      <c r="O62" t="s">
        <v>195</v>
      </c>
      <c r="P62" t="s">
        <v>562</v>
      </c>
      <c r="Q62" s="99">
        <v>508.54384238269199</v>
      </c>
      <c r="R62" s="99">
        <v>-236.71209599402644</v>
      </c>
      <c r="S62" t="str">
        <f t="shared" si="0"/>
        <v>BEV better</v>
      </c>
      <c r="T62" s="99">
        <v>16.617530215437064</v>
      </c>
      <c r="U62" s="99">
        <v>10.436400060143644</v>
      </c>
      <c r="V62" s="99">
        <f t="shared" si="3"/>
        <v>6.1811301552934204</v>
      </c>
      <c r="W62" s="10" t="s">
        <v>570</v>
      </c>
      <c r="X62" s="54">
        <f t="shared" si="9"/>
        <v>0.1660726366692426</v>
      </c>
      <c r="Y62" s="54">
        <f t="shared" si="10"/>
        <v>3.8670863055410995E-2</v>
      </c>
      <c r="Z62" s="196">
        <f t="shared" si="11"/>
        <v>6.8516559877226605E-3</v>
      </c>
      <c r="AA62" s="54">
        <v>0.01</v>
      </c>
      <c r="AB62" s="99">
        <f t="shared" si="7"/>
        <v>0.67899856217624144</v>
      </c>
      <c r="AC62" s="99">
        <f t="shared" si="5"/>
        <v>745.2559383767184</v>
      </c>
      <c r="AD62" s="99">
        <f t="shared" si="12"/>
        <v>0.39155908980117993</v>
      </c>
      <c r="AE62" s="99"/>
    </row>
    <row r="63" spans="1:31" x14ac:dyDescent="0.25">
      <c r="A63" t="s">
        <v>199</v>
      </c>
      <c r="B63" t="s">
        <v>255</v>
      </c>
      <c r="C63" s="79">
        <v>40967.546942691188</v>
      </c>
      <c r="D63" s="79">
        <v>13297.748084536161</v>
      </c>
      <c r="E63" s="79">
        <v>18168.805199999999</v>
      </c>
      <c r="F63" s="79">
        <v>39109.833655709328</v>
      </c>
      <c r="G63" s="79">
        <v>0</v>
      </c>
      <c r="H63" s="79">
        <v>111543.93388293668</v>
      </c>
      <c r="I63" s="79">
        <f>VLOOKUP(Visualization!$A63,US_Results!$A$3:$AJ$52,17,FALSE)</f>
        <v>44.401988278119724</v>
      </c>
      <c r="J63" s="79">
        <f t="shared" si="8"/>
        <v>208.11619441425327</v>
      </c>
      <c r="O63" t="s">
        <v>199</v>
      </c>
      <c r="P63" t="s">
        <v>562</v>
      </c>
      <c r="Q63" s="99">
        <v>597.98500231520813</v>
      </c>
      <c r="R63" s="99">
        <v>-221.79996309268287</v>
      </c>
      <c r="S63" t="str">
        <f t="shared" si="0"/>
        <v>BEV better</v>
      </c>
      <c r="T63" s="99">
        <v>15.905983430307685</v>
      </c>
      <c r="U63" s="99">
        <v>10.341622904793727</v>
      </c>
      <c r="V63" s="99">
        <f t="shared" si="3"/>
        <v>5.5643605255139583</v>
      </c>
      <c r="W63" s="10" t="s">
        <v>570</v>
      </c>
      <c r="X63" s="54">
        <f t="shared" si="9"/>
        <v>0.1660726366692426</v>
      </c>
      <c r="Y63" s="54">
        <f t="shared" si="10"/>
        <v>3.8670863055410995E-2</v>
      </c>
      <c r="Z63" s="196">
        <f t="shared" si="11"/>
        <v>6.8516559877226605E-3</v>
      </c>
      <c r="AA63" s="54">
        <v>0.01</v>
      </c>
      <c r="AB63" s="99">
        <f t="shared" si="7"/>
        <v>0.64423236751040269</v>
      </c>
      <c r="AC63" s="99">
        <f t="shared" si="5"/>
        <v>819.78496540789104</v>
      </c>
      <c r="AD63" s="99">
        <f t="shared" si="12"/>
        <v>0.41067149789543045</v>
      </c>
      <c r="AE63" s="99"/>
    </row>
    <row r="64" spans="1:31" x14ac:dyDescent="0.25">
      <c r="A64" t="s">
        <v>157</v>
      </c>
      <c r="B64" t="s">
        <v>255</v>
      </c>
      <c r="C64" s="79">
        <v>40967.546942691188</v>
      </c>
      <c r="D64" s="79">
        <v>13803.830539797616</v>
      </c>
      <c r="E64" s="79">
        <v>20042.106</v>
      </c>
      <c r="F64" s="79">
        <v>39226.084419688399</v>
      </c>
      <c r="G64" s="79">
        <v>0</v>
      </c>
      <c r="H64" s="79">
        <v>114039.56790217721</v>
      </c>
      <c r="I64" s="79">
        <f>VLOOKUP(Visualization!$A64,US_Results!$A$3:$AJ$52,17,FALSE)</f>
        <v>17.997317478135997</v>
      </c>
      <c r="J64" s="79">
        <f t="shared" si="8"/>
        <v>393.01437426475087</v>
      </c>
      <c r="O64" t="s">
        <v>157</v>
      </c>
      <c r="P64" t="s">
        <v>562</v>
      </c>
      <c r="Q64" s="99">
        <v>4634.2461137148994</v>
      </c>
      <c r="R64" s="99">
        <v>-226.58827510670812</v>
      </c>
      <c r="S64" t="str">
        <f t="shared" si="0"/>
        <v>HEV better</v>
      </c>
      <c r="T64" s="99">
        <v>1.8422951242832433</v>
      </c>
      <c r="U64" s="99">
        <v>11.297352017770034</v>
      </c>
      <c r="V64" s="99">
        <f t="shared" si="3"/>
        <v>-9.4550568934867911</v>
      </c>
      <c r="W64" s="10" t="s">
        <v>570</v>
      </c>
      <c r="X64" s="54">
        <f t="shared" si="9"/>
        <v>0.1660726366692426</v>
      </c>
      <c r="Y64" s="54">
        <f t="shared" si="10"/>
        <v>3.8670863055410995E-2</v>
      </c>
      <c r="Z64" s="196">
        <f t="shared" si="11"/>
        <v>6.8516559877226605E-3</v>
      </c>
      <c r="AA64" s="54">
        <v>0.01</v>
      </c>
      <c r="AB64" s="99">
        <f t="shared" si="7"/>
        <v>-0.78502830567846438</v>
      </c>
      <c r="AC64" s="99">
        <f t="shared" si="5"/>
        <v>4860.8343888216077</v>
      </c>
      <c r="AD64" s="99">
        <f t="shared" si="12"/>
        <v>1</v>
      </c>
      <c r="AE64" s="99"/>
    </row>
    <row r="65" spans="1:31" x14ac:dyDescent="0.25">
      <c r="A65" t="s">
        <v>200</v>
      </c>
      <c r="B65" t="s">
        <v>255</v>
      </c>
      <c r="C65" s="79">
        <v>40967.546942691188</v>
      </c>
      <c r="D65" s="79">
        <v>11341.190104537833</v>
      </c>
      <c r="E65" s="79">
        <v>18377.769200000002</v>
      </c>
      <c r="F65" s="79">
        <v>41045.505149531506</v>
      </c>
      <c r="G65" s="79">
        <v>0</v>
      </c>
      <c r="H65" s="79">
        <v>111732.01139676053</v>
      </c>
      <c r="I65" s="79">
        <f>VLOOKUP(Visualization!$A65,US_Results!$A$3:$AJ$52,17,FALSE)</f>
        <v>39.414929000742902</v>
      </c>
      <c r="J65" s="79">
        <f t="shared" si="8"/>
        <v>289.22462168659467</v>
      </c>
      <c r="O65" t="s">
        <v>200</v>
      </c>
      <c r="P65" t="s">
        <v>562</v>
      </c>
      <c r="Q65" s="99">
        <v>761.95737123369133</v>
      </c>
      <c r="R65" s="99">
        <v>-177.95422531945317</v>
      </c>
      <c r="S65" t="str">
        <f t="shared" si="0"/>
        <v>BEV better</v>
      </c>
      <c r="T65" s="99">
        <v>13.426128365586376</v>
      </c>
      <c r="U65" s="99">
        <v>10.257829847883333</v>
      </c>
      <c r="V65" s="99">
        <f t="shared" si="3"/>
        <v>3.1682985177030432</v>
      </c>
      <c r="W65" s="10" t="s">
        <v>570</v>
      </c>
      <c r="X65" s="54">
        <f t="shared" si="9"/>
        <v>0.1660726366692426</v>
      </c>
      <c r="Y65" s="54">
        <f t="shared" si="10"/>
        <v>3.8670863055410995E-2</v>
      </c>
      <c r="Z65" s="196">
        <f t="shared" si="11"/>
        <v>6.8516559877226605E-3</v>
      </c>
      <c r="AA65" s="54">
        <v>0.01</v>
      </c>
      <c r="AB65" s="99">
        <f t="shared" si="7"/>
        <v>0.48612500142196324</v>
      </c>
      <c r="AC65" s="99">
        <f t="shared" si="5"/>
        <v>939.91159655314448</v>
      </c>
      <c r="AD65" s="99">
        <f t="shared" si="12"/>
        <v>0.43973202080384788</v>
      </c>
      <c r="AE65" s="99"/>
    </row>
    <row r="66" spans="1:31" x14ac:dyDescent="0.25">
      <c r="A66" t="s">
        <v>203</v>
      </c>
      <c r="B66" t="s">
        <v>255</v>
      </c>
      <c r="C66" s="79">
        <v>40967.546942691188</v>
      </c>
      <c r="D66" s="79">
        <v>22062.414327670358</v>
      </c>
      <c r="E66" s="79">
        <v>17473.078000000001</v>
      </c>
      <c r="F66" s="79">
        <v>35031.525251939434</v>
      </c>
      <c r="G66" s="79">
        <v>0</v>
      </c>
      <c r="H66" s="79">
        <v>115534.56452230096</v>
      </c>
      <c r="I66" s="79">
        <f>VLOOKUP(Visualization!$A66,US_Results!$A$3:$AJ$52,17,FALSE)</f>
        <v>52.48115077876011</v>
      </c>
      <c r="J66" s="79">
        <f t="shared" si="8"/>
        <v>249.37336039541012</v>
      </c>
      <c r="O66" t="s">
        <v>203</v>
      </c>
      <c r="P66" t="s">
        <v>562</v>
      </c>
      <c r="Q66" s="99">
        <v>553.0054456398824</v>
      </c>
      <c r="R66" s="99">
        <v>-242.74910693477955</v>
      </c>
      <c r="S66" t="str">
        <f t="shared" si="0"/>
        <v>BEV better</v>
      </c>
      <c r="T66" s="99">
        <v>20.120896628386369</v>
      </c>
      <c r="U66" s="99">
        <v>10.176922776651324</v>
      </c>
      <c r="V66" s="99">
        <f t="shared" si="3"/>
        <v>9.9439738517350449</v>
      </c>
      <c r="W66" s="10" t="s">
        <v>570</v>
      </c>
      <c r="X66" s="54">
        <f t="shared" si="9"/>
        <v>0.1660726366692426</v>
      </c>
      <c r="Y66" s="54">
        <f t="shared" si="10"/>
        <v>3.8670863055410995E-2</v>
      </c>
      <c r="Z66" s="196">
        <f t="shared" si="11"/>
        <v>6.8516559877226605E-3</v>
      </c>
      <c r="AA66" s="54">
        <v>0.01</v>
      </c>
      <c r="AB66" s="99">
        <f t="shared" si="7"/>
        <v>0.86122156725374377</v>
      </c>
      <c r="AC66" s="99">
        <f t="shared" si="5"/>
        <v>795.75455257466194</v>
      </c>
      <c r="AD66" s="99">
        <f t="shared" si="12"/>
        <v>0.40460770945404601</v>
      </c>
      <c r="AE66" s="99"/>
    </row>
    <row r="67" spans="1:31" x14ac:dyDescent="0.25">
      <c r="A67" t="s">
        <v>202</v>
      </c>
      <c r="B67" t="s">
        <v>255</v>
      </c>
      <c r="C67" s="79">
        <v>40967.546942691188</v>
      </c>
      <c r="D67" s="79">
        <v>13351.444028325319</v>
      </c>
      <c r="E67" s="79">
        <v>16581.907999999999</v>
      </c>
      <c r="F67" s="79">
        <v>38231.282127751161</v>
      </c>
      <c r="G67" s="79">
        <v>0</v>
      </c>
      <c r="H67" s="79">
        <v>109132.18109876767</v>
      </c>
      <c r="I67" s="79">
        <f>VLOOKUP(Visualization!$A67,US_Results!$A$3:$AJ$52,17,FALSE)</f>
        <v>44.241724893569938</v>
      </c>
      <c r="J67" s="79">
        <f t="shared" si="8"/>
        <v>223.14153474271126</v>
      </c>
      <c r="O67" t="s">
        <v>202</v>
      </c>
      <c r="P67" t="s">
        <v>562</v>
      </c>
      <c r="Q67" s="99">
        <v>592.46390688227541</v>
      </c>
      <c r="R67" s="99">
        <v>-220.42015182729679</v>
      </c>
      <c r="S67" t="str">
        <f t="shared" ref="S67:S130" si="13">IF(T67&gt;U67,"BEV better","HEV better")</f>
        <v>BEV better</v>
      </c>
      <c r="T67" s="99">
        <v>16.459556602496384</v>
      </c>
      <c r="U67" s="99">
        <v>9.3651969111127364</v>
      </c>
      <c r="V67" s="99">
        <f t="shared" ref="V67:V130" si="14">T67-U67</f>
        <v>7.094359691383648</v>
      </c>
      <c r="W67" s="10" t="s">
        <v>570</v>
      </c>
      <c r="X67" s="54">
        <f t="shared" si="9"/>
        <v>0.1660726366692426</v>
      </c>
      <c r="Y67" s="54">
        <f t="shared" si="10"/>
        <v>3.8670863055410995E-2</v>
      </c>
      <c r="Z67" s="196">
        <f t="shared" si="11"/>
        <v>6.8516559877226605E-3</v>
      </c>
      <c r="AA67" s="54">
        <v>0.01</v>
      </c>
      <c r="AB67" s="99">
        <f t="shared" si="7"/>
        <v>0.72743050989904967</v>
      </c>
      <c r="AC67" s="99">
        <f t="shared" ref="AC67:AC130" si="15">Q67-R67</f>
        <v>812.88405870957217</v>
      </c>
      <c r="AD67" s="99">
        <f t="shared" si="12"/>
        <v>0.40893933935759663</v>
      </c>
      <c r="AE67" s="99"/>
    </row>
    <row r="68" spans="1:31" x14ac:dyDescent="0.25">
      <c r="A68" t="s">
        <v>201</v>
      </c>
      <c r="B68" t="s">
        <v>255</v>
      </c>
      <c r="C68" s="79">
        <v>40967.546942691188</v>
      </c>
      <c r="D68" s="79">
        <v>20135.916027892443</v>
      </c>
      <c r="E68" s="79">
        <v>16113.5828</v>
      </c>
      <c r="F68" s="79">
        <v>36680.953307855758</v>
      </c>
      <c r="G68" s="79">
        <v>0</v>
      </c>
      <c r="H68" s="79">
        <v>113897.99907843939</v>
      </c>
      <c r="I68" s="79">
        <f>VLOOKUP(Visualization!$A68,US_Results!$A$3:$AJ$52,17,FALSE)</f>
        <v>35.915829669796686</v>
      </c>
      <c r="J68" s="79">
        <f t="shared" si="8"/>
        <v>441.00189072307739</v>
      </c>
      <c r="O68" t="s">
        <v>201</v>
      </c>
      <c r="P68" t="s">
        <v>562</v>
      </c>
      <c r="Q68" s="99">
        <v>1004.5698789994038</v>
      </c>
      <c r="R68" s="99">
        <v>-215.41884627481028</v>
      </c>
      <c r="S68" t="str">
        <f t="shared" si="13"/>
        <v>BEV better</v>
      </c>
      <c r="T68" s="99">
        <v>12.318875458825445</v>
      </c>
      <c r="U68" s="99">
        <v>9.207348667496511</v>
      </c>
      <c r="V68" s="99">
        <f t="shared" si="14"/>
        <v>3.1115267913289344</v>
      </c>
      <c r="W68" s="10" t="s">
        <v>570</v>
      </c>
      <c r="X68" s="54">
        <f t="shared" si="9"/>
        <v>0.1660726366692426</v>
      </c>
      <c r="Y68" s="54">
        <f t="shared" si="10"/>
        <v>3.8670863055410995E-2</v>
      </c>
      <c r="Z68" s="196">
        <f t="shared" si="11"/>
        <v>6.8516559877226605E-3</v>
      </c>
      <c r="AA68" s="54">
        <v>0.01</v>
      </c>
      <c r="AB68" s="99">
        <f t="shared" si="7"/>
        <v>0.48174995496591261</v>
      </c>
      <c r="AC68" s="99">
        <f t="shared" si="15"/>
        <v>1219.9887252742142</v>
      </c>
      <c r="AD68" s="99">
        <f t="shared" si="12"/>
        <v>0.50098243144033172</v>
      </c>
      <c r="AE68" s="99"/>
    </row>
    <row r="69" spans="1:31" x14ac:dyDescent="0.25">
      <c r="A69" t="s">
        <v>204</v>
      </c>
      <c r="B69" t="s">
        <v>255</v>
      </c>
      <c r="C69" s="79">
        <v>40967.546942691188</v>
      </c>
      <c r="D69" s="79">
        <v>16597.402823871769</v>
      </c>
      <c r="E69" s="79">
        <v>17586.164400000001</v>
      </c>
      <c r="F69" s="79">
        <v>39889.28594764656</v>
      </c>
      <c r="G69" s="79">
        <v>0</v>
      </c>
      <c r="H69" s="79">
        <v>115040.40011420954</v>
      </c>
      <c r="I69" s="79">
        <f>VLOOKUP(Visualization!$A69,US_Results!$A$3:$AJ$52,17,FALSE)</f>
        <v>36.284091532327075</v>
      </c>
      <c r="J69" s="79">
        <f t="shared" si="8"/>
        <v>378.3432034746304</v>
      </c>
      <c r="O69" t="s">
        <v>204</v>
      </c>
      <c r="P69" t="s">
        <v>562</v>
      </c>
      <c r="Q69" s="99">
        <v>959.177017672077</v>
      </c>
      <c r="R69" s="99">
        <v>-202.30382558718529</v>
      </c>
      <c r="S69" t="str">
        <f t="shared" si="13"/>
        <v>BEV better</v>
      </c>
      <c r="T69" s="99">
        <v>11.87545787309503</v>
      </c>
      <c r="U69" s="99">
        <v>10.174887471249637</v>
      </c>
      <c r="V69" s="99">
        <f t="shared" si="14"/>
        <v>1.7005704018453933</v>
      </c>
      <c r="W69" s="10" t="s">
        <v>570</v>
      </c>
      <c r="X69" s="54">
        <f t="shared" si="9"/>
        <v>0.1660726366692426</v>
      </c>
      <c r="Y69" s="54">
        <f t="shared" si="10"/>
        <v>3.8670863055410995E-2</v>
      </c>
      <c r="Z69" s="196">
        <f t="shared" si="11"/>
        <v>6.8516559877226605E-3</v>
      </c>
      <c r="AA69" s="54">
        <v>0.01</v>
      </c>
      <c r="AB69" s="99">
        <f t="shared" si="7"/>
        <v>0.35614940107180187</v>
      </c>
      <c r="AC69" s="99">
        <f t="shared" si="15"/>
        <v>1161.4808432592622</v>
      </c>
      <c r="AD69" s="99">
        <f t="shared" si="12"/>
        <v>0.48882185329905364</v>
      </c>
      <c r="AE69" s="99"/>
    </row>
    <row r="70" spans="1:31" x14ac:dyDescent="0.25">
      <c r="A70" t="s">
        <v>205</v>
      </c>
      <c r="B70" t="s">
        <v>255</v>
      </c>
      <c r="C70" s="79">
        <v>40967.546942691188</v>
      </c>
      <c r="D70" s="79">
        <v>18899.412973512091</v>
      </c>
      <c r="E70" s="79">
        <v>22013.7428</v>
      </c>
      <c r="F70" s="79">
        <v>36454.893161887136</v>
      </c>
      <c r="G70" s="79">
        <v>0</v>
      </c>
      <c r="H70" s="79">
        <v>118335.59587809042</v>
      </c>
      <c r="I70" s="79">
        <f>VLOOKUP(Visualization!$A70,US_Results!$A$3:$AJ$52,17,FALSE)</f>
        <v>51.387883553801224</v>
      </c>
      <c r="J70" s="79">
        <f t="shared" si="8"/>
        <v>90.159768895768238</v>
      </c>
      <c r="O70" t="s">
        <v>205</v>
      </c>
      <c r="P70" t="s">
        <v>562</v>
      </c>
      <c r="Q70" s="99">
        <v>426.34429815722996</v>
      </c>
      <c r="R70" s="99">
        <v>-258.63267367580187</v>
      </c>
      <c r="S70" t="str">
        <f t="shared" si="13"/>
        <v>BEV better</v>
      </c>
      <c r="T70" s="99">
        <v>17.790062279497196</v>
      </c>
      <c r="U70" s="99">
        <v>12.906558172883447</v>
      </c>
      <c r="V70" s="99">
        <f t="shared" si="14"/>
        <v>4.8835041066137492</v>
      </c>
      <c r="W70" s="10" t="s">
        <v>570</v>
      </c>
      <c r="X70" s="54">
        <f t="shared" si="9"/>
        <v>0.1660726366692426</v>
      </c>
      <c r="Y70" s="54">
        <f t="shared" si="10"/>
        <v>3.8670863055410995E-2</v>
      </c>
      <c r="Z70" s="196">
        <f t="shared" si="11"/>
        <v>6.8516559877226605E-3</v>
      </c>
      <c r="AA70" s="54">
        <v>0.01</v>
      </c>
      <c r="AB70" s="99">
        <f t="shared" si="7"/>
        <v>0.6035325379646973</v>
      </c>
      <c r="AC70" s="99">
        <f t="shared" si="15"/>
        <v>684.97697183303183</v>
      </c>
      <c r="AD70" s="99">
        <f t="shared" si="12"/>
        <v>0.37538989108214299</v>
      </c>
      <c r="AE70" s="99"/>
    </row>
    <row r="71" spans="1:31" x14ac:dyDescent="0.25">
      <c r="A71" t="s">
        <v>207</v>
      </c>
      <c r="B71" t="s">
        <v>255</v>
      </c>
      <c r="C71" s="79">
        <v>40967.546942691188</v>
      </c>
      <c r="D71" s="79">
        <v>16842.023312579931</v>
      </c>
      <c r="E71" s="79">
        <v>24542.207200000001</v>
      </c>
      <c r="F71" s="79">
        <v>44100.99664335369</v>
      </c>
      <c r="G71" s="79">
        <v>0</v>
      </c>
      <c r="H71" s="79">
        <v>126452.77409862481</v>
      </c>
      <c r="I71" s="79">
        <f>VLOOKUP(Visualization!$A71,US_Results!$A$3:$AJ$52,17,FALSE)</f>
        <v>52.118859407260089</v>
      </c>
      <c r="J71" s="79">
        <f t="shared" si="8"/>
        <v>195.28022872047123</v>
      </c>
      <c r="O71" t="s">
        <v>207</v>
      </c>
      <c r="P71" t="s">
        <v>562</v>
      </c>
      <c r="Q71" s="99">
        <v>551.7762262463973</v>
      </c>
      <c r="R71" s="99">
        <v>-240.76583327218978</v>
      </c>
      <c r="S71" t="str">
        <f t="shared" si="13"/>
        <v>BEV better</v>
      </c>
      <c r="T71" s="99">
        <v>17.666361767865475</v>
      </c>
      <c r="U71" s="99">
        <v>13.698604156433582</v>
      </c>
      <c r="V71" s="99">
        <f t="shared" si="14"/>
        <v>3.9677576114318924</v>
      </c>
      <c r="W71" s="10" t="s">
        <v>570</v>
      </c>
      <c r="X71" s="54">
        <f t="shared" si="9"/>
        <v>0.1660726366692426</v>
      </c>
      <c r="Y71" s="54">
        <f t="shared" si="10"/>
        <v>3.8670863055410995E-2</v>
      </c>
      <c r="Z71" s="196">
        <f t="shared" si="11"/>
        <v>6.8516559877226605E-3</v>
      </c>
      <c r="AA71" s="54">
        <v>0.01</v>
      </c>
      <c r="AB71" s="99">
        <f t="shared" si="7"/>
        <v>0.54401074416932782</v>
      </c>
      <c r="AC71" s="99">
        <f t="shared" si="15"/>
        <v>792.54205951858705</v>
      </c>
      <c r="AD71" s="99">
        <f t="shared" si="12"/>
        <v>0.40379017473611561</v>
      </c>
      <c r="AE71" s="99"/>
    </row>
    <row r="72" spans="1:31" x14ac:dyDescent="0.25">
      <c r="A72" t="s">
        <v>206</v>
      </c>
      <c r="B72" t="s">
        <v>255</v>
      </c>
      <c r="C72" s="79">
        <v>40967.546942691188</v>
      </c>
      <c r="D72" s="79">
        <v>15807.98004924069</v>
      </c>
      <c r="E72" s="79">
        <v>22766.013200000001</v>
      </c>
      <c r="F72" s="79">
        <v>38463.745419688399</v>
      </c>
      <c r="G72" s="79">
        <v>0</v>
      </c>
      <c r="H72" s="79">
        <v>118005.28561162029</v>
      </c>
      <c r="I72" s="79">
        <f>VLOOKUP(Visualization!$A72,US_Results!$A$3:$AJ$52,17,FALSE)</f>
        <v>30.084231583876544</v>
      </c>
      <c r="J72" s="79">
        <f t="shared" si="8"/>
        <v>142.00985094957306</v>
      </c>
      <c r="O72" t="s">
        <v>206</v>
      </c>
      <c r="P72" t="s">
        <v>562</v>
      </c>
      <c r="Q72" s="99">
        <v>1032.8034909066284</v>
      </c>
      <c r="R72" s="99">
        <v>-258.63278012941595</v>
      </c>
      <c r="S72" t="str">
        <f t="shared" si="13"/>
        <v>HEV better</v>
      </c>
      <c r="T72" s="99">
        <v>6.9515298807889465</v>
      </c>
      <c r="U72" s="99">
        <v>12.908109529905989</v>
      </c>
      <c r="V72" s="99">
        <f t="shared" si="14"/>
        <v>-5.9565796491170424</v>
      </c>
      <c r="W72" s="10" t="s">
        <v>570</v>
      </c>
      <c r="X72" s="54">
        <f t="shared" si="9"/>
        <v>0.1660726366692426</v>
      </c>
      <c r="Y72" s="54">
        <f t="shared" si="10"/>
        <v>3.8670863055410995E-2</v>
      </c>
      <c r="Z72" s="196">
        <f t="shared" si="11"/>
        <v>6.8516559877226605E-3</v>
      </c>
      <c r="AA72" s="54">
        <v>0.01</v>
      </c>
      <c r="AB72" s="99">
        <f t="shared" si="7"/>
        <v>-0.62309134648637488</v>
      </c>
      <c r="AC72" s="99">
        <f t="shared" si="15"/>
        <v>1291.4362710360444</v>
      </c>
      <c r="AD72" s="99">
        <f t="shared" si="12"/>
        <v>0.51544351211729122</v>
      </c>
      <c r="AE72" s="99"/>
    </row>
    <row r="73" spans="1:31" x14ac:dyDescent="0.25">
      <c r="A73" t="s">
        <v>208</v>
      </c>
      <c r="B73" t="s">
        <v>255</v>
      </c>
      <c r="C73" s="79">
        <v>40967.546942691188</v>
      </c>
      <c r="D73" s="79">
        <v>15154.482764829962</v>
      </c>
      <c r="E73" s="79">
        <v>19519.696</v>
      </c>
      <c r="F73" s="79">
        <v>35978.682891730241</v>
      </c>
      <c r="G73" s="79">
        <v>0</v>
      </c>
      <c r="H73" s="79">
        <v>111620.40859925139</v>
      </c>
      <c r="I73" s="79">
        <f>VLOOKUP(Visualization!$A73,US_Results!$A$3:$AJ$52,17,FALSE)</f>
        <v>35.403628908327704</v>
      </c>
      <c r="J73" s="79">
        <f t="shared" si="8"/>
        <v>150.89201464622192</v>
      </c>
      <c r="O73" t="s">
        <v>208</v>
      </c>
      <c r="P73" t="s">
        <v>562</v>
      </c>
      <c r="Q73" s="99">
        <v>682.51953114509024</v>
      </c>
      <c r="R73" s="99">
        <v>-265.07319530847894</v>
      </c>
      <c r="S73" t="str">
        <f t="shared" si="13"/>
        <v>HEV better</v>
      </c>
      <c r="T73" s="99">
        <v>10.650197366539029</v>
      </c>
      <c r="U73" s="99">
        <v>11.368943629491582</v>
      </c>
      <c r="V73" s="99">
        <f t="shared" si="14"/>
        <v>-0.71874626295255339</v>
      </c>
      <c r="W73" s="10" t="s">
        <v>570</v>
      </c>
      <c r="X73" s="54">
        <f t="shared" si="9"/>
        <v>0.1660726366692426</v>
      </c>
      <c r="Y73" s="54">
        <f t="shared" si="10"/>
        <v>3.8670863055410995E-2</v>
      </c>
      <c r="Z73" s="196">
        <f t="shared" si="11"/>
        <v>6.8516559877226605E-3</v>
      </c>
      <c r="AA73" s="54">
        <v>0.01</v>
      </c>
      <c r="AB73" s="99">
        <f t="shared" si="7"/>
        <v>-0.21644175311223113</v>
      </c>
      <c r="AC73" s="99">
        <f t="shared" si="15"/>
        <v>947.59272645356918</v>
      </c>
      <c r="AD73" s="99">
        <f t="shared" si="12"/>
        <v>0.44152515016211391</v>
      </c>
      <c r="AE73" s="99"/>
    </row>
    <row r="74" spans="1:31" x14ac:dyDescent="0.25">
      <c r="A74" t="s">
        <v>211</v>
      </c>
      <c r="B74" t="s">
        <v>255</v>
      </c>
      <c r="C74" s="79">
        <v>40967.546942691188</v>
      </c>
      <c r="D74" s="79">
        <v>12343.563578582263</v>
      </c>
      <c r="E74" s="79">
        <v>18248.7032</v>
      </c>
      <c r="F74" s="79">
        <v>38679.133655709324</v>
      </c>
      <c r="G74" s="79">
        <v>0</v>
      </c>
      <c r="H74" s="79">
        <v>110238.94737698277</v>
      </c>
      <c r="I74" s="79">
        <f>VLOOKUP(Visualization!$A74,US_Results!$A$3:$AJ$52,17,FALSE)</f>
        <v>35.050039407871161</v>
      </c>
      <c r="J74" s="79">
        <f t="shared" si="8"/>
        <v>227.73030113329324</v>
      </c>
      <c r="O74" t="s">
        <v>211</v>
      </c>
      <c r="P74" t="s">
        <v>562</v>
      </c>
      <c r="Q74" s="99">
        <v>802.23538030419456</v>
      </c>
      <c r="R74" s="99">
        <v>-220.0837525229941</v>
      </c>
      <c r="S74" t="str">
        <f t="shared" si="13"/>
        <v>BEV better</v>
      </c>
      <c r="T74" s="99">
        <v>11.059469263798871</v>
      </c>
      <c r="U74" s="99">
        <v>10.467624926179319</v>
      </c>
      <c r="V74" s="99">
        <f t="shared" si="14"/>
        <v>0.59184433761955191</v>
      </c>
      <c r="W74" s="10" t="s">
        <v>570</v>
      </c>
      <c r="X74" s="54">
        <f t="shared" si="9"/>
        <v>0.1660726366692426</v>
      </c>
      <c r="Y74" s="54">
        <f t="shared" si="10"/>
        <v>3.8670863055410995E-2</v>
      </c>
      <c r="Z74" s="196">
        <f t="shared" si="11"/>
        <v>6.8516559877226605E-3</v>
      </c>
      <c r="AA74" s="54">
        <v>0.01</v>
      </c>
      <c r="AB74" s="99">
        <f t="shared" si="7"/>
        <v>0.21010609872742794</v>
      </c>
      <c r="AC74" s="99">
        <f t="shared" si="15"/>
        <v>1022.3191328271887</v>
      </c>
      <c r="AD74" s="99">
        <f t="shared" si="12"/>
        <v>0.45860399329421581</v>
      </c>
      <c r="AE74" s="99"/>
    </row>
    <row r="75" spans="1:31" x14ac:dyDescent="0.25">
      <c r="A75" t="s">
        <v>215</v>
      </c>
      <c r="B75" t="s">
        <v>255</v>
      </c>
      <c r="C75" s="79">
        <v>40967.546942691188</v>
      </c>
      <c r="D75" s="79">
        <v>14226.536215165303</v>
      </c>
      <c r="E75" s="79">
        <v>17228.467199999999</v>
      </c>
      <c r="F75" s="79">
        <v>39366.157509740704</v>
      </c>
      <c r="G75" s="79">
        <v>0</v>
      </c>
      <c r="H75" s="79">
        <v>111788.7078675972</v>
      </c>
      <c r="I75" s="79">
        <f>VLOOKUP(Visualization!$A75,US_Results!$A$3:$AJ$52,17,FALSE)</f>
        <v>41.348202355883274</v>
      </c>
      <c r="J75" s="79">
        <f t="shared" si="8"/>
        <v>110.79580469129853</v>
      </c>
      <c r="O75" t="s">
        <v>215</v>
      </c>
      <c r="P75" t="s">
        <v>562</v>
      </c>
      <c r="Q75" s="99">
        <v>523.63111487954507</v>
      </c>
      <c r="R75" s="99">
        <v>-305.2958157683629</v>
      </c>
      <c r="S75" t="str">
        <f t="shared" si="13"/>
        <v>BEV better</v>
      </c>
      <c r="T75" s="99">
        <v>14.697891987047063</v>
      </c>
      <c r="U75" s="99">
        <v>9.8063856730660248</v>
      </c>
      <c r="V75" s="99">
        <f t="shared" si="14"/>
        <v>4.8915063139810382</v>
      </c>
      <c r="W75" s="10" t="s">
        <v>570</v>
      </c>
      <c r="X75" s="54">
        <f t="shared" si="9"/>
        <v>0.1660726366692426</v>
      </c>
      <c r="Y75" s="54">
        <f t="shared" si="10"/>
        <v>3.8670863055410995E-2</v>
      </c>
      <c r="Z75" s="196">
        <f t="shared" si="11"/>
        <v>6.8516559877226605E-3</v>
      </c>
      <c r="AA75" s="54">
        <v>0.01</v>
      </c>
      <c r="AB75" s="99">
        <f t="shared" si="7"/>
        <v>0.6040268157997245</v>
      </c>
      <c r="AC75" s="99">
        <f t="shared" si="15"/>
        <v>828.92693064790797</v>
      </c>
      <c r="AD75" s="99">
        <f t="shared" si="12"/>
        <v>0.41295498434519518</v>
      </c>
      <c r="AE75" s="99"/>
    </row>
    <row r="76" spans="1:31" x14ac:dyDescent="0.25">
      <c r="A76" t="s">
        <v>212</v>
      </c>
      <c r="B76" t="s">
        <v>255</v>
      </c>
      <c r="C76" s="79">
        <v>40967.546942691188</v>
      </c>
      <c r="D76" s="79">
        <v>18303.426553548892</v>
      </c>
      <c r="E76" s="79">
        <v>14221.844000000001</v>
      </c>
      <c r="F76" s="79">
        <v>34983.880599793003</v>
      </c>
      <c r="G76" s="79">
        <v>0</v>
      </c>
      <c r="H76" s="79">
        <v>108476.69809603308</v>
      </c>
      <c r="I76" s="79">
        <f>VLOOKUP(Visualization!$A76,US_Results!$A$3:$AJ$52,17,FALSE)</f>
        <v>43.888643310146804</v>
      </c>
      <c r="J76" s="79">
        <f t="shared" si="8"/>
        <v>381.61765134952111</v>
      </c>
      <c r="O76" t="s">
        <v>212</v>
      </c>
      <c r="P76" t="s">
        <v>562</v>
      </c>
      <c r="Q76" s="99">
        <v>716.98946248754032</v>
      </c>
      <c r="R76" s="99">
        <v>-211.84400723428155</v>
      </c>
      <c r="S76" t="str">
        <f t="shared" si="13"/>
        <v>BEV better</v>
      </c>
      <c r="T76" s="99">
        <v>17.011308999924523</v>
      </c>
      <c r="U76" s="99">
        <v>8.2283810751630888</v>
      </c>
      <c r="V76" s="99">
        <f t="shared" si="14"/>
        <v>8.7829279247614345</v>
      </c>
      <c r="W76" s="10" t="s">
        <v>570</v>
      </c>
      <c r="X76" s="54">
        <f t="shared" si="9"/>
        <v>0.1660726366692426</v>
      </c>
      <c r="Y76" s="54">
        <f t="shared" si="10"/>
        <v>3.8670863055410995E-2</v>
      </c>
      <c r="Z76" s="196">
        <f t="shared" si="11"/>
        <v>6.8516559877226605E-3</v>
      </c>
      <c r="AA76" s="54">
        <v>0.01</v>
      </c>
      <c r="AB76" s="99">
        <f t="shared" si="7"/>
        <v>0.8093839157682835</v>
      </c>
      <c r="AC76" s="99">
        <f t="shared" si="15"/>
        <v>928.83346972182187</v>
      </c>
      <c r="AD76" s="99">
        <f t="shared" si="12"/>
        <v>0.43713292192993519</v>
      </c>
      <c r="AE76" s="99"/>
    </row>
    <row r="77" spans="1:31" x14ac:dyDescent="0.25">
      <c r="A77" t="s">
        <v>213</v>
      </c>
      <c r="B77" t="s">
        <v>255</v>
      </c>
      <c r="C77" s="79">
        <v>40967.546942691188</v>
      </c>
      <c r="D77" s="79">
        <v>12945.928073764806</v>
      </c>
      <c r="E77" s="79">
        <v>15073.679600000001</v>
      </c>
      <c r="F77" s="79">
        <v>37176.220071834839</v>
      </c>
      <c r="G77" s="79">
        <v>0</v>
      </c>
      <c r="H77" s="79">
        <v>106163.37468829085</v>
      </c>
      <c r="I77" s="79">
        <f>VLOOKUP(Visualization!$A77,US_Results!$A$3:$AJ$52,17,FALSE)</f>
        <v>40.34715476615338</v>
      </c>
      <c r="J77" s="79">
        <f t="shared" si="8"/>
        <v>269.33375902689022</v>
      </c>
      <c r="O77" t="s">
        <v>213</v>
      </c>
      <c r="P77" t="s">
        <v>562</v>
      </c>
      <c r="Q77" s="99">
        <v>682.54769036347682</v>
      </c>
      <c r="R77" s="99">
        <v>-192.2914093906947</v>
      </c>
      <c r="S77" t="str">
        <f t="shared" si="13"/>
        <v>BEV better</v>
      </c>
      <c r="T77" s="99">
        <v>15.011546523166857</v>
      </c>
      <c r="U77" s="99">
        <v>8.5383164211563525</v>
      </c>
      <c r="V77" s="99">
        <f t="shared" si="14"/>
        <v>6.4732301020105041</v>
      </c>
      <c r="W77" s="10" t="s">
        <v>570</v>
      </c>
      <c r="X77" s="54">
        <f t="shared" si="9"/>
        <v>0.1660726366692426</v>
      </c>
      <c r="Y77" s="54">
        <f t="shared" si="10"/>
        <v>3.8670863055410995E-2</v>
      </c>
      <c r="Z77" s="196">
        <f t="shared" si="11"/>
        <v>6.8516559877226605E-3</v>
      </c>
      <c r="AA77" s="54">
        <v>0.01</v>
      </c>
      <c r="AB77" s="99">
        <f t="shared" si="7"/>
        <v>0.69485699344080321</v>
      </c>
      <c r="AC77" s="99">
        <f t="shared" si="15"/>
        <v>874.83909975417146</v>
      </c>
      <c r="AD77" s="99">
        <f t="shared" si="12"/>
        <v>0.42423713398396867</v>
      </c>
      <c r="AE77" s="99"/>
    </row>
    <row r="78" spans="1:31" x14ac:dyDescent="0.25">
      <c r="A78" t="s">
        <v>214</v>
      </c>
      <c r="B78" t="s">
        <v>255</v>
      </c>
      <c r="C78" s="79">
        <v>40967.546942691188</v>
      </c>
      <c r="D78" s="79">
        <v>17260.573284662551</v>
      </c>
      <c r="E78" s="79">
        <v>23547.7844</v>
      </c>
      <c r="F78" s="79">
        <v>35711.878307855761</v>
      </c>
      <c r="G78" s="79">
        <v>0</v>
      </c>
      <c r="H78" s="79">
        <v>117487.7829352095</v>
      </c>
      <c r="I78" s="79">
        <f>VLOOKUP(Visualization!$A78,US_Results!$A$3:$AJ$52,17,FALSE)</f>
        <v>54.284312385816563</v>
      </c>
      <c r="J78" s="79">
        <f t="shared" si="8"/>
        <v>70.330800546578843</v>
      </c>
      <c r="O78" t="s">
        <v>214</v>
      </c>
      <c r="P78" t="s">
        <v>562</v>
      </c>
      <c r="Q78" s="99">
        <v>367.16604568400697</v>
      </c>
      <c r="R78" s="99">
        <v>-241.25171221282613</v>
      </c>
      <c r="S78" t="str">
        <f t="shared" si="13"/>
        <v>BEV better</v>
      </c>
      <c r="T78" s="99">
        <v>19.014684036415872</v>
      </c>
      <c r="U78" s="99">
        <v>13.312401081417732</v>
      </c>
      <c r="V78" s="99">
        <f t="shared" si="14"/>
        <v>5.7022829549981395</v>
      </c>
      <c r="W78" s="10" t="s">
        <v>570</v>
      </c>
      <c r="X78" s="54">
        <f t="shared" si="9"/>
        <v>0.1660726366692426</v>
      </c>
      <c r="Y78" s="54">
        <f t="shared" si="10"/>
        <v>3.8670863055410995E-2</v>
      </c>
      <c r="Z78" s="196">
        <f t="shared" si="11"/>
        <v>6.8516559877226605E-3</v>
      </c>
      <c r="AA78" s="54">
        <v>0.01</v>
      </c>
      <c r="AB78" s="99">
        <f t="shared" si="7"/>
        <v>0.65216770991458717</v>
      </c>
      <c r="AC78" s="99">
        <f t="shared" si="15"/>
        <v>608.41775789683311</v>
      </c>
      <c r="AD78" s="99">
        <f t="shared" si="12"/>
        <v>0.35378997968308112</v>
      </c>
      <c r="AE78" s="99"/>
    </row>
    <row r="79" spans="1:31" x14ac:dyDescent="0.25">
      <c r="A79" t="s">
        <v>216</v>
      </c>
      <c r="B79" t="s">
        <v>255</v>
      </c>
      <c r="C79" s="79">
        <v>40967.546942691188</v>
      </c>
      <c r="D79" s="79">
        <v>13470.702879563471</v>
      </c>
      <c r="E79" s="79">
        <v>12497.276400000001</v>
      </c>
      <c r="F79" s="79">
        <v>35048.6767798976</v>
      </c>
      <c r="G79" s="79">
        <v>0</v>
      </c>
      <c r="H79" s="79">
        <v>101984.20300215227</v>
      </c>
      <c r="I79" s="79">
        <f>VLOOKUP(Visualization!$A79,US_Results!$A$3:$AJ$52,17,FALSE)</f>
        <v>34.265574861259665</v>
      </c>
      <c r="J79" s="79">
        <f t="shared" si="8"/>
        <v>401.51682284756203</v>
      </c>
      <c r="O79" t="s">
        <v>216</v>
      </c>
      <c r="P79" t="s">
        <v>562</v>
      </c>
      <c r="Q79" s="99">
        <v>881.17847506676719</v>
      </c>
      <c r="R79" s="99">
        <v>-153.27102716027568</v>
      </c>
      <c r="S79" t="str">
        <f t="shared" si="13"/>
        <v>BEV better</v>
      </c>
      <c r="T79" s="99">
        <v>12.781409683801662</v>
      </c>
      <c r="U79" s="99">
        <v>7.1961261045425804</v>
      </c>
      <c r="V79" s="99">
        <f t="shared" si="14"/>
        <v>5.585283579259082</v>
      </c>
      <c r="W79" s="10" t="s">
        <v>570</v>
      </c>
      <c r="X79" s="54">
        <f t="shared" si="9"/>
        <v>0.1660726366692426</v>
      </c>
      <c r="Y79" s="54">
        <f t="shared" si="10"/>
        <v>3.8670863055410995E-2</v>
      </c>
      <c r="Z79" s="196">
        <f t="shared" si="11"/>
        <v>6.8516559877226605E-3</v>
      </c>
      <c r="AA79" s="54">
        <v>0.01</v>
      </c>
      <c r="AB79" s="99">
        <f t="shared" si="7"/>
        <v>0.64544244915091142</v>
      </c>
      <c r="AC79" s="99">
        <f t="shared" si="15"/>
        <v>1034.4495022270428</v>
      </c>
      <c r="AD79" s="99">
        <f t="shared" si="12"/>
        <v>0.4613167621081396</v>
      </c>
      <c r="AE79" s="99"/>
    </row>
    <row r="80" spans="1:31" x14ac:dyDescent="0.25">
      <c r="A80" t="s">
        <v>209</v>
      </c>
      <c r="B80" t="s">
        <v>255</v>
      </c>
      <c r="C80" s="79">
        <v>40967.546942691188</v>
      </c>
      <c r="D80" s="79">
        <v>13200.640237018521</v>
      </c>
      <c r="E80" s="79">
        <v>19756.9316</v>
      </c>
      <c r="F80" s="79">
        <v>31965.170668064951</v>
      </c>
      <c r="G80" s="79">
        <v>0</v>
      </c>
      <c r="H80" s="79">
        <v>105890.28944777466</v>
      </c>
      <c r="I80" s="79">
        <f>VLOOKUP(Visualization!$A80,US_Results!$A$3:$AJ$52,17,FALSE)</f>
        <v>48.835013934399839</v>
      </c>
      <c r="J80" s="79">
        <f t="shared" si="8"/>
        <v>26.413673158295413</v>
      </c>
      <c r="O80" t="s">
        <v>209</v>
      </c>
      <c r="P80" t="s">
        <v>562</v>
      </c>
      <c r="Q80" s="99">
        <v>329.49170954409976</v>
      </c>
      <c r="R80" s="99">
        <v>-247.16687003546545</v>
      </c>
      <c r="S80" t="str">
        <f t="shared" si="13"/>
        <v>BEV better</v>
      </c>
      <c r="T80" s="99">
        <v>17.709921083834708</v>
      </c>
      <c r="U80" s="99">
        <v>11.049425093332438</v>
      </c>
      <c r="V80" s="99">
        <f t="shared" si="14"/>
        <v>6.6604959905022696</v>
      </c>
      <c r="W80" s="10" t="s">
        <v>570</v>
      </c>
      <c r="X80" s="54">
        <f t="shared" si="9"/>
        <v>0.1660726366692426</v>
      </c>
      <c r="Y80" s="54">
        <f t="shared" si="10"/>
        <v>3.8670863055410995E-2</v>
      </c>
      <c r="Z80" s="196">
        <f t="shared" si="11"/>
        <v>6.8516559877226605E-3</v>
      </c>
      <c r="AA80" s="54">
        <v>0.01</v>
      </c>
      <c r="AB80" s="99">
        <f t="shared" si="7"/>
        <v>0.70483619163389699</v>
      </c>
      <c r="AC80" s="99">
        <f t="shared" si="15"/>
        <v>576.65857957956518</v>
      </c>
      <c r="AD80" s="99">
        <f t="shared" si="12"/>
        <v>0.34443237523026726</v>
      </c>
      <c r="AE80" s="99"/>
    </row>
    <row r="81" spans="1:31" x14ac:dyDescent="0.25">
      <c r="A81" t="s">
        <v>210</v>
      </c>
      <c r="B81" t="s">
        <v>255</v>
      </c>
      <c r="C81" s="79">
        <v>40967.546942691188</v>
      </c>
      <c r="D81" s="79">
        <v>15214.879446129673</v>
      </c>
      <c r="E81" s="79">
        <v>21721.193200000002</v>
      </c>
      <c r="F81" s="79">
        <v>36142.578307855758</v>
      </c>
      <c r="G81" s="79">
        <v>0</v>
      </c>
      <c r="H81" s="79">
        <v>114046.19789667662</v>
      </c>
      <c r="I81" s="79">
        <f>VLOOKUP(Visualization!$A81,US_Results!$A$3:$AJ$52,17,FALSE)</f>
        <v>32.35641684955467</v>
      </c>
      <c r="J81" s="79">
        <f t="shared" si="8"/>
        <v>81.004427494700607</v>
      </c>
      <c r="O81" t="s">
        <v>210</v>
      </c>
      <c r="P81" t="s">
        <v>562</v>
      </c>
      <c r="Q81" s="99">
        <v>797.37685863763852</v>
      </c>
      <c r="R81" s="99">
        <v>-257.71653619728392</v>
      </c>
      <c r="S81" t="str">
        <f t="shared" si="13"/>
        <v>HEV better</v>
      </c>
      <c r="T81" s="99">
        <v>8.2012983614833033</v>
      </c>
      <c r="U81" s="99">
        <v>12.747018546168746</v>
      </c>
      <c r="V81" s="99">
        <f t="shared" si="14"/>
        <v>-4.5457201846854431</v>
      </c>
      <c r="W81" s="10" t="s">
        <v>570</v>
      </c>
      <c r="X81" s="54">
        <f t="shared" si="9"/>
        <v>0.1660726366692426</v>
      </c>
      <c r="Y81" s="54">
        <f t="shared" si="10"/>
        <v>3.8670863055410995E-2</v>
      </c>
      <c r="Z81" s="196">
        <f t="shared" si="11"/>
        <v>6.8516559877226605E-3</v>
      </c>
      <c r="AA81" s="54">
        <v>0.01</v>
      </c>
      <c r="AB81" s="99">
        <f t="shared" si="7"/>
        <v>-0.54432037677776557</v>
      </c>
      <c r="AC81" s="99">
        <f t="shared" si="15"/>
        <v>1055.0933948349225</v>
      </c>
      <c r="AD81" s="99">
        <f t="shared" si="12"/>
        <v>0.46589713498460761</v>
      </c>
      <c r="AE81" s="99"/>
    </row>
    <row r="82" spans="1:31" x14ac:dyDescent="0.25">
      <c r="A82" t="s">
        <v>217</v>
      </c>
      <c r="B82" t="s">
        <v>255</v>
      </c>
      <c r="C82" s="79">
        <v>40967.546942691188</v>
      </c>
      <c r="D82" s="79">
        <v>13703.155653119244</v>
      </c>
      <c r="E82" s="79">
        <v>17550.517599999999</v>
      </c>
      <c r="F82" s="79">
        <v>34973.399869949899</v>
      </c>
      <c r="G82" s="79">
        <v>0</v>
      </c>
      <c r="H82" s="79">
        <v>107194.62006576033</v>
      </c>
      <c r="I82" s="79">
        <f>VLOOKUP(Visualization!$A82,US_Results!$A$3:$AJ$52,17,FALSE)</f>
        <v>30.404073850953992</v>
      </c>
      <c r="J82" s="79">
        <f t="shared" si="8"/>
        <v>219.17989054578638</v>
      </c>
      <c r="O82" t="s">
        <v>217</v>
      </c>
      <c r="P82" t="s">
        <v>562</v>
      </c>
      <c r="Q82" s="99">
        <v>929.24626142287082</v>
      </c>
      <c r="R82" s="99">
        <v>-234.64937623053757</v>
      </c>
      <c r="S82" t="str">
        <f t="shared" si="13"/>
        <v>HEV better</v>
      </c>
      <c r="T82" s="99">
        <v>9.0055739115421538</v>
      </c>
      <c r="U82" s="99">
        <v>9.9896956792263616</v>
      </c>
      <c r="V82" s="99">
        <f t="shared" si="14"/>
        <v>-0.98412176768420778</v>
      </c>
      <c r="W82" s="10" t="s">
        <v>570</v>
      </c>
      <c r="X82" s="54">
        <f t="shared" si="9"/>
        <v>0.1660726366692426</v>
      </c>
      <c r="Y82" s="54">
        <f t="shared" si="10"/>
        <v>3.8670863055410995E-2</v>
      </c>
      <c r="Z82" s="196">
        <f t="shared" si="11"/>
        <v>6.8516559877226605E-3</v>
      </c>
      <c r="AA82" s="54">
        <v>0.01</v>
      </c>
      <c r="AB82" s="99">
        <f t="shared" si="7"/>
        <v>-0.25326644950949689</v>
      </c>
      <c r="AC82" s="99">
        <f t="shared" si="15"/>
        <v>1163.8956376534084</v>
      </c>
      <c r="AD82" s="99">
        <f t="shared" si="12"/>
        <v>0.4893297357064702</v>
      </c>
      <c r="AE82" s="99"/>
    </row>
    <row r="83" spans="1:31" x14ac:dyDescent="0.25">
      <c r="A83" t="s">
        <v>218</v>
      </c>
      <c r="B83" t="s">
        <v>255</v>
      </c>
      <c r="C83" s="79">
        <v>40967.546942691188</v>
      </c>
      <c r="D83" s="79">
        <v>14233.135207155263</v>
      </c>
      <c r="E83" s="79">
        <v>21755.610800000002</v>
      </c>
      <c r="F83" s="79">
        <v>36217.855217803459</v>
      </c>
      <c r="G83" s="79">
        <v>0</v>
      </c>
      <c r="H83" s="79">
        <v>113174.14816764991</v>
      </c>
      <c r="I83" s="79">
        <f>VLOOKUP(Visualization!$A83,US_Results!$A$3:$AJ$52,17,FALSE)</f>
        <v>54.610332223967461</v>
      </c>
      <c r="J83" s="79">
        <f t="shared" si="8"/>
        <v>45.378303500660543</v>
      </c>
      <c r="O83" t="s">
        <v>218</v>
      </c>
      <c r="P83" t="s">
        <v>562</v>
      </c>
      <c r="Q83" s="99">
        <v>319.09492522651141</v>
      </c>
      <c r="R83" s="99">
        <v>-249.03622640576927</v>
      </c>
      <c r="S83" t="str">
        <f t="shared" si="13"/>
        <v>BEV better</v>
      </c>
      <c r="T83" s="99">
        <v>19.853769663147848</v>
      </c>
      <c r="U83" s="99">
        <v>12.275221786320792</v>
      </c>
      <c r="V83" s="99">
        <f t="shared" si="14"/>
        <v>7.5785478768270558</v>
      </c>
      <c r="W83" s="10" t="s">
        <v>570</v>
      </c>
      <c r="X83" s="54">
        <f t="shared" si="9"/>
        <v>0.1660726366692426</v>
      </c>
      <c r="Y83" s="54">
        <f t="shared" si="10"/>
        <v>3.8670863055410995E-2</v>
      </c>
      <c r="Z83" s="196">
        <f t="shared" si="11"/>
        <v>6.8516559877226605E-3</v>
      </c>
      <c r="AA83" s="54">
        <v>0.01</v>
      </c>
      <c r="AB83" s="99">
        <f t="shared" si="7"/>
        <v>0.75184429671436614</v>
      </c>
      <c r="AC83" s="99">
        <f t="shared" si="15"/>
        <v>568.13115163228065</v>
      </c>
      <c r="AD83" s="99">
        <f t="shared" si="12"/>
        <v>0.34187621662237355</v>
      </c>
      <c r="AE83" s="99"/>
    </row>
    <row r="84" spans="1:31" x14ac:dyDescent="0.25">
      <c r="A84" t="s">
        <v>219</v>
      </c>
      <c r="B84" t="s">
        <v>255</v>
      </c>
      <c r="C84" s="79">
        <v>40967.546942691188</v>
      </c>
      <c r="D84" s="79">
        <v>10797.502642367779</v>
      </c>
      <c r="E84" s="79">
        <v>15018.365600000001</v>
      </c>
      <c r="F84" s="79">
        <v>32994.27601591852</v>
      </c>
      <c r="G84" s="79">
        <v>0</v>
      </c>
      <c r="H84" s="79">
        <v>99777.691200977482</v>
      </c>
      <c r="I84" s="79">
        <f>VLOOKUP(Visualization!$A84,US_Results!$A$3:$AJ$52,17,FALSE)</f>
        <v>43.350318174879177</v>
      </c>
      <c r="J84" s="79">
        <f t="shared" si="8"/>
        <v>43.226329134433207</v>
      </c>
      <c r="O84" t="s">
        <v>219</v>
      </c>
      <c r="P84" t="s">
        <v>562</v>
      </c>
      <c r="Q84" s="99">
        <v>352.58930041727416</v>
      </c>
      <c r="R84" s="99">
        <v>-311.85998656950051</v>
      </c>
      <c r="S84" t="str">
        <f t="shared" si="13"/>
        <v>BEV better</v>
      </c>
      <c r="T84" s="99">
        <v>16.505282255263488</v>
      </c>
      <c r="U84" s="99">
        <v>8.5898221013164964</v>
      </c>
      <c r="V84" s="99">
        <f t="shared" si="14"/>
        <v>7.9154601539469915</v>
      </c>
      <c r="W84" s="10" t="s">
        <v>570</v>
      </c>
      <c r="X84" s="54">
        <f t="shared" si="9"/>
        <v>0.1660726366692426</v>
      </c>
      <c r="Y84" s="54">
        <f t="shared" si="10"/>
        <v>3.8670863055410995E-2</v>
      </c>
      <c r="Z84" s="196">
        <f t="shared" si="11"/>
        <v>6.8516559877226605E-3</v>
      </c>
      <c r="AA84" s="54">
        <v>0.01</v>
      </c>
      <c r="AB84" s="99">
        <f t="shared" si="7"/>
        <v>0.7683745890552498</v>
      </c>
      <c r="AC84" s="99">
        <f t="shared" si="15"/>
        <v>664.44928698677472</v>
      </c>
      <c r="AD84" s="99">
        <f t="shared" si="12"/>
        <v>0.36972218204935042</v>
      </c>
      <c r="AE84" s="99"/>
    </row>
    <row r="85" spans="1:31" x14ac:dyDescent="0.25">
      <c r="A85" t="s">
        <v>220</v>
      </c>
      <c r="B85" t="s">
        <v>255</v>
      </c>
      <c r="C85" s="79">
        <v>40967.546942691188</v>
      </c>
      <c r="D85" s="79">
        <v>12153.193960814106</v>
      </c>
      <c r="E85" s="79">
        <v>14068.194000000001</v>
      </c>
      <c r="F85" s="79">
        <v>37568.080599793</v>
      </c>
      <c r="G85" s="79">
        <v>0</v>
      </c>
      <c r="H85" s="79">
        <v>104757.01550329829</v>
      </c>
      <c r="I85" s="79">
        <f>VLOOKUP(Visualization!$A85,US_Results!$A$3:$AJ$52,17,FALSE)</f>
        <v>33.721816931563197</v>
      </c>
      <c r="J85" s="79">
        <f t="shared" si="8"/>
        <v>360.52954426216343</v>
      </c>
      <c r="O85" t="s">
        <v>220</v>
      </c>
      <c r="P85" t="s">
        <v>562</v>
      </c>
      <c r="Q85" s="99">
        <v>896.67588259275385</v>
      </c>
      <c r="R85" s="99">
        <v>-192.31680962520682</v>
      </c>
      <c r="S85" t="str">
        <f t="shared" si="13"/>
        <v>BEV better</v>
      </c>
      <c r="T85" s="99">
        <v>11.964816366623603</v>
      </c>
      <c r="U85" s="99">
        <v>8.0308478076659391</v>
      </c>
      <c r="V85" s="99">
        <f t="shared" si="14"/>
        <v>3.9339685589576643</v>
      </c>
      <c r="W85" s="10" t="s">
        <v>570</v>
      </c>
      <c r="X85" s="54">
        <f t="shared" si="9"/>
        <v>0.1660726366692426</v>
      </c>
      <c r="Y85" s="54">
        <f t="shared" si="10"/>
        <v>3.8670863055410995E-2</v>
      </c>
      <c r="Z85" s="196">
        <f t="shared" si="11"/>
        <v>6.8516559877226605E-3</v>
      </c>
      <c r="AA85" s="54">
        <v>0.01</v>
      </c>
      <c r="AB85" s="99">
        <f t="shared" si="7"/>
        <v>0.54168941926484537</v>
      </c>
      <c r="AC85" s="99">
        <f t="shared" si="15"/>
        <v>1088.9926922179607</v>
      </c>
      <c r="AD85" s="99">
        <f t="shared" si="12"/>
        <v>0.47332241351151799</v>
      </c>
      <c r="AE85" s="99"/>
    </row>
    <row r="86" spans="1:31" x14ac:dyDescent="0.25">
      <c r="A86" t="s">
        <v>221</v>
      </c>
      <c r="B86" t="s">
        <v>255</v>
      </c>
      <c r="C86" s="79">
        <v>40967.546942691188</v>
      </c>
      <c r="D86" s="79">
        <v>14359.315821753393</v>
      </c>
      <c r="E86" s="79">
        <v>12244.0612</v>
      </c>
      <c r="F86" s="79">
        <v>40319.985947646564</v>
      </c>
      <c r="G86" s="79">
        <v>0</v>
      </c>
      <c r="H86" s="79">
        <v>107890.90991209114</v>
      </c>
      <c r="I86" s="79">
        <f>VLOOKUP(Visualization!$A86,US_Results!$A$3:$AJ$52,17,FALSE)</f>
        <v>25.429641918823364</v>
      </c>
      <c r="J86" s="79">
        <f t="shared" si="8"/>
        <v>802.61160098474852</v>
      </c>
      <c r="O86" t="s">
        <v>221</v>
      </c>
      <c r="P86" t="s">
        <v>562</v>
      </c>
      <c r="Q86" s="99">
        <v>1702.3808831027795</v>
      </c>
      <c r="R86" s="99">
        <v>-142.05175361062024</v>
      </c>
      <c r="S86" t="str">
        <f t="shared" si="13"/>
        <v>BEV better</v>
      </c>
      <c r="T86" s="99">
        <v>8.4355193208118404</v>
      </c>
      <c r="U86" s="99">
        <v>6.9625249885021461</v>
      </c>
      <c r="V86" s="99">
        <f t="shared" si="14"/>
        <v>1.4729943323096943</v>
      </c>
      <c r="W86" s="10" t="s">
        <v>570</v>
      </c>
      <c r="X86" s="54">
        <f t="shared" si="9"/>
        <v>0.1660726366692426</v>
      </c>
      <c r="Y86" s="54">
        <f t="shared" si="10"/>
        <v>3.8670863055410995E-2</v>
      </c>
      <c r="Z86" s="196">
        <f t="shared" si="11"/>
        <v>6.8516559877226605E-3</v>
      </c>
      <c r="AA86" s="54">
        <v>0.01</v>
      </c>
      <c r="AB86" s="99">
        <f t="shared" si="7"/>
        <v>0.33146329880234859</v>
      </c>
      <c r="AC86" s="99">
        <f t="shared" si="15"/>
        <v>1844.4326367133997</v>
      </c>
      <c r="AD86" s="99">
        <f t="shared" si="12"/>
        <v>0.6159932976491348</v>
      </c>
      <c r="AE86" s="99"/>
    </row>
    <row r="87" spans="1:31" x14ac:dyDescent="0.25">
      <c r="A87" t="s">
        <v>222</v>
      </c>
      <c r="B87" t="s">
        <v>255</v>
      </c>
      <c r="C87" s="79">
        <v>40967.546942691188</v>
      </c>
      <c r="D87" s="79">
        <v>12557.485340460076</v>
      </c>
      <c r="E87" s="79">
        <v>18365.477200000001</v>
      </c>
      <c r="F87" s="79">
        <v>36971.580217803457</v>
      </c>
      <c r="G87" s="79">
        <v>0</v>
      </c>
      <c r="H87" s="79">
        <v>108862.0897009547</v>
      </c>
      <c r="I87" s="79">
        <f>VLOOKUP(Visualization!$A87,US_Results!$A$3:$AJ$52,17,FALSE)</f>
        <v>48.217232835730385</v>
      </c>
      <c r="J87" s="79">
        <f t="shared" si="8"/>
        <v>156.23998791282716</v>
      </c>
      <c r="O87" t="s">
        <v>222</v>
      </c>
      <c r="P87" t="s">
        <v>562</v>
      </c>
      <c r="Q87" s="99">
        <v>483.49637111015295</v>
      </c>
      <c r="R87" s="99">
        <v>-211.26267826194027</v>
      </c>
      <c r="S87" t="str">
        <f t="shared" si="13"/>
        <v>BEV better</v>
      </c>
      <c r="T87" s="99">
        <v>17.92011161407682</v>
      </c>
      <c r="U87" s="99">
        <v>10.240838928935379</v>
      </c>
      <c r="V87" s="99">
        <f t="shared" si="14"/>
        <v>7.6792726851414415</v>
      </c>
      <c r="W87" s="10" t="s">
        <v>570</v>
      </c>
      <c r="X87" s="54">
        <f t="shared" si="9"/>
        <v>0.1660726366692426</v>
      </c>
      <c r="Y87" s="54">
        <f t="shared" si="10"/>
        <v>3.8670863055410995E-2</v>
      </c>
      <c r="Z87" s="196">
        <f t="shared" si="11"/>
        <v>6.8516559877226605E-3</v>
      </c>
      <c r="AA87" s="54">
        <v>0.01</v>
      </c>
      <c r="AB87" s="99">
        <f t="shared" si="7"/>
        <v>0.75682410331361405</v>
      </c>
      <c r="AC87" s="99">
        <f t="shared" si="15"/>
        <v>694.75904937209316</v>
      </c>
      <c r="AD87" s="99">
        <f t="shared" si="12"/>
        <v>0.37806083899198339</v>
      </c>
      <c r="AE87" s="99"/>
    </row>
    <row r="88" spans="1:31" x14ac:dyDescent="0.25">
      <c r="A88" t="s">
        <v>223</v>
      </c>
      <c r="B88" t="s">
        <v>255</v>
      </c>
      <c r="C88" s="79">
        <v>40967.546942691188</v>
      </c>
      <c r="D88" s="79">
        <v>14055.884675542296</v>
      </c>
      <c r="E88" s="79">
        <v>19102.997200000002</v>
      </c>
      <c r="F88" s="79">
        <v>36209.279453824383</v>
      </c>
      <c r="G88" s="79">
        <v>0</v>
      </c>
      <c r="H88" s="79">
        <v>110335.70827205788</v>
      </c>
      <c r="I88" s="79">
        <f>VLOOKUP(Visualization!$A88,US_Results!$A$3:$AJ$52,17,FALSE)</f>
        <v>57.336015234464838</v>
      </c>
      <c r="J88" s="79">
        <f t="shared" si="8"/>
        <v>103.7447546609193</v>
      </c>
      <c r="O88" t="s">
        <v>223</v>
      </c>
      <c r="P88" t="s">
        <v>562</v>
      </c>
      <c r="Q88" s="99">
        <v>358.10627121593996</v>
      </c>
      <c r="R88" s="99">
        <v>-236.23081618527888</v>
      </c>
      <c r="S88" t="str">
        <f t="shared" si="13"/>
        <v>BEV better</v>
      </c>
      <c r="T88" s="99">
        <v>22.012700283074388</v>
      </c>
      <c r="U88" s="99">
        <v>11.073560131132343</v>
      </c>
      <c r="V88" s="99">
        <f t="shared" si="14"/>
        <v>10.939140151942045</v>
      </c>
      <c r="W88" s="10" t="s">
        <v>570</v>
      </c>
      <c r="X88" s="54">
        <f t="shared" si="9"/>
        <v>0.1660726366692426</v>
      </c>
      <c r="Y88" s="54">
        <f t="shared" si="10"/>
        <v>3.8670863055410995E-2</v>
      </c>
      <c r="Z88" s="196">
        <f t="shared" si="11"/>
        <v>6.8516559877226605E-3</v>
      </c>
      <c r="AA88" s="54">
        <v>0.01</v>
      </c>
      <c r="AB88" s="99">
        <f t="shared" si="7"/>
        <v>0.90328854672313319</v>
      </c>
      <c r="AC88" s="99">
        <f t="shared" si="15"/>
        <v>594.33708740121881</v>
      </c>
      <c r="AD88" s="99">
        <f t="shared" si="12"/>
        <v>0.34967211749094423</v>
      </c>
      <c r="AE88" s="99"/>
    </row>
    <row r="89" spans="1:31" x14ac:dyDescent="0.25">
      <c r="A89" t="s">
        <v>224</v>
      </c>
      <c r="B89" t="s">
        <v>255</v>
      </c>
      <c r="C89" s="79">
        <v>40967.546942691188</v>
      </c>
      <c r="D89" s="79">
        <v>12683.731230475894</v>
      </c>
      <c r="E89" s="79">
        <v>18790.7804</v>
      </c>
      <c r="F89" s="79">
        <v>38164.580981782543</v>
      </c>
      <c r="G89" s="79">
        <v>0</v>
      </c>
      <c r="H89" s="79">
        <v>110606.63955494962</v>
      </c>
      <c r="I89" s="79">
        <f>VLOOKUP(Visualization!$A89,US_Results!$A$3:$AJ$52,17,FALSE)</f>
        <v>47.975123061614248</v>
      </c>
      <c r="J89" s="79">
        <f t="shared" si="8"/>
        <v>141.22476846581358</v>
      </c>
      <c r="O89" t="s">
        <v>224</v>
      </c>
      <c r="P89" t="s">
        <v>562</v>
      </c>
      <c r="Q89" s="99">
        <v>483.65705656447693</v>
      </c>
      <c r="R89" s="99">
        <v>-235.26665786230222</v>
      </c>
      <c r="S89" t="str">
        <f t="shared" si="13"/>
        <v>BEV better</v>
      </c>
      <c r="T89" s="99">
        <v>17.594129576104216</v>
      </c>
      <c r="U89" s="99">
        <v>10.550545537220522</v>
      </c>
      <c r="V89" s="99">
        <f t="shared" si="14"/>
        <v>7.0435840388836937</v>
      </c>
      <c r="W89" s="10" t="s">
        <v>570</v>
      </c>
      <c r="X89" s="54">
        <f t="shared" si="9"/>
        <v>0.1660726366692426</v>
      </c>
      <c r="Y89" s="54">
        <f t="shared" si="10"/>
        <v>3.8670863055410995E-2</v>
      </c>
      <c r="Z89" s="196">
        <f t="shared" si="11"/>
        <v>6.8516559877226605E-3</v>
      </c>
      <c r="AA89" s="54">
        <v>0.01</v>
      </c>
      <c r="AB89" s="99">
        <f t="shared" si="7"/>
        <v>0.72482265753520658</v>
      </c>
      <c r="AC89" s="99">
        <f t="shared" si="15"/>
        <v>718.92371442677916</v>
      </c>
      <c r="AD89" s="99">
        <f t="shared" si="12"/>
        <v>0.3845793777433123</v>
      </c>
      <c r="AE89" s="99"/>
    </row>
    <row r="90" spans="1:31" x14ac:dyDescent="0.25">
      <c r="A90" t="s">
        <v>225</v>
      </c>
      <c r="B90" t="s">
        <v>255</v>
      </c>
      <c r="C90" s="79">
        <v>40967.546942691188</v>
      </c>
      <c r="D90" s="79">
        <v>13471.078908197303</v>
      </c>
      <c r="E90" s="79">
        <v>19878.6224</v>
      </c>
      <c r="F90" s="79">
        <v>36515.152925866219</v>
      </c>
      <c r="G90" s="79">
        <v>0</v>
      </c>
      <c r="H90" s="79">
        <v>110832.40117675471</v>
      </c>
      <c r="I90" s="79">
        <f>VLOOKUP(Visualization!$A90,US_Results!$A$3:$AJ$52,17,FALSE)</f>
        <v>46.139398193586572</v>
      </c>
      <c r="J90" s="79">
        <f t="shared" si="8"/>
        <v>133.65859056147781</v>
      </c>
      <c r="O90" t="s">
        <v>225</v>
      </c>
      <c r="P90" t="s">
        <v>562</v>
      </c>
      <c r="Q90" s="99">
        <v>503.08500405702313</v>
      </c>
      <c r="R90" s="99">
        <v>-208.55588367469562</v>
      </c>
      <c r="S90" t="str">
        <f t="shared" si="13"/>
        <v>BEV better</v>
      </c>
      <c r="T90" s="99">
        <v>16.270812433969699</v>
      </c>
      <c r="U90" s="99">
        <v>11.150376599984178</v>
      </c>
      <c r="V90" s="99">
        <f t="shared" si="14"/>
        <v>5.1204358339855212</v>
      </c>
      <c r="W90" s="10" t="s">
        <v>570</v>
      </c>
      <c r="X90" s="54">
        <f t="shared" si="9"/>
        <v>0.1660726366692426</v>
      </c>
      <c r="Y90" s="54">
        <f t="shared" si="10"/>
        <v>3.8670863055410995E-2</v>
      </c>
      <c r="Z90" s="196">
        <f t="shared" si="11"/>
        <v>6.8516559877226605E-3</v>
      </c>
      <c r="AA90" s="54">
        <v>0.01</v>
      </c>
      <c r="AB90" s="99">
        <f t="shared" si="7"/>
        <v>0.61799985679541702</v>
      </c>
      <c r="AC90" s="99">
        <f t="shared" si="15"/>
        <v>711.64088773171875</v>
      </c>
      <c r="AD90" s="99">
        <f t="shared" si="12"/>
        <v>0.38262649020154177</v>
      </c>
      <c r="AE90" s="99"/>
    </row>
    <row r="91" spans="1:31" x14ac:dyDescent="0.25">
      <c r="A91" t="s">
        <v>226</v>
      </c>
      <c r="B91" t="s">
        <v>255</v>
      </c>
      <c r="C91" s="79">
        <v>40967.546942691188</v>
      </c>
      <c r="D91" s="79">
        <v>12666.644996328387</v>
      </c>
      <c r="E91" s="79">
        <v>19072.267200000002</v>
      </c>
      <c r="F91" s="79">
        <v>37270.97407183484</v>
      </c>
      <c r="G91" s="79">
        <v>0</v>
      </c>
      <c r="H91" s="79">
        <v>109977.43321085442</v>
      </c>
      <c r="I91" s="79">
        <f>VLOOKUP(Visualization!$A91,US_Results!$A$3:$AJ$52,17,FALSE)</f>
        <v>25.070033095285922</v>
      </c>
      <c r="J91" s="79">
        <f t="shared" si="8"/>
        <v>151.29787920549217</v>
      </c>
      <c r="O91" t="s">
        <v>226</v>
      </c>
      <c r="P91" t="s">
        <v>562</v>
      </c>
      <c r="Q91" s="99">
        <v>1270.6510133163617</v>
      </c>
      <c r="R91" s="99">
        <v>-256.50259628877717</v>
      </c>
      <c r="S91" t="str">
        <f t="shared" si="13"/>
        <v>HEV better</v>
      </c>
      <c r="T91" s="99">
        <v>5.6776818385477625</v>
      </c>
      <c r="U91" s="99">
        <v>10.929509051694421</v>
      </c>
      <c r="V91" s="99">
        <f t="shared" si="14"/>
        <v>-5.2518272131466581</v>
      </c>
      <c r="W91" s="10" t="s">
        <v>570</v>
      </c>
      <c r="X91" s="54">
        <f t="shared" si="9"/>
        <v>0.1660726366692426</v>
      </c>
      <c r="Y91" s="54">
        <f t="shared" si="10"/>
        <v>3.8670863055410995E-2</v>
      </c>
      <c r="Z91" s="196">
        <f t="shared" si="11"/>
        <v>6.8516559877226605E-3</v>
      </c>
      <c r="AA91" s="54">
        <v>0.01</v>
      </c>
      <c r="AB91" s="99">
        <f t="shared" si="7"/>
        <v>-0.58507084587266101</v>
      </c>
      <c r="AC91" s="99">
        <f t="shared" si="15"/>
        <v>1527.1536096051389</v>
      </c>
      <c r="AD91" s="99">
        <f t="shared" si="12"/>
        <v>0.5605133349242063</v>
      </c>
      <c r="AE91" s="99"/>
    </row>
    <row r="92" spans="1:31" x14ac:dyDescent="0.25">
      <c r="A92" t="s">
        <v>228</v>
      </c>
      <c r="B92" t="s">
        <v>255</v>
      </c>
      <c r="C92" s="79">
        <v>40967.546942691188</v>
      </c>
      <c r="D92" s="79">
        <v>17027.078348187613</v>
      </c>
      <c r="E92" s="79">
        <v>15984.516800000001</v>
      </c>
      <c r="F92" s="79">
        <v>36739.078689845293</v>
      </c>
      <c r="G92" s="79">
        <v>0</v>
      </c>
      <c r="H92" s="79">
        <v>110718.22078072409</v>
      </c>
      <c r="I92" s="79">
        <f>VLOOKUP(Visualization!$A92,US_Results!$A$3:$AJ$52,17,FALSE)</f>
        <v>56.357593704239775</v>
      </c>
      <c r="J92" s="79">
        <f t="shared" si="8"/>
        <v>230.20716651989125</v>
      </c>
      <c r="O92" t="s">
        <v>228</v>
      </c>
      <c r="P92" t="s">
        <v>562</v>
      </c>
      <c r="Q92" s="99">
        <v>489.58353952458248</v>
      </c>
      <c r="R92" s="99">
        <v>-226.56179941546657</v>
      </c>
      <c r="S92" t="str">
        <f t="shared" si="13"/>
        <v>BEV better</v>
      </c>
      <c r="T92" s="99">
        <v>22.6816225960536</v>
      </c>
      <c r="U92" s="99">
        <v>9.274666743506959</v>
      </c>
      <c r="V92" s="99">
        <f t="shared" si="14"/>
        <v>13.406955852546641</v>
      </c>
      <c r="W92" s="10" t="s">
        <v>570</v>
      </c>
      <c r="X92" s="54">
        <f t="shared" si="9"/>
        <v>0.1660726366692426</v>
      </c>
      <c r="Y92" s="54">
        <f t="shared" si="10"/>
        <v>3.8670863055410995E-2</v>
      </c>
      <c r="Z92" s="196">
        <f t="shared" si="11"/>
        <v>6.8516559877226605E-3</v>
      </c>
      <c r="AA92" s="54">
        <v>0.01</v>
      </c>
      <c r="AB92" s="99">
        <f t="shared" si="7"/>
        <v>1</v>
      </c>
      <c r="AC92" s="99">
        <f t="shared" si="15"/>
        <v>716.14533894004899</v>
      </c>
      <c r="AD92" s="99">
        <f t="shared" si="12"/>
        <v>0.38383552951608757</v>
      </c>
      <c r="AE92" s="99"/>
    </row>
    <row r="93" spans="1:31" x14ac:dyDescent="0.25">
      <c r="A93" t="s">
        <v>227</v>
      </c>
      <c r="B93" t="s">
        <v>255</v>
      </c>
      <c r="C93" s="79">
        <v>40967.546942691188</v>
      </c>
      <c r="D93" s="79">
        <v>12578.658200438775</v>
      </c>
      <c r="E93" s="79">
        <v>17834.462800000001</v>
      </c>
      <c r="F93" s="79">
        <v>41911.097441468744</v>
      </c>
      <c r="G93" s="79">
        <v>0</v>
      </c>
      <c r="H93" s="79">
        <v>113291.76538459869</v>
      </c>
      <c r="I93" s="79">
        <f>VLOOKUP(Visualization!$A93,US_Results!$A$3:$AJ$52,17,FALSE)</f>
        <v>45.622166974199907</v>
      </c>
      <c r="J93" s="79">
        <f t="shared" si="8"/>
        <v>274.93277119202662</v>
      </c>
      <c r="O93" t="s">
        <v>227</v>
      </c>
      <c r="P93" t="s">
        <v>562</v>
      </c>
      <c r="Q93" s="99">
        <v>639.10086409096516</v>
      </c>
      <c r="R93" s="99">
        <v>-233.28754516679996</v>
      </c>
      <c r="S93" t="str">
        <f t="shared" si="13"/>
        <v>BEV better</v>
      </c>
      <c r="T93" s="99">
        <v>16.730557705233362</v>
      </c>
      <c r="U93" s="99">
        <v>10.033271631242275</v>
      </c>
      <c r="V93" s="99">
        <f t="shared" si="14"/>
        <v>6.6972860739910871</v>
      </c>
      <c r="W93" s="10" t="s">
        <v>570</v>
      </c>
      <c r="X93" s="54">
        <f t="shared" si="9"/>
        <v>0.1660726366692426</v>
      </c>
      <c r="Y93" s="54">
        <f t="shared" si="10"/>
        <v>3.8670863055410995E-2</v>
      </c>
      <c r="Z93" s="196">
        <f t="shared" si="11"/>
        <v>6.8516559877226605E-3</v>
      </c>
      <c r="AA93" s="54">
        <v>0.01</v>
      </c>
      <c r="AB93" s="99">
        <f t="shared" si="7"/>
        <v>0.70678013639955772</v>
      </c>
      <c r="AC93" s="99">
        <f t="shared" si="15"/>
        <v>872.38840925776515</v>
      </c>
      <c r="AD93" s="99">
        <f t="shared" si="12"/>
        <v>0.42364250861507041</v>
      </c>
      <c r="AE93" s="99"/>
    </row>
    <row r="94" spans="1:31" x14ac:dyDescent="0.25">
      <c r="A94" t="s">
        <v>229</v>
      </c>
      <c r="B94" t="s">
        <v>255</v>
      </c>
      <c r="C94" s="79">
        <v>40967.546942691188</v>
      </c>
      <c r="D94" s="79">
        <v>9088.3669268815866</v>
      </c>
      <c r="E94" s="79">
        <v>13458.5108</v>
      </c>
      <c r="F94" s="79">
        <v>37286.029453824383</v>
      </c>
      <c r="G94" s="79">
        <v>0</v>
      </c>
      <c r="H94" s="79">
        <v>100800.45412339715</v>
      </c>
      <c r="I94" s="79">
        <f>VLOOKUP(Visualization!$A94,US_Results!$A$3:$AJ$52,17,FALSE)</f>
        <v>41.687754067429211</v>
      </c>
      <c r="J94" s="79">
        <f t="shared" si="8"/>
        <v>139.17341827193317</v>
      </c>
      <c r="O94" t="s">
        <v>229</v>
      </c>
      <c r="P94" t="s">
        <v>562</v>
      </c>
      <c r="Q94" s="99">
        <v>496.55290062255307</v>
      </c>
      <c r="R94" s="99">
        <v>-273.24016706291764</v>
      </c>
      <c r="S94" t="str">
        <f t="shared" si="13"/>
        <v>BEV better</v>
      </c>
      <c r="T94" s="99">
        <v>16.227234583309773</v>
      </c>
      <c r="U94" s="99">
        <v>7.7125028749034659</v>
      </c>
      <c r="V94" s="99">
        <f t="shared" si="14"/>
        <v>8.5147317084063072</v>
      </c>
      <c r="W94" s="10" t="s">
        <v>570</v>
      </c>
      <c r="X94" s="54">
        <f t="shared" si="9"/>
        <v>0.1660726366692426</v>
      </c>
      <c r="Y94" s="54">
        <f t="shared" si="10"/>
        <v>3.8670863055410995E-2</v>
      </c>
      <c r="Z94" s="196">
        <f t="shared" si="11"/>
        <v>6.8516559877226605E-3</v>
      </c>
      <c r="AA94" s="54">
        <v>0.01</v>
      </c>
      <c r="AB94" s="99">
        <f t="shared" si="7"/>
        <v>0.79693040108473667</v>
      </c>
      <c r="AC94" s="99">
        <f t="shared" si="15"/>
        <v>769.79306768547076</v>
      </c>
      <c r="AD94" s="99">
        <f t="shared" si="12"/>
        <v>0.39795281905269331</v>
      </c>
      <c r="AE94" s="99"/>
    </row>
    <row r="95" spans="1:31" x14ac:dyDescent="0.25">
      <c r="A95" t="s">
        <v>159</v>
      </c>
      <c r="B95" t="s">
        <v>255</v>
      </c>
      <c r="C95" s="79">
        <v>40967.546942691188</v>
      </c>
      <c r="D95" s="79">
        <v>15282.954560118713</v>
      </c>
      <c r="E95" s="79">
        <v>20743.979200000002</v>
      </c>
      <c r="F95" s="79">
        <v>38728.683273719776</v>
      </c>
      <c r="G95" s="79">
        <v>0</v>
      </c>
      <c r="H95" s="79">
        <v>115723.16397652967</v>
      </c>
      <c r="I95" s="79">
        <f>VLOOKUP(Visualization!$A95,US_Results!$A$3:$AJ$52,17,FALSE)</f>
        <v>10.559136746365652</v>
      </c>
      <c r="J95" s="79">
        <f t="shared" si="8"/>
        <v>683.09719285431265</v>
      </c>
      <c r="O95" t="s">
        <v>159</v>
      </c>
      <c r="P95" t="s">
        <v>562</v>
      </c>
      <c r="Q95" s="99">
        <v>0</v>
      </c>
      <c r="R95" s="99">
        <v>-236.06559968950583</v>
      </c>
      <c r="S95" t="str">
        <f t="shared" si="13"/>
        <v>HEV better</v>
      </c>
      <c r="T95" s="99">
        <v>-2.2408135471619985</v>
      </c>
      <c r="U95" s="99">
        <v>11.750193910416261</v>
      </c>
      <c r="V95" s="99">
        <f t="shared" si="14"/>
        <v>-13.991007457578259</v>
      </c>
      <c r="W95" s="10" t="s">
        <v>570</v>
      </c>
      <c r="X95" s="54">
        <f t="shared" si="9"/>
        <v>0.1660726366692426</v>
      </c>
      <c r="Y95" s="54">
        <f t="shared" si="10"/>
        <v>3.8670863055410995E-2</v>
      </c>
      <c r="Z95" s="196">
        <f t="shared" si="11"/>
        <v>6.8516559877226605E-3</v>
      </c>
      <c r="AA95" s="54">
        <v>0.01</v>
      </c>
      <c r="AB95" s="99">
        <f t="shared" si="7"/>
        <v>-0.95494363234733071</v>
      </c>
      <c r="AC95" s="99">
        <f t="shared" si="15"/>
        <v>236.06559968950583</v>
      </c>
      <c r="AD95" s="99">
        <f t="shared" si="12"/>
        <v>0.22037429707249528</v>
      </c>
      <c r="AE95" s="99"/>
    </row>
    <row r="96" spans="1:31" x14ac:dyDescent="0.25">
      <c r="A96" t="s">
        <v>158</v>
      </c>
      <c r="B96" t="s">
        <v>255</v>
      </c>
      <c r="C96" s="79">
        <v>40967.546942691188</v>
      </c>
      <c r="D96" s="79">
        <v>17087.783063483101</v>
      </c>
      <c r="E96" s="79">
        <v>18981.306400000001</v>
      </c>
      <c r="F96" s="79">
        <v>34981.975633928974</v>
      </c>
      <c r="G96" s="79">
        <v>0</v>
      </c>
      <c r="H96" s="79">
        <v>112018.61204010327</v>
      </c>
      <c r="I96" s="79">
        <f>VLOOKUP(Visualization!$A96,US_Results!$A$3:$AJ$52,17,FALSE)</f>
        <v>31.514257854756835</v>
      </c>
      <c r="J96" s="79">
        <f t="shared" si="8"/>
        <v>226.92119381549543</v>
      </c>
      <c r="O96" t="s">
        <v>158</v>
      </c>
      <c r="P96" t="s">
        <v>562</v>
      </c>
      <c r="Q96" s="99">
        <v>958.31210781371078</v>
      </c>
      <c r="R96" s="99">
        <v>-245.64079601391572</v>
      </c>
      <c r="S96" t="str">
        <f t="shared" si="13"/>
        <v>HEV better</v>
      </c>
      <c r="T96" s="99">
        <v>8.8801002847497408</v>
      </c>
      <c r="U96" s="99">
        <v>11.04489734298166</v>
      </c>
      <c r="V96" s="99">
        <f t="shared" si="14"/>
        <v>-2.1647970582319189</v>
      </c>
      <c r="W96" s="10" t="s">
        <v>570</v>
      </c>
      <c r="X96" s="54">
        <f t="shared" si="9"/>
        <v>0.1660726366692426</v>
      </c>
      <c r="Y96" s="54">
        <f t="shared" si="10"/>
        <v>3.8670863055410995E-2</v>
      </c>
      <c r="Z96" s="196">
        <f t="shared" si="11"/>
        <v>6.8516559877226605E-3</v>
      </c>
      <c r="AA96" s="54">
        <v>0.01</v>
      </c>
      <c r="AB96" s="99">
        <f t="shared" si="7"/>
        <v>-0.3756313556671208</v>
      </c>
      <c r="AC96" s="99">
        <f t="shared" si="15"/>
        <v>1203.9529038276264</v>
      </c>
      <c r="AD96" s="99">
        <f t="shared" si="12"/>
        <v>0.49767902433194511</v>
      </c>
      <c r="AE96" s="99"/>
    </row>
    <row r="97" spans="1:31" x14ac:dyDescent="0.25">
      <c r="A97" t="s">
        <v>160</v>
      </c>
      <c r="B97" t="s">
        <v>255</v>
      </c>
      <c r="C97" s="79">
        <v>40967.546942691188</v>
      </c>
      <c r="D97" s="79">
        <v>21541.510970829604</v>
      </c>
      <c r="E97" s="79">
        <v>29585.614799999999</v>
      </c>
      <c r="F97" s="79">
        <v>35380.277543876684</v>
      </c>
      <c r="G97" s="79">
        <v>0</v>
      </c>
      <c r="H97" s="79">
        <v>127474.95025739748</v>
      </c>
      <c r="I97" s="79">
        <f>VLOOKUP(Visualization!$A97,US_Results!$A$3:$AJ$52,17,FALSE)</f>
        <v>25.78046126798715</v>
      </c>
      <c r="J97" s="79">
        <f>VLOOKUP($A97,$O$2:$R$49,4,FALSE)</f>
        <v>-329.42610376327241</v>
      </c>
      <c r="O97" t="s">
        <v>160</v>
      </c>
      <c r="P97" t="s">
        <v>562</v>
      </c>
      <c r="Q97" s="99">
        <v>1196.3865569176355</v>
      </c>
      <c r="R97" s="99">
        <v>-313.77912825088595</v>
      </c>
      <c r="S97" t="str">
        <f t="shared" si="13"/>
        <v>HEV better</v>
      </c>
      <c r="T97" s="99">
        <v>1.9219115387381578</v>
      </c>
      <c r="U97" s="99">
        <v>17.264319045583676</v>
      </c>
      <c r="V97" s="99">
        <f t="shared" si="14"/>
        <v>-15.342407506845518</v>
      </c>
      <c r="W97" s="10" t="s">
        <v>570</v>
      </c>
      <c r="X97" s="54">
        <f t="shared" si="9"/>
        <v>0.1660726366692426</v>
      </c>
      <c r="Y97" s="54">
        <f t="shared" si="10"/>
        <v>3.8670863055410995E-2</v>
      </c>
      <c r="Z97" s="196">
        <f t="shared" si="11"/>
        <v>6.8516559877226605E-3</v>
      </c>
      <c r="AA97" s="54">
        <v>0.01</v>
      </c>
      <c r="AB97" s="99">
        <f t="shared" si="7"/>
        <v>-1</v>
      </c>
      <c r="AC97" s="99">
        <f t="shared" si="15"/>
        <v>1510.1656851685216</v>
      </c>
      <c r="AD97" s="99">
        <f t="shared" si="12"/>
        <v>0.55738706563687845</v>
      </c>
      <c r="AE97" s="99"/>
    </row>
    <row r="98" spans="1:31" x14ac:dyDescent="0.25">
      <c r="A98" t="s">
        <v>187</v>
      </c>
      <c r="B98" t="s">
        <v>254</v>
      </c>
      <c r="C98" s="79">
        <v>25202.087524607668</v>
      </c>
      <c r="D98" s="79">
        <v>14894.023784331404</v>
      </c>
      <c r="E98" s="79">
        <v>32327.164799999999</v>
      </c>
      <c r="F98" s="79">
        <v>32496.636287742946</v>
      </c>
      <c r="G98" s="79">
        <v>0</v>
      </c>
      <c r="H98" s="79">
        <v>104919.91239668202</v>
      </c>
      <c r="I98" s="79">
        <f>VLOOKUP(Visualization!$A98,US_Results!$A$3:$AJ$52,26,FALSE)</f>
        <v>30.189093311712909</v>
      </c>
      <c r="J98" s="79">
        <f t="shared" ref="J98:J145" si="16">VLOOKUP($A98,$O$2:$R$49,4,FALSE)</f>
        <v>-259.05671695933665</v>
      </c>
      <c r="O98" t="s">
        <v>187</v>
      </c>
      <c r="P98" t="s">
        <v>562</v>
      </c>
      <c r="Q98" s="79">
        <v>652.70008741053152</v>
      </c>
      <c r="R98" s="99">
        <v>-170.61645768993594</v>
      </c>
      <c r="S98" t="str">
        <f t="shared" si="13"/>
        <v>BEV better</v>
      </c>
      <c r="T98" s="99">
        <v>3.708674621224147</v>
      </c>
      <c r="U98" s="99">
        <v>2.5916082806279617</v>
      </c>
      <c r="V98" s="99">
        <f t="shared" si="14"/>
        <v>1.1170663405961854</v>
      </c>
      <c r="W98" s="10" t="s">
        <v>578</v>
      </c>
      <c r="X98" s="54">
        <v>0.14254506524511101</v>
      </c>
      <c r="Y98" s="54">
        <v>3.319234768516921E-2</v>
      </c>
      <c r="Z98" s="196">
        <v>5.8809793677940866E-3</v>
      </c>
      <c r="AA98" s="54">
        <v>0.01</v>
      </c>
      <c r="AB98" s="99">
        <f>IF(V98&gt;0, SQRT(V98/MAX($V$98:$V$145)), -SQRT(V98/MIN($V$98:$V$145)))</f>
        <v>0.62759800454306747</v>
      </c>
      <c r="AC98" s="99">
        <f t="shared" si="15"/>
        <v>823.31654510046747</v>
      </c>
      <c r="AD98" s="99">
        <f>IF(AC98&gt;0,SQRT(AC98/MAX($AC$98:$AC$145)),-SQRT(AC98/MIN($AC$98:$AC$145)))</f>
        <v>0.58784703744778832</v>
      </c>
      <c r="AE98" s="99"/>
    </row>
    <row r="99" spans="1:31" x14ac:dyDescent="0.25">
      <c r="A99" t="s">
        <v>189</v>
      </c>
      <c r="B99" t="s">
        <v>254</v>
      </c>
      <c r="C99" s="79">
        <v>25202.087524607668</v>
      </c>
      <c r="D99" s="79">
        <v>16168.819100767751</v>
      </c>
      <c r="E99" s="79">
        <v>23750.495999999999</v>
      </c>
      <c r="F99" s="79">
        <v>31116.550982133904</v>
      </c>
      <c r="G99" s="79">
        <v>0</v>
      </c>
      <c r="H99" s="79">
        <v>96237.95360750932</v>
      </c>
      <c r="I99" s="79">
        <f>VLOOKUP(Visualization!$A99,US_Results!$A$3:$AJ$52,26,FALSE)</f>
        <v>22.442947056893125</v>
      </c>
      <c r="J99" s="79">
        <f t="shared" si="16"/>
        <v>-352.98791450319544</v>
      </c>
      <c r="O99" t="s">
        <v>189</v>
      </c>
      <c r="P99" t="s">
        <v>562</v>
      </c>
      <c r="Q99" s="79">
        <v>747.42977910841796</v>
      </c>
      <c r="R99" s="99">
        <v>-217.21467663687915</v>
      </c>
      <c r="S99" t="str">
        <f t="shared" si="13"/>
        <v>BEV better</v>
      </c>
      <c r="T99" s="99">
        <v>2.8109176823028523</v>
      </c>
      <c r="U99" s="99">
        <v>1.9266337956487298</v>
      </c>
      <c r="V99" s="99">
        <f t="shared" si="14"/>
        <v>0.8842838866541225</v>
      </c>
      <c r="W99" t="s">
        <v>578</v>
      </c>
      <c r="X99" s="54">
        <v>0.14254506524511057</v>
      </c>
      <c r="Y99" s="54">
        <v>3.319234768516921E-2</v>
      </c>
      <c r="Z99" s="196">
        <v>5.8809793677940866E-3</v>
      </c>
      <c r="AA99" s="54">
        <v>0.01</v>
      </c>
      <c r="AB99" s="99">
        <f t="shared" ref="AB99:AB145" si="17">IF(V99&gt;0, SQRT(V99/MAX($V$98:$V$145)), -SQRT(V99/MIN($V$98:$V$145)))</f>
        <v>0.55839037900986987</v>
      </c>
      <c r="AC99" s="99">
        <f t="shared" si="15"/>
        <v>964.64445574529714</v>
      </c>
      <c r="AD99" s="99">
        <f t="shared" ref="AD99:AD145" si="18">IF(AC99&gt;0,SQRT(AC99/MAX($AC$98:$AC$145)),-SQRT(AC99/MIN($AC$98:$AC$145)))</f>
        <v>0.63630384659517214</v>
      </c>
      <c r="AE99" s="99"/>
    </row>
    <row r="100" spans="1:31" x14ac:dyDescent="0.25">
      <c r="A100" t="s">
        <v>188</v>
      </c>
      <c r="B100" t="s">
        <v>254</v>
      </c>
      <c r="C100" s="79">
        <v>25202.087524607668</v>
      </c>
      <c r="D100" s="79">
        <v>14483.171005043081</v>
      </c>
      <c r="E100" s="79">
        <v>31251.225599999998</v>
      </c>
      <c r="F100" s="79">
        <v>34831.767847289688</v>
      </c>
      <c r="G100" s="79">
        <v>0</v>
      </c>
      <c r="H100" s="79">
        <v>105768.25197694043</v>
      </c>
      <c r="I100" s="79">
        <f>VLOOKUP(Visualization!$A100,US_Results!$A$3:$AJ$52,26,FALSE)</f>
        <v>29.35752504006178</v>
      </c>
      <c r="J100" s="79">
        <f t="shared" si="16"/>
        <v>-252.74350768062141</v>
      </c>
      <c r="O100" t="s">
        <v>188</v>
      </c>
      <c r="P100" t="s">
        <v>562</v>
      </c>
      <c r="Q100" s="79">
        <v>492.62623532626264</v>
      </c>
      <c r="R100" s="99">
        <v>-141.05186638177824</v>
      </c>
      <c r="S100" t="str">
        <f t="shared" si="13"/>
        <v>BEV better</v>
      </c>
      <c r="T100" s="99">
        <v>2.6365119547825557</v>
      </c>
      <c r="U100" s="99">
        <v>2.5202215981441141</v>
      </c>
      <c r="V100" s="99">
        <f t="shared" si="14"/>
        <v>0.11629035663844167</v>
      </c>
      <c r="W100" t="s">
        <v>578</v>
      </c>
      <c r="X100" s="54">
        <v>0.14254506524511057</v>
      </c>
      <c r="Y100" s="54">
        <v>3.319234768516921E-2</v>
      </c>
      <c r="Z100" s="196">
        <v>5.8809793677940866E-3</v>
      </c>
      <c r="AA100" s="54">
        <v>0.01</v>
      </c>
      <c r="AB100" s="99">
        <f t="shared" si="17"/>
        <v>0.20249482200375596</v>
      </c>
      <c r="AC100" s="99">
        <f t="shared" si="15"/>
        <v>633.67810170804091</v>
      </c>
      <c r="AD100" s="99">
        <f t="shared" si="18"/>
        <v>0.51572152951065975</v>
      </c>
      <c r="AE100" s="99"/>
    </row>
    <row r="101" spans="1:31" x14ac:dyDescent="0.25">
      <c r="A101" t="s">
        <v>149</v>
      </c>
      <c r="B101" t="s">
        <v>254</v>
      </c>
      <c r="C101" s="79">
        <v>25202.087524607668</v>
      </c>
      <c r="D101" s="79">
        <v>15349.540730507366</v>
      </c>
      <c r="E101" s="79">
        <v>22723.545599999998</v>
      </c>
      <c r="F101" s="79">
        <v>35566.508627063056</v>
      </c>
      <c r="G101" s="79">
        <v>0</v>
      </c>
      <c r="H101" s="79">
        <v>98841.68248217809</v>
      </c>
      <c r="I101" s="79">
        <f>VLOOKUP(Visualization!$A101,US_Results!$A$3:$AJ$52,26,FALSE)</f>
        <v>21.304606948907526</v>
      </c>
      <c r="J101" s="79">
        <f t="shared" si="16"/>
        <v>-338.71798335765993</v>
      </c>
      <c r="O101" t="s">
        <v>149</v>
      </c>
      <c r="P101" t="s">
        <v>562</v>
      </c>
      <c r="Q101" s="79">
        <v>249.94551776363576</v>
      </c>
      <c r="R101" s="99">
        <v>-179.17709018114175</v>
      </c>
      <c r="S101" t="str">
        <f t="shared" si="13"/>
        <v>BEV better</v>
      </c>
      <c r="T101" s="99">
        <v>3.4251307505478557</v>
      </c>
      <c r="U101" s="99">
        <v>1.8289120250885733</v>
      </c>
      <c r="V101" s="99">
        <f t="shared" si="14"/>
        <v>1.5962187254592823</v>
      </c>
      <c r="W101" t="s">
        <v>578</v>
      </c>
      <c r="X101" s="54">
        <v>0.14254506524511057</v>
      </c>
      <c r="Y101" s="54">
        <v>3.319234768516921E-2</v>
      </c>
      <c r="Z101" s="196">
        <v>5.8809793677940866E-3</v>
      </c>
      <c r="AA101" s="54">
        <v>0.01</v>
      </c>
      <c r="AB101" s="99">
        <f t="shared" si="17"/>
        <v>0.75021936778247811</v>
      </c>
      <c r="AC101" s="99">
        <f t="shared" si="15"/>
        <v>429.12260794477754</v>
      </c>
      <c r="AD101" s="99">
        <f t="shared" si="18"/>
        <v>0.42439632071482897</v>
      </c>
      <c r="AE101" s="99"/>
    </row>
    <row r="102" spans="1:31" x14ac:dyDescent="0.25">
      <c r="A102" t="s">
        <v>190</v>
      </c>
      <c r="B102" t="s">
        <v>254</v>
      </c>
      <c r="C102" s="79">
        <v>25202.087524607668</v>
      </c>
      <c r="D102" s="79">
        <v>12968.921749621322</v>
      </c>
      <c r="E102" s="79">
        <v>23403.945599999999</v>
      </c>
      <c r="F102" s="79">
        <v>33101.883474258531</v>
      </c>
      <c r="G102" s="79">
        <v>0</v>
      </c>
      <c r="H102" s="79">
        <v>94676.838348487523</v>
      </c>
      <c r="I102" s="79">
        <f>VLOOKUP(Visualization!$A102,US_Results!$A$3:$AJ$52,26,FALSE)</f>
        <v>22.591102065422739</v>
      </c>
      <c r="J102" s="79">
        <f t="shared" si="16"/>
        <v>-268.47975170988684</v>
      </c>
      <c r="O102" t="s">
        <v>190</v>
      </c>
      <c r="P102" t="s">
        <v>562</v>
      </c>
      <c r="Q102" s="79">
        <v>949.26657600370743</v>
      </c>
      <c r="R102" s="99">
        <v>-139.31093871051914</v>
      </c>
      <c r="S102" t="str">
        <f t="shared" si="13"/>
        <v>HEV better</v>
      </c>
      <c r="T102" s="99">
        <v>1.7907041378865904</v>
      </c>
      <c r="U102" s="99">
        <v>1.9393522878193092</v>
      </c>
      <c r="V102" s="99">
        <f t="shared" si="14"/>
        <v>-0.1486481499327188</v>
      </c>
      <c r="W102" t="s">
        <v>578</v>
      </c>
      <c r="X102" s="54">
        <v>0.14254506524511057</v>
      </c>
      <c r="Y102" s="54">
        <v>3.319234768516921E-2</v>
      </c>
      <c r="Z102" s="196">
        <v>5.8809793677940866E-3</v>
      </c>
      <c r="AA102" s="54">
        <v>0.01</v>
      </c>
      <c r="AB102" s="99">
        <f t="shared" si="17"/>
        <v>-0.19465210185630294</v>
      </c>
      <c r="AC102" s="99">
        <f t="shared" si="15"/>
        <v>1088.5775147142265</v>
      </c>
      <c r="AD102" s="99">
        <f t="shared" si="18"/>
        <v>0.67594380497253215</v>
      </c>
      <c r="AE102" s="99"/>
    </row>
    <row r="103" spans="1:31" x14ac:dyDescent="0.25">
      <c r="A103" t="s">
        <v>191</v>
      </c>
      <c r="B103" t="s">
        <v>254</v>
      </c>
      <c r="C103" s="79">
        <v>25202.087524607668</v>
      </c>
      <c r="D103" s="79">
        <v>11629.262669013087</v>
      </c>
      <c r="E103" s="79">
        <v>21985.084800000001</v>
      </c>
      <c r="F103" s="79">
        <v>33751.828787742947</v>
      </c>
      <c r="G103" s="79">
        <v>0</v>
      </c>
      <c r="H103" s="79">
        <v>92568.263781363697</v>
      </c>
      <c r="I103" s="79">
        <f>VLOOKUP(Visualization!$A103,US_Results!$A$3:$AJ$52,26,FALSE)</f>
        <v>20.998123892067696</v>
      </c>
      <c r="J103" s="79">
        <f t="shared" si="16"/>
        <v>-247.56569840456535</v>
      </c>
      <c r="O103" t="s">
        <v>191</v>
      </c>
      <c r="P103" t="s">
        <v>562</v>
      </c>
      <c r="Q103" s="79">
        <v>2.8420707440267208</v>
      </c>
      <c r="R103" s="99">
        <v>-85.726011120150488</v>
      </c>
      <c r="S103" t="str">
        <f t="shared" si="13"/>
        <v>BEV better</v>
      </c>
      <c r="T103" s="99">
        <v>2.8163205300211995</v>
      </c>
      <c r="U103" s="99">
        <v>1.8026017275325321</v>
      </c>
      <c r="V103" s="99">
        <f t="shared" si="14"/>
        <v>1.0137188024886674</v>
      </c>
      <c r="W103" t="s">
        <v>578</v>
      </c>
      <c r="X103" s="54">
        <v>0.14254506524511057</v>
      </c>
      <c r="Y103" s="54">
        <v>3.319234768516921E-2</v>
      </c>
      <c r="Z103" s="196">
        <v>5.8809793677940866E-3</v>
      </c>
      <c r="AA103" s="54">
        <v>0.01</v>
      </c>
      <c r="AB103" s="99">
        <f t="shared" si="17"/>
        <v>0.59786182304730662</v>
      </c>
      <c r="AC103" s="99">
        <f t="shared" si="15"/>
        <v>88.568081864177202</v>
      </c>
      <c r="AD103" s="99">
        <f t="shared" si="18"/>
        <v>0.19280555037307773</v>
      </c>
      <c r="AE103" s="99"/>
    </row>
    <row r="104" spans="1:31" x14ac:dyDescent="0.25">
      <c r="A104" t="s">
        <v>192</v>
      </c>
      <c r="B104" t="s">
        <v>254</v>
      </c>
      <c r="C104" s="79">
        <v>25202.087524607668</v>
      </c>
      <c r="D104" s="79">
        <v>12290.460916921695</v>
      </c>
      <c r="E104" s="79">
        <v>22877.7696</v>
      </c>
      <c r="F104" s="79">
        <v>35029.505966383156</v>
      </c>
      <c r="G104" s="79">
        <v>0</v>
      </c>
      <c r="H104" s="79">
        <v>95399.82400791251</v>
      </c>
      <c r="I104" s="79">
        <f>VLOOKUP(Visualization!$A104,US_Results!$A$3:$AJ$52,26,FALSE)</f>
        <v>21.618267336926309</v>
      </c>
      <c r="J104" s="79">
        <f t="shared" si="16"/>
        <v>-257.94529611119054</v>
      </c>
      <c r="O104" t="s">
        <v>192</v>
      </c>
      <c r="P104" t="s">
        <v>562</v>
      </c>
      <c r="Q104" s="79">
        <v>1137.5474589555158</v>
      </c>
      <c r="R104" s="99">
        <v>-134.7189460214309</v>
      </c>
      <c r="S104" t="str">
        <f t="shared" si="13"/>
        <v>BEV better</v>
      </c>
      <c r="T104" s="99">
        <v>2.005916814980008</v>
      </c>
      <c r="U104" s="99">
        <v>1.855838466717711</v>
      </c>
      <c r="V104" s="99">
        <f t="shared" si="14"/>
        <v>0.15007834826229693</v>
      </c>
      <c r="W104" t="s">
        <v>578</v>
      </c>
      <c r="X104" s="54">
        <v>0.14254506524511057</v>
      </c>
      <c r="Y104" s="54">
        <v>3.319234768516921E-2</v>
      </c>
      <c r="Z104" s="196">
        <v>5.8809793677940866E-3</v>
      </c>
      <c r="AA104" s="54">
        <v>0.01</v>
      </c>
      <c r="AB104" s="99">
        <f t="shared" si="17"/>
        <v>0.23003879912812808</v>
      </c>
      <c r="AC104" s="99">
        <f t="shared" si="15"/>
        <v>1272.2664049769467</v>
      </c>
      <c r="AD104" s="99">
        <f t="shared" si="18"/>
        <v>0.7307518813205367</v>
      </c>
      <c r="AE104" s="99"/>
    </row>
    <row r="105" spans="1:31" x14ac:dyDescent="0.25">
      <c r="A105" t="s">
        <v>193</v>
      </c>
      <c r="B105" t="s">
        <v>254</v>
      </c>
      <c r="C105" s="79">
        <v>25202.087524607668</v>
      </c>
      <c r="D105" s="79">
        <v>12921.77549066945</v>
      </c>
      <c r="E105" s="79">
        <v>26412.220799999999</v>
      </c>
      <c r="F105" s="79">
        <v>46263.491095561571</v>
      </c>
      <c r="G105" s="79">
        <v>0</v>
      </c>
      <c r="H105" s="79">
        <v>110799.57491083868</v>
      </c>
      <c r="I105" s="79">
        <f>VLOOKUP(Visualization!$A105,US_Results!$A$3:$AJ$52,26,FALSE)</f>
        <v>24.689753356839915</v>
      </c>
      <c r="J105" s="79">
        <f t="shared" si="16"/>
        <v>-232.34881679733212</v>
      </c>
      <c r="O105" t="s">
        <v>193</v>
      </c>
      <c r="P105" t="s">
        <v>562</v>
      </c>
      <c r="Q105" s="79">
        <v>213.81019446156793</v>
      </c>
      <c r="R105" s="99">
        <v>-85.621319375491964</v>
      </c>
      <c r="S105" t="str">
        <f t="shared" si="13"/>
        <v>BEV better</v>
      </c>
      <c r="T105" s="99">
        <v>2.6476942092898312</v>
      </c>
      <c r="U105" s="99">
        <v>2.1195127851495528</v>
      </c>
      <c r="V105" s="99">
        <f t="shared" si="14"/>
        <v>0.52818142414027847</v>
      </c>
      <c r="W105" t="s">
        <v>578</v>
      </c>
      <c r="X105" s="54">
        <v>0.14254506524511057</v>
      </c>
      <c r="Y105" s="54">
        <v>3.319234768516921E-2</v>
      </c>
      <c r="Z105" s="196">
        <v>5.8809793677940866E-3</v>
      </c>
      <c r="AA105" s="54">
        <v>0.01</v>
      </c>
      <c r="AB105" s="99">
        <f t="shared" si="17"/>
        <v>0.43155249594465495</v>
      </c>
      <c r="AC105" s="99">
        <f t="shared" si="15"/>
        <v>299.43151383705992</v>
      </c>
      <c r="AD105" s="99">
        <f t="shared" si="18"/>
        <v>0.35451095923233605</v>
      </c>
      <c r="AE105" s="99"/>
    </row>
    <row r="106" spans="1:31" x14ac:dyDescent="0.25">
      <c r="A106" t="s">
        <v>194</v>
      </c>
      <c r="B106" t="s">
        <v>254</v>
      </c>
      <c r="C106" s="79">
        <v>25202.087524607668</v>
      </c>
      <c r="D106" s="79">
        <v>16242.553467177459</v>
      </c>
      <c r="E106" s="79">
        <v>33265.209599999995</v>
      </c>
      <c r="F106" s="79">
        <v>33075.505821454004</v>
      </c>
      <c r="G106" s="79">
        <v>0</v>
      </c>
      <c r="H106" s="79">
        <v>107785.35641323913</v>
      </c>
      <c r="I106" s="79">
        <f>VLOOKUP(Visualization!$A106,US_Results!$A$3:$AJ$52,26,FALSE)</f>
        <v>31.0343684673051</v>
      </c>
      <c r="J106" s="79">
        <f t="shared" si="16"/>
        <v>-277.31301235156997</v>
      </c>
      <c r="O106" t="s">
        <v>194</v>
      </c>
      <c r="P106" t="s">
        <v>562</v>
      </c>
      <c r="Q106" s="79">
        <v>564.66370967966191</v>
      </c>
      <c r="R106" s="99">
        <v>-173.96735705918209</v>
      </c>
      <c r="S106" t="str">
        <f t="shared" si="13"/>
        <v>BEV better</v>
      </c>
      <c r="T106" s="99">
        <v>3.7454186327430232</v>
      </c>
      <c r="U106" s="99">
        <v>2.6641716421712465</v>
      </c>
      <c r="V106" s="99">
        <f t="shared" si="14"/>
        <v>1.0812469905717768</v>
      </c>
      <c r="W106" t="s">
        <v>578</v>
      </c>
      <c r="X106" s="54">
        <v>0.14254506524511057</v>
      </c>
      <c r="Y106" s="54">
        <v>3.319234768516921E-2</v>
      </c>
      <c r="Z106" s="196">
        <v>5.8809793677940866E-3</v>
      </c>
      <c r="AA106" s="54">
        <v>0.01</v>
      </c>
      <c r="AB106" s="99">
        <f t="shared" si="17"/>
        <v>0.61745388422390513</v>
      </c>
      <c r="AC106" s="99">
        <f t="shared" si="15"/>
        <v>738.63106673884397</v>
      </c>
      <c r="AD106" s="99">
        <f t="shared" si="18"/>
        <v>0.5567941932443623</v>
      </c>
      <c r="AE106" s="99"/>
    </row>
    <row r="107" spans="1:31" x14ac:dyDescent="0.25">
      <c r="A107" t="s">
        <v>196</v>
      </c>
      <c r="B107" t="s">
        <v>254</v>
      </c>
      <c r="C107" s="79">
        <v>25202.087524607668</v>
      </c>
      <c r="D107" s="79">
        <v>14591.601009192194</v>
      </c>
      <c r="E107" s="79">
        <v>26158.2048</v>
      </c>
      <c r="F107" s="79">
        <v>23457.046785533385</v>
      </c>
      <c r="G107" s="79">
        <v>0</v>
      </c>
      <c r="H107" s="79">
        <v>89408.940119333245</v>
      </c>
      <c r="I107" s="79">
        <f>VLOOKUP(Visualization!$A107,US_Results!$A$3:$AJ$52,26,FALSE)</f>
        <v>25.418848414813482</v>
      </c>
      <c r="J107" s="79">
        <f t="shared" si="16"/>
        <v>-297.08374699352055</v>
      </c>
      <c r="O107" t="s">
        <v>196</v>
      </c>
      <c r="P107" t="s">
        <v>562</v>
      </c>
      <c r="Q107" s="79">
        <v>519.69062000923054</v>
      </c>
      <c r="R107" s="99">
        <v>-181.6415136445242</v>
      </c>
      <c r="S107" t="str">
        <f t="shared" si="13"/>
        <v>BEV better</v>
      </c>
      <c r="T107" s="99">
        <v>4.2624735702737322</v>
      </c>
      <c r="U107" s="99">
        <v>2.1821025678269947</v>
      </c>
      <c r="V107" s="99">
        <f t="shared" si="14"/>
        <v>2.0803710024467374</v>
      </c>
      <c r="W107" t="s">
        <v>578</v>
      </c>
      <c r="X107" s="54">
        <v>0.14254506524511057</v>
      </c>
      <c r="Y107" s="54">
        <v>3.319234768516921E-2</v>
      </c>
      <c r="Z107" s="196">
        <v>5.8809793677940866E-3</v>
      </c>
      <c r="AA107" s="54">
        <v>0.01</v>
      </c>
      <c r="AB107" s="99">
        <f t="shared" si="17"/>
        <v>0.85647061461247753</v>
      </c>
      <c r="AC107" s="99">
        <f t="shared" si="15"/>
        <v>701.33213365375468</v>
      </c>
      <c r="AD107" s="99">
        <f t="shared" si="18"/>
        <v>0.54255376466679184</v>
      </c>
      <c r="AE107" s="99"/>
    </row>
    <row r="108" spans="1:31" x14ac:dyDescent="0.25">
      <c r="A108" t="s">
        <v>197</v>
      </c>
      <c r="B108" t="s">
        <v>254</v>
      </c>
      <c r="C108" s="79">
        <v>25202.087524607668</v>
      </c>
      <c r="D108" s="79">
        <v>11692.332034351242</v>
      </c>
      <c r="E108" s="79">
        <v>22826.966399999998</v>
      </c>
      <c r="F108" s="79">
        <v>27791.584430462535</v>
      </c>
      <c r="G108" s="79">
        <v>0</v>
      </c>
      <c r="H108" s="79">
        <v>87512.970389421447</v>
      </c>
      <c r="I108" s="79">
        <f>VLOOKUP(Visualization!$A108,US_Results!$A$3:$AJ$52,26,FALSE)</f>
        <v>21.781125089458399</v>
      </c>
      <c r="J108" s="79">
        <f t="shared" si="16"/>
        <v>-254.23474948280847</v>
      </c>
      <c r="O108" t="s">
        <v>197</v>
      </c>
      <c r="P108" t="s">
        <v>562</v>
      </c>
      <c r="Q108" s="79">
        <v>366.64266357261823</v>
      </c>
      <c r="R108" s="99">
        <v>-101.21481680793616</v>
      </c>
      <c r="S108" t="str">
        <f t="shared" si="13"/>
        <v>BEV better</v>
      </c>
      <c r="T108" s="99">
        <v>3.3207492266266678</v>
      </c>
      <c r="U108" s="99">
        <v>1.8698191283980301</v>
      </c>
      <c r="V108" s="99">
        <f t="shared" si="14"/>
        <v>1.4509300982286377</v>
      </c>
      <c r="W108" t="s">
        <v>578</v>
      </c>
      <c r="X108" s="54">
        <v>0.14254506524511057</v>
      </c>
      <c r="Y108" s="54">
        <v>3.319234768516921E-2</v>
      </c>
      <c r="Z108" s="196">
        <v>5.8809793677940866E-3</v>
      </c>
      <c r="AA108" s="54">
        <v>0.01</v>
      </c>
      <c r="AB108" s="99">
        <f t="shared" si="17"/>
        <v>0.71526226900387624</v>
      </c>
      <c r="AC108" s="99">
        <f t="shared" si="15"/>
        <v>467.85748038055442</v>
      </c>
      <c r="AD108" s="99">
        <f t="shared" si="18"/>
        <v>0.44313668159541963</v>
      </c>
      <c r="AE108" s="99"/>
    </row>
    <row r="109" spans="1:31" x14ac:dyDescent="0.25">
      <c r="A109" t="s">
        <v>198</v>
      </c>
      <c r="B109" t="s">
        <v>254</v>
      </c>
      <c r="C109" s="79">
        <v>25202.087524607668</v>
      </c>
      <c r="D109" s="79">
        <v>16718.648626550599</v>
      </c>
      <c r="E109" s="79">
        <v>32702.745599999998</v>
      </c>
      <c r="F109" s="79">
        <v>26510.014277658011</v>
      </c>
      <c r="G109" s="79">
        <v>0</v>
      </c>
      <c r="H109" s="79">
        <v>101133.49602881627</v>
      </c>
      <c r="I109" s="79">
        <f>VLOOKUP(Visualization!$A109,US_Results!$A$3:$AJ$52,26,FALSE)</f>
        <v>31.144016839829732</v>
      </c>
      <c r="J109" s="79">
        <f t="shared" si="16"/>
        <v>-291.83780459899879</v>
      </c>
      <c r="O109" t="s">
        <v>198</v>
      </c>
      <c r="P109" t="s">
        <v>562</v>
      </c>
      <c r="Q109" s="79">
        <v>1937.1235408106006</v>
      </c>
      <c r="R109" s="99">
        <v>-195.12431780983889</v>
      </c>
      <c r="S109" t="str">
        <f t="shared" si="13"/>
        <v>HEV better</v>
      </c>
      <c r="T109" s="99">
        <v>0.96987507244054072</v>
      </c>
      <c r="U109" s="99">
        <v>2.6735844995650773</v>
      </c>
      <c r="V109" s="99">
        <f t="shared" si="14"/>
        <v>-1.7037094271245365</v>
      </c>
      <c r="W109" t="s">
        <v>578</v>
      </c>
      <c r="X109" s="54">
        <v>0.14254506524511057</v>
      </c>
      <c r="Y109" s="54">
        <v>3.319234768516921E-2</v>
      </c>
      <c r="Z109" s="196">
        <v>5.8809793677940866E-3</v>
      </c>
      <c r="AA109" s="54">
        <v>0.01</v>
      </c>
      <c r="AB109" s="99">
        <f t="shared" si="17"/>
        <v>-0.65898739362923053</v>
      </c>
      <c r="AC109" s="99">
        <f t="shared" si="15"/>
        <v>2132.2478586204397</v>
      </c>
      <c r="AD109" s="99">
        <f t="shared" si="18"/>
        <v>0.94601877542758461</v>
      </c>
      <c r="AE109" s="99"/>
    </row>
    <row r="110" spans="1:31" x14ac:dyDescent="0.25">
      <c r="A110" t="s">
        <v>195</v>
      </c>
      <c r="B110" t="s">
        <v>254</v>
      </c>
      <c r="C110" s="79">
        <v>25202.087524607668</v>
      </c>
      <c r="D110" s="79">
        <v>13848.416956176361</v>
      </c>
      <c r="E110" s="79">
        <v>26753.327999999998</v>
      </c>
      <c r="F110" s="79">
        <v>24896.257718111279</v>
      </c>
      <c r="G110" s="79">
        <v>0</v>
      </c>
      <c r="H110" s="79">
        <v>90700.090198895312</v>
      </c>
      <c r="I110" s="79">
        <f>VLOOKUP(Visualization!$A110,US_Results!$A$3:$AJ$52,26,FALSE)</f>
        <v>25.799443526492084</v>
      </c>
      <c r="J110" s="79">
        <f t="shared" si="16"/>
        <v>-276.44443709461922</v>
      </c>
      <c r="O110" t="s">
        <v>195</v>
      </c>
      <c r="P110" t="s">
        <v>562</v>
      </c>
      <c r="Q110" s="79">
        <v>546.29544284212238</v>
      </c>
      <c r="R110" s="99">
        <v>-164.65760865777332</v>
      </c>
      <c r="S110" t="str">
        <f t="shared" si="13"/>
        <v>BEV better</v>
      </c>
      <c r="T110" s="99">
        <v>3.3727174670967277</v>
      </c>
      <c r="U110" s="99">
        <v>2.2147750774916082</v>
      </c>
      <c r="V110" s="99">
        <f t="shared" si="14"/>
        <v>1.1579423896051195</v>
      </c>
      <c r="W110" t="s">
        <v>578</v>
      </c>
      <c r="X110" s="54">
        <v>0.14254506524511057</v>
      </c>
      <c r="Y110" s="54">
        <v>3.319234768516921E-2</v>
      </c>
      <c r="Z110" s="196">
        <v>5.8809793677940866E-3</v>
      </c>
      <c r="AA110" s="54">
        <v>0.01</v>
      </c>
      <c r="AB110" s="99">
        <f t="shared" si="17"/>
        <v>0.6389774730476977</v>
      </c>
      <c r="AC110" s="99">
        <f t="shared" si="15"/>
        <v>710.95305149989576</v>
      </c>
      <c r="AD110" s="99">
        <f t="shared" si="18"/>
        <v>0.54626248203721051</v>
      </c>
      <c r="AE110" s="99"/>
    </row>
    <row r="111" spans="1:31" x14ac:dyDescent="0.25">
      <c r="A111" t="s">
        <v>199</v>
      </c>
      <c r="B111" t="s">
        <v>254</v>
      </c>
      <c r="C111" s="79">
        <v>25202.087524607668</v>
      </c>
      <c r="D111" s="79">
        <v>13723.724865329265</v>
      </c>
      <c r="E111" s="79">
        <v>26818.646399999998</v>
      </c>
      <c r="F111" s="79">
        <v>33104.006914711797</v>
      </c>
      <c r="G111" s="79">
        <v>0</v>
      </c>
      <c r="H111" s="79">
        <v>98848.465704648726</v>
      </c>
      <c r="I111" s="79">
        <f>VLOOKUP(Visualization!$A111,US_Results!$A$3:$AJ$52,26,FALSE)</f>
        <v>25.565148381330886</v>
      </c>
      <c r="J111" s="79">
        <f t="shared" si="16"/>
        <v>-263.54185310330263</v>
      </c>
      <c r="O111" t="s">
        <v>199</v>
      </c>
      <c r="P111" t="s">
        <v>562</v>
      </c>
      <c r="Q111" s="79">
        <v>410.25106826160493</v>
      </c>
      <c r="R111" s="99">
        <v>-134.96724453193229</v>
      </c>
      <c r="S111" t="str">
        <f t="shared" si="13"/>
        <v>BEV better</v>
      </c>
      <c r="T111" s="99">
        <v>3.2142692690749435</v>
      </c>
      <c r="U111" s="99">
        <v>2.1946618123451156</v>
      </c>
      <c r="V111" s="99">
        <f t="shared" si="14"/>
        <v>1.0196074567298279</v>
      </c>
      <c r="W111" t="s">
        <v>578</v>
      </c>
      <c r="X111" s="54">
        <v>0.14254506524511057</v>
      </c>
      <c r="Y111" s="54">
        <v>3.319234768516921E-2</v>
      </c>
      <c r="Z111" s="196">
        <v>5.8809793677940866E-3</v>
      </c>
      <c r="AA111" s="54">
        <v>0.01</v>
      </c>
      <c r="AB111" s="99">
        <f t="shared" si="17"/>
        <v>0.59959578693705995</v>
      </c>
      <c r="AC111" s="99">
        <f t="shared" si="15"/>
        <v>545.21831279353728</v>
      </c>
      <c r="AD111" s="99">
        <f t="shared" si="18"/>
        <v>0.47837241631296734</v>
      </c>
      <c r="AE111" s="99"/>
    </row>
    <row r="112" spans="1:31" x14ac:dyDescent="0.25">
      <c r="A112" t="s">
        <v>157</v>
      </c>
      <c r="B112" t="s">
        <v>254</v>
      </c>
      <c r="C112" s="79">
        <v>25202.087524607668</v>
      </c>
      <c r="D112" s="79">
        <v>14993.009495460168</v>
      </c>
      <c r="E112" s="79">
        <v>29583.791999999998</v>
      </c>
      <c r="F112" s="79">
        <v>40216.327831538954</v>
      </c>
      <c r="G112" s="79">
        <v>0</v>
      </c>
      <c r="H112" s="79">
        <v>109995.21685160679</v>
      </c>
      <c r="I112" s="79">
        <f>VLOOKUP(Visualization!$A112,US_Results!$A$3:$AJ$52,26,FALSE)</f>
        <v>27.927771425173596</v>
      </c>
      <c r="J112" s="79">
        <f t="shared" si="16"/>
        <v>-263.34794609425836</v>
      </c>
      <c r="O112" t="s">
        <v>157</v>
      </c>
      <c r="P112" t="s">
        <v>562</v>
      </c>
      <c r="Q112" s="79">
        <v>0</v>
      </c>
      <c r="R112" s="99">
        <v>-143.15460991491716</v>
      </c>
      <c r="S112" t="str">
        <f t="shared" si="13"/>
        <v>HEV better</v>
      </c>
      <c r="T112" s="99">
        <v>-3.5605391355570504E-2</v>
      </c>
      <c r="U112" s="99">
        <v>2.3974831883037471</v>
      </c>
      <c r="V112" s="99">
        <f t="shared" si="14"/>
        <v>-2.4330885796593176</v>
      </c>
      <c r="W112" t="s">
        <v>578</v>
      </c>
      <c r="X112" s="54">
        <v>0.14254506524511057</v>
      </c>
      <c r="Y112" s="54">
        <v>3.319234768516921E-2</v>
      </c>
      <c r="Z112" s="196">
        <v>5.8809793677940866E-3</v>
      </c>
      <c r="AA112" s="54">
        <v>0.01</v>
      </c>
      <c r="AB112" s="99">
        <f t="shared" si="17"/>
        <v>-0.78751403691689204</v>
      </c>
      <c r="AC112" s="99">
        <f t="shared" si="15"/>
        <v>143.15460991491716</v>
      </c>
      <c r="AD112" s="99">
        <f t="shared" si="18"/>
        <v>0.24512272801099547</v>
      </c>
      <c r="AE112" s="99"/>
    </row>
    <row r="113" spans="1:31" x14ac:dyDescent="0.25">
      <c r="A113" t="s">
        <v>200</v>
      </c>
      <c r="B113" t="s">
        <v>254</v>
      </c>
      <c r="C113" s="79">
        <v>25202.087524607668</v>
      </c>
      <c r="D113" s="79">
        <v>12510.483963183111</v>
      </c>
      <c r="E113" s="79">
        <v>27127.094399999998</v>
      </c>
      <c r="F113" s="79">
        <v>45470.686409045986</v>
      </c>
      <c r="G113" s="79">
        <v>0</v>
      </c>
      <c r="H113" s="79">
        <v>110310.35229683676</v>
      </c>
      <c r="I113" s="79">
        <f>VLOOKUP(Visualization!$A113,US_Results!$A$3:$AJ$52,26,FALSE)</f>
        <v>25.358006624861837</v>
      </c>
      <c r="J113" s="79">
        <f t="shared" si="16"/>
        <v>-220.75792890835203</v>
      </c>
      <c r="O113" t="s">
        <v>200</v>
      </c>
      <c r="P113" t="s">
        <v>562</v>
      </c>
      <c r="Q113" s="79">
        <v>478.47072768304321</v>
      </c>
      <c r="R113" s="99">
        <v>-85.358194371386446</v>
      </c>
      <c r="S113" t="str">
        <f t="shared" si="13"/>
        <v>BEV better</v>
      </c>
      <c r="T113" s="99">
        <v>2.6517245581445943</v>
      </c>
      <c r="U113" s="99">
        <v>2.1768795528454321</v>
      </c>
      <c r="V113" s="99">
        <f t="shared" si="14"/>
        <v>0.47484500529916218</v>
      </c>
      <c r="W113" t="s">
        <v>578</v>
      </c>
      <c r="X113" s="54">
        <v>0.14254506524511057</v>
      </c>
      <c r="Y113" s="54">
        <v>3.319234768516921E-2</v>
      </c>
      <c r="Z113" s="196">
        <v>5.8809793677940866E-3</v>
      </c>
      <c r="AA113" s="54">
        <v>0.01</v>
      </c>
      <c r="AB113" s="99">
        <f t="shared" si="17"/>
        <v>0.40918340147226268</v>
      </c>
      <c r="AC113" s="99">
        <f t="shared" si="15"/>
        <v>563.82892205442965</v>
      </c>
      <c r="AD113" s="99">
        <f t="shared" si="18"/>
        <v>0.48646834683048168</v>
      </c>
      <c r="AE113" s="99"/>
    </row>
    <row r="114" spans="1:31" x14ac:dyDescent="0.25">
      <c r="A114" t="s">
        <v>203</v>
      </c>
      <c r="B114" t="s">
        <v>254</v>
      </c>
      <c r="C114" s="79">
        <v>25202.087524607668</v>
      </c>
      <c r="D114" s="79">
        <v>13931.13404924325</v>
      </c>
      <c r="E114" s="79">
        <v>25791.696</v>
      </c>
      <c r="F114" s="79">
        <v>24003.876158564544</v>
      </c>
      <c r="G114" s="79">
        <v>0</v>
      </c>
      <c r="H114" s="79">
        <v>88928.793732415463</v>
      </c>
      <c r="I114" s="79">
        <f>VLOOKUP(Visualization!$A114,US_Results!$A$3:$AJ$52,26,FALSE)</f>
        <v>25.157999208212892</v>
      </c>
      <c r="J114" s="79">
        <f t="shared" si="16"/>
        <v>-283.81930889909285</v>
      </c>
      <c r="O114" t="s">
        <v>203</v>
      </c>
      <c r="P114" t="s">
        <v>562</v>
      </c>
      <c r="Q114" s="79">
        <v>298.30089182480532</v>
      </c>
      <c r="R114" s="99">
        <v>-167.76050924800208</v>
      </c>
      <c r="S114" t="str">
        <f t="shared" si="13"/>
        <v>BEV better</v>
      </c>
      <c r="T114" s="99">
        <v>4.1830068166450225</v>
      </c>
      <c r="U114" s="99">
        <v>2.1597097467892397</v>
      </c>
      <c r="V114" s="99">
        <f t="shared" si="14"/>
        <v>2.0232970698557828</v>
      </c>
      <c r="W114" t="s">
        <v>578</v>
      </c>
      <c r="X114" s="54">
        <v>0.14254506524511057</v>
      </c>
      <c r="Y114" s="54">
        <v>3.319234768516921E-2</v>
      </c>
      <c r="Z114" s="196">
        <v>5.8809793677940866E-3</v>
      </c>
      <c r="AA114" s="54">
        <v>0.01</v>
      </c>
      <c r="AB114" s="99">
        <f t="shared" si="17"/>
        <v>0.84464049160851162</v>
      </c>
      <c r="AC114" s="99">
        <f t="shared" si="15"/>
        <v>466.06140107280737</v>
      </c>
      <c r="AD114" s="99">
        <f t="shared" si="18"/>
        <v>0.44228527492790026</v>
      </c>
      <c r="AE114" s="99"/>
    </row>
    <row r="115" spans="1:31" x14ac:dyDescent="0.25">
      <c r="A115" t="s">
        <v>202</v>
      </c>
      <c r="B115" t="s">
        <v>254</v>
      </c>
      <c r="C115" s="79">
        <v>25202.087524607668</v>
      </c>
      <c r="D115" s="79">
        <v>13161.970577351602</v>
      </c>
      <c r="E115" s="79">
        <v>24476.255999999998</v>
      </c>
      <c r="F115" s="79">
        <v>34687.492847289694</v>
      </c>
      <c r="G115" s="79">
        <v>0</v>
      </c>
      <c r="H115" s="79">
        <v>97527.806949248974</v>
      </c>
      <c r="I115" s="79">
        <f>VLOOKUP(Visualization!$A115,US_Results!$A$3:$AJ$52,26,FALSE)</f>
        <v>23.151361334399212</v>
      </c>
      <c r="J115" s="79">
        <f t="shared" si="16"/>
        <v>-267.29767568202959</v>
      </c>
      <c r="O115" t="s">
        <v>202</v>
      </c>
      <c r="P115" t="s">
        <v>562</v>
      </c>
      <c r="Q115" s="79">
        <v>402.20283108237595</v>
      </c>
      <c r="R115" s="99">
        <v>-124.4212247851145</v>
      </c>
      <c r="S115" t="str">
        <f t="shared" si="13"/>
        <v>BEV better</v>
      </c>
      <c r="T115" s="99">
        <v>3.3802557970072957</v>
      </c>
      <c r="U115" s="99">
        <v>1.987448219213666</v>
      </c>
      <c r="V115" s="99">
        <f t="shared" si="14"/>
        <v>1.3928075777936297</v>
      </c>
      <c r="W115" t="s">
        <v>578</v>
      </c>
      <c r="X115" s="54">
        <v>0.14254506524511057</v>
      </c>
      <c r="Y115" s="54">
        <v>3.319234768516921E-2</v>
      </c>
      <c r="Z115" s="196">
        <v>5.8809793677940866E-3</v>
      </c>
      <c r="AA115" s="54">
        <v>0.01</v>
      </c>
      <c r="AB115" s="99">
        <f t="shared" si="17"/>
        <v>0.70078957340640002</v>
      </c>
      <c r="AC115" s="99">
        <f t="shared" si="15"/>
        <v>526.62405586749048</v>
      </c>
      <c r="AD115" s="99">
        <f t="shared" si="18"/>
        <v>0.4701443909549044</v>
      </c>
      <c r="AE115" s="99"/>
    </row>
    <row r="116" spans="1:31" x14ac:dyDescent="0.25">
      <c r="A116" t="s">
        <v>201</v>
      </c>
      <c r="B116" t="s">
        <v>254</v>
      </c>
      <c r="C116" s="79">
        <v>25202.087524607668</v>
      </c>
      <c r="D116" s="79">
        <v>12605.503998058675</v>
      </c>
      <c r="E116" s="79">
        <v>23784.9696</v>
      </c>
      <c r="F116" s="79">
        <v>30440.228015844958</v>
      </c>
      <c r="G116" s="79">
        <v>0</v>
      </c>
      <c r="H116" s="79">
        <v>92032.789138511303</v>
      </c>
      <c r="I116" s="79">
        <f>VLOOKUP(Visualization!$A116,US_Results!$A$3:$AJ$52,26,FALSE)</f>
        <v>22.761150454836894</v>
      </c>
      <c r="J116" s="79">
        <f t="shared" si="16"/>
        <v>-263.73337484819831</v>
      </c>
      <c r="O116" t="s">
        <v>201</v>
      </c>
      <c r="P116" t="s">
        <v>562</v>
      </c>
      <c r="Q116" s="79">
        <v>334.53471120192222</v>
      </c>
      <c r="R116" s="99">
        <v>-121.07487331763514</v>
      </c>
      <c r="S116" t="str">
        <f t="shared" si="13"/>
        <v>BEV better</v>
      </c>
      <c r="T116" s="99">
        <v>2.4409237205270951</v>
      </c>
      <c r="U116" s="99">
        <v>1.9539502358120764</v>
      </c>
      <c r="V116" s="99">
        <f t="shared" si="14"/>
        <v>0.48697348471501867</v>
      </c>
      <c r="W116" t="s">
        <v>578</v>
      </c>
      <c r="X116" s="54">
        <v>0.14254506524511057</v>
      </c>
      <c r="Y116" s="54">
        <v>3.319234768516921E-2</v>
      </c>
      <c r="Z116" s="196">
        <v>5.8809793677940866E-3</v>
      </c>
      <c r="AA116" s="54">
        <v>0.01</v>
      </c>
      <c r="AB116" s="99">
        <f t="shared" si="17"/>
        <v>0.41437612858972683</v>
      </c>
      <c r="AC116" s="99">
        <f t="shared" si="15"/>
        <v>455.60958451955736</v>
      </c>
      <c r="AD116" s="99">
        <f t="shared" si="18"/>
        <v>0.43729784603905475</v>
      </c>
      <c r="AE116" s="99"/>
    </row>
    <row r="117" spans="1:31" x14ac:dyDescent="0.25">
      <c r="A117" t="s">
        <v>204</v>
      </c>
      <c r="B117" t="s">
        <v>254</v>
      </c>
      <c r="C117" s="79">
        <v>25202.087524607668</v>
      </c>
      <c r="D117" s="79">
        <v>13500.9750128956</v>
      </c>
      <c r="E117" s="79">
        <v>25958.620799999997</v>
      </c>
      <c r="F117" s="79">
        <v>42462.417043890207</v>
      </c>
      <c r="G117" s="79">
        <v>0</v>
      </c>
      <c r="H117" s="79">
        <v>107124.10038139348</v>
      </c>
      <c r="I117" s="79">
        <f>VLOOKUP(Visualization!$A117,US_Results!$A$3:$AJ$52,26,FALSE)</f>
        <v>25.152967804044103</v>
      </c>
      <c r="J117" s="79">
        <f t="shared" si="16"/>
        <v>-245.39690149589691</v>
      </c>
      <c r="O117" t="s">
        <v>204</v>
      </c>
      <c r="P117" t="s">
        <v>562</v>
      </c>
      <c r="Q117" s="79">
        <v>394.21184899443989</v>
      </c>
      <c r="R117" s="99">
        <v>-106.32109279705988</v>
      </c>
      <c r="S117" t="str">
        <f t="shared" si="13"/>
        <v>BEV better</v>
      </c>
      <c r="T117" s="99">
        <v>2.3003547769314228</v>
      </c>
      <c r="U117" s="99">
        <v>2.1592778216375841</v>
      </c>
      <c r="V117" s="99">
        <f t="shared" si="14"/>
        <v>0.14107695529383868</v>
      </c>
      <c r="W117" t="s">
        <v>578</v>
      </c>
      <c r="X117" s="54">
        <v>0.14254506524511057</v>
      </c>
      <c r="Y117" s="54">
        <v>3.319234768516921E-2</v>
      </c>
      <c r="Z117" s="196">
        <v>5.8809793677940866E-3</v>
      </c>
      <c r="AA117" s="54">
        <v>0.01</v>
      </c>
      <c r="AB117" s="99">
        <f t="shared" si="17"/>
        <v>0.223033505415975</v>
      </c>
      <c r="AC117" s="99">
        <f t="shared" si="15"/>
        <v>500.53294179149975</v>
      </c>
      <c r="AD117" s="99">
        <f t="shared" si="18"/>
        <v>0.45835000978162727</v>
      </c>
      <c r="AE117" s="99"/>
    </row>
    <row r="118" spans="1:31" x14ac:dyDescent="0.25">
      <c r="A118" t="s">
        <v>205</v>
      </c>
      <c r="B118" t="s">
        <v>254</v>
      </c>
      <c r="C118" s="79">
        <v>25202.087524607668</v>
      </c>
      <c r="D118" s="79">
        <v>17124.099879811143</v>
      </c>
      <c r="E118" s="79">
        <v>32494.089599999999</v>
      </c>
      <c r="F118" s="79">
        <v>28721.477490009274</v>
      </c>
      <c r="G118" s="79">
        <v>0</v>
      </c>
      <c r="H118" s="79">
        <v>103541.75449442808</v>
      </c>
      <c r="I118" s="79">
        <f>VLOOKUP(Visualization!$A118,US_Results!$A$3:$AJ$52,26,FALSE)</f>
        <v>31.905831204606777</v>
      </c>
      <c r="J118" s="79">
        <f t="shared" si="16"/>
        <v>-288.52545975040385</v>
      </c>
      <c r="O118" t="s">
        <v>205</v>
      </c>
      <c r="P118" t="s">
        <v>562</v>
      </c>
      <c r="Q118" s="79">
        <v>516.36177854154448</v>
      </c>
      <c r="R118" s="99">
        <v>-193.13960183877433</v>
      </c>
      <c r="S118" t="str">
        <f t="shared" si="13"/>
        <v>BEV better</v>
      </c>
      <c r="T118" s="99">
        <v>3.540219735617665</v>
      </c>
      <c r="U118" s="99">
        <v>2.7389830988430344</v>
      </c>
      <c r="V118" s="99">
        <f t="shared" si="14"/>
        <v>0.80123663677463064</v>
      </c>
      <c r="W118" t="s">
        <v>578</v>
      </c>
      <c r="X118" s="54">
        <v>0.14254506524511057</v>
      </c>
      <c r="Y118" s="54">
        <v>3.319234768516921E-2</v>
      </c>
      <c r="Z118" s="196">
        <v>5.8809793677940866E-3</v>
      </c>
      <c r="AA118" s="54">
        <v>0.01</v>
      </c>
      <c r="AB118" s="99">
        <f t="shared" si="17"/>
        <v>0.53152350031168516</v>
      </c>
      <c r="AC118" s="99">
        <f t="shared" si="15"/>
        <v>709.50138038031878</v>
      </c>
      <c r="AD118" s="99">
        <f t="shared" si="18"/>
        <v>0.54570449956728617</v>
      </c>
      <c r="AE118" s="99"/>
    </row>
    <row r="119" spans="1:31" x14ac:dyDescent="0.25">
      <c r="A119" t="s">
        <v>207</v>
      </c>
      <c r="B119" t="s">
        <v>254</v>
      </c>
      <c r="C119" s="79">
        <v>25202.087524607668</v>
      </c>
      <c r="D119" s="79">
        <v>16706.863942807438</v>
      </c>
      <c r="E119" s="79">
        <v>36226.310399999995</v>
      </c>
      <c r="F119" s="79">
        <v>33189.510194485163</v>
      </c>
      <c r="G119" s="79">
        <v>0</v>
      </c>
      <c r="H119" s="79">
        <v>111324.77206190026</v>
      </c>
      <c r="I119" s="79">
        <f>VLOOKUP(Visualization!$A119,US_Results!$A$3:$AJ$52,26,FALSE)</f>
        <v>33.863819160724447</v>
      </c>
      <c r="J119" s="79">
        <f t="shared" si="16"/>
        <v>-268.15011098079606</v>
      </c>
      <c r="O119" t="s">
        <v>207</v>
      </c>
      <c r="P119" t="s">
        <v>562</v>
      </c>
      <c r="Q119" s="79">
        <v>329.47736391330352</v>
      </c>
      <c r="R119" s="99">
        <v>-181.24719291836573</v>
      </c>
      <c r="S119" t="str">
        <f t="shared" si="13"/>
        <v>BEV better</v>
      </c>
      <c r="T119" s="99">
        <v>3.4810699525683928</v>
      </c>
      <c r="U119" s="99">
        <v>2.9070682330353748</v>
      </c>
      <c r="V119" s="99">
        <f t="shared" si="14"/>
        <v>0.57400171953301804</v>
      </c>
      <c r="W119" t="s">
        <v>578</v>
      </c>
      <c r="X119" s="54">
        <v>0.14254506524511057</v>
      </c>
      <c r="Y119" s="54">
        <v>3.319234768516921E-2</v>
      </c>
      <c r="Z119" s="196">
        <v>5.8809793677940866E-3</v>
      </c>
      <c r="AA119" s="54">
        <v>0.01</v>
      </c>
      <c r="AB119" s="99">
        <f t="shared" si="17"/>
        <v>0.44988205248741031</v>
      </c>
      <c r="AC119" s="99">
        <f t="shared" si="15"/>
        <v>510.72455683166925</v>
      </c>
      <c r="AD119" s="99">
        <f t="shared" si="18"/>
        <v>0.46299284812196101</v>
      </c>
      <c r="AE119" s="99"/>
    </row>
    <row r="120" spans="1:31" x14ac:dyDescent="0.25">
      <c r="A120" t="s">
        <v>206</v>
      </c>
      <c r="B120" t="s">
        <v>254</v>
      </c>
      <c r="C120" s="79">
        <v>25202.087524607668</v>
      </c>
      <c r="D120" s="79">
        <v>17130.002236622608</v>
      </c>
      <c r="E120" s="79">
        <v>33604.502399999998</v>
      </c>
      <c r="F120" s="79">
        <v>31930.670134938424</v>
      </c>
      <c r="G120" s="79">
        <v>0</v>
      </c>
      <c r="H120" s="79">
        <v>107867.2622961687</v>
      </c>
      <c r="I120" s="79">
        <f>VLOOKUP(Visualization!$A120,US_Results!$A$3:$AJ$52,26,FALSE)</f>
        <v>31.909666257657861</v>
      </c>
      <c r="J120" s="79">
        <f t="shared" si="16"/>
        <v>-287.1753850272259</v>
      </c>
      <c r="O120" t="s">
        <v>206</v>
      </c>
      <c r="P120" t="s">
        <v>562</v>
      </c>
      <c r="Q120" s="79">
        <v>1950.5859625446922</v>
      </c>
      <c r="R120" s="99">
        <v>-198.90525060690118</v>
      </c>
      <c r="S120" t="str">
        <f t="shared" si="13"/>
        <v>HEV better</v>
      </c>
      <c r="T120" s="99">
        <v>1.0659021558044479</v>
      </c>
      <c r="U120" s="99">
        <v>2.7393123222198721</v>
      </c>
      <c r="V120" s="99">
        <f t="shared" si="14"/>
        <v>-1.6734101664154242</v>
      </c>
      <c r="W120" t="s">
        <v>578</v>
      </c>
      <c r="X120" s="54">
        <v>0.14254506524511057</v>
      </c>
      <c r="Y120" s="54">
        <v>3.319234768516921E-2</v>
      </c>
      <c r="Z120" s="196">
        <v>5.8809793677940866E-3</v>
      </c>
      <c r="AA120" s="54">
        <v>0.01</v>
      </c>
      <c r="AB120" s="99">
        <f t="shared" si="17"/>
        <v>-0.65310129510433257</v>
      </c>
      <c r="AC120" s="99">
        <f t="shared" si="15"/>
        <v>2149.4912131515935</v>
      </c>
      <c r="AD120" s="99">
        <f t="shared" si="18"/>
        <v>0.94983627022256778</v>
      </c>
      <c r="AE120" s="99"/>
    </row>
    <row r="121" spans="1:31" x14ac:dyDescent="0.25">
      <c r="A121" t="s">
        <v>208</v>
      </c>
      <c r="B121" t="s">
        <v>254</v>
      </c>
      <c r="C121" s="79">
        <v>25202.087524607668</v>
      </c>
      <c r="D121" s="79">
        <v>16133.026601465095</v>
      </c>
      <c r="E121" s="79">
        <v>28812.671999999999</v>
      </c>
      <c r="F121" s="79">
        <v>30018.999261907265</v>
      </c>
      <c r="G121" s="79">
        <v>0</v>
      </c>
      <c r="H121" s="79">
        <v>100166.78538798002</v>
      </c>
      <c r="I121" s="79">
        <f>VLOOKUP(Visualization!$A121,US_Results!$A$3:$AJ$52,26,FALSE)</f>
        <v>28.104750434500218</v>
      </c>
      <c r="J121" s="79">
        <f t="shared" si="16"/>
        <v>-296.4422205578224</v>
      </c>
      <c r="O121" t="s">
        <v>208</v>
      </c>
      <c r="P121" t="s">
        <v>562</v>
      </c>
      <c r="Q121" s="79">
        <v>1320.325615086027</v>
      </c>
      <c r="R121" s="99">
        <v>-213.18997581405864</v>
      </c>
      <c r="S121" t="str">
        <f t="shared" si="13"/>
        <v>HEV better</v>
      </c>
      <c r="T121" s="99">
        <v>1.9721601839458165</v>
      </c>
      <c r="U121" s="99">
        <v>2.4126761012320186</v>
      </c>
      <c r="V121" s="99">
        <f t="shared" si="14"/>
        <v>-0.4405159172862021</v>
      </c>
      <c r="W121" t="s">
        <v>578</v>
      </c>
      <c r="X121" s="54">
        <v>0.14254506524511057</v>
      </c>
      <c r="Y121" s="54">
        <v>3.319234768516921E-2</v>
      </c>
      <c r="Z121" s="196">
        <v>5.8809793677940866E-3</v>
      </c>
      <c r="AA121" s="54">
        <v>0.01</v>
      </c>
      <c r="AB121" s="99">
        <f t="shared" si="17"/>
        <v>-0.33508898050348229</v>
      </c>
      <c r="AC121" s="99">
        <f t="shared" si="15"/>
        <v>1533.5155909000857</v>
      </c>
      <c r="AD121" s="99">
        <f t="shared" si="18"/>
        <v>0.80227823469833248</v>
      </c>
      <c r="AE121" s="99"/>
    </row>
    <row r="122" spans="1:31" x14ac:dyDescent="0.25">
      <c r="A122" t="s">
        <v>211</v>
      </c>
      <c r="B122" t="s">
        <v>254</v>
      </c>
      <c r="C122" s="79">
        <v>25202.087524607668</v>
      </c>
      <c r="D122" s="79">
        <v>13890.208859431768</v>
      </c>
      <c r="E122" s="79">
        <v>26936.582399999999</v>
      </c>
      <c r="F122" s="79">
        <v>35407.098313578637</v>
      </c>
      <c r="G122" s="79">
        <v>0</v>
      </c>
      <c r="H122" s="79">
        <v>101435.97709761807</v>
      </c>
      <c r="I122" s="79">
        <f>VLOOKUP(Visualization!$A122,US_Results!$A$3:$AJ$52,26,FALSE)</f>
        <v>25.876633377711578</v>
      </c>
      <c r="J122" s="79">
        <f t="shared" si="16"/>
        <v>-260.64164963599507</v>
      </c>
      <c r="O122" t="s">
        <v>211</v>
      </c>
      <c r="P122" t="s">
        <v>562</v>
      </c>
      <c r="Q122" s="79">
        <v>753.10497928271377</v>
      </c>
      <c r="R122" s="99">
        <v>-135.95839701226154</v>
      </c>
      <c r="S122" t="str">
        <f t="shared" si="13"/>
        <v>HEV better</v>
      </c>
      <c r="T122" s="99">
        <v>2.1023387923901051</v>
      </c>
      <c r="U122" s="99">
        <v>2.2214015056368774</v>
      </c>
      <c r="V122" s="99">
        <f t="shared" si="14"/>
        <v>-0.11906271324677231</v>
      </c>
      <c r="W122" t="s">
        <v>578</v>
      </c>
      <c r="X122" s="54">
        <v>0.14254506524511057</v>
      </c>
      <c r="Y122" s="54">
        <v>3.319234768516921E-2</v>
      </c>
      <c r="Z122" s="196">
        <v>5.8809793677940866E-3</v>
      </c>
      <c r="AA122" s="54">
        <v>0.01</v>
      </c>
      <c r="AB122" s="99">
        <f t="shared" si="17"/>
        <v>-0.17420765348994413</v>
      </c>
      <c r="AC122" s="99">
        <f t="shared" si="15"/>
        <v>889.06337629497534</v>
      </c>
      <c r="AD122" s="99">
        <f t="shared" si="18"/>
        <v>0.61086785535646582</v>
      </c>
      <c r="AE122" s="99"/>
    </row>
    <row r="123" spans="1:31" x14ac:dyDescent="0.25">
      <c r="A123" t="s">
        <v>215</v>
      </c>
      <c r="B123" t="s">
        <v>254</v>
      </c>
      <c r="C123" s="79">
        <v>25202.087524607668</v>
      </c>
      <c r="D123" s="79">
        <v>17463.893217864286</v>
      </c>
      <c r="E123" s="79">
        <v>25430.630399999998</v>
      </c>
      <c r="F123" s="79">
        <v>39656.132678734415</v>
      </c>
      <c r="G123" s="79">
        <v>0</v>
      </c>
      <c r="H123" s="79">
        <v>107752.74382120637</v>
      </c>
      <c r="I123" s="79">
        <f>VLOOKUP(Visualization!$A123,US_Results!$A$3:$AJ$52,26,FALSE)</f>
        <v>24.242007963786868</v>
      </c>
      <c r="J123" s="79">
        <f t="shared" si="16"/>
        <v>-347.05745600379845</v>
      </c>
      <c r="O123" t="s">
        <v>215</v>
      </c>
      <c r="P123" t="s">
        <v>562</v>
      </c>
      <c r="Q123" s="79">
        <v>515.72556444675092</v>
      </c>
      <c r="R123" s="99">
        <v>-201.5742759368718</v>
      </c>
      <c r="S123" t="str">
        <f t="shared" si="13"/>
        <v>BEV better</v>
      </c>
      <c r="T123" s="99">
        <v>2.9600282425054574</v>
      </c>
      <c r="U123" s="99">
        <v>2.081075702714914</v>
      </c>
      <c r="V123" s="99">
        <f t="shared" si="14"/>
        <v>0.87895253979054333</v>
      </c>
      <c r="W123" t="s">
        <v>578</v>
      </c>
      <c r="X123" s="54">
        <v>0.14254506524511057</v>
      </c>
      <c r="Y123" s="54">
        <v>3.319234768516921E-2</v>
      </c>
      <c r="Z123" s="196">
        <v>5.8809793677940866E-3</v>
      </c>
      <c r="AA123" s="54">
        <v>0.01</v>
      </c>
      <c r="AB123" s="99">
        <f t="shared" si="17"/>
        <v>0.55670456664812695</v>
      </c>
      <c r="AC123" s="99">
        <f t="shared" si="15"/>
        <v>717.29984038362272</v>
      </c>
      <c r="AD123" s="99">
        <f t="shared" si="18"/>
        <v>0.54869534968336275</v>
      </c>
      <c r="AE123" s="99"/>
    </row>
    <row r="124" spans="1:31" x14ac:dyDescent="0.25">
      <c r="A124" t="s">
        <v>212</v>
      </c>
      <c r="B124" t="s">
        <v>254</v>
      </c>
      <c r="C124" s="79">
        <v>25202.087524607668</v>
      </c>
      <c r="D124" s="79">
        <v>11264.284731154972</v>
      </c>
      <c r="E124" s="79">
        <v>20992.608</v>
      </c>
      <c r="F124" s="79">
        <v>23453.507718111279</v>
      </c>
      <c r="G124" s="79">
        <v>0</v>
      </c>
      <c r="H124" s="79">
        <v>80912.487973873911</v>
      </c>
      <c r="I124" s="79">
        <f>VLOOKUP(Visualization!$A124,US_Results!$A$3:$AJ$52,26,FALSE)</f>
        <v>20.341080414677464</v>
      </c>
      <c r="J124" s="79">
        <f t="shared" si="16"/>
        <v>-262.48129633287198</v>
      </c>
      <c r="O124" t="s">
        <v>212</v>
      </c>
      <c r="P124" t="s">
        <v>562</v>
      </c>
      <c r="Q124" s="79">
        <v>439.97568331850425</v>
      </c>
      <c r="R124" s="99">
        <v>-144.51227225961449</v>
      </c>
      <c r="S124" t="str">
        <f t="shared" si="13"/>
        <v>BEV better</v>
      </c>
      <c r="T124" s="99">
        <v>3.5518315474469642</v>
      </c>
      <c r="U124" s="99">
        <v>1.7461972738063087</v>
      </c>
      <c r="V124" s="99">
        <f t="shared" si="14"/>
        <v>1.8056342736406554</v>
      </c>
      <c r="W124" t="s">
        <v>578</v>
      </c>
      <c r="X124" s="54">
        <v>0.14254506524511057</v>
      </c>
      <c r="Y124" s="54">
        <v>3.319234768516921E-2</v>
      </c>
      <c r="Z124" s="196">
        <v>5.8809793677940866E-3</v>
      </c>
      <c r="AA124" s="54">
        <v>0.01</v>
      </c>
      <c r="AB124" s="99">
        <f t="shared" si="17"/>
        <v>0.7979156183211159</v>
      </c>
      <c r="AC124" s="99">
        <f t="shared" si="15"/>
        <v>584.48795557811877</v>
      </c>
      <c r="AD124" s="99">
        <f t="shared" si="18"/>
        <v>0.49530041909496819</v>
      </c>
      <c r="AE124" s="99"/>
    </row>
    <row r="125" spans="1:31" x14ac:dyDescent="0.25">
      <c r="A125" t="s">
        <v>213</v>
      </c>
      <c r="B125" t="s">
        <v>254</v>
      </c>
      <c r="C125" s="79">
        <v>25202.087524607668</v>
      </c>
      <c r="D125" s="79">
        <v>11999.622059126661</v>
      </c>
      <c r="E125" s="79">
        <v>22249.9872</v>
      </c>
      <c r="F125" s="79">
        <v>39188.681678734414</v>
      </c>
      <c r="G125" s="79">
        <v>0</v>
      </c>
      <c r="H125" s="79">
        <v>98640.37846246874</v>
      </c>
      <c r="I125" s="79">
        <f>VLOOKUP(Visualization!$A125,US_Results!$A$3:$AJ$52,26,FALSE)</f>
        <v>21.107260266900056</v>
      </c>
      <c r="J125" s="79">
        <f t="shared" si="16"/>
        <v>-246.43747731341259</v>
      </c>
      <c r="O125" t="s">
        <v>213</v>
      </c>
      <c r="P125" t="s">
        <v>562</v>
      </c>
      <c r="Q125" s="79">
        <v>403.40318681836561</v>
      </c>
      <c r="R125" s="99">
        <v>-77.635631737188945</v>
      </c>
      <c r="S125" t="str">
        <f t="shared" si="13"/>
        <v>BEV better</v>
      </c>
      <c r="T125" s="99">
        <v>3.082959730803954</v>
      </c>
      <c r="U125" s="99">
        <v>1.8119706320508913</v>
      </c>
      <c r="V125" s="99">
        <f t="shared" si="14"/>
        <v>1.2709890987530628</v>
      </c>
      <c r="W125" t="s">
        <v>578</v>
      </c>
      <c r="X125" s="54">
        <v>0.14254506524511057</v>
      </c>
      <c r="Y125" s="54">
        <v>3.319234768516921E-2</v>
      </c>
      <c r="Z125" s="196">
        <v>5.8809793677940866E-3</v>
      </c>
      <c r="AA125" s="54">
        <v>0.01</v>
      </c>
      <c r="AB125" s="99">
        <f t="shared" si="17"/>
        <v>0.6694420430962944</v>
      </c>
      <c r="AC125" s="99">
        <f t="shared" si="15"/>
        <v>481.03881855555454</v>
      </c>
      <c r="AD125" s="99">
        <f t="shared" si="18"/>
        <v>0.44933575125679898</v>
      </c>
      <c r="AE125" s="99"/>
    </row>
    <row r="126" spans="1:31" x14ac:dyDescent="0.25">
      <c r="A126" t="s">
        <v>214</v>
      </c>
      <c r="B126" t="s">
        <v>254</v>
      </c>
      <c r="C126" s="79">
        <v>25202.087524607668</v>
      </c>
      <c r="D126" s="79">
        <v>16234.423894223599</v>
      </c>
      <c r="E126" s="79">
        <v>34758.460800000001</v>
      </c>
      <c r="F126" s="79">
        <v>29445.438329329376</v>
      </c>
      <c r="G126" s="79">
        <v>0</v>
      </c>
      <c r="H126" s="79">
        <v>105640.41054816065</v>
      </c>
      <c r="I126" s="79">
        <f>VLOOKUP(Visualization!$A126,US_Results!$A$3:$AJ$52,26,FALSE)</f>
        <v>32.909100640333449</v>
      </c>
      <c r="J126" s="79">
        <f t="shared" si="16"/>
        <v>-269.28120025612003</v>
      </c>
      <c r="O126" t="s">
        <v>214</v>
      </c>
      <c r="P126" t="s">
        <v>562</v>
      </c>
      <c r="Q126" s="79">
        <v>600.25350367366536</v>
      </c>
      <c r="R126" s="99">
        <v>-185.66844381590201</v>
      </c>
      <c r="S126" t="str">
        <f t="shared" si="13"/>
        <v>BEV better</v>
      </c>
      <c r="T126" s="99">
        <v>3.8042586552878292</v>
      </c>
      <c r="U126" s="99">
        <v>2.8251096131600892</v>
      </c>
      <c r="V126" s="99">
        <f t="shared" si="14"/>
        <v>0.97914904212774001</v>
      </c>
      <c r="W126" t="s">
        <v>578</v>
      </c>
      <c r="X126" s="54">
        <v>0.14254506524511057</v>
      </c>
      <c r="Y126" s="54">
        <v>3.319234768516921E-2</v>
      </c>
      <c r="Z126" s="196">
        <v>5.8809793677940866E-3</v>
      </c>
      <c r="AA126" s="54">
        <v>0.01</v>
      </c>
      <c r="AB126" s="99">
        <f t="shared" si="17"/>
        <v>0.58757928015759286</v>
      </c>
      <c r="AC126" s="99">
        <f t="shared" si="15"/>
        <v>785.9219474895674</v>
      </c>
      <c r="AD126" s="99">
        <f t="shared" si="18"/>
        <v>0.57434205909465141</v>
      </c>
      <c r="AE126" s="99"/>
    </row>
    <row r="127" spans="1:31" x14ac:dyDescent="0.25">
      <c r="A127" t="s">
        <v>216</v>
      </c>
      <c r="B127" t="s">
        <v>254</v>
      </c>
      <c r="C127" s="79">
        <v>25202.087524607668</v>
      </c>
      <c r="D127" s="79">
        <v>10112.204417525958</v>
      </c>
      <c r="E127" s="79">
        <v>18447.004799999999</v>
      </c>
      <c r="F127" s="79">
        <v>38948.123458507784</v>
      </c>
      <c r="G127" s="79">
        <v>0</v>
      </c>
      <c r="H127" s="79">
        <v>92709.420200641413</v>
      </c>
      <c r="I127" s="79">
        <f>VLOOKUP(Visualization!$A127,US_Results!$A$3:$AJ$52,26,FALSE)</f>
        <v>17.789280592325888</v>
      </c>
      <c r="J127" s="79">
        <f t="shared" si="16"/>
        <v>-218.6693718466079</v>
      </c>
      <c r="O127" t="s">
        <v>216</v>
      </c>
      <c r="P127" t="s">
        <v>562</v>
      </c>
      <c r="Q127" s="79">
        <v>527.91660177769779</v>
      </c>
      <c r="R127" s="99">
        <v>-30.477144503565501</v>
      </c>
      <c r="S127" t="str">
        <f t="shared" si="13"/>
        <v>BEV better</v>
      </c>
      <c r="T127" s="99">
        <v>2.6277288927976743</v>
      </c>
      <c r="U127" s="99">
        <v>1.527135857094418</v>
      </c>
      <c r="V127" s="99">
        <f t="shared" si="14"/>
        <v>1.1005930357032563</v>
      </c>
      <c r="W127" t="s">
        <v>578</v>
      </c>
      <c r="X127" s="54">
        <v>0.14254506524511057</v>
      </c>
      <c r="Y127" s="54">
        <v>3.319234768516921E-2</v>
      </c>
      <c r="Z127" s="196">
        <v>5.8809793677940866E-3</v>
      </c>
      <c r="AA127" s="54">
        <v>0.01</v>
      </c>
      <c r="AB127" s="99">
        <f t="shared" si="17"/>
        <v>0.62295324340435998</v>
      </c>
      <c r="AC127" s="99">
        <f t="shared" si="15"/>
        <v>558.39374628126325</v>
      </c>
      <c r="AD127" s="99">
        <f t="shared" si="18"/>
        <v>0.48411794961924987</v>
      </c>
      <c r="AE127" s="99"/>
    </row>
    <row r="128" spans="1:31" x14ac:dyDescent="0.25">
      <c r="A128" t="s">
        <v>209</v>
      </c>
      <c r="B128" t="s">
        <v>254</v>
      </c>
      <c r="C128" s="79">
        <v>25202.087524607668</v>
      </c>
      <c r="D128" s="79">
        <v>14295.482292324261</v>
      </c>
      <c r="E128" s="79">
        <v>29162.851199999997</v>
      </c>
      <c r="F128" s="79">
        <v>21036.411946213284</v>
      </c>
      <c r="G128" s="79">
        <v>0</v>
      </c>
      <c r="H128" s="79">
        <v>89696.832963145207</v>
      </c>
      <c r="I128" s="79">
        <f>VLOOKUP(Visualization!$A128,US_Results!$A$3:$AJ$52,26,FALSE)</f>
        <v>27.31488032777763</v>
      </c>
      <c r="J128" s="79">
        <f t="shared" si="16"/>
        <v>-282.46750445793191</v>
      </c>
      <c r="O128" t="s">
        <v>209</v>
      </c>
      <c r="P128" t="s">
        <v>562</v>
      </c>
      <c r="Q128" s="79">
        <v>788.10128985359324</v>
      </c>
      <c r="R128" s="99">
        <v>-190.39628028158205</v>
      </c>
      <c r="S128" t="str">
        <f t="shared" si="13"/>
        <v>BEV better</v>
      </c>
      <c r="T128" s="99">
        <v>3.597932832480232</v>
      </c>
      <c r="U128" s="99">
        <v>2.3448690330280657</v>
      </c>
      <c r="V128" s="99">
        <f t="shared" si="14"/>
        <v>1.2530637994521663</v>
      </c>
      <c r="W128" t="s">
        <v>578</v>
      </c>
      <c r="X128" s="54">
        <v>0.14254506524511057</v>
      </c>
      <c r="Y128" s="54">
        <v>3.319234768516921E-2</v>
      </c>
      <c r="Z128" s="196">
        <v>5.8809793677940866E-3</v>
      </c>
      <c r="AA128" s="54">
        <v>0.01</v>
      </c>
      <c r="AB128" s="99">
        <f t="shared" si="17"/>
        <v>0.66470456733488215</v>
      </c>
      <c r="AC128" s="99">
        <f t="shared" si="15"/>
        <v>978.49757013517524</v>
      </c>
      <c r="AD128" s="99">
        <f t="shared" si="18"/>
        <v>0.64085649196176153</v>
      </c>
      <c r="AE128" s="99"/>
    </row>
    <row r="129" spans="1:31" x14ac:dyDescent="0.25">
      <c r="A129" t="s">
        <v>210</v>
      </c>
      <c r="B129" t="s">
        <v>254</v>
      </c>
      <c r="C129" s="79">
        <v>25202.087524607668</v>
      </c>
      <c r="D129" s="79">
        <v>16912.321887624443</v>
      </c>
      <c r="E129" s="79">
        <v>32062.2624</v>
      </c>
      <c r="F129" s="79">
        <v>28870.10786304043</v>
      </c>
      <c r="G129" s="79">
        <v>0</v>
      </c>
      <c r="H129" s="79">
        <v>103046.77967527256</v>
      </c>
      <c r="I129" s="79">
        <f>VLOOKUP(Visualization!$A129,US_Results!$A$3:$AJ$52,26,FALSE)</f>
        <v>31.511439118643892</v>
      </c>
      <c r="J129" s="79">
        <f t="shared" si="16"/>
        <v>-287.22876447420111</v>
      </c>
      <c r="O129" t="s">
        <v>210</v>
      </c>
      <c r="P129" t="s">
        <v>562</v>
      </c>
      <c r="Q129" s="79">
        <v>1670.434846561865</v>
      </c>
      <c r="R129" s="99">
        <v>-197.10550833848961</v>
      </c>
      <c r="S129" t="str">
        <f t="shared" si="13"/>
        <v>HEV better</v>
      </c>
      <c r="T129" s="99">
        <v>1.3570585038510927</v>
      </c>
      <c r="U129" s="99">
        <v>2.7051261762371812</v>
      </c>
      <c r="V129" s="99">
        <f t="shared" si="14"/>
        <v>-1.3480676723860885</v>
      </c>
      <c r="W129" t="s">
        <v>578</v>
      </c>
      <c r="X129" s="54">
        <v>0.14254506524511057</v>
      </c>
      <c r="Y129" s="54">
        <v>3.319234768516921E-2</v>
      </c>
      <c r="Z129" s="196">
        <v>5.8809793677940866E-3</v>
      </c>
      <c r="AA129" s="54">
        <v>0.01</v>
      </c>
      <c r="AB129" s="99">
        <f t="shared" si="17"/>
        <v>-0.58618566067179301</v>
      </c>
      <c r="AC129" s="99">
        <f t="shared" si="15"/>
        <v>1867.5403549003547</v>
      </c>
      <c r="AD129" s="99">
        <f t="shared" si="18"/>
        <v>0.88535187201330368</v>
      </c>
      <c r="AE129" s="99"/>
    </row>
    <row r="130" spans="1:31" x14ac:dyDescent="0.25">
      <c r="A130" t="s">
        <v>217</v>
      </c>
      <c r="B130" t="s">
        <v>254</v>
      </c>
      <c r="C130" s="79">
        <v>25202.087524607668</v>
      </c>
      <c r="D130" s="79">
        <v>13256.704121992505</v>
      </c>
      <c r="E130" s="79">
        <v>25906.003199999999</v>
      </c>
      <c r="F130" s="79">
        <v>22348.252725986644</v>
      </c>
      <c r="G130" s="79">
        <v>0</v>
      </c>
      <c r="H130" s="79">
        <v>86713.047572586816</v>
      </c>
      <c r="I130" s="79">
        <f>VLOOKUP(Visualization!$A130,US_Results!$A$3:$AJ$52,26,FALSE)</f>
        <v>24.695161936854241</v>
      </c>
      <c r="J130" s="79">
        <f t="shared" si="16"/>
        <v>-277.25839781005044</v>
      </c>
      <c r="O130" t="s">
        <v>217</v>
      </c>
      <c r="P130" t="s">
        <v>562</v>
      </c>
      <c r="Q130" s="79">
        <v>1122.2671848223986</v>
      </c>
      <c r="R130" s="99">
        <v>-158.6079534814115</v>
      </c>
      <c r="S130" t="str">
        <f t="shared" si="13"/>
        <v>HEV better</v>
      </c>
      <c r="T130" s="99">
        <v>1.6527796831908104</v>
      </c>
      <c r="U130" s="99">
        <v>2.1199770892810754</v>
      </c>
      <c r="V130" s="99">
        <f t="shared" si="14"/>
        <v>-0.46719740609026505</v>
      </c>
      <c r="W130" t="s">
        <v>578</v>
      </c>
      <c r="X130" s="54">
        <v>0.14254506524511057</v>
      </c>
      <c r="Y130" s="54">
        <v>3.319234768516921E-2</v>
      </c>
      <c r="Z130" s="196">
        <v>5.8809793677940866E-3</v>
      </c>
      <c r="AA130" s="54">
        <v>0.01</v>
      </c>
      <c r="AB130" s="99">
        <f t="shared" si="17"/>
        <v>-0.34508775951053189</v>
      </c>
      <c r="AC130" s="99">
        <f t="shared" si="15"/>
        <v>1280.87513830381</v>
      </c>
      <c r="AD130" s="99">
        <f t="shared" si="18"/>
        <v>0.7332200130799249</v>
      </c>
      <c r="AE130" s="99"/>
    </row>
    <row r="131" spans="1:31" x14ac:dyDescent="0.25">
      <c r="A131" t="s">
        <v>218</v>
      </c>
      <c r="B131" t="s">
        <v>254</v>
      </c>
      <c r="C131" s="79">
        <v>25202.087524607668</v>
      </c>
      <c r="D131" s="79">
        <v>16290.656714968702</v>
      </c>
      <c r="E131" s="79">
        <v>32113.065599999998</v>
      </c>
      <c r="F131" s="79">
        <v>34585.08472032084</v>
      </c>
      <c r="G131" s="79">
        <v>0</v>
      </c>
      <c r="H131" s="79">
        <v>108190.89455989721</v>
      </c>
      <c r="I131" s="79">
        <f>VLOOKUP(Visualization!$A131,US_Results!$A$3:$AJ$52,26,FALSE)</f>
        <v>30.345127575244554</v>
      </c>
      <c r="J131" s="79">
        <f t="shared" si="16"/>
        <v>-279.58563054514599</v>
      </c>
      <c r="O131" t="s">
        <v>218</v>
      </c>
      <c r="P131" t="s">
        <v>562</v>
      </c>
      <c r="Q131" s="79">
        <v>614.30633665241407</v>
      </c>
      <c r="R131" s="99">
        <v>-186.7438480184891</v>
      </c>
      <c r="S131" t="str">
        <f t="shared" ref="S131:S145" si="19">IF(T131&gt;U131,"BEV better","HEV better")</f>
        <v>BEV better</v>
      </c>
      <c r="T131" s="99">
        <v>4.0378013980384981</v>
      </c>
      <c r="U131" s="99">
        <v>2.6050031741166437</v>
      </c>
      <c r="V131" s="99">
        <f t="shared" ref="V131:V194" si="20">T131-U131</f>
        <v>1.4327982239218544</v>
      </c>
      <c r="W131" t="s">
        <v>578</v>
      </c>
      <c r="X131" s="54">
        <v>0.14254506524511057</v>
      </c>
      <c r="Y131" s="54">
        <v>3.319234768516921E-2</v>
      </c>
      <c r="Z131" s="196">
        <v>5.8809793677940866E-3</v>
      </c>
      <c r="AA131" s="54">
        <v>0.01</v>
      </c>
      <c r="AB131" s="99">
        <f t="shared" si="17"/>
        <v>0.71077900051757581</v>
      </c>
      <c r="AC131" s="99">
        <f t="shared" ref="AC131:AC194" si="21">Q131-R131</f>
        <v>801.05018467090315</v>
      </c>
      <c r="AD131" s="99">
        <f t="shared" si="18"/>
        <v>0.57984347555470384</v>
      </c>
      <c r="AE131" s="99"/>
    </row>
    <row r="132" spans="1:31" x14ac:dyDescent="0.25">
      <c r="A132" t="s">
        <v>219</v>
      </c>
      <c r="B132" t="s">
        <v>254</v>
      </c>
      <c r="C132" s="79">
        <v>25202.087524607668</v>
      </c>
      <c r="D132" s="79">
        <v>15296.851489034121</v>
      </c>
      <c r="E132" s="79">
        <v>22168.339199999999</v>
      </c>
      <c r="F132" s="79">
        <v>25699.596930462536</v>
      </c>
      <c r="G132" s="79">
        <v>0</v>
      </c>
      <c r="H132" s="79">
        <v>88366.875144104328</v>
      </c>
      <c r="I132" s="79">
        <f>VLOOKUP(Visualization!$A132,US_Results!$A$3:$AJ$52,26,FALSE)</f>
        <v>21.23458557820733</v>
      </c>
      <c r="J132" s="79">
        <f t="shared" si="16"/>
        <v>-355.25151690024336</v>
      </c>
      <c r="O132" t="s">
        <v>219</v>
      </c>
      <c r="P132" t="s">
        <v>562</v>
      </c>
      <c r="Q132" s="79">
        <v>901.03701390006427</v>
      </c>
      <c r="R132" s="99">
        <v>-247.29166586594712</v>
      </c>
      <c r="S132" t="str">
        <f t="shared" si="19"/>
        <v>BEV better</v>
      </c>
      <c r="T132" s="99">
        <v>3.4218322174498788</v>
      </c>
      <c r="U132" s="99">
        <v>1.8229009812240302</v>
      </c>
      <c r="V132" s="99">
        <f t="shared" si="20"/>
        <v>1.5989312362258485</v>
      </c>
      <c r="W132" t="s">
        <v>578</v>
      </c>
      <c r="X132" s="54">
        <v>0.14254506524511057</v>
      </c>
      <c r="Y132" s="54">
        <v>3.319234768516921E-2</v>
      </c>
      <c r="Z132" s="196">
        <v>5.8809793677940866E-3</v>
      </c>
      <c r="AA132" s="54">
        <v>0.01</v>
      </c>
      <c r="AB132" s="99">
        <f t="shared" si="17"/>
        <v>0.75085653432056554</v>
      </c>
      <c r="AC132" s="99">
        <f t="shared" si="21"/>
        <v>1148.3286797660114</v>
      </c>
      <c r="AD132" s="99">
        <f t="shared" si="18"/>
        <v>0.69424701024904201</v>
      </c>
      <c r="AE132" s="99"/>
    </row>
    <row r="133" spans="1:31" x14ac:dyDescent="0.25">
      <c r="A133" t="s">
        <v>220</v>
      </c>
      <c r="B133" t="s">
        <v>254</v>
      </c>
      <c r="C133" s="79">
        <v>25202.087524607668</v>
      </c>
      <c r="D133" s="79">
        <v>11285.838120892528</v>
      </c>
      <c r="E133" s="79">
        <v>20765.807999999997</v>
      </c>
      <c r="F133" s="79">
        <v>32614.179728196217</v>
      </c>
      <c r="G133" s="79">
        <v>0</v>
      </c>
      <c r="H133" s="79">
        <v>89867.913373696414</v>
      </c>
      <c r="I133" s="79">
        <f>VLOOKUP(Visualization!$A133,US_Results!$A$3:$AJ$52,26,FALSE)</f>
        <v>19.852765636590441</v>
      </c>
      <c r="J133" s="79">
        <f t="shared" si="16"/>
        <v>-250.03345711231492</v>
      </c>
      <c r="O133" t="s">
        <v>220</v>
      </c>
      <c r="P133" t="s">
        <v>562</v>
      </c>
      <c r="Q133" s="79">
        <v>491.81853898505858</v>
      </c>
      <c r="R133" s="99">
        <v>-81.432526408414816</v>
      </c>
      <c r="S133" t="str">
        <f t="shared" si="19"/>
        <v>BEV better</v>
      </c>
      <c r="T133" s="99">
        <v>2.4076329429429473</v>
      </c>
      <c r="U133" s="99">
        <v>1.7042774781577146</v>
      </c>
      <c r="V133" s="99">
        <f t="shared" si="20"/>
        <v>0.7033554647852327</v>
      </c>
      <c r="W133" t="s">
        <v>578</v>
      </c>
      <c r="X133" s="54">
        <v>0.14254506524511057</v>
      </c>
      <c r="Y133" s="54">
        <v>3.319234768516921E-2</v>
      </c>
      <c r="Z133" s="196">
        <v>5.8809793677940866E-3</v>
      </c>
      <c r="AA133" s="54">
        <v>0.01</v>
      </c>
      <c r="AB133" s="99">
        <f t="shared" si="17"/>
        <v>0.49800018510913557</v>
      </c>
      <c r="AC133" s="99">
        <f t="shared" si="21"/>
        <v>573.25106539347337</v>
      </c>
      <c r="AD133" s="99">
        <f t="shared" si="18"/>
        <v>0.49051619152088843</v>
      </c>
      <c r="AE133" s="99"/>
    </row>
    <row r="134" spans="1:31" x14ac:dyDescent="0.25">
      <c r="A134" t="s">
        <v>221</v>
      </c>
      <c r="B134" t="s">
        <v>254</v>
      </c>
      <c r="C134" s="79">
        <v>25202.087524607668</v>
      </c>
      <c r="D134" s="79">
        <v>9532.4960987551058</v>
      </c>
      <c r="E134" s="79">
        <v>18073.238399999998</v>
      </c>
      <c r="F134" s="79">
        <v>35839.923313578634</v>
      </c>
      <c r="G134" s="79">
        <v>0</v>
      </c>
      <c r="H134" s="79">
        <v>88647.745336941414</v>
      </c>
      <c r="I134" s="79">
        <f>VLOOKUP(Visualization!$A134,US_Results!$A$3:$AJ$52,26,FALSE)</f>
        <v>17.211803802793163</v>
      </c>
      <c r="J134" s="79">
        <f t="shared" si="16"/>
        <v>-213.22360945781742</v>
      </c>
      <c r="O134" t="s">
        <v>221</v>
      </c>
      <c r="P134" t="s">
        <v>562</v>
      </c>
      <c r="Q134" s="79">
        <v>83.786924944799793</v>
      </c>
      <c r="R134" s="99">
        <v>-1.9239401181870242</v>
      </c>
      <c r="S134" t="str">
        <f t="shared" si="19"/>
        <v>BEV better</v>
      </c>
      <c r="T134" s="99">
        <v>1.6449352407628752</v>
      </c>
      <c r="U134" s="99">
        <v>1.4775618730674513</v>
      </c>
      <c r="V134" s="99">
        <f t="shared" si="20"/>
        <v>0.16737336769542388</v>
      </c>
      <c r="W134" t="s">
        <v>578</v>
      </c>
      <c r="X134" s="54">
        <v>0.14254506524511057</v>
      </c>
      <c r="Y134" s="54">
        <v>3.319234768516921E-2</v>
      </c>
      <c r="Z134" s="196">
        <v>5.8809793677940866E-3</v>
      </c>
      <c r="AA134" s="54">
        <v>0.01</v>
      </c>
      <c r="AB134" s="99">
        <f t="shared" si="17"/>
        <v>0.24293229244661441</v>
      </c>
      <c r="AC134" s="99">
        <f t="shared" si="21"/>
        <v>85.710865062986812</v>
      </c>
      <c r="AD134" s="99">
        <f t="shared" si="18"/>
        <v>0.18967009055952033</v>
      </c>
      <c r="AE134" s="99"/>
    </row>
    <row r="135" spans="1:31" x14ac:dyDescent="0.25">
      <c r="A135" t="s">
        <v>222</v>
      </c>
      <c r="B135" t="s">
        <v>254</v>
      </c>
      <c r="C135" s="79">
        <v>25202.087524607668</v>
      </c>
      <c r="D135" s="79">
        <v>13249.624454388528</v>
      </c>
      <c r="E135" s="79">
        <v>27108.950399999998</v>
      </c>
      <c r="F135" s="79">
        <v>35435.599406836423</v>
      </c>
      <c r="G135" s="79">
        <v>0</v>
      </c>
      <c r="H135" s="79">
        <v>100996.26178583261</v>
      </c>
      <c r="I135" s="79">
        <f>VLOOKUP(Visualization!$A135,US_Results!$A$3:$AJ$52,26,FALSE)</f>
        <v>25.316003994516606</v>
      </c>
      <c r="J135" s="79">
        <f t="shared" si="16"/>
        <v>-253.04439992810441</v>
      </c>
      <c r="O135" t="s">
        <v>222</v>
      </c>
      <c r="P135" t="s">
        <v>562</v>
      </c>
      <c r="Q135" s="79">
        <v>478.90075272099153</v>
      </c>
      <c r="R135" s="99">
        <v>-126.88596853893107</v>
      </c>
      <c r="S135" t="str">
        <f t="shared" si="19"/>
        <v>BEV better</v>
      </c>
      <c r="T135" s="99">
        <v>3.6786298687264569</v>
      </c>
      <c r="U135" s="99">
        <v>2.1732738014740072</v>
      </c>
      <c r="V135" s="99">
        <f t="shared" si="20"/>
        <v>1.5053560672524497</v>
      </c>
      <c r="W135" t="s">
        <v>578</v>
      </c>
      <c r="X135" s="54">
        <v>0.14254506524511057</v>
      </c>
      <c r="Y135" s="54">
        <v>3.319234768516921E-2</v>
      </c>
      <c r="Z135" s="196">
        <v>5.8809793677940866E-3</v>
      </c>
      <c r="AA135" s="54">
        <v>0.01</v>
      </c>
      <c r="AB135" s="99">
        <f t="shared" si="17"/>
        <v>0.72855390410955567</v>
      </c>
      <c r="AC135" s="99">
        <f t="shared" si="21"/>
        <v>605.78672125992261</v>
      </c>
      <c r="AD135" s="99">
        <f t="shared" si="18"/>
        <v>0.50424405555298069</v>
      </c>
      <c r="AE135" s="99"/>
    </row>
    <row r="136" spans="1:31" x14ac:dyDescent="0.25">
      <c r="A136" t="s">
        <v>223</v>
      </c>
      <c r="B136" t="s">
        <v>254</v>
      </c>
      <c r="C136" s="79">
        <v>25202.087524607668</v>
      </c>
      <c r="D136" s="79">
        <v>14693.229641944212</v>
      </c>
      <c r="E136" s="79">
        <v>28197.590399999997</v>
      </c>
      <c r="F136" s="79">
        <v>31000.423168649482</v>
      </c>
      <c r="G136" s="79">
        <v>0</v>
      </c>
      <c r="H136" s="79">
        <v>99093.330735201365</v>
      </c>
      <c r="I136" s="79">
        <f>VLOOKUP(Visualization!$A136,US_Results!$A$3:$AJ$52,26,FALSE)</f>
        <v>27.374543673484972</v>
      </c>
      <c r="J136" s="79">
        <f t="shared" si="16"/>
        <v>-272.42487572325456</v>
      </c>
      <c r="O136" t="s">
        <v>223</v>
      </c>
      <c r="P136" t="s">
        <v>562</v>
      </c>
      <c r="Q136" s="79">
        <v>451.99376931400269</v>
      </c>
      <c r="R136" s="99">
        <v>-166.75974860271282</v>
      </c>
      <c r="S136" t="str">
        <f t="shared" si="19"/>
        <v>BEV better</v>
      </c>
      <c r="T136" s="99">
        <v>4.5788237779811265</v>
      </c>
      <c r="U136" s="99">
        <v>2.3499908834655265</v>
      </c>
      <c r="V136" s="99">
        <f t="shared" si="20"/>
        <v>2.2288328945156</v>
      </c>
      <c r="W136" t="s">
        <v>578</v>
      </c>
      <c r="X136" s="54">
        <v>0.14254506524511057</v>
      </c>
      <c r="Y136" s="54">
        <v>3.319234768516921E-2</v>
      </c>
      <c r="Z136" s="196">
        <v>5.8809793677940866E-3</v>
      </c>
      <c r="AA136" s="54">
        <v>0.01</v>
      </c>
      <c r="AB136" s="99">
        <f t="shared" si="17"/>
        <v>0.88650425714592218</v>
      </c>
      <c r="AC136" s="99">
        <f t="shared" si="21"/>
        <v>618.75351791671551</v>
      </c>
      <c r="AD136" s="99">
        <f t="shared" si="18"/>
        <v>0.50961212557064772</v>
      </c>
      <c r="AE136" s="99"/>
    </row>
    <row r="137" spans="1:31" x14ac:dyDescent="0.25">
      <c r="A137" t="s">
        <v>224</v>
      </c>
      <c r="B137" t="s">
        <v>254</v>
      </c>
      <c r="C137" s="79">
        <v>25202.087524607668</v>
      </c>
      <c r="D137" s="79">
        <v>14002.280362050496</v>
      </c>
      <c r="E137" s="79">
        <v>27736.732799999998</v>
      </c>
      <c r="F137" s="79">
        <v>27373.894743946959</v>
      </c>
      <c r="G137" s="79">
        <v>0</v>
      </c>
      <c r="H137" s="79">
        <v>94314.995430605122</v>
      </c>
      <c r="I137" s="79">
        <f>VLOOKUP(Visualization!$A137,US_Results!$A$3:$AJ$52,26,FALSE)</f>
        <v>26.081618392602856</v>
      </c>
      <c r="J137" s="79">
        <f t="shared" si="16"/>
        <v>-275.70988286396181</v>
      </c>
      <c r="O137" t="s">
        <v>224</v>
      </c>
      <c r="P137" t="s">
        <v>562</v>
      </c>
      <c r="Q137" s="79">
        <v>428.51708157060852</v>
      </c>
      <c r="R137" s="99">
        <v>-154.07710449210404</v>
      </c>
      <c r="S137" t="str">
        <f t="shared" si="19"/>
        <v>BEV better</v>
      </c>
      <c r="T137" s="99">
        <v>3.591562763565403</v>
      </c>
      <c r="U137" s="99">
        <v>2.2389986178294041</v>
      </c>
      <c r="V137" s="99">
        <f t="shared" si="20"/>
        <v>1.3525641457359989</v>
      </c>
      <c r="W137" t="s">
        <v>578</v>
      </c>
      <c r="X137" s="54">
        <v>0.14254506524511057</v>
      </c>
      <c r="Y137" s="54">
        <v>3.319234768516921E-2</v>
      </c>
      <c r="Z137" s="196">
        <v>5.8809793677940866E-3</v>
      </c>
      <c r="AA137" s="54">
        <v>0.01</v>
      </c>
      <c r="AB137" s="99">
        <f t="shared" si="17"/>
        <v>0.69059114685775502</v>
      </c>
      <c r="AC137" s="99">
        <f t="shared" si="21"/>
        <v>582.59418606271254</v>
      </c>
      <c r="AD137" s="99">
        <f t="shared" si="18"/>
        <v>0.49449736931591287</v>
      </c>
      <c r="AE137" s="99"/>
    </row>
    <row r="138" spans="1:31" x14ac:dyDescent="0.25">
      <c r="A138" t="s">
        <v>225</v>
      </c>
      <c r="B138" t="s">
        <v>254</v>
      </c>
      <c r="C138" s="79">
        <v>25202.087524607668</v>
      </c>
      <c r="D138" s="79">
        <v>13598.57416938903</v>
      </c>
      <c r="E138" s="79">
        <v>29342.476799999997</v>
      </c>
      <c r="F138" s="79">
        <v>34414.078160774108</v>
      </c>
      <c r="G138" s="79">
        <v>0</v>
      </c>
      <c r="H138" s="79">
        <v>102557.2166547708</v>
      </c>
      <c r="I138" s="79">
        <f>VLOOKUP(Visualization!$A138,US_Results!$A$3:$AJ$52,26,FALSE)</f>
        <v>27.564438861349224</v>
      </c>
      <c r="J138" s="79">
        <f t="shared" si="16"/>
        <v>-246.98090136156566</v>
      </c>
      <c r="O138" t="s">
        <v>225</v>
      </c>
      <c r="P138" t="s">
        <v>562</v>
      </c>
      <c r="Q138" s="79">
        <v>541.47097733503733</v>
      </c>
      <c r="R138" s="99">
        <v>-127.81648484783291</v>
      </c>
      <c r="S138" t="str">
        <f t="shared" si="19"/>
        <v>BEV better</v>
      </c>
      <c r="T138" s="99">
        <v>3.2651791990734389</v>
      </c>
      <c r="U138" s="99">
        <v>2.3662925966782744</v>
      </c>
      <c r="V138" s="99">
        <f t="shared" si="20"/>
        <v>0.89888660239516449</v>
      </c>
      <c r="W138" t="s">
        <v>578</v>
      </c>
      <c r="X138" s="54">
        <v>0.14254506524511057</v>
      </c>
      <c r="Y138" s="54">
        <v>3.319234768516921E-2</v>
      </c>
      <c r="Z138" s="196">
        <v>5.8809793677940866E-3</v>
      </c>
      <c r="AA138" s="54">
        <v>0.01</v>
      </c>
      <c r="AB138" s="99">
        <f t="shared" si="17"/>
        <v>0.56298201986248975</v>
      </c>
      <c r="AC138" s="99">
        <f t="shared" si="21"/>
        <v>669.28746218287029</v>
      </c>
      <c r="AD138" s="99">
        <f t="shared" si="18"/>
        <v>0.5300138971135141</v>
      </c>
      <c r="AE138" s="99"/>
    </row>
    <row r="139" spans="1:31" x14ac:dyDescent="0.25">
      <c r="A139" t="s">
        <v>226</v>
      </c>
      <c r="B139" t="s">
        <v>254</v>
      </c>
      <c r="C139" s="79">
        <v>25202.087524607668</v>
      </c>
      <c r="D139" s="79">
        <v>15511.133751416175</v>
      </c>
      <c r="E139" s="79">
        <v>28152.230399999997</v>
      </c>
      <c r="F139" s="79">
        <v>29922.253642813801</v>
      </c>
      <c r="G139" s="79">
        <v>0</v>
      </c>
      <c r="H139" s="79">
        <v>98787.705318837645</v>
      </c>
      <c r="I139" s="79">
        <f>VLOOKUP(Visualization!$A139,US_Results!$A$3:$AJ$52,26,FALSE)</f>
        <v>27.01844025971473</v>
      </c>
      <c r="J139" s="79">
        <f t="shared" si="16"/>
        <v>-294.05789102713914</v>
      </c>
      <c r="O139" t="s">
        <v>226</v>
      </c>
      <c r="P139" t="s">
        <v>562</v>
      </c>
      <c r="Q139" s="79">
        <v>2205.488515031343</v>
      </c>
      <c r="R139" s="99">
        <v>-177.0403736544929</v>
      </c>
      <c r="S139" t="str">
        <f t="shared" si="19"/>
        <v>HEV better</v>
      </c>
      <c r="T139" s="99">
        <v>0.85475557695418658</v>
      </c>
      <c r="U139" s="99">
        <v>2.3194208843483697</v>
      </c>
      <c r="V139" s="99">
        <f t="shared" si="20"/>
        <v>-1.4646653073941831</v>
      </c>
      <c r="W139" t="s">
        <v>578</v>
      </c>
      <c r="X139" s="54">
        <v>0.14254506524511057</v>
      </c>
      <c r="Y139" s="54">
        <v>3.319234768516921E-2</v>
      </c>
      <c r="Z139" s="196">
        <v>5.8809793677940866E-3</v>
      </c>
      <c r="AA139" s="54">
        <v>0.01</v>
      </c>
      <c r="AB139" s="99">
        <f t="shared" si="17"/>
        <v>-0.61101031333243006</v>
      </c>
      <c r="AC139" s="99">
        <f t="shared" si="21"/>
        <v>2382.5288886858361</v>
      </c>
      <c r="AD139" s="99">
        <f t="shared" si="18"/>
        <v>1</v>
      </c>
      <c r="AE139" s="99"/>
    </row>
    <row r="140" spans="1:31" x14ac:dyDescent="0.25">
      <c r="A140" t="s">
        <v>228</v>
      </c>
      <c r="B140" t="s">
        <v>254</v>
      </c>
      <c r="C140" s="79">
        <v>25202.087524607668</v>
      </c>
      <c r="D140" s="79">
        <v>12696.361033951087</v>
      </c>
      <c r="E140" s="79">
        <v>23594.457599999998</v>
      </c>
      <c r="F140" s="79">
        <v>24493.703345080121</v>
      </c>
      <c r="G140" s="79">
        <v>0</v>
      </c>
      <c r="H140" s="79">
        <v>85986.609503638872</v>
      </c>
      <c r="I140" s="79">
        <f>VLOOKUP(Visualization!$A140,US_Results!$A$3:$AJ$52,26,FALSE)</f>
        <v>22.927565012570874</v>
      </c>
      <c r="J140" s="79">
        <f t="shared" si="16"/>
        <v>-273.82698680197223</v>
      </c>
      <c r="O140" t="s">
        <v>228</v>
      </c>
      <c r="P140" t="s">
        <v>562</v>
      </c>
      <c r="Q140" s="79">
        <v>234.67743560611859</v>
      </c>
      <c r="R140" s="99">
        <v>-140.66429401965635</v>
      </c>
      <c r="S140" t="str">
        <f t="shared" si="19"/>
        <v>BEV better</v>
      </c>
      <c r="T140" s="99">
        <v>4.8042991282064023</v>
      </c>
      <c r="U140" s="99">
        <v>1.9682362344469895</v>
      </c>
      <c r="V140" s="99">
        <f t="shared" si="20"/>
        <v>2.8360628937594128</v>
      </c>
      <c r="W140" t="s">
        <v>578</v>
      </c>
      <c r="X140" s="54">
        <v>0.14254506524511057</v>
      </c>
      <c r="Y140" s="54">
        <v>3.319234768516921E-2</v>
      </c>
      <c r="Z140" s="196">
        <v>5.8809793677940866E-3</v>
      </c>
      <c r="AA140" s="54">
        <v>0.01</v>
      </c>
      <c r="AB140" s="99">
        <f t="shared" si="17"/>
        <v>1</v>
      </c>
      <c r="AC140" s="99">
        <f t="shared" si="21"/>
        <v>375.34172962577497</v>
      </c>
      <c r="AD140" s="99">
        <f t="shared" si="18"/>
        <v>0.39691209919960757</v>
      </c>
      <c r="AE140" s="99"/>
    </row>
    <row r="141" spans="1:31" x14ac:dyDescent="0.25">
      <c r="A141" t="s">
        <v>227</v>
      </c>
      <c r="B141" t="s">
        <v>254</v>
      </c>
      <c r="C141" s="79">
        <v>25202.087524607668</v>
      </c>
      <c r="D141" s="79">
        <v>13458.126207031833</v>
      </c>
      <c r="E141" s="79">
        <v>26325.1296</v>
      </c>
      <c r="F141" s="79">
        <v>26724.30333720475</v>
      </c>
      <c r="G141" s="79">
        <v>0</v>
      </c>
      <c r="H141" s="79">
        <v>91709.646668844245</v>
      </c>
      <c r="I141" s="79">
        <f>VLOOKUP(Visualization!$A141,US_Results!$A$3:$AJ$52,26,FALSE)</f>
        <v>24.802884456752757</v>
      </c>
      <c r="J141" s="79">
        <f t="shared" si="16"/>
        <v>-274.6569054402222</v>
      </c>
      <c r="O141" t="s">
        <v>227</v>
      </c>
      <c r="P141" t="s">
        <v>562</v>
      </c>
      <c r="Q141" s="79">
        <v>336.16709454932425</v>
      </c>
      <c r="R141" s="99">
        <v>-159.6199409621471</v>
      </c>
      <c r="S141" t="str">
        <f t="shared" si="19"/>
        <v>BEV better</v>
      </c>
      <c r="T141" s="99">
        <v>3.415220983098628</v>
      </c>
      <c r="U141" s="99">
        <v>2.1292246202253313</v>
      </c>
      <c r="V141" s="99">
        <f t="shared" si="20"/>
        <v>1.2859963628732967</v>
      </c>
      <c r="W141" t="s">
        <v>578</v>
      </c>
      <c r="X141" s="54">
        <v>0.14254506524511057</v>
      </c>
      <c r="Y141" s="54">
        <v>3.319234768516921E-2</v>
      </c>
      <c r="Z141" s="196">
        <v>5.8809793677940866E-3</v>
      </c>
      <c r="AA141" s="54">
        <v>0.01</v>
      </c>
      <c r="AB141" s="99">
        <f t="shared" si="17"/>
        <v>0.67338267927203765</v>
      </c>
      <c r="AC141" s="99">
        <f t="shared" si="21"/>
        <v>495.78703551147134</v>
      </c>
      <c r="AD141" s="99">
        <f t="shared" si="18"/>
        <v>0.45617186429379003</v>
      </c>
      <c r="AE141" s="99"/>
    </row>
    <row r="142" spans="1:31" x14ac:dyDescent="0.25">
      <c r="A142" t="s">
        <v>229</v>
      </c>
      <c r="B142" t="s">
        <v>254</v>
      </c>
      <c r="C142" s="79">
        <v>25202.087524607668</v>
      </c>
      <c r="D142" s="79">
        <v>13734.332941449724</v>
      </c>
      <c r="E142" s="79">
        <v>19865.865599999997</v>
      </c>
      <c r="F142" s="79">
        <v>31030.693795618325</v>
      </c>
      <c r="G142" s="79">
        <v>0</v>
      </c>
      <c r="H142" s="79">
        <v>89832.979861675703</v>
      </c>
      <c r="I142" s="79">
        <f>VLOOKUP(Visualization!$A142,US_Results!$A$3:$AJ$52,26,FALSE)</f>
        <v>19.065796751973238</v>
      </c>
      <c r="J142" s="79">
        <f t="shared" si="16"/>
        <v>-330.36873585102114</v>
      </c>
      <c r="O142" t="s">
        <v>229</v>
      </c>
      <c r="P142" t="s">
        <v>562</v>
      </c>
      <c r="Q142" s="79">
        <v>512.90422438300936</v>
      </c>
      <c r="R142" s="99">
        <v>-158.92183725731456</v>
      </c>
      <c r="S142" t="str">
        <f t="shared" si="19"/>
        <v>BEV better</v>
      </c>
      <c r="T142" s="99">
        <v>3.3937710903550222</v>
      </c>
      <c r="U142" s="99">
        <v>1.6367194678222656</v>
      </c>
      <c r="V142" s="99">
        <f t="shared" si="20"/>
        <v>1.7570516225327566</v>
      </c>
      <c r="W142" t="s">
        <v>578</v>
      </c>
      <c r="X142" s="54">
        <v>0.14254506524511057</v>
      </c>
      <c r="Y142" s="54">
        <v>3.319234768516921E-2</v>
      </c>
      <c r="Z142" s="196">
        <v>5.8809793677940866E-3</v>
      </c>
      <c r="AA142" s="54">
        <v>0.01</v>
      </c>
      <c r="AB142" s="99">
        <f t="shared" si="17"/>
        <v>0.78710800963240701</v>
      </c>
      <c r="AC142" s="99">
        <f t="shared" si="21"/>
        <v>671.82606164032393</v>
      </c>
      <c r="AD142" s="99">
        <f t="shared" si="18"/>
        <v>0.53101811400220722</v>
      </c>
      <c r="AE142" s="99"/>
    </row>
    <row r="143" spans="1:31" x14ac:dyDescent="0.25">
      <c r="A143" t="s">
        <v>159</v>
      </c>
      <c r="B143" t="s">
        <v>254</v>
      </c>
      <c r="C143" s="79">
        <v>25202.087524607668</v>
      </c>
      <c r="D143" s="79">
        <v>15200.790746826036</v>
      </c>
      <c r="E143" s="79">
        <v>30619.814399999999</v>
      </c>
      <c r="F143" s="79">
        <v>32441.403634938422</v>
      </c>
      <c r="G143" s="79">
        <v>0</v>
      </c>
      <c r="H143" s="79">
        <v>103464.09630637213</v>
      </c>
      <c r="I143" s="79">
        <f>VLOOKUP(Visualization!$A143,US_Results!$A$3:$AJ$52,26,FALSE)</f>
        <v>29.047225333458819</v>
      </c>
      <c r="J143" s="79">
        <f t="shared" si="16"/>
        <v>-270.62823372799835</v>
      </c>
      <c r="O143" t="s">
        <v>159</v>
      </c>
      <c r="P143" t="s">
        <v>562</v>
      </c>
      <c r="Q143" s="79">
        <v>0</v>
      </c>
      <c r="R143" s="99">
        <v>-162.86058423390034</v>
      </c>
      <c r="S143" t="str">
        <f t="shared" si="19"/>
        <v>HEV better</v>
      </c>
      <c r="T143" s="99">
        <v>-0.98637218393513226</v>
      </c>
      <c r="U143" s="99">
        <v>2.4935836570570693</v>
      </c>
      <c r="V143" s="99">
        <f t="shared" si="20"/>
        <v>-3.4799558409922016</v>
      </c>
      <c r="W143" t="s">
        <v>578</v>
      </c>
      <c r="X143" s="54">
        <v>0.14254506524511057</v>
      </c>
      <c r="Y143" s="54">
        <v>3.319234768516921E-2</v>
      </c>
      <c r="Z143" s="196">
        <v>5.8809793677940866E-3</v>
      </c>
      <c r="AA143" s="54">
        <v>0.01</v>
      </c>
      <c r="AB143" s="99">
        <f t="shared" si="17"/>
        <v>-0.9418163160662063</v>
      </c>
      <c r="AC143" s="99">
        <f t="shared" si="21"/>
        <v>162.86058423390034</v>
      </c>
      <c r="AD143" s="99">
        <f t="shared" si="18"/>
        <v>0.26145015677139455</v>
      </c>
      <c r="AE143" s="99"/>
    </row>
    <row r="144" spans="1:31" x14ac:dyDescent="0.25">
      <c r="A144" t="s">
        <v>158</v>
      </c>
      <c r="B144" t="s">
        <v>254</v>
      </c>
      <c r="C144" s="79">
        <v>25202.087524607668</v>
      </c>
      <c r="D144" s="79">
        <v>14654.827237460326</v>
      </c>
      <c r="E144" s="79">
        <v>28017.964799999998</v>
      </c>
      <c r="F144" s="79">
        <v>24032.37725182233</v>
      </c>
      <c r="G144" s="79">
        <v>0</v>
      </c>
      <c r="H144" s="79">
        <v>91907.256813890315</v>
      </c>
      <c r="I144" s="79">
        <f>VLOOKUP(Visualization!$A144,US_Results!$A$3:$AJ$52,26,FALSE)</f>
        <v>27.303687441456312</v>
      </c>
      <c r="J144" s="79">
        <f t="shared" si="16"/>
        <v>-282.16638770301</v>
      </c>
      <c r="O144" t="s">
        <v>158</v>
      </c>
      <c r="P144" t="s">
        <v>562</v>
      </c>
      <c r="Q144" s="79">
        <v>1194.4982179265344</v>
      </c>
      <c r="R144" s="99">
        <v>-178.84607027386059</v>
      </c>
      <c r="S144" t="str">
        <f t="shared" si="19"/>
        <v>HEV better</v>
      </c>
      <c r="T144" s="99">
        <v>1.5810816125235814</v>
      </c>
      <c r="U144" s="99">
        <v>2.343908170223246</v>
      </c>
      <c r="V144" s="99">
        <f t="shared" si="20"/>
        <v>-0.76282655769966468</v>
      </c>
      <c r="W144" t="s">
        <v>578</v>
      </c>
      <c r="X144" s="54">
        <v>0.14254506524511057</v>
      </c>
      <c r="Y144" s="54">
        <v>3.319234768516921E-2</v>
      </c>
      <c r="Z144" s="196">
        <v>5.8809793677940866E-3</v>
      </c>
      <c r="AA144" s="54">
        <v>0.01</v>
      </c>
      <c r="AB144" s="99">
        <f t="shared" si="17"/>
        <v>-0.44095294317700834</v>
      </c>
      <c r="AC144" s="99">
        <f t="shared" si="21"/>
        <v>1373.3442882003949</v>
      </c>
      <c r="AD144" s="99">
        <f t="shared" si="18"/>
        <v>0.7592252184008248</v>
      </c>
      <c r="AE144" s="99"/>
    </row>
    <row r="145" spans="1:31" x14ac:dyDescent="0.25">
      <c r="A145" t="s">
        <v>160</v>
      </c>
      <c r="B145" t="s">
        <v>254</v>
      </c>
      <c r="C145" s="79">
        <v>25202.087524607668</v>
      </c>
      <c r="D145" s="79">
        <v>24498.513983833145</v>
      </c>
      <c r="E145" s="79">
        <v>43670.793599999997</v>
      </c>
      <c r="F145" s="79">
        <v>29445.438329329376</v>
      </c>
      <c r="G145" s="79">
        <v>0</v>
      </c>
      <c r="H145" s="79">
        <v>122816.83343777018</v>
      </c>
      <c r="I145" s="79">
        <f>VLOOKUP(Visualization!$A145,US_Results!$A$3:$AJ$52,26,FALSE)</f>
        <v>42.678492743957491</v>
      </c>
      <c r="J145" s="79">
        <f t="shared" si="16"/>
        <v>-329.42610376327241</v>
      </c>
      <c r="O145" t="s">
        <v>160</v>
      </c>
      <c r="P145" t="s">
        <v>562</v>
      </c>
      <c r="Q145" s="79">
        <v>0</v>
      </c>
      <c r="R145" s="99">
        <v>-273.89140483111476</v>
      </c>
      <c r="S145" t="str">
        <f t="shared" si="19"/>
        <v>HEV better</v>
      </c>
      <c r="T145" s="99">
        <v>-0.25943645961131523</v>
      </c>
      <c r="U145" s="99">
        <v>3.6637713513922323</v>
      </c>
      <c r="V145" s="99">
        <f t="shared" si="20"/>
        <v>-3.9232078110035475</v>
      </c>
      <c r="W145" t="s">
        <v>578</v>
      </c>
      <c r="X145" s="54">
        <v>0.14254506524511057</v>
      </c>
      <c r="Y145" s="54">
        <v>3.319234768516921E-2</v>
      </c>
      <c r="Z145" s="196">
        <v>5.8809793677940866E-3</v>
      </c>
      <c r="AA145" s="54">
        <v>0.01</v>
      </c>
      <c r="AB145" s="99">
        <f t="shared" si="17"/>
        <v>-1</v>
      </c>
      <c r="AC145" s="99">
        <f t="shared" si="21"/>
        <v>273.89140483111476</v>
      </c>
      <c r="AD145" s="99">
        <f t="shared" si="18"/>
        <v>0.33905496948845448</v>
      </c>
      <c r="AE145" s="99"/>
    </row>
    <row r="146" spans="1:31" x14ac:dyDescent="0.25">
      <c r="A146" t="s">
        <v>187</v>
      </c>
      <c r="B146" t="s">
        <v>389</v>
      </c>
      <c r="C146" s="79">
        <v>28460.759801658827</v>
      </c>
      <c r="D146" s="79">
        <v>50602.572313696728</v>
      </c>
      <c r="E146" s="79">
        <v>32327.164799999999</v>
      </c>
      <c r="F146" s="79">
        <v>32571.256287742948</v>
      </c>
      <c r="G146" s="79">
        <v>0</v>
      </c>
      <c r="H146" s="79">
        <v>143961.75320309852</v>
      </c>
      <c r="I146" s="79">
        <f>VLOOKUP(Visualization!$A146,US_Results!$A$3:$AJ$52,35,FALSE)</f>
        <v>46.947696365396297</v>
      </c>
      <c r="J146" s="79"/>
      <c r="O146" t="s">
        <v>187</v>
      </c>
      <c r="Q146" s="58">
        <v>101.75589926764702</v>
      </c>
      <c r="R146" s="58">
        <v>-259.05671695933665</v>
      </c>
      <c r="T146" s="99">
        <v>50.514150823136049</v>
      </c>
      <c r="U146" s="99">
        <v>30.189093311712909</v>
      </c>
      <c r="V146" s="99">
        <f t="shared" si="20"/>
        <v>20.32505751142314</v>
      </c>
      <c r="W146" t="s">
        <v>569</v>
      </c>
      <c r="X146" s="54">
        <f>291.579185559066%/14</f>
        <v>0.20827084682790428</v>
      </c>
      <c r="Y146" s="54">
        <f>67.8957050403186%/14</f>
        <v>4.849693217165614E-2</v>
      </c>
      <c r="Z146" s="54">
        <f>12.0296775718084%/14</f>
        <v>8.592626837006E-3</v>
      </c>
      <c r="AA146" s="54">
        <v>0.02</v>
      </c>
      <c r="AB146" s="99">
        <f>IF(V146&gt;0, SQRT(V146/MAX($V$146:$V$193)), -SQRT(V146/MIN($V$146:$V$193)))</f>
        <v>0.78036173135805875</v>
      </c>
      <c r="AC146" s="99">
        <f t="shared" si="21"/>
        <v>360.81261622698366</v>
      </c>
      <c r="AD146" s="99">
        <f>IF(AC146&gt;0,SQRT(AC146/MAX($AC$146:$AC$193)),-SQRT(AC146/MIN($AC$146:$AC$193)))</f>
        <v>0.5426234576933302</v>
      </c>
      <c r="AE146" s="99"/>
    </row>
    <row r="147" spans="1:31" x14ac:dyDescent="0.25">
      <c r="A147" t="s">
        <v>189</v>
      </c>
      <c r="B147" t="s">
        <v>389</v>
      </c>
      <c r="C147" s="79">
        <v>28460.759801658827</v>
      </c>
      <c r="D147" s="79">
        <v>37615.523249405342</v>
      </c>
      <c r="E147" s="79">
        <v>23750.495999999999</v>
      </c>
      <c r="F147" s="79">
        <v>31325.486982133902</v>
      </c>
      <c r="G147" s="79">
        <v>0</v>
      </c>
      <c r="H147" s="79">
        <v>121152.26603319807</v>
      </c>
      <c r="I147" s="79">
        <f>VLOOKUP(Visualization!$A147,US_Results!$A$3:$AJ$52,35,FALSE)</f>
        <v>35.17918782767417</v>
      </c>
      <c r="J147" s="79"/>
      <c r="O147" t="s">
        <v>189</v>
      </c>
      <c r="Q147" s="58">
        <v>82.81424270508343</v>
      </c>
      <c r="R147" s="58">
        <v>-352.98791450319544</v>
      </c>
      <c r="T147" s="99">
        <v>38.044633544153854</v>
      </c>
      <c r="U147" s="99">
        <v>22.442947056893125</v>
      </c>
      <c r="V147" s="99">
        <f t="shared" si="20"/>
        <v>15.601686487260729</v>
      </c>
      <c r="W147" t="s">
        <v>569</v>
      </c>
      <c r="X147" s="54">
        <f t="shared" ref="X147:X193" si="22">291.579185559066%/14</f>
        <v>0.20827084682790428</v>
      </c>
      <c r="Y147" s="54">
        <f t="shared" ref="Y147:Y193" si="23">67.8957050403186%/14</f>
        <v>4.849693217165614E-2</v>
      </c>
      <c r="Z147" s="54">
        <f t="shared" ref="Z147:Z193" si="24">12.0296775718084%/14</f>
        <v>8.592626837006E-3</v>
      </c>
      <c r="AA147" s="54">
        <v>0.02</v>
      </c>
      <c r="AB147" s="99">
        <f t="shared" ref="AB147:AB193" si="25">IF(V147&gt;0, SQRT(V147/MAX($V$146:$V$193)), -SQRT(V147/MIN($V$146:$V$193)))</f>
        <v>0.68370041786906266</v>
      </c>
      <c r="AC147" s="99">
        <f t="shared" si="21"/>
        <v>435.80215720827886</v>
      </c>
      <c r="AD147" s="99">
        <f t="shared" ref="AD147:AD193" si="26">IF(AC147&gt;0,SQRT(AC147/MAX($AC$146:$AC$193)),-SQRT(AC147/MIN($AC$146:$AC$193)))</f>
        <v>0.59635160839276646</v>
      </c>
      <c r="AE147" s="99"/>
    </row>
    <row r="148" spans="1:31" x14ac:dyDescent="0.25">
      <c r="A148" t="s">
        <v>188</v>
      </c>
      <c r="B148" t="s">
        <v>389</v>
      </c>
      <c r="C148" s="79">
        <v>28460.759801658827</v>
      </c>
      <c r="D148" s="79">
        <v>49206.696506375119</v>
      </c>
      <c r="E148" s="79">
        <v>31251.225599999998</v>
      </c>
      <c r="F148" s="79">
        <v>35074.282847289694</v>
      </c>
      <c r="G148" s="79">
        <v>0</v>
      </c>
      <c r="H148" s="79">
        <v>143992.96475532363</v>
      </c>
      <c r="I148" s="79">
        <f>VLOOKUP(Visualization!$A148,US_Results!$A$3:$AJ$52,35,FALSE)</f>
        <v>45.83719918217124</v>
      </c>
      <c r="J148" s="79"/>
      <c r="O148" t="s">
        <v>188</v>
      </c>
      <c r="Q148" s="58">
        <v>212.76393319608775</v>
      </c>
      <c r="R148" s="58">
        <v>-252.74350768062141</v>
      </c>
      <c r="T148" s="99">
        <v>40.382584106700293</v>
      </c>
      <c r="U148" s="99">
        <v>29.35752504006178</v>
      </c>
      <c r="V148" s="99">
        <f t="shared" si="20"/>
        <v>11.025059066638512</v>
      </c>
      <c r="W148" t="s">
        <v>569</v>
      </c>
      <c r="X148" s="54">
        <f t="shared" si="22"/>
        <v>0.20827084682790428</v>
      </c>
      <c r="Y148" s="54">
        <f t="shared" si="23"/>
        <v>4.849693217165614E-2</v>
      </c>
      <c r="Z148" s="54">
        <f t="shared" si="24"/>
        <v>8.592626837006E-3</v>
      </c>
      <c r="AA148" s="54">
        <v>0.02</v>
      </c>
      <c r="AB148" s="99">
        <f t="shared" si="25"/>
        <v>0.574738823288797</v>
      </c>
      <c r="AC148" s="99">
        <f t="shared" si="21"/>
        <v>465.50744087670915</v>
      </c>
      <c r="AD148" s="99">
        <f t="shared" si="26"/>
        <v>0.61634094618180035</v>
      </c>
      <c r="AE148" s="99"/>
    </row>
    <row r="149" spans="1:31" x14ac:dyDescent="0.25">
      <c r="A149" t="s">
        <v>149</v>
      </c>
      <c r="B149" t="s">
        <v>389</v>
      </c>
      <c r="C149" s="79">
        <v>28460.759801658827</v>
      </c>
      <c r="D149" s="79">
        <v>35709.534667790183</v>
      </c>
      <c r="E149" s="79">
        <v>22723.545599999998</v>
      </c>
      <c r="F149" s="79">
        <v>35837.006127063054</v>
      </c>
      <c r="G149" s="79">
        <v>0</v>
      </c>
      <c r="H149" s="79">
        <v>122730.84619651207</v>
      </c>
      <c r="I149" s="79">
        <f>VLOOKUP(Visualization!$A149,US_Results!$A$3:$AJ$52,35,FALSE)</f>
        <v>33.2198040851817</v>
      </c>
      <c r="J149" s="79"/>
      <c r="O149" t="s">
        <v>149</v>
      </c>
      <c r="Q149" s="58">
        <v>293.21939566267957</v>
      </c>
      <c r="R149" s="58">
        <v>-338.71798335765993</v>
      </c>
      <c r="T149" s="99">
        <v>42.933153189292135</v>
      </c>
      <c r="U149" s="99">
        <v>21.304606948907526</v>
      </c>
      <c r="V149" s="99">
        <f t="shared" si="20"/>
        <v>21.628546240384608</v>
      </c>
      <c r="W149" t="s">
        <v>569</v>
      </c>
      <c r="X149" s="54">
        <f t="shared" si="22"/>
        <v>0.20827084682790428</v>
      </c>
      <c r="Y149" s="54">
        <f t="shared" si="23"/>
        <v>4.849693217165614E-2</v>
      </c>
      <c r="Z149" s="54">
        <f t="shared" si="24"/>
        <v>8.592626837006E-3</v>
      </c>
      <c r="AA149" s="54">
        <v>0.02</v>
      </c>
      <c r="AB149" s="99">
        <f t="shared" si="25"/>
        <v>0.80499602660047365</v>
      </c>
      <c r="AC149" s="99">
        <f t="shared" si="21"/>
        <v>631.93737902033945</v>
      </c>
      <c r="AD149" s="99">
        <f t="shared" si="26"/>
        <v>0.7181162087224453</v>
      </c>
      <c r="AE149" s="99"/>
    </row>
    <row r="150" spans="1:31" x14ac:dyDescent="0.25">
      <c r="A150" t="s">
        <v>190</v>
      </c>
      <c r="B150" t="s">
        <v>389</v>
      </c>
      <c r="C150" s="79">
        <v>28460.759801658827</v>
      </c>
      <c r="D150" s="79">
        <v>37858.379358924525</v>
      </c>
      <c r="E150" s="79">
        <v>23403.945599999999</v>
      </c>
      <c r="F150" s="79">
        <v>33210.082474258532</v>
      </c>
      <c r="G150" s="79">
        <v>0</v>
      </c>
      <c r="H150" s="79">
        <v>122933.16723484188</v>
      </c>
      <c r="I150" s="79">
        <f>VLOOKUP(Visualization!$A150,US_Results!$A$3:$AJ$52,35,FALSE)</f>
        <v>35.907199582328225</v>
      </c>
      <c r="J150" s="79"/>
      <c r="O150" t="s">
        <v>190</v>
      </c>
      <c r="Q150" s="58">
        <v>361.23268653382127</v>
      </c>
      <c r="R150" s="58">
        <v>-268.47975170988684</v>
      </c>
      <c r="T150" s="99">
        <v>28.942981307016829</v>
      </c>
      <c r="U150" s="99">
        <v>22.591102065422739</v>
      </c>
      <c r="V150" s="99">
        <f t="shared" si="20"/>
        <v>6.3518792415940908</v>
      </c>
      <c r="W150" t="s">
        <v>569</v>
      </c>
      <c r="X150" s="54">
        <f t="shared" si="22"/>
        <v>0.20827084682790428</v>
      </c>
      <c r="Y150" s="54">
        <f t="shared" si="23"/>
        <v>4.849693217165614E-2</v>
      </c>
      <c r="Z150" s="54">
        <f t="shared" si="24"/>
        <v>8.592626837006E-3</v>
      </c>
      <c r="AA150" s="54">
        <v>0.02</v>
      </c>
      <c r="AB150" s="99">
        <f t="shared" si="25"/>
        <v>0.43624572941509993</v>
      </c>
      <c r="AC150" s="99">
        <f t="shared" si="21"/>
        <v>629.71243824370811</v>
      </c>
      <c r="AD150" s="99">
        <f t="shared" si="26"/>
        <v>0.71685091335217865</v>
      </c>
      <c r="AE150" s="99"/>
    </row>
    <row r="151" spans="1:31" x14ac:dyDescent="0.25">
      <c r="A151" t="s">
        <v>191</v>
      </c>
      <c r="B151" t="s">
        <v>389</v>
      </c>
      <c r="C151" s="79">
        <v>28460.759801658827</v>
      </c>
      <c r="D151" s="79">
        <v>35191.361842715429</v>
      </c>
      <c r="E151" s="79">
        <v>21985.084800000001</v>
      </c>
      <c r="F151" s="79">
        <v>33988.747287742946</v>
      </c>
      <c r="G151" s="79">
        <v>0</v>
      </c>
      <c r="H151" s="79">
        <v>119625.9537321172</v>
      </c>
      <c r="I151" s="79">
        <f>VLOOKUP(Visualization!$A151,US_Results!$A$3:$AJ$52,35,FALSE)</f>
        <v>33.147297533803631</v>
      </c>
      <c r="J151" s="79"/>
      <c r="O151" t="s">
        <v>191</v>
      </c>
      <c r="Q151" s="58">
        <v>579.95528604150275</v>
      </c>
      <c r="R151" s="58">
        <v>-247.56569840456535</v>
      </c>
      <c r="T151" s="99">
        <v>37.280797622105624</v>
      </c>
      <c r="U151" s="99">
        <v>20.998123892067696</v>
      </c>
      <c r="V151" s="99">
        <f t="shared" si="20"/>
        <v>16.282673730037928</v>
      </c>
      <c r="W151" t="s">
        <v>569</v>
      </c>
      <c r="X151" s="54">
        <f t="shared" si="22"/>
        <v>0.20827084682790428</v>
      </c>
      <c r="Y151" s="54">
        <f t="shared" si="23"/>
        <v>4.849693217165614E-2</v>
      </c>
      <c r="Z151" s="54">
        <f t="shared" si="24"/>
        <v>8.592626837006E-3</v>
      </c>
      <c r="AA151" s="54">
        <v>0.02</v>
      </c>
      <c r="AB151" s="99">
        <f t="shared" si="25"/>
        <v>0.69846223989130529</v>
      </c>
      <c r="AC151" s="99">
        <f t="shared" si="21"/>
        <v>827.52098444606804</v>
      </c>
      <c r="AD151" s="99">
        <f t="shared" si="26"/>
        <v>0.82176419517980526</v>
      </c>
      <c r="AE151" s="99"/>
    </row>
    <row r="152" spans="1:31" x14ac:dyDescent="0.25">
      <c r="A152" t="s">
        <v>192</v>
      </c>
      <c r="B152" t="s">
        <v>389</v>
      </c>
      <c r="C152" s="79">
        <v>28460.759801658827</v>
      </c>
      <c r="D152" s="79">
        <v>36233.318002425665</v>
      </c>
      <c r="E152" s="79">
        <v>22877.7696</v>
      </c>
      <c r="F152" s="79">
        <v>35029.505966383156</v>
      </c>
      <c r="G152" s="79">
        <v>0</v>
      </c>
      <c r="H152" s="79">
        <v>122601.35337046764</v>
      </c>
      <c r="I152" s="79">
        <f>VLOOKUP(Visualization!$A152,US_Results!$A$3:$AJ$52,35,FALSE)</f>
        <v>33.886507205434953</v>
      </c>
      <c r="J152" s="79"/>
      <c r="O152" t="s">
        <v>192</v>
      </c>
      <c r="Q152" s="58">
        <v>302.85848025227256</v>
      </c>
      <c r="R152" s="58">
        <v>-257.94529611119054</v>
      </c>
      <c r="T152" s="99">
        <v>30.32090858231107</v>
      </c>
      <c r="U152" s="99">
        <v>21.618267336926309</v>
      </c>
      <c r="V152" s="99">
        <f t="shared" si="20"/>
        <v>8.7026412453847612</v>
      </c>
      <c r="W152" t="s">
        <v>569</v>
      </c>
      <c r="X152" s="54">
        <f t="shared" si="22"/>
        <v>0.20827084682790428</v>
      </c>
      <c r="Y152" s="54">
        <f t="shared" si="23"/>
        <v>4.849693217165614E-2</v>
      </c>
      <c r="Z152" s="54">
        <f t="shared" si="24"/>
        <v>8.592626837006E-3</v>
      </c>
      <c r="AA152" s="54">
        <v>0.02</v>
      </c>
      <c r="AB152" s="99">
        <f t="shared" si="25"/>
        <v>0.51062916044280782</v>
      </c>
      <c r="AC152" s="99">
        <f t="shared" si="21"/>
        <v>560.80377636346316</v>
      </c>
      <c r="AD152" s="99">
        <f t="shared" si="26"/>
        <v>0.67649278923629652</v>
      </c>
      <c r="AE152" s="99"/>
    </row>
    <row r="153" spans="1:31" x14ac:dyDescent="0.25">
      <c r="A153" t="s">
        <v>193</v>
      </c>
      <c r="B153" t="s">
        <v>389</v>
      </c>
      <c r="C153" s="79">
        <v>28460.759801658827</v>
      </c>
      <c r="D153" s="79">
        <v>41384.365609891473</v>
      </c>
      <c r="E153" s="79">
        <v>26412.220799999999</v>
      </c>
      <c r="F153" s="79">
        <v>46487.351095561564</v>
      </c>
      <c r="G153" s="79">
        <v>0</v>
      </c>
      <c r="H153" s="79">
        <v>142744.69730711187</v>
      </c>
      <c r="I153" s="79">
        <f>VLOOKUP(Visualization!$A153,US_Results!$A$3:$AJ$52,35,FALSE)</f>
        <v>38.421290657576449</v>
      </c>
      <c r="J153" s="79"/>
      <c r="O153" t="s">
        <v>193</v>
      </c>
      <c r="Q153" s="58">
        <v>398.67804899607938</v>
      </c>
      <c r="R153" s="58">
        <v>-232.34881679733212</v>
      </c>
      <c r="T153" s="99">
        <v>37.838677760989853</v>
      </c>
      <c r="U153" s="99">
        <v>24.689753356839915</v>
      </c>
      <c r="V153" s="99">
        <f t="shared" si="20"/>
        <v>13.148924404149938</v>
      </c>
      <c r="W153" t="s">
        <v>569</v>
      </c>
      <c r="X153" s="54">
        <f t="shared" si="22"/>
        <v>0.20827084682790428</v>
      </c>
      <c r="Y153" s="54">
        <f t="shared" si="23"/>
        <v>4.849693217165614E-2</v>
      </c>
      <c r="Z153" s="54">
        <f t="shared" si="24"/>
        <v>8.592626837006E-3</v>
      </c>
      <c r="AA153" s="54">
        <v>0.02</v>
      </c>
      <c r="AB153" s="99">
        <f t="shared" si="25"/>
        <v>0.62766106055624504</v>
      </c>
      <c r="AC153" s="99">
        <f t="shared" si="21"/>
        <v>631.0268657934115</v>
      </c>
      <c r="AD153" s="99">
        <f t="shared" si="26"/>
        <v>0.7175986811785825</v>
      </c>
      <c r="AE153" s="99"/>
    </row>
    <row r="154" spans="1:31" x14ac:dyDescent="0.25">
      <c r="A154" t="s">
        <v>194</v>
      </c>
      <c r="B154" t="s">
        <v>389</v>
      </c>
      <c r="C154" s="79">
        <v>28460.759801658827</v>
      </c>
      <c r="D154" s="79">
        <v>52019.768615331181</v>
      </c>
      <c r="E154" s="79">
        <v>33265.209599999995</v>
      </c>
      <c r="F154" s="79">
        <v>33336.675821454002</v>
      </c>
      <c r="G154" s="79">
        <v>0</v>
      </c>
      <c r="H154" s="79">
        <v>147082.41383844402</v>
      </c>
      <c r="I154" s="79">
        <f>VLOOKUP(Visualization!$A154,US_Results!$A$3:$AJ$52,35,FALSE)</f>
        <v>48.229790641538266</v>
      </c>
      <c r="J154" s="79"/>
      <c r="O154" t="s">
        <v>194</v>
      </c>
      <c r="Q154" s="58">
        <v>34.698148479797766</v>
      </c>
      <c r="R154" s="58">
        <v>-277.31301235156997</v>
      </c>
      <c r="T154" s="99">
        <v>51.322909285269361</v>
      </c>
      <c r="U154" s="99">
        <v>31.0343684673051</v>
      </c>
      <c r="V154" s="99">
        <f t="shared" si="20"/>
        <v>20.288540817964261</v>
      </c>
      <c r="W154" t="s">
        <v>569</v>
      </c>
      <c r="X154" s="54">
        <f t="shared" si="22"/>
        <v>0.20827084682790428</v>
      </c>
      <c r="Y154" s="54">
        <f t="shared" si="23"/>
        <v>4.849693217165614E-2</v>
      </c>
      <c r="Z154" s="54">
        <f t="shared" si="24"/>
        <v>8.592626837006E-3</v>
      </c>
      <c r="AA154" s="54">
        <v>0.02</v>
      </c>
      <c r="AB154" s="99">
        <f t="shared" si="25"/>
        <v>0.77966040392143987</v>
      </c>
      <c r="AC154" s="99">
        <f t="shared" si="21"/>
        <v>312.01116083136776</v>
      </c>
      <c r="AD154" s="99">
        <f t="shared" si="26"/>
        <v>0.50459480121432609</v>
      </c>
      <c r="AE154" s="99"/>
    </row>
    <row r="155" spans="1:31" x14ac:dyDescent="0.25">
      <c r="A155" t="s">
        <v>196</v>
      </c>
      <c r="B155" t="s">
        <v>389</v>
      </c>
      <c r="C155" s="79">
        <v>28460.759801658827</v>
      </c>
      <c r="D155" s="79">
        <v>42595.242466953263</v>
      </c>
      <c r="E155" s="79">
        <v>26158.2048</v>
      </c>
      <c r="F155" s="79">
        <v>23680.906785533385</v>
      </c>
      <c r="G155" s="79">
        <v>0</v>
      </c>
      <c r="H155" s="79">
        <v>120895.11385414549</v>
      </c>
      <c r="I155" s="79">
        <f>VLOOKUP(Visualization!$A155,US_Results!$A$3:$AJ$52,35,FALSE)</f>
        <v>40.574332919262062</v>
      </c>
      <c r="J155" s="79"/>
      <c r="O155" t="s">
        <v>196</v>
      </c>
      <c r="Q155" s="58">
        <v>53.379701886096264</v>
      </c>
      <c r="R155" s="58">
        <v>-297.08374699352055</v>
      </c>
      <c r="T155" s="99">
        <v>52.831541657208504</v>
      </c>
      <c r="U155" s="99">
        <v>25.418848414813482</v>
      </c>
      <c r="V155" s="99">
        <f t="shared" si="20"/>
        <v>27.412693242395022</v>
      </c>
      <c r="W155" t="s">
        <v>569</v>
      </c>
      <c r="X155" s="54">
        <f t="shared" si="22"/>
        <v>0.20827084682790428</v>
      </c>
      <c r="Y155" s="54">
        <f t="shared" si="23"/>
        <v>4.849693217165614E-2</v>
      </c>
      <c r="Z155" s="54">
        <f t="shared" si="24"/>
        <v>8.592626837006E-3</v>
      </c>
      <c r="AA155" s="54">
        <v>0.02</v>
      </c>
      <c r="AB155" s="99">
        <f t="shared" si="25"/>
        <v>0.90626649682380844</v>
      </c>
      <c r="AC155" s="99">
        <f t="shared" si="21"/>
        <v>350.46344887961681</v>
      </c>
      <c r="AD155" s="99">
        <f t="shared" si="26"/>
        <v>0.53478482137617056</v>
      </c>
      <c r="AE155" s="99"/>
    </row>
    <row r="156" spans="1:31" x14ac:dyDescent="0.25">
      <c r="A156" t="s">
        <v>197</v>
      </c>
      <c r="B156" t="s">
        <v>389</v>
      </c>
      <c r="C156" s="79">
        <v>28460.759801658827</v>
      </c>
      <c r="D156" s="79">
        <v>36503.855601682117</v>
      </c>
      <c r="E156" s="79">
        <v>22826.966399999998</v>
      </c>
      <c r="F156" s="79">
        <v>28062.081930462537</v>
      </c>
      <c r="G156" s="79">
        <v>0</v>
      </c>
      <c r="H156" s="79">
        <v>115853.66373380346</v>
      </c>
      <c r="I156" s="79">
        <f>VLOOKUP(Visualization!$A156,US_Results!$A$3:$AJ$52,35,FALSE)</f>
        <v>34.361584484138433</v>
      </c>
      <c r="J156" s="79"/>
      <c r="O156" t="s">
        <v>197</v>
      </c>
      <c r="Q156" s="58">
        <v>246.02891737830015</v>
      </c>
      <c r="R156" s="58">
        <v>-254.23474948280847</v>
      </c>
      <c r="T156" s="99">
        <v>42.271046775916268</v>
      </c>
      <c r="U156" s="99">
        <v>21.781125089458399</v>
      </c>
      <c r="V156" s="99">
        <f t="shared" si="20"/>
        <v>20.489921686457869</v>
      </c>
      <c r="W156" t="s">
        <v>569</v>
      </c>
      <c r="X156" s="54">
        <f t="shared" si="22"/>
        <v>0.20827084682790428</v>
      </c>
      <c r="Y156" s="54">
        <f t="shared" si="23"/>
        <v>4.849693217165614E-2</v>
      </c>
      <c r="Z156" s="54">
        <f t="shared" si="24"/>
        <v>8.592626837006E-3</v>
      </c>
      <c r="AA156" s="54">
        <v>0.02</v>
      </c>
      <c r="AB156" s="99">
        <f t="shared" si="25"/>
        <v>0.78352024286888655</v>
      </c>
      <c r="AC156" s="99">
        <f t="shared" si="21"/>
        <v>500.26366686110862</v>
      </c>
      <c r="AD156" s="99">
        <f t="shared" si="26"/>
        <v>0.63893574924643648</v>
      </c>
      <c r="AE156" s="99"/>
    </row>
    <row r="157" spans="1:31" x14ac:dyDescent="0.25">
      <c r="A157" t="s">
        <v>198</v>
      </c>
      <c r="B157" t="s">
        <v>389</v>
      </c>
      <c r="C157" s="79">
        <v>28460.759801658827</v>
      </c>
      <c r="D157" s="79">
        <v>52196.18580158861</v>
      </c>
      <c r="E157" s="79">
        <v>32702.745599999998</v>
      </c>
      <c r="F157" s="79">
        <v>26771.184277658012</v>
      </c>
      <c r="G157" s="79">
        <v>0</v>
      </c>
      <c r="H157" s="79">
        <v>140130.87548090544</v>
      </c>
      <c r="I157" s="79">
        <f>VLOOKUP(Visualization!$A157,US_Results!$A$3:$AJ$52,35,FALSE)</f>
        <v>49.069976982043514</v>
      </c>
      <c r="J157" s="79"/>
      <c r="O157" t="s">
        <v>198</v>
      </c>
      <c r="Q157" s="58">
        <v>147.44163857219155</v>
      </c>
      <c r="R157" s="58">
        <v>-291.83780459899879</v>
      </c>
      <c r="T157" s="99">
        <v>26.379593633611407</v>
      </c>
      <c r="U157" s="99">
        <v>31.144016839829732</v>
      </c>
      <c r="V157" s="99">
        <f t="shared" si="20"/>
        <v>-4.7644232062183249</v>
      </c>
      <c r="W157" t="s">
        <v>569</v>
      </c>
      <c r="X157" s="54">
        <f t="shared" si="22"/>
        <v>0.20827084682790428</v>
      </c>
      <c r="Y157" s="54">
        <f t="shared" si="23"/>
        <v>4.849693217165614E-2</v>
      </c>
      <c r="Z157" s="54">
        <f t="shared" si="24"/>
        <v>8.592626837006E-3</v>
      </c>
      <c r="AA157" s="54">
        <v>0.02</v>
      </c>
      <c r="AB157" s="99">
        <f t="shared" si="25"/>
        <v>-0.47082432863364798</v>
      </c>
      <c r="AC157" s="99">
        <f t="shared" si="21"/>
        <v>439.27944317119034</v>
      </c>
      <c r="AD157" s="99">
        <f t="shared" si="26"/>
        <v>0.59872604017986752</v>
      </c>
      <c r="AE157" s="99"/>
    </row>
    <row r="158" spans="1:31" x14ac:dyDescent="0.25">
      <c r="A158" t="s">
        <v>195</v>
      </c>
      <c r="B158" t="s">
        <v>389</v>
      </c>
      <c r="C158" s="79">
        <v>28460.759801658827</v>
      </c>
      <c r="D158" s="79">
        <v>43235.225564495122</v>
      </c>
      <c r="E158" s="79">
        <v>26753.327999999998</v>
      </c>
      <c r="F158" s="79">
        <v>25082.807718111279</v>
      </c>
      <c r="G158" s="79">
        <v>0</v>
      </c>
      <c r="H158" s="79">
        <v>123532.12108426522</v>
      </c>
      <c r="I158" s="79">
        <f>VLOOKUP(Visualization!$A158,US_Results!$A$3:$AJ$52,35,FALSE)</f>
        <v>40.981447422444433</v>
      </c>
      <c r="J158" s="79"/>
      <c r="O158" t="s">
        <v>195</v>
      </c>
      <c r="Q158" s="58">
        <v>156.6372833355872</v>
      </c>
      <c r="R158" s="58">
        <v>-276.44443709461922</v>
      </c>
      <c r="T158" s="99">
        <v>45.021704401629371</v>
      </c>
      <c r="U158" s="99">
        <v>25.799443526492084</v>
      </c>
      <c r="V158" s="99">
        <f t="shared" si="20"/>
        <v>19.222260875137287</v>
      </c>
      <c r="W158" t="s">
        <v>569</v>
      </c>
      <c r="X158" s="54">
        <f t="shared" si="22"/>
        <v>0.20827084682790428</v>
      </c>
      <c r="Y158" s="54">
        <f t="shared" si="23"/>
        <v>4.849693217165614E-2</v>
      </c>
      <c r="Z158" s="54">
        <f t="shared" si="24"/>
        <v>8.592626837006E-3</v>
      </c>
      <c r="AA158" s="54">
        <v>0.02</v>
      </c>
      <c r="AB158" s="99">
        <f t="shared" si="25"/>
        <v>0.75889607301750828</v>
      </c>
      <c r="AC158" s="99">
        <f t="shared" si="21"/>
        <v>433.08172043020642</v>
      </c>
      <c r="AD158" s="99">
        <f t="shared" si="26"/>
        <v>0.59448737188114942</v>
      </c>
      <c r="AE158" s="99"/>
    </row>
    <row r="159" spans="1:31" x14ac:dyDescent="0.25">
      <c r="A159" t="s">
        <v>199</v>
      </c>
      <c r="B159" t="s">
        <v>389</v>
      </c>
      <c r="C159" s="79">
        <v>28460.759801658827</v>
      </c>
      <c r="D159" s="79">
        <v>42845.932644521446</v>
      </c>
      <c r="E159" s="79">
        <v>26818.646399999998</v>
      </c>
      <c r="F159" s="79">
        <v>33346.521914711797</v>
      </c>
      <c r="G159" s="79">
        <v>0</v>
      </c>
      <c r="H159" s="79">
        <v>131471.86076089207</v>
      </c>
      <c r="I159" s="79">
        <f>VLOOKUP(Visualization!$A159,US_Results!$A$3:$AJ$52,35,FALSE)</f>
        <v>40.305630879992293</v>
      </c>
      <c r="J159" s="79"/>
      <c r="O159" t="s">
        <v>199</v>
      </c>
      <c r="Q159" s="58">
        <v>212.65848372573316</v>
      </c>
      <c r="R159" s="58">
        <v>-263.54185310330263</v>
      </c>
      <c r="T159" s="99">
        <v>43.453581832109911</v>
      </c>
      <c r="U159" s="99">
        <v>25.565148381330886</v>
      </c>
      <c r="V159" s="99">
        <f t="shared" si="20"/>
        <v>17.888433450779026</v>
      </c>
      <c r="W159" t="s">
        <v>569</v>
      </c>
      <c r="X159" s="54">
        <f t="shared" si="22"/>
        <v>0.20827084682790428</v>
      </c>
      <c r="Y159" s="54">
        <f t="shared" si="23"/>
        <v>4.849693217165614E-2</v>
      </c>
      <c r="Z159" s="54">
        <f t="shared" si="24"/>
        <v>8.592626837006E-3</v>
      </c>
      <c r="AA159" s="54">
        <v>0.02</v>
      </c>
      <c r="AB159" s="99">
        <f t="shared" si="25"/>
        <v>0.73209295371431071</v>
      </c>
      <c r="AC159" s="99">
        <f t="shared" si="21"/>
        <v>476.20033682903579</v>
      </c>
      <c r="AD159" s="99">
        <f t="shared" si="26"/>
        <v>0.62337955729871353</v>
      </c>
      <c r="AE159" s="99"/>
    </row>
    <row r="160" spans="1:31" x14ac:dyDescent="0.25">
      <c r="A160" t="s">
        <v>157</v>
      </c>
      <c r="B160" t="s">
        <v>389</v>
      </c>
      <c r="C160" s="79">
        <v>28460.759801658827</v>
      </c>
      <c r="D160" s="79">
        <v>46808.682138771837</v>
      </c>
      <c r="E160" s="79">
        <v>29583.791999999998</v>
      </c>
      <c r="F160" s="79">
        <v>40440.187831538948</v>
      </c>
      <c r="G160" s="79">
        <v>0</v>
      </c>
      <c r="H160" s="79">
        <v>145293.42177196962</v>
      </c>
      <c r="I160" s="79">
        <f>VLOOKUP(Visualization!$A160,US_Results!$A$3:$AJ$52,35,FALSE)</f>
        <v>43.748131888363559</v>
      </c>
      <c r="J160" s="79"/>
      <c r="O160" t="s">
        <v>157</v>
      </c>
      <c r="Q160" s="58">
        <v>456.68155157277528</v>
      </c>
      <c r="R160" s="58">
        <v>-263.34794609425836</v>
      </c>
      <c r="T160" s="99">
        <v>15.488264071001169</v>
      </c>
      <c r="U160" s="99">
        <v>27.927771425173596</v>
      </c>
      <c r="V160" s="99">
        <f t="shared" si="20"/>
        <v>-12.439507354172427</v>
      </c>
      <c r="W160" t="s">
        <v>569</v>
      </c>
      <c r="X160" s="54">
        <f t="shared" si="22"/>
        <v>0.20827084682790428</v>
      </c>
      <c r="Y160" s="54">
        <f t="shared" si="23"/>
        <v>4.849693217165614E-2</v>
      </c>
      <c r="Z160" s="54">
        <f t="shared" si="24"/>
        <v>8.592626837006E-3</v>
      </c>
      <c r="AA160" s="54">
        <v>0.02</v>
      </c>
      <c r="AB160" s="99">
        <f t="shared" si="25"/>
        <v>-0.76077340245224601</v>
      </c>
      <c r="AC160" s="99">
        <f t="shared" si="21"/>
        <v>720.02949766703364</v>
      </c>
      <c r="AD160" s="99">
        <f t="shared" si="26"/>
        <v>0.7665365212225782</v>
      </c>
      <c r="AE160" s="99"/>
    </row>
    <row r="161" spans="1:31" x14ac:dyDescent="0.25">
      <c r="A161" t="s">
        <v>200</v>
      </c>
      <c r="B161" t="s">
        <v>389</v>
      </c>
      <c r="C161" s="79">
        <v>28460.759801658827</v>
      </c>
      <c r="D161" s="79">
        <v>42504.47552610343</v>
      </c>
      <c r="E161" s="79">
        <v>27127.094399999998</v>
      </c>
      <c r="F161" s="79">
        <v>45636.715909045983</v>
      </c>
      <c r="G161" s="79">
        <v>0</v>
      </c>
      <c r="H161" s="79">
        <v>143729.04563680824</v>
      </c>
      <c r="I161" s="79">
        <f>VLOOKUP(Visualization!$A161,US_Results!$A$3:$AJ$52,35,FALSE)</f>
        <v>39.461201938684177</v>
      </c>
      <c r="J161" s="79"/>
      <c r="O161" t="s">
        <v>200</v>
      </c>
      <c r="Q161" s="58">
        <v>298.00873592730755</v>
      </c>
      <c r="R161" s="58">
        <v>-220.75792890835203</v>
      </c>
      <c r="T161" s="99">
        <v>38.253133397487275</v>
      </c>
      <c r="U161" s="99">
        <v>25.358006624861837</v>
      </c>
      <c r="V161" s="99">
        <f t="shared" si="20"/>
        <v>12.895126772625439</v>
      </c>
      <c r="W161" t="s">
        <v>569</v>
      </c>
      <c r="X161" s="54">
        <f t="shared" si="22"/>
        <v>0.20827084682790428</v>
      </c>
      <c r="Y161" s="54">
        <f t="shared" si="23"/>
        <v>4.849693217165614E-2</v>
      </c>
      <c r="Z161" s="54">
        <f t="shared" si="24"/>
        <v>8.592626837006E-3</v>
      </c>
      <c r="AA161" s="54">
        <v>0.02</v>
      </c>
      <c r="AB161" s="99">
        <f t="shared" si="25"/>
        <v>0.62157405743401017</v>
      </c>
      <c r="AC161" s="99">
        <f t="shared" si="21"/>
        <v>518.76666483565964</v>
      </c>
      <c r="AD161" s="99">
        <f t="shared" si="26"/>
        <v>0.65064446209385152</v>
      </c>
      <c r="AE161" s="99"/>
    </row>
    <row r="162" spans="1:31" x14ac:dyDescent="0.25">
      <c r="A162" t="s">
        <v>203</v>
      </c>
      <c r="B162" t="s">
        <v>389</v>
      </c>
      <c r="C162" s="79">
        <v>28460.759801658827</v>
      </c>
      <c r="D162" s="79">
        <v>42157.064739160975</v>
      </c>
      <c r="E162" s="79">
        <v>25791.696</v>
      </c>
      <c r="F162" s="79">
        <v>24209.081158564542</v>
      </c>
      <c r="G162" s="79">
        <v>0</v>
      </c>
      <c r="H162" s="79">
        <v>120618.60169938434</v>
      </c>
      <c r="I162" s="79">
        <f>VLOOKUP(Visualization!$A162,US_Results!$A$3:$AJ$52,35,FALSE)</f>
        <v>40.254557313865931</v>
      </c>
      <c r="J162" s="79"/>
      <c r="O162" t="s">
        <v>203</v>
      </c>
      <c r="Q162" s="58">
        <v>251.82821023199381</v>
      </c>
      <c r="R162" s="58">
        <v>-283.81930889909285</v>
      </c>
      <c r="T162" s="99">
        <v>51.969558593379936</v>
      </c>
      <c r="U162" s="99">
        <v>25.157999208212892</v>
      </c>
      <c r="V162" s="99">
        <f t="shared" si="20"/>
        <v>26.811559385167044</v>
      </c>
      <c r="W162" t="s">
        <v>569</v>
      </c>
      <c r="X162" s="54">
        <f t="shared" si="22"/>
        <v>0.20827084682790428</v>
      </c>
      <c r="Y162" s="54">
        <f t="shared" si="23"/>
        <v>4.849693217165614E-2</v>
      </c>
      <c r="Z162" s="54">
        <f t="shared" si="24"/>
        <v>8.592626837006E-3</v>
      </c>
      <c r="AA162" s="54">
        <v>0.02</v>
      </c>
      <c r="AB162" s="99">
        <f t="shared" si="25"/>
        <v>0.89627464124649059</v>
      </c>
      <c r="AC162" s="99">
        <f t="shared" si="21"/>
        <v>535.64751913108671</v>
      </c>
      <c r="AD162" s="99">
        <f t="shared" si="26"/>
        <v>0.66114581918237703</v>
      </c>
      <c r="AE162" s="99"/>
    </row>
    <row r="163" spans="1:31" x14ac:dyDescent="0.25">
      <c r="A163" t="s">
        <v>202</v>
      </c>
      <c r="B163" t="s">
        <v>389</v>
      </c>
      <c r="C163" s="79">
        <v>28460.759801658827</v>
      </c>
      <c r="D163" s="79">
        <v>38802.60217183108</v>
      </c>
      <c r="E163" s="79">
        <v>24476.255999999998</v>
      </c>
      <c r="F163" s="79">
        <v>34911.352847289687</v>
      </c>
      <c r="G163" s="79">
        <v>0</v>
      </c>
      <c r="H163" s="79">
        <v>126650.97082077959</v>
      </c>
      <c r="I163" s="79">
        <f>VLOOKUP(Visualization!$A163,US_Results!$A$3:$AJ$52,35,FALSE)</f>
        <v>36.313191007166644</v>
      </c>
      <c r="J163" s="79"/>
      <c r="O163" t="s">
        <v>202</v>
      </c>
      <c r="Q163" s="58">
        <v>226.53678688986295</v>
      </c>
      <c r="R163" s="58">
        <v>-267.29767568202959</v>
      </c>
      <c r="T163" s="99">
        <v>43.578645781780388</v>
      </c>
      <c r="U163" s="99">
        <v>23.151361334399212</v>
      </c>
      <c r="V163" s="99">
        <f t="shared" si="20"/>
        <v>20.427284447381176</v>
      </c>
      <c r="W163" t="s">
        <v>569</v>
      </c>
      <c r="X163" s="54">
        <f t="shared" si="22"/>
        <v>0.20827084682790428</v>
      </c>
      <c r="Y163" s="54">
        <f t="shared" si="23"/>
        <v>4.849693217165614E-2</v>
      </c>
      <c r="Z163" s="54">
        <f t="shared" si="24"/>
        <v>8.592626837006E-3</v>
      </c>
      <c r="AA163" s="54">
        <v>0.02</v>
      </c>
      <c r="AB163" s="99">
        <f t="shared" si="25"/>
        <v>0.78232172414812273</v>
      </c>
      <c r="AC163" s="99">
        <f t="shared" si="21"/>
        <v>493.83446257189257</v>
      </c>
      <c r="AD163" s="99">
        <f t="shared" si="26"/>
        <v>0.63481678921852458</v>
      </c>
      <c r="AE163" s="99"/>
    </row>
    <row r="164" spans="1:31" x14ac:dyDescent="0.25">
      <c r="A164" t="s">
        <v>201</v>
      </c>
      <c r="B164" t="s">
        <v>389</v>
      </c>
      <c r="C164" s="79">
        <v>28460.759801658827</v>
      </c>
      <c r="D164" s="79">
        <v>38145.569932605649</v>
      </c>
      <c r="E164" s="79">
        <v>23784.9696</v>
      </c>
      <c r="F164" s="79">
        <v>30673.415515844958</v>
      </c>
      <c r="G164" s="79">
        <v>0</v>
      </c>
      <c r="H164" s="79">
        <v>121064.71485010943</v>
      </c>
      <c r="I164" s="79">
        <f>VLOOKUP(Visualization!$A164,US_Results!$A$3:$AJ$52,35,FALSE)</f>
        <v>35.975699985454106</v>
      </c>
      <c r="J164" s="79"/>
      <c r="O164" t="s">
        <v>201</v>
      </c>
      <c r="Q164" s="58">
        <v>453.88700693143659</v>
      </c>
      <c r="R164" s="58">
        <v>-263.73337484819831</v>
      </c>
      <c r="T164" s="99">
        <v>34.896237498292045</v>
      </c>
      <c r="U164" s="99">
        <v>22.761150454836894</v>
      </c>
      <c r="V164" s="99">
        <f t="shared" si="20"/>
        <v>12.135087043455151</v>
      </c>
      <c r="W164" t="s">
        <v>569</v>
      </c>
      <c r="X164" s="54">
        <f t="shared" si="22"/>
        <v>0.20827084682790428</v>
      </c>
      <c r="Y164" s="54">
        <f t="shared" si="23"/>
        <v>4.849693217165614E-2</v>
      </c>
      <c r="Z164" s="54">
        <f t="shared" si="24"/>
        <v>8.592626837006E-3</v>
      </c>
      <c r="AA164" s="54">
        <v>0.02</v>
      </c>
      <c r="AB164" s="99">
        <f t="shared" si="25"/>
        <v>0.60297807359074973</v>
      </c>
      <c r="AC164" s="99">
        <f t="shared" si="21"/>
        <v>717.62038177963495</v>
      </c>
      <c r="AD164" s="99">
        <f t="shared" si="26"/>
        <v>0.765253085901479</v>
      </c>
      <c r="AE164" s="99"/>
    </row>
    <row r="165" spans="1:31" x14ac:dyDescent="0.25">
      <c r="A165" t="s">
        <v>204</v>
      </c>
      <c r="B165" t="s">
        <v>389</v>
      </c>
      <c r="C165" s="79">
        <v>28460.759801658827</v>
      </c>
      <c r="D165" s="79">
        <v>42150.500080286576</v>
      </c>
      <c r="E165" s="79">
        <v>25958.620799999997</v>
      </c>
      <c r="F165" s="79">
        <v>42686.277043890208</v>
      </c>
      <c r="G165" s="79">
        <v>0</v>
      </c>
      <c r="H165" s="79">
        <v>139256.1577258356</v>
      </c>
      <c r="I165" s="79">
        <f>VLOOKUP(Visualization!$A165,US_Results!$A$3:$AJ$52,35,FALSE)</f>
        <v>40.077007539297966</v>
      </c>
      <c r="J165" s="79"/>
      <c r="O165" t="s">
        <v>204</v>
      </c>
      <c r="Q165" s="58">
        <v>392.32289788908531</v>
      </c>
      <c r="R165" s="58">
        <v>-245.39690149589691</v>
      </c>
      <c r="T165" s="99">
        <v>34.991175634587535</v>
      </c>
      <c r="U165" s="99">
        <v>25.152967804044103</v>
      </c>
      <c r="V165" s="99">
        <f t="shared" si="20"/>
        <v>9.838207830543432</v>
      </c>
      <c r="W165" t="s">
        <v>569</v>
      </c>
      <c r="X165" s="54">
        <f t="shared" si="22"/>
        <v>0.20827084682790428</v>
      </c>
      <c r="Y165" s="54">
        <f t="shared" si="23"/>
        <v>4.849693217165614E-2</v>
      </c>
      <c r="Z165" s="54">
        <f t="shared" si="24"/>
        <v>8.592626837006E-3</v>
      </c>
      <c r="AA165" s="54">
        <v>0.02</v>
      </c>
      <c r="AB165" s="99">
        <f t="shared" si="25"/>
        <v>0.54292278524621551</v>
      </c>
      <c r="AC165" s="99">
        <f t="shared" si="21"/>
        <v>637.71979938498225</v>
      </c>
      <c r="AD165" s="99">
        <f t="shared" si="26"/>
        <v>0.7213942186116814</v>
      </c>
      <c r="AE165" s="99"/>
    </row>
    <row r="166" spans="1:31" x14ac:dyDescent="0.25">
      <c r="A166" t="s">
        <v>205</v>
      </c>
      <c r="B166" t="s">
        <v>389</v>
      </c>
      <c r="C166" s="79">
        <v>28460.759801658827</v>
      </c>
      <c r="D166" s="79">
        <v>53462.018311224929</v>
      </c>
      <c r="E166" s="79">
        <v>32494.089599999999</v>
      </c>
      <c r="F166" s="79">
        <v>28978.170290009275</v>
      </c>
      <c r="G166" s="79">
        <v>0</v>
      </c>
      <c r="H166" s="79">
        <v>143395.03800289301</v>
      </c>
      <c r="I166" s="79">
        <f>VLOOKUP(Visualization!$A166,US_Results!$A$3:$AJ$52,35,FALSE)</f>
        <v>51.263733305677825</v>
      </c>
      <c r="J166" s="79"/>
      <c r="O166" t="s">
        <v>205</v>
      </c>
      <c r="Q166" s="58">
        <v>92.653296263645515</v>
      </c>
      <c r="R166" s="58">
        <v>-288.52545975040385</v>
      </c>
      <c r="T166" s="99">
        <v>50.004909615625522</v>
      </c>
      <c r="U166" s="99">
        <v>31.905831204606777</v>
      </c>
      <c r="V166" s="99">
        <f t="shared" si="20"/>
        <v>18.099078411018745</v>
      </c>
      <c r="W166" t="s">
        <v>569</v>
      </c>
      <c r="X166" s="54">
        <f t="shared" si="22"/>
        <v>0.20827084682790428</v>
      </c>
      <c r="Y166" s="54">
        <f t="shared" si="23"/>
        <v>4.849693217165614E-2</v>
      </c>
      <c r="Z166" s="54">
        <f t="shared" si="24"/>
        <v>8.592626837006E-3</v>
      </c>
      <c r="AA166" s="54">
        <v>0.02</v>
      </c>
      <c r="AB166" s="99">
        <f t="shared" si="25"/>
        <v>0.73639071309134729</v>
      </c>
      <c r="AC166" s="99">
        <f t="shared" si="21"/>
        <v>381.17875601404938</v>
      </c>
      <c r="AD166" s="99">
        <f t="shared" si="26"/>
        <v>0.55772749023145718</v>
      </c>
      <c r="AE166" s="99"/>
    </row>
    <row r="167" spans="1:31" x14ac:dyDescent="0.25">
      <c r="A167" t="s">
        <v>207</v>
      </c>
      <c r="B167" t="s">
        <v>389</v>
      </c>
      <c r="C167" s="79">
        <v>28460.759801658827</v>
      </c>
      <c r="D167" s="79">
        <v>56761.712149968633</v>
      </c>
      <c r="E167" s="79">
        <v>36226.310399999995</v>
      </c>
      <c r="F167" s="79">
        <v>33376.060194485159</v>
      </c>
      <c r="G167" s="79">
        <v>0</v>
      </c>
      <c r="H167" s="79">
        <v>154824.8425461126</v>
      </c>
      <c r="I167" s="79">
        <f>VLOOKUP(Visualization!$A167,US_Results!$A$3:$AJ$52,35,FALSE)</f>
        <v>52.697636138570537</v>
      </c>
      <c r="J167" s="79"/>
      <c r="O167" t="s">
        <v>207</v>
      </c>
      <c r="Q167" s="58">
        <v>201.37126427274714</v>
      </c>
      <c r="R167" s="58">
        <v>-268.15011098079606</v>
      </c>
      <c r="T167" s="99">
        <v>50.542379134664138</v>
      </c>
      <c r="U167" s="99">
        <v>33.863819160724447</v>
      </c>
      <c r="V167" s="99">
        <f t="shared" si="20"/>
        <v>16.678559973939691</v>
      </c>
      <c r="W167" t="s">
        <v>569</v>
      </c>
      <c r="X167" s="54">
        <f t="shared" si="22"/>
        <v>0.20827084682790428</v>
      </c>
      <c r="Y167" s="54">
        <f t="shared" si="23"/>
        <v>4.849693217165614E-2</v>
      </c>
      <c r="Z167" s="54">
        <f t="shared" si="24"/>
        <v>8.592626837006E-3</v>
      </c>
      <c r="AA167" s="54">
        <v>0.02</v>
      </c>
      <c r="AB167" s="99">
        <f t="shared" si="25"/>
        <v>0.7069022232029184</v>
      </c>
      <c r="AC167" s="99">
        <f t="shared" si="21"/>
        <v>469.52137525354317</v>
      </c>
      <c r="AD167" s="99">
        <f t="shared" si="26"/>
        <v>0.61899250631083602</v>
      </c>
      <c r="AE167" s="99"/>
    </row>
    <row r="168" spans="1:31" x14ac:dyDescent="0.25">
      <c r="A168" t="s">
        <v>206</v>
      </c>
      <c r="B168" t="s">
        <v>389</v>
      </c>
      <c r="C168" s="79">
        <v>28460.759801658827</v>
      </c>
      <c r="D168" s="79">
        <v>53480.445668583787</v>
      </c>
      <c r="E168" s="79">
        <v>33604.502399999998</v>
      </c>
      <c r="F168" s="79">
        <v>32088.491434938423</v>
      </c>
      <c r="G168" s="79">
        <v>0</v>
      </c>
      <c r="H168" s="79">
        <v>147634.19930518104</v>
      </c>
      <c r="I168" s="79">
        <f>VLOOKUP(Visualization!$A168,US_Results!$A$3:$AJ$52,35,FALSE)</f>
        <v>50.180001921461539</v>
      </c>
      <c r="J168" s="79"/>
      <c r="O168" t="s">
        <v>206</v>
      </c>
      <c r="Q168" s="58">
        <v>154.36347371972528</v>
      </c>
      <c r="R168" s="58">
        <v>-287.1753850272259</v>
      </c>
      <c r="T168" s="99">
        <v>27.676607297110976</v>
      </c>
      <c r="U168" s="99">
        <v>31.909666257657861</v>
      </c>
      <c r="V168" s="99">
        <f t="shared" si="20"/>
        <v>-4.2330589605468845</v>
      </c>
      <c r="W168" t="s">
        <v>569</v>
      </c>
      <c r="X168" s="54">
        <f t="shared" si="22"/>
        <v>0.20827084682790428</v>
      </c>
      <c r="Y168" s="54">
        <f t="shared" si="23"/>
        <v>4.849693217165614E-2</v>
      </c>
      <c r="Z168" s="54">
        <f t="shared" si="24"/>
        <v>8.592626837006E-3</v>
      </c>
      <c r="AA168" s="54">
        <v>0.02</v>
      </c>
      <c r="AB168" s="99">
        <f t="shared" si="25"/>
        <v>-0.44379345083645061</v>
      </c>
      <c r="AC168" s="99">
        <f t="shared" si="21"/>
        <v>441.53885874695118</v>
      </c>
      <c r="AD168" s="99">
        <f t="shared" si="26"/>
        <v>0.60026382659424571</v>
      </c>
      <c r="AE168" s="99"/>
    </row>
    <row r="169" spans="1:31" x14ac:dyDescent="0.25">
      <c r="A169" t="s">
        <v>208</v>
      </c>
      <c r="B169" t="s">
        <v>389</v>
      </c>
      <c r="C169" s="79">
        <v>28460.759801658827</v>
      </c>
      <c r="D169" s="79">
        <v>47094.912983318769</v>
      </c>
      <c r="E169" s="79">
        <v>28812.671999999999</v>
      </c>
      <c r="F169" s="79">
        <v>30018.999261907265</v>
      </c>
      <c r="G169" s="79">
        <v>0</v>
      </c>
      <c r="H169" s="79">
        <v>134387.34404688486</v>
      </c>
      <c r="I169" s="79">
        <f>VLOOKUP(Visualization!$A169,US_Results!$A$3:$AJ$52,35,FALSE)</f>
        <v>44.969565258121058</v>
      </c>
      <c r="J169" s="79"/>
      <c r="O169" t="s">
        <v>208</v>
      </c>
      <c r="Q169" s="58">
        <v>158.47432892764044</v>
      </c>
      <c r="R169" s="58">
        <v>-296.4422205578224</v>
      </c>
      <c r="T169" s="99">
        <v>33.709717705786971</v>
      </c>
      <c r="U169" s="99">
        <v>28.104750434500218</v>
      </c>
      <c r="V169" s="99">
        <f t="shared" si="20"/>
        <v>5.6049672712867533</v>
      </c>
      <c r="W169" t="s">
        <v>569</v>
      </c>
      <c r="X169" s="54">
        <f t="shared" si="22"/>
        <v>0.20827084682790428</v>
      </c>
      <c r="Y169" s="54">
        <f t="shared" si="23"/>
        <v>4.849693217165614E-2</v>
      </c>
      <c r="Z169" s="54">
        <f t="shared" si="24"/>
        <v>8.592626837006E-3</v>
      </c>
      <c r="AA169" s="54">
        <v>0.02</v>
      </c>
      <c r="AB169" s="99">
        <f t="shared" si="25"/>
        <v>0.40979495976609859</v>
      </c>
      <c r="AC169" s="99">
        <f t="shared" si="21"/>
        <v>454.91654948546284</v>
      </c>
      <c r="AD169" s="99">
        <f t="shared" si="26"/>
        <v>0.60928933355588832</v>
      </c>
      <c r="AE169" s="99"/>
    </row>
    <row r="170" spans="1:31" x14ac:dyDescent="0.25">
      <c r="A170" t="s">
        <v>211</v>
      </c>
      <c r="B170" t="s">
        <v>389</v>
      </c>
      <c r="C170" s="79">
        <v>28460.759801658827</v>
      </c>
      <c r="D170" s="79">
        <v>43365.701298272848</v>
      </c>
      <c r="E170" s="79">
        <v>26936.582399999999</v>
      </c>
      <c r="F170" s="79">
        <v>35612.303313578639</v>
      </c>
      <c r="G170" s="79">
        <v>0</v>
      </c>
      <c r="H170" s="79">
        <v>134375.34681351032</v>
      </c>
      <c r="I170" s="79">
        <f>VLOOKUP(Visualization!$A170,US_Results!$A$3:$AJ$52,35,FALSE)</f>
        <v>41.002399669068481</v>
      </c>
      <c r="J170" s="79"/>
      <c r="O170" t="s">
        <v>211</v>
      </c>
      <c r="Q170" s="58">
        <v>237.48075950209662</v>
      </c>
      <c r="R170" s="58">
        <v>-260.64164963599507</v>
      </c>
      <c r="T170" s="99">
        <v>33.610958823878214</v>
      </c>
      <c r="U170" s="99">
        <v>25.876633377711578</v>
      </c>
      <c r="V170" s="99">
        <f t="shared" si="20"/>
        <v>7.7343254461666362</v>
      </c>
      <c r="W170" t="s">
        <v>569</v>
      </c>
      <c r="X170" s="54">
        <f t="shared" si="22"/>
        <v>0.20827084682790428</v>
      </c>
      <c r="Y170" s="54">
        <f t="shared" si="23"/>
        <v>4.849693217165614E-2</v>
      </c>
      <c r="Z170" s="54">
        <f t="shared" si="24"/>
        <v>8.592626837006E-3</v>
      </c>
      <c r="AA170" s="54">
        <v>0.02</v>
      </c>
      <c r="AB170" s="99">
        <f t="shared" si="25"/>
        <v>0.48138360311525769</v>
      </c>
      <c r="AC170" s="99">
        <f t="shared" si="21"/>
        <v>498.12240913809171</v>
      </c>
      <c r="AD170" s="99">
        <f t="shared" si="26"/>
        <v>0.6375668778660819</v>
      </c>
      <c r="AE170" s="99"/>
    </row>
    <row r="171" spans="1:31" x14ac:dyDescent="0.25">
      <c r="A171" t="s">
        <v>215</v>
      </c>
      <c r="B171" t="s">
        <v>389</v>
      </c>
      <c r="C171" s="79">
        <v>28460.759801658827</v>
      </c>
      <c r="D171" s="79">
        <v>40628.414311995977</v>
      </c>
      <c r="E171" s="79">
        <v>25430.630399999998</v>
      </c>
      <c r="F171" s="79">
        <v>39963.940178734418</v>
      </c>
      <c r="G171" s="79">
        <v>0</v>
      </c>
      <c r="H171" s="79">
        <v>134483.74469238921</v>
      </c>
      <c r="I171" s="79">
        <f>VLOOKUP(Visualization!$A171,US_Results!$A$3:$AJ$52,35,FALSE)</f>
        <v>38.219587471346458</v>
      </c>
      <c r="J171" s="79"/>
      <c r="O171" t="s">
        <v>215</v>
      </c>
      <c r="Q171" s="58">
        <v>113.36154436573955</v>
      </c>
      <c r="R171" s="58">
        <v>-347.05745600379845</v>
      </c>
      <c r="T171" s="99">
        <v>40.412358337130051</v>
      </c>
      <c r="U171" s="99">
        <v>24.242007963786868</v>
      </c>
      <c r="V171" s="99">
        <f t="shared" si="20"/>
        <v>16.170350373343183</v>
      </c>
      <c r="W171" t="s">
        <v>569</v>
      </c>
      <c r="X171" s="54">
        <f t="shared" si="22"/>
        <v>0.20827084682790428</v>
      </c>
      <c r="Y171" s="54">
        <f t="shared" si="23"/>
        <v>4.849693217165614E-2</v>
      </c>
      <c r="Z171" s="54">
        <f t="shared" si="24"/>
        <v>8.592626837006E-3</v>
      </c>
      <c r="AA171" s="54">
        <v>0.02</v>
      </c>
      <c r="AB171" s="99">
        <f t="shared" si="25"/>
        <v>0.69604895712300208</v>
      </c>
      <c r="AC171" s="99">
        <f t="shared" si="21"/>
        <v>460.41900036953803</v>
      </c>
      <c r="AD171" s="99">
        <f t="shared" si="26"/>
        <v>0.61296309270593652</v>
      </c>
      <c r="AE171" s="99"/>
    </row>
    <row r="172" spans="1:31" x14ac:dyDescent="0.25">
      <c r="A172" t="s">
        <v>212</v>
      </c>
      <c r="B172" t="s">
        <v>389</v>
      </c>
      <c r="C172" s="79">
        <v>28460.759801658827</v>
      </c>
      <c r="D172" s="79">
        <v>34086.900533229586</v>
      </c>
      <c r="E172" s="79">
        <v>20992.608</v>
      </c>
      <c r="F172" s="79">
        <v>23453.507718111279</v>
      </c>
      <c r="G172" s="79">
        <v>0</v>
      </c>
      <c r="H172" s="79">
        <v>106993.77605299969</v>
      </c>
      <c r="I172" s="79">
        <f>VLOOKUP(Visualization!$A172,US_Results!$A$3:$AJ$52,35,FALSE)</f>
        <v>32.410077390765196</v>
      </c>
      <c r="J172" s="79"/>
      <c r="O172" t="s">
        <v>212</v>
      </c>
      <c r="Q172" s="58">
        <v>384.62007377280889</v>
      </c>
      <c r="R172" s="58">
        <v>-262.48129633287198</v>
      </c>
      <c r="T172" s="99">
        <v>43.546039645419988</v>
      </c>
      <c r="U172" s="99">
        <v>20.341080414677464</v>
      </c>
      <c r="V172" s="99">
        <f t="shared" si="20"/>
        <v>23.204959230742524</v>
      </c>
      <c r="W172" t="s">
        <v>569</v>
      </c>
      <c r="X172" s="54">
        <f t="shared" si="22"/>
        <v>0.20827084682790428</v>
      </c>
      <c r="Y172" s="54">
        <f t="shared" si="23"/>
        <v>4.849693217165614E-2</v>
      </c>
      <c r="Z172" s="54">
        <f t="shared" si="24"/>
        <v>8.592626837006E-3</v>
      </c>
      <c r="AA172" s="54">
        <v>0.02</v>
      </c>
      <c r="AB172" s="99">
        <f t="shared" si="25"/>
        <v>0.83381648460820801</v>
      </c>
      <c r="AC172" s="99">
        <f t="shared" si="21"/>
        <v>647.10137010568087</v>
      </c>
      <c r="AD172" s="99">
        <f t="shared" si="26"/>
        <v>0.72668110306199662</v>
      </c>
      <c r="AE172" s="99"/>
    </row>
    <row r="173" spans="1:31" x14ac:dyDescent="0.25">
      <c r="A173" t="s">
        <v>213</v>
      </c>
      <c r="B173" t="s">
        <v>389</v>
      </c>
      <c r="C173" s="79">
        <v>28460.759801658827</v>
      </c>
      <c r="D173" s="79">
        <v>35375.900457780073</v>
      </c>
      <c r="E173" s="79">
        <v>22249.9872</v>
      </c>
      <c r="F173" s="79">
        <v>39436.046978734419</v>
      </c>
      <c r="G173" s="79">
        <v>0</v>
      </c>
      <c r="H173" s="79">
        <v>125522.69443817332</v>
      </c>
      <c r="I173" s="79">
        <f>VLOOKUP(Visualization!$A173,US_Results!$A$3:$AJ$52,35,FALSE)</f>
        <v>33.171203833048018</v>
      </c>
      <c r="J173" s="79"/>
      <c r="O173" t="s">
        <v>213</v>
      </c>
      <c r="Q173" s="58">
        <v>273.42895650004419</v>
      </c>
      <c r="R173" s="58">
        <v>-246.43747731341259</v>
      </c>
      <c r="T173" s="99">
        <v>39.742867757336604</v>
      </c>
      <c r="U173" s="99">
        <v>21.107260266900056</v>
      </c>
      <c r="V173" s="99">
        <f t="shared" si="20"/>
        <v>18.635607490436549</v>
      </c>
      <c r="W173" t="s">
        <v>569</v>
      </c>
      <c r="X173" s="54">
        <f t="shared" si="22"/>
        <v>0.20827084682790428</v>
      </c>
      <c r="Y173" s="54">
        <f t="shared" si="23"/>
        <v>4.849693217165614E-2</v>
      </c>
      <c r="Z173" s="54">
        <f t="shared" si="24"/>
        <v>8.592626837006E-3</v>
      </c>
      <c r="AA173" s="54">
        <v>0.02</v>
      </c>
      <c r="AB173" s="99">
        <f t="shared" si="25"/>
        <v>0.74722578394389982</v>
      </c>
      <c r="AC173" s="99">
        <f t="shared" si="21"/>
        <v>519.86643381345675</v>
      </c>
      <c r="AD173" s="99">
        <f t="shared" si="26"/>
        <v>0.65133376983517788</v>
      </c>
      <c r="AE173" s="99"/>
    </row>
    <row r="174" spans="1:31" x14ac:dyDescent="0.25">
      <c r="A174" t="s">
        <v>214</v>
      </c>
      <c r="B174" t="s">
        <v>389</v>
      </c>
      <c r="C174" s="79">
        <v>28460.759801658827</v>
      </c>
      <c r="D174" s="79">
        <v>55156.593072107346</v>
      </c>
      <c r="E174" s="79">
        <v>34758.460800000001</v>
      </c>
      <c r="F174" s="79">
        <v>29594.678329329374</v>
      </c>
      <c r="G174" s="79">
        <v>0</v>
      </c>
      <c r="H174" s="79">
        <v>147970.49200309554</v>
      </c>
      <c r="I174" s="79">
        <f>VLOOKUP(Visualization!$A174,US_Results!$A$3:$AJ$52,35,FALSE)</f>
        <v>51.651759347908033</v>
      </c>
      <c r="J174" s="79"/>
      <c r="O174" t="s">
        <v>214</v>
      </c>
      <c r="Q174" s="58">
        <v>72.136106039545069</v>
      </c>
      <c r="R174" s="58">
        <v>-269.28120025612003</v>
      </c>
      <c r="T174" s="99">
        <v>52.925772637659293</v>
      </c>
      <c r="U174" s="99">
        <v>32.909100640333449</v>
      </c>
      <c r="V174" s="99">
        <f t="shared" si="20"/>
        <v>20.016671997325844</v>
      </c>
      <c r="W174" t="s">
        <v>569</v>
      </c>
      <c r="X174" s="54">
        <f t="shared" si="22"/>
        <v>0.20827084682790428</v>
      </c>
      <c r="Y174" s="54">
        <f t="shared" si="23"/>
        <v>4.849693217165614E-2</v>
      </c>
      <c r="Z174" s="54">
        <f t="shared" si="24"/>
        <v>8.592626837006E-3</v>
      </c>
      <c r="AA174" s="54">
        <v>0.02</v>
      </c>
      <c r="AB174" s="99">
        <f t="shared" si="25"/>
        <v>0.774419015582405</v>
      </c>
      <c r="AC174" s="99">
        <f t="shared" si="21"/>
        <v>341.41730629566507</v>
      </c>
      <c r="AD174" s="99">
        <f t="shared" si="26"/>
        <v>0.52783778147295335</v>
      </c>
      <c r="AE174" s="99"/>
    </row>
    <row r="175" spans="1:31" x14ac:dyDescent="0.25">
      <c r="A175" t="s">
        <v>216</v>
      </c>
      <c r="B175" t="s">
        <v>389</v>
      </c>
      <c r="C175" s="79">
        <v>28460.759801658827</v>
      </c>
      <c r="D175" s="79">
        <v>29811.633659831932</v>
      </c>
      <c r="E175" s="79">
        <v>18447.004799999999</v>
      </c>
      <c r="F175" s="79">
        <v>39097.363458507789</v>
      </c>
      <c r="G175" s="79">
        <v>0</v>
      </c>
      <c r="H175" s="79">
        <v>115816.76171999855</v>
      </c>
      <c r="I175" s="79">
        <f>VLOOKUP(Visualization!$A175,US_Results!$A$3:$AJ$52,35,FALSE)</f>
        <v>28.257604336656005</v>
      </c>
      <c r="J175" s="79"/>
      <c r="O175" t="s">
        <v>216</v>
      </c>
      <c r="Q175" s="58">
        <v>407.44042893092029</v>
      </c>
      <c r="R175" s="58">
        <v>-218.6693718466079</v>
      </c>
      <c r="T175" s="99">
        <v>33.76740199159498</v>
      </c>
      <c r="U175" s="99">
        <v>17.789280592325888</v>
      </c>
      <c r="V175" s="99">
        <f t="shared" si="20"/>
        <v>15.978121399269092</v>
      </c>
      <c r="W175" t="s">
        <v>569</v>
      </c>
      <c r="X175" s="54">
        <f t="shared" si="22"/>
        <v>0.20827084682790428</v>
      </c>
      <c r="Y175" s="54">
        <f t="shared" si="23"/>
        <v>4.849693217165614E-2</v>
      </c>
      <c r="Z175" s="54">
        <f t="shared" si="24"/>
        <v>8.592626837006E-3</v>
      </c>
      <c r="AA175" s="54">
        <v>0.02</v>
      </c>
      <c r="AB175" s="99">
        <f t="shared" si="25"/>
        <v>0.69189936226483462</v>
      </c>
      <c r="AC175" s="99">
        <f t="shared" si="21"/>
        <v>626.10980077752822</v>
      </c>
      <c r="AD175" s="99">
        <f t="shared" si="26"/>
        <v>0.71479739006373832</v>
      </c>
      <c r="AE175" s="99"/>
    </row>
    <row r="176" spans="1:31" x14ac:dyDescent="0.25">
      <c r="A176" t="s">
        <v>209</v>
      </c>
      <c r="B176" t="s">
        <v>389</v>
      </c>
      <c r="C176" s="79">
        <v>28460.759801658827</v>
      </c>
      <c r="D176" s="79">
        <v>45783.914616258873</v>
      </c>
      <c r="E176" s="79">
        <v>29162.851199999997</v>
      </c>
      <c r="F176" s="79">
        <v>21148.341946213281</v>
      </c>
      <c r="G176" s="79">
        <v>0</v>
      </c>
      <c r="H176" s="79">
        <v>124555.86756413098</v>
      </c>
      <c r="I176" s="79">
        <f>VLOOKUP(Visualization!$A176,US_Results!$A$3:$AJ$52,35,FALSE)</f>
        <v>42.563188933642124</v>
      </c>
      <c r="J176" s="79"/>
      <c r="O176" t="s">
        <v>209</v>
      </c>
      <c r="Q176" s="58">
        <v>26.934028861343112</v>
      </c>
      <c r="R176" s="58">
        <v>-282.46750445793191</v>
      </c>
      <c r="T176" s="99">
        <v>47.891539115240846</v>
      </c>
      <c r="U176" s="99">
        <v>27.31488032777763</v>
      </c>
      <c r="V176" s="99">
        <f t="shared" si="20"/>
        <v>20.576658787463217</v>
      </c>
      <c r="W176" t="s">
        <v>569</v>
      </c>
      <c r="X176" s="54">
        <f t="shared" si="22"/>
        <v>0.20827084682790428</v>
      </c>
      <c r="Y176" s="54">
        <f t="shared" si="23"/>
        <v>4.849693217165614E-2</v>
      </c>
      <c r="Z176" s="54">
        <f t="shared" si="24"/>
        <v>8.592626837006E-3</v>
      </c>
      <c r="AA176" s="54">
        <v>0.02</v>
      </c>
      <c r="AB176" s="99">
        <f t="shared" si="25"/>
        <v>0.78517687449601026</v>
      </c>
      <c r="AC176" s="99">
        <f t="shared" si="21"/>
        <v>309.40153331927502</v>
      </c>
      <c r="AD176" s="99">
        <f t="shared" si="26"/>
        <v>0.50248018222157076</v>
      </c>
      <c r="AE176" s="99"/>
    </row>
    <row r="177" spans="1:31" x14ac:dyDescent="0.25">
      <c r="A177" t="s">
        <v>210</v>
      </c>
      <c r="B177" t="s">
        <v>389</v>
      </c>
      <c r="C177" s="79">
        <v>28460.759801658827</v>
      </c>
      <c r="D177" s="79">
        <v>52800.840265332532</v>
      </c>
      <c r="E177" s="79">
        <v>32062.2624</v>
      </c>
      <c r="F177" s="79">
        <v>29056.657863040429</v>
      </c>
      <c r="G177" s="79">
        <v>0</v>
      </c>
      <c r="H177" s="79">
        <v>142380.52033003178</v>
      </c>
      <c r="I177" s="79">
        <f>VLOOKUP(Visualization!$A177,US_Results!$A$3:$AJ$52,35,FALSE)</f>
        <v>50.659766381613736</v>
      </c>
      <c r="J177" s="79"/>
      <c r="O177" t="s">
        <v>210</v>
      </c>
      <c r="Q177" s="58">
        <v>87.072967926871428</v>
      </c>
      <c r="R177" s="58">
        <v>-287.22876447420111</v>
      </c>
      <c r="T177" s="99">
        <v>30.101340118316955</v>
      </c>
      <c r="U177" s="99">
        <v>31.511439118643892</v>
      </c>
      <c r="V177" s="99">
        <f t="shared" si="20"/>
        <v>-1.4100990003269374</v>
      </c>
      <c r="W177" t="s">
        <v>569</v>
      </c>
      <c r="X177" s="54">
        <f t="shared" si="22"/>
        <v>0.20827084682790428</v>
      </c>
      <c r="Y177" s="54">
        <f t="shared" si="23"/>
        <v>4.849693217165614E-2</v>
      </c>
      <c r="Z177" s="54">
        <f t="shared" si="24"/>
        <v>8.592626837006E-3</v>
      </c>
      <c r="AA177" s="54">
        <v>0.02</v>
      </c>
      <c r="AB177" s="99">
        <f t="shared" si="25"/>
        <v>-0.25614066486965398</v>
      </c>
      <c r="AC177" s="99">
        <f t="shared" si="21"/>
        <v>374.30173240107251</v>
      </c>
      <c r="AD177" s="99">
        <f t="shared" si="26"/>
        <v>0.55267348022995422</v>
      </c>
      <c r="AE177" s="99"/>
    </row>
    <row r="178" spans="1:31" x14ac:dyDescent="0.25">
      <c r="A178" t="s">
        <v>217</v>
      </c>
      <c r="B178" t="s">
        <v>389</v>
      </c>
      <c r="C178" s="79">
        <v>28460.759801658827</v>
      </c>
      <c r="D178" s="79">
        <v>41387.87810692627</v>
      </c>
      <c r="E178" s="79">
        <v>25906.003199999999</v>
      </c>
      <c r="F178" s="79">
        <v>22562.785225986645</v>
      </c>
      <c r="G178" s="79">
        <v>0</v>
      </c>
      <c r="H178" s="79">
        <v>118317.42633457173</v>
      </c>
      <c r="I178" s="79">
        <f>VLOOKUP(Visualization!$A178,US_Results!$A$3:$AJ$52,35,FALSE)</f>
        <v>38.934023253131059</v>
      </c>
      <c r="J178" s="79"/>
      <c r="O178" t="s">
        <v>217</v>
      </c>
      <c r="Q178" s="58">
        <v>230.71083125332046</v>
      </c>
      <c r="R178" s="58">
        <v>-277.25839781005044</v>
      </c>
      <c r="T178" s="99">
        <v>28.884476479047805</v>
      </c>
      <c r="U178" s="99">
        <v>24.695161936854241</v>
      </c>
      <c r="V178" s="99">
        <f t="shared" si="20"/>
        <v>4.1893145421935643</v>
      </c>
      <c r="W178" t="s">
        <v>569</v>
      </c>
      <c r="X178" s="54">
        <f t="shared" si="22"/>
        <v>0.20827084682790428</v>
      </c>
      <c r="Y178" s="54">
        <f t="shared" si="23"/>
        <v>4.849693217165614E-2</v>
      </c>
      <c r="Z178" s="54">
        <f t="shared" si="24"/>
        <v>8.592626837006E-3</v>
      </c>
      <c r="AA178" s="54">
        <v>0.02</v>
      </c>
      <c r="AB178" s="99">
        <f t="shared" si="25"/>
        <v>0.35428401411512978</v>
      </c>
      <c r="AC178" s="99">
        <f t="shared" si="21"/>
        <v>507.9692290633709</v>
      </c>
      <c r="AD178" s="99">
        <f t="shared" si="26"/>
        <v>0.64383770942824836</v>
      </c>
      <c r="AE178" s="99"/>
    </row>
    <row r="179" spans="1:31" x14ac:dyDescent="0.25">
      <c r="A179" t="s">
        <v>218</v>
      </c>
      <c r="B179" t="s">
        <v>389</v>
      </c>
      <c r="C179" s="79">
        <v>28460.759801658827</v>
      </c>
      <c r="D179" s="79">
        <v>50859.980595204368</v>
      </c>
      <c r="E179" s="79">
        <v>32113.065599999998</v>
      </c>
      <c r="F179" s="79">
        <v>34706.342220320839</v>
      </c>
      <c r="G179" s="79">
        <v>0</v>
      </c>
      <c r="H179" s="79">
        <v>146140.14821718403</v>
      </c>
      <c r="I179" s="79">
        <f>VLOOKUP(Visualization!$A179,US_Results!$A$3:$AJ$52,35,FALSE)</f>
        <v>47.565809424140937</v>
      </c>
      <c r="J179" s="79"/>
      <c r="O179" t="s">
        <v>218</v>
      </c>
      <c r="Q179" s="58">
        <v>46.252565842739621</v>
      </c>
      <c r="R179" s="58">
        <v>-279.58563054514599</v>
      </c>
      <c r="T179" s="99">
        <v>53.578092042651406</v>
      </c>
      <c r="U179" s="99">
        <v>30.345127575244554</v>
      </c>
      <c r="V179" s="99">
        <f t="shared" si="20"/>
        <v>23.232964467406852</v>
      </c>
      <c r="W179" t="s">
        <v>569</v>
      </c>
      <c r="X179" s="54">
        <f t="shared" si="22"/>
        <v>0.20827084682790428</v>
      </c>
      <c r="Y179" s="54">
        <f t="shared" si="23"/>
        <v>4.849693217165614E-2</v>
      </c>
      <c r="Z179" s="54">
        <f t="shared" si="24"/>
        <v>8.592626837006E-3</v>
      </c>
      <c r="AA179" s="54">
        <v>0.02</v>
      </c>
      <c r="AB179" s="99">
        <f t="shared" si="25"/>
        <v>0.8343194845609635</v>
      </c>
      <c r="AC179" s="99">
        <f t="shared" si="21"/>
        <v>325.8381963878856</v>
      </c>
      <c r="AD179" s="99">
        <f t="shared" si="26"/>
        <v>0.51565437123584457</v>
      </c>
      <c r="AE179" s="99"/>
    </row>
    <row r="180" spans="1:31" x14ac:dyDescent="0.25">
      <c r="A180" t="s">
        <v>219</v>
      </c>
      <c r="B180" t="s">
        <v>389</v>
      </c>
      <c r="C180" s="79">
        <v>28460.759801658827</v>
      </c>
      <c r="D180" s="79">
        <v>35586.957169997761</v>
      </c>
      <c r="E180" s="79">
        <v>22168.339199999999</v>
      </c>
      <c r="F180" s="79">
        <v>25699.596930462536</v>
      </c>
      <c r="G180" s="79">
        <v>0</v>
      </c>
      <c r="H180" s="79">
        <v>111915.65310211912</v>
      </c>
      <c r="I180" s="79">
        <f>VLOOKUP(Visualization!$A180,US_Results!$A$3:$AJ$52,35,FALSE)</f>
        <v>33.583927887052013</v>
      </c>
      <c r="J180" s="79"/>
      <c r="O180" t="s">
        <v>219</v>
      </c>
      <c r="Q180" s="58">
        <v>43.705836173356992</v>
      </c>
      <c r="R180" s="58">
        <v>-355.25151690024336</v>
      </c>
      <c r="T180" s="99">
        <v>42.874711607783865</v>
      </c>
      <c r="U180" s="99">
        <v>21.23458557820733</v>
      </c>
      <c r="V180" s="99">
        <f t="shared" si="20"/>
        <v>21.640126029576535</v>
      </c>
      <c r="W180" t="s">
        <v>569</v>
      </c>
      <c r="X180" s="54">
        <f t="shared" si="22"/>
        <v>0.20827084682790428</v>
      </c>
      <c r="Y180" s="54">
        <f t="shared" si="23"/>
        <v>4.849693217165614E-2</v>
      </c>
      <c r="Z180" s="54">
        <f t="shared" si="24"/>
        <v>8.592626837006E-3</v>
      </c>
      <c r="AA180" s="54">
        <v>0.02</v>
      </c>
      <c r="AB180" s="99">
        <f t="shared" si="25"/>
        <v>0.80521149269851178</v>
      </c>
      <c r="AC180" s="99">
        <f t="shared" si="21"/>
        <v>398.95735307360036</v>
      </c>
      <c r="AD180" s="99">
        <f t="shared" si="26"/>
        <v>0.57058577990151438</v>
      </c>
      <c r="AE180" s="99"/>
    </row>
    <row r="181" spans="1:31" x14ac:dyDescent="0.25">
      <c r="A181" t="s">
        <v>220</v>
      </c>
      <c r="B181" t="s">
        <v>389</v>
      </c>
      <c r="C181" s="79">
        <v>28460.759801658827</v>
      </c>
      <c r="D181" s="79">
        <v>33271.605053898762</v>
      </c>
      <c r="E181" s="79">
        <v>20765.807999999997</v>
      </c>
      <c r="F181" s="79">
        <v>32838.039728196221</v>
      </c>
      <c r="G181" s="79">
        <v>0</v>
      </c>
      <c r="H181" s="79">
        <v>115336.2125837538</v>
      </c>
      <c r="I181" s="79">
        <f>VLOOKUP(Visualization!$A181,US_Results!$A$3:$AJ$52,35,FALSE)</f>
        <v>31.359036057982102</v>
      </c>
      <c r="J181" s="79"/>
      <c r="O181" t="s">
        <v>220</v>
      </c>
      <c r="Q181" s="58">
        <v>368.99289322013749</v>
      </c>
      <c r="R181" s="58">
        <v>-250.03345711231492</v>
      </c>
      <c r="T181" s="99">
        <v>32.948361644394645</v>
      </c>
      <c r="U181" s="99">
        <v>19.852765636590441</v>
      </c>
      <c r="V181" s="99">
        <f t="shared" si="20"/>
        <v>13.095596007804204</v>
      </c>
      <c r="W181" t="s">
        <v>569</v>
      </c>
      <c r="X181" s="54">
        <f t="shared" si="22"/>
        <v>0.20827084682790428</v>
      </c>
      <c r="Y181" s="54">
        <f t="shared" si="23"/>
        <v>4.849693217165614E-2</v>
      </c>
      <c r="Z181" s="54">
        <f t="shared" si="24"/>
        <v>8.592626837006E-3</v>
      </c>
      <c r="AA181" s="54">
        <v>0.02</v>
      </c>
      <c r="AB181" s="99">
        <f t="shared" si="25"/>
        <v>0.62638695766286212</v>
      </c>
      <c r="AC181" s="99">
        <f t="shared" si="21"/>
        <v>619.02635033245247</v>
      </c>
      <c r="AD181" s="99">
        <f t="shared" si="26"/>
        <v>0.710742482999836</v>
      </c>
      <c r="AE181" s="99"/>
    </row>
    <row r="182" spans="1:31" x14ac:dyDescent="0.25">
      <c r="A182" t="s">
        <v>221</v>
      </c>
      <c r="B182" t="s">
        <v>389</v>
      </c>
      <c r="C182" s="79">
        <v>28460.759801658827</v>
      </c>
      <c r="D182" s="79">
        <v>28846.327494985802</v>
      </c>
      <c r="E182" s="79">
        <v>18073.238399999998</v>
      </c>
      <c r="F182" s="79">
        <v>36101.093313578633</v>
      </c>
      <c r="G182" s="79">
        <v>0</v>
      </c>
      <c r="H182" s="79">
        <v>111481.41901022327</v>
      </c>
      <c r="I182" s="79">
        <f>VLOOKUP(Visualization!$A182,US_Results!$A$3:$AJ$52,35,FALSE)</f>
        <v>27.118621877393224</v>
      </c>
      <c r="J182" s="79"/>
      <c r="O182" t="s">
        <v>221</v>
      </c>
      <c r="Q182" s="58">
        <v>830.50808861115001</v>
      </c>
      <c r="R182" s="58">
        <v>-213.22360945781742</v>
      </c>
      <c r="T182" s="99">
        <v>24.575468791721622</v>
      </c>
      <c r="U182" s="99">
        <v>17.211803802793163</v>
      </c>
      <c r="V182" s="99">
        <f t="shared" si="20"/>
        <v>7.3636649889284591</v>
      </c>
      <c r="W182" t="s">
        <v>569</v>
      </c>
      <c r="X182" s="54">
        <f t="shared" si="22"/>
        <v>0.20827084682790428</v>
      </c>
      <c r="Y182" s="54">
        <f t="shared" si="23"/>
        <v>4.849693217165614E-2</v>
      </c>
      <c r="Z182" s="54">
        <f t="shared" si="24"/>
        <v>8.592626837006E-3</v>
      </c>
      <c r="AA182" s="54">
        <v>0.02</v>
      </c>
      <c r="AB182" s="99">
        <f t="shared" si="25"/>
        <v>0.46970705467234763</v>
      </c>
      <c r="AC182" s="99">
        <f t="shared" si="21"/>
        <v>1043.7316980689675</v>
      </c>
      <c r="AD182" s="99">
        <f t="shared" si="26"/>
        <v>0.92289468242946338</v>
      </c>
      <c r="AE182" s="99"/>
    </row>
    <row r="183" spans="1:31" x14ac:dyDescent="0.25">
      <c r="A183" t="s">
        <v>222</v>
      </c>
      <c r="B183" t="s">
        <v>389</v>
      </c>
      <c r="C183" s="79">
        <v>28460.759801658827</v>
      </c>
      <c r="D183" s="79">
        <v>42434.362291010992</v>
      </c>
      <c r="E183" s="79">
        <v>27108.950399999998</v>
      </c>
      <c r="F183" s="79">
        <v>35622.149406836426</v>
      </c>
      <c r="G183" s="79">
        <v>0</v>
      </c>
      <c r="H183" s="79">
        <v>133626.22189950623</v>
      </c>
      <c r="I183" s="79">
        <f>VLOOKUP(Visualization!$A183,US_Results!$A$3:$AJ$52,35,FALSE)</f>
        <v>39.369452286882527</v>
      </c>
      <c r="J183" s="79"/>
      <c r="O183" t="s">
        <v>222</v>
      </c>
      <c r="Q183" s="58">
        <v>158.64576946658715</v>
      </c>
      <c r="R183" s="58">
        <v>-253.04439992810441</v>
      </c>
      <c r="T183" s="99">
        <v>47.486043282302163</v>
      </c>
      <c r="U183" s="99">
        <v>25.316003994516606</v>
      </c>
      <c r="V183" s="99">
        <f t="shared" si="20"/>
        <v>22.170039287785556</v>
      </c>
      <c r="W183" t="s">
        <v>569</v>
      </c>
      <c r="X183" s="54">
        <f t="shared" si="22"/>
        <v>0.20827084682790428</v>
      </c>
      <c r="Y183" s="54">
        <f t="shared" si="23"/>
        <v>4.849693217165614E-2</v>
      </c>
      <c r="Z183" s="54">
        <f t="shared" si="24"/>
        <v>8.592626837006E-3</v>
      </c>
      <c r="AA183" s="54">
        <v>0.02</v>
      </c>
      <c r="AB183" s="99">
        <f t="shared" si="25"/>
        <v>0.81501068671860599</v>
      </c>
      <c r="AC183" s="99">
        <f t="shared" si="21"/>
        <v>411.69016939469157</v>
      </c>
      <c r="AD183" s="99">
        <f t="shared" si="26"/>
        <v>0.5796194566840841</v>
      </c>
      <c r="AE183" s="99"/>
    </row>
    <row r="184" spans="1:31" x14ac:dyDescent="0.25">
      <c r="A184" t="s">
        <v>223</v>
      </c>
      <c r="B184" t="s">
        <v>389</v>
      </c>
      <c r="C184" s="79">
        <v>28460.759801658827</v>
      </c>
      <c r="D184" s="79">
        <v>45872.759308930035</v>
      </c>
      <c r="E184" s="79">
        <v>28197.590399999997</v>
      </c>
      <c r="F184" s="79">
        <v>31149.66316864948</v>
      </c>
      <c r="G184" s="79">
        <v>0</v>
      </c>
      <c r="H184" s="79">
        <v>133680.77267923835</v>
      </c>
      <c r="I184" s="79">
        <f>VLOOKUP(Visualization!$A184,US_Results!$A$3:$AJ$52,35,FALSE)</f>
        <v>43.669670018055754</v>
      </c>
      <c r="J184" s="79"/>
      <c r="O184" t="s">
        <v>223</v>
      </c>
      <c r="Q184" s="58">
        <v>104.74007939300347</v>
      </c>
      <c r="R184" s="58">
        <v>-272.42487572325456</v>
      </c>
      <c r="T184" s="99">
        <v>56.791162162625078</v>
      </c>
      <c r="U184" s="99">
        <v>27.374543673484972</v>
      </c>
      <c r="V184" s="99">
        <f t="shared" si="20"/>
        <v>29.416618489140106</v>
      </c>
      <c r="W184" t="s">
        <v>569</v>
      </c>
      <c r="X184" s="54">
        <f t="shared" si="22"/>
        <v>0.20827084682790428</v>
      </c>
      <c r="Y184" s="54">
        <f t="shared" si="23"/>
        <v>4.849693217165614E-2</v>
      </c>
      <c r="Z184" s="54">
        <f t="shared" si="24"/>
        <v>8.592626837006E-3</v>
      </c>
      <c r="AA184" s="54">
        <v>0.02</v>
      </c>
      <c r="AB184" s="99">
        <f t="shared" si="25"/>
        <v>0.93880727435374589</v>
      </c>
      <c r="AC184" s="99">
        <f t="shared" si="21"/>
        <v>377.16495511625806</v>
      </c>
      <c r="AD184" s="99">
        <f t="shared" si="26"/>
        <v>0.5547832922469994</v>
      </c>
      <c r="AE184" s="99"/>
    </row>
    <row r="185" spans="1:31" x14ac:dyDescent="0.25">
      <c r="A185" t="s">
        <v>224</v>
      </c>
      <c r="B185" t="s">
        <v>389</v>
      </c>
      <c r="C185" s="79">
        <v>28460.759801658827</v>
      </c>
      <c r="D185" s="79">
        <v>43715.592315448754</v>
      </c>
      <c r="E185" s="79">
        <v>27736.732799999998</v>
      </c>
      <c r="F185" s="79">
        <v>27635.064743946961</v>
      </c>
      <c r="G185" s="79">
        <v>0</v>
      </c>
      <c r="H185" s="79">
        <v>127548.14966105454</v>
      </c>
      <c r="I185" s="79">
        <f>VLOOKUP(Visualization!$A185,US_Results!$A$3:$AJ$52,35,FALSE)</f>
        <v>40.74924660403515</v>
      </c>
      <c r="J185" s="79"/>
      <c r="O185" t="s">
        <v>224</v>
      </c>
      <c r="Q185" s="58">
        <v>143.73059529736676</v>
      </c>
      <c r="R185" s="58">
        <v>-275.70988286396181</v>
      </c>
      <c r="T185" s="99">
        <v>47.138715542629583</v>
      </c>
      <c r="U185" s="99">
        <v>26.081618392602856</v>
      </c>
      <c r="V185" s="99">
        <f t="shared" si="20"/>
        <v>21.057097150026728</v>
      </c>
      <c r="W185" t="s">
        <v>569</v>
      </c>
      <c r="X185" s="54">
        <f t="shared" si="22"/>
        <v>0.20827084682790428</v>
      </c>
      <c r="Y185" s="54">
        <f t="shared" si="23"/>
        <v>4.849693217165614E-2</v>
      </c>
      <c r="Z185" s="54">
        <f t="shared" si="24"/>
        <v>8.592626837006E-3</v>
      </c>
      <c r="AA185" s="54">
        <v>0.02</v>
      </c>
      <c r="AB185" s="99">
        <f t="shared" si="25"/>
        <v>0.79429041620922636</v>
      </c>
      <c r="AC185" s="99">
        <f t="shared" si="21"/>
        <v>419.44047816132854</v>
      </c>
      <c r="AD185" s="99">
        <f t="shared" si="26"/>
        <v>0.58504985625448536</v>
      </c>
      <c r="AE185" s="99"/>
    </row>
    <row r="186" spans="1:31" x14ac:dyDescent="0.25">
      <c r="A186" t="s">
        <v>225</v>
      </c>
      <c r="B186" t="s">
        <v>389</v>
      </c>
      <c r="C186" s="79">
        <v>28460.759801658827</v>
      </c>
      <c r="D186" s="79">
        <v>46201.271243677336</v>
      </c>
      <c r="E186" s="79">
        <v>29342.476799999997</v>
      </c>
      <c r="F186" s="79">
        <v>34647.265660774108</v>
      </c>
      <c r="G186" s="79">
        <v>0</v>
      </c>
      <c r="H186" s="79">
        <v>138651.77350611027</v>
      </c>
      <c r="I186" s="79">
        <f>VLOOKUP(Visualization!$A186,US_Results!$A$3:$AJ$52,35,FALSE)</f>
        <v>43.037574615308486</v>
      </c>
      <c r="J186" s="79"/>
      <c r="O186" t="s">
        <v>225</v>
      </c>
      <c r="Q186" s="58">
        <v>136.93617527309959</v>
      </c>
      <c r="R186" s="58">
        <v>-246.98090136156566</v>
      </c>
      <c r="T186" s="99">
        <v>45.035045849721769</v>
      </c>
      <c r="U186" s="99">
        <v>27.564438861349224</v>
      </c>
      <c r="V186" s="99">
        <f t="shared" si="20"/>
        <v>17.470606988372545</v>
      </c>
      <c r="W186" t="s">
        <v>569</v>
      </c>
      <c r="X186" s="54">
        <f t="shared" si="22"/>
        <v>0.20827084682790428</v>
      </c>
      <c r="Y186" s="54">
        <f t="shared" si="23"/>
        <v>4.849693217165614E-2</v>
      </c>
      <c r="Z186" s="54">
        <f t="shared" si="24"/>
        <v>8.592626837006E-3</v>
      </c>
      <c r="AA186" s="54">
        <v>0.02</v>
      </c>
      <c r="AB186" s="99">
        <f t="shared" si="25"/>
        <v>0.72349255943982249</v>
      </c>
      <c r="AC186" s="99">
        <f t="shared" si="21"/>
        <v>383.91707663466525</v>
      </c>
      <c r="AD186" s="99">
        <f t="shared" si="26"/>
        <v>0.55972721296229533</v>
      </c>
      <c r="AE186" s="99"/>
    </row>
    <row r="187" spans="1:31" x14ac:dyDescent="0.25">
      <c r="A187" t="s">
        <v>226</v>
      </c>
      <c r="B187" t="s">
        <v>389</v>
      </c>
      <c r="C187" s="79">
        <v>28460.759801658827</v>
      </c>
      <c r="D187" s="79">
        <v>45279.50720847537</v>
      </c>
      <c r="E187" s="79">
        <v>28152.230399999997</v>
      </c>
      <c r="F187" s="79">
        <v>30177.8271428138</v>
      </c>
      <c r="G187" s="79">
        <v>0</v>
      </c>
      <c r="H187" s="79">
        <v>132070.324552948</v>
      </c>
      <c r="I187" s="79">
        <f>VLOOKUP(Visualization!$A187,US_Results!$A$3:$AJ$52,35,FALSE)</f>
        <v>42.784966851795417</v>
      </c>
      <c r="J187" s="79"/>
      <c r="O187" t="s">
        <v>226</v>
      </c>
      <c r="Q187" s="58">
        <v>164.839443728606</v>
      </c>
      <c r="R187" s="58">
        <v>-294.05789102713914</v>
      </c>
      <c r="T187" s="99">
        <v>23.010529234575557</v>
      </c>
      <c r="U187" s="99">
        <v>27.01844025971473</v>
      </c>
      <c r="V187" s="99">
        <f t="shared" si="20"/>
        <v>-4.0079110251391725</v>
      </c>
      <c r="W187" t="s">
        <v>569</v>
      </c>
      <c r="X187" s="54">
        <f t="shared" si="22"/>
        <v>0.20827084682790428</v>
      </c>
      <c r="Y187" s="54">
        <f t="shared" si="23"/>
        <v>4.849693217165614E-2</v>
      </c>
      <c r="Z187" s="54">
        <f t="shared" si="24"/>
        <v>8.592626837006E-3</v>
      </c>
      <c r="AA187" s="54">
        <v>0.02</v>
      </c>
      <c r="AB187" s="99">
        <f t="shared" si="25"/>
        <v>-0.43182995599371421</v>
      </c>
      <c r="AC187" s="99">
        <f t="shared" si="21"/>
        <v>458.89733475574513</v>
      </c>
      <c r="AD187" s="99">
        <f t="shared" si="26"/>
        <v>0.61194934567304538</v>
      </c>
      <c r="AE187" s="99"/>
    </row>
    <row r="188" spans="1:31" x14ac:dyDescent="0.25">
      <c r="A188" t="s">
        <v>228</v>
      </c>
      <c r="B188" t="s">
        <v>389</v>
      </c>
      <c r="C188" s="79">
        <v>28460.759801658827</v>
      </c>
      <c r="D188" s="79">
        <v>38420.512800184522</v>
      </c>
      <c r="E188" s="79">
        <v>23594.457599999998</v>
      </c>
      <c r="F188" s="79">
        <v>24717.563345080122</v>
      </c>
      <c r="G188" s="79">
        <v>0</v>
      </c>
      <c r="H188" s="79">
        <v>115193.29354692347</v>
      </c>
      <c r="I188" s="79">
        <f>VLOOKUP(Visualization!$A188,US_Results!$A$3:$AJ$52,35,FALSE)</f>
        <v>36.597671171678144</v>
      </c>
      <c r="J188" s="79"/>
      <c r="O188" t="s">
        <v>228</v>
      </c>
      <c r="Q188" s="58">
        <v>230.42632084110895</v>
      </c>
      <c r="R188" s="58">
        <v>-273.82698680197223</v>
      </c>
      <c r="T188" s="99">
        <v>56.303993012493144</v>
      </c>
      <c r="U188" s="99">
        <v>22.927565012570874</v>
      </c>
      <c r="V188" s="99">
        <f t="shared" si="20"/>
        <v>33.376427999922271</v>
      </c>
      <c r="W188" t="s">
        <v>569</v>
      </c>
      <c r="X188" s="54">
        <f t="shared" si="22"/>
        <v>0.20827084682790428</v>
      </c>
      <c r="Y188" s="54">
        <f t="shared" si="23"/>
        <v>4.849693217165614E-2</v>
      </c>
      <c r="Z188" s="54">
        <f t="shared" si="24"/>
        <v>8.592626837006E-3</v>
      </c>
      <c r="AA188" s="54">
        <v>0.02</v>
      </c>
      <c r="AB188" s="99">
        <f t="shared" si="25"/>
        <v>1</v>
      </c>
      <c r="AC188" s="99">
        <f t="shared" si="21"/>
        <v>504.25330764308114</v>
      </c>
      <c r="AD188" s="99">
        <f t="shared" si="26"/>
        <v>0.64147847030712091</v>
      </c>
      <c r="AE188" s="99"/>
    </row>
    <row r="189" spans="1:31" x14ac:dyDescent="0.25">
      <c r="A189" t="s">
        <v>227</v>
      </c>
      <c r="B189" t="s">
        <v>389</v>
      </c>
      <c r="C189" s="79">
        <v>28460.759801658827</v>
      </c>
      <c r="D189" s="79">
        <v>41571.735983884078</v>
      </c>
      <c r="E189" s="79">
        <v>26325.1296</v>
      </c>
      <c r="F189" s="79">
        <v>26879.139837204748</v>
      </c>
      <c r="G189" s="79">
        <v>0</v>
      </c>
      <c r="H189" s="79">
        <v>123236.76522274766</v>
      </c>
      <c r="I189" s="79">
        <f>VLOOKUP(Visualization!$A189,US_Results!$A$3:$AJ$52,35,FALSE)</f>
        <v>38.802331197780418</v>
      </c>
      <c r="J189" s="79"/>
      <c r="O189" t="s">
        <v>227</v>
      </c>
      <c r="Q189" s="58">
        <v>279.81295702729113</v>
      </c>
      <c r="R189" s="58">
        <v>-274.6569054402222</v>
      </c>
      <c r="T189" s="99">
        <v>44.8264759690123</v>
      </c>
      <c r="U189" s="99">
        <v>24.802884456752757</v>
      </c>
      <c r="V189" s="99">
        <f t="shared" si="20"/>
        <v>20.023591512259543</v>
      </c>
      <c r="W189" t="s">
        <v>569</v>
      </c>
      <c r="X189" s="54">
        <f t="shared" si="22"/>
        <v>0.20827084682790428</v>
      </c>
      <c r="Y189" s="54">
        <f t="shared" si="23"/>
        <v>4.849693217165614E-2</v>
      </c>
      <c r="Z189" s="54">
        <f t="shared" si="24"/>
        <v>8.592626837006E-3</v>
      </c>
      <c r="AA189" s="54">
        <v>0.02</v>
      </c>
      <c r="AB189" s="99">
        <f t="shared" si="25"/>
        <v>0.77455285753483583</v>
      </c>
      <c r="AC189" s="99">
        <f t="shared" si="21"/>
        <v>554.46986246751339</v>
      </c>
      <c r="AD189" s="99">
        <f t="shared" si="26"/>
        <v>0.67266166798780069</v>
      </c>
      <c r="AE189" s="99"/>
    </row>
    <row r="190" spans="1:31" x14ac:dyDescent="0.25">
      <c r="A190" t="s">
        <v>229</v>
      </c>
      <c r="B190" t="s">
        <v>389</v>
      </c>
      <c r="C190" s="79">
        <v>28460.759801658827</v>
      </c>
      <c r="D190" s="79">
        <v>31951.877057591963</v>
      </c>
      <c r="E190" s="79">
        <v>19865.865599999997</v>
      </c>
      <c r="F190" s="79">
        <v>31273.208795618324</v>
      </c>
      <c r="G190" s="79">
        <v>0</v>
      </c>
      <c r="H190" s="79">
        <v>111551.71125486912</v>
      </c>
      <c r="I190" s="79">
        <f>VLOOKUP(Visualization!$A190,US_Results!$A$3:$AJ$52,35,FALSE)</f>
        <v>30.191583014972171</v>
      </c>
      <c r="J190" s="79"/>
      <c r="O190" t="s">
        <v>229</v>
      </c>
      <c r="Q190" s="58">
        <v>140.16051127865782</v>
      </c>
      <c r="R190" s="58">
        <v>-330.36873585102114</v>
      </c>
      <c r="T190" s="99">
        <v>41.394164310010268</v>
      </c>
      <c r="U190" s="99">
        <v>19.065796751973238</v>
      </c>
      <c r="V190" s="99">
        <f t="shared" si="20"/>
        <v>22.32836755803703</v>
      </c>
      <c r="W190" t="s">
        <v>569</v>
      </c>
      <c r="X190" s="54">
        <f t="shared" si="22"/>
        <v>0.20827084682790428</v>
      </c>
      <c r="Y190" s="54">
        <f t="shared" si="23"/>
        <v>4.849693217165614E-2</v>
      </c>
      <c r="Z190" s="54">
        <f t="shared" si="24"/>
        <v>8.592626837006E-3</v>
      </c>
      <c r="AA190" s="54">
        <v>0.02</v>
      </c>
      <c r="AB190" s="99">
        <f t="shared" si="25"/>
        <v>0.81791572592063211</v>
      </c>
      <c r="AC190" s="99">
        <f t="shared" si="21"/>
        <v>470.52924712967899</v>
      </c>
      <c r="AD190" s="99">
        <f t="shared" si="26"/>
        <v>0.61965651303559943</v>
      </c>
      <c r="AE190" s="99"/>
    </row>
    <row r="191" spans="1:31" x14ac:dyDescent="0.25">
      <c r="A191" t="s">
        <v>159</v>
      </c>
      <c r="B191" t="s">
        <v>389</v>
      </c>
      <c r="C191" s="79">
        <v>28460.759801658827</v>
      </c>
      <c r="D191" s="79">
        <v>48683.331658280724</v>
      </c>
      <c r="E191" s="79">
        <v>30619.814399999999</v>
      </c>
      <c r="F191" s="79">
        <v>32665.263634938423</v>
      </c>
      <c r="G191" s="79">
        <v>0</v>
      </c>
      <c r="H191" s="79">
        <v>140429.16949487798</v>
      </c>
      <c r="I191" s="79">
        <f>VLOOKUP(Visualization!$A191,US_Results!$A$3:$AJ$52,35,FALSE)</f>
        <v>45.649289397905768</v>
      </c>
      <c r="J191" s="79"/>
      <c r="O191" t="s">
        <v>159</v>
      </c>
      <c r="Q191" s="58">
        <v>954.79069885007425</v>
      </c>
      <c r="R191" s="58">
        <v>-270.62823372799835</v>
      </c>
      <c r="T191" s="99">
        <v>7.5544479843532741</v>
      </c>
      <c r="U191" s="99">
        <v>29.047225333458819</v>
      </c>
      <c r="V191" s="99">
        <f t="shared" si="20"/>
        <v>-21.492777349105545</v>
      </c>
      <c r="W191" t="s">
        <v>569</v>
      </c>
      <c r="X191" s="54">
        <f t="shared" si="22"/>
        <v>0.20827084682790428</v>
      </c>
      <c r="Y191" s="54">
        <f t="shared" si="23"/>
        <v>4.849693217165614E-2</v>
      </c>
      <c r="Z191" s="54">
        <f t="shared" si="24"/>
        <v>8.592626837006E-3</v>
      </c>
      <c r="AA191" s="54">
        <v>0.02</v>
      </c>
      <c r="AB191" s="99">
        <f t="shared" si="25"/>
        <v>-1</v>
      </c>
      <c r="AC191" s="99">
        <f t="shared" si="21"/>
        <v>1225.4189325780726</v>
      </c>
      <c r="AD191" s="99">
        <f t="shared" si="26"/>
        <v>1</v>
      </c>
      <c r="AE191" s="99"/>
    </row>
    <row r="192" spans="1:31" x14ac:dyDescent="0.25">
      <c r="A192" t="s">
        <v>158</v>
      </c>
      <c r="B192" t="s">
        <v>389</v>
      </c>
      <c r="C192" s="79">
        <v>28460.759801658827</v>
      </c>
      <c r="D192" s="79">
        <v>45752.865704821073</v>
      </c>
      <c r="E192" s="79">
        <v>28017.964799999998</v>
      </c>
      <c r="F192" s="79">
        <v>24218.92725182233</v>
      </c>
      <c r="G192" s="79">
        <v>0</v>
      </c>
      <c r="H192" s="79">
        <v>126450.51755830224</v>
      </c>
      <c r="I192" s="79">
        <f>VLOOKUP(Visualization!$A192,US_Results!$A$3:$AJ$52,35,FALSE)</f>
        <v>43.661673352325678</v>
      </c>
      <c r="J192" s="79"/>
      <c r="O192" t="s">
        <v>158</v>
      </c>
      <c r="Q192" s="58">
        <v>240.54352484543998</v>
      </c>
      <c r="R192" s="58">
        <v>-282.16638770301</v>
      </c>
      <c r="T192" s="99">
        <v>29.729559418428643</v>
      </c>
      <c r="U192" s="99">
        <v>27.303687441456312</v>
      </c>
      <c r="V192" s="99">
        <f t="shared" si="20"/>
        <v>2.4258719769723314</v>
      </c>
      <c r="W192" t="s">
        <v>569</v>
      </c>
      <c r="X192" s="54">
        <f t="shared" si="22"/>
        <v>0.20827084682790428</v>
      </c>
      <c r="Y192" s="54">
        <f t="shared" si="23"/>
        <v>4.849693217165614E-2</v>
      </c>
      <c r="Z192" s="54">
        <f t="shared" si="24"/>
        <v>8.592626837006E-3</v>
      </c>
      <c r="AA192" s="54">
        <v>0.02</v>
      </c>
      <c r="AB192" s="99">
        <f t="shared" si="25"/>
        <v>0.26959635172442203</v>
      </c>
      <c r="AC192" s="99">
        <f t="shared" si="21"/>
        <v>522.70991254845001</v>
      </c>
      <c r="AD192" s="99">
        <f t="shared" si="26"/>
        <v>0.65311261916293351</v>
      </c>
      <c r="AE192" s="99"/>
    </row>
    <row r="193" spans="1:31" x14ac:dyDescent="0.25">
      <c r="A193" t="s">
        <v>160</v>
      </c>
      <c r="B193" t="s">
        <v>389</v>
      </c>
      <c r="C193" s="79">
        <v>28460.759801658827</v>
      </c>
      <c r="D193" s="79">
        <v>71515.123156399175</v>
      </c>
      <c r="E193" s="79">
        <v>43670.793599999997</v>
      </c>
      <c r="F193" s="79">
        <v>29594.678329329374</v>
      </c>
      <c r="G193" s="79">
        <v>0</v>
      </c>
      <c r="H193" s="79">
        <v>173241.3548873874</v>
      </c>
      <c r="I193" s="79">
        <f>VLOOKUP(Visualization!$A193,US_Results!$A$3:$AJ$52,35,FALSE)</f>
        <v>68.370043799009053</v>
      </c>
      <c r="J193" s="79"/>
      <c r="O193" t="s">
        <v>160</v>
      </c>
      <c r="Q193" s="58">
        <v>325.36756658665826</v>
      </c>
      <c r="R193" s="58">
        <v>-329.42610376327241</v>
      </c>
      <c r="T193" s="99">
        <v>21.85547146283163</v>
      </c>
      <c r="U193" s="99">
        <v>42.678492743957491</v>
      </c>
      <c r="V193" s="99">
        <f t="shared" si="20"/>
        <v>-20.823021281125861</v>
      </c>
      <c r="W193" t="s">
        <v>569</v>
      </c>
      <c r="X193" s="54">
        <f t="shared" si="22"/>
        <v>0.20827084682790428</v>
      </c>
      <c r="Y193" s="54">
        <f t="shared" si="23"/>
        <v>4.849693217165614E-2</v>
      </c>
      <c r="Z193" s="54">
        <f t="shared" si="24"/>
        <v>8.592626837006E-3</v>
      </c>
      <c r="AA193" s="54">
        <v>0.02</v>
      </c>
      <c r="AB193" s="99">
        <f t="shared" si="25"/>
        <v>-0.98429573123637248</v>
      </c>
      <c r="AC193" s="99">
        <f t="shared" si="21"/>
        <v>654.79367034993061</v>
      </c>
      <c r="AD193" s="99">
        <f t="shared" si="26"/>
        <v>0.73098748797570923</v>
      </c>
      <c r="AE193" s="99"/>
    </row>
    <row r="194" spans="1:31" x14ac:dyDescent="0.25">
      <c r="O194" t="s">
        <v>187</v>
      </c>
      <c r="Q194" s="99">
        <v>413.59233118849266</v>
      </c>
      <c r="R194" s="99">
        <v>-227.94362308157574</v>
      </c>
      <c r="T194" s="99">
        <v>17.846855216713287</v>
      </c>
      <c r="U194" s="99">
        <v>12.212102750608494</v>
      </c>
      <c r="V194" s="99">
        <f t="shared" si="20"/>
        <v>5.6347524661047927</v>
      </c>
      <c r="W194" t="s">
        <v>570</v>
      </c>
      <c r="X194" s="54">
        <f>73.5374896819794%/5</f>
        <v>0.1470749793639588</v>
      </c>
      <c r="Y194" s="54">
        <f>17.1235806811104%/5</f>
        <v>3.42471613622208E-2</v>
      </c>
      <c r="Z194" s="54">
        <f>3.03393497933753%/5</f>
        <v>6.0678699586750604E-3</v>
      </c>
      <c r="AA194" s="54">
        <v>0.02</v>
      </c>
      <c r="AB194" s="99">
        <f>IF(V194&gt;0, SQRT(V194/MAX($V$194:$V$241)), -SQRT(V194/MIN($V$194:$V$241)))</f>
        <v>0.64891692783045163</v>
      </c>
      <c r="AC194" s="99">
        <f t="shared" si="21"/>
        <v>641.53595427006837</v>
      </c>
      <c r="AD194" s="99">
        <f>IF(AC194&gt;0,SQRT(AC194/MAX($AC$194:$AC$241)),-SQRT(AC194/MIN($AC$194:$AC$241)))</f>
        <v>0.10463426739174048</v>
      </c>
      <c r="AE194" s="99"/>
    </row>
    <row r="195" spans="1:31" x14ac:dyDescent="0.25">
      <c r="O195" t="s">
        <v>189</v>
      </c>
      <c r="Q195" s="99">
        <v>507.7132070591789</v>
      </c>
      <c r="R195" s="99">
        <v>-308.66857824201622</v>
      </c>
      <c r="T195" s="99">
        <v>13.514421511681405</v>
      </c>
      <c r="U195" s="99">
        <v>9.0786289159240212</v>
      </c>
      <c r="V195" s="99">
        <f t="shared" ref="V195:V258" si="27">T195-U195</f>
        <v>4.435792595757384</v>
      </c>
      <c r="W195" t="s">
        <v>570</v>
      </c>
      <c r="X195" s="54">
        <f t="shared" ref="X195:X241" si="28">73.5374896819794%/5</f>
        <v>0.1470749793639588</v>
      </c>
      <c r="Y195" s="54">
        <f t="shared" ref="Y195:Y241" si="29">17.1235806811104%/5</f>
        <v>3.42471613622208E-2</v>
      </c>
      <c r="Z195" s="54">
        <f t="shared" ref="Z195:Z241" si="30">3.03393497933753%/5</f>
        <v>6.0678699586750604E-3</v>
      </c>
      <c r="AA195" s="54">
        <v>0.02</v>
      </c>
      <c r="AB195" s="99">
        <f t="shared" ref="AB195:AB241" si="31">IF(V195&gt;0, SQRT(V195/MAX($V$194:$V$241)), -SQRT(V195/MIN($V$194:$V$241)))</f>
        <v>0.57575444311152069</v>
      </c>
      <c r="AC195" s="99">
        <f t="shared" ref="AC195:AC258" si="32">Q195-R195</f>
        <v>816.38178530119512</v>
      </c>
      <c r="AD195" s="99">
        <f t="shared" ref="AD195:AD241" si="33">IF(AC195&gt;0,SQRT(AC195/MAX($AC$194:$AC$241)),-SQRT(AC195/MIN($AC$194:$AC$241)))</f>
        <v>0.1180348060050827</v>
      </c>
      <c r="AE195" s="99"/>
    </row>
    <row r="196" spans="1:31" x14ac:dyDescent="0.25">
      <c r="O196" t="s">
        <v>188</v>
      </c>
      <c r="Q196" s="99">
        <v>713.52052153604416</v>
      </c>
      <c r="R196" s="99">
        <v>-217.54879453083089</v>
      </c>
      <c r="T196" s="99">
        <v>12.91424589642898</v>
      </c>
      <c r="U196" s="99">
        <v>11.875716457959903</v>
      </c>
      <c r="V196" s="99">
        <f t="shared" si="27"/>
        <v>1.0385294384690766</v>
      </c>
      <c r="W196" t="s">
        <v>570</v>
      </c>
      <c r="X196" s="54">
        <f t="shared" si="28"/>
        <v>0.1470749793639588</v>
      </c>
      <c r="Y196" s="54">
        <f t="shared" si="29"/>
        <v>3.42471613622208E-2</v>
      </c>
      <c r="Z196" s="54">
        <f t="shared" si="30"/>
        <v>6.0678699586750604E-3</v>
      </c>
      <c r="AA196" s="54">
        <v>0.02</v>
      </c>
      <c r="AB196" s="99">
        <f t="shared" si="31"/>
        <v>0.27858715492094827</v>
      </c>
      <c r="AC196" s="99">
        <f t="shared" si="32"/>
        <v>931.06931606687499</v>
      </c>
      <c r="AD196" s="99">
        <f t="shared" si="33"/>
        <v>0.12605336527297592</v>
      </c>
      <c r="AE196" s="99"/>
    </row>
    <row r="197" spans="1:31" x14ac:dyDescent="0.25">
      <c r="O197" t="s">
        <v>149</v>
      </c>
      <c r="Q197" s="99">
        <v>679.56626605816359</v>
      </c>
      <c r="R197" s="99">
        <v>-289.1747374728169</v>
      </c>
      <c r="T197" s="99">
        <v>16.293735800816101</v>
      </c>
      <c r="U197" s="99">
        <v>8.6181471710660169</v>
      </c>
      <c r="V197" s="99">
        <f t="shared" si="27"/>
        <v>7.6755886297500844</v>
      </c>
      <c r="W197" t="s">
        <v>570</v>
      </c>
      <c r="X197" s="54">
        <f t="shared" si="28"/>
        <v>0.1470749793639588</v>
      </c>
      <c r="Y197" s="54">
        <f t="shared" si="29"/>
        <v>3.42471613622208E-2</v>
      </c>
      <c r="Z197" s="54">
        <f t="shared" si="30"/>
        <v>6.0678699586750604E-3</v>
      </c>
      <c r="AA197" s="54">
        <v>0.02</v>
      </c>
      <c r="AB197" s="99">
        <f t="shared" si="31"/>
        <v>0.75736900477089308</v>
      </c>
      <c r="AC197" s="99">
        <f t="shared" si="32"/>
        <v>968.74100353098049</v>
      </c>
      <c r="AD197" s="99">
        <f t="shared" si="33"/>
        <v>0.12857818131715726</v>
      </c>
      <c r="AE197" s="99"/>
    </row>
    <row r="198" spans="1:31" x14ac:dyDescent="0.25">
      <c r="O198" t="s">
        <v>190</v>
      </c>
      <c r="Q198" s="99">
        <v>1097.9257996135043</v>
      </c>
      <c r="R198" s="99">
        <v>-222.43938981032761</v>
      </c>
      <c r="T198" s="99">
        <v>8.8481525986702501</v>
      </c>
      <c r="U198" s="99">
        <v>9.1385606326039337</v>
      </c>
      <c r="V198" s="99">
        <f t="shared" si="27"/>
        <v>-0.29040803393368364</v>
      </c>
      <c r="W198" t="s">
        <v>570</v>
      </c>
      <c r="X198" s="54">
        <f t="shared" si="28"/>
        <v>0.1470749793639588</v>
      </c>
      <c r="Y198" s="54">
        <f t="shared" si="29"/>
        <v>3.42471613622208E-2</v>
      </c>
      <c r="Z198" s="54">
        <f t="shared" si="30"/>
        <v>6.0678699586750604E-3</v>
      </c>
      <c r="AA198" s="54">
        <v>0.02</v>
      </c>
      <c r="AB198" s="99">
        <f t="shared" si="31"/>
        <v>-0.12984534001609827</v>
      </c>
      <c r="AC198" s="99">
        <f t="shared" si="32"/>
        <v>1320.3651894238319</v>
      </c>
      <c r="AD198" s="99">
        <f t="shared" si="33"/>
        <v>0.15011029220230232</v>
      </c>
      <c r="AE198" s="99"/>
    </row>
    <row r="199" spans="1:31" x14ac:dyDescent="0.25">
      <c r="O199" t="s">
        <v>191</v>
      </c>
      <c r="Q199" s="99">
        <v>1098.1302639456858</v>
      </c>
      <c r="R199" s="99">
        <v>-193.2817273169847</v>
      </c>
      <c r="T199" s="99">
        <v>13.49794113140149</v>
      </c>
      <c r="U199" s="99">
        <v>8.4941685360403554</v>
      </c>
      <c r="V199" s="99">
        <f t="shared" si="27"/>
        <v>5.0037725953611343</v>
      </c>
      <c r="W199" t="s">
        <v>570</v>
      </c>
      <c r="X199" s="54">
        <f t="shared" si="28"/>
        <v>0.1470749793639588</v>
      </c>
      <c r="Y199" s="54">
        <f t="shared" si="29"/>
        <v>3.42471613622208E-2</v>
      </c>
      <c r="Z199" s="54">
        <f t="shared" si="30"/>
        <v>6.0678699586750604E-3</v>
      </c>
      <c r="AA199" s="54">
        <v>0.02</v>
      </c>
      <c r="AB199" s="99">
        <f t="shared" si="31"/>
        <v>0.61150563642037192</v>
      </c>
      <c r="AC199" s="99">
        <f t="shared" si="32"/>
        <v>1291.4119912626704</v>
      </c>
      <c r="AD199" s="99">
        <f t="shared" si="33"/>
        <v>0.14845534709822558</v>
      </c>
      <c r="AE199" s="99"/>
    </row>
    <row r="200" spans="1:31" x14ac:dyDescent="0.25">
      <c r="O200" t="s">
        <v>192</v>
      </c>
      <c r="Q200" s="99">
        <v>910.51771945065843</v>
      </c>
      <c r="R200" s="99">
        <v>-210.98420732424921</v>
      </c>
      <c r="T200" s="99">
        <v>9.8049990924063284</v>
      </c>
      <c r="U200" s="99">
        <v>8.7450291826498052</v>
      </c>
      <c r="V200" s="99">
        <f t="shared" si="27"/>
        <v>1.0599699097565232</v>
      </c>
      <c r="W200" t="s">
        <v>570</v>
      </c>
      <c r="X200" s="54">
        <f t="shared" si="28"/>
        <v>0.1470749793639588</v>
      </c>
      <c r="Y200" s="54">
        <f t="shared" si="29"/>
        <v>3.42471613622208E-2</v>
      </c>
      <c r="Z200" s="54">
        <f t="shared" si="30"/>
        <v>6.0678699586750604E-3</v>
      </c>
      <c r="AA200" s="54">
        <v>0.02</v>
      </c>
      <c r="AB200" s="99">
        <f t="shared" si="31"/>
        <v>0.28144818391932291</v>
      </c>
      <c r="AC200" s="99">
        <f t="shared" si="32"/>
        <v>1121.5019267749076</v>
      </c>
      <c r="AD200" s="99">
        <f t="shared" si="33"/>
        <v>0.13834499417741877</v>
      </c>
      <c r="AE200" s="99"/>
    </row>
    <row r="201" spans="1:31" x14ac:dyDescent="0.25">
      <c r="O201" t="s">
        <v>193</v>
      </c>
      <c r="Q201" s="99">
        <v>930.54028424353612</v>
      </c>
      <c r="R201" s="99">
        <v>-187.62475706020217</v>
      </c>
      <c r="T201" s="99">
        <v>12.831286711686584</v>
      </c>
      <c r="U201" s="99">
        <v>9.9875077985176652</v>
      </c>
      <c r="V201" s="99">
        <f t="shared" si="27"/>
        <v>2.8437789131689186</v>
      </c>
      <c r="W201" t="s">
        <v>570</v>
      </c>
      <c r="X201" s="54">
        <f t="shared" si="28"/>
        <v>0.1470749793639588</v>
      </c>
      <c r="Y201" s="54">
        <f t="shared" si="29"/>
        <v>3.42471613622208E-2</v>
      </c>
      <c r="Z201" s="54">
        <f t="shared" si="30"/>
        <v>6.0678699586750604E-3</v>
      </c>
      <c r="AA201" s="54">
        <v>0.02</v>
      </c>
      <c r="AB201" s="99">
        <f t="shared" si="31"/>
        <v>0.46099858999801852</v>
      </c>
      <c r="AC201" s="99">
        <f t="shared" si="32"/>
        <v>1118.1650413037382</v>
      </c>
      <c r="AD201" s="99">
        <f t="shared" si="33"/>
        <v>0.13813902694250568</v>
      </c>
      <c r="AE201" s="99"/>
    </row>
    <row r="202" spans="1:31" x14ac:dyDescent="0.25">
      <c r="O202" t="s">
        <v>194</v>
      </c>
      <c r="Q202" s="99">
        <v>354.32634095777672</v>
      </c>
      <c r="R202" s="99">
        <v>-245.60872010447787</v>
      </c>
      <c r="T202" s="99">
        <v>18.039312784565915</v>
      </c>
      <c r="U202" s="99">
        <v>12.554033756818065</v>
      </c>
      <c r="V202" s="99">
        <f t="shared" si="27"/>
        <v>5.4852790277478505</v>
      </c>
      <c r="W202" t="s">
        <v>570</v>
      </c>
      <c r="X202" s="54">
        <f t="shared" si="28"/>
        <v>0.1470749793639588</v>
      </c>
      <c r="Y202" s="54">
        <f t="shared" si="29"/>
        <v>3.42471613622208E-2</v>
      </c>
      <c r="Z202" s="54">
        <f t="shared" si="30"/>
        <v>6.0678699586750604E-3</v>
      </c>
      <c r="AA202" s="54">
        <v>0.02</v>
      </c>
      <c r="AB202" s="99">
        <f t="shared" si="31"/>
        <v>0.64025214843807121</v>
      </c>
      <c r="AC202" s="99">
        <f t="shared" si="32"/>
        <v>599.93506106225459</v>
      </c>
      <c r="AD202" s="99">
        <f t="shared" si="33"/>
        <v>0.1011848655906267</v>
      </c>
      <c r="AE202" s="99"/>
    </row>
    <row r="203" spans="1:31" x14ac:dyDescent="0.25">
      <c r="O203" t="s">
        <v>196</v>
      </c>
      <c r="Q203" s="99">
        <v>332.52344290365471</v>
      </c>
      <c r="R203" s="99">
        <v>-256.89395462602334</v>
      </c>
      <c r="T203" s="99">
        <v>20.246761723967026</v>
      </c>
      <c r="U203" s="99">
        <v>10.282441590367565</v>
      </c>
      <c r="V203" s="99">
        <f t="shared" si="27"/>
        <v>9.9643201335994611</v>
      </c>
      <c r="W203" t="s">
        <v>570</v>
      </c>
      <c r="X203" s="54">
        <f t="shared" si="28"/>
        <v>0.1470749793639588</v>
      </c>
      <c r="Y203" s="54">
        <f t="shared" si="29"/>
        <v>3.42471613622208E-2</v>
      </c>
      <c r="Z203" s="54">
        <f t="shared" si="30"/>
        <v>6.0678699586750604E-3</v>
      </c>
      <c r="AA203" s="54">
        <v>0.02</v>
      </c>
      <c r="AB203" s="99">
        <f t="shared" si="31"/>
        <v>0.86292990206747777</v>
      </c>
      <c r="AC203" s="99">
        <f t="shared" si="32"/>
        <v>589.41739752967806</v>
      </c>
      <c r="AD203" s="99">
        <f t="shared" si="33"/>
        <v>0.10029399079741809</v>
      </c>
      <c r="AE203" s="99"/>
    </row>
    <row r="204" spans="1:31" x14ac:dyDescent="0.25">
      <c r="O204" t="s">
        <v>197</v>
      </c>
      <c r="Q204" s="99">
        <v>637.17663427010814</v>
      </c>
      <c r="R204" s="99">
        <v>-201.90144577125125</v>
      </c>
      <c r="T204" s="99">
        <v>15.829965253317933</v>
      </c>
      <c r="U204" s="99">
        <v>8.8109084585564972</v>
      </c>
      <c r="V204" s="99">
        <f t="shared" si="27"/>
        <v>7.0190567947614362</v>
      </c>
      <c r="W204" t="s">
        <v>570</v>
      </c>
      <c r="X204" s="54">
        <f t="shared" si="28"/>
        <v>0.1470749793639588</v>
      </c>
      <c r="Y204" s="54">
        <f t="shared" si="29"/>
        <v>3.42471613622208E-2</v>
      </c>
      <c r="Z204" s="54">
        <f t="shared" si="30"/>
        <v>6.0678699586750604E-3</v>
      </c>
      <c r="AA204" s="54">
        <v>0.02</v>
      </c>
      <c r="AB204" s="99">
        <f t="shared" si="31"/>
        <v>0.72425426363470735</v>
      </c>
      <c r="AC204" s="99">
        <f t="shared" si="32"/>
        <v>839.07808004135939</v>
      </c>
      <c r="AD204" s="99">
        <f t="shared" si="33"/>
        <v>0.11966430568222221</v>
      </c>
      <c r="AE204" s="99"/>
    </row>
    <row r="205" spans="1:31" x14ac:dyDescent="0.25">
      <c r="O205" t="s">
        <v>198</v>
      </c>
      <c r="Q205" s="99">
        <v>1366.4493325111209</v>
      </c>
      <c r="R205" s="99">
        <v>-260.94663304185849</v>
      </c>
      <c r="T205" s="99">
        <v>5.3352653643398185</v>
      </c>
      <c r="U205" s="99">
        <v>12.59838875542242</v>
      </c>
      <c r="V205" s="99">
        <f t="shared" si="27"/>
        <v>-7.2631233910826012</v>
      </c>
      <c r="W205" t="s">
        <v>570</v>
      </c>
      <c r="X205" s="54">
        <f t="shared" si="28"/>
        <v>0.1470749793639588</v>
      </c>
      <c r="Y205" s="54">
        <f t="shared" si="29"/>
        <v>3.42471613622208E-2</v>
      </c>
      <c r="Z205" s="54">
        <f t="shared" si="30"/>
        <v>6.0678699586750604E-3</v>
      </c>
      <c r="AA205" s="54">
        <v>0.02</v>
      </c>
      <c r="AB205" s="99">
        <f t="shared" si="31"/>
        <v>-0.64935735775180048</v>
      </c>
      <c r="AC205" s="99">
        <f t="shared" si="32"/>
        <v>1627.3959655529793</v>
      </c>
      <c r="AD205" s="99">
        <f t="shared" si="33"/>
        <v>0.16665181767987411</v>
      </c>
      <c r="AE205" s="99"/>
    </row>
    <row r="206" spans="1:31" x14ac:dyDescent="0.25">
      <c r="O206" t="s">
        <v>195</v>
      </c>
      <c r="Q206" s="99">
        <v>522.17707688264193</v>
      </c>
      <c r="R206" s="99">
        <v>-236.71209599402644</v>
      </c>
      <c r="T206" s="99">
        <v>16.183672246049461</v>
      </c>
      <c r="U206" s="99">
        <v>10.436400060143644</v>
      </c>
      <c r="V206" s="99">
        <f t="shared" si="27"/>
        <v>5.7472721859058176</v>
      </c>
      <c r="W206" t="s">
        <v>570</v>
      </c>
      <c r="X206" s="54">
        <f t="shared" si="28"/>
        <v>0.1470749793639588</v>
      </c>
      <c r="Y206" s="54">
        <f t="shared" si="29"/>
        <v>3.42471613622208E-2</v>
      </c>
      <c r="Z206" s="54">
        <f t="shared" si="30"/>
        <v>6.0678699586750604E-3</v>
      </c>
      <c r="AA206" s="54">
        <v>0.02</v>
      </c>
      <c r="AB206" s="99">
        <f t="shared" si="31"/>
        <v>0.6553639753460736</v>
      </c>
      <c r="AC206" s="99">
        <f t="shared" si="32"/>
        <v>758.88917287666834</v>
      </c>
      <c r="AD206" s="99">
        <f t="shared" si="33"/>
        <v>0.11380271305867969</v>
      </c>
      <c r="AE206" s="99"/>
    </row>
    <row r="207" spans="1:31" x14ac:dyDescent="0.25">
      <c r="O207" t="s">
        <v>199</v>
      </c>
      <c r="Q207" s="99">
        <v>615.58903127287272</v>
      </c>
      <c r="R207" s="99">
        <v>-221.79996309268287</v>
      </c>
      <c r="T207" s="99">
        <v>15.451119261710843</v>
      </c>
      <c r="U207" s="99">
        <v>10.341622904793727</v>
      </c>
      <c r="V207" s="99">
        <f t="shared" si="27"/>
        <v>5.1094963569171163</v>
      </c>
      <c r="W207" t="s">
        <v>570</v>
      </c>
      <c r="X207" s="54">
        <f t="shared" si="28"/>
        <v>0.1470749793639588</v>
      </c>
      <c r="Y207" s="54">
        <f t="shared" si="29"/>
        <v>3.42471613622208E-2</v>
      </c>
      <c r="Z207" s="54">
        <f t="shared" si="30"/>
        <v>6.0678699586750604E-3</v>
      </c>
      <c r="AA207" s="54">
        <v>0.02</v>
      </c>
      <c r="AB207" s="99">
        <f t="shared" si="31"/>
        <v>0.61793206145044866</v>
      </c>
      <c r="AC207" s="99">
        <f t="shared" si="32"/>
        <v>837.38899436555562</v>
      </c>
      <c r="AD207" s="99">
        <f t="shared" si="33"/>
        <v>0.11954380135027617</v>
      </c>
      <c r="AE207" s="99"/>
    </row>
    <row r="208" spans="1:31" x14ac:dyDescent="0.25">
      <c r="O208" t="s">
        <v>157</v>
      </c>
      <c r="Q208" s="99">
        <v>13362.400373023611</v>
      </c>
      <c r="R208" s="99">
        <v>-226.58827510670812</v>
      </c>
      <c r="T208" s="99">
        <v>0.63893078950557225</v>
      </c>
      <c r="U208" s="99">
        <v>11.297352017770034</v>
      </c>
      <c r="V208" s="99">
        <f t="shared" si="27"/>
        <v>-10.658421228264462</v>
      </c>
      <c r="W208" t="s">
        <v>570</v>
      </c>
      <c r="X208" s="54">
        <f t="shared" si="28"/>
        <v>0.1470749793639588</v>
      </c>
      <c r="Y208" s="54">
        <f t="shared" si="29"/>
        <v>3.42471613622208E-2</v>
      </c>
      <c r="Z208" s="54">
        <f t="shared" si="30"/>
        <v>6.0678699586750604E-3</v>
      </c>
      <c r="AA208" s="54">
        <v>0.02</v>
      </c>
      <c r="AB208" s="99">
        <f t="shared" si="31"/>
        <v>-0.78662635813546822</v>
      </c>
      <c r="AC208" s="99">
        <f t="shared" si="32"/>
        <v>13588.988648130318</v>
      </c>
      <c r="AD208" s="99">
        <f t="shared" si="33"/>
        <v>0.48156731783142237</v>
      </c>
      <c r="AE208" s="99"/>
    </row>
    <row r="209" spans="15:31" x14ac:dyDescent="0.25">
      <c r="O209" t="s">
        <v>200</v>
      </c>
      <c r="Q209" s="99">
        <v>794.94913268142545</v>
      </c>
      <c r="R209" s="99">
        <v>-177.95422531945317</v>
      </c>
      <c r="T209" s="99">
        <v>12.868920858849471</v>
      </c>
      <c r="U209" s="99">
        <v>10.257829847883333</v>
      </c>
      <c r="V209" s="99">
        <f t="shared" si="27"/>
        <v>2.6110910109661383</v>
      </c>
      <c r="W209" t="s">
        <v>570</v>
      </c>
      <c r="X209" s="54">
        <f t="shared" si="28"/>
        <v>0.1470749793639588</v>
      </c>
      <c r="Y209" s="54">
        <f t="shared" si="29"/>
        <v>3.42471613622208E-2</v>
      </c>
      <c r="Z209" s="54">
        <f t="shared" si="30"/>
        <v>6.0678699586750604E-3</v>
      </c>
      <c r="AA209" s="54">
        <v>0.02</v>
      </c>
      <c r="AB209" s="99">
        <f t="shared" si="31"/>
        <v>0.44173589103111499</v>
      </c>
      <c r="AC209" s="99">
        <f t="shared" si="32"/>
        <v>972.9033580008786</v>
      </c>
      <c r="AD209" s="99">
        <f t="shared" si="33"/>
        <v>0.12885411385062848</v>
      </c>
      <c r="AE209" s="99"/>
    </row>
    <row r="210" spans="15:31" x14ac:dyDescent="0.25">
      <c r="O210" t="s">
        <v>203</v>
      </c>
      <c r="Q210" s="99">
        <v>559.83231775968375</v>
      </c>
      <c r="R210" s="99">
        <v>-242.74910693477955</v>
      </c>
      <c r="T210" s="99">
        <v>19.875532465117928</v>
      </c>
      <c r="U210" s="99">
        <v>10.176922776651324</v>
      </c>
      <c r="V210" s="99">
        <f t="shared" si="27"/>
        <v>9.698609688466604</v>
      </c>
      <c r="W210" t="s">
        <v>570</v>
      </c>
      <c r="X210" s="54">
        <f t="shared" si="28"/>
        <v>0.1470749793639588</v>
      </c>
      <c r="Y210" s="54">
        <f t="shared" si="29"/>
        <v>3.42471613622208E-2</v>
      </c>
      <c r="Z210" s="54">
        <f t="shared" si="30"/>
        <v>6.0678699586750604E-3</v>
      </c>
      <c r="AA210" s="54">
        <v>0.02</v>
      </c>
      <c r="AB210" s="99">
        <f t="shared" si="31"/>
        <v>0.85134663390594545</v>
      </c>
      <c r="AC210" s="99">
        <f t="shared" si="32"/>
        <v>802.58142469446329</v>
      </c>
      <c r="AD210" s="99">
        <f t="shared" si="33"/>
        <v>0.11703290611460522</v>
      </c>
      <c r="AE210" s="99"/>
    </row>
    <row r="211" spans="15:31" x14ac:dyDescent="0.25">
      <c r="O211" t="s">
        <v>202</v>
      </c>
      <c r="Q211" s="99">
        <v>604.13655956534456</v>
      </c>
      <c r="R211" s="99">
        <v>-220.42015182729679</v>
      </c>
      <c r="T211" s="99">
        <v>16.141537961683639</v>
      </c>
      <c r="U211" s="99">
        <v>9.3651969111127364</v>
      </c>
      <c r="V211" s="99">
        <f t="shared" si="27"/>
        <v>6.7763410505709025</v>
      </c>
      <c r="W211" t="s">
        <v>570</v>
      </c>
      <c r="X211" s="54">
        <f t="shared" si="28"/>
        <v>0.1470749793639588</v>
      </c>
      <c r="Y211" s="54">
        <f t="shared" si="29"/>
        <v>3.42471613622208E-2</v>
      </c>
      <c r="Z211" s="54">
        <f t="shared" si="30"/>
        <v>6.0678699586750604E-3</v>
      </c>
      <c r="AA211" s="54">
        <v>0.02</v>
      </c>
      <c r="AB211" s="99">
        <f t="shared" si="31"/>
        <v>0.71162190855979035</v>
      </c>
      <c r="AC211" s="99">
        <f t="shared" si="32"/>
        <v>824.55671139264132</v>
      </c>
      <c r="AD211" s="99">
        <f t="shared" si="33"/>
        <v>0.11862431097383427</v>
      </c>
      <c r="AE211" s="99"/>
    </row>
    <row r="212" spans="15:31" x14ac:dyDescent="0.25">
      <c r="O212" t="s">
        <v>201</v>
      </c>
      <c r="Q212" s="99">
        <v>1046.0952864956416</v>
      </c>
      <c r="R212" s="99">
        <v>-215.41884627481028</v>
      </c>
      <c r="T212" s="99">
        <v>11.829869983008056</v>
      </c>
      <c r="U212" s="99">
        <v>9.207348667496511</v>
      </c>
      <c r="V212" s="99">
        <f t="shared" si="27"/>
        <v>2.6225213155115448</v>
      </c>
      <c r="W212" t="s">
        <v>570</v>
      </c>
      <c r="X212" s="54">
        <f t="shared" si="28"/>
        <v>0.1470749793639588</v>
      </c>
      <c r="Y212" s="54">
        <f t="shared" si="29"/>
        <v>3.42471613622208E-2</v>
      </c>
      <c r="Z212" s="54">
        <f t="shared" si="30"/>
        <v>6.0678699586750604E-3</v>
      </c>
      <c r="AA212" s="54">
        <v>0.02</v>
      </c>
      <c r="AB212" s="99">
        <f t="shared" si="31"/>
        <v>0.4427017060849559</v>
      </c>
      <c r="AC212" s="99">
        <f t="shared" si="32"/>
        <v>1261.5141327704519</v>
      </c>
      <c r="AD212" s="99">
        <f t="shared" si="33"/>
        <v>0.14672681740734811</v>
      </c>
      <c r="AE212" s="99"/>
    </row>
    <row r="213" spans="15:31" x14ac:dyDescent="0.25">
      <c r="O213" t="s">
        <v>204</v>
      </c>
      <c r="Q213" s="99">
        <v>1012.0211448212041</v>
      </c>
      <c r="R213" s="99">
        <v>-202.30382558718529</v>
      </c>
      <c r="T213" s="99">
        <v>11.255363906668265</v>
      </c>
      <c r="U213" s="99">
        <v>10.174887471249637</v>
      </c>
      <c r="V213" s="99">
        <f t="shared" si="27"/>
        <v>1.0804764354186283</v>
      </c>
      <c r="W213" t="s">
        <v>570</v>
      </c>
      <c r="X213" s="54">
        <f t="shared" si="28"/>
        <v>0.1470749793639588</v>
      </c>
      <c r="Y213" s="54">
        <f t="shared" si="29"/>
        <v>3.42471613622208E-2</v>
      </c>
      <c r="Z213" s="54">
        <f t="shared" si="30"/>
        <v>6.0678699586750604E-3</v>
      </c>
      <c r="AA213" s="54">
        <v>0.02</v>
      </c>
      <c r="AB213" s="99">
        <f t="shared" si="31"/>
        <v>0.2841576366602504</v>
      </c>
      <c r="AC213" s="99">
        <f t="shared" si="32"/>
        <v>1214.3249704083894</v>
      </c>
      <c r="AD213" s="99">
        <f t="shared" si="33"/>
        <v>0.14395637438388181</v>
      </c>
      <c r="AE213" s="99"/>
    </row>
    <row r="214" spans="15:31" x14ac:dyDescent="0.25">
      <c r="O214" t="s">
        <v>205</v>
      </c>
      <c r="Q214" s="99">
        <v>442.85578093257686</v>
      </c>
      <c r="R214" s="99">
        <v>-258.63267367580187</v>
      </c>
      <c r="T214" s="99">
        <v>17.12677567571458</v>
      </c>
      <c r="U214" s="99">
        <v>12.906558172883447</v>
      </c>
      <c r="V214" s="99">
        <f t="shared" si="27"/>
        <v>4.2202175028311331</v>
      </c>
      <c r="W214" t="s">
        <v>570</v>
      </c>
      <c r="X214" s="54">
        <f t="shared" si="28"/>
        <v>0.1470749793639588</v>
      </c>
      <c r="Y214" s="54">
        <f t="shared" si="29"/>
        <v>3.42471613622208E-2</v>
      </c>
      <c r="Z214" s="54">
        <f t="shared" si="30"/>
        <v>6.0678699586750604E-3</v>
      </c>
      <c r="AA214" s="54">
        <v>0.02</v>
      </c>
      <c r="AB214" s="99">
        <f t="shared" si="31"/>
        <v>0.5615896554673111</v>
      </c>
      <c r="AC214" s="99">
        <f t="shared" si="32"/>
        <v>701.48845460837879</v>
      </c>
      <c r="AD214" s="99">
        <f t="shared" si="33"/>
        <v>0.10941420300158472</v>
      </c>
      <c r="AE214" s="99"/>
    </row>
    <row r="215" spans="15:31" x14ac:dyDescent="0.25">
      <c r="O215" t="s">
        <v>207</v>
      </c>
      <c r="Q215" s="99">
        <v>576.44731238949294</v>
      </c>
      <c r="R215" s="99">
        <v>-240.76583327218978</v>
      </c>
      <c r="T215" s="99">
        <v>16.910267804648925</v>
      </c>
      <c r="U215" s="99">
        <v>13.698604156433582</v>
      </c>
      <c r="V215" s="99">
        <f t="shared" si="27"/>
        <v>3.2116636482153424</v>
      </c>
      <c r="W215" t="s">
        <v>570</v>
      </c>
      <c r="X215" s="54">
        <f t="shared" si="28"/>
        <v>0.1470749793639588</v>
      </c>
      <c r="Y215" s="54">
        <f t="shared" si="29"/>
        <v>3.42471613622208E-2</v>
      </c>
      <c r="Z215" s="54">
        <f t="shared" si="30"/>
        <v>6.0678699586750604E-3</v>
      </c>
      <c r="AA215" s="54">
        <v>0.02</v>
      </c>
      <c r="AB215" s="99">
        <f t="shared" si="31"/>
        <v>0.4899104580006125</v>
      </c>
      <c r="AC215" s="99">
        <f t="shared" si="32"/>
        <v>817.21314566168269</v>
      </c>
      <c r="AD215" s="99">
        <f t="shared" si="33"/>
        <v>0.11809489093769424</v>
      </c>
      <c r="AE215" s="99"/>
    </row>
    <row r="216" spans="15:31" x14ac:dyDescent="0.25">
      <c r="O216" t="s">
        <v>206</v>
      </c>
      <c r="Q216" s="99">
        <v>1238.5367178159297</v>
      </c>
      <c r="R216" s="99">
        <v>-258.63278012941595</v>
      </c>
      <c r="T216" s="99">
        <v>5.7968118544609695</v>
      </c>
      <c r="U216" s="99">
        <v>12.908109529905989</v>
      </c>
      <c r="V216" s="99">
        <f t="shared" si="27"/>
        <v>-7.1112976754450195</v>
      </c>
      <c r="W216" t="s">
        <v>570</v>
      </c>
      <c r="X216" s="54">
        <f t="shared" si="28"/>
        <v>0.1470749793639588</v>
      </c>
      <c r="Y216" s="54">
        <f t="shared" si="29"/>
        <v>3.42471613622208E-2</v>
      </c>
      <c r="Z216" s="54">
        <f t="shared" si="30"/>
        <v>6.0678699586750604E-3</v>
      </c>
      <c r="AA216" s="54">
        <v>0.02</v>
      </c>
      <c r="AB216" s="99">
        <f t="shared" si="31"/>
        <v>-0.64253454788256226</v>
      </c>
      <c r="AC216" s="99">
        <f t="shared" si="32"/>
        <v>1497.1694979453457</v>
      </c>
      <c r="AD216" s="99">
        <f t="shared" si="33"/>
        <v>0.15984495094758824</v>
      </c>
      <c r="AE216" s="99"/>
    </row>
    <row r="217" spans="15:31" x14ac:dyDescent="0.25">
      <c r="O217" t="s">
        <v>208</v>
      </c>
      <c r="Q217" s="99">
        <v>738.88274360170669</v>
      </c>
      <c r="R217" s="99">
        <v>-265.07319530847894</v>
      </c>
      <c r="T217" s="99">
        <v>9.8377824846471391</v>
      </c>
      <c r="U217" s="99">
        <v>11.368943629491582</v>
      </c>
      <c r="V217" s="99">
        <f t="shared" si="27"/>
        <v>-1.5311611448444431</v>
      </c>
      <c r="W217" t="s">
        <v>570</v>
      </c>
      <c r="X217" s="54">
        <f t="shared" si="28"/>
        <v>0.1470749793639588</v>
      </c>
      <c r="Y217" s="54">
        <f t="shared" si="29"/>
        <v>3.42471613622208E-2</v>
      </c>
      <c r="Z217" s="54">
        <f t="shared" si="30"/>
        <v>6.0678699586750604E-3</v>
      </c>
      <c r="AA217" s="54">
        <v>0.02</v>
      </c>
      <c r="AB217" s="99">
        <f t="shared" si="31"/>
        <v>-0.29814841474632253</v>
      </c>
      <c r="AC217" s="99">
        <f t="shared" si="32"/>
        <v>1003.9559389101856</v>
      </c>
      <c r="AD217" s="99">
        <f t="shared" si="33"/>
        <v>0.13089430875230929</v>
      </c>
      <c r="AE217" s="99"/>
    </row>
    <row r="218" spans="15:31" x14ac:dyDescent="0.25">
      <c r="O218" t="s">
        <v>211</v>
      </c>
      <c r="Q218" s="99">
        <v>855.63348336531465</v>
      </c>
      <c r="R218" s="99">
        <v>-220.0837525229941</v>
      </c>
      <c r="T218" s="99">
        <v>10.369273413553628</v>
      </c>
      <c r="U218" s="99">
        <v>10.467624926179319</v>
      </c>
      <c r="V218" s="99">
        <f t="shared" si="27"/>
        <v>-9.8351512625690418E-2</v>
      </c>
      <c r="W218" t="s">
        <v>570</v>
      </c>
      <c r="X218" s="54">
        <f t="shared" si="28"/>
        <v>0.1470749793639588</v>
      </c>
      <c r="Y218" s="54">
        <f t="shared" si="29"/>
        <v>3.42471613622208E-2</v>
      </c>
      <c r="Z218" s="54">
        <f t="shared" si="30"/>
        <v>6.0678699586750604E-3</v>
      </c>
      <c r="AA218" s="54">
        <v>0.02</v>
      </c>
      <c r="AB218" s="99">
        <f t="shared" si="31"/>
        <v>-7.5563588879249743E-2</v>
      </c>
      <c r="AC218" s="99">
        <f t="shared" si="32"/>
        <v>1075.7172358883088</v>
      </c>
      <c r="AD218" s="99">
        <f t="shared" si="33"/>
        <v>0.13549164046106982</v>
      </c>
      <c r="AE218" s="99"/>
    </row>
    <row r="219" spans="15:31" x14ac:dyDescent="0.25">
      <c r="O219" t="s">
        <v>215</v>
      </c>
      <c r="Q219" s="99">
        <v>540.12527271817453</v>
      </c>
      <c r="R219" s="99">
        <v>-305.2958157683629</v>
      </c>
      <c r="T219" s="99">
        <v>14.249052870318719</v>
      </c>
      <c r="U219" s="99">
        <v>9.8063856730660248</v>
      </c>
      <c r="V219" s="99">
        <f t="shared" si="27"/>
        <v>4.4426671972526943</v>
      </c>
      <c r="W219" t="s">
        <v>570</v>
      </c>
      <c r="X219" s="54">
        <f t="shared" si="28"/>
        <v>0.1470749793639588</v>
      </c>
      <c r="Y219" s="54">
        <f t="shared" si="29"/>
        <v>3.42471613622208E-2</v>
      </c>
      <c r="Z219" s="54">
        <f t="shared" si="30"/>
        <v>6.0678699586750604E-3</v>
      </c>
      <c r="AA219" s="54">
        <v>0.02</v>
      </c>
      <c r="AB219" s="99">
        <f t="shared" si="31"/>
        <v>0.57620042315861186</v>
      </c>
      <c r="AC219" s="99">
        <f t="shared" si="32"/>
        <v>845.42108848653743</v>
      </c>
      <c r="AD219" s="99">
        <f t="shared" si="33"/>
        <v>0.12011575510123554</v>
      </c>
      <c r="AE219" s="99"/>
    </row>
    <row r="220" spans="15:31" x14ac:dyDescent="0.25">
      <c r="O220" t="s">
        <v>212</v>
      </c>
      <c r="Q220" s="99">
        <v>723.98256034740996</v>
      </c>
      <c r="R220" s="99">
        <v>-211.84400723428155</v>
      </c>
      <c r="T220" s="99">
        <v>16.846993234495216</v>
      </c>
      <c r="U220" s="99">
        <v>8.2283810751630888</v>
      </c>
      <c r="V220" s="99">
        <f t="shared" si="27"/>
        <v>8.6186121593321268</v>
      </c>
      <c r="W220" t="s">
        <v>570</v>
      </c>
      <c r="X220" s="54">
        <f t="shared" si="28"/>
        <v>0.1470749793639588</v>
      </c>
      <c r="Y220" s="54">
        <f t="shared" si="29"/>
        <v>3.42471613622208E-2</v>
      </c>
      <c r="Z220" s="54">
        <f t="shared" si="30"/>
        <v>6.0678699586750604E-3</v>
      </c>
      <c r="AA220" s="54">
        <v>0.02</v>
      </c>
      <c r="AB220" s="99">
        <f t="shared" si="31"/>
        <v>0.80254676994429586</v>
      </c>
      <c r="AC220" s="99">
        <f t="shared" si="32"/>
        <v>935.82656758169151</v>
      </c>
      <c r="AD220" s="99">
        <f t="shared" si="33"/>
        <v>0.12637498661226346</v>
      </c>
      <c r="AE220" s="99"/>
    </row>
    <row r="221" spans="15:31" x14ac:dyDescent="0.25">
      <c r="O221" t="s">
        <v>213</v>
      </c>
      <c r="Q221" s="99">
        <v>695.98476673037726</v>
      </c>
      <c r="R221" s="99">
        <v>-192.2914093906947</v>
      </c>
      <c r="T221" s="99">
        <v>14.721725097958545</v>
      </c>
      <c r="U221" s="99">
        <v>8.5383164211563525</v>
      </c>
      <c r="V221" s="99">
        <f t="shared" si="27"/>
        <v>6.183408676802193</v>
      </c>
      <c r="W221" t="s">
        <v>570</v>
      </c>
      <c r="X221" s="54">
        <f t="shared" si="28"/>
        <v>0.1470749793639588</v>
      </c>
      <c r="Y221" s="54">
        <f t="shared" si="29"/>
        <v>3.42471613622208E-2</v>
      </c>
      <c r="Z221" s="54">
        <f t="shared" si="30"/>
        <v>6.0678699586750604E-3</v>
      </c>
      <c r="AA221" s="54">
        <v>0.02</v>
      </c>
      <c r="AB221" s="99">
        <f t="shared" si="31"/>
        <v>0.67977573450292672</v>
      </c>
      <c r="AC221" s="99">
        <f t="shared" si="32"/>
        <v>888.27617612107201</v>
      </c>
      <c r="AD221" s="99">
        <f t="shared" si="33"/>
        <v>0.12312250547237845</v>
      </c>
      <c r="AE221" s="99"/>
    </row>
    <row r="222" spans="15:31" x14ac:dyDescent="0.25">
      <c r="O222" t="s">
        <v>214</v>
      </c>
      <c r="Q222" s="99">
        <v>380.19398441216572</v>
      </c>
      <c r="R222" s="99">
        <v>-241.25171221282613</v>
      </c>
      <c r="T222" s="99">
        <v>18.363116287534371</v>
      </c>
      <c r="U222" s="99">
        <v>13.312401081417732</v>
      </c>
      <c r="V222" s="99">
        <f t="shared" si="27"/>
        <v>5.0507152061166387</v>
      </c>
      <c r="W222" t="s">
        <v>570</v>
      </c>
      <c r="X222" s="54">
        <f t="shared" si="28"/>
        <v>0.1470749793639588</v>
      </c>
      <c r="Y222" s="54">
        <f t="shared" si="29"/>
        <v>3.42471613622208E-2</v>
      </c>
      <c r="Z222" s="54">
        <f t="shared" si="30"/>
        <v>6.0678699586750604E-3</v>
      </c>
      <c r="AA222" s="54">
        <v>0.02</v>
      </c>
      <c r="AB222" s="99">
        <f t="shared" si="31"/>
        <v>0.61436734319505293</v>
      </c>
      <c r="AC222" s="99">
        <f t="shared" si="32"/>
        <v>621.4456966249918</v>
      </c>
      <c r="AD222" s="99">
        <f t="shared" si="33"/>
        <v>0.10298287924485029</v>
      </c>
      <c r="AE222" s="99"/>
    </row>
    <row r="223" spans="15:31" x14ac:dyDescent="0.25">
      <c r="O223" t="s">
        <v>216</v>
      </c>
      <c r="Q223" s="99">
        <v>897.96449411612684</v>
      </c>
      <c r="R223" s="99">
        <v>-153.27102716027568</v>
      </c>
      <c r="T223" s="99">
        <v>12.542481543729547</v>
      </c>
      <c r="U223" s="99">
        <v>7.1961261045425804</v>
      </c>
      <c r="V223" s="99">
        <f t="shared" si="27"/>
        <v>5.3463554391869668</v>
      </c>
      <c r="W223" t="s">
        <v>570</v>
      </c>
      <c r="X223" s="54">
        <f t="shared" si="28"/>
        <v>0.1470749793639588</v>
      </c>
      <c r="Y223" s="54">
        <f t="shared" si="29"/>
        <v>3.42471613622208E-2</v>
      </c>
      <c r="Z223" s="54">
        <f t="shared" si="30"/>
        <v>6.0678699586750604E-3</v>
      </c>
      <c r="AA223" s="54">
        <v>0.02</v>
      </c>
      <c r="AB223" s="99">
        <f t="shared" si="31"/>
        <v>0.63209244057046921</v>
      </c>
      <c r="AC223" s="99">
        <f t="shared" si="32"/>
        <v>1051.2355212764026</v>
      </c>
      <c r="AD223" s="99">
        <f t="shared" si="33"/>
        <v>0.1339409734733229</v>
      </c>
      <c r="AE223" s="99"/>
    </row>
    <row r="224" spans="15:31" x14ac:dyDescent="0.25">
      <c r="O224" t="s">
        <v>209</v>
      </c>
      <c r="Q224" s="99">
        <v>338.13115986955358</v>
      </c>
      <c r="R224" s="99">
        <v>-247.16687003546545</v>
      </c>
      <c r="T224" s="99">
        <v>17.257422167347617</v>
      </c>
      <c r="U224" s="99">
        <v>11.049425093332438</v>
      </c>
      <c r="V224" s="99">
        <f t="shared" si="27"/>
        <v>6.2079970740151786</v>
      </c>
      <c r="W224" t="s">
        <v>570</v>
      </c>
      <c r="X224" s="54">
        <f t="shared" si="28"/>
        <v>0.1470749793639588</v>
      </c>
      <c r="Y224" s="54">
        <f t="shared" si="29"/>
        <v>3.42471613622208E-2</v>
      </c>
      <c r="Z224" s="54">
        <f t="shared" si="30"/>
        <v>6.0678699586750604E-3</v>
      </c>
      <c r="AA224" s="54">
        <v>0.02</v>
      </c>
      <c r="AB224" s="99">
        <f t="shared" si="31"/>
        <v>0.68112596163150252</v>
      </c>
      <c r="AC224" s="99">
        <f t="shared" si="32"/>
        <v>585.29802990501901</v>
      </c>
      <c r="AD224" s="99">
        <f t="shared" si="33"/>
        <v>9.9942904950526448E-2</v>
      </c>
      <c r="AE224" s="99"/>
    </row>
    <row r="225" spans="15:31" x14ac:dyDescent="0.25">
      <c r="O225" t="s">
        <v>210</v>
      </c>
      <c r="Q225" s="99">
        <v>918.50577543388988</v>
      </c>
      <c r="R225" s="99">
        <v>-257.71653619728392</v>
      </c>
      <c r="T225" s="99">
        <v>7.1197434998602844</v>
      </c>
      <c r="U225" s="99">
        <v>12.747018546168746</v>
      </c>
      <c r="V225" s="99">
        <f t="shared" si="27"/>
        <v>-5.627275046308462</v>
      </c>
      <c r="W225" t="s">
        <v>570</v>
      </c>
      <c r="X225" s="54">
        <f t="shared" si="28"/>
        <v>0.1470749793639588</v>
      </c>
      <c r="Y225" s="54">
        <f t="shared" si="29"/>
        <v>3.42471613622208E-2</v>
      </c>
      <c r="Z225" s="54">
        <f t="shared" si="30"/>
        <v>6.0678699586750604E-3</v>
      </c>
      <c r="AA225" s="54">
        <v>0.02</v>
      </c>
      <c r="AB225" s="99">
        <f t="shared" si="31"/>
        <v>-0.57157223757432096</v>
      </c>
      <c r="AC225" s="99">
        <f t="shared" si="32"/>
        <v>1176.2223116311739</v>
      </c>
      <c r="AD225" s="99">
        <f t="shared" si="33"/>
        <v>0.14167986814488975</v>
      </c>
      <c r="AE225" s="99"/>
    </row>
    <row r="226" spans="15:31" x14ac:dyDescent="0.25">
      <c r="O226" t="s">
        <v>217</v>
      </c>
      <c r="Q226" s="99">
        <v>1011.0712862523342</v>
      </c>
      <c r="R226" s="99">
        <v>-234.64937623053757</v>
      </c>
      <c r="T226" s="99">
        <v>8.2767614935307101</v>
      </c>
      <c r="U226" s="99">
        <v>9.9896956792263616</v>
      </c>
      <c r="V226" s="99">
        <f t="shared" si="27"/>
        <v>-1.7129341856956515</v>
      </c>
      <c r="W226" t="s">
        <v>570</v>
      </c>
      <c r="X226" s="54">
        <f t="shared" si="28"/>
        <v>0.1470749793639588</v>
      </c>
      <c r="Y226" s="54">
        <f t="shared" si="29"/>
        <v>3.42471613622208E-2</v>
      </c>
      <c r="Z226" s="54">
        <f t="shared" si="30"/>
        <v>6.0678699586750604E-3</v>
      </c>
      <c r="AA226" s="54">
        <v>0.02</v>
      </c>
      <c r="AB226" s="99">
        <f t="shared" si="31"/>
        <v>-0.31534967886306942</v>
      </c>
      <c r="AC226" s="99">
        <f t="shared" si="32"/>
        <v>1245.7206624828718</v>
      </c>
      <c r="AD226" s="99">
        <f t="shared" si="33"/>
        <v>0.14580545464006867</v>
      </c>
      <c r="AE226" s="99"/>
    </row>
    <row r="227" spans="15:31" x14ac:dyDescent="0.25">
      <c r="O227" t="s">
        <v>218</v>
      </c>
      <c r="Q227" s="99">
        <v>327.25533075107876</v>
      </c>
      <c r="R227" s="99">
        <v>-249.03622640576927</v>
      </c>
      <c r="T227" s="99">
        <v>19.358698089307318</v>
      </c>
      <c r="U227" s="99">
        <v>12.275221786320792</v>
      </c>
      <c r="V227" s="99">
        <f t="shared" si="27"/>
        <v>7.0834763029865258</v>
      </c>
      <c r="W227" t="s">
        <v>570</v>
      </c>
      <c r="X227" s="54">
        <f t="shared" si="28"/>
        <v>0.1470749793639588</v>
      </c>
      <c r="Y227" s="54">
        <f t="shared" si="29"/>
        <v>3.42471613622208E-2</v>
      </c>
      <c r="Z227" s="54">
        <f t="shared" si="30"/>
        <v>6.0678699586750604E-3</v>
      </c>
      <c r="AA227" s="54">
        <v>0.02</v>
      </c>
      <c r="AB227" s="99">
        <f t="shared" si="31"/>
        <v>0.7275702035954188</v>
      </c>
      <c r="AC227" s="99">
        <f t="shared" si="32"/>
        <v>576.29155715684806</v>
      </c>
      <c r="AD227" s="99">
        <f t="shared" si="33"/>
        <v>9.917097109722274E-2</v>
      </c>
      <c r="AE227" s="99"/>
    </row>
    <row r="228" spans="15:31" x14ac:dyDescent="0.25">
      <c r="O228" t="s">
        <v>219</v>
      </c>
      <c r="Q228" s="99">
        <v>357.53041713439177</v>
      </c>
      <c r="R228" s="99">
        <v>-311.85998656950051</v>
      </c>
      <c r="T228" s="99">
        <v>16.277177114655068</v>
      </c>
      <c r="U228" s="99">
        <v>8.5898221013164964</v>
      </c>
      <c r="V228" s="99">
        <f t="shared" si="27"/>
        <v>7.6873550133385713</v>
      </c>
      <c r="W228" t="s">
        <v>570</v>
      </c>
      <c r="X228" s="54">
        <f t="shared" si="28"/>
        <v>0.1470749793639588</v>
      </c>
      <c r="Y228" s="54">
        <f t="shared" si="29"/>
        <v>3.42471613622208E-2</v>
      </c>
      <c r="Z228" s="54">
        <f t="shared" si="30"/>
        <v>6.0678699586750604E-3</v>
      </c>
      <c r="AA228" s="54">
        <v>0.02</v>
      </c>
      <c r="AB228" s="99">
        <f t="shared" si="31"/>
        <v>0.75794929131490874</v>
      </c>
      <c r="AC228" s="99">
        <f t="shared" si="32"/>
        <v>669.39040370389228</v>
      </c>
      <c r="AD228" s="99">
        <f t="shared" si="33"/>
        <v>0.10688165707898001</v>
      </c>
      <c r="AE228" s="99"/>
    </row>
    <row r="229" spans="15:31" x14ac:dyDescent="0.25">
      <c r="O229" t="s">
        <v>220</v>
      </c>
      <c r="Q229" s="99">
        <v>925.3658376123791</v>
      </c>
      <c r="R229" s="99">
        <v>-192.31680962520682</v>
      </c>
      <c r="T229" s="99">
        <v>11.593860330184858</v>
      </c>
      <c r="U229" s="99">
        <v>8.0308478076659391</v>
      </c>
      <c r="V229" s="99">
        <f t="shared" si="27"/>
        <v>3.5630125225189193</v>
      </c>
      <c r="W229" t="s">
        <v>570</v>
      </c>
      <c r="X229" s="54">
        <f t="shared" si="28"/>
        <v>0.1470749793639588</v>
      </c>
      <c r="Y229" s="54">
        <f t="shared" si="29"/>
        <v>3.42471613622208E-2</v>
      </c>
      <c r="Z229" s="54">
        <f t="shared" si="30"/>
        <v>6.0678699586750604E-3</v>
      </c>
      <c r="AA229" s="54">
        <v>0.02</v>
      </c>
      <c r="AB229" s="99">
        <f t="shared" si="31"/>
        <v>0.51601265974037258</v>
      </c>
      <c r="AC229" s="99">
        <f t="shared" si="32"/>
        <v>1117.682647237586</v>
      </c>
      <c r="AD229" s="99">
        <f t="shared" si="33"/>
        <v>0.13810922604858486</v>
      </c>
      <c r="AE229" s="99"/>
    </row>
    <row r="230" spans="15:31" x14ac:dyDescent="0.25">
      <c r="O230" t="s">
        <v>221</v>
      </c>
      <c r="Q230" s="99">
        <v>1789.276688627582</v>
      </c>
      <c r="R230" s="99">
        <v>-142.05175361062024</v>
      </c>
      <c r="T230" s="99">
        <v>8.0258502902695508</v>
      </c>
      <c r="U230" s="99">
        <v>6.9625249885021461</v>
      </c>
      <c r="V230" s="99">
        <f t="shared" si="27"/>
        <v>1.0633253017674047</v>
      </c>
      <c r="W230" t="s">
        <v>570</v>
      </c>
      <c r="X230" s="54">
        <f t="shared" si="28"/>
        <v>0.1470749793639588</v>
      </c>
      <c r="Y230" s="54">
        <f t="shared" si="29"/>
        <v>3.42471613622208E-2</v>
      </c>
      <c r="Z230" s="54">
        <f t="shared" si="30"/>
        <v>6.0678699586750604E-3</v>
      </c>
      <c r="AA230" s="54">
        <v>0.02</v>
      </c>
      <c r="AB230" s="99">
        <f t="shared" si="31"/>
        <v>0.28189330165187643</v>
      </c>
      <c r="AC230" s="99">
        <f t="shared" si="32"/>
        <v>1931.3284422382021</v>
      </c>
      <c r="AD230" s="99">
        <f t="shared" si="33"/>
        <v>0.18154801530487491</v>
      </c>
      <c r="AE230" s="99"/>
    </row>
    <row r="231" spans="15:31" x14ac:dyDescent="0.25">
      <c r="O231" t="s">
        <v>222</v>
      </c>
      <c r="Q231" s="99">
        <v>493.14693830261069</v>
      </c>
      <c r="R231" s="99">
        <v>-211.26267826194027</v>
      </c>
      <c r="T231" s="99">
        <v>17.569426599538883</v>
      </c>
      <c r="U231" s="99">
        <v>10.240838928935379</v>
      </c>
      <c r="V231" s="99">
        <f t="shared" si="27"/>
        <v>7.328587670603504</v>
      </c>
      <c r="W231" t="s">
        <v>570</v>
      </c>
      <c r="X231" s="54">
        <f t="shared" si="28"/>
        <v>0.1470749793639588</v>
      </c>
      <c r="Y231" s="54">
        <f t="shared" si="29"/>
        <v>3.42471613622208E-2</v>
      </c>
      <c r="Z231" s="54">
        <f t="shared" si="30"/>
        <v>6.0678699586750604E-3</v>
      </c>
      <c r="AA231" s="54">
        <v>0.02</v>
      </c>
      <c r="AB231" s="99">
        <f t="shared" si="31"/>
        <v>0.74005130038714284</v>
      </c>
      <c r="AC231" s="99">
        <f t="shared" si="32"/>
        <v>704.40961656455102</v>
      </c>
      <c r="AD231" s="99">
        <f t="shared" si="33"/>
        <v>0.10964177949026961</v>
      </c>
      <c r="AE231" s="99"/>
    </row>
    <row r="232" spans="15:31" x14ac:dyDescent="0.25">
      <c r="O232" t="s">
        <v>223</v>
      </c>
      <c r="Q232" s="99">
        <v>362.4084818236517</v>
      </c>
      <c r="R232" s="99">
        <v>-236.23081618527888</v>
      </c>
      <c r="T232" s="99">
        <v>21.75138390276874</v>
      </c>
      <c r="U232" s="99">
        <v>11.073560131132343</v>
      </c>
      <c r="V232" s="99">
        <f t="shared" si="27"/>
        <v>10.677823771636398</v>
      </c>
      <c r="W232" t="s">
        <v>570</v>
      </c>
      <c r="X232" s="54">
        <f t="shared" si="28"/>
        <v>0.1470749793639588</v>
      </c>
      <c r="Y232" s="54">
        <f t="shared" si="29"/>
        <v>3.42471613622208E-2</v>
      </c>
      <c r="Z232" s="54">
        <f t="shared" si="30"/>
        <v>6.0678699586750604E-3</v>
      </c>
      <c r="AA232" s="54">
        <v>0.02</v>
      </c>
      <c r="AB232" s="99">
        <f t="shared" si="31"/>
        <v>0.89329120218065483</v>
      </c>
      <c r="AC232" s="99">
        <f t="shared" si="32"/>
        <v>598.63929800893061</v>
      </c>
      <c r="AD232" s="99">
        <f t="shared" si="33"/>
        <v>0.10107553502266543</v>
      </c>
      <c r="AE232" s="99"/>
    </row>
    <row r="233" spans="15:31" x14ac:dyDescent="0.25">
      <c r="O233" t="s">
        <v>224</v>
      </c>
      <c r="Q233" s="99">
        <v>494.94179510897931</v>
      </c>
      <c r="R233" s="99">
        <v>-235.26665786230222</v>
      </c>
      <c r="T233" s="99">
        <v>17.192981089258978</v>
      </c>
      <c r="U233" s="99">
        <v>10.550545537220522</v>
      </c>
      <c r="V233" s="99">
        <f t="shared" si="27"/>
        <v>6.6424355520384566</v>
      </c>
      <c r="W233" t="s">
        <v>570</v>
      </c>
      <c r="X233" s="54">
        <f t="shared" si="28"/>
        <v>0.1470749793639588</v>
      </c>
      <c r="Y233" s="54">
        <f t="shared" si="29"/>
        <v>3.42471613622208E-2</v>
      </c>
      <c r="Z233" s="54">
        <f t="shared" si="30"/>
        <v>6.0678699586750604E-3</v>
      </c>
      <c r="AA233" s="54">
        <v>0.02</v>
      </c>
      <c r="AB233" s="99">
        <f t="shared" si="31"/>
        <v>0.70455573923916304</v>
      </c>
      <c r="AC233" s="99">
        <f t="shared" si="32"/>
        <v>730.20845297128153</v>
      </c>
      <c r="AD233" s="99">
        <f t="shared" si="33"/>
        <v>0.11163152699088372</v>
      </c>
      <c r="AE233" s="99"/>
    </row>
    <row r="234" spans="15:31" x14ac:dyDescent="0.25">
      <c r="O234" t="s">
        <v>225</v>
      </c>
      <c r="Q234" s="99">
        <v>520.01277048061309</v>
      </c>
      <c r="R234" s="99">
        <v>-208.55588367469562</v>
      </c>
      <c r="T234" s="99">
        <v>15.741155225455913</v>
      </c>
      <c r="U234" s="99">
        <v>11.150376599984178</v>
      </c>
      <c r="V234" s="99">
        <f t="shared" si="27"/>
        <v>4.5907786254717351</v>
      </c>
      <c r="W234" t="s">
        <v>570</v>
      </c>
      <c r="X234" s="54">
        <f t="shared" si="28"/>
        <v>0.1470749793639588</v>
      </c>
      <c r="Y234" s="54">
        <f t="shared" si="29"/>
        <v>3.42471613622208E-2</v>
      </c>
      <c r="Z234" s="54">
        <f t="shared" si="30"/>
        <v>6.0678699586750604E-3</v>
      </c>
      <c r="AA234" s="54">
        <v>0.02</v>
      </c>
      <c r="AB234" s="99">
        <f t="shared" si="31"/>
        <v>0.5857264790935891</v>
      </c>
      <c r="AC234" s="99">
        <f t="shared" si="32"/>
        <v>728.56865415530865</v>
      </c>
      <c r="AD234" s="99">
        <f t="shared" si="33"/>
        <v>0.11150611339880412</v>
      </c>
      <c r="AE234" s="99"/>
    </row>
    <row r="235" spans="15:31" x14ac:dyDescent="0.25">
      <c r="O235" t="s">
        <v>226</v>
      </c>
      <c r="Q235" s="99">
        <v>1538.2658497604709</v>
      </c>
      <c r="R235" s="99">
        <v>-256.50259628877717</v>
      </c>
      <c r="T235" s="99">
        <v>4.6899254654596874</v>
      </c>
      <c r="U235" s="99">
        <v>10.929509051694421</v>
      </c>
      <c r="V235" s="99">
        <f t="shared" si="27"/>
        <v>-6.2395835862347333</v>
      </c>
      <c r="W235" t="s">
        <v>570</v>
      </c>
      <c r="X235" s="54">
        <f t="shared" si="28"/>
        <v>0.1470749793639588</v>
      </c>
      <c r="Y235" s="54">
        <f t="shared" si="29"/>
        <v>3.42471613622208E-2</v>
      </c>
      <c r="Z235" s="54">
        <f t="shared" si="30"/>
        <v>6.0678699586750604E-3</v>
      </c>
      <c r="AA235" s="54">
        <v>0.02</v>
      </c>
      <c r="AB235" s="99">
        <f t="shared" si="31"/>
        <v>-0.60186606627927031</v>
      </c>
      <c r="AC235" s="99">
        <f t="shared" si="32"/>
        <v>1794.768446049248</v>
      </c>
      <c r="AD235" s="99">
        <f t="shared" si="33"/>
        <v>0.17501192839627258</v>
      </c>
      <c r="AE235" s="99"/>
    </row>
    <row r="236" spans="15:31" x14ac:dyDescent="0.25">
      <c r="O236" t="s">
        <v>228</v>
      </c>
      <c r="Q236" s="99">
        <v>490.13906351835317</v>
      </c>
      <c r="R236" s="99">
        <v>-226.56179941546657</v>
      </c>
      <c r="T236" s="99">
        <v>22.655915227456386</v>
      </c>
      <c r="U236" s="99">
        <v>9.274666743506959</v>
      </c>
      <c r="V236" s="99">
        <f t="shared" si="27"/>
        <v>13.381248483949427</v>
      </c>
      <c r="W236" t="s">
        <v>570</v>
      </c>
      <c r="X236" s="54">
        <f t="shared" si="28"/>
        <v>0.1470749793639588</v>
      </c>
      <c r="Y236" s="54">
        <f t="shared" si="29"/>
        <v>3.42471613622208E-2</v>
      </c>
      <c r="Z236" s="54">
        <f t="shared" si="30"/>
        <v>6.0678699586750604E-3</v>
      </c>
      <c r="AA236" s="54">
        <v>0.02</v>
      </c>
      <c r="AB236" s="99">
        <f t="shared" si="31"/>
        <v>1</v>
      </c>
      <c r="AC236" s="99">
        <f t="shared" si="32"/>
        <v>716.70086293381974</v>
      </c>
      <c r="AD236" s="99">
        <f t="shared" si="33"/>
        <v>0.11059421264169568</v>
      </c>
      <c r="AE236" s="99"/>
    </row>
    <row r="237" spans="15:31" x14ac:dyDescent="0.25">
      <c r="O237" t="s">
        <v>227</v>
      </c>
      <c r="Q237" s="99">
        <v>654.01889687674065</v>
      </c>
      <c r="R237" s="99">
        <v>-233.28754516679996</v>
      </c>
      <c r="T237" s="99">
        <v>16.348937220622169</v>
      </c>
      <c r="U237" s="99">
        <v>10.033271631242275</v>
      </c>
      <c r="V237" s="99">
        <f t="shared" si="27"/>
        <v>6.3156655893798934</v>
      </c>
      <c r="W237" t="s">
        <v>570</v>
      </c>
      <c r="X237" s="54">
        <f t="shared" si="28"/>
        <v>0.1470749793639588</v>
      </c>
      <c r="Y237" s="54">
        <f t="shared" si="29"/>
        <v>3.42471613622208E-2</v>
      </c>
      <c r="Z237" s="54">
        <f t="shared" si="30"/>
        <v>6.0678699586750604E-3</v>
      </c>
      <c r="AA237" s="54">
        <v>0.02</v>
      </c>
      <c r="AB237" s="99">
        <f t="shared" si="31"/>
        <v>0.68700713173892836</v>
      </c>
      <c r="AC237" s="99">
        <f t="shared" si="32"/>
        <v>887.30644204354064</v>
      </c>
      <c r="AD237" s="99">
        <f t="shared" si="33"/>
        <v>0.12305528049406922</v>
      </c>
      <c r="AE237" s="99"/>
    </row>
    <row r="238" spans="15:31" x14ac:dyDescent="0.25">
      <c r="O238" t="s">
        <v>229</v>
      </c>
      <c r="Q238" s="99">
        <v>500.89934452845961</v>
      </c>
      <c r="R238" s="99">
        <v>-273.24016706291764</v>
      </c>
      <c r="T238" s="99">
        <v>16.08642632385649</v>
      </c>
      <c r="U238" s="99">
        <v>7.7125028749034659</v>
      </c>
      <c r="V238" s="99">
        <f t="shared" si="27"/>
        <v>8.3739234489530237</v>
      </c>
      <c r="W238" t="s">
        <v>570</v>
      </c>
      <c r="X238" s="54">
        <f t="shared" si="28"/>
        <v>0.1470749793639588</v>
      </c>
      <c r="Y238" s="54">
        <f t="shared" si="29"/>
        <v>3.42471613622208E-2</v>
      </c>
      <c r="Z238" s="54">
        <f t="shared" si="30"/>
        <v>6.0678699586750604E-3</v>
      </c>
      <c r="AA238" s="54">
        <v>0.02</v>
      </c>
      <c r="AB238" s="99">
        <f t="shared" si="31"/>
        <v>0.79107229611977803</v>
      </c>
      <c r="AC238" s="99">
        <f t="shared" si="32"/>
        <v>774.13951159137719</v>
      </c>
      <c r="AD238" s="99">
        <f t="shared" si="33"/>
        <v>0.11494049270666318</v>
      </c>
      <c r="AE238" s="99"/>
    </row>
    <row r="239" spans="15:31" x14ac:dyDescent="0.25">
      <c r="O239" t="s">
        <v>159</v>
      </c>
      <c r="Q239" s="99">
        <v>0</v>
      </c>
      <c r="R239" s="99">
        <v>-236.06559968950583</v>
      </c>
      <c r="T239" s="99">
        <v>-3.6818890073459656</v>
      </c>
      <c r="U239" s="99">
        <v>11.750193910416261</v>
      </c>
      <c r="V239" s="99">
        <f t="shared" si="27"/>
        <v>-15.432082917762227</v>
      </c>
      <c r="W239" t="s">
        <v>570</v>
      </c>
      <c r="X239" s="54">
        <f t="shared" si="28"/>
        <v>0.1470749793639588</v>
      </c>
      <c r="Y239" s="54">
        <f t="shared" si="29"/>
        <v>3.42471613622208E-2</v>
      </c>
      <c r="Z239" s="54">
        <f t="shared" si="30"/>
        <v>6.0678699586750604E-3</v>
      </c>
      <c r="AA239" s="54">
        <v>0.02</v>
      </c>
      <c r="AB239" s="99">
        <f t="shared" si="31"/>
        <v>-0.94652988090936163</v>
      </c>
      <c r="AC239" s="99">
        <f t="shared" si="32"/>
        <v>236.06559968950583</v>
      </c>
      <c r="AD239" s="99">
        <f t="shared" si="33"/>
        <v>6.3471650212701555E-2</v>
      </c>
      <c r="AE239" s="99"/>
    </row>
    <row r="240" spans="15:31" x14ac:dyDescent="0.25">
      <c r="O240" t="s">
        <v>158</v>
      </c>
      <c r="Q240" s="99">
        <v>1060.5378769170104</v>
      </c>
      <c r="R240" s="99">
        <v>-245.64079601391572</v>
      </c>
      <c r="T240" s="99">
        <v>8.0241430378837642</v>
      </c>
      <c r="U240" s="99">
        <v>11.04489734298166</v>
      </c>
      <c r="V240" s="99">
        <f t="shared" si="27"/>
        <v>-3.0207543050978956</v>
      </c>
      <c r="W240" t="s">
        <v>570</v>
      </c>
      <c r="X240" s="54">
        <f t="shared" si="28"/>
        <v>0.1470749793639588</v>
      </c>
      <c r="Y240" s="54">
        <f t="shared" si="29"/>
        <v>3.42471613622208E-2</v>
      </c>
      <c r="Z240" s="54">
        <f t="shared" si="30"/>
        <v>6.0678699586750604E-3</v>
      </c>
      <c r="AA240" s="54">
        <v>0.02</v>
      </c>
      <c r="AB240" s="99">
        <f t="shared" si="31"/>
        <v>-0.41877404431583359</v>
      </c>
      <c r="AC240" s="99">
        <f t="shared" si="32"/>
        <v>1306.178672930926</v>
      </c>
      <c r="AD240" s="99">
        <f t="shared" si="33"/>
        <v>0.14930169271486995</v>
      </c>
      <c r="AE240" s="99"/>
    </row>
    <row r="241" spans="15:31" x14ac:dyDescent="0.25">
      <c r="O241" t="s">
        <v>160</v>
      </c>
      <c r="Q241" s="99">
        <v>58282.916385225013</v>
      </c>
      <c r="R241" s="99">
        <v>-313.77912825088595</v>
      </c>
      <c r="T241" s="99">
        <v>3.9451511199843026E-2</v>
      </c>
      <c r="U241" s="99">
        <v>17.264319045583676</v>
      </c>
      <c r="V241" s="99">
        <f t="shared" si="27"/>
        <v>-17.224867534383833</v>
      </c>
      <c r="W241" t="s">
        <v>570</v>
      </c>
      <c r="X241" s="54">
        <f t="shared" si="28"/>
        <v>0.1470749793639588</v>
      </c>
      <c r="Y241" s="54">
        <f t="shared" si="29"/>
        <v>3.42471613622208E-2</v>
      </c>
      <c r="Z241" s="54">
        <f t="shared" si="30"/>
        <v>6.0678699586750604E-3</v>
      </c>
      <c r="AA241" s="54">
        <v>0.02</v>
      </c>
      <c r="AB241" s="99">
        <f t="shared" si="31"/>
        <v>-1</v>
      </c>
      <c r="AC241" s="99">
        <f t="shared" si="32"/>
        <v>58596.695513475897</v>
      </c>
      <c r="AD241" s="99">
        <f t="shared" si="33"/>
        <v>1</v>
      </c>
      <c r="AE241" s="99"/>
    </row>
    <row r="242" spans="15:31" x14ac:dyDescent="0.25">
      <c r="O242" t="s">
        <v>187</v>
      </c>
      <c r="Q242" s="99">
        <v>676.4009343413519</v>
      </c>
      <c r="R242" s="99">
        <v>-170.61645768993594</v>
      </c>
      <c r="T242" s="99">
        <v>3.5787239883211281</v>
      </c>
      <c r="U242" s="99">
        <v>2.5916082806279617</v>
      </c>
      <c r="V242" s="99">
        <f t="shared" si="27"/>
        <v>0.98711570769316648</v>
      </c>
      <c r="W242" t="s">
        <v>578</v>
      </c>
      <c r="X242" s="196">
        <v>0.12023710655155051</v>
      </c>
      <c r="Y242" s="196">
        <v>2.7997825378628428E-2</v>
      </c>
      <c r="Z242" s="196">
        <v>4.9606202898502825E-3</v>
      </c>
      <c r="AA242" s="54">
        <v>0.02</v>
      </c>
      <c r="AB242" s="99">
        <f>IF(V242&gt;0, SQRT(V242/MAX($V$242:$V$289)), -SQRT(V242/MIN($V$242:$V$289)))</f>
        <v>0.59059376096557081</v>
      </c>
      <c r="AC242" s="99">
        <f t="shared" si="32"/>
        <v>847.01739203128784</v>
      </c>
      <c r="AD242" s="99">
        <f>IF(AC242&gt;0,SQRT(AC242/MAX($AC$242:$AC$289)),-SQRT(AC242/MIN($AC$242:$AC$289)))</f>
        <v>0.51415942045200103</v>
      </c>
      <c r="AE242" s="99"/>
    </row>
    <row r="243" spans="15:31" x14ac:dyDescent="0.25">
      <c r="O243" t="s">
        <v>189</v>
      </c>
      <c r="Q243" s="99">
        <v>773.34642628302379</v>
      </c>
      <c r="R243" s="99">
        <v>-217.21467663687915</v>
      </c>
      <c r="T243" s="99">
        <v>2.7167172575860219</v>
      </c>
      <c r="U243" s="99">
        <v>1.9266337956487298</v>
      </c>
      <c r="V243" s="99">
        <f t="shared" si="27"/>
        <v>0.79008346193729206</v>
      </c>
      <c r="W243" t="s">
        <v>578</v>
      </c>
      <c r="X243" s="196">
        <v>0.12023710655155051</v>
      </c>
      <c r="Y243" s="196">
        <v>2.7997825378628428E-2</v>
      </c>
      <c r="Z243" s="196">
        <v>4.9606202898502825E-3</v>
      </c>
      <c r="AA243" s="54">
        <v>0.02</v>
      </c>
      <c r="AB243" s="99">
        <f t="shared" ref="AB243:AB289" si="34">IF(V243&gt;0, SQRT(V243/MAX($V$242:$V$289)), -SQRT(V243/MIN($V$242:$V$289)))</f>
        <v>0.52837384195799009</v>
      </c>
      <c r="AC243" s="99">
        <f t="shared" si="32"/>
        <v>990.56110291990296</v>
      </c>
      <c r="AD243" s="99">
        <f t="shared" ref="AD243:AD289" si="35">IF(AC243&gt;0,SQRT(AC243/MAX($AC$242:$AC$289)),-SQRT(AC243/MIN($AC$242:$AC$289)))</f>
        <v>0.55602237509934971</v>
      </c>
      <c r="AE243" s="99"/>
    </row>
    <row r="244" spans="15:31" x14ac:dyDescent="0.25">
      <c r="O244" t="s">
        <v>188</v>
      </c>
      <c r="Q244" s="99">
        <v>526.97513323529563</v>
      </c>
      <c r="R244" s="99">
        <v>-141.05186638177824</v>
      </c>
      <c r="T244" s="99">
        <v>2.4646608099006677</v>
      </c>
      <c r="U244" s="99">
        <v>2.5202215981441141</v>
      </c>
      <c r="V244" s="99">
        <f t="shared" si="27"/>
        <v>-5.5560788243446346E-2</v>
      </c>
      <c r="W244" t="s">
        <v>578</v>
      </c>
      <c r="X244" s="196">
        <v>0.12023710655155051</v>
      </c>
      <c r="Y244" s="196">
        <v>2.7997825378628428E-2</v>
      </c>
      <c r="Z244" s="196">
        <v>4.9606202898502825E-3</v>
      </c>
      <c r="AA244" s="54">
        <v>0.02</v>
      </c>
      <c r="AB244" s="99">
        <f t="shared" si="34"/>
        <v>-0.11281764109693762</v>
      </c>
      <c r="AC244" s="99">
        <f t="shared" si="32"/>
        <v>668.0269996170739</v>
      </c>
      <c r="AD244" s="99">
        <f t="shared" si="35"/>
        <v>0.45661338833986959</v>
      </c>
      <c r="AE244" s="99"/>
    </row>
    <row r="245" spans="15:31" x14ac:dyDescent="0.25">
      <c r="O245" t="s">
        <v>149</v>
      </c>
      <c r="Q245" s="99">
        <v>253.9436711996884</v>
      </c>
      <c r="R245" s="99">
        <v>-179.17709018114175</v>
      </c>
      <c r="T245" s="99">
        <v>3.3712046250628696</v>
      </c>
      <c r="U245" s="99">
        <v>1.8289120250885733</v>
      </c>
      <c r="V245" s="99">
        <f t="shared" si="27"/>
        <v>1.5422925999742962</v>
      </c>
      <c r="W245" t="s">
        <v>578</v>
      </c>
      <c r="X245" s="196">
        <v>0.12023710655155051</v>
      </c>
      <c r="Y245" s="196">
        <v>2.7997825378628428E-2</v>
      </c>
      <c r="Z245" s="196">
        <v>4.9606202898502825E-3</v>
      </c>
      <c r="AA245" s="54">
        <v>0.02</v>
      </c>
      <c r="AB245" s="99">
        <f t="shared" si="34"/>
        <v>0.73822408599041234</v>
      </c>
      <c r="AC245" s="99">
        <f t="shared" si="32"/>
        <v>433.12076138083012</v>
      </c>
      <c r="AD245" s="99">
        <f t="shared" si="35"/>
        <v>0.36766825540213877</v>
      </c>
      <c r="AE245" s="99"/>
    </row>
    <row r="246" spans="15:31" x14ac:dyDescent="0.25">
      <c r="O246" t="s">
        <v>190</v>
      </c>
      <c r="Q246" s="99">
        <v>1032.0577666195561</v>
      </c>
      <c r="R246" s="99">
        <v>-139.31093871051914</v>
      </c>
      <c r="T246" s="99">
        <v>1.6470546907224488</v>
      </c>
      <c r="U246" s="99">
        <v>1.9393522878193092</v>
      </c>
      <c r="V246" s="99">
        <f t="shared" si="27"/>
        <v>-0.29229759709686043</v>
      </c>
      <c r="W246" t="s">
        <v>578</v>
      </c>
      <c r="X246" s="196">
        <v>0.12023710655155051</v>
      </c>
      <c r="Y246" s="196">
        <v>2.7997825378628428E-2</v>
      </c>
      <c r="Z246" s="196">
        <v>4.9606202898502825E-3</v>
      </c>
      <c r="AA246" s="54">
        <v>0.02</v>
      </c>
      <c r="AB246" s="99">
        <f t="shared" si="34"/>
        <v>-0.25876494276471507</v>
      </c>
      <c r="AC246" s="99">
        <f t="shared" si="32"/>
        <v>1171.3687053300753</v>
      </c>
      <c r="AD246" s="99">
        <f t="shared" si="35"/>
        <v>0.60464218218970323</v>
      </c>
      <c r="AE246" s="99"/>
    </row>
    <row r="247" spans="15:31" x14ac:dyDescent="0.25">
      <c r="O247" t="s">
        <v>191</v>
      </c>
      <c r="Q247" s="99">
        <v>2.9246366413938207</v>
      </c>
      <c r="R247" s="99">
        <v>-85.726011120150488</v>
      </c>
      <c r="T247" s="99">
        <v>2.7368125225841569</v>
      </c>
      <c r="U247" s="99">
        <v>1.8026017275325321</v>
      </c>
      <c r="V247" s="99">
        <f t="shared" si="27"/>
        <v>0.93421079505162474</v>
      </c>
      <c r="W247" t="s">
        <v>578</v>
      </c>
      <c r="X247" s="196">
        <v>0.12023710655155051</v>
      </c>
      <c r="Y247" s="196">
        <v>2.7997825378628428E-2</v>
      </c>
      <c r="Z247" s="196">
        <v>4.9606202898502825E-3</v>
      </c>
      <c r="AA247" s="54">
        <v>0.02</v>
      </c>
      <c r="AB247" s="99">
        <f t="shared" si="34"/>
        <v>0.57454925263953427</v>
      </c>
      <c r="AC247" s="99">
        <f t="shared" si="32"/>
        <v>88.650647761544306</v>
      </c>
      <c r="AD247" s="99">
        <f t="shared" si="35"/>
        <v>0.16633842694809403</v>
      </c>
      <c r="AE247" s="99"/>
    </row>
    <row r="248" spans="15:31" x14ac:dyDescent="0.25">
      <c r="O248" t="s">
        <v>192</v>
      </c>
      <c r="Q248" s="99">
        <v>1212.2337664764682</v>
      </c>
      <c r="R248" s="99">
        <v>-134.7189460214309</v>
      </c>
      <c r="T248" s="99">
        <v>1.8823313117148217</v>
      </c>
      <c r="U248" s="99">
        <v>1.855838466717711</v>
      </c>
      <c r="V248" s="99">
        <f t="shared" si="27"/>
        <v>2.6492844997110687E-2</v>
      </c>
      <c r="W248" t="s">
        <v>578</v>
      </c>
      <c r="X248" s="196">
        <v>0.12023710655155051</v>
      </c>
      <c r="Y248" s="196">
        <v>2.7997825378628428E-2</v>
      </c>
      <c r="Z248" s="196">
        <v>4.9606202898502825E-3</v>
      </c>
      <c r="AA248" s="54">
        <v>0.02</v>
      </c>
      <c r="AB248" s="99">
        <f t="shared" si="34"/>
        <v>9.6754043221689595E-2</v>
      </c>
      <c r="AC248" s="99">
        <f t="shared" si="32"/>
        <v>1346.952712497899</v>
      </c>
      <c r="AD248" s="99">
        <f t="shared" si="35"/>
        <v>0.6483773096158465</v>
      </c>
      <c r="AE248" s="99"/>
    </row>
    <row r="249" spans="15:31" x14ac:dyDescent="0.25">
      <c r="O249" t="s">
        <v>193</v>
      </c>
      <c r="Q249" s="99">
        <v>224.34486409802034</v>
      </c>
      <c r="R249" s="99">
        <v>-85.621319375491964</v>
      </c>
      <c r="T249" s="99">
        <v>2.5233651594345616</v>
      </c>
      <c r="U249" s="99">
        <v>2.1195127851495528</v>
      </c>
      <c r="V249" s="99">
        <f t="shared" si="27"/>
        <v>0.40385237428500886</v>
      </c>
      <c r="W249" t="s">
        <v>578</v>
      </c>
      <c r="X249" s="196">
        <v>0.12023710655155051</v>
      </c>
      <c r="Y249" s="196">
        <v>2.7997825378628428E-2</v>
      </c>
      <c r="Z249" s="196">
        <v>4.9606202898502825E-3</v>
      </c>
      <c r="AA249" s="54">
        <v>0.02</v>
      </c>
      <c r="AB249" s="99">
        <f t="shared" si="34"/>
        <v>0.37776015125126461</v>
      </c>
      <c r="AC249" s="99">
        <f t="shared" si="32"/>
        <v>309.96618347351227</v>
      </c>
      <c r="AD249" s="99">
        <f t="shared" si="35"/>
        <v>0.31103466307606625</v>
      </c>
      <c r="AE249" s="99"/>
    </row>
    <row r="250" spans="15:31" x14ac:dyDescent="0.25">
      <c r="O250" t="s">
        <v>194</v>
      </c>
      <c r="Q250" s="99">
        <v>586.0561399892473</v>
      </c>
      <c r="R250" s="99">
        <v>-173.96735705918209</v>
      </c>
      <c r="T250" s="99">
        <v>3.6087020255547628</v>
      </c>
      <c r="U250" s="99">
        <v>2.6641716421712465</v>
      </c>
      <c r="V250" s="99">
        <f t="shared" si="27"/>
        <v>0.94453038338351636</v>
      </c>
      <c r="W250" t="s">
        <v>578</v>
      </c>
      <c r="X250" s="196">
        <v>0.12023710655155051</v>
      </c>
      <c r="Y250" s="196">
        <v>2.7997825378628428E-2</v>
      </c>
      <c r="Z250" s="196">
        <v>4.9606202898502825E-3</v>
      </c>
      <c r="AA250" s="54">
        <v>0.02</v>
      </c>
      <c r="AB250" s="99">
        <f t="shared" si="34"/>
        <v>0.57771386382706136</v>
      </c>
      <c r="AC250" s="99">
        <f t="shared" si="32"/>
        <v>760.02349704842936</v>
      </c>
      <c r="AD250" s="99">
        <f t="shared" si="35"/>
        <v>0.48704057450164456</v>
      </c>
      <c r="AE250" s="99"/>
    </row>
    <row r="251" spans="15:31" x14ac:dyDescent="0.25">
      <c r="O251" t="s">
        <v>196</v>
      </c>
      <c r="Q251" s="99">
        <v>526.67070551574511</v>
      </c>
      <c r="R251" s="99">
        <v>-181.6415136445242</v>
      </c>
      <c r="T251" s="99">
        <v>4.2059820478135377</v>
      </c>
      <c r="U251" s="99">
        <v>2.1821025678269947</v>
      </c>
      <c r="V251" s="99">
        <f t="shared" si="27"/>
        <v>2.0238794799865429</v>
      </c>
      <c r="W251" t="s">
        <v>578</v>
      </c>
      <c r="X251" s="196">
        <v>0.12023710655155051</v>
      </c>
      <c r="Y251" s="196">
        <v>2.7997825378628428E-2</v>
      </c>
      <c r="Z251" s="196">
        <v>4.9606202898502825E-3</v>
      </c>
      <c r="AA251" s="54">
        <v>0.02</v>
      </c>
      <c r="AB251" s="99">
        <f t="shared" si="34"/>
        <v>0.84566264458741502</v>
      </c>
      <c r="AC251" s="99">
        <f t="shared" si="32"/>
        <v>708.31221916026925</v>
      </c>
      <c r="AD251" s="99">
        <f t="shared" si="35"/>
        <v>0.47017983624377713</v>
      </c>
      <c r="AE251" s="99"/>
    </row>
    <row r="252" spans="15:31" x14ac:dyDescent="0.25">
      <c r="O252" t="s">
        <v>197</v>
      </c>
      <c r="Q252" s="99">
        <v>373.82108927502469</v>
      </c>
      <c r="R252" s="99">
        <v>-101.21481680793616</v>
      </c>
      <c r="T252" s="99">
        <v>3.2569814182189254</v>
      </c>
      <c r="U252" s="99">
        <v>1.8698191283980301</v>
      </c>
      <c r="V252" s="99">
        <f t="shared" si="27"/>
        <v>1.3871622898208953</v>
      </c>
      <c r="W252" t="s">
        <v>578</v>
      </c>
      <c r="X252" s="196">
        <v>0.12023710655155051</v>
      </c>
      <c r="Y252" s="196">
        <v>2.7997825378628428E-2</v>
      </c>
      <c r="Z252" s="196">
        <v>4.9606202898502825E-3</v>
      </c>
      <c r="AA252" s="54">
        <v>0.02</v>
      </c>
      <c r="AB252" s="99">
        <f t="shared" si="34"/>
        <v>0.70011351337739669</v>
      </c>
      <c r="AC252" s="99">
        <f t="shared" si="32"/>
        <v>475.03590608296088</v>
      </c>
      <c r="AD252" s="99">
        <f t="shared" si="35"/>
        <v>0.3850479824608059</v>
      </c>
      <c r="AE252" s="99"/>
    </row>
    <row r="253" spans="15:31" x14ac:dyDescent="0.25">
      <c r="O253" t="s">
        <v>198</v>
      </c>
      <c r="Q253" s="99">
        <v>2676.8389844864132</v>
      </c>
      <c r="R253" s="99">
        <v>-195.12431780983889</v>
      </c>
      <c r="T253" s="99">
        <v>0.70186060699143038</v>
      </c>
      <c r="U253" s="99">
        <v>2.6735844995650773</v>
      </c>
      <c r="V253" s="99">
        <f t="shared" si="27"/>
        <v>-1.9717238925736469</v>
      </c>
      <c r="W253" t="s">
        <v>578</v>
      </c>
      <c r="X253" s="196">
        <v>0.12023710655155051</v>
      </c>
      <c r="Y253" s="196">
        <v>2.7997825378628428E-2</v>
      </c>
      <c r="Z253" s="196">
        <v>4.9606202898502825E-3</v>
      </c>
      <c r="AA253" s="54">
        <v>0.02</v>
      </c>
      <c r="AB253" s="99">
        <f t="shared" si="34"/>
        <v>-0.672072097523012</v>
      </c>
      <c r="AC253" s="99">
        <f t="shared" si="32"/>
        <v>2871.9633022962521</v>
      </c>
      <c r="AD253" s="99">
        <f t="shared" si="35"/>
        <v>0.94676256270804482</v>
      </c>
      <c r="AE253" s="99"/>
    </row>
    <row r="254" spans="15:31" x14ac:dyDescent="0.25">
      <c r="O254" t="s">
        <v>195</v>
      </c>
      <c r="Q254" s="99">
        <v>563.31340209260782</v>
      </c>
      <c r="R254" s="99">
        <v>-164.65760865777332</v>
      </c>
      <c r="T254" s="99">
        <v>3.2708261074996834</v>
      </c>
      <c r="U254" s="99">
        <v>2.2147750774916082</v>
      </c>
      <c r="V254" s="99">
        <f t="shared" si="27"/>
        <v>1.0560510300080752</v>
      </c>
      <c r="W254" t="s">
        <v>578</v>
      </c>
      <c r="X254" s="196">
        <v>0.12023710655155051</v>
      </c>
      <c r="Y254" s="196">
        <v>2.7997825378628428E-2</v>
      </c>
      <c r="Z254" s="196">
        <v>4.9606202898502825E-3</v>
      </c>
      <c r="AA254" s="54">
        <v>0.02</v>
      </c>
      <c r="AB254" s="99">
        <f t="shared" si="34"/>
        <v>0.61086785959907119</v>
      </c>
      <c r="AC254" s="99">
        <f t="shared" si="32"/>
        <v>727.97101075038108</v>
      </c>
      <c r="AD254" s="99">
        <f t="shared" si="35"/>
        <v>0.47665996418079082</v>
      </c>
      <c r="AE254" s="99"/>
    </row>
    <row r="255" spans="15:31" x14ac:dyDescent="0.25">
      <c r="O255" t="s">
        <v>199</v>
      </c>
      <c r="Q255" s="99">
        <v>424.35427360553825</v>
      </c>
      <c r="R255" s="99">
        <v>-134.96724453193229</v>
      </c>
      <c r="T255" s="99">
        <v>3.1074446125272481</v>
      </c>
      <c r="U255" s="99">
        <v>2.1946618123451156</v>
      </c>
      <c r="V255" s="99">
        <f t="shared" si="27"/>
        <v>0.91278280018213254</v>
      </c>
      <c r="W255" t="s">
        <v>578</v>
      </c>
      <c r="X255" s="196">
        <v>0.12023710655155051</v>
      </c>
      <c r="Y255" s="196">
        <v>2.7997825378628428E-2</v>
      </c>
      <c r="Z255" s="196">
        <v>4.9606202898502825E-3</v>
      </c>
      <c r="AA255" s="54">
        <v>0.02</v>
      </c>
      <c r="AB255" s="99">
        <f t="shared" si="34"/>
        <v>0.56792181009014375</v>
      </c>
      <c r="AC255" s="99">
        <f t="shared" si="32"/>
        <v>559.32151813747055</v>
      </c>
      <c r="AD255" s="99">
        <f t="shared" si="35"/>
        <v>0.41781343161463663</v>
      </c>
      <c r="AE255" s="99"/>
    </row>
    <row r="256" spans="15:31" x14ac:dyDescent="0.25">
      <c r="O256" t="s">
        <v>157</v>
      </c>
      <c r="Q256" s="99">
        <v>0</v>
      </c>
      <c r="R256" s="99">
        <v>-143.15460991491716</v>
      </c>
      <c r="T256" s="99">
        <v>-0.31821499360434036</v>
      </c>
      <c r="U256" s="99">
        <v>2.3974831883037471</v>
      </c>
      <c r="V256" s="99">
        <f t="shared" si="27"/>
        <v>-2.7156981819080874</v>
      </c>
      <c r="W256" t="s">
        <v>578</v>
      </c>
      <c r="X256" s="196">
        <v>0.12023710655155051</v>
      </c>
      <c r="Y256" s="196">
        <v>2.7997825378628428E-2</v>
      </c>
      <c r="Z256" s="196">
        <v>4.9606202898502825E-3</v>
      </c>
      <c r="AA256" s="54">
        <v>0.02</v>
      </c>
      <c r="AB256" s="99">
        <f t="shared" si="34"/>
        <v>-0.78873945562051995</v>
      </c>
      <c r="AC256" s="99">
        <f t="shared" si="32"/>
        <v>143.15460991491716</v>
      </c>
      <c r="AD256" s="99">
        <f t="shared" si="35"/>
        <v>0.21137533181939841</v>
      </c>
      <c r="AE256" s="99"/>
    </row>
    <row r="257" spans="15:31" x14ac:dyDescent="0.25">
      <c r="O257" t="s">
        <v>200</v>
      </c>
      <c r="Q257" s="99">
        <v>503.30849694595747</v>
      </c>
      <c r="R257" s="99">
        <v>-85.358194371386446</v>
      </c>
      <c r="T257" s="99">
        <v>2.5208646121598739</v>
      </c>
      <c r="U257" s="99">
        <v>2.1768795528454321</v>
      </c>
      <c r="V257" s="99">
        <f t="shared" si="27"/>
        <v>0.34398505931444179</v>
      </c>
      <c r="W257" t="s">
        <v>578</v>
      </c>
      <c r="X257" s="196">
        <v>0.12023710655155051</v>
      </c>
      <c r="Y257" s="196">
        <v>2.7997825378628428E-2</v>
      </c>
      <c r="Z257" s="196">
        <v>4.9606202898502825E-3</v>
      </c>
      <c r="AA257" s="54">
        <v>0.02</v>
      </c>
      <c r="AB257" s="99">
        <f t="shared" si="34"/>
        <v>0.34863791309411063</v>
      </c>
      <c r="AC257" s="99">
        <f t="shared" si="32"/>
        <v>588.66669131734398</v>
      </c>
      <c r="AD257" s="99">
        <f t="shared" si="35"/>
        <v>0.4286337509947728</v>
      </c>
      <c r="AE257" s="99"/>
    </row>
    <row r="258" spans="15:31" x14ac:dyDescent="0.25">
      <c r="O258" t="s">
        <v>203</v>
      </c>
      <c r="Q258" s="99">
        <v>302.46758164652789</v>
      </c>
      <c r="R258" s="99">
        <v>-167.76050924800208</v>
      </c>
      <c r="T258" s="99">
        <v>4.1253831472513243</v>
      </c>
      <c r="U258" s="99">
        <v>2.1597097467892397</v>
      </c>
      <c r="V258" s="99">
        <f t="shared" si="27"/>
        <v>1.9656734004620846</v>
      </c>
      <c r="W258" t="s">
        <v>578</v>
      </c>
      <c r="X258" s="196">
        <v>0.12023710655155051</v>
      </c>
      <c r="Y258" s="196">
        <v>2.7997825378628428E-2</v>
      </c>
      <c r="Z258" s="196">
        <v>4.9606202898502825E-3</v>
      </c>
      <c r="AA258" s="54">
        <v>0.02</v>
      </c>
      <c r="AB258" s="99">
        <f t="shared" si="34"/>
        <v>0.83341344764772596</v>
      </c>
      <c r="AC258" s="99">
        <f t="shared" si="32"/>
        <v>470.22809089452994</v>
      </c>
      <c r="AD258" s="99">
        <f t="shared" si="35"/>
        <v>0.38309450121289434</v>
      </c>
      <c r="AE258" s="99"/>
    </row>
    <row r="259" spans="15:31" x14ac:dyDescent="0.25">
      <c r="O259" t="s">
        <v>202</v>
      </c>
      <c r="Q259" s="99">
        <v>411.29026400039407</v>
      </c>
      <c r="R259" s="99">
        <v>-124.4212247851145</v>
      </c>
      <c r="T259" s="99">
        <v>3.3055692544612354</v>
      </c>
      <c r="U259" s="99">
        <v>1.987448219213666</v>
      </c>
      <c r="V259" s="99">
        <f t="shared" ref="V259:V322" si="36">T259-U259</f>
        <v>1.3181210352475694</v>
      </c>
      <c r="W259" t="s">
        <v>578</v>
      </c>
      <c r="X259" s="196">
        <v>0.12023710655155051</v>
      </c>
      <c r="Y259" s="196">
        <v>2.7997825378628428E-2</v>
      </c>
      <c r="Z259" s="196">
        <v>4.9606202898502825E-3</v>
      </c>
      <c r="AA259" s="54">
        <v>0.02</v>
      </c>
      <c r="AB259" s="99">
        <f t="shared" si="34"/>
        <v>0.6824682766679947</v>
      </c>
      <c r="AC259" s="99">
        <f t="shared" ref="AC259:AC322" si="37">Q259-R259</f>
        <v>535.71148878550855</v>
      </c>
      <c r="AD259" s="99">
        <f t="shared" si="35"/>
        <v>0.40890000283576383</v>
      </c>
      <c r="AE259" s="99"/>
    </row>
    <row r="260" spans="15:31" x14ac:dyDescent="0.25">
      <c r="O260" t="s">
        <v>201</v>
      </c>
      <c r="Q260" s="99">
        <v>351.05128090804919</v>
      </c>
      <c r="R260" s="99">
        <v>-121.07487331763514</v>
      </c>
      <c r="T260" s="99">
        <v>2.3260809924984671</v>
      </c>
      <c r="U260" s="99">
        <v>1.9539502358120764</v>
      </c>
      <c r="V260" s="99">
        <f t="shared" si="36"/>
        <v>0.37213075668639073</v>
      </c>
      <c r="W260" t="s">
        <v>578</v>
      </c>
      <c r="X260" s="196">
        <v>0.12023710655155051</v>
      </c>
      <c r="Y260" s="196">
        <v>2.7997825378628428E-2</v>
      </c>
      <c r="Z260" s="196">
        <v>4.9606202898502825E-3</v>
      </c>
      <c r="AA260" s="54">
        <v>0.02</v>
      </c>
      <c r="AB260" s="99">
        <f t="shared" si="34"/>
        <v>0.36262071208541874</v>
      </c>
      <c r="AC260" s="99">
        <f t="shared" si="37"/>
        <v>472.12615422568433</v>
      </c>
      <c r="AD260" s="99">
        <f t="shared" si="35"/>
        <v>0.38386689800117496</v>
      </c>
      <c r="AE260" s="99"/>
    </row>
    <row r="261" spans="15:31" x14ac:dyDescent="0.25">
      <c r="O261" t="s">
        <v>204</v>
      </c>
      <c r="Q261" s="99">
        <v>420.85495857698743</v>
      </c>
      <c r="R261" s="99">
        <v>-106.32109279705988</v>
      </c>
      <c r="T261" s="99">
        <v>2.1547259726332575</v>
      </c>
      <c r="U261" s="99">
        <v>2.1592778216375841</v>
      </c>
      <c r="V261" s="99">
        <f t="shared" si="36"/>
        <v>-4.5518490043265913E-3</v>
      </c>
      <c r="W261" t="s">
        <v>578</v>
      </c>
      <c r="X261" s="196">
        <v>0.12023710655155051</v>
      </c>
      <c r="Y261" s="196">
        <v>2.7997825378628428E-2</v>
      </c>
      <c r="Z261" s="196">
        <v>4.9606202898502825E-3</v>
      </c>
      <c r="AA261" s="54">
        <v>0.02</v>
      </c>
      <c r="AB261" s="99">
        <f t="shared" si="34"/>
        <v>-3.2291389944858355E-2</v>
      </c>
      <c r="AC261" s="99">
        <f t="shared" si="37"/>
        <v>527.17605137404735</v>
      </c>
      <c r="AD261" s="99">
        <f t="shared" si="35"/>
        <v>0.40562944178354232</v>
      </c>
      <c r="AE261" s="99"/>
    </row>
    <row r="262" spans="15:31" x14ac:dyDescent="0.25">
      <c r="O262" t="s">
        <v>205</v>
      </c>
      <c r="Q262" s="99">
        <v>540.12784757333657</v>
      </c>
      <c r="R262" s="99">
        <v>-193.13960183877433</v>
      </c>
      <c r="T262" s="99">
        <v>3.3844471588056937</v>
      </c>
      <c r="U262" s="99">
        <v>2.7389830988430344</v>
      </c>
      <c r="V262" s="99">
        <f t="shared" si="36"/>
        <v>0.64546405996265932</v>
      </c>
      <c r="W262" t="s">
        <v>578</v>
      </c>
      <c r="X262" s="196">
        <v>0.12023710655155051</v>
      </c>
      <c r="Y262" s="196">
        <v>2.7997825378628428E-2</v>
      </c>
      <c r="Z262" s="196">
        <v>4.9606202898502825E-3</v>
      </c>
      <c r="AA262" s="54">
        <v>0.02</v>
      </c>
      <c r="AB262" s="99">
        <f t="shared" si="34"/>
        <v>0.47757419912342858</v>
      </c>
      <c r="AC262" s="99">
        <f t="shared" si="37"/>
        <v>733.26744941211086</v>
      </c>
      <c r="AD262" s="99">
        <f t="shared" si="35"/>
        <v>0.47839081942663264</v>
      </c>
      <c r="AE262" s="99"/>
    </row>
    <row r="263" spans="15:31" x14ac:dyDescent="0.25">
      <c r="O263" t="s">
        <v>207</v>
      </c>
      <c r="Q263" s="99">
        <v>347.18728430078289</v>
      </c>
      <c r="R263" s="99">
        <v>-181.24719291836573</v>
      </c>
      <c r="T263" s="99">
        <v>3.3035016068630148</v>
      </c>
      <c r="U263" s="99">
        <v>2.9070682330353748</v>
      </c>
      <c r="V263" s="99">
        <f t="shared" si="36"/>
        <v>0.39643337382763999</v>
      </c>
      <c r="W263" t="s">
        <v>578</v>
      </c>
      <c r="X263" s="196">
        <v>0.12023710655155051</v>
      </c>
      <c r="Y263" s="196">
        <v>2.7997825378628428E-2</v>
      </c>
      <c r="Z263" s="196">
        <v>4.9606202898502825E-3</v>
      </c>
      <c r="AA263" s="54">
        <v>0.02</v>
      </c>
      <c r="AB263" s="99">
        <f t="shared" si="34"/>
        <v>0.37427423180075531</v>
      </c>
      <c r="AC263" s="99">
        <f t="shared" si="37"/>
        <v>528.43447721914868</v>
      </c>
      <c r="AD263" s="99">
        <f t="shared" si="35"/>
        <v>0.40611329372192445</v>
      </c>
      <c r="AE263" s="99"/>
    </row>
    <row r="264" spans="15:31" x14ac:dyDescent="0.25">
      <c r="O264" t="s">
        <v>206</v>
      </c>
      <c r="Q264" s="99">
        <v>2616.1935289970584</v>
      </c>
      <c r="R264" s="99">
        <v>-198.90525060690118</v>
      </c>
      <c r="T264" s="99">
        <v>0.79471711840650272</v>
      </c>
      <c r="U264" s="99">
        <v>2.7393123222198721</v>
      </c>
      <c r="V264" s="99">
        <f t="shared" si="36"/>
        <v>-1.9445952038133694</v>
      </c>
      <c r="W264" t="s">
        <v>578</v>
      </c>
      <c r="X264" s="196">
        <v>0.12023710655155051</v>
      </c>
      <c r="Y264" s="196">
        <v>2.7997825378628428E-2</v>
      </c>
      <c r="Z264" s="196">
        <v>4.9606202898502825E-3</v>
      </c>
      <c r="AA264" s="54">
        <v>0.02</v>
      </c>
      <c r="AB264" s="99">
        <f t="shared" si="34"/>
        <v>-0.66743260808214533</v>
      </c>
      <c r="AC264" s="99">
        <f t="shared" si="37"/>
        <v>2815.0987796039594</v>
      </c>
      <c r="AD264" s="99">
        <f t="shared" si="35"/>
        <v>0.93734281053750901</v>
      </c>
      <c r="AE264" s="99"/>
    </row>
    <row r="265" spans="15:31" x14ac:dyDescent="0.25">
      <c r="O265" t="s">
        <v>208</v>
      </c>
      <c r="Q265" s="99">
        <v>1461.7407225441327</v>
      </c>
      <c r="R265" s="99">
        <v>-213.18997581405864</v>
      </c>
      <c r="T265" s="99">
        <v>1.7813648944420208</v>
      </c>
      <c r="U265" s="99">
        <v>2.4126761012320186</v>
      </c>
      <c r="V265" s="99">
        <f t="shared" si="36"/>
        <v>-0.63131120678999775</v>
      </c>
      <c r="W265" t="s">
        <v>578</v>
      </c>
      <c r="X265" s="196">
        <v>0.12023710655155051</v>
      </c>
      <c r="Y265" s="196">
        <v>2.7997825378628428E-2</v>
      </c>
      <c r="Z265" s="196">
        <v>4.9606202898502825E-3</v>
      </c>
      <c r="AA265" s="54">
        <v>0.02</v>
      </c>
      <c r="AB265" s="99">
        <f t="shared" si="34"/>
        <v>-0.38028970186607258</v>
      </c>
      <c r="AC265" s="99">
        <f t="shared" si="37"/>
        <v>1674.9306983581914</v>
      </c>
      <c r="AD265" s="99">
        <f t="shared" si="35"/>
        <v>0.72301957354536706</v>
      </c>
      <c r="AE265" s="99"/>
    </row>
    <row r="266" spans="15:31" x14ac:dyDescent="0.25">
      <c r="O266" t="s">
        <v>211</v>
      </c>
      <c r="Q266" s="99">
        <v>816.02092251992167</v>
      </c>
      <c r="R266" s="99">
        <v>-135.95839701226154</v>
      </c>
      <c r="T266" s="99">
        <v>1.9402465904905064</v>
      </c>
      <c r="U266" s="99">
        <v>2.2214015056368774</v>
      </c>
      <c r="V266" s="99">
        <f t="shared" si="36"/>
        <v>-0.28115491514637103</v>
      </c>
      <c r="W266" t="s">
        <v>578</v>
      </c>
      <c r="X266" s="196">
        <v>0.12023710655155051</v>
      </c>
      <c r="Y266" s="196">
        <v>2.7997825378628428E-2</v>
      </c>
      <c r="Z266" s="196">
        <v>4.9606202898502825E-3</v>
      </c>
      <c r="AA266" s="54">
        <v>0.02</v>
      </c>
      <c r="AB266" s="99">
        <f t="shared" si="34"/>
        <v>-0.2537848283355057</v>
      </c>
      <c r="AC266" s="99">
        <f t="shared" si="37"/>
        <v>951.97931953218324</v>
      </c>
      <c r="AD266" s="99">
        <f t="shared" si="35"/>
        <v>0.5450864552193373</v>
      </c>
      <c r="AE266" s="99"/>
    </row>
    <row r="267" spans="15:31" x14ac:dyDescent="0.25">
      <c r="O267" t="s">
        <v>215</v>
      </c>
      <c r="Q267" s="99">
        <v>534.76925214615596</v>
      </c>
      <c r="R267" s="99">
        <v>-201.5742759368718</v>
      </c>
      <c r="T267" s="99">
        <v>2.8546185668267099</v>
      </c>
      <c r="U267" s="99">
        <v>2.081075702714914</v>
      </c>
      <c r="V267" s="99">
        <f t="shared" si="36"/>
        <v>0.77354286411179585</v>
      </c>
      <c r="W267" t="s">
        <v>578</v>
      </c>
      <c r="X267" s="196">
        <v>0.12023710655155051</v>
      </c>
      <c r="Y267" s="196">
        <v>2.7997825378628428E-2</v>
      </c>
      <c r="Z267" s="196">
        <v>4.9606202898502825E-3</v>
      </c>
      <c r="AA267" s="54">
        <v>0.02</v>
      </c>
      <c r="AB267" s="99">
        <f t="shared" si="34"/>
        <v>0.52281376739317098</v>
      </c>
      <c r="AC267" s="99">
        <f t="shared" si="37"/>
        <v>736.34352808302776</v>
      </c>
      <c r="AD267" s="99">
        <f t="shared" si="35"/>
        <v>0.47939320110075756</v>
      </c>
      <c r="AE267" s="99"/>
    </row>
    <row r="268" spans="15:31" x14ac:dyDescent="0.25">
      <c r="O268" t="s">
        <v>212</v>
      </c>
      <c r="Q268" s="99">
        <v>444.80838083828888</v>
      </c>
      <c r="R268" s="99">
        <v>-144.51227225961449</v>
      </c>
      <c r="T268" s="99">
        <v>3.5132420598170535</v>
      </c>
      <c r="U268" s="99">
        <v>1.7461972738063087</v>
      </c>
      <c r="V268" s="99">
        <f t="shared" si="36"/>
        <v>1.7670447860107448</v>
      </c>
      <c r="W268" t="s">
        <v>578</v>
      </c>
      <c r="X268" s="196">
        <v>0.12023710655155051</v>
      </c>
      <c r="Y268" s="196">
        <v>2.7997825378628428E-2</v>
      </c>
      <c r="Z268" s="196">
        <v>4.9606202898502825E-3</v>
      </c>
      <c r="AA268" s="54">
        <v>0.02</v>
      </c>
      <c r="AB268" s="99">
        <f t="shared" si="34"/>
        <v>0.79018467354431909</v>
      </c>
      <c r="AC268" s="99">
        <f t="shared" si="37"/>
        <v>589.32065309790335</v>
      </c>
      <c r="AD268" s="99">
        <f t="shared" si="35"/>
        <v>0.42887177387581193</v>
      </c>
      <c r="AE268" s="99"/>
    </row>
    <row r="269" spans="15:31" x14ac:dyDescent="0.25">
      <c r="O269" t="s">
        <v>213</v>
      </c>
      <c r="Q269" s="99">
        <v>412.5104388846982</v>
      </c>
      <c r="R269" s="99">
        <v>-77.635631737188945</v>
      </c>
      <c r="T269" s="99">
        <v>3.0148952923507193</v>
      </c>
      <c r="U269" s="99">
        <v>1.8119706320508913</v>
      </c>
      <c r="V269" s="99">
        <f t="shared" si="36"/>
        <v>1.202924660299828</v>
      </c>
      <c r="W269" t="s">
        <v>578</v>
      </c>
      <c r="X269" s="196">
        <v>0.12023710655155051</v>
      </c>
      <c r="Y269" s="196">
        <v>2.7997825378628428E-2</v>
      </c>
      <c r="Z269" s="196">
        <v>4.9606202898502825E-3</v>
      </c>
      <c r="AA269" s="54">
        <v>0.02</v>
      </c>
      <c r="AB269" s="99">
        <f t="shared" si="34"/>
        <v>0.65196463325185117</v>
      </c>
      <c r="AC269" s="99">
        <f t="shared" si="37"/>
        <v>490.14607062188713</v>
      </c>
      <c r="AD269" s="99">
        <f t="shared" si="35"/>
        <v>0.3911239372487566</v>
      </c>
      <c r="AE269" s="99"/>
    </row>
    <row r="270" spans="15:31" x14ac:dyDescent="0.25">
      <c r="O270" t="s">
        <v>214</v>
      </c>
      <c r="Q270" s="99">
        <v>625.40963709101743</v>
      </c>
      <c r="R270" s="99">
        <v>-185.66844381590201</v>
      </c>
      <c r="T270" s="99">
        <v>3.651238246565522</v>
      </c>
      <c r="U270" s="99">
        <v>2.8251096131600892</v>
      </c>
      <c r="V270" s="99">
        <f t="shared" si="36"/>
        <v>0.82612863340543274</v>
      </c>
      <c r="W270" t="s">
        <v>578</v>
      </c>
      <c r="X270" s="196">
        <v>0.12023710655155051</v>
      </c>
      <c r="Y270" s="196">
        <v>2.7997825378628428E-2</v>
      </c>
      <c r="Z270" s="196">
        <v>4.9606202898502825E-3</v>
      </c>
      <c r="AA270" s="54">
        <v>0.02</v>
      </c>
      <c r="AB270" s="99">
        <f t="shared" si="34"/>
        <v>0.54029215400088593</v>
      </c>
      <c r="AC270" s="99">
        <f t="shared" si="37"/>
        <v>811.07808090691947</v>
      </c>
      <c r="AD270" s="99">
        <f t="shared" si="35"/>
        <v>0.50313318845254573</v>
      </c>
      <c r="AE270" s="99"/>
    </row>
    <row r="271" spans="15:31" x14ac:dyDescent="0.25">
      <c r="O271" t="s">
        <v>216</v>
      </c>
      <c r="Q271" s="99">
        <v>539.43563840781144</v>
      </c>
      <c r="R271" s="99">
        <v>-30.477144503565501</v>
      </c>
      <c r="T271" s="99">
        <v>2.5716167207144842</v>
      </c>
      <c r="U271" s="99">
        <v>1.527135857094418</v>
      </c>
      <c r="V271" s="99">
        <f t="shared" si="36"/>
        <v>1.0444808636200662</v>
      </c>
      <c r="W271" t="s">
        <v>578</v>
      </c>
      <c r="X271" s="196">
        <v>0.12023710655155051</v>
      </c>
      <c r="Y271" s="196">
        <v>2.7997825378628428E-2</v>
      </c>
      <c r="Z271" s="196">
        <v>4.9606202898502825E-3</v>
      </c>
      <c r="AA271" s="54">
        <v>0.02</v>
      </c>
      <c r="AB271" s="99">
        <f t="shared" si="34"/>
        <v>0.60751228856289563</v>
      </c>
      <c r="AC271" s="99">
        <f t="shared" si="37"/>
        <v>569.91278291137689</v>
      </c>
      <c r="AD271" s="99">
        <f t="shared" si="35"/>
        <v>0.42175071981868711</v>
      </c>
      <c r="AE271" s="99"/>
    </row>
    <row r="272" spans="15:31" x14ac:dyDescent="0.25">
      <c r="O272" t="s">
        <v>209</v>
      </c>
      <c r="Q272" s="99">
        <v>812.08724171458562</v>
      </c>
      <c r="R272" s="99">
        <v>-190.39628028158205</v>
      </c>
      <c r="T272" s="99">
        <v>3.4916636543846038</v>
      </c>
      <c r="U272" s="99">
        <v>2.3448690330280657</v>
      </c>
      <c r="V272" s="99">
        <f t="shared" si="36"/>
        <v>1.1467946213565381</v>
      </c>
      <c r="W272" t="s">
        <v>578</v>
      </c>
      <c r="X272" s="196">
        <v>0.12023710655155051</v>
      </c>
      <c r="Y272" s="196">
        <v>2.7997825378628428E-2</v>
      </c>
      <c r="Z272" s="196">
        <v>4.9606202898502825E-3</v>
      </c>
      <c r="AA272" s="54">
        <v>0.02</v>
      </c>
      <c r="AB272" s="99">
        <f t="shared" si="34"/>
        <v>0.63657216865600474</v>
      </c>
      <c r="AC272" s="99">
        <f t="shared" si="37"/>
        <v>1002.4835219961676</v>
      </c>
      <c r="AD272" s="99">
        <f t="shared" si="35"/>
        <v>0.55935851650358115</v>
      </c>
      <c r="AE272" s="99"/>
    </row>
    <row r="273" spans="15:31" x14ac:dyDescent="0.25">
      <c r="O273" t="s">
        <v>210</v>
      </c>
      <c r="Q273" s="99">
        <v>2055.0889667291312</v>
      </c>
      <c r="R273" s="99">
        <v>-197.10550833848961</v>
      </c>
      <c r="T273" s="99">
        <v>1.1030558045688528</v>
      </c>
      <c r="U273" s="99">
        <v>2.7051261762371812</v>
      </c>
      <c r="V273" s="99">
        <f t="shared" si="36"/>
        <v>-1.6020703716683284</v>
      </c>
      <c r="W273" t="s">
        <v>578</v>
      </c>
      <c r="X273" s="196">
        <v>0.12023710655155051</v>
      </c>
      <c r="Y273" s="196">
        <v>2.7997825378628428E-2</v>
      </c>
      <c r="Z273" s="196">
        <v>4.9606202898502825E-3</v>
      </c>
      <c r="AA273" s="54">
        <v>0.02</v>
      </c>
      <c r="AB273" s="99">
        <f t="shared" si="34"/>
        <v>-0.6058060552758876</v>
      </c>
      <c r="AC273" s="99">
        <f t="shared" si="37"/>
        <v>2252.1944750676207</v>
      </c>
      <c r="AD273" s="99">
        <f t="shared" si="35"/>
        <v>0.83840638638921594</v>
      </c>
      <c r="AE273" s="99"/>
    </row>
    <row r="274" spans="15:31" x14ac:dyDescent="0.25">
      <c r="O274" t="s">
        <v>217</v>
      </c>
      <c r="Q274" s="99">
        <v>1251.9150722104882</v>
      </c>
      <c r="R274" s="99">
        <v>-158.6079534814115</v>
      </c>
      <c r="T274" s="99">
        <v>1.4816183967743966</v>
      </c>
      <c r="U274" s="99">
        <v>2.1199770892810754</v>
      </c>
      <c r="V274" s="99">
        <f t="shared" si="36"/>
        <v>-0.63835869250667887</v>
      </c>
      <c r="W274" t="s">
        <v>578</v>
      </c>
      <c r="X274" s="196">
        <v>0.12023710655155051</v>
      </c>
      <c r="Y274" s="196">
        <v>2.7997825378628428E-2</v>
      </c>
      <c r="Z274" s="196">
        <v>4.9606202898502825E-3</v>
      </c>
      <c r="AA274" s="54">
        <v>0.02</v>
      </c>
      <c r="AB274" s="99">
        <f t="shared" si="34"/>
        <v>-0.38240644560009845</v>
      </c>
      <c r="AC274" s="99">
        <f t="shared" si="37"/>
        <v>1410.5230256918996</v>
      </c>
      <c r="AD274" s="99">
        <f t="shared" si="35"/>
        <v>0.66350121649618676</v>
      </c>
      <c r="AE274" s="99"/>
    </row>
    <row r="275" spans="15:31" x14ac:dyDescent="0.25">
      <c r="O275" t="s">
        <v>218</v>
      </c>
      <c r="Q275" s="99">
        <v>632.51955833327975</v>
      </c>
      <c r="R275" s="99">
        <v>-186.7438480184891</v>
      </c>
      <c r="T275" s="99">
        <v>3.9215340494689621</v>
      </c>
      <c r="U275" s="99">
        <v>2.6050031741166437</v>
      </c>
      <c r="V275" s="99">
        <f t="shared" si="36"/>
        <v>1.3165308753523184</v>
      </c>
      <c r="W275" t="s">
        <v>578</v>
      </c>
      <c r="X275" s="196">
        <v>0.12023710655155051</v>
      </c>
      <c r="Y275" s="196">
        <v>2.7997825378628428E-2</v>
      </c>
      <c r="Z275" s="196">
        <v>4.9606202898502825E-3</v>
      </c>
      <c r="AA275" s="54">
        <v>0.02</v>
      </c>
      <c r="AB275" s="99">
        <f t="shared" si="34"/>
        <v>0.68205649309350691</v>
      </c>
      <c r="AC275" s="99">
        <f t="shared" si="37"/>
        <v>819.26340635176882</v>
      </c>
      <c r="AD275" s="99">
        <f t="shared" si="35"/>
        <v>0.50566560221682499</v>
      </c>
      <c r="AE275" s="99"/>
    </row>
    <row r="276" spans="15:31" x14ac:dyDescent="0.25">
      <c r="O276" t="s">
        <v>219</v>
      </c>
      <c r="Q276" s="99">
        <v>915.36752367883662</v>
      </c>
      <c r="R276" s="99">
        <v>-247.29166586594712</v>
      </c>
      <c r="T276" s="99">
        <v>3.3682618221878675</v>
      </c>
      <c r="U276" s="99">
        <v>1.8229009812240302</v>
      </c>
      <c r="V276" s="99">
        <f t="shared" si="36"/>
        <v>1.5453608409638373</v>
      </c>
      <c r="W276" t="s">
        <v>578</v>
      </c>
      <c r="X276" s="196">
        <v>0.12023710655155051</v>
      </c>
      <c r="Y276" s="196">
        <v>2.7997825378628428E-2</v>
      </c>
      <c r="Z276" s="196">
        <v>4.9606202898502825E-3</v>
      </c>
      <c r="AA276" s="54">
        <v>0.02</v>
      </c>
      <c r="AB276" s="99">
        <f t="shared" si="34"/>
        <v>0.73895803361989665</v>
      </c>
      <c r="AC276" s="99">
        <f t="shared" si="37"/>
        <v>1162.6591895447837</v>
      </c>
      <c r="AD276" s="99">
        <f t="shared" si="35"/>
        <v>0.60239013036151834</v>
      </c>
      <c r="AE276" s="99"/>
    </row>
    <row r="277" spans="15:31" x14ac:dyDescent="0.25">
      <c r="O277" t="s">
        <v>220</v>
      </c>
      <c r="Q277" s="99">
        <v>510.2828415858861</v>
      </c>
      <c r="R277" s="99">
        <v>-81.432526408414816</v>
      </c>
      <c r="T277" s="99">
        <v>2.3205140755476439</v>
      </c>
      <c r="U277" s="99">
        <v>1.7042774781577146</v>
      </c>
      <c r="V277" s="99">
        <f t="shared" si="36"/>
        <v>0.61623659738992931</v>
      </c>
      <c r="W277" t="s">
        <v>578</v>
      </c>
      <c r="X277" s="196">
        <v>0.12023710655155051</v>
      </c>
      <c r="Y277" s="196">
        <v>2.7997825378628428E-2</v>
      </c>
      <c r="Z277" s="196">
        <v>4.9606202898502825E-3</v>
      </c>
      <c r="AA277" s="54">
        <v>0.02</v>
      </c>
      <c r="AB277" s="99">
        <f t="shared" si="34"/>
        <v>0.46663635042966195</v>
      </c>
      <c r="AC277" s="99">
        <f t="shared" si="37"/>
        <v>591.71536799430089</v>
      </c>
      <c r="AD277" s="99">
        <f t="shared" si="35"/>
        <v>0.42974225448801207</v>
      </c>
      <c r="AE277" s="99"/>
    </row>
    <row r="278" spans="15:31" x14ac:dyDescent="0.25">
      <c r="O278" t="s">
        <v>221</v>
      </c>
      <c r="Q278" s="99">
        <v>88.991975536120719</v>
      </c>
      <c r="R278" s="99">
        <v>-1.9239401181870242</v>
      </c>
      <c r="T278" s="99">
        <v>1.548724643166441</v>
      </c>
      <c r="U278" s="99">
        <v>1.4775618730674513</v>
      </c>
      <c r="V278" s="99">
        <f t="shared" si="36"/>
        <v>7.1162770098989636E-2</v>
      </c>
      <c r="W278" t="s">
        <v>578</v>
      </c>
      <c r="X278" s="196">
        <v>0.12023710655155051</v>
      </c>
      <c r="Y278" s="196">
        <v>2.7997825378628428E-2</v>
      </c>
      <c r="Z278" s="196">
        <v>4.9606202898502825E-3</v>
      </c>
      <c r="AA278" s="54">
        <v>0.02</v>
      </c>
      <c r="AB278" s="99">
        <f t="shared" si="34"/>
        <v>0.15857373150110807</v>
      </c>
      <c r="AC278" s="99">
        <f t="shared" si="37"/>
        <v>90.915915654307739</v>
      </c>
      <c r="AD278" s="99">
        <f t="shared" si="35"/>
        <v>0.16845022366029758</v>
      </c>
      <c r="AE278" s="99"/>
    </row>
    <row r="279" spans="15:31" x14ac:dyDescent="0.25">
      <c r="O279" t="s">
        <v>222</v>
      </c>
      <c r="Q279" s="99">
        <v>489.86806014340982</v>
      </c>
      <c r="R279" s="99">
        <v>-126.88596853893107</v>
      </c>
      <c r="T279" s="99">
        <v>3.5962716422035799</v>
      </c>
      <c r="U279" s="99">
        <v>2.1732738014740072</v>
      </c>
      <c r="V279" s="99">
        <f t="shared" si="36"/>
        <v>1.4229978407295727</v>
      </c>
      <c r="W279" t="s">
        <v>578</v>
      </c>
      <c r="X279" s="196">
        <v>0.12023710655155051</v>
      </c>
      <c r="Y279" s="196">
        <v>2.7997825378628428E-2</v>
      </c>
      <c r="Z279" s="196">
        <v>4.9606202898502825E-3</v>
      </c>
      <c r="AA279" s="54">
        <v>0.02</v>
      </c>
      <c r="AB279" s="99">
        <f t="shared" si="34"/>
        <v>0.70909911593671071</v>
      </c>
      <c r="AC279" s="99">
        <f t="shared" si="37"/>
        <v>616.75402868234085</v>
      </c>
      <c r="AD279" s="99">
        <f t="shared" si="35"/>
        <v>0.4387404041144578</v>
      </c>
      <c r="AE279" s="99"/>
    </row>
    <row r="280" spans="15:31" x14ac:dyDescent="0.25">
      <c r="O280" t="s">
        <v>223</v>
      </c>
      <c r="Q280" s="99">
        <v>458.13414786995065</v>
      </c>
      <c r="R280" s="99">
        <v>-166.75974860271282</v>
      </c>
      <c r="T280" s="99">
        <v>4.5174537372004924</v>
      </c>
      <c r="U280" s="99">
        <v>2.3499908834655265</v>
      </c>
      <c r="V280" s="99">
        <f t="shared" si="36"/>
        <v>2.1674628537349658</v>
      </c>
      <c r="W280" t="s">
        <v>578</v>
      </c>
      <c r="X280" s="196">
        <v>0.12023710655155051</v>
      </c>
      <c r="Y280" s="196">
        <v>2.7997825378628428E-2</v>
      </c>
      <c r="Z280" s="196">
        <v>4.9606202898502825E-3</v>
      </c>
      <c r="AA280" s="54">
        <v>0.02</v>
      </c>
      <c r="AB280" s="99">
        <f t="shared" si="34"/>
        <v>0.87514628790712279</v>
      </c>
      <c r="AC280" s="99">
        <f t="shared" si="37"/>
        <v>624.89389647266353</v>
      </c>
      <c r="AD280" s="99">
        <f t="shared" si="35"/>
        <v>0.44162614336238476</v>
      </c>
      <c r="AE280" s="99"/>
    </row>
    <row r="281" spans="15:31" x14ac:dyDescent="0.25">
      <c r="O281" t="s">
        <v>224</v>
      </c>
      <c r="Q281" s="99">
        <v>440.06021136946282</v>
      </c>
      <c r="R281" s="99">
        <v>-154.07710449210404</v>
      </c>
      <c r="T281" s="99">
        <v>3.4973532120325554</v>
      </c>
      <c r="U281" s="99">
        <v>2.2389986178294041</v>
      </c>
      <c r="V281" s="99">
        <f t="shared" si="36"/>
        <v>1.2583545942031513</v>
      </c>
      <c r="W281" t="s">
        <v>578</v>
      </c>
      <c r="X281" s="196">
        <v>0.12023710655155051</v>
      </c>
      <c r="Y281" s="196">
        <v>2.7997825378628428E-2</v>
      </c>
      <c r="Z281" s="196">
        <v>4.9606202898502825E-3</v>
      </c>
      <c r="AA281" s="54">
        <v>0.02</v>
      </c>
      <c r="AB281" s="99">
        <f t="shared" si="34"/>
        <v>0.66681650804906634</v>
      </c>
      <c r="AC281" s="99">
        <f t="shared" si="37"/>
        <v>594.13731586156689</v>
      </c>
      <c r="AD281" s="99">
        <f t="shared" si="35"/>
        <v>0.43062084454144622</v>
      </c>
      <c r="AE281" s="99"/>
    </row>
    <row r="282" spans="15:31" x14ac:dyDescent="0.25">
      <c r="O282" t="s">
        <v>225</v>
      </c>
      <c r="Q282" s="99">
        <v>562.91572934582086</v>
      </c>
      <c r="R282" s="99">
        <v>-127.81648484783291</v>
      </c>
      <c r="T282" s="99">
        <v>3.1407894289096667</v>
      </c>
      <c r="U282" s="99">
        <v>2.3662925966782744</v>
      </c>
      <c r="V282" s="99">
        <f t="shared" si="36"/>
        <v>0.77449683223139232</v>
      </c>
      <c r="W282" t="s">
        <v>578</v>
      </c>
      <c r="X282" s="196">
        <v>0.12023710655155051</v>
      </c>
      <c r="Y282" s="196">
        <v>2.7997825378628428E-2</v>
      </c>
      <c r="Z282" s="196">
        <v>4.9606202898502825E-3</v>
      </c>
      <c r="AA282" s="54">
        <v>0.02</v>
      </c>
      <c r="AB282" s="99">
        <f t="shared" si="34"/>
        <v>0.52313604687818671</v>
      </c>
      <c r="AC282" s="99">
        <f t="shared" si="37"/>
        <v>690.73221419365382</v>
      </c>
      <c r="AD282" s="99">
        <f t="shared" si="35"/>
        <v>0.46430834459680975</v>
      </c>
      <c r="AE282" s="99"/>
    </row>
    <row r="283" spans="15:31" x14ac:dyDescent="0.25">
      <c r="O283" t="s">
        <v>226</v>
      </c>
      <c r="Q283" s="99">
        <v>3026.99080182223</v>
      </c>
      <c r="R283" s="99">
        <v>-177.0403736544929</v>
      </c>
      <c r="T283" s="99">
        <v>0.62278141281321275</v>
      </c>
      <c r="U283" s="99">
        <v>2.3194208843483697</v>
      </c>
      <c r="V283" s="99">
        <f t="shared" si="36"/>
        <v>-1.6966394715351569</v>
      </c>
      <c r="W283" t="s">
        <v>578</v>
      </c>
      <c r="X283" s="196">
        <v>0.12023710655155051</v>
      </c>
      <c r="Y283" s="196">
        <v>2.7997825378628428E-2</v>
      </c>
      <c r="Z283" s="196">
        <v>4.9606202898502825E-3</v>
      </c>
      <c r="AA283" s="54">
        <v>0.02</v>
      </c>
      <c r="AB283" s="99">
        <f t="shared" si="34"/>
        <v>-0.62342985894515013</v>
      </c>
      <c r="AC283" s="99">
        <f t="shared" si="37"/>
        <v>3204.0311754767226</v>
      </c>
      <c r="AD283" s="99">
        <f t="shared" si="35"/>
        <v>1</v>
      </c>
      <c r="AE283" s="99"/>
    </row>
    <row r="284" spans="15:31" x14ac:dyDescent="0.25">
      <c r="O284" t="s">
        <v>228</v>
      </c>
      <c r="Q284" s="99">
        <v>234.97271612805307</v>
      </c>
      <c r="R284" s="99">
        <v>-140.66429401965635</v>
      </c>
      <c r="T284" s="99">
        <v>4.7982617636243248</v>
      </c>
      <c r="U284" s="99">
        <v>1.9682362344469895</v>
      </c>
      <c r="V284" s="99">
        <f t="shared" si="36"/>
        <v>2.8300255291773353</v>
      </c>
      <c r="W284" t="s">
        <v>578</v>
      </c>
      <c r="X284" s="196">
        <v>0.12023710655155051</v>
      </c>
      <c r="Y284" s="196">
        <v>2.7997825378628428E-2</v>
      </c>
      <c r="Z284" s="196">
        <v>4.9606202898502825E-3</v>
      </c>
      <c r="AA284" s="54">
        <v>0.02</v>
      </c>
      <c r="AB284" s="99">
        <f t="shared" si="34"/>
        <v>1</v>
      </c>
      <c r="AC284" s="99">
        <f t="shared" si="37"/>
        <v>375.63701014770942</v>
      </c>
      <c r="AD284" s="99">
        <f t="shared" si="35"/>
        <v>0.34240162805829455</v>
      </c>
      <c r="AE284" s="99"/>
    </row>
    <row r="285" spans="15:31" x14ac:dyDescent="0.25">
      <c r="O285" t="s">
        <v>227</v>
      </c>
      <c r="Q285" s="99">
        <v>345.22665156660213</v>
      </c>
      <c r="R285" s="99">
        <v>-159.6199409621471</v>
      </c>
      <c r="T285" s="99">
        <v>3.3255975745854629</v>
      </c>
      <c r="U285" s="99">
        <v>2.1292246202253313</v>
      </c>
      <c r="V285" s="99">
        <f t="shared" si="36"/>
        <v>1.1963729543601316</v>
      </c>
      <c r="W285" t="s">
        <v>578</v>
      </c>
      <c r="X285" s="196">
        <v>0.12023710655155051</v>
      </c>
      <c r="Y285" s="196">
        <v>2.7997825378628428E-2</v>
      </c>
      <c r="Z285" s="196">
        <v>4.9606202898502825E-3</v>
      </c>
      <c r="AA285" s="54">
        <v>0.02</v>
      </c>
      <c r="AB285" s="99">
        <f t="shared" si="34"/>
        <v>0.65018675275431537</v>
      </c>
      <c r="AC285" s="99">
        <f t="shared" si="37"/>
        <v>504.84659252874923</v>
      </c>
      <c r="AD285" s="99">
        <f t="shared" si="35"/>
        <v>0.39694592518274852</v>
      </c>
      <c r="AE285" s="99"/>
    </row>
    <row r="286" spans="15:31" x14ac:dyDescent="0.25">
      <c r="O286" t="s">
        <v>229</v>
      </c>
      <c r="Q286" s="99">
        <v>517.95111784561118</v>
      </c>
      <c r="R286" s="99">
        <v>-158.92183725731456</v>
      </c>
      <c r="T286" s="99">
        <v>3.3607023305061725</v>
      </c>
      <c r="U286" s="99">
        <v>1.6367194678222656</v>
      </c>
      <c r="V286" s="99">
        <f t="shared" si="36"/>
        <v>1.7239828626839069</v>
      </c>
      <c r="W286" t="s">
        <v>578</v>
      </c>
      <c r="X286" s="196">
        <v>0.12023710655155051</v>
      </c>
      <c r="Y286" s="196">
        <v>2.7997825378628428E-2</v>
      </c>
      <c r="Z286" s="196">
        <v>4.9606202898502825E-3</v>
      </c>
      <c r="AA286" s="54">
        <v>0.02</v>
      </c>
      <c r="AB286" s="99">
        <f t="shared" si="34"/>
        <v>0.78049710328953892</v>
      </c>
      <c r="AC286" s="99">
        <f t="shared" si="37"/>
        <v>676.87295510292574</v>
      </c>
      <c r="AD286" s="99">
        <f t="shared" si="35"/>
        <v>0.45962666317265932</v>
      </c>
      <c r="AE286" s="99"/>
    </row>
    <row r="287" spans="15:31" x14ac:dyDescent="0.25">
      <c r="O287" t="s">
        <v>159</v>
      </c>
      <c r="Q287" s="99">
        <v>0</v>
      </c>
      <c r="R287" s="99">
        <v>-162.86058423390034</v>
      </c>
      <c r="T287" s="99">
        <v>-1.3248081428904035</v>
      </c>
      <c r="U287" s="99">
        <v>2.4935836570570693</v>
      </c>
      <c r="V287" s="99">
        <f t="shared" si="36"/>
        <v>-3.8183917999474728</v>
      </c>
      <c r="W287" t="s">
        <v>578</v>
      </c>
      <c r="X287" s="196">
        <v>0.12023710655155051</v>
      </c>
      <c r="Y287" s="196">
        <v>2.7997825378628428E-2</v>
      </c>
      <c r="Z287" s="196">
        <v>4.9606202898502825E-3</v>
      </c>
      <c r="AA287" s="54">
        <v>0.02</v>
      </c>
      <c r="AB287" s="99">
        <f t="shared" si="34"/>
        <v>-0.93526150634337124</v>
      </c>
      <c r="AC287" s="99">
        <f t="shared" si="37"/>
        <v>162.86058423390034</v>
      </c>
      <c r="AD287" s="99">
        <f t="shared" si="35"/>
        <v>0.22545487352485846</v>
      </c>
      <c r="AE287" s="99"/>
    </row>
    <row r="288" spans="15:31" x14ac:dyDescent="0.25">
      <c r="O288" t="s">
        <v>158</v>
      </c>
      <c r="Q288" s="99">
        <v>1368.4902089230229</v>
      </c>
      <c r="R288" s="99">
        <v>-178.84607027386059</v>
      </c>
      <c r="T288" s="99">
        <v>1.3800604171235706</v>
      </c>
      <c r="U288" s="99">
        <v>2.343908170223246</v>
      </c>
      <c r="V288" s="99">
        <f t="shared" si="36"/>
        <v>-0.96384775309967541</v>
      </c>
      <c r="W288" t="s">
        <v>578</v>
      </c>
      <c r="X288" s="196">
        <v>0.12023710655155051</v>
      </c>
      <c r="Y288" s="196">
        <v>2.7997825378628428E-2</v>
      </c>
      <c r="Z288" s="196">
        <v>4.9606202898502825E-3</v>
      </c>
      <c r="AA288" s="54">
        <v>0.02</v>
      </c>
      <c r="AB288" s="99">
        <f t="shared" si="34"/>
        <v>-0.46989090082633594</v>
      </c>
      <c r="AC288" s="99">
        <f t="shared" si="37"/>
        <v>1547.3362791968834</v>
      </c>
      <c r="AD288" s="99">
        <f t="shared" si="35"/>
        <v>0.6949346836740814</v>
      </c>
      <c r="AE288" s="99"/>
    </row>
    <row r="289" spans="15:31" x14ac:dyDescent="0.25">
      <c r="O289" t="s">
        <v>160</v>
      </c>
      <c r="Q289" s="99">
        <v>0</v>
      </c>
      <c r="R289" s="99">
        <v>-273.89140483111476</v>
      </c>
      <c r="T289" s="99">
        <v>-0.70153139649516483</v>
      </c>
      <c r="U289" s="99">
        <v>3.6637713513922323</v>
      </c>
      <c r="V289" s="99">
        <f t="shared" si="36"/>
        <v>-4.3653027478873971</v>
      </c>
      <c r="W289" t="s">
        <v>578</v>
      </c>
      <c r="X289" s="196">
        <v>0.12023710655155051</v>
      </c>
      <c r="Y289" s="196">
        <v>2.7997825378628428E-2</v>
      </c>
      <c r="Z289" s="196">
        <v>4.9606202898502825E-3</v>
      </c>
      <c r="AA289" s="54">
        <v>0.02</v>
      </c>
      <c r="AB289" s="99">
        <f t="shared" si="34"/>
        <v>-1</v>
      </c>
      <c r="AC289" s="99">
        <f t="shared" si="37"/>
        <v>273.89140483111476</v>
      </c>
      <c r="AD289" s="99">
        <f t="shared" si="35"/>
        <v>0.29237540419925184</v>
      </c>
      <c r="AE289" s="99"/>
    </row>
    <row r="290" spans="15:31" x14ac:dyDescent="0.25">
      <c r="O290" t="s">
        <v>187</v>
      </c>
      <c r="Q290" s="99">
        <v>104.00970322209652</v>
      </c>
      <c r="R290" s="99">
        <v>-259.05671695933665</v>
      </c>
      <c r="T290" s="99">
        <v>49.419551094899774</v>
      </c>
      <c r="U290" s="99">
        <v>30.189093311712909</v>
      </c>
      <c r="V290" s="99">
        <f t="shared" si="36"/>
        <v>19.230457783186864</v>
      </c>
      <c r="W290" t="s">
        <v>569</v>
      </c>
      <c r="X290" s="54">
        <f>272.788753394184%/14</f>
        <v>0.19484910956727433</v>
      </c>
      <c r="Y290" s="54">
        <f>63.5202567812092%/14</f>
        <v>4.5371611986577999E-2</v>
      </c>
      <c r="Z290" s="196">
        <f>11.2544410269053%/14</f>
        <v>8.0388864477894985E-3</v>
      </c>
      <c r="AA290" s="54">
        <v>0.03</v>
      </c>
      <c r="AB290" s="99">
        <f>IF(V290&gt;0, SQRT(V290/MAX($V$290:$V$337)), -SQRT(V290/MIN($V$290:$V$337)))</f>
        <v>0.75963679292438746</v>
      </c>
      <c r="AC290" s="99">
        <f t="shared" si="37"/>
        <v>363.06642018143316</v>
      </c>
      <c r="AD290" s="99">
        <f>IF(AC290&gt;0,SQRT(AC290/MAX($AC$290:$AC$337)),-SQRT(AC290/MIN($AC$290:$AC$337)))</f>
        <v>0.44860698550050054</v>
      </c>
      <c r="AE290" s="99"/>
    </row>
    <row r="291" spans="15:31" x14ac:dyDescent="0.25">
      <c r="O291" t="s">
        <v>189</v>
      </c>
      <c r="Q291" s="99">
        <v>84.578228059015004</v>
      </c>
      <c r="R291" s="99">
        <v>-352.98791450319544</v>
      </c>
      <c r="T291" s="99">
        <v>37.251164847685601</v>
      </c>
      <c r="U291" s="99">
        <v>22.442947056893125</v>
      </c>
      <c r="V291" s="99">
        <f t="shared" si="36"/>
        <v>14.808217790792476</v>
      </c>
      <c r="W291" t="s">
        <v>569</v>
      </c>
      <c r="X291" s="54">
        <f t="shared" ref="X291:X337" si="38">272.788753394184%/14</f>
        <v>0.19484910956727433</v>
      </c>
      <c r="Y291" s="54">
        <f t="shared" ref="Y291:Y337" si="39">63.5202567812092%/14</f>
        <v>4.5371611986577999E-2</v>
      </c>
      <c r="Z291" s="196">
        <f t="shared" ref="Z291:Z337" si="40">11.2544410269053%/14</f>
        <v>8.0388864477894985E-3</v>
      </c>
      <c r="AA291" s="54">
        <v>0.03</v>
      </c>
      <c r="AB291" s="99">
        <f t="shared" ref="AB291:AB337" si="41">IF(V291&gt;0, SQRT(V291/MAX($V$290:$V$337)), -SQRT(V291/MIN($V$290:$V$337)))</f>
        <v>0.66659580578814404</v>
      </c>
      <c r="AC291" s="99">
        <f t="shared" si="37"/>
        <v>437.56614256221042</v>
      </c>
      <c r="AD291" s="99">
        <f t="shared" ref="AD291:AD354" si="42">IF(AC291&gt;0,SQRT(AC291/MAX($AC$290:$AC$337)),-SQRT(AC291/MIN($AC$290:$AC$337)))</f>
        <v>0.49248708445588685</v>
      </c>
      <c r="AE291" s="99"/>
    </row>
    <row r="292" spans="15:31" x14ac:dyDescent="0.25">
      <c r="O292" t="s">
        <v>188</v>
      </c>
      <c r="Q292" s="99">
        <v>220.67411856669739</v>
      </c>
      <c r="R292" s="99">
        <v>-252.74350768062141</v>
      </c>
      <c r="T292" s="99">
        <v>38.935048128747866</v>
      </c>
      <c r="U292" s="99">
        <v>29.35752504006178</v>
      </c>
      <c r="V292" s="99">
        <f t="shared" si="36"/>
        <v>9.5775230886860854</v>
      </c>
      <c r="W292" t="s">
        <v>569</v>
      </c>
      <c r="X292" s="54">
        <f t="shared" si="38"/>
        <v>0.19484910956727433</v>
      </c>
      <c r="Y292" s="54">
        <f t="shared" si="39"/>
        <v>4.5371611986577999E-2</v>
      </c>
      <c r="Z292" s="196">
        <f t="shared" si="40"/>
        <v>8.0388864477894985E-3</v>
      </c>
      <c r="AA292" s="54">
        <v>0.03</v>
      </c>
      <c r="AB292" s="99">
        <f t="shared" si="41"/>
        <v>0.53609009608654945</v>
      </c>
      <c r="AC292" s="99">
        <f t="shared" si="37"/>
        <v>473.41762624731882</v>
      </c>
      <c r="AD292" s="99">
        <f t="shared" si="42"/>
        <v>0.51226561098278134</v>
      </c>
      <c r="AE292" s="99"/>
    </row>
    <row r="293" spans="15:31" x14ac:dyDescent="0.25">
      <c r="O293" t="s">
        <v>149</v>
      </c>
      <c r="Q293" s="99">
        <v>296.35481298777256</v>
      </c>
      <c r="R293" s="99">
        <v>-338.71798335765993</v>
      </c>
      <c r="T293" s="99">
        <v>42.478922832870921</v>
      </c>
      <c r="U293" s="99">
        <v>21.304606948907526</v>
      </c>
      <c r="V293" s="99">
        <f t="shared" si="36"/>
        <v>21.174315883963395</v>
      </c>
      <c r="W293" t="s">
        <v>569</v>
      </c>
      <c r="X293" s="54">
        <f t="shared" si="38"/>
        <v>0.19484910956727433</v>
      </c>
      <c r="Y293" s="54">
        <f t="shared" si="39"/>
        <v>4.5371611986577999E-2</v>
      </c>
      <c r="Z293" s="196">
        <f t="shared" si="40"/>
        <v>8.0388864477894985E-3</v>
      </c>
      <c r="AA293" s="54">
        <v>0.03</v>
      </c>
      <c r="AB293" s="99">
        <f t="shared" si="41"/>
        <v>0.79710562532674034</v>
      </c>
      <c r="AC293" s="99">
        <f t="shared" si="37"/>
        <v>635.07279634543249</v>
      </c>
      <c r="AD293" s="99">
        <f t="shared" si="42"/>
        <v>0.59331420376114608</v>
      </c>
      <c r="AE293" s="99"/>
    </row>
    <row r="294" spans="15:31" x14ac:dyDescent="0.25">
      <c r="O294" t="s">
        <v>190</v>
      </c>
      <c r="Q294" s="99">
        <v>376.99322977325613</v>
      </c>
      <c r="R294" s="99">
        <v>-268.47975170988684</v>
      </c>
      <c r="T294" s="99">
        <v>27.732993773177689</v>
      </c>
      <c r="U294" s="99">
        <v>22.591102065422739</v>
      </c>
      <c r="V294" s="99">
        <f t="shared" si="36"/>
        <v>5.1418917077549509</v>
      </c>
      <c r="W294" t="s">
        <v>569</v>
      </c>
      <c r="X294" s="54">
        <f t="shared" si="38"/>
        <v>0.19484910956727433</v>
      </c>
      <c r="Y294" s="54">
        <f t="shared" si="39"/>
        <v>4.5371611986577999E-2</v>
      </c>
      <c r="Z294" s="196">
        <f t="shared" si="40"/>
        <v>8.0388864477894985E-3</v>
      </c>
      <c r="AA294" s="54">
        <v>0.03</v>
      </c>
      <c r="AB294" s="99">
        <f t="shared" si="41"/>
        <v>0.39280105277071498</v>
      </c>
      <c r="AC294" s="99">
        <f t="shared" si="37"/>
        <v>645.47298148314303</v>
      </c>
      <c r="AD294" s="99">
        <f t="shared" si="42"/>
        <v>0.59815264075043417</v>
      </c>
      <c r="AE294" s="99"/>
    </row>
    <row r="295" spans="15:31" x14ac:dyDescent="0.25">
      <c r="O295" t="s">
        <v>191</v>
      </c>
      <c r="Q295" s="99">
        <v>590.56417016216585</v>
      </c>
      <c r="R295" s="99">
        <v>-247.56569840456535</v>
      </c>
      <c r="T295" s="99">
        <v>36.611086044801155</v>
      </c>
      <c r="U295" s="99">
        <v>20.998123892067696</v>
      </c>
      <c r="V295" s="99">
        <f t="shared" si="36"/>
        <v>15.612962152733459</v>
      </c>
      <c r="W295" t="s">
        <v>569</v>
      </c>
      <c r="X295" s="54">
        <f t="shared" si="38"/>
        <v>0.19484910956727433</v>
      </c>
      <c r="Y295" s="54">
        <f t="shared" si="39"/>
        <v>4.5371611986577999E-2</v>
      </c>
      <c r="Z295" s="196">
        <f t="shared" si="40"/>
        <v>8.0388864477894985E-3</v>
      </c>
      <c r="AA295" s="54">
        <v>0.03</v>
      </c>
      <c r="AB295" s="99">
        <f t="shared" si="41"/>
        <v>0.68446907910204302</v>
      </c>
      <c r="AC295" s="99">
        <f t="shared" si="37"/>
        <v>838.12986856673115</v>
      </c>
      <c r="AD295" s="99">
        <f t="shared" si="42"/>
        <v>0.68159853664873982</v>
      </c>
      <c r="AE295" s="99"/>
    </row>
    <row r="296" spans="15:31" x14ac:dyDescent="0.25">
      <c r="O296" t="s">
        <v>192</v>
      </c>
      <c r="Q296" s="99">
        <v>313.62596504541887</v>
      </c>
      <c r="R296" s="99">
        <v>-257.94529611119054</v>
      </c>
      <c r="T296" s="99">
        <v>29.279923592349753</v>
      </c>
      <c r="U296" s="99">
        <v>21.618267336926309</v>
      </c>
      <c r="V296" s="99">
        <f t="shared" si="36"/>
        <v>7.6616562554234449</v>
      </c>
      <c r="W296" t="s">
        <v>569</v>
      </c>
      <c r="X296" s="54">
        <f t="shared" si="38"/>
        <v>0.19484910956727433</v>
      </c>
      <c r="Y296" s="54">
        <f t="shared" si="39"/>
        <v>4.5371611986577999E-2</v>
      </c>
      <c r="Z296" s="196">
        <f t="shared" si="40"/>
        <v>8.0388864477894985E-3</v>
      </c>
      <c r="AA296" s="54">
        <v>0.03</v>
      </c>
      <c r="AB296" s="99">
        <f t="shared" si="41"/>
        <v>0.47948222480280839</v>
      </c>
      <c r="AC296" s="99">
        <f t="shared" si="37"/>
        <v>571.57126115660935</v>
      </c>
      <c r="AD296" s="99">
        <f t="shared" si="42"/>
        <v>0.56287010410981497</v>
      </c>
      <c r="AE296" s="99"/>
    </row>
    <row r="297" spans="15:31" x14ac:dyDescent="0.25">
      <c r="O297" t="s">
        <v>193</v>
      </c>
      <c r="Q297" s="99">
        <v>410.02620273962322</v>
      </c>
      <c r="R297" s="99">
        <v>-232.34881679733212</v>
      </c>
      <c r="T297" s="99">
        <v>36.79142973192473</v>
      </c>
      <c r="U297" s="99">
        <v>24.689753356839915</v>
      </c>
      <c r="V297" s="99">
        <f t="shared" si="36"/>
        <v>12.101676375084814</v>
      </c>
      <c r="W297" t="s">
        <v>569</v>
      </c>
      <c r="X297" s="54">
        <f t="shared" si="38"/>
        <v>0.19484910956727433</v>
      </c>
      <c r="Y297" s="54">
        <f t="shared" si="39"/>
        <v>4.5371611986577999E-2</v>
      </c>
      <c r="Z297" s="196">
        <f t="shared" si="40"/>
        <v>8.0388864477894985E-3</v>
      </c>
      <c r="AA297" s="54">
        <v>0.03</v>
      </c>
      <c r="AB297" s="99">
        <f t="shared" si="41"/>
        <v>0.60260668829938779</v>
      </c>
      <c r="AC297" s="99">
        <f t="shared" si="37"/>
        <v>642.37501953695528</v>
      </c>
      <c r="AD297" s="99">
        <f t="shared" si="42"/>
        <v>0.59671549080946185</v>
      </c>
      <c r="AE297" s="99"/>
    </row>
    <row r="298" spans="15:31" x14ac:dyDescent="0.25">
      <c r="O298" t="s">
        <v>194</v>
      </c>
      <c r="Q298" s="99">
        <v>35.494581021229642</v>
      </c>
      <c r="R298" s="99">
        <v>-277.31301235156997</v>
      </c>
      <c r="T298" s="99">
        <v>50.171318425490036</v>
      </c>
      <c r="U298" s="99">
        <v>31.0343684673051</v>
      </c>
      <c r="V298" s="99">
        <f t="shared" si="36"/>
        <v>19.136949958184935</v>
      </c>
      <c r="W298" t="s">
        <v>569</v>
      </c>
      <c r="X298" s="54">
        <f t="shared" si="38"/>
        <v>0.19484910956727433</v>
      </c>
      <c r="Y298" s="54">
        <f t="shared" si="39"/>
        <v>4.5371611986577999E-2</v>
      </c>
      <c r="Z298" s="196">
        <f t="shared" si="40"/>
        <v>8.0388864477894985E-3</v>
      </c>
      <c r="AA298" s="54">
        <v>0.03</v>
      </c>
      <c r="AB298" s="99">
        <f t="shared" si="41"/>
        <v>0.75778768086283832</v>
      </c>
      <c r="AC298" s="99">
        <f t="shared" si="37"/>
        <v>312.8075933727996</v>
      </c>
      <c r="AD298" s="99">
        <f t="shared" si="42"/>
        <v>0.41640087540692922</v>
      </c>
      <c r="AE298" s="99"/>
    </row>
    <row r="299" spans="15:31" x14ac:dyDescent="0.25">
      <c r="O299" t="s">
        <v>196</v>
      </c>
      <c r="Q299" s="99">
        <v>53.864847790394016</v>
      </c>
      <c r="R299" s="99">
        <v>-297.08374699352055</v>
      </c>
      <c r="T299" s="99">
        <v>52.355702457727809</v>
      </c>
      <c r="U299" s="99">
        <v>25.418848414813482</v>
      </c>
      <c r="V299" s="99">
        <f t="shared" si="36"/>
        <v>26.936854042914327</v>
      </c>
      <c r="W299" t="s">
        <v>569</v>
      </c>
      <c r="X299" s="54">
        <f t="shared" si="38"/>
        <v>0.19484910956727433</v>
      </c>
      <c r="Y299" s="54">
        <f t="shared" si="39"/>
        <v>4.5371611986577999E-2</v>
      </c>
      <c r="Z299" s="196">
        <f t="shared" si="40"/>
        <v>8.0388864477894985E-3</v>
      </c>
      <c r="AA299" s="54">
        <v>0.03</v>
      </c>
      <c r="AB299" s="99">
        <f t="shared" si="41"/>
        <v>0.89905159679622415</v>
      </c>
      <c r="AC299" s="99">
        <f t="shared" si="37"/>
        <v>350.94859478391459</v>
      </c>
      <c r="AD299" s="99">
        <f t="shared" si="42"/>
        <v>0.44105702553705944</v>
      </c>
      <c r="AE299" s="99"/>
    </row>
    <row r="300" spans="15:31" x14ac:dyDescent="0.25">
      <c r="O300" t="s">
        <v>197</v>
      </c>
      <c r="Q300" s="99">
        <v>249.19538772655548</v>
      </c>
      <c r="R300" s="99">
        <v>-254.23474948280847</v>
      </c>
      <c r="T300" s="99">
        <v>41.733917989437572</v>
      </c>
      <c r="U300" s="99">
        <v>21.781125089458399</v>
      </c>
      <c r="V300" s="99">
        <f t="shared" si="36"/>
        <v>19.952792899979173</v>
      </c>
      <c r="W300" t="s">
        <v>569</v>
      </c>
      <c r="X300" s="54">
        <f t="shared" si="38"/>
        <v>0.19484910956727433</v>
      </c>
      <c r="Y300" s="54">
        <f t="shared" si="39"/>
        <v>4.5371611986577999E-2</v>
      </c>
      <c r="Z300" s="196">
        <f t="shared" si="40"/>
        <v>8.0388864477894985E-3</v>
      </c>
      <c r="AA300" s="54">
        <v>0.03</v>
      </c>
      <c r="AB300" s="99">
        <f t="shared" si="41"/>
        <v>0.77377203111671589</v>
      </c>
      <c r="AC300" s="99">
        <f t="shared" si="37"/>
        <v>503.43013720936392</v>
      </c>
      <c r="AD300" s="99">
        <f t="shared" si="42"/>
        <v>0.52825375837854982</v>
      </c>
      <c r="AE300" s="99"/>
    </row>
    <row r="301" spans="15:31" x14ac:dyDescent="0.25">
      <c r="O301" t="s">
        <v>198</v>
      </c>
      <c r="Q301" s="99">
        <v>161.24042888691795</v>
      </c>
      <c r="R301" s="99">
        <v>-291.83780459899879</v>
      </c>
      <c r="T301" s="99">
        <v>24.122055101552661</v>
      </c>
      <c r="U301" s="99">
        <v>31.144016839829732</v>
      </c>
      <c r="V301" s="99">
        <f t="shared" si="36"/>
        <v>-7.0219617382770707</v>
      </c>
      <c r="W301" t="s">
        <v>569</v>
      </c>
      <c r="X301" s="54">
        <f t="shared" si="38"/>
        <v>0.19484910956727433</v>
      </c>
      <c r="Y301" s="54">
        <f t="shared" si="39"/>
        <v>4.5371611986577999E-2</v>
      </c>
      <c r="Z301" s="196">
        <f t="shared" si="40"/>
        <v>8.0388864477894985E-3</v>
      </c>
      <c r="AA301" s="54">
        <v>0.03</v>
      </c>
      <c r="AB301" s="99">
        <f t="shared" si="41"/>
        <v>-0.53484893335851091</v>
      </c>
      <c r="AC301" s="99">
        <f t="shared" si="37"/>
        <v>453.07823348591671</v>
      </c>
      <c r="AD301" s="99">
        <f t="shared" si="42"/>
        <v>0.50114060120495063</v>
      </c>
      <c r="AE301" s="99"/>
    </row>
    <row r="302" spans="15:31" x14ac:dyDescent="0.25">
      <c r="O302" t="s">
        <v>195</v>
      </c>
      <c r="Q302" s="99">
        <v>159.68129568496911</v>
      </c>
      <c r="R302" s="99">
        <v>-276.44443709461922</v>
      </c>
      <c r="T302" s="99">
        <v>44.163453448686475</v>
      </c>
      <c r="U302" s="99">
        <v>25.799443526492084</v>
      </c>
      <c r="V302" s="99">
        <f t="shared" si="36"/>
        <v>18.364009922194391</v>
      </c>
      <c r="W302" t="s">
        <v>569</v>
      </c>
      <c r="X302" s="54">
        <f t="shared" si="38"/>
        <v>0.19484910956727433</v>
      </c>
      <c r="Y302" s="54">
        <f t="shared" si="39"/>
        <v>4.5371611986577999E-2</v>
      </c>
      <c r="Z302" s="196">
        <f t="shared" si="40"/>
        <v>8.0388864477894985E-3</v>
      </c>
      <c r="AA302" s="54">
        <v>0.03</v>
      </c>
      <c r="AB302" s="99">
        <f t="shared" si="41"/>
        <v>0.74232645732519242</v>
      </c>
      <c r="AC302" s="99">
        <f t="shared" si="37"/>
        <v>436.12573277958836</v>
      </c>
      <c r="AD302" s="99">
        <f t="shared" si="42"/>
        <v>0.49167581513340397</v>
      </c>
      <c r="AE302" s="99"/>
    </row>
    <row r="303" spans="15:31" x14ac:dyDescent="0.25">
      <c r="O303" t="s">
        <v>199</v>
      </c>
      <c r="Q303" s="99">
        <v>217.15517471814638</v>
      </c>
      <c r="R303" s="99">
        <v>-263.54185310330263</v>
      </c>
      <c r="T303" s="99">
        <v>42.55377674910347</v>
      </c>
      <c r="U303" s="99">
        <v>25.565148381330886</v>
      </c>
      <c r="V303" s="99">
        <f t="shared" si="36"/>
        <v>16.988628367772584</v>
      </c>
      <c r="W303" t="s">
        <v>569</v>
      </c>
      <c r="X303" s="54">
        <f t="shared" si="38"/>
        <v>0.19484910956727433</v>
      </c>
      <c r="Y303" s="54">
        <f t="shared" si="39"/>
        <v>4.5371611986577999E-2</v>
      </c>
      <c r="Z303" s="196">
        <f t="shared" si="40"/>
        <v>8.0388864477894985E-3</v>
      </c>
      <c r="AA303" s="54">
        <v>0.03</v>
      </c>
      <c r="AB303" s="99">
        <f t="shared" si="41"/>
        <v>0.71398705565949427</v>
      </c>
      <c r="AC303" s="99">
        <f t="shared" si="37"/>
        <v>480.69702782144901</v>
      </c>
      <c r="AD303" s="99">
        <f t="shared" si="42"/>
        <v>0.51618895641827911</v>
      </c>
      <c r="AE303" s="99"/>
    </row>
    <row r="304" spans="15:31" x14ac:dyDescent="0.25">
      <c r="O304" t="s">
        <v>157</v>
      </c>
      <c r="Q304" s="99">
        <v>539.6184739607146</v>
      </c>
      <c r="R304" s="99">
        <v>-263.34794609425836</v>
      </c>
      <c r="T304" s="99">
        <v>13.107787832387345</v>
      </c>
      <c r="U304" s="99">
        <v>27.927771425173596</v>
      </c>
      <c r="V304" s="99">
        <f t="shared" si="36"/>
        <v>-14.819983592786251</v>
      </c>
      <c r="W304" t="s">
        <v>569</v>
      </c>
      <c r="X304" s="54">
        <f t="shared" si="38"/>
        <v>0.19484910956727433</v>
      </c>
      <c r="Y304" s="54">
        <f t="shared" si="39"/>
        <v>4.5371611986577999E-2</v>
      </c>
      <c r="Z304" s="196">
        <f t="shared" si="40"/>
        <v>8.0388864477894985E-3</v>
      </c>
      <c r="AA304" s="54">
        <v>0.03</v>
      </c>
      <c r="AB304" s="99">
        <f t="shared" si="41"/>
        <v>-0.77700849346212963</v>
      </c>
      <c r="AC304" s="99">
        <f t="shared" si="37"/>
        <v>802.96642005497301</v>
      </c>
      <c r="AD304" s="99">
        <f t="shared" si="42"/>
        <v>0.66714722227291245</v>
      </c>
      <c r="AE304" s="99"/>
    </row>
    <row r="305" spans="15:31" x14ac:dyDescent="0.25">
      <c r="O305" t="s">
        <v>200</v>
      </c>
      <c r="Q305" s="99">
        <v>306.85059583661058</v>
      </c>
      <c r="R305" s="99">
        <v>-220.75792890835203</v>
      </c>
      <c r="T305" s="99">
        <v>37.150874346399881</v>
      </c>
      <c r="U305" s="99">
        <v>25.358006624861837</v>
      </c>
      <c r="V305" s="99">
        <f t="shared" si="36"/>
        <v>11.792867721538045</v>
      </c>
      <c r="W305" t="s">
        <v>569</v>
      </c>
      <c r="X305" s="54">
        <f t="shared" si="38"/>
        <v>0.19484910956727433</v>
      </c>
      <c r="Y305" s="54">
        <f t="shared" si="39"/>
        <v>4.5371611986577999E-2</v>
      </c>
      <c r="Z305" s="196">
        <f t="shared" si="40"/>
        <v>8.0388864477894985E-3</v>
      </c>
      <c r="AA305" s="54">
        <v>0.03</v>
      </c>
      <c r="AB305" s="99">
        <f t="shared" si="41"/>
        <v>0.59486839230676125</v>
      </c>
      <c r="AC305" s="99">
        <f t="shared" si="37"/>
        <v>527.60852474496255</v>
      </c>
      <c r="AD305" s="99">
        <f t="shared" si="42"/>
        <v>0.5407902989739175</v>
      </c>
      <c r="AE305" s="99"/>
    </row>
    <row r="306" spans="15:31" x14ac:dyDescent="0.25">
      <c r="O306" t="s">
        <v>203</v>
      </c>
      <c r="Q306" s="99">
        <v>254.20236157346153</v>
      </c>
      <c r="R306" s="99">
        <v>-283.81930889909285</v>
      </c>
      <c r="T306" s="99">
        <v>51.484183097706968</v>
      </c>
      <c r="U306" s="99">
        <v>25.157999208212892</v>
      </c>
      <c r="V306" s="99">
        <f t="shared" si="36"/>
        <v>26.326183889494075</v>
      </c>
      <c r="W306" t="s">
        <v>569</v>
      </c>
      <c r="X306" s="54">
        <f t="shared" si="38"/>
        <v>0.19484910956727433</v>
      </c>
      <c r="Y306" s="54">
        <f t="shared" si="39"/>
        <v>4.5371611986577999E-2</v>
      </c>
      <c r="Z306" s="196">
        <f t="shared" si="40"/>
        <v>8.0388864477894985E-3</v>
      </c>
      <c r="AA306" s="54">
        <v>0.03</v>
      </c>
      <c r="AB306" s="99">
        <f t="shared" si="41"/>
        <v>0.88880222974656631</v>
      </c>
      <c r="AC306" s="99">
        <f t="shared" si="37"/>
        <v>538.02167047255443</v>
      </c>
      <c r="AD306" s="99">
        <f t="shared" si="42"/>
        <v>0.54610087785087613</v>
      </c>
      <c r="AE306" s="99"/>
    </row>
    <row r="307" spans="15:31" x14ac:dyDescent="0.25">
      <c r="O307" t="s">
        <v>202</v>
      </c>
      <c r="Q307" s="99">
        <v>229.85496311673137</v>
      </c>
      <c r="R307" s="99">
        <v>-267.29767568202959</v>
      </c>
      <c r="T307" s="99">
        <v>42.949546351115551</v>
      </c>
      <c r="U307" s="99">
        <v>23.151361334399212</v>
      </c>
      <c r="V307" s="99">
        <f t="shared" si="36"/>
        <v>19.798185016716339</v>
      </c>
      <c r="W307" t="s">
        <v>569</v>
      </c>
      <c r="X307" s="54">
        <f t="shared" si="38"/>
        <v>0.19484910956727433</v>
      </c>
      <c r="Y307" s="54">
        <f t="shared" si="39"/>
        <v>4.5371611986577999E-2</v>
      </c>
      <c r="Z307" s="196">
        <f t="shared" si="40"/>
        <v>8.0388864477894985E-3</v>
      </c>
      <c r="AA307" s="54">
        <v>0.03</v>
      </c>
      <c r="AB307" s="99">
        <f t="shared" si="41"/>
        <v>0.77076834374097858</v>
      </c>
      <c r="AC307" s="99">
        <f t="shared" si="37"/>
        <v>497.15263879876096</v>
      </c>
      <c r="AD307" s="99">
        <f t="shared" si="42"/>
        <v>0.52494990907835681</v>
      </c>
      <c r="AE307" s="99"/>
    </row>
    <row r="308" spans="15:31" x14ac:dyDescent="0.25">
      <c r="O308" t="s">
        <v>201</v>
      </c>
      <c r="Q308" s="99">
        <v>466.82772802663152</v>
      </c>
      <c r="R308" s="99">
        <v>-263.73337484819831</v>
      </c>
      <c r="T308" s="99">
        <v>33.928894622910576</v>
      </c>
      <c r="U308" s="99">
        <v>22.761150454836894</v>
      </c>
      <c r="V308" s="99">
        <f t="shared" si="36"/>
        <v>11.167744168073682</v>
      </c>
      <c r="W308" t="s">
        <v>569</v>
      </c>
      <c r="X308" s="54">
        <f t="shared" si="38"/>
        <v>0.19484910956727433</v>
      </c>
      <c r="Y308" s="54">
        <f t="shared" si="39"/>
        <v>4.5371611986577999E-2</v>
      </c>
      <c r="Z308" s="196">
        <f t="shared" si="40"/>
        <v>8.0388864477894985E-3</v>
      </c>
      <c r="AA308" s="54">
        <v>0.03</v>
      </c>
      <c r="AB308" s="99">
        <f t="shared" si="41"/>
        <v>0.57888714885437431</v>
      </c>
      <c r="AC308" s="99">
        <f t="shared" si="37"/>
        <v>730.56110287482988</v>
      </c>
      <c r="AD308" s="99">
        <f t="shared" si="42"/>
        <v>0.63635764081167867</v>
      </c>
      <c r="AE308" s="99"/>
    </row>
    <row r="309" spans="15:31" x14ac:dyDescent="0.25">
      <c r="O309" t="s">
        <v>204</v>
      </c>
      <c r="Q309" s="99">
        <v>406.57593295973055</v>
      </c>
      <c r="R309" s="99">
        <v>-245.39690149589691</v>
      </c>
      <c r="T309" s="99">
        <v>33.764515586482133</v>
      </c>
      <c r="U309" s="99">
        <v>25.152967804044103</v>
      </c>
      <c r="V309" s="99">
        <f t="shared" si="36"/>
        <v>8.6115477824380307</v>
      </c>
      <c r="W309" t="s">
        <v>569</v>
      </c>
      <c r="X309" s="54">
        <f t="shared" si="38"/>
        <v>0.19484910956727433</v>
      </c>
      <c r="Y309" s="54">
        <f t="shared" si="39"/>
        <v>4.5371611986577999E-2</v>
      </c>
      <c r="Z309" s="196">
        <f t="shared" si="40"/>
        <v>8.0388864477894985E-3</v>
      </c>
      <c r="AA309" s="54">
        <v>0.03</v>
      </c>
      <c r="AB309" s="99">
        <f t="shared" si="41"/>
        <v>0.50833707778532</v>
      </c>
      <c r="AC309" s="99">
        <f t="shared" si="37"/>
        <v>651.97283445562744</v>
      </c>
      <c r="AD309" s="99">
        <f t="shared" si="42"/>
        <v>0.60115676764289028</v>
      </c>
      <c r="AE309" s="99"/>
    </row>
    <row r="310" spans="15:31" x14ac:dyDescent="0.25">
      <c r="O310" t="s">
        <v>205</v>
      </c>
      <c r="Q310" s="99">
        <v>95.149982736857083</v>
      </c>
      <c r="R310" s="99">
        <v>-288.52545975040385</v>
      </c>
      <c r="T310" s="99">
        <v>48.692806577448735</v>
      </c>
      <c r="U310" s="99">
        <v>31.905831204606777</v>
      </c>
      <c r="V310" s="99">
        <f t="shared" si="36"/>
        <v>16.786975372841958</v>
      </c>
      <c r="W310" t="s">
        <v>569</v>
      </c>
      <c r="X310" s="54">
        <f t="shared" si="38"/>
        <v>0.19484910956727433</v>
      </c>
      <c r="Y310" s="54">
        <f t="shared" si="39"/>
        <v>4.5371611986577999E-2</v>
      </c>
      <c r="Z310" s="196">
        <f t="shared" si="40"/>
        <v>8.0388864477894985E-3</v>
      </c>
      <c r="AA310" s="54">
        <v>0.03</v>
      </c>
      <c r="AB310" s="99">
        <f t="shared" si="41"/>
        <v>0.70973693525597048</v>
      </c>
      <c r="AC310" s="99">
        <f t="shared" si="37"/>
        <v>383.67544248726097</v>
      </c>
      <c r="AD310" s="99">
        <f t="shared" si="42"/>
        <v>0.46116356913259959</v>
      </c>
      <c r="AE310" s="99"/>
    </row>
    <row r="311" spans="15:31" x14ac:dyDescent="0.25">
      <c r="O311" t="s">
        <v>207</v>
      </c>
      <c r="Q311" s="99">
        <v>207.5121400715847</v>
      </c>
      <c r="R311" s="99">
        <v>-268.15011098079606</v>
      </c>
      <c r="T311" s="99">
        <v>49.046686050217794</v>
      </c>
      <c r="U311" s="99">
        <v>33.863819160724447</v>
      </c>
      <c r="V311" s="99">
        <f t="shared" si="36"/>
        <v>15.182866889493347</v>
      </c>
      <c r="W311" t="s">
        <v>569</v>
      </c>
      <c r="X311" s="54">
        <f t="shared" si="38"/>
        <v>0.19484910956727433</v>
      </c>
      <c r="Y311" s="54">
        <f t="shared" si="39"/>
        <v>4.5371611986577999E-2</v>
      </c>
      <c r="Z311" s="196">
        <f t="shared" si="40"/>
        <v>8.0388864477894985E-3</v>
      </c>
      <c r="AA311" s="54">
        <v>0.03</v>
      </c>
      <c r="AB311" s="99">
        <f t="shared" si="41"/>
        <v>0.67497559819471165</v>
      </c>
      <c r="AC311" s="99">
        <f t="shared" si="37"/>
        <v>475.66225105238073</v>
      </c>
      <c r="AD311" s="99">
        <f t="shared" si="42"/>
        <v>0.51347858269120594</v>
      </c>
      <c r="AE311" s="99"/>
    </row>
    <row r="312" spans="15:31" x14ac:dyDescent="0.25">
      <c r="O312" t="s">
        <v>206</v>
      </c>
      <c r="Q312" s="99">
        <v>168.24969545829708</v>
      </c>
      <c r="R312" s="99">
        <v>-287.1753850272259</v>
      </c>
      <c r="T312" s="99">
        <v>25.39236241421716</v>
      </c>
      <c r="U312" s="99">
        <v>31.909666257657861</v>
      </c>
      <c r="V312" s="99">
        <f t="shared" si="36"/>
        <v>-6.5173038434407005</v>
      </c>
      <c r="W312" t="s">
        <v>569</v>
      </c>
      <c r="X312" s="54">
        <f t="shared" si="38"/>
        <v>0.19484910956727433</v>
      </c>
      <c r="Y312" s="54">
        <f t="shared" si="39"/>
        <v>4.5371611986577999E-2</v>
      </c>
      <c r="Z312" s="196">
        <f t="shared" si="40"/>
        <v>8.0388864477894985E-3</v>
      </c>
      <c r="AA312" s="54">
        <v>0.03</v>
      </c>
      <c r="AB312" s="99">
        <f t="shared" si="41"/>
        <v>-0.51527122357704525</v>
      </c>
      <c r="AC312" s="99">
        <f t="shared" si="37"/>
        <v>455.42508048552298</v>
      </c>
      <c r="AD312" s="99">
        <f t="shared" si="42"/>
        <v>0.50243682465490214</v>
      </c>
      <c r="AE312" s="99"/>
    </row>
    <row r="313" spans="15:31" x14ac:dyDescent="0.25">
      <c r="O313" t="s">
        <v>208</v>
      </c>
      <c r="Q313" s="99">
        <v>166.40779820013617</v>
      </c>
      <c r="R313" s="99">
        <v>-296.4422205578224</v>
      </c>
      <c r="T313" s="99">
        <v>32.102611473411216</v>
      </c>
      <c r="U313" s="99">
        <v>28.104750434500218</v>
      </c>
      <c r="V313" s="99">
        <f t="shared" si="36"/>
        <v>3.9978610389109974</v>
      </c>
      <c r="W313" t="s">
        <v>569</v>
      </c>
      <c r="X313" s="54">
        <f t="shared" si="38"/>
        <v>0.19484910956727433</v>
      </c>
      <c r="Y313" s="54">
        <f t="shared" si="39"/>
        <v>4.5371611986577999E-2</v>
      </c>
      <c r="Z313" s="196">
        <f t="shared" si="40"/>
        <v>8.0388864477894985E-3</v>
      </c>
      <c r="AA313" s="54">
        <v>0.03</v>
      </c>
      <c r="AB313" s="99">
        <f t="shared" si="41"/>
        <v>0.34635784385865775</v>
      </c>
      <c r="AC313" s="99">
        <f t="shared" si="37"/>
        <v>462.85001875795854</v>
      </c>
      <c r="AD313" s="99">
        <f t="shared" si="42"/>
        <v>0.50651595877971212</v>
      </c>
      <c r="AE313" s="99"/>
    </row>
    <row r="314" spans="15:31" x14ac:dyDescent="0.25">
      <c r="O314" t="s">
        <v>211</v>
      </c>
      <c r="Q314" s="99">
        <v>247.5360980649437</v>
      </c>
      <c r="R314" s="99">
        <v>-260.64164963599507</v>
      </c>
      <c r="T314" s="99">
        <v>32.245624341198692</v>
      </c>
      <c r="U314" s="99">
        <v>25.876633377711578</v>
      </c>
      <c r="V314" s="99">
        <f t="shared" si="36"/>
        <v>6.3689909634871142</v>
      </c>
      <c r="W314" t="s">
        <v>569</v>
      </c>
      <c r="X314" s="54">
        <f t="shared" si="38"/>
        <v>0.19484910956727433</v>
      </c>
      <c r="Y314" s="54">
        <f t="shared" si="39"/>
        <v>4.5371611986577999E-2</v>
      </c>
      <c r="Z314" s="196">
        <f t="shared" si="40"/>
        <v>8.0388864477894985E-3</v>
      </c>
      <c r="AA314" s="54">
        <v>0.03</v>
      </c>
      <c r="AB314" s="99">
        <f t="shared" si="41"/>
        <v>0.43716611939766276</v>
      </c>
      <c r="AC314" s="99">
        <f t="shared" si="37"/>
        <v>508.17774770093877</v>
      </c>
      <c r="AD314" s="99">
        <f t="shared" si="42"/>
        <v>0.53073876852469348</v>
      </c>
      <c r="AE314" s="99"/>
    </row>
    <row r="315" spans="15:31" x14ac:dyDescent="0.25">
      <c r="O315" t="s">
        <v>215</v>
      </c>
      <c r="Q315" s="99">
        <v>115.90812300482611</v>
      </c>
      <c r="R315" s="99">
        <v>-347.05745600379845</v>
      </c>
      <c r="T315" s="99">
        <v>39.524471916157104</v>
      </c>
      <c r="U315" s="99">
        <v>24.242007963786868</v>
      </c>
      <c r="V315" s="99">
        <f t="shared" si="36"/>
        <v>15.282463952370236</v>
      </c>
      <c r="W315" t="s">
        <v>569</v>
      </c>
      <c r="X315" s="54">
        <f t="shared" si="38"/>
        <v>0.19484910956727433</v>
      </c>
      <c r="Y315" s="54">
        <f t="shared" si="39"/>
        <v>4.5371611986577999E-2</v>
      </c>
      <c r="Z315" s="196">
        <f t="shared" si="40"/>
        <v>8.0388864477894985E-3</v>
      </c>
      <c r="AA315" s="54">
        <v>0.03</v>
      </c>
      <c r="AB315" s="99">
        <f t="shared" si="41"/>
        <v>0.67718584282640804</v>
      </c>
      <c r="AC315" s="99">
        <f t="shared" si="37"/>
        <v>462.96557900862456</v>
      </c>
      <c r="AD315" s="99">
        <f t="shared" si="42"/>
        <v>0.50657918601935892</v>
      </c>
      <c r="AE315" s="99"/>
    </row>
    <row r="316" spans="15:31" x14ac:dyDescent="0.25">
      <c r="O316" t="s">
        <v>212</v>
      </c>
      <c r="Q316" s="99">
        <v>387.5126389763816</v>
      </c>
      <c r="R316" s="99">
        <v>-262.48129633287198</v>
      </c>
      <c r="T316" s="99">
        <v>43.220992804717028</v>
      </c>
      <c r="U316" s="99">
        <v>20.341080414677464</v>
      </c>
      <c r="V316" s="99">
        <f t="shared" si="36"/>
        <v>22.879912390039564</v>
      </c>
      <c r="W316" t="s">
        <v>569</v>
      </c>
      <c r="X316" s="54">
        <f t="shared" si="38"/>
        <v>0.19484910956727433</v>
      </c>
      <c r="Y316" s="54">
        <f t="shared" si="39"/>
        <v>4.5371611986577999E-2</v>
      </c>
      <c r="Z316" s="196">
        <f t="shared" si="40"/>
        <v>8.0388864477894985E-3</v>
      </c>
      <c r="AA316" s="54">
        <v>0.03</v>
      </c>
      <c r="AB316" s="99">
        <f t="shared" si="41"/>
        <v>0.8285874646684771</v>
      </c>
      <c r="AC316" s="99">
        <f t="shared" si="37"/>
        <v>649.99393530925363</v>
      </c>
      <c r="AD316" s="99">
        <f t="shared" si="42"/>
        <v>0.60024374440909689</v>
      </c>
      <c r="AE316" s="99"/>
    </row>
    <row r="317" spans="15:31" x14ac:dyDescent="0.25">
      <c r="O317" t="s">
        <v>213</v>
      </c>
      <c r="Q317" s="99">
        <v>277.4311045673843</v>
      </c>
      <c r="R317" s="99">
        <v>-246.43747731341259</v>
      </c>
      <c r="T317" s="99">
        <v>39.169547611300331</v>
      </c>
      <c r="U317" s="99">
        <v>21.107260266900056</v>
      </c>
      <c r="V317" s="99">
        <f t="shared" si="36"/>
        <v>18.062287344400275</v>
      </c>
      <c r="W317" t="s">
        <v>569</v>
      </c>
      <c r="X317" s="54">
        <f t="shared" si="38"/>
        <v>0.19484910956727433</v>
      </c>
      <c r="Y317" s="54">
        <f t="shared" si="39"/>
        <v>4.5371611986577999E-2</v>
      </c>
      <c r="Z317" s="196">
        <f t="shared" si="40"/>
        <v>8.0388864477894985E-3</v>
      </c>
      <c r="AA317" s="54">
        <v>0.03</v>
      </c>
      <c r="AB317" s="99">
        <f t="shared" si="41"/>
        <v>0.7362029505481944</v>
      </c>
      <c r="AC317" s="99">
        <f t="shared" si="37"/>
        <v>523.86858188079691</v>
      </c>
      <c r="AD317" s="99">
        <f t="shared" si="42"/>
        <v>0.53887019946702808</v>
      </c>
      <c r="AE317" s="99"/>
    </row>
    <row r="318" spans="15:31" x14ac:dyDescent="0.25">
      <c r="O318" t="s">
        <v>214</v>
      </c>
      <c r="Q318" s="99">
        <v>73.936714285344877</v>
      </c>
      <c r="R318" s="99">
        <v>-269.28120025612003</v>
      </c>
      <c r="T318" s="99">
        <v>51.63685165235681</v>
      </c>
      <c r="U318" s="99">
        <v>32.909100640333449</v>
      </c>
      <c r="V318" s="99">
        <f t="shared" si="36"/>
        <v>18.727751012023361</v>
      </c>
      <c r="W318" t="s">
        <v>569</v>
      </c>
      <c r="X318" s="54">
        <f t="shared" si="38"/>
        <v>0.19484910956727433</v>
      </c>
      <c r="Y318" s="54">
        <f t="shared" si="39"/>
        <v>4.5371611986577999E-2</v>
      </c>
      <c r="Z318" s="196">
        <f t="shared" si="40"/>
        <v>8.0388864477894985E-3</v>
      </c>
      <c r="AA318" s="54">
        <v>0.03</v>
      </c>
      <c r="AB318" s="99">
        <f t="shared" si="41"/>
        <v>0.74964214305957177</v>
      </c>
      <c r="AC318" s="99">
        <f t="shared" si="37"/>
        <v>343.21791454146489</v>
      </c>
      <c r="AD318" s="99">
        <f t="shared" si="42"/>
        <v>0.43617218256360141</v>
      </c>
      <c r="AE318" s="99"/>
    </row>
    <row r="319" spans="15:31" x14ac:dyDescent="0.25">
      <c r="O319" t="s">
        <v>216</v>
      </c>
      <c r="Q319" s="99">
        <v>413.22434887759863</v>
      </c>
      <c r="R319" s="99">
        <v>-218.6693718466079</v>
      </c>
      <c r="T319" s="99">
        <v>33.294758134917153</v>
      </c>
      <c r="U319" s="99">
        <v>17.789280592325888</v>
      </c>
      <c r="V319" s="99">
        <f t="shared" si="36"/>
        <v>15.505477542591265</v>
      </c>
      <c r="W319" t="s">
        <v>569</v>
      </c>
      <c r="X319" s="54">
        <f t="shared" si="38"/>
        <v>0.19484910956727433</v>
      </c>
      <c r="Y319" s="54">
        <f t="shared" si="39"/>
        <v>4.5371611986577999E-2</v>
      </c>
      <c r="Z319" s="196">
        <f t="shared" si="40"/>
        <v>8.0388864477894985E-3</v>
      </c>
      <c r="AA319" s="54">
        <v>0.03</v>
      </c>
      <c r="AB319" s="99">
        <f t="shared" si="41"/>
        <v>0.6821089584286083</v>
      </c>
      <c r="AC319" s="99">
        <f t="shared" si="37"/>
        <v>631.89372072420656</v>
      </c>
      <c r="AD319" s="99">
        <f t="shared" si="42"/>
        <v>0.59182732134956706</v>
      </c>
      <c r="AE319" s="99"/>
    </row>
    <row r="320" spans="15:31" x14ac:dyDescent="0.25">
      <c r="O320" t="s">
        <v>209</v>
      </c>
      <c r="Q320" s="99">
        <v>27.447032999914303</v>
      </c>
      <c r="R320" s="99">
        <v>-282.46750445793191</v>
      </c>
      <c r="T320" s="99">
        <v>46.996412936438958</v>
      </c>
      <c r="U320" s="99">
        <v>27.31488032777763</v>
      </c>
      <c r="V320" s="99">
        <f t="shared" si="36"/>
        <v>19.681532608661328</v>
      </c>
      <c r="W320" t="s">
        <v>569</v>
      </c>
      <c r="X320" s="54">
        <f t="shared" si="38"/>
        <v>0.19484910956727433</v>
      </c>
      <c r="Y320" s="54">
        <f t="shared" si="39"/>
        <v>4.5371611986577999E-2</v>
      </c>
      <c r="Z320" s="196">
        <f t="shared" si="40"/>
        <v>8.0388864477894985E-3</v>
      </c>
      <c r="AA320" s="54">
        <v>0.03</v>
      </c>
      <c r="AB320" s="99">
        <f t="shared" si="41"/>
        <v>0.76849427627083511</v>
      </c>
      <c r="AC320" s="99">
        <f t="shared" si="37"/>
        <v>309.91453745784622</v>
      </c>
      <c r="AD320" s="99">
        <f t="shared" si="42"/>
        <v>0.41447082415566344</v>
      </c>
      <c r="AE320" s="99"/>
    </row>
    <row r="321" spans="15:31" x14ac:dyDescent="0.25">
      <c r="O321" t="s">
        <v>210</v>
      </c>
      <c r="Q321" s="99">
        <v>93.735404636550697</v>
      </c>
      <c r="R321" s="99">
        <v>-287.22876447420111</v>
      </c>
      <c r="T321" s="99">
        <v>27.96182544728714</v>
      </c>
      <c r="U321" s="99">
        <v>31.511439118643892</v>
      </c>
      <c r="V321" s="99">
        <f t="shared" si="36"/>
        <v>-3.5496136713567523</v>
      </c>
      <c r="W321" t="s">
        <v>569</v>
      </c>
      <c r="X321" s="54">
        <f t="shared" si="38"/>
        <v>0.19484910956727433</v>
      </c>
      <c r="Y321" s="54">
        <f t="shared" si="39"/>
        <v>4.5371611986577999E-2</v>
      </c>
      <c r="Z321" s="196">
        <f t="shared" si="40"/>
        <v>8.0388864477894985E-3</v>
      </c>
      <c r="AA321" s="54">
        <v>0.03</v>
      </c>
      <c r="AB321" s="99">
        <f t="shared" si="41"/>
        <v>-0.38027033638186236</v>
      </c>
      <c r="AC321" s="99">
        <f t="shared" si="37"/>
        <v>380.96416911075181</v>
      </c>
      <c r="AD321" s="99">
        <f t="shared" si="42"/>
        <v>0.45953125557301633</v>
      </c>
      <c r="AE321" s="99"/>
    </row>
    <row r="322" spans="15:31" x14ac:dyDescent="0.25">
      <c r="O322" t="s">
        <v>217</v>
      </c>
      <c r="Q322" s="99">
        <v>242.83139479749684</v>
      </c>
      <c r="R322" s="99">
        <v>-277.25839781005044</v>
      </c>
      <c r="T322" s="99">
        <v>27.442751314570941</v>
      </c>
      <c r="U322" s="99">
        <v>24.695161936854241</v>
      </c>
      <c r="V322" s="99">
        <f t="shared" si="36"/>
        <v>2.7475893777167002</v>
      </c>
      <c r="W322" t="s">
        <v>569</v>
      </c>
      <c r="X322" s="54">
        <f t="shared" si="38"/>
        <v>0.19484910956727433</v>
      </c>
      <c r="Y322" s="54">
        <f t="shared" si="39"/>
        <v>4.5371611986577999E-2</v>
      </c>
      <c r="Z322" s="196">
        <f t="shared" si="40"/>
        <v>8.0388864477894985E-3</v>
      </c>
      <c r="AA322" s="54">
        <v>0.03</v>
      </c>
      <c r="AB322" s="99">
        <f t="shared" si="41"/>
        <v>0.28713563535230624</v>
      </c>
      <c r="AC322" s="99">
        <f t="shared" si="37"/>
        <v>520.08979260754722</v>
      </c>
      <c r="AD322" s="99">
        <f t="shared" si="42"/>
        <v>0.53692318227449343</v>
      </c>
      <c r="AE322" s="99"/>
    </row>
    <row r="323" spans="15:31" x14ac:dyDescent="0.25">
      <c r="O323" t="s">
        <v>218</v>
      </c>
      <c r="Q323" s="99">
        <v>47.113748188230709</v>
      </c>
      <c r="R323" s="99">
        <v>-279.58563054514599</v>
      </c>
      <c r="T323" s="99">
        <v>52.598749308384427</v>
      </c>
      <c r="U323" s="99">
        <v>30.345127575244554</v>
      </c>
      <c r="V323" s="99">
        <f t="shared" ref="V323:V386" si="43">T323-U323</f>
        <v>22.253621733139873</v>
      </c>
      <c r="W323" t="s">
        <v>569</v>
      </c>
      <c r="X323" s="54">
        <f t="shared" si="38"/>
        <v>0.19484910956727433</v>
      </c>
      <c r="Y323" s="54">
        <f t="shared" si="39"/>
        <v>4.5371611986577999E-2</v>
      </c>
      <c r="Z323" s="196">
        <f t="shared" si="40"/>
        <v>8.0388864477894985E-3</v>
      </c>
      <c r="AA323" s="54">
        <v>0.03</v>
      </c>
      <c r="AB323" s="99">
        <f t="shared" si="41"/>
        <v>0.81716833779438536</v>
      </c>
      <c r="AC323" s="99">
        <f t="shared" ref="AC323:AC386" si="44">Q323-R323</f>
        <v>326.6993787333767</v>
      </c>
      <c r="AD323" s="99">
        <f t="shared" si="42"/>
        <v>0.42554661931085258</v>
      </c>
      <c r="AE323" s="99"/>
    </row>
    <row r="324" spans="15:31" x14ac:dyDescent="0.25">
      <c r="O324" t="s">
        <v>219</v>
      </c>
      <c r="Q324" s="99">
        <v>44.170709849514473</v>
      </c>
      <c r="R324" s="99">
        <v>-355.25151690024336</v>
      </c>
      <c r="T324" s="99">
        <v>42.423477636964599</v>
      </c>
      <c r="U324" s="99">
        <v>21.23458557820733</v>
      </c>
      <c r="V324" s="99">
        <f t="shared" si="43"/>
        <v>21.188892058757268</v>
      </c>
      <c r="W324" t="s">
        <v>569</v>
      </c>
      <c r="X324" s="54">
        <f t="shared" si="38"/>
        <v>0.19484910956727433</v>
      </c>
      <c r="Y324" s="54">
        <f t="shared" si="39"/>
        <v>4.5371611986577999E-2</v>
      </c>
      <c r="Z324" s="196">
        <f t="shared" si="40"/>
        <v>8.0388864477894985E-3</v>
      </c>
      <c r="AA324" s="54">
        <v>0.03</v>
      </c>
      <c r="AB324" s="99">
        <f t="shared" si="41"/>
        <v>0.79737993766153492</v>
      </c>
      <c r="AC324" s="99">
        <f t="shared" si="44"/>
        <v>399.42222674975784</v>
      </c>
      <c r="AD324" s="99">
        <f t="shared" si="42"/>
        <v>0.47053193532762183</v>
      </c>
      <c r="AE324" s="99"/>
    </row>
    <row r="325" spans="15:31" x14ac:dyDescent="0.25">
      <c r="O325" t="s">
        <v>220</v>
      </c>
      <c r="Q325" s="99">
        <v>377.39823145028157</v>
      </c>
      <c r="R325" s="99">
        <v>-250.03345711231492</v>
      </c>
      <c r="T325" s="99">
        <v>32.214542297425268</v>
      </c>
      <c r="U325" s="99">
        <v>19.852765636590441</v>
      </c>
      <c r="V325" s="99">
        <f t="shared" si="43"/>
        <v>12.361776660834828</v>
      </c>
      <c r="W325" t="s">
        <v>569</v>
      </c>
      <c r="X325" s="54">
        <f t="shared" si="38"/>
        <v>0.19484910956727433</v>
      </c>
      <c r="Y325" s="54">
        <f t="shared" si="39"/>
        <v>4.5371611986577999E-2</v>
      </c>
      <c r="Z325" s="196">
        <f t="shared" si="40"/>
        <v>8.0388864477894985E-3</v>
      </c>
      <c r="AA325" s="54">
        <v>0.03</v>
      </c>
      <c r="AB325" s="99">
        <f t="shared" si="41"/>
        <v>0.60904814763823156</v>
      </c>
      <c r="AC325" s="99">
        <f t="shared" si="44"/>
        <v>627.43168856259649</v>
      </c>
      <c r="AD325" s="99">
        <f t="shared" si="42"/>
        <v>0.58973406514444071</v>
      </c>
      <c r="AE325" s="99"/>
    </row>
    <row r="326" spans="15:31" x14ac:dyDescent="0.25">
      <c r="O326" t="s">
        <v>221</v>
      </c>
      <c r="Q326" s="99">
        <v>858.82883234310907</v>
      </c>
      <c r="R326" s="99">
        <v>-213.22360945781742</v>
      </c>
      <c r="T326" s="99">
        <v>23.765068013903942</v>
      </c>
      <c r="U326" s="99">
        <v>17.211803802793163</v>
      </c>
      <c r="V326" s="99">
        <f t="shared" si="43"/>
        <v>6.5532642111107791</v>
      </c>
      <c r="W326" t="s">
        <v>569</v>
      </c>
      <c r="X326" s="54">
        <f t="shared" si="38"/>
        <v>0.19484910956727433</v>
      </c>
      <c r="Y326" s="54">
        <f t="shared" si="39"/>
        <v>4.5371611986577999E-2</v>
      </c>
      <c r="Z326" s="196">
        <f t="shared" si="40"/>
        <v>8.0388864477894985E-3</v>
      </c>
      <c r="AA326" s="54">
        <v>0.03</v>
      </c>
      <c r="AB326" s="99">
        <f t="shared" si="41"/>
        <v>0.44344526214203589</v>
      </c>
      <c r="AC326" s="99">
        <f t="shared" si="44"/>
        <v>1072.0524418009265</v>
      </c>
      <c r="AD326" s="99">
        <f t="shared" si="42"/>
        <v>0.77086975331069496</v>
      </c>
      <c r="AE326" s="99"/>
    </row>
    <row r="327" spans="15:31" x14ac:dyDescent="0.25">
      <c r="O327" t="s">
        <v>222</v>
      </c>
      <c r="Q327" s="99">
        <v>160.99777210906581</v>
      </c>
      <c r="R327" s="99">
        <v>-253.04439992810441</v>
      </c>
      <c r="T327" s="99">
        <v>46.792323749306583</v>
      </c>
      <c r="U327" s="99">
        <v>25.316003994516606</v>
      </c>
      <c r="V327" s="99">
        <f t="shared" si="43"/>
        <v>21.476319754789976</v>
      </c>
      <c r="W327" t="s">
        <v>569</v>
      </c>
      <c r="X327" s="54">
        <f t="shared" si="38"/>
        <v>0.19484910956727433</v>
      </c>
      <c r="Y327" s="54">
        <f t="shared" si="39"/>
        <v>4.5371611986577999E-2</v>
      </c>
      <c r="Z327" s="196">
        <f t="shared" si="40"/>
        <v>8.0388864477894985E-3</v>
      </c>
      <c r="AA327" s="54">
        <v>0.03</v>
      </c>
      <c r="AB327" s="99">
        <f t="shared" si="41"/>
        <v>0.80276995679486374</v>
      </c>
      <c r="AC327" s="99">
        <f t="shared" si="44"/>
        <v>414.04217203717019</v>
      </c>
      <c r="AD327" s="99">
        <f t="shared" si="42"/>
        <v>0.47906592281455262</v>
      </c>
      <c r="AE327" s="99"/>
    </row>
    <row r="328" spans="15:31" x14ac:dyDescent="0.25">
      <c r="O328" t="s">
        <v>223</v>
      </c>
      <c r="Q328" s="99">
        <v>105.70221587956495</v>
      </c>
      <c r="R328" s="99">
        <v>-272.42487572325456</v>
      </c>
      <c r="T328" s="99">
        <v>56.274230244252166</v>
      </c>
      <c r="U328" s="99">
        <v>27.374543673484972</v>
      </c>
      <c r="V328" s="99">
        <f t="shared" si="43"/>
        <v>28.899686570767194</v>
      </c>
      <c r="W328" t="s">
        <v>569</v>
      </c>
      <c r="X328" s="54">
        <f t="shared" si="38"/>
        <v>0.19484910956727433</v>
      </c>
      <c r="Y328" s="54">
        <f t="shared" si="39"/>
        <v>4.5371611986577999E-2</v>
      </c>
      <c r="Z328" s="196">
        <f t="shared" si="40"/>
        <v>8.0388864477894985E-3</v>
      </c>
      <c r="AA328" s="54">
        <v>0.03</v>
      </c>
      <c r="AB328" s="99">
        <f t="shared" si="41"/>
        <v>0.9312316896522177</v>
      </c>
      <c r="AC328" s="99">
        <f t="shared" si="44"/>
        <v>378.12709160281952</v>
      </c>
      <c r="AD328" s="99">
        <f t="shared" si="42"/>
        <v>0.45781697084630724</v>
      </c>
      <c r="AE328" s="99"/>
    </row>
    <row r="329" spans="15:31" x14ac:dyDescent="0.25">
      <c r="O329" t="s">
        <v>224</v>
      </c>
      <c r="Q329" s="99">
        <v>146.191623657842</v>
      </c>
      <c r="R329" s="99">
        <v>-275.70988286396181</v>
      </c>
      <c r="T329" s="99">
        <v>46.345169969195744</v>
      </c>
      <c r="U329" s="99">
        <v>26.081618392602856</v>
      </c>
      <c r="V329" s="99">
        <f t="shared" si="43"/>
        <v>20.263551576592889</v>
      </c>
      <c r="W329" t="s">
        <v>569</v>
      </c>
      <c r="X329" s="54">
        <f t="shared" si="38"/>
        <v>0.19484910956727433</v>
      </c>
      <c r="Y329" s="54">
        <f t="shared" si="39"/>
        <v>4.5371611986577999E-2</v>
      </c>
      <c r="Z329" s="196">
        <f t="shared" si="40"/>
        <v>8.0388864477894985E-3</v>
      </c>
      <c r="AA329" s="54">
        <v>0.03</v>
      </c>
      <c r="AB329" s="99">
        <f t="shared" si="41"/>
        <v>0.77977438215731532</v>
      </c>
      <c r="AC329" s="99">
        <f t="shared" si="44"/>
        <v>421.90150652180381</v>
      </c>
      <c r="AD329" s="99">
        <f t="shared" si="42"/>
        <v>0.48359135492984651</v>
      </c>
      <c r="AE329" s="99"/>
    </row>
    <row r="330" spans="15:31" x14ac:dyDescent="0.25">
      <c r="O330" t="s">
        <v>225</v>
      </c>
      <c r="Q330" s="99">
        <v>140.19793995063648</v>
      </c>
      <c r="R330" s="99">
        <v>-246.98090136156566</v>
      </c>
      <c r="T330" s="99">
        <v>43.987286361560976</v>
      </c>
      <c r="U330" s="99">
        <v>27.564438861349224</v>
      </c>
      <c r="V330" s="99">
        <f t="shared" si="43"/>
        <v>16.422847500211752</v>
      </c>
      <c r="W330" t="s">
        <v>569</v>
      </c>
      <c r="X330" s="54">
        <f t="shared" si="38"/>
        <v>0.19484910956727433</v>
      </c>
      <c r="Y330" s="54">
        <f t="shared" si="39"/>
        <v>4.5371611986577999E-2</v>
      </c>
      <c r="Z330" s="196">
        <f t="shared" si="40"/>
        <v>8.0388864477894985E-3</v>
      </c>
      <c r="AA330" s="54">
        <v>0.03</v>
      </c>
      <c r="AB330" s="99">
        <f t="shared" si="41"/>
        <v>0.70199724905078342</v>
      </c>
      <c r="AC330" s="99">
        <f t="shared" si="44"/>
        <v>387.17884131220217</v>
      </c>
      <c r="AD330" s="99">
        <f t="shared" si="42"/>
        <v>0.46326426194137699</v>
      </c>
      <c r="AE330" s="99"/>
    </row>
    <row r="331" spans="15:31" x14ac:dyDescent="0.25">
      <c r="O331" t="s">
        <v>226</v>
      </c>
      <c r="Q331" s="99">
        <v>180.13587661008742</v>
      </c>
      <c r="R331" s="99">
        <v>-294.05789102713914</v>
      </c>
      <c r="T331" s="99">
        <v>21.056565245681071</v>
      </c>
      <c r="U331" s="99">
        <v>27.01844025971473</v>
      </c>
      <c r="V331" s="99">
        <f t="shared" si="43"/>
        <v>-5.9618750140336587</v>
      </c>
      <c r="W331" t="s">
        <v>569</v>
      </c>
      <c r="X331" s="54">
        <f t="shared" si="38"/>
        <v>0.19484910956727433</v>
      </c>
      <c r="Y331" s="54">
        <f t="shared" si="39"/>
        <v>4.5371611986577999E-2</v>
      </c>
      <c r="Z331" s="196">
        <f t="shared" si="40"/>
        <v>8.0388864477894985E-3</v>
      </c>
      <c r="AA331" s="54">
        <v>0.03</v>
      </c>
      <c r="AB331" s="99">
        <f t="shared" si="41"/>
        <v>-0.49282568956330691</v>
      </c>
      <c r="AC331" s="99">
        <f t="shared" si="44"/>
        <v>474.19376763722653</v>
      </c>
      <c r="AD331" s="99">
        <f t="shared" si="42"/>
        <v>0.51268535424742023</v>
      </c>
      <c r="AE331" s="99"/>
    </row>
    <row r="332" spans="15:31" x14ac:dyDescent="0.25">
      <c r="O332" t="s">
        <v>228</v>
      </c>
      <c r="Q332" s="99">
        <v>230.63463062232188</v>
      </c>
      <c r="R332" s="99">
        <v>-273.82698680197223</v>
      </c>
      <c r="T332" s="99">
        <v>56.253139103718908</v>
      </c>
      <c r="U332" s="99">
        <v>22.927565012570874</v>
      </c>
      <c r="V332" s="99">
        <f t="shared" si="43"/>
        <v>33.325574091148034</v>
      </c>
      <c r="W332" t="s">
        <v>569</v>
      </c>
      <c r="X332" s="54">
        <f t="shared" si="38"/>
        <v>0.19484910956727433</v>
      </c>
      <c r="Y332" s="54">
        <f t="shared" si="39"/>
        <v>4.5371611986577999E-2</v>
      </c>
      <c r="Z332" s="196">
        <f t="shared" si="40"/>
        <v>8.0388864477894985E-3</v>
      </c>
      <c r="AA332" s="54">
        <v>0.03</v>
      </c>
      <c r="AB332" s="99">
        <f t="shared" si="41"/>
        <v>1</v>
      </c>
      <c r="AC332" s="99">
        <f t="shared" si="44"/>
        <v>504.4616174242941</v>
      </c>
      <c r="AD332" s="99">
        <f t="shared" si="42"/>
        <v>0.52879465218098065</v>
      </c>
      <c r="AE332" s="99"/>
    </row>
    <row r="333" spans="15:31" x14ac:dyDescent="0.25">
      <c r="O333" t="s">
        <v>227</v>
      </c>
      <c r="Q333" s="99">
        <v>284.60596098479863</v>
      </c>
      <c r="R333" s="99">
        <v>-274.6569054402222</v>
      </c>
      <c r="T333" s="99">
        <v>44.071560379833663</v>
      </c>
      <c r="U333" s="99">
        <v>24.802884456752757</v>
      </c>
      <c r="V333" s="99">
        <f t="shared" si="43"/>
        <v>19.268675923080906</v>
      </c>
      <c r="W333" t="s">
        <v>569</v>
      </c>
      <c r="X333" s="54">
        <f t="shared" si="38"/>
        <v>0.19484910956727433</v>
      </c>
      <c r="Y333" s="54">
        <f t="shared" si="39"/>
        <v>4.5371611986577999E-2</v>
      </c>
      <c r="Z333" s="196">
        <f t="shared" si="40"/>
        <v>8.0388864477894985E-3</v>
      </c>
      <c r="AA333" s="54">
        <v>0.03</v>
      </c>
      <c r="AB333" s="99">
        <f t="shared" si="41"/>
        <v>0.76039126001870461</v>
      </c>
      <c r="AC333" s="99">
        <f t="shared" si="44"/>
        <v>559.26286642502077</v>
      </c>
      <c r="AD333" s="99">
        <f t="shared" si="42"/>
        <v>0.55677661012868795</v>
      </c>
      <c r="AE333" s="99"/>
    </row>
    <row r="334" spans="15:31" x14ac:dyDescent="0.25">
      <c r="O334" t="s">
        <v>229</v>
      </c>
      <c r="Q334" s="99">
        <v>141.11005218392913</v>
      </c>
      <c r="R334" s="99">
        <v>-330.36873585102114</v>
      </c>
      <c r="T334" s="99">
        <v>41.115619644739766</v>
      </c>
      <c r="U334" s="99">
        <v>19.065796751973238</v>
      </c>
      <c r="V334" s="99">
        <f t="shared" si="43"/>
        <v>22.049822892766528</v>
      </c>
      <c r="W334" t="s">
        <v>569</v>
      </c>
      <c r="X334" s="54">
        <f t="shared" si="38"/>
        <v>0.19484910956727433</v>
      </c>
      <c r="Y334" s="54">
        <f t="shared" si="39"/>
        <v>4.5371611986577999E-2</v>
      </c>
      <c r="Z334" s="196">
        <f t="shared" si="40"/>
        <v>8.0388864477894985E-3</v>
      </c>
      <c r="AA334" s="54">
        <v>0.03</v>
      </c>
      <c r="AB334" s="99">
        <f t="shared" si="41"/>
        <v>0.81341791445662848</v>
      </c>
      <c r="AC334" s="99">
        <f t="shared" si="44"/>
        <v>471.4787880349503</v>
      </c>
      <c r="AD334" s="99">
        <f t="shared" si="42"/>
        <v>0.5112155665147935</v>
      </c>
      <c r="AE334" s="99"/>
    </row>
    <row r="335" spans="15:31" x14ac:dyDescent="0.25">
      <c r="O335" t="s">
        <v>159</v>
      </c>
      <c r="Q335" s="99">
        <v>1533.444402340087</v>
      </c>
      <c r="R335" s="99">
        <v>-270.62823372799835</v>
      </c>
      <c r="T335" s="99">
        <v>4.7037353681685801</v>
      </c>
      <c r="U335" s="99">
        <v>29.047225333458819</v>
      </c>
      <c r="V335" s="99">
        <f t="shared" si="43"/>
        <v>-24.343489965290239</v>
      </c>
      <c r="W335" t="s">
        <v>569</v>
      </c>
      <c r="X335" s="54">
        <f t="shared" si="38"/>
        <v>0.19484910956727433</v>
      </c>
      <c r="Y335" s="54">
        <f t="shared" si="39"/>
        <v>4.5371611986577999E-2</v>
      </c>
      <c r="Z335" s="196">
        <f t="shared" si="40"/>
        <v>8.0388864477894985E-3</v>
      </c>
      <c r="AA335" s="54">
        <v>0.03</v>
      </c>
      <c r="AB335" s="99">
        <f t="shared" si="41"/>
        <v>-0.99584861756371623</v>
      </c>
      <c r="AC335" s="99">
        <f t="shared" si="44"/>
        <v>1804.0726360680853</v>
      </c>
      <c r="AD335" s="99">
        <f t="shared" si="42"/>
        <v>1</v>
      </c>
      <c r="AE335" s="99"/>
    </row>
    <row r="336" spans="15:31" x14ac:dyDescent="0.25">
      <c r="O336" t="s">
        <v>158</v>
      </c>
      <c r="Q336" s="99">
        <v>255.07104464088403</v>
      </c>
      <c r="R336" s="99">
        <v>-282.16638770301</v>
      </c>
      <c r="T336" s="99">
        <v>28.036318370354678</v>
      </c>
      <c r="U336" s="99">
        <v>27.303687441456312</v>
      </c>
      <c r="V336" s="99">
        <f t="shared" si="43"/>
        <v>0.73263092889836656</v>
      </c>
      <c r="W336" t="s">
        <v>569</v>
      </c>
      <c r="X336" s="54">
        <f t="shared" si="38"/>
        <v>0.19484910956727433</v>
      </c>
      <c r="Y336" s="54">
        <f t="shared" si="39"/>
        <v>4.5371611986577999E-2</v>
      </c>
      <c r="Z336" s="196">
        <f t="shared" si="40"/>
        <v>8.0388864477894985E-3</v>
      </c>
      <c r="AA336" s="54">
        <v>0.03</v>
      </c>
      <c r="AB336" s="99">
        <f t="shared" si="41"/>
        <v>0.14827017654569272</v>
      </c>
      <c r="AC336" s="99">
        <f t="shared" si="44"/>
        <v>537.23743234389406</v>
      </c>
      <c r="AD336" s="99">
        <f t="shared" si="42"/>
        <v>0.54570272538404685</v>
      </c>
      <c r="AE336" s="99"/>
    </row>
    <row r="337" spans="15:31" x14ac:dyDescent="0.25">
      <c r="O337" t="s">
        <v>160</v>
      </c>
      <c r="Q337" s="99">
        <v>392.1912106614642</v>
      </c>
      <c r="R337" s="99">
        <v>-329.42610376327241</v>
      </c>
      <c r="T337" s="99">
        <v>18.131618896997367</v>
      </c>
      <c r="U337" s="99">
        <v>42.678492743957491</v>
      </c>
      <c r="V337" s="99">
        <f t="shared" si="43"/>
        <v>-24.546873846960125</v>
      </c>
      <c r="W337" t="s">
        <v>569</v>
      </c>
      <c r="X337" s="54">
        <f t="shared" si="38"/>
        <v>0.19484910956727433</v>
      </c>
      <c r="Y337" s="54">
        <f t="shared" si="39"/>
        <v>4.5371611986577999E-2</v>
      </c>
      <c r="Z337" s="196">
        <f t="shared" si="40"/>
        <v>8.0388864477894985E-3</v>
      </c>
      <c r="AA337" s="54">
        <v>0.03</v>
      </c>
      <c r="AB337" s="99">
        <f t="shared" si="41"/>
        <v>-1</v>
      </c>
      <c r="AC337" s="99">
        <f t="shared" si="44"/>
        <v>721.61731442473661</v>
      </c>
      <c r="AD337" s="99">
        <f t="shared" si="42"/>
        <v>0.6324503873823627</v>
      </c>
      <c r="AE337" s="99"/>
    </row>
    <row r="338" spans="15:31" x14ac:dyDescent="0.25">
      <c r="O338" t="s">
        <v>187</v>
      </c>
      <c r="Q338" s="99">
        <v>426.12706655417981</v>
      </c>
      <c r="R338" s="99">
        <v>-227.94362308157574</v>
      </c>
      <c r="T338" s="99">
        <v>17.321881271593583</v>
      </c>
      <c r="U338" s="99">
        <v>12.212102750608494</v>
      </c>
      <c r="V338" s="99">
        <f t="shared" si="43"/>
        <v>5.1097785209850883</v>
      </c>
      <c r="W338" t="s">
        <v>570</v>
      </c>
      <c r="X338" s="54">
        <f>64.5255312010496%/5</f>
        <v>0.12905106240209921</v>
      </c>
      <c r="Y338" s="54">
        <f>15.0251000447659%/5</f>
        <v>3.0050200089531798E-2</v>
      </c>
      <c r="Z338" s="196">
        <f>2.66212875932822%/5</f>
        <v>5.3242575186564396E-3</v>
      </c>
      <c r="AA338" s="54">
        <v>0.03</v>
      </c>
      <c r="AB338" s="99">
        <f>IF(V338&gt;0, SQRT(V338/MAX($V$338:$V$385)), -SQRT(V338/MIN($V$338:$V$385)))</f>
        <v>0.61851305575762106</v>
      </c>
      <c r="AC338" s="99">
        <f t="shared" si="44"/>
        <v>654.07068963575557</v>
      </c>
      <c r="AD338" s="99">
        <f>IF(AC338&gt;0,SQRT(AC338/MAX($AC$338:$AC$385)),-SQRT(AC338/MIN($AC$338:$AC$385)))</f>
        <v>0.54789093034375735</v>
      </c>
      <c r="AE338" s="99"/>
    </row>
    <row r="339" spans="15:31" x14ac:dyDescent="0.25">
      <c r="O339" t="s">
        <v>189</v>
      </c>
      <c r="Q339" s="99">
        <v>522.42406233640565</v>
      </c>
      <c r="R339" s="99">
        <v>-308.66857824201622</v>
      </c>
      <c r="T339" s="99">
        <v>13.133871086563802</v>
      </c>
      <c r="U339" s="99">
        <v>9.0786289159240212</v>
      </c>
      <c r="V339" s="99">
        <f t="shared" si="43"/>
        <v>4.0552421706397812</v>
      </c>
      <c r="W339" t="s">
        <v>570</v>
      </c>
      <c r="X339" s="54">
        <f t="shared" ref="X339:X385" si="45">64.5255312010496%/5</f>
        <v>0.12905106240209921</v>
      </c>
      <c r="Y339" s="54">
        <f t="shared" ref="Y339:Y385" si="46">15.0251000447659%/5</f>
        <v>3.0050200089531798E-2</v>
      </c>
      <c r="Z339" s="196">
        <f t="shared" ref="Z339:Z385" si="47">2.66212875932822%/5</f>
        <v>5.3242575186564396E-3</v>
      </c>
      <c r="AA339" s="54">
        <v>0.03</v>
      </c>
      <c r="AB339" s="99">
        <f t="shared" ref="AB339:AB385" si="48">IF(V339&gt;0, SQRT(V339/MAX($V$338:$V$385)), -SQRT(V339/MIN($V$338:$V$385)))</f>
        <v>0.55100587607996654</v>
      </c>
      <c r="AC339" s="99">
        <f t="shared" si="44"/>
        <v>831.09264057842188</v>
      </c>
      <c r="AD339" s="99">
        <f t="shared" si="42"/>
        <v>0.67873103641160026</v>
      </c>
      <c r="AE339" s="99"/>
    </row>
    <row r="340" spans="15:31" x14ac:dyDescent="0.25">
      <c r="O340" t="s">
        <v>188</v>
      </c>
      <c r="Q340" s="99">
        <v>754.05708753427643</v>
      </c>
      <c r="R340" s="99">
        <v>-217.54879453083089</v>
      </c>
      <c r="T340" s="99">
        <v>12.220002463468479</v>
      </c>
      <c r="U340" s="99">
        <v>11.875716457959903</v>
      </c>
      <c r="V340" s="99">
        <f t="shared" si="43"/>
        <v>0.34428600550857524</v>
      </c>
      <c r="W340" t="s">
        <v>570</v>
      </c>
      <c r="X340" s="54">
        <f t="shared" si="45"/>
        <v>0.12905106240209921</v>
      </c>
      <c r="Y340" s="54">
        <f t="shared" si="46"/>
        <v>3.0050200089531798E-2</v>
      </c>
      <c r="Z340" s="196">
        <f t="shared" si="47"/>
        <v>5.3242575186564396E-3</v>
      </c>
      <c r="AA340" s="54">
        <v>0.03</v>
      </c>
      <c r="AB340" s="99">
        <f t="shared" si="48"/>
        <v>0.16054896790393375</v>
      </c>
      <c r="AC340" s="99">
        <f t="shared" si="44"/>
        <v>971.60588206510738</v>
      </c>
      <c r="AD340" s="99">
        <f t="shared" si="42"/>
        <v>0.73386818108391161</v>
      </c>
      <c r="AE340" s="99"/>
    </row>
    <row r="341" spans="15:31" x14ac:dyDescent="0.25">
      <c r="O341" t="s">
        <v>149</v>
      </c>
      <c r="Q341" s="99">
        <v>688.77532986138613</v>
      </c>
      <c r="R341" s="99">
        <v>-289.1747374728169</v>
      </c>
      <c r="T341" s="99">
        <v>16.075885297063646</v>
      </c>
      <c r="U341" s="99">
        <v>8.6181471710660169</v>
      </c>
      <c r="V341" s="99">
        <f t="shared" si="43"/>
        <v>7.4577381259976292</v>
      </c>
      <c r="W341" t="s">
        <v>570</v>
      </c>
      <c r="X341" s="54">
        <f t="shared" si="45"/>
        <v>0.12905106240209921</v>
      </c>
      <c r="Y341" s="54">
        <f t="shared" si="46"/>
        <v>3.0050200089531798E-2</v>
      </c>
      <c r="Z341" s="196">
        <f t="shared" si="47"/>
        <v>5.3242575186564396E-3</v>
      </c>
      <c r="AA341" s="54">
        <v>0.03</v>
      </c>
      <c r="AB341" s="99">
        <f t="shared" si="48"/>
        <v>0.74722500690328508</v>
      </c>
      <c r="AC341" s="99">
        <f t="shared" si="44"/>
        <v>977.95006733420303</v>
      </c>
      <c r="AD341" s="99">
        <f t="shared" si="42"/>
        <v>0.73626021081311288</v>
      </c>
      <c r="AE341" s="99"/>
    </row>
    <row r="342" spans="15:31" x14ac:dyDescent="0.25">
      <c r="O342" t="s">
        <v>190</v>
      </c>
      <c r="Q342" s="99">
        <v>1174.9885186612221</v>
      </c>
      <c r="R342" s="99">
        <v>-222.43938981032761</v>
      </c>
      <c r="T342" s="99">
        <v>8.2678382492333959</v>
      </c>
      <c r="U342" s="99">
        <v>9.1385606326039337</v>
      </c>
      <c r="V342" s="99">
        <f t="shared" si="43"/>
        <v>-0.87072238337053776</v>
      </c>
      <c r="W342" t="s">
        <v>570</v>
      </c>
      <c r="X342" s="54">
        <f t="shared" si="45"/>
        <v>0.12905106240209921</v>
      </c>
      <c r="Y342" s="54">
        <f t="shared" si="46"/>
        <v>3.0050200089531798E-2</v>
      </c>
      <c r="Z342" s="196">
        <f t="shared" si="47"/>
        <v>5.3242575186564396E-3</v>
      </c>
      <c r="AA342" s="54">
        <v>0.03</v>
      </c>
      <c r="AB342" s="99">
        <f t="shared" si="48"/>
        <v>-0.21401252688724184</v>
      </c>
      <c r="AC342" s="99">
        <f t="shared" si="44"/>
        <v>1397.4279084715497</v>
      </c>
      <c r="AD342" s="99">
        <f t="shared" si="42"/>
        <v>0.88011150171863317</v>
      </c>
      <c r="AE342" s="99"/>
    </row>
    <row r="343" spans="15:31" x14ac:dyDescent="0.25">
      <c r="O343" t="s">
        <v>191</v>
      </c>
      <c r="Q343" s="99">
        <v>1124.8982647928544</v>
      </c>
      <c r="R343" s="99">
        <v>-193.2817273169847</v>
      </c>
      <c r="T343" s="99">
        <v>13.176745063322461</v>
      </c>
      <c r="U343" s="99">
        <v>8.4941685360403554</v>
      </c>
      <c r="V343" s="99">
        <f t="shared" si="43"/>
        <v>4.6825765272821052</v>
      </c>
      <c r="W343" t="s">
        <v>570</v>
      </c>
      <c r="X343" s="54">
        <f t="shared" si="45"/>
        <v>0.12905106240209921</v>
      </c>
      <c r="Y343" s="54">
        <f t="shared" si="46"/>
        <v>3.0050200089531798E-2</v>
      </c>
      <c r="Z343" s="196">
        <f t="shared" si="47"/>
        <v>5.3242575186564396E-3</v>
      </c>
      <c r="AA343" s="54">
        <v>0.03</v>
      </c>
      <c r="AB343" s="99">
        <f t="shared" si="48"/>
        <v>0.5920934748223311</v>
      </c>
      <c r="AC343" s="99">
        <f t="shared" si="44"/>
        <v>1318.1799921098391</v>
      </c>
      <c r="AD343" s="99">
        <f t="shared" si="42"/>
        <v>0.85479180151566569</v>
      </c>
      <c r="AE343" s="99"/>
    </row>
    <row r="344" spans="15:31" x14ac:dyDescent="0.25">
      <c r="O344" t="s">
        <v>192</v>
      </c>
      <c r="Q344" s="99">
        <v>959.36770244341494</v>
      </c>
      <c r="R344" s="99">
        <v>-210.98420732424921</v>
      </c>
      <c r="T344" s="99">
        <v>9.3057389675468585</v>
      </c>
      <c r="U344" s="99">
        <v>8.7450291826498052</v>
      </c>
      <c r="V344" s="99">
        <f t="shared" si="43"/>
        <v>0.56070978489705325</v>
      </c>
      <c r="W344" t="s">
        <v>570</v>
      </c>
      <c r="X344" s="54">
        <f t="shared" si="45"/>
        <v>0.12905106240209921</v>
      </c>
      <c r="Y344" s="54">
        <f t="shared" si="46"/>
        <v>3.0050200089531798E-2</v>
      </c>
      <c r="Z344" s="196">
        <f t="shared" si="47"/>
        <v>5.3242575186564396E-3</v>
      </c>
      <c r="AA344" s="54">
        <v>0.03</v>
      </c>
      <c r="AB344" s="99">
        <f t="shared" si="48"/>
        <v>0.20488817806432941</v>
      </c>
      <c r="AC344" s="99">
        <f t="shared" si="44"/>
        <v>1170.3519097676642</v>
      </c>
      <c r="AD344" s="99">
        <f t="shared" si="42"/>
        <v>0.80543634754287863</v>
      </c>
      <c r="AE344" s="99"/>
    </row>
    <row r="345" spans="15:31" x14ac:dyDescent="0.25">
      <c r="O345" t="s">
        <v>193</v>
      </c>
      <c r="Q345" s="99">
        <v>968.4489490421314</v>
      </c>
      <c r="R345" s="99">
        <v>-187.62475706020217</v>
      </c>
      <c r="T345" s="99">
        <v>12.329022810869613</v>
      </c>
      <c r="U345" s="99">
        <v>9.9875077985176652</v>
      </c>
      <c r="V345" s="99">
        <f t="shared" si="43"/>
        <v>2.3415150123519481</v>
      </c>
      <c r="W345" t="s">
        <v>570</v>
      </c>
      <c r="X345" s="54">
        <f t="shared" si="45"/>
        <v>0.12905106240209921</v>
      </c>
      <c r="Y345" s="54">
        <f t="shared" si="46"/>
        <v>3.0050200089531798E-2</v>
      </c>
      <c r="Z345" s="196">
        <f t="shared" si="47"/>
        <v>5.3242575186564396E-3</v>
      </c>
      <c r="AA345" s="54">
        <v>0.03</v>
      </c>
      <c r="AB345" s="99">
        <f t="shared" si="48"/>
        <v>0.41869358445523402</v>
      </c>
      <c r="AC345" s="99">
        <f t="shared" si="44"/>
        <v>1156.0737061023335</v>
      </c>
      <c r="AD345" s="99">
        <f t="shared" si="42"/>
        <v>0.80050813960013323</v>
      </c>
      <c r="AE345" s="99"/>
    </row>
    <row r="346" spans="15:31" x14ac:dyDescent="0.25">
      <c r="O346" t="s">
        <v>194</v>
      </c>
      <c r="Q346" s="99">
        <v>365.51733361683614</v>
      </c>
      <c r="R346" s="99">
        <v>-245.60872010447787</v>
      </c>
      <c r="T346" s="99">
        <v>17.487005688897018</v>
      </c>
      <c r="U346" s="99">
        <v>12.554033756818065</v>
      </c>
      <c r="V346" s="99">
        <f t="shared" si="43"/>
        <v>4.9329719320789529</v>
      </c>
      <c r="W346" t="s">
        <v>570</v>
      </c>
      <c r="X346" s="54">
        <f t="shared" si="45"/>
        <v>0.12905106240209921</v>
      </c>
      <c r="Y346" s="54">
        <f t="shared" si="46"/>
        <v>3.0050200089531798E-2</v>
      </c>
      <c r="Z346" s="196">
        <f t="shared" si="47"/>
        <v>5.3242575186564396E-3</v>
      </c>
      <c r="AA346" s="54">
        <v>0.03</v>
      </c>
      <c r="AB346" s="99">
        <f t="shared" si="48"/>
        <v>0.60771807746830298</v>
      </c>
      <c r="AC346" s="99">
        <f t="shared" si="44"/>
        <v>611.12605372131407</v>
      </c>
      <c r="AD346" s="99">
        <f t="shared" si="42"/>
        <v>0.58202064504773388</v>
      </c>
      <c r="AE346" s="99"/>
    </row>
    <row r="347" spans="15:31" x14ac:dyDescent="0.25">
      <c r="O347" t="s">
        <v>196</v>
      </c>
      <c r="Q347" s="99">
        <v>336.31425566964361</v>
      </c>
      <c r="R347" s="99">
        <v>-256.89395462602334</v>
      </c>
      <c r="T347" s="99">
        <v>20.018547541786948</v>
      </c>
      <c r="U347" s="99">
        <v>10.282441590367565</v>
      </c>
      <c r="V347" s="99">
        <f t="shared" si="43"/>
        <v>9.7361059514193826</v>
      </c>
      <c r="W347" t="s">
        <v>570</v>
      </c>
      <c r="X347" s="54">
        <f t="shared" si="45"/>
        <v>0.12905106240209921</v>
      </c>
      <c r="Y347" s="54">
        <f t="shared" si="46"/>
        <v>3.0050200089531798E-2</v>
      </c>
      <c r="Z347" s="196">
        <f t="shared" si="47"/>
        <v>5.3242575186564396E-3</v>
      </c>
      <c r="AA347" s="54">
        <v>0.03</v>
      </c>
      <c r="AB347" s="99">
        <f t="shared" si="48"/>
        <v>0.85376919080679592</v>
      </c>
      <c r="AC347" s="99">
        <f t="shared" si="44"/>
        <v>593.20821029566696</v>
      </c>
      <c r="AD347" s="99">
        <f t="shared" si="42"/>
        <v>0.57342492572744996</v>
      </c>
      <c r="AE347" s="99"/>
    </row>
    <row r="348" spans="15:31" x14ac:dyDescent="0.25">
      <c r="O348" t="s">
        <v>197</v>
      </c>
      <c r="Q348" s="99">
        <v>647.71725894736323</v>
      </c>
      <c r="R348" s="99">
        <v>-201.90144577125125</v>
      </c>
      <c r="T348" s="99">
        <v>15.572356365976594</v>
      </c>
      <c r="U348" s="99">
        <v>8.8109084585564972</v>
      </c>
      <c r="V348" s="99">
        <f t="shared" si="43"/>
        <v>6.7614479074200968</v>
      </c>
      <c r="W348" t="s">
        <v>570</v>
      </c>
      <c r="X348" s="54">
        <f t="shared" si="45"/>
        <v>0.12905106240209921</v>
      </c>
      <c r="Y348" s="54">
        <f t="shared" si="46"/>
        <v>3.0050200089531798E-2</v>
      </c>
      <c r="Z348" s="196">
        <f t="shared" si="47"/>
        <v>5.3242575186564396E-3</v>
      </c>
      <c r="AA348" s="54">
        <v>0.03</v>
      </c>
      <c r="AB348" s="99">
        <f t="shared" si="48"/>
        <v>0.71148817470174186</v>
      </c>
      <c r="AC348" s="99">
        <f t="shared" si="44"/>
        <v>849.61870471861448</v>
      </c>
      <c r="AD348" s="99">
        <f t="shared" si="42"/>
        <v>0.68625421179201762</v>
      </c>
      <c r="AE348" s="99"/>
    </row>
    <row r="349" spans="15:31" x14ac:dyDescent="0.25">
      <c r="O349" t="s">
        <v>198</v>
      </c>
      <c r="Q349" s="99">
        <v>1714.3558190186172</v>
      </c>
      <c r="R349" s="99">
        <v>-260.94663304185849</v>
      </c>
      <c r="T349" s="99">
        <v>4.2525418089957654</v>
      </c>
      <c r="U349" s="99">
        <v>12.59838875542242</v>
      </c>
      <c r="V349" s="99">
        <f t="shared" si="43"/>
        <v>-8.3458469464266543</v>
      </c>
      <c r="W349" t="s">
        <v>570</v>
      </c>
      <c r="X349" s="54">
        <f t="shared" si="45"/>
        <v>0.12905106240209921</v>
      </c>
      <c r="Y349" s="54">
        <f t="shared" si="46"/>
        <v>3.0050200089531798E-2</v>
      </c>
      <c r="Z349" s="196">
        <f t="shared" si="47"/>
        <v>5.3242575186564396E-3</v>
      </c>
      <c r="AA349" s="54">
        <v>0.03</v>
      </c>
      <c r="AB349" s="99">
        <f t="shared" si="48"/>
        <v>-0.66257424199033332</v>
      </c>
      <c r="AC349" s="99">
        <f t="shared" si="44"/>
        <v>1975.3024520604758</v>
      </c>
      <c r="AD349" s="99">
        <f t="shared" si="42"/>
        <v>1.0463808713261231</v>
      </c>
      <c r="AE349" s="99"/>
    </row>
    <row r="350" spans="15:31" x14ac:dyDescent="0.25">
      <c r="O350" t="s">
        <v>195</v>
      </c>
      <c r="Q350" s="99">
        <v>535.80489441010297</v>
      </c>
      <c r="R350" s="99">
        <v>-236.71209599402644</v>
      </c>
      <c r="T350" s="99">
        <v>15.772052018996085</v>
      </c>
      <c r="U350" s="99">
        <v>10.436400060143644</v>
      </c>
      <c r="V350" s="99">
        <f t="shared" si="43"/>
        <v>5.3356519588524414</v>
      </c>
      <c r="W350" t="s">
        <v>570</v>
      </c>
      <c r="X350" s="54">
        <f t="shared" si="45"/>
        <v>0.12905106240209921</v>
      </c>
      <c r="Y350" s="54">
        <f t="shared" si="46"/>
        <v>3.0050200089531798E-2</v>
      </c>
      <c r="Z350" s="196">
        <f t="shared" si="47"/>
        <v>5.3242575186564396E-3</v>
      </c>
      <c r="AA350" s="54">
        <v>0.03</v>
      </c>
      <c r="AB350" s="99">
        <f t="shared" si="48"/>
        <v>0.63203565616811141</v>
      </c>
      <c r="AC350" s="99">
        <f t="shared" si="44"/>
        <v>772.51699040412939</v>
      </c>
      <c r="AD350" s="99">
        <f t="shared" si="42"/>
        <v>0.65437546905208643</v>
      </c>
      <c r="AE350" s="99"/>
    </row>
    <row r="351" spans="15:31" x14ac:dyDescent="0.25">
      <c r="O351" t="s">
        <v>199</v>
      </c>
      <c r="Q351" s="99">
        <v>633.27644127324515</v>
      </c>
      <c r="R351" s="99">
        <v>-221.79996309268287</v>
      </c>
      <c r="T351" s="99">
        <v>15.019569525237049</v>
      </c>
      <c r="U351" s="99">
        <v>10.341622904793727</v>
      </c>
      <c r="V351" s="99">
        <f t="shared" si="43"/>
        <v>4.677946620443322</v>
      </c>
      <c r="W351" t="s">
        <v>570</v>
      </c>
      <c r="X351" s="54">
        <f t="shared" si="45"/>
        <v>0.12905106240209921</v>
      </c>
      <c r="Y351" s="54">
        <f t="shared" si="46"/>
        <v>3.0050200089531798E-2</v>
      </c>
      <c r="Z351" s="196">
        <f t="shared" si="47"/>
        <v>5.3242575186564396E-3</v>
      </c>
      <c r="AA351" s="54">
        <v>0.03</v>
      </c>
      <c r="AB351" s="99">
        <f t="shared" si="48"/>
        <v>0.59180068563103139</v>
      </c>
      <c r="AC351" s="99">
        <f t="shared" si="44"/>
        <v>855.07640436592806</v>
      </c>
      <c r="AD351" s="99">
        <f t="shared" si="42"/>
        <v>0.68845483061291091</v>
      </c>
      <c r="AE351" s="99"/>
    </row>
    <row r="352" spans="15:31" x14ac:dyDescent="0.25">
      <c r="O352" t="s">
        <v>157</v>
      </c>
      <c r="Q352" s="99">
        <v>0</v>
      </c>
      <c r="R352" s="99">
        <v>-226.58827510670812</v>
      </c>
      <c r="T352" s="99">
        <v>-0.50275412965882538</v>
      </c>
      <c r="U352" s="99">
        <v>11.297352017770034</v>
      </c>
      <c r="V352" s="99">
        <f t="shared" si="43"/>
        <v>-11.80010614742886</v>
      </c>
      <c r="W352" t="s">
        <v>570</v>
      </c>
      <c r="X352" s="54">
        <f t="shared" si="45"/>
        <v>0.12905106240209921</v>
      </c>
      <c r="Y352" s="54">
        <f t="shared" si="46"/>
        <v>3.0050200089531798E-2</v>
      </c>
      <c r="Z352" s="196">
        <f t="shared" si="47"/>
        <v>5.3242575186564396E-3</v>
      </c>
      <c r="AA352" s="54">
        <v>0.03</v>
      </c>
      <c r="AB352" s="99">
        <f t="shared" si="48"/>
        <v>-0.78784774700418458</v>
      </c>
      <c r="AC352" s="99">
        <f t="shared" si="44"/>
        <v>226.58827510670812</v>
      </c>
      <c r="AD352" s="99">
        <f t="shared" si="42"/>
        <v>0.35439836291694171</v>
      </c>
      <c r="AE352" s="99"/>
    </row>
    <row r="353" spans="15:31" x14ac:dyDescent="0.25">
      <c r="O353" t="s">
        <v>200</v>
      </c>
      <c r="Q353" s="99">
        <v>829.00411372055476</v>
      </c>
      <c r="R353" s="99">
        <v>-177.95422531945317</v>
      </c>
      <c r="T353" s="99">
        <v>12.340273475092456</v>
      </c>
      <c r="U353" s="99">
        <v>10.257829847883333</v>
      </c>
      <c r="V353" s="99">
        <f t="shared" si="43"/>
        <v>2.0824436272091233</v>
      </c>
      <c r="W353" t="s">
        <v>570</v>
      </c>
      <c r="X353" s="54">
        <f t="shared" si="45"/>
        <v>0.12905106240209921</v>
      </c>
      <c r="Y353" s="54">
        <f t="shared" si="46"/>
        <v>3.0050200089531798E-2</v>
      </c>
      <c r="Z353" s="196">
        <f t="shared" si="47"/>
        <v>5.3242575186564396E-3</v>
      </c>
      <c r="AA353" s="54">
        <v>0.03</v>
      </c>
      <c r="AB353" s="99">
        <f t="shared" si="48"/>
        <v>0.39485210707135293</v>
      </c>
      <c r="AC353" s="99">
        <f t="shared" si="44"/>
        <v>1006.9583390400079</v>
      </c>
      <c r="AD353" s="99">
        <f t="shared" si="42"/>
        <v>0.7471000092622484</v>
      </c>
      <c r="AE353" s="99"/>
    </row>
    <row r="354" spans="15:31" x14ac:dyDescent="0.25">
      <c r="O354" t="s">
        <v>203</v>
      </c>
      <c r="Q354" s="99">
        <v>566.46693778893837</v>
      </c>
      <c r="R354" s="99">
        <v>-242.74910693477955</v>
      </c>
      <c r="T354" s="99">
        <v>19.642744641172051</v>
      </c>
      <c r="U354" s="99">
        <v>10.176922776651324</v>
      </c>
      <c r="V354" s="99">
        <f t="shared" si="43"/>
        <v>9.465821864520727</v>
      </c>
      <c r="W354" t="s">
        <v>570</v>
      </c>
      <c r="X354" s="54">
        <f t="shared" si="45"/>
        <v>0.12905106240209921</v>
      </c>
      <c r="Y354" s="54">
        <f t="shared" si="46"/>
        <v>3.0050200089531798E-2</v>
      </c>
      <c r="Z354" s="196">
        <f t="shared" si="47"/>
        <v>5.3242575186564396E-3</v>
      </c>
      <c r="AA354" s="54">
        <v>0.03</v>
      </c>
      <c r="AB354" s="99">
        <f t="shared" si="48"/>
        <v>0.84183503639591284</v>
      </c>
      <c r="AC354" s="99">
        <f t="shared" si="44"/>
        <v>809.21604472371791</v>
      </c>
      <c r="AD354" s="99">
        <f t="shared" si="42"/>
        <v>0.66973845039076896</v>
      </c>
      <c r="AE354" s="99"/>
    </row>
    <row r="355" spans="15:31" x14ac:dyDescent="0.25">
      <c r="O355" t="s">
        <v>202</v>
      </c>
      <c r="Q355" s="99">
        <v>615.64420817266921</v>
      </c>
      <c r="R355" s="99">
        <v>-220.42015182729679</v>
      </c>
      <c r="T355" s="99">
        <v>15.839819624405383</v>
      </c>
      <c r="U355" s="99">
        <v>9.3651969111127364</v>
      </c>
      <c r="V355" s="99">
        <f t="shared" si="43"/>
        <v>6.4746227132926464</v>
      </c>
      <c r="W355" t="s">
        <v>570</v>
      </c>
      <c r="X355" s="54">
        <f t="shared" si="45"/>
        <v>0.12905106240209921</v>
      </c>
      <c r="Y355" s="54">
        <f t="shared" si="46"/>
        <v>3.0050200089531798E-2</v>
      </c>
      <c r="Z355" s="196">
        <f t="shared" si="47"/>
        <v>5.3242575186564396E-3</v>
      </c>
      <c r="AA355" s="54">
        <v>0.03</v>
      </c>
      <c r="AB355" s="99">
        <f t="shared" si="48"/>
        <v>0.69623374097343649</v>
      </c>
      <c r="AC355" s="99">
        <f t="shared" si="44"/>
        <v>836.06435999996597</v>
      </c>
      <c r="AD355" s="99">
        <f t="shared" ref="AD355:AD385" si="49">IF(AC355&gt;0,SQRT(AC355/MAX($AC$290:$AC$337)),-SQRT(AC355/MIN($AC$290:$AC$337)))</f>
        <v>0.68075814417276759</v>
      </c>
      <c r="AE355" s="99"/>
    </row>
    <row r="356" spans="15:31" x14ac:dyDescent="0.25">
      <c r="O356" t="s">
        <v>201</v>
      </c>
      <c r="Q356" s="99">
        <v>1088.7954130310895</v>
      </c>
      <c r="R356" s="99">
        <v>-215.41884627481028</v>
      </c>
      <c r="T356" s="99">
        <v>11.365928879723928</v>
      </c>
      <c r="U356" s="99">
        <v>9.207348667496511</v>
      </c>
      <c r="V356" s="99">
        <f t="shared" si="43"/>
        <v>2.1585802122274167</v>
      </c>
      <c r="W356" t="s">
        <v>570</v>
      </c>
      <c r="X356" s="54">
        <f t="shared" si="45"/>
        <v>0.12905106240209921</v>
      </c>
      <c r="Y356" s="54">
        <f t="shared" si="46"/>
        <v>3.0050200089531798E-2</v>
      </c>
      <c r="Z356" s="196">
        <f t="shared" si="47"/>
        <v>5.3242575186564396E-3</v>
      </c>
      <c r="AA356" s="54">
        <v>0.03</v>
      </c>
      <c r="AB356" s="99">
        <f t="shared" si="48"/>
        <v>0.40200543887249818</v>
      </c>
      <c r="AC356" s="99">
        <f t="shared" si="44"/>
        <v>1304.2142593058998</v>
      </c>
      <c r="AD356" s="99">
        <f t="shared" si="49"/>
        <v>0.85025160899540753</v>
      </c>
      <c r="AE356" s="99"/>
    </row>
    <row r="357" spans="15:31" x14ac:dyDescent="0.25">
      <c r="O357" t="s">
        <v>204</v>
      </c>
      <c r="Q357" s="99">
        <v>1067.8362507480697</v>
      </c>
      <c r="R357" s="99">
        <v>-202.30382558718529</v>
      </c>
      <c r="T357" s="99">
        <v>10.667053359750597</v>
      </c>
      <c r="U357" s="99">
        <v>10.174887471249637</v>
      </c>
      <c r="V357" s="99">
        <f t="shared" si="43"/>
        <v>0.49216588850095988</v>
      </c>
      <c r="W357" t="s">
        <v>570</v>
      </c>
      <c r="X357" s="54">
        <f t="shared" si="45"/>
        <v>0.12905106240209921</v>
      </c>
      <c r="Y357" s="54">
        <f t="shared" si="46"/>
        <v>3.0050200089531798E-2</v>
      </c>
      <c r="Z357" s="196">
        <f t="shared" si="47"/>
        <v>5.3242575186564396E-3</v>
      </c>
      <c r="AA357" s="54">
        <v>0.03</v>
      </c>
      <c r="AB357" s="99">
        <f t="shared" si="48"/>
        <v>0.19195683826754448</v>
      </c>
      <c r="AC357" s="99">
        <f t="shared" si="44"/>
        <v>1270.1400763352549</v>
      </c>
      <c r="AD357" s="99">
        <f t="shared" si="49"/>
        <v>0.8390711716211986</v>
      </c>
      <c r="AE357" s="99"/>
    </row>
    <row r="358" spans="15:31" x14ac:dyDescent="0.25">
      <c r="O358" t="s">
        <v>205</v>
      </c>
      <c r="Q358" s="99">
        <v>459.74831855355546</v>
      </c>
      <c r="R358" s="99">
        <v>-258.63267367580187</v>
      </c>
      <c r="T358" s="99">
        <v>16.497486365123294</v>
      </c>
      <c r="U358" s="99">
        <v>12.906558172883447</v>
      </c>
      <c r="V358" s="99">
        <f t="shared" si="43"/>
        <v>3.590928192239847</v>
      </c>
      <c r="W358" t="s">
        <v>570</v>
      </c>
      <c r="X358" s="54">
        <f t="shared" si="45"/>
        <v>0.12905106240209921</v>
      </c>
      <c r="Y358" s="54">
        <f t="shared" si="46"/>
        <v>3.0050200089531798E-2</v>
      </c>
      <c r="Z358" s="196">
        <f t="shared" si="47"/>
        <v>5.3242575186564396E-3</v>
      </c>
      <c r="AA358" s="54">
        <v>0.03</v>
      </c>
      <c r="AB358" s="99">
        <f t="shared" si="48"/>
        <v>0.5185029043381173</v>
      </c>
      <c r="AC358" s="99">
        <f t="shared" si="44"/>
        <v>718.38099222935739</v>
      </c>
      <c r="AD358" s="99">
        <f t="shared" si="49"/>
        <v>0.63103058131488254</v>
      </c>
      <c r="AE358" s="99"/>
    </row>
    <row r="359" spans="15:31" x14ac:dyDescent="0.25">
      <c r="O359" t="s">
        <v>207</v>
      </c>
      <c r="Q359" s="99">
        <v>601.98368059089478</v>
      </c>
      <c r="R359" s="99">
        <v>-240.76583327218978</v>
      </c>
      <c r="T359" s="99">
        <v>16.192928051152691</v>
      </c>
      <c r="U359" s="99">
        <v>13.698604156433582</v>
      </c>
      <c r="V359" s="99">
        <f t="shared" si="43"/>
        <v>2.4943238947191091</v>
      </c>
      <c r="W359" t="s">
        <v>570</v>
      </c>
      <c r="X359" s="54">
        <f t="shared" si="45"/>
        <v>0.12905106240209921</v>
      </c>
      <c r="Y359" s="54">
        <f t="shared" si="46"/>
        <v>3.0050200089531798E-2</v>
      </c>
      <c r="Z359" s="196">
        <f t="shared" si="47"/>
        <v>5.3242575186564396E-3</v>
      </c>
      <c r="AA359" s="54">
        <v>0.03</v>
      </c>
      <c r="AB359" s="99">
        <f t="shared" si="48"/>
        <v>0.4321397900810281</v>
      </c>
      <c r="AC359" s="99">
        <f t="shared" si="44"/>
        <v>842.74951386308453</v>
      </c>
      <c r="AD359" s="99">
        <f t="shared" si="49"/>
        <v>0.68347438946022387</v>
      </c>
      <c r="AE359" s="99"/>
    </row>
    <row r="360" spans="15:31" x14ac:dyDescent="0.25">
      <c r="O360" t="s">
        <v>206</v>
      </c>
      <c r="Q360" s="99">
        <v>1527.1510260689624</v>
      </c>
      <c r="R360" s="99">
        <v>-258.63278012941595</v>
      </c>
      <c r="T360" s="99">
        <v>4.7012798377259841</v>
      </c>
      <c r="U360" s="99">
        <v>12.908109529905989</v>
      </c>
      <c r="V360" s="99">
        <f t="shared" si="43"/>
        <v>-8.2068296921800048</v>
      </c>
      <c r="W360" t="s">
        <v>570</v>
      </c>
      <c r="X360" s="54">
        <f t="shared" si="45"/>
        <v>0.12905106240209921</v>
      </c>
      <c r="Y360" s="54">
        <f t="shared" si="46"/>
        <v>3.0050200089531798E-2</v>
      </c>
      <c r="Z360" s="196">
        <f t="shared" si="47"/>
        <v>5.3242575186564396E-3</v>
      </c>
      <c r="AA360" s="54">
        <v>0.03</v>
      </c>
      <c r="AB360" s="99">
        <f t="shared" si="48"/>
        <v>-0.65703280036481293</v>
      </c>
      <c r="AC360" s="99">
        <f t="shared" si="44"/>
        <v>1785.7838061983784</v>
      </c>
      <c r="AD360" s="99">
        <f t="shared" si="49"/>
        <v>0.99491832623383425</v>
      </c>
      <c r="AE360" s="99"/>
    </row>
    <row r="361" spans="15:31" x14ac:dyDescent="0.25">
      <c r="O361" t="s">
        <v>208</v>
      </c>
      <c r="Q361" s="99">
        <v>801.69414681462649</v>
      </c>
      <c r="R361" s="99">
        <v>-265.07319530847894</v>
      </c>
      <c r="T361" s="99">
        <v>9.067008586871566</v>
      </c>
      <c r="U361" s="99">
        <v>11.368943629491582</v>
      </c>
      <c r="V361" s="99">
        <f t="shared" si="43"/>
        <v>-2.3019350426200162</v>
      </c>
      <c r="W361" t="s">
        <v>570</v>
      </c>
      <c r="X361" s="54">
        <f t="shared" si="45"/>
        <v>0.12905106240209921</v>
      </c>
      <c r="Y361" s="54">
        <f t="shared" si="46"/>
        <v>3.0050200089531798E-2</v>
      </c>
      <c r="Z361" s="196">
        <f t="shared" si="47"/>
        <v>5.3242575186564396E-3</v>
      </c>
      <c r="AA361" s="54">
        <v>0.03</v>
      </c>
      <c r="AB361" s="99">
        <f t="shared" si="48"/>
        <v>-0.34797326053865002</v>
      </c>
      <c r="AC361" s="99">
        <f t="shared" si="44"/>
        <v>1066.7673421231054</v>
      </c>
      <c r="AD361" s="99">
        <f t="shared" si="49"/>
        <v>0.76896725442843983</v>
      </c>
      <c r="AE361" s="99"/>
    </row>
    <row r="362" spans="15:31" x14ac:dyDescent="0.25">
      <c r="O362" t="s">
        <v>211</v>
      </c>
      <c r="Q362" s="99">
        <v>913.30891357651626</v>
      </c>
      <c r="R362" s="99">
        <v>-220.0837525229941</v>
      </c>
      <c r="T362" s="99">
        <v>9.7144541117663401</v>
      </c>
      <c r="U362" s="99">
        <v>10.467624926179319</v>
      </c>
      <c r="V362" s="99">
        <f t="shared" si="43"/>
        <v>-0.75317081441297873</v>
      </c>
      <c r="W362" t="s">
        <v>570</v>
      </c>
      <c r="X362" s="54">
        <f t="shared" si="45"/>
        <v>0.12905106240209921</v>
      </c>
      <c r="Y362" s="54">
        <f t="shared" si="46"/>
        <v>3.0050200089531798E-2</v>
      </c>
      <c r="Z362" s="196">
        <f t="shared" si="47"/>
        <v>5.3242575186564396E-3</v>
      </c>
      <c r="AA362" s="54">
        <v>0.03</v>
      </c>
      <c r="AB362" s="99">
        <f t="shared" si="48"/>
        <v>-0.19904262094018502</v>
      </c>
      <c r="AC362" s="99">
        <f t="shared" si="44"/>
        <v>1133.3926660995103</v>
      </c>
      <c r="AD362" s="99">
        <f t="shared" si="49"/>
        <v>0.79261664705366786</v>
      </c>
      <c r="AE362" s="99"/>
    </row>
    <row r="363" spans="15:31" x14ac:dyDescent="0.25">
      <c r="O363" t="s">
        <v>215</v>
      </c>
      <c r="Q363" s="99">
        <v>556.76419243166288</v>
      </c>
      <c r="R363" s="99">
        <v>-305.2958157683629</v>
      </c>
      <c r="T363" s="99">
        <v>13.823219366790052</v>
      </c>
      <c r="U363" s="99">
        <v>9.8063856730660248</v>
      </c>
      <c r="V363" s="99">
        <f t="shared" si="43"/>
        <v>4.0168336937240277</v>
      </c>
      <c r="W363" t="s">
        <v>570</v>
      </c>
      <c r="X363" s="54">
        <f t="shared" si="45"/>
        <v>0.12905106240209921</v>
      </c>
      <c r="Y363" s="54">
        <f t="shared" si="46"/>
        <v>3.0050200089531798E-2</v>
      </c>
      <c r="Z363" s="196">
        <f t="shared" si="47"/>
        <v>5.3242575186564396E-3</v>
      </c>
      <c r="AA363" s="54">
        <v>0.03</v>
      </c>
      <c r="AB363" s="99">
        <f t="shared" si="48"/>
        <v>0.54839029292053643</v>
      </c>
      <c r="AC363" s="99">
        <f t="shared" si="44"/>
        <v>862.06000820002578</v>
      </c>
      <c r="AD363" s="99">
        <f t="shared" si="49"/>
        <v>0.69126049736946249</v>
      </c>
      <c r="AE363" s="99"/>
    </row>
    <row r="364" spans="15:31" x14ac:dyDescent="0.25">
      <c r="O364" t="s">
        <v>212</v>
      </c>
      <c r="Q364" s="99">
        <v>730.7445035535676</v>
      </c>
      <c r="R364" s="99">
        <v>-211.84400723428155</v>
      </c>
      <c r="T364" s="99">
        <v>16.691099606979442</v>
      </c>
      <c r="U364" s="99">
        <v>8.2283810751630888</v>
      </c>
      <c r="V364" s="99">
        <f t="shared" si="43"/>
        <v>8.4627185318163534</v>
      </c>
      <c r="W364" t="s">
        <v>570</v>
      </c>
      <c r="X364" s="54">
        <f t="shared" si="45"/>
        <v>0.12905106240209921</v>
      </c>
      <c r="Y364" s="54">
        <f t="shared" si="46"/>
        <v>3.0050200089531798E-2</v>
      </c>
      <c r="Z364" s="196">
        <f t="shared" si="47"/>
        <v>5.3242575186564396E-3</v>
      </c>
      <c r="AA364" s="54">
        <v>0.03</v>
      </c>
      <c r="AB364" s="99">
        <f t="shared" si="48"/>
        <v>0.79598114675293863</v>
      </c>
      <c r="AC364" s="99">
        <f t="shared" si="44"/>
        <v>942.58851078784915</v>
      </c>
      <c r="AD364" s="99">
        <f t="shared" si="49"/>
        <v>0.72282649196682702</v>
      </c>
      <c r="AE364" s="99"/>
    </row>
    <row r="365" spans="15:31" x14ac:dyDescent="0.25">
      <c r="O365" t="s">
        <v>213</v>
      </c>
      <c r="Q365" s="99">
        <v>709.23150426428151</v>
      </c>
      <c r="R365" s="99">
        <v>-192.2914093906947</v>
      </c>
      <c r="T365" s="99">
        <v>14.446758705114441</v>
      </c>
      <c r="U365" s="99">
        <v>8.5383164211563525</v>
      </c>
      <c r="V365" s="99">
        <f t="shared" si="43"/>
        <v>5.9084422839580881</v>
      </c>
      <c r="W365" t="s">
        <v>570</v>
      </c>
      <c r="X365" s="54">
        <f t="shared" si="45"/>
        <v>0.12905106240209921</v>
      </c>
      <c r="Y365" s="54">
        <f t="shared" si="46"/>
        <v>3.0050200089531798E-2</v>
      </c>
      <c r="Z365" s="196">
        <f t="shared" si="47"/>
        <v>5.3242575186564396E-3</v>
      </c>
      <c r="AA365" s="54">
        <v>0.03</v>
      </c>
      <c r="AB365" s="99">
        <f t="shared" si="48"/>
        <v>0.66509599373695449</v>
      </c>
      <c r="AC365" s="99">
        <f t="shared" si="44"/>
        <v>901.52291365497626</v>
      </c>
      <c r="AD365" s="99">
        <f t="shared" si="49"/>
        <v>0.70690552355351322</v>
      </c>
      <c r="AE365" s="99"/>
    </row>
    <row r="366" spans="15:31" x14ac:dyDescent="0.25">
      <c r="O366" t="s">
        <v>214</v>
      </c>
      <c r="Q366" s="99">
        <v>393.43859785098391</v>
      </c>
      <c r="R366" s="99">
        <v>-241.25171221282613</v>
      </c>
      <c r="T366" s="99">
        <v>17.744945172425382</v>
      </c>
      <c r="U366" s="99">
        <v>13.312401081417732</v>
      </c>
      <c r="V366" s="99">
        <f t="shared" si="43"/>
        <v>4.4325440910076495</v>
      </c>
      <c r="W366" t="s">
        <v>570</v>
      </c>
      <c r="X366" s="54">
        <f t="shared" si="45"/>
        <v>0.12905106240209921</v>
      </c>
      <c r="Y366" s="54">
        <f t="shared" si="46"/>
        <v>3.0050200089531798E-2</v>
      </c>
      <c r="Z366" s="196">
        <f t="shared" si="47"/>
        <v>5.3242575186564396E-3</v>
      </c>
      <c r="AA366" s="54">
        <v>0.03</v>
      </c>
      <c r="AB366" s="99">
        <f t="shared" si="48"/>
        <v>0.57606881434820123</v>
      </c>
      <c r="AC366" s="99">
        <f t="shared" si="44"/>
        <v>634.6903100638101</v>
      </c>
      <c r="AD366" s="99">
        <f t="shared" si="49"/>
        <v>0.59313550871682585</v>
      </c>
      <c r="AE366" s="99"/>
    </row>
    <row r="367" spans="15:31" x14ac:dyDescent="0.25">
      <c r="O367" t="s">
        <v>216</v>
      </c>
      <c r="Q367" s="99">
        <v>914.49221511918279</v>
      </c>
      <c r="R367" s="99">
        <v>-153.27102716027568</v>
      </c>
      <c r="T367" s="99">
        <v>12.315799859387681</v>
      </c>
      <c r="U367" s="99">
        <v>7.1961261045425804</v>
      </c>
      <c r="V367" s="99">
        <f t="shared" si="43"/>
        <v>5.1196737548451008</v>
      </c>
      <c r="W367" t="s">
        <v>570</v>
      </c>
      <c r="X367" s="54">
        <f t="shared" si="45"/>
        <v>0.12905106240209921</v>
      </c>
      <c r="Y367" s="54">
        <f t="shared" si="46"/>
        <v>3.0050200089531798E-2</v>
      </c>
      <c r="Z367" s="196">
        <f t="shared" si="47"/>
        <v>5.3242575186564396E-3</v>
      </c>
      <c r="AA367" s="54">
        <v>0.03</v>
      </c>
      <c r="AB367" s="99">
        <f t="shared" si="48"/>
        <v>0.61911165030755777</v>
      </c>
      <c r="AC367" s="99">
        <f t="shared" si="44"/>
        <v>1067.7632422794584</v>
      </c>
      <c r="AD367" s="99">
        <f t="shared" si="49"/>
        <v>0.7693261124132168</v>
      </c>
      <c r="AE367" s="99"/>
    </row>
    <row r="368" spans="15:31" x14ac:dyDescent="0.25">
      <c r="O368" t="s">
        <v>209</v>
      </c>
      <c r="Q368" s="99">
        <v>346.75729699865087</v>
      </c>
      <c r="R368" s="99">
        <v>-247.16687003546545</v>
      </c>
      <c r="T368" s="99">
        <v>16.828116450067085</v>
      </c>
      <c r="U368" s="99">
        <v>11.049425093332438</v>
      </c>
      <c r="V368" s="99">
        <f t="shared" si="43"/>
        <v>5.7786913567346474</v>
      </c>
      <c r="W368" t="s">
        <v>570</v>
      </c>
      <c r="X368" s="54">
        <f t="shared" si="45"/>
        <v>0.12905106240209921</v>
      </c>
      <c r="Y368" s="54">
        <f t="shared" si="46"/>
        <v>3.0050200089531798E-2</v>
      </c>
      <c r="Z368" s="196">
        <f t="shared" si="47"/>
        <v>5.3242575186564396E-3</v>
      </c>
      <c r="AA368" s="54">
        <v>0.03</v>
      </c>
      <c r="AB368" s="99">
        <f t="shared" si="48"/>
        <v>0.65775261391754292</v>
      </c>
      <c r="AC368" s="99">
        <f t="shared" si="44"/>
        <v>593.92416703411629</v>
      </c>
      <c r="AD368" s="99">
        <f t="shared" si="49"/>
        <v>0.57377086129639376</v>
      </c>
      <c r="AE368" s="99"/>
    </row>
    <row r="369" spans="15:31" x14ac:dyDescent="0.25">
      <c r="O369" t="s">
        <v>210</v>
      </c>
      <c r="Q369" s="99">
        <v>1073.1749889909827</v>
      </c>
      <c r="R369" s="99">
        <v>-257.71653619728392</v>
      </c>
      <c r="T369" s="99">
        <v>6.0936246104450689</v>
      </c>
      <c r="U369" s="99">
        <v>12.747018546168746</v>
      </c>
      <c r="V369" s="99">
        <f t="shared" si="43"/>
        <v>-6.6533939357236775</v>
      </c>
      <c r="W369" t="s">
        <v>570</v>
      </c>
      <c r="X369" s="54">
        <f t="shared" si="45"/>
        <v>0.12905106240209921</v>
      </c>
      <c r="Y369" s="54">
        <f t="shared" si="46"/>
        <v>3.0050200089531798E-2</v>
      </c>
      <c r="Z369" s="196">
        <f t="shared" si="47"/>
        <v>5.3242575186564396E-3</v>
      </c>
      <c r="AA369" s="54">
        <v>0.03</v>
      </c>
      <c r="AB369" s="99">
        <f t="shared" si="48"/>
        <v>-0.59159018412286668</v>
      </c>
      <c r="AC369" s="99">
        <f t="shared" si="44"/>
        <v>1330.8915251882665</v>
      </c>
      <c r="AD369" s="99">
        <f t="shared" si="49"/>
        <v>0.85890339655013248</v>
      </c>
      <c r="AE369" s="99"/>
    </row>
    <row r="370" spans="15:31" x14ac:dyDescent="0.25">
      <c r="O370" t="s">
        <v>217</v>
      </c>
      <c r="Q370" s="99">
        <v>1103.2378984350989</v>
      </c>
      <c r="R370" s="99">
        <v>-234.64937623053757</v>
      </c>
      <c r="T370" s="99">
        <v>7.5853049474987557</v>
      </c>
      <c r="U370" s="99">
        <v>9.9896956792263616</v>
      </c>
      <c r="V370" s="99">
        <f t="shared" si="43"/>
        <v>-2.4043907317276059</v>
      </c>
      <c r="W370" t="s">
        <v>570</v>
      </c>
      <c r="X370" s="54">
        <f t="shared" si="45"/>
        <v>0.12905106240209921</v>
      </c>
      <c r="Y370" s="54">
        <f t="shared" si="46"/>
        <v>3.0050200089531798E-2</v>
      </c>
      <c r="Z370" s="196">
        <f t="shared" si="47"/>
        <v>5.3242575186564396E-3</v>
      </c>
      <c r="AA370" s="54">
        <v>0.03</v>
      </c>
      <c r="AB370" s="99">
        <f t="shared" si="48"/>
        <v>-0.35563284413928492</v>
      </c>
      <c r="AC370" s="99">
        <f t="shared" si="44"/>
        <v>1337.8872746656366</v>
      </c>
      <c r="AD370" s="99">
        <f t="shared" si="49"/>
        <v>0.86115782431661758</v>
      </c>
      <c r="AE370" s="99"/>
    </row>
    <row r="371" spans="15:31" x14ac:dyDescent="0.25">
      <c r="O371" t="s">
        <v>218</v>
      </c>
      <c r="Q371" s="99">
        <v>335.39290268434843</v>
      </c>
      <c r="R371" s="99">
        <v>-249.03622640576927</v>
      </c>
      <c r="T371" s="99">
        <v>18.88900181077739</v>
      </c>
      <c r="U371" s="99">
        <v>12.275221786320792</v>
      </c>
      <c r="V371" s="99">
        <f t="shared" si="43"/>
        <v>6.6137800244565987</v>
      </c>
      <c r="W371" t="s">
        <v>570</v>
      </c>
      <c r="X371" s="54">
        <f t="shared" si="45"/>
        <v>0.12905106240209921</v>
      </c>
      <c r="Y371" s="54">
        <f t="shared" si="46"/>
        <v>3.0050200089531798E-2</v>
      </c>
      <c r="Z371" s="196">
        <f t="shared" si="47"/>
        <v>5.3242575186564396E-3</v>
      </c>
      <c r="AA371" s="54">
        <v>0.03</v>
      </c>
      <c r="AB371" s="99">
        <f t="shared" si="48"/>
        <v>0.70367594677895362</v>
      </c>
      <c r="AC371" s="99">
        <f t="shared" si="44"/>
        <v>584.42912909011773</v>
      </c>
      <c r="AD371" s="99">
        <f t="shared" si="49"/>
        <v>0.56916595856004493</v>
      </c>
      <c r="AE371" s="99"/>
    </row>
    <row r="372" spans="15:31" x14ac:dyDescent="0.25">
      <c r="O372" t="s">
        <v>219</v>
      </c>
      <c r="Q372" s="99">
        <v>362.34802009227036</v>
      </c>
      <c r="R372" s="99">
        <v>-311.85998656950051</v>
      </c>
      <c r="T372" s="99">
        <v>16.060763688155575</v>
      </c>
      <c r="U372" s="99">
        <v>8.5898221013164964</v>
      </c>
      <c r="V372" s="99">
        <f t="shared" si="43"/>
        <v>7.4709415868390785</v>
      </c>
      <c r="W372" t="s">
        <v>570</v>
      </c>
      <c r="X372" s="54">
        <f t="shared" si="45"/>
        <v>0.12905106240209921</v>
      </c>
      <c r="Y372" s="54">
        <f t="shared" si="46"/>
        <v>3.0050200089531798E-2</v>
      </c>
      <c r="Z372" s="196">
        <f t="shared" si="47"/>
        <v>5.3242575186564396E-3</v>
      </c>
      <c r="AA372" s="54">
        <v>0.03</v>
      </c>
      <c r="AB372" s="99">
        <f t="shared" si="48"/>
        <v>0.74788617206139729</v>
      </c>
      <c r="AC372" s="99">
        <f t="shared" si="44"/>
        <v>674.20800666177092</v>
      </c>
      <c r="AD372" s="99">
        <f t="shared" si="49"/>
        <v>0.61132188453825564</v>
      </c>
      <c r="AE372" s="99"/>
    </row>
    <row r="373" spans="15:31" x14ac:dyDescent="0.25">
      <c r="O373" t="s">
        <v>220</v>
      </c>
      <c r="Q373" s="99">
        <v>954.33557927577215</v>
      </c>
      <c r="R373" s="99">
        <v>-192.31680962520682</v>
      </c>
      <c r="T373" s="99">
        <v>11.241917946456692</v>
      </c>
      <c r="U373" s="99">
        <v>8.0308478076659391</v>
      </c>
      <c r="V373" s="99">
        <f t="shared" si="43"/>
        <v>3.2110701387907525</v>
      </c>
      <c r="W373" t="s">
        <v>570</v>
      </c>
      <c r="X373" s="54">
        <f t="shared" si="45"/>
        <v>0.12905106240209921</v>
      </c>
      <c r="Y373" s="54">
        <f t="shared" si="46"/>
        <v>3.0050200089531798E-2</v>
      </c>
      <c r="Z373" s="196">
        <f t="shared" si="47"/>
        <v>5.3242575186564396E-3</v>
      </c>
      <c r="AA373" s="54">
        <v>0.03</v>
      </c>
      <c r="AB373" s="99">
        <f t="shared" si="48"/>
        <v>0.49031223327064904</v>
      </c>
      <c r="AC373" s="99">
        <f t="shared" si="44"/>
        <v>1146.6523889009791</v>
      </c>
      <c r="AD373" s="99">
        <f t="shared" si="49"/>
        <v>0.79723963285086852</v>
      </c>
      <c r="AE373" s="99"/>
    </row>
    <row r="374" spans="15:31" x14ac:dyDescent="0.25">
      <c r="O374" t="s">
        <v>221</v>
      </c>
      <c r="Q374" s="99">
        <v>1880.3365084672528</v>
      </c>
      <c r="R374" s="99">
        <v>-142.05175361062024</v>
      </c>
      <c r="T374" s="99">
        <v>7.6371791783695588</v>
      </c>
      <c r="U374" s="99">
        <v>6.9625249885021461</v>
      </c>
      <c r="V374" s="99">
        <f t="shared" si="43"/>
        <v>0.67465418986741277</v>
      </c>
      <c r="W374" t="s">
        <v>570</v>
      </c>
      <c r="X374" s="54">
        <f t="shared" si="45"/>
        <v>0.12905106240209921</v>
      </c>
      <c r="Y374" s="54">
        <f t="shared" si="46"/>
        <v>3.0050200089531798E-2</v>
      </c>
      <c r="Z374" s="196">
        <f t="shared" si="47"/>
        <v>5.3242575186564396E-3</v>
      </c>
      <c r="AA374" s="54">
        <v>0.03</v>
      </c>
      <c r="AB374" s="99">
        <f t="shared" si="48"/>
        <v>0.22474417481457698</v>
      </c>
      <c r="AC374" s="99">
        <f t="shared" si="44"/>
        <v>2022.3882620778729</v>
      </c>
      <c r="AD374" s="99">
        <f t="shared" si="49"/>
        <v>1.0587788525497066</v>
      </c>
      <c r="AE374" s="99"/>
    </row>
    <row r="375" spans="15:31" x14ac:dyDescent="0.25">
      <c r="O375" t="s">
        <v>222</v>
      </c>
      <c r="Q375" s="99">
        <v>502.66586858341572</v>
      </c>
      <c r="R375" s="99">
        <v>-211.26267826194027</v>
      </c>
      <c r="T375" s="99">
        <v>17.236716230032307</v>
      </c>
      <c r="U375" s="99">
        <v>10.240838928935379</v>
      </c>
      <c r="V375" s="99">
        <f t="shared" si="43"/>
        <v>6.9958773010969288</v>
      </c>
      <c r="W375" t="s">
        <v>570</v>
      </c>
      <c r="X375" s="54">
        <f t="shared" si="45"/>
        <v>0.12905106240209921</v>
      </c>
      <c r="Y375" s="54">
        <f t="shared" si="46"/>
        <v>3.0050200089531798E-2</v>
      </c>
      <c r="Z375" s="196">
        <f t="shared" si="47"/>
        <v>5.3242575186564396E-3</v>
      </c>
      <c r="AA375" s="54">
        <v>0.03</v>
      </c>
      <c r="AB375" s="99">
        <f t="shared" si="48"/>
        <v>0.72371725123216568</v>
      </c>
      <c r="AC375" s="99">
        <f t="shared" si="44"/>
        <v>713.92854684535598</v>
      </c>
      <c r="AD375" s="99">
        <f t="shared" si="49"/>
        <v>0.6290720132185954</v>
      </c>
      <c r="AE375" s="99"/>
    </row>
    <row r="376" spans="15:31" x14ac:dyDescent="0.25">
      <c r="O376" t="s">
        <v>223</v>
      </c>
      <c r="Q376" s="99">
        <v>366.58684071431469</v>
      </c>
      <c r="R376" s="99">
        <v>-236.23081618527888</v>
      </c>
      <c r="T376" s="99">
        <v>21.503461505616507</v>
      </c>
      <c r="U376" s="99">
        <v>11.073560131132343</v>
      </c>
      <c r="V376" s="99">
        <f t="shared" si="43"/>
        <v>10.429901374484164</v>
      </c>
      <c r="W376" t="s">
        <v>570</v>
      </c>
      <c r="X376" s="54">
        <f t="shared" si="45"/>
        <v>0.12905106240209921</v>
      </c>
      <c r="Y376" s="54">
        <f t="shared" si="46"/>
        <v>3.0050200089531798E-2</v>
      </c>
      <c r="Z376" s="196">
        <f t="shared" si="47"/>
        <v>5.3242575186564396E-3</v>
      </c>
      <c r="AA376" s="54">
        <v>0.03</v>
      </c>
      <c r="AB376" s="99">
        <f t="shared" si="48"/>
        <v>0.88366556980843436</v>
      </c>
      <c r="AC376" s="99">
        <f t="shared" si="44"/>
        <v>602.81765689959354</v>
      </c>
      <c r="AD376" s="99">
        <f t="shared" si="49"/>
        <v>0.57805075487875757</v>
      </c>
      <c r="AE376" s="99"/>
    </row>
    <row r="377" spans="15:31" x14ac:dyDescent="0.25">
      <c r="O377" t="s">
        <v>224</v>
      </c>
      <c r="Q377" s="99">
        <v>506.14594376171522</v>
      </c>
      <c r="R377" s="99">
        <v>-235.26665786230222</v>
      </c>
      <c r="T377" s="99">
        <v>16.812393793673689</v>
      </c>
      <c r="U377" s="99">
        <v>10.550545537220522</v>
      </c>
      <c r="V377" s="99">
        <f t="shared" si="43"/>
        <v>6.2618482564531668</v>
      </c>
      <c r="W377" t="s">
        <v>570</v>
      </c>
      <c r="X377" s="54">
        <f t="shared" si="45"/>
        <v>0.12905106240209921</v>
      </c>
      <c r="Y377" s="54">
        <f t="shared" si="46"/>
        <v>3.0050200089531798E-2</v>
      </c>
      <c r="Z377" s="196">
        <f t="shared" si="47"/>
        <v>5.3242575186564396E-3</v>
      </c>
      <c r="AA377" s="54">
        <v>0.03</v>
      </c>
      <c r="AB377" s="99">
        <f t="shared" si="48"/>
        <v>0.68469806833317415</v>
      </c>
      <c r="AC377" s="99">
        <f t="shared" si="44"/>
        <v>741.4126016240175</v>
      </c>
      <c r="AD377" s="99">
        <f t="shared" si="49"/>
        <v>0.64106633669310298</v>
      </c>
      <c r="AE377" s="99"/>
    </row>
    <row r="378" spans="15:31" x14ac:dyDescent="0.25">
      <c r="O378" t="s">
        <v>225</v>
      </c>
      <c r="Q378" s="99">
        <v>537.16069819042923</v>
      </c>
      <c r="R378" s="99">
        <v>-208.55588367469562</v>
      </c>
      <c r="T378" s="99">
        <v>15.238646027027137</v>
      </c>
      <c r="U378" s="99">
        <v>11.150376599984178</v>
      </c>
      <c r="V378" s="99">
        <f t="shared" si="43"/>
        <v>4.0882694270429596</v>
      </c>
      <c r="W378" t="s">
        <v>570</v>
      </c>
      <c r="X378" s="54">
        <f t="shared" si="45"/>
        <v>0.12905106240209921</v>
      </c>
      <c r="Y378" s="54">
        <f t="shared" si="46"/>
        <v>3.0050200089531798E-2</v>
      </c>
      <c r="Z378" s="196">
        <f t="shared" si="47"/>
        <v>5.3242575186564396E-3</v>
      </c>
      <c r="AA378" s="54">
        <v>0.03</v>
      </c>
      <c r="AB378" s="99">
        <f t="shared" si="48"/>
        <v>0.55324511465274218</v>
      </c>
      <c r="AC378" s="99">
        <f t="shared" si="44"/>
        <v>745.71658186512491</v>
      </c>
      <c r="AD378" s="99">
        <f t="shared" si="49"/>
        <v>0.64292437373555966</v>
      </c>
      <c r="AE378" s="99"/>
    </row>
    <row r="379" spans="15:31" x14ac:dyDescent="0.25">
      <c r="O379" t="s">
        <v>226</v>
      </c>
      <c r="Q379" s="99">
        <v>1922.3932215130023</v>
      </c>
      <c r="R379" s="99">
        <v>-256.50259628877717</v>
      </c>
      <c r="T379" s="99">
        <v>3.7527973469239697</v>
      </c>
      <c r="U379" s="99">
        <v>10.929509051694421</v>
      </c>
      <c r="V379" s="99">
        <f t="shared" si="43"/>
        <v>-7.176711704770451</v>
      </c>
      <c r="W379" t="s">
        <v>570</v>
      </c>
      <c r="X379" s="54">
        <f t="shared" si="45"/>
        <v>0.12905106240209921</v>
      </c>
      <c r="Y379" s="54">
        <f t="shared" si="46"/>
        <v>3.0050200089531798E-2</v>
      </c>
      <c r="Z379" s="196">
        <f t="shared" si="47"/>
        <v>5.3242575186564396E-3</v>
      </c>
      <c r="AA379" s="54">
        <v>0.03</v>
      </c>
      <c r="AB379" s="99">
        <f t="shared" si="48"/>
        <v>-0.61441539740443163</v>
      </c>
      <c r="AC379" s="99">
        <f t="shared" si="44"/>
        <v>2178.8958178017797</v>
      </c>
      <c r="AD379" s="99">
        <f t="shared" si="49"/>
        <v>1.0989836290440145</v>
      </c>
      <c r="AE379" s="99"/>
    </row>
    <row r="380" spans="15:31" x14ac:dyDescent="0.25">
      <c r="O380" t="s">
        <v>228</v>
      </c>
      <c r="Q380" s="99">
        <v>490.66728035581212</v>
      </c>
      <c r="R380" s="99">
        <v>-226.56179941546657</v>
      </c>
      <c r="T380" s="99">
        <v>22.631525510900378</v>
      </c>
      <c r="U380" s="99">
        <v>9.274666743506959</v>
      </c>
      <c r="V380" s="99">
        <f t="shared" si="43"/>
        <v>13.356858767393419</v>
      </c>
      <c r="W380" t="s">
        <v>570</v>
      </c>
      <c r="X380" s="54">
        <f t="shared" si="45"/>
        <v>0.12905106240209921</v>
      </c>
      <c r="Y380" s="54">
        <f t="shared" si="46"/>
        <v>3.0050200089531798E-2</v>
      </c>
      <c r="Z380" s="196">
        <f t="shared" si="47"/>
        <v>5.3242575186564396E-3</v>
      </c>
      <c r="AA380" s="54">
        <v>0.03</v>
      </c>
      <c r="AB380" s="99">
        <f t="shared" si="48"/>
        <v>1</v>
      </c>
      <c r="AC380" s="99">
        <f t="shared" si="44"/>
        <v>717.22907977127875</v>
      </c>
      <c r="AD380" s="99">
        <f t="shared" si="49"/>
        <v>0.63052445460796025</v>
      </c>
      <c r="AE380" s="99"/>
    </row>
    <row r="381" spans="15:31" x14ac:dyDescent="0.25">
      <c r="O381" t="s">
        <v>227</v>
      </c>
      <c r="Q381" s="99">
        <v>668.83068429720777</v>
      </c>
      <c r="R381" s="99">
        <v>-233.28754516679996</v>
      </c>
      <c r="T381" s="99">
        <v>15.98687700366775</v>
      </c>
      <c r="U381" s="99">
        <v>10.033271631242275</v>
      </c>
      <c r="V381" s="99">
        <f t="shared" si="43"/>
        <v>5.9536053724254749</v>
      </c>
      <c r="W381" t="s">
        <v>570</v>
      </c>
      <c r="X381" s="54">
        <f t="shared" si="45"/>
        <v>0.12905106240209921</v>
      </c>
      <c r="Y381" s="54">
        <f t="shared" si="46"/>
        <v>3.0050200089531798E-2</v>
      </c>
      <c r="Z381" s="196">
        <f t="shared" si="47"/>
        <v>5.3242575186564396E-3</v>
      </c>
      <c r="AA381" s="54">
        <v>0.03</v>
      </c>
      <c r="AB381" s="99">
        <f t="shared" si="48"/>
        <v>0.66763309279067984</v>
      </c>
      <c r="AC381" s="99">
        <f t="shared" si="44"/>
        <v>902.11822946400775</v>
      </c>
      <c r="AD381" s="99">
        <f t="shared" si="49"/>
        <v>0.70713888566593219</v>
      </c>
      <c r="AE381" s="99"/>
    </row>
    <row r="382" spans="15:31" x14ac:dyDescent="0.25">
      <c r="O382" t="s">
        <v>229</v>
      </c>
      <c r="Q382" s="99">
        <v>505.09393765161144</v>
      </c>
      <c r="R382" s="99">
        <v>-273.24016706291764</v>
      </c>
      <c r="T382" s="99">
        <v>15.952835306019569</v>
      </c>
      <c r="U382" s="99">
        <v>7.7125028749034659</v>
      </c>
      <c r="V382" s="99">
        <f t="shared" si="43"/>
        <v>8.2403324311161033</v>
      </c>
      <c r="W382" t="s">
        <v>570</v>
      </c>
      <c r="X382" s="54">
        <f t="shared" si="45"/>
        <v>0.12905106240209921</v>
      </c>
      <c r="Y382" s="54">
        <f t="shared" si="46"/>
        <v>3.0050200089531798E-2</v>
      </c>
      <c r="Z382" s="196">
        <f t="shared" si="47"/>
        <v>5.3242575186564396E-3</v>
      </c>
      <c r="AA382" s="54">
        <v>0.03</v>
      </c>
      <c r="AB382" s="99">
        <f t="shared" si="48"/>
        <v>0.78545299355208686</v>
      </c>
      <c r="AC382" s="99">
        <f t="shared" si="44"/>
        <v>778.33410471452908</v>
      </c>
      <c r="AD382" s="99">
        <f t="shared" si="49"/>
        <v>0.65683459800961408</v>
      </c>
      <c r="AE382" s="99"/>
    </row>
    <row r="383" spans="15:31" x14ac:dyDescent="0.25">
      <c r="O383" t="s">
        <v>159</v>
      </c>
      <c r="Q383" s="99">
        <v>0</v>
      </c>
      <c r="R383" s="99">
        <v>-236.06559968950583</v>
      </c>
      <c r="T383" s="99">
        <v>-5.0491009752608207</v>
      </c>
      <c r="U383" s="99">
        <v>11.750193910416261</v>
      </c>
      <c r="V383" s="99">
        <f t="shared" si="43"/>
        <v>-16.799294885677082</v>
      </c>
      <c r="W383" t="s">
        <v>570</v>
      </c>
      <c r="X383" s="54">
        <f t="shared" si="45"/>
        <v>0.12905106240209921</v>
      </c>
      <c r="Y383" s="54">
        <f t="shared" si="46"/>
        <v>3.0050200089531798E-2</v>
      </c>
      <c r="Z383" s="196">
        <f t="shared" si="47"/>
        <v>5.3242575186564396E-3</v>
      </c>
      <c r="AA383" s="54">
        <v>0.03</v>
      </c>
      <c r="AB383" s="99">
        <f t="shared" si="48"/>
        <v>-0.94003682540433753</v>
      </c>
      <c r="AC383" s="99">
        <f t="shared" si="44"/>
        <v>236.06559968950583</v>
      </c>
      <c r="AD383" s="99">
        <f t="shared" si="49"/>
        <v>0.36173400999409461</v>
      </c>
      <c r="AE383" s="99"/>
    </row>
    <row r="384" spans="15:31" x14ac:dyDescent="0.25">
      <c r="O384" t="s">
        <v>158</v>
      </c>
      <c r="Q384" s="99">
        <v>1179.9554223942673</v>
      </c>
      <c r="R384" s="99">
        <v>-245.64079601391572</v>
      </c>
      <c r="T384" s="99">
        <v>7.2120585743892427</v>
      </c>
      <c r="U384" s="99">
        <v>11.04489734298166</v>
      </c>
      <c r="V384" s="99">
        <f t="shared" si="43"/>
        <v>-3.832838768592417</v>
      </c>
      <c r="W384" t="s">
        <v>570</v>
      </c>
      <c r="X384" s="54">
        <f t="shared" si="45"/>
        <v>0.12905106240209921</v>
      </c>
      <c r="Y384" s="54">
        <f t="shared" si="46"/>
        <v>3.0050200089531798E-2</v>
      </c>
      <c r="Z384" s="196">
        <f t="shared" si="47"/>
        <v>5.3242575186564396E-3</v>
      </c>
      <c r="AA384" s="54">
        <v>0.03</v>
      </c>
      <c r="AB384" s="99">
        <f t="shared" si="48"/>
        <v>-0.44901372445241161</v>
      </c>
      <c r="AC384" s="99">
        <f t="shared" si="44"/>
        <v>1425.5962184081829</v>
      </c>
      <c r="AD384" s="99">
        <f t="shared" si="49"/>
        <v>0.88893756208198671</v>
      </c>
      <c r="AE384" s="99"/>
    </row>
    <row r="385" spans="15:31" x14ac:dyDescent="0.25">
      <c r="O385" t="s">
        <v>160</v>
      </c>
      <c r="Q385" s="99">
        <v>0</v>
      </c>
      <c r="R385" s="99">
        <v>-313.77912825088595</v>
      </c>
      <c r="T385" s="99">
        <v>-1.7465214998478586</v>
      </c>
      <c r="U385" s="99">
        <v>17.264319045583676</v>
      </c>
      <c r="V385" s="99">
        <f t="shared" si="43"/>
        <v>-19.010840545431535</v>
      </c>
      <c r="W385" t="s">
        <v>570</v>
      </c>
      <c r="X385" s="54">
        <f t="shared" si="45"/>
        <v>0.12905106240209921</v>
      </c>
      <c r="Y385" s="54">
        <f t="shared" si="46"/>
        <v>3.0050200089531798E-2</v>
      </c>
      <c r="Z385" s="196">
        <f t="shared" si="47"/>
        <v>5.3242575186564396E-3</v>
      </c>
      <c r="AA385" s="54">
        <v>0.03</v>
      </c>
      <c r="AB385" s="99">
        <f t="shared" si="48"/>
        <v>-1</v>
      </c>
      <c r="AC385" s="99">
        <f t="shared" si="44"/>
        <v>313.77912825088595</v>
      </c>
      <c r="AD385" s="99">
        <f t="shared" si="49"/>
        <v>0.41704701436319996</v>
      </c>
      <c r="AE385" s="99"/>
    </row>
    <row r="386" spans="15:31" x14ac:dyDescent="0.25">
      <c r="O386" t="s">
        <v>187</v>
      </c>
      <c r="Q386" s="99">
        <v>700.5363453502797</v>
      </c>
      <c r="R386" s="99">
        <v>-170.61645768993594</v>
      </c>
      <c r="T386" s="99">
        <v>3.4554270674419536</v>
      </c>
      <c r="U386" s="99">
        <v>2.5916082806279617</v>
      </c>
      <c r="V386" s="99">
        <f t="shared" si="43"/>
        <v>0.86381878681399193</v>
      </c>
      <c r="W386" t="s">
        <v>578</v>
      </c>
      <c r="X386" s="196">
        <v>9.9071356477301878E-2</v>
      </c>
      <c r="Y386" s="196">
        <v>2.3069272192491701E-2</v>
      </c>
      <c r="Z386" s="196">
        <v>4.0873852937702475E-3</v>
      </c>
      <c r="AA386" s="54">
        <v>0.03</v>
      </c>
      <c r="AB386" s="99">
        <f>IF(V386&gt;0, SQRT(V386/MAX($V$386:$V$433)), -SQRT(V386/MIN($V$386:$V$433)))</f>
        <v>0.55303945766274532</v>
      </c>
      <c r="AC386" s="99">
        <f t="shared" si="44"/>
        <v>871.15280304021564</v>
      </c>
      <c r="AD386" s="99">
        <f>IF(AC386&gt;0,SQRT(AC386/MAX($AC$386:$AC$433)),-SQRT(AC386/MIN($AC$386:$AC$433)))</f>
        <v>0.4234439511062551</v>
      </c>
      <c r="AE386" s="99"/>
    </row>
    <row r="387" spans="15:31" x14ac:dyDescent="0.25">
      <c r="O387" t="s">
        <v>189</v>
      </c>
      <c r="Q387" s="99">
        <v>799.65422356780016</v>
      </c>
      <c r="R387" s="99">
        <v>-217.21467663687915</v>
      </c>
      <c r="T387" s="99">
        <v>2.6273400683132051</v>
      </c>
      <c r="U387" s="99">
        <v>1.9266337956487298</v>
      </c>
      <c r="V387" s="99">
        <f t="shared" ref="V387:V450" si="50">T387-U387</f>
        <v>0.70070627266447527</v>
      </c>
      <c r="W387" t="s">
        <v>578</v>
      </c>
      <c r="X387" s="196">
        <v>9.9071356477301878E-2</v>
      </c>
      <c r="Y387" s="196">
        <v>2.3069272192491701E-2</v>
      </c>
      <c r="Z387" s="196">
        <v>4.0873852937702475E-3</v>
      </c>
      <c r="AA387" s="54">
        <v>0.03</v>
      </c>
      <c r="AB387" s="99">
        <f t="shared" ref="AB387:AB433" si="51">IF(V387&gt;0, SQRT(V387/MAX($V$386:$V$433)), -SQRT(V387/MIN($V$386:$V$433)))</f>
        <v>0.49809570635444789</v>
      </c>
      <c r="AC387" s="99">
        <f t="shared" ref="AC387:AC450" si="52">Q387-R387</f>
        <v>1016.8689002046793</v>
      </c>
      <c r="AD387" s="99">
        <f t="shared" ref="AD387:AD433" si="53">IF(AC387&gt;0,SQRT(AC387/MAX($AC$386:$AC$433)),-SQRT(AC387/MIN($AC$386:$AC$433)))</f>
        <v>0.45748962205337468</v>
      </c>
      <c r="AE387" s="99"/>
    </row>
    <row r="388" spans="15:31" x14ac:dyDescent="0.25">
      <c r="O388" t="s">
        <v>188</v>
      </c>
      <c r="Q388" s="99">
        <v>564.30744484361276</v>
      </c>
      <c r="R388" s="99">
        <v>-141.05186638177824</v>
      </c>
      <c r="T388" s="99">
        <v>2.3016087605173423</v>
      </c>
      <c r="U388" s="99">
        <v>2.5202215981441141</v>
      </c>
      <c r="V388" s="99">
        <f t="shared" si="50"/>
        <v>-0.21861283762677175</v>
      </c>
      <c r="W388" t="s">
        <v>578</v>
      </c>
      <c r="X388" s="196">
        <v>9.9071356477301878E-2</v>
      </c>
      <c r="Y388" s="196">
        <v>2.3069272192491701E-2</v>
      </c>
      <c r="Z388" s="196">
        <v>4.0873852937702475E-3</v>
      </c>
      <c r="AA388" s="54">
        <v>0.03</v>
      </c>
      <c r="AB388" s="99">
        <f t="shared" si="51"/>
        <v>-0.2137507653103618</v>
      </c>
      <c r="AC388" s="99">
        <f t="shared" si="52"/>
        <v>705.35931122539102</v>
      </c>
      <c r="AD388" s="99">
        <f t="shared" si="53"/>
        <v>0.38102543364592117</v>
      </c>
      <c r="AE388" s="99"/>
    </row>
    <row r="389" spans="15:31" x14ac:dyDescent="0.25">
      <c r="O389" t="s">
        <v>149</v>
      </c>
      <c r="Q389" s="99">
        <v>257.85718777676396</v>
      </c>
      <c r="R389" s="99">
        <v>-179.17709018114175</v>
      </c>
      <c r="T389" s="99">
        <v>3.320039616638442</v>
      </c>
      <c r="U389" s="99">
        <v>1.8289120250885733</v>
      </c>
      <c r="V389" s="99">
        <f t="shared" si="50"/>
        <v>1.4911275915498687</v>
      </c>
      <c r="W389" t="s">
        <v>578</v>
      </c>
      <c r="X389" s="196">
        <v>9.9071356477301878E-2</v>
      </c>
      <c r="Y389" s="196">
        <v>2.3069272192491701E-2</v>
      </c>
      <c r="Z389" s="196">
        <v>4.0873852937702475E-3</v>
      </c>
      <c r="AA389" s="54">
        <v>0.03</v>
      </c>
      <c r="AB389" s="99">
        <f t="shared" si="51"/>
        <v>0.72661138542630588</v>
      </c>
      <c r="AC389" s="99">
        <f t="shared" si="52"/>
        <v>437.03427795790572</v>
      </c>
      <c r="AD389" s="99">
        <f t="shared" si="53"/>
        <v>0.29992075098338544</v>
      </c>
      <c r="AE389" s="99"/>
    </row>
    <row r="390" spans="15:31" x14ac:dyDescent="0.25">
      <c r="O390" t="s">
        <v>190</v>
      </c>
      <c r="Q390" s="99">
        <v>1125.165599035744</v>
      </c>
      <c r="R390" s="99">
        <v>-139.31093871051914</v>
      </c>
      <c r="T390" s="99">
        <v>1.5107603601319077</v>
      </c>
      <c r="U390" s="99">
        <v>1.9393522878193092</v>
      </c>
      <c r="V390" s="99">
        <f t="shared" si="50"/>
        <v>-0.42859192768740151</v>
      </c>
      <c r="W390" t="s">
        <v>578</v>
      </c>
      <c r="X390" s="196">
        <v>9.9071356477301878E-2</v>
      </c>
      <c r="Y390" s="196">
        <v>2.3069272192491701E-2</v>
      </c>
      <c r="Z390" s="196">
        <v>4.0873852937702475E-3</v>
      </c>
      <c r="AA390" s="54">
        <v>0.03</v>
      </c>
      <c r="AB390" s="99">
        <f t="shared" si="51"/>
        <v>-0.29928974837874145</v>
      </c>
      <c r="AC390" s="99">
        <f t="shared" si="52"/>
        <v>1264.4765377462631</v>
      </c>
      <c r="AD390" s="99">
        <f t="shared" si="53"/>
        <v>0.51015735452420419</v>
      </c>
      <c r="AE390" s="99"/>
    </row>
    <row r="391" spans="15:31" x14ac:dyDescent="0.25">
      <c r="O391" t="s">
        <v>191</v>
      </c>
      <c r="Q391" s="99">
        <v>3.0075358660151572</v>
      </c>
      <c r="R391" s="99">
        <v>-85.726011120150488</v>
      </c>
      <c r="T391" s="99">
        <v>2.6613754717346869</v>
      </c>
      <c r="U391" s="99">
        <v>1.8026017275325321</v>
      </c>
      <c r="V391" s="99">
        <f t="shared" si="50"/>
        <v>0.8587737442021548</v>
      </c>
      <c r="W391" t="s">
        <v>578</v>
      </c>
      <c r="X391" s="196">
        <v>9.9071356477301878E-2</v>
      </c>
      <c r="Y391" s="196">
        <v>2.3069272192491701E-2</v>
      </c>
      <c r="Z391" s="196">
        <v>4.0873852937702475E-3</v>
      </c>
      <c r="AA391" s="54">
        <v>0.03</v>
      </c>
      <c r="AB391" s="99">
        <f t="shared" si="51"/>
        <v>0.55142210837317363</v>
      </c>
      <c r="AC391" s="99">
        <f t="shared" si="52"/>
        <v>88.733546986165649</v>
      </c>
      <c r="AD391" s="99">
        <f t="shared" si="53"/>
        <v>0.13514272920067136</v>
      </c>
      <c r="AE391" s="99"/>
    </row>
    <row r="392" spans="15:31" x14ac:dyDescent="0.25">
      <c r="O392" t="s">
        <v>192</v>
      </c>
      <c r="Q392" s="99">
        <v>1292.7651048260489</v>
      </c>
      <c r="R392" s="99">
        <v>-134.7189460214309</v>
      </c>
      <c r="T392" s="99">
        <v>1.7650736140992032</v>
      </c>
      <c r="U392" s="99">
        <v>1.855838466717711</v>
      </c>
      <c r="V392" s="99">
        <f t="shared" si="50"/>
        <v>-9.0764852618507863E-2</v>
      </c>
      <c r="W392" t="s">
        <v>578</v>
      </c>
      <c r="X392" s="196">
        <v>9.9071356477301878E-2</v>
      </c>
      <c r="Y392" s="196">
        <v>2.3069272192491701E-2</v>
      </c>
      <c r="Z392" s="196">
        <v>4.0873852937702475E-3</v>
      </c>
      <c r="AA392" s="54">
        <v>0.03</v>
      </c>
      <c r="AB392" s="99">
        <f t="shared" si="51"/>
        <v>-0.13773004868415994</v>
      </c>
      <c r="AC392" s="99">
        <f t="shared" si="52"/>
        <v>1427.4840508474797</v>
      </c>
      <c r="AD392" s="99">
        <f t="shared" si="53"/>
        <v>0.54204381901872178</v>
      </c>
      <c r="AE392" s="99"/>
    </row>
    <row r="393" spans="15:31" x14ac:dyDescent="0.25">
      <c r="O393" t="s">
        <v>193</v>
      </c>
      <c r="Q393" s="99">
        <v>235.3469470027338</v>
      </c>
      <c r="R393" s="99">
        <v>-85.621319375491964</v>
      </c>
      <c r="T393" s="99">
        <v>2.405401986185316</v>
      </c>
      <c r="U393" s="99">
        <v>2.1195127851495528</v>
      </c>
      <c r="V393" s="99">
        <f t="shared" si="50"/>
        <v>0.28588920103576321</v>
      </c>
      <c r="W393" t="s">
        <v>578</v>
      </c>
      <c r="X393" s="196">
        <v>9.9071356477301878E-2</v>
      </c>
      <c r="Y393" s="196">
        <v>2.3069272192491701E-2</v>
      </c>
      <c r="Z393" s="196">
        <v>4.0873852937702475E-3</v>
      </c>
      <c r="AA393" s="54">
        <v>0.03</v>
      </c>
      <c r="AB393" s="99">
        <f t="shared" si="51"/>
        <v>0.31815860290663983</v>
      </c>
      <c r="AC393" s="99">
        <f t="shared" si="52"/>
        <v>320.96826637822574</v>
      </c>
      <c r="AD393" s="99">
        <f t="shared" si="53"/>
        <v>0.25702763043415039</v>
      </c>
      <c r="AE393" s="99"/>
    </row>
    <row r="394" spans="15:31" x14ac:dyDescent="0.25">
      <c r="O394" t="s">
        <v>194</v>
      </c>
      <c r="Q394" s="99">
        <v>607.90766231644079</v>
      </c>
      <c r="R394" s="99">
        <v>-173.96735705918209</v>
      </c>
      <c r="T394" s="99">
        <v>3.4789855607497007</v>
      </c>
      <c r="U394" s="99">
        <v>2.6641716421712465</v>
      </c>
      <c r="V394" s="99">
        <f t="shared" si="50"/>
        <v>0.8148139185784542</v>
      </c>
      <c r="W394" t="s">
        <v>578</v>
      </c>
      <c r="X394" s="196">
        <v>9.9071356477301878E-2</v>
      </c>
      <c r="Y394" s="196">
        <v>2.3069272192491701E-2</v>
      </c>
      <c r="Z394" s="196">
        <v>4.0873852937702475E-3</v>
      </c>
      <c r="AA394" s="54">
        <v>0.03</v>
      </c>
      <c r="AB394" s="99">
        <f t="shared" si="51"/>
        <v>0.53712332816738506</v>
      </c>
      <c r="AC394" s="99">
        <f t="shared" si="52"/>
        <v>781.87501937562286</v>
      </c>
      <c r="AD394" s="99">
        <f t="shared" si="53"/>
        <v>0.40115982489774649</v>
      </c>
      <c r="AE394" s="99"/>
    </row>
    <row r="395" spans="15:31" x14ac:dyDescent="0.25">
      <c r="O395" t="s">
        <v>196</v>
      </c>
      <c r="Q395" s="99">
        <v>533.46898273242891</v>
      </c>
      <c r="R395" s="99">
        <v>-181.6415136445242</v>
      </c>
      <c r="T395" s="99">
        <v>4.1523829954694325</v>
      </c>
      <c r="U395" s="99">
        <v>2.1821025678269947</v>
      </c>
      <c r="V395" s="99">
        <f t="shared" si="50"/>
        <v>1.9702804276424377</v>
      </c>
      <c r="W395" t="s">
        <v>578</v>
      </c>
      <c r="X395" s="196">
        <v>9.9071356477301878E-2</v>
      </c>
      <c r="Y395" s="196">
        <v>2.3069272192491701E-2</v>
      </c>
      <c r="Z395" s="196">
        <v>4.0873852937702475E-3</v>
      </c>
      <c r="AA395" s="54">
        <v>0.03</v>
      </c>
      <c r="AB395" s="99">
        <f t="shared" si="51"/>
        <v>0.83523525414248911</v>
      </c>
      <c r="AC395" s="99">
        <f t="shared" si="52"/>
        <v>715.11049637695305</v>
      </c>
      <c r="AD395" s="99">
        <f t="shared" si="53"/>
        <v>0.38365012187640152</v>
      </c>
      <c r="AE395" s="99"/>
    </row>
    <row r="396" spans="15:31" x14ac:dyDescent="0.25">
      <c r="O396" t="s">
        <v>197</v>
      </c>
      <c r="Q396" s="99">
        <v>380.89675512978067</v>
      </c>
      <c r="R396" s="99">
        <v>-101.21481680793616</v>
      </c>
      <c r="T396" s="99">
        <v>3.1964786391847113</v>
      </c>
      <c r="U396" s="99">
        <v>1.8698191283980301</v>
      </c>
      <c r="V396" s="99">
        <f t="shared" si="50"/>
        <v>1.3266595107866812</v>
      </c>
      <c r="W396" t="s">
        <v>578</v>
      </c>
      <c r="X396" s="196">
        <v>9.9071356477301878E-2</v>
      </c>
      <c r="Y396" s="196">
        <v>2.3069272192491701E-2</v>
      </c>
      <c r="Z396" s="196">
        <v>4.0873852937702475E-3</v>
      </c>
      <c r="AA396" s="54">
        <v>0.03</v>
      </c>
      <c r="AB396" s="99">
        <f t="shared" si="51"/>
        <v>0.685369119824349</v>
      </c>
      <c r="AC396" s="99">
        <f t="shared" si="52"/>
        <v>482.1115719377168</v>
      </c>
      <c r="AD396" s="99">
        <f t="shared" si="53"/>
        <v>0.31500869539889953</v>
      </c>
      <c r="AE396" s="99"/>
    </row>
    <row r="397" spans="15:31" x14ac:dyDescent="0.25">
      <c r="O397" t="s">
        <v>198</v>
      </c>
      <c r="Q397" s="99">
        <v>4197.7168518243334</v>
      </c>
      <c r="R397" s="99">
        <v>-195.12431780983889</v>
      </c>
      <c r="T397" s="99">
        <v>0.44756897637186821</v>
      </c>
      <c r="U397" s="99">
        <v>2.6735844995650773</v>
      </c>
      <c r="V397" s="99">
        <f t="shared" si="50"/>
        <v>-2.2260155231932091</v>
      </c>
      <c r="W397" t="s">
        <v>578</v>
      </c>
      <c r="X397" s="196">
        <v>9.9071356477301878E-2</v>
      </c>
      <c r="Y397" s="196">
        <v>2.3069272192491701E-2</v>
      </c>
      <c r="Z397" s="196">
        <v>4.0873852937702475E-3</v>
      </c>
      <c r="AA397" s="54">
        <v>0.03</v>
      </c>
      <c r="AB397" s="99">
        <f t="shared" si="51"/>
        <v>-0.68207784299269714</v>
      </c>
      <c r="AC397" s="99">
        <f t="shared" si="52"/>
        <v>4392.8411696341718</v>
      </c>
      <c r="AD397" s="99">
        <f t="shared" si="53"/>
        <v>0.9508708079888567</v>
      </c>
      <c r="AE397" s="99"/>
    </row>
    <row r="398" spans="15:31" x14ac:dyDescent="0.25">
      <c r="O398" t="s">
        <v>195</v>
      </c>
      <c r="Q398" s="99">
        <v>580.47009525913063</v>
      </c>
      <c r="R398" s="99">
        <v>-164.65760865777332</v>
      </c>
      <c r="T398" s="99">
        <v>3.1741517733940254</v>
      </c>
      <c r="U398" s="99">
        <v>2.2147750774916082</v>
      </c>
      <c r="V398" s="99">
        <f t="shared" si="50"/>
        <v>0.95937669590241725</v>
      </c>
      <c r="W398" t="s">
        <v>578</v>
      </c>
      <c r="X398" s="196">
        <v>9.9071356477301878E-2</v>
      </c>
      <c r="Y398" s="196">
        <v>2.3069272192491701E-2</v>
      </c>
      <c r="Z398" s="196">
        <v>4.0873852937702475E-3</v>
      </c>
      <c r="AA398" s="54">
        <v>0.03</v>
      </c>
      <c r="AB398" s="99">
        <f t="shared" si="51"/>
        <v>0.58282661781340916</v>
      </c>
      <c r="AC398" s="99">
        <f t="shared" si="52"/>
        <v>745.12770391690401</v>
      </c>
      <c r="AD398" s="99">
        <f t="shared" si="53"/>
        <v>0.39161932955711959</v>
      </c>
      <c r="AE398" s="99"/>
    </row>
    <row r="399" spans="15:31" x14ac:dyDescent="0.25">
      <c r="O399" t="s">
        <v>199</v>
      </c>
      <c r="Q399" s="99">
        <v>438.66204524378031</v>
      </c>
      <c r="R399" s="99">
        <v>-134.96724453193229</v>
      </c>
      <c r="T399" s="99">
        <v>3.0060895753714414</v>
      </c>
      <c r="U399" s="99">
        <v>2.1946618123451156</v>
      </c>
      <c r="V399" s="99">
        <f t="shared" si="50"/>
        <v>0.8114277630263258</v>
      </c>
      <c r="W399" t="s">
        <v>578</v>
      </c>
      <c r="X399" s="196">
        <v>9.9071356477301878E-2</v>
      </c>
      <c r="Y399" s="196">
        <v>2.3069272192491701E-2</v>
      </c>
      <c r="Z399" s="196">
        <v>4.0873852937702475E-3</v>
      </c>
      <c r="AA399" s="54">
        <v>0.03</v>
      </c>
      <c r="AB399" s="99">
        <f t="shared" si="51"/>
        <v>0.53600609352473194</v>
      </c>
      <c r="AC399" s="99">
        <f t="shared" si="52"/>
        <v>573.62928977571255</v>
      </c>
      <c r="AD399" s="99">
        <f t="shared" si="53"/>
        <v>0.3436089152106368</v>
      </c>
      <c r="AE399" s="99"/>
    </row>
    <row r="400" spans="15:31" x14ac:dyDescent="0.25">
      <c r="O400" t="s">
        <v>157</v>
      </c>
      <c r="Q400" s="99">
        <v>0</v>
      </c>
      <c r="R400" s="99">
        <v>-143.15460991491716</v>
      </c>
      <c r="T400" s="99">
        <v>-0.58635446310708339</v>
      </c>
      <c r="U400" s="99">
        <v>2.3974831883037471</v>
      </c>
      <c r="V400" s="99">
        <f t="shared" si="50"/>
        <v>-2.9838376514108305</v>
      </c>
      <c r="W400" t="s">
        <v>578</v>
      </c>
      <c r="X400" s="196">
        <v>9.9071356477301878E-2</v>
      </c>
      <c r="Y400" s="196">
        <v>2.3069272192491701E-2</v>
      </c>
      <c r="Z400" s="196">
        <v>4.0873852937702475E-3</v>
      </c>
      <c r="AA400" s="54">
        <v>0.03</v>
      </c>
      <c r="AB400" s="99">
        <f t="shared" si="51"/>
        <v>-0.78969146193251782</v>
      </c>
      <c r="AC400" s="99">
        <f t="shared" si="52"/>
        <v>143.15460991491716</v>
      </c>
      <c r="AD400" s="99">
        <f t="shared" si="53"/>
        <v>0.1716530138626283</v>
      </c>
      <c r="AE400" s="99"/>
    </row>
    <row r="401" spans="15:31" x14ac:dyDescent="0.25">
      <c r="O401" t="s">
        <v>200</v>
      </c>
      <c r="Q401" s="99">
        <v>529.38205263368638</v>
      </c>
      <c r="R401" s="99">
        <v>-85.358194371386446</v>
      </c>
      <c r="T401" s="99">
        <v>2.3967049367054871</v>
      </c>
      <c r="U401" s="99">
        <v>2.1768795528454321</v>
      </c>
      <c r="V401" s="99">
        <f t="shared" si="50"/>
        <v>0.21982538386005501</v>
      </c>
      <c r="W401" t="s">
        <v>578</v>
      </c>
      <c r="X401" s="196">
        <v>9.9071356477301878E-2</v>
      </c>
      <c r="Y401" s="196">
        <v>2.3069272192491701E-2</v>
      </c>
      <c r="Z401" s="196">
        <v>4.0873852937702475E-3</v>
      </c>
      <c r="AA401" s="54">
        <v>0.03</v>
      </c>
      <c r="AB401" s="99">
        <f t="shared" si="51"/>
        <v>0.27898683855299239</v>
      </c>
      <c r="AC401" s="99">
        <f t="shared" si="52"/>
        <v>614.74024700507289</v>
      </c>
      <c r="AD401" s="99">
        <f t="shared" si="53"/>
        <v>0.3557087822599902</v>
      </c>
      <c r="AE401" s="99"/>
    </row>
    <row r="402" spans="15:31" x14ac:dyDescent="0.25">
      <c r="O402" t="s">
        <v>203</v>
      </c>
      <c r="Q402" s="99">
        <v>306.52998854445065</v>
      </c>
      <c r="R402" s="99">
        <v>-167.76050924800208</v>
      </c>
      <c r="T402" s="99">
        <v>4.0707099159843034</v>
      </c>
      <c r="U402" s="99">
        <v>2.1597097467892397</v>
      </c>
      <c r="V402" s="99">
        <f t="shared" si="50"/>
        <v>1.9110001691950638</v>
      </c>
      <c r="W402" t="s">
        <v>578</v>
      </c>
      <c r="X402" s="196">
        <v>9.9071356477301878E-2</v>
      </c>
      <c r="Y402" s="196">
        <v>2.3069272192491701E-2</v>
      </c>
      <c r="Z402" s="196">
        <v>4.0873852937702475E-3</v>
      </c>
      <c r="AA402" s="54">
        <v>0.03</v>
      </c>
      <c r="AB402" s="99">
        <f t="shared" si="51"/>
        <v>0.8225743409729972</v>
      </c>
      <c r="AC402" s="99">
        <f t="shared" si="52"/>
        <v>474.2904977924527</v>
      </c>
      <c r="AD402" s="99">
        <f t="shared" si="53"/>
        <v>0.31244312730340829</v>
      </c>
      <c r="AE402" s="99"/>
    </row>
    <row r="403" spans="15:31" x14ac:dyDescent="0.25">
      <c r="O403" t="s">
        <v>202</v>
      </c>
      <c r="Q403" s="99">
        <v>420.30036573410661</v>
      </c>
      <c r="R403" s="99">
        <v>-124.4212247851145</v>
      </c>
      <c r="T403" s="99">
        <v>3.2347068006099109</v>
      </c>
      <c r="U403" s="99">
        <v>1.987448219213666</v>
      </c>
      <c r="V403" s="99">
        <f t="shared" si="50"/>
        <v>1.2472585813962449</v>
      </c>
      <c r="W403" t="s">
        <v>578</v>
      </c>
      <c r="X403" s="196">
        <v>9.9071356477301878E-2</v>
      </c>
      <c r="Y403" s="196">
        <v>2.3069272192491701E-2</v>
      </c>
      <c r="Z403" s="196">
        <v>4.0873852937702475E-3</v>
      </c>
      <c r="AA403" s="54">
        <v>0.03</v>
      </c>
      <c r="AB403" s="99">
        <f t="shared" si="51"/>
        <v>0.66454293583525281</v>
      </c>
      <c r="AC403" s="99">
        <f t="shared" si="52"/>
        <v>544.72159051922108</v>
      </c>
      <c r="AD403" s="99">
        <f t="shared" si="53"/>
        <v>0.33483901740154193</v>
      </c>
      <c r="AE403" s="99"/>
    </row>
    <row r="404" spans="15:31" x14ac:dyDescent="0.25">
      <c r="O404" t="s">
        <v>201</v>
      </c>
      <c r="Q404" s="99">
        <v>368.30405769384055</v>
      </c>
      <c r="R404" s="99">
        <v>-121.07487331763514</v>
      </c>
      <c r="T404" s="99">
        <v>2.2171184239062742</v>
      </c>
      <c r="U404" s="99">
        <v>1.9539502358120764</v>
      </c>
      <c r="V404" s="99">
        <f t="shared" si="50"/>
        <v>0.26316818809419784</v>
      </c>
      <c r="W404" t="s">
        <v>578</v>
      </c>
      <c r="X404" s="196">
        <v>9.9071356477301878E-2</v>
      </c>
      <c r="Y404" s="196">
        <v>2.3069272192491701E-2</v>
      </c>
      <c r="Z404" s="196">
        <v>4.0873852937702475E-3</v>
      </c>
      <c r="AA404" s="54">
        <v>0.03</v>
      </c>
      <c r="AB404" s="99">
        <f t="shared" si="51"/>
        <v>0.3052540892963615</v>
      </c>
      <c r="AC404" s="99">
        <f t="shared" si="52"/>
        <v>489.37893101147569</v>
      </c>
      <c r="AD404" s="99">
        <f t="shared" si="53"/>
        <v>0.31737403848840623</v>
      </c>
      <c r="AE404" s="99"/>
    </row>
    <row r="405" spans="15:31" x14ac:dyDescent="0.25">
      <c r="O405" t="s">
        <v>204</v>
      </c>
      <c r="Q405" s="99">
        <v>449.69154091783423</v>
      </c>
      <c r="R405" s="99">
        <v>-106.32109279705988</v>
      </c>
      <c r="T405" s="99">
        <v>2.0165536316437409</v>
      </c>
      <c r="U405" s="99">
        <v>2.1592778216375841</v>
      </c>
      <c r="V405" s="99">
        <f t="shared" si="50"/>
        <v>-0.14272418999384318</v>
      </c>
      <c r="W405" t="s">
        <v>578</v>
      </c>
      <c r="X405" s="196">
        <v>9.9071356477301878E-2</v>
      </c>
      <c r="Y405" s="196">
        <v>2.3069272192491701E-2</v>
      </c>
      <c r="Z405" s="196">
        <v>4.0873852937702475E-3</v>
      </c>
      <c r="AA405" s="54">
        <v>0.03</v>
      </c>
      <c r="AB405" s="99">
        <f t="shared" si="51"/>
        <v>-0.1727104600713732</v>
      </c>
      <c r="AC405" s="99">
        <f t="shared" si="52"/>
        <v>556.01263371489415</v>
      </c>
      <c r="AD405" s="99">
        <f t="shared" si="53"/>
        <v>0.33829150647380773</v>
      </c>
      <c r="AE405" s="99"/>
    </row>
    <row r="406" spans="15:31" x14ac:dyDescent="0.25">
      <c r="O406" t="s">
        <v>205</v>
      </c>
      <c r="Q406" s="99">
        <v>564.79196668925658</v>
      </c>
      <c r="R406" s="99">
        <v>-193.13960183877433</v>
      </c>
      <c r="T406" s="99">
        <v>3.2366504251594312</v>
      </c>
      <c r="U406" s="99">
        <v>2.7389830988430344</v>
      </c>
      <c r="V406" s="99">
        <f t="shared" si="50"/>
        <v>0.49766732631639687</v>
      </c>
      <c r="W406" t="s">
        <v>578</v>
      </c>
      <c r="X406" s="196">
        <v>9.9071356477301878E-2</v>
      </c>
      <c r="Y406" s="196">
        <v>2.3069272192491701E-2</v>
      </c>
      <c r="Z406" s="196">
        <v>4.0873852937702475E-3</v>
      </c>
      <c r="AA406" s="54">
        <v>0.03</v>
      </c>
      <c r="AB406" s="99">
        <f t="shared" si="51"/>
        <v>0.41977286337589997</v>
      </c>
      <c r="AC406" s="99">
        <f t="shared" si="52"/>
        <v>757.93156852803088</v>
      </c>
      <c r="AD406" s="99">
        <f t="shared" si="53"/>
        <v>0.39496968377505731</v>
      </c>
      <c r="AE406" s="99"/>
    </row>
    <row r="407" spans="15:31" x14ac:dyDescent="0.25">
      <c r="O407" t="s">
        <v>207</v>
      </c>
      <c r="Q407" s="99">
        <v>365.84515894431638</v>
      </c>
      <c r="R407" s="99">
        <v>-181.24719291836573</v>
      </c>
      <c r="T407" s="99">
        <v>3.1350250878804502</v>
      </c>
      <c r="U407" s="99">
        <v>2.9070682330353748</v>
      </c>
      <c r="V407" s="99">
        <f t="shared" si="50"/>
        <v>0.22795685484507544</v>
      </c>
      <c r="W407" t="s">
        <v>578</v>
      </c>
      <c r="X407" s="196">
        <v>9.9071356477301878E-2</v>
      </c>
      <c r="Y407" s="196">
        <v>2.3069272192491701E-2</v>
      </c>
      <c r="Z407" s="196">
        <v>4.0873852937702475E-3</v>
      </c>
      <c r="AA407" s="54">
        <v>0.03</v>
      </c>
      <c r="AB407" s="99">
        <f t="shared" si="51"/>
        <v>0.28409992795901112</v>
      </c>
      <c r="AC407" s="99">
        <f t="shared" si="52"/>
        <v>547.09235186268211</v>
      </c>
      <c r="AD407" s="99">
        <f t="shared" si="53"/>
        <v>0.33556687687940551</v>
      </c>
      <c r="AE407" s="99"/>
    </row>
    <row r="408" spans="15:31" x14ac:dyDescent="0.25">
      <c r="O408" t="s">
        <v>206</v>
      </c>
      <c r="Q408" s="99">
        <v>3868.7514465484855</v>
      </c>
      <c r="R408" s="99">
        <v>-198.90525060690118</v>
      </c>
      <c r="T408" s="99">
        <v>0.53741725496818482</v>
      </c>
      <c r="U408" s="99">
        <v>2.7393123222198721</v>
      </c>
      <c r="V408" s="99">
        <f t="shared" si="50"/>
        <v>-2.2018950672516873</v>
      </c>
      <c r="W408" t="s">
        <v>578</v>
      </c>
      <c r="X408" s="196">
        <v>9.9071356477301878E-2</v>
      </c>
      <c r="Y408" s="196">
        <v>2.3069272192491701E-2</v>
      </c>
      <c r="Z408" s="196">
        <v>4.0873852937702475E-3</v>
      </c>
      <c r="AA408" s="54">
        <v>0.03</v>
      </c>
      <c r="AB408" s="99">
        <f t="shared" si="51"/>
        <v>-0.67837237938666617</v>
      </c>
      <c r="AC408" s="99">
        <f t="shared" si="52"/>
        <v>4067.6566971553866</v>
      </c>
      <c r="AD408" s="99">
        <f t="shared" si="53"/>
        <v>0.9149996127040293</v>
      </c>
      <c r="AE408" s="99"/>
    </row>
    <row r="409" spans="15:31" x14ac:dyDescent="0.25">
      <c r="O409" t="s">
        <v>208</v>
      </c>
      <c r="Q409" s="99">
        <v>1627.0890953654509</v>
      </c>
      <c r="R409" s="99">
        <v>-213.18997581405864</v>
      </c>
      <c r="T409" s="99">
        <v>1.6003386755730098</v>
      </c>
      <c r="U409" s="99">
        <v>2.4126761012320186</v>
      </c>
      <c r="V409" s="99">
        <f t="shared" si="50"/>
        <v>-0.81233742565900879</v>
      </c>
      <c r="W409" t="s">
        <v>578</v>
      </c>
      <c r="X409" s="196">
        <v>9.9071356477301878E-2</v>
      </c>
      <c r="Y409" s="196">
        <v>2.3069272192491701E-2</v>
      </c>
      <c r="Z409" s="196">
        <v>4.0873852937702475E-3</v>
      </c>
      <c r="AA409" s="54">
        <v>0.03</v>
      </c>
      <c r="AB409" s="99">
        <f t="shared" si="51"/>
        <v>-0.41203876686777491</v>
      </c>
      <c r="AC409" s="99">
        <f t="shared" si="52"/>
        <v>1840.2790711795096</v>
      </c>
      <c r="AD409" s="99">
        <f t="shared" si="53"/>
        <v>0.61544692724035388</v>
      </c>
      <c r="AE409" s="99"/>
    </row>
    <row r="410" spans="15:31" x14ac:dyDescent="0.25">
      <c r="O410" t="s">
        <v>211</v>
      </c>
      <c r="Q410" s="99">
        <v>886.27078148248302</v>
      </c>
      <c r="R410" s="99">
        <v>-135.95839701226154</v>
      </c>
      <c r="T410" s="99">
        <v>1.7864538082140182</v>
      </c>
      <c r="U410" s="99">
        <v>2.2214015056368774</v>
      </c>
      <c r="V410" s="99">
        <f t="shared" si="50"/>
        <v>-0.43494769742285921</v>
      </c>
      <c r="W410" t="s">
        <v>578</v>
      </c>
      <c r="X410" s="196">
        <v>9.9071356477301878E-2</v>
      </c>
      <c r="Y410" s="196">
        <v>2.3069272192491701E-2</v>
      </c>
      <c r="Z410" s="196">
        <v>4.0873852937702475E-3</v>
      </c>
      <c r="AA410" s="54">
        <v>0.03</v>
      </c>
      <c r="AB410" s="99">
        <f t="shared" si="51"/>
        <v>-0.30150072835762254</v>
      </c>
      <c r="AC410" s="99">
        <f t="shared" si="52"/>
        <v>1022.2291784947446</v>
      </c>
      <c r="AD410" s="99">
        <f t="shared" si="53"/>
        <v>0.4586938325857412</v>
      </c>
      <c r="AE410" s="99"/>
    </row>
    <row r="411" spans="15:31" x14ac:dyDescent="0.25">
      <c r="O411" t="s">
        <v>215</v>
      </c>
      <c r="Q411" s="99">
        <v>554.1853181140566</v>
      </c>
      <c r="R411" s="99">
        <v>-201.5742759368718</v>
      </c>
      <c r="T411" s="99">
        <v>2.7546060609102425</v>
      </c>
      <c r="U411" s="99">
        <v>2.081075702714914</v>
      </c>
      <c r="V411" s="99">
        <f t="shared" si="50"/>
        <v>0.67353035819532847</v>
      </c>
      <c r="W411" t="s">
        <v>578</v>
      </c>
      <c r="X411" s="196">
        <v>9.9071356477301878E-2</v>
      </c>
      <c r="Y411" s="196">
        <v>2.3069272192491701E-2</v>
      </c>
      <c r="Z411" s="196">
        <v>4.0873852937702475E-3</v>
      </c>
      <c r="AA411" s="54">
        <v>0.03</v>
      </c>
      <c r="AB411" s="99">
        <f t="shared" si="51"/>
        <v>0.48834121929565594</v>
      </c>
      <c r="AC411" s="99">
        <f t="shared" si="52"/>
        <v>755.7595940509284</v>
      </c>
      <c r="AD411" s="99">
        <f t="shared" si="53"/>
        <v>0.39440335326648079</v>
      </c>
      <c r="AE411" s="99"/>
    </row>
    <row r="412" spans="15:31" x14ac:dyDescent="0.25">
      <c r="O412" t="s">
        <v>212</v>
      </c>
      <c r="Q412" s="99">
        <v>449.49281920192368</v>
      </c>
      <c r="R412" s="99">
        <v>-144.51227225961449</v>
      </c>
      <c r="T412" s="99">
        <v>3.4766284251099124</v>
      </c>
      <c r="U412" s="99">
        <v>1.7461972738063087</v>
      </c>
      <c r="V412" s="99">
        <f t="shared" si="50"/>
        <v>1.7304311513036037</v>
      </c>
      <c r="W412" t="s">
        <v>578</v>
      </c>
      <c r="X412" s="196">
        <v>9.9071356477301878E-2</v>
      </c>
      <c r="Y412" s="196">
        <v>2.3069272192491701E-2</v>
      </c>
      <c r="Z412" s="196">
        <v>4.0873852937702475E-3</v>
      </c>
      <c r="AA412" s="54">
        <v>0.03</v>
      </c>
      <c r="AB412" s="99">
        <f t="shared" si="51"/>
        <v>0.78274798406565838</v>
      </c>
      <c r="AC412" s="99">
        <f t="shared" si="52"/>
        <v>594.0050914615382</v>
      </c>
      <c r="AD412" s="99">
        <f t="shared" si="53"/>
        <v>0.34965830497988393</v>
      </c>
      <c r="AE412" s="99"/>
    </row>
    <row r="413" spans="15:31" x14ac:dyDescent="0.25">
      <c r="O413" t="s">
        <v>213</v>
      </c>
      <c r="Q413" s="99">
        <v>421.53987281092066</v>
      </c>
      <c r="R413" s="99">
        <v>-77.635631737188945</v>
      </c>
      <c r="T413" s="99">
        <v>2.9503158786520047</v>
      </c>
      <c r="U413" s="99">
        <v>1.8119706320508913</v>
      </c>
      <c r="V413" s="99">
        <f t="shared" si="50"/>
        <v>1.1383452466011135</v>
      </c>
      <c r="W413" t="s">
        <v>578</v>
      </c>
      <c r="X413" s="196">
        <v>9.9071356477301878E-2</v>
      </c>
      <c r="Y413" s="196">
        <v>2.3069272192491701E-2</v>
      </c>
      <c r="Z413" s="196">
        <v>4.0873852937702475E-3</v>
      </c>
      <c r="AA413" s="54">
        <v>0.03</v>
      </c>
      <c r="AB413" s="99">
        <f t="shared" si="51"/>
        <v>0.63486559859634617</v>
      </c>
      <c r="AC413" s="99">
        <f t="shared" si="52"/>
        <v>499.17550454810959</v>
      </c>
      <c r="AD413" s="99">
        <f t="shared" si="53"/>
        <v>0.32053495486249001</v>
      </c>
      <c r="AE413" s="99"/>
    </row>
    <row r="414" spans="15:31" x14ac:dyDescent="0.25">
      <c r="O414" t="s">
        <v>214</v>
      </c>
      <c r="Q414" s="99">
        <v>651.30782102314356</v>
      </c>
      <c r="R414" s="99">
        <v>-185.66844381590201</v>
      </c>
      <c r="T414" s="99">
        <v>3.5060527649279427</v>
      </c>
      <c r="U414" s="99">
        <v>2.8251096131600892</v>
      </c>
      <c r="V414" s="99">
        <f t="shared" si="50"/>
        <v>0.68094315176785347</v>
      </c>
      <c r="W414" t="s">
        <v>578</v>
      </c>
      <c r="X414" s="196">
        <v>9.9071356477301878E-2</v>
      </c>
      <c r="Y414" s="196">
        <v>2.3069272192491701E-2</v>
      </c>
      <c r="Z414" s="196">
        <v>4.0873852937702475E-3</v>
      </c>
      <c r="AA414" s="54">
        <v>0.03</v>
      </c>
      <c r="AB414" s="99">
        <f t="shared" si="51"/>
        <v>0.49102117781495225</v>
      </c>
      <c r="AC414" s="99">
        <f t="shared" si="52"/>
        <v>836.9762648390456</v>
      </c>
      <c r="AD414" s="99">
        <f t="shared" si="53"/>
        <v>0.4150546992897049</v>
      </c>
      <c r="AE414" s="99"/>
    </row>
    <row r="415" spans="15:31" x14ac:dyDescent="0.25">
      <c r="O415" t="s">
        <v>216</v>
      </c>
      <c r="Q415" s="99">
        <v>550.83944125894243</v>
      </c>
      <c r="R415" s="99">
        <v>-30.477144503565501</v>
      </c>
      <c r="T415" s="99">
        <v>2.5183775953085856</v>
      </c>
      <c r="U415" s="99">
        <v>1.527135857094418</v>
      </c>
      <c r="V415" s="99">
        <f t="shared" si="50"/>
        <v>0.99124173821416761</v>
      </c>
      <c r="W415" t="s">
        <v>578</v>
      </c>
      <c r="X415" s="196">
        <v>9.9071356477301878E-2</v>
      </c>
      <c r="Y415" s="196">
        <v>2.3069272192491701E-2</v>
      </c>
      <c r="Z415" s="196">
        <v>4.0873852937702475E-3</v>
      </c>
      <c r="AA415" s="54">
        <v>0.03</v>
      </c>
      <c r="AB415" s="99">
        <f t="shared" si="51"/>
        <v>0.59242664854881621</v>
      </c>
      <c r="AC415" s="99">
        <f t="shared" si="52"/>
        <v>581.31658576250788</v>
      </c>
      <c r="AD415" s="99">
        <f t="shared" si="53"/>
        <v>0.34590363128813345</v>
      </c>
      <c r="AE415" s="99"/>
    </row>
    <row r="416" spans="15:31" x14ac:dyDescent="0.25">
      <c r="O416" t="s">
        <v>209</v>
      </c>
      <c r="Q416" s="99">
        <v>836.23501557960901</v>
      </c>
      <c r="R416" s="99">
        <v>-190.39628028158205</v>
      </c>
      <c r="T416" s="99">
        <v>3.3908356541598583</v>
      </c>
      <c r="U416" s="99">
        <v>2.3448690330280657</v>
      </c>
      <c r="V416" s="99">
        <f t="shared" si="50"/>
        <v>1.0459666211317926</v>
      </c>
      <c r="W416" t="s">
        <v>578</v>
      </c>
      <c r="X416" s="196">
        <v>9.9071356477301878E-2</v>
      </c>
      <c r="Y416" s="196">
        <v>2.3069272192491701E-2</v>
      </c>
      <c r="Z416" s="196">
        <v>4.0873852937702475E-3</v>
      </c>
      <c r="AA416" s="54">
        <v>0.03</v>
      </c>
      <c r="AB416" s="99">
        <f t="shared" si="51"/>
        <v>0.60856042734001037</v>
      </c>
      <c r="AC416" s="99">
        <f t="shared" si="52"/>
        <v>1026.6312958611911</v>
      </c>
      <c r="AD416" s="99">
        <f t="shared" si="53"/>
        <v>0.4596804287940387</v>
      </c>
      <c r="AE416" s="99"/>
    </row>
    <row r="417" spans="15:31" x14ac:dyDescent="0.25">
      <c r="O417" t="s">
        <v>210</v>
      </c>
      <c r="Q417" s="99">
        <v>2629.6101511561392</v>
      </c>
      <c r="R417" s="99">
        <v>-197.10550833848961</v>
      </c>
      <c r="T417" s="99">
        <v>0.86205851185177185</v>
      </c>
      <c r="U417" s="99">
        <v>2.7051261762371812</v>
      </c>
      <c r="V417" s="99">
        <f t="shared" si="50"/>
        <v>-1.8430676643854094</v>
      </c>
      <c r="W417" t="s">
        <v>578</v>
      </c>
      <c r="X417" s="196">
        <v>9.9071356477301878E-2</v>
      </c>
      <c r="Y417" s="196">
        <v>2.3069272192491701E-2</v>
      </c>
      <c r="Z417" s="196">
        <v>4.0873852937702475E-3</v>
      </c>
      <c r="AA417" s="54">
        <v>0.03</v>
      </c>
      <c r="AB417" s="99">
        <f t="shared" si="51"/>
        <v>-0.62064103638057888</v>
      </c>
      <c r="AC417" s="99">
        <f t="shared" si="52"/>
        <v>2826.7156594946287</v>
      </c>
      <c r="AD417" s="99">
        <f t="shared" si="53"/>
        <v>0.76276336601437755</v>
      </c>
      <c r="AE417" s="99"/>
    </row>
    <row r="418" spans="15:31" x14ac:dyDescent="0.25">
      <c r="O418" t="s">
        <v>217</v>
      </c>
      <c r="Q418" s="99">
        <v>1406.0271671864564</v>
      </c>
      <c r="R418" s="99">
        <v>-158.6079534814115</v>
      </c>
      <c r="T418" s="99">
        <v>1.3192208838310657</v>
      </c>
      <c r="U418" s="99">
        <v>2.1199770892810754</v>
      </c>
      <c r="V418" s="99">
        <f t="shared" si="50"/>
        <v>-0.80075620545000969</v>
      </c>
      <c r="W418" t="s">
        <v>578</v>
      </c>
      <c r="X418" s="196">
        <v>9.9071356477301878E-2</v>
      </c>
      <c r="Y418" s="196">
        <v>2.3069272192491701E-2</v>
      </c>
      <c r="Z418" s="196">
        <v>4.0873852937702475E-3</v>
      </c>
      <c r="AA418" s="54">
        <v>0.03</v>
      </c>
      <c r="AB418" s="99">
        <f t="shared" si="51"/>
        <v>-0.4090910743482345</v>
      </c>
      <c r="AC418" s="99">
        <f t="shared" si="52"/>
        <v>1564.6351206678678</v>
      </c>
      <c r="AD418" s="99">
        <f t="shared" si="53"/>
        <v>0.56748619539120071</v>
      </c>
      <c r="AE418" s="99"/>
    </row>
    <row r="419" spans="15:31" x14ac:dyDescent="0.25">
      <c r="O419" t="s">
        <v>218</v>
      </c>
      <c r="Q419" s="99">
        <v>650.82758613363364</v>
      </c>
      <c r="R419" s="99">
        <v>-186.7438480184891</v>
      </c>
      <c r="T419" s="99">
        <v>3.8112198035344478</v>
      </c>
      <c r="U419" s="99">
        <v>2.6050031741166437</v>
      </c>
      <c r="V419" s="99">
        <f t="shared" si="50"/>
        <v>1.2062166294178041</v>
      </c>
      <c r="W419" t="s">
        <v>578</v>
      </c>
      <c r="X419" s="196">
        <v>9.9071356477301878E-2</v>
      </c>
      <c r="Y419" s="196">
        <v>2.3069272192491701E-2</v>
      </c>
      <c r="Z419" s="196">
        <v>4.0873852937702475E-3</v>
      </c>
      <c r="AA419" s="54">
        <v>0.03</v>
      </c>
      <c r="AB419" s="99">
        <f t="shared" si="51"/>
        <v>0.65351784538989377</v>
      </c>
      <c r="AC419" s="99">
        <f t="shared" si="52"/>
        <v>837.57143415212272</v>
      </c>
      <c r="AD419" s="99">
        <f t="shared" si="53"/>
        <v>0.41520224464505739</v>
      </c>
      <c r="AE419" s="99"/>
    </row>
    <row r="420" spans="15:31" x14ac:dyDescent="0.25">
      <c r="O420" t="s">
        <v>219</v>
      </c>
      <c r="Q420" s="99">
        <v>929.39216775121349</v>
      </c>
      <c r="R420" s="99">
        <v>-247.29166586594712</v>
      </c>
      <c r="T420" s="99">
        <v>3.3174343299430591</v>
      </c>
      <c r="U420" s="99">
        <v>1.8229009812240302</v>
      </c>
      <c r="V420" s="99">
        <f t="shared" si="50"/>
        <v>1.4945333487190289</v>
      </c>
      <c r="W420" t="s">
        <v>578</v>
      </c>
      <c r="X420" s="196">
        <v>9.9071356477301878E-2</v>
      </c>
      <c r="Y420" s="196">
        <v>2.3069272192491701E-2</v>
      </c>
      <c r="Z420" s="196">
        <v>4.0873852937702475E-3</v>
      </c>
      <c r="AA420" s="54">
        <v>0.03</v>
      </c>
      <c r="AB420" s="99">
        <f t="shared" si="51"/>
        <v>0.727440707651828</v>
      </c>
      <c r="AC420" s="99">
        <f t="shared" si="52"/>
        <v>1176.6838336171606</v>
      </c>
      <c r="AD420" s="99">
        <f t="shared" si="53"/>
        <v>0.49212865983881726</v>
      </c>
      <c r="AE420" s="99"/>
    </row>
    <row r="421" spans="15:31" x14ac:dyDescent="0.25">
      <c r="O421" t="s">
        <v>220</v>
      </c>
      <c r="Q421" s="99">
        <v>529.13082577179762</v>
      </c>
      <c r="R421" s="99">
        <v>-81.432526408414816</v>
      </c>
      <c r="T421" s="99">
        <v>2.2378558548036307</v>
      </c>
      <c r="U421" s="99">
        <v>1.7042774781577146</v>
      </c>
      <c r="V421" s="99">
        <f t="shared" si="50"/>
        <v>0.53357837664591612</v>
      </c>
      <c r="W421" t="s">
        <v>578</v>
      </c>
      <c r="X421" s="196">
        <v>9.9071356477301878E-2</v>
      </c>
      <c r="Y421" s="196">
        <v>2.3069272192491701E-2</v>
      </c>
      <c r="Z421" s="196">
        <v>4.0873852937702475E-3</v>
      </c>
      <c r="AA421" s="54">
        <v>0.03</v>
      </c>
      <c r="AB421" s="99">
        <f t="shared" si="51"/>
        <v>0.43465422565718764</v>
      </c>
      <c r="AC421" s="99">
        <f t="shared" si="52"/>
        <v>610.56335218021241</v>
      </c>
      <c r="AD421" s="99">
        <f t="shared" si="53"/>
        <v>0.35449827866837869</v>
      </c>
      <c r="AE421" s="99"/>
    </row>
    <row r="422" spans="15:31" x14ac:dyDescent="0.25">
      <c r="O422" t="s">
        <v>221</v>
      </c>
      <c r="Q422" s="99">
        <v>94.565845672383915</v>
      </c>
      <c r="R422" s="99">
        <v>-1.9239401181870242</v>
      </c>
      <c r="T422" s="99">
        <v>1.457440205572063</v>
      </c>
      <c r="U422" s="99">
        <v>1.4775618730674513</v>
      </c>
      <c r="V422" s="99">
        <f t="shared" si="50"/>
        <v>-2.0121667495388351E-2</v>
      </c>
      <c r="W422" t="s">
        <v>578</v>
      </c>
      <c r="X422" s="196">
        <v>9.9071356477301878E-2</v>
      </c>
      <c r="Y422" s="196">
        <v>2.3069272192491701E-2</v>
      </c>
      <c r="Z422" s="196">
        <v>4.0873852937702475E-3</v>
      </c>
      <c r="AA422" s="54">
        <v>0.03</v>
      </c>
      <c r="AB422" s="99">
        <f t="shared" si="51"/>
        <v>-6.4848783218379877E-2</v>
      </c>
      <c r="AC422" s="99">
        <f t="shared" si="52"/>
        <v>96.489785790570934</v>
      </c>
      <c r="AD422" s="99">
        <f t="shared" si="53"/>
        <v>0.1409254516326342</v>
      </c>
      <c r="AE422" s="99"/>
    </row>
    <row r="423" spans="15:31" x14ac:dyDescent="0.25">
      <c r="O423" t="s">
        <v>222</v>
      </c>
      <c r="Q423" s="99">
        <v>500.7485392846163</v>
      </c>
      <c r="R423" s="99">
        <v>-126.88596853893107</v>
      </c>
      <c r="T423" s="99">
        <v>3.5181303087410609</v>
      </c>
      <c r="U423" s="99">
        <v>2.1732738014740072</v>
      </c>
      <c r="V423" s="99">
        <f t="shared" si="50"/>
        <v>1.3448565072670537</v>
      </c>
      <c r="W423" t="s">
        <v>578</v>
      </c>
      <c r="X423" s="196">
        <v>9.9071356477301878E-2</v>
      </c>
      <c r="Y423" s="196">
        <v>2.3069272192491701E-2</v>
      </c>
      <c r="Z423" s="196">
        <v>4.0873852937702475E-3</v>
      </c>
      <c r="AA423" s="54">
        <v>0.03</v>
      </c>
      <c r="AB423" s="99">
        <f t="shared" si="51"/>
        <v>0.69005351080585353</v>
      </c>
      <c r="AC423" s="99">
        <f t="shared" si="52"/>
        <v>627.63450782354732</v>
      </c>
      <c r="AD423" s="99">
        <f t="shared" si="53"/>
        <v>0.35941994292100893</v>
      </c>
      <c r="AE423" s="99"/>
    </row>
    <row r="424" spans="15:31" x14ac:dyDescent="0.25">
      <c r="O424" t="s">
        <v>223</v>
      </c>
      <c r="Q424" s="99">
        <v>464.11638230687316</v>
      </c>
      <c r="R424" s="99">
        <v>-166.75974860271282</v>
      </c>
      <c r="T424" s="99">
        <v>4.4592259556695737</v>
      </c>
      <c r="U424" s="99">
        <v>2.3499908834655265</v>
      </c>
      <c r="V424" s="99">
        <f t="shared" si="50"/>
        <v>2.1092350722040472</v>
      </c>
      <c r="W424" t="s">
        <v>578</v>
      </c>
      <c r="X424" s="196">
        <v>9.9071356477301878E-2</v>
      </c>
      <c r="Y424" s="196">
        <v>2.3069272192491701E-2</v>
      </c>
      <c r="Z424" s="196">
        <v>4.0873852937702475E-3</v>
      </c>
      <c r="AA424" s="54">
        <v>0.03</v>
      </c>
      <c r="AB424" s="99">
        <f t="shared" si="51"/>
        <v>0.86418612165595954</v>
      </c>
      <c r="AC424" s="99">
        <f t="shared" si="52"/>
        <v>630.87613090958598</v>
      </c>
      <c r="AD424" s="99">
        <f t="shared" si="53"/>
        <v>0.36034691829652193</v>
      </c>
      <c r="AE424" s="99"/>
    </row>
    <row r="425" spans="15:31" x14ac:dyDescent="0.25">
      <c r="O425" t="s">
        <v>224</v>
      </c>
      <c r="Q425" s="99">
        <v>451.60232762658103</v>
      </c>
      <c r="R425" s="99">
        <v>-154.07710449210404</v>
      </c>
      <c r="T425" s="99">
        <v>3.4079673632535297</v>
      </c>
      <c r="U425" s="99">
        <v>2.2389986178294041</v>
      </c>
      <c r="V425" s="99">
        <f t="shared" si="50"/>
        <v>1.1689687454241255</v>
      </c>
      <c r="W425" t="s">
        <v>578</v>
      </c>
      <c r="X425" s="196">
        <v>9.9071356477301878E-2</v>
      </c>
      <c r="Y425" s="196">
        <v>2.3069272192491701E-2</v>
      </c>
      <c r="Z425" s="196">
        <v>4.0873852937702475E-3</v>
      </c>
      <c r="AA425" s="54">
        <v>0.03</v>
      </c>
      <c r="AB425" s="99">
        <f t="shared" si="51"/>
        <v>0.64334842969536621</v>
      </c>
      <c r="AC425" s="99">
        <f t="shared" si="52"/>
        <v>605.6794321186851</v>
      </c>
      <c r="AD425" s="99">
        <f t="shared" si="53"/>
        <v>0.35307760918965553</v>
      </c>
      <c r="AE425" s="99"/>
    </row>
    <row r="426" spans="15:31" x14ac:dyDescent="0.25">
      <c r="O426" t="s">
        <v>225</v>
      </c>
      <c r="Q426" s="99">
        <v>584.89417488324136</v>
      </c>
      <c r="R426" s="99">
        <v>-127.81648484783291</v>
      </c>
      <c r="T426" s="99">
        <v>3.0227686443436776</v>
      </c>
      <c r="U426" s="99">
        <v>2.3662925966782744</v>
      </c>
      <c r="V426" s="99">
        <f t="shared" si="50"/>
        <v>0.65647604766540324</v>
      </c>
      <c r="W426" t="s">
        <v>578</v>
      </c>
      <c r="X426" s="196">
        <v>9.9071356477301878E-2</v>
      </c>
      <c r="Y426" s="196">
        <v>2.3069272192491701E-2</v>
      </c>
      <c r="Z426" s="196">
        <v>4.0873852937702475E-3</v>
      </c>
      <c r="AA426" s="54">
        <v>0.03</v>
      </c>
      <c r="AB426" s="99">
        <f t="shared" si="51"/>
        <v>0.48211898981413925</v>
      </c>
      <c r="AC426" s="99">
        <f t="shared" si="52"/>
        <v>712.71065973107432</v>
      </c>
      <c r="AD426" s="99">
        <f t="shared" si="53"/>
        <v>0.38300583587681614</v>
      </c>
      <c r="AE426" s="99"/>
    </row>
    <row r="427" spans="15:31" x14ac:dyDescent="0.25">
      <c r="O427" t="s">
        <v>226</v>
      </c>
      <c r="Q427" s="99">
        <v>4681.4625862744779</v>
      </c>
      <c r="R427" s="99">
        <v>-177.0403736544929</v>
      </c>
      <c r="T427" s="99">
        <v>0.40268475361920153</v>
      </c>
      <c r="U427" s="99">
        <v>2.3194208843483697</v>
      </c>
      <c r="V427" s="99">
        <f t="shared" si="50"/>
        <v>-1.9167361307291682</v>
      </c>
      <c r="W427" t="s">
        <v>578</v>
      </c>
      <c r="X427" s="196">
        <v>9.9071356477301878E-2</v>
      </c>
      <c r="Y427" s="196">
        <v>2.3069272192491701E-2</v>
      </c>
      <c r="Z427" s="196">
        <v>4.0873852937702475E-3</v>
      </c>
      <c r="AA427" s="54">
        <v>0.03</v>
      </c>
      <c r="AB427" s="99">
        <f t="shared" si="51"/>
        <v>-0.63292319584983081</v>
      </c>
      <c r="AC427" s="99">
        <f t="shared" si="52"/>
        <v>4858.502959928971</v>
      </c>
      <c r="AD427" s="99">
        <f t="shared" si="53"/>
        <v>1</v>
      </c>
      <c r="AE427" s="99"/>
    </row>
    <row r="428" spans="15:31" x14ac:dyDescent="0.25">
      <c r="O428" t="s">
        <v>228</v>
      </c>
      <c r="Q428" s="99">
        <v>235.25356553576339</v>
      </c>
      <c r="R428" s="99">
        <v>-140.66429401965635</v>
      </c>
      <c r="T428" s="99">
        <v>4.792533523241298</v>
      </c>
      <c r="U428" s="99">
        <v>1.9682362344469895</v>
      </c>
      <c r="V428" s="99">
        <f t="shared" si="50"/>
        <v>2.8242972887943085</v>
      </c>
      <c r="W428" t="s">
        <v>578</v>
      </c>
      <c r="X428" s="196">
        <v>9.9071356477301878E-2</v>
      </c>
      <c r="Y428" s="196">
        <v>2.3069272192491701E-2</v>
      </c>
      <c r="Z428" s="196">
        <v>4.0873852937702475E-3</v>
      </c>
      <c r="AA428" s="54">
        <v>0.03</v>
      </c>
      <c r="AB428" s="99">
        <f t="shared" si="51"/>
        <v>1</v>
      </c>
      <c r="AC428" s="99">
        <f t="shared" si="52"/>
        <v>375.91785955541974</v>
      </c>
      <c r="AD428" s="99">
        <f t="shared" si="53"/>
        <v>0.27816036257539412</v>
      </c>
      <c r="AE428" s="99"/>
    </row>
    <row r="429" spans="15:31" x14ac:dyDescent="0.25">
      <c r="O429" t="s">
        <v>227</v>
      </c>
      <c r="Q429" s="99">
        <v>354.2856279825678</v>
      </c>
      <c r="R429" s="99">
        <v>-159.6199409621471</v>
      </c>
      <c r="T429" s="99">
        <v>3.2405630498470086</v>
      </c>
      <c r="U429" s="99">
        <v>2.1292246202253313</v>
      </c>
      <c r="V429" s="99">
        <f t="shared" si="50"/>
        <v>1.1113384296216773</v>
      </c>
      <c r="W429" t="s">
        <v>578</v>
      </c>
      <c r="X429" s="196">
        <v>9.9071356477301878E-2</v>
      </c>
      <c r="Y429" s="196">
        <v>2.3069272192491701E-2</v>
      </c>
      <c r="Z429" s="196">
        <v>4.0873852937702475E-3</v>
      </c>
      <c r="AA429" s="54">
        <v>0.03</v>
      </c>
      <c r="AB429" s="99">
        <f t="shared" si="51"/>
        <v>0.62728941842431296</v>
      </c>
      <c r="AC429" s="99">
        <f t="shared" si="52"/>
        <v>513.9055689447149</v>
      </c>
      <c r="AD429" s="99">
        <f t="shared" si="53"/>
        <v>0.32522987045213292</v>
      </c>
      <c r="AE429" s="99"/>
    </row>
    <row r="430" spans="15:31" x14ac:dyDescent="0.25">
      <c r="O430" t="s">
        <v>229</v>
      </c>
      <c r="Q430" s="99">
        <v>522.83228965563751</v>
      </c>
      <c r="R430" s="99">
        <v>-158.92183725731456</v>
      </c>
      <c r="T430" s="99">
        <v>3.3293267521378946</v>
      </c>
      <c r="U430" s="99">
        <v>1.6367194678222656</v>
      </c>
      <c r="V430" s="99">
        <f t="shared" si="50"/>
        <v>1.692607284315629</v>
      </c>
      <c r="W430" t="s">
        <v>578</v>
      </c>
      <c r="X430" s="196">
        <v>9.9071356477301878E-2</v>
      </c>
      <c r="Y430" s="196">
        <v>2.3069272192491701E-2</v>
      </c>
      <c r="Z430" s="196">
        <v>4.0873852937702475E-3</v>
      </c>
      <c r="AA430" s="54">
        <v>0.03</v>
      </c>
      <c r="AB430" s="99">
        <f t="shared" si="51"/>
        <v>0.77414604293540379</v>
      </c>
      <c r="AC430" s="99">
        <f t="shared" si="52"/>
        <v>681.75412691295207</v>
      </c>
      <c r="AD430" s="99">
        <f t="shared" si="53"/>
        <v>0.37459558284706684</v>
      </c>
      <c r="AE430" s="99"/>
    </row>
    <row r="431" spans="15:31" x14ac:dyDescent="0.25">
      <c r="O431" t="s">
        <v>159</v>
      </c>
      <c r="Q431" s="99">
        <v>0</v>
      </c>
      <c r="R431" s="99">
        <v>-162.86058423390034</v>
      </c>
      <c r="T431" s="99">
        <v>-1.6459155566966652</v>
      </c>
      <c r="U431" s="99">
        <v>2.4935836570570693</v>
      </c>
      <c r="V431" s="99">
        <f t="shared" si="50"/>
        <v>-4.1394992137537345</v>
      </c>
      <c r="W431" t="s">
        <v>578</v>
      </c>
      <c r="X431" s="196">
        <v>9.9071356477301878E-2</v>
      </c>
      <c r="Y431" s="196">
        <v>2.3069272192491701E-2</v>
      </c>
      <c r="Z431" s="196">
        <v>4.0873852937702475E-3</v>
      </c>
      <c r="AA431" s="54">
        <v>0.03</v>
      </c>
      <c r="AB431" s="99">
        <f t="shared" si="51"/>
        <v>-0.93013020920037481</v>
      </c>
      <c r="AC431" s="99">
        <f t="shared" si="52"/>
        <v>162.86058423390034</v>
      </c>
      <c r="AD431" s="99">
        <f t="shared" si="53"/>
        <v>0.18308668375563039</v>
      </c>
      <c r="AE431" s="99"/>
    </row>
    <row r="432" spans="15:31" x14ac:dyDescent="0.25">
      <c r="O432" t="s">
        <v>158</v>
      </c>
      <c r="Q432" s="99">
        <v>1587.9496750505059</v>
      </c>
      <c r="R432" s="99">
        <v>-178.84607027386059</v>
      </c>
      <c r="T432" s="99">
        <v>1.1893318775960333</v>
      </c>
      <c r="U432" s="99">
        <v>2.343908170223246</v>
      </c>
      <c r="V432" s="99">
        <f t="shared" si="50"/>
        <v>-1.1545762926272127</v>
      </c>
      <c r="W432" t="s">
        <v>578</v>
      </c>
      <c r="X432" s="196">
        <v>9.9071356477301878E-2</v>
      </c>
      <c r="Y432" s="196">
        <v>2.3069272192491701E-2</v>
      </c>
      <c r="Z432" s="196">
        <v>4.0873852937702475E-3</v>
      </c>
      <c r="AA432" s="54">
        <v>0.03</v>
      </c>
      <c r="AB432" s="99">
        <f t="shared" si="51"/>
        <v>-0.49122579644159575</v>
      </c>
      <c r="AC432" s="99">
        <f t="shared" si="52"/>
        <v>1766.7957453243664</v>
      </c>
      <c r="AD432" s="99">
        <f t="shared" si="53"/>
        <v>0.60303419094807786</v>
      </c>
      <c r="AE432" s="99"/>
    </row>
    <row r="433" spans="15:31" x14ac:dyDescent="0.25">
      <c r="O433" t="s">
        <v>160</v>
      </c>
      <c r="Q433" s="99">
        <v>0</v>
      </c>
      <c r="R433" s="99">
        <v>-273.89140483111476</v>
      </c>
      <c r="T433" s="99">
        <v>-1.1209902574206883</v>
      </c>
      <c r="U433" s="99">
        <v>3.6637713513922323</v>
      </c>
      <c r="V433" s="99">
        <f t="shared" si="50"/>
        <v>-4.7847616088129206</v>
      </c>
      <c r="W433" t="s">
        <v>578</v>
      </c>
      <c r="X433" s="196">
        <v>9.9071356477301878E-2</v>
      </c>
      <c r="Y433" s="196">
        <v>2.3069272192491701E-2</v>
      </c>
      <c r="Z433" s="196">
        <v>4.0873852937702475E-3</v>
      </c>
      <c r="AA433" s="54">
        <v>0.03</v>
      </c>
      <c r="AB433" s="99">
        <f t="shared" si="51"/>
        <v>-1</v>
      </c>
      <c r="AC433" s="99">
        <f t="shared" si="52"/>
        <v>273.89140483111476</v>
      </c>
      <c r="AD433" s="99">
        <f t="shared" si="53"/>
        <v>0.23743129757916212</v>
      </c>
      <c r="AE433" s="99"/>
    </row>
    <row r="434" spans="15:31" x14ac:dyDescent="0.25">
      <c r="O434" t="s">
        <v>187</v>
      </c>
      <c r="Q434" s="99">
        <v>106.35396001103108</v>
      </c>
      <c r="R434" s="99">
        <v>-259.05671695933665</v>
      </c>
      <c r="T434" s="99">
        <v>48.33024404748658</v>
      </c>
      <c r="U434" s="99">
        <v>30.189093311712909</v>
      </c>
      <c r="V434" s="99">
        <f t="shared" si="50"/>
        <v>18.141150735773671</v>
      </c>
      <c r="W434" t="s">
        <v>569</v>
      </c>
      <c r="X434" s="196">
        <f>254.08917796662%/14</f>
        <v>0.18149226997615717</v>
      </c>
      <c r="Y434" s="196">
        <f>59.165964978196%/14</f>
        <v>4.2261403555854289E-2</v>
      </c>
      <c r="Z434" s="196">
        <f>10.482952956891%/14</f>
        <v>7.4878235406364282E-3</v>
      </c>
      <c r="AA434" s="54">
        <v>0.04</v>
      </c>
      <c r="AB434" s="99">
        <f>IF(V434&gt;0, SQRT(V434/MAX($V$434:$V$481)), -SQRT(V434/MIN($V$434:$V$481)))</f>
        <v>0.73836925584243518</v>
      </c>
      <c r="AC434" s="99">
        <f t="shared" si="52"/>
        <v>365.41067697036772</v>
      </c>
      <c r="AD434" s="99">
        <f>IF(AC434&gt;0,SQRT(AC434/MAX($AC$434:$AC$481)),-SQRT(AC434/MIN($AC$434:$AC$481)))</f>
        <v>0.29729275434736513</v>
      </c>
      <c r="AE434" s="99"/>
    </row>
    <row r="435" spans="15:31" x14ac:dyDescent="0.25">
      <c r="O435" t="s">
        <v>189</v>
      </c>
      <c r="Q435" s="99">
        <v>86.409903134549708</v>
      </c>
      <c r="R435" s="99">
        <v>-352.98791450319544</v>
      </c>
      <c r="T435" s="99">
        <v>36.461532783408252</v>
      </c>
      <c r="U435" s="99">
        <v>22.442947056893125</v>
      </c>
      <c r="V435" s="99">
        <f t="shared" si="50"/>
        <v>14.018585726515127</v>
      </c>
      <c r="W435" t="s">
        <v>569</v>
      </c>
      <c r="X435" s="196">
        <f t="shared" ref="X435:X481" si="54">254.08917796662%/14</f>
        <v>0.18149226997615717</v>
      </c>
      <c r="Y435" s="196">
        <f t="shared" ref="Y435:Y481" si="55">59.165964978196%/14</f>
        <v>4.2261403555854289E-2</v>
      </c>
      <c r="Z435" s="196">
        <f t="shared" ref="Z435:Z481" si="56">10.482952956891%/14</f>
        <v>7.4878235406364282E-3</v>
      </c>
      <c r="AA435" s="54">
        <v>0.04</v>
      </c>
      <c r="AB435" s="99">
        <f t="shared" ref="AB435:AB481" si="57">IF(V435&gt;0, SQRT(V435/MAX($V$434:$V$481)), -SQRT(V435/MIN($V$434:$V$481)))</f>
        <v>0.64907262096947071</v>
      </c>
      <c r="AC435" s="99">
        <f t="shared" si="52"/>
        <v>439.39781763774516</v>
      </c>
      <c r="AD435" s="99">
        <f t="shared" ref="AD435:AD481" si="58">IF(AC435&gt;0,SQRT(AC435/MAX($AC$434:$AC$481)),-SQRT(AC435/MIN($AC$434:$AC$481)))</f>
        <v>0.32600379522035222</v>
      </c>
      <c r="AE435" s="99"/>
    </row>
    <row r="436" spans="15:31" x14ac:dyDescent="0.25">
      <c r="O436" t="s">
        <v>188</v>
      </c>
      <c r="Q436" s="99">
        <v>229.15240425083726</v>
      </c>
      <c r="R436" s="99">
        <v>-252.74350768062141</v>
      </c>
      <c r="T436" s="99">
        <v>37.494511372258415</v>
      </c>
      <c r="U436" s="99">
        <v>29.35752504006178</v>
      </c>
      <c r="V436" s="99">
        <f t="shared" si="50"/>
        <v>8.1369863321966349</v>
      </c>
      <c r="W436" t="s">
        <v>569</v>
      </c>
      <c r="X436" s="196">
        <f t="shared" si="54"/>
        <v>0.18149226997615717</v>
      </c>
      <c r="Y436" s="196">
        <f t="shared" si="55"/>
        <v>4.2261403555854289E-2</v>
      </c>
      <c r="Z436" s="196">
        <f t="shared" si="56"/>
        <v>7.4878235406364282E-3</v>
      </c>
      <c r="AA436" s="54">
        <v>0.04</v>
      </c>
      <c r="AB436" s="99">
        <f t="shared" si="57"/>
        <v>0.49450761365470425</v>
      </c>
      <c r="AC436" s="99">
        <f t="shared" si="52"/>
        <v>481.89591193145867</v>
      </c>
      <c r="AD436" s="99">
        <f t="shared" si="58"/>
        <v>0.34140535533914468</v>
      </c>
      <c r="AE436" s="99"/>
    </row>
    <row r="437" spans="15:31" x14ac:dyDescent="0.25">
      <c r="O437" t="s">
        <v>149</v>
      </c>
      <c r="Q437" s="99">
        <v>299.54235469713785</v>
      </c>
      <c r="R437" s="99">
        <v>-338.71798335765993</v>
      </c>
      <c r="T437" s="99">
        <v>42.026888801037295</v>
      </c>
      <c r="U437" s="99">
        <v>21.304606948907526</v>
      </c>
      <c r="V437" s="99">
        <f t="shared" si="50"/>
        <v>20.722281852129768</v>
      </c>
      <c r="W437" t="s">
        <v>569</v>
      </c>
      <c r="X437" s="196">
        <f t="shared" si="54"/>
        <v>0.18149226997615717</v>
      </c>
      <c r="Y437" s="196">
        <f t="shared" si="55"/>
        <v>4.2261403555854289E-2</v>
      </c>
      <c r="Z437" s="196">
        <f t="shared" si="56"/>
        <v>7.4878235406364282E-3</v>
      </c>
      <c r="AA437" s="54">
        <v>0.04</v>
      </c>
      <c r="AB437" s="99">
        <f t="shared" si="57"/>
        <v>0.78915075713758465</v>
      </c>
      <c r="AC437" s="99">
        <f t="shared" si="52"/>
        <v>638.26033805479778</v>
      </c>
      <c r="AD437" s="99">
        <f t="shared" si="58"/>
        <v>0.39290959734198311</v>
      </c>
      <c r="AE437" s="99"/>
    </row>
    <row r="438" spans="15:31" x14ac:dyDescent="0.25">
      <c r="O438" t="s">
        <v>190</v>
      </c>
      <c r="Q438" s="99">
        <v>394.10484034785253</v>
      </c>
      <c r="R438" s="99">
        <v>-268.47975170988684</v>
      </c>
      <c r="T438" s="99">
        <v>26.528856850892083</v>
      </c>
      <c r="U438" s="99">
        <v>22.591102065422739</v>
      </c>
      <c r="V438" s="99">
        <f t="shared" si="50"/>
        <v>3.9377547854693447</v>
      </c>
      <c r="W438" t="s">
        <v>569</v>
      </c>
      <c r="X438" s="196">
        <f t="shared" si="54"/>
        <v>0.18149226997615717</v>
      </c>
      <c r="Y438" s="196">
        <f t="shared" si="55"/>
        <v>4.2261403555854289E-2</v>
      </c>
      <c r="Z438" s="196">
        <f t="shared" si="56"/>
        <v>7.4878235406364282E-3</v>
      </c>
      <c r="AA438" s="54">
        <v>0.04</v>
      </c>
      <c r="AB438" s="99">
        <f t="shared" si="57"/>
        <v>0.34400560861547319</v>
      </c>
      <c r="AC438" s="99">
        <f t="shared" si="52"/>
        <v>662.58459205773943</v>
      </c>
      <c r="AD438" s="99">
        <f t="shared" si="58"/>
        <v>0.40032653211158542</v>
      </c>
      <c r="AE438" s="99"/>
    </row>
    <row r="439" spans="15:31" x14ac:dyDescent="0.25">
      <c r="O439" t="s">
        <v>191</v>
      </c>
      <c r="Q439" s="99">
        <v>601.51421935120618</v>
      </c>
      <c r="R439" s="99">
        <v>-247.56569840456535</v>
      </c>
      <c r="T439" s="99">
        <v>35.944612701100041</v>
      </c>
      <c r="U439" s="99">
        <v>20.998123892067696</v>
      </c>
      <c r="V439" s="99">
        <f t="shared" si="50"/>
        <v>14.946488809032346</v>
      </c>
      <c r="W439" t="s">
        <v>569</v>
      </c>
      <c r="X439" s="196">
        <f t="shared" si="54"/>
        <v>0.18149226997615717</v>
      </c>
      <c r="Y439" s="196">
        <f t="shared" si="55"/>
        <v>4.2261403555854289E-2</v>
      </c>
      <c r="Z439" s="196">
        <f t="shared" si="56"/>
        <v>7.4878235406364282E-3</v>
      </c>
      <c r="AA439" s="54">
        <v>0.04</v>
      </c>
      <c r="AB439" s="99">
        <f t="shared" si="57"/>
        <v>0.670209809321754</v>
      </c>
      <c r="AC439" s="99">
        <f t="shared" si="52"/>
        <v>849.07991775577148</v>
      </c>
      <c r="AD439" s="99">
        <f t="shared" si="58"/>
        <v>0.45317713847502433</v>
      </c>
      <c r="AE439" s="99"/>
    </row>
    <row r="440" spans="15:31" x14ac:dyDescent="0.25">
      <c r="O440" t="s">
        <v>192</v>
      </c>
      <c r="Q440" s="99">
        <v>325.12935077090475</v>
      </c>
      <c r="R440" s="99">
        <v>-257.94529611119054</v>
      </c>
      <c r="T440" s="99">
        <v>28.243972041691734</v>
      </c>
      <c r="U440" s="99">
        <v>21.618267336926309</v>
      </c>
      <c r="V440" s="99">
        <f t="shared" si="50"/>
        <v>6.6257047047654254</v>
      </c>
      <c r="W440" t="s">
        <v>569</v>
      </c>
      <c r="X440" s="196">
        <f t="shared" si="54"/>
        <v>0.18149226997615717</v>
      </c>
      <c r="Y440" s="196">
        <f t="shared" si="55"/>
        <v>4.2261403555854289E-2</v>
      </c>
      <c r="Z440" s="196">
        <f t="shared" si="56"/>
        <v>7.4878235406364282E-3</v>
      </c>
      <c r="AA440" s="54">
        <v>0.04</v>
      </c>
      <c r="AB440" s="99">
        <f t="shared" si="57"/>
        <v>0.44622842071733493</v>
      </c>
      <c r="AC440" s="99">
        <f t="shared" si="52"/>
        <v>583.07464688209529</v>
      </c>
      <c r="AD440" s="99">
        <f t="shared" si="58"/>
        <v>0.37553964135587303</v>
      </c>
      <c r="AE440" s="99"/>
    </row>
    <row r="441" spans="15:31" x14ac:dyDescent="0.25">
      <c r="O441" t="s">
        <v>193</v>
      </c>
      <c r="Q441" s="99">
        <v>421.97954241379534</v>
      </c>
      <c r="R441" s="99">
        <v>-232.34881679733212</v>
      </c>
      <c r="T441" s="99">
        <v>35.749245425622789</v>
      </c>
      <c r="U441" s="99">
        <v>24.689753356839915</v>
      </c>
      <c r="V441" s="99">
        <f t="shared" si="50"/>
        <v>11.059492068782873</v>
      </c>
      <c r="W441" t="s">
        <v>569</v>
      </c>
      <c r="X441" s="196">
        <f t="shared" si="54"/>
        <v>0.18149226997615717</v>
      </c>
      <c r="Y441" s="196">
        <f t="shared" si="55"/>
        <v>4.2261403555854289E-2</v>
      </c>
      <c r="Z441" s="196">
        <f t="shared" si="56"/>
        <v>7.4878235406364282E-3</v>
      </c>
      <c r="AA441" s="54">
        <v>0.04</v>
      </c>
      <c r="AB441" s="99">
        <f t="shared" si="57"/>
        <v>0.57651256892887537</v>
      </c>
      <c r="AC441" s="99">
        <f t="shared" si="52"/>
        <v>654.32835921112746</v>
      </c>
      <c r="AD441" s="99">
        <f t="shared" si="58"/>
        <v>0.3978245497572685</v>
      </c>
      <c r="AE441" s="99"/>
    </row>
    <row r="442" spans="15:31" x14ac:dyDescent="0.25">
      <c r="O442" t="s">
        <v>194</v>
      </c>
      <c r="Q442" s="99">
        <v>36.324307630056516</v>
      </c>
      <c r="R442" s="99">
        <v>-277.31301235156997</v>
      </c>
      <c r="T442" s="99">
        <v>49.025295813813059</v>
      </c>
      <c r="U442" s="99">
        <v>31.0343684673051</v>
      </c>
      <c r="V442" s="99">
        <f t="shared" si="50"/>
        <v>17.990927346507959</v>
      </c>
      <c r="W442" t="s">
        <v>569</v>
      </c>
      <c r="X442" s="196">
        <f t="shared" si="54"/>
        <v>0.18149226997615717</v>
      </c>
      <c r="Y442" s="196">
        <f t="shared" si="55"/>
        <v>4.2261403555854289E-2</v>
      </c>
      <c r="Z442" s="196">
        <f t="shared" si="56"/>
        <v>7.4878235406364282E-3</v>
      </c>
      <c r="AA442" s="54">
        <v>0.04</v>
      </c>
      <c r="AB442" s="99">
        <f t="shared" si="57"/>
        <v>0.73530575350569449</v>
      </c>
      <c r="AC442" s="99">
        <f t="shared" si="52"/>
        <v>313.63731998162649</v>
      </c>
      <c r="AD442" s="99">
        <f t="shared" si="58"/>
        <v>0.27542767451285471</v>
      </c>
      <c r="AE442" s="99"/>
    </row>
    <row r="443" spans="15:31" x14ac:dyDescent="0.25">
      <c r="O443" t="s">
        <v>196</v>
      </c>
      <c r="Q443" s="99">
        <v>54.35648251264908</v>
      </c>
      <c r="R443" s="99">
        <v>-297.08374699352055</v>
      </c>
      <c r="T443" s="99">
        <v>51.88216406733833</v>
      </c>
      <c r="U443" s="99">
        <v>25.418848414813482</v>
      </c>
      <c r="V443" s="99">
        <f t="shared" si="50"/>
        <v>26.463315652524848</v>
      </c>
      <c r="W443" t="s">
        <v>569</v>
      </c>
      <c r="X443" s="196">
        <f t="shared" si="54"/>
        <v>0.18149226997615717</v>
      </c>
      <c r="Y443" s="196">
        <f t="shared" si="55"/>
        <v>4.2261403555854289E-2</v>
      </c>
      <c r="Z443" s="196">
        <f t="shared" si="56"/>
        <v>7.4878235406364282E-3</v>
      </c>
      <c r="AA443" s="54">
        <v>0.04</v>
      </c>
      <c r="AB443" s="99">
        <f t="shared" si="57"/>
        <v>0.89179147790562685</v>
      </c>
      <c r="AC443" s="99">
        <f t="shared" si="52"/>
        <v>351.44022950616966</v>
      </c>
      <c r="AD443" s="99">
        <f t="shared" si="58"/>
        <v>0.29155429606218536</v>
      </c>
      <c r="AE443" s="99"/>
    </row>
    <row r="444" spans="15:31" x14ac:dyDescent="0.25">
      <c r="O444" t="s">
        <v>197</v>
      </c>
      <c r="Q444" s="99">
        <v>252.42851393385317</v>
      </c>
      <c r="R444" s="99">
        <v>-254.23474948280847</v>
      </c>
      <c r="T444" s="99">
        <v>41.199386363504772</v>
      </c>
      <c r="U444" s="99">
        <v>21.781125089458399</v>
      </c>
      <c r="V444" s="99">
        <f t="shared" si="50"/>
        <v>19.418261274046372</v>
      </c>
      <c r="W444" t="s">
        <v>569</v>
      </c>
      <c r="X444" s="196">
        <f t="shared" si="54"/>
        <v>0.18149226997615717</v>
      </c>
      <c r="Y444" s="196">
        <f t="shared" si="55"/>
        <v>4.2261403555854289E-2</v>
      </c>
      <c r="Z444" s="196">
        <f t="shared" si="56"/>
        <v>7.4878235406364282E-3</v>
      </c>
      <c r="AA444" s="54">
        <v>0.04</v>
      </c>
      <c r="AB444" s="99">
        <f t="shared" si="57"/>
        <v>0.76391732477785312</v>
      </c>
      <c r="AC444" s="99">
        <f t="shared" si="52"/>
        <v>506.66326341666161</v>
      </c>
      <c r="AD444" s="99">
        <f t="shared" si="58"/>
        <v>0.35006880838890514</v>
      </c>
      <c r="AE444" s="99"/>
    </row>
    <row r="445" spans="15:31" x14ac:dyDescent="0.25">
      <c r="O445" t="s">
        <v>198</v>
      </c>
      <c r="Q445" s="99">
        <v>177.79993760328983</v>
      </c>
      <c r="R445" s="99">
        <v>-291.83780459899879</v>
      </c>
      <c r="T445" s="99">
        <v>21.875432368747084</v>
      </c>
      <c r="U445" s="99">
        <v>31.144016839829732</v>
      </c>
      <c r="V445" s="99">
        <f t="shared" si="50"/>
        <v>-9.2685844710826473</v>
      </c>
      <c r="W445" t="s">
        <v>569</v>
      </c>
      <c r="X445" s="196">
        <f t="shared" si="54"/>
        <v>0.18149226997615717</v>
      </c>
      <c r="Y445" s="196">
        <f t="shared" si="55"/>
        <v>4.2261403555854289E-2</v>
      </c>
      <c r="Z445" s="196">
        <f t="shared" si="56"/>
        <v>7.4878235406364282E-3</v>
      </c>
      <c r="AA445" s="54">
        <v>0.04</v>
      </c>
      <c r="AB445" s="99">
        <f t="shared" si="57"/>
        <v>-0.57276512824958536</v>
      </c>
      <c r="AC445" s="99">
        <f t="shared" si="52"/>
        <v>469.63774220228862</v>
      </c>
      <c r="AD445" s="99">
        <f t="shared" si="58"/>
        <v>0.33703515572667131</v>
      </c>
      <c r="AE445" s="99"/>
    </row>
    <row r="446" spans="15:31" x14ac:dyDescent="0.25">
      <c r="O446" t="s">
        <v>195</v>
      </c>
      <c r="Q446" s="99">
        <v>162.83036072184277</v>
      </c>
      <c r="R446" s="99">
        <v>-276.44443709461922</v>
      </c>
      <c r="T446" s="99">
        <v>43.309352367375048</v>
      </c>
      <c r="U446" s="99">
        <v>25.799443526492084</v>
      </c>
      <c r="V446" s="99">
        <f t="shared" si="50"/>
        <v>17.509908840882964</v>
      </c>
      <c r="W446" t="s">
        <v>569</v>
      </c>
      <c r="X446" s="196">
        <f t="shared" si="54"/>
        <v>0.18149226997615717</v>
      </c>
      <c r="Y446" s="196">
        <f t="shared" si="55"/>
        <v>4.2261403555854289E-2</v>
      </c>
      <c r="Z446" s="196">
        <f t="shared" si="56"/>
        <v>7.4878235406364282E-3</v>
      </c>
      <c r="AA446" s="54">
        <v>0.04</v>
      </c>
      <c r="AB446" s="99">
        <f t="shared" si="57"/>
        <v>0.72540932134125835</v>
      </c>
      <c r="AC446" s="99">
        <f t="shared" si="52"/>
        <v>439.27479781646196</v>
      </c>
      <c r="AD446" s="99">
        <f t="shared" si="58"/>
        <v>0.32595815578555098</v>
      </c>
      <c r="AE446" s="99"/>
    </row>
    <row r="447" spans="15:31" x14ac:dyDescent="0.25">
      <c r="O447" t="s">
        <v>199</v>
      </c>
      <c r="Q447" s="99">
        <v>221.82297026185017</v>
      </c>
      <c r="R447" s="99">
        <v>-263.54185310330263</v>
      </c>
      <c r="T447" s="99">
        <v>41.658322462999756</v>
      </c>
      <c r="U447" s="99">
        <v>25.565148381330886</v>
      </c>
      <c r="V447" s="99">
        <f t="shared" si="50"/>
        <v>16.09317408166887</v>
      </c>
      <c r="W447" t="s">
        <v>569</v>
      </c>
      <c r="X447" s="196">
        <f t="shared" si="54"/>
        <v>0.18149226997615717</v>
      </c>
      <c r="Y447" s="196">
        <f t="shared" si="55"/>
        <v>4.2261403555854289E-2</v>
      </c>
      <c r="Z447" s="196">
        <f t="shared" si="56"/>
        <v>7.4878235406364282E-3</v>
      </c>
      <c r="AA447" s="54">
        <v>0.04</v>
      </c>
      <c r="AB447" s="99">
        <f t="shared" si="57"/>
        <v>0.69544380674353701</v>
      </c>
      <c r="AC447" s="99">
        <f t="shared" si="52"/>
        <v>485.3648233651528</v>
      </c>
      <c r="AD447" s="99">
        <f t="shared" si="58"/>
        <v>0.34263194935385444</v>
      </c>
      <c r="AE447" s="99"/>
    </row>
    <row r="448" spans="15:31" x14ac:dyDescent="0.25">
      <c r="O448" t="s">
        <v>157</v>
      </c>
      <c r="Q448" s="99">
        <v>658.65740016836457</v>
      </c>
      <c r="R448" s="99">
        <v>-263.34794609425836</v>
      </c>
      <c r="T448" s="99">
        <v>10.738821829536334</v>
      </c>
      <c r="U448" s="99">
        <v>27.927771425173596</v>
      </c>
      <c r="V448" s="99">
        <f t="shared" si="50"/>
        <v>-17.188949595637261</v>
      </c>
      <c r="W448" t="s">
        <v>569</v>
      </c>
      <c r="X448" s="196">
        <f t="shared" si="54"/>
        <v>0.18149226997615717</v>
      </c>
      <c r="Y448" s="196">
        <f t="shared" si="55"/>
        <v>4.2261403555854289E-2</v>
      </c>
      <c r="Z448" s="196">
        <f t="shared" si="56"/>
        <v>7.4878235406364282E-3</v>
      </c>
      <c r="AA448" s="54">
        <v>0.04</v>
      </c>
      <c r="AB448" s="99">
        <f t="shared" si="57"/>
        <v>-0.77999987261328785</v>
      </c>
      <c r="AC448" s="99">
        <f t="shared" si="52"/>
        <v>922.00534626262288</v>
      </c>
      <c r="AD448" s="99">
        <f t="shared" si="58"/>
        <v>0.47223745301148295</v>
      </c>
      <c r="AE448" s="99"/>
    </row>
    <row r="449" spans="15:31" x14ac:dyDescent="0.25">
      <c r="O449" t="s">
        <v>200</v>
      </c>
      <c r="Q449" s="99">
        <v>316.18642358183547</v>
      </c>
      <c r="R449" s="99">
        <v>-220.75792890835203</v>
      </c>
      <c r="T449" s="99">
        <v>36.053945010998746</v>
      </c>
      <c r="U449" s="99">
        <v>25.358006624861837</v>
      </c>
      <c r="V449" s="99">
        <f t="shared" si="50"/>
        <v>10.695938386136909</v>
      </c>
      <c r="W449" t="s">
        <v>569</v>
      </c>
      <c r="X449" s="196">
        <f t="shared" si="54"/>
        <v>0.18149226997615717</v>
      </c>
      <c r="Y449" s="196">
        <f t="shared" si="55"/>
        <v>4.2261403555854289E-2</v>
      </c>
      <c r="Z449" s="196">
        <f t="shared" si="56"/>
        <v>7.4878235406364282E-3</v>
      </c>
      <c r="AA449" s="54">
        <v>0.04</v>
      </c>
      <c r="AB449" s="99">
        <f t="shared" si="57"/>
        <v>0.56695767080610915</v>
      </c>
      <c r="AC449" s="99">
        <f t="shared" si="52"/>
        <v>536.9443524901875</v>
      </c>
      <c r="AD449" s="99">
        <f t="shared" si="58"/>
        <v>0.36037806382785526</v>
      </c>
      <c r="AE449" s="99"/>
    </row>
    <row r="450" spans="15:31" x14ac:dyDescent="0.25">
      <c r="O450" t="s">
        <v>203</v>
      </c>
      <c r="Q450" s="99">
        <v>256.60989540072165</v>
      </c>
      <c r="R450" s="99">
        <v>-283.81930889909285</v>
      </c>
      <c r="T450" s="99">
        <v>51.001154521653717</v>
      </c>
      <c r="U450" s="99">
        <v>25.157999208212892</v>
      </c>
      <c r="V450" s="99">
        <f t="shared" si="50"/>
        <v>25.843155313440825</v>
      </c>
      <c r="W450" t="s">
        <v>569</v>
      </c>
      <c r="X450" s="196">
        <f t="shared" si="54"/>
        <v>0.18149226997615717</v>
      </c>
      <c r="Y450" s="196">
        <f t="shared" si="55"/>
        <v>4.2261403555854289E-2</v>
      </c>
      <c r="Z450" s="196">
        <f t="shared" si="56"/>
        <v>7.4878235406364282E-3</v>
      </c>
      <c r="AA450" s="54">
        <v>0.04</v>
      </c>
      <c r="AB450" s="99">
        <f t="shared" si="57"/>
        <v>0.88128008907265043</v>
      </c>
      <c r="AC450" s="99">
        <f t="shared" si="52"/>
        <v>540.4292042998145</v>
      </c>
      <c r="AD450" s="99">
        <f t="shared" si="58"/>
        <v>0.36154562713281374</v>
      </c>
      <c r="AE450" s="99"/>
    </row>
    <row r="451" spans="15:31" x14ac:dyDescent="0.25">
      <c r="O451" t="s">
        <v>202</v>
      </c>
      <c r="Q451" s="99">
        <v>233.25502401066953</v>
      </c>
      <c r="R451" s="99">
        <v>-267.29767568202959</v>
      </c>
      <c r="T451" s="99">
        <v>42.32348878352321</v>
      </c>
      <c r="U451" s="99">
        <v>23.151361334399212</v>
      </c>
      <c r="V451" s="99">
        <f t="shared" ref="V451:V514" si="59">T451-U451</f>
        <v>19.172127449123998</v>
      </c>
      <c r="W451" t="s">
        <v>569</v>
      </c>
      <c r="X451" s="196">
        <f t="shared" si="54"/>
        <v>0.18149226997615717</v>
      </c>
      <c r="Y451" s="196">
        <f t="shared" si="55"/>
        <v>4.2261403555854289E-2</v>
      </c>
      <c r="Z451" s="196">
        <f t="shared" si="56"/>
        <v>7.4878235406364282E-3</v>
      </c>
      <c r="AA451" s="54">
        <v>0.04</v>
      </c>
      <c r="AB451" s="99">
        <f t="shared" si="57"/>
        <v>0.75906041401691005</v>
      </c>
      <c r="AC451" s="99">
        <f t="shared" ref="AC451:AC514" si="60">Q451-R451</f>
        <v>500.55269969269909</v>
      </c>
      <c r="AD451" s="99">
        <f t="shared" si="58"/>
        <v>0.3479514192263915</v>
      </c>
      <c r="AE451" s="99"/>
    </row>
    <row r="452" spans="15:31" x14ac:dyDescent="0.25">
      <c r="O452" t="s">
        <v>201</v>
      </c>
      <c r="Q452" s="99">
        <v>480.45982874051464</v>
      </c>
      <c r="R452" s="99">
        <v>-263.73337484819831</v>
      </c>
      <c r="T452" s="99">
        <v>32.966229107621388</v>
      </c>
      <c r="U452" s="99">
        <v>22.761150454836894</v>
      </c>
      <c r="V452" s="99">
        <f t="shared" si="59"/>
        <v>10.205078652784493</v>
      </c>
      <c r="W452" t="s">
        <v>569</v>
      </c>
      <c r="X452" s="196">
        <f t="shared" si="54"/>
        <v>0.18149226997615717</v>
      </c>
      <c r="Y452" s="196">
        <f t="shared" si="55"/>
        <v>4.2261403555854289E-2</v>
      </c>
      <c r="Z452" s="196">
        <f t="shared" si="56"/>
        <v>7.4878235406364282E-3</v>
      </c>
      <c r="AA452" s="54">
        <v>0.04</v>
      </c>
      <c r="AB452" s="99">
        <f t="shared" si="57"/>
        <v>0.55379542985883723</v>
      </c>
      <c r="AC452" s="99">
        <f t="shared" si="60"/>
        <v>744.193203588713</v>
      </c>
      <c r="AD452" s="99">
        <f t="shared" si="58"/>
        <v>0.42426436705434911</v>
      </c>
      <c r="AE452" s="99"/>
    </row>
    <row r="453" spans="15:31" x14ac:dyDescent="0.25">
      <c r="O453" t="s">
        <v>204</v>
      </c>
      <c r="Q453" s="99">
        <v>421.82673836412863</v>
      </c>
      <c r="R453" s="99">
        <v>-245.39690149589691</v>
      </c>
      <c r="T453" s="99">
        <v>32.543786765971227</v>
      </c>
      <c r="U453" s="99">
        <v>25.152967804044103</v>
      </c>
      <c r="V453" s="99">
        <f t="shared" si="59"/>
        <v>7.3908189619271241</v>
      </c>
      <c r="W453" t="s">
        <v>569</v>
      </c>
      <c r="X453" s="196">
        <f t="shared" si="54"/>
        <v>0.18149226997615717</v>
      </c>
      <c r="Y453" s="196">
        <f t="shared" si="55"/>
        <v>4.2261403555854289E-2</v>
      </c>
      <c r="Z453" s="196">
        <f t="shared" si="56"/>
        <v>7.4878235406364282E-3</v>
      </c>
      <c r="AA453" s="54">
        <v>0.04</v>
      </c>
      <c r="AB453" s="99">
        <f t="shared" si="57"/>
        <v>0.47128918248831875</v>
      </c>
      <c r="AC453" s="99">
        <f t="shared" si="60"/>
        <v>667.22363986002551</v>
      </c>
      <c r="AD453" s="99">
        <f t="shared" si="58"/>
        <v>0.40172551921246913</v>
      </c>
      <c r="AE453" s="99"/>
    </row>
    <row r="454" spans="15:31" x14ac:dyDescent="0.25">
      <c r="O454" t="s">
        <v>205</v>
      </c>
      <c r="Q454" s="99">
        <v>97.77185771099316</v>
      </c>
      <c r="R454" s="99">
        <v>-288.52545975040385</v>
      </c>
      <c r="T454" s="99">
        <v>47.387047906449205</v>
      </c>
      <c r="U454" s="99">
        <v>31.905831204606777</v>
      </c>
      <c r="V454" s="99">
        <f t="shared" si="59"/>
        <v>15.481216701842428</v>
      </c>
      <c r="W454" t="s">
        <v>569</v>
      </c>
      <c r="X454" s="196">
        <f t="shared" si="54"/>
        <v>0.18149226997615717</v>
      </c>
      <c r="Y454" s="196">
        <f t="shared" si="55"/>
        <v>4.2261403555854289E-2</v>
      </c>
      <c r="Z454" s="196">
        <f t="shared" si="56"/>
        <v>7.4878235406364282E-3</v>
      </c>
      <c r="AA454" s="54">
        <v>0.04</v>
      </c>
      <c r="AB454" s="99">
        <f t="shared" si="57"/>
        <v>0.68209322244700121</v>
      </c>
      <c r="AC454" s="99">
        <f t="shared" si="60"/>
        <v>386.29731746139703</v>
      </c>
      <c r="AD454" s="99">
        <f t="shared" si="58"/>
        <v>0.30567122284472653</v>
      </c>
      <c r="AE454" s="99"/>
    </row>
    <row r="455" spans="15:31" x14ac:dyDescent="0.25">
      <c r="O455" t="s">
        <v>207</v>
      </c>
      <c r="Q455" s="99">
        <v>214.00678383631509</v>
      </c>
      <c r="R455" s="99">
        <v>-268.15011098079606</v>
      </c>
      <c r="T455" s="99">
        <v>47.558225039652939</v>
      </c>
      <c r="U455" s="99">
        <v>33.863819160724447</v>
      </c>
      <c r="V455" s="99">
        <f t="shared" si="59"/>
        <v>13.694405878928492</v>
      </c>
      <c r="W455" t="s">
        <v>569</v>
      </c>
      <c r="X455" s="196">
        <f t="shared" si="54"/>
        <v>0.18149226997615717</v>
      </c>
      <c r="Y455" s="196">
        <f t="shared" si="55"/>
        <v>4.2261403555854289E-2</v>
      </c>
      <c r="Z455" s="196">
        <f t="shared" si="56"/>
        <v>7.4878235406364282E-3</v>
      </c>
      <c r="AA455" s="54">
        <v>0.04</v>
      </c>
      <c r="AB455" s="99">
        <f t="shared" si="57"/>
        <v>0.64152382079970049</v>
      </c>
      <c r="AC455" s="99">
        <f t="shared" si="60"/>
        <v>482.15689481711115</v>
      </c>
      <c r="AD455" s="99">
        <f t="shared" si="58"/>
        <v>0.34149779116621448</v>
      </c>
      <c r="AE455" s="99"/>
    </row>
    <row r="456" spans="15:31" x14ac:dyDescent="0.25">
      <c r="O456" t="s">
        <v>206</v>
      </c>
      <c r="Q456" s="99">
        <v>184.79290718325723</v>
      </c>
      <c r="R456" s="99">
        <v>-287.1753850272259</v>
      </c>
      <c r="T456" s="99">
        <v>23.119162462886052</v>
      </c>
      <c r="U456" s="99">
        <v>31.909666257657861</v>
      </c>
      <c r="V456" s="99">
        <f t="shared" si="59"/>
        <v>-8.7905037947718085</v>
      </c>
      <c r="W456" t="s">
        <v>569</v>
      </c>
      <c r="X456" s="196">
        <f t="shared" si="54"/>
        <v>0.18149226997615717</v>
      </c>
      <c r="Y456" s="196">
        <f t="shared" si="55"/>
        <v>4.2261403555854289E-2</v>
      </c>
      <c r="Z456" s="196">
        <f t="shared" si="56"/>
        <v>7.4878235406364282E-3</v>
      </c>
      <c r="AA456" s="54">
        <v>0.04</v>
      </c>
      <c r="AB456" s="99">
        <f t="shared" si="57"/>
        <v>-0.55779773393050658</v>
      </c>
      <c r="AC456" s="99">
        <f t="shared" si="60"/>
        <v>471.96829221048313</v>
      </c>
      <c r="AD456" s="99">
        <f t="shared" si="58"/>
        <v>0.3378703795103481</v>
      </c>
      <c r="AE456" s="99"/>
    </row>
    <row r="457" spans="15:31" x14ac:dyDescent="0.25">
      <c r="O457" t="s">
        <v>208</v>
      </c>
      <c r="Q457" s="99">
        <v>175.13282465185441</v>
      </c>
      <c r="R457" s="99">
        <v>-296.4422205578224</v>
      </c>
      <c r="T457" s="99">
        <v>30.503276027120393</v>
      </c>
      <c r="U457" s="99">
        <v>28.104750434500218</v>
      </c>
      <c r="V457" s="99">
        <f t="shared" si="59"/>
        <v>2.3985255926201745</v>
      </c>
      <c r="W457" t="s">
        <v>569</v>
      </c>
      <c r="X457" s="196">
        <f t="shared" si="54"/>
        <v>0.18149226997615717</v>
      </c>
      <c r="Y457" s="196">
        <f t="shared" si="55"/>
        <v>4.2261403555854289E-2</v>
      </c>
      <c r="Z457" s="196">
        <f t="shared" si="56"/>
        <v>7.4878235406364282E-3</v>
      </c>
      <c r="AA457" s="54">
        <v>0.04</v>
      </c>
      <c r="AB457" s="99">
        <f t="shared" si="57"/>
        <v>0.26848088314458407</v>
      </c>
      <c r="AC457" s="99">
        <f t="shared" si="60"/>
        <v>471.57504520967677</v>
      </c>
      <c r="AD457" s="99">
        <f t="shared" si="58"/>
        <v>0.3377295922970539</v>
      </c>
      <c r="AE457" s="99"/>
    </row>
    <row r="458" spans="15:31" x14ac:dyDescent="0.25">
      <c r="O458" t="s">
        <v>211</v>
      </c>
      <c r="Q458" s="99">
        <v>258.42535820273525</v>
      </c>
      <c r="R458" s="99">
        <v>-260.64164963599507</v>
      </c>
      <c r="T458" s="99">
        <v>30.886891613888885</v>
      </c>
      <c r="U458" s="99">
        <v>25.876633377711578</v>
      </c>
      <c r="V458" s="99">
        <f t="shared" si="59"/>
        <v>5.0102582361773074</v>
      </c>
      <c r="W458" t="s">
        <v>569</v>
      </c>
      <c r="X458" s="196">
        <f t="shared" si="54"/>
        <v>0.18149226997615717</v>
      </c>
      <c r="Y458" s="196">
        <f t="shared" si="55"/>
        <v>4.2261403555854289E-2</v>
      </c>
      <c r="Z458" s="196">
        <f t="shared" si="56"/>
        <v>7.4878235406364282E-3</v>
      </c>
      <c r="AA458" s="54">
        <v>0.04</v>
      </c>
      <c r="AB458" s="99">
        <f t="shared" si="57"/>
        <v>0.38803530803509889</v>
      </c>
      <c r="AC458" s="99">
        <f t="shared" si="60"/>
        <v>519.06700783873032</v>
      </c>
      <c r="AD458" s="99">
        <f t="shared" si="58"/>
        <v>0.35432795776668247</v>
      </c>
      <c r="AE458" s="99"/>
    </row>
    <row r="459" spans="15:31" x14ac:dyDescent="0.25">
      <c r="O459" t="s">
        <v>215</v>
      </c>
      <c r="Q459" s="99">
        <v>118.55857090128546</v>
      </c>
      <c r="R459" s="99">
        <v>-347.05745600379845</v>
      </c>
      <c r="T459" s="99">
        <v>38.640878662185877</v>
      </c>
      <c r="U459" s="99">
        <v>24.242007963786868</v>
      </c>
      <c r="V459" s="99">
        <f t="shared" si="59"/>
        <v>14.398870698399008</v>
      </c>
      <c r="W459" t="s">
        <v>569</v>
      </c>
      <c r="X459" s="196">
        <f t="shared" si="54"/>
        <v>0.18149226997615717</v>
      </c>
      <c r="Y459" s="196">
        <f t="shared" si="55"/>
        <v>4.2261403555854289E-2</v>
      </c>
      <c r="Z459" s="196">
        <f t="shared" si="56"/>
        <v>7.4878235406364282E-3</v>
      </c>
      <c r="AA459" s="54">
        <v>0.04</v>
      </c>
      <c r="AB459" s="99">
        <f t="shared" si="57"/>
        <v>0.65781747321093076</v>
      </c>
      <c r="AC459" s="99">
        <f t="shared" si="60"/>
        <v>465.61602690508391</v>
      </c>
      <c r="AD459" s="99">
        <f t="shared" si="58"/>
        <v>0.33558896256478332</v>
      </c>
      <c r="AE459" s="99"/>
    </row>
    <row r="460" spans="15:31" x14ac:dyDescent="0.25">
      <c r="O460" t="s">
        <v>212</v>
      </c>
      <c r="Q460" s="99">
        <v>390.43473603364322</v>
      </c>
      <c r="R460" s="99">
        <v>-262.48129633287198</v>
      </c>
      <c r="T460" s="99">
        <v>42.89751765194346</v>
      </c>
      <c r="U460" s="99">
        <v>20.341080414677464</v>
      </c>
      <c r="V460" s="99">
        <f t="shared" si="59"/>
        <v>22.556437237265996</v>
      </c>
      <c r="W460" t="s">
        <v>569</v>
      </c>
      <c r="X460" s="196">
        <f t="shared" si="54"/>
        <v>0.18149226997615717</v>
      </c>
      <c r="Y460" s="196">
        <f t="shared" si="55"/>
        <v>4.2261403555854289E-2</v>
      </c>
      <c r="Z460" s="196">
        <f t="shared" si="56"/>
        <v>7.4878235406364282E-3</v>
      </c>
      <c r="AA460" s="54">
        <v>0.04</v>
      </c>
      <c r="AB460" s="99">
        <f t="shared" si="57"/>
        <v>0.82333474189405187</v>
      </c>
      <c r="AC460" s="99">
        <f t="shared" si="60"/>
        <v>652.9160323665152</v>
      </c>
      <c r="AD460" s="99">
        <f t="shared" si="58"/>
        <v>0.39739497812492636</v>
      </c>
      <c r="AE460" s="99"/>
    </row>
    <row r="461" spans="15:31" x14ac:dyDescent="0.25">
      <c r="O461" t="s">
        <v>213</v>
      </c>
      <c r="Q461" s="99">
        <v>281.53192999829741</v>
      </c>
      <c r="R461" s="99">
        <v>-246.43747731341259</v>
      </c>
      <c r="T461" s="99">
        <v>38.598999620659434</v>
      </c>
      <c r="U461" s="99">
        <v>21.107260266900056</v>
      </c>
      <c r="V461" s="99">
        <f t="shared" si="59"/>
        <v>17.491739353759378</v>
      </c>
      <c r="W461" t="s">
        <v>569</v>
      </c>
      <c r="X461" s="196">
        <f t="shared" si="54"/>
        <v>0.18149226997615717</v>
      </c>
      <c r="Y461" s="196">
        <f t="shared" si="55"/>
        <v>4.2261403555854289E-2</v>
      </c>
      <c r="Z461" s="196">
        <f t="shared" si="56"/>
        <v>7.4878235406364282E-3</v>
      </c>
      <c r="AA461" s="54">
        <v>0.04</v>
      </c>
      <c r="AB461" s="99">
        <f t="shared" si="57"/>
        <v>0.72503285632310543</v>
      </c>
      <c r="AC461" s="99">
        <f t="shared" si="60"/>
        <v>527.96940731171003</v>
      </c>
      <c r="AD461" s="99">
        <f t="shared" si="58"/>
        <v>0.35735353901632205</v>
      </c>
      <c r="AE461" s="99"/>
    </row>
    <row r="462" spans="15:31" x14ac:dyDescent="0.25">
      <c r="O462" t="s">
        <v>214</v>
      </c>
      <c r="Q462" s="99">
        <v>75.820129341618028</v>
      </c>
      <c r="R462" s="99">
        <v>-269.28120025612003</v>
      </c>
      <c r="T462" s="99">
        <v>50.354162942840077</v>
      </c>
      <c r="U462" s="99">
        <v>32.909100640333449</v>
      </c>
      <c r="V462" s="99">
        <f t="shared" si="59"/>
        <v>17.445062302506628</v>
      </c>
      <c r="W462" t="s">
        <v>569</v>
      </c>
      <c r="X462" s="196">
        <f t="shared" si="54"/>
        <v>0.18149226997615717</v>
      </c>
      <c r="Y462" s="196">
        <f t="shared" si="55"/>
        <v>4.2261403555854289E-2</v>
      </c>
      <c r="Z462" s="196">
        <f t="shared" si="56"/>
        <v>7.4878235406364282E-3</v>
      </c>
      <c r="AA462" s="54">
        <v>0.04</v>
      </c>
      <c r="AB462" s="99">
        <f t="shared" si="57"/>
        <v>0.72406482785666826</v>
      </c>
      <c r="AC462" s="99">
        <f t="shared" si="60"/>
        <v>345.10132959773807</v>
      </c>
      <c r="AD462" s="99">
        <f t="shared" si="58"/>
        <v>0.28891296046734422</v>
      </c>
      <c r="AE462" s="99"/>
    </row>
    <row r="463" spans="15:31" x14ac:dyDescent="0.25">
      <c r="O463" t="s">
        <v>216</v>
      </c>
      <c r="Q463" s="99">
        <v>419.14566308870536</v>
      </c>
      <c r="R463" s="99">
        <v>-218.6693718466079</v>
      </c>
      <c r="T463" s="99">
        <v>32.824399636998201</v>
      </c>
      <c r="U463" s="99">
        <v>17.789280592325888</v>
      </c>
      <c r="V463" s="99">
        <f t="shared" si="59"/>
        <v>15.035119044672314</v>
      </c>
      <c r="W463" t="s">
        <v>569</v>
      </c>
      <c r="X463" s="196">
        <f t="shared" si="54"/>
        <v>0.18149226997615717</v>
      </c>
      <c r="Y463" s="196">
        <f t="shared" si="55"/>
        <v>4.2261403555854289E-2</v>
      </c>
      <c r="Z463" s="196">
        <f t="shared" si="56"/>
        <v>7.4878235406364282E-3</v>
      </c>
      <c r="AA463" s="54">
        <v>0.04</v>
      </c>
      <c r="AB463" s="99">
        <f t="shared" si="57"/>
        <v>0.67219398951529441</v>
      </c>
      <c r="AC463" s="99">
        <f t="shared" si="60"/>
        <v>637.81503493531329</v>
      </c>
      <c r="AD463" s="99">
        <f t="shared" si="58"/>
        <v>0.39277251033618038</v>
      </c>
      <c r="AE463" s="99"/>
    </row>
    <row r="464" spans="15:31" x14ac:dyDescent="0.25">
      <c r="O464" t="s">
        <v>209</v>
      </c>
      <c r="Q464" s="99">
        <v>27.977332016507162</v>
      </c>
      <c r="R464" s="99">
        <v>-282.46750445793191</v>
      </c>
      <c r="T464" s="99">
        <v>46.105614930793493</v>
      </c>
      <c r="U464" s="99">
        <v>27.31488032777763</v>
      </c>
      <c r="V464" s="99">
        <f t="shared" si="59"/>
        <v>18.790734603015864</v>
      </c>
      <c r="W464" t="s">
        <v>569</v>
      </c>
      <c r="X464" s="196">
        <f t="shared" si="54"/>
        <v>0.18149226997615717</v>
      </c>
      <c r="Y464" s="196">
        <f t="shared" si="55"/>
        <v>4.2261403555854289E-2</v>
      </c>
      <c r="Z464" s="196">
        <f t="shared" si="56"/>
        <v>7.4878235406364282E-3</v>
      </c>
      <c r="AA464" s="54">
        <v>0.04</v>
      </c>
      <c r="AB464" s="99">
        <f t="shared" si="57"/>
        <v>0.75147245913077432</v>
      </c>
      <c r="AC464" s="99">
        <f t="shared" si="60"/>
        <v>310.44483647443906</v>
      </c>
      <c r="AD464" s="99">
        <f t="shared" si="58"/>
        <v>0.27402231347013145</v>
      </c>
      <c r="AE464" s="99"/>
    </row>
    <row r="465" spans="15:31" x14ac:dyDescent="0.25">
      <c r="O465" t="s">
        <v>210</v>
      </c>
      <c r="Q465" s="99">
        <v>101.46122926542733</v>
      </c>
      <c r="R465" s="99">
        <v>-287.22876447420111</v>
      </c>
      <c r="T465" s="99">
        <v>25.832655898750915</v>
      </c>
      <c r="U465" s="99">
        <v>31.511439118643892</v>
      </c>
      <c r="V465" s="99">
        <f t="shared" si="59"/>
        <v>-5.6787832198929777</v>
      </c>
      <c r="W465" t="s">
        <v>569</v>
      </c>
      <c r="X465" s="196">
        <f t="shared" si="54"/>
        <v>0.18149226997615717</v>
      </c>
      <c r="Y465" s="196">
        <f t="shared" si="55"/>
        <v>4.2261403555854289E-2</v>
      </c>
      <c r="Z465" s="196">
        <f t="shared" si="56"/>
        <v>7.4878235406364282E-3</v>
      </c>
      <c r="AA465" s="54">
        <v>0.04</v>
      </c>
      <c r="AB465" s="99">
        <f t="shared" si="57"/>
        <v>-0.44832969780260068</v>
      </c>
      <c r="AC465" s="99">
        <f t="shared" si="60"/>
        <v>388.68999373962845</v>
      </c>
      <c r="AD465" s="99">
        <f t="shared" si="58"/>
        <v>0.30661640578797822</v>
      </c>
      <c r="AE465" s="99"/>
    </row>
    <row r="466" spans="15:31" x14ac:dyDescent="0.25">
      <c r="O466" t="s">
        <v>217</v>
      </c>
      <c r="Q466" s="99">
        <v>256.22740222575271</v>
      </c>
      <c r="R466" s="99">
        <v>-277.25839781005044</v>
      </c>
      <c r="T466" s="99">
        <v>26.007997274728353</v>
      </c>
      <c r="U466" s="99">
        <v>24.695161936854241</v>
      </c>
      <c r="V466" s="99">
        <f t="shared" si="59"/>
        <v>1.3128353378741124</v>
      </c>
      <c r="W466" t="s">
        <v>569</v>
      </c>
      <c r="X466" s="196">
        <f t="shared" si="54"/>
        <v>0.18149226997615717</v>
      </c>
      <c r="Y466" s="196">
        <f t="shared" si="55"/>
        <v>4.2261403555854289E-2</v>
      </c>
      <c r="Z466" s="196">
        <f t="shared" si="56"/>
        <v>7.4878235406364282E-3</v>
      </c>
      <c r="AA466" s="54">
        <v>0.04</v>
      </c>
      <c r="AB466" s="99">
        <f t="shared" si="57"/>
        <v>0.19863067498511544</v>
      </c>
      <c r="AC466" s="99">
        <f t="shared" si="60"/>
        <v>533.48580003580309</v>
      </c>
      <c r="AD466" s="99">
        <f t="shared" si="58"/>
        <v>0.3592155597716874</v>
      </c>
      <c r="AE466" s="99"/>
    </row>
    <row r="467" spans="15:31" x14ac:dyDescent="0.25">
      <c r="O467" t="s">
        <v>218</v>
      </c>
      <c r="Q467" s="99">
        <v>48.003204237442226</v>
      </c>
      <c r="R467" s="99">
        <v>-279.58563054514599</v>
      </c>
      <c r="T467" s="99">
        <v>51.624141956719114</v>
      </c>
      <c r="U467" s="99">
        <v>30.345127575244554</v>
      </c>
      <c r="V467" s="99">
        <f t="shared" si="59"/>
        <v>21.27901438147456</v>
      </c>
      <c r="W467" t="s">
        <v>569</v>
      </c>
      <c r="X467" s="196">
        <f t="shared" si="54"/>
        <v>0.18149226997615717</v>
      </c>
      <c r="Y467" s="196">
        <f t="shared" si="55"/>
        <v>4.2261403555854289E-2</v>
      </c>
      <c r="Z467" s="196">
        <f t="shared" si="56"/>
        <v>7.4878235406364282E-3</v>
      </c>
      <c r="AA467" s="54">
        <v>0.04</v>
      </c>
      <c r="AB467" s="99">
        <f t="shared" si="57"/>
        <v>0.79968130535029958</v>
      </c>
      <c r="AC467" s="99">
        <f t="shared" si="60"/>
        <v>327.58883478258821</v>
      </c>
      <c r="AD467" s="99">
        <f t="shared" si="58"/>
        <v>0.28148694254328266</v>
      </c>
      <c r="AE467" s="99"/>
    </row>
    <row r="468" spans="15:31" x14ac:dyDescent="0.25">
      <c r="O468" t="s">
        <v>219</v>
      </c>
      <c r="Q468" s="99">
        <v>44.643258343156333</v>
      </c>
      <c r="R468" s="99">
        <v>-355.25151690024336</v>
      </c>
      <c r="T468" s="99">
        <v>41.974425502411563</v>
      </c>
      <c r="U468" s="99">
        <v>21.23458557820733</v>
      </c>
      <c r="V468" s="99">
        <f t="shared" si="59"/>
        <v>20.739839924204233</v>
      </c>
      <c r="W468" t="s">
        <v>569</v>
      </c>
      <c r="X468" s="196">
        <f t="shared" si="54"/>
        <v>0.18149226997615717</v>
      </c>
      <c r="Y468" s="196">
        <f t="shared" si="55"/>
        <v>4.2261403555854289E-2</v>
      </c>
      <c r="Z468" s="196">
        <f t="shared" si="56"/>
        <v>7.4878235406364282E-3</v>
      </c>
      <c r="AA468" s="54">
        <v>0.04</v>
      </c>
      <c r="AB468" s="99">
        <f t="shared" si="57"/>
        <v>0.78948501164100482</v>
      </c>
      <c r="AC468" s="99">
        <f t="shared" si="60"/>
        <v>399.89477524339969</v>
      </c>
      <c r="AD468" s="99">
        <f t="shared" si="58"/>
        <v>0.31100442854064386</v>
      </c>
      <c r="AE468" s="99"/>
    </row>
    <row r="469" spans="15:31" x14ac:dyDescent="0.25">
      <c r="O469" t="s">
        <v>220</v>
      </c>
      <c r="Q469" s="99">
        <v>386.15190510219384</v>
      </c>
      <c r="R469" s="99">
        <v>-250.03345711231492</v>
      </c>
      <c r="T469" s="99">
        <v>31.484271162176679</v>
      </c>
      <c r="U469" s="99">
        <v>19.852765636590441</v>
      </c>
      <c r="V469" s="99">
        <f t="shared" si="59"/>
        <v>11.631505525586238</v>
      </c>
      <c r="W469" t="s">
        <v>569</v>
      </c>
      <c r="X469" s="196">
        <f t="shared" si="54"/>
        <v>0.18149226997615717</v>
      </c>
      <c r="Y469" s="196">
        <f t="shared" si="55"/>
        <v>4.2261403555854289E-2</v>
      </c>
      <c r="Z469" s="196">
        <f t="shared" si="56"/>
        <v>7.4878235406364282E-3</v>
      </c>
      <c r="AA469" s="54">
        <v>0.04</v>
      </c>
      <c r="AB469" s="99">
        <f t="shared" si="57"/>
        <v>0.59123366507326136</v>
      </c>
      <c r="AC469" s="99">
        <f t="shared" si="60"/>
        <v>636.18536221450881</v>
      </c>
      <c r="AD469" s="99">
        <f t="shared" si="58"/>
        <v>0.39227040548958908</v>
      </c>
      <c r="AE469" s="99"/>
    </row>
    <row r="470" spans="15:31" x14ac:dyDescent="0.25">
      <c r="O470" t="s">
        <v>221</v>
      </c>
      <c r="Q470" s="99">
        <v>888.99751250420036</v>
      </c>
      <c r="R470" s="99">
        <v>-213.22360945781742</v>
      </c>
      <c r="T470" s="99">
        <v>22.958585739394021</v>
      </c>
      <c r="U470" s="99">
        <v>17.211803802793163</v>
      </c>
      <c r="V470" s="99">
        <f t="shared" si="59"/>
        <v>5.7467819366008577</v>
      </c>
      <c r="W470" t="s">
        <v>569</v>
      </c>
      <c r="X470" s="196">
        <f t="shared" si="54"/>
        <v>0.18149226997615717</v>
      </c>
      <c r="Y470" s="196">
        <f t="shared" si="55"/>
        <v>4.2261403555854289E-2</v>
      </c>
      <c r="Z470" s="196">
        <f t="shared" si="56"/>
        <v>7.4878235406364282E-3</v>
      </c>
      <c r="AA470" s="54">
        <v>0.04</v>
      </c>
      <c r="AB470" s="99">
        <f t="shared" si="57"/>
        <v>0.41557895656873978</v>
      </c>
      <c r="AC470" s="99">
        <f t="shared" si="60"/>
        <v>1102.2211219620178</v>
      </c>
      <c r="AD470" s="99">
        <f t="shared" si="58"/>
        <v>0.51633084826102271</v>
      </c>
      <c r="AE470" s="99"/>
    </row>
    <row r="471" spans="15:31" x14ac:dyDescent="0.25">
      <c r="O471" t="s">
        <v>222</v>
      </c>
      <c r="Q471" s="99">
        <v>163.40867318605302</v>
      </c>
      <c r="R471" s="99">
        <v>-253.04439992810441</v>
      </c>
      <c r="T471" s="99">
        <v>46.101958534765657</v>
      </c>
      <c r="U471" s="99">
        <v>25.316003994516606</v>
      </c>
      <c r="V471" s="99">
        <f t="shared" si="59"/>
        <v>20.785954540249051</v>
      </c>
      <c r="W471" t="s">
        <v>569</v>
      </c>
      <c r="X471" s="196">
        <f t="shared" si="54"/>
        <v>0.18149226997615717</v>
      </c>
      <c r="Y471" s="196">
        <f t="shared" si="55"/>
        <v>4.2261403555854289E-2</v>
      </c>
      <c r="Z471" s="196">
        <f t="shared" si="56"/>
        <v>7.4878235406364282E-3</v>
      </c>
      <c r="AA471" s="54">
        <v>0.04</v>
      </c>
      <c r="AB471" s="99">
        <f t="shared" si="57"/>
        <v>0.79036222629984532</v>
      </c>
      <c r="AC471" s="99">
        <f t="shared" si="60"/>
        <v>416.45307311415741</v>
      </c>
      <c r="AD471" s="99">
        <f t="shared" si="58"/>
        <v>0.31737794501924743</v>
      </c>
      <c r="AE471" s="99"/>
    </row>
    <row r="472" spans="15:31" x14ac:dyDescent="0.25">
      <c r="O472" t="s">
        <v>223</v>
      </c>
      <c r="Q472" s="99">
        <v>106.67741034419129</v>
      </c>
      <c r="R472" s="99">
        <v>-272.42487572325456</v>
      </c>
      <c r="T472" s="99">
        <v>55.759797829195975</v>
      </c>
      <c r="U472" s="99">
        <v>27.374543673484972</v>
      </c>
      <c r="V472" s="99">
        <f t="shared" si="59"/>
        <v>28.385254155711003</v>
      </c>
      <c r="W472" t="s">
        <v>569</v>
      </c>
      <c r="X472" s="196">
        <f t="shared" si="54"/>
        <v>0.18149226997615717</v>
      </c>
      <c r="Y472" s="196">
        <f t="shared" si="55"/>
        <v>4.2261403555854289E-2</v>
      </c>
      <c r="Z472" s="196">
        <f t="shared" si="56"/>
        <v>7.4878235406364282E-3</v>
      </c>
      <c r="AA472" s="54">
        <v>0.04</v>
      </c>
      <c r="AB472" s="99">
        <f t="shared" si="57"/>
        <v>0.92360778077499672</v>
      </c>
      <c r="AC472" s="99">
        <f t="shared" si="60"/>
        <v>379.10228606744585</v>
      </c>
      <c r="AD472" s="99">
        <f t="shared" si="58"/>
        <v>0.30281118299411325</v>
      </c>
      <c r="AE472" s="99"/>
    </row>
    <row r="473" spans="15:31" x14ac:dyDescent="0.25">
      <c r="O473" t="s">
        <v>224</v>
      </c>
      <c r="Q473" s="99">
        <v>148.725870363898</v>
      </c>
      <c r="R473" s="99">
        <v>-275.70988286396181</v>
      </c>
      <c r="T473" s="99">
        <v>45.555461399673398</v>
      </c>
      <c r="U473" s="99">
        <v>26.081618392602856</v>
      </c>
      <c r="V473" s="99">
        <f t="shared" si="59"/>
        <v>19.473843007070542</v>
      </c>
      <c r="W473" t="s">
        <v>569</v>
      </c>
      <c r="X473" s="196">
        <f t="shared" si="54"/>
        <v>0.18149226997615717</v>
      </c>
      <c r="Y473" s="196">
        <f t="shared" si="55"/>
        <v>4.2261403555854289E-2</v>
      </c>
      <c r="Z473" s="196">
        <f t="shared" si="56"/>
        <v>7.4878235406364282E-3</v>
      </c>
      <c r="AA473" s="54">
        <v>0.04</v>
      </c>
      <c r="AB473" s="99">
        <f t="shared" si="57"/>
        <v>0.76500984042430031</v>
      </c>
      <c r="AC473" s="99">
        <f t="shared" si="60"/>
        <v>424.43575322785978</v>
      </c>
      <c r="AD473" s="99">
        <f t="shared" si="58"/>
        <v>0.32040529783940502</v>
      </c>
      <c r="AE473" s="99"/>
    </row>
    <row r="474" spans="15:31" x14ac:dyDescent="0.25">
      <c r="O474" t="s">
        <v>225</v>
      </c>
      <c r="Q474" s="99">
        <v>143.6019412728333</v>
      </c>
      <c r="R474" s="99">
        <v>-246.98090136156566</v>
      </c>
      <c r="T474" s="99">
        <v>42.944593069204139</v>
      </c>
      <c r="U474" s="99">
        <v>27.564438861349224</v>
      </c>
      <c r="V474" s="99">
        <f t="shared" si="59"/>
        <v>15.380154207854915</v>
      </c>
      <c r="W474" t="s">
        <v>569</v>
      </c>
      <c r="X474" s="196">
        <f t="shared" si="54"/>
        <v>0.18149226997615717</v>
      </c>
      <c r="Y474" s="196">
        <f t="shared" si="55"/>
        <v>4.2261403555854289E-2</v>
      </c>
      <c r="Z474" s="196">
        <f t="shared" si="56"/>
        <v>7.4878235406364282E-3</v>
      </c>
      <c r="AA474" s="54">
        <v>0.04</v>
      </c>
      <c r="AB474" s="99">
        <f t="shared" si="57"/>
        <v>0.67986320029077707</v>
      </c>
      <c r="AC474" s="99">
        <f t="shared" si="60"/>
        <v>390.58284263439896</v>
      </c>
      <c r="AD474" s="99">
        <f t="shared" si="58"/>
        <v>0.30736208186041292</v>
      </c>
      <c r="AE474" s="99"/>
    </row>
    <row r="475" spans="15:31" x14ac:dyDescent="0.25">
      <c r="O475" t="s">
        <v>226</v>
      </c>
      <c r="Q475" s="99">
        <v>198.46343009835587</v>
      </c>
      <c r="R475" s="99">
        <v>-294.05789102713914</v>
      </c>
      <c r="T475" s="99">
        <v>19.11204919238007</v>
      </c>
      <c r="U475" s="99">
        <v>27.01844025971473</v>
      </c>
      <c r="V475" s="99">
        <f t="shared" si="59"/>
        <v>-7.9063910673346598</v>
      </c>
      <c r="W475" t="s">
        <v>569</v>
      </c>
      <c r="X475" s="196">
        <f t="shared" si="54"/>
        <v>0.18149226997615717</v>
      </c>
      <c r="Y475" s="196">
        <f t="shared" si="55"/>
        <v>4.2261403555854289E-2</v>
      </c>
      <c r="Z475" s="196">
        <f t="shared" si="56"/>
        <v>7.4878235406364282E-3</v>
      </c>
      <c r="AA475" s="54">
        <v>0.04</v>
      </c>
      <c r="AB475" s="99">
        <f t="shared" si="57"/>
        <v>-0.52900406414149181</v>
      </c>
      <c r="AC475" s="99">
        <f t="shared" si="60"/>
        <v>492.52132112549498</v>
      </c>
      <c r="AD475" s="99">
        <f t="shared" si="58"/>
        <v>0.3451486873812748</v>
      </c>
      <c r="AE475" s="99"/>
    </row>
    <row r="476" spans="15:31" x14ac:dyDescent="0.25">
      <c r="O476" t="s">
        <v>228</v>
      </c>
      <c r="Q476" s="99">
        <v>230.84230741176822</v>
      </c>
      <c r="R476" s="99">
        <v>-273.82698680197223</v>
      </c>
      <c r="T476" s="99">
        <v>56.202531087119503</v>
      </c>
      <c r="U476" s="99">
        <v>22.927565012570874</v>
      </c>
      <c r="V476" s="99">
        <f t="shared" si="59"/>
        <v>33.27496607454863</v>
      </c>
      <c r="W476" t="s">
        <v>569</v>
      </c>
      <c r="X476" s="196">
        <f t="shared" si="54"/>
        <v>0.18149226997615717</v>
      </c>
      <c r="Y476" s="196">
        <f t="shared" si="55"/>
        <v>4.2261403555854289E-2</v>
      </c>
      <c r="Z476" s="196">
        <f t="shared" si="56"/>
        <v>7.4878235406364282E-3</v>
      </c>
      <c r="AA476" s="54">
        <v>0.04</v>
      </c>
      <c r="AB476" s="99">
        <f t="shared" si="57"/>
        <v>1</v>
      </c>
      <c r="AC476" s="99">
        <f t="shared" si="60"/>
        <v>504.66929421374044</v>
      </c>
      <c r="AD476" s="99">
        <f t="shared" si="58"/>
        <v>0.34937928282296543</v>
      </c>
      <c r="AE476" s="99"/>
    </row>
    <row r="477" spans="15:31" x14ac:dyDescent="0.25">
      <c r="O477" t="s">
        <v>227</v>
      </c>
      <c r="Q477" s="99">
        <v>289.5416291969787</v>
      </c>
      <c r="R477" s="99">
        <v>-274.6569054402222</v>
      </c>
      <c r="T477" s="99">
        <v>43.320295008317999</v>
      </c>
      <c r="U477" s="99">
        <v>24.802884456752757</v>
      </c>
      <c r="V477" s="99">
        <f t="shared" si="59"/>
        <v>18.517410551565241</v>
      </c>
      <c r="W477" t="s">
        <v>569</v>
      </c>
      <c r="X477" s="196">
        <f t="shared" si="54"/>
        <v>0.18149226997615717</v>
      </c>
      <c r="Y477" s="196">
        <f t="shared" si="55"/>
        <v>4.2261403555854289E-2</v>
      </c>
      <c r="Z477" s="196">
        <f t="shared" si="56"/>
        <v>7.4878235406364282E-3</v>
      </c>
      <c r="AA477" s="54">
        <v>0.04</v>
      </c>
      <c r="AB477" s="99">
        <f t="shared" si="57"/>
        <v>0.74598709924870144</v>
      </c>
      <c r="AC477" s="99">
        <f t="shared" si="60"/>
        <v>564.19853463720096</v>
      </c>
      <c r="AD477" s="99">
        <f t="shared" si="58"/>
        <v>0.36941088244443948</v>
      </c>
      <c r="AE477" s="99"/>
    </row>
    <row r="478" spans="15:31" x14ac:dyDescent="0.25">
      <c r="O478" t="s">
        <v>229</v>
      </c>
      <c r="Q478" s="99">
        <v>142.0678609873938</v>
      </c>
      <c r="R478" s="99">
        <v>-330.36873585102114</v>
      </c>
      <c r="T478" s="99">
        <v>40.838421817011991</v>
      </c>
      <c r="U478" s="99">
        <v>19.065796751973238</v>
      </c>
      <c r="V478" s="99">
        <f t="shared" si="59"/>
        <v>21.772625065038753</v>
      </c>
      <c r="W478" t="s">
        <v>569</v>
      </c>
      <c r="X478" s="196">
        <f t="shared" si="54"/>
        <v>0.18149226997615717</v>
      </c>
      <c r="Y478" s="196">
        <f t="shared" si="55"/>
        <v>4.2261403555854289E-2</v>
      </c>
      <c r="Z478" s="196">
        <f t="shared" si="56"/>
        <v>7.4878235406364282E-3</v>
      </c>
      <c r="AA478" s="54">
        <v>0.04</v>
      </c>
      <c r="AB478" s="99">
        <f t="shared" si="57"/>
        <v>0.80890326105711108</v>
      </c>
      <c r="AC478" s="99">
        <f t="shared" si="60"/>
        <v>472.43659683841497</v>
      </c>
      <c r="AD478" s="99">
        <f t="shared" si="58"/>
        <v>0.33803796177692197</v>
      </c>
      <c r="AE478" s="99"/>
    </row>
    <row r="479" spans="15:31" x14ac:dyDescent="0.25">
      <c r="O479" t="s">
        <v>159</v>
      </c>
      <c r="Q479" s="99">
        <v>3863.7726382539458</v>
      </c>
      <c r="R479" s="99">
        <v>-270.62823372799835</v>
      </c>
      <c r="T479" s="99">
        <v>1.8668067057037661</v>
      </c>
      <c r="U479" s="99">
        <v>29.047225333458819</v>
      </c>
      <c r="V479" s="99">
        <f t="shared" si="59"/>
        <v>-27.180418627755053</v>
      </c>
      <c r="W479" t="s">
        <v>569</v>
      </c>
      <c r="X479" s="196">
        <f t="shared" si="54"/>
        <v>0.18149226997615717</v>
      </c>
      <c r="Y479" s="196">
        <f t="shared" si="55"/>
        <v>4.2261403555854289E-2</v>
      </c>
      <c r="Z479" s="196">
        <f t="shared" si="56"/>
        <v>7.4878235406364282E-3</v>
      </c>
      <c r="AA479" s="54">
        <v>0.04</v>
      </c>
      <c r="AB479" s="99">
        <f t="shared" si="57"/>
        <v>-0.98083946869922345</v>
      </c>
      <c r="AC479" s="99">
        <f t="shared" si="60"/>
        <v>4134.400871981944</v>
      </c>
      <c r="AD479" s="99">
        <f t="shared" si="58"/>
        <v>1</v>
      </c>
      <c r="AE479" s="99"/>
    </row>
    <row r="480" spans="15:31" x14ac:dyDescent="0.25">
      <c r="O480" t="s">
        <v>158</v>
      </c>
      <c r="Q480" s="99">
        <v>271.38177711899169</v>
      </c>
      <c r="R480" s="99">
        <v>-282.16638770301</v>
      </c>
      <c r="T480" s="99">
        <v>26.351264593109335</v>
      </c>
      <c r="U480" s="99">
        <v>27.303687441456312</v>
      </c>
      <c r="V480" s="99">
        <f t="shared" si="59"/>
        <v>-0.95242284834697699</v>
      </c>
      <c r="W480" t="s">
        <v>569</v>
      </c>
      <c r="X480" s="196">
        <f t="shared" si="54"/>
        <v>0.18149226997615717</v>
      </c>
      <c r="Y480" s="196">
        <f t="shared" si="55"/>
        <v>4.2261403555854289E-2</v>
      </c>
      <c r="Z480" s="196">
        <f t="shared" si="56"/>
        <v>7.4878235406364282E-3</v>
      </c>
      <c r="AA480" s="54">
        <v>0.04</v>
      </c>
      <c r="AB480" s="99">
        <f t="shared" si="57"/>
        <v>-0.18360511057795548</v>
      </c>
      <c r="AC480" s="99">
        <f t="shared" si="60"/>
        <v>553.5481648220017</v>
      </c>
      <c r="AD480" s="99">
        <f t="shared" si="58"/>
        <v>0.36590758808876611</v>
      </c>
      <c r="AE480" s="99"/>
    </row>
    <row r="481" spans="15:31" x14ac:dyDescent="0.25">
      <c r="O481" t="s">
        <v>160</v>
      </c>
      <c r="Q481" s="99">
        <v>492.94148646803632</v>
      </c>
      <c r="R481" s="99">
        <v>-329.42610376327241</v>
      </c>
      <c r="T481" s="99">
        <v>14.425772148773646</v>
      </c>
      <c r="U481" s="99">
        <v>42.678492743957491</v>
      </c>
      <c r="V481" s="99">
        <f t="shared" si="59"/>
        <v>-28.252720595183845</v>
      </c>
      <c r="W481" t="s">
        <v>569</v>
      </c>
      <c r="X481" s="196">
        <f t="shared" si="54"/>
        <v>0.18149226997615717</v>
      </c>
      <c r="Y481" s="196">
        <f t="shared" si="55"/>
        <v>4.2261403555854289E-2</v>
      </c>
      <c r="Z481" s="196">
        <f t="shared" si="56"/>
        <v>7.4878235406364282E-3</v>
      </c>
      <c r="AA481" s="54">
        <v>0.04</v>
      </c>
      <c r="AB481" s="99">
        <f t="shared" si="57"/>
        <v>-1</v>
      </c>
      <c r="AC481" s="99">
        <f t="shared" si="60"/>
        <v>822.36759023130867</v>
      </c>
      <c r="AD481" s="99">
        <f t="shared" si="58"/>
        <v>0.44599162286645366</v>
      </c>
      <c r="AE481" s="99"/>
    </row>
    <row r="482" spans="15:31" x14ac:dyDescent="0.25">
      <c r="O482" t="s">
        <v>187</v>
      </c>
      <c r="Q482" s="99">
        <v>439.37916055167307</v>
      </c>
      <c r="R482" s="99">
        <v>-227.94362308157574</v>
      </c>
      <c r="T482" s="99">
        <v>16.799436833090041</v>
      </c>
      <c r="U482" s="99">
        <v>12.212102750608494</v>
      </c>
      <c r="V482" s="99">
        <f t="shared" si="59"/>
        <v>4.5873340824815472</v>
      </c>
      <c r="W482" t="s">
        <v>570</v>
      </c>
      <c r="X482" s="196">
        <f>55.5569954629321%/5</f>
        <v>0.1111139909258642</v>
      </c>
      <c r="Y482" s="196">
        <f>12.9367306162306%/5</f>
        <v>2.5873461232461197E-2</v>
      </c>
      <c r="Z482" s="196">
        <f>2.29211403069136%/5</f>
        <v>4.5842280613827193E-3</v>
      </c>
      <c r="AA482" s="54">
        <v>0.04</v>
      </c>
      <c r="AB482" s="99">
        <f>IF(V482&gt;0, SQRT(V482/MAX($V$482:$V$529)), -SQRT(V482/MIN($V$482:$V$529)))</f>
        <v>0.586574229394622</v>
      </c>
      <c r="AC482" s="99">
        <f t="shared" si="60"/>
        <v>667.32278363324883</v>
      </c>
      <c r="AD482" s="99">
        <f>IF(AC482&gt;0,SQRT(AC482/MAX($AC$482:$AC$529)),-SQRT(AC482/MIN($AC$482:$AC$529)))</f>
        <v>0.48692088043473736</v>
      </c>
      <c r="AE482" s="99"/>
    </row>
    <row r="483" spans="15:31" x14ac:dyDescent="0.25">
      <c r="O483" t="s">
        <v>189</v>
      </c>
      <c r="Q483" s="99">
        <v>537.93549914809989</v>
      </c>
      <c r="R483" s="99">
        <v>-308.66857824201622</v>
      </c>
      <c r="T483" s="99">
        <v>12.755154285432809</v>
      </c>
      <c r="U483" s="99">
        <v>9.0786289159240212</v>
      </c>
      <c r="V483" s="99">
        <f t="shared" si="59"/>
        <v>3.6765253695087878</v>
      </c>
      <c r="W483" t="s">
        <v>570</v>
      </c>
      <c r="X483" s="196">
        <f t="shared" ref="X483:X529" si="61">55.5569954629321%/5</f>
        <v>0.1111139909258642</v>
      </c>
      <c r="Y483" s="196">
        <f t="shared" ref="Y483:Y529" si="62">12.9367306162306%/5</f>
        <v>2.5873461232461197E-2</v>
      </c>
      <c r="Z483" s="196">
        <f t="shared" ref="Z483:Z529" si="63">2.29211403069136%/5</f>
        <v>4.5842280613827193E-3</v>
      </c>
      <c r="AA483" s="54">
        <v>0.04</v>
      </c>
      <c r="AB483" s="99">
        <f t="shared" ref="AB483:AB529" si="64">IF(V483&gt;0, SQRT(V483/MAX($V$482:$V$529)), -SQRT(V483/MIN($V$482:$V$529)))</f>
        <v>0.52512364925362376</v>
      </c>
      <c r="AC483" s="99">
        <f t="shared" si="60"/>
        <v>846.60407739011612</v>
      </c>
      <c r="AD483" s="99">
        <f t="shared" ref="AD483:AD529" si="65">IF(AC483&gt;0,SQRT(AC483/MAX($AC$482:$AC$529)),-SQRT(AC483/MIN($AC$482:$AC$529)))</f>
        <v>0.54844186644703263</v>
      </c>
      <c r="AE483" s="99"/>
    </row>
    <row r="484" spans="15:31" x14ac:dyDescent="0.25">
      <c r="O484" t="s">
        <v>188</v>
      </c>
      <c r="Q484" s="99">
        <v>799.24505480821551</v>
      </c>
      <c r="R484" s="99">
        <v>-217.54879453083089</v>
      </c>
      <c r="T484" s="99">
        <v>11.529104136247458</v>
      </c>
      <c r="U484" s="99">
        <v>11.875716457959903</v>
      </c>
      <c r="V484" s="99">
        <f t="shared" si="59"/>
        <v>-0.34661232171244549</v>
      </c>
      <c r="W484" t="s">
        <v>570</v>
      </c>
      <c r="X484" s="196">
        <f t="shared" si="61"/>
        <v>0.1111139909258642</v>
      </c>
      <c r="Y484" s="196">
        <f t="shared" si="62"/>
        <v>2.5873461232461197E-2</v>
      </c>
      <c r="Z484" s="196">
        <f t="shared" si="63"/>
        <v>4.5842280613827193E-3</v>
      </c>
      <c r="AA484" s="54">
        <v>0.04</v>
      </c>
      <c r="AB484" s="99">
        <f t="shared" si="64"/>
        <v>-0.12912593244111892</v>
      </c>
      <c r="AC484" s="99">
        <f t="shared" si="60"/>
        <v>1016.7938493390463</v>
      </c>
      <c r="AD484" s="99">
        <f t="shared" si="65"/>
        <v>0.60104484613872833</v>
      </c>
      <c r="AE484" s="99"/>
    </row>
    <row r="485" spans="15:31" x14ac:dyDescent="0.25">
      <c r="O485" t="s">
        <v>149</v>
      </c>
      <c r="Q485" s="99">
        <v>698.19119870454563</v>
      </c>
      <c r="R485" s="99">
        <v>-289.1747374728169</v>
      </c>
      <c r="T485" s="99">
        <v>15.859084472625179</v>
      </c>
      <c r="U485" s="99">
        <v>8.6181471710660169</v>
      </c>
      <c r="V485" s="99">
        <f t="shared" si="59"/>
        <v>7.2409373015591623</v>
      </c>
      <c r="W485" t="s">
        <v>570</v>
      </c>
      <c r="X485" s="196">
        <f t="shared" si="61"/>
        <v>0.1111139909258642</v>
      </c>
      <c r="Y485" s="196">
        <f t="shared" si="62"/>
        <v>2.5873461232461197E-2</v>
      </c>
      <c r="Z485" s="196">
        <f t="shared" si="63"/>
        <v>4.5842280613827193E-3</v>
      </c>
      <c r="AA485" s="54">
        <v>0.04</v>
      </c>
      <c r="AB485" s="99">
        <f t="shared" si="64"/>
        <v>0.73695367238183207</v>
      </c>
      <c r="AC485" s="99">
        <f t="shared" si="60"/>
        <v>987.36593617736253</v>
      </c>
      <c r="AD485" s="99">
        <f t="shared" si="65"/>
        <v>0.59228330662736717</v>
      </c>
      <c r="AE485" s="99"/>
    </row>
    <row r="486" spans="15:31" x14ac:dyDescent="0.25">
      <c r="O486" t="s">
        <v>190</v>
      </c>
      <c r="Q486" s="99">
        <v>1263.2263607572106</v>
      </c>
      <c r="R486" s="99">
        <v>-222.43938981032761</v>
      </c>
      <c r="T486" s="99">
        <v>7.6903200556819833</v>
      </c>
      <c r="U486" s="99">
        <v>9.1385606326039337</v>
      </c>
      <c r="V486" s="99">
        <f t="shared" si="59"/>
        <v>-1.4482405769219504</v>
      </c>
      <c r="W486" t="s">
        <v>570</v>
      </c>
      <c r="X486" s="196">
        <f t="shared" si="61"/>
        <v>0.1111139909258642</v>
      </c>
      <c r="Y486" s="196">
        <f t="shared" si="62"/>
        <v>2.5873461232461197E-2</v>
      </c>
      <c r="Z486" s="196">
        <f t="shared" si="63"/>
        <v>4.5842280613827193E-3</v>
      </c>
      <c r="AA486" s="54">
        <v>0.04</v>
      </c>
      <c r="AB486" s="99">
        <f t="shared" si="64"/>
        <v>-0.26394402045018828</v>
      </c>
      <c r="AC486" s="99">
        <f t="shared" si="60"/>
        <v>1485.6657505675382</v>
      </c>
      <c r="AD486" s="99">
        <f t="shared" si="65"/>
        <v>0.72652569411267998</v>
      </c>
      <c r="AE486" s="99"/>
    </row>
    <row r="487" spans="15:31" x14ac:dyDescent="0.25">
      <c r="O487" t="s">
        <v>191</v>
      </c>
      <c r="Q487" s="99">
        <v>1152.8650740261035</v>
      </c>
      <c r="R487" s="99">
        <v>-193.2817273169847</v>
      </c>
      <c r="T487" s="99">
        <v>12.857096629343834</v>
      </c>
      <c r="U487" s="99">
        <v>8.4941685360403554</v>
      </c>
      <c r="V487" s="99">
        <f t="shared" si="59"/>
        <v>4.3629280933034789</v>
      </c>
      <c r="W487" t="s">
        <v>570</v>
      </c>
      <c r="X487" s="196">
        <f t="shared" si="61"/>
        <v>0.1111139909258642</v>
      </c>
      <c r="Y487" s="196">
        <f t="shared" si="62"/>
        <v>2.5873461232461197E-2</v>
      </c>
      <c r="Z487" s="196">
        <f t="shared" si="63"/>
        <v>4.5842280613827193E-3</v>
      </c>
      <c r="AA487" s="54">
        <v>0.04</v>
      </c>
      <c r="AB487" s="99">
        <f t="shared" si="64"/>
        <v>0.57204714379170463</v>
      </c>
      <c r="AC487" s="99">
        <f t="shared" si="60"/>
        <v>1346.1468013430881</v>
      </c>
      <c r="AD487" s="99">
        <f t="shared" si="65"/>
        <v>0.69157077796239297</v>
      </c>
      <c r="AE487" s="99"/>
    </row>
    <row r="488" spans="15:31" x14ac:dyDescent="0.25">
      <c r="O488" t="s">
        <v>192</v>
      </c>
      <c r="Q488" s="99">
        <v>1013.4796820523371</v>
      </c>
      <c r="R488" s="99">
        <v>-210.98420732424921</v>
      </c>
      <c r="T488" s="99">
        <v>8.8088844511956914</v>
      </c>
      <c r="U488" s="99">
        <v>8.7450291826498052</v>
      </c>
      <c r="V488" s="99">
        <f t="shared" si="59"/>
        <v>6.385526854588619E-2</v>
      </c>
      <c r="W488" t="s">
        <v>570</v>
      </c>
      <c r="X488" s="196">
        <f t="shared" si="61"/>
        <v>0.1111139909258642</v>
      </c>
      <c r="Y488" s="196">
        <f t="shared" si="62"/>
        <v>2.5873461232461197E-2</v>
      </c>
      <c r="Z488" s="196">
        <f t="shared" si="63"/>
        <v>4.5842280613827193E-3</v>
      </c>
      <c r="AA488" s="54">
        <v>0.04</v>
      </c>
      <c r="AB488" s="99">
        <f t="shared" si="64"/>
        <v>6.9205587803224583E-2</v>
      </c>
      <c r="AC488" s="99">
        <f t="shared" si="60"/>
        <v>1224.4638893765864</v>
      </c>
      <c r="AD488" s="99">
        <f t="shared" si="65"/>
        <v>0.65957382613066029</v>
      </c>
      <c r="AE488" s="99"/>
    </row>
    <row r="489" spans="15:31" x14ac:dyDescent="0.25">
      <c r="O489" t="s">
        <v>193</v>
      </c>
      <c r="Q489" s="99">
        <v>1009.370911724669</v>
      </c>
      <c r="R489" s="99">
        <v>-187.62475706020217</v>
      </c>
      <c r="T489" s="99">
        <v>11.829178991795715</v>
      </c>
      <c r="U489" s="99">
        <v>9.9875077985176652</v>
      </c>
      <c r="V489" s="99">
        <f t="shared" si="59"/>
        <v>1.8416711932780494</v>
      </c>
      <c r="W489" t="s">
        <v>570</v>
      </c>
      <c r="X489" s="196">
        <f t="shared" si="61"/>
        <v>0.1111139909258642</v>
      </c>
      <c r="Y489" s="196">
        <f t="shared" si="62"/>
        <v>2.5873461232461197E-2</v>
      </c>
      <c r="Z489" s="196">
        <f t="shared" si="63"/>
        <v>4.5842280613827193E-3</v>
      </c>
      <c r="AA489" s="54">
        <v>0.04</v>
      </c>
      <c r="AB489" s="99">
        <f t="shared" si="64"/>
        <v>0.37166258348185488</v>
      </c>
      <c r="AC489" s="99">
        <f t="shared" si="60"/>
        <v>1196.9956687848712</v>
      </c>
      <c r="AD489" s="99">
        <f t="shared" si="65"/>
        <v>0.65213380229777673</v>
      </c>
      <c r="AE489" s="99"/>
    </row>
    <row r="490" spans="15:31" x14ac:dyDescent="0.25">
      <c r="O490" t="s">
        <v>194</v>
      </c>
      <c r="Q490" s="99">
        <v>377.37898749598941</v>
      </c>
      <c r="R490" s="99">
        <v>-245.60872010447787</v>
      </c>
      <c r="T490" s="99">
        <v>16.937359800447322</v>
      </c>
      <c r="U490" s="99">
        <v>12.554033756818065</v>
      </c>
      <c r="V490" s="99">
        <f t="shared" si="59"/>
        <v>4.3833260436292569</v>
      </c>
      <c r="W490" t="s">
        <v>570</v>
      </c>
      <c r="X490" s="196">
        <f t="shared" si="61"/>
        <v>0.1111139909258642</v>
      </c>
      <c r="Y490" s="196">
        <f t="shared" si="62"/>
        <v>2.5873461232461197E-2</v>
      </c>
      <c r="Z490" s="196">
        <f t="shared" si="63"/>
        <v>4.5842280613827193E-3</v>
      </c>
      <c r="AA490" s="54">
        <v>0.04</v>
      </c>
      <c r="AB490" s="99">
        <f t="shared" si="64"/>
        <v>0.57338282733448021</v>
      </c>
      <c r="AC490" s="99">
        <f t="shared" si="60"/>
        <v>622.98770760046727</v>
      </c>
      <c r="AD490" s="99">
        <f t="shared" si="65"/>
        <v>0.47046807780966171</v>
      </c>
      <c r="AE490" s="99"/>
    </row>
    <row r="491" spans="15:31" x14ac:dyDescent="0.25">
      <c r="O491" t="s">
        <v>196</v>
      </c>
      <c r="Q491" s="99">
        <v>340.17359555031982</v>
      </c>
      <c r="R491" s="99">
        <v>-256.89395462602334</v>
      </c>
      <c r="T491" s="99">
        <v>19.791432974719374</v>
      </c>
      <c r="U491" s="99">
        <v>10.282441590367565</v>
      </c>
      <c r="V491" s="99">
        <f t="shared" si="59"/>
        <v>9.508991384351809</v>
      </c>
      <c r="W491" t="s">
        <v>570</v>
      </c>
      <c r="X491" s="196">
        <f t="shared" si="61"/>
        <v>0.1111139909258642</v>
      </c>
      <c r="Y491" s="196">
        <f t="shared" si="62"/>
        <v>2.5873461232461197E-2</v>
      </c>
      <c r="Z491" s="196">
        <f t="shared" si="63"/>
        <v>4.5842280613827193E-3</v>
      </c>
      <c r="AA491" s="54">
        <v>0.04</v>
      </c>
      <c r="AB491" s="99">
        <f t="shared" si="64"/>
        <v>0.84452015905712829</v>
      </c>
      <c r="AC491" s="99">
        <f t="shared" si="60"/>
        <v>597.06755017634316</v>
      </c>
      <c r="AD491" s="99">
        <f t="shared" si="65"/>
        <v>0.4605769044078557</v>
      </c>
      <c r="AE491" s="99"/>
    </row>
    <row r="492" spans="15:31" x14ac:dyDescent="0.25">
      <c r="O492" t="s">
        <v>197</v>
      </c>
      <c r="Q492" s="99">
        <v>658.55911492816642</v>
      </c>
      <c r="R492" s="99">
        <v>-201.90144577125125</v>
      </c>
      <c r="T492" s="99">
        <v>15.315988727636217</v>
      </c>
      <c r="U492" s="99">
        <v>8.8109084585564972</v>
      </c>
      <c r="V492" s="99">
        <f t="shared" si="59"/>
        <v>6.5050802690797198</v>
      </c>
      <c r="W492" t="s">
        <v>570</v>
      </c>
      <c r="X492" s="196">
        <f t="shared" si="61"/>
        <v>0.1111139909258642</v>
      </c>
      <c r="Y492" s="196">
        <f t="shared" si="62"/>
        <v>2.5873461232461197E-2</v>
      </c>
      <c r="Z492" s="196">
        <f t="shared" si="63"/>
        <v>4.5842280613827193E-3</v>
      </c>
      <c r="AA492" s="54">
        <v>0.04</v>
      </c>
      <c r="AB492" s="99">
        <f t="shared" si="64"/>
        <v>0.6985043640693982</v>
      </c>
      <c r="AC492" s="99">
        <f t="shared" si="60"/>
        <v>860.46056069941767</v>
      </c>
      <c r="AD492" s="99">
        <f t="shared" si="65"/>
        <v>0.55291186148816451</v>
      </c>
      <c r="AE492" s="99"/>
    </row>
    <row r="493" spans="15:31" x14ac:dyDescent="0.25">
      <c r="O493" t="s">
        <v>198</v>
      </c>
      <c r="Q493" s="99">
        <v>2296.1540129049581</v>
      </c>
      <c r="R493" s="99">
        <v>-260.94663304185849</v>
      </c>
      <c r="T493" s="99">
        <v>3.1750351914105721</v>
      </c>
      <c r="U493" s="99">
        <v>12.59838875542242</v>
      </c>
      <c r="V493" s="99">
        <f t="shared" si="59"/>
        <v>-9.4233535640118475</v>
      </c>
      <c r="W493" t="s">
        <v>570</v>
      </c>
      <c r="X493" s="196">
        <f t="shared" si="61"/>
        <v>0.1111139909258642</v>
      </c>
      <c r="Y493" s="196">
        <f t="shared" si="62"/>
        <v>2.5873461232461197E-2</v>
      </c>
      <c r="Z493" s="196">
        <f t="shared" si="63"/>
        <v>4.5842280613827193E-3</v>
      </c>
      <c r="AA493" s="54">
        <v>0.04</v>
      </c>
      <c r="AB493" s="99">
        <f t="shared" si="64"/>
        <v>-0.67327767649664738</v>
      </c>
      <c r="AC493" s="99">
        <f t="shared" si="60"/>
        <v>2557.1006459468167</v>
      </c>
      <c r="AD493" s="99">
        <f t="shared" si="65"/>
        <v>0.95315676196887911</v>
      </c>
      <c r="AE493" s="99"/>
    </row>
    <row r="494" spans="15:31" x14ac:dyDescent="0.25">
      <c r="O494" t="s">
        <v>195</v>
      </c>
      <c r="Q494" s="99">
        <v>550.0920656094321</v>
      </c>
      <c r="R494" s="99">
        <v>-236.71209599402644</v>
      </c>
      <c r="T494" s="99">
        <v>15.362415121015243</v>
      </c>
      <c r="U494" s="99">
        <v>10.436400060143644</v>
      </c>
      <c r="V494" s="99">
        <f t="shared" si="59"/>
        <v>4.9260150608715989</v>
      </c>
      <c r="W494" t="s">
        <v>570</v>
      </c>
      <c r="X494" s="196">
        <f t="shared" si="61"/>
        <v>0.1111139909258642</v>
      </c>
      <c r="Y494" s="196">
        <f t="shared" si="62"/>
        <v>2.5873461232461197E-2</v>
      </c>
      <c r="Z494" s="196">
        <f t="shared" si="63"/>
        <v>4.5842280613827193E-3</v>
      </c>
      <c r="AA494" s="54">
        <v>0.04</v>
      </c>
      <c r="AB494" s="99">
        <f t="shared" si="64"/>
        <v>0.60784193890771554</v>
      </c>
      <c r="AC494" s="99">
        <f t="shared" si="60"/>
        <v>786.80416160345851</v>
      </c>
      <c r="AD494" s="99">
        <f t="shared" si="65"/>
        <v>0.52871757437968947</v>
      </c>
      <c r="AE494" s="99"/>
    </row>
    <row r="495" spans="15:31" x14ac:dyDescent="0.25">
      <c r="O495" t="s">
        <v>199</v>
      </c>
      <c r="Q495" s="99">
        <v>651.91740260209008</v>
      </c>
      <c r="R495" s="99">
        <v>-221.79996309268287</v>
      </c>
      <c r="T495" s="99">
        <v>14.590099145127052</v>
      </c>
      <c r="U495" s="99">
        <v>10.341622904793727</v>
      </c>
      <c r="V495" s="99">
        <f t="shared" si="59"/>
        <v>4.2484762403333249</v>
      </c>
      <c r="W495" t="s">
        <v>570</v>
      </c>
      <c r="X495" s="196">
        <f t="shared" si="61"/>
        <v>0.1111139909258642</v>
      </c>
      <c r="Y495" s="196">
        <f t="shared" si="62"/>
        <v>2.5873461232461197E-2</v>
      </c>
      <c r="Z495" s="196">
        <f t="shared" si="63"/>
        <v>4.5842280613827193E-3</v>
      </c>
      <c r="AA495" s="54">
        <v>0.04</v>
      </c>
      <c r="AB495" s="99">
        <f t="shared" si="64"/>
        <v>0.56449407876422319</v>
      </c>
      <c r="AC495" s="99">
        <f t="shared" si="60"/>
        <v>873.71736569477298</v>
      </c>
      <c r="AD495" s="99">
        <f t="shared" si="65"/>
        <v>0.5571548380999175</v>
      </c>
      <c r="AE495" s="99"/>
    </row>
    <row r="496" spans="15:31" x14ac:dyDescent="0.25">
      <c r="O496" t="s">
        <v>157</v>
      </c>
      <c r="Q496" s="99">
        <v>0</v>
      </c>
      <c r="R496" s="99">
        <v>-226.58827510670812</v>
      </c>
      <c r="T496" s="99">
        <v>-1.638938014755837</v>
      </c>
      <c r="U496" s="99">
        <v>11.297352017770034</v>
      </c>
      <c r="V496" s="99">
        <f t="shared" si="59"/>
        <v>-12.936290032525871</v>
      </c>
      <c r="W496" t="s">
        <v>570</v>
      </c>
      <c r="X496" s="196">
        <f t="shared" si="61"/>
        <v>0.1111139909258642</v>
      </c>
      <c r="Y496" s="196">
        <f t="shared" si="62"/>
        <v>2.5873461232461197E-2</v>
      </c>
      <c r="Z496" s="196">
        <f t="shared" si="63"/>
        <v>4.5842280613827193E-3</v>
      </c>
      <c r="AA496" s="54">
        <v>0.04</v>
      </c>
      <c r="AB496" s="99">
        <f t="shared" si="64"/>
        <v>-0.78885347669363959</v>
      </c>
      <c r="AC496" s="99">
        <f t="shared" si="60"/>
        <v>226.58827510670812</v>
      </c>
      <c r="AD496" s="99">
        <f t="shared" si="65"/>
        <v>0.28373253544923976</v>
      </c>
      <c r="AE496" s="99"/>
    </row>
    <row r="497" spans="15:31" x14ac:dyDescent="0.25">
      <c r="O497" t="s">
        <v>200</v>
      </c>
      <c r="Q497" s="99">
        <v>865.92072228591576</v>
      </c>
      <c r="R497" s="99">
        <v>-177.95422531945317</v>
      </c>
      <c r="T497" s="99">
        <v>11.814173297853511</v>
      </c>
      <c r="U497" s="99">
        <v>10.257829847883333</v>
      </c>
      <c r="V497" s="99">
        <f t="shared" si="59"/>
        <v>1.5563434499701785</v>
      </c>
      <c r="W497" t="s">
        <v>570</v>
      </c>
      <c r="X497" s="196">
        <f t="shared" si="61"/>
        <v>0.1111139909258642</v>
      </c>
      <c r="Y497" s="196">
        <f t="shared" si="62"/>
        <v>2.5873461232461197E-2</v>
      </c>
      <c r="Z497" s="196">
        <f t="shared" si="63"/>
        <v>4.5842280613827193E-3</v>
      </c>
      <c r="AA497" s="54">
        <v>0.04</v>
      </c>
      <c r="AB497" s="99">
        <f t="shared" si="64"/>
        <v>0.34166108442700738</v>
      </c>
      <c r="AC497" s="99">
        <f t="shared" si="60"/>
        <v>1043.874947605369</v>
      </c>
      <c r="AD497" s="99">
        <f t="shared" si="65"/>
        <v>0.60899630793116433</v>
      </c>
      <c r="AE497" s="99"/>
    </row>
    <row r="498" spans="15:31" x14ac:dyDescent="0.25">
      <c r="O498" t="s">
        <v>203</v>
      </c>
      <c r="Q498" s="99">
        <v>573.22757331621142</v>
      </c>
      <c r="R498" s="99">
        <v>-242.74910693477955</v>
      </c>
      <c r="T498" s="99">
        <v>19.41107846973161</v>
      </c>
      <c r="U498" s="99">
        <v>10.176922776651324</v>
      </c>
      <c r="V498" s="99">
        <f t="shared" si="59"/>
        <v>9.2341556930802859</v>
      </c>
      <c r="W498" t="s">
        <v>570</v>
      </c>
      <c r="X498" s="196">
        <f t="shared" si="61"/>
        <v>0.1111139909258642</v>
      </c>
      <c r="Y498" s="196">
        <f t="shared" si="62"/>
        <v>2.5873461232461197E-2</v>
      </c>
      <c r="Z498" s="196">
        <f t="shared" si="63"/>
        <v>4.5842280613827193E-3</v>
      </c>
      <c r="AA498" s="54">
        <v>0.04</v>
      </c>
      <c r="AB498" s="99">
        <f t="shared" si="64"/>
        <v>0.83222621184560697</v>
      </c>
      <c r="AC498" s="99">
        <f t="shared" si="60"/>
        <v>815.97668025099097</v>
      </c>
      <c r="AD498" s="99">
        <f t="shared" si="65"/>
        <v>0.53843005724838422</v>
      </c>
      <c r="AE498" s="99"/>
    </row>
    <row r="499" spans="15:31" x14ac:dyDescent="0.25">
      <c r="O499" t="s">
        <v>202</v>
      </c>
      <c r="Q499" s="99">
        <v>627.54005284312939</v>
      </c>
      <c r="R499" s="99">
        <v>-220.42015182729679</v>
      </c>
      <c r="T499" s="99">
        <v>15.539555070762406</v>
      </c>
      <c r="U499" s="99">
        <v>9.3651969111127364</v>
      </c>
      <c r="V499" s="99">
        <f t="shared" si="59"/>
        <v>6.1743581596496693</v>
      </c>
      <c r="W499" t="s">
        <v>570</v>
      </c>
      <c r="X499" s="196">
        <f t="shared" si="61"/>
        <v>0.1111139909258642</v>
      </c>
      <c r="Y499" s="196">
        <f t="shared" si="62"/>
        <v>2.5873461232461197E-2</v>
      </c>
      <c r="Z499" s="196">
        <f t="shared" si="63"/>
        <v>4.5842280613827193E-3</v>
      </c>
      <c r="AA499" s="54">
        <v>0.04</v>
      </c>
      <c r="AB499" s="99">
        <f t="shared" si="64"/>
        <v>0.68051656785437253</v>
      </c>
      <c r="AC499" s="99">
        <f t="shared" si="60"/>
        <v>847.96020467042615</v>
      </c>
      <c r="AD499" s="99">
        <f t="shared" si="65"/>
        <v>0.54888094971472634</v>
      </c>
      <c r="AE499" s="99"/>
    </row>
    <row r="500" spans="15:31" x14ac:dyDescent="0.25">
      <c r="O500" t="s">
        <v>201</v>
      </c>
      <c r="Q500" s="99">
        <v>1134.8970940609079</v>
      </c>
      <c r="R500" s="99">
        <v>-215.41884627481028</v>
      </c>
      <c r="T500" s="99">
        <v>10.904223205647622</v>
      </c>
      <c r="U500" s="99">
        <v>9.207348667496511</v>
      </c>
      <c r="V500" s="99">
        <f t="shared" si="59"/>
        <v>1.6968745381511106</v>
      </c>
      <c r="W500" t="s">
        <v>570</v>
      </c>
      <c r="X500" s="196">
        <f t="shared" si="61"/>
        <v>0.1111139909258642</v>
      </c>
      <c r="Y500" s="196">
        <f t="shared" si="62"/>
        <v>2.5873461232461197E-2</v>
      </c>
      <c r="Z500" s="196">
        <f t="shared" si="63"/>
        <v>4.5842280613827193E-3</v>
      </c>
      <c r="AA500" s="54">
        <v>0.04</v>
      </c>
      <c r="AB500" s="99">
        <f t="shared" si="64"/>
        <v>0.35675302180399654</v>
      </c>
      <c r="AC500" s="99">
        <f t="shared" si="60"/>
        <v>1350.3159403357181</v>
      </c>
      <c r="AD500" s="99">
        <f t="shared" si="65"/>
        <v>0.69264087883050207</v>
      </c>
      <c r="AE500" s="99"/>
    </row>
    <row r="501" spans="15:31" x14ac:dyDescent="0.25">
      <c r="O501" t="s">
        <v>204</v>
      </c>
      <c r="Q501" s="99">
        <v>1129.8495963950693</v>
      </c>
      <c r="R501" s="99">
        <v>-202.30382558718529</v>
      </c>
      <c r="T501" s="99">
        <v>10.081577497172248</v>
      </c>
      <c r="U501" s="99">
        <v>10.174887471249637</v>
      </c>
      <c r="V501" s="99">
        <f t="shared" si="59"/>
        <v>-9.3309974077389057E-2</v>
      </c>
      <c r="W501" t="s">
        <v>570</v>
      </c>
      <c r="X501" s="196">
        <f t="shared" si="61"/>
        <v>0.1111139909258642</v>
      </c>
      <c r="Y501" s="196">
        <f t="shared" si="62"/>
        <v>2.5873461232461197E-2</v>
      </c>
      <c r="Z501" s="196">
        <f t="shared" si="63"/>
        <v>4.5842280613827193E-3</v>
      </c>
      <c r="AA501" s="54">
        <v>0.04</v>
      </c>
      <c r="AB501" s="99">
        <f t="shared" si="64"/>
        <v>-6.6997023157276528E-2</v>
      </c>
      <c r="AC501" s="99">
        <f t="shared" si="60"/>
        <v>1332.1534219822545</v>
      </c>
      <c r="AD501" s="99">
        <f t="shared" si="65"/>
        <v>0.6879669015807105</v>
      </c>
      <c r="AE501" s="99"/>
    </row>
    <row r="502" spans="15:31" x14ac:dyDescent="0.25">
      <c r="O502" t="s">
        <v>205</v>
      </c>
      <c r="Q502" s="99">
        <v>477.88936360965124</v>
      </c>
      <c r="R502" s="99">
        <v>-258.63267367580187</v>
      </c>
      <c r="T502" s="99">
        <v>15.871229188772983</v>
      </c>
      <c r="U502" s="99">
        <v>12.906558172883447</v>
      </c>
      <c r="V502" s="99">
        <f t="shared" si="59"/>
        <v>2.964671015889536</v>
      </c>
      <c r="W502" t="s">
        <v>570</v>
      </c>
      <c r="X502" s="196">
        <f t="shared" si="61"/>
        <v>0.1111139909258642</v>
      </c>
      <c r="Y502" s="196">
        <f t="shared" si="62"/>
        <v>2.5873461232461197E-2</v>
      </c>
      <c r="Z502" s="196">
        <f t="shared" si="63"/>
        <v>4.5842280613827193E-3</v>
      </c>
      <c r="AA502" s="54">
        <v>0.04</v>
      </c>
      <c r="AB502" s="99">
        <f t="shared" si="64"/>
        <v>0.47155358140615794</v>
      </c>
      <c r="AC502" s="99">
        <f t="shared" si="60"/>
        <v>736.52203728545305</v>
      </c>
      <c r="AD502" s="99">
        <f t="shared" si="65"/>
        <v>0.51154435342029903</v>
      </c>
      <c r="AE502" s="99"/>
    </row>
    <row r="503" spans="15:31" x14ac:dyDescent="0.25">
      <c r="O503" t="s">
        <v>207</v>
      </c>
      <c r="Q503" s="99">
        <v>629.74677206017486</v>
      </c>
      <c r="R503" s="99">
        <v>-240.76583327218978</v>
      </c>
      <c r="T503" s="99">
        <v>15.479044689481938</v>
      </c>
      <c r="U503" s="99">
        <v>13.698604156433582</v>
      </c>
      <c r="V503" s="99">
        <f t="shared" si="59"/>
        <v>1.7804405330483561</v>
      </c>
      <c r="W503" t="s">
        <v>570</v>
      </c>
      <c r="X503" s="196">
        <f t="shared" si="61"/>
        <v>0.1111139909258642</v>
      </c>
      <c r="Y503" s="196">
        <f t="shared" si="62"/>
        <v>2.5873461232461197E-2</v>
      </c>
      <c r="Z503" s="196">
        <f t="shared" si="63"/>
        <v>4.5842280613827193E-3</v>
      </c>
      <c r="AA503" s="54">
        <v>0.04</v>
      </c>
      <c r="AB503" s="99">
        <f t="shared" si="64"/>
        <v>0.36543196251333349</v>
      </c>
      <c r="AC503" s="99">
        <f t="shared" si="60"/>
        <v>870.51260533236461</v>
      </c>
      <c r="AD503" s="99">
        <f t="shared" si="65"/>
        <v>0.55613208855286778</v>
      </c>
      <c r="AE503" s="99"/>
    </row>
    <row r="504" spans="15:31" x14ac:dyDescent="0.25">
      <c r="O504" t="s">
        <v>206</v>
      </c>
      <c r="Q504" s="99">
        <v>1988.2336446428667</v>
      </c>
      <c r="R504" s="99">
        <v>-258.63278012941595</v>
      </c>
      <c r="T504" s="99">
        <v>3.6110264743609548</v>
      </c>
      <c r="U504" s="99">
        <v>12.908109529905989</v>
      </c>
      <c r="V504" s="99">
        <f t="shared" si="59"/>
        <v>-9.2970830555450341</v>
      </c>
      <c r="W504" t="s">
        <v>570</v>
      </c>
      <c r="X504" s="196">
        <f t="shared" si="61"/>
        <v>0.1111139909258642</v>
      </c>
      <c r="Y504" s="196">
        <f t="shared" si="62"/>
        <v>2.5873461232461197E-2</v>
      </c>
      <c r="Z504" s="196">
        <f t="shared" si="63"/>
        <v>4.5842280613827193E-3</v>
      </c>
      <c r="AA504" s="54">
        <v>0.04</v>
      </c>
      <c r="AB504" s="99">
        <f t="shared" si="64"/>
        <v>-0.66875158961324832</v>
      </c>
      <c r="AC504" s="99">
        <f t="shared" si="60"/>
        <v>2246.8664247722827</v>
      </c>
      <c r="AD504" s="99">
        <f t="shared" si="65"/>
        <v>0.89346809648634329</v>
      </c>
      <c r="AE504" s="99"/>
    </row>
    <row r="505" spans="15:31" x14ac:dyDescent="0.25">
      <c r="O505" t="s">
        <v>208</v>
      </c>
      <c r="Q505" s="99">
        <v>875.7846718753766</v>
      </c>
      <c r="R505" s="99">
        <v>-265.07319530847894</v>
      </c>
      <c r="T505" s="99">
        <v>8.2999485451684869</v>
      </c>
      <c r="U505" s="99">
        <v>11.368943629491582</v>
      </c>
      <c r="V505" s="99">
        <f t="shared" si="59"/>
        <v>-3.0689950843230953</v>
      </c>
      <c r="W505" t="s">
        <v>570</v>
      </c>
      <c r="X505" s="196">
        <f t="shared" si="61"/>
        <v>0.1111139909258642</v>
      </c>
      <c r="Y505" s="196">
        <f t="shared" si="62"/>
        <v>2.5873461232461197E-2</v>
      </c>
      <c r="Z505" s="196">
        <f t="shared" si="63"/>
        <v>4.5842280613827193E-3</v>
      </c>
      <c r="AA505" s="54">
        <v>0.04</v>
      </c>
      <c r="AB505" s="99">
        <f t="shared" si="64"/>
        <v>-0.38422849383318941</v>
      </c>
      <c r="AC505" s="99">
        <f t="shared" si="60"/>
        <v>1140.8578671838554</v>
      </c>
      <c r="AD505" s="99">
        <f t="shared" si="65"/>
        <v>0.63665798889570913</v>
      </c>
      <c r="AE505" s="99"/>
    </row>
    <row r="506" spans="15:31" x14ac:dyDescent="0.25">
      <c r="O506" t="s">
        <v>211</v>
      </c>
      <c r="Q506" s="99">
        <v>978.98081863508071</v>
      </c>
      <c r="R506" s="99">
        <v>-220.0837525229941</v>
      </c>
      <c r="T506" s="99">
        <v>9.0627899565756707</v>
      </c>
      <c r="U506" s="99">
        <v>10.467624926179319</v>
      </c>
      <c r="V506" s="99">
        <f t="shared" si="59"/>
        <v>-1.4048349696036482</v>
      </c>
      <c r="W506" t="s">
        <v>570</v>
      </c>
      <c r="X506" s="196">
        <f t="shared" si="61"/>
        <v>0.1111139909258642</v>
      </c>
      <c r="Y506" s="196">
        <f t="shared" si="62"/>
        <v>2.5873461232461197E-2</v>
      </c>
      <c r="Z506" s="196">
        <f t="shared" si="63"/>
        <v>4.5842280613827193E-3</v>
      </c>
      <c r="AA506" s="54">
        <v>0.04</v>
      </c>
      <c r="AB506" s="99">
        <f t="shared" si="64"/>
        <v>-0.25995856240654003</v>
      </c>
      <c r="AC506" s="99">
        <f t="shared" si="60"/>
        <v>1199.0645711580748</v>
      </c>
      <c r="AD506" s="99">
        <f t="shared" si="65"/>
        <v>0.65269713711827904</v>
      </c>
      <c r="AE506" s="99"/>
    </row>
    <row r="507" spans="15:31" x14ac:dyDescent="0.25">
      <c r="O507" t="s">
        <v>215</v>
      </c>
      <c r="Q507" s="99">
        <v>574.37287692034556</v>
      </c>
      <c r="R507" s="99">
        <v>-305.2958157683629</v>
      </c>
      <c r="T507" s="99">
        <v>13.399437676831509</v>
      </c>
      <c r="U507" s="99">
        <v>9.8063856730660248</v>
      </c>
      <c r="V507" s="99">
        <f t="shared" si="59"/>
        <v>3.5930520037654841</v>
      </c>
      <c r="W507" t="s">
        <v>570</v>
      </c>
      <c r="X507" s="196">
        <f t="shared" si="61"/>
        <v>0.1111139909258642</v>
      </c>
      <c r="Y507" s="196">
        <f t="shared" si="62"/>
        <v>2.5873461232461197E-2</v>
      </c>
      <c r="Z507" s="196">
        <f t="shared" si="63"/>
        <v>4.5842280613827193E-3</v>
      </c>
      <c r="AA507" s="54">
        <v>0.04</v>
      </c>
      <c r="AB507" s="99">
        <f t="shared" si="64"/>
        <v>0.51912810935359688</v>
      </c>
      <c r="AC507" s="99">
        <f t="shared" si="60"/>
        <v>879.66869268870846</v>
      </c>
      <c r="AD507" s="99">
        <f t="shared" si="65"/>
        <v>0.55904914825925944</v>
      </c>
      <c r="AE507" s="99"/>
    </row>
    <row r="508" spans="15:31" x14ac:dyDescent="0.25">
      <c r="O508" t="s">
        <v>212</v>
      </c>
      <c r="Q508" s="99">
        <v>737.60044253122396</v>
      </c>
      <c r="R508" s="99">
        <v>-211.84400723428155</v>
      </c>
      <c r="T508" s="99">
        <v>16.535957129050967</v>
      </c>
      <c r="U508" s="99">
        <v>8.2283810751630888</v>
      </c>
      <c r="V508" s="99">
        <f t="shared" si="59"/>
        <v>8.3075760538878782</v>
      </c>
      <c r="W508" t="s">
        <v>570</v>
      </c>
      <c r="X508" s="196">
        <f t="shared" si="61"/>
        <v>0.1111139909258642</v>
      </c>
      <c r="Y508" s="196">
        <f t="shared" si="62"/>
        <v>2.5873461232461197E-2</v>
      </c>
      <c r="Z508" s="196">
        <f t="shared" si="63"/>
        <v>4.5842280613827193E-3</v>
      </c>
      <c r="AA508" s="54">
        <v>0.04</v>
      </c>
      <c r="AB508" s="99">
        <f t="shared" si="64"/>
        <v>0.78936879997989196</v>
      </c>
      <c r="AC508" s="99">
        <f t="shared" si="60"/>
        <v>949.44444976550551</v>
      </c>
      <c r="AD508" s="99">
        <f t="shared" si="65"/>
        <v>0.58079812049880419</v>
      </c>
      <c r="AE508" s="99"/>
    </row>
    <row r="509" spans="15:31" x14ac:dyDescent="0.25">
      <c r="O509" t="s">
        <v>213</v>
      </c>
      <c r="Q509" s="99">
        <v>722.9246937462724</v>
      </c>
      <c r="R509" s="99">
        <v>-192.2914093906947</v>
      </c>
      <c r="T509" s="99">
        <v>14.173117195755289</v>
      </c>
      <c r="U509" s="99">
        <v>8.5383164211563525</v>
      </c>
      <c r="V509" s="99">
        <f t="shared" si="59"/>
        <v>5.6348007745989364</v>
      </c>
      <c r="W509" t="s">
        <v>570</v>
      </c>
      <c r="X509" s="196">
        <f t="shared" si="61"/>
        <v>0.1111139909258642</v>
      </c>
      <c r="Y509" s="196">
        <f t="shared" si="62"/>
        <v>2.5873461232461197E-2</v>
      </c>
      <c r="Z509" s="196">
        <f t="shared" si="63"/>
        <v>4.5842280613827193E-3</v>
      </c>
      <c r="AA509" s="54">
        <v>0.04</v>
      </c>
      <c r="AB509" s="99">
        <f t="shared" si="64"/>
        <v>0.65010286007751894</v>
      </c>
      <c r="AC509" s="99">
        <f t="shared" si="60"/>
        <v>915.21610313696715</v>
      </c>
      <c r="AD509" s="99">
        <f t="shared" si="65"/>
        <v>0.57023287121146404</v>
      </c>
      <c r="AE509" s="99"/>
    </row>
    <row r="510" spans="15:31" x14ac:dyDescent="0.25">
      <c r="O510" t="s">
        <v>214</v>
      </c>
      <c r="Q510" s="99">
        <v>407.56842800724019</v>
      </c>
      <c r="R510" s="99">
        <v>-241.25171221282613</v>
      </c>
      <c r="T510" s="99">
        <v>17.129752620233887</v>
      </c>
      <c r="U510" s="99">
        <v>13.312401081417732</v>
      </c>
      <c r="V510" s="99">
        <f t="shared" si="59"/>
        <v>3.8173515388161547</v>
      </c>
      <c r="W510" t="s">
        <v>570</v>
      </c>
      <c r="X510" s="196">
        <f t="shared" si="61"/>
        <v>0.1111139909258642</v>
      </c>
      <c r="Y510" s="196">
        <f t="shared" si="62"/>
        <v>2.5873461232461197E-2</v>
      </c>
      <c r="Z510" s="196">
        <f t="shared" si="63"/>
        <v>4.5842280613827193E-3</v>
      </c>
      <c r="AA510" s="54">
        <v>0.04</v>
      </c>
      <c r="AB510" s="99">
        <f t="shared" si="64"/>
        <v>0.5350863493717084</v>
      </c>
      <c r="AC510" s="99">
        <f t="shared" si="60"/>
        <v>648.82014022006638</v>
      </c>
      <c r="AD510" s="99">
        <f t="shared" si="65"/>
        <v>0.48012308006349264</v>
      </c>
      <c r="AE510" s="99"/>
    </row>
    <row r="511" spans="15:31" x14ac:dyDescent="0.25">
      <c r="O511" t="s">
        <v>216</v>
      </c>
      <c r="Q511" s="99">
        <v>931.5555905245601</v>
      </c>
      <c r="R511" s="99">
        <v>-153.27102716027568</v>
      </c>
      <c r="T511" s="99">
        <v>12.090210406052009</v>
      </c>
      <c r="U511" s="99">
        <v>7.1961261045425804</v>
      </c>
      <c r="V511" s="99">
        <f t="shared" si="59"/>
        <v>4.8940843015094284</v>
      </c>
      <c r="W511" t="s">
        <v>570</v>
      </c>
      <c r="X511" s="196">
        <f t="shared" si="61"/>
        <v>0.1111139909258642</v>
      </c>
      <c r="Y511" s="196">
        <f t="shared" si="62"/>
        <v>2.5873461232461197E-2</v>
      </c>
      <c r="Z511" s="196">
        <f t="shared" si="63"/>
        <v>4.5842280613827193E-3</v>
      </c>
      <c r="AA511" s="54">
        <v>0.04</v>
      </c>
      <c r="AB511" s="99">
        <f t="shared" si="64"/>
        <v>0.60586869997440551</v>
      </c>
      <c r="AC511" s="99">
        <f t="shared" si="60"/>
        <v>1084.8266176848358</v>
      </c>
      <c r="AD511" s="99">
        <f t="shared" si="65"/>
        <v>0.62082698899123689</v>
      </c>
      <c r="AE511" s="99"/>
    </row>
    <row r="512" spans="15:31" x14ac:dyDescent="0.25">
      <c r="O512" t="s">
        <v>209</v>
      </c>
      <c r="Q512" s="99">
        <v>355.7902034007551</v>
      </c>
      <c r="R512" s="99">
        <v>-247.16687003546545</v>
      </c>
      <c r="T512" s="99">
        <v>16.400879276687274</v>
      </c>
      <c r="U512" s="99">
        <v>11.049425093332438</v>
      </c>
      <c r="V512" s="99">
        <f t="shared" si="59"/>
        <v>5.3514541833548357</v>
      </c>
      <c r="W512" t="s">
        <v>570</v>
      </c>
      <c r="X512" s="196">
        <f t="shared" si="61"/>
        <v>0.1111139909258642</v>
      </c>
      <c r="Y512" s="196">
        <f t="shared" si="62"/>
        <v>2.5873461232461197E-2</v>
      </c>
      <c r="Z512" s="196">
        <f t="shared" si="63"/>
        <v>4.5842280613827193E-3</v>
      </c>
      <c r="AA512" s="54">
        <v>0.04</v>
      </c>
      <c r="AB512" s="99">
        <f t="shared" si="64"/>
        <v>0.63354679705573325</v>
      </c>
      <c r="AC512" s="99">
        <f t="shared" si="60"/>
        <v>602.95707343622053</v>
      </c>
      <c r="AD512" s="99">
        <f t="shared" si="65"/>
        <v>0.46284291426431146</v>
      </c>
      <c r="AE512" s="99"/>
    </row>
    <row r="513" spans="15:31" x14ac:dyDescent="0.25">
      <c r="O513" t="s">
        <v>210</v>
      </c>
      <c r="Q513" s="99">
        <v>1289.2242664029659</v>
      </c>
      <c r="R513" s="99">
        <v>-257.71653619728392</v>
      </c>
      <c r="T513" s="99">
        <v>5.0724499178683189</v>
      </c>
      <c r="U513" s="99">
        <v>12.747018546168746</v>
      </c>
      <c r="V513" s="99">
        <f t="shared" si="59"/>
        <v>-7.6745686283004275</v>
      </c>
      <c r="W513" t="s">
        <v>570</v>
      </c>
      <c r="X513" s="196">
        <f t="shared" si="61"/>
        <v>0.1111139909258642</v>
      </c>
      <c r="Y513" s="196">
        <f t="shared" si="62"/>
        <v>2.5873461232461197E-2</v>
      </c>
      <c r="Z513" s="196">
        <f t="shared" si="63"/>
        <v>4.5842280613827193E-3</v>
      </c>
      <c r="AA513" s="54">
        <v>0.04</v>
      </c>
      <c r="AB513" s="99">
        <f t="shared" si="64"/>
        <v>-0.60760097065627194</v>
      </c>
      <c r="AC513" s="99">
        <f t="shared" si="60"/>
        <v>1546.9408026002498</v>
      </c>
      <c r="AD513" s="99">
        <f t="shared" si="65"/>
        <v>0.74135679007806377</v>
      </c>
      <c r="AE513" s="99"/>
    </row>
    <row r="514" spans="15:31" x14ac:dyDescent="0.25">
      <c r="O514" t="s">
        <v>217</v>
      </c>
      <c r="Q514" s="99">
        <v>1213.3068577874835</v>
      </c>
      <c r="R514" s="99">
        <v>-234.64937623053757</v>
      </c>
      <c r="T514" s="99">
        <v>6.8971800790181064</v>
      </c>
      <c r="U514" s="99">
        <v>9.9896956792263616</v>
      </c>
      <c r="V514" s="99">
        <f t="shared" si="59"/>
        <v>-3.0925156002082552</v>
      </c>
      <c r="W514" t="s">
        <v>570</v>
      </c>
      <c r="X514" s="196">
        <f t="shared" si="61"/>
        <v>0.1111139909258642</v>
      </c>
      <c r="Y514" s="196">
        <f t="shared" si="62"/>
        <v>2.5873461232461197E-2</v>
      </c>
      <c r="Z514" s="196">
        <f t="shared" si="63"/>
        <v>4.5842280613827193E-3</v>
      </c>
      <c r="AA514" s="54">
        <v>0.04</v>
      </c>
      <c r="AB514" s="99">
        <f t="shared" si="64"/>
        <v>-0.385698030765872</v>
      </c>
      <c r="AC514" s="99">
        <f t="shared" si="60"/>
        <v>1447.9562340180212</v>
      </c>
      <c r="AD514" s="99">
        <f t="shared" si="65"/>
        <v>0.71724600805636674</v>
      </c>
      <c r="AE514" s="99"/>
    </row>
    <row r="515" spans="15:31" x14ac:dyDescent="0.25">
      <c r="O515" t="s">
        <v>218</v>
      </c>
      <c r="Q515" s="99">
        <v>343.90323929996322</v>
      </c>
      <c r="R515" s="99">
        <v>-249.03622640576927</v>
      </c>
      <c r="T515" s="99">
        <v>18.421568691886471</v>
      </c>
      <c r="U515" s="99">
        <v>12.275221786320792</v>
      </c>
      <c r="V515" s="99">
        <f t="shared" ref="V515:V578" si="66">T515-U515</f>
        <v>6.1463469055656788</v>
      </c>
      <c r="W515" t="s">
        <v>570</v>
      </c>
      <c r="X515" s="196">
        <f t="shared" si="61"/>
        <v>0.1111139909258642</v>
      </c>
      <c r="Y515" s="196">
        <f t="shared" si="62"/>
        <v>2.5873461232461197E-2</v>
      </c>
      <c r="Z515" s="196">
        <f t="shared" si="63"/>
        <v>4.5842280613827193E-3</v>
      </c>
      <c r="AA515" s="54">
        <v>0.04</v>
      </c>
      <c r="AB515" s="99">
        <f t="shared" si="64"/>
        <v>0.678971160947755</v>
      </c>
      <c r="AC515" s="99">
        <f t="shared" ref="AC515:AC578" si="67">Q515-R515</f>
        <v>592.93946570573246</v>
      </c>
      <c r="AD515" s="99">
        <f t="shared" si="65"/>
        <v>0.45898194405402698</v>
      </c>
      <c r="AE515" s="99"/>
    </row>
    <row r="516" spans="15:31" x14ac:dyDescent="0.25">
      <c r="O516" t="s">
        <v>219</v>
      </c>
      <c r="Q516" s="99">
        <v>367.27305643123253</v>
      </c>
      <c r="R516" s="99">
        <v>-311.85998656950051</v>
      </c>
      <c r="T516" s="99">
        <v>15.845393016633253</v>
      </c>
      <c r="U516" s="99">
        <v>8.5898221013164964</v>
      </c>
      <c r="V516" s="99">
        <f t="shared" si="66"/>
        <v>7.2555709153167562</v>
      </c>
      <c r="W516" t="s">
        <v>570</v>
      </c>
      <c r="X516" s="196">
        <f t="shared" si="61"/>
        <v>0.1111139909258642</v>
      </c>
      <c r="Y516" s="196">
        <f t="shared" si="62"/>
        <v>2.5873461232461197E-2</v>
      </c>
      <c r="Z516" s="196">
        <f t="shared" si="63"/>
        <v>4.5842280613827193E-3</v>
      </c>
      <c r="AA516" s="54">
        <v>0.04</v>
      </c>
      <c r="AB516" s="99">
        <f t="shared" si="64"/>
        <v>0.73769797189741004</v>
      </c>
      <c r="AC516" s="99">
        <f t="shared" si="67"/>
        <v>679.1330430007331</v>
      </c>
      <c r="AD516" s="99">
        <f t="shared" si="65"/>
        <v>0.49121073907529156</v>
      </c>
      <c r="AE516" s="99"/>
    </row>
    <row r="517" spans="15:31" x14ac:dyDescent="0.25">
      <c r="O517" t="s">
        <v>220</v>
      </c>
      <c r="Q517" s="99">
        <v>985.02442256078712</v>
      </c>
      <c r="R517" s="99">
        <v>-192.31680962520682</v>
      </c>
      <c r="T517" s="99">
        <v>10.891671343245678</v>
      </c>
      <c r="U517" s="99">
        <v>8.0308478076659391</v>
      </c>
      <c r="V517" s="99">
        <f t="shared" si="66"/>
        <v>2.8608235355797387</v>
      </c>
      <c r="W517" t="s">
        <v>570</v>
      </c>
      <c r="X517" s="196">
        <f t="shared" si="61"/>
        <v>0.1111139909258642</v>
      </c>
      <c r="Y517" s="196">
        <f t="shared" si="62"/>
        <v>2.5873461232461197E-2</v>
      </c>
      <c r="Z517" s="196">
        <f t="shared" si="63"/>
        <v>4.5842280613827193E-3</v>
      </c>
      <c r="AA517" s="54">
        <v>0.04</v>
      </c>
      <c r="AB517" s="99">
        <f t="shared" si="64"/>
        <v>0.46322109502138531</v>
      </c>
      <c r="AC517" s="99">
        <f t="shared" si="67"/>
        <v>1177.3412321859939</v>
      </c>
      <c r="AD517" s="99">
        <f t="shared" si="65"/>
        <v>0.64675768702093683</v>
      </c>
      <c r="AE517" s="99"/>
    </row>
    <row r="518" spans="15:31" x14ac:dyDescent="0.25">
      <c r="O518" t="s">
        <v>221</v>
      </c>
      <c r="Q518" s="99">
        <v>1980.6500085721677</v>
      </c>
      <c r="R518" s="99">
        <v>-142.05175361062024</v>
      </c>
      <c r="T518" s="99">
        <v>7.2503808187427055</v>
      </c>
      <c r="U518" s="99">
        <v>6.9625249885021461</v>
      </c>
      <c r="V518" s="99">
        <f t="shared" si="66"/>
        <v>0.28785583024055938</v>
      </c>
      <c r="W518" t="s">
        <v>570</v>
      </c>
      <c r="X518" s="196">
        <f t="shared" si="61"/>
        <v>0.1111139909258642</v>
      </c>
      <c r="Y518" s="196">
        <f t="shared" si="62"/>
        <v>2.5873461232461197E-2</v>
      </c>
      <c r="Z518" s="196">
        <f t="shared" si="63"/>
        <v>4.5842280613827193E-3</v>
      </c>
      <c r="AA518" s="54">
        <v>0.04</v>
      </c>
      <c r="AB518" s="99">
        <f t="shared" si="64"/>
        <v>0.14693670912494644</v>
      </c>
      <c r="AC518" s="99">
        <f t="shared" si="67"/>
        <v>2122.7017621827881</v>
      </c>
      <c r="AD518" s="99">
        <f t="shared" si="65"/>
        <v>0.86843018935832972</v>
      </c>
      <c r="AE518" s="99"/>
    </row>
    <row r="519" spans="15:31" x14ac:dyDescent="0.25">
      <c r="O519" t="s">
        <v>222</v>
      </c>
      <c r="Q519" s="99">
        <v>512.51090382789573</v>
      </c>
      <c r="R519" s="99">
        <v>-211.26267826194027</v>
      </c>
      <c r="T519" s="99">
        <v>16.905608974525496</v>
      </c>
      <c r="U519" s="99">
        <v>10.240838928935379</v>
      </c>
      <c r="V519" s="99">
        <f t="shared" si="66"/>
        <v>6.6647700455901173</v>
      </c>
      <c r="W519" t="s">
        <v>570</v>
      </c>
      <c r="X519" s="196">
        <f t="shared" si="61"/>
        <v>0.1111139909258642</v>
      </c>
      <c r="Y519" s="196">
        <f t="shared" si="62"/>
        <v>2.5873461232461197E-2</v>
      </c>
      <c r="Z519" s="196">
        <f t="shared" si="63"/>
        <v>4.5842280613827193E-3</v>
      </c>
      <c r="AA519" s="54">
        <v>0.04</v>
      </c>
      <c r="AB519" s="99">
        <f t="shared" si="64"/>
        <v>0.70702599010551037</v>
      </c>
      <c r="AC519" s="99">
        <f t="shared" si="67"/>
        <v>723.77358208983605</v>
      </c>
      <c r="AD519" s="99">
        <f t="shared" si="65"/>
        <v>0.50709786943247381</v>
      </c>
      <c r="AE519" s="99"/>
    </row>
    <row r="520" spans="15:31" x14ac:dyDescent="0.25">
      <c r="O520" t="s">
        <v>223</v>
      </c>
      <c r="Q520" s="99">
        <v>370.84182992228949</v>
      </c>
      <c r="R520" s="99">
        <v>-236.23081618527888</v>
      </c>
      <c r="T520" s="99">
        <v>21.256733684594607</v>
      </c>
      <c r="U520" s="99">
        <v>11.073560131132343</v>
      </c>
      <c r="V520" s="99">
        <f t="shared" si="66"/>
        <v>10.183173553462264</v>
      </c>
      <c r="W520" t="s">
        <v>570</v>
      </c>
      <c r="X520" s="196">
        <f t="shared" si="61"/>
        <v>0.1111139909258642</v>
      </c>
      <c r="Y520" s="196">
        <f t="shared" si="62"/>
        <v>2.5873461232461197E-2</v>
      </c>
      <c r="Z520" s="196">
        <f t="shared" si="63"/>
        <v>4.5842280613827193E-3</v>
      </c>
      <c r="AA520" s="54">
        <v>0.04</v>
      </c>
      <c r="AB520" s="99">
        <f t="shared" si="64"/>
        <v>0.87394553253131413</v>
      </c>
      <c r="AC520" s="99">
        <f t="shared" si="67"/>
        <v>607.0726461075684</v>
      </c>
      <c r="AD520" s="99">
        <f t="shared" si="65"/>
        <v>0.46441982935241771</v>
      </c>
      <c r="AE520" s="99"/>
    </row>
    <row r="521" spans="15:31" x14ac:dyDescent="0.25">
      <c r="O521" t="s">
        <v>224</v>
      </c>
      <c r="Q521" s="99">
        <v>517.8113168104652</v>
      </c>
      <c r="R521" s="99">
        <v>-235.26665786230222</v>
      </c>
      <c r="T521" s="99">
        <v>16.433640299729717</v>
      </c>
      <c r="U521" s="99">
        <v>10.550545537220522</v>
      </c>
      <c r="V521" s="99">
        <f t="shared" si="66"/>
        <v>5.8830947625091952</v>
      </c>
      <c r="W521" t="s">
        <v>570</v>
      </c>
      <c r="X521" s="196">
        <f t="shared" si="61"/>
        <v>0.1111139909258642</v>
      </c>
      <c r="Y521" s="196">
        <f t="shared" si="62"/>
        <v>2.5873461232461197E-2</v>
      </c>
      <c r="Z521" s="196">
        <f t="shared" si="63"/>
        <v>4.5842280613827193E-3</v>
      </c>
      <c r="AA521" s="54">
        <v>0.04</v>
      </c>
      <c r="AB521" s="99">
        <f t="shared" si="64"/>
        <v>0.6642716468462857</v>
      </c>
      <c r="AC521" s="99">
        <f t="shared" si="67"/>
        <v>753.07797467276737</v>
      </c>
      <c r="AD521" s="99">
        <f t="shared" si="65"/>
        <v>0.51726178626803976</v>
      </c>
      <c r="AE521" s="99"/>
    </row>
    <row r="522" spans="15:31" x14ac:dyDescent="0.25">
      <c r="O522" t="s">
        <v>225</v>
      </c>
      <c r="Q522" s="99">
        <v>555.38687625403497</v>
      </c>
      <c r="R522" s="99">
        <v>-208.55588367469562</v>
      </c>
      <c r="T522" s="99">
        <v>14.738558092270438</v>
      </c>
      <c r="U522" s="99">
        <v>11.150376599984178</v>
      </c>
      <c r="V522" s="99">
        <f t="shared" si="66"/>
        <v>3.5881814922862603</v>
      </c>
      <c r="W522" t="s">
        <v>570</v>
      </c>
      <c r="X522" s="196">
        <f t="shared" si="61"/>
        <v>0.1111139909258642</v>
      </c>
      <c r="Y522" s="196">
        <f t="shared" si="62"/>
        <v>2.5873461232461197E-2</v>
      </c>
      <c r="Z522" s="196">
        <f t="shared" si="63"/>
        <v>4.5842280613827193E-3</v>
      </c>
      <c r="AA522" s="54">
        <v>0.04</v>
      </c>
      <c r="AB522" s="99">
        <f t="shared" si="64"/>
        <v>0.51877614160649987</v>
      </c>
      <c r="AC522" s="99">
        <f t="shared" si="67"/>
        <v>763.94275992873054</v>
      </c>
      <c r="AD522" s="99">
        <f t="shared" si="65"/>
        <v>0.52097973671776177</v>
      </c>
      <c r="AE522" s="99"/>
    </row>
    <row r="523" spans="15:31" x14ac:dyDescent="0.25">
      <c r="O523" t="s">
        <v>226</v>
      </c>
      <c r="Q523" s="99">
        <v>2558.1134253621813</v>
      </c>
      <c r="R523" s="99">
        <v>-256.50259628877717</v>
      </c>
      <c r="T523" s="99">
        <v>2.8201846368157817</v>
      </c>
      <c r="U523" s="99">
        <v>10.929509051694421</v>
      </c>
      <c r="V523" s="99">
        <f t="shared" si="66"/>
        <v>-8.109324414878639</v>
      </c>
      <c r="W523" t="s">
        <v>570</v>
      </c>
      <c r="X523" s="196">
        <f t="shared" si="61"/>
        <v>0.1111139909258642</v>
      </c>
      <c r="Y523" s="196">
        <f t="shared" si="62"/>
        <v>2.5873461232461197E-2</v>
      </c>
      <c r="Z523" s="196">
        <f t="shared" si="63"/>
        <v>4.5842280613827193E-3</v>
      </c>
      <c r="AA523" s="54">
        <v>0.04</v>
      </c>
      <c r="AB523" s="99">
        <f t="shared" si="64"/>
        <v>-0.62457386778572543</v>
      </c>
      <c r="AC523" s="99">
        <f t="shared" si="67"/>
        <v>2814.6160216509584</v>
      </c>
      <c r="AD523" s="99">
        <f t="shared" si="65"/>
        <v>1</v>
      </c>
      <c r="AE523" s="99"/>
    </row>
    <row r="524" spans="15:31" x14ac:dyDescent="0.25">
      <c r="O524" t="s">
        <v>228</v>
      </c>
      <c r="Q524" s="99">
        <v>491.19408356502214</v>
      </c>
      <c r="R524" s="99">
        <v>-226.56179941546657</v>
      </c>
      <c r="T524" s="99">
        <v>22.607253312461161</v>
      </c>
      <c r="U524" s="99">
        <v>9.274666743506959</v>
      </c>
      <c r="V524" s="99">
        <f t="shared" si="66"/>
        <v>13.332586568954202</v>
      </c>
      <c r="W524" t="s">
        <v>570</v>
      </c>
      <c r="X524" s="196">
        <f t="shared" si="61"/>
        <v>0.1111139909258642</v>
      </c>
      <c r="Y524" s="196">
        <f t="shared" si="62"/>
        <v>2.5873461232461197E-2</v>
      </c>
      <c r="Z524" s="196">
        <f t="shared" si="63"/>
        <v>4.5842280613827193E-3</v>
      </c>
      <c r="AA524" s="54">
        <v>0.04</v>
      </c>
      <c r="AB524" s="99">
        <f t="shared" si="64"/>
        <v>1</v>
      </c>
      <c r="AC524" s="99">
        <f t="shared" si="67"/>
        <v>717.75588298048865</v>
      </c>
      <c r="AD524" s="99">
        <f t="shared" si="65"/>
        <v>0.50498537741104987</v>
      </c>
      <c r="AE524" s="99"/>
    </row>
    <row r="525" spans="15:31" x14ac:dyDescent="0.25">
      <c r="O525" t="s">
        <v>227</v>
      </c>
      <c r="Q525" s="99">
        <v>684.25251520346023</v>
      </c>
      <c r="R525" s="99">
        <v>-233.28754516679996</v>
      </c>
      <c r="T525" s="99">
        <v>15.626561318461523</v>
      </c>
      <c r="U525" s="99">
        <v>10.033271631242275</v>
      </c>
      <c r="V525" s="99">
        <f t="shared" si="66"/>
        <v>5.5932896872192472</v>
      </c>
      <c r="W525" t="s">
        <v>570</v>
      </c>
      <c r="X525" s="196">
        <f t="shared" si="61"/>
        <v>0.1111139909258642</v>
      </c>
      <c r="Y525" s="196">
        <f t="shared" si="62"/>
        <v>2.5873461232461197E-2</v>
      </c>
      <c r="Z525" s="196">
        <f t="shared" si="63"/>
        <v>4.5842280613827193E-3</v>
      </c>
      <c r="AA525" s="54">
        <v>0.04</v>
      </c>
      <c r="AB525" s="99">
        <f t="shared" si="64"/>
        <v>0.64770380788470283</v>
      </c>
      <c r="AC525" s="99">
        <f t="shared" si="67"/>
        <v>917.54006037026022</v>
      </c>
      <c r="AD525" s="99">
        <f t="shared" si="65"/>
        <v>0.57095639247488839</v>
      </c>
      <c r="AE525" s="99"/>
    </row>
    <row r="526" spans="15:31" x14ac:dyDescent="0.25">
      <c r="O526" t="s">
        <v>229</v>
      </c>
      <c r="Q526" s="99">
        <v>509.33865104604632</v>
      </c>
      <c r="R526" s="99">
        <v>-273.24016706291764</v>
      </c>
      <c r="T526" s="99">
        <v>15.819887976058244</v>
      </c>
      <c r="U526" s="99">
        <v>7.7125028749034659</v>
      </c>
      <c r="V526" s="99">
        <f t="shared" si="66"/>
        <v>8.1073851011547777</v>
      </c>
      <c r="W526" t="s">
        <v>570</v>
      </c>
      <c r="X526" s="196">
        <f t="shared" si="61"/>
        <v>0.1111139909258642</v>
      </c>
      <c r="Y526" s="196">
        <f t="shared" si="62"/>
        <v>2.5873461232461197E-2</v>
      </c>
      <c r="Z526" s="196">
        <f t="shared" si="63"/>
        <v>4.5842280613827193E-3</v>
      </c>
      <c r="AA526" s="54">
        <v>0.04</v>
      </c>
      <c r="AB526" s="99">
        <f t="shared" si="64"/>
        <v>0.77979993586020468</v>
      </c>
      <c r="AC526" s="99">
        <f t="shared" si="67"/>
        <v>782.57881810896401</v>
      </c>
      <c r="AD526" s="99">
        <f t="shared" si="65"/>
        <v>0.5272959876229546</v>
      </c>
      <c r="AE526" s="99"/>
    </row>
    <row r="527" spans="15:31" x14ac:dyDescent="0.25">
      <c r="O527" t="s">
        <v>159</v>
      </c>
      <c r="Q527" s="99">
        <v>0</v>
      </c>
      <c r="R527" s="99">
        <v>-236.06559968950583</v>
      </c>
      <c r="T527" s="99">
        <v>-6.4097252415369965</v>
      </c>
      <c r="U527" s="99">
        <v>11.750193910416261</v>
      </c>
      <c r="V527" s="99">
        <f t="shared" si="66"/>
        <v>-18.159919151953257</v>
      </c>
      <c r="W527" t="s">
        <v>570</v>
      </c>
      <c r="X527" s="196">
        <f t="shared" si="61"/>
        <v>0.1111139909258642</v>
      </c>
      <c r="Y527" s="196">
        <f t="shared" si="62"/>
        <v>2.5873461232461197E-2</v>
      </c>
      <c r="Z527" s="196">
        <f t="shared" si="63"/>
        <v>4.5842280613827193E-3</v>
      </c>
      <c r="AA527" s="54">
        <v>0.04</v>
      </c>
      <c r="AB527" s="99">
        <f t="shared" si="64"/>
        <v>-0.93464874534563047</v>
      </c>
      <c r="AC527" s="99">
        <f t="shared" si="67"/>
        <v>236.06559968950583</v>
      </c>
      <c r="AD527" s="99">
        <f t="shared" si="65"/>
        <v>0.28960547946407766</v>
      </c>
      <c r="AE527" s="99"/>
    </row>
    <row r="528" spans="15:31" x14ac:dyDescent="0.25">
      <c r="O528" t="s">
        <v>158</v>
      </c>
      <c r="Q528" s="99">
        <v>1328.8659841650931</v>
      </c>
      <c r="R528" s="99">
        <v>-245.64079601391572</v>
      </c>
      <c r="T528" s="99">
        <v>6.403887015606248</v>
      </c>
      <c r="U528" s="99">
        <v>11.04489734298166</v>
      </c>
      <c r="V528" s="99">
        <f t="shared" si="66"/>
        <v>-4.6410103273754117</v>
      </c>
      <c r="W528" t="s">
        <v>570</v>
      </c>
      <c r="X528" s="196">
        <f t="shared" si="61"/>
        <v>0.1111139909258642</v>
      </c>
      <c r="Y528" s="196">
        <f t="shared" si="62"/>
        <v>2.5873461232461197E-2</v>
      </c>
      <c r="Z528" s="196">
        <f t="shared" si="63"/>
        <v>4.5842280613827193E-3</v>
      </c>
      <c r="AA528" s="54">
        <v>0.04</v>
      </c>
      <c r="AB528" s="99">
        <f t="shared" si="64"/>
        <v>-0.47249556821076477</v>
      </c>
      <c r="AC528" s="99">
        <f t="shared" si="67"/>
        <v>1574.5067801790087</v>
      </c>
      <c r="AD528" s="99">
        <f t="shared" si="65"/>
        <v>0.74793299039483407</v>
      </c>
      <c r="AE528" s="99"/>
    </row>
    <row r="529" spans="15:31" x14ac:dyDescent="0.25">
      <c r="O529" t="s">
        <v>160</v>
      </c>
      <c r="Q529" s="99">
        <v>0</v>
      </c>
      <c r="R529" s="99">
        <v>-313.77912825088595</v>
      </c>
      <c r="T529" s="99">
        <v>-3.5238890732548498</v>
      </c>
      <c r="U529" s="99">
        <v>17.264319045583676</v>
      </c>
      <c r="V529" s="99">
        <f t="shared" si="66"/>
        <v>-20.788208118838526</v>
      </c>
      <c r="W529" t="s">
        <v>570</v>
      </c>
      <c r="X529" s="196">
        <f t="shared" si="61"/>
        <v>0.1111139909258642</v>
      </c>
      <c r="Y529" s="196">
        <f t="shared" si="62"/>
        <v>2.5873461232461197E-2</v>
      </c>
      <c r="Z529" s="196">
        <f t="shared" si="63"/>
        <v>4.5842280613827193E-3</v>
      </c>
      <c r="AA529" s="54">
        <v>0.04</v>
      </c>
      <c r="AB529" s="99">
        <f t="shared" si="64"/>
        <v>-1</v>
      </c>
      <c r="AC529" s="99">
        <f t="shared" si="67"/>
        <v>313.77912825088595</v>
      </c>
      <c r="AD529" s="99">
        <f t="shared" si="65"/>
        <v>0.33388925900467126</v>
      </c>
      <c r="AE529" s="99"/>
    </row>
    <row r="530" spans="15:31" x14ac:dyDescent="0.25">
      <c r="O530" t="s">
        <v>187</v>
      </c>
      <c r="Q530" s="99">
        <v>726.32731557642887</v>
      </c>
      <c r="R530" s="99">
        <v>-170.61645768993594</v>
      </c>
      <c r="T530" s="99">
        <v>3.3327291945906499</v>
      </c>
      <c r="U530" s="99">
        <v>2.5916082806279617</v>
      </c>
      <c r="V530" s="99">
        <f t="shared" si="66"/>
        <v>0.7411209139626882</v>
      </c>
      <c r="W530" t="s">
        <v>578</v>
      </c>
      <c r="X530" s="196">
        <v>7.800844190575637E-2</v>
      </c>
      <c r="Y530" s="196">
        <v>1.8164664779253062E-2</v>
      </c>
      <c r="Z530" s="196">
        <v>3.2183929803017365E-3</v>
      </c>
      <c r="AA530" s="54">
        <v>0.04</v>
      </c>
      <c r="AB530" s="99">
        <f>IF(V530&gt;0, SQRT(V530/MAX($V$530:$V$577)), -SQRT(V530/MIN($V$530:$V$577)))</f>
        <v>0.51277642605315066</v>
      </c>
      <c r="AC530" s="99">
        <f t="shared" si="67"/>
        <v>896.94377326636481</v>
      </c>
      <c r="AD530" s="99">
        <f>IF(AC530&gt;0,SQRT(AC530/MAX($AC$530:$AC$577)),-SQRT(AC530/MIN($AC$530:$AC$577)))</f>
        <v>0.29308941343249961</v>
      </c>
      <c r="AE530" s="99"/>
    </row>
    <row r="531" spans="15:31" x14ac:dyDescent="0.25">
      <c r="O531" t="s">
        <v>189</v>
      </c>
      <c r="Q531" s="99">
        <v>827.67332243654107</v>
      </c>
      <c r="R531" s="99">
        <v>-217.21467663687915</v>
      </c>
      <c r="T531" s="99">
        <v>2.5383971253183057</v>
      </c>
      <c r="U531" s="99">
        <v>1.9266337956487298</v>
      </c>
      <c r="V531" s="99">
        <f t="shared" si="66"/>
        <v>0.61176332966957592</v>
      </c>
      <c r="W531" t="s">
        <v>578</v>
      </c>
      <c r="X531" s="196">
        <v>7.800844190575637E-2</v>
      </c>
      <c r="Y531" s="196">
        <v>1.8164664779253062E-2</v>
      </c>
      <c r="Z531" s="196">
        <v>3.2183929803017365E-3</v>
      </c>
      <c r="AA531" s="54">
        <v>0.04</v>
      </c>
      <c r="AB531" s="99">
        <f t="shared" ref="AB531:AB577" si="68">IF(V531&gt;0, SQRT(V531/MAX($V$530:$V$577)), -SQRT(V531/MIN($V$530:$V$577)))</f>
        <v>0.46588125539231018</v>
      </c>
      <c r="AC531" s="99">
        <f t="shared" si="67"/>
        <v>1044.8879990734201</v>
      </c>
      <c r="AD531" s="99">
        <f t="shared" ref="AD531:AD577" si="69">IF(AC531&gt;0,SQRT(AC531/MAX($AC$530:$AC$577)),-SQRT(AC531/MIN($AC$530:$AC$577)))</f>
        <v>0.31633874890728353</v>
      </c>
      <c r="AE531" s="99"/>
    </row>
    <row r="532" spans="15:31" x14ac:dyDescent="0.25">
      <c r="O532" t="s">
        <v>188</v>
      </c>
      <c r="Q532" s="99">
        <v>607.1075881977207</v>
      </c>
      <c r="R532" s="99">
        <v>-141.05186638177824</v>
      </c>
      <c r="T532" s="99">
        <v>2.1393489126580025</v>
      </c>
      <c r="U532" s="99">
        <v>2.5202215981441141</v>
      </c>
      <c r="V532" s="99">
        <f t="shared" si="66"/>
        <v>-0.38087268548611153</v>
      </c>
      <c r="W532" t="s">
        <v>578</v>
      </c>
      <c r="X532" s="196">
        <v>7.800844190575637E-2</v>
      </c>
      <c r="Y532" s="196">
        <v>1.8164664779253062E-2</v>
      </c>
      <c r="Z532" s="196">
        <v>3.2183929803017365E-3</v>
      </c>
      <c r="AA532" s="54">
        <v>0.04</v>
      </c>
      <c r="AB532" s="99">
        <f t="shared" si="68"/>
        <v>-0.27058089088137438</v>
      </c>
      <c r="AC532" s="99">
        <f t="shared" si="67"/>
        <v>748.15945457949897</v>
      </c>
      <c r="AD532" s="99">
        <f t="shared" si="69"/>
        <v>0.26767918811079094</v>
      </c>
      <c r="AE532" s="99"/>
    </row>
    <row r="533" spans="15:31" x14ac:dyDescent="0.25">
      <c r="O533" t="s">
        <v>149</v>
      </c>
      <c r="Q533" s="99">
        <v>261.87329969708827</v>
      </c>
      <c r="R533" s="99">
        <v>-179.17709018114175</v>
      </c>
      <c r="T533" s="99">
        <v>3.2691231975313633</v>
      </c>
      <c r="U533" s="99">
        <v>1.8289120250885733</v>
      </c>
      <c r="V533" s="99">
        <f t="shared" si="66"/>
        <v>1.44021117244279</v>
      </c>
      <c r="W533" t="s">
        <v>578</v>
      </c>
      <c r="X533" s="196">
        <v>7.800844190575637E-2</v>
      </c>
      <c r="Y533" s="196">
        <v>1.8164664779253062E-2</v>
      </c>
      <c r="Z533" s="196">
        <v>3.2183929803017365E-3</v>
      </c>
      <c r="AA533" s="54">
        <v>0.04</v>
      </c>
      <c r="AB533" s="99">
        <f t="shared" si="68"/>
        <v>0.7148198506592881</v>
      </c>
      <c r="AC533" s="99">
        <f t="shared" si="67"/>
        <v>441.05038987823002</v>
      </c>
      <c r="AD533" s="99">
        <f t="shared" si="69"/>
        <v>0.20552356627574045</v>
      </c>
      <c r="AE533" s="99"/>
    </row>
    <row r="534" spans="15:31" x14ac:dyDescent="0.25">
      <c r="O534" t="s">
        <v>190</v>
      </c>
      <c r="Q534" s="99">
        <v>1236.1433303527797</v>
      </c>
      <c r="R534" s="99">
        <v>-139.31093871051914</v>
      </c>
      <c r="T534" s="99">
        <v>1.375128226531916</v>
      </c>
      <c r="U534" s="99">
        <v>1.9393522878193092</v>
      </c>
      <c r="V534" s="99">
        <f t="shared" si="66"/>
        <v>-0.56422406128739322</v>
      </c>
      <c r="W534" t="s">
        <v>578</v>
      </c>
      <c r="X534" s="196">
        <v>7.800844190575637E-2</v>
      </c>
      <c r="Y534" s="196">
        <v>1.8164664779253062E-2</v>
      </c>
      <c r="Z534" s="196">
        <v>3.2183929803017365E-3</v>
      </c>
      <c r="AA534" s="54">
        <v>0.04</v>
      </c>
      <c r="AB534" s="99">
        <f t="shared" si="68"/>
        <v>-0.32933130087448931</v>
      </c>
      <c r="AC534" s="99">
        <f t="shared" si="67"/>
        <v>1375.4542690632989</v>
      </c>
      <c r="AD534" s="99">
        <f t="shared" si="69"/>
        <v>0.36294481785493432</v>
      </c>
      <c r="AE534" s="99"/>
    </row>
    <row r="535" spans="15:31" x14ac:dyDescent="0.25">
      <c r="O535" t="s">
        <v>191</v>
      </c>
      <c r="Q535" s="99">
        <v>3.0948331215519138</v>
      </c>
      <c r="R535" s="99">
        <v>-85.726011120150488</v>
      </c>
      <c r="T535" s="99">
        <v>2.5863049378770242</v>
      </c>
      <c r="U535" s="99">
        <v>1.8026017275325321</v>
      </c>
      <c r="V535" s="99">
        <f t="shared" si="66"/>
        <v>0.78370321034449208</v>
      </c>
      <c r="W535" t="s">
        <v>578</v>
      </c>
      <c r="X535" s="196">
        <v>7.800844190575637E-2</v>
      </c>
      <c r="Y535" s="196">
        <v>1.8164664779253062E-2</v>
      </c>
      <c r="Z535" s="196">
        <v>3.2183929803017365E-3</v>
      </c>
      <c r="AA535" s="54">
        <v>0.04</v>
      </c>
      <c r="AB535" s="99">
        <f t="shared" si="68"/>
        <v>0.5273018918712622</v>
      </c>
      <c r="AC535" s="99">
        <f t="shared" si="67"/>
        <v>88.820844241702403</v>
      </c>
      <c r="AD535" s="99">
        <f t="shared" si="69"/>
        <v>9.2230586535395745E-2</v>
      </c>
      <c r="AE535" s="99"/>
    </row>
    <row r="536" spans="15:31" x14ac:dyDescent="0.25">
      <c r="O536" t="s">
        <v>192</v>
      </c>
      <c r="Q536" s="99">
        <v>1384.2789846428341</v>
      </c>
      <c r="R536" s="99">
        <v>-134.7189460214309</v>
      </c>
      <c r="T536" s="99">
        <v>1.6483856224584645</v>
      </c>
      <c r="U536" s="99">
        <v>1.855838466717711</v>
      </c>
      <c r="V536" s="99">
        <f t="shared" si="66"/>
        <v>-0.20745284425924648</v>
      </c>
      <c r="W536" t="s">
        <v>578</v>
      </c>
      <c r="X536" s="196">
        <v>7.800844190575637E-2</v>
      </c>
      <c r="Y536" s="196">
        <v>1.8164664779253062E-2</v>
      </c>
      <c r="Z536" s="196">
        <v>3.2183929803017365E-3</v>
      </c>
      <c r="AA536" s="54">
        <v>0.04</v>
      </c>
      <c r="AB536" s="99">
        <f t="shared" si="68"/>
        <v>-0.19969486850282475</v>
      </c>
      <c r="AC536" s="99">
        <f t="shared" si="67"/>
        <v>1518.9979306642649</v>
      </c>
      <c r="AD536" s="99">
        <f t="shared" si="69"/>
        <v>0.38141354613512657</v>
      </c>
      <c r="AE536" s="99"/>
    </row>
    <row r="537" spans="15:31" x14ac:dyDescent="0.25">
      <c r="O537" t="s">
        <v>193</v>
      </c>
      <c r="Q537" s="99">
        <v>247.42179105478988</v>
      </c>
      <c r="R537" s="99">
        <v>-85.621319375491964</v>
      </c>
      <c r="T537" s="99">
        <v>2.2880119465211788</v>
      </c>
      <c r="U537" s="99">
        <v>2.1195127851495528</v>
      </c>
      <c r="V537" s="99">
        <f t="shared" si="66"/>
        <v>0.16849916137162602</v>
      </c>
      <c r="W537" t="s">
        <v>578</v>
      </c>
      <c r="X537" s="196">
        <v>7.800844190575637E-2</v>
      </c>
      <c r="Y537" s="196">
        <v>1.8164664779253062E-2</v>
      </c>
      <c r="Z537" s="196">
        <v>3.2183929803017365E-3</v>
      </c>
      <c r="AA537" s="54">
        <v>0.04</v>
      </c>
      <c r="AB537" s="99">
        <f t="shared" si="68"/>
        <v>0.24450198452095051</v>
      </c>
      <c r="AC537" s="99">
        <f t="shared" si="67"/>
        <v>333.04311043028184</v>
      </c>
      <c r="AD537" s="99">
        <f t="shared" si="69"/>
        <v>0.17859436382927651</v>
      </c>
      <c r="AE537" s="99"/>
    </row>
    <row r="538" spans="15:31" x14ac:dyDescent="0.25">
      <c r="O538" t="s">
        <v>194</v>
      </c>
      <c r="Q538" s="99">
        <v>631.33299502498812</v>
      </c>
      <c r="R538" s="99">
        <v>-173.96735705918209</v>
      </c>
      <c r="T538" s="99">
        <v>3.3498993338440908</v>
      </c>
      <c r="U538" s="99">
        <v>2.6641716421712465</v>
      </c>
      <c r="V538" s="99">
        <f t="shared" si="66"/>
        <v>0.68572769167284431</v>
      </c>
      <c r="W538" t="s">
        <v>578</v>
      </c>
      <c r="X538" s="196">
        <v>7.800844190575637E-2</v>
      </c>
      <c r="Y538" s="196">
        <v>1.8164664779253062E-2</v>
      </c>
      <c r="Z538" s="196">
        <v>3.2183929803017365E-3</v>
      </c>
      <c r="AA538" s="54">
        <v>0.04</v>
      </c>
      <c r="AB538" s="99">
        <f t="shared" si="68"/>
        <v>0.49324121690060857</v>
      </c>
      <c r="AC538" s="99">
        <f t="shared" si="67"/>
        <v>805.30035208417019</v>
      </c>
      <c r="AD538" s="99">
        <f t="shared" si="69"/>
        <v>0.27771316411220437</v>
      </c>
      <c r="AE538" s="99"/>
    </row>
    <row r="539" spans="15:31" x14ac:dyDescent="0.25">
      <c r="O539" t="s">
        <v>196</v>
      </c>
      <c r="Q539" s="99">
        <v>540.41072474533621</v>
      </c>
      <c r="R539" s="99">
        <v>-181.6415136445242</v>
      </c>
      <c r="T539" s="99">
        <v>4.0990443584412439</v>
      </c>
      <c r="U539" s="99">
        <v>2.1821025678269947</v>
      </c>
      <c r="V539" s="99">
        <f t="shared" si="66"/>
        <v>1.9169417906142492</v>
      </c>
      <c r="W539" t="s">
        <v>578</v>
      </c>
      <c r="X539" s="196">
        <v>7.800844190575637E-2</v>
      </c>
      <c r="Y539" s="196">
        <v>1.8164664779253062E-2</v>
      </c>
      <c r="Z539" s="196">
        <v>3.2183929803017365E-3</v>
      </c>
      <c r="AA539" s="54">
        <v>0.04</v>
      </c>
      <c r="AB539" s="99">
        <f t="shared" si="68"/>
        <v>0.82468477963381459</v>
      </c>
      <c r="AC539" s="99">
        <f t="shared" si="67"/>
        <v>722.05223838986035</v>
      </c>
      <c r="AD539" s="99">
        <f t="shared" si="69"/>
        <v>0.26296735094267371</v>
      </c>
      <c r="AE539" s="99"/>
    </row>
    <row r="540" spans="15:31" x14ac:dyDescent="0.25">
      <c r="O540" t="s">
        <v>197</v>
      </c>
      <c r="Q540" s="99">
        <v>388.20905478385555</v>
      </c>
      <c r="R540" s="99">
        <v>-101.21481680793616</v>
      </c>
      <c r="T540" s="99">
        <v>3.1362698177789818</v>
      </c>
      <c r="U540" s="99">
        <v>1.8698191283980301</v>
      </c>
      <c r="V540" s="99">
        <f t="shared" si="66"/>
        <v>1.2664506893809517</v>
      </c>
      <c r="W540" t="s">
        <v>578</v>
      </c>
      <c r="X540" s="196">
        <v>7.800844190575637E-2</v>
      </c>
      <c r="Y540" s="196">
        <v>1.8164664779253062E-2</v>
      </c>
      <c r="Z540" s="196">
        <v>3.2183929803017365E-3</v>
      </c>
      <c r="AA540" s="54">
        <v>0.04</v>
      </c>
      <c r="AB540" s="99">
        <f t="shared" si="68"/>
        <v>0.67031302596726761</v>
      </c>
      <c r="AC540" s="99">
        <f t="shared" si="67"/>
        <v>489.42387159179168</v>
      </c>
      <c r="AD540" s="99">
        <f t="shared" si="69"/>
        <v>0.21650109448798097</v>
      </c>
      <c r="AE540" s="99"/>
    </row>
    <row r="541" spans="15:31" x14ac:dyDescent="0.25">
      <c r="O541" t="s">
        <v>198</v>
      </c>
      <c r="Q541" s="99">
        <v>9658.8369890740523</v>
      </c>
      <c r="R541" s="99">
        <v>-195.12431780983889</v>
      </c>
      <c r="T541" s="99">
        <v>0.19451284213567277</v>
      </c>
      <c r="U541" s="99">
        <v>2.6735844995650773</v>
      </c>
      <c r="V541" s="99">
        <f t="shared" si="66"/>
        <v>-2.4790716574294045</v>
      </c>
      <c r="W541" t="s">
        <v>578</v>
      </c>
      <c r="X541" s="196">
        <v>7.800844190575637E-2</v>
      </c>
      <c r="Y541" s="196">
        <v>1.8164664779253062E-2</v>
      </c>
      <c r="Z541" s="196">
        <v>3.2183929803017365E-3</v>
      </c>
      <c r="AA541" s="54">
        <v>0.04</v>
      </c>
      <c r="AB541" s="99">
        <f t="shared" si="68"/>
        <v>-0.69032205434668159</v>
      </c>
      <c r="AC541" s="99">
        <f t="shared" si="67"/>
        <v>9853.9613068838917</v>
      </c>
      <c r="AD541" s="99">
        <f t="shared" si="69"/>
        <v>0.97145558274483856</v>
      </c>
      <c r="AE541" s="99"/>
    </row>
    <row r="542" spans="15:31" x14ac:dyDescent="0.25">
      <c r="O542" t="s">
        <v>195</v>
      </c>
      <c r="Q542" s="99">
        <v>598.61332857993079</v>
      </c>
      <c r="R542" s="99">
        <v>-164.65760865777332</v>
      </c>
      <c r="T542" s="99">
        <v>3.0779471393326077</v>
      </c>
      <c r="U542" s="99">
        <v>2.2147750774916082</v>
      </c>
      <c r="V542" s="99">
        <f t="shared" si="66"/>
        <v>0.86317206184099948</v>
      </c>
      <c r="W542" t="s">
        <v>578</v>
      </c>
      <c r="X542" s="196">
        <v>7.800844190575637E-2</v>
      </c>
      <c r="Y542" s="196">
        <v>1.8164664779253062E-2</v>
      </c>
      <c r="Z542" s="196">
        <v>3.2183929803017365E-3</v>
      </c>
      <c r="AA542" s="54">
        <v>0.04</v>
      </c>
      <c r="AB542" s="99">
        <f t="shared" si="68"/>
        <v>0.5533911432417582</v>
      </c>
      <c r="AC542" s="99">
        <f t="shared" si="67"/>
        <v>763.27093723770417</v>
      </c>
      <c r="AD542" s="99">
        <f t="shared" si="69"/>
        <v>0.27036899407882653</v>
      </c>
      <c r="AE542" s="99"/>
    </row>
    <row r="543" spans="15:31" x14ac:dyDescent="0.25">
      <c r="O543" t="s">
        <v>199</v>
      </c>
      <c r="Q543" s="99">
        <v>453.89135185378314</v>
      </c>
      <c r="R543" s="99">
        <v>-134.96724453193229</v>
      </c>
      <c r="T543" s="99">
        <v>2.9052269798329111</v>
      </c>
      <c r="U543" s="99">
        <v>2.1946618123451156</v>
      </c>
      <c r="V543" s="99">
        <f t="shared" si="66"/>
        <v>0.71056516748779552</v>
      </c>
      <c r="W543" t="s">
        <v>578</v>
      </c>
      <c r="X543" s="196">
        <v>7.800844190575637E-2</v>
      </c>
      <c r="Y543" s="196">
        <v>1.8164664779253062E-2</v>
      </c>
      <c r="Z543" s="196">
        <v>3.2183929803017365E-3</v>
      </c>
      <c r="AA543" s="54">
        <v>0.04</v>
      </c>
      <c r="AB543" s="99">
        <f t="shared" si="68"/>
        <v>0.50209451111272052</v>
      </c>
      <c r="AC543" s="99">
        <f t="shared" si="67"/>
        <v>588.85859638571537</v>
      </c>
      <c r="AD543" s="99">
        <f t="shared" si="69"/>
        <v>0.23747780812893168</v>
      </c>
      <c r="AE543" s="99"/>
    </row>
    <row r="544" spans="15:31" x14ac:dyDescent="0.25">
      <c r="O544" t="s">
        <v>157</v>
      </c>
      <c r="Q544" s="99">
        <v>0</v>
      </c>
      <c r="R544" s="99">
        <v>-143.15460991491716</v>
      </c>
      <c r="T544" s="99">
        <v>-0.85319115538510371</v>
      </c>
      <c r="U544" s="99">
        <v>2.3974831883037471</v>
      </c>
      <c r="V544" s="99">
        <f t="shared" si="66"/>
        <v>-3.2506743436888508</v>
      </c>
      <c r="W544" t="s">
        <v>578</v>
      </c>
      <c r="X544" s="196">
        <v>7.800844190575637E-2</v>
      </c>
      <c r="Y544" s="196">
        <v>1.8164664779253062E-2</v>
      </c>
      <c r="Z544" s="196">
        <v>3.2183929803017365E-3</v>
      </c>
      <c r="AA544" s="54">
        <v>0.04</v>
      </c>
      <c r="AB544" s="99">
        <f t="shared" si="68"/>
        <v>-0.79048555838017209</v>
      </c>
      <c r="AC544" s="99">
        <f t="shared" si="67"/>
        <v>143.15460991491716</v>
      </c>
      <c r="AD544" s="99">
        <f t="shared" si="69"/>
        <v>0.11709010381287685</v>
      </c>
      <c r="AE544" s="99"/>
    </row>
    <row r="545" spans="15:31" x14ac:dyDescent="0.25">
      <c r="O545" t="s">
        <v>200</v>
      </c>
      <c r="Q545" s="99">
        <v>558.15648575931459</v>
      </c>
      <c r="R545" s="99">
        <v>-85.358194371386446</v>
      </c>
      <c r="T545" s="99">
        <v>2.2731485010416126</v>
      </c>
      <c r="U545" s="99">
        <v>2.1768795528454321</v>
      </c>
      <c r="V545" s="99">
        <f t="shared" si="66"/>
        <v>9.6268948196180482E-2</v>
      </c>
      <c r="W545" t="s">
        <v>578</v>
      </c>
      <c r="X545" s="196">
        <v>7.800844190575637E-2</v>
      </c>
      <c r="Y545" s="196">
        <v>1.8164664779253062E-2</v>
      </c>
      <c r="Z545" s="196">
        <v>3.2183929803017365E-3</v>
      </c>
      <c r="AA545" s="54">
        <v>0.04</v>
      </c>
      <c r="AB545" s="99">
        <f t="shared" si="68"/>
        <v>0.18481049491078724</v>
      </c>
      <c r="AC545" s="99">
        <f t="shared" si="67"/>
        <v>643.51468013070098</v>
      </c>
      <c r="AD545" s="99">
        <f t="shared" si="69"/>
        <v>0.24825428388784296</v>
      </c>
      <c r="AE545" s="99"/>
    </row>
    <row r="546" spans="15:31" x14ac:dyDescent="0.25">
      <c r="O546" t="s">
        <v>203</v>
      </c>
      <c r="Q546" s="99">
        <v>310.68245485551904</v>
      </c>
      <c r="R546" s="99">
        <v>-167.76050924800208</v>
      </c>
      <c r="T546" s="99">
        <v>4.0163023190180773</v>
      </c>
      <c r="U546" s="99">
        <v>2.1597097467892397</v>
      </c>
      <c r="V546" s="99">
        <f t="shared" si="66"/>
        <v>1.8565925722288377</v>
      </c>
      <c r="W546" t="s">
        <v>578</v>
      </c>
      <c r="X546" s="196">
        <v>7.800844190575637E-2</v>
      </c>
      <c r="Y546" s="196">
        <v>1.8164664779253062E-2</v>
      </c>
      <c r="Z546" s="196">
        <v>3.2183929803017365E-3</v>
      </c>
      <c r="AA546" s="54">
        <v>0.04</v>
      </c>
      <c r="AB546" s="99">
        <f t="shared" si="68"/>
        <v>0.81159959364136314</v>
      </c>
      <c r="AC546" s="99">
        <f t="shared" si="67"/>
        <v>478.44296410352115</v>
      </c>
      <c r="AD546" s="99">
        <f t="shared" si="69"/>
        <v>0.21405856429611594</v>
      </c>
      <c r="AE546" s="99"/>
    </row>
    <row r="547" spans="15:31" x14ac:dyDescent="0.25">
      <c r="O547" t="s">
        <v>202</v>
      </c>
      <c r="Q547" s="99">
        <v>429.66731981132858</v>
      </c>
      <c r="R547" s="99">
        <v>-124.4212247851145</v>
      </c>
      <c r="T547" s="99">
        <v>3.1641886377021633</v>
      </c>
      <c r="U547" s="99">
        <v>1.987448219213666</v>
      </c>
      <c r="V547" s="99">
        <f t="shared" si="66"/>
        <v>1.1767404184884973</v>
      </c>
      <c r="W547" t="s">
        <v>578</v>
      </c>
      <c r="X547" s="196">
        <v>7.800844190575637E-2</v>
      </c>
      <c r="Y547" s="196">
        <v>1.8164664779253062E-2</v>
      </c>
      <c r="Z547" s="196">
        <v>3.2183929803017365E-3</v>
      </c>
      <c r="AA547" s="54">
        <v>0.04</v>
      </c>
      <c r="AB547" s="99">
        <f t="shared" si="68"/>
        <v>0.64613587087703583</v>
      </c>
      <c r="AC547" s="99">
        <f t="shared" si="67"/>
        <v>554.08854459644306</v>
      </c>
      <c r="AD547" s="99">
        <f t="shared" si="69"/>
        <v>0.23036002015801338</v>
      </c>
      <c r="AE547" s="99"/>
    </row>
    <row r="548" spans="15:31" x14ac:dyDescent="0.25">
      <c r="O548" t="s">
        <v>201</v>
      </c>
      <c r="Q548" s="99">
        <v>387.24305039336429</v>
      </c>
      <c r="R548" s="99">
        <v>-121.07487331763514</v>
      </c>
      <c r="T548" s="99">
        <v>2.1086852587360103</v>
      </c>
      <c r="U548" s="99">
        <v>1.9539502358120764</v>
      </c>
      <c r="V548" s="99">
        <f t="shared" si="66"/>
        <v>0.15473502292393393</v>
      </c>
      <c r="W548" t="s">
        <v>578</v>
      </c>
      <c r="X548" s="196">
        <v>7.800844190575637E-2</v>
      </c>
      <c r="Y548" s="196">
        <v>1.8164664779253062E-2</v>
      </c>
      <c r="Z548" s="196">
        <v>3.2183929803017365E-3</v>
      </c>
      <c r="AA548" s="54">
        <v>0.04</v>
      </c>
      <c r="AB548" s="99">
        <f t="shared" si="68"/>
        <v>0.23430298872207239</v>
      </c>
      <c r="AC548" s="99">
        <f t="shared" si="67"/>
        <v>508.31792371099942</v>
      </c>
      <c r="AD548" s="99">
        <f t="shared" si="69"/>
        <v>0.22064050044907449</v>
      </c>
      <c r="AE548" s="99"/>
    </row>
    <row r="549" spans="15:31" x14ac:dyDescent="0.25">
      <c r="O549" t="s">
        <v>204</v>
      </c>
      <c r="Q549" s="99">
        <v>482.59804122206498</v>
      </c>
      <c r="R549" s="99">
        <v>-106.32109279705988</v>
      </c>
      <c r="T549" s="99">
        <v>1.879052612109664</v>
      </c>
      <c r="U549" s="99">
        <v>2.1592778216375841</v>
      </c>
      <c r="V549" s="99">
        <f t="shared" si="66"/>
        <v>-0.28022520952792007</v>
      </c>
      <c r="W549" t="s">
        <v>578</v>
      </c>
      <c r="X549" s="196">
        <v>7.800844190575637E-2</v>
      </c>
      <c r="Y549" s="196">
        <v>1.8164664779253062E-2</v>
      </c>
      <c r="Z549" s="196">
        <v>3.2183929803017365E-3</v>
      </c>
      <c r="AA549" s="54">
        <v>0.04</v>
      </c>
      <c r="AB549" s="99">
        <f t="shared" si="68"/>
        <v>-0.23209234128134038</v>
      </c>
      <c r="AC549" s="99">
        <f t="shared" si="67"/>
        <v>588.91913401912484</v>
      </c>
      <c r="AD549" s="99">
        <f t="shared" si="69"/>
        <v>0.23749001477336928</v>
      </c>
      <c r="AE549" s="99"/>
    </row>
    <row r="550" spans="15:31" x14ac:dyDescent="0.25">
      <c r="O550" t="s">
        <v>205</v>
      </c>
      <c r="Q550" s="99">
        <v>591.67881276629578</v>
      </c>
      <c r="R550" s="99">
        <v>-193.13960183877433</v>
      </c>
      <c r="T550" s="99">
        <v>3.0895717738560631</v>
      </c>
      <c r="U550" s="99">
        <v>2.7389830988430344</v>
      </c>
      <c r="V550" s="99">
        <f t="shared" si="66"/>
        <v>0.35058867501302871</v>
      </c>
      <c r="W550" t="s">
        <v>578</v>
      </c>
      <c r="X550" s="196">
        <v>7.800844190575637E-2</v>
      </c>
      <c r="Y550" s="196">
        <v>1.8164664779253062E-2</v>
      </c>
      <c r="Z550" s="196">
        <v>3.2183929803017365E-3</v>
      </c>
      <c r="AA550" s="54">
        <v>0.04</v>
      </c>
      <c r="AB550" s="99">
        <f t="shared" si="68"/>
        <v>0.35268132045467415</v>
      </c>
      <c r="AC550" s="99">
        <f t="shared" si="67"/>
        <v>784.81841460507007</v>
      </c>
      <c r="AD550" s="99">
        <f t="shared" si="69"/>
        <v>0.27415875194967182</v>
      </c>
      <c r="AE550" s="99"/>
    </row>
    <row r="551" spans="15:31" x14ac:dyDescent="0.25">
      <c r="O551" t="s">
        <v>207</v>
      </c>
      <c r="Q551" s="99">
        <v>386.51562243781405</v>
      </c>
      <c r="R551" s="99">
        <v>-181.24719291836573</v>
      </c>
      <c r="T551" s="99">
        <v>2.9673671256446337</v>
      </c>
      <c r="U551" s="99">
        <v>2.9070682330353748</v>
      </c>
      <c r="V551" s="99">
        <f t="shared" si="66"/>
        <v>6.0298892609258914E-2</v>
      </c>
      <c r="W551" t="s">
        <v>578</v>
      </c>
      <c r="X551" s="196">
        <v>7.800844190575637E-2</v>
      </c>
      <c r="Y551" s="196">
        <v>1.8164664779253062E-2</v>
      </c>
      <c r="Z551" s="196">
        <v>3.2183929803017365E-3</v>
      </c>
      <c r="AA551" s="54">
        <v>0.04</v>
      </c>
      <c r="AB551" s="99">
        <f t="shared" si="68"/>
        <v>0.14626424873167515</v>
      </c>
      <c r="AC551" s="99">
        <f t="shared" si="67"/>
        <v>567.76281535617977</v>
      </c>
      <c r="AD551" s="99">
        <f t="shared" si="69"/>
        <v>0.23318520655069863</v>
      </c>
      <c r="AE551" s="99"/>
    </row>
    <row r="552" spans="15:31" x14ac:dyDescent="0.25">
      <c r="O552" t="s">
        <v>206</v>
      </c>
      <c r="Q552" s="99">
        <v>7389.3884530061096</v>
      </c>
      <c r="R552" s="99">
        <v>-198.90525060690118</v>
      </c>
      <c r="T552" s="99">
        <v>0.28136750365484708</v>
      </c>
      <c r="U552" s="99">
        <v>2.7393123222198721</v>
      </c>
      <c r="V552" s="99">
        <f t="shared" si="66"/>
        <v>-2.457944818565025</v>
      </c>
      <c r="W552" t="s">
        <v>578</v>
      </c>
      <c r="X552" s="196">
        <v>7.800844190575637E-2</v>
      </c>
      <c r="Y552" s="196">
        <v>1.8164664779253062E-2</v>
      </c>
      <c r="Z552" s="196">
        <v>3.2183929803017365E-3</v>
      </c>
      <c r="AA552" s="54">
        <v>0.04</v>
      </c>
      <c r="AB552" s="99">
        <f t="shared" si="68"/>
        <v>-0.68737427184681565</v>
      </c>
      <c r="AC552" s="99">
        <f t="shared" si="67"/>
        <v>7588.2937036130106</v>
      </c>
      <c r="AD552" s="99">
        <f t="shared" si="69"/>
        <v>0.85249057858030741</v>
      </c>
      <c r="AE552" s="99"/>
    </row>
    <row r="553" spans="15:31" x14ac:dyDescent="0.25">
      <c r="O553" t="s">
        <v>208</v>
      </c>
      <c r="Q553" s="99">
        <v>1833.4800022977138</v>
      </c>
      <c r="R553" s="99">
        <v>-213.18997581405864</v>
      </c>
      <c r="T553" s="99">
        <v>1.4201919871791553</v>
      </c>
      <c r="U553" s="99">
        <v>2.4126761012320186</v>
      </c>
      <c r="V553" s="99">
        <f t="shared" si="66"/>
        <v>-0.9924841140528633</v>
      </c>
      <c r="W553" t="s">
        <v>578</v>
      </c>
      <c r="X553" s="196">
        <v>7.800844190575637E-2</v>
      </c>
      <c r="Y553" s="196">
        <v>1.8164664779253062E-2</v>
      </c>
      <c r="Z553" s="196">
        <v>3.2183929803017365E-3</v>
      </c>
      <c r="AA553" s="54">
        <v>0.04</v>
      </c>
      <c r="AB553" s="99">
        <f t="shared" si="68"/>
        <v>-0.43678628217093851</v>
      </c>
      <c r="AC553" s="99">
        <f t="shared" si="67"/>
        <v>2046.6699781117725</v>
      </c>
      <c r="AD553" s="99">
        <f t="shared" si="69"/>
        <v>0.44273252846415972</v>
      </c>
      <c r="AE553" s="99"/>
    </row>
    <row r="554" spans="15:31" x14ac:dyDescent="0.25">
      <c r="O554" t="s">
        <v>211</v>
      </c>
      <c r="Q554" s="99">
        <v>969.31175768991307</v>
      </c>
      <c r="R554" s="99">
        <v>-135.95839701226154</v>
      </c>
      <c r="T554" s="99">
        <v>1.6334082405659771</v>
      </c>
      <c r="U554" s="99">
        <v>2.2214015056368774</v>
      </c>
      <c r="V554" s="99">
        <f t="shared" si="66"/>
        <v>-0.58799326507090033</v>
      </c>
      <c r="W554" t="s">
        <v>578</v>
      </c>
      <c r="X554" s="196">
        <v>7.800844190575637E-2</v>
      </c>
      <c r="Y554" s="196">
        <v>1.8164664779253062E-2</v>
      </c>
      <c r="Z554" s="196">
        <v>3.2183929803017365E-3</v>
      </c>
      <c r="AA554" s="54">
        <v>0.04</v>
      </c>
      <c r="AB554" s="99">
        <f t="shared" si="68"/>
        <v>-0.33619665193269954</v>
      </c>
      <c r="AC554" s="99">
        <f t="shared" si="67"/>
        <v>1105.2701547021745</v>
      </c>
      <c r="AD554" s="99">
        <f t="shared" si="69"/>
        <v>0.32535069862552074</v>
      </c>
      <c r="AE554" s="99"/>
    </row>
    <row r="555" spans="15:31" x14ac:dyDescent="0.25">
      <c r="O555" t="s">
        <v>215</v>
      </c>
      <c r="Q555" s="99">
        <v>574.95914950940721</v>
      </c>
      <c r="R555" s="99">
        <v>-201.5742759368718</v>
      </c>
      <c r="T555" s="99">
        <v>2.655079473814816</v>
      </c>
      <c r="U555" s="99">
        <v>2.081075702714914</v>
      </c>
      <c r="V555" s="99">
        <f t="shared" si="66"/>
        <v>0.57400377109990197</v>
      </c>
      <c r="W555" t="s">
        <v>578</v>
      </c>
      <c r="X555" s="196">
        <v>7.800844190575637E-2</v>
      </c>
      <c r="Y555" s="196">
        <v>1.8164664779253062E-2</v>
      </c>
      <c r="Z555" s="196">
        <v>3.2183929803017365E-3</v>
      </c>
      <c r="AA555" s="54">
        <v>0.04</v>
      </c>
      <c r="AB555" s="99">
        <f t="shared" si="68"/>
        <v>0.4512745994747821</v>
      </c>
      <c r="AC555" s="99">
        <f t="shared" si="67"/>
        <v>776.53342544627901</v>
      </c>
      <c r="AD555" s="99">
        <f t="shared" si="69"/>
        <v>0.27270782479894429</v>
      </c>
      <c r="AE555" s="99"/>
    </row>
    <row r="556" spans="15:31" x14ac:dyDescent="0.25">
      <c r="O556" t="s">
        <v>212</v>
      </c>
      <c r="Q556" s="99">
        <v>454.25348437259578</v>
      </c>
      <c r="R556" s="99">
        <v>-144.51227225961449</v>
      </c>
      <c r="T556" s="99">
        <v>3.4401926806980687</v>
      </c>
      <c r="U556" s="99">
        <v>1.7461972738063087</v>
      </c>
      <c r="V556" s="99">
        <f t="shared" si="66"/>
        <v>1.69399540689176</v>
      </c>
      <c r="W556" t="s">
        <v>578</v>
      </c>
      <c r="X556" s="196">
        <v>7.800844190575637E-2</v>
      </c>
      <c r="Y556" s="196">
        <v>1.8164664779253062E-2</v>
      </c>
      <c r="Z556" s="196">
        <v>3.2183929803017365E-3</v>
      </c>
      <c r="AA556" s="54">
        <v>0.04</v>
      </c>
      <c r="AB556" s="99">
        <f t="shared" si="68"/>
        <v>0.77524617266079632</v>
      </c>
      <c r="AC556" s="99">
        <f t="shared" si="67"/>
        <v>598.76575663221024</v>
      </c>
      <c r="AD556" s="99">
        <f t="shared" si="69"/>
        <v>0.2394671798610479</v>
      </c>
      <c r="AE556" s="99"/>
    </row>
    <row r="557" spans="15:31" x14ac:dyDescent="0.25">
      <c r="O557" t="s">
        <v>213</v>
      </c>
      <c r="Q557" s="99">
        <v>430.92658874705921</v>
      </c>
      <c r="R557" s="99">
        <v>-77.635631737188945</v>
      </c>
      <c r="T557" s="99">
        <v>2.8860502292398706</v>
      </c>
      <c r="U557" s="99">
        <v>1.8119706320508913</v>
      </c>
      <c r="V557" s="99">
        <f t="shared" si="66"/>
        <v>1.0740795971889794</v>
      </c>
      <c r="W557" t="s">
        <v>578</v>
      </c>
      <c r="X557" s="196">
        <v>7.800844190575637E-2</v>
      </c>
      <c r="Y557" s="196">
        <v>1.8164664779253062E-2</v>
      </c>
      <c r="Z557" s="196">
        <v>3.2183929803017365E-3</v>
      </c>
      <c r="AA557" s="54">
        <v>0.04</v>
      </c>
      <c r="AB557" s="99">
        <f t="shared" si="68"/>
        <v>0.61730777947008553</v>
      </c>
      <c r="AC557" s="99">
        <f t="shared" si="67"/>
        <v>508.56222048424814</v>
      </c>
      <c r="AD557" s="99">
        <f t="shared" si="69"/>
        <v>0.22069351381440599</v>
      </c>
      <c r="AE557" s="99"/>
    </row>
    <row r="558" spans="15:31" x14ac:dyDescent="0.25">
      <c r="O558" t="s">
        <v>214</v>
      </c>
      <c r="Q558" s="99">
        <v>679.30097160092066</v>
      </c>
      <c r="R558" s="99">
        <v>-185.66844381590201</v>
      </c>
      <c r="T558" s="99">
        <v>3.3615726786549045</v>
      </c>
      <c r="U558" s="99">
        <v>2.8251096131600892</v>
      </c>
      <c r="V558" s="99">
        <f t="shared" si="66"/>
        <v>0.53646306549481526</v>
      </c>
      <c r="W558" t="s">
        <v>578</v>
      </c>
      <c r="X558" s="196">
        <v>7.800844190575637E-2</v>
      </c>
      <c r="Y558" s="196">
        <v>1.8164664779253062E-2</v>
      </c>
      <c r="Z558" s="196">
        <v>3.2183929803017365E-3</v>
      </c>
      <c r="AA558" s="54">
        <v>0.04</v>
      </c>
      <c r="AB558" s="99">
        <f t="shared" si="68"/>
        <v>0.4362680714929737</v>
      </c>
      <c r="AC558" s="99">
        <f t="shared" si="67"/>
        <v>864.9694154168227</v>
      </c>
      <c r="AD558" s="99">
        <f t="shared" si="69"/>
        <v>0.28781796475218796</v>
      </c>
      <c r="AE558" s="99"/>
    </row>
    <row r="559" spans="15:31" x14ac:dyDescent="0.25">
      <c r="O559" t="s">
        <v>216</v>
      </c>
      <c r="Q559" s="99">
        <v>562.67677403766027</v>
      </c>
      <c r="R559" s="99">
        <v>-30.477144503565501</v>
      </c>
      <c r="T559" s="99">
        <v>2.4653971364845653</v>
      </c>
      <c r="U559" s="99">
        <v>1.527135857094418</v>
      </c>
      <c r="V559" s="99">
        <f t="shared" si="66"/>
        <v>0.93826127939014725</v>
      </c>
      <c r="W559" t="s">
        <v>578</v>
      </c>
      <c r="X559" s="196">
        <v>7.800844190575637E-2</v>
      </c>
      <c r="Y559" s="196">
        <v>1.8164664779253062E-2</v>
      </c>
      <c r="Z559" s="196">
        <v>3.2183929803017365E-3</v>
      </c>
      <c r="AA559" s="54">
        <v>0.04</v>
      </c>
      <c r="AB559" s="99">
        <f t="shared" si="68"/>
        <v>0.57695961284618402</v>
      </c>
      <c r="AC559" s="99">
        <f t="shared" si="67"/>
        <v>593.15391854122572</v>
      </c>
      <c r="AD559" s="99">
        <f t="shared" si="69"/>
        <v>0.23834235381059252</v>
      </c>
      <c r="AE559" s="99"/>
    </row>
    <row r="560" spans="15:31" x14ac:dyDescent="0.25">
      <c r="O560" t="s">
        <v>209</v>
      </c>
      <c r="Q560" s="99">
        <v>861.7345784365076</v>
      </c>
      <c r="R560" s="99">
        <v>-190.39628028158205</v>
      </c>
      <c r="T560" s="99">
        <v>3.2904975349009793</v>
      </c>
      <c r="U560" s="99">
        <v>2.3448690330280657</v>
      </c>
      <c r="V560" s="99">
        <f t="shared" si="66"/>
        <v>0.94562850187291358</v>
      </c>
      <c r="W560" t="s">
        <v>578</v>
      </c>
      <c r="X560" s="196">
        <v>7.800844190575637E-2</v>
      </c>
      <c r="Y560" s="196">
        <v>1.8164664779253062E-2</v>
      </c>
      <c r="Z560" s="196">
        <v>3.2183929803017365E-3</v>
      </c>
      <c r="AA560" s="54">
        <v>0.04</v>
      </c>
      <c r="AB560" s="99">
        <f t="shared" si="68"/>
        <v>0.57922032562457915</v>
      </c>
      <c r="AC560" s="99">
        <f t="shared" si="67"/>
        <v>1052.1308587180897</v>
      </c>
      <c r="AD560" s="99">
        <f t="shared" si="69"/>
        <v>0.317433239601147</v>
      </c>
      <c r="AE560" s="99"/>
    </row>
    <row r="561" spans="15:31" x14ac:dyDescent="0.25">
      <c r="O561" t="s">
        <v>210</v>
      </c>
      <c r="Q561" s="99">
        <v>3643.1385114392592</v>
      </c>
      <c r="R561" s="99">
        <v>-197.10550833848961</v>
      </c>
      <c r="T561" s="99">
        <v>0.62223212390582994</v>
      </c>
      <c r="U561" s="99">
        <v>2.7051261762371812</v>
      </c>
      <c r="V561" s="99">
        <f t="shared" si="66"/>
        <v>-2.0828940523313513</v>
      </c>
      <c r="W561" t="s">
        <v>578</v>
      </c>
      <c r="X561" s="196">
        <v>7.800844190575637E-2</v>
      </c>
      <c r="Y561" s="196">
        <v>1.8164664779253062E-2</v>
      </c>
      <c r="Z561" s="196">
        <v>3.2183929803017365E-3</v>
      </c>
      <c r="AA561" s="54">
        <v>0.04</v>
      </c>
      <c r="AB561" s="99">
        <f t="shared" si="68"/>
        <v>-0.63276259468480689</v>
      </c>
      <c r="AC561" s="99">
        <f t="shared" si="67"/>
        <v>3840.2440197777487</v>
      </c>
      <c r="AD561" s="99">
        <f t="shared" si="69"/>
        <v>0.60645269852431893</v>
      </c>
      <c r="AE561" s="99"/>
    </row>
    <row r="562" spans="15:31" x14ac:dyDescent="0.25">
      <c r="O562" t="s">
        <v>217</v>
      </c>
      <c r="Q562" s="99">
        <v>1602.3156062721669</v>
      </c>
      <c r="R562" s="99">
        <v>-158.6079534814115</v>
      </c>
      <c r="T562" s="99">
        <v>1.1576123922936707</v>
      </c>
      <c r="U562" s="99">
        <v>2.1199770892810754</v>
      </c>
      <c r="V562" s="99">
        <f t="shared" si="66"/>
        <v>-0.96236469698740468</v>
      </c>
      <c r="W562" t="s">
        <v>578</v>
      </c>
      <c r="X562" s="196">
        <v>7.800844190575637E-2</v>
      </c>
      <c r="Y562" s="196">
        <v>1.8164664779253062E-2</v>
      </c>
      <c r="Z562" s="196">
        <v>3.2183929803017365E-3</v>
      </c>
      <c r="AA562" s="54">
        <v>0.04</v>
      </c>
      <c r="AB562" s="99">
        <f t="shared" si="68"/>
        <v>-0.43010753391344425</v>
      </c>
      <c r="AC562" s="99">
        <f t="shared" si="67"/>
        <v>1760.9235597535783</v>
      </c>
      <c r="AD562" s="99">
        <f t="shared" si="69"/>
        <v>0.41066507901821198</v>
      </c>
      <c r="AE562" s="99"/>
    </row>
    <row r="563" spans="15:31" x14ac:dyDescent="0.25">
      <c r="O563" t="s">
        <v>218</v>
      </c>
      <c r="Q563" s="99">
        <v>670.12999287558239</v>
      </c>
      <c r="R563" s="99">
        <v>-186.7438480184891</v>
      </c>
      <c r="T563" s="99">
        <v>3.701441528255176</v>
      </c>
      <c r="U563" s="99">
        <v>2.6050031741166437</v>
      </c>
      <c r="V563" s="99">
        <f t="shared" si="66"/>
        <v>1.0964383541385323</v>
      </c>
      <c r="W563" t="s">
        <v>578</v>
      </c>
      <c r="X563" s="196">
        <v>7.800844190575637E-2</v>
      </c>
      <c r="Y563" s="196">
        <v>1.8164664779253062E-2</v>
      </c>
      <c r="Z563" s="196">
        <v>3.2183929803017365E-3</v>
      </c>
      <c r="AA563" s="54">
        <v>0.04</v>
      </c>
      <c r="AB563" s="99">
        <f t="shared" si="68"/>
        <v>0.62369983064819712</v>
      </c>
      <c r="AC563" s="99">
        <f t="shared" si="67"/>
        <v>856.87384089407146</v>
      </c>
      <c r="AD563" s="99">
        <f t="shared" si="69"/>
        <v>0.28646790001998634</v>
      </c>
      <c r="AE563" s="99"/>
    </row>
    <row r="564" spans="15:31" x14ac:dyDescent="0.25">
      <c r="O564" t="s">
        <v>219</v>
      </c>
      <c r="Q564" s="99">
        <v>943.78190275626559</v>
      </c>
      <c r="R564" s="99">
        <v>-247.29166586594712</v>
      </c>
      <c r="T564" s="99">
        <v>3.2668537871660366</v>
      </c>
      <c r="U564" s="99">
        <v>1.8229009812240302</v>
      </c>
      <c r="V564" s="99">
        <f t="shared" si="66"/>
        <v>1.4439528059420064</v>
      </c>
      <c r="W564" t="s">
        <v>578</v>
      </c>
      <c r="X564" s="196">
        <v>7.800844190575637E-2</v>
      </c>
      <c r="Y564" s="196">
        <v>1.8164664779253062E-2</v>
      </c>
      <c r="Z564" s="196">
        <v>3.2183929803017365E-3</v>
      </c>
      <c r="AA564" s="54">
        <v>0.04</v>
      </c>
      <c r="AB564" s="99">
        <f t="shared" si="68"/>
        <v>0.71574779062764204</v>
      </c>
      <c r="AC564" s="99">
        <f t="shared" si="67"/>
        <v>1191.0735686222126</v>
      </c>
      <c r="AD564" s="99">
        <f t="shared" si="69"/>
        <v>0.33774335698775942</v>
      </c>
      <c r="AE564" s="99"/>
    </row>
    <row r="565" spans="15:31" x14ac:dyDescent="0.25">
      <c r="O565" t="s">
        <v>220</v>
      </c>
      <c r="Q565" s="99">
        <v>549.32220090201531</v>
      </c>
      <c r="R565" s="99">
        <v>-81.432526408414816</v>
      </c>
      <c r="T565" s="99">
        <v>2.1555992356873865</v>
      </c>
      <c r="U565" s="99">
        <v>1.7042774781577146</v>
      </c>
      <c r="V565" s="99">
        <f t="shared" si="66"/>
        <v>0.45132175752967196</v>
      </c>
      <c r="W565" t="s">
        <v>578</v>
      </c>
      <c r="X565" s="196">
        <v>7.800844190575637E-2</v>
      </c>
      <c r="Y565" s="196">
        <v>1.8164664779253062E-2</v>
      </c>
      <c r="Z565" s="196">
        <v>3.2183929803017365E-3</v>
      </c>
      <c r="AA565" s="54">
        <v>0.04</v>
      </c>
      <c r="AB565" s="99">
        <f t="shared" si="68"/>
        <v>0.40015352956709327</v>
      </c>
      <c r="AC565" s="99">
        <f t="shared" si="67"/>
        <v>630.7547273104301</v>
      </c>
      <c r="AD565" s="99">
        <f t="shared" si="69"/>
        <v>0.24578070134009145</v>
      </c>
      <c r="AE565" s="99"/>
    </row>
    <row r="566" spans="15:31" x14ac:dyDescent="0.25">
      <c r="O566" t="s">
        <v>221</v>
      </c>
      <c r="Q566" s="99">
        <v>100.85184991365209</v>
      </c>
      <c r="R566" s="99">
        <v>-1.9239401181870242</v>
      </c>
      <c r="T566" s="99">
        <v>1.3665992807752976</v>
      </c>
      <c r="U566" s="99">
        <v>1.4775618730674513</v>
      </c>
      <c r="V566" s="99">
        <f t="shared" si="66"/>
        <v>-0.11096259229215377</v>
      </c>
      <c r="W566" t="s">
        <v>578</v>
      </c>
      <c r="X566" s="196">
        <v>7.800844190575637E-2</v>
      </c>
      <c r="Y566" s="196">
        <v>1.8164664779253062E-2</v>
      </c>
      <c r="Z566" s="196">
        <v>3.2183929803017365E-3</v>
      </c>
      <c r="AA566" s="54">
        <v>0.04</v>
      </c>
      <c r="AB566" s="99">
        <f t="shared" si="68"/>
        <v>-0.14604796344405144</v>
      </c>
      <c r="AC566" s="99">
        <f t="shared" si="67"/>
        <v>102.77579003183911</v>
      </c>
      <c r="AD566" s="99">
        <f t="shared" si="69"/>
        <v>9.9211709748148413E-2</v>
      </c>
      <c r="AE566" s="99"/>
    </row>
    <row r="567" spans="15:31" x14ac:dyDescent="0.25">
      <c r="O567" t="s">
        <v>222</v>
      </c>
      <c r="Q567" s="99">
        <v>512.06681665310361</v>
      </c>
      <c r="R567" s="99">
        <v>-126.88596853893107</v>
      </c>
      <c r="T567" s="99">
        <v>3.4403686312453909</v>
      </c>
      <c r="U567" s="99">
        <v>2.1732738014740072</v>
      </c>
      <c r="V567" s="99">
        <f t="shared" si="66"/>
        <v>1.2670948297713838</v>
      </c>
      <c r="W567" t="s">
        <v>578</v>
      </c>
      <c r="X567" s="196">
        <v>7.800844190575637E-2</v>
      </c>
      <c r="Y567" s="196">
        <v>1.8164664779253062E-2</v>
      </c>
      <c r="Z567" s="196">
        <v>3.2183929803017365E-3</v>
      </c>
      <c r="AA567" s="54">
        <v>0.04</v>
      </c>
      <c r="AB567" s="99">
        <f t="shared" si="68"/>
        <v>0.67048347113720108</v>
      </c>
      <c r="AC567" s="99">
        <f t="shared" si="67"/>
        <v>638.95278519203464</v>
      </c>
      <c r="AD567" s="99">
        <f t="shared" si="69"/>
        <v>0.24737277780773875</v>
      </c>
      <c r="AE567" s="99"/>
    </row>
    <row r="568" spans="15:31" x14ac:dyDescent="0.25">
      <c r="O568" t="s">
        <v>223</v>
      </c>
      <c r="Q568" s="99">
        <v>470.22668662090075</v>
      </c>
      <c r="R568" s="99">
        <v>-166.75974860271282</v>
      </c>
      <c r="T568" s="99">
        <v>4.4012810785084042</v>
      </c>
      <c r="U568" s="99">
        <v>2.3499908834655265</v>
      </c>
      <c r="V568" s="99">
        <f t="shared" si="66"/>
        <v>2.0512901950428777</v>
      </c>
      <c r="W568" t="s">
        <v>578</v>
      </c>
      <c r="X568" s="196">
        <v>7.800844190575637E-2</v>
      </c>
      <c r="Y568" s="196">
        <v>1.8164664779253062E-2</v>
      </c>
      <c r="Z568" s="196">
        <v>3.2183929803017365E-3</v>
      </c>
      <c r="AA568" s="54">
        <v>0.04</v>
      </c>
      <c r="AB568" s="99">
        <f t="shared" si="68"/>
        <v>0.85309435594308303</v>
      </c>
      <c r="AC568" s="99">
        <f t="shared" si="67"/>
        <v>636.98643522361363</v>
      </c>
      <c r="AD568" s="99">
        <f t="shared" si="69"/>
        <v>0.24699184491457923</v>
      </c>
      <c r="AE568" s="99"/>
    </row>
    <row r="569" spans="15:31" x14ac:dyDescent="0.25">
      <c r="O569" t="s">
        <v>224</v>
      </c>
      <c r="Q569" s="99">
        <v>463.70553355322829</v>
      </c>
      <c r="R569" s="99">
        <v>-154.07710449210404</v>
      </c>
      <c r="T569" s="99">
        <v>3.31901580282533</v>
      </c>
      <c r="U569" s="99">
        <v>2.2389986178294041</v>
      </c>
      <c r="V569" s="99">
        <f t="shared" si="66"/>
        <v>1.0800171849959259</v>
      </c>
      <c r="W569" t="s">
        <v>578</v>
      </c>
      <c r="X569" s="196">
        <v>7.800844190575637E-2</v>
      </c>
      <c r="Y569" s="196">
        <v>1.8164664779253062E-2</v>
      </c>
      <c r="Z569" s="196">
        <v>3.2183929803017365E-3</v>
      </c>
      <c r="AA569" s="54">
        <v>0.04</v>
      </c>
      <c r="AB569" s="99">
        <f t="shared" si="68"/>
        <v>0.61901168836636533</v>
      </c>
      <c r="AC569" s="99">
        <f t="shared" si="67"/>
        <v>617.78263804533231</v>
      </c>
      <c r="AD569" s="99">
        <f t="shared" si="69"/>
        <v>0.24324021103945598</v>
      </c>
      <c r="AE569" s="99"/>
    </row>
    <row r="570" spans="15:31" x14ac:dyDescent="0.25">
      <c r="O570" t="s">
        <v>225</v>
      </c>
      <c r="Q570" s="99">
        <v>608.53847330459882</v>
      </c>
      <c r="R570" s="99">
        <v>-127.81648484783291</v>
      </c>
      <c r="T570" s="99">
        <v>2.9053212732720217</v>
      </c>
      <c r="U570" s="99">
        <v>2.3662925966782744</v>
      </c>
      <c r="V570" s="99">
        <f t="shared" si="66"/>
        <v>0.53902867659374731</v>
      </c>
      <c r="W570" t="s">
        <v>578</v>
      </c>
      <c r="X570" s="196">
        <v>7.800844190575637E-2</v>
      </c>
      <c r="Y570" s="196">
        <v>1.8164664779253062E-2</v>
      </c>
      <c r="Z570" s="196">
        <v>3.2183929803017365E-3</v>
      </c>
      <c r="AA570" s="54">
        <v>0.04</v>
      </c>
      <c r="AB570" s="99">
        <f t="shared" si="68"/>
        <v>0.4373100436480768</v>
      </c>
      <c r="AC570" s="99">
        <f t="shared" si="67"/>
        <v>736.35495815243178</v>
      </c>
      <c r="AD570" s="99">
        <f t="shared" si="69"/>
        <v>0.26555906435253107</v>
      </c>
      <c r="AE570" s="99"/>
    </row>
    <row r="571" spans="15:31" x14ac:dyDescent="0.25">
      <c r="O571" t="s">
        <v>226</v>
      </c>
      <c r="Q571" s="99">
        <v>10264.50922531079</v>
      </c>
      <c r="R571" s="99">
        <v>-177.0403736544929</v>
      </c>
      <c r="T571" s="99">
        <v>0.18365745178375725</v>
      </c>
      <c r="U571" s="99">
        <v>2.3194208843483697</v>
      </c>
      <c r="V571" s="99">
        <f t="shared" si="66"/>
        <v>-2.1357634325646124</v>
      </c>
      <c r="W571" t="s">
        <v>578</v>
      </c>
      <c r="X571" s="196">
        <v>7.800844190575637E-2</v>
      </c>
      <c r="Y571" s="196">
        <v>1.8164664779253062E-2</v>
      </c>
      <c r="Z571" s="196">
        <v>3.2183929803017365E-3</v>
      </c>
      <c r="AA571" s="54">
        <v>0.04</v>
      </c>
      <c r="AB571" s="99">
        <f t="shared" si="68"/>
        <v>-0.64074286906079259</v>
      </c>
      <c r="AC571" s="99">
        <f t="shared" si="67"/>
        <v>10441.549598965283</v>
      </c>
      <c r="AD571" s="99">
        <f t="shared" si="69"/>
        <v>1</v>
      </c>
      <c r="AE571" s="99"/>
    </row>
    <row r="572" spans="15:31" x14ac:dyDescent="0.25">
      <c r="O572" t="s">
        <v>228</v>
      </c>
      <c r="Q572" s="99">
        <v>235.53371768913377</v>
      </c>
      <c r="R572" s="99">
        <v>-140.66429401965635</v>
      </c>
      <c r="T572" s="99">
        <v>4.7868331139758702</v>
      </c>
      <c r="U572" s="99">
        <v>1.9682362344469895</v>
      </c>
      <c r="V572" s="99">
        <f t="shared" si="66"/>
        <v>2.8185968795288807</v>
      </c>
      <c r="W572" t="s">
        <v>578</v>
      </c>
      <c r="X572" s="196">
        <v>7.800844190575637E-2</v>
      </c>
      <c r="Y572" s="196">
        <v>1.8164664779253062E-2</v>
      </c>
      <c r="Z572" s="196">
        <v>3.2183929803017365E-3</v>
      </c>
      <c r="AA572" s="54">
        <v>0.04</v>
      </c>
      <c r="AB572" s="99">
        <f t="shared" si="68"/>
        <v>1</v>
      </c>
      <c r="AC572" s="99">
        <f t="shared" si="67"/>
        <v>376.19801170879009</v>
      </c>
      <c r="AD572" s="99">
        <f t="shared" si="69"/>
        <v>0.18981291991945465</v>
      </c>
      <c r="AE572" s="99"/>
    </row>
    <row r="573" spans="15:31" x14ac:dyDescent="0.25">
      <c r="O573" t="s">
        <v>227</v>
      </c>
      <c r="Q573" s="99">
        <v>363.78521353708362</v>
      </c>
      <c r="R573" s="99">
        <v>-159.6199409621471</v>
      </c>
      <c r="T573" s="99">
        <v>3.1559416722008109</v>
      </c>
      <c r="U573" s="99">
        <v>2.1292246202253313</v>
      </c>
      <c r="V573" s="99">
        <f t="shared" si="66"/>
        <v>1.0267170519754796</v>
      </c>
      <c r="W573" t="s">
        <v>578</v>
      </c>
      <c r="X573" s="196">
        <v>7.800844190575637E-2</v>
      </c>
      <c r="Y573" s="196">
        <v>1.8164664779253062E-2</v>
      </c>
      <c r="Z573" s="196">
        <v>3.2183929803017365E-3</v>
      </c>
      <c r="AA573" s="54">
        <v>0.04</v>
      </c>
      <c r="AB573" s="99">
        <f t="shared" si="68"/>
        <v>0.60354395448348119</v>
      </c>
      <c r="AC573" s="99">
        <f t="shared" si="67"/>
        <v>523.40515449923078</v>
      </c>
      <c r="AD573" s="99">
        <f t="shared" si="69"/>
        <v>0.22389094001021376</v>
      </c>
      <c r="AE573" s="99"/>
    </row>
    <row r="574" spans="15:31" x14ac:dyDescent="0.25">
      <c r="O574" t="s">
        <v>229</v>
      </c>
      <c r="Q574" s="99">
        <v>527.7819414632412</v>
      </c>
      <c r="R574" s="99">
        <v>-158.92183725731456</v>
      </c>
      <c r="T574" s="99">
        <v>3.2981036145460028</v>
      </c>
      <c r="U574" s="99">
        <v>1.6367194678222656</v>
      </c>
      <c r="V574" s="99">
        <f t="shared" si="66"/>
        <v>1.6613841467237371</v>
      </c>
      <c r="W574" t="s">
        <v>578</v>
      </c>
      <c r="X574" s="196">
        <v>7.800844190575637E-2</v>
      </c>
      <c r="Y574" s="196">
        <v>1.8164664779253062E-2</v>
      </c>
      <c r="Z574" s="196">
        <v>3.2183929803017365E-3</v>
      </c>
      <c r="AA574" s="54">
        <v>0.04</v>
      </c>
      <c r="AB574" s="99">
        <f t="shared" si="68"/>
        <v>0.76774774163056259</v>
      </c>
      <c r="AC574" s="99">
        <f t="shared" si="67"/>
        <v>686.70377872055576</v>
      </c>
      <c r="AD574" s="99">
        <f t="shared" si="69"/>
        <v>0.25644972677669892</v>
      </c>
      <c r="AE574" s="99"/>
    </row>
    <row r="575" spans="15:31" x14ac:dyDescent="0.25">
      <c r="O575" t="s">
        <v>159</v>
      </c>
      <c r="Q575" s="99">
        <v>0</v>
      </c>
      <c r="R575" s="99">
        <v>-162.86058423390034</v>
      </c>
      <c r="T575" s="99">
        <v>-1.9654628442515696</v>
      </c>
      <c r="U575" s="99">
        <v>2.4935836570570693</v>
      </c>
      <c r="V575" s="99">
        <f t="shared" si="66"/>
        <v>-4.4590465013086389</v>
      </c>
      <c r="W575" t="s">
        <v>578</v>
      </c>
      <c r="X575" s="196">
        <v>7.800844190575637E-2</v>
      </c>
      <c r="Y575" s="196">
        <v>1.8164664779253062E-2</v>
      </c>
      <c r="Z575" s="196">
        <v>3.2183929803017365E-3</v>
      </c>
      <c r="AA575" s="54">
        <v>0.04</v>
      </c>
      <c r="AB575" s="99">
        <f t="shared" si="68"/>
        <v>-0.92582351880379721</v>
      </c>
      <c r="AC575" s="99">
        <f t="shared" si="67"/>
        <v>162.86058423390034</v>
      </c>
      <c r="AD575" s="99">
        <f t="shared" si="69"/>
        <v>0.12488938192986453</v>
      </c>
      <c r="AE575" s="99"/>
    </row>
    <row r="576" spans="15:31" x14ac:dyDescent="0.25">
      <c r="O576" t="s">
        <v>158</v>
      </c>
      <c r="Q576" s="99">
        <v>1889.487212334152</v>
      </c>
      <c r="R576" s="99">
        <v>-178.84607027386059</v>
      </c>
      <c r="T576" s="99">
        <v>0.99953000805058334</v>
      </c>
      <c r="U576" s="99">
        <v>2.343908170223246</v>
      </c>
      <c r="V576" s="99">
        <f t="shared" si="66"/>
        <v>-1.3443781621726627</v>
      </c>
      <c r="W576" t="s">
        <v>578</v>
      </c>
      <c r="X576" s="196">
        <v>7.800844190575637E-2</v>
      </c>
      <c r="Y576" s="196">
        <v>1.8164664779253062E-2</v>
      </c>
      <c r="Z576" s="196">
        <v>3.2183929803017365E-3</v>
      </c>
      <c r="AA576" s="54">
        <v>0.04</v>
      </c>
      <c r="AB576" s="99">
        <f t="shared" si="68"/>
        <v>-0.50835597558488399</v>
      </c>
      <c r="AC576" s="99">
        <f t="shared" si="67"/>
        <v>2068.3332826080127</v>
      </c>
      <c r="AD576" s="99">
        <f t="shared" si="69"/>
        <v>0.44506944736494569</v>
      </c>
      <c r="AE576" s="99"/>
    </row>
    <row r="577" spans="15:31" x14ac:dyDescent="0.25">
      <c r="O577" t="s">
        <v>160</v>
      </c>
      <c r="Q577" s="99">
        <v>0</v>
      </c>
      <c r="R577" s="99">
        <v>-273.89140483111476</v>
      </c>
      <c r="T577" s="99">
        <v>-1.538411143661861</v>
      </c>
      <c r="U577" s="99">
        <v>3.6637713513922323</v>
      </c>
      <c r="V577" s="99">
        <f t="shared" si="66"/>
        <v>-5.2021824950540934</v>
      </c>
      <c r="W577" t="s">
        <v>578</v>
      </c>
      <c r="X577" s="196">
        <v>7.800844190575637E-2</v>
      </c>
      <c r="Y577" s="196">
        <v>1.8164664779253062E-2</v>
      </c>
      <c r="Z577" s="196">
        <v>3.2183929803017365E-3</v>
      </c>
      <c r="AA577" s="54">
        <v>0.04</v>
      </c>
      <c r="AB577" s="99">
        <f t="shared" si="68"/>
        <v>-1</v>
      </c>
      <c r="AC577" s="99">
        <f t="shared" si="67"/>
        <v>273.89140483111476</v>
      </c>
      <c r="AD577" s="99">
        <f t="shared" si="69"/>
        <v>0.1619596105910428</v>
      </c>
      <c r="AE577" s="99"/>
    </row>
    <row r="578" spans="15:31" x14ac:dyDescent="0.25">
      <c r="O578" t="s">
        <v>187</v>
      </c>
      <c r="Q578" s="99">
        <v>108.80668234932219</v>
      </c>
      <c r="R578" s="99">
        <v>-259.05671695933665</v>
      </c>
      <c r="T578" s="99">
        <v>47.240782751260689</v>
      </c>
      <c r="U578" s="99">
        <v>30.189093311712909</v>
      </c>
      <c r="V578" s="99">
        <f t="shared" si="66"/>
        <v>17.051689439547779</v>
      </c>
      <c r="W578" t="s">
        <v>569</v>
      </c>
      <c r="X578" s="196">
        <f>235.386954628795%/14</f>
        <v>0.16813353902056785</v>
      </c>
      <c r="Y578" s="196">
        <f>54.8110565957324%/14</f>
        <v>3.9150754711237426E-2</v>
      </c>
      <c r="Z578" s="196">
        <f>9.71135564208744%/14</f>
        <v>6.9366826014910293E-3</v>
      </c>
      <c r="AA578" s="54">
        <v>0.05</v>
      </c>
      <c r="AB578" s="99">
        <f>IF(V578&gt;0, SQRT(V578/MAX($V$578:$V$625)), -SQRT(V578/MIN($V$578:$V$625)))</f>
        <v>0.71639979801455234</v>
      </c>
      <c r="AC578" s="99">
        <f t="shared" si="67"/>
        <v>367.86339930865881</v>
      </c>
      <c r="AD578" s="99">
        <f>IF(AC578&gt;0,SQRT(AC578/MAX($AC$578:$AC$625)),-SQRT(AC578/MIN($AC$578:$AC$625)))</f>
        <v>0.56940801885475922</v>
      </c>
      <c r="AE578" s="99"/>
    </row>
    <row r="579" spans="15:31" x14ac:dyDescent="0.25">
      <c r="O579" t="s">
        <v>189</v>
      </c>
      <c r="Q579" s="99">
        <v>88.322946862381386</v>
      </c>
      <c r="R579" s="99">
        <v>-352.98791450319544</v>
      </c>
      <c r="T579" s="99">
        <v>35.671788905103199</v>
      </c>
      <c r="U579" s="99">
        <v>22.442947056893125</v>
      </c>
      <c r="V579" s="99">
        <f t="shared" ref="V579:V642" si="70">T579-U579</f>
        <v>13.228841848210074</v>
      </c>
      <c r="W579" t="s">
        <v>569</v>
      </c>
      <c r="X579" s="196">
        <f t="shared" ref="X579:X625" si="71">235.386954628795%/14</f>
        <v>0.16813353902056785</v>
      </c>
      <c r="Y579" s="196">
        <f t="shared" ref="Y579:Y625" si="72">54.8110565957324%/14</f>
        <v>3.9150754711237426E-2</v>
      </c>
      <c r="Z579" s="196">
        <f t="shared" ref="Z579:Z625" si="73">9.71135564208744%/14</f>
        <v>6.9366826014910293E-3</v>
      </c>
      <c r="AA579" s="54">
        <v>0.05</v>
      </c>
      <c r="AB579" s="99">
        <f t="shared" ref="AB579:AB625" si="74">IF(V579&gt;0, SQRT(V579/MAX($V$578:$V$625)), -SQRT(V579/MIN($V$578:$V$625)))</f>
        <v>0.63100479552151045</v>
      </c>
      <c r="AC579" s="99">
        <f t="shared" ref="AC579:AC642" si="75">Q579-R579</f>
        <v>441.31086136557684</v>
      </c>
      <c r="AD579" s="99">
        <f t="shared" ref="AD579:AD625" si="76">IF(AC579&gt;0,SQRT(AC579/MAX($AC$578:$AC$625)),-SQRT(AC579/MIN($AC$578:$AC$625)))</f>
        <v>0.623666759190036</v>
      </c>
      <c r="AE579" s="99"/>
    </row>
    <row r="580" spans="15:31" x14ac:dyDescent="0.25">
      <c r="O580" t="s">
        <v>188</v>
      </c>
      <c r="Q580" s="99">
        <v>238.30953813095226</v>
      </c>
      <c r="R580" s="99">
        <v>-252.74350768062141</v>
      </c>
      <c r="T580" s="99">
        <v>36.053770631883197</v>
      </c>
      <c r="U580" s="99">
        <v>29.35752504006178</v>
      </c>
      <c r="V580" s="99">
        <f t="shared" si="70"/>
        <v>6.6962455918214161</v>
      </c>
      <c r="W580" t="s">
        <v>569</v>
      </c>
      <c r="X580" s="196">
        <f t="shared" si="71"/>
        <v>0.16813353902056785</v>
      </c>
      <c r="Y580" s="196">
        <f t="shared" si="72"/>
        <v>3.9150754711237426E-2</v>
      </c>
      <c r="Z580" s="196">
        <f t="shared" si="73"/>
        <v>6.9366826014910293E-3</v>
      </c>
      <c r="AA580" s="54">
        <v>0.05</v>
      </c>
      <c r="AB580" s="99">
        <f t="shared" si="74"/>
        <v>0.44893910283003152</v>
      </c>
      <c r="AC580" s="99">
        <f t="shared" si="75"/>
        <v>491.05304581157367</v>
      </c>
      <c r="AD580" s="99">
        <f t="shared" si="76"/>
        <v>0.65787668239589947</v>
      </c>
      <c r="AE580" s="99"/>
    </row>
    <row r="581" spans="15:31" x14ac:dyDescent="0.25">
      <c r="O581" t="s">
        <v>149</v>
      </c>
      <c r="Q581" s="99">
        <v>302.79967744731249</v>
      </c>
      <c r="R581" s="99">
        <v>-338.71798335765993</v>
      </c>
      <c r="T581" s="99">
        <v>41.574790759966902</v>
      </c>
      <c r="U581" s="99">
        <v>21.304606948907526</v>
      </c>
      <c r="V581" s="99">
        <f t="shared" si="70"/>
        <v>20.270183811059376</v>
      </c>
      <c r="W581" t="s">
        <v>569</v>
      </c>
      <c r="X581" s="196">
        <f t="shared" si="71"/>
        <v>0.16813353902056785</v>
      </c>
      <c r="Y581" s="196">
        <f t="shared" si="72"/>
        <v>3.9150754711237426E-2</v>
      </c>
      <c r="Z581" s="196">
        <f t="shared" si="73"/>
        <v>6.9366826014910293E-3</v>
      </c>
      <c r="AA581" s="54">
        <v>0.05</v>
      </c>
      <c r="AB581" s="99">
        <f t="shared" si="74"/>
        <v>0.78108912467284175</v>
      </c>
      <c r="AC581" s="99">
        <f t="shared" si="75"/>
        <v>641.51766080497237</v>
      </c>
      <c r="AD581" s="99">
        <f t="shared" si="76"/>
        <v>0.75194244036427027</v>
      </c>
      <c r="AE581" s="99"/>
    </row>
    <row r="582" spans="15:31" x14ac:dyDescent="0.25">
      <c r="O582" t="s">
        <v>190</v>
      </c>
      <c r="Q582" s="99">
        <v>412.84647243321729</v>
      </c>
      <c r="R582" s="99">
        <v>-268.47975170988684</v>
      </c>
      <c r="T582" s="99">
        <v>25.324549419574126</v>
      </c>
      <c r="U582" s="99">
        <v>22.591102065422739</v>
      </c>
      <c r="V582" s="99">
        <f t="shared" si="70"/>
        <v>2.7334473541513873</v>
      </c>
      <c r="W582" t="s">
        <v>569</v>
      </c>
      <c r="X582" s="196">
        <f t="shared" si="71"/>
        <v>0.16813353902056785</v>
      </c>
      <c r="Y582" s="196">
        <f t="shared" si="72"/>
        <v>3.9150754711237426E-2</v>
      </c>
      <c r="Z582" s="196">
        <f t="shared" si="73"/>
        <v>6.9366826014910293E-3</v>
      </c>
      <c r="AA582" s="54">
        <v>0.05</v>
      </c>
      <c r="AB582" s="99">
        <f t="shared" si="74"/>
        <v>0.286831671999078</v>
      </c>
      <c r="AC582" s="99">
        <f t="shared" si="75"/>
        <v>681.32622414310413</v>
      </c>
      <c r="AD582" s="99">
        <f t="shared" si="76"/>
        <v>0.77492173414678334</v>
      </c>
      <c r="AE582" s="99"/>
    </row>
    <row r="583" spans="15:31" x14ac:dyDescent="0.25">
      <c r="O583" t="s">
        <v>191</v>
      </c>
      <c r="Q583" s="99">
        <v>612.87964396032055</v>
      </c>
      <c r="R583" s="99">
        <v>-247.56569840456535</v>
      </c>
      <c r="T583" s="99">
        <v>35.27804498297786</v>
      </c>
      <c r="U583" s="99">
        <v>20.998123892067696</v>
      </c>
      <c r="V583" s="99">
        <f t="shared" si="70"/>
        <v>14.279921090910165</v>
      </c>
      <c r="W583" t="s">
        <v>569</v>
      </c>
      <c r="X583" s="196">
        <f t="shared" si="71"/>
        <v>0.16813353902056785</v>
      </c>
      <c r="Y583" s="196">
        <f t="shared" si="72"/>
        <v>3.9150754711237426E-2</v>
      </c>
      <c r="Z583" s="196">
        <f t="shared" si="73"/>
        <v>6.9366826014910293E-3</v>
      </c>
      <c r="AA583" s="54">
        <v>0.05</v>
      </c>
      <c r="AB583" s="99">
        <f t="shared" si="74"/>
        <v>0.65559351864223103</v>
      </c>
      <c r="AC583" s="99">
        <f t="shared" si="75"/>
        <v>860.44534236488585</v>
      </c>
      <c r="AD583" s="99">
        <f t="shared" si="76"/>
        <v>0.87084714647370443</v>
      </c>
      <c r="AE583" s="99"/>
    </row>
    <row r="584" spans="15:31" x14ac:dyDescent="0.25">
      <c r="O584" t="s">
        <v>192</v>
      </c>
      <c r="Q584" s="99">
        <v>337.5105442436132</v>
      </c>
      <c r="R584" s="99">
        <v>-257.94529611119054</v>
      </c>
      <c r="T584" s="99">
        <v>27.207873797503112</v>
      </c>
      <c r="U584" s="99">
        <v>21.618267336926309</v>
      </c>
      <c r="V584" s="99">
        <f t="shared" si="70"/>
        <v>5.5896064605768032</v>
      </c>
      <c r="W584" t="s">
        <v>569</v>
      </c>
      <c r="X584" s="196">
        <f t="shared" si="71"/>
        <v>0.16813353902056785</v>
      </c>
      <c r="Y584" s="196">
        <f t="shared" si="72"/>
        <v>3.9150754711237426E-2</v>
      </c>
      <c r="Z584" s="196">
        <f t="shared" si="73"/>
        <v>6.9366826014910293E-3</v>
      </c>
      <c r="AA584" s="54">
        <v>0.05</v>
      </c>
      <c r="AB584" s="99">
        <f t="shared" si="74"/>
        <v>0.41016855590874979</v>
      </c>
      <c r="AC584" s="99">
        <f t="shared" si="75"/>
        <v>595.45584035480374</v>
      </c>
      <c r="AD584" s="99">
        <f t="shared" si="76"/>
        <v>0.72444441512054181</v>
      </c>
      <c r="AE584" s="99"/>
    </row>
    <row r="585" spans="15:31" x14ac:dyDescent="0.25">
      <c r="O585" t="s">
        <v>193</v>
      </c>
      <c r="Q585" s="99">
        <v>434.65260048431406</v>
      </c>
      <c r="R585" s="99">
        <v>-232.34881679733212</v>
      </c>
      <c r="T585" s="99">
        <v>34.706913543215258</v>
      </c>
      <c r="U585" s="99">
        <v>24.689753356839915</v>
      </c>
      <c r="V585" s="99">
        <f t="shared" si="70"/>
        <v>10.017160186375342</v>
      </c>
      <c r="W585" t="s">
        <v>569</v>
      </c>
      <c r="X585" s="196">
        <f t="shared" si="71"/>
        <v>0.16813353902056785</v>
      </c>
      <c r="Y585" s="196">
        <f t="shared" si="72"/>
        <v>3.9150754711237426E-2</v>
      </c>
      <c r="Z585" s="196">
        <f t="shared" si="73"/>
        <v>6.9366826014910293E-3</v>
      </c>
      <c r="AA585" s="54">
        <v>0.05</v>
      </c>
      <c r="AB585" s="99">
        <f t="shared" si="74"/>
        <v>0.54909066062500711</v>
      </c>
      <c r="AC585" s="99">
        <f t="shared" si="75"/>
        <v>667.00141728164613</v>
      </c>
      <c r="AD585" s="99">
        <f t="shared" si="76"/>
        <v>0.76673213820242225</v>
      </c>
      <c r="AE585" s="99"/>
    </row>
    <row r="586" spans="15:31" x14ac:dyDescent="0.25">
      <c r="O586" t="s">
        <v>194</v>
      </c>
      <c r="Q586" s="99">
        <v>37.193880431226361</v>
      </c>
      <c r="R586" s="99">
        <v>-277.31301235156997</v>
      </c>
      <c r="T586" s="99">
        <v>47.879110922246696</v>
      </c>
      <c r="U586" s="99">
        <v>31.0343684673051</v>
      </c>
      <c r="V586" s="99">
        <f t="shared" si="70"/>
        <v>16.844742454941596</v>
      </c>
      <c r="W586" t="s">
        <v>569</v>
      </c>
      <c r="X586" s="196">
        <f t="shared" si="71"/>
        <v>0.16813353902056785</v>
      </c>
      <c r="Y586" s="196">
        <f t="shared" si="72"/>
        <v>3.9150754711237426E-2</v>
      </c>
      <c r="Z586" s="196">
        <f t="shared" si="73"/>
        <v>6.9366826014910293E-3</v>
      </c>
      <c r="AA586" s="54">
        <v>0.05</v>
      </c>
      <c r="AB586" s="99">
        <f t="shared" si="74"/>
        <v>0.71203925189978123</v>
      </c>
      <c r="AC586" s="99">
        <f t="shared" si="75"/>
        <v>314.50689278279634</v>
      </c>
      <c r="AD586" s="99">
        <f t="shared" si="76"/>
        <v>0.52649636009008416</v>
      </c>
      <c r="AE586" s="99"/>
    </row>
    <row r="587" spans="15:31" x14ac:dyDescent="0.25">
      <c r="O587" t="s">
        <v>196</v>
      </c>
      <c r="Q587" s="99">
        <v>54.857245941201398</v>
      </c>
      <c r="R587" s="99">
        <v>-297.08374699352055</v>
      </c>
      <c r="T587" s="99">
        <v>51.408558622636974</v>
      </c>
      <c r="U587" s="99">
        <v>25.418848414813482</v>
      </c>
      <c r="V587" s="99">
        <f t="shared" si="70"/>
        <v>25.989710207823492</v>
      </c>
      <c r="W587" t="s">
        <v>569</v>
      </c>
      <c r="X587" s="196">
        <f t="shared" si="71"/>
        <v>0.16813353902056785</v>
      </c>
      <c r="Y587" s="196">
        <f t="shared" si="72"/>
        <v>3.9150754711237426E-2</v>
      </c>
      <c r="Z587" s="196">
        <f t="shared" si="73"/>
        <v>6.9366826014910293E-3</v>
      </c>
      <c r="AA587" s="54">
        <v>0.05</v>
      </c>
      <c r="AB587" s="99">
        <f t="shared" si="74"/>
        <v>0.88444832970423604</v>
      </c>
      <c r="AC587" s="99">
        <f t="shared" si="75"/>
        <v>351.94099293472198</v>
      </c>
      <c r="AD587" s="99">
        <f t="shared" si="76"/>
        <v>0.55694872820573793</v>
      </c>
      <c r="AE587" s="99"/>
    </row>
    <row r="588" spans="15:31" x14ac:dyDescent="0.25">
      <c r="O588" t="s">
        <v>197</v>
      </c>
      <c r="Q588" s="99">
        <v>255.74711380690863</v>
      </c>
      <c r="R588" s="99">
        <v>-254.23474948280847</v>
      </c>
      <c r="T588" s="99">
        <v>40.66477904645361</v>
      </c>
      <c r="U588" s="99">
        <v>21.781125089458399</v>
      </c>
      <c r="V588" s="99">
        <f t="shared" si="70"/>
        <v>18.883653956995211</v>
      </c>
      <c r="W588" t="s">
        <v>569</v>
      </c>
      <c r="X588" s="196">
        <f t="shared" si="71"/>
        <v>0.16813353902056785</v>
      </c>
      <c r="Y588" s="196">
        <f t="shared" si="72"/>
        <v>3.9150754711237426E-2</v>
      </c>
      <c r="Z588" s="196">
        <f t="shared" si="73"/>
        <v>6.9366826014910293E-3</v>
      </c>
      <c r="AA588" s="54">
        <v>0.05</v>
      </c>
      <c r="AB588" s="99">
        <f t="shared" si="74"/>
        <v>0.75390177231275468</v>
      </c>
      <c r="AC588" s="99">
        <f t="shared" si="75"/>
        <v>509.98186328971713</v>
      </c>
      <c r="AD588" s="99">
        <f t="shared" si="76"/>
        <v>0.67043650706163904</v>
      </c>
      <c r="AE588" s="99"/>
    </row>
    <row r="589" spans="15:31" x14ac:dyDescent="0.25">
      <c r="O589" t="s">
        <v>198</v>
      </c>
      <c r="Q589" s="99">
        <v>198.15330732885116</v>
      </c>
      <c r="R589" s="99">
        <v>-291.83780459899879</v>
      </c>
      <c r="T589" s="99">
        <v>19.628491508109761</v>
      </c>
      <c r="U589" s="99">
        <v>31.144016839829732</v>
      </c>
      <c r="V589" s="99">
        <f t="shared" si="70"/>
        <v>-11.515525331719971</v>
      </c>
      <c r="W589" t="s">
        <v>569</v>
      </c>
      <c r="X589" s="196">
        <f t="shared" si="71"/>
        <v>0.16813353902056785</v>
      </c>
      <c r="Y589" s="196">
        <f t="shared" si="72"/>
        <v>3.9150754711237426E-2</v>
      </c>
      <c r="Z589" s="196">
        <f t="shared" si="73"/>
        <v>6.9366826014910293E-3</v>
      </c>
      <c r="AA589" s="54">
        <v>0.05</v>
      </c>
      <c r="AB589" s="99">
        <f t="shared" si="74"/>
        <v>-0.60026726594605073</v>
      </c>
      <c r="AC589" s="99">
        <f t="shared" si="75"/>
        <v>489.99111192784994</v>
      </c>
      <c r="AD589" s="99">
        <f t="shared" si="76"/>
        <v>0.65716494701537154</v>
      </c>
      <c r="AE589" s="99"/>
    </row>
    <row r="590" spans="15:31" x14ac:dyDescent="0.25">
      <c r="O590" t="s">
        <v>195</v>
      </c>
      <c r="Q590" s="99">
        <v>166.10660270328461</v>
      </c>
      <c r="R590" s="99">
        <v>-276.44443709461922</v>
      </c>
      <c r="T590" s="99">
        <v>42.455130343049419</v>
      </c>
      <c r="U590" s="99">
        <v>25.799443526492084</v>
      </c>
      <c r="V590" s="99">
        <f t="shared" si="70"/>
        <v>16.655686816557335</v>
      </c>
      <c r="W590" t="s">
        <v>569</v>
      </c>
      <c r="X590" s="196">
        <f t="shared" si="71"/>
        <v>0.16813353902056785</v>
      </c>
      <c r="Y590" s="196">
        <f t="shared" si="72"/>
        <v>3.9150754711237426E-2</v>
      </c>
      <c r="Z590" s="196">
        <f t="shared" si="73"/>
        <v>6.9366826014910293E-3</v>
      </c>
      <c r="AA590" s="54">
        <v>0.05</v>
      </c>
      <c r="AB590" s="99">
        <f t="shared" si="74"/>
        <v>0.70803221882763534</v>
      </c>
      <c r="AC590" s="99">
        <f t="shared" si="75"/>
        <v>442.55103979790385</v>
      </c>
      <c r="AD590" s="99">
        <f t="shared" si="76"/>
        <v>0.62454246325454743</v>
      </c>
      <c r="AE590" s="99"/>
    </row>
    <row r="591" spans="15:31" x14ac:dyDescent="0.25">
      <c r="O591" t="s">
        <v>199</v>
      </c>
      <c r="Q591" s="99">
        <v>226.69654965405189</v>
      </c>
      <c r="R591" s="99">
        <v>-263.54185310330263</v>
      </c>
      <c r="T591" s="99">
        <v>40.762741378156626</v>
      </c>
      <c r="U591" s="99">
        <v>25.565148381330886</v>
      </c>
      <c r="V591" s="99">
        <f t="shared" si="70"/>
        <v>15.19759299682574</v>
      </c>
      <c r="W591" t="s">
        <v>569</v>
      </c>
      <c r="X591" s="196">
        <f t="shared" si="71"/>
        <v>0.16813353902056785</v>
      </c>
      <c r="Y591" s="196">
        <f t="shared" si="72"/>
        <v>3.9150754711237426E-2</v>
      </c>
      <c r="Z591" s="196">
        <f t="shared" si="73"/>
        <v>6.9366826014910293E-3</v>
      </c>
      <c r="AA591" s="54">
        <v>0.05</v>
      </c>
      <c r="AB591" s="99">
        <f t="shared" si="74"/>
        <v>0.67633077944396114</v>
      </c>
      <c r="AC591" s="99">
        <f t="shared" si="75"/>
        <v>490.23840275735449</v>
      </c>
      <c r="AD591" s="99">
        <f t="shared" si="76"/>
        <v>0.65733075651876305</v>
      </c>
      <c r="AE591" s="99"/>
    </row>
    <row r="592" spans="15:31" x14ac:dyDescent="0.25">
      <c r="O592" t="s">
        <v>157</v>
      </c>
      <c r="Q592" s="99">
        <v>845.11467210006185</v>
      </c>
      <c r="R592" s="99">
        <v>-263.34794609425836</v>
      </c>
      <c r="T592" s="99">
        <v>8.3695203747169273</v>
      </c>
      <c r="U592" s="99">
        <v>27.927771425173596</v>
      </c>
      <c r="V592" s="99">
        <f t="shared" si="70"/>
        <v>-19.558251050456668</v>
      </c>
      <c r="W592" t="s">
        <v>569</v>
      </c>
      <c r="X592" s="196">
        <f t="shared" si="71"/>
        <v>0.16813353902056785</v>
      </c>
      <c r="Y592" s="196">
        <f t="shared" si="72"/>
        <v>3.9150754711237426E-2</v>
      </c>
      <c r="Z592" s="196">
        <f t="shared" si="73"/>
        <v>6.9366826014910293E-3</v>
      </c>
      <c r="AA592" s="54">
        <v>0.05</v>
      </c>
      <c r="AB592" s="99">
        <f t="shared" si="74"/>
        <v>-0.78229002317348484</v>
      </c>
      <c r="AC592" s="99">
        <f t="shared" si="75"/>
        <v>1108.4626181943202</v>
      </c>
      <c r="AD592" s="99">
        <f t="shared" si="76"/>
        <v>0.98841838496851242</v>
      </c>
      <c r="AE592" s="99"/>
    </row>
    <row r="593" spans="15:31" x14ac:dyDescent="0.25">
      <c r="O593" t="s">
        <v>200</v>
      </c>
      <c r="Q593" s="99">
        <v>326.10960526024337</v>
      </c>
      <c r="R593" s="99">
        <v>-220.75792890835203</v>
      </c>
      <c r="T593" s="99">
        <v>34.956860347448405</v>
      </c>
      <c r="U593" s="99">
        <v>25.358006624861837</v>
      </c>
      <c r="V593" s="99">
        <f t="shared" si="70"/>
        <v>9.5988537225865684</v>
      </c>
      <c r="W593" t="s">
        <v>569</v>
      </c>
      <c r="X593" s="196">
        <f t="shared" si="71"/>
        <v>0.16813353902056785</v>
      </c>
      <c r="Y593" s="196">
        <f t="shared" si="72"/>
        <v>3.9150754711237426E-2</v>
      </c>
      <c r="Z593" s="196">
        <f t="shared" si="73"/>
        <v>6.9366826014910293E-3</v>
      </c>
      <c r="AA593" s="54">
        <v>0.05</v>
      </c>
      <c r="AB593" s="99">
        <f t="shared" si="74"/>
        <v>0.53750367053080317</v>
      </c>
      <c r="AC593" s="99">
        <f t="shared" si="75"/>
        <v>546.8675341685954</v>
      </c>
      <c r="AD593" s="99">
        <f t="shared" si="76"/>
        <v>0.69425874641864138</v>
      </c>
      <c r="AE593" s="99"/>
    </row>
    <row r="594" spans="15:31" x14ac:dyDescent="0.25">
      <c r="O594" t="s">
        <v>203</v>
      </c>
      <c r="Q594" s="99">
        <v>259.06381920611881</v>
      </c>
      <c r="R594" s="99">
        <v>-283.81930889909285</v>
      </c>
      <c r="T594" s="99">
        <v>50.518057547452742</v>
      </c>
      <c r="U594" s="99">
        <v>25.157999208212892</v>
      </c>
      <c r="V594" s="99">
        <f t="shared" si="70"/>
        <v>25.360058339239849</v>
      </c>
      <c r="W594" t="s">
        <v>569</v>
      </c>
      <c r="X594" s="196">
        <f t="shared" si="71"/>
        <v>0.16813353902056785</v>
      </c>
      <c r="Y594" s="196">
        <f t="shared" si="72"/>
        <v>3.9150754711237426E-2</v>
      </c>
      <c r="Z594" s="196">
        <f t="shared" si="73"/>
        <v>6.9366826014910293E-3</v>
      </c>
      <c r="AA594" s="54">
        <v>0.05</v>
      </c>
      <c r="AB594" s="99">
        <f t="shared" si="74"/>
        <v>0.87366889058698793</v>
      </c>
      <c r="AC594" s="99">
        <f t="shared" si="75"/>
        <v>542.88312810521165</v>
      </c>
      <c r="AD594" s="99">
        <f t="shared" si="76"/>
        <v>0.6917249831354596</v>
      </c>
      <c r="AE594" s="99"/>
    </row>
    <row r="595" spans="15:31" x14ac:dyDescent="0.25">
      <c r="O595" t="s">
        <v>202</v>
      </c>
      <c r="Q595" s="99">
        <v>236.75768730697624</v>
      </c>
      <c r="R595" s="99">
        <v>-267.29767568202959</v>
      </c>
      <c r="T595" s="99">
        <v>41.697342564492601</v>
      </c>
      <c r="U595" s="99">
        <v>23.151361334399212</v>
      </c>
      <c r="V595" s="99">
        <f t="shared" si="70"/>
        <v>18.545981230093389</v>
      </c>
      <c r="W595" t="s">
        <v>569</v>
      </c>
      <c r="X595" s="196">
        <f t="shared" si="71"/>
        <v>0.16813353902056785</v>
      </c>
      <c r="Y595" s="196">
        <f t="shared" si="72"/>
        <v>3.9150754711237426E-2</v>
      </c>
      <c r="Z595" s="196">
        <f t="shared" si="73"/>
        <v>6.9366826014910293E-3</v>
      </c>
      <c r="AA595" s="54">
        <v>0.05</v>
      </c>
      <c r="AB595" s="99">
        <f t="shared" si="74"/>
        <v>0.74713082622089133</v>
      </c>
      <c r="AC595" s="99">
        <f t="shared" si="75"/>
        <v>504.05536298900586</v>
      </c>
      <c r="AD595" s="99">
        <f t="shared" si="76"/>
        <v>0.66652955118050927</v>
      </c>
      <c r="AE595" s="99"/>
    </row>
    <row r="596" spans="15:31" x14ac:dyDescent="0.25">
      <c r="O596" t="s">
        <v>201</v>
      </c>
      <c r="Q596" s="99">
        <v>494.91414324230794</v>
      </c>
      <c r="R596" s="99">
        <v>-263.73337484819831</v>
      </c>
      <c r="T596" s="99">
        <v>32.00342727630165</v>
      </c>
      <c r="U596" s="99">
        <v>22.761150454836894</v>
      </c>
      <c r="V596" s="99">
        <f t="shared" si="70"/>
        <v>9.2422768214647562</v>
      </c>
      <c r="W596" t="s">
        <v>569</v>
      </c>
      <c r="X596" s="196">
        <f t="shared" si="71"/>
        <v>0.16813353902056785</v>
      </c>
      <c r="Y596" s="196">
        <f t="shared" si="72"/>
        <v>3.9150754711237426E-2</v>
      </c>
      <c r="Z596" s="196">
        <f t="shared" si="73"/>
        <v>6.9366826014910293E-3</v>
      </c>
      <c r="AA596" s="54">
        <v>0.05</v>
      </c>
      <c r="AB596" s="99">
        <f t="shared" si="74"/>
        <v>0.52742563411137289</v>
      </c>
      <c r="AC596" s="99">
        <f t="shared" si="75"/>
        <v>758.64751809050631</v>
      </c>
      <c r="AD596" s="99">
        <f t="shared" si="76"/>
        <v>0.81771188449386301</v>
      </c>
      <c r="AE596" s="99"/>
    </row>
    <row r="597" spans="15:31" x14ac:dyDescent="0.25">
      <c r="O597" t="s">
        <v>204</v>
      </c>
      <c r="Q597" s="99">
        <v>438.26867759438176</v>
      </c>
      <c r="R597" s="99">
        <v>-245.39690149589691</v>
      </c>
      <c r="T597" s="99">
        <v>31.322885086970487</v>
      </c>
      <c r="U597" s="99">
        <v>25.152967804044103</v>
      </c>
      <c r="V597" s="99">
        <f t="shared" si="70"/>
        <v>6.1699172829263844</v>
      </c>
      <c r="W597" t="s">
        <v>569</v>
      </c>
      <c r="X597" s="196">
        <f t="shared" si="71"/>
        <v>0.16813353902056785</v>
      </c>
      <c r="Y597" s="196">
        <f t="shared" si="72"/>
        <v>3.9150754711237426E-2</v>
      </c>
      <c r="Z597" s="196">
        <f t="shared" si="73"/>
        <v>6.9366826014910293E-3</v>
      </c>
      <c r="AA597" s="54">
        <v>0.05</v>
      </c>
      <c r="AB597" s="99">
        <f t="shared" si="74"/>
        <v>0.43093465276613724</v>
      </c>
      <c r="AC597" s="99">
        <f t="shared" si="75"/>
        <v>683.6655790902787</v>
      </c>
      <c r="AD597" s="99">
        <f t="shared" si="76"/>
        <v>0.77625095317798976</v>
      </c>
      <c r="AE597" s="99"/>
    </row>
    <row r="598" spans="15:31" x14ac:dyDescent="0.25">
      <c r="O598" t="s">
        <v>205</v>
      </c>
      <c r="Q598" s="99">
        <v>100.54272292218404</v>
      </c>
      <c r="R598" s="99">
        <v>-288.52545975040385</v>
      </c>
      <c r="T598" s="99">
        <v>46.081104336503927</v>
      </c>
      <c r="U598" s="99">
        <v>31.905831204606777</v>
      </c>
      <c r="V598" s="99">
        <f t="shared" si="70"/>
        <v>14.17527313189715</v>
      </c>
      <c r="W598" t="s">
        <v>569</v>
      </c>
      <c r="X598" s="196">
        <f t="shared" si="71"/>
        <v>0.16813353902056785</v>
      </c>
      <c r="Y598" s="196">
        <f t="shared" si="72"/>
        <v>3.9150754711237426E-2</v>
      </c>
      <c r="Z598" s="196">
        <f t="shared" si="73"/>
        <v>6.9366826014910293E-3</v>
      </c>
      <c r="AA598" s="54">
        <v>0.05</v>
      </c>
      <c r="AB598" s="99">
        <f t="shared" si="74"/>
        <v>0.65318689893112958</v>
      </c>
      <c r="AC598" s="99">
        <f t="shared" si="75"/>
        <v>389.06818267258791</v>
      </c>
      <c r="AD598" s="99">
        <f t="shared" si="76"/>
        <v>0.58558931977864115</v>
      </c>
      <c r="AE598" s="99"/>
    </row>
    <row r="599" spans="15:31" x14ac:dyDescent="0.25">
      <c r="O599" t="s">
        <v>207</v>
      </c>
      <c r="Q599" s="99">
        <v>220.92210724252675</v>
      </c>
      <c r="R599" s="99">
        <v>-268.15011098079606</v>
      </c>
      <c r="T599" s="99">
        <v>46.069553258998816</v>
      </c>
      <c r="U599" s="99">
        <v>33.863819160724447</v>
      </c>
      <c r="V599" s="99">
        <f t="shared" si="70"/>
        <v>12.20573409827437</v>
      </c>
      <c r="W599" t="s">
        <v>569</v>
      </c>
      <c r="X599" s="196">
        <f t="shared" si="71"/>
        <v>0.16813353902056785</v>
      </c>
      <c r="Y599" s="196">
        <f t="shared" si="72"/>
        <v>3.9150754711237426E-2</v>
      </c>
      <c r="Z599" s="196">
        <f t="shared" si="73"/>
        <v>6.9366826014910293E-3</v>
      </c>
      <c r="AA599" s="54">
        <v>0.05</v>
      </c>
      <c r="AB599" s="99">
        <f t="shared" si="74"/>
        <v>0.60611314092367286</v>
      </c>
      <c r="AC599" s="99">
        <f t="shared" si="75"/>
        <v>489.07221822332281</v>
      </c>
      <c r="AD599" s="99">
        <f t="shared" si="76"/>
        <v>0.65654845817024832</v>
      </c>
      <c r="AE599" s="99"/>
    </row>
    <row r="600" spans="15:31" x14ac:dyDescent="0.25">
      <c r="O600" t="s">
        <v>206</v>
      </c>
      <c r="Q600" s="99">
        <v>204.94727511491027</v>
      </c>
      <c r="R600" s="99">
        <v>-287.1753850272259</v>
      </c>
      <c r="T600" s="99">
        <v>20.84564062031744</v>
      </c>
      <c r="U600" s="99">
        <v>31.909666257657861</v>
      </c>
      <c r="V600" s="99">
        <f t="shared" si="70"/>
        <v>-11.064025637340421</v>
      </c>
      <c r="W600" t="s">
        <v>569</v>
      </c>
      <c r="X600" s="196">
        <f t="shared" si="71"/>
        <v>0.16813353902056785</v>
      </c>
      <c r="Y600" s="196">
        <f t="shared" si="72"/>
        <v>3.9150754711237426E-2</v>
      </c>
      <c r="Z600" s="196">
        <f t="shared" si="73"/>
        <v>6.9366826014910293E-3</v>
      </c>
      <c r="AA600" s="54">
        <v>0.05</v>
      </c>
      <c r="AB600" s="99">
        <f t="shared" si="74"/>
        <v>-0.58838198902929018</v>
      </c>
      <c r="AC600" s="99">
        <f t="shared" si="75"/>
        <v>492.12266014213617</v>
      </c>
      <c r="AD600" s="99">
        <f t="shared" si="76"/>
        <v>0.65859278787901709</v>
      </c>
      <c r="AE600" s="99"/>
    </row>
    <row r="601" spans="15:31" x14ac:dyDescent="0.25">
      <c r="O601" t="s">
        <v>208</v>
      </c>
      <c r="Q601" s="99">
        <v>184.82485923155707</v>
      </c>
      <c r="R601" s="99">
        <v>-296.4422205578224</v>
      </c>
      <c r="T601" s="99">
        <v>28.903714110621507</v>
      </c>
      <c r="U601" s="99">
        <v>28.104750434500218</v>
      </c>
      <c r="V601" s="99">
        <f t="shared" si="70"/>
        <v>0.79896367612128927</v>
      </c>
      <c r="W601" t="s">
        <v>569</v>
      </c>
      <c r="X601" s="196">
        <f t="shared" si="71"/>
        <v>0.16813353902056785</v>
      </c>
      <c r="Y601" s="196">
        <f t="shared" si="72"/>
        <v>3.9150754711237426E-2</v>
      </c>
      <c r="Z601" s="196">
        <f t="shared" si="73"/>
        <v>6.9366826014910293E-3</v>
      </c>
      <c r="AA601" s="54">
        <v>0.05</v>
      </c>
      <c r="AB601" s="99">
        <f t="shared" si="74"/>
        <v>0.15507267022153232</v>
      </c>
      <c r="AC601" s="99">
        <f t="shared" si="75"/>
        <v>481.26707978937947</v>
      </c>
      <c r="AD601" s="99">
        <f t="shared" si="76"/>
        <v>0.65128843564661343</v>
      </c>
      <c r="AE601" s="99"/>
    </row>
    <row r="602" spans="15:31" x14ac:dyDescent="0.25">
      <c r="O602" t="s">
        <v>211</v>
      </c>
      <c r="Q602" s="99">
        <v>270.31851423884189</v>
      </c>
      <c r="R602" s="99">
        <v>-260.64164963599507</v>
      </c>
      <c r="T602" s="99">
        <v>29.527966486364228</v>
      </c>
      <c r="U602" s="99">
        <v>25.876633377711578</v>
      </c>
      <c r="V602" s="99">
        <f t="shared" si="70"/>
        <v>3.6513331086526506</v>
      </c>
      <c r="W602" t="s">
        <v>569</v>
      </c>
      <c r="X602" s="196">
        <f t="shared" si="71"/>
        <v>0.16813353902056785</v>
      </c>
      <c r="Y602" s="196">
        <f t="shared" si="72"/>
        <v>3.9150754711237426E-2</v>
      </c>
      <c r="Z602" s="196">
        <f t="shared" si="73"/>
        <v>6.9366826014910293E-3</v>
      </c>
      <c r="AA602" s="54">
        <v>0.05</v>
      </c>
      <c r="AB602" s="99">
        <f t="shared" si="74"/>
        <v>0.33151064251529183</v>
      </c>
      <c r="AC602" s="99">
        <f t="shared" si="75"/>
        <v>530.96016387483701</v>
      </c>
      <c r="AD602" s="99">
        <f t="shared" si="76"/>
        <v>0.68408687555987724</v>
      </c>
      <c r="AE602" s="99"/>
    </row>
    <row r="603" spans="15:31" x14ac:dyDescent="0.25">
      <c r="O603" t="s">
        <v>215</v>
      </c>
      <c r="Q603" s="99">
        <v>121.33347204847502</v>
      </c>
      <c r="R603" s="99">
        <v>-347.05745600379845</v>
      </c>
      <c r="T603" s="99">
        <v>37.757160289029343</v>
      </c>
      <c r="U603" s="99">
        <v>24.242007963786868</v>
      </c>
      <c r="V603" s="99">
        <f t="shared" si="70"/>
        <v>13.515152325242475</v>
      </c>
      <c r="W603" t="s">
        <v>569</v>
      </c>
      <c r="X603" s="196">
        <f t="shared" si="71"/>
        <v>0.16813353902056785</v>
      </c>
      <c r="Y603" s="196">
        <f t="shared" si="72"/>
        <v>3.9150754711237426E-2</v>
      </c>
      <c r="Z603" s="196">
        <f t="shared" si="73"/>
        <v>6.9366826014910293E-3</v>
      </c>
      <c r="AA603" s="54">
        <v>0.05</v>
      </c>
      <c r="AB603" s="99">
        <f t="shared" si="74"/>
        <v>0.63779662975884477</v>
      </c>
      <c r="AC603" s="99">
        <f t="shared" si="75"/>
        <v>468.39092805227347</v>
      </c>
      <c r="AD603" s="99">
        <f t="shared" si="76"/>
        <v>0.642516857426355</v>
      </c>
      <c r="AE603" s="99"/>
    </row>
    <row r="604" spans="15:31" x14ac:dyDescent="0.25">
      <c r="O604" t="s">
        <v>212</v>
      </c>
      <c r="Q604" s="99">
        <v>393.40166020190048</v>
      </c>
      <c r="R604" s="99">
        <v>-262.48129633287198</v>
      </c>
      <c r="T604" s="99">
        <v>42.57399669421676</v>
      </c>
      <c r="U604" s="99">
        <v>20.341080414677464</v>
      </c>
      <c r="V604" s="99">
        <f t="shared" si="70"/>
        <v>22.232916279539296</v>
      </c>
      <c r="W604" t="s">
        <v>569</v>
      </c>
      <c r="X604" s="196">
        <f t="shared" si="71"/>
        <v>0.16813353902056785</v>
      </c>
      <c r="Y604" s="196">
        <f t="shared" si="72"/>
        <v>3.9150754711237426E-2</v>
      </c>
      <c r="Z604" s="196">
        <f t="shared" si="73"/>
        <v>6.9366826014910293E-3</v>
      </c>
      <c r="AA604" s="54">
        <v>0.05</v>
      </c>
      <c r="AB604" s="99">
        <f t="shared" si="74"/>
        <v>0.81803138036166578</v>
      </c>
      <c r="AC604" s="99">
        <f t="shared" si="75"/>
        <v>655.88295653477246</v>
      </c>
      <c r="AD604" s="99">
        <f t="shared" si="76"/>
        <v>0.76031483070213912</v>
      </c>
      <c r="AE604" s="99"/>
    </row>
    <row r="605" spans="15:31" x14ac:dyDescent="0.25">
      <c r="O605" t="s">
        <v>213</v>
      </c>
      <c r="Q605" s="99">
        <v>285.75641342215744</v>
      </c>
      <c r="R605" s="99">
        <v>-246.43747731341259</v>
      </c>
      <c r="T605" s="99">
        <v>38.028370838885913</v>
      </c>
      <c r="U605" s="99">
        <v>21.107260266900056</v>
      </c>
      <c r="V605" s="99">
        <f t="shared" si="70"/>
        <v>16.921110571985857</v>
      </c>
      <c r="W605" t="s">
        <v>569</v>
      </c>
      <c r="X605" s="196">
        <f t="shared" si="71"/>
        <v>0.16813353902056785</v>
      </c>
      <c r="Y605" s="196">
        <f t="shared" si="72"/>
        <v>3.9150754711237426E-2</v>
      </c>
      <c r="Z605" s="196">
        <f t="shared" si="73"/>
        <v>6.9366826014910293E-3</v>
      </c>
      <c r="AA605" s="54">
        <v>0.05</v>
      </c>
      <c r="AB605" s="99">
        <f t="shared" si="74"/>
        <v>0.71365149396126026</v>
      </c>
      <c r="AC605" s="99">
        <f t="shared" si="75"/>
        <v>532.19389073556999</v>
      </c>
      <c r="AD605" s="99">
        <f t="shared" si="76"/>
        <v>0.68488117870969001</v>
      </c>
      <c r="AE605" s="99"/>
    </row>
    <row r="606" spans="15:31" x14ac:dyDescent="0.25">
      <c r="O606" t="s">
        <v>214</v>
      </c>
      <c r="Q606" s="99">
        <v>77.802294271047174</v>
      </c>
      <c r="R606" s="99">
        <v>-269.28120025612003</v>
      </c>
      <c r="T606" s="99">
        <v>49.071292601146297</v>
      </c>
      <c r="U606" s="99">
        <v>32.909100640333449</v>
      </c>
      <c r="V606" s="99">
        <f t="shared" si="70"/>
        <v>16.162191960812848</v>
      </c>
      <c r="W606" t="s">
        <v>569</v>
      </c>
      <c r="X606" s="196">
        <f t="shared" si="71"/>
        <v>0.16813353902056785</v>
      </c>
      <c r="Y606" s="196">
        <f t="shared" si="72"/>
        <v>3.9150754711237426E-2</v>
      </c>
      <c r="Z606" s="196">
        <f t="shared" si="73"/>
        <v>6.9366826014910293E-3</v>
      </c>
      <c r="AA606" s="54">
        <v>0.05</v>
      </c>
      <c r="AB606" s="99">
        <f t="shared" si="74"/>
        <v>0.69746413126692763</v>
      </c>
      <c r="AC606" s="99">
        <f t="shared" si="75"/>
        <v>347.0834945271672</v>
      </c>
      <c r="AD606" s="99">
        <f t="shared" si="76"/>
        <v>0.55309186367642127</v>
      </c>
      <c r="AE606" s="99"/>
    </row>
    <row r="607" spans="15:31" x14ac:dyDescent="0.25">
      <c r="O607" t="s">
        <v>216</v>
      </c>
      <c r="Q607" s="99">
        <v>425.24001916469808</v>
      </c>
      <c r="R607" s="99">
        <v>-218.6693718466079</v>
      </c>
      <c r="T607" s="99">
        <v>32.353974535048721</v>
      </c>
      <c r="U607" s="99">
        <v>17.789280592325888</v>
      </c>
      <c r="V607" s="99">
        <f t="shared" si="70"/>
        <v>14.564693942722833</v>
      </c>
      <c r="W607" t="s">
        <v>569</v>
      </c>
      <c r="X607" s="196">
        <f t="shared" si="71"/>
        <v>0.16813353902056785</v>
      </c>
      <c r="Y607" s="196">
        <f t="shared" si="72"/>
        <v>3.9150754711237426E-2</v>
      </c>
      <c r="Z607" s="196">
        <f t="shared" si="73"/>
        <v>6.9366826014910293E-3</v>
      </c>
      <c r="AA607" s="54">
        <v>0.05</v>
      </c>
      <c r="AB607" s="99">
        <f t="shared" si="74"/>
        <v>0.66209823332966433</v>
      </c>
      <c r="AC607" s="99">
        <f t="shared" si="75"/>
        <v>643.90939101130596</v>
      </c>
      <c r="AD607" s="99">
        <f t="shared" si="76"/>
        <v>0.75334284632284243</v>
      </c>
      <c r="AE607" s="99"/>
    </row>
    <row r="608" spans="15:31" x14ac:dyDescent="0.25">
      <c r="O608" t="s">
        <v>209</v>
      </c>
      <c r="Q608" s="99">
        <v>28.528605953677314</v>
      </c>
      <c r="R608" s="99">
        <v>-282.46750445793191</v>
      </c>
      <c r="T608" s="99">
        <v>45.214690785750463</v>
      </c>
      <c r="U608" s="99">
        <v>27.31488032777763</v>
      </c>
      <c r="V608" s="99">
        <f t="shared" si="70"/>
        <v>17.899810457972833</v>
      </c>
      <c r="W608" t="s">
        <v>569</v>
      </c>
      <c r="X608" s="196">
        <f t="shared" si="71"/>
        <v>0.16813353902056785</v>
      </c>
      <c r="Y608" s="196">
        <f t="shared" si="72"/>
        <v>3.9150754711237426E-2</v>
      </c>
      <c r="Z608" s="196">
        <f t="shared" si="73"/>
        <v>6.9366826014910293E-3</v>
      </c>
      <c r="AA608" s="54">
        <v>0.05</v>
      </c>
      <c r="AB608" s="99">
        <f t="shared" si="74"/>
        <v>0.73399983738974672</v>
      </c>
      <c r="AC608" s="99">
        <f t="shared" si="75"/>
        <v>310.99611041160921</v>
      </c>
      <c r="AD608" s="99">
        <f t="shared" si="76"/>
        <v>0.52354952243418473</v>
      </c>
      <c r="AE608" s="99"/>
    </row>
    <row r="609" spans="15:31" x14ac:dyDescent="0.25">
      <c r="O609" t="s">
        <v>210</v>
      </c>
      <c r="Q609" s="99">
        <v>110.57640729777222</v>
      </c>
      <c r="R609" s="99">
        <v>-287.22876447420111</v>
      </c>
      <c r="T609" s="99">
        <v>23.703184854070273</v>
      </c>
      <c r="U609" s="99">
        <v>31.511439118643892</v>
      </c>
      <c r="V609" s="99">
        <f t="shared" si="70"/>
        <v>-7.8082542645736197</v>
      </c>
      <c r="W609" t="s">
        <v>569</v>
      </c>
      <c r="X609" s="196">
        <f t="shared" si="71"/>
        <v>0.16813353902056785</v>
      </c>
      <c r="Y609" s="196">
        <f t="shared" si="72"/>
        <v>3.9150754711237426E-2</v>
      </c>
      <c r="Z609" s="196">
        <f t="shared" si="73"/>
        <v>6.9366826014910293E-3</v>
      </c>
      <c r="AA609" s="54">
        <v>0.05</v>
      </c>
      <c r="AB609" s="99">
        <f t="shared" si="74"/>
        <v>-0.49428764695252519</v>
      </c>
      <c r="AC609" s="99">
        <f t="shared" si="75"/>
        <v>397.80517177197333</v>
      </c>
      <c r="AD609" s="99">
        <f t="shared" si="76"/>
        <v>0.59212786841611276</v>
      </c>
      <c r="AE609" s="99"/>
    </row>
    <row r="610" spans="15:31" x14ac:dyDescent="0.25">
      <c r="O610" t="s">
        <v>217</v>
      </c>
      <c r="Q610" s="99">
        <v>271.18995288559972</v>
      </c>
      <c r="R610" s="99">
        <v>-277.25839781005044</v>
      </c>
      <c r="T610" s="99">
        <v>24.573040069848254</v>
      </c>
      <c r="U610" s="99">
        <v>24.695161936854241</v>
      </c>
      <c r="V610" s="99">
        <f t="shared" si="70"/>
        <v>-0.12212186700598693</v>
      </c>
      <c r="W610" t="s">
        <v>569</v>
      </c>
      <c r="X610" s="196">
        <f t="shared" si="71"/>
        <v>0.16813353902056785</v>
      </c>
      <c r="Y610" s="196">
        <f t="shared" si="72"/>
        <v>3.9150754711237426E-2</v>
      </c>
      <c r="Z610" s="196">
        <f t="shared" si="73"/>
        <v>6.9366826014910293E-3</v>
      </c>
      <c r="AA610" s="54">
        <v>0.05</v>
      </c>
      <c r="AB610" s="99">
        <f t="shared" si="74"/>
        <v>-6.1815800971615098E-2</v>
      </c>
      <c r="AC610" s="99">
        <f t="shared" si="75"/>
        <v>548.44835069565011</v>
      </c>
      <c r="AD610" s="99">
        <f t="shared" si="76"/>
        <v>0.69526146065031635</v>
      </c>
      <c r="AE610" s="99"/>
    </row>
    <row r="611" spans="15:31" x14ac:dyDescent="0.25">
      <c r="O611" t="s">
        <v>218</v>
      </c>
      <c r="Q611" s="99">
        <v>48.927023743213326</v>
      </c>
      <c r="R611" s="99">
        <v>-279.58563054514599</v>
      </c>
      <c r="T611" s="99">
        <v>50.649396598027053</v>
      </c>
      <c r="U611" s="99">
        <v>30.345127575244554</v>
      </c>
      <c r="V611" s="99">
        <f t="shared" si="70"/>
        <v>20.304269022782499</v>
      </c>
      <c r="W611" t="s">
        <v>569</v>
      </c>
      <c r="X611" s="196">
        <f t="shared" si="71"/>
        <v>0.16813353902056785</v>
      </c>
      <c r="Y611" s="196">
        <f t="shared" si="72"/>
        <v>3.9150754711237426E-2</v>
      </c>
      <c r="Z611" s="196">
        <f t="shared" si="73"/>
        <v>6.9366826014910293E-3</v>
      </c>
      <c r="AA611" s="54">
        <v>0.05</v>
      </c>
      <c r="AB611" s="99">
        <f t="shared" si="74"/>
        <v>0.78174556680606866</v>
      </c>
      <c r="AC611" s="99">
        <f t="shared" si="75"/>
        <v>328.51265428835933</v>
      </c>
      <c r="AD611" s="99">
        <f t="shared" si="76"/>
        <v>0.53809175888966265</v>
      </c>
      <c r="AE611" s="99"/>
    </row>
    <row r="612" spans="15:31" x14ac:dyDescent="0.25">
      <c r="O612" t="s">
        <v>219</v>
      </c>
      <c r="Q612" s="99">
        <v>45.126096142289384</v>
      </c>
      <c r="R612" s="99">
        <v>-355.25151690024336</v>
      </c>
      <c r="T612" s="99">
        <v>41.525309780866451</v>
      </c>
      <c r="U612" s="99">
        <v>21.23458557820733</v>
      </c>
      <c r="V612" s="99">
        <f t="shared" si="70"/>
        <v>20.290724202659121</v>
      </c>
      <c r="W612" t="s">
        <v>569</v>
      </c>
      <c r="X612" s="196">
        <f t="shared" si="71"/>
        <v>0.16813353902056785</v>
      </c>
      <c r="Y612" s="196">
        <f t="shared" si="72"/>
        <v>3.9150754711237426E-2</v>
      </c>
      <c r="Z612" s="196">
        <f t="shared" si="73"/>
        <v>6.9366826014910293E-3</v>
      </c>
      <c r="AA612" s="54">
        <v>0.05</v>
      </c>
      <c r="AB612" s="99">
        <f t="shared" si="74"/>
        <v>0.78148477510862513</v>
      </c>
      <c r="AC612" s="99">
        <f t="shared" si="75"/>
        <v>400.37761304253274</v>
      </c>
      <c r="AD612" s="99">
        <f t="shared" si="76"/>
        <v>0.59403930610628075</v>
      </c>
      <c r="AE612" s="99"/>
    </row>
    <row r="613" spans="15:31" x14ac:dyDescent="0.25">
      <c r="O613" t="s">
        <v>220</v>
      </c>
      <c r="Q613" s="99">
        <v>395.32262987085306</v>
      </c>
      <c r="R613" s="99">
        <v>-250.03345711231492</v>
      </c>
      <c r="T613" s="99">
        <v>30.753896618567872</v>
      </c>
      <c r="U613" s="99">
        <v>19.852765636590441</v>
      </c>
      <c r="V613" s="99">
        <f t="shared" si="70"/>
        <v>10.901130981977431</v>
      </c>
      <c r="W613" t="s">
        <v>569</v>
      </c>
      <c r="X613" s="196">
        <f t="shared" si="71"/>
        <v>0.16813353902056785</v>
      </c>
      <c r="Y613" s="196">
        <f t="shared" si="72"/>
        <v>3.9150754711237426E-2</v>
      </c>
      <c r="Z613" s="196">
        <f t="shared" si="73"/>
        <v>6.9366826014910293E-3</v>
      </c>
      <c r="AA613" s="54">
        <v>0.05</v>
      </c>
      <c r="AB613" s="99">
        <f t="shared" si="74"/>
        <v>0.57280595791644195</v>
      </c>
      <c r="AC613" s="99">
        <f t="shared" si="75"/>
        <v>645.35608698316798</v>
      </c>
      <c r="AD613" s="99">
        <f t="shared" si="76"/>
        <v>0.75418865367293619</v>
      </c>
      <c r="AE613" s="99"/>
    </row>
    <row r="614" spans="15:31" x14ac:dyDescent="0.25">
      <c r="O614" t="s">
        <v>221</v>
      </c>
      <c r="Q614" s="99">
        <v>921.36761935634706</v>
      </c>
      <c r="R614" s="99">
        <v>-213.22360945781742</v>
      </c>
      <c r="T614" s="99">
        <v>22.151989264821228</v>
      </c>
      <c r="U614" s="99">
        <v>17.211803802793163</v>
      </c>
      <c r="V614" s="99">
        <f t="shared" si="70"/>
        <v>4.9401854620280652</v>
      </c>
      <c r="W614" t="s">
        <v>569</v>
      </c>
      <c r="X614" s="196">
        <f t="shared" si="71"/>
        <v>0.16813353902056785</v>
      </c>
      <c r="Y614" s="196">
        <f t="shared" si="72"/>
        <v>3.9150754711237426E-2</v>
      </c>
      <c r="Z614" s="196">
        <f t="shared" si="73"/>
        <v>6.9366826014910293E-3</v>
      </c>
      <c r="AA614" s="54">
        <v>0.05</v>
      </c>
      <c r="AB614" s="99">
        <f t="shared" si="74"/>
        <v>0.3856056371742021</v>
      </c>
      <c r="AC614" s="99">
        <f t="shared" si="75"/>
        <v>1134.5912288141644</v>
      </c>
      <c r="AD614" s="99">
        <f t="shared" si="76"/>
        <v>1</v>
      </c>
      <c r="AE614" s="99"/>
    </row>
    <row r="615" spans="15:31" x14ac:dyDescent="0.25">
      <c r="O615" t="s">
        <v>222</v>
      </c>
      <c r="Q615" s="99">
        <v>165.89323434748397</v>
      </c>
      <c r="R615" s="99">
        <v>-253.04439992810441</v>
      </c>
      <c r="T615" s="99">
        <v>45.411495562650387</v>
      </c>
      <c r="U615" s="99">
        <v>25.316003994516606</v>
      </c>
      <c r="V615" s="99">
        <f t="shared" si="70"/>
        <v>20.095491568133781</v>
      </c>
      <c r="W615" t="s">
        <v>569</v>
      </c>
      <c r="X615" s="196">
        <f t="shared" si="71"/>
        <v>0.16813353902056785</v>
      </c>
      <c r="Y615" s="196">
        <f t="shared" si="72"/>
        <v>3.9150754711237426E-2</v>
      </c>
      <c r="Z615" s="196">
        <f t="shared" si="73"/>
        <v>6.9366826014910293E-3</v>
      </c>
      <c r="AA615" s="54">
        <v>0.05</v>
      </c>
      <c r="AB615" s="99">
        <f t="shared" si="74"/>
        <v>0.7777160552806287</v>
      </c>
      <c r="AC615" s="99">
        <f t="shared" si="75"/>
        <v>418.93763427558838</v>
      </c>
      <c r="AD615" s="99">
        <f t="shared" si="76"/>
        <v>0.6076520635046061</v>
      </c>
      <c r="AE615" s="99"/>
    </row>
    <row r="616" spans="15:31" x14ac:dyDescent="0.25">
      <c r="O616" t="s">
        <v>223</v>
      </c>
      <c r="Q616" s="99">
        <v>107.67090836367024</v>
      </c>
      <c r="R616" s="99">
        <v>-272.42487572325456</v>
      </c>
      <c r="T616" s="99">
        <v>55.245292569123841</v>
      </c>
      <c r="U616" s="99">
        <v>27.374543673484972</v>
      </c>
      <c r="V616" s="99">
        <f t="shared" si="70"/>
        <v>27.870748895638869</v>
      </c>
      <c r="W616" t="s">
        <v>569</v>
      </c>
      <c r="X616" s="196">
        <f t="shared" si="71"/>
        <v>0.16813353902056785</v>
      </c>
      <c r="Y616" s="196">
        <f t="shared" si="72"/>
        <v>3.9150754711237426E-2</v>
      </c>
      <c r="Z616" s="196">
        <f t="shared" si="73"/>
        <v>6.9366826014910293E-3</v>
      </c>
      <c r="AA616" s="54">
        <v>0.05</v>
      </c>
      <c r="AB616" s="99">
        <f t="shared" si="74"/>
        <v>0.9158957986136822</v>
      </c>
      <c r="AC616" s="99">
        <f t="shared" si="75"/>
        <v>380.09578408692482</v>
      </c>
      <c r="AD616" s="99">
        <f t="shared" si="76"/>
        <v>0.57879772490748593</v>
      </c>
      <c r="AE616" s="99"/>
    </row>
    <row r="617" spans="15:31" x14ac:dyDescent="0.25">
      <c r="O617" t="s">
        <v>224</v>
      </c>
      <c r="Q617" s="99">
        <v>151.34990797283001</v>
      </c>
      <c r="R617" s="99">
        <v>-275.70988286396181</v>
      </c>
      <c r="T617" s="99">
        <v>44.765641005289993</v>
      </c>
      <c r="U617" s="99">
        <v>26.081618392602856</v>
      </c>
      <c r="V617" s="99">
        <f t="shared" si="70"/>
        <v>18.684022612687137</v>
      </c>
      <c r="W617" t="s">
        <v>569</v>
      </c>
      <c r="X617" s="196">
        <f t="shared" si="71"/>
        <v>0.16813353902056785</v>
      </c>
      <c r="Y617" s="196">
        <f t="shared" si="72"/>
        <v>3.9150754711237426E-2</v>
      </c>
      <c r="Z617" s="196">
        <f t="shared" si="73"/>
        <v>6.9366826014910293E-3</v>
      </c>
      <c r="AA617" s="54">
        <v>0.05</v>
      </c>
      <c r="AB617" s="99">
        <f t="shared" si="74"/>
        <v>0.74990619217231014</v>
      </c>
      <c r="AC617" s="99">
        <f t="shared" si="75"/>
        <v>427.05979083679182</v>
      </c>
      <c r="AD617" s="99">
        <f t="shared" si="76"/>
        <v>0.61351421626221248</v>
      </c>
      <c r="AE617" s="99"/>
    </row>
    <row r="618" spans="15:31" x14ac:dyDescent="0.25">
      <c r="O618" t="s">
        <v>225</v>
      </c>
      <c r="Q618" s="99">
        <v>147.17587257384284</v>
      </c>
      <c r="R618" s="99">
        <v>-246.98090136156566</v>
      </c>
      <c r="T618" s="99">
        <v>41.901752128667908</v>
      </c>
      <c r="U618" s="99">
        <v>27.564438861349224</v>
      </c>
      <c r="V618" s="99">
        <f t="shared" si="70"/>
        <v>14.337313267318684</v>
      </c>
      <c r="W618" t="s">
        <v>569</v>
      </c>
      <c r="X618" s="196">
        <f t="shared" si="71"/>
        <v>0.16813353902056785</v>
      </c>
      <c r="Y618" s="196">
        <f t="shared" si="72"/>
        <v>3.9150754711237426E-2</v>
      </c>
      <c r="Z618" s="196">
        <f t="shared" si="73"/>
        <v>6.9366826014910293E-3</v>
      </c>
      <c r="AA618" s="54">
        <v>0.05</v>
      </c>
      <c r="AB618" s="99">
        <f t="shared" si="74"/>
        <v>0.65690963968313365</v>
      </c>
      <c r="AC618" s="99">
        <f t="shared" si="75"/>
        <v>394.15677393540852</v>
      </c>
      <c r="AD618" s="99">
        <f t="shared" si="76"/>
        <v>0.58940631742366612</v>
      </c>
      <c r="AE618" s="99"/>
    </row>
    <row r="619" spans="15:31" x14ac:dyDescent="0.25">
      <c r="O619" t="s">
        <v>226</v>
      </c>
      <c r="Q619" s="99">
        <v>220.94634362959383</v>
      </c>
      <c r="R619" s="99">
        <v>-294.05789102713914</v>
      </c>
      <c r="T619" s="99">
        <v>17.167257790367053</v>
      </c>
      <c r="U619" s="99">
        <v>27.01844025971473</v>
      </c>
      <c r="V619" s="99">
        <f t="shared" si="70"/>
        <v>-9.8511824693476768</v>
      </c>
      <c r="W619" t="s">
        <v>569</v>
      </c>
      <c r="X619" s="196">
        <f t="shared" si="71"/>
        <v>0.16813353902056785</v>
      </c>
      <c r="Y619" s="196">
        <f t="shared" si="72"/>
        <v>3.9150754711237426E-2</v>
      </c>
      <c r="Z619" s="196">
        <f t="shared" si="73"/>
        <v>6.9366826014910293E-3</v>
      </c>
      <c r="AA619" s="54">
        <v>0.05</v>
      </c>
      <c r="AB619" s="99">
        <f t="shared" si="74"/>
        <v>-0.55519681373208252</v>
      </c>
      <c r="AC619" s="99">
        <f t="shared" si="75"/>
        <v>515.00423465673293</v>
      </c>
      <c r="AD619" s="99">
        <f t="shared" si="76"/>
        <v>0.67372969434377517</v>
      </c>
      <c r="AE619" s="99"/>
    </row>
    <row r="620" spans="15:31" x14ac:dyDescent="0.25">
      <c r="O620" t="s">
        <v>228</v>
      </c>
      <c r="Q620" s="99">
        <v>231.05038803389104</v>
      </c>
      <c r="R620" s="99">
        <v>-273.82698680197223</v>
      </c>
      <c r="T620" s="99">
        <v>56.151915904288607</v>
      </c>
      <c r="U620" s="99">
        <v>22.927565012570874</v>
      </c>
      <c r="V620" s="99">
        <f t="shared" si="70"/>
        <v>33.224350891717734</v>
      </c>
      <c r="W620" t="s">
        <v>569</v>
      </c>
      <c r="X620" s="196">
        <f t="shared" si="71"/>
        <v>0.16813353902056785</v>
      </c>
      <c r="Y620" s="196">
        <f t="shared" si="72"/>
        <v>3.9150754711237426E-2</v>
      </c>
      <c r="Z620" s="196">
        <f t="shared" si="73"/>
        <v>6.9366826014910293E-3</v>
      </c>
      <c r="AA620" s="54">
        <v>0.05</v>
      </c>
      <c r="AB620" s="99">
        <f t="shared" si="74"/>
        <v>1</v>
      </c>
      <c r="AC620" s="99">
        <f t="shared" si="75"/>
        <v>504.87737483586329</v>
      </c>
      <c r="AD620" s="99">
        <f t="shared" si="76"/>
        <v>0.66707281689405729</v>
      </c>
      <c r="AE620" s="99"/>
    </row>
    <row r="621" spans="15:31" x14ac:dyDescent="0.25">
      <c r="O621" t="s">
        <v>227</v>
      </c>
      <c r="Q621" s="99">
        <v>294.65224475349129</v>
      </c>
      <c r="R621" s="99">
        <v>-274.6569054402222</v>
      </c>
      <c r="T621" s="99">
        <v>42.568923255601689</v>
      </c>
      <c r="U621" s="99">
        <v>24.802884456752757</v>
      </c>
      <c r="V621" s="99">
        <f t="shared" si="70"/>
        <v>17.766038798848932</v>
      </c>
      <c r="W621" t="s">
        <v>569</v>
      </c>
      <c r="X621" s="196">
        <f t="shared" si="71"/>
        <v>0.16813353902056785</v>
      </c>
      <c r="Y621" s="196">
        <f t="shared" si="72"/>
        <v>3.9150754711237426E-2</v>
      </c>
      <c r="Z621" s="196">
        <f t="shared" si="73"/>
        <v>6.9366826014910293E-3</v>
      </c>
      <c r="AA621" s="54">
        <v>0.05</v>
      </c>
      <c r="AB621" s="99">
        <f t="shared" si="74"/>
        <v>0.73125197270812881</v>
      </c>
      <c r="AC621" s="99">
        <f t="shared" si="75"/>
        <v>569.30915019371355</v>
      </c>
      <c r="AD621" s="99">
        <f t="shared" si="76"/>
        <v>0.70836055755026828</v>
      </c>
      <c r="AE621" s="99"/>
    </row>
    <row r="622" spans="15:31" x14ac:dyDescent="0.25">
      <c r="O622" t="s">
        <v>229</v>
      </c>
      <c r="Q622" s="99">
        <v>143.03889965780223</v>
      </c>
      <c r="R622" s="99">
        <v>-330.36873585102114</v>
      </c>
      <c r="T622" s="99">
        <v>40.561184737324993</v>
      </c>
      <c r="U622" s="99">
        <v>19.065796751973238</v>
      </c>
      <c r="V622" s="99">
        <f t="shared" si="70"/>
        <v>21.495387985351755</v>
      </c>
      <c r="W622" t="s">
        <v>569</v>
      </c>
      <c r="X622" s="196">
        <f t="shared" si="71"/>
        <v>0.16813353902056785</v>
      </c>
      <c r="Y622" s="196">
        <f t="shared" si="72"/>
        <v>3.9150754711237426E-2</v>
      </c>
      <c r="Z622" s="196">
        <f t="shared" si="73"/>
        <v>6.9366826014910293E-3</v>
      </c>
      <c r="AA622" s="54">
        <v>0.05</v>
      </c>
      <c r="AB622" s="99">
        <f t="shared" si="74"/>
        <v>0.80434875102213477</v>
      </c>
      <c r="AC622" s="99">
        <f t="shared" si="75"/>
        <v>473.40763550882338</v>
      </c>
      <c r="AD622" s="99">
        <f t="shared" si="76"/>
        <v>0.64594853594478907</v>
      </c>
      <c r="AE622" s="99"/>
    </row>
    <row r="623" spans="15:31" x14ac:dyDescent="0.25">
      <c r="O623" t="s">
        <v>159</v>
      </c>
      <c r="Q623" s="99">
        <v>0</v>
      </c>
      <c r="R623" s="99">
        <v>-270.62823372799835</v>
      </c>
      <c r="T623" s="99">
        <v>-0.9705236735028393</v>
      </c>
      <c r="U623" s="99">
        <v>29.047225333458819</v>
      </c>
      <c r="V623" s="99">
        <f t="shared" si="70"/>
        <v>-30.017749006961658</v>
      </c>
      <c r="W623" t="s">
        <v>569</v>
      </c>
      <c r="X623" s="196">
        <f t="shared" si="71"/>
        <v>0.16813353902056785</v>
      </c>
      <c r="Y623" s="196">
        <f t="shared" si="72"/>
        <v>3.9150754711237426E-2</v>
      </c>
      <c r="Z623" s="196">
        <f t="shared" si="73"/>
        <v>6.9366826014910293E-3</v>
      </c>
      <c r="AA623" s="54">
        <v>0.05</v>
      </c>
      <c r="AB623" s="99">
        <f t="shared" si="74"/>
        <v>-0.96915188390846174</v>
      </c>
      <c r="AC623" s="99">
        <f t="shared" si="75"/>
        <v>270.62823372799835</v>
      </c>
      <c r="AD623" s="99">
        <f t="shared" si="76"/>
        <v>0.4883900873060727</v>
      </c>
      <c r="AE623" s="99"/>
    </row>
    <row r="624" spans="15:31" x14ac:dyDescent="0.25">
      <c r="O624" t="s">
        <v>158</v>
      </c>
      <c r="Q624" s="99">
        <v>289.9238251949244</v>
      </c>
      <c r="R624" s="99">
        <v>-282.16638770301</v>
      </c>
      <c r="T624" s="99">
        <v>24.665972207709302</v>
      </c>
      <c r="U624" s="99">
        <v>27.303687441456312</v>
      </c>
      <c r="V624" s="99">
        <f t="shared" si="70"/>
        <v>-2.6377152337470093</v>
      </c>
      <c r="W624" t="s">
        <v>569</v>
      </c>
      <c r="X624" s="196">
        <f t="shared" si="71"/>
        <v>0.16813353902056785</v>
      </c>
      <c r="Y624" s="196">
        <f t="shared" si="72"/>
        <v>3.9150754711237426E-2</v>
      </c>
      <c r="Z624" s="196">
        <f t="shared" si="73"/>
        <v>6.9366826014910293E-3</v>
      </c>
      <c r="AA624" s="54">
        <v>0.05</v>
      </c>
      <c r="AB624" s="99">
        <f t="shared" si="74"/>
        <v>-0.28728750466500635</v>
      </c>
      <c r="AC624" s="99">
        <f t="shared" si="75"/>
        <v>572.09021289793441</v>
      </c>
      <c r="AD624" s="99">
        <f t="shared" si="76"/>
        <v>0.71008861263220902</v>
      </c>
      <c r="AE624" s="99"/>
    </row>
    <row r="625" spans="15:31" x14ac:dyDescent="0.25">
      <c r="O625" t="s">
        <v>160</v>
      </c>
      <c r="Q625" s="99">
        <v>663.38238522046493</v>
      </c>
      <c r="R625" s="99">
        <v>-329.42610376327241</v>
      </c>
      <c r="T625" s="99">
        <v>10.719400642666187</v>
      </c>
      <c r="U625" s="99">
        <v>42.678492743957491</v>
      </c>
      <c r="V625" s="99">
        <f t="shared" si="70"/>
        <v>-31.959092101291304</v>
      </c>
      <c r="W625" t="s">
        <v>569</v>
      </c>
      <c r="X625" s="196">
        <f t="shared" si="71"/>
        <v>0.16813353902056785</v>
      </c>
      <c r="Y625" s="196">
        <f t="shared" si="72"/>
        <v>3.9150754711237426E-2</v>
      </c>
      <c r="Z625" s="196">
        <f t="shared" si="73"/>
        <v>6.9366826014910293E-3</v>
      </c>
      <c r="AA625" s="54">
        <v>0.05</v>
      </c>
      <c r="AB625" s="99">
        <f t="shared" si="74"/>
        <v>-1</v>
      </c>
      <c r="AC625" s="99">
        <f t="shared" si="75"/>
        <v>992.80848898373733</v>
      </c>
      <c r="AD625" s="99">
        <f t="shared" si="76"/>
        <v>0.93543373934580554</v>
      </c>
      <c r="AE625" s="99"/>
    </row>
    <row r="626" spans="15:31" x14ac:dyDescent="0.25">
      <c r="O626" t="s">
        <v>187</v>
      </c>
      <c r="Q626" s="58">
        <v>453.48313681744094</v>
      </c>
      <c r="R626" s="58">
        <v>-227.94362308157574</v>
      </c>
      <c r="T626" s="99">
        <v>16.276950241780355</v>
      </c>
      <c r="U626" s="99">
        <v>12.212102750608494</v>
      </c>
      <c r="V626" s="99">
        <f t="shared" si="70"/>
        <v>4.0648474911718608</v>
      </c>
      <c r="W626" t="s">
        <v>570</v>
      </c>
      <c r="X626" s="196">
        <f>46.5877361092098%/5</f>
        <v>9.3175472218419597E-2</v>
      </c>
      <c r="Y626" s="196">
        <f>10.8481926900998%/5</f>
        <v>2.16963853801996E-2</v>
      </c>
      <c r="Z626" s="196">
        <f>1.92206944785762%/5</f>
        <v>3.8441388957152398E-3</v>
      </c>
      <c r="AA626" s="54">
        <v>0.05</v>
      </c>
      <c r="AB626" s="99">
        <f>IF(V626&gt;0, SQRT(V626/MAX($V$626:$V$673)), -SQRT(V626/MIN($V$626:$V$673)))</f>
        <v>0.55266331068155927</v>
      </c>
      <c r="AC626" s="99">
        <f t="shared" si="75"/>
        <v>681.4267598990167</v>
      </c>
      <c r="AD626" s="99">
        <f>IF(AC626&gt;0,SQRT(AC626/MAX($AC$626:$AC$673)),-SQRT(AC626/MIN($AC$626:$AC$673)))</f>
        <v>0.40874234663665993</v>
      </c>
      <c r="AE626" s="99"/>
    </row>
    <row r="627" spans="15:31" x14ac:dyDescent="0.25">
      <c r="O627" t="s">
        <v>189</v>
      </c>
      <c r="Q627" s="58">
        <v>554.39759917141293</v>
      </c>
      <c r="R627" s="58">
        <v>-308.66857824201622</v>
      </c>
      <c r="T627" s="99">
        <v>12.376406927988601</v>
      </c>
      <c r="U627" s="99">
        <v>9.0786289159240212</v>
      </c>
      <c r="V627" s="99">
        <f t="shared" si="70"/>
        <v>3.2977780120645797</v>
      </c>
      <c r="W627" t="s">
        <v>570</v>
      </c>
      <c r="X627" s="196">
        <f t="shared" ref="X627:X673" si="77">46.5877361092098%/5</f>
        <v>9.3175472218419597E-2</v>
      </c>
      <c r="Y627" s="196">
        <f t="shared" ref="Y627:Y673" si="78">10.8481926900998%/5</f>
        <v>2.16963853801996E-2</v>
      </c>
      <c r="Z627" s="196">
        <f t="shared" ref="Z627:Z673" si="79">1.92206944785762%/5</f>
        <v>3.8441388957152398E-3</v>
      </c>
      <c r="AA627" s="54">
        <v>0.05</v>
      </c>
      <c r="AB627" s="99">
        <f t="shared" ref="AB627:AB673" si="80">IF(V627&gt;0, SQRT(V627/MAX($V$626:$V$673)), -SQRT(V627/MIN($V$626:$V$673)))</f>
        <v>0.4977934929774756</v>
      </c>
      <c r="AC627" s="99">
        <f t="shared" si="75"/>
        <v>863.06617741342916</v>
      </c>
      <c r="AD627" s="99">
        <f t="shared" ref="AD627:AD673" si="81">IF(AC627&gt;0,SQRT(AC627/MAX($AC$626:$AC$673)),-SQRT(AC627/MIN($AC$626:$AC$673)))</f>
        <v>0.4600045108252786</v>
      </c>
      <c r="AE627" s="99"/>
    </row>
    <row r="628" spans="15:31" x14ac:dyDescent="0.25">
      <c r="O628" t="s">
        <v>188</v>
      </c>
      <c r="Q628" s="58">
        <v>850.19854977468356</v>
      </c>
      <c r="R628" s="58">
        <v>-217.54879453083089</v>
      </c>
      <c r="T628" s="99">
        <v>10.838150064719279</v>
      </c>
      <c r="U628" s="99">
        <v>11.875716457959903</v>
      </c>
      <c r="V628" s="99">
        <f t="shared" si="70"/>
        <v>-1.0375663932406241</v>
      </c>
      <c r="W628" t="s">
        <v>570</v>
      </c>
      <c r="X628" s="196">
        <f t="shared" si="77"/>
        <v>9.3175472218419597E-2</v>
      </c>
      <c r="Y628" s="196">
        <f t="shared" si="78"/>
        <v>2.16963853801996E-2</v>
      </c>
      <c r="Z628" s="196">
        <f t="shared" si="79"/>
        <v>3.8441388957152398E-3</v>
      </c>
      <c r="AA628" s="54">
        <v>0.05</v>
      </c>
      <c r="AB628" s="99">
        <f t="shared" si="80"/>
        <v>-0.21442892060344113</v>
      </c>
      <c r="AC628" s="99">
        <f t="shared" si="75"/>
        <v>1067.7473443055144</v>
      </c>
      <c r="AD628" s="99">
        <f t="shared" si="81"/>
        <v>0.51165154710248373</v>
      </c>
      <c r="AE628" s="99"/>
    </row>
    <row r="629" spans="15:31" x14ac:dyDescent="0.25">
      <c r="O629" t="s">
        <v>149</v>
      </c>
      <c r="Q629" s="58">
        <v>707.86886554433215</v>
      </c>
      <c r="R629" s="58">
        <v>-289.1747374728169</v>
      </c>
      <c r="T629" s="99">
        <v>15.642266155870878</v>
      </c>
      <c r="U629" s="99">
        <v>8.6181471710660169</v>
      </c>
      <c r="V629" s="99">
        <f t="shared" si="70"/>
        <v>7.0241189848048613</v>
      </c>
      <c r="W629" t="s">
        <v>570</v>
      </c>
      <c r="X629" s="196">
        <f t="shared" si="77"/>
        <v>9.3175472218419597E-2</v>
      </c>
      <c r="Y629" s="196">
        <f t="shared" si="78"/>
        <v>2.16963853801996E-2</v>
      </c>
      <c r="Z629" s="196">
        <f t="shared" si="79"/>
        <v>3.8441388957152398E-3</v>
      </c>
      <c r="AA629" s="54">
        <v>0.05</v>
      </c>
      <c r="AB629" s="99">
        <f t="shared" si="80"/>
        <v>0.72649802192056023</v>
      </c>
      <c r="AC629" s="99">
        <f t="shared" si="75"/>
        <v>997.04360301714905</v>
      </c>
      <c r="AD629" s="99">
        <f t="shared" si="81"/>
        <v>0.49442123764715545</v>
      </c>
      <c r="AE629" s="99"/>
    </row>
    <row r="630" spans="15:31" x14ac:dyDescent="0.25">
      <c r="O630" t="s">
        <v>190</v>
      </c>
      <c r="Q630" s="58">
        <v>1365.8019507231802</v>
      </c>
      <c r="R630" s="58">
        <v>-222.43938981032761</v>
      </c>
      <c r="T630" s="99">
        <v>7.1127552657642177</v>
      </c>
      <c r="U630" s="99">
        <v>9.1385606326039337</v>
      </c>
      <c r="V630" s="99">
        <f t="shared" si="70"/>
        <v>-2.025805366839716</v>
      </c>
      <c r="W630" t="s">
        <v>570</v>
      </c>
      <c r="X630" s="196">
        <f t="shared" si="77"/>
        <v>9.3175472218419597E-2</v>
      </c>
      <c r="Y630" s="196">
        <f t="shared" si="78"/>
        <v>2.16963853801996E-2</v>
      </c>
      <c r="Z630" s="196">
        <f t="shared" si="79"/>
        <v>3.8441388957152398E-3</v>
      </c>
      <c r="AA630" s="54">
        <v>0.05</v>
      </c>
      <c r="AB630" s="99">
        <f t="shared" si="80"/>
        <v>-0.29962239408136609</v>
      </c>
      <c r="AC630" s="99">
        <f t="shared" si="75"/>
        <v>1588.2413405335078</v>
      </c>
      <c r="AD630" s="99">
        <f t="shared" si="81"/>
        <v>0.62401968476964753</v>
      </c>
      <c r="AE630" s="99"/>
    </row>
    <row r="631" spans="15:31" x14ac:dyDescent="0.25">
      <c r="O631" t="s">
        <v>191</v>
      </c>
      <c r="Q631" s="58">
        <v>1182.2603704842181</v>
      </c>
      <c r="R631" s="58">
        <v>-193.2817273169847</v>
      </c>
      <c r="T631" s="99">
        <v>12.537422404912716</v>
      </c>
      <c r="U631" s="99">
        <v>8.4941685360403554</v>
      </c>
      <c r="V631" s="99">
        <f t="shared" si="70"/>
        <v>4.0432538688723607</v>
      </c>
      <c r="W631" t="s">
        <v>570</v>
      </c>
      <c r="X631" s="196">
        <f t="shared" si="77"/>
        <v>9.3175472218419597E-2</v>
      </c>
      <c r="Y631" s="196">
        <f t="shared" si="78"/>
        <v>2.16963853801996E-2</v>
      </c>
      <c r="Z631" s="196">
        <f t="shared" si="79"/>
        <v>3.8441388957152398E-3</v>
      </c>
      <c r="AA631" s="54">
        <v>0.05</v>
      </c>
      <c r="AB631" s="99">
        <f t="shared" si="80"/>
        <v>0.55119340384554882</v>
      </c>
      <c r="AC631" s="99">
        <f t="shared" si="75"/>
        <v>1375.5420978012028</v>
      </c>
      <c r="AD631" s="99">
        <f t="shared" si="81"/>
        <v>0.5807336411060855</v>
      </c>
      <c r="AE631" s="99"/>
    </row>
    <row r="632" spans="15:31" x14ac:dyDescent="0.25">
      <c r="O632" t="s">
        <v>192</v>
      </c>
      <c r="Q632" s="58">
        <v>1074.065967049396</v>
      </c>
      <c r="R632" s="58">
        <v>-210.98420732424921</v>
      </c>
      <c r="T632" s="99">
        <v>8.3119898467307145</v>
      </c>
      <c r="U632" s="99">
        <v>8.7450291826498052</v>
      </c>
      <c r="V632" s="99">
        <f t="shared" si="70"/>
        <v>-0.43303933591909072</v>
      </c>
      <c r="W632" t="s">
        <v>570</v>
      </c>
      <c r="X632" s="196">
        <f t="shared" si="77"/>
        <v>9.3175472218419597E-2</v>
      </c>
      <c r="Y632" s="196">
        <f t="shared" si="78"/>
        <v>2.16963853801996E-2</v>
      </c>
      <c r="Z632" s="196">
        <f t="shared" si="79"/>
        <v>3.8441388957152398E-3</v>
      </c>
      <c r="AA632" s="54">
        <v>0.05</v>
      </c>
      <c r="AB632" s="99">
        <f t="shared" si="80"/>
        <v>-0.13852848518419272</v>
      </c>
      <c r="AC632" s="99">
        <f t="shared" si="75"/>
        <v>1285.0501743736452</v>
      </c>
      <c r="AD632" s="99">
        <f t="shared" si="81"/>
        <v>0.56130651642335905</v>
      </c>
      <c r="AE632" s="99"/>
    </row>
    <row r="633" spans="15:31" x14ac:dyDescent="0.25">
      <c r="O633" t="s">
        <v>193</v>
      </c>
      <c r="Q633" s="58">
        <v>1053.907533427659</v>
      </c>
      <c r="R633" s="58">
        <v>-187.62475706020217</v>
      </c>
      <c r="T633" s="99">
        <v>11.329294843419689</v>
      </c>
      <c r="U633" s="99">
        <v>9.9875077985176652</v>
      </c>
      <c r="V633" s="99">
        <f t="shared" si="70"/>
        <v>1.3417870449020235</v>
      </c>
      <c r="W633" t="s">
        <v>570</v>
      </c>
      <c r="X633" s="196">
        <f t="shared" si="77"/>
        <v>9.3175472218419597E-2</v>
      </c>
      <c r="Y633" s="196">
        <f t="shared" si="78"/>
        <v>2.16963853801996E-2</v>
      </c>
      <c r="Z633" s="196">
        <f t="shared" si="79"/>
        <v>3.8441388957152398E-3</v>
      </c>
      <c r="AA633" s="54">
        <v>0.05</v>
      </c>
      <c r="AB633" s="99">
        <f t="shared" si="80"/>
        <v>0.3175267392280457</v>
      </c>
      <c r="AC633" s="99">
        <f t="shared" si="75"/>
        <v>1241.5322904878612</v>
      </c>
      <c r="AD633" s="99">
        <f t="shared" si="81"/>
        <v>0.55172041143902761</v>
      </c>
      <c r="AE633" s="99"/>
    </row>
    <row r="634" spans="15:31" x14ac:dyDescent="0.25">
      <c r="O634" t="s">
        <v>194</v>
      </c>
      <c r="Q634" s="58">
        <v>390.03737945779545</v>
      </c>
      <c r="R634" s="58">
        <v>-245.60872010447787</v>
      </c>
      <c r="T634" s="99">
        <v>16.387669564474955</v>
      </c>
      <c r="U634" s="99">
        <v>12.554033756818065</v>
      </c>
      <c r="V634" s="99">
        <f t="shared" si="70"/>
        <v>3.8336358076568899</v>
      </c>
      <c r="W634" t="s">
        <v>570</v>
      </c>
      <c r="X634" s="196">
        <f t="shared" si="77"/>
        <v>9.3175472218419597E-2</v>
      </c>
      <c r="Y634" s="196">
        <f t="shared" si="78"/>
        <v>2.16963853801996E-2</v>
      </c>
      <c r="Z634" s="196">
        <f t="shared" si="79"/>
        <v>3.8441388957152398E-3</v>
      </c>
      <c r="AA634" s="54">
        <v>0.05</v>
      </c>
      <c r="AB634" s="99">
        <f t="shared" si="80"/>
        <v>0.53671524682702432</v>
      </c>
      <c r="AC634" s="99">
        <f t="shared" si="75"/>
        <v>635.64609956227332</v>
      </c>
      <c r="AD634" s="99">
        <f t="shared" si="81"/>
        <v>0.39477326626252612</v>
      </c>
      <c r="AE634" s="99"/>
    </row>
    <row r="635" spans="15:31" x14ac:dyDescent="0.25">
      <c r="O635" t="s">
        <v>196</v>
      </c>
      <c r="Q635" s="58">
        <v>344.12286089857298</v>
      </c>
      <c r="R635" s="58">
        <v>-256.89395462602334</v>
      </c>
      <c r="T635" s="99">
        <v>19.564300083183952</v>
      </c>
      <c r="U635" s="99">
        <v>10.282441590367565</v>
      </c>
      <c r="V635" s="99">
        <f t="shared" si="70"/>
        <v>9.2818584928163865</v>
      </c>
      <c r="W635" t="s">
        <v>570</v>
      </c>
      <c r="X635" s="196">
        <f t="shared" si="77"/>
        <v>9.3175472218419597E-2</v>
      </c>
      <c r="Y635" s="196">
        <f t="shared" si="78"/>
        <v>2.16963853801996E-2</v>
      </c>
      <c r="Z635" s="196">
        <f t="shared" si="79"/>
        <v>3.8441388957152398E-3</v>
      </c>
      <c r="AA635" s="54">
        <v>0.05</v>
      </c>
      <c r="AB635" s="99">
        <f t="shared" si="80"/>
        <v>0.8351336400173196</v>
      </c>
      <c r="AC635" s="99">
        <f t="shared" si="75"/>
        <v>601.01681552459627</v>
      </c>
      <c r="AD635" s="99">
        <f t="shared" si="81"/>
        <v>0.38386927567807161</v>
      </c>
      <c r="AE635" s="99"/>
    </row>
    <row r="636" spans="15:31" x14ac:dyDescent="0.25">
      <c r="O636" t="s">
        <v>197</v>
      </c>
      <c r="Q636" s="58">
        <v>669.77102378195298</v>
      </c>
      <c r="R636" s="58">
        <v>-201.90144577125125</v>
      </c>
      <c r="T636" s="99">
        <v>15.059600404578838</v>
      </c>
      <c r="U636" s="99">
        <v>8.8109084585564972</v>
      </c>
      <c r="V636" s="99">
        <f t="shared" si="70"/>
        <v>6.2486919460223405</v>
      </c>
      <c r="W636" t="s">
        <v>570</v>
      </c>
      <c r="X636" s="196">
        <f t="shared" si="77"/>
        <v>9.3175472218419597E-2</v>
      </c>
      <c r="Y636" s="196">
        <f t="shared" si="78"/>
        <v>2.16963853801996E-2</v>
      </c>
      <c r="Z636" s="196">
        <f t="shared" si="79"/>
        <v>3.8441388957152398E-3</v>
      </c>
      <c r="AA636" s="54">
        <v>0.05</v>
      </c>
      <c r="AB636" s="99">
        <f t="shared" si="80"/>
        <v>0.68522478580331847</v>
      </c>
      <c r="AC636" s="99">
        <f t="shared" si="75"/>
        <v>871.67246955320422</v>
      </c>
      <c r="AD636" s="99">
        <f t="shared" si="81"/>
        <v>0.46229234971027711</v>
      </c>
      <c r="AE636" s="99"/>
    </row>
    <row r="637" spans="15:31" x14ac:dyDescent="0.25">
      <c r="O637" t="s">
        <v>198</v>
      </c>
      <c r="Q637" s="58">
        <v>3475.8391695100458</v>
      </c>
      <c r="R637" s="58">
        <v>-260.94663304185849</v>
      </c>
      <c r="T637" s="99">
        <v>2.0974416364896129</v>
      </c>
      <c r="U637" s="99">
        <v>12.59838875542242</v>
      </c>
      <c r="V637" s="99">
        <f t="shared" si="70"/>
        <v>-10.500947118932807</v>
      </c>
      <c r="W637" t="s">
        <v>570</v>
      </c>
      <c r="X637" s="196">
        <f t="shared" si="77"/>
        <v>9.3175472218419597E-2</v>
      </c>
      <c r="Y637" s="196">
        <f t="shared" si="78"/>
        <v>2.16963853801996E-2</v>
      </c>
      <c r="Z637" s="196">
        <f t="shared" si="79"/>
        <v>3.8441388957152398E-3</v>
      </c>
      <c r="AA637" s="54">
        <v>0.05</v>
      </c>
      <c r="AB637" s="99">
        <f t="shared" si="80"/>
        <v>-0.68216533567815696</v>
      </c>
      <c r="AC637" s="99">
        <f t="shared" si="75"/>
        <v>3736.7858025519045</v>
      </c>
      <c r="AD637" s="99">
        <f t="shared" si="81"/>
        <v>0.95717014433554926</v>
      </c>
      <c r="AE637" s="99"/>
    </row>
    <row r="638" spans="15:31" x14ac:dyDescent="0.25">
      <c r="O638" t="s">
        <v>195</v>
      </c>
      <c r="Q638" s="58">
        <v>565.16329071870643</v>
      </c>
      <c r="R638" s="58">
        <v>-236.71209599402644</v>
      </c>
      <c r="T638" s="99">
        <v>14.952745171970058</v>
      </c>
      <c r="U638" s="99">
        <v>10.436400060143644</v>
      </c>
      <c r="V638" s="99">
        <f t="shared" si="70"/>
        <v>4.5163451118264142</v>
      </c>
      <c r="W638" t="s">
        <v>570</v>
      </c>
      <c r="X638" s="196">
        <f t="shared" si="77"/>
        <v>9.3175472218419597E-2</v>
      </c>
      <c r="Y638" s="196">
        <f t="shared" si="78"/>
        <v>2.16963853801996E-2</v>
      </c>
      <c r="Z638" s="196">
        <f t="shared" si="79"/>
        <v>3.8441388957152398E-3</v>
      </c>
      <c r="AA638" s="54">
        <v>0.05</v>
      </c>
      <c r="AB638" s="99">
        <f t="shared" si="80"/>
        <v>0.58254847092689066</v>
      </c>
      <c r="AC638" s="99">
        <f t="shared" si="75"/>
        <v>801.87538671273285</v>
      </c>
      <c r="AD638" s="99">
        <f t="shared" si="81"/>
        <v>0.44339774826411399</v>
      </c>
      <c r="AE638" s="99"/>
    </row>
    <row r="639" spans="15:31" x14ac:dyDescent="0.25">
      <c r="O639" t="s">
        <v>199</v>
      </c>
      <c r="Q639" s="58">
        <v>671.69071170453662</v>
      </c>
      <c r="R639" s="58">
        <v>-221.79996309268287</v>
      </c>
      <c r="T639" s="99">
        <v>14.160594113711877</v>
      </c>
      <c r="U639" s="99">
        <v>10.341622904793727</v>
      </c>
      <c r="V639" s="99">
        <f t="shared" si="70"/>
        <v>3.8189712089181498</v>
      </c>
      <c r="W639" t="s">
        <v>570</v>
      </c>
      <c r="X639" s="196">
        <f t="shared" si="77"/>
        <v>9.3175472218419597E-2</v>
      </c>
      <c r="Y639" s="196">
        <f t="shared" si="78"/>
        <v>2.16963853801996E-2</v>
      </c>
      <c r="Z639" s="196">
        <f t="shared" si="79"/>
        <v>3.8441388957152398E-3</v>
      </c>
      <c r="AA639" s="54">
        <v>0.05</v>
      </c>
      <c r="AB639" s="99">
        <f t="shared" si="80"/>
        <v>0.53568772942437015</v>
      </c>
      <c r="AC639" s="99">
        <f t="shared" si="75"/>
        <v>893.49067479721953</v>
      </c>
      <c r="AD639" s="99">
        <f t="shared" si="81"/>
        <v>0.46804224499654001</v>
      </c>
      <c r="AE639" s="99"/>
    </row>
    <row r="640" spans="15:31" x14ac:dyDescent="0.25">
      <c r="O640" t="s">
        <v>157</v>
      </c>
      <c r="Q640" s="58">
        <v>0</v>
      </c>
      <c r="R640" s="58">
        <v>-226.58827510670812</v>
      </c>
      <c r="T640" s="99">
        <v>-2.7752135714939357</v>
      </c>
      <c r="U640" s="99">
        <v>11.297352017770034</v>
      </c>
      <c r="V640" s="99">
        <f t="shared" si="70"/>
        <v>-14.07256558926397</v>
      </c>
      <c r="W640" t="s">
        <v>570</v>
      </c>
      <c r="X640" s="196">
        <f t="shared" si="77"/>
        <v>9.3175472218419597E-2</v>
      </c>
      <c r="Y640" s="196">
        <f t="shared" si="78"/>
        <v>2.16963853801996E-2</v>
      </c>
      <c r="Z640" s="196">
        <f t="shared" si="79"/>
        <v>3.8441388957152398E-3</v>
      </c>
      <c r="AA640" s="54">
        <v>0.05</v>
      </c>
      <c r="AB640" s="99">
        <f t="shared" si="80"/>
        <v>-0.78969984345657473</v>
      </c>
      <c r="AC640" s="99">
        <f t="shared" si="75"/>
        <v>226.58827510670812</v>
      </c>
      <c r="AD640" s="99">
        <f t="shared" si="81"/>
        <v>0.23569955272558493</v>
      </c>
      <c r="AE640" s="99"/>
    </row>
    <row r="641" spans="15:31" x14ac:dyDescent="0.25">
      <c r="O641" t="s">
        <v>200</v>
      </c>
      <c r="Q641" s="58">
        <v>906.28186366416321</v>
      </c>
      <c r="R641" s="58">
        <v>-177.95422531945317</v>
      </c>
      <c r="T641" s="99">
        <v>11.288030672849509</v>
      </c>
      <c r="U641" s="99">
        <v>10.257829847883333</v>
      </c>
      <c r="V641" s="99">
        <f t="shared" si="70"/>
        <v>1.030200824966176</v>
      </c>
      <c r="W641" t="s">
        <v>570</v>
      </c>
      <c r="X641" s="196">
        <f t="shared" si="77"/>
        <v>9.3175472218419597E-2</v>
      </c>
      <c r="Y641" s="196">
        <f t="shared" si="78"/>
        <v>2.16963853801996E-2</v>
      </c>
      <c r="Z641" s="196">
        <f t="shared" si="79"/>
        <v>3.8441388957152398E-3</v>
      </c>
      <c r="AA641" s="54">
        <v>0.05</v>
      </c>
      <c r="AB641" s="99">
        <f t="shared" si="80"/>
        <v>0.27822711532240152</v>
      </c>
      <c r="AC641" s="99">
        <f t="shared" si="75"/>
        <v>1084.2360889836164</v>
      </c>
      <c r="AD641" s="99">
        <f t="shared" si="81"/>
        <v>0.51558701489344005</v>
      </c>
      <c r="AE641" s="99"/>
    </row>
    <row r="642" spans="15:31" x14ac:dyDescent="0.25">
      <c r="O642" t="s">
        <v>203</v>
      </c>
      <c r="Q642" s="58">
        <v>580.15209630172717</v>
      </c>
      <c r="R642" s="58">
        <v>-242.74910693477955</v>
      </c>
      <c r="T642" s="99">
        <v>19.179393606582551</v>
      </c>
      <c r="U642" s="99">
        <v>10.176922776651324</v>
      </c>
      <c r="V642" s="99">
        <f t="shared" si="70"/>
        <v>9.0024708299312266</v>
      </c>
      <c r="W642" t="s">
        <v>570</v>
      </c>
      <c r="X642" s="196">
        <f t="shared" si="77"/>
        <v>9.3175472218419597E-2</v>
      </c>
      <c r="Y642" s="196">
        <f t="shared" si="78"/>
        <v>2.16963853801996E-2</v>
      </c>
      <c r="Z642" s="196">
        <f t="shared" si="79"/>
        <v>3.8441388957152398E-3</v>
      </c>
      <c r="AA642" s="54">
        <v>0.05</v>
      </c>
      <c r="AB642" s="99">
        <f t="shared" si="80"/>
        <v>0.82246867798994827</v>
      </c>
      <c r="AC642" s="99">
        <f t="shared" si="75"/>
        <v>822.90120323650672</v>
      </c>
      <c r="AD642" s="99">
        <f t="shared" si="81"/>
        <v>0.44917325612463699</v>
      </c>
      <c r="AE642" s="99"/>
    </row>
    <row r="643" spans="15:31" x14ac:dyDescent="0.25">
      <c r="O643" t="s">
        <v>202</v>
      </c>
      <c r="Q643" s="58">
        <v>639.90568996484251</v>
      </c>
      <c r="R643" s="58">
        <v>-220.42015182729679</v>
      </c>
      <c r="T643" s="99">
        <v>15.239266290632191</v>
      </c>
      <c r="U643" s="99">
        <v>9.3651969111127364</v>
      </c>
      <c r="V643" s="99">
        <f t="shared" ref="V643:V706" si="82">T643-U643</f>
        <v>5.8740693795194545</v>
      </c>
      <c r="W643" t="s">
        <v>570</v>
      </c>
      <c r="X643" s="196">
        <f t="shared" si="77"/>
        <v>9.3175472218419597E-2</v>
      </c>
      <c r="Y643" s="196">
        <f t="shared" si="78"/>
        <v>2.16963853801996E-2</v>
      </c>
      <c r="Z643" s="196">
        <f t="shared" si="79"/>
        <v>3.8441388957152398E-3</v>
      </c>
      <c r="AA643" s="54">
        <v>0.05</v>
      </c>
      <c r="AB643" s="99">
        <f t="shared" si="80"/>
        <v>0.66436698448824338</v>
      </c>
      <c r="AC643" s="99">
        <f t="shared" ref="AC643:AC706" si="83">Q643-R643</f>
        <v>860.32584179213927</v>
      </c>
      <c r="AD643" s="99">
        <f t="shared" si="81"/>
        <v>0.45927364627327344</v>
      </c>
      <c r="AE643" s="99"/>
    </row>
    <row r="644" spans="15:31" x14ac:dyDescent="0.25">
      <c r="O644" t="s">
        <v>201</v>
      </c>
      <c r="Q644" s="58">
        <v>1185.0796839419233</v>
      </c>
      <c r="R644" s="58">
        <v>-215.41884627481028</v>
      </c>
      <c r="T644" s="99">
        <v>10.442480279399902</v>
      </c>
      <c r="U644" s="99">
        <v>9.207348667496511</v>
      </c>
      <c r="V644" s="99">
        <f t="shared" si="82"/>
        <v>1.235131611903391</v>
      </c>
      <c r="W644" t="s">
        <v>570</v>
      </c>
      <c r="X644" s="196">
        <f t="shared" si="77"/>
        <v>9.3175472218419597E-2</v>
      </c>
      <c r="Y644" s="196">
        <f t="shared" si="78"/>
        <v>2.16963853801996E-2</v>
      </c>
      <c r="Z644" s="196">
        <f t="shared" si="79"/>
        <v>3.8441388957152398E-3</v>
      </c>
      <c r="AA644" s="54">
        <v>0.05</v>
      </c>
      <c r="AB644" s="99">
        <f t="shared" si="80"/>
        <v>0.30464575076004802</v>
      </c>
      <c r="AC644" s="99">
        <f t="shared" si="83"/>
        <v>1400.4985302167336</v>
      </c>
      <c r="AD644" s="99">
        <f t="shared" si="81"/>
        <v>0.58597807993838369</v>
      </c>
      <c r="AE644" s="99"/>
    </row>
    <row r="645" spans="15:31" x14ac:dyDescent="0.25">
      <c r="O645" t="s">
        <v>204</v>
      </c>
      <c r="Q645" s="58">
        <v>1199.5156926224856</v>
      </c>
      <c r="R645" s="58">
        <v>-202.30382558718529</v>
      </c>
      <c r="T645" s="99">
        <v>9.4960543961725179</v>
      </c>
      <c r="U645" s="99">
        <v>10.174887471249637</v>
      </c>
      <c r="V645" s="99">
        <f t="shared" si="82"/>
        <v>-0.67883307507711876</v>
      </c>
      <c r="W645" t="s">
        <v>570</v>
      </c>
      <c r="X645" s="196">
        <f t="shared" si="77"/>
        <v>9.3175472218419597E-2</v>
      </c>
      <c r="Y645" s="196">
        <f t="shared" si="78"/>
        <v>2.16963853801996E-2</v>
      </c>
      <c r="Z645" s="196">
        <f t="shared" si="79"/>
        <v>3.8441388957152398E-3</v>
      </c>
      <c r="AA645" s="54">
        <v>0.05</v>
      </c>
      <c r="AB645" s="99">
        <f t="shared" si="80"/>
        <v>-0.17344305256063436</v>
      </c>
      <c r="AC645" s="99">
        <f t="shared" si="83"/>
        <v>1401.8195182096708</v>
      </c>
      <c r="AD645" s="99">
        <f t="shared" si="81"/>
        <v>0.58625436996873037</v>
      </c>
      <c r="AE645" s="99"/>
    </row>
    <row r="646" spans="15:31" x14ac:dyDescent="0.25">
      <c r="O646" t="s">
        <v>205</v>
      </c>
      <c r="Q646" s="58">
        <v>497.52251101327175</v>
      </c>
      <c r="R646" s="58">
        <v>-258.63267367580187</v>
      </c>
      <c r="T646" s="99">
        <v>15.244921483609644</v>
      </c>
      <c r="U646" s="99">
        <v>12.906558172883447</v>
      </c>
      <c r="V646" s="99">
        <f t="shared" si="82"/>
        <v>2.3383633107261979</v>
      </c>
      <c r="W646" t="s">
        <v>570</v>
      </c>
      <c r="X646" s="196">
        <f t="shared" si="77"/>
        <v>9.3175472218419597E-2</v>
      </c>
      <c r="Y646" s="196">
        <f t="shared" si="78"/>
        <v>2.16963853801996E-2</v>
      </c>
      <c r="Z646" s="196">
        <f t="shared" si="79"/>
        <v>3.8441388957152398E-3</v>
      </c>
      <c r="AA646" s="54">
        <v>0.05</v>
      </c>
      <c r="AB646" s="99">
        <f t="shared" si="80"/>
        <v>0.4191741578171933</v>
      </c>
      <c r="AC646" s="99">
        <f t="shared" si="83"/>
        <v>756.15518468907362</v>
      </c>
      <c r="AD646" s="99">
        <f t="shared" si="81"/>
        <v>0.43057172687861001</v>
      </c>
      <c r="AE646" s="99"/>
    </row>
    <row r="647" spans="15:31" x14ac:dyDescent="0.25">
      <c r="O647" t="s">
        <v>207</v>
      </c>
      <c r="Q647" s="58">
        <v>660.19708406391499</v>
      </c>
      <c r="R647" s="58">
        <v>-240.76583327218978</v>
      </c>
      <c r="T647" s="99">
        <v>14.765103728983952</v>
      </c>
      <c r="U647" s="99">
        <v>13.698604156433582</v>
      </c>
      <c r="V647" s="99">
        <f t="shared" si="82"/>
        <v>1.0664995725503701</v>
      </c>
      <c r="W647" t="s">
        <v>570</v>
      </c>
      <c r="X647" s="196">
        <f t="shared" si="77"/>
        <v>9.3175472218419597E-2</v>
      </c>
      <c r="Y647" s="196">
        <f t="shared" si="78"/>
        <v>2.16963853801996E-2</v>
      </c>
      <c r="Z647" s="196">
        <f t="shared" si="79"/>
        <v>3.8441388957152398E-3</v>
      </c>
      <c r="AA647" s="54">
        <v>0.05</v>
      </c>
      <c r="AB647" s="99">
        <f t="shared" si="80"/>
        <v>0.28308629807450203</v>
      </c>
      <c r="AC647" s="99">
        <f t="shared" si="83"/>
        <v>900.96291733610474</v>
      </c>
      <c r="AD647" s="99">
        <f t="shared" si="81"/>
        <v>0.46999528360939957</v>
      </c>
      <c r="AE647" s="99"/>
    </row>
    <row r="648" spans="15:31" x14ac:dyDescent="0.25">
      <c r="O648" t="s">
        <v>206</v>
      </c>
      <c r="Q648" s="58">
        <v>2848.2590702294933</v>
      </c>
      <c r="R648" s="58">
        <v>-258.63278012941595</v>
      </c>
      <c r="T648" s="99">
        <v>2.5206851452041832</v>
      </c>
      <c r="U648" s="99">
        <v>12.908109529905989</v>
      </c>
      <c r="V648" s="99">
        <f t="shared" si="82"/>
        <v>-10.387424384701806</v>
      </c>
      <c r="W648" t="s">
        <v>570</v>
      </c>
      <c r="X648" s="196">
        <f t="shared" si="77"/>
        <v>9.3175472218419597E-2</v>
      </c>
      <c r="Y648" s="196">
        <f t="shared" si="78"/>
        <v>2.16963853801996E-2</v>
      </c>
      <c r="Z648" s="196">
        <f t="shared" si="79"/>
        <v>3.8441388957152398E-3</v>
      </c>
      <c r="AA648" s="54">
        <v>0.05</v>
      </c>
      <c r="AB648" s="99">
        <f t="shared" si="80"/>
        <v>-0.67846796861569125</v>
      </c>
      <c r="AC648" s="99">
        <f t="shared" si="83"/>
        <v>3106.8918503589093</v>
      </c>
      <c r="AD648" s="99">
        <f t="shared" si="81"/>
        <v>0.872776631702321</v>
      </c>
      <c r="AE648" s="99"/>
    </row>
    <row r="649" spans="15:31" x14ac:dyDescent="0.25">
      <c r="O649" t="s">
        <v>208</v>
      </c>
      <c r="Q649" s="58">
        <v>964.97212607642291</v>
      </c>
      <c r="R649" s="58">
        <v>-265.07319530847894</v>
      </c>
      <c r="T649" s="99">
        <v>7.5328266141411966</v>
      </c>
      <c r="U649" s="99">
        <v>11.368943629491582</v>
      </c>
      <c r="V649" s="99">
        <f t="shared" si="82"/>
        <v>-3.8361170153503856</v>
      </c>
      <c r="W649" t="s">
        <v>570</v>
      </c>
      <c r="X649" s="196">
        <f t="shared" si="77"/>
        <v>9.3175472218419597E-2</v>
      </c>
      <c r="Y649" s="196">
        <f t="shared" si="78"/>
        <v>2.16963853801996E-2</v>
      </c>
      <c r="Z649" s="196">
        <f t="shared" si="79"/>
        <v>3.8441388957152398E-3</v>
      </c>
      <c r="AA649" s="54">
        <v>0.05</v>
      </c>
      <c r="AB649" s="99">
        <f t="shared" si="80"/>
        <v>-0.41230759443824722</v>
      </c>
      <c r="AC649" s="99">
        <f t="shared" si="83"/>
        <v>1230.0453213849019</v>
      </c>
      <c r="AD649" s="99">
        <f t="shared" si="81"/>
        <v>0.54916215224786358</v>
      </c>
      <c r="AE649" s="99"/>
    </row>
    <row r="650" spans="15:31" x14ac:dyDescent="0.25">
      <c r="O650" t="s">
        <v>211</v>
      </c>
      <c r="Q650" s="58">
        <v>1054.8353695131971</v>
      </c>
      <c r="R650" s="58">
        <v>-220.0837525229941</v>
      </c>
      <c r="T650" s="99">
        <v>8.411073222640205</v>
      </c>
      <c r="U650" s="99">
        <v>10.467624926179319</v>
      </c>
      <c r="V650" s="99">
        <f t="shared" si="82"/>
        <v>-2.0565517035391139</v>
      </c>
      <c r="W650" t="s">
        <v>570</v>
      </c>
      <c r="X650" s="196">
        <f t="shared" si="77"/>
        <v>9.3175472218419597E-2</v>
      </c>
      <c r="Y650" s="196">
        <f t="shared" si="78"/>
        <v>2.16963853801996E-2</v>
      </c>
      <c r="Z650" s="196">
        <f t="shared" si="79"/>
        <v>3.8441388957152398E-3</v>
      </c>
      <c r="AA650" s="54">
        <v>0.05</v>
      </c>
      <c r="AB650" s="99">
        <f t="shared" si="80"/>
        <v>-0.3018875670865816</v>
      </c>
      <c r="AC650" s="99">
        <f t="shared" si="83"/>
        <v>1274.9191220361911</v>
      </c>
      <c r="AD650" s="99">
        <f t="shared" si="81"/>
        <v>0.55908952978950199</v>
      </c>
      <c r="AE650" s="99"/>
    </row>
    <row r="651" spans="15:31" x14ac:dyDescent="0.25">
      <c r="O651" t="s">
        <v>215</v>
      </c>
      <c r="Q651" s="58">
        <v>593.13331487415905</v>
      </c>
      <c r="R651" s="58">
        <v>-305.2958157683629</v>
      </c>
      <c r="T651" s="99">
        <v>12.975621794552966</v>
      </c>
      <c r="U651" s="99">
        <v>9.8063856730660248</v>
      </c>
      <c r="V651" s="99">
        <f t="shared" si="82"/>
        <v>3.1692361214869411</v>
      </c>
      <c r="W651" t="s">
        <v>570</v>
      </c>
      <c r="X651" s="196">
        <f t="shared" si="77"/>
        <v>9.3175472218419597E-2</v>
      </c>
      <c r="Y651" s="196">
        <f t="shared" si="78"/>
        <v>2.16963853801996E-2</v>
      </c>
      <c r="Z651" s="196">
        <f t="shared" si="79"/>
        <v>3.8441388957152398E-3</v>
      </c>
      <c r="AA651" s="54">
        <v>0.05</v>
      </c>
      <c r="AB651" s="99">
        <f t="shared" si="80"/>
        <v>0.487995486161032</v>
      </c>
      <c r="AC651" s="99">
        <f t="shared" si="83"/>
        <v>898.42913064252195</v>
      </c>
      <c r="AD651" s="99">
        <f t="shared" si="81"/>
        <v>0.46933393216841485</v>
      </c>
      <c r="AE651" s="99"/>
    </row>
    <row r="652" spans="15:31" x14ac:dyDescent="0.25">
      <c r="O652" t="s">
        <v>212</v>
      </c>
      <c r="Q652" s="58">
        <v>744.58681550275503</v>
      </c>
      <c r="R652" s="58">
        <v>-211.84400723428155</v>
      </c>
      <c r="T652" s="99">
        <v>16.380802133636774</v>
      </c>
      <c r="U652" s="99">
        <v>8.2283810751630888</v>
      </c>
      <c r="V652" s="99">
        <f t="shared" si="82"/>
        <v>8.1524210584736849</v>
      </c>
      <c r="W652" t="s">
        <v>570</v>
      </c>
      <c r="X652" s="196">
        <f t="shared" si="77"/>
        <v>9.3175472218419597E-2</v>
      </c>
      <c r="Y652" s="196">
        <f t="shared" si="78"/>
        <v>2.16963853801996E-2</v>
      </c>
      <c r="Z652" s="196">
        <f t="shared" si="79"/>
        <v>3.8441388957152398E-3</v>
      </c>
      <c r="AA652" s="54">
        <v>0.05</v>
      </c>
      <c r="AB652" s="99">
        <f t="shared" si="80"/>
        <v>0.7826756225916297</v>
      </c>
      <c r="AC652" s="99">
        <f t="shared" si="83"/>
        <v>956.43082273703658</v>
      </c>
      <c r="AD652" s="99">
        <f t="shared" si="81"/>
        <v>0.48424687136564037</v>
      </c>
      <c r="AE652" s="99"/>
    </row>
    <row r="653" spans="15:31" x14ac:dyDescent="0.25">
      <c r="O653" t="s">
        <v>213</v>
      </c>
      <c r="Q653" s="58">
        <v>737.15821478806265</v>
      </c>
      <c r="R653" s="58">
        <v>-192.2914093906947</v>
      </c>
      <c r="T653" s="99">
        <v>13.899453607957462</v>
      </c>
      <c r="U653" s="99">
        <v>8.5383164211563525</v>
      </c>
      <c r="V653" s="99">
        <f t="shared" si="82"/>
        <v>5.3611371868011091</v>
      </c>
      <c r="W653" t="s">
        <v>570</v>
      </c>
      <c r="X653" s="196">
        <f t="shared" si="77"/>
        <v>9.3175472218419597E-2</v>
      </c>
      <c r="Y653" s="196">
        <f t="shared" si="78"/>
        <v>2.16963853801996E-2</v>
      </c>
      <c r="Z653" s="196">
        <f t="shared" si="79"/>
        <v>3.8441388957152398E-3</v>
      </c>
      <c r="AA653" s="54">
        <v>0.05</v>
      </c>
      <c r="AB653" s="99">
        <f t="shared" si="80"/>
        <v>0.63469776149348578</v>
      </c>
      <c r="AC653" s="99">
        <f t="shared" si="83"/>
        <v>929.4496241787574</v>
      </c>
      <c r="AD653" s="99">
        <f t="shared" si="81"/>
        <v>0.47736763366942908</v>
      </c>
      <c r="AE653" s="99"/>
    </row>
    <row r="654" spans="15:31" x14ac:dyDescent="0.25">
      <c r="O654" t="s">
        <v>214</v>
      </c>
      <c r="Q654" s="58">
        <v>422.75224423657147</v>
      </c>
      <c r="R654" s="58">
        <v>-241.25171221282613</v>
      </c>
      <c r="T654" s="99">
        <v>16.514510431965363</v>
      </c>
      <c r="U654" s="99">
        <v>13.312401081417732</v>
      </c>
      <c r="V654" s="99">
        <f t="shared" si="82"/>
        <v>3.2021093505476301</v>
      </c>
      <c r="W654" t="s">
        <v>570</v>
      </c>
      <c r="X654" s="196">
        <f t="shared" si="77"/>
        <v>9.3175472218419597E-2</v>
      </c>
      <c r="Y654" s="196">
        <f t="shared" si="78"/>
        <v>2.16963853801996E-2</v>
      </c>
      <c r="Z654" s="196">
        <f t="shared" si="79"/>
        <v>3.8441388957152398E-3</v>
      </c>
      <c r="AA654" s="54">
        <v>0.05</v>
      </c>
      <c r="AB654" s="99">
        <f t="shared" si="80"/>
        <v>0.49051984879114791</v>
      </c>
      <c r="AC654" s="99">
        <f t="shared" si="83"/>
        <v>664.00395644939761</v>
      </c>
      <c r="AD654" s="99">
        <f t="shared" si="81"/>
        <v>0.40348312448497764</v>
      </c>
      <c r="AE654" s="99"/>
    </row>
    <row r="655" spans="15:31" x14ac:dyDescent="0.25">
      <c r="O655" t="s">
        <v>216</v>
      </c>
      <c r="Q655" s="58">
        <v>949.26929543776487</v>
      </c>
      <c r="R655" s="58">
        <v>-153.27102716027568</v>
      </c>
      <c r="T655" s="99">
        <v>11.864602751300467</v>
      </c>
      <c r="U655" s="99">
        <v>7.1961261045425804</v>
      </c>
      <c r="V655" s="99">
        <f t="shared" si="82"/>
        <v>4.6684766467578864</v>
      </c>
      <c r="W655" t="s">
        <v>570</v>
      </c>
      <c r="X655" s="196">
        <f t="shared" si="77"/>
        <v>9.3175472218419597E-2</v>
      </c>
      <c r="Y655" s="196">
        <f t="shared" si="78"/>
        <v>2.16963853801996E-2</v>
      </c>
      <c r="Z655" s="196">
        <f t="shared" si="79"/>
        <v>3.8441388957152398E-3</v>
      </c>
      <c r="AA655" s="54">
        <v>0.05</v>
      </c>
      <c r="AB655" s="99">
        <f t="shared" si="80"/>
        <v>0.59227868250919746</v>
      </c>
      <c r="AC655" s="99">
        <f t="shared" si="83"/>
        <v>1102.5403225980406</v>
      </c>
      <c r="AD655" s="99">
        <f t="shared" si="81"/>
        <v>0.5199209081174041</v>
      </c>
      <c r="AE655" s="99"/>
    </row>
    <row r="656" spans="15:31" x14ac:dyDescent="0.25">
      <c r="O656" t="s">
        <v>209</v>
      </c>
      <c r="Q656" s="58">
        <v>365.30709331097228</v>
      </c>
      <c r="R656" s="58">
        <v>-247.16687003546545</v>
      </c>
      <c r="T656" s="99">
        <v>15.973607632185903</v>
      </c>
      <c r="U656" s="99">
        <v>11.049425093332438</v>
      </c>
      <c r="V656" s="99">
        <f t="shared" si="82"/>
        <v>4.924182538853465</v>
      </c>
      <c r="W656" t="s">
        <v>570</v>
      </c>
      <c r="X656" s="196">
        <f t="shared" si="77"/>
        <v>9.3175472218419597E-2</v>
      </c>
      <c r="Y656" s="196">
        <f t="shared" si="78"/>
        <v>2.16963853801996E-2</v>
      </c>
      <c r="Z656" s="196">
        <f t="shared" si="79"/>
        <v>3.8441388957152398E-3</v>
      </c>
      <c r="AA656" s="54">
        <v>0.05</v>
      </c>
      <c r="AB656" s="99">
        <f t="shared" si="80"/>
        <v>0.6082828585923632</v>
      </c>
      <c r="AC656" s="99">
        <f t="shared" si="83"/>
        <v>612.4739633464377</v>
      </c>
      <c r="AD656" s="99">
        <f t="shared" si="81"/>
        <v>0.38751084145905595</v>
      </c>
      <c r="AE656" s="99"/>
    </row>
    <row r="657" spans="15:31" x14ac:dyDescent="0.25">
      <c r="O657" t="s">
        <v>210</v>
      </c>
      <c r="Q657" s="58">
        <v>1614.2222287993461</v>
      </c>
      <c r="R657" s="58">
        <v>-257.71653619728392</v>
      </c>
      <c r="T657" s="99">
        <v>4.0511928330299654</v>
      </c>
      <c r="U657" s="99">
        <v>12.747018546168746</v>
      </c>
      <c r="V657" s="99">
        <f t="shared" si="82"/>
        <v>-8.6958257131387811</v>
      </c>
      <c r="W657" t="s">
        <v>570</v>
      </c>
      <c r="X657" s="196">
        <f t="shared" si="77"/>
        <v>9.3175472218419597E-2</v>
      </c>
      <c r="Y657" s="196">
        <f t="shared" si="78"/>
        <v>2.16963853801996E-2</v>
      </c>
      <c r="Z657" s="196">
        <f t="shared" si="79"/>
        <v>3.8441388957152398E-3</v>
      </c>
      <c r="AA657" s="54">
        <v>0.05</v>
      </c>
      <c r="AB657" s="99">
        <f t="shared" si="80"/>
        <v>-0.62077014864349456</v>
      </c>
      <c r="AC657" s="99">
        <f t="shared" si="83"/>
        <v>1871.93876499663</v>
      </c>
      <c r="AD657" s="99">
        <f t="shared" si="81"/>
        <v>0.67746343631753358</v>
      </c>
      <c r="AE657" s="99"/>
    </row>
    <row r="658" spans="15:31" x14ac:dyDescent="0.25">
      <c r="O658" t="s">
        <v>217</v>
      </c>
      <c r="Q658" s="58">
        <v>1347.7848779314654</v>
      </c>
      <c r="R658" s="58">
        <v>-234.64937623053757</v>
      </c>
      <c r="T658" s="99">
        <v>6.2089996900035089</v>
      </c>
      <c r="U658" s="99">
        <v>9.9896956792263616</v>
      </c>
      <c r="V658" s="99">
        <f t="shared" si="82"/>
        <v>-3.7806959892228527</v>
      </c>
      <c r="W658" t="s">
        <v>570</v>
      </c>
      <c r="X658" s="196">
        <f t="shared" si="77"/>
        <v>9.3175472218419597E-2</v>
      </c>
      <c r="Y658" s="196">
        <f t="shared" si="78"/>
        <v>2.16963853801996E-2</v>
      </c>
      <c r="Z658" s="196">
        <f t="shared" si="79"/>
        <v>3.8441388957152398E-3</v>
      </c>
      <c r="AA658" s="54">
        <v>0.05</v>
      </c>
      <c r="AB658" s="99">
        <f t="shared" si="80"/>
        <v>-0.40931842038935723</v>
      </c>
      <c r="AC658" s="99">
        <f t="shared" si="83"/>
        <v>1582.4342541620031</v>
      </c>
      <c r="AD658" s="99">
        <f t="shared" si="81"/>
        <v>0.6228778385809709</v>
      </c>
      <c r="AE658" s="99"/>
    </row>
    <row r="659" spans="15:31" x14ac:dyDescent="0.25">
      <c r="O659" t="s">
        <v>218</v>
      </c>
      <c r="Q659" s="58">
        <v>352.85744769695663</v>
      </c>
      <c r="R659" s="58">
        <v>-249.03622640576927</v>
      </c>
      <c r="T659" s="99">
        <v>17.954097858712093</v>
      </c>
      <c r="U659" s="99">
        <v>12.275221786320792</v>
      </c>
      <c r="V659" s="99">
        <f t="shared" si="82"/>
        <v>5.6788760723913008</v>
      </c>
      <c r="W659" t="s">
        <v>570</v>
      </c>
      <c r="X659" s="196">
        <f t="shared" si="77"/>
        <v>9.3175472218419597E-2</v>
      </c>
      <c r="Y659" s="196">
        <f t="shared" si="78"/>
        <v>2.16963853801996E-2</v>
      </c>
      <c r="Z659" s="196">
        <f t="shared" si="79"/>
        <v>3.8441388957152398E-3</v>
      </c>
      <c r="AA659" s="54">
        <v>0.05</v>
      </c>
      <c r="AB659" s="99">
        <f t="shared" si="80"/>
        <v>0.65323538511306023</v>
      </c>
      <c r="AC659" s="99">
        <f t="shared" si="83"/>
        <v>601.89367410272587</v>
      </c>
      <c r="AD659" s="99">
        <f t="shared" si="81"/>
        <v>0.38414919828342059</v>
      </c>
      <c r="AE659" s="99"/>
    </row>
    <row r="660" spans="15:31" x14ac:dyDescent="0.25">
      <c r="O660" t="s">
        <v>219</v>
      </c>
      <c r="Q660" s="58">
        <v>372.33423376503799</v>
      </c>
      <c r="R660" s="58">
        <v>-311.85998656950051</v>
      </c>
      <c r="T660" s="99">
        <v>15.630004968185277</v>
      </c>
      <c r="U660" s="99">
        <v>8.5898221013164964</v>
      </c>
      <c r="V660" s="99">
        <f t="shared" si="82"/>
        <v>7.0401828668687809</v>
      </c>
      <c r="W660" t="s">
        <v>570</v>
      </c>
      <c r="X660" s="196">
        <f t="shared" si="77"/>
        <v>9.3175472218419597E-2</v>
      </c>
      <c r="Y660" s="196">
        <f t="shared" si="78"/>
        <v>2.16963853801996E-2</v>
      </c>
      <c r="Z660" s="196">
        <f t="shared" si="79"/>
        <v>3.8441388957152398E-3</v>
      </c>
      <c r="AA660" s="54">
        <v>0.05</v>
      </c>
      <c r="AB660" s="99">
        <f t="shared" si="80"/>
        <v>0.72732828360636681</v>
      </c>
      <c r="AC660" s="99">
        <f t="shared" si="83"/>
        <v>684.1942203345385</v>
      </c>
      <c r="AD660" s="99">
        <f t="shared" si="81"/>
        <v>0.40957151285036975</v>
      </c>
      <c r="AE660" s="99"/>
    </row>
    <row r="661" spans="15:31" x14ac:dyDescent="0.25">
      <c r="O661" t="s">
        <v>220</v>
      </c>
      <c r="Q661" s="58">
        <v>1017.7553130780972</v>
      </c>
      <c r="R661" s="58">
        <v>-192.31680962520682</v>
      </c>
      <c r="T661" s="99">
        <v>10.541396480805394</v>
      </c>
      <c r="U661" s="99">
        <v>8.0308478076659391</v>
      </c>
      <c r="V661" s="99">
        <f t="shared" si="82"/>
        <v>2.5105486731394553</v>
      </c>
      <c r="W661" t="s">
        <v>570</v>
      </c>
      <c r="X661" s="196">
        <f t="shared" si="77"/>
        <v>9.3175472218419597E-2</v>
      </c>
      <c r="Y661" s="196">
        <f t="shared" si="78"/>
        <v>2.16963853801996E-2</v>
      </c>
      <c r="Z661" s="196">
        <f t="shared" si="79"/>
        <v>3.8441388957152398E-3</v>
      </c>
      <c r="AA661" s="54">
        <v>0.05</v>
      </c>
      <c r="AB661" s="99">
        <f t="shared" si="80"/>
        <v>0.43433300145666981</v>
      </c>
      <c r="AC661" s="99">
        <f t="shared" si="83"/>
        <v>1210.0721227033041</v>
      </c>
      <c r="AD661" s="99">
        <f t="shared" si="81"/>
        <v>0.54468531879080939</v>
      </c>
      <c r="AE661" s="99"/>
    </row>
    <row r="662" spans="15:31" x14ac:dyDescent="0.25">
      <c r="O662" t="s">
        <v>221</v>
      </c>
      <c r="Q662" s="58">
        <v>2092.2793909670872</v>
      </c>
      <c r="R662" s="58">
        <v>-142.05175361062024</v>
      </c>
      <c r="T662" s="99">
        <v>6.8635512507517298</v>
      </c>
      <c r="U662" s="99">
        <v>6.9625249885021461</v>
      </c>
      <c r="V662" s="99">
        <f t="shared" si="82"/>
        <v>-9.8973737750416291E-2</v>
      </c>
      <c r="W662" t="s">
        <v>570</v>
      </c>
      <c r="X662" s="196">
        <f t="shared" si="77"/>
        <v>9.3175472218419597E-2</v>
      </c>
      <c r="Y662" s="196">
        <f t="shared" si="78"/>
        <v>2.16963853801996E-2</v>
      </c>
      <c r="Z662" s="196">
        <f t="shared" si="79"/>
        <v>3.8441388957152398E-3</v>
      </c>
      <c r="AA662" s="54">
        <v>0.05</v>
      </c>
      <c r="AB662" s="99">
        <f t="shared" si="80"/>
        <v>-6.6227047966409894E-2</v>
      </c>
      <c r="AC662" s="99">
        <f t="shared" si="83"/>
        <v>2234.3311445777076</v>
      </c>
      <c r="AD662" s="99">
        <f t="shared" si="81"/>
        <v>0.7401398901373033</v>
      </c>
      <c r="AE662" s="99"/>
    </row>
    <row r="663" spans="15:31" x14ac:dyDescent="0.25">
      <c r="O663" t="s">
        <v>222</v>
      </c>
      <c r="Q663" s="58">
        <v>522.75012832630046</v>
      </c>
      <c r="R663" s="58">
        <v>-211.26267826194027</v>
      </c>
      <c r="T663" s="99">
        <v>16.574475004024848</v>
      </c>
      <c r="U663" s="99">
        <v>10.240838928935379</v>
      </c>
      <c r="V663" s="99">
        <f t="shared" si="82"/>
        <v>6.3336360750894691</v>
      </c>
      <c r="W663" t="s">
        <v>570</v>
      </c>
      <c r="X663" s="196">
        <f t="shared" si="77"/>
        <v>9.3175472218419597E-2</v>
      </c>
      <c r="Y663" s="196">
        <f t="shared" si="78"/>
        <v>2.16963853801996E-2</v>
      </c>
      <c r="Z663" s="196">
        <f t="shared" si="79"/>
        <v>3.8441388957152398E-3</v>
      </c>
      <c r="AA663" s="54">
        <v>0.05</v>
      </c>
      <c r="AB663" s="99">
        <f t="shared" si="80"/>
        <v>0.6898665048404784</v>
      </c>
      <c r="AC663" s="99">
        <f t="shared" si="83"/>
        <v>734.01280658824066</v>
      </c>
      <c r="AD663" s="99">
        <f t="shared" si="81"/>
        <v>0.42422070398871392</v>
      </c>
      <c r="AE663" s="99"/>
    </row>
    <row r="664" spans="15:31" x14ac:dyDescent="0.25">
      <c r="O664" t="s">
        <v>223</v>
      </c>
      <c r="Q664" s="58">
        <v>375.19711027113766</v>
      </c>
      <c r="R664" s="58">
        <v>-236.23081618527888</v>
      </c>
      <c r="T664" s="99">
        <v>21.009985956632867</v>
      </c>
      <c r="U664" s="99">
        <v>11.073560131132343</v>
      </c>
      <c r="V664" s="99">
        <f t="shared" si="82"/>
        <v>9.9364258255005247</v>
      </c>
      <c r="W664" t="s">
        <v>570</v>
      </c>
      <c r="X664" s="196">
        <f t="shared" si="77"/>
        <v>9.3175472218419597E-2</v>
      </c>
      <c r="Y664" s="196">
        <f t="shared" si="78"/>
        <v>2.16963853801996E-2</v>
      </c>
      <c r="Z664" s="196">
        <f t="shared" si="79"/>
        <v>3.8441388957152398E-3</v>
      </c>
      <c r="AA664" s="54">
        <v>0.05</v>
      </c>
      <c r="AB664" s="99">
        <f t="shared" si="80"/>
        <v>0.86407930504477337</v>
      </c>
      <c r="AC664" s="99">
        <f t="shared" si="83"/>
        <v>611.42792645641657</v>
      </c>
      <c r="AD664" s="99">
        <f t="shared" si="81"/>
        <v>0.38717978750326731</v>
      </c>
      <c r="AE664" s="99"/>
    </row>
    <row r="665" spans="15:31" x14ac:dyDescent="0.25">
      <c r="O665" t="s">
        <v>224</v>
      </c>
      <c r="Q665" s="58">
        <v>530.02809822363281</v>
      </c>
      <c r="R665" s="58">
        <v>-235.26665786230222</v>
      </c>
      <c r="T665" s="99">
        <v>16.05485624651201</v>
      </c>
      <c r="U665" s="99">
        <v>10.550545537220522</v>
      </c>
      <c r="V665" s="99">
        <f t="shared" si="82"/>
        <v>5.504310709291488</v>
      </c>
      <c r="W665" t="s">
        <v>570</v>
      </c>
      <c r="X665" s="196">
        <f t="shared" si="77"/>
        <v>9.3175472218419597E-2</v>
      </c>
      <c r="Y665" s="196">
        <f t="shared" si="78"/>
        <v>2.16963853801996E-2</v>
      </c>
      <c r="Z665" s="196">
        <f t="shared" si="79"/>
        <v>3.8441388957152398E-3</v>
      </c>
      <c r="AA665" s="54">
        <v>0.05</v>
      </c>
      <c r="AB665" s="99">
        <f t="shared" si="80"/>
        <v>0.6431169809158046</v>
      </c>
      <c r="AC665" s="99">
        <f t="shared" si="83"/>
        <v>765.29475608593498</v>
      </c>
      <c r="AD665" s="99">
        <f t="shared" si="81"/>
        <v>0.43316604959770033</v>
      </c>
      <c r="AE665" s="99"/>
    </row>
    <row r="666" spans="15:31" x14ac:dyDescent="0.25">
      <c r="O666" t="s">
        <v>225</v>
      </c>
      <c r="Q666" s="58">
        <v>574.89497433623137</v>
      </c>
      <c r="R666" s="58">
        <v>-208.55588367469562</v>
      </c>
      <c r="T666" s="99">
        <v>14.238429808515427</v>
      </c>
      <c r="U666" s="99">
        <v>11.150376599984178</v>
      </c>
      <c r="V666" s="99">
        <f t="shared" si="82"/>
        <v>3.0880532085312495</v>
      </c>
      <c r="W666" t="s">
        <v>570</v>
      </c>
      <c r="X666" s="196">
        <f t="shared" si="77"/>
        <v>9.3175472218419597E-2</v>
      </c>
      <c r="Y666" s="196">
        <f t="shared" si="78"/>
        <v>2.16963853801996E-2</v>
      </c>
      <c r="Z666" s="196">
        <f t="shared" si="79"/>
        <v>3.8441388957152398E-3</v>
      </c>
      <c r="AA666" s="54">
        <v>0.05</v>
      </c>
      <c r="AB666" s="99">
        <f t="shared" si="80"/>
        <v>0.48170471106185248</v>
      </c>
      <c r="AC666" s="99">
        <f t="shared" si="83"/>
        <v>783.45085801092705</v>
      </c>
      <c r="AD666" s="99">
        <f t="shared" si="81"/>
        <v>0.43827421642383357</v>
      </c>
      <c r="AE666" s="99"/>
    </row>
    <row r="667" spans="15:31" x14ac:dyDescent="0.25">
      <c r="O667" t="s">
        <v>226</v>
      </c>
      <c r="Q667" s="58">
        <v>3822.1800642196231</v>
      </c>
      <c r="R667" s="58">
        <v>-256.50259628877717</v>
      </c>
      <c r="T667" s="99">
        <v>1.8874966799638671</v>
      </c>
      <c r="U667" s="99">
        <v>10.929509051694421</v>
      </c>
      <c r="V667" s="99">
        <f t="shared" si="82"/>
        <v>-9.0420123717305536</v>
      </c>
      <c r="W667" t="s">
        <v>570</v>
      </c>
      <c r="X667" s="196">
        <f t="shared" si="77"/>
        <v>9.3175472218419597E-2</v>
      </c>
      <c r="Y667" s="196">
        <f t="shared" si="78"/>
        <v>2.16963853801996E-2</v>
      </c>
      <c r="Z667" s="196">
        <f t="shared" si="79"/>
        <v>3.8441388957152398E-3</v>
      </c>
      <c r="AA667" s="54">
        <v>0.05</v>
      </c>
      <c r="AB667" s="99">
        <f t="shared" si="80"/>
        <v>-0.63300619400570035</v>
      </c>
      <c r="AC667" s="99">
        <f t="shared" si="83"/>
        <v>4078.6826605084002</v>
      </c>
      <c r="AD667" s="99">
        <f t="shared" si="81"/>
        <v>1</v>
      </c>
      <c r="AE667" s="99"/>
    </row>
    <row r="668" spans="15:31" x14ac:dyDescent="0.25">
      <c r="O668" t="s">
        <v>228</v>
      </c>
      <c r="Q668" s="58">
        <v>491.72206183253479</v>
      </c>
      <c r="R668" s="58">
        <v>-226.56179941546657</v>
      </c>
      <c r="T668" s="99">
        <v>22.58297915564857</v>
      </c>
      <c r="U668" s="99">
        <v>9.274666743506959</v>
      </c>
      <c r="V668" s="99">
        <f t="shared" si="82"/>
        <v>13.308312412141611</v>
      </c>
      <c r="W668" t="s">
        <v>570</v>
      </c>
      <c r="X668" s="196">
        <f t="shared" si="77"/>
        <v>9.3175472218419597E-2</v>
      </c>
      <c r="Y668" s="196">
        <f t="shared" si="78"/>
        <v>2.16963853801996E-2</v>
      </c>
      <c r="Z668" s="196">
        <f t="shared" si="79"/>
        <v>3.8441388957152398E-3</v>
      </c>
      <c r="AA668" s="54">
        <v>0.05</v>
      </c>
      <c r="AB668" s="99">
        <f t="shared" si="80"/>
        <v>1</v>
      </c>
      <c r="AC668" s="99">
        <f t="shared" si="83"/>
        <v>718.28386124800136</v>
      </c>
      <c r="AD668" s="99">
        <f t="shared" si="81"/>
        <v>0.4196508392623331</v>
      </c>
      <c r="AE668" s="99"/>
    </row>
    <row r="669" spans="15:31" x14ac:dyDescent="0.25">
      <c r="O669" t="s">
        <v>227</v>
      </c>
      <c r="Q669" s="58">
        <v>700.40365554776542</v>
      </c>
      <c r="R669" s="58">
        <v>-233.28754516679996</v>
      </c>
      <c r="T669" s="99">
        <v>15.266216561614161</v>
      </c>
      <c r="U669" s="99">
        <v>10.033271631242275</v>
      </c>
      <c r="V669" s="99">
        <f t="shared" si="82"/>
        <v>5.232944930371886</v>
      </c>
      <c r="W669" t="s">
        <v>570</v>
      </c>
      <c r="X669" s="196">
        <f t="shared" si="77"/>
        <v>9.3175472218419597E-2</v>
      </c>
      <c r="Y669" s="196">
        <f t="shared" si="78"/>
        <v>2.16963853801996E-2</v>
      </c>
      <c r="Z669" s="196">
        <f t="shared" si="79"/>
        <v>3.8441388957152398E-3</v>
      </c>
      <c r="AA669" s="54">
        <v>0.05</v>
      </c>
      <c r="AB669" s="99">
        <f t="shared" si="80"/>
        <v>0.62706359579373061</v>
      </c>
      <c r="AC669" s="99">
        <f t="shared" si="83"/>
        <v>933.69120071456541</v>
      </c>
      <c r="AD669" s="99">
        <f t="shared" si="81"/>
        <v>0.47845563591582591</v>
      </c>
      <c r="AE669" s="99"/>
    </row>
    <row r="670" spans="15:31" x14ac:dyDescent="0.25">
      <c r="O670" t="s">
        <v>229</v>
      </c>
      <c r="Q670" s="58">
        <v>513.65566384407919</v>
      </c>
      <c r="R670" s="58">
        <v>-273.24016706291764</v>
      </c>
      <c r="T670" s="99">
        <v>15.686929919400233</v>
      </c>
      <c r="U670" s="99">
        <v>7.7125028749034659</v>
      </c>
      <c r="V670" s="99">
        <f t="shared" si="82"/>
        <v>7.9744270444967675</v>
      </c>
      <c r="W670" t="s">
        <v>570</v>
      </c>
      <c r="X670" s="196">
        <f t="shared" si="77"/>
        <v>9.3175472218419597E-2</v>
      </c>
      <c r="Y670" s="196">
        <f t="shared" si="78"/>
        <v>2.16963853801996E-2</v>
      </c>
      <c r="Z670" s="196">
        <f t="shared" si="79"/>
        <v>3.8441388957152398E-3</v>
      </c>
      <c r="AA670" s="54">
        <v>0.05</v>
      </c>
      <c r="AB670" s="99">
        <f t="shared" si="80"/>
        <v>0.77408428526684958</v>
      </c>
      <c r="AC670" s="99">
        <f t="shared" si="83"/>
        <v>786.89583090699682</v>
      </c>
      <c r="AD670" s="99">
        <f t="shared" si="81"/>
        <v>0.43923674435934468</v>
      </c>
      <c r="AE670" s="99"/>
    </row>
    <row r="671" spans="15:31" x14ac:dyDescent="0.25">
      <c r="O671" t="s">
        <v>159</v>
      </c>
      <c r="Q671" s="58">
        <v>0</v>
      </c>
      <c r="R671" s="58">
        <v>-236.06559968950583</v>
      </c>
      <c r="T671" s="99">
        <v>-7.7704592881585981</v>
      </c>
      <c r="U671" s="99">
        <v>11.750193910416261</v>
      </c>
      <c r="V671" s="99">
        <f t="shared" si="82"/>
        <v>-19.520653198574859</v>
      </c>
      <c r="W671" t="s">
        <v>570</v>
      </c>
      <c r="X671" s="196">
        <f t="shared" si="77"/>
        <v>9.3175472218419597E-2</v>
      </c>
      <c r="Y671" s="196">
        <f t="shared" si="78"/>
        <v>2.16963853801996E-2</v>
      </c>
      <c r="Z671" s="196">
        <f t="shared" si="79"/>
        <v>3.8441388957152398E-3</v>
      </c>
      <c r="AA671" s="54">
        <v>0.05</v>
      </c>
      <c r="AB671" s="99">
        <f t="shared" si="80"/>
        <v>-0.93008487965355968</v>
      </c>
      <c r="AC671" s="99">
        <f t="shared" si="83"/>
        <v>236.06559968950583</v>
      </c>
      <c r="AD671" s="99">
        <f t="shared" si="81"/>
        <v>0.24057826808083307</v>
      </c>
      <c r="AE671" s="99"/>
    </row>
    <row r="672" spans="15:31" x14ac:dyDescent="0.25">
      <c r="O672" t="s">
        <v>158</v>
      </c>
      <c r="Q672" s="58">
        <v>1520.8076346029595</v>
      </c>
      <c r="R672" s="58">
        <v>-245.64079601391572</v>
      </c>
      <c r="T672" s="99">
        <v>5.5956502504653436</v>
      </c>
      <c r="U672" s="99">
        <v>11.04489734298166</v>
      </c>
      <c r="V672" s="99">
        <f t="shared" si="82"/>
        <v>-5.4492470925163161</v>
      </c>
      <c r="W672" t="s">
        <v>570</v>
      </c>
      <c r="X672" s="196">
        <f t="shared" si="77"/>
        <v>9.3175472218419597E-2</v>
      </c>
      <c r="Y672" s="196">
        <f t="shared" si="78"/>
        <v>2.16963853801996E-2</v>
      </c>
      <c r="Z672" s="196">
        <f t="shared" si="79"/>
        <v>3.8441388957152398E-3</v>
      </c>
      <c r="AA672" s="54">
        <v>0.05</v>
      </c>
      <c r="AB672" s="99">
        <f t="shared" si="80"/>
        <v>-0.49140962863095772</v>
      </c>
      <c r="AC672" s="99">
        <f t="shared" si="83"/>
        <v>1766.4484306168752</v>
      </c>
      <c r="AD672" s="99">
        <f t="shared" si="81"/>
        <v>0.65809792781304555</v>
      </c>
      <c r="AE672" s="99"/>
    </row>
    <row r="673" spans="15:31" x14ac:dyDescent="0.25">
      <c r="O673" t="s">
        <v>160</v>
      </c>
      <c r="Q673" s="58">
        <v>0</v>
      </c>
      <c r="R673" s="58">
        <v>-313.77912825088595</v>
      </c>
      <c r="T673" s="99">
        <v>-5.3014000514437498</v>
      </c>
      <c r="U673" s="99">
        <v>17.264319045583676</v>
      </c>
      <c r="V673" s="99">
        <f t="shared" si="82"/>
        <v>-22.565719097027426</v>
      </c>
      <c r="W673" t="s">
        <v>570</v>
      </c>
      <c r="X673" s="196">
        <f t="shared" si="77"/>
        <v>9.3175472218419597E-2</v>
      </c>
      <c r="Y673" s="196">
        <f t="shared" si="78"/>
        <v>2.16963853801996E-2</v>
      </c>
      <c r="Z673" s="196">
        <f t="shared" si="79"/>
        <v>3.8441388957152398E-3</v>
      </c>
      <c r="AA673" s="54">
        <v>0.05</v>
      </c>
      <c r="AB673" s="99">
        <f t="shared" si="80"/>
        <v>-1</v>
      </c>
      <c r="AC673" s="99">
        <f t="shared" si="83"/>
        <v>313.77912825088595</v>
      </c>
      <c r="AD673" s="99">
        <f t="shared" si="81"/>
        <v>0.27736526191003968</v>
      </c>
      <c r="AE673" s="99"/>
    </row>
    <row r="674" spans="15:31" x14ac:dyDescent="0.25">
      <c r="O674" t="s">
        <v>187</v>
      </c>
      <c r="Q674" s="99">
        <v>754.09494187659084</v>
      </c>
      <c r="R674" s="99">
        <v>-170.61645768993594</v>
      </c>
      <c r="T674" s="99">
        <v>3.2100099271669231</v>
      </c>
      <c r="U674" s="99">
        <v>2.5916082806279617</v>
      </c>
      <c r="V674" s="99">
        <f t="shared" si="82"/>
        <v>0.61840164653896146</v>
      </c>
      <c r="W674" t="s">
        <v>578</v>
      </c>
      <c r="X674" s="196">
        <v>5.6941854637685967E-2</v>
      </c>
      <c r="Y674" s="196">
        <v>1.3259202159839535E-2</v>
      </c>
      <c r="Z674" s="196">
        <v>2.3492491424542505E-3</v>
      </c>
      <c r="AA674" s="54">
        <v>0.05</v>
      </c>
      <c r="AB674" s="99">
        <f>IF(V674&gt;0, SQRT(V674/MAX($V$674:$V$721)), -SQRT(V674/MIN($V$674:$V$721)))</f>
        <v>0.46887655914976134</v>
      </c>
      <c r="AC674" s="99">
        <f t="shared" si="83"/>
        <v>924.71139956652678</v>
      </c>
      <c r="AD674" s="99">
        <f>IF(AC674&gt;0,SQRT(AC674/MAX($AC$674:$AC$721)),-SQRT(AC674/MIN($AC$674:$AC$721)))</f>
        <v>0.10589289114374062</v>
      </c>
      <c r="AE674" s="99"/>
    </row>
    <row r="675" spans="15:31" x14ac:dyDescent="0.25">
      <c r="O675" t="s">
        <v>189</v>
      </c>
      <c r="Q675" s="99">
        <v>857.7326736454628</v>
      </c>
      <c r="R675" s="99">
        <v>-217.21467663687915</v>
      </c>
      <c r="T675" s="99">
        <v>2.4494386735277667</v>
      </c>
      <c r="U675" s="99">
        <v>1.9266337956487298</v>
      </c>
      <c r="V675" s="99">
        <f t="shared" si="82"/>
        <v>0.52280487787903684</v>
      </c>
      <c r="W675" t="s">
        <v>578</v>
      </c>
      <c r="X675" s="196">
        <v>5.6941854637685967E-2</v>
      </c>
      <c r="Y675" s="196">
        <v>1.3259202159839535E-2</v>
      </c>
      <c r="Z675" s="196">
        <v>2.3492491424542505E-3</v>
      </c>
      <c r="AA675" s="54">
        <v>0.05</v>
      </c>
      <c r="AB675" s="99">
        <f t="shared" ref="AB675:AB721" si="84">IF(V675&gt;0, SQRT(V675/MAX($V$674:$V$721)), -SQRT(V675/MIN($V$674:$V$721)))</f>
        <v>0.43111488528638697</v>
      </c>
      <c r="AC675" s="99">
        <f t="shared" si="83"/>
        <v>1074.9473502823419</v>
      </c>
      <c r="AD675" s="99">
        <f t="shared" ref="AD675:AD721" si="85">IF(AC675&gt;0,SQRT(AC675/MAX($AC$674:$AC$721)),-SQRT(AC675/MIN($AC$674:$AC$721)))</f>
        <v>0.11417139218783055</v>
      </c>
      <c r="AE675" s="99"/>
    </row>
    <row r="676" spans="15:31" x14ac:dyDescent="0.25">
      <c r="O676" t="s">
        <v>188</v>
      </c>
      <c r="Q676" s="99">
        <v>656.94235460324546</v>
      </c>
      <c r="R676" s="99">
        <v>-141.05186638177824</v>
      </c>
      <c r="T676" s="99">
        <v>1.9770607718870918</v>
      </c>
      <c r="U676" s="99">
        <v>2.5202215981441141</v>
      </c>
      <c r="V676" s="99">
        <f t="shared" si="82"/>
        <v>-0.54316082625702222</v>
      </c>
      <c r="W676" t="s">
        <v>578</v>
      </c>
      <c r="X676" s="196">
        <v>5.6941854637685967E-2</v>
      </c>
      <c r="Y676" s="196">
        <v>1.3259202159839535E-2</v>
      </c>
      <c r="Z676" s="196">
        <v>2.3492491424542505E-3</v>
      </c>
      <c r="AA676" s="54">
        <v>0.05</v>
      </c>
      <c r="AB676" s="99">
        <f t="shared" si="84"/>
        <v>-0.31089130445534036</v>
      </c>
      <c r="AC676" s="99">
        <f t="shared" si="83"/>
        <v>797.99422098502373</v>
      </c>
      <c r="AD676" s="99">
        <f t="shared" si="85"/>
        <v>9.8370204257040475E-2</v>
      </c>
      <c r="AE676" s="99"/>
    </row>
    <row r="677" spans="15:31" x14ac:dyDescent="0.25">
      <c r="O677" t="s">
        <v>149</v>
      </c>
      <c r="Q677" s="99">
        <v>266.01722622200612</v>
      </c>
      <c r="R677" s="99">
        <v>-179.17709018114175</v>
      </c>
      <c r="T677" s="99">
        <v>3.2181979002343799</v>
      </c>
      <c r="U677" s="99">
        <v>1.8289120250885733</v>
      </c>
      <c r="V677" s="99">
        <f t="shared" si="82"/>
        <v>1.3892858751458066</v>
      </c>
      <c r="W677" t="s">
        <v>578</v>
      </c>
      <c r="X677" s="196">
        <v>5.6941854637685967E-2</v>
      </c>
      <c r="Y677" s="196">
        <v>1.3259202159839535E-2</v>
      </c>
      <c r="Z677" s="196">
        <v>2.3492491424542505E-3</v>
      </c>
      <c r="AA677" s="54">
        <v>0.05</v>
      </c>
      <c r="AB677" s="99">
        <f t="shared" si="84"/>
        <v>0.70277938371170723</v>
      </c>
      <c r="AC677" s="99">
        <f t="shared" si="83"/>
        <v>445.19431640314787</v>
      </c>
      <c r="AD677" s="99">
        <f t="shared" si="85"/>
        <v>7.3474815748688888E-2</v>
      </c>
      <c r="AE677" s="99"/>
    </row>
    <row r="678" spans="15:31" x14ac:dyDescent="0.25">
      <c r="O678" t="s">
        <v>190</v>
      </c>
      <c r="Q678" s="99">
        <v>1371.4347544822615</v>
      </c>
      <c r="R678" s="99">
        <v>-139.31093871051914</v>
      </c>
      <c r="T678" s="99">
        <v>1.2394724430394044</v>
      </c>
      <c r="U678" s="99">
        <v>1.9393522878193092</v>
      </c>
      <c r="V678" s="99">
        <f t="shared" si="82"/>
        <v>-0.69987984477990484</v>
      </c>
      <c r="W678" t="s">
        <v>578</v>
      </c>
      <c r="X678" s="196">
        <v>5.6941854637685967E-2</v>
      </c>
      <c r="Y678" s="196">
        <v>1.3259202159839535E-2</v>
      </c>
      <c r="Z678" s="196">
        <v>2.3492491424542505E-3</v>
      </c>
      <c r="AA678" s="54">
        <v>0.05</v>
      </c>
      <c r="AB678" s="99">
        <f t="shared" si="84"/>
        <v>-0.35290360790201925</v>
      </c>
      <c r="AC678" s="99">
        <f t="shared" si="83"/>
        <v>1510.7456931927807</v>
      </c>
      <c r="AD678" s="99">
        <f t="shared" si="85"/>
        <v>0.13535034979016244</v>
      </c>
      <c r="AE678" s="99"/>
    </row>
    <row r="679" spans="15:31" x14ac:dyDescent="0.25">
      <c r="O679" t="s">
        <v>191</v>
      </c>
      <c r="Q679" s="99">
        <v>3.1873662982819559</v>
      </c>
      <c r="R679" s="99">
        <v>-85.726011120150488</v>
      </c>
      <c r="T679" s="99">
        <v>2.5112213141267974</v>
      </c>
      <c r="U679" s="99">
        <v>1.8026017275325321</v>
      </c>
      <c r="V679" s="99">
        <f t="shared" si="82"/>
        <v>0.70861958659426527</v>
      </c>
      <c r="W679" t="s">
        <v>578</v>
      </c>
      <c r="X679" s="196">
        <v>5.6941854637685967E-2</v>
      </c>
      <c r="Y679" s="196">
        <v>1.3259202159839535E-2</v>
      </c>
      <c r="Z679" s="196">
        <v>2.3492491424542505E-3</v>
      </c>
      <c r="AA679" s="54">
        <v>0.05</v>
      </c>
      <c r="AB679" s="99">
        <f t="shared" si="84"/>
        <v>0.50191454214256515</v>
      </c>
      <c r="AC679" s="99">
        <f t="shared" si="83"/>
        <v>88.913377418432447</v>
      </c>
      <c r="AD679" s="99">
        <f t="shared" si="85"/>
        <v>3.2835773690172043E-2</v>
      </c>
      <c r="AE679" s="99"/>
    </row>
    <row r="680" spans="15:31" x14ac:dyDescent="0.25">
      <c r="O680" t="s">
        <v>192</v>
      </c>
      <c r="Q680" s="99">
        <v>1489.7560989713022</v>
      </c>
      <c r="R680" s="99">
        <v>-134.7189460214309</v>
      </c>
      <c r="T680" s="99">
        <v>1.5316772841757671</v>
      </c>
      <c r="U680" s="99">
        <v>1.855838466717711</v>
      </c>
      <c r="V680" s="99">
        <f t="shared" si="82"/>
        <v>-0.32416118254194393</v>
      </c>
      <c r="W680" t="s">
        <v>578</v>
      </c>
      <c r="X680" s="196">
        <v>5.6941854637685967E-2</v>
      </c>
      <c r="Y680" s="196">
        <v>1.3259202159839535E-2</v>
      </c>
      <c r="Z680" s="196">
        <v>2.3492491424542505E-3</v>
      </c>
      <c r="AA680" s="54">
        <v>0.05</v>
      </c>
      <c r="AB680" s="99">
        <f t="shared" si="84"/>
        <v>-0.2401733738895642</v>
      </c>
      <c r="AC680" s="99">
        <f t="shared" si="83"/>
        <v>1624.475044992733</v>
      </c>
      <c r="AD680" s="99">
        <f t="shared" si="85"/>
        <v>0.14035252239623314</v>
      </c>
      <c r="AE680" s="99"/>
    </row>
    <row r="681" spans="15:31" x14ac:dyDescent="0.25">
      <c r="O681" t="s">
        <v>193</v>
      </c>
      <c r="Q681" s="99">
        <v>260.80514087223912</v>
      </c>
      <c r="R681" s="99">
        <v>-85.621319375491964</v>
      </c>
      <c r="T681" s="99">
        <v>2.170601437800431</v>
      </c>
      <c r="U681" s="99">
        <v>2.1195127851495528</v>
      </c>
      <c r="V681" s="99">
        <f t="shared" si="82"/>
        <v>5.1088652650878252E-2</v>
      </c>
      <c r="W681" t="s">
        <v>578</v>
      </c>
      <c r="X681" s="196">
        <v>5.6941854637685967E-2</v>
      </c>
      <c r="Y681" s="196">
        <v>1.3259202159839535E-2</v>
      </c>
      <c r="Z681" s="196">
        <v>2.3492491424542505E-3</v>
      </c>
      <c r="AA681" s="54">
        <v>0.05</v>
      </c>
      <c r="AB681" s="99">
        <f t="shared" si="84"/>
        <v>0.13476757920918603</v>
      </c>
      <c r="AC681" s="99">
        <f t="shared" si="83"/>
        <v>346.42646024773109</v>
      </c>
      <c r="AD681" s="99">
        <f t="shared" si="85"/>
        <v>6.4814060201960094E-2</v>
      </c>
      <c r="AE681" s="99"/>
    </row>
    <row r="682" spans="15:31" x14ac:dyDescent="0.25">
      <c r="O682" t="s">
        <v>194</v>
      </c>
      <c r="Q682" s="99">
        <v>656.64063366646735</v>
      </c>
      <c r="R682" s="99">
        <v>-173.96735705918209</v>
      </c>
      <c r="T682" s="99">
        <v>3.2207905984420719</v>
      </c>
      <c r="U682" s="99">
        <v>2.6641716421712465</v>
      </c>
      <c r="V682" s="99">
        <f t="shared" si="82"/>
        <v>0.55661895627082547</v>
      </c>
      <c r="W682" t="s">
        <v>578</v>
      </c>
      <c r="X682" s="196">
        <v>5.6941854637685967E-2</v>
      </c>
      <c r="Y682" s="196">
        <v>1.3259202159839535E-2</v>
      </c>
      <c r="Z682" s="196">
        <v>2.3492491424542505E-3</v>
      </c>
      <c r="AA682" s="54">
        <v>0.05</v>
      </c>
      <c r="AB682" s="99">
        <f t="shared" si="84"/>
        <v>0.4448383272742813</v>
      </c>
      <c r="AC682" s="99">
        <f t="shared" si="83"/>
        <v>830.60799072564942</v>
      </c>
      <c r="AD682" s="99">
        <f t="shared" si="85"/>
        <v>0.10036025415733099</v>
      </c>
      <c r="AE682" s="99"/>
    </row>
    <row r="683" spans="15:31" x14ac:dyDescent="0.25">
      <c r="O683" t="s">
        <v>196</v>
      </c>
      <c r="Q683" s="99">
        <v>547.53676550805437</v>
      </c>
      <c r="R683" s="99">
        <v>-181.6415136445242</v>
      </c>
      <c r="T683" s="99">
        <v>4.0456964208660589</v>
      </c>
      <c r="U683" s="99">
        <v>2.1821025678269947</v>
      </c>
      <c r="V683" s="99">
        <f t="shared" si="82"/>
        <v>1.8635938530390641</v>
      </c>
      <c r="W683" t="s">
        <v>578</v>
      </c>
      <c r="X683" s="196">
        <v>5.6941854637685967E-2</v>
      </c>
      <c r="Y683" s="196">
        <v>1.3259202159839535E-2</v>
      </c>
      <c r="Z683" s="196">
        <v>2.3492491424542505E-3</v>
      </c>
      <c r="AA683" s="54">
        <v>0.05</v>
      </c>
      <c r="AB683" s="99">
        <f t="shared" si="84"/>
        <v>0.81395208002646602</v>
      </c>
      <c r="AC683" s="99">
        <f t="shared" si="83"/>
        <v>729.17827915257863</v>
      </c>
      <c r="AD683" s="99">
        <f t="shared" si="85"/>
        <v>9.4033058416891718E-2</v>
      </c>
      <c r="AE683" s="99"/>
    </row>
    <row r="684" spans="15:31" x14ac:dyDescent="0.25">
      <c r="O684" t="s">
        <v>197</v>
      </c>
      <c r="Q684" s="99">
        <v>395.80895773448697</v>
      </c>
      <c r="R684" s="99">
        <v>-101.21481680793616</v>
      </c>
      <c r="T684" s="99">
        <v>3.0760504978865209</v>
      </c>
      <c r="U684" s="99">
        <v>1.8698191283980301</v>
      </c>
      <c r="V684" s="99">
        <f t="shared" si="82"/>
        <v>1.2062313694884907</v>
      </c>
      <c r="W684" t="s">
        <v>578</v>
      </c>
      <c r="X684" s="196">
        <v>5.6941854637685967E-2</v>
      </c>
      <c r="Y684" s="196">
        <v>1.3259202159839535E-2</v>
      </c>
      <c r="Z684" s="196">
        <v>2.3492491424542505E-3</v>
      </c>
      <c r="AA684" s="54">
        <v>0.05</v>
      </c>
      <c r="AB684" s="99">
        <f t="shared" si="84"/>
        <v>0.65484499419593178</v>
      </c>
      <c r="AC684" s="99">
        <f t="shared" si="83"/>
        <v>497.0237745424231</v>
      </c>
      <c r="AD684" s="99">
        <f t="shared" si="85"/>
        <v>7.7634056915720465E-2</v>
      </c>
      <c r="AE684" s="99"/>
    </row>
    <row r="685" spans="15:31" x14ac:dyDescent="0.25">
      <c r="O685" t="s">
        <v>198</v>
      </c>
      <c r="Q685" s="99">
        <v>0</v>
      </c>
      <c r="R685" s="99">
        <v>-195.12431780983889</v>
      </c>
      <c r="T685" s="99">
        <v>-5.8587416971355388E-2</v>
      </c>
      <c r="U685" s="99">
        <v>2.6735844995650773</v>
      </c>
      <c r="V685" s="99">
        <f t="shared" si="82"/>
        <v>-2.7321719165364327</v>
      </c>
      <c r="W685" t="s">
        <v>578</v>
      </c>
      <c r="X685" s="196">
        <v>5.6941854637685967E-2</v>
      </c>
      <c r="Y685" s="196">
        <v>1.3259202159839535E-2</v>
      </c>
      <c r="Z685" s="196">
        <v>2.3492491424542505E-3</v>
      </c>
      <c r="AA685" s="54">
        <v>0.05</v>
      </c>
      <c r="AB685" s="99">
        <f t="shared" si="84"/>
        <v>-0.6972658037379269</v>
      </c>
      <c r="AC685" s="99">
        <f t="shared" si="83"/>
        <v>195.12431780983889</v>
      </c>
      <c r="AD685" s="99">
        <f t="shared" si="85"/>
        <v>4.864289328251515E-2</v>
      </c>
      <c r="AE685" s="99"/>
    </row>
    <row r="686" spans="15:31" x14ac:dyDescent="0.25">
      <c r="O686" t="s">
        <v>195</v>
      </c>
      <c r="Q686" s="99">
        <v>617.93080549443016</v>
      </c>
      <c r="R686" s="99">
        <v>-164.65760865777332</v>
      </c>
      <c r="T686" s="99">
        <v>2.9817257302696105</v>
      </c>
      <c r="U686" s="99">
        <v>2.2147750774916082</v>
      </c>
      <c r="V686" s="99">
        <f t="shared" si="82"/>
        <v>0.76695065277800234</v>
      </c>
      <c r="W686" t="s">
        <v>578</v>
      </c>
      <c r="X686" s="196">
        <v>5.6941854637685967E-2</v>
      </c>
      <c r="Y686" s="196">
        <v>1.3259202159839535E-2</v>
      </c>
      <c r="Z686" s="196">
        <v>2.3492491424542505E-3</v>
      </c>
      <c r="AA686" s="54">
        <v>0.05</v>
      </c>
      <c r="AB686" s="99">
        <f t="shared" si="84"/>
        <v>0.52216398415288268</v>
      </c>
      <c r="AC686" s="99">
        <f t="shared" si="83"/>
        <v>782.58841415220354</v>
      </c>
      <c r="AD686" s="99">
        <f t="shared" si="85"/>
        <v>9.7416025585379665E-2</v>
      </c>
      <c r="AE686" s="99"/>
    </row>
    <row r="687" spans="15:31" x14ac:dyDescent="0.25">
      <c r="O687" t="s">
        <v>199</v>
      </c>
      <c r="Q687" s="99">
        <v>470.21909083605891</v>
      </c>
      <c r="R687" s="99">
        <v>-134.96724453193229</v>
      </c>
      <c r="T687" s="99">
        <v>2.8043467970937641</v>
      </c>
      <c r="U687" s="99">
        <v>2.1946618123451156</v>
      </c>
      <c r="V687" s="99">
        <f t="shared" si="82"/>
        <v>0.60968498474864852</v>
      </c>
      <c r="W687" t="s">
        <v>578</v>
      </c>
      <c r="X687" s="196">
        <v>5.6941854637685967E-2</v>
      </c>
      <c r="Y687" s="196">
        <v>1.3259202159839535E-2</v>
      </c>
      <c r="Z687" s="196">
        <v>2.3492491424542505E-3</v>
      </c>
      <c r="AA687" s="54">
        <v>0.05</v>
      </c>
      <c r="AB687" s="99">
        <f t="shared" si="84"/>
        <v>0.46556031395702419</v>
      </c>
      <c r="AC687" s="99">
        <f t="shared" si="83"/>
        <v>605.18633536799121</v>
      </c>
      <c r="AD687" s="99">
        <f t="shared" si="85"/>
        <v>8.5665954215399145E-2</v>
      </c>
      <c r="AE687" s="99"/>
    </row>
    <row r="688" spans="15:31" x14ac:dyDescent="0.25">
      <c r="O688" t="s">
        <v>157</v>
      </c>
      <c r="Q688" s="99">
        <v>0</v>
      </c>
      <c r="R688" s="99">
        <v>-143.15460991491716</v>
      </c>
      <c r="T688" s="99">
        <v>-1.1200743754211491</v>
      </c>
      <c r="U688" s="99">
        <v>2.3974831883037471</v>
      </c>
      <c r="V688" s="99">
        <f t="shared" si="82"/>
        <v>-3.5175575637248961</v>
      </c>
      <c r="W688" t="s">
        <v>578</v>
      </c>
      <c r="X688" s="196">
        <v>5.6941854637685967E-2</v>
      </c>
      <c r="Y688" s="196">
        <v>1.3259202159839535E-2</v>
      </c>
      <c r="Z688" s="196">
        <v>2.3492491424542505E-3</v>
      </c>
      <c r="AA688" s="54">
        <v>0.05</v>
      </c>
      <c r="AB688" s="99">
        <f t="shared" si="84"/>
        <v>-0.79116116554099569</v>
      </c>
      <c r="AC688" s="99">
        <f t="shared" si="83"/>
        <v>143.15460991491716</v>
      </c>
      <c r="AD688" s="99">
        <f t="shared" si="85"/>
        <v>4.1664518669358386E-2</v>
      </c>
      <c r="AE688" s="99"/>
    </row>
    <row r="689" spans="15:31" x14ac:dyDescent="0.25">
      <c r="O689" t="s">
        <v>200</v>
      </c>
      <c r="Q689" s="99">
        <v>590.24468678583401</v>
      </c>
      <c r="R689" s="99">
        <v>-85.358194371386446</v>
      </c>
      <c r="T689" s="99">
        <v>2.1495705210995064</v>
      </c>
      <c r="U689" s="99">
        <v>2.1768795528454321</v>
      </c>
      <c r="V689" s="99">
        <f t="shared" si="82"/>
        <v>-2.7309031745925694E-2</v>
      </c>
      <c r="W689" t="s">
        <v>578</v>
      </c>
      <c r="X689" s="196">
        <v>5.6941854637685967E-2</v>
      </c>
      <c r="Y689" s="196">
        <v>1.3259202159839535E-2</v>
      </c>
      <c r="Z689" s="196">
        <v>2.3492491424542505E-3</v>
      </c>
      <c r="AA689" s="54">
        <v>0.05</v>
      </c>
      <c r="AB689" s="99">
        <f t="shared" si="84"/>
        <v>-6.9710388986068142E-2</v>
      </c>
      <c r="AC689" s="99">
        <f t="shared" si="83"/>
        <v>675.60288115722051</v>
      </c>
      <c r="AD689" s="99">
        <f t="shared" si="85"/>
        <v>9.0512684664325077E-2</v>
      </c>
      <c r="AE689" s="99"/>
    </row>
    <row r="690" spans="15:31" x14ac:dyDescent="0.25">
      <c r="O690" t="s">
        <v>203</v>
      </c>
      <c r="Q690" s="99">
        <v>314.94972465526428</v>
      </c>
      <c r="R690" s="99">
        <v>-167.76050924800208</v>
      </c>
      <c r="T690" s="99">
        <v>3.9618852351125362</v>
      </c>
      <c r="U690" s="99">
        <v>2.1597097467892397</v>
      </c>
      <c r="V690" s="99">
        <f t="shared" si="82"/>
        <v>1.8021754883232965</v>
      </c>
      <c r="W690" t="s">
        <v>578</v>
      </c>
      <c r="X690" s="196">
        <v>5.6941854637685967E-2</v>
      </c>
      <c r="Y690" s="196">
        <v>1.3259202159839535E-2</v>
      </c>
      <c r="Z690" s="196">
        <v>2.3492491424542505E-3</v>
      </c>
      <c r="AA690" s="54">
        <v>0.05</v>
      </c>
      <c r="AB690" s="99">
        <f t="shared" si="84"/>
        <v>0.80042702230333385</v>
      </c>
      <c r="AC690" s="99">
        <f t="shared" si="83"/>
        <v>482.71023390326638</v>
      </c>
      <c r="AD690" s="99">
        <f t="shared" si="85"/>
        <v>7.6508018326958485E-2</v>
      </c>
      <c r="AE690" s="99"/>
    </row>
    <row r="691" spans="15:31" x14ac:dyDescent="0.25">
      <c r="O691" t="s">
        <v>202</v>
      </c>
      <c r="Q691" s="99">
        <v>439.4630475675101</v>
      </c>
      <c r="R691" s="99">
        <v>-124.4212247851145</v>
      </c>
      <c r="T691" s="99">
        <v>3.0936581786892883</v>
      </c>
      <c r="U691" s="99">
        <v>1.987448219213666</v>
      </c>
      <c r="V691" s="99">
        <f t="shared" si="82"/>
        <v>1.1062099594756223</v>
      </c>
      <c r="W691" t="s">
        <v>578</v>
      </c>
      <c r="X691" s="196">
        <v>5.6941854637685967E-2</v>
      </c>
      <c r="Y691" s="196">
        <v>1.3259202159839535E-2</v>
      </c>
      <c r="Z691" s="196">
        <v>2.3492491424542505E-3</v>
      </c>
      <c r="AA691" s="54">
        <v>0.05</v>
      </c>
      <c r="AB691" s="99">
        <f t="shared" si="84"/>
        <v>0.62710748551408746</v>
      </c>
      <c r="AC691" s="99">
        <f t="shared" si="83"/>
        <v>563.88427235262463</v>
      </c>
      <c r="AD691" s="99">
        <f t="shared" si="85"/>
        <v>8.2691085083410595E-2</v>
      </c>
      <c r="AE691" s="99"/>
    </row>
    <row r="692" spans="15:31" x14ac:dyDescent="0.25">
      <c r="O692" t="s">
        <v>201</v>
      </c>
      <c r="Q692" s="99">
        <v>408.23925805503791</v>
      </c>
      <c r="R692" s="99">
        <v>-121.07487331763514</v>
      </c>
      <c r="T692" s="99">
        <v>2.0002331863006781</v>
      </c>
      <c r="U692" s="99">
        <v>1.9539502358120764</v>
      </c>
      <c r="V692" s="99">
        <f t="shared" si="82"/>
        <v>4.628295048860176E-2</v>
      </c>
      <c r="W692" t="s">
        <v>578</v>
      </c>
      <c r="X692" s="196">
        <v>5.6941854637685967E-2</v>
      </c>
      <c r="Y692" s="196">
        <v>1.3259202159839535E-2</v>
      </c>
      <c r="Z692" s="196">
        <v>2.3492491424542505E-3</v>
      </c>
      <c r="AA692" s="54">
        <v>0.05</v>
      </c>
      <c r="AB692" s="99">
        <f t="shared" si="84"/>
        <v>0.12827254786563494</v>
      </c>
      <c r="AC692" s="99">
        <f t="shared" si="83"/>
        <v>529.31413137267305</v>
      </c>
      <c r="AD692" s="99">
        <f t="shared" si="85"/>
        <v>8.0116218884642085E-2</v>
      </c>
      <c r="AE692" s="99"/>
    </row>
    <row r="693" spans="15:31" x14ac:dyDescent="0.25">
      <c r="O693" t="s">
        <v>204</v>
      </c>
      <c r="Q693" s="99">
        <v>520.70785510639189</v>
      </c>
      <c r="R693" s="99">
        <v>-106.32109279705988</v>
      </c>
      <c r="T693" s="99">
        <v>1.7415276168093223</v>
      </c>
      <c r="U693" s="99">
        <v>2.1592778216375841</v>
      </c>
      <c r="V693" s="99">
        <f t="shared" si="82"/>
        <v>-0.41775020482826175</v>
      </c>
      <c r="W693" t="s">
        <v>578</v>
      </c>
      <c r="X693" s="196">
        <v>5.6941854637685967E-2</v>
      </c>
      <c r="Y693" s="196">
        <v>1.3259202159839535E-2</v>
      </c>
      <c r="Z693" s="196">
        <v>2.3492491424542505E-3</v>
      </c>
      <c r="AA693" s="54">
        <v>0.05</v>
      </c>
      <c r="AB693" s="99">
        <f t="shared" si="84"/>
        <v>-0.27264823507006658</v>
      </c>
      <c r="AC693" s="99">
        <f t="shared" si="83"/>
        <v>627.02894790345181</v>
      </c>
      <c r="AD693" s="99">
        <f t="shared" si="85"/>
        <v>8.71981951081338E-2</v>
      </c>
      <c r="AE693" s="99"/>
    </row>
    <row r="694" spans="15:31" x14ac:dyDescent="0.25">
      <c r="O694" t="s">
        <v>205</v>
      </c>
      <c r="Q694" s="99">
        <v>621.2589174061369</v>
      </c>
      <c r="R694" s="99">
        <v>-193.13960183877433</v>
      </c>
      <c r="T694" s="99">
        <v>2.942467476754735</v>
      </c>
      <c r="U694" s="99">
        <v>2.7389830988430344</v>
      </c>
      <c r="V694" s="99">
        <f t="shared" si="82"/>
        <v>0.2034843779117006</v>
      </c>
      <c r="W694" t="s">
        <v>578</v>
      </c>
      <c r="X694" s="196">
        <v>5.6941854637685967E-2</v>
      </c>
      <c r="Y694" s="196">
        <v>1.3259202159839535E-2</v>
      </c>
      <c r="Z694" s="196">
        <v>2.3492491424542505E-3</v>
      </c>
      <c r="AA694" s="54">
        <v>0.05</v>
      </c>
      <c r="AB694" s="99">
        <f t="shared" si="84"/>
        <v>0.26896064592699648</v>
      </c>
      <c r="AC694" s="99">
        <f t="shared" si="83"/>
        <v>814.3985192449112</v>
      </c>
      <c r="AD694" s="99">
        <f t="shared" si="85"/>
        <v>9.9376154642668968E-2</v>
      </c>
      <c r="AE694" s="99"/>
    </row>
    <row r="695" spans="15:31" x14ac:dyDescent="0.25">
      <c r="O695" t="s">
        <v>207</v>
      </c>
      <c r="Q695" s="99">
        <v>409.66602631668644</v>
      </c>
      <c r="R695" s="99">
        <v>-181.24719291836573</v>
      </c>
      <c r="T695" s="99">
        <v>2.799679929239292</v>
      </c>
      <c r="U695" s="99">
        <v>2.9070682330353748</v>
      </c>
      <c r="V695" s="99">
        <f t="shared" si="82"/>
        <v>-0.10738830379608277</v>
      </c>
      <c r="W695" t="s">
        <v>578</v>
      </c>
      <c r="X695" s="196">
        <v>5.6941854637685967E-2</v>
      </c>
      <c r="Y695" s="196">
        <v>1.3259202159839535E-2</v>
      </c>
      <c r="Z695" s="196">
        <v>2.3492491424542505E-3</v>
      </c>
      <c r="AA695" s="54">
        <v>0.05</v>
      </c>
      <c r="AB695" s="99">
        <f t="shared" si="84"/>
        <v>-0.13823653721824308</v>
      </c>
      <c r="AC695" s="99">
        <f t="shared" si="83"/>
        <v>590.91321923505211</v>
      </c>
      <c r="AD695" s="99">
        <f t="shared" si="85"/>
        <v>8.4649725253094443E-2</v>
      </c>
      <c r="AE695" s="99"/>
    </row>
    <row r="696" spans="15:31" x14ac:dyDescent="0.25">
      <c r="O696" t="s">
        <v>206</v>
      </c>
      <c r="Q696" s="99">
        <v>82266.652359421831</v>
      </c>
      <c r="R696" s="99">
        <v>-198.90525060690118</v>
      </c>
      <c r="T696" s="99">
        <v>2.5273105479904245E-2</v>
      </c>
      <c r="U696" s="99">
        <v>2.7393123222198721</v>
      </c>
      <c r="V696" s="99">
        <f t="shared" si="82"/>
        <v>-2.7140392167399678</v>
      </c>
      <c r="W696" t="s">
        <v>578</v>
      </c>
      <c r="X696" s="196">
        <v>5.6941854637685967E-2</v>
      </c>
      <c r="Y696" s="196">
        <v>1.3259202159839535E-2</v>
      </c>
      <c r="Z696" s="196">
        <v>2.3492491424542505E-3</v>
      </c>
      <c r="AA696" s="54">
        <v>0.05</v>
      </c>
      <c r="AB696" s="99">
        <f t="shared" si="84"/>
        <v>-0.69494816792264902</v>
      </c>
      <c r="AC696" s="99">
        <f t="shared" si="83"/>
        <v>82465.557610028729</v>
      </c>
      <c r="AD696" s="99">
        <f t="shared" si="85"/>
        <v>1</v>
      </c>
      <c r="AE696" s="99"/>
    </row>
    <row r="697" spans="15:31" x14ac:dyDescent="0.25">
      <c r="O697" t="s">
        <v>208</v>
      </c>
      <c r="Q697" s="99">
        <v>2099.890682879854</v>
      </c>
      <c r="R697" s="99">
        <v>-213.18997581405864</v>
      </c>
      <c r="T697" s="99">
        <v>1.2400138869826183</v>
      </c>
      <c r="U697" s="99">
        <v>2.4126761012320186</v>
      </c>
      <c r="V697" s="99">
        <f t="shared" si="82"/>
        <v>-1.1726622142494003</v>
      </c>
      <c r="W697" t="s">
        <v>578</v>
      </c>
      <c r="X697" s="196">
        <v>5.6941854637685967E-2</v>
      </c>
      <c r="Y697" s="196">
        <v>1.3259202159839535E-2</v>
      </c>
      <c r="Z697" s="196">
        <v>2.3492491424542505E-3</v>
      </c>
      <c r="AA697" s="54">
        <v>0.05</v>
      </c>
      <c r="AB697" s="99">
        <f t="shared" si="84"/>
        <v>-0.45680497036132528</v>
      </c>
      <c r="AC697" s="99">
        <f t="shared" si="83"/>
        <v>2313.0806586939125</v>
      </c>
      <c r="AD697" s="99">
        <f t="shared" si="85"/>
        <v>0.16747851006633599</v>
      </c>
      <c r="AE697" s="99"/>
    </row>
    <row r="698" spans="15:31" x14ac:dyDescent="0.25">
      <c r="O698" t="s">
        <v>211</v>
      </c>
      <c r="Q698" s="99">
        <v>1069.5422032114384</v>
      </c>
      <c r="R698" s="99">
        <v>-135.95839701226154</v>
      </c>
      <c r="T698" s="99">
        <v>1.4803359866812063</v>
      </c>
      <c r="U698" s="99">
        <v>2.2214015056368774</v>
      </c>
      <c r="V698" s="99">
        <f t="shared" si="82"/>
        <v>-0.74106551895567119</v>
      </c>
      <c r="W698" t="s">
        <v>578</v>
      </c>
      <c r="X698" s="196">
        <v>5.6941854637685967E-2</v>
      </c>
      <c r="Y698" s="196">
        <v>1.3259202159839535E-2</v>
      </c>
      <c r="Z698" s="196">
        <v>2.3492491424542505E-3</v>
      </c>
      <c r="AA698" s="54">
        <v>0.05</v>
      </c>
      <c r="AB698" s="99">
        <f t="shared" si="84"/>
        <v>-0.36313880341421856</v>
      </c>
      <c r="AC698" s="99">
        <f t="shared" si="83"/>
        <v>1205.5006002236998</v>
      </c>
      <c r="AD698" s="99">
        <f t="shared" si="85"/>
        <v>0.12090587809601158</v>
      </c>
      <c r="AE698" s="99"/>
    </row>
    <row r="699" spans="15:31" x14ac:dyDescent="0.25">
      <c r="O699" t="s">
        <v>215</v>
      </c>
      <c r="Q699" s="99">
        <v>597.35512057839799</v>
      </c>
      <c r="R699" s="99">
        <v>-201.5742759368718</v>
      </c>
      <c r="T699" s="99">
        <v>2.555535532475782</v>
      </c>
      <c r="U699" s="99">
        <v>2.081075702714914</v>
      </c>
      <c r="V699" s="99">
        <f t="shared" si="82"/>
        <v>0.47445982976086798</v>
      </c>
      <c r="W699" t="s">
        <v>578</v>
      </c>
      <c r="X699" s="196">
        <v>5.6941854637685967E-2</v>
      </c>
      <c r="Y699" s="196">
        <v>1.3259202159839535E-2</v>
      </c>
      <c r="Z699" s="196">
        <v>2.3492491424542505E-3</v>
      </c>
      <c r="AA699" s="54">
        <v>0.05</v>
      </c>
      <c r="AB699" s="99">
        <f t="shared" si="84"/>
        <v>0.41069832066059497</v>
      </c>
      <c r="AC699" s="99">
        <f t="shared" si="83"/>
        <v>798.92939651526979</v>
      </c>
      <c r="AD699" s="99">
        <f t="shared" si="85"/>
        <v>9.8427827776951082E-2</v>
      </c>
      <c r="AE699" s="99"/>
    </row>
    <row r="700" spans="15:31" x14ac:dyDescent="0.25">
      <c r="O700" t="s">
        <v>212</v>
      </c>
      <c r="Q700" s="99">
        <v>459.11692821941762</v>
      </c>
      <c r="R700" s="99">
        <v>-144.51227225961449</v>
      </c>
      <c r="T700" s="99">
        <v>3.403750583061393</v>
      </c>
      <c r="U700" s="99">
        <v>1.7461972738063087</v>
      </c>
      <c r="V700" s="99">
        <f t="shared" si="82"/>
        <v>1.6575533092550843</v>
      </c>
      <c r="W700" t="s">
        <v>578</v>
      </c>
      <c r="X700" s="196">
        <v>5.6941854637685967E-2</v>
      </c>
      <c r="Y700" s="196">
        <v>1.3259202159839535E-2</v>
      </c>
      <c r="Z700" s="196">
        <v>2.3492491424542505E-3</v>
      </c>
      <c r="AA700" s="54">
        <v>0.05</v>
      </c>
      <c r="AB700" s="99">
        <f t="shared" si="84"/>
        <v>0.76763886582511831</v>
      </c>
      <c r="AC700" s="99">
        <f t="shared" si="83"/>
        <v>603.62920047903208</v>
      </c>
      <c r="AD700" s="99">
        <f t="shared" si="85"/>
        <v>8.5555674658775893E-2</v>
      </c>
      <c r="AE700" s="99"/>
    </row>
    <row r="701" spans="15:31" x14ac:dyDescent="0.25">
      <c r="O701" t="s">
        <v>213</v>
      </c>
      <c r="Q701" s="99">
        <v>440.7426165813971</v>
      </c>
      <c r="R701" s="99">
        <v>-77.635631737188945</v>
      </c>
      <c r="T701" s="99">
        <v>2.821773373960359</v>
      </c>
      <c r="U701" s="99">
        <v>1.8119706320508913</v>
      </c>
      <c r="V701" s="99">
        <f t="shared" si="82"/>
        <v>1.0098027419094677</v>
      </c>
      <c r="W701" t="s">
        <v>578</v>
      </c>
      <c r="X701" s="196">
        <v>5.6941854637685967E-2</v>
      </c>
      <c r="Y701" s="196">
        <v>1.3259202159839535E-2</v>
      </c>
      <c r="Z701" s="196">
        <v>2.3492491424542505E-3</v>
      </c>
      <c r="AA701" s="54">
        <v>0.05</v>
      </c>
      <c r="AB701" s="99">
        <f t="shared" si="84"/>
        <v>0.59915815598687439</v>
      </c>
      <c r="AC701" s="99">
        <f t="shared" si="83"/>
        <v>518.37824831858609</v>
      </c>
      <c r="AD701" s="99">
        <f t="shared" si="85"/>
        <v>7.9284279696649099E-2</v>
      </c>
      <c r="AE701" s="99"/>
    </row>
    <row r="702" spans="15:31" x14ac:dyDescent="0.25">
      <c r="O702" t="s">
        <v>214</v>
      </c>
      <c r="Q702" s="99">
        <v>709.81403340732993</v>
      </c>
      <c r="R702" s="99">
        <v>-185.66844381590201</v>
      </c>
      <c r="T702" s="99">
        <v>3.2170673996902766</v>
      </c>
      <c r="U702" s="99">
        <v>2.8251096131600892</v>
      </c>
      <c r="V702" s="99">
        <f t="shared" si="82"/>
        <v>0.39195778653018731</v>
      </c>
      <c r="W702" t="s">
        <v>578</v>
      </c>
      <c r="X702" s="196">
        <v>5.6941854637685967E-2</v>
      </c>
      <c r="Y702" s="196">
        <v>1.3259202159839535E-2</v>
      </c>
      <c r="Z702" s="196">
        <v>2.3492491424542505E-3</v>
      </c>
      <c r="AA702" s="54">
        <v>0.05</v>
      </c>
      <c r="AB702" s="99">
        <f t="shared" si="84"/>
        <v>0.37328698741263194</v>
      </c>
      <c r="AC702" s="99">
        <f t="shared" si="83"/>
        <v>895.48247722323197</v>
      </c>
      <c r="AD702" s="99">
        <f t="shared" si="85"/>
        <v>0.10420588493451655</v>
      </c>
      <c r="AE702" s="99"/>
    </row>
    <row r="703" spans="15:31" x14ac:dyDescent="0.25">
      <c r="O703" t="s">
        <v>216</v>
      </c>
      <c r="Q703" s="99">
        <v>575.03624169184411</v>
      </c>
      <c r="R703" s="99">
        <v>-30.477144503565501</v>
      </c>
      <c r="T703" s="99">
        <v>2.4124074395683359</v>
      </c>
      <c r="U703" s="99">
        <v>1.527135857094418</v>
      </c>
      <c r="V703" s="99">
        <f t="shared" si="82"/>
        <v>0.88527158247391791</v>
      </c>
      <c r="W703" t="s">
        <v>578</v>
      </c>
      <c r="X703" s="196">
        <v>5.6941854637685967E-2</v>
      </c>
      <c r="Y703" s="196">
        <v>1.3259202159839535E-2</v>
      </c>
      <c r="Z703" s="196">
        <v>2.3492491424542505E-3</v>
      </c>
      <c r="AA703" s="54">
        <v>0.05</v>
      </c>
      <c r="AB703" s="99">
        <f t="shared" si="84"/>
        <v>0.56099819562539166</v>
      </c>
      <c r="AC703" s="99">
        <f t="shared" si="83"/>
        <v>605.51338619540957</v>
      </c>
      <c r="AD703" s="99">
        <f t="shared" si="85"/>
        <v>8.5689098605305061E-2</v>
      </c>
      <c r="AE703" s="99"/>
    </row>
    <row r="704" spans="15:31" x14ac:dyDescent="0.25">
      <c r="O704" t="s">
        <v>209</v>
      </c>
      <c r="Q704" s="99">
        <v>888.84306005391898</v>
      </c>
      <c r="R704" s="99">
        <v>-190.39628028158205</v>
      </c>
      <c r="T704" s="99">
        <v>3.1901419198933203</v>
      </c>
      <c r="U704" s="99">
        <v>2.3448690330280657</v>
      </c>
      <c r="V704" s="99">
        <f t="shared" si="82"/>
        <v>0.84527288686525459</v>
      </c>
      <c r="W704" t="s">
        <v>578</v>
      </c>
      <c r="X704" s="196">
        <v>5.6941854637685967E-2</v>
      </c>
      <c r="Y704" s="196">
        <v>1.3259202159839535E-2</v>
      </c>
      <c r="Z704" s="196">
        <v>2.3492491424542505E-3</v>
      </c>
      <c r="AA704" s="54">
        <v>0.05</v>
      </c>
      <c r="AB704" s="99">
        <f t="shared" si="84"/>
        <v>0.54817808835319293</v>
      </c>
      <c r="AC704" s="99">
        <f t="shared" si="83"/>
        <v>1079.2393403355011</v>
      </c>
      <c r="AD704" s="99">
        <f t="shared" si="85"/>
        <v>0.11439909372127184</v>
      </c>
      <c r="AE704" s="99"/>
    </row>
    <row r="705" spans="15:31" x14ac:dyDescent="0.25">
      <c r="O705" t="s">
        <v>210</v>
      </c>
      <c r="Q705" s="99">
        <v>5928.5871583130165</v>
      </c>
      <c r="R705" s="99">
        <v>-197.10550833848961</v>
      </c>
      <c r="T705" s="99">
        <v>0.38236391793234858</v>
      </c>
      <c r="U705" s="99">
        <v>2.7051261762371812</v>
      </c>
      <c r="V705" s="99">
        <f t="shared" si="82"/>
        <v>-2.3227622583048326</v>
      </c>
      <c r="W705" t="s">
        <v>578</v>
      </c>
      <c r="X705" s="196">
        <v>5.6941854637685967E-2</v>
      </c>
      <c r="Y705" s="196">
        <v>1.3259202159839535E-2</v>
      </c>
      <c r="Z705" s="196">
        <v>2.3492491424542505E-3</v>
      </c>
      <c r="AA705" s="54">
        <v>0.05</v>
      </c>
      <c r="AB705" s="99">
        <f t="shared" si="84"/>
        <v>-0.64290489928144956</v>
      </c>
      <c r="AC705" s="99">
        <f t="shared" si="83"/>
        <v>6125.6926666515064</v>
      </c>
      <c r="AD705" s="99">
        <f t="shared" si="85"/>
        <v>0.27254693475068908</v>
      </c>
      <c r="AE705" s="99"/>
    </row>
    <row r="706" spans="15:31" x14ac:dyDescent="0.25">
      <c r="O706" t="s">
        <v>217</v>
      </c>
      <c r="Q706" s="99">
        <v>1862.3550376720139</v>
      </c>
      <c r="R706" s="99">
        <v>-158.6079534814115</v>
      </c>
      <c r="T706" s="99">
        <v>0.99597572142034974</v>
      </c>
      <c r="U706" s="99">
        <v>2.1199770892810754</v>
      </c>
      <c r="V706" s="99">
        <f t="shared" si="82"/>
        <v>-1.1240013678607257</v>
      </c>
      <c r="W706" t="s">
        <v>578</v>
      </c>
      <c r="X706" s="196">
        <v>5.6941854637685967E-2</v>
      </c>
      <c r="Y706" s="196">
        <v>1.3259202159839535E-2</v>
      </c>
      <c r="Z706" s="196">
        <v>2.3492491424542505E-3</v>
      </c>
      <c r="AA706" s="54">
        <v>0.05</v>
      </c>
      <c r="AB706" s="99">
        <f t="shared" si="84"/>
        <v>-0.44722675278608853</v>
      </c>
      <c r="AC706" s="99">
        <f t="shared" si="83"/>
        <v>2020.9629911534253</v>
      </c>
      <c r="AD706" s="99">
        <f t="shared" si="85"/>
        <v>0.15654632627425047</v>
      </c>
      <c r="AE706" s="99"/>
    </row>
    <row r="707" spans="15:31" x14ac:dyDescent="0.25">
      <c r="O707" t="s">
        <v>218</v>
      </c>
      <c r="Q707" s="99">
        <v>690.61602658433276</v>
      </c>
      <c r="R707" s="99">
        <v>-186.7438480184891</v>
      </c>
      <c r="T707" s="99">
        <v>3.5916441111667901</v>
      </c>
      <c r="U707" s="99">
        <v>2.6050031741166437</v>
      </c>
      <c r="V707" s="99">
        <f t="shared" ref="V707:V721" si="86">T707-U707</f>
        <v>0.98664093705014633</v>
      </c>
      <c r="W707" t="s">
        <v>578</v>
      </c>
      <c r="X707" s="196">
        <v>5.6941854637685967E-2</v>
      </c>
      <c r="Y707" s="196">
        <v>1.3259202159839535E-2</v>
      </c>
      <c r="Z707" s="196">
        <v>2.3492491424542505E-3</v>
      </c>
      <c r="AA707" s="54">
        <v>0.05</v>
      </c>
      <c r="AB707" s="99">
        <f t="shared" si="84"/>
        <v>0.59224686181212893</v>
      </c>
      <c r="AC707" s="99">
        <f t="shared" ref="AC707:AC721" si="87">Q707-R707</f>
        <v>877.35987460282183</v>
      </c>
      <c r="AD707" s="99">
        <f t="shared" si="85"/>
        <v>0.10314604596590911</v>
      </c>
      <c r="AE707" s="99"/>
    </row>
    <row r="708" spans="15:31" x14ac:dyDescent="0.25">
      <c r="O708" t="s">
        <v>219</v>
      </c>
      <c r="Q708" s="99">
        <v>958.62686523456273</v>
      </c>
      <c r="R708" s="99">
        <v>-247.29166586594712</v>
      </c>
      <c r="T708" s="99">
        <v>3.2162644247651651</v>
      </c>
      <c r="U708" s="99">
        <v>1.8229009812240302</v>
      </c>
      <c r="V708" s="99">
        <f t="shared" si="86"/>
        <v>1.3933634435411348</v>
      </c>
      <c r="W708" t="s">
        <v>578</v>
      </c>
      <c r="X708" s="196">
        <v>5.6941854637685967E-2</v>
      </c>
      <c r="Y708" s="196">
        <v>1.3259202159839535E-2</v>
      </c>
      <c r="Z708" s="196">
        <v>2.3492491424542505E-3</v>
      </c>
      <c r="AA708" s="54">
        <v>0.05</v>
      </c>
      <c r="AB708" s="99">
        <f t="shared" si="84"/>
        <v>0.70380996045297095</v>
      </c>
      <c r="AC708" s="99">
        <f t="shared" si="87"/>
        <v>1205.9185311005099</v>
      </c>
      <c r="AD708" s="99">
        <f t="shared" si="85"/>
        <v>0.1209268345023583</v>
      </c>
      <c r="AE708" s="99"/>
    </row>
    <row r="709" spans="15:31" x14ac:dyDescent="0.25">
      <c r="O709" t="s">
        <v>220</v>
      </c>
      <c r="Q709" s="99">
        <v>571.11964924037852</v>
      </c>
      <c r="R709" s="99">
        <v>-81.432526408414816</v>
      </c>
      <c r="T709" s="99">
        <v>2.0733282736558651</v>
      </c>
      <c r="U709" s="99">
        <v>1.7042774781577146</v>
      </c>
      <c r="V709" s="99">
        <f t="shared" si="86"/>
        <v>0.36905079549815056</v>
      </c>
      <c r="W709" t="s">
        <v>578</v>
      </c>
      <c r="X709" s="196">
        <v>5.6941854637685967E-2</v>
      </c>
      <c r="Y709" s="196">
        <v>1.3259202159839535E-2</v>
      </c>
      <c r="Z709" s="196">
        <v>2.3492491424542505E-3</v>
      </c>
      <c r="AA709" s="54">
        <v>0.05</v>
      </c>
      <c r="AB709" s="99">
        <f t="shared" si="84"/>
        <v>0.36221487013423415</v>
      </c>
      <c r="AC709" s="99">
        <f t="shared" si="87"/>
        <v>652.55217564879331</v>
      </c>
      <c r="AD709" s="99">
        <f t="shared" si="85"/>
        <v>8.8955196022943051E-2</v>
      </c>
      <c r="AE709" s="99"/>
    </row>
    <row r="710" spans="15:31" x14ac:dyDescent="0.25">
      <c r="O710" t="s">
        <v>221</v>
      </c>
      <c r="Q710" s="99">
        <v>108.03439079817021</v>
      </c>
      <c r="R710" s="99">
        <v>-1.9239401181870242</v>
      </c>
      <c r="T710" s="99">
        <v>1.275742516235761</v>
      </c>
      <c r="U710" s="99">
        <v>1.4775618730674513</v>
      </c>
      <c r="V710" s="99">
        <f t="shared" si="86"/>
        <v>-0.20181935683169039</v>
      </c>
      <c r="W710" t="s">
        <v>578</v>
      </c>
      <c r="X710" s="196">
        <v>5.6941854637685967E-2</v>
      </c>
      <c r="Y710" s="196">
        <v>1.3259202159839535E-2</v>
      </c>
      <c r="Z710" s="196">
        <v>2.3492491424542505E-3</v>
      </c>
      <c r="AA710" s="54">
        <v>0.05</v>
      </c>
      <c r="AB710" s="99">
        <f t="shared" si="84"/>
        <v>-0.18950722137346274</v>
      </c>
      <c r="AC710" s="99">
        <f t="shared" si="87"/>
        <v>109.95833091635723</v>
      </c>
      <c r="AD710" s="99">
        <f t="shared" si="85"/>
        <v>3.6515543536341996E-2</v>
      </c>
      <c r="AE710" s="99"/>
    </row>
    <row r="711" spans="15:31" x14ac:dyDescent="0.25">
      <c r="O711" t="s">
        <v>222</v>
      </c>
      <c r="Q711" s="99">
        <v>523.91068629942708</v>
      </c>
      <c r="R711" s="99">
        <v>-126.88596853893107</v>
      </c>
      <c r="T711" s="99">
        <v>3.362593394608048</v>
      </c>
      <c r="U711" s="99">
        <v>2.1732738014740072</v>
      </c>
      <c r="V711" s="99">
        <f t="shared" si="86"/>
        <v>1.1893195931340408</v>
      </c>
      <c r="W711" t="s">
        <v>578</v>
      </c>
      <c r="X711" s="196">
        <v>5.6941854637685967E-2</v>
      </c>
      <c r="Y711" s="196">
        <v>1.3259202159839535E-2</v>
      </c>
      <c r="Z711" s="196">
        <v>2.3492491424542505E-3</v>
      </c>
      <c r="AA711" s="54">
        <v>0.05</v>
      </c>
      <c r="AB711" s="99">
        <f t="shared" si="84"/>
        <v>0.6502382146482093</v>
      </c>
      <c r="AC711" s="99">
        <f t="shared" si="87"/>
        <v>650.79665483835811</v>
      </c>
      <c r="AD711" s="99">
        <f t="shared" si="85"/>
        <v>8.8835460104594186E-2</v>
      </c>
      <c r="AE711" s="99"/>
    </row>
    <row r="712" spans="15:31" x14ac:dyDescent="0.25">
      <c r="O712" t="s">
        <v>223</v>
      </c>
      <c r="Q712" s="99">
        <v>476.50113574674168</v>
      </c>
      <c r="R712" s="99">
        <v>-166.75974860271282</v>
      </c>
      <c r="T712" s="99">
        <v>4.3433260976197445</v>
      </c>
      <c r="U712" s="99">
        <v>2.3499908834655265</v>
      </c>
      <c r="V712" s="99">
        <f t="shared" si="86"/>
        <v>1.993335214154218</v>
      </c>
      <c r="W712" t="s">
        <v>578</v>
      </c>
      <c r="X712" s="196">
        <v>5.6941854637685967E-2</v>
      </c>
      <c r="Y712" s="196">
        <v>1.3259202159839535E-2</v>
      </c>
      <c r="Z712" s="196">
        <v>2.3492491424542505E-3</v>
      </c>
      <c r="AA712" s="54">
        <v>0.05</v>
      </c>
      <c r="AB712" s="99">
        <f t="shared" si="84"/>
        <v>0.84180862710600912</v>
      </c>
      <c r="AC712" s="99">
        <f t="shared" si="87"/>
        <v>643.2608843494545</v>
      </c>
      <c r="AD712" s="99">
        <f t="shared" si="85"/>
        <v>8.8319636261791623E-2</v>
      </c>
      <c r="AE712" s="99"/>
    </row>
    <row r="713" spans="15:31" x14ac:dyDescent="0.25">
      <c r="O713" t="s">
        <v>224</v>
      </c>
      <c r="Q713" s="99">
        <v>476.47763899854328</v>
      </c>
      <c r="R713" s="99">
        <v>-154.07710449210404</v>
      </c>
      <c r="T713" s="99">
        <v>3.2300487320988873</v>
      </c>
      <c r="U713" s="99">
        <v>2.2389986178294041</v>
      </c>
      <c r="V713" s="99">
        <f t="shared" si="86"/>
        <v>0.9910501142694832</v>
      </c>
      <c r="W713" t="s">
        <v>578</v>
      </c>
      <c r="X713" s="196">
        <v>5.6941854637685967E-2</v>
      </c>
      <c r="Y713" s="196">
        <v>1.3259202159839535E-2</v>
      </c>
      <c r="Z713" s="196">
        <v>2.3492491424542505E-3</v>
      </c>
      <c r="AA713" s="54">
        <v>0.05</v>
      </c>
      <c r="AB713" s="99">
        <f t="shared" si="84"/>
        <v>0.59356872590440524</v>
      </c>
      <c r="AC713" s="99">
        <f t="shared" si="87"/>
        <v>630.5547434906473</v>
      </c>
      <c r="AD713" s="99">
        <f t="shared" si="85"/>
        <v>8.7443009987845363E-2</v>
      </c>
      <c r="AE713" s="99"/>
    </row>
    <row r="714" spans="15:31" x14ac:dyDescent="0.25">
      <c r="O714" t="s">
        <v>225</v>
      </c>
      <c r="Q714" s="99">
        <v>634.17960120032672</v>
      </c>
      <c r="R714" s="99">
        <v>-127.81648484783291</v>
      </c>
      <c r="T714" s="99">
        <v>2.7878534231469985</v>
      </c>
      <c r="U714" s="99">
        <v>2.3662925966782744</v>
      </c>
      <c r="V714" s="99">
        <f t="shared" si="86"/>
        <v>0.42156082646872406</v>
      </c>
      <c r="W714" t="s">
        <v>578</v>
      </c>
      <c r="X714" s="196">
        <v>5.6941854637685967E-2</v>
      </c>
      <c r="Y714" s="196">
        <v>1.3259202159839535E-2</v>
      </c>
      <c r="Z714" s="196">
        <v>2.3492491424542505E-3</v>
      </c>
      <c r="AA714" s="54">
        <v>0.05</v>
      </c>
      <c r="AB714" s="99">
        <f t="shared" si="84"/>
        <v>0.38712687901657861</v>
      </c>
      <c r="AC714" s="99">
        <f t="shared" si="87"/>
        <v>761.99608604815967</v>
      </c>
      <c r="AD714" s="99">
        <f t="shared" si="85"/>
        <v>9.6125822830104971E-2</v>
      </c>
      <c r="AE714" s="99"/>
    </row>
    <row r="715" spans="15:31" x14ac:dyDescent="0.25">
      <c r="O715" t="s">
        <v>226</v>
      </c>
      <c r="Q715" s="99">
        <v>0</v>
      </c>
      <c r="R715" s="99">
        <v>-177.0403736544929</v>
      </c>
      <c r="T715" s="99">
        <v>-3.5408041385920797E-2</v>
      </c>
      <c r="U715" s="99">
        <v>2.3194208843483697</v>
      </c>
      <c r="V715" s="99">
        <f t="shared" si="86"/>
        <v>-2.3548289257342905</v>
      </c>
      <c r="W715" t="s">
        <v>578</v>
      </c>
      <c r="X715" s="196">
        <v>5.6941854637685967E-2</v>
      </c>
      <c r="Y715" s="196">
        <v>1.3259202159839535E-2</v>
      </c>
      <c r="Z715" s="196">
        <v>2.3492491424542505E-3</v>
      </c>
      <c r="AA715" s="54">
        <v>0.05</v>
      </c>
      <c r="AB715" s="99">
        <f t="shared" si="84"/>
        <v>-0.6473274681546215</v>
      </c>
      <c r="AC715" s="99">
        <f t="shared" si="87"/>
        <v>177.0403736544929</v>
      </c>
      <c r="AD715" s="99">
        <f t="shared" si="85"/>
        <v>4.6334006879121245E-2</v>
      </c>
      <c r="AE715" s="99"/>
    </row>
    <row r="716" spans="15:31" x14ac:dyDescent="0.25">
      <c r="O716" t="s">
        <v>228</v>
      </c>
      <c r="Q716" s="99">
        <v>235.81458690190019</v>
      </c>
      <c r="R716" s="99">
        <v>-140.66429401965635</v>
      </c>
      <c r="T716" s="99">
        <v>4.7811317107419562</v>
      </c>
      <c r="U716" s="99">
        <v>1.9682362344469895</v>
      </c>
      <c r="V716" s="99">
        <f t="shared" si="86"/>
        <v>2.8128954762949667</v>
      </c>
      <c r="W716" t="s">
        <v>578</v>
      </c>
      <c r="X716" s="196">
        <v>5.6941854637685967E-2</v>
      </c>
      <c r="Y716" s="196">
        <v>1.3259202159839535E-2</v>
      </c>
      <c r="Z716" s="196">
        <v>2.3492491424542505E-3</v>
      </c>
      <c r="AA716" s="54">
        <v>0.05</v>
      </c>
      <c r="AB716" s="99">
        <f t="shared" si="84"/>
        <v>1</v>
      </c>
      <c r="AC716" s="99">
        <f t="shared" si="87"/>
        <v>376.47888092155654</v>
      </c>
      <c r="AD716" s="99">
        <f t="shared" si="85"/>
        <v>6.7566902449202895E-2</v>
      </c>
      <c r="AE716" s="99"/>
    </row>
    <row r="717" spans="15:31" x14ac:dyDescent="0.25">
      <c r="O717" t="s">
        <v>227</v>
      </c>
      <c r="Q717" s="99">
        <v>373.8100623467526</v>
      </c>
      <c r="R717" s="99">
        <v>-159.6199409621471</v>
      </c>
      <c r="T717" s="99">
        <v>3.0713055393013189</v>
      </c>
      <c r="U717" s="99">
        <v>2.1292246202253313</v>
      </c>
      <c r="V717" s="99">
        <f t="shared" si="86"/>
        <v>0.94208091907598757</v>
      </c>
      <c r="W717" t="s">
        <v>578</v>
      </c>
      <c r="X717" s="196">
        <v>5.6941854637685967E-2</v>
      </c>
      <c r="Y717" s="196">
        <v>1.3259202159839535E-2</v>
      </c>
      <c r="Z717" s="196">
        <v>2.3492491424542505E-3</v>
      </c>
      <c r="AA717" s="54">
        <v>0.05</v>
      </c>
      <c r="AB717" s="99">
        <f t="shared" si="84"/>
        <v>0.57871842107373839</v>
      </c>
      <c r="AC717" s="99">
        <f t="shared" si="87"/>
        <v>533.4300033088997</v>
      </c>
      <c r="AD717" s="99">
        <f t="shared" si="85"/>
        <v>8.0427101911343474E-2</v>
      </c>
      <c r="AE717" s="99"/>
    </row>
    <row r="718" spans="15:31" x14ac:dyDescent="0.25">
      <c r="O718" t="s">
        <v>229</v>
      </c>
      <c r="Q718" s="99">
        <v>532.82709361092486</v>
      </c>
      <c r="R718" s="99">
        <v>-158.92183725731456</v>
      </c>
      <c r="T718" s="99">
        <v>3.2668750326406686</v>
      </c>
      <c r="U718" s="99">
        <v>1.6367194678222656</v>
      </c>
      <c r="V718" s="99">
        <f t="shared" si="86"/>
        <v>1.630155564818403</v>
      </c>
      <c r="W718" t="s">
        <v>578</v>
      </c>
      <c r="X718" s="196">
        <v>5.6941854637685967E-2</v>
      </c>
      <c r="Y718" s="196">
        <v>1.3259202159839535E-2</v>
      </c>
      <c r="Z718" s="196">
        <v>2.3492491424542505E-3</v>
      </c>
      <c r="AA718" s="54">
        <v>0.05</v>
      </c>
      <c r="AB718" s="99">
        <f t="shared" si="84"/>
        <v>0.76126826918412616</v>
      </c>
      <c r="AC718" s="99">
        <f t="shared" si="87"/>
        <v>691.74893086823943</v>
      </c>
      <c r="AD718" s="99">
        <f t="shared" si="85"/>
        <v>9.1587867746258447E-2</v>
      </c>
      <c r="AE718" s="99"/>
    </row>
    <row r="719" spans="15:31" x14ac:dyDescent="0.25">
      <c r="O719" t="s">
        <v>159</v>
      </c>
      <c r="Q719" s="99">
        <v>0</v>
      </c>
      <c r="R719" s="99">
        <v>-162.86058423390034</v>
      </c>
      <c r="T719" s="99">
        <v>-2.2850658506011614</v>
      </c>
      <c r="U719" s="99">
        <v>2.4935836570570693</v>
      </c>
      <c r="V719" s="99">
        <f t="shared" si="86"/>
        <v>-4.7786495076582307</v>
      </c>
      <c r="W719" t="s">
        <v>578</v>
      </c>
      <c r="X719" s="196">
        <v>5.6941854637685967E-2</v>
      </c>
      <c r="Y719" s="196">
        <v>1.3259202159839535E-2</v>
      </c>
      <c r="Z719" s="196">
        <v>2.3492491424542505E-3</v>
      </c>
      <c r="AA719" s="54">
        <v>0.05</v>
      </c>
      <c r="AB719" s="99">
        <f t="shared" si="84"/>
        <v>-0.92214017636825429</v>
      </c>
      <c r="AC719" s="99">
        <f t="shared" si="87"/>
        <v>162.86058423390034</v>
      </c>
      <c r="AD719" s="99">
        <f t="shared" si="85"/>
        <v>4.4439758917091558E-2</v>
      </c>
      <c r="AE719" s="99"/>
    </row>
    <row r="720" spans="15:31" x14ac:dyDescent="0.25">
      <c r="O720" t="s">
        <v>158</v>
      </c>
      <c r="Q720" s="99">
        <v>2332.4820678309998</v>
      </c>
      <c r="R720" s="99">
        <v>-178.84607027386059</v>
      </c>
      <c r="T720" s="99">
        <v>0.80969504314863094</v>
      </c>
      <c r="U720" s="99">
        <v>2.343908170223246</v>
      </c>
      <c r="V720" s="99">
        <f t="shared" si="86"/>
        <v>-1.5342131270746151</v>
      </c>
      <c r="W720" t="s">
        <v>578</v>
      </c>
      <c r="X720" s="196">
        <v>5.6941854637685967E-2</v>
      </c>
      <c r="Y720" s="196">
        <v>1.3259202159839535E-2</v>
      </c>
      <c r="Z720" s="196">
        <v>2.3492491424542505E-3</v>
      </c>
      <c r="AA720" s="54">
        <v>0.05</v>
      </c>
      <c r="AB720" s="99">
        <f t="shared" si="84"/>
        <v>-0.52250109164373981</v>
      </c>
      <c r="AC720" s="99">
        <f t="shared" si="87"/>
        <v>2511.3281381048605</v>
      </c>
      <c r="AD720" s="99">
        <f t="shared" si="85"/>
        <v>0.17450803625122008</v>
      </c>
      <c r="AE720" s="99"/>
    </row>
    <row r="721" spans="15:31" x14ac:dyDescent="0.25">
      <c r="O721" t="s">
        <v>160</v>
      </c>
      <c r="Q721" s="99">
        <v>0</v>
      </c>
      <c r="R721" s="99">
        <v>-273.89140483111476</v>
      </c>
      <c r="T721" s="99">
        <v>-1.9559048147131879</v>
      </c>
      <c r="U721" s="99">
        <v>3.6637713513922323</v>
      </c>
      <c r="V721" s="99">
        <f t="shared" si="86"/>
        <v>-5.6196761661054202</v>
      </c>
      <c r="W721" t="s">
        <v>578</v>
      </c>
      <c r="X721" s="196">
        <v>5.6941854637685967E-2</v>
      </c>
      <c r="Y721" s="196">
        <v>1.3259202159839535E-2</v>
      </c>
      <c r="Z721" s="196">
        <v>2.3492491424542505E-3</v>
      </c>
      <c r="AA721" s="54">
        <v>0.05</v>
      </c>
      <c r="AB721" s="99">
        <f t="shared" si="84"/>
        <v>-1</v>
      </c>
      <c r="AC721" s="99">
        <f t="shared" si="87"/>
        <v>273.89140483111476</v>
      </c>
      <c r="AD721" s="99">
        <f t="shared" si="85"/>
        <v>5.7630568249700503E-2</v>
      </c>
      <c r="AE721" s="99"/>
    </row>
  </sheetData>
  <phoneticPr fontId="6"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CBA1-7A63-4ADF-9E7F-5896C8E1132B}">
  <sheetPr>
    <tabColor theme="7"/>
  </sheetPr>
  <dimension ref="A1:K211"/>
  <sheetViews>
    <sheetView workbookViewId="0">
      <selection activeCell="B197" sqref="B197:B211"/>
    </sheetView>
  </sheetViews>
  <sheetFormatPr defaultRowHeight="15" x14ac:dyDescent="0.25"/>
  <cols>
    <col min="1" max="1" width="22.7109375" customWidth="1"/>
    <col min="2" max="2" width="18.85546875" customWidth="1"/>
    <col min="3" max="3" width="13.85546875" customWidth="1"/>
    <col min="4" max="6" width="14.28515625" customWidth="1"/>
    <col min="7" max="8" width="20.42578125" customWidth="1"/>
    <col min="12" max="12" width="14.140625" customWidth="1"/>
    <col min="13" max="13" width="12.28515625" customWidth="1"/>
    <col min="15" max="15" width="16.28515625" customWidth="1"/>
    <col min="16" max="16" width="15.42578125" customWidth="1"/>
    <col min="17" max="17" width="15.5703125" customWidth="1"/>
  </cols>
  <sheetData>
    <row r="1" spans="1:11" x14ac:dyDescent="0.25">
      <c r="A1" t="s">
        <v>583</v>
      </c>
      <c r="B1" t="s">
        <v>587</v>
      </c>
      <c r="C1" t="s">
        <v>588</v>
      </c>
      <c r="D1" t="s">
        <v>568</v>
      </c>
      <c r="E1" t="s">
        <v>621</v>
      </c>
      <c r="G1" t="s">
        <v>620</v>
      </c>
      <c r="I1" t="s">
        <v>588</v>
      </c>
      <c r="K1" t="s">
        <v>600</v>
      </c>
    </row>
    <row r="2" spans="1:11" x14ac:dyDescent="0.25">
      <c r="A2" t="s">
        <v>584</v>
      </c>
      <c r="B2">
        <v>35</v>
      </c>
      <c r="C2" s="54">
        <v>0.01</v>
      </c>
      <c r="D2" t="s">
        <v>578</v>
      </c>
      <c r="E2" t="s">
        <v>618</v>
      </c>
      <c r="G2">
        <v>141.16842976756683</v>
      </c>
      <c r="I2" s="22">
        <v>0.01</v>
      </c>
      <c r="K2" t="s">
        <v>578</v>
      </c>
    </row>
    <row r="3" spans="1:11" x14ac:dyDescent="0.25">
      <c r="A3" t="s">
        <v>585</v>
      </c>
      <c r="B3">
        <v>26</v>
      </c>
      <c r="C3" s="54">
        <v>0.01</v>
      </c>
      <c r="D3" t="s">
        <v>578</v>
      </c>
      <c r="E3" t="s">
        <v>618</v>
      </c>
      <c r="G3">
        <v>158.86440519323244</v>
      </c>
      <c r="I3" s="22">
        <v>0.02</v>
      </c>
      <c r="K3" t="s">
        <v>570</v>
      </c>
    </row>
    <row r="4" spans="1:11" x14ac:dyDescent="0.25">
      <c r="A4" t="s">
        <v>586</v>
      </c>
      <c r="B4">
        <v>25</v>
      </c>
      <c r="C4" s="54">
        <v>0.01</v>
      </c>
      <c r="D4" t="s">
        <v>578</v>
      </c>
      <c r="E4" t="s">
        <v>618</v>
      </c>
      <c r="G4">
        <v>240.97629650855765</v>
      </c>
      <c r="I4" s="22">
        <v>0.03</v>
      </c>
      <c r="K4" t="s">
        <v>569</v>
      </c>
    </row>
    <row r="5" spans="1:11" x14ac:dyDescent="0.25">
      <c r="A5" t="s">
        <v>589</v>
      </c>
      <c r="B5">
        <v>35</v>
      </c>
      <c r="C5" s="54">
        <v>0.01</v>
      </c>
      <c r="D5" t="s">
        <v>578</v>
      </c>
      <c r="E5" t="s">
        <v>618</v>
      </c>
      <c r="G5">
        <v>163.47829876710998</v>
      </c>
      <c r="I5" s="22">
        <v>0.04</v>
      </c>
    </row>
    <row r="6" spans="1:11" x14ac:dyDescent="0.25">
      <c r="A6" t="s">
        <v>589</v>
      </c>
      <c r="B6">
        <v>35</v>
      </c>
      <c r="C6" s="54">
        <v>0.02</v>
      </c>
      <c r="D6" t="s">
        <v>578</v>
      </c>
      <c r="E6" t="s">
        <v>618</v>
      </c>
      <c r="G6">
        <v>176.34777668258965</v>
      </c>
      <c r="I6" s="22">
        <v>0.05</v>
      </c>
    </row>
    <row r="7" spans="1:11" x14ac:dyDescent="0.25">
      <c r="A7" t="s">
        <v>589</v>
      </c>
      <c r="B7">
        <v>35</v>
      </c>
      <c r="C7" s="54">
        <v>0.03</v>
      </c>
      <c r="D7" t="s">
        <v>578</v>
      </c>
      <c r="E7" t="s">
        <v>618</v>
      </c>
      <c r="G7">
        <v>188.51479355551663</v>
      </c>
    </row>
    <row r="8" spans="1:11" x14ac:dyDescent="0.25">
      <c r="A8" t="s">
        <v>589</v>
      </c>
      <c r="B8">
        <v>35</v>
      </c>
      <c r="C8" s="54">
        <v>0.04</v>
      </c>
      <c r="D8" t="s">
        <v>578</v>
      </c>
      <c r="E8" t="s">
        <v>618</v>
      </c>
      <c r="G8">
        <v>200.62306804160983</v>
      </c>
    </row>
    <row r="9" spans="1:11" x14ac:dyDescent="0.25">
      <c r="A9" t="s">
        <v>589</v>
      </c>
      <c r="B9">
        <v>35</v>
      </c>
      <c r="C9" s="54">
        <v>0.05</v>
      </c>
      <c r="D9" t="s">
        <v>578</v>
      </c>
      <c r="E9" t="s">
        <v>618</v>
      </c>
      <c r="G9">
        <v>212.79008491453675</v>
      </c>
    </row>
    <row r="10" spans="1:11" x14ac:dyDescent="0.25">
      <c r="A10" t="s">
        <v>584</v>
      </c>
      <c r="B10">
        <v>35</v>
      </c>
      <c r="C10" s="22">
        <v>0.02</v>
      </c>
      <c r="D10" t="s">
        <v>578</v>
      </c>
      <c r="E10" t="s">
        <v>618</v>
      </c>
      <c r="G10">
        <v>146.12400279017518</v>
      </c>
    </row>
    <row r="11" spans="1:11" x14ac:dyDescent="0.25">
      <c r="A11" t="s">
        <v>585</v>
      </c>
      <c r="B11">
        <v>26</v>
      </c>
      <c r="C11" s="54">
        <v>0.02</v>
      </c>
      <c r="D11" t="s">
        <v>578</v>
      </c>
      <c r="E11" t="s">
        <v>618</v>
      </c>
      <c r="G11">
        <v>158.86440519323244</v>
      </c>
    </row>
    <row r="12" spans="1:11" x14ac:dyDescent="0.25">
      <c r="A12" t="s">
        <v>586</v>
      </c>
      <c r="B12">
        <v>25</v>
      </c>
      <c r="C12" s="54">
        <v>0.02</v>
      </c>
      <c r="D12" t="s">
        <v>578</v>
      </c>
      <c r="E12" t="s">
        <v>618</v>
      </c>
      <c r="G12">
        <v>240.97629650855765</v>
      </c>
    </row>
    <row r="13" spans="1:11" x14ac:dyDescent="0.25">
      <c r="A13" t="s">
        <v>584</v>
      </c>
      <c r="B13">
        <v>35</v>
      </c>
      <c r="C13" s="54">
        <v>0.03</v>
      </c>
      <c r="D13" t="s">
        <v>578</v>
      </c>
      <c r="E13" t="s">
        <v>618</v>
      </c>
      <c r="G13">
        <v>150.82584133632133</v>
      </c>
    </row>
    <row r="14" spans="1:11" x14ac:dyDescent="0.25">
      <c r="A14" t="s">
        <v>585</v>
      </c>
      <c r="B14">
        <v>26</v>
      </c>
      <c r="C14" s="54">
        <v>0.03</v>
      </c>
      <c r="D14" t="s">
        <v>578</v>
      </c>
      <c r="E14" t="s">
        <v>618</v>
      </c>
      <c r="G14">
        <v>158.86440519323244</v>
      </c>
    </row>
    <row r="15" spans="1:11" x14ac:dyDescent="0.25">
      <c r="A15" t="s">
        <v>586</v>
      </c>
      <c r="B15">
        <v>25</v>
      </c>
      <c r="C15" s="54">
        <v>0.03</v>
      </c>
      <c r="D15" t="s">
        <v>578</v>
      </c>
      <c r="E15" t="s">
        <v>618</v>
      </c>
      <c r="G15">
        <v>240.97629650855765</v>
      </c>
    </row>
    <row r="16" spans="1:11" x14ac:dyDescent="0.25">
      <c r="A16" t="s">
        <v>584</v>
      </c>
      <c r="B16">
        <v>35</v>
      </c>
      <c r="C16" s="54">
        <v>0.04</v>
      </c>
      <c r="D16" t="s">
        <v>578</v>
      </c>
      <c r="E16" t="s">
        <v>618</v>
      </c>
      <c r="G16">
        <v>155.50483562092109</v>
      </c>
    </row>
    <row r="17" spans="1:7" x14ac:dyDescent="0.25">
      <c r="A17" t="s">
        <v>585</v>
      </c>
      <c r="B17">
        <v>26</v>
      </c>
      <c r="C17" s="54">
        <v>0.04</v>
      </c>
      <c r="D17" t="s">
        <v>578</v>
      </c>
      <c r="E17" t="s">
        <v>618</v>
      </c>
      <c r="G17">
        <v>158.86440519323244</v>
      </c>
    </row>
    <row r="18" spans="1:7" x14ac:dyDescent="0.25">
      <c r="A18" t="s">
        <v>586</v>
      </c>
      <c r="B18">
        <v>25</v>
      </c>
      <c r="C18" s="54">
        <v>0.04</v>
      </c>
      <c r="D18" t="s">
        <v>578</v>
      </c>
      <c r="E18" t="s">
        <v>618</v>
      </c>
      <c r="G18">
        <v>240.97629650855765</v>
      </c>
    </row>
    <row r="19" spans="1:7" x14ac:dyDescent="0.25">
      <c r="A19" t="s">
        <v>584</v>
      </c>
      <c r="B19">
        <v>35</v>
      </c>
      <c r="C19" s="54">
        <v>0.05</v>
      </c>
      <c r="D19" t="s">
        <v>578</v>
      </c>
      <c r="E19" t="s">
        <v>618</v>
      </c>
      <c r="G19">
        <v>160.18464577200459</v>
      </c>
    </row>
    <row r="20" spans="1:7" x14ac:dyDescent="0.25">
      <c r="A20" t="s">
        <v>585</v>
      </c>
      <c r="B20">
        <v>26</v>
      </c>
      <c r="C20" s="54">
        <v>0.05</v>
      </c>
      <c r="D20" t="s">
        <v>578</v>
      </c>
      <c r="E20" t="s">
        <v>618</v>
      </c>
      <c r="G20">
        <v>158.86440519323244</v>
      </c>
    </row>
    <row r="21" spans="1:7" x14ac:dyDescent="0.25">
      <c r="A21" t="s">
        <v>586</v>
      </c>
      <c r="B21">
        <v>25</v>
      </c>
      <c r="C21" s="54">
        <v>0.05</v>
      </c>
      <c r="D21" t="s">
        <v>578</v>
      </c>
      <c r="E21" t="s">
        <v>618</v>
      </c>
      <c r="G21">
        <v>240.97629650855765</v>
      </c>
    </row>
    <row r="22" spans="1:7" x14ac:dyDescent="0.25">
      <c r="A22" t="s">
        <v>584</v>
      </c>
      <c r="B22">
        <v>35</v>
      </c>
      <c r="C22" s="54">
        <v>0.01</v>
      </c>
      <c r="D22" t="s">
        <v>570</v>
      </c>
      <c r="E22" t="s">
        <v>618</v>
      </c>
      <c r="G22">
        <v>133.6884936981468</v>
      </c>
    </row>
    <row r="23" spans="1:7" x14ac:dyDescent="0.25">
      <c r="A23" t="s">
        <v>585</v>
      </c>
      <c r="B23">
        <v>26</v>
      </c>
      <c r="C23" s="54">
        <v>0.01</v>
      </c>
      <c r="D23" t="s">
        <v>570</v>
      </c>
      <c r="E23" t="s">
        <v>618</v>
      </c>
      <c r="G23">
        <v>158.86440519323244</v>
      </c>
    </row>
    <row r="24" spans="1:7" x14ac:dyDescent="0.25">
      <c r="A24" t="s">
        <v>586</v>
      </c>
      <c r="B24">
        <v>25</v>
      </c>
      <c r="C24" s="54">
        <v>0.01</v>
      </c>
      <c r="D24" t="s">
        <v>570</v>
      </c>
      <c r="E24" t="s">
        <v>618</v>
      </c>
      <c r="G24">
        <v>240.97629650855768</v>
      </c>
    </row>
    <row r="25" spans="1:7" x14ac:dyDescent="0.25">
      <c r="A25" t="s">
        <v>589</v>
      </c>
      <c r="B25">
        <v>35</v>
      </c>
      <c r="C25" s="54">
        <v>0.01</v>
      </c>
      <c r="D25" t="s">
        <v>570</v>
      </c>
      <c r="E25" t="s">
        <v>618</v>
      </c>
      <c r="G25">
        <v>163.47829876710998</v>
      </c>
    </row>
    <row r="26" spans="1:7" x14ac:dyDescent="0.25">
      <c r="A26" t="s">
        <v>589</v>
      </c>
      <c r="B26">
        <v>35</v>
      </c>
      <c r="C26" s="54">
        <v>0.02</v>
      </c>
      <c r="D26" t="s">
        <v>570</v>
      </c>
      <c r="E26" t="s">
        <v>618</v>
      </c>
      <c r="G26">
        <v>176.34777668258968</v>
      </c>
    </row>
    <row r="27" spans="1:7" x14ac:dyDescent="0.25">
      <c r="A27" t="s">
        <v>589</v>
      </c>
      <c r="B27">
        <v>35</v>
      </c>
      <c r="C27" s="54">
        <v>0.03</v>
      </c>
      <c r="D27" t="s">
        <v>570</v>
      </c>
      <c r="E27" t="s">
        <v>618</v>
      </c>
      <c r="G27">
        <v>188.51479355551663</v>
      </c>
    </row>
    <row r="28" spans="1:7" x14ac:dyDescent="0.25">
      <c r="A28" t="s">
        <v>589</v>
      </c>
      <c r="B28">
        <v>35</v>
      </c>
      <c r="C28" s="54">
        <v>0.04</v>
      </c>
      <c r="D28" t="s">
        <v>570</v>
      </c>
      <c r="E28" t="s">
        <v>618</v>
      </c>
      <c r="G28">
        <v>200.62306804160986</v>
      </c>
    </row>
    <row r="29" spans="1:7" x14ac:dyDescent="0.25">
      <c r="A29" t="s">
        <v>589</v>
      </c>
      <c r="B29">
        <v>35</v>
      </c>
      <c r="C29" s="54">
        <v>0.05</v>
      </c>
      <c r="D29" t="s">
        <v>570</v>
      </c>
      <c r="E29" t="s">
        <v>618</v>
      </c>
      <c r="G29">
        <v>212.79008491453669</v>
      </c>
    </row>
    <row r="30" spans="1:7" x14ac:dyDescent="0.25">
      <c r="A30" t="s">
        <v>584</v>
      </c>
      <c r="B30">
        <v>35</v>
      </c>
      <c r="C30" s="22">
        <v>0.02</v>
      </c>
      <c r="D30" t="s">
        <v>570</v>
      </c>
      <c r="E30" t="s">
        <v>618</v>
      </c>
      <c r="G30">
        <v>138.1664825822786</v>
      </c>
    </row>
    <row r="31" spans="1:7" x14ac:dyDescent="0.25">
      <c r="A31" t="s">
        <v>585</v>
      </c>
      <c r="B31">
        <v>26</v>
      </c>
      <c r="C31" s="54">
        <v>0.02</v>
      </c>
      <c r="D31" t="s">
        <v>570</v>
      </c>
      <c r="E31" t="s">
        <v>618</v>
      </c>
      <c r="G31">
        <v>158.86440519323244</v>
      </c>
    </row>
    <row r="32" spans="1:7" x14ac:dyDescent="0.25">
      <c r="A32" t="s">
        <v>586</v>
      </c>
      <c r="B32">
        <v>25</v>
      </c>
      <c r="C32" s="54">
        <v>0.02</v>
      </c>
      <c r="D32" t="s">
        <v>570</v>
      </c>
      <c r="E32" t="s">
        <v>618</v>
      </c>
      <c r="G32">
        <v>240.97629650855768</v>
      </c>
    </row>
    <row r="33" spans="1:7" x14ac:dyDescent="0.25">
      <c r="A33" t="s">
        <v>584</v>
      </c>
      <c r="B33">
        <v>35</v>
      </c>
      <c r="C33" s="54">
        <v>0.03</v>
      </c>
      <c r="D33" t="s">
        <v>570</v>
      </c>
      <c r="E33" t="s">
        <v>618</v>
      </c>
      <c r="G33">
        <v>142.41494851187895</v>
      </c>
    </row>
    <row r="34" spans="1:7" x14ac:dyDescent="0.25">
      <c r="A34" t="s">
        <v>585</v>
      </c>
      <c r="B34">
        <v>26</v>
      </c>
      <c r="C34" s="54">
        <v>0.03</v>
      </c>
      <c r="D34" t="s">
        <v>570</v>
      </c>
      <c r="E34" t="s">
        <v>618</v>
      </c>
      <c r="G34">
        <v>158.86440519323244</v>
      </c>
    </row>
    <row r="35" spans="1:7" x14ac:dyDescent="0.25">
      <c r="A35" t="s">
        <v>586</v>
      </c>
      <c r="B35">
        <v>25</v>
      </c>
      <c r="C35" s="54">
        <v>0.03</v>
      </c>
      <c r="D35" t="s">
        <v>570</v>
      </c>
      <c r="E35" t="s">
        <v>618</v>
      </c>
      <c r="G35">
        <v>240.97629650855768</v>
      </c>
    </row>
    <row r="36" spans="1:7" x14ac:dyDescent="0.25">
      <c r="A36" t="s">
        <v>584</v>
      </c>
      <c r="B36">
        <v>35</v>
      </c>
      <c r="C36" s="54">
        <v>0.04</v>
      </c>
      <c r="D36" t="s">
        <v>570</v>
      </c>
      <c r="E36" t="s">
        <v>618</v>
      </c>
      <c r="G36">
        <v>146.64294385855351</v>
      </c>
    </row>
    <row r="37" spans="1:7" x14ac:dyDescent="0.25">
      <c r="A37" t="s">
        <v>585</v>
      </c>
      <c r="B37">
        <v>26</v>
      </c>
      <c r="C37" s="54">
        <v>0.04</v>
      </c>
      <c r="D37" t="s">
        <v>570</v>
      </c>
      <c r="E37" t="s">
        <v>618</v>
      </c>
      <c r="G37">
        <v>158.86440519323244</v>
      </c>
    </row>
    <row r="38" spans="1:7" x14ac:dyDescent="0.25">
      <c r="A38" t="s">
        <v>586</v>
      </c>
      <c r="B38">
        <v>25</v>
      </c>
      <c r="C38" s="54">
        <v>0.04</v>
      </c>
      <c r="D38" t="s">
        <v>570</v>
      </c>
      <c r="E38" t="s">
        <v>618</v>
      </c>
      <c r="G38">
        <v>240.97629650855768</v>
      </c>
    </row>
    <row r="39" spans="1:7" x14ac:dyDescent="0.25">
      <c r="A39" t="s">
        <v>584</v>
      </c>
      <c r="B39">
        <v>35</v>
      </c>
      <c r="C39" s="54">
        <v>0.05</v>
      </c>
      <c r="D39" t="s">
        <v>570</v>
      </c>
      <c r="E39" t="s">
        <v>618</v>
      </c>
      <c r="G39">
        <v>150.87128033598776</v>
      </c>
    </row>
    <row r="40" spans="1:7" x14ac:dyDescent="0.25">
      <c r="A40" t="s">
        <v>585</v>
      </c>
      <c r="B40">
        <v>26</v>
      </c>
      <c r="C40" s="54">
        <v>0.05</v>
      </c>
      <c r="D40" t="s">
        <v>570</v>
      </c>
      <c r="E40" t="s">
        <v>618</v>
      </c>
      <c r="G40">
        <v>158.86440519323244</v>
      </c>
    </row>
    <row r="41" spans="1:7" x14ac:dyDescent="0.25">
      <c r="A41" t="s">
        <v>586</v>
      </c>
      <c r="B41">
        <v>25</v>
      </c>
      <c r="C41" s="54">
        <v>0.05</v>
      </c>
      <c r="D41" t="s">
        <v>570</v>
      </c>
      <c r="E41" t="s">
        <v>618</v>
      </c>
      <c r="G41">
        <v>240.97629650855768</v>
      </c>
    </row>
    <row r="42" spans="1:7" x14ac:dyDescent="0.25">
      <c r="A42" t="s">
        <v>584</v>
      </c>
      <c r="B42">
        <v>35</v>
      </c>
      <c r="C42" s="54">
        <v>0.01</v>
      </c>
      <c r="D42" t="s">
        <v>569</v>
      </c>
      <c r="E42" t="s">
        <v>618</v>
      </c>
      <c r="G42">
        <v>113.45252628431555</v>
      </c>
    </row>
    <row r="43" spans="1:7" x14ac:dyDescent="0.25">
      <c r="A43" t="s">
        <v>585</v>
      </c>
      <c r="B43">
        <v>26</v>
      </c>
      <c r="C43" s="54">
        <v>0.01</v>
      </c>
      <c r="D43" t="s">
        <v>569</v>
      </c>
      <c r="E43" t="s">
        <v>618</v>
      </c>
      <c r="G43">
        <v>158.86440519323244</v>
      </c>
    </row>
    <row r="44" spans="1:7" x14ac:dyDescent="0.25">
      <c r="A44" t="s">
        <v>586</v>
      </c>
      <c r="B44">
        <v>25</v>
      </c>
      <c r="C44" s="54">
        <v>0.01</v>
      </c>
      <c r="D44" t="s">
        <v>569</v>
      </c>
      <c r="E44" t="s">
        <v>618</v>
      </c>
      <c r="G44">
        <v>240.97629650855777</v>
      </c>
    </row>
    <row r="45" spans="1:7" x14ac:dyDescent="0.25">
      <c r="A45" t="s">
        <v>589</v>
      </c>
      <c r="B45">
        <v>35</v>
      </c>
      <c r="C45" s="54">
        <v>0.01</v>
      </c>
      <c r="D45" t="s">
        <v>569</v>
      </c>
      <c r="E45" t="s">
        <v>618</v>
      </c>
      <c r="G45">
        <v>163.48918528752063</v>
      </c>
    </row>
    <row r="46" spans="1:7" x14ac:dyDescent="0.25">
      <c r="A46" t="s">
        <v>589</v>
      </c>
      <c r="B46">
        <v>35</v>
      </c>
      <c r="C46" s="54">
        <v>0.02</v>
      </c>
      <c r="D46" t="s">
        <v>569</v>
      </c>
      <c r="E46" t="s">
        <v>618</v>
      </c>
      <c r="G46">
        <v>176.34777668258971</v>
      </c>
    </row>
    <row r="47" spans="1:7" x14ac:dyDescent="0.25">
      <c r="A47" t="s">
        <v>589</v>
      </c>
      <c r="B47">
        <v>35</v>
      </c>
      <c r="C47" s="54">
        <v>0.03</v>
      </c>
      <c r="D47" t="s">
        <v>569</v>
      </c>
      <c r="E47" t="s">
        <v>618</v>
      </c>
      <c r="G47">
        <v>188.51479355551666</v>
      </c>
    </row>
    <row r="48" spans="1:7" x14ac:dyDescent="0.25">
      <c r="A48" t="s">
        <v>589</v>
      </c>
      <c r="B48">
        <v>35</v>
      </c>
      <c r="C48" s="54">
        <v>0.04</v>
      </c>
      <c r="D48" t="s">
        <v>569</v>
      </c>
      <c r="E48" t="s">
        <v>618</v>
      </c>
      <c r="G48">
        <v>200.62306804160991</v>
      </c>
    </row>
    <row r="49" spans="1:7" x14ac:dyDescent="0.25">
      <c r="A49" t="s">
        <v>589</v>
      </c>
      <c r="B49">
        <v>35</v>
      </c>
      <c r="C49" s="54">
        <v>0.05</v>
      </c>
      <c r="D49" t="s">
        <v>569</v>
      </c>
      <c r="E49" t="s">
        <v>618</v>
      </c>
      <c r="G49">
        <v>212.79008491453678</v>
      </c>
    </row>
    <row r="50" spans="1:7" x14ac:dyDescent="0.25">
      <c r="A50" t="s">
        <v>584</v>
      </c>
      <c r="B50">
        <v>35</v>
      </c>
      <c r="C50" s="22">
        <v>0.02</v>
      </c>
      <c r="D50" t="s">
        <v>569</v>
      </c>
      <c r="E50" t="s">
        <v>618</v>
      </c>
      <c r="G50">
        <v>117.22943215278237</v>
      </c>
    </row>
    <row r="51" spans="1:7" x14ac:dyDescent="0.25">
      <c r="A51" t="s">
        <v>585</v>
      </c>
      <c r="B51">
        <v>26</v>
      </c>
      <c r="C51" s="54">
        <v>0.02</v>
      </c>
      <c r="D51" t="s">
        <v>569</v>
      </c>
      <c r="E51" t="s">
        <v>618</v>
      </c>
      <c r="G51">
        <v>158.86440519323244</v>
      </c>
    </row>
    <row r="52" spans="1:7" x14ac:dyDescent="0.25">
      <c r="A52" t="s">
        <v>586</v>
      </c>
      <c r="B52">
        <v>25</v>
      </c>
      <c r="C52" s="54">
        <v>0.02</v>
      </c>
      <c r="D52" t="s">
        <v>569</v>
      </c>
      <c r="E52" t="s">
        <v>618</v>
      </c>
      <c r="G52">
        <v>240.97629650855777</v>
      </c>
    </row>
    <row r="53" spans="1:7" x14ac:dyDescent="0.25">
      <c r="A53" t="s">
        <v>584</v>
      </c>
      <c r="B53">
        <v>35</v>
      </c>
      <c r="C53" s="54">
        <v>0.03</v>
      </c>
      <c r="D53" t="s">
        <v>569</v>
      </c>
      <c r="E53" t="s">
        <v>618</v>
      </c>
      <c r="G53">
        <v>120.81278938615159</v>
      </c>
    </row>
    <row r="54" spans="1:7" x14ac:dyDescent="0.25">
      <c r="A54" t="s">
        <v>585</v>
      </c>
      <c r="B54">
        <v>26</v>
      </c>
      <c r="C54" s="54">
        <v>0.03</v>
      </c>
      <c r="D54" t="s">
        <v>569</v>
      </c>
      <c r="E54" t="s">
        <v>618</v>
      </c>
      <c r="G54">
        <v>158.86440519323244</v>
      </c>
    </row>
    <row r="55" spans="1:7" x14ac:dyDescent="0.25">
      <c r="A55" t="s">
        <v>586</v>
      </c>
      <c r="B55">
        <v>25</v>
      </c>
      <c r="C55" s="54">
        <v>0.03</v>
      </c>
      <c r="D55" t="s">
        <v>569</v>
      </c>
      <c r="E55" t="s">
        <v>618</v>
      </c>
      <c r="G55">
        <v>240.97629650855777</v>
      </c>
    </row>
    <row r="56" spans="1:7" x14ac:dyDescent="0.25">
      <c r="A56" t="s">
        <v>584</v>
      </c>
      <c r="B56">
        <v>35</v>
      </c>
      <c r="C56" s="54">
        <v>0.04</v>
      </c>
      <c r="D56" t="s">
        <v>569</v>
      </c>
      <c r="E56" t="s">
        <v>618</v>
      </c>
      <c r="G56">
        <v>124.37882013421114</v>
      </c>
    </row>
    <row r="57" spans="1:7" x14ac:dyDescent="0.25">
      <c r="A57" t="s">
        <v>585</v>
      </c>
      <c r="B57">
        <v>26</v>
      </c>
      <c r="C57" s="54">
        <v>0.04</v>
      </c>
      <c r="D57" t="s">
        <v>569</v>
      </c>
      <c r="E57" t="s">
        <v>618</v>
      </c>
      <c r="G57">
        <v>158.86440519323244</v>
      </c>
    </row>
    <row r="58" spans="1:7" x14ac:dyDescent="0.25">
      <c r="A58" t="s">
        <v>586</v>
      </c>
      <c r="B58">
        <v>25</v>
      </c>
      <c r="C58" s="54">
        <v>0.04</v>
      </c>
      <c r="D58" t="s">
        <v>569</v>
      </c>
      <c r="E58" t="s">
        <v>618</v>
      </c>
      <c r="G58">
        <v>240.97629650855777</v>
      </c>
    </row>
    <row r="59" spans="1:7" x14ac:dyDescent="0.25">
      <c r="A59" t="s">
        <v>584</v>
      </c>
      <c r="B59">
        <v>35</v>
      </c>
      <c r="C59" s="54">
        <v>0.05</v>
      </c>
      <c r="D59" t="s">
        <v>569</v>
      </c>
      <c r="E59" t="s">
        <v>618</v>
      </c>
      <c r="G59">
        <v>127.94535584183207</v>
      </c>
    </row>
    <row r="60" spans="1:7" x14ac:dyDescent="0.25">
      <c r="A60" t="s">
        <v>585</v>
      </c>
      <c r="B60">
        <v>26</v>
      </c>
      <c r="C60" s="54">
        <v>0.05</v>
      </c>
      <c r="D60" t="s">
        <v>569</v>
      </c>
      <c r="E60" t="s">
        <v>618</v>
      </c>
      <c r="G60">
        <v>158.86440519323244</v>
      </c>
    </row>
    <row r="61" spans="1:7" x14ac:dyDescent="0.25">
      <c r="A61" t="s">
        <v>586</v>
      </c>
      <c r="B61">
        <v>25</v>
      </c>
      <c r="C61" s="54">
        <v>0.05</v>
      </c>
      <c r="D61" t="s">
        <v>569</v>
      </c>
      <c r="E61" t="s">
        <v>618</v>
      </c>
      <c r="G61">
        <v>240.97629650855777</v>
      </c>
    </row>
    <row r="62" spans="1:7" x14ac:dyDescent="0.25">
      <c r="A62" t="s">
        <v>614</v>
      </c>
      <c r="B62">
        <v>35</v>
      </c>
      <c r="C62" s="54">
        <v>0.01</v>
      </c>
      <c r="D62" t="s">
        <v>569</v>
      </c>
      <c r="E62" t="s">
        <v>618</v>
      </c>
      <c r="G62">
        <v>301.47721930317579</v>
      </c>
    </row>
    <row r="63" spans="1:7" x14ac:dyDescent="0.25">
      <c r="A63" t="s">
        <v>614</v>
      </c>
      <c r="B63">
        <v>35</v>
      </c>
      <c r="C63" s="54">
        <v>0.02</v>
      </c>
      <c r="D63" t="s">
        <v>569</v>
      </c>
      <c r="E63" t="s">
        <v>618</v>
      </c>
      <c r="G63">
        <v>301.47721930317579</v>
      </c>
    </row>
    <row r="64" spans="1:7" x14ac:dyDescent="0.25">
      <c r="A64" t="s">
        <v>614</v>
      </c>
      <c r="B64">
        <v>35</v>
      </c>
      <c r="C64" s="54">
        <v>0.03</v>
      </c>
      <c r="D64" t="s">
        <v>569</v>
      </c>
      <c r="E64" t="s">
        <v>618</v>
      </c>
      <c r="G64">
        <v>301.47721930317579</v>
      </c>
    </row>
    <row r="65" spans="1:7" x14ac:dyDescent="0.25">
      <c r="A65" t="s">
        <v>614</v>
      </c>
      <c r="B65">
        <v>35</v>
      </c>
      <c r="C65" s="54">
        <v>0.04</v>
      </c>
      <c r="D65" t="s">
        <v>569</v>
      </c>
      <c r="E65" t="s">
        <v>618</v>
      </c>
      <c r="G65">
        <v>301.47721930317579</v>
      </c>
    </row>
    <row r="66" spans="1:7" x14ac:dyDescent="0.25">
      <c r="A66" t="s">
        <v>614</v>
      </c>
      <c r="B66">
        <v>35</v>
      </c>
      <c r="C66" s="54">
        <v>0.05</v>
      </c>
      <c r="D66" t="s">
        <v>569</v>
      </c>
      <c r="E66" t="s">
        <v>618</v>
      </c>
      <c r="G66">
        <v>301.47721930317579</v>
      </c>
    </row>
    <row r="67" spans="1:7" x14ac:dyDescent="0.25">
      <c r="A67" t="s">
        <v>614</v>
      </c>
      <c r="B67">
        <v>35</v>
      </c>
      <c r="C67" s="54">
        <v>0.01</v>
      </c>
      <c r="D67" t="s">
        <v>570</v>
      </c>
      <c r="E67" t="s">
        <v>618</v>
      </c>
      <c r="G67">
        <v>301.47721930317579</v>
      </c>
    </row>
    <row r="68" spans="1:7" x14ac:dyDescent="0.25">
      <c r="A68" t="s">
        <v>614</v>
      </c>
      <c r="B68">
        <v>35</v>
      </c>
      <c r="C68" s="54">
        <v>0.02</v>
      </c>
      <c r="D68" t="s">
        <v>570</v>
      </c>
      <c r="E68" t="s">
        <v>618</v>
      </c>
      <c r="G68">
        <v>301.47721930317579</v>
      </c>
    </row>
    <row r="69" spans="1:7" x14ac:dyDescent="0.25">
      <c r="A69" t="s">
        <v>614</v>
      </c>
      <c r="B69">
        <v>35</v>
      </c>
      <c r="C69" s="54">
        <v>0.03</v>
      </c>
      <c r="D69" t="s">
        <v>570</v>
      </c>
      <c r="E69" t="s">
        <v>618</v>
      </c>
      <c r="G69">
        <v>301.47721930317579</v>
      </c>
    </row>
    <row r="70" spans="1:7" x14ac:dyDescent="0.25">
      <c r="A70" t="s">
        <v>614</v>
      </c>
      <c r="B70">
        <v>35</v>
      </c>
      <c r="C70" s="54">
        <v>0.04</v>
      </c>
      <c r="D70" t="s">
        <v>570</v>
      </c>
      <c r="E70" t="s">
        <v>618</v>
      </c>
      <c r="G70">
        <v>301.47721930317579</v>
      </c>
    </row>
    <row r="71" spans="1:7" x14ac:dyDescent="0.25">
      <c r="A71" t="s">
        <v>614</v>
      </c>
      <c r="B71">
        <v>35</v>
      </c>
      <c r="C71" s="54">
        <v>0.05</v>
      </c>
      <c r="D71" t="s">
        <v>570</v>
      </c>
      <c r="E71" t="s">
        <v>618</v>
      </c>
      <c r="G71">
        <v>301.47721930317579</v>
      </c>
    </row>
    <row r="72" spans="1:7" x14ac:dyDescent="0.25">
      <c r="A72" t="s">
        <v>614</v>
      </c>
      <c r="B72">
        <v>35</v>
      </c>
      <c r="C72" s="54">
        <v>0.01</v>
      </c>
      <c r="D72" t="s">
        <v>578</v>
      </c>
      <c r="E72" t="s">
        <v>618</v>
      </c>
      <c r="G72">
        <v>301.47721930317601</v>
      </c>
    </row>
    <row r="73" spans="1:7" x14ac:dyDescent="0.25">
      <c r="A73" t="s">
        <v>614</v>
      </c>
      <c r="B73">
        <v>35</v>
      </c>
      <c r="C73" s="54">
        <v>0.02</v>
      </c>
      <c r="D73" t="s">
        <v>578</v>
      </c>
      <c r="E73" t="s">
        <v>618</v>
      </c>
      <c r="G73">
        <v>301.47721930317601</v>
      </c>
    </row>
    <row r="74" spans="1:7" x14ac:dyDescent="0.25">
      <c r="A74" t="s">
        <v>614</v>
      </c>
      <c r="B74">
        <v>35</v>
      </c>
      <c r="C74" s="54">
        <v>0.03</v>
      </c>
      <c r="D74" t="s">
        <v>578</v>
      </c>
      <c r="E74" t="s">
        <v>618</v>
      </c>
      <c r="G74">
        <v>301.47721930317601</v>
      </c>
    </row>
    <row r="75" spans="1:7" x14ac:dyDescent="0.25">
      <c r="A75" t="s">
        <v>614</v>
      </c>
      <c r="B75">
        <v>35</v>
      </c>
      <c r="C75" s="54">
        <v>0.04</v>
      </c>
      <c r="D75" t="s">
        <v>578</v>
      </c>
      <c r="E75" t="s">
        <v>618</v>
      </c>
      <c r="G75">
        <v>301.47721930317601</v>
      </c>
    </row>
    <row r="76" spans="1:7" x14ac:dyDescent="0.25">
      <c r="A76" t="s">
        <v>614</v>
      </c>
      <c r="B76">
        <v>35</v>
      </c>
      <c r="C76" s="54">
        <v>0.05</v>
      </c>
      <c r="D76" t="s">
        <v>578</v>
      </c>
      <c r="E76" t="s">
        <v>618</v>
      </c>
      <c r="G76">
        <v>301.47721930317601</v>
      </c>
    </row>
    <row r="77" spans="1:7" x14ac:dyDescent="0.25">
      <c r="A77" t="s">
        <v>584</v>
      </c>
      <c r="B77" s="10">
        <f>G2-B2</f>
        <v>106.16842976756683</v>
      </c>
      <c r="C77" s="54">
        <v>0.01</v>
      </c>
      <c r="D77" t="s">
        <v>578</v>
      </c>
      <c r="E77" t="s">
        <v>619</v>
      </c>
    </row>
    <row r="78" spans="1:7" x14ac:dyDescent="0.25">
      <c r="A78" t="s">
        <v>585</v>
      </c>
      <c r="B78" s="10">
        <f t="shared" ref="B78:B141" si="0">G3-B3</f>
        <v>132.86440519323244</v>
      </c>
      <c r="C78" s="54">
        <v>0.01</v>
      </c>
      <c r="D78" t="s">
        <v>578</v>
      </c>
      <c r="E78" t="s">
        <v>619</v>
      </c>
    </row>
    <row r="79" spans="1:7" x14ac:dyDescent="0.25">
      <c r="A79" t="s">
        <v>586</v>
      </c>
      <c r="B79" s="10">
        <f t="shared" si="0"/>
        <v>215.97629650855765</v>
      </c>
      <c r="C79" s="54">
        <v>0.01</v>
      </c>
      <c r="D79" t="s">
        <v>578</v>
      </c>
      <c r="E79" t="s">
        <v>619</v>
      </c>
    </row>
    <row r="80" spans="1:7" x14ac:dyDescent="0.25">
      <c r="A80" t="s">
        <v>589</v>
      </c>
      <c r="B80" s="10">
        <f t="shared" si="0"/>
        <v>128.47829876710998</v>
      </c>
      <c r="C80" s="54">
        <v>0.01</v>
      </c>
      <c r="D80" t="s">
        <v>578</v>
      </c>
      <c r="E80" t="s">
        <v>619</v>
      </c>
    </row>
    <row r="81" spans="1:5" x14ac:dyDescent="0.25">
      <c r="A81" t="s">
        <v>589</v>
      </c>
      <c r="B81" s="10">
        <f t="shared" si="0"/>
        <v>141.34777668258965</v>
      </c>
      <c r="C81" s="54">
        <v>0.02</v>
      </c>
      <c r="D81" t="s">
        <v>578</v>
      </c>
      <c r="E81" t="s">
        <v>619</v>
      </c>
    </row>
    <row r="82" spans="1:5" x14ac:dyDescent="0.25">
      <c r="A82" t="s">
        <v>589</v>
      </c>
      <c r="B82" s="10">
        <f t="shared" si="0"/>
        <v>153.51479355551663</v>
      </c>
      <c r="C82" s="54">
        <v>0.03</v>
      </c>
      <c r="D82" t="s">
        <v>578</v>
      </c>
      <c r="E82" t="s">
        <v>619</v>
      </c>
    </row>
    <row r="83" spans="1:5" x14ac:dyDescent="0.25">
      <c r="A83" t="s">
        <v>589</v>
      </c>
      <c r="B83" s="10">
        <f t="shared" si="0"/>
        <v>165.62306804160983</v>
      </c>
      <c r="C83" s="54">
        <v>0.04</v>
      </c>
      <c r="D83" t="s">
        <v>578</v>
      </c>
      <c r="E83" t="s">
        <v>619</v>
      </c>
    </row>
    <row r="84" spans="1:5" x14ac:dyDescent="0.25">
      <c r="A84" t="s">
        <v>589</v>
      </c>
      <c r="B84" s="10">
        <f t="shared" si="0"/>
        <v>177.79008491453675</v>
      </c>
      <c r="C84" s="54">
        <v>0.05</v>
      </c>
      <c r="D84" t="s">
        <v>578</v>
      </c>
      <c r="E84" t="s">
        <v>619</v>
      </c>
    </row>
    <row r="85" spans="1:5" x14ac:dyDescent="0.25">
      <c r="A85" t="s">
        <v>584</v>
      </c>
      <c r="B85" s="10">
        <f t="shared" si="0"/>
        <v>111.12400279017518</v>
      </c>
      <c r="C85" s="22">
        <v>0.02</v>
      </c>
      <c r="D85" t="s">
        <v>578</v>
      </c>
      <c r="E85" t="s">
        <v>619</v>
      </c>
    </row>
    <row r="86" spans="1:5" x14ac:dyDescent="0.25">
      <c r="A86" t="s">
        <v>585</v>
      </c>
      <c r="B86" s="10">
        <f t="shared" si="0"/>
        <v>132.86440519323244</v>
      </c>
      <c r="C86" s="54">
        <v>0.02</v>
      </c>
      <c r="D86" t="s">
        <v>578</v>
      </c>
      <c r="E86" t="s">
        <v>619</v>
      </c>
    </row>
    <row r="87" spans="1:5" x14ac:dyDescent="0.25">
      <c r="A87" t="s">
        <v>586</v>
      </c>
      <c r="B87" s="10">
        <f t="shared" si="0"/>
        <v>215.97629650855765</v>
      </c>
      <c r="C87" s="54">
        <v>0.02</v>
      </c>
      <c r="D87" t="s">
        <v>578</v>
      </c>
      <c r="E87" t="s">
        <v>619</v>
      </c>
    </row>
    <row r="88" spans="1:5" x14ac:dyDescent="0.25">
      <c r="A88" t="s">
        <v>584</v>
      </c>
      <c r="B88" s="10">
        <f t="shared" si="0"/>
        <v>115.82584133632133</v>
      </c>
      <c r="C88" s="54">
        <v>0.03</v>
      </c>
      <c r="D88" t="s">
        <v>578</v>
      </c>
      <c r="E88" t="s">
        <v>619</v>
      </c>
    </row>
    <row r="89" spans="1:5" x14ac:dyDescent="0.25">
      <c r="A89" t="s">
        <v>585</v>
      </c>
      <c r="B89" s="10">
        <f t="shared" si="0"/>
        <v>132.86440519323244</v>
      </c>
      <c r="C89" s="54">
        <v>0.03</v>
      </c>
      <c r="D89" t="s">
        <v>578</v>
      </c>
      <c r="E89" t="s">
        <v>619</v>
      </c>
    </row>
    <row r="90" spans="1:5" x14ac:dyDescent="0.25">
      <c r="A90" t="s">
        <v>586</v>
      </c>
      <c r="B90" s="10">
        <f t="shared" si="0"/>
        <v>215.97629650855765</v>
      </c>
      <c r="C90" s="54">
        <v>0.03</v>
      </c>
      <c r="D90" t="s">
        <v>578</v>
      </c>
      <c r="E90" t="s">
        <v>619</v>
      </c>
    </row>
    <row r="91" spans="1:5" x14ac:dyDescent="0.25">
      <c r="A91" t="s">
        <v>584</v>
      </c>
      <c r="B91" s="10">
        <f t="shared" si="0"/>
        <v>120.50483562092109</v>
      </c>
      <c r="C91" s="54">
        <v>0.04</v>
      </c>
      <c r="D91" t="s">
        <v>578</v>
      </c>
      <c r="E91" t="s">
        <v>619</v>
      </c>
    </row>
    <row r="92" spans="1:5" x14ac:dyDescent="0.25">
      <c r="A92" t="s">
        <v>585</v>
      </c>
      <c r="B92" s="10">
        <f t="shared" si="0"/>
        <v>132.86440519323244</v>
      </c>
      <c r="C92" s="54">
        <v>0.04</v>
      </c>
      <c r="D92" t="s">
        <v>578</v>
      </c>
      <c r="E92" t="s">
        <v>619</v>
      </c>
    </row>
    <row r="93" spans="1:5" x14ac:dyDescent="0.25">
      <c r="A93" t="s">
        <v>586</v>
      </c>
      <c r="B93" s="10">
        <f t="shared" si="0"/>
        <v>215.97629650855765</v>
      </c>
      <c r="C93" s="54">
        <v>0.04</v>
      </c>
      <c r="D93" t="s">
        <v>578</v>
      </c>
      <c r="E93" t="s">
        <v>619</v>
      </c>
    </row>
    <row r="94" spans="1:5" x14ac:dyDescent="0.25">
      <c r="A94" t="s">
        <v>584</v>
      </c>
      <c r="B94" s="10">
        <f t="shared" si="0"/>
        <v>125.18464577200459</v>
      </c>
      <c r="C94" s="54">
        <v>0.05</v>
      </c>
      <c r="D94" t="s">
        <v>578</v>
      </c>
      <c r="E94" t="s">
        <v>619</v>
      </c>
    </row>
    <row r="95" spans="1:5" x14ac:dyDescent="0.25">
      <c r="A95" t="s">
        <v>585</v>
      </c>
      <c r="B95" s="10">
        <f t="shared" si="0"/>
        <v>132.86440519323244</v>
      </c>
      <c r="C95" s="54">
        <v>0.05</v>
      </c>
      <c r="D95" t="s">
        <v>578</v>
      </c>
      <c r="E95" t="s">
        <v>619</v>
      </c>
    </row>
    <row r="96" spans="1:5" x14ac:dyDescent="0.25">
      <c r="A96" t="s">
        <v>586</v>
      </c>
      <c r="B96" s="10">
        <f t="shared" si="0"/>
        <v>215.97629650855765</v>
      </c>
      <c r="C96" s="54">
        <v>0.05</v>
      </c>
      <c r="D96" t="s">
        <v>578</v>
      </c>
      <c r="E96" t="s">
        <v>619</v>
      </c>
    </row>
    <row r="97" spans="1:5" x14ac:dyDescent="0.25">
      <c r="A97" t="s">
        <v>584</v>
      </c>
      <c r="B97" s="10">
        <f t="shared" si="0"/>
        <v>98.6884936981468</v>
      </c>
      <c r="C97" s="54">
        <v>0.01</v>
      </c>
      <c r="D97" t="s">
        <v>570</v>
      </c>
      <c r="E97" t="s">
        <v>619</v>
      </c>
    </row>
    <row r="98" spans="1:5" x14ac:dyDescent="0.25">
      <c r="A98" t="s">
        <v>585</v>
      </c>
      <c r="B98" s="10">
        <f t="shared" si="0"/>
        <v>132.86440519323244</v>
      </c>
      <c r="C98" s="54">
        <v>0.01</v>
      </c>
      <c r="D98" t="s">
        <v>570</v>
      </c>
      <c r="E98" t="s">
        <v>619</v>
      </c>
    </row>
    <row r="99" spans="1:5" x14ac:dyDescent="0.25">
      <c r="A99" t="s">
        <v>586</v>
      </c>
      <c r="B99" s="10">
        <f t="shared" si="0"/>
        <v>215.97629650855768</v>
      </c>
      <c r="C99" s="54">
        <v>0.01</v>
      </c>
      <c r="D99" t="s">
        <v>570</v>
      </c>
      <c r="E99" t="s">
        <v>619</v>
      </c>
    </row>
    <row r="100" spans="1:5" x14ac:dyDescent="0.25">
      <c r="A100" t="s">
        <v>589</v>
      </c>
      <c r="B100" s="10">
        <f t="shared" si="0"/>
        <v>128.47829876710998</v>
      </c>
      <c r="C100" s="54">
        <v>0.01</v>
      </c>
      <c r="D100" t="s">
        <v>570</v>
      </c>
      <c r="E100" t="s">
        <v>619</v>
      </c>
    </row>
    <row r="101" spans="1:5" x14ac:dyDescent="0.25">
      <c r="A101" t="s">
        <v>589</v>
      </c>
      <c r="B101" s="10">
        <f t="shared" si="0"/>
        <v>141.34777668258968</v>
      </c>
      <c r="C101" s="54">
        <v>0.02</v>
      </c>
      <c r="D101" t="s">
        <v>570</v>
      </c>
      <c r="E101" t="s">
        <v>619</v>
      </c>
    </row>
    <row r="102" spans="1:5" x14ac:dyDescent="0.25">
      <c r="A102" t="s">
        <v>589</v>
      </c>
      <c r="B102" s="10">
        <f t="shared" si="0"/>
        <v>153.51479355551663</v>
      </c>
      <c r="C102" s="54">
        <v>0.03</v>
      </c>
      <c r="D102" t="s">
        <v>570</v>
      </c>
      <c r="E102" t="s">
        <v>619</v>
      </c>
    </row>
    <row r="103" spans="1:5" x14ac:dyDescent="0.25">
      <c r="A103" t="s">
        <v>589</v>
      </c>
      <c r="B103" s="10">
        <f t="shared" si="0"/>
        <v>165.62306804160986</v>
      </c>
      <c r="C103" s="54">
        <v>0.04</v>
      </c>
      <c r="D103" t="s">
        <v>570</v>
      </c>
      <c r="E103" t="s">
        <v>619</v>
      </c>
    </row>
    <row r="104" spans="1:5" x14ac:dyDescent="0.25">
      <c r="A104" t="s">
        <v>589</v>
      </c>
      <c r="B104" s="10">
        <f t="shared" si="0"/>
        <v>177.79008491453669</v>
      </c>
      <c r="C104" s="54">
        <v>0.05</v>
      </c>
      <c r="D104" t="s">
        <v>570</v>
      </c>
      <c r="E104" t="s">
        <v>619</v>
      </c>
    </row>
    <row r="105" spans="1:5" x14ac:dyDescent="0.25">
      <c r="A105" t="s">
        <v>584</v>
      </c>
      <c r="B105" s="10">
        <f t="shared" si="0"/>
        <v>103.1664825822786</v>
      </c>
      <c r="C105" s="22">
        <v>0.02</v>
      </c>
      <c r="D105" t="s">
        <v>570</v>
      </c>
      <c r="E105" t="s">
        <v>619</v>
      </c>
    </row>
    <row r="106" spans="1:5" x14ac:dyDescent="0.25">
      <c r="A106" t="s">
        <v>585</v>
      </c>
      <c r="B106" s="10">
        <f t="shared" si="0"/>
        <v>132.86440519323244</v>
      </c>
      <c r="C106" s="54">
        <v>0.02</v>
      </c>
      <c r="D106" t="s">
        <v>570</v>
      </c>
      <c r="E106" t="s">
        <v>619</v>
      </c>
    </row>
    <row r="107" spans="1:5" x14ac:dyDescent="0.25">
      <c r="A107" t="s">
        <v>586</v>
      </c>
      <c r="B107" s="10">
        <f t="shared" si="0"/>
        <v>215.97629650855768</v>
      </c>
      <c r="C107" s="54">
        <v>0.02</v>
      </c>
      <c r="D107" t="s">
        <v>570</v>
      </c>
      <c r="E107" t="s">
        <v>619</v>
      </c>
    </row>
    <row r="108" spans="1:5" x14ac:dyDescent="0.25">
      <c r="A108" t="s">
        <v>584</v>
      </c>
      <c r="B108" s="10">
        <f t="shared" si="0"/>
        <v>107.41494851187895</v>
      </c>
      <c r="C108" s="54">
        <v>0.03</v>
      </c>
      <c r="D108" t="s">
        <v>570</v>
      </c>
      <c r="E108" t="s">
        <v>619</v>
      </c>
    </row>
    <row r="109" spans="1:5" x14ac:dyDescent="0.25">
      <c r="A109" t="s">
        <v>585</v>
      </c>
      <c r="B109" s="10">
        <f t="shared" si="0"/>
        <v>132.86440519323244</v>
      </c>
      <c r="C109" s="54">
        <v>0.03</v>
      </c>
      <c r="D109" t="s">
        <v>570</v>
      </c>
      <c r="E109" t="s">
        <v>619</v>
      </c>
    </row>
    <row r="110" spans="1:5" x14ac:dyDescent="0.25">
      <c r="A110" t="s">
        <v>586</v>
      </c>
      <c r="B110" s="10">
        <f t="shared" si="0"/>
        <v>215.97629650855768</v>
      </c>
      <c r="C110" s="54">
        <v>0.03</v>
      </c>
      <c r="D110" t="s">
        <v>570</v>
      </c>
      <c r="E110" t="s">
        <v>619</v>
      </c>
    </row>
    <row r="111" spans="1:5" x14ac:dyDescent="0.25">
      <c r="A111" t="s">
        <v>584</v>
      </c>
      <c r="B111" s="10">
        <f t="shared" si="0"/>
        <v>111.64294385855351</v>
      </c>
      <c r="C111" s="54">
        <v>0.04</v>
      </c>
      <c r="D111" t="s">
        <v>570</v>
      </c>
      <c r="E111" t="s">
        <v>619</v>
      </c>
    </row>
    <row r="112" spans="1:5" x14ac:dyDescent="0.25">
      <c r="A112" t="s">
        <v>585</v>
      </c>
      <c r="B112" s="10">
        <f t="shared" si="0"/>
        <v>132.86440519323244</v>
      </c>
      <c r="C112" s="54">
        <v>0.04</v>
      </c>
      <c r="D112" t="s">
        <v>570</v>
      </c>
      <c r="E112" t="s">
        <v>619</v>
      </c>
    </row>
    <row r="113" spans="1:5" x14ac:dyDescent="0.25">
      <c r="A113" t="s">
        <v>586</v>
      </c>
      <c r="B113" s="10">
        <f t="shared" si="0"/>
        <v>215.97629650855768</v>
      </c>
      <c r="C113" s="54">
        <v>0.04</v>
      </c>
      <c r="D113" t="s">
        <v>570</v>
      </c>
      <c r="E113" t="s">
        <v>619</v>
      </c>
    </row>
    <row r="114" spans="1:5" x14ac:dyDescent="0.25">
      <c r="A114" t="s">
        <v>584</v>
      </c>
      <c r="B114" s="10">
        <f t="shared" si="0"/>
        <v>115.87128033598776</v>
      </c>
      <c r="C114" s="54">
        <v>0.05</v>
      </c>
      <c r="D114" t="s">
        <v>570</v>
      </c>
      <c r="E114" t="s">
        <v>619</v>
      </c>
    </row>
    <row r="115" spans="1:5" x14ac:dyDescent="0.25">
      <c r="A115" t="s">
        <v>585</v>
      </c>
      <c r="B115" s="10">
        <f t="shared" si="0"/>
        <v>132.86440519323244</v>
      </c>
      <c r="C115" s="54">
        <v>0.05</v>
      </c>
      <c r="D115" t="s">
        <v>570</v>
      </c>
      <c r="E115" t="s">
        <v>619</v>
      </c>
    </row>
    <row r="116" spans="1:5" x14ac:dyDescent="0.25">
      <c r="A116" t="s">
        <v>586</v>
      </c>
      <c r="B116" s="10">
        <f t="shared" si="0"/>
        <v>215.97629650855768</v>
      </c>
      <c r="C116" s="54">
        <v>0.05</v>
      </c>
      <c r="D116" t="s">
        <v>570</v>
      </c>
      <c r="E116" t="s">
        <v>619</v>
      </c>
    </row>
    <row r="117" spans="1:5" x14ac:dyDescent="0.25">
      <c r="A117" t="s">
        <v>584</v>
      </c>
      <c r="B117" s="10">
        <f t="shared" si="0"/>
        <v>78.452526284315553</v>
      </c>
      <c r="C117" s="54">
        <v>0.01</v>
      </c>
      <c r="D117" t="s">
        <v>569</v>
      </c>
      <c r="E117" t="s">
        <v>619</v>
      </c>
    </row>
    <row r="118" spans="1:5" x14ac:dyDescent="0.25">
      <c r="A118" t="s">
        <v>585</v>
      </c>
      <c r="B118" s="10">
        <f t="shared" si="0"/>
        <v>132.86440519323244</v>
      </c>
      <c r="C118" s="54">
        <v>0.01</v>
      </c>
      <c r="D118" t="s">
        <v>569</v>
      </c>
      <c r="E118" t="s">
        <v>619</v>
      </c>
    </row>
    <row r="119" spans="1:5" x14ac:dyDescent="0.25">
      <c r="A119" t="s">
        <v>586</v>
      </c>
      <c r="B119" s="10">
        <f t="shared" si="0"/>
        <v>215.97629650855777</v>
      </c>
      <c r="C119" s="54">
        <v>0.01</v>
      </c>
      <c r="D119" t="s">
        <v>569</v>
      </c>
      <c r="E119" t="s">
        <v>619</v>
      </c>
    </row>
    <row r="120" spans="1:5" x14ac:dyDescent="0.25">
      <c r="A120" t="s">
        <v>589</v>
      </c>
      <c r="B120" s="10">
        <f t="shared" si="0"/>
        <v>128.48918528752063</v>
      </c>
      <c r="C120" s="54">
        <v>0.01</v>
      </c>
      <c r="D120" t="s">
        <v>569</v>
      </c>
      <c r="E120" t="s">
        <v>619</v>
      </c>
    </row>
    <row r="121" spans="1:5" x14ac:dyDescent="0.25">
      <c r="A121" t="s">
        <v>589</v>
      </c>
      <c r="B121" s="10">
        <f t="shared" si="0"/>
        <v>141.34777668258971</v>
      </c>
      <c r="C121" s="54">
        <v>0.02</v>
      </c>
      <c r="D121" t="s">
        <v>569</v>
      </c>
      <c r="E121" t="s">
        <v>619</v>
      </c>
    </row>
    <row r="122" spans="1:5" x14ac:dyDescent="0.25">
      <c r="A122" t="s">
        <v>589</v>
      </c>
      <c r="B122" s="10">
        <f t="shared" si="0"/>
        <v>153.51479355551666</v>
      </c>
      <c r="C122" s="54">
        <v>0.03</v>
      </c>
      <c r="D122" t="s">
        <v>569</v>
      </c>
      <c r="E122" t="s">
        <v>619</v>
      </c>
    </row>
    <row r="123" spans="1:5" x14ac:dyDescent="0.25">
      <c r="A123" t="s">
        <v>589</v>
      </c>
      <c r="B123" s="10">
        <f t="shared" si="0"/>
        <v>165.62306804160991</v>
      </c>
      <c r="C123" s="54">
        <v>0.04</v>
      </c>
      <c r="D123" t="s">
        <v>569</v>
      </c>
      <c r="E123" t="s">
        <v>619</v>
      </c>
    </row>
    <row r="124" spans="1:5" x14ac:dyDescent="0.25">
      <c r="A124" t="s">
        <v>589</v>
      </c>
      <c r="B124" s="10">
        <f t="shared" si="0"/>
        <v>177.79008491453678</v>
      </c>
      <c r="C124" s="54">
        <v>0.05</v>
      </c>
      <c r="D124" t="s">
        <v>569</v>
      </c>
      <c r="E124" t="s">
        <v>619</v>
      </c>
    </row>
    <row r="125" spans="1:5" x14ac:dyDescent="0.25">
      <c r="A125" t="s">
        <v>584</v>
      </c>
      <c r="B125" s="10">
        <f t="shared" si="0"/>
        <v>82.229432152782366</v>
      </c>
      <c r="C125" s="22">
        <v>0.02</v>
      </c>
      <c r="D125" t="s">
        <v>569</v>
      </c>
      <c r="E125" t="s">
        <v>619</v>
      </c>
    </row>
    <row r="126" spans="1:5" x14ac:dyDescent="0.25">
      <c r="A126" t="s">
        <v>585</v>
      </c>
      <c r="B126" s="10">
        <f t="shared" si="0"/>
        <v>132.86440519323244</v>
      </c>
      <c r="C126" s="54">
        <v>0.02</v>
      </c>
      <c r="D126" t="s">
        <v>569</v>
      </c>
      <c r="E126" t="s">
        <v>619</v>
      </c>
    </row>
    <row r="127" spans="1:5" x14ac:dyDescent="0.25">
      <c r="A127" t="s">
        <v>586</v>
      </c>
      <c r="B127" s="10">
        <f t="shared" si="0"/>
        <v>215.97629650855777</v>
      </c>
      <c r="C127" s="54">
        <v>0.02</v>
      </c>
      <c r="D127" t="s">
        <v>569</v>
      </c>
      <c r="E127" t="s">
        <v>619</v>
      </c>
    </row>
    <row r="128" spans="1:5" x14ac:dyDescent="0.25">
      <c r="A128" t="s">
        <v>584</v>
      </c>
      <c r="B128" s="10">
        <f t="shared" si="0"/>
        <v>85.812789386151593</v>
      </c>
      <c r="C128" s="54">
        <v>0.03</v>
      </c>
      <c r="D128" t="s">
        <v>569</v>
      </c>
      <c r="E128" t="s">
        <v>619</v>
      </c>
    </row>
    <row r="129" spans="1:5" x14ac:dyDescent="0.25">
      <c r="A129" t="s">
        <v>585</v>
      </c>
      <c r="B129" s="10">
        <f t="shared" si="0"/>
        <v>132.86440519323244</v>
      </c>
      <c r="C129" s="54">
        <v>0.03</v>
      </c>
      <c r="D129" t="s">
        <v>569</v>
      </c>
      <c r="E129" t="s">
        <v>619</v>
      </c>
    </row>
    <row r="130" spans="1:5" x14ac:dyDescent="0.25">
      <c r="A130" t="s">
        <v>586</v>
      </c>
      <c r="B130" s="10">
        <f t="shared" si="0"/>
        <v>215.97629650855777</v>
      </c>
      <c r="C130" s="54">
        <v>0.03</v>
      </c>
      <c r="D130" t="s">
        <v>569</v>
      </c>
      <c r="E130" t="s">
        <v>619</v>
      </c>
    </row>
    <row r="131" spans="1:5" x14ac:dyDescent="0.25">
      <c r="A131" t="s">
        <v>584</v>
      </c>
      <c r="B131" s="10">
        <f t="shared" si="0"/>
        <v>89.378820134211139</v>
      </c>
      <c r="C131" s="54">
        <v>0.04</v>
      </c>
      <c r="D131" t="s">
        <v>569</v>
      </c>
      <c r="E131" t="s">
        <v>619</v>
      </c>
    </row>
    <row r="132" spans="1:5" x14ac:dyDescent="0.25">
      <c r="A132" t="s">
        <v>585</v>
      </c>
      <c r="B132" s="10">
        <f t="shared" si="0"/>
        <v>132.86440519323244</v>
      </c>
      <c r="C132" s="54">
        <v>0.04</v>
      </c>
      <c r="D132" t="s">
        <v>569</v>
      </c>
      <c r="E132" t="s">
        <v>619</v>
      </c>
    </row>
    <row r="133" spans="1:5" x14ac:dyDescent="0.25">
      <c r="A133" t="s">
        <v>586</v>
      </c>
      <c r="B133" s="10">
        <f t="shared" si="0"/>
        <v>215.97629650855777</v>
      </c>
      <c r="C133" s="54">
        <v>0.04</v>
      </c>
      <c r="D133" t="s">
        <v>569</v>
      </c>
      <c r="E133" t="s">
        <v>619</v>
      </c>
    </row>
    <row r="134" spans="1:5" x14ac:dyDescent="0.25">
      <c r="A134" t="s">
        <v>584</v>
      </c>
      <c r="B134" s="10">
        <f t="shared" si="0"/>
        <v>92.945355841832068</v>
      </c>
      <c r="C134" s="54">
        <v>0.05</v>
      </c>
      <c r="D134" t="s">
        <v>569</v>
      </c>
      <c r="E134" t="s">
        <v>619</v>
      </c>
    </row>
    <row r="135" spans="1:5" x14ac:dyDescent="0.25">
      <c r="A135" t="s">
        <v>585</v>
      </c>
      <c r="B135" s="10">
        <f t="shared" si="0"/>
        <v>132.86440519323244</v>
      </c>
      <c r="C135" s="54">
        <v>0.05</v>
      </c>
      <c r="D135" t="s">
        <v>569</v>
      </c>
      <c r="E135" t="s">
        <v>619</v>
      </c>
    </row>
    <row r="136" spans="1:5" x14ac:dyDescent="0.25">
      <c r="A136" t="s">
        <v>586</v>
      </c>
      <c r="B136" s="10">
        <f t="shared" si="0"/>
        <v>215.97629650855777</v>
      </c>
      <c r="C136" s="54">
        <v>0.05</v>
      </c>
      <c r="D136" t="s">
        <v>569</v>
      </c>
      <c r="E136" t="s">
        <v>619</v>
      </c>
    </row>
    <row r="137" spans="1:5" x14ac:dyDescent="0.25">
      <c r="A137" t="s">
        <v>614</v>
      </c>
      <c r="B137" s="10">
        <f t="shared" si="0"/>
        <v>266.47721930317579</v>
      </c>
      <c r="C137" s="54">
        <v>0.01</v>
      </c>
      <c r="D137" t="s">
        <v>569</v>
      </c>
      <c r="E137" t="s">
        <v>619</v>
      </c>
    </row>
    <row r="138" spans="1:5" x14ac:dyDescent="0.25">
      <c r="A138" t="s">
        <v>614</v>
      </c>
      <c r="B138" s="10">
        <f t="shared" si="0"/>
        <v>266.47721930317579</v>
      </c>
      <c r="C138" s="54">
        <v>0.02</v>
      </c>
      <c r="D138" t="s">
        <v>569</v>
      </c>
      <c r="E138" t="s">
        <v>619</v>
      </c>
    </row>
    <row r="139" spans="1:5" x14ac:dyDescent="0.25">
      <c r="A139" t="s">
        <v>614</v>
      </c>
      <c r="B139" s="10">
        <f t="shared" si="0"/>
        <v>266.47721930317579</v>
      </c>
      <c r="C139" s="54">
        <v>0.03</v>
      </c>
      <c r="D139" t="s">
        <v>569</v>
      </c>
      <c r="E139" t="s">
        <v>619</v>
      </c>
    </row>
    <row r="140" spans="1:5" x14ac:dyDescent="0.25">
      <c r="A140" t="s">
        <v>614</v>
      </c>
      <c r="B140" s="10">
        <f t="shared" si="0"/>
        <v>266.47721930317579</v>
      </c>
      <c r="C140" s="54">
        <v>0.04</v>
      </c>
      <c r="D140" t="s">
        <v>569</v>
      </c>
      <c r="E140" t="s">
        <v>619</v>
      </c>
    </row>
    <row r="141" spans="1:5" x14ac:dyDescent="0.25">
      <c r="A141" t="s">
        <v>614</v>
      </c>
      <c r="B141" s="10">
        <f t="shared" si="0"/>
        <v>266.47721930317579</v>
      </c>
      <c r="C141" s="54">
        <v>0.05</v>
      </c>
      <c r="D141" t="s">
        <v>569</v>
      </c>
      <c r="E141" t="s">
        <v>619</v>
      </c>
    </row>
    <row r="142" spans="1:5" x14ac:dyDescent="0.25">
      <c r="A142" t="s">
        <v>614</v>
      </c>
      <c r="B142" s="10">
        <f t="shared" ref="B142:B151" si="1">G67-B67</f>
        <v>266.47721930317579</v>
      </c>
      <c r="C142" s="54">
        <v>0.01</v>
      </c>
      <c r="D142" t="s">
        <v>570</v>
      </c>
      <c r="E142" t="s">
        <v>619</v>
      </c>
    </row>
    <row r="143" spans="1:5" x14ac:dyDescent="0.25">
      <c r="A143" t="s">
        <v>614</v>
      </c>
      <c r="B143" s="10">
        <f t="shared" si="1"/>
        <v>266.47721930317579</v>
      </c>
      <c r="C143" s="54">
        <v>0.02</v>
      </c>
      <c r="D143" t="s">
        <v>570</v>
      </c>
      <c r="E143" t="s">
        <v>619</v>
      </c>
    </row>
    <row r="144" spans="1:5" x14ac:dyDescent="0.25">
      <c r="A144" t="s">
        <v>614</v>
      </c>
      <c r="B144" s="10">
        <f t="shared" si="1"/>
        <v>266.47721930317579</v>
      </c>
      <c r="C144" s="54">
        <v>0.03</v>
      </c>
      <c r="D144" t="s">
        <v>570</v>
      </c>
      <c r="E144" t="s">
        <v>619</v>
      </c>
    </row>
    <row r="145" spans="1:5" x14ac:dyDescent="0.25">
      <c r="A145" t="s">
        <v>614</v>
      </c>
      <c r="B145" s="10">
        <f t="shared" si="1"/>
        <v>266.47721930317579</v>
      </c>
      <c r="C145" s="54">
        <v>0.04</v>
      </c>
      <c r="D145" t="s">
        <v>570</v>
      </c>
      <c r="E145" t="s">
        <v>619</v>
      </c>
    </row>
    <row r="146" spans="1:5" x14ac:dyDescent="0.25">
      <c r="A146" t="s">
        <v>614</v>
      </c>
      <c r="B146" s="10">
        <f t="shared" si="1"/>
        <v>266.47721930317579</v>
      </c>
      <c r="C146" s="54">
        <v>0.05</v>
      </c>
      <c r="D146" t="s">
        <v>570</v>
      </c>
      <c r="E146" t="s">
        <v>619</v>
      </c>
    </row>
    <row r="147" spans="1:5" x14ac:dyDescent="0.25">
      <c r="A147" t="s">
        <v>614</v>
      </c>
      <c r="B147" s="10">
        <f t="shared" si="1"/>
        <v>266.47721930317601</v>
      </c>
      <c r="C147" s="54">
        <v>0.01</v>
      </c>
      <c r="D147" t="s">
        <v>578</v>
      </c>
      <c r="E147" t="s">
        <v>619</v>
      </c>
    </row>
    <row r="148" spans="1:5" x14ac:dyDescent="0.25">
      <c r="A148" t="s">
        <v>614</v>
      </c>
      <c r="B148" s="10">
        <f t="shared" si="1"/>
        <v>266.47721930317601</v>
      </c>
      <c r="C148" s="54">
        <v>0.02</v>
      </c>
      <c r="D148" t="s">
        <v>578</v>
      </c>
      <c r="E148" t="s">
        <v>619</v>
      </c>
    </row>
    <row r="149" spans="1:5" x14ac:dyDescent="0.25">
      <c r="A149" t="s">
        <v>614</v>
      </c>
      <c r="B149" s="10">
        <f t="shared" si="1"/>
        <v>266.47721930317601</v>
      </c>
      <c r="C149" s="54">
        <v>0.03</v>
      </c>
      <c r="D149" t="s">
        <v>578</v>
      </c>
      <c r="E149" t="s">
        <v>619</v>
      </c>
    </row>
    <row r="150" spans="1:5" x14ac:dyDescent="0.25">
      <c r="A150" t="s">
        <v>614</v>
      </c>
      <c r="B150" s="10">
        <f t="shared" si="1"/>
        <v>266.47721930317601</v>
      </c>
      <c r="C150" s="54">
        <v>0.04</v>
      </c>
      <c r="D150" t="s">
        <v>578</v>
      </c>
      <c r="E150" t="s">
        <v>619</v>
      </c>
    </row>
    <row r="151" spans="1:5" x14ac:dyDescent="0.25">
      <c r="A151" t="s">
        <v>614</v>
      </c>
      <c r="B151" s="10">
        <f t="shared" si="1"/>
        <v>266.47721930317601</v>
      </c>
      <c r="C151" s="54">
        <v>0.05</v>
      </c>
      <c r="D151" t="s">
        <v>578</v>
      </c>
      <c r="E151" t="s">
        <v>619</v>
      </c>
    </row>
    <row r="152" spans="1:5" x14ac:dyDescent="0.25">
      <c r="A152" t="s">
        <v>635</v>
      </c>
      <c r="B152">
        <v>26</v>
      </c>
      <c r="C152" s="54">
        <v>0.01</v>
      </c>
      <c r="D152" t="s">
        <v>569</v>
      </c>
      <c r="E152" t="s">
        <v>618</v>
      </c>
    </row>
    <row r="153" spans="1:5" x14ac:dyDescent="0.25">
      <c r="A153" t="s">
        <v>635</v>
      </c>
      <c r="B153">
        <v>26</v>
      </c>
      <c r="C153" s="54">
        <v>0.02</v>
      </c>
      <c r="D153" t="s">
        <v>569</v>
      </c>
      <c r="E153" t="s">
        <v>618</v>
      </c>
    </row>
    <row r="154" spans="1:5" x14ac:dyDescent="0.25">
      <c r="A154" t="s">
        <v>635</v>
      </c>
      <c r="B154">
        <v>26</v>
      </c>
      <c r="C154" s="54">
        <v>0.03</v>
      </c>
      <c r="D154" t="s">
        <v>569</v>
      </c>
      <c r="E154" t="s">
        <v>618</v>
      </c>
    </row>
    <row r="155" spans="1:5" x14ac:dyDescent="0.25">
      <c r="A155" t="s">
        <v>635</v>
      </c>
      <c r="B155">
        <v>26</v>
      </c>
      <c r="C155" s="54">
        <v>0.04</v>
      </c>
      <c r="D155" t="s">
        <v>569</v>
      </c>
      <c r="E155" t="s">
        <v>618</v>
      </c>
    </row>
    <row r="156" spans="1:5" x14ac:dyDescent="0.25">
      <c r="A156" t="s">
        <v>635</v>
      </c>
      <c r="B156">
        <v>26</v>
      </c>
      <c r="C156" s="54">
        <v>0.05</v>
      </c>
      <c r="D156" t="s">
        <v>569</v>
      </c>
      <c r="E156" t="s">
        <v>618</v>
      </c>
    </row>
    <row r="157" spans="1:5" x14ac:dyDescent="0.25">
      <c r="A157" t="s">
        <v>635</v>
      </c>
      <c r="B157">
        <v>26</v>
      </c>
      <c r="C157" s="54">
        <v>0.01</v>
      </c>
      <c r="D157" t="s">
        <v>570</v>
      </c>
      <c r="E157" t="s">
        <v>618</v>
      </c>
    </row>
    <row r="158" spans="1:5" x14ac:dyDescent="0.25">
      <c r="A158" t="s">
        <v>635</v>
      </c>
      <c r="B158">
        <v>26</v>
      </c>
      <c r="C158" s="54">
        <v>0.02</v>
      </c>
      <c r="D158" t="s">
        <v>570</v>
      </c>
      <c r="E158" t="s">
        <v>618</v>
      </c>
    </row>
    <row r="159" spans="1:5" x14ac:dyDescent="0.25">
      <c r="A159" t="s">
        <v>635</v>
      </c>
      <c r="B159">
        <v>26</v>
      </c>
      <c r="C159" s="54">
        <v>0.03</v>
      </c>
      <c r="D159" t="s">
        <v>570</v>
      </c>
      <c r="E159" t="s">
        <v>618</v>
      </c>
    </row>
    <row r="160" spans="1:5" x14ac:dyDescent="0.25">
      <c r="A160" t="s">
        <v>635</v>
      </c>
      <c r="B160">
        <v>26</v>
      </c>
      <c r="C160" s="54">
        <v>0.04</v>
      </c>
      <c r="D160" t="s">
        <v>570</v>
      </c>
      <c r="E160" t="s">
        <v>618</v>
      </c>
    </row>
    <row r="161" spans="1:5" x14ac:dyDescent="0.25">
      <c r="A161" t="s">
        <v>635</v>
      </c>
      <c r="B161">
        <v>26</v>
      </c>
      <c r="C161" s="54">
        <v>0.05</v>
      </c>
      <c r="D161" t="s">
        <v>570</v>
      </c>
      <c r="E161" t="s">
        <v>618</v>
      </c>
    </row>
    <row r="162" spans="1:5" x14ac:dyDescent="0.25">
      <c r="A162" t="s">
        <v>635</v>
      </c>
      <c r="B162">
        <v>26</v>
      </c>
      <c r="C162" s="54">
        <v>0.01</v>
      </c>
      <c r="D162" t="s">
        <v>578</v>
      </c>
      <c r="E162" t="s">
        <v>618</v>
      </c>
    </row>
    <row r="163" spans="1:5" x14ac:dyDescent="0.25">
      <c r="A163" t="s">
        <v>635</v>
      </c>
      <c r="B163">
        <v>26</v>
      </c>
      <c r="C163" s="54">
        <v>0.02</v>
      </c>
      <c r="D163" t="s">
        <v>578</v>
      </c>
      <c r="E163" t="s">
        <v>618</v>
      </c>
    </row>
    <row r="164" spans="1:5" x14ac:dyDescent="0.25">
      <c r="A164" t="s">
        <v>635</v>
      </c>
      <c r="B164">
        <v>26</v>
      </c>
      <c r="C164" s="54">
        <v>0.03</v>
      </c>
      <c r="D164" t="s">
        <v>578</v>
      </c>
      <c r="E164" t="s">
        <v>618</v>
      </c>
    </row>
    <row r="165" spans="1:5" x14ac:dyDescent="0.25">
      <c r="A165" t="s">
        <v>635</v>
      </c>
      <c r="B165">
        <v>26</v>
      </c>
      <c r="C165" s="54">
        <v>0.04</v>
      </c>
      <c r="D165" t="s">
        <v>578</v>
      </c>
      <c r="E165" t="s">
        <v>618</v>
      </c>
    </row>
    <row r="166" spans="1:5" x14ac:dyDescent="0.25">
      <c r="A166" t="s">
        <v>635</v>
      </c>
      <c r="B166">
        <v>26</v>
      </c>
      <c r="C166" s="54">
        <v>0.05</v>
      </c>
      <c r="D166" t="s">
        <v>578</v>
      </c>
      <c r="E166" t="s">
        <v>618</v>
      </c>
    </row>
    <row r="167" spans="1:5" x14ac:dyDescent="0.25">
      <c r="A167" t="s">
        <v>635</v>
      </c>
      <c r="B167" s="10">
        <f>133*43%/45%</f>
        <v>127.08888888888887</v>
      </c>
      <c r="C167" s="54">
        <v>0.01</v>
      </c>
      <c r="D167" t="s">
        <v>569</v>
      </c>
      <c r="E167" t="s">
        <v>619</v>
      </c>
    </row>
    <row r="168" spans="1:5" x14ac:dyDescent="0.25">
      <c r="A168" t="s">
        <v>635</v>
      </c>
      <c r="B168" s="10">
        <f t="shared" ref="B168:B181" si="2">133*43%/45%</f>
        <v>127.08888888888887</v>
      </c>
      <c r="C168" s="54">
        <v>0.02</v>
      </c>
      <c r="D168" t="s">
        <v>569</v>
      </c>
      <c r="E168" t="s">
        <v>619</v>
      </c>
    </row>
    <row r="169" spans="1:5" x14ac:dyDescent="0.25">
      <c r="A169" t="s">
        <v>635</v>
      </c>
      <c r="B169" s="10">
        <f t="shared" si="2"/>
        <v>127.08888888888887</v>
      </c>
      <c r="C169" s="54">
        <v>0.03</v>
      </c>
      <c r="D169" t="s">
        <v>569</v>
      </c>
      <c r="E169" t="s">
        <v>619</v>
      </c>
    </row>
    <row r="170" spans="1:5" x14ac:dyDescent="0.25">
      <c r="A170" t="s">
        <v>635</v>
      </c>
      <c r="B170" s="10">
        <f t="shared" si="2"/>
        <v>127.08888888888887</v>
      </c>
      <c r="C170" s="54">
        <v>0.04</v>
      </c>
      <c r="D170" t="s">
        <v>569</v>
      </c>
      <c r="E170" t="s">
        <v>619</v>
      </c>
    </row>
    <row r="171" spans="1:5" x14ac:dyDescent="0.25">
      <c r="A171" t="s">
        <v>635</v>
      </c>
      <c r="B171" s="10">
        <f t="shared" si="2"/>
        <v>127.08888888888887</v>
      </c>
      <c r="C171" s="54">
        <v>0.05</v>
      </c>
      <c r="D171" t="s">
        <v>569</v>
      </c>
      <c r="E171" t="s">
        <v>619</v>
      </c>
    </row>
    <row r="172" spans="1:5" x14ac:dyDescent="0.25">
      <c r="A172" t="s">
        <v>635</v>
      </c>
      <c r="B172" s="10">
        <f t="shared" si="2"/>
        <v>127.08888888888887</v>
      </c>
      <c r="C172" s="54">
        <v>0.01</v>
      </c>
      <c r="D172" t="s">
        <v>570</v>
      </c>
      <c r="E172" t="s">
        <v>619</v>
      </c>
    </row>
    <row r="173" spans="1:5" x14ac:dyDescent="0.25">
      <c r="A173" t="s">
        <v>635</v>
      </c>
      <c r="B173" s="10">
        <f t="shared" si="2"/>
        <v>127.08888888888887</v>
      </c>
      <c r="C173" s="54">
        <v>0.02</v>
      </c>
      <c r="D173" t="s">
        <v>570</v>
      </c>
      <c r="E173" t="s">
        <v>619</v>
      </c>
    </row>
    <row r="174" spans="1:5" x14ac:dyDescent="0.25">
      <c r="A174" t="s">
        <v>635</v>
      </c>
      <c r="B174" s="10">
        <f t="shared" si="2"/>
        <v>127.08888888888887</v>
      </c>
      <c r="C174" s="54">
        <v>0.03</v>
      </c>
      <c r="D174" t="s">
        <v>570</v>
      </c>
      <c r="E174" t="s">
        <v>619</v>
      </c>
    </row>
    <row r="175" spans="1:5" x14ac:dyDescent="0.25">
      <c r="A175" t="s">
        <v>635</v>
      </c>
      <c r="B175" s="10">
        <f t="shared" si="2"/>
        <v>127.08888888888887</v>
      </c>
      <c r="C175" s="54">
        <v>0.04</v>
      </c>
      <c r="D175" t="s">
        <v>570</v>
      </c>
      <c r="E175" t="s">
        <v>619</v>
      </c>
    </row>
    <row r="176" spans="1:5" x14ac:dyDescent="0.25">
      <c r="A176" t="s">
        <v>635</v>
      </c>
      <c r="B176" s="10">
        <f t="shared" si="2"/>
        <v>127.08888888888887</v>
      </c>
      <c r="C176" s="54">
        <v>0.05</v>
      </c>
      <c r="D176" t="s">
        <v>570</v>
      </c>
      <c r="E176" t="s">
        <v>619</v>
      </c>
    </row>
    <row r="177" spans="1:5" x14ac:dyDescent="0.25">
      <c r="A177" t="s">
        <v>635</v>
      </c>
      <c r="B177" s="10">
        <f t="shared" si="2"/>
        <v>127.08888888888887</v>
      </c>
      <c r="C177" s="54">
        <v>0.01</v>
      </c>
      <c r="D177" t="s">
        <v>578</v>
      </c>
      <c r="E177" t="s">
        <v>619</v>
      </c>
    </row>
    <row r="178" spans="1:5" x14ac:dyDescent="0.25">
      <c r="A178" t="s">
        <v>635</v>
      </c>
      <c r="B178" s="10">
        <f t="shared" si="2"/>
        <v>127.08888888888887</v>
      </c>
      <c r="C178" s="54">
        <v>0.02</v>
      </c>
      <c r="D178" t="s">
        <v>578</v>
      </c>
      <c r="E178" t="s">
        <v>619</v>
      </c>
    </row>
    <row r="179" spans="1:5" x14ac:dyDescent="0.25">
      <c r="A179" t="s">
        <v>635</v>
      </c>
      <c r="B179" s="10">
        <f t="shared" si="2"/>
        <v>127.08888888888887</v>
      </c>
      <c r="C179" s="54">
        <v>0.03</v>
      </c>
      <c r="D179" t="s">
        <v>578</v>
      </c>
      <c r="E179" t="s">
        <v>619</v>
      </c>
    </row>
    <row r="180" spans="1:5" x14ac:dyDescent="0.25">
      <c r="A180" t="s">
        <v>635</v>
      </c>
      <c r="B180" s="10">
        <f t="shared" si="2"/>
        <v>127.08888888888887</v>
      </c>
      <c r="C180" s="54">
        <v>0.04</v>
      </c>
      <c r="D180" t="s">
        <v>578</v>
      </c>
      <c r="E180" t="s">
        <v>619</v>
      </c>
    </row>
    <row r="181" spans="1:5" x14ac:dyDescent="0.25">
      <c r="A181" t="s">
        <v>635</v>
      </c>
      <c r="B181" s="10">
        <f t="shared" si="2"/>
        <v>127.08888888888887</v>
      </c>
      <c r="C181" s="54">
        <v>0.05</v>
      </c>
      <c r="D181" t="s">
        <v>578</v>
      </c>
      <c r="E181" t="s">
        <v>619</v>
      </c>
    </row>
    <row r="182" spans="1:5" x14ac:dyDescent="0.25">
      <c r="A182" t="s">
        <v>636</v>
      </c>
      <c r="B182">
        <v>26</v>
      </c>
      <c r="C182">
        <v>0.01</v>
      </c>
      <c r="D182" t="s">
        <v>569</v>
      </c>
      <c r="E182" t="s">
        <v>618</v>
      </c>
    </row>
    <row r="183" spans="1:5" x14ac:dyDescent="0.25">
      <c r="A183" t="s">
        <v>636</v>
      </c>
      <c r="B183">
        <v>26</v>
      </c>
      <c r="C183">
        <v>0.02</v>
      </c>
      <c r="D183" t="s">
        <v>569</v>
      </c>
      <c r="E183" t="s">
        <v>618</v>
      </c>
    </row>
    <row r="184" spans="1:5" x14ac:dyDescent="0.25">
      <c r="A184" t="s">
        <v>636</v>
      </c>
      <c r="B184">
        <v>26</v>
      </c>
      <c r="C184">
        <v>0.03</v>
      </c>
      <c r="D184" t="s">
        <v>569</v>
      </c>
      <c r="E184" t="s">
        <v>618</v>
      </c>
    </row>
    <row r="185" spans="1:5" x14ac:dyDescent="0.25">
      <c r="A185" t="s">
        <v>636</v>
      </c>
      <c r="B185">
        <v>26</v>
      </c>
      <c r="C185">
        <v>0.04</v>
      </c>
      <c r="D185" t="s">
        <v>569</v>
      </c>
      <c r="E185" t="s">
        <v>618</v>
      </c>
    </row>
    <row r="186" spans="1:5" x14ac:dyDescent="0.25">
      <c r="A186" t="s">
        <v>636</v>
      </c>
      <c r="B186">
        <v>26</v>
      </c>
      <c r="C186">
        <v>0.05</v>
      </c>
      <c r="D186" t="s">
        <v>569</v>
      </c>
      <c r="E186" t="s">
        <v>618</v>
      </c>
    </row>
    <row r="187" spans="1:5" x14ac:dyDescent="0.25">
      <c r="A187" t="s">
        <v>636</v>
      </c>
      <c r="B187">
        <v>26</v>
      </c>
      <c r="C187">
        <v>0.01</v>
      </c>
      <c r="D187" t="s">
        <v>570</v>
      </c>
      <c r="E187" t="s">
        <v>618</v>
      </c>
    </row>
    <row r="188" spans="1:5" x14ac:dyDescent="0.25">
      <c r="A188" t="s">
        <v>636</v>
      </c>
      <c r="B188">
        <v>26</v>
      </c>
      <c r="C188">
        <v>0.02</v>
      </c>
      <c r="D188" t="s">
        <v>570</v>
      </c>
      <c r="E188" t="s">
        <v>618</v>
      </c>
    </row>
    <row r="189" spans="1:5" x14ac:dyDescent="0.25">
      <c r="A189" t="s">
        <v>636</v>
      </c>
      <c r="B189">
        <v>26</v>
      </c>
      <c r="C189">
        <v>0.03</v>
      </c>
      <c r="D189" t="s">
        <v>570</v>
      </c>
      <c r="E189" t="s">
        <v>618</v>
      </c>
    </row>
    <row r="190" spans="1:5" x14ac:dyDescent="0.25">
      <c r="A190" t="s">
        <v>636</v>
      </c>
      <c r="B190">
        <v>26</v>
      </c>
      <c r="C190">
        <v>0.04</v>
      </c>
      <c r="D190" t="s">
        <v>570</v>
      </c>
      <c r="E190" t="s">
        <v>618</v>
      </c>
    </row>
    <row r="191" spans="1:5" x14ac:dyDescent="0.25">
      <c r="A191" t="s">
        <v>636</v>
      </c>
      <c r="B191">
        <v>26</v>
      </c>
      <c r="C191">
        <v>0.05</v>
      </c>
      <c r="D191" t="s">
        <v>570</v>
      </c>
      <c r="E191" t="s">
        <v>618</v>
      </c>
    </row>
    <row r="192" spans="1:5" x14ac:dyDescent="0.25">
      <c r="A192" t="s">
        <v>636</v>
      </c>
      <c r="B192">
        <v>26</v>
      </c>
      <c r="C192">
        <v>0.01</v>
      </c>
      <c r="D192" t="s">
        <v>578</v>
      </c>
      <c r="E192" t="s">
        <v>618</v>
      </c>
    </row>
    <row r="193" spans="1:5" x14ac:dyDescent="0.25">
      <c r="A193" t="s">
        <v>636</v>
      </c>
      <c r="B193">
        <v>26</v>
      </c>
      <c r="C193">
        <v>0.02</v>
      </c>
      <c r="D193" t="s">
        <v>578</v>
      </c>
      <c r="E193" t="s">
        <v>618</v>
      </c>
    </row>
    <row r="194" spans="1:5" x14ac:dyDescent="0.25">
      <c r="A194" t="s">
        <v>636</v>
      </c>
      <c r="B194">
        <v>26</v>
      </c>
      <c r="C194">
        <v>0.03</v>
      </c>
      <c r="D194" t="s">
        <v>578</v>
      </c>
      <c r="E194" t="s">
        <v>618</v>
      </c>
    </row>
    <row r="195" spans="1:5" x14ac:dyDescent="0.25">
      <c r="A195" t="s">
        <v>636</v>
      </c>
      <c r="B195">
        <v>26</v>
      </c>
      <c r="C195">
        <v>0.04</v>
      </c>
      <c r="D195" t="s">
        <v>578</v>
      </c>
      <c r="E195" t="s">
        <v>618</v>
      </c>
    </row>
    <row r="196" spans="1:5" x14ac:dyDescent="0.25">
      <c r="A196" t="s">
        <v>636</v>
      </c>
      <c r="B196">
        <v>26</v>
      </c>
      <c r="C196">
        <v>0.05</v>
      </c>
      <c r="D196" t="s">
        <v>578</v>
      </c>
      <c r="E196" t="s">
        <v>618</v>
      </c>
    </row>
    <row r="197" spans="1:5" x14ac:dyDescent="0.25">
      <c r="A197" t="s">
        <v>636</v>
      </c>
      <c r="B197" s="10">
        <f>133*43%/50%</f>
        <v>114.38</v>
      </c>
      <c r="C197">
        <v>0.01</v>
      </c>
      <c r="D197" t="s">
        <v>569</v>
      </c>
      <c r="E197" t="s">
        <v>619</v>
      </c>
    </row>
    <row r="198" spans="1:5" x14ac:dyDescent="0.25">
      <c r="A198" t="s">
        <v>636</v>
      </c>
      <c r="B198" s="10">
        <f t="shared" ref="B198:B211" si="3">133*43%/50%</f>
        <v>114.38</v>
      </c>
      <c r="C198">
        <v>0.02</v>
      </c>
      <c r="D198" t="s">
        <v>569</v>
      </c>
      <c r="E198" t="s">
        <v>619</v>
      </c>
    </row>
    <row r="199" spans="1:5" x14ac:dyDescent="0.25">
      <c r="A199" t="s">
        <v>636</v>
      </c>
      <c r="B199" s="10">
        <f t="shared" si="3"/>
        <v>114.38</v>
      </c>
      <c r="C199">
        <v>0.03</v>
      </c>
      <c r="D199" t="s">
        <v>569</v>
      </c>
      <c r="E199" t="s">
        <v>619</v>
      </c>
    </row>
    <row r="200" spans="1:5" x14ac:dyDescent="0.25">
      <c r="A200" t="s">
        <v>636</v>
      </c>
      <c r="B200" s="10">
        <f t="shared" si="3"/>
        <v>114.38</v>
      </c>
      <c r="C200">
        <v>0.04</v>
      </c>
      <c r="D200" t="s">
        <v>569</v>
      </c>
      <c r="E200" t="s">
        <v>619</v>
      </c>
    </row>
    <row r="201" spans="1:5" x14ac:dyDescent="0.25">
      <c r="A201" t="s">
        <v>636</v>
      </c>
      <c r="B201" s="10">
        <f t="shared" si="3"/>
        <v>114.38</v>
      </c>
      <c r="C201">
        <v>0.05</v>
      </c>
      <c r="D201" t="s">
        <v>569</v>
      </c>
      <c r="E201" t="s">
        <v>619</v>
      </c>
    </row>
    <row r="202" spans="1:5" x14ac:dyDescent="0.25">
      <c r="A202" t="s">
        <v>636</v>
      </c>
      <c r="B202" s="10">
        <f t="shared" si="3"/>
        <v>114.38</v>
      </c>
      <c r="C202">
        <v>0.01</v>
      </c>
      <c r="D202" t="s">
        <v>570</v>
      </c>
      <c r="E202" t="s">
        <v>619</v>
      </c>
    </row>
    <row r="203" spans="1:5" x14ac:dyDescent="0.25">
      <c r="A203" t="s">
        <v>636</v>
      </c>
      <c r="B203" s="10">
        <f t="shared" si="3"/>
        <v>114.38</v>
      </c>
      <c r="C203">
        <v>0.02</v>
      </c>
      <c r="D203" t="s">
        <v>570</v>
      </c>
      <c r="E203" t="s">
        <v>619</v>
      </c>
    </row>
    <row r="204" spans="1:5" x14ac:dyDescent="0.25">
      <c r="A204" t="s">
        <v>636</v>
      </c>
      <c r="B204" s="10">
        <f t="shared" si="3"/>
        <v>114.38</v>
      </c>
      <c r="C204">
        <v>0.03</v>
      </c>
      <c r="D204" t="s">
        <v>570</v>
      </c>
      <c r="E204" t="s">
        <v>619</v>
      </c>
    </row>
    <row r="205" spans="1:5" x14ac:dyDescent="0.25">
      <c r="A205" t="s">
        <v>636</v>
      </c>
      <c r="B205" s="10">
        <f t="shared" si="3"/>
        <v>114.38</v>
      </c>
      <c r="C205">
        <v>0.04</v>
      </c>
      <c r="D205" t="s">
        <v>570</v>
      </c>
      <c r="E205" t="s">
        <v>619</v>
      </c>
    </row>
    <row r="206" spans="1:5" x14ac:dyDescent="0.25">
      <c r="A206" t="s">
        <v>636</v>
      </c>
      <c r="B206" s="10">
        <f t="shared" si="3"/>
        <v>114.38</v>
      </c>
      <c r="C206">
        <v>0.05</v>
      </c>
      <c r="D206" t="s">
        <v>570</v>
      </c>
      <c r="E206" t="s">
        <v>619</v>
      </c>
    </row>
    <row r="207" spans="1:5" x14ac:dyDescent="0.25">
      <c r="A207" t="s">
        <v>636</v>
      </c>
      <c r="B207" s="10">
        <f t="shared" si="3"/>
        <v>114.38</v>
      </c>
      <c r="C207">
        <v>0.01</v>
      </c>
      <c r="D207" t="s">
        <v>578</v>
      </c>
      <c r="E207" t="s">
        <v>619</v>
      </c>
    </row>
    <row r="208" spans="1:5" x14ac:dyDescent="0.25">
      <c r="A208" t="s">
        <v>636</v>
      </c>
      <c r="B208" s="10">
        <f t="shared" si="3"/>
        <v>114.38</v>
      </c>
      <c r="C208">
        <v>0.02</v>
      </c>
      <c r="D208" t="s">
        <v>578</v>
      </c>
      <c r="E208" t="s">
        <v>619</v>
      </c>
    </row>
    <row r="209" spans="1:5" x14ac:dyDescent="0.25">
      <c r="A209" t="s">
        <v>636</v>
      </c>
      <c r="B209" s="10">
        <f t="shared" si="3"/>
        <v>114.38</v>
      </c>
      <c r="C209">
        <v>0.03</v>
      </c>
      <c r="D209" t="s">
        <v>578</v>
      </c>
      <c r="E209" t="s">
        <v>619</v>
      </c>
    </row>
    <row r="210" spans="1:5" x14ac:dyDescent="0.25">
      <c r="A210" t="s">
        <v>636</v>
      </c>
      <c r="B210" s="10">
        <f t="shared" si="3"/>
        <v>114.38</v>
      </c>
      <c r="C210">
        <v>0.04</v>
      </c>
      <c r="D210" t="s">
        <v>578</v>
      </c>
      <c r="E210" t="s">
        <v>619</v>
      </c>
    </row>
    <row r="211" spans="1:5" x14ac:dyDescent="0.25">
      <c r="A211" t="s">
        <v>636</v>
      </c>
      <c r="B211" s="10">
        <f t="shared" si="3"/>
        <v>114.38</v>
      </c>
      <c r="C211">
        <v>0.05</v>
      </c>
      <c r="D211" t="s">
        <v>578</v>
      </c>
      <c r="E211" t="s">
        <v>619</v>
      </c>
    </row>
  </sheetData>
  <phoneticPr fontId="6"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9756C-E55C-4AA3-BC72-D2C5B09B3313}">
  <sheetPr>
    <tabColor theme="7"/>
  </sheetPr>
  <dimension ref="A1:H13"/>
  <sheetViews>
    <sheetView workbookViewId="0">
      <selection activeCell="C8" sqref="C8:C13"/>
    </sheetView>
  </sheetViews>
  <sheetFormatPr defaultRowHeight="15" x14ac:dyDescent="0.25"/>
  <cols>
    <col min="1" max="1" width="22.7109375" customWidth="1"/>
    <col min="2" max="2" width="18.85546875" customWidth="1"/>
    <col min="3" max="5" width="14.28515625" customWidth="1"/>
    <col min="6" max="7" width="20.42578125" customWidth="1"/>
    <col min="11" max="11" width="14.140625" customWidth="1"/>
    <col min="12" max="12" width="12.28515625" customWidth="1"/>
    <col min="14" max="14" width="16.28515625" customWidth="1"/>
    <col min="15" max="15" width="15.42578125" customWidth="1"/>
    <col min="16" max="16" width="15.5703125" customWidth="1"/>
  </cols>
  <sheetData>
    <row r="1" spans="1:8" x14ac:dyDescent="0.25">
      <c r="A1" s="3" t="s">
        <v>492</v>
      </c>
      <c r="B1" t="s">
        <v>587</v>
      </c>
      <c r="C1" t="s">
        <v>603</v>
      </c>
      <c r="D1" t="s">
        <v>621</v>
      </c>
    </row>
    <row r="2" spans="1:8" x14ac:dyDescent="0.25">
      <c r="A2" t="s">
        <v>255</v>
      </c>
      <c r="B2">
        <v>35</v>
      </c>
      <c r="C2" t="s">
        <v>148</v>
      </c>
      <c r="D2" t="s">
        <v>618</v>
      </c>
      <c r="H2" s="22"/>
    </row>
    <row r="3" spans="1:8" x14ac:dyDescent="0.25">
      <c r="A3" t="s">
        <v>254</v>
      </c>
      <c r="B3">
        <v>26</v>
      </c>
      <c r="C3" t="s">
        <v>148</v>
      </c>
      <c r="D3" t="s">
        <v>618</v>
      </c>
      <c r="H3" s="22"/>
    </row>
    <row r="4" spans="1:8" x14ac:dyDescent="0.25">
      <c r="A4" t="s">
        <v>308</v>
      </c>
      <c r="B4">
        <v>25</v>
      </c>
      <c r="C4" t="s">
        <v>148</v>
      </c>
      <c r="D4" t="s">
        <v>618</v>
      </c>
      <c r="H4" s="22"/>
    </row>
    <row r="5" spans="1:8" x14ac:dyDescent="0.25">
      <c r="A5" t="s">
        <v>255</v>
      </c>
      <c r="B5" s="10">
        <v>106.16842976756683</v>
      </c>
      <c r="C5" t="s">
        <v>148</v>
      </c>
      <c r="D5" t="s">
        <v>619</v>
      </c>
    </row>
    <row r="6" spans="1:8" x14ac:dyDescent="0.25">
      <c r="A6" t="s">
        <v>254</v>
      </c>
      <c r="B6" s="10">
        <v>132.86440519323244</v>
      </c>
      <c r="C6" t="s">
        <v>148</v>
      </c>
      <c r="D6" t="s">
        <v>619</v>
      </c>
    </row>
    <row r="7" spans="1:8" x14ac:dyDescent="0.25">
      <c r="A7" t="s">
        <v>308</v>
      </c>
      <c r="B7" s="10">
        <v>215.97629650855765</v>
      </c>
      <c r="C7" t="s">
        <v>148</v>
      </c>
      <c r="D7" t="s">
        <v>619</v>
      </c>
    </row>
    <row r="8" spans="1:8" x14ac:dyDescent="0.25">
      <c r="A8" t="s">
        <v>255</v>
      </c>
      <c r="B8">
        <v>46</v>
      </c>
      <c r="C8" s="3" t="s">
        <v>9</v>
      </c>
      <c r="D8" t="s">
        <v>618</v>
      </c>
    </row>
    <row r="9" spans="1:8" x14ac:dyDescent="0.25">
      <c r="A9" t="s">
        <v>254</v>
      </c>
      <c r="B9">
        <v>34</v>
      </c>
      <c r="C9" s="3" t="s">
        <v>9</v>
      </c>
      <c r="D9" t="s">
        <v>618</v>
      </c>
    </row>
    <row r="10" spans="1:8" x14ac:dyDescent="0.25">
      <c r="A10" t="s">
        <v>308</v>
      </c>
      <c r="B10">
        <v>33</v>
      </c>
      <c r="C10" s="3" t="s">
        <v>9</v>
      </c>
      <c r="D10" t="s">
        <v>618</v>
      </c>
    </row>
    <row r="11" spans="1:8" x14ac:dyDescent="0.25">
      <c r="A11" t="s">
        <v>255</v>
      </c>
      <c r="B11">
        <v>126.34140329958774</v>
      </c>
      <c r="C11" s="3" t="s">
        <v>9</v>
      </c>
      <c r="D11" t="s">
        <v>619</v>
      </c>
    </row>
    <row r="12" spans="1:8" x14ac:dyDescent="0.25">
      <c r="A12" t="s">
        <v>254</v>
      </c>
      <c r="B12">
        <v>132.56876206350796</v>
      </c>
      <c r="C12" s="3" t="s">
        <v>9</v>
      </c>
      <c r="D12" t="s">
        <v>619</v>
      </c>
    </row>
    <row r="13" spans="1:8" x14ac:dyDescent="0.25">
      <c r="A13" t="s">
        <v>308</v>
      </c>
      <c r="B13">
        <v>193.82009209650417</v>
      </c>
      <c r="C13" s="3" t="s">
        <v>9</v>
      </c>
      <c r="D13" t="s">
        <v>619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F9E74-FF9B-4CEB-8DF2-5F35A9BF3F9E}">
  <sheetPr>
    <tabColor theme="7"/>
  </sheetPr>
  <dimension ref="A1:X58"/>
  <sheetViews>
    <sheetView topLeftCell="H10" workbookViewId="0">
      <selection activeCell="K29" sqref="K29:O58"/>
    </sheetView>
  </sheetViews>
  <sheetFormatPr defaultRowHeight="15" x14ac:dyDescent="0.25"/>
  <cols>
    <col min="1" max="1" width="15.5703125" customWidth="1"/>
    <col min="2" max="2" width="18.42578125" customWidth="1"/>
    <col min="3" max="3" width="16.85546875" customWidth="1"/>
    <col min="4" max="4" width="32.85546875" customWidth="1"/>
    <col min="5" max="5" width="26.5703125" customWidth="1"/>
    <col min="6" max="6" width="27.5703125" customWidth="1"/>
    <col min="7" max="7" width="39.7109375" customWidth="1"/>
    <col min="8" max="8" width="41.7109375" customWidth="1"/>
    <col min="9" max="9" width="17.85546875" customWidth="1"/>
    <col min="11" max="11" width="17.7109375" bestFit="1" customWidth="1"/>
    <col min="12" max="12" width="13.5703125" customWidth="1"/>
    <col min="13" max="13" width="41.85546875" customWidth="1"/>
    <col min="14" max="14" width="43.7109375" customWidth="1"/>
    <col min="15" max="15" width="32.140625" customWidth="1"/>
    <col min="16" max="16" width="39.42578125" customWidth="1"/>
    <col min="17" max="18" width="38" customWidth="1"/>
    <col min="19" max="19" width="26.7109375" customWidth="1"/>
    <col min="20" max="20" width="42.140625" customWidth="1"/>
    <col min="21" max="21" width="37" customWidth="1"/>
    <col min="22" max="22" width="20.85546875" customWidth="1"/>
    <col min="24" max="24" width="16.28515625" customWidth="1"/>
  </cols>
  <sheetData>
    <row r="1" spans="1:24" x14ac:dyDescent="0.25">
      <c r="A1" t="s">
        <v>603</v>
      </c>
      <c r="B1" t="s">
        <v>588</v>
      </c>
      <c r="C1" t="s">
        <v>600</v>
      </c>
      <c r="D1" t="s">
        <v>604</v>
      </c>
      <c r="E1" t="s">
        <v>608</v>
      </c>
      <c r="F1" t="s">
        <v>606</v>
      </c>
      <c r="G1" t="s">
        <v>610</v>
      </c>
      <c r="H1" t="s">
        <v>609</v>
      </c>
      <c r="K1" t="s">
        <v>603</v>
      </c>
      <c r="L1" t="s">
        <v>600</v>
      </c>
      <c r="M1" t="s">
        <v>622</v>
      </c>
      <c r="N1" t="s">
        <v>608</v>
      </c>
      <c r="O1" t="s">
        <v>625</v>
      </c>
      <c r="P1" t="s">
        <v>627</v>
      </c>
      <c r="Q1" t="s">
        <v>611</v>
      </c>
      <c r="R1" t="s">
        <v>623</v>
      </c>
      <c r="S1" t="s">
        <v>613</v>
      </c>
      <c r="T1" t="s">
        <v>624</v>
      </c>
      <c r="U1" t="s">
        <v>630</v>
      </c>
      <c r="X1" t="s">
        <v>626</v>
      </c>
    </row>
    <row r="2" spans="1:24" x14ac:dyDescent="0.25">
      <c r="A2" t="s">
        <v>148</v>
      </c>
      <c r="B2" s="54">
        <v>0.01</v>
      </c>
      <c r="C2" t="s">
        <v>605</v>
      </c>
      <c r="D2" s="79">
        <v>1.4649211782616958</v>
      </c>
      <c r="E2" s="79">
        <v>210.5390613670283</v>
      </c>
      <c r="F2" s="99">
        <v>148.33494232995815</v>
      </c>
      <c r="G2" s="99">
        <v>0.4579644648468304</v>
      </c>
      <c r="H2" s="54">
        <f>(G2-$G$2)/$G$2</f>
        <v>0</v>
      </c>
      <c r="K2" t="s">
        <v>148</v>
      </c>
      <c r="L2" t="s">
        <v>578</v>
      </c>
      <c r="M2" s="10">
        <f>N2</f>
        <v>210.5390613670283</v>
      </c>
      <c r="N2" s="10">
        <v>210.5390613670283</v>
      </c>
      <c r="O2" s="79">
        <v>1723.4366803078776</v>
      </c>
      <c r="P2" s="79">
        <f>O2</f>
        <v>1723.4366803078776</v>
      </c>
      <c r="Q2" s="99">
        <v>148.33494232995815</v>
      </c>
      <c r="R2" s="79">
        <f>Q2</f>
        <v>148.33494232995815</v>
      </c>
      <c r="S2" t="s">
        <v>615</v>
      </c>
      <c r="T2" s="54">
        <f>P2/VLOOKUP($K2,$W$2:$X$4,2,FALSE)</f>
        <v>0.41250279566966913</v>
      </c>
      <c r="U2" s="69">
        <f>M2/US_Results!$BM$60</f>
        <v>5.0830290045154099E-3</v>
      </c>
      <c r="W2" t="s">
        <v>148</v>
      </c>
      <c r="X2">
        <v>4178</v>
      </c>
    </row>
    <row r="3" spans="1:24" x14ac:dyDescent="0.25">
      <c r="A3" t="s">
        <v>148</v>
      </c>
      <c r="B3" s="54">
        <v>0.02</v>
      </c>
      <c r="C3" t="s">
        <v>605</v>
      </c>
      <c r="G3" s="99">
        <v>0.32971630148101516</v>
      </c>
      <c r="H3" s="54">
        <f>(G3-$G$2)/$G$2</f>
        <v>-0.28003955155933069</v>
      </c>
      <c r="K3" t="s">
        <v>9</v>
      </c>
      <c r="L3" t="s">
        <v>578</v>
      </c>
      <c r="M3" s="10">
        <f>N3</f>
        <v>-81.157934559380777</v>
      </c>
      <c r="N3" s="10">
        <v>-81.157934559380777</v>
      </c>
      <c r="O3" s="79">
        <v>1392.081513290711</v>
      </c>
      <c r="P3" s="79">
        <f>O3</f>
        <v>1392.081513290711</v>
      </c>
      <c r="Q3" s="99">
        <v>304.22553216538972</v>
      </c>
      <c r="R3" s="79">
        <f>Q3</f>
        <v>304.22553216538972</v>
      </c>
      <c r="S3" t="s">
        <v>615</v>
      </c>
      <c r="T3" s="54">
        <f t="shared" ref="T3:T19" si="0">P3/VLOOKUP($K3,$W$2:$X$4,2,FALSE)</f>
        <v>0.15552245707638376</v>
      </c>
      <c r="U3" s="69">
        <f>M3/US_Results!$BM$60</f>
        <v>-1.9593900183336741E-3</v>
      </c>
      <c r="W3" t="s">
        <v>9</v>
      </c>
      <c r="X3">
        <v>8951</v>
      </c>
    </row>
    <row r="4" spans="1:24" x14ac:dyDescent="0.25">
      <c r="A4" t="s">
        <v>148</v>
      </c>
      <c r="B4" s="54">
        <v>0.03</v>
      </c>
      <c r="C4" t="s">
        <v>605</v>
      </c>
      <c r="G4" s="99">
        <v>0.20803468055951502</v>
      </c>
      <c r="H4" s="54">
        <f>(G4-$G$2)/$G$2</f>
        <v>-0.54574056170691376</v>
      </c>
      <c r="K4" t="s">
        <v>144</v>
      </c>
      <c r="L4" t="s">
        <v>578</v>
      </c>
      <c r="M4" s="10">
        <f>N4</f>
        <v>-58.531639600723771</v>
      </c>
      <c r="N4" s="10">
        <v>-58.531639600723771</v>
      </c>
      <c r="O4" s="79">
        <v>170</v>
      </c>
      <c r="P4" s="79">
        <f>O4</f>
        <v>170</v>
      </c>
      <c r="Q4" s="79">
        <v>485.71850040102828</v>
      </c>
      <c r="R4" s="79">
        <f>Q4</f>
        <v>485.71850040102828</v>
      </c>
      <c r="S4" t="s">
        <v>615</v>
      </c>
      <c r="T4" s="54">
        <f t="shared" si="0"/>
        <v>9.3715545755237051E-2</v>
      </c>
      <c r="U4" s="69">
        <f>M4/US_Results!$BM$60</f>
        <v>-1.4131250507176188E-3</v>
      </c>
      <c r="W4" t="s">
        <v>144</v>
      </c>
      <c r="X4">
        <v>1814</v>
      </c>
    </row>
    <row r="5" spans="1:24" x14ac:dyDescent="0.25">
      <c r="A5" t="s">
        <v>148</v>
      </c>
      <c r="B5" s="54">
        <v>0.04</v>
      </c>
      <c r="C5" t="s">
        <v>605</v>
      </c>
      <c r="G5" s="99">
        <v>8.6944259600846507E-2</v>
      </c>
      <c r="H5" s="54">
        <f>(G5-$G$2)/$G$2</f>
        <v>-0.81015064208109322</v>
      </c>
      <c r="K5" t="s">
        <v>148</v>
      </c>
      <c r="L5" t="s">
        <v>570</v>
      </c>
      <c r="M5" s="10">
        <f>N5/5</f>
        <v>245.28928436047144</v>
      </c>
      <c r="N5" s="10">
        <v>1226.4464218023572</v>
      </c>
      <c r="O5" s="79">
        <v>8121.1292545290253</v>
      </c>
      <c r="P5" s="79">
        <f>O5/5</f>
        <v>1624.2258509058051</v>
      </c>
      <c r="Q5" s="99">
        <v>933.32994317784926</v>
      </c>
      <c r="R5" s="79">
        <f>Q5/5</f>
        <v>186.66598863556985</v>
      </c>
      <c r="S5" t="s">
        <v>615</v>
      </c>
      <c r="T5" s="54">
        <f t="shared" si="0"/>
        <v>0.38875678576012568</v>
      </c>
      <c r="U5" s="69">
        <f>M5/US_Results!$BM$60</f>
        <v>5.9220010709915847E-3</v>
      </c>
      <c r="W5" t="s">
        <v>629</v>
      </c>
    </row>
    <row r="6" spans="1:24" x14ac:dyDescent="0.25">
      <c r="A6" t="s">
        <v>148</v>
      </c>
      <c r="B6" s="54">
        <v>0.05</v>
      </c>
      <c r="C6" t="s">
        <v>605</v>
      </c>
      <c r="G6" s="99">
        <v>-3.4167275642207784E-2</v>
      </c>
      <c r="H6" s="54">
        <f>(G6-$G$2)/$G$2</f>
        <v>-1.0746068270900349</v>
      </c>
      <c r="K6" t="s">
        <v>9</v>
      </c>
      <c r="L6" t="s">
        <v>570</v>
      </c>
      <c r="M6" s="10">
        <f>N6/5</f>
        <v>-8.1603713716146906</v>
      </c>
      <c r="N6" s="10">
        <v>-40.80185685807345</v>
      </c>
      <c r="O6" s="79">
        <v>6626.3080032637872</v>
      </c>
      <c r="P6" s="79">
        <f t="shared" ref="P6:R7" si="1">O6/5</f>
        <v>1325.2616006527574</v>
      </c>
      <c r="Q6" s="79">
        <v>1779.0651659218779</v>
      </c>
      <c r="R6" s="79">
        <f t="shared" si="1"/>
        <v>355.81303318437557</v>
      </c>
      <c r="S6" t="s">
        <v>615</v>
      </c>
      <c r="T6" s="54">
        <f t="shared" si="0"/>
        <v>0.14805737913671738</v>
      </c>
      <c r="U6" s="69">
        <f>M6/US_Results!$BM$60</f>
        <v>-1.9701524315824941E-4</v>
      </c>
    </row>
    <row r="7" spans="1:24" x14ac:dyDescent="0.25">
      <c r="A7" t="s">
        <v>148</v>
      </c>
      <c r="B7" s="22">
        <v>0.01</v>
      </c>
      <c r="C7" t="s">
        <v>570</v>
      </c>
      <c r="D7" s="79">
        <v>6.9029598663496694</v>
      </c>
      <c r="E7" s="79">
        <v>1226.4464218023572</v>
      </c>
      <c r="F7" s="99">
        <v>933.32994317784926</v>
      </c>
      <c r="G7" s="99">
        <v>3.0701780912283141</v>
      </c>
      <c r="H7" s="54">
        <f>(G7-$G$7)/$G$7</f>
        <v>0</v>
      </c>
      <c r="K7" t="s">
        <v>144</v>
      </c>
      <c r="L7" t="s">
        <v>570</v>
      </c>
      <c r="M7" s="10">
        <f>N7/5</f>
        <v>-51.982721205128328</v>
      </c>
      <c r="N7" s="10">
        <v>-259.91360602564163</v>
      </c>
      <c r="O7" s="79">
        <v>798.78474113246273</v>
      </c>
      <c r="P7" s="79">
        <f t="shared" si="1"/>
        <v>159.75694822649254</v>
      </c>
      <c r="Q7" s="79">
        <v>2412.7019455557302</v>
      </c>
      <c r="R7" s="79">
        <f t="shared" si="1"/>
        <v>482.54038911114606</v>
      </c>
      <c r="S7" t="s">
        <v>615</v>
      </c>
      <c r="T7" s="54">
        <f t="shared" si="0"/>
        <v>8.8068879948452333E-2</v>
      </c>
      <c r="U7" s="69">
        <f>M7/US_Results!$BM$60</f>
        <v>-1.2550149977095203E-3</v>
      </c>
    </row>
    <row r="8" spans="1:24" x14ac:dyDescent="0.25">
      <c r="A8" t="s">
        <v>148</v>
      </c>
      <c r="B8" s="22">
        <v>0.02</v>
      </c>
      <c r="C8" t="s">
        <v>570</v>
      </c>
      <c r="G8" s="99">
        <v>2.5240916717749791</v>
      </c>
      <c r="H8" s="54">
        <f>(G8-$G$7)/$G$7</f>
        <v>-0.17786799437255357</v>
      </c>
      <c r="K8" t="s">
        <v>148</v>
      </c>
      <c r="L8" t="s">
        <v>578</v>
      </c>
      <c r="M8" s="10">
        <f>N8</f>
        <v>-855.32981716546897</v>
      </c>
      <c r="N8" s="10">
        <v>-855.32981716546897</v>
      </c>
      <c r="O8" s="79">
        <v>1723.4366803078776</v>
      </c>
      <c r="P8" s="79">
        <f>O8</f>
        <v>1723.4366803078776</v>
      </c>
      <c r="Q8" s="79">
        <v>1065.8688785324975</v>
      </c>
      <c r="R8" s="79">
        <f>Q8</f>
        <v>1065.8688785324975</v>
      </c>
      <c r="S8" t="s">
        <v>469</v>
      </c>
      <c r="T8" s="54">
        <f t="shared" si="0"/>
        <v>0.41250279566966913</v>
      </c>
      <c r="U8" s="69">
        <f>M8/US_Results!$BM$60</f>
        <v>-2.0650164586322284E-2</v>
      </c>
    </row>
    <row r="9" spans="1:24" x14ac:dyDescent="0.25">
      <c r="A9" t="s">
        <v>148</v>
      </c>
      <c r="B9" s="22">
        <v>0.03</v>
      </c>
      <c r="C9" t="s">
        <v>570</v>
      </c>
      <c r="G9" s="99">
        <v>2.0059953549470855</v>
      </c>
      <c r="H9" s="54">
        <f>(G9-$G$7)/$G$7</f>
        <v>-0.34661922033828058</v>
      </c>
      <c r="K9" t="s">
        <v>148</v>
      </c>
      <c r="L9" t="s">
        <v>570</v>
      </c>
      <c r="M9" s="10">
        <f>N9/5</f>
        <v>-806.09216222699501</v>
      </c>
      <c r="N9" s="10">
        <v>-4030.4608111349748</v>
      </c>
      <c r="O9" s="79">
        <v>8121.1292545290253</v>
      </c>
      <c r="P9" s="79">
        <f>O9/5</f>
        <v>1624.2258509058051</v>
      </c>
      <c r="Q9" s="79">
        <v>5256.9072329373312</v>
      </c>
      <c r="R9" s="79">
        <f>Q9/5</f>
        <v>1051.3814465874661</v>
      </c>
      <c r="S9" t="s">
        <v>469</v>
      </c>
      <c r="T9" s="54">
        <f t="shared" si="0"/>
        <v>0.38875678576012568</v>
      </c>
      <c r="U9" s="69">
        <f>M9/US_Results!$BM$60</f>
        <v>-1.9461423520690368E-2</v>
      </c>
    </row>
    <row r="10" spans="1:24" x14ac:dyDescent="0.25">
      <c r="A10" t="s">
        <v>148</v>
      </c>
      <c r="B10" s="22">
        <v>0.04</v>
      </c>
      <c r="C10" t="s">
        <v>570</v>
      </c>
      <c r="G10" s="99">
        <v>1.4903954059359314</v>
      </c>
      <c r="H10" s="54">
        <f>(G10-$G$7)/$G$7</f>
        <v>-0.51455734434621825</v>
      </c>
      <c r="K10" t="s">
        <v>9</v>
      </c>
      <c r="L10" t="s">
        <v>578</v>
      </c>
      <c r="M10" s="10">
        <f>N10</f>
        <v>-398.76608728109903</v>
      </c>
      <c r="N10" s="10">
        <v>-398.76608728109903</v>
      </c>
      <c r="O10" s="79">
        <v>1392.081513290711</v>
      </c>
      <c r="P10" s="79">
        <f>O10</f>
        <v>1392.081513290711</v>
      </c>
      <c r="Q10" s="99">
        <f>Q3</f>
        <v>304.22553216538972</v>
      </c>
      <c r="R10" s="79">
        <f>Q10</f>
        <v>304.22553216538972</v>
      </c>
      <c r="S10" t="s">
        <v>469</v>
      </c>
      <c r="T10" s="54">
        <f t="shared" si="0"/>
        <v>0.15552245707638376</v>
      </c>
      <c r="U10" s="69">
        <f>M10/US_Results!$BM$60</f>
        <v>-9.6273801854442065E-3</v>
      </c>
    </row>
    <row r="11" spans="1:24" x14ac:dyDescent="0.25">
      <c r="A11" t="s">
        <v>148</v>
      </c>
      <c r="B11" s="22">
        <v>0.05</v>
      </c>
      <c r="C11" t="s">
        <v>570</v>
      </c>
      <c r="G11" s="99">
        <v>0.97475385635810596</v>
      </c>
      <c r="H11" s="54">
        <f>(G11-$G$7)/$G$7</f>
        <v>-0.6825090182413075</v>
      </c>
      <c r="K11" t="s">
        <v>9</v>
      </c>
      <c r="L11" t="s">
        <v>570</v>
      </c>
      <c r="M11" s="10">
        <f>N11/5</f>
        <v>-379.62531509160641</v>
      </c>
      <c r="N11" s="10">
        <v>-1898.126575458032</v>
      </c>
      <c r="O11" s="79">
        <v>6626.3080032637872</v>
      </c>
      <c r="P11" s="79">
        <f>O11/5</f>
        <v>1325.2616006527574</v>
      </c>
      <c r="Q11" s="99">
        <f>Q6</f>
        <v>1779.0651659218779</v>
      </c>
      <c r="R11" s="79">
        <f>Q11/5</f>
        <v>355.81303318437557</v>
      </c>
      <c r="S11" t="s">
        <v>469</v>
      </c>
      <c r="T11" s="54">
        <f t="shared" si="0"/>
        <v>0.14805737913671738</v>
      </c>
      <c r="U11" s="69">
        <f>M11/US_Results!$BM$60</f>
        <v>-9.1652659365428872E-3</v>
      </c>
    </row>
    <row r="12" spans="1:24" x14ac:dyDescent="0.25">
      <c r="K12" t="s">
        <v>144</v>
      </c>
      <c r="L12" t="s">
        <v>578</v>
      </c>
      <c r="M12" s="10">
        <f>N12</f>
        <v>-148.73136304403459</v>
      </c>
      <c r="N12" s="10">
        <v>-148.73136304403459</v>
      </c>
      <c r="O12" s="79">
        <v>170</v>
      </c>
      <c r="P12" s="79">
        <f>O12</f>
        <v>170</v>
      </c>
      <c r="Q12" s="99">
        <f>Q4</f>
        <v>485.71850040102828</v>
      </c>
      <c r="R12" s="79">
        <f>Q12</f>
        <v>485.71850040102828</v>
      </c>
      <c r="S12" t="s">
        <v>469</v>
      </c>
      <c r="T12" s="54">
        <f t="shared" si="0"/>
        <v>9.3715545755237051E-2</v>
      </c>
      <c r="U12" s="69">
        <f>M12/US_Results!$BM$60</f>
        <v>-3.5908103100925782E-3</v>
      </c>
    </row>
    <row r="13" spans="1:24" x14ac:dyDescent="0.25">
      <c r="K13" t="s">
        <v>144</v>
      </c>
      <c r="L13" t="s">
        <v>570</v>
      </c>
      <c r="M13" s="10">
        <f>N13/5</f>
        <v>-141.59225761792089</v>
      </c>
      <c r="N13" s="10">
        <v>-707.96128808960452</v>
      </c>
      <c r="O13" s="79">
        <v>798.78474113246273</v>
      </c>
      <c r="P13" s="79">
        <f>O13/5</f>
        <v>159.75694822649254</v>
      </c>
      <c r="Q13" s="99">
        <f>Q7</f>
        <v>2412.7019455557302</v>
      </c>
      <c r="R13" s="79">
        <f>Q13/5</f>
        <v>482.54038911114606</v>
      </c>
      <c r="S13" t="s">
        <v>469</v>
      </c>
      <c r="T13" s="54">
        <f t="shared" si="0"/>
        <v>8.8068879948452333E-2</v>
      </c>
      <c r="U13" s="69">
        <f>M13/US_Results!$BM$60</f>
        <v>-3.4184514152081338E-3</v>
      </c>
    </row>
    <row r="14" spans="1:24" x14ac:dyDescent="0.25">
      <c r="K14" t="s">
        <v>148</v>
      </c>
      <c r="L14" t="s">
        <v>578</v>
      </c>
      <c r="M14" s="10">
        <f>N14</f>
        <v>62.204119037070178</v>
      </c>
      <c r="N14" s="10">
        <v>62.204119037070178</v>
      </c>
      <c r="O14" s="79">
        <v>1723.4366803078776</v>
      </c>
      <c r="P14" s="79">
        <f>O14</f>
        <v>1723.4366803078776</v>
      </c>
      <c r="Q14" s="58">
        <v>148.33494232995815</v>
      </c>
      <c r="R14" s="79">
        <f>Q14</f>
        <v>148.33494232995815</v>
      </c>
      <c r="S14" t="s">
        <v>468</v>
      </c>
      <c r="T14" s="54">
        <f t="shared" si="0"/>
        <v>0.41250279566966913</v>
      </c>
      <c r="U14" s="69">
        <f>M14/US_Results!$BM$60</f>
        <v>1.501789450436267E-3</v>
      </c>
    </row>
    <row r="15" spans="1:24" x14ac:dyDescent="0.25">
      <c r="K15" t="s">
        <v>148</v>
      </c>
      <c r="L15" t="s">
        <v>570</v>
      </c>
      <c r="M15" s="10">
        <f>N15/5</f>
        <v>58.623295724901539</v>
      </c>
      <c r="N15" s="10">
        <v>293.11647862450769</v>
      </c>
      <c r="O15" s="79">
        <v>8121.1292545290253</v>
      </c>
      <c r="P15" s="79">
        <f>O15/5</f>
        <v>1624.2258509058051</v>
      </c>
      <c r="Q15" s="58">
        <v>304.22553216538972</v>
      </c>
      <c r="R15" s="79">
        <f>Q15/5</f>
        <v>60.845106433077945</v>
      </c>
      <c r="S15" t="s">
        <v>468</v>
      </c>
      <c r="T15" s="54">
        <f t="shared" si="0"/>
        <v>0.38875678576012568</v>
      </c>
      <c r="U15" s="69">
        <f>M15/US_Results!$BM$60</f>
        <v>1.4153378977523308E-3</v>
      </c>
    </row>
    <row r="16" spans="1:24" x14ac:dyDescent="0.25">
      <c r="K16" t="s">
        <v>9</v>
      </c>
      <c r="L16" t="s">
        <v>578</v>
      </c>
      <c r="M16" s="10">
        <f>N16</f>
        <v>-81.157934559380777</v>
      </c>
      <c r="N16" s="10">
        <f>N3</f>
        <v>-81.157934559380777</v>
      </c>
      <c r="O16" s="79">
        <v>1392.081513290711</v>
      </c>
      <c r="P16" s="79">
        <f>O16</f>
        <v>1392.081513290711</v>
      </c>
      <c r="Q16" s="58">
        <v>485.71850040102828</v>
      </c>
      <c r="R16" s="79">
        <f>Q16</f>
        <v>485.71850040102828</v>
      </c>
      <c r="S16" t="s">
        <v>468</v>
      </c>
      <c r="T16" s="54">
        <f t="shared" si="0"/>
        <v>0.15552245707638376</v>
      </c>
      <c r="U16" s="69">
        <f>M16/US_Results!$BM$60</f>
        <v>-1.9593900183336741E-3</v>
      </c>
    </row>
    <row r="17" spans="11:24" x14ac:dyDescent="0.25">
      <c r="K17" t="s">
        <v>9</v>
      </c>
      <c r="L17" t="s">
        <v>570</v>
      </c>
      <c r="M17" s="10">
        <f>N17/5</f>
        <v>-8.1603713716146906</v>
      </c>
      <c r="N17" s="10">
        <f>N6</f>
        <v>-40.80185685807345</v>
      </c>
      <c r="O17" s="79">
        <v>6626.3080032637872</v>
      </c>
      <c r="P17" s="79">
        <f>O17/5</f>
        <v>1325.2616006527574</v>
      </c>
      <c r="Q17" s="58">
        <v>933.32994317784926</v>
      </c>
      <c r="R17" s="79">
        <f>Q17/5</f>
        <v>186.66598863556985</v>
      </c>
      <c r="S17" t="s">
        <v>468</v>
      </c>
      <c r="T17" s="54">
        <f t="shared" si="0"/>
        <v>0.14805737913671738</v>
      </c>
      <c r="U17" s="69">
        <f>M17/US_Results!$BM$60</f>
        <v>-1.9701524315824941E-4</v>
      </c>
    </row>
    <row r="18" spans="11:24" x14ac:dyDescent="0.25">
      <c r="K18" t="s">
        <v>144</v>
      </c>
      <c r="L18" t="s">
        <v>578</v>
      </c>
      <c r="M18" s="10">
        <f>N18</f>
        <v>-58.531639600723771</v>
      </c>
      <c r="N18" s="10">
        <f>N4</f>
        <v>-58.531639600723771</v>
      </c>
      <c r="O18" s="79">
        <v>170</v>
      </c>
      <c r="P18" s="79">
        <f>O18</f>
        <v>170</v>
      </c>
      <c r="Q18" s="58">
        <v>1779.0651659218779</v>
      </c>
      <c r="R18" s="79">
        <f>Q18</f>
        <v>1779.0651659218779</v>
      </c>
      <c r="S18" t="s">
        <v>468</v>
      </c>
      <c r="T18" s="54">
        <f t="shared" si="0"/>
        <v>9.3715545755237051E-2</v>
      </c>
      <c r="U18" s="69">
        <f>M18/US_Results!$BM$60</f>
        <v>-1.4131250507176188E-3</v>
      </c>
    </row>
    <row r="19" spans="11:24" x14ac:dyDescent="0.25">
      <c r="K19" t="s">
        <v>144</v>
      </c>
      <c r="L19" t="s">
        <v>570</v>
      </c>
      <c r="M19" s="10">
        <f>N19/5</f>
        <v>-51.982721205128328</v>
      </c>
      <c r="N19" s="10">
        <f>N7</f>
        <v>-259.91360602564163</v>
      </c>
      <c r="O19" s="79">
        <v>798.78474113246273</v>
      </c>
      <c r="P19" s="79">
        <f>O19/5</f>
        <v>159.75694822649254</v>
      </c>
      <c r="Q19" s="58">
        <v>2412.7019455557302</v>
      </c>
      <c r="R19" s="79">
        <f>Q19/5</f>
        <v>482.54038911114606</v>
      </c>
      <c r="S19" t="s">
        <v>468</v>
      </c>
      <c r="T19" s="54">
        <f t="shared" si="0"/>
        <v>8.8068879948452333E-2</v>
      </c>
      <c r="U19" s="69">
        <f>M19/US_Results!$BM$60</f>
        <v>-1.2550149977095203E-3</v>
      </c>
    </row>
    <row r="20" spans="11:24" x14ac:dyDescent="0.25">
      <c r="K20" t="s">
        <v>628</v>
      </c>
      <c r="L20" t="s">
        <v>578</v>
      </c>
      <c r="M20" s="10">
        <f t="shared" ref="M20:R20" si="2">SUM(M2:M4)</f>
        <v>70.849487206923754</v>
      </c>
      <c r="N20" s="10">
        <f t="shared" si="2"/>
        <v>70.849487206923754</v>
      </c>
      <c r="O20" s="10">
        <f t="shared" si="2"/>
        <v>3285.5181935985884</v>
      </c>
      <c r="P20" s="10">
        <f t="shared" si="2"/>
        <v>3285.5181935985884</v>
      </c>
      <c r="Q20" s="10">
        <f t="shared" si="2"/>
        <v>938.27897489637621</v>
      </c>
      <c r="R20" s="10">
        <f t="shared" si="2"/>
        <v>938.27897489637621</v>
      </c>
      <c r="S20" t="s">
        <v>615</v>
      </c>
      <c r="U20" s="69">
        <f>M20/US_Results!$BM$60</f>
        <v>1.7105139354641177E-3</v>
      </c>
    </row>
    <row r="21" spans="11:24" x14ac:dyDescent="0.25">
      <c r="K21" t="s">
        <v>628</v>
      </c>
      <c r="L21" t="s">
        <v>570</v>
      </c>
      <c r="M21" s="10">
        <f t="shared" ref="M21:R21" si="3">SUM(M5:M7)</f>
        <v>185.1461917837284</v>
      </c>
      <c r="N21" s="10">
        <f t="shared" si="3"/>
        <v>925.73095891864205</v>
      </c>
      <c r="O21" s="10">
        <f t="shared" si="3"/>
        <v>15546.221998925274</v>
      </c>
      <c r="P21" s="10">
        <f t="shared" si="3"/>
        <v>3109.2443997850551</v>
      </c>
      <c r="Q21" s="10">
        <f t="shared" si="3"/>
        <v>5125.0970546554572</v>
      </c>
      <c r="R21" s="10">
        <f t="shared" si="3"/>
        <v>1025.0194109310914</v>
      </c>
      <c r="S21" t="s">
        <v>615</v>
      </c>
      <c r="U21" s="69">
        <f>M21/US_Results!$BM$60</f>
        <v>4.4699708301238145E-3</v>
      </c>
    </row>
    <row r="22" spans="11:24" x14ac:dyDescent="0.25">
      <c r="K22" t="s">
        <v>628</v>
      </c>
      <c r="L22" t="s">
        <v>578</v>
      </c>
      <c r="M22" s="10">
        <f t="shared" ref="M22:R23" si="4">SUM(M8,M10,M12)</f>
        <v>-1402.8272674906027</v>
      </c>
      <c r="N22" s="10">
        <f t="shared" si="4"/>
        <v>-1402.8272674906027</v>
      </c>
      <c r="O22" s="10">
        <f t="shared" si="4"/>
        <v>3285.5181935985884</v>
      </c>
      <c r="P22" s="10">
        <f t="shared" si="4"/>
        <v>3285.5181935985884</v>
      </c>
      <c r="Q22" s="10">
        <f t="shared" si="4"/>
        <v>1855.8129110989155</v>
      </c>
      <c r="R22" s="10">
        <f t="shared" si="4"/>
        <v>1855.8129110989155</v>
      </c>
      <c r="S22" t="s">
        <v>469</v>
      </c>
      <c r="U22" s="69">
        <f>M22/US_Results!$BM$60</f>
        <v>-3.3868355081859071E-2</v>
      </c>
    </row>
    <row r="23" spans="11:24" x14ac:dyDescent="0.25">
      <c r="K23" t="s">
        <v>628</v>
      </c>
      <c r="L23" t="s">
        <v>570</v>
      </c>
      <c r="M23" s="10">
        <f t="shared" si="4"/>
        <v>-1327.3097349365223</v>
      </c>
      <c r="N23" s="10">
        <f t="shared" si="4"/>
        <v>-6636.5486746826118</v>
      </c>
      <c r="O23" s="10">
        <f t="shared" si="4"/>
        <v>15546.221998925274</v>
      </c>
      <c r="P23" s="10">
        <f t="shared" si="4"/>
        <v>3109.2443997850551</v>
      </c>
      <c r="Q23" s="10">
        <f t="shared" si="4"/>
        <v>9448.6743444149397</v>
      </c>
      <c r="R23" s="10">
        <f t="shared" si="4"/>
        <v>1889.7348688829879</v>
      </c>
      <c r="S23" t="s">
        <v>469</v>
      </c>
      <c r="U23" s="69">
        <f>M23/US_Results!$BM$60</f>
        <v>-3.204514087244139E-2</v>
      </c>
    </row>
    <row r="24" spans="11:24" x14ac:dyDescent="0.25">
      <c r="K24" t="s">
        <v>628</v>
      </c>
      <c r="L24" t="s">
        <v>578</v>
      </c>
      <c r="M24" s="10">
        <f t="shared" ref="M24:R25" si="5">SUM(M14,M16,M18)</f>
        <v>-77.48545512303437</v>
      </c>
      <c r="N24" s="10">
        <f t="shared" si="5"/>
        <v>-77.48545512303437</v>
      </c>
      <c r="O24" s="10">
        <f t="shared" si="5"/>
        <v>3285.5181935985884</v>
      </c>
      <c r="P24" s="10">
        <f t="shared" si="5"/>
        <v>3285.5181935985884</v>
      </c>
      <c r="Q24" s="10">
        <f t="shared" si="5"/>
        <v>2413.1186086528642</v>
      </c>
      <c r="R24" s="10">
        <f t="shared" si="5"/>
        <v>2413.1186086528642</v>
      </c>
      <c r="S24" t="s">
        <v>468</v>
      </c>
      <c r="U24" s="69">
        <f>M24/US_Results!$BM$60</f>
        <v>-1.8707256186150259E-3</v>
      </c>
    </row>
    <row r="25" spans="11:24" x14ac:dyDescent="0.25">
      <c r="K25" t="s">
        <v>628</v>
      </c>
      <c r="L25" t="s">
        <v>570</v>
      </c>
      <c r="M25" s="10">
        <f t="shared" si="5"/>
        <v>-1.5197968518414768</v>
      </c>
      <c r="N25" s="10">
        <f t="shared" si="5"/>
        <v>-7.5989842592073842</v>
      </c>
      <c r="O25" s="10">
        <f t="shared" si="5"/>
        <v>15546.221998925274</v>
      </c>
      <c r="P25" s="10">
        <f t="shared" si="5"/>
        <v>3109.2443997850551</v>
      </c>
      <c r="Q25" s="10">
        <f t="shared" si="5"/>
        <v>3650.257420898969</v>
      </c>
      <c r="R25" s="10">
        <f t="shared" si="5"/>
        <v>730.05148417979387</v>
      </c>
      <c r="S25" t="s">
        <v>468</v>
      </c>
      <c r="U25" s="69">
        <f>M25/US_Results!$BM$60</f>
        <v>-3.6692343115438839E-5</v>
      </c>
    </row>
    <row r="28" spans="11:24" x14ac:dyDescent="0.25">
      <c r="X28" s="54"/>
    </row>
    <row r="29" spans="11:24" x14ac:dyDescent="0.25">
      <c r="K29" t="s">
        <v>634</v>
      </c>
      <c r="L29">
        <v>26</v>
      </c>
      <c r="M29" s="54">
        <v>0.01</v>
      </c>
      <c r="N29" t="s">
        <v>569</v>
      </c>
      <c r="O29" t="s">
        <v>618</v>
      </c>
    </row>
    <row r="30" spans="11:24" x14ac:dyDescent="0.25">
      <c r="K30" t="s">
        <v>634</v>
      </c>
      <c r="L30">
        <v>26</v>
      </c>
      <c r="M30" s="54">
        <v>0.02</v>
      </c>
      <c r="N30" t="s">
        <v>569</v>
      </c>
      <c r="O30" t="s">
        <v>618</v>
      </c>
    </row>
    <row r="31" spans="11:24" x14ac:dyDescent="0.25">
      <c r="K31" t="s">
        <v>634</v>
      </c>
      <c r="L31">
        <v>26</v>
      </c>
      <c r="M31" s="54">
        <v>0.03</v>
      </c>
      <c r="N31" t="s">
        <v>569</v>
      </c>
      <c r="O31" t="s">
        <v>618</v>
      </c>
    </row>
    <row r="32" spans="11:24" x14ac:dyDescent="0.25">
      <c r="K32" t="s">
        <v>634</v>
      </c>
      <c r="L32">
        <v>26</v>
      </c>
      <c r="M32" s="54">
        <v>0.04</v>
      </c>
      <c r="N32" t="s">
        <v>569</v>
      </c>
      <c r="O32" t="s">
        <v>618</v>
      </c>
    </row>
    <row r="33" spans="11:15" x14ac:dyDescent="0.25">
      <c r="K33" t="s">
        <v>634</v>
      </c>
      <c r="L33">
        <v>26</v>
      </c>
      <c r="M33" s="54">
        <v>0.05</v>
      </c>
      <c r="N33" t="s">
        <v>569</v>
      </c>
      <c r="O33" t="s">
        <v>618</v>
      </c>
    </row>
    <row r="34" spans="11:15" x14ac:dyDescent="0.25">
      <c r="K34" t="s">
        <v>634</v>
      </c>
      <c r="L34">
        <v>26</v>
      </c>
      <c r="M34" s="54">
        <v>0.01</v>
      </c>
      <c r="N34" t="s">
        <v>570</v>
      </c>
      <c r="O34" t="s">
        <v>618</v>
      </c>
    </row>
    <row r="35" spans="11:15" x14ac:dyDescent="0.25">
      <c r="K35" t="s">
        <v>634</v>
      </c>
      <c r="L35">
        <v>26</v>
      </c>
      <c r="M35" s="54">
        <v>0.02</v>
      </c>
      <c r="N35" t="s">
        <v>570</v>
      </c>
      <c r="O35" t="s">
        <v>618</v>
      </c>
    </row>
    <row r="36" spans="11:15" x14ac:dyDescent="0.25">
      <c r="K36" t="s">
        <v>634</v>
      </c>
      <c r="L36">
        <v>26</v>
      </c>
      <c r="M36" s="54">
        <v>0.03</v>
      </c>
      <c r="N36" t="s">
        <v>570</v>
      </c>
      <c r="O36" t="s">
        <v>618</v>
      </c>
    </row>
    <row r="37" spans="11:15" x14ac:dyDescent="0.25">
      <c r="K37" t="s">
        <v>634</v>
      </c>
      <c r="L37">
        <v>26</v>
      </c>
      <c r="M37" s="54">
        <v>0.04</v>
      </c>
      <c r="N37" t="s">
        <v>570</v>
      </c>
      <c r="O37" t="s">
        <v>618</v>
      </c>
    </row>
    <row r="38" spans="11:15" x14ac:dyDescent="0.25">
      <c r="K38" t="s">
        <v>634</v>
      </c>
      <c r="L38">
        <v>26</v>
      </c>
      <c r="M38" s="54">
        <v>0.05</v>
      </c>
      <c r="N38" t="s">
        <v>570</v>
      </c>
      <c r="O38" t="s">
        <v>618</v>
      </c>
    </row>
    <row r="39" spans="11:15" x14ac:dyDescent="0.25">
      <c r="K39" t="s">
        <v>634</v>
      </c>
      <c r="L39">
        <v>26</v>
      </c>
      <c r="M39" s="54">
        <v>0.01</v>
      </c>
      <c r="N39" t="s">
        <v>578</v>
      </c>
      <c r="O39" t="s">
        <v>618</v>
      </c>
    </row>
    <row r="40" spans="11:15" x14ac:dyDescent="0.25">
      <c r="K40" t="s">
        <v>634</v>
      </c>
      <c r="L40">
        <v>26</v>
      </c>
      <c r="M40" s="54">
        <v>0.02</v>
      </c>
      <c r="N40" t="s">
        <v>578</v>
      </c>
      <c r="O40" t="s">
        <v>618</v>
      </c>
    </row>
    <row r="41" spans="11:15" x14ac:dyDescent="0.25">
      <c r="K41" t="s">
        <v>634</v>
      </c>
      <c r="L41">
        <v>26</v>
      </c>
      <c r="M41" s="54">
        <v>0.03</v>
      </c>
      <c r="N41" t="s">
        <v>578</v>
      </c>
      <c r="O41" t="s">
        <v>618</v>
      </c>
    </row>
    <row r="42" spans="11:15" x14ac:dyDescent="0.25">
      <c r="K42" t="s">
        <v>634</v>
      </c>
      <c r="L42">
        <v>26</v>
      </c>
      <c r="M42" s="54">
        <v>0.04</v>
      </c>
      <c r="N42" t="s">
        <v>578</v>
      </c>
      <c r="O42" t="s">
        <v>618</v>
      </c>
    </row>
    <row r="43" spans="11:15" x14ac:dyDescent="0.25">
      <c r="K43" t="s">
        <v>634</v>
      </c>
      <c r="L43">
        <v>26</v>
      </c>
      <c r="M43" s="54">
        <v>0.05</v>
      </c>
      <c r="N43" t="s">
        <v>578</v>
      </c>
      <c r="O43" t="s">
        <v>618</v>
      </c>
    </row>
    <row r="44" spans="11:15" x14ac:dyDescent="0.25">
      <c r="K44" t="s">
        <v>634</v>
      </c>
      <c r="L44" s="10">
        <f t="shared" ref="L44:L58" si="6">133*41%/46%</f>
        <v>118.54347826086955</v>
      </c>
      <c r="M44" s="54">
        <v>0.01</v>
      </c>
      <c r="N44" t="s">
        <v>569</v>
      </c>
      <c r="O44" t="s">
        <v>619</v>
      </c>
    </row>
    <row r="45" spans="11:15" x14ac:dyDescent="0.25">
      <c r="K45" t="s">
        <v>634</v>
      </c>
      <c r="L45" s="10">
        <f t="shared" si="6"/>
        <v>118.54347826086955</v>
      </c>
      <c r="M45" s="54">
        <v>0.02</v>
      </c>
      <c r="N45" t="s">
        <v>569</v>
      </c>
      <c r="O45" t="s">
        <v>619</v>
      </c>
    </row>
    <row r="46" spans="11:15" x14ac:dyDescent="0.25">
      <c r="K46" t="s">
        <v>634</v>
      </c>
      <c r="L46" s="10">
        <f t="shared" si="6"/>
        <v>118.54347826086955</v>
      </c>
      <c r="M46" s="54">
        <v>0.03</v>
      </c>
      <c r="N46" t="s">
        <v>569</v>
      </c>
      <c r="O46" t="s">
        <v>619</v>
      </c>
    </row>
    <row r="47" spans="11:15" x14ac:dyDescent="0.25">
      <c r="K47" t="s">
        <v>634</v>
      </c>
      <c r="L47" s="10">
        <f t="shared" si="6"/>
        <v>118.54347826086955</v>
      </c>
      <c r="M47" s="54">
        <v>0.04</v>
      </c>
      <c r="N47" t="s">
        <v>569</v>
      </c>
      <c r="O47" t="s">
        <v>619</v>
      </c>
    </row>
    <row r="48" spans="11:15" x14ac:dyDescent="0.25">
      <c r="K48" t="s">
        <v>634</v>
      </c>
      <c r="L48" s="10">
        <f t="shared" si="6"/>
        <v>118.54347826086955</v>
      </c>
      <c r="M48" s="54">
        <v>0.05</v>
      </c>
      <c r="N48" t="s">
        <v>569</v>
      </c>
      <c r="O48" t="s">
        <v>619</v>
      </c>
    </row>
    <row r="49" spans="11:15" x14ac:dyDescent="0.25">
      <c r="K49" t="s">
        <v>634</v>
      </c>
      <c r="L49" s="10">
        <f t="shared" si="6"/>
        <v>118.54347826086955</v>
      </c>
      <c r="M49" s="54">
        <v>0.01</v>
      </c>
      <c r="N49" t="s">
        <v>570</v>
      </c>
      <c r="O49" t="s">
        <v>619</v>
      </c>
    </row>
    <row r="50" spans="11:15" x14ac:dyDescent="0.25">
      <c r="K50" t="s">
        <v>634</v>
      </c>
      <c r="L50" s="10">
        <f t="shared" si="6"/>
        <v>118.54347826086955</v>
      </c>
      <c r="M50" s="54">
        <v>0.02</v>
      </c>
      <c r="N50" t="s">
        <v>570</v>
      </c>
      <c r="O50" t="s">
        <v>619</v>
      </c>
    </row>
    <row r="51" spans="11:15" x14ac:dyDescent="0.25">
      <c r="K51" t="s">
        <v>634</v>
      </c>
      <c r="L51" s="10">
        <f t="shared" si="6"/>
        <v>118.54347826086955</v>
      </c>
      <c r="M51" s="54">
        <v>0.03</v>
      </c>
      <c r="N51" t="s">
        <v>570</v>
      </c>
      <c r="O51" t="s">
        <v>619</v>
      </c>
    </row>
    <row r="52" spans="11:15" x14ac:dyDescent="0.25">
      <c r="K52" t="s">
        <v>634</v>
      </c>
      <c r="L52" s="10">
        <f t="shared" si="6"/>
        <v>118.54347826086955</v>
      </c>
      <c r="M52" s="54">
        <v>0.04</v>
      </c>
      <c r="N52" t="s">
        <v>570</v>
      </c>
      <c r="O52" t="s">
        <v>619</v>
      </c>
    </row>
    <row r="53" spans="11:15" x14ac:dyDescent="0.25">
      <c r="K53" t="s">
        <v>634</v>
      </c>
      <c r="L53" s="10">
        <f t="shared" si="6"/>
        <v>118.54347826086955</v>
      </c>
      <c r="M53" s="54">
        <v>0.05</v>
      </c>
      <c r="N53" t="s">
        <v>570</v>
      </c>
      <c r="O53" t="s">
        <v>619</v>
      </c>
    </row>
    <row r="54" spans="11:15" x14ac:dyDescent="0.25">
      <c r="K54" t="s">
        <v>634</v>
      </c>
      <c r="L54" s="10">
        <f t="shared" si="6"/>
        <v>118.54347826086955</v>
      </c>
      <c r="M54" s="54">
        <v>0.01</v>
      </c>
      <c r="N54" t="s">
        <v>578</v>
      </c>
      <c r="O54" t="s">
        <v>619</v>
      </c>
    </row>
    <row r="55" spans="11:15" x14ac:dyDescent="0.25">
      <c r="K55" t="s">
        <v>634</v>
      </c>
      <c r="L55" s="10">
        <f t="shared" si="6"/>
        <v>118.54347826086955</v>
      </c>
      <c r="M55" s="54">
        <v>0.02</v>
      </c>
      <c r="N55" t="s">
        <v>578</v>
      </c>
      <c r="O55" t="s">
        <v>619</v>
      </c>
    </row>
    <row r="56" spans="11:15" x14ac:dyDescent="0.25">
      <c r="K56" t="s">
        <v>634</v>
      </c>
      <c r="L56" s="10">
        <f t="shared" si="6"/>
        <v>118.54347826086955</v>
      </c>
      <c r="M56" s="54">
        <v>0.03</v>
      </c>
      <c r="N56" t="s">
        <v>578</v>
      </c>
      <c r="O56" t="s">
        <v>619</v>
      </c>
    </row>
    <row r="57" spans="11:15" x14ac:dyDescent="0.25">
      <c r="K57" t="s">
        <v>634</v>
      </c>
      <c r="L57" s="10">
        <f t="shared" si="6"/>
        <v>118.54347826086955</v>
      </c>
      <c r="M57" s="54">
        <v>0.04</v>
      </c>
      <c r="N57" t="s">
        <v>578</v>
      </c>
      <c r="O57" t="s">
        <v>619</v>
      </c>
    </row>
    <row r="58" spans="11:15" x14ac:dyDescent="0.25">
      <c r="K58" t="s">
        <v>634</v>
      </c>
      <c r="L58" s="10">
        <f t="shared" si="6"/>
        <v>118.54347826086955</v>
      </c>
      <c r="M58" s="54">
        <v>0.05</v>
      </c>
      <c r="N58" t="s">
        <v>578</v>
      </c>
      <c r="O58" t="s">
        <v>619</v>
      </c>
    </row>
  </sheetData>
  <sortState xmlns:xlrd2="http://schemas.microsoft.com/office/spreadsheetml/2017/richdata2" ref="A2:H11">
    <sortCondition ref="C2:C11"/>
  </sortState>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Disclaimer</vt:lpstr>
      <vt:lpstr>TCO Inputs</vt:lpstr>
      <vt:lpstr>US_Results</vt:lpstr>
      <vt:lpstr>Scenario analysis</vt:lpstr>
      <vt:lpstr>Sensitivity</vt:lpstr>
      <vt:lpstr>100%NG_methaneleaking</vt:lpstr>
      <vt:lpstr>Data</vt:lpstr>
      <vt:lpstr>Car insurance</vt:lpstr>
      <vt:lpstr>VKT US</vt:lpstr>
      <vt:lpstr>US_Fuel cycle emission</vt:lpstr>
      <vt:lpstr>Fuel economy adjusted factor</vt:lpstr>
      <vt:lpstr>China VKT</vt:lpstr>
      <vt:lpstr>US Grid mix, emissions&amp;prices</vt:lpstr>
      <vt:lpstr>US regular gasoline prices</vt:lpstr>
      <vt:lpstr>Year data</vt:lpstr>
      <vt:lpstr>Visualization</vt:lpstr>
      <vt:lpstr>Life-cycle CI</vt:lpstr>
      <vt:lpstr>Life-cycle CI (2)</vt:lpstr>
      <vt:lpstr>Comparison</vt:lpstr>
      <vt:lpstr>m2k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Sharath Ankathi</dc:creator>
  <cp:lastModifiedBy>Jin, Enze</cp:lastModifiedBy>
  <dcterms:created xsi:type="dcterms:W3CDTF">2024-01-29T13:11:03Z</dcterms:created>
  <dcterms:modified xsi:type="dcterms:W3CDTF">2025-06-25T15:26:33Z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959062-7b44-4d77-8d0f-cf572960120c_Enabled">
    <vt:lpwstr>true</vt:lpwstr>
  </property>
  <property fmtid="{D5CDD505-2E9C-101B-9397-08002B2CF9AE}" pid="3" name="MSIP_Label_10959062-7b44-4d77-8d0f-cf572960120c_SetDate">
    <vt:lpwstr>2024-03-12T11:17:58Z</vt:lpwstr>
  </property>
  <property fmtid="{D5CDD505-2E9C-101B-9397-08002B2CF9AE}" pid="4" name="MSIP_Label_10959062-7b44-4d77-8d0f-cf572960120c_Method">
    <vt:lpwstr>Privileged</vt:lpwstr>
  </property>
  <property fmtid="{D5CDD505-2E9C-101B-9397-08002B2CF9AE}" pid="5" name="MSIP_Label_10959062-7b44-4d77-8d0f-cf572960120c_Name">
    <vt:lpwstr>ASC-General-Use</vt:lpwstr>
  </property>
  <property fmtid="{D5CDD505-2E9C-101B-9397-08002B2CF9AE}" pid="6" name="MSIP_Label_10959062-7b44-4d77-8d0f-cf572960120c_SiteId">
    <vt:lpwstr>3793a1e6-1687-4a33-a150-6d1a5640ff06</vt:lpwstr>
  </property>
  <property fmtid="{D5CDD505-2E9C-101B-9397-08002B2CF9AE}" pid="7" name="MSIP_Label_10959062-7b44-4d77-8d0f-cf572960120c_ActionId">
    <vt:lpwstr>f55fdb58-8ba8-41d3-8766-234528edfafc</vt:lpwstr>
  </property>
  <property fmtid="{D5CDD505-2E9C-101B-9397-08002B2CF9AE}" pid="8" name="MSIP_Label_10959062-7b44-4d77-8d0f-cf572960120c_ContentBits">
    <vt:lpwstr>2</vt:lpwstr>
  </property>
</Properties>
</file>